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1"/>
  <workbookPr showInkAnnotation="0" codeName="ThisWorkbook"/>
  <mc:AlternateContent xmlns:mc="http://schemas.openxmlformats.org/markup-compatibility/2006">
    <mc:Choice Requires="x15">
      <x15ac:absPath xmlns:x15ac="http://schemas.microsoft.com/office/spreadsheetml/2010/11/ac" url="C:\Users\MARENGIFO\Dropbox\000.PEREIRA 2021\POLITICAS PUBLICAS 30 DIC\"/>
    </mc:Choice>
  </mc:AlternateContent>
  <xr:revisionPtr revIDLastSave="0" documentId="13_ncr:1_{65663977-211E-46DA-BA9E-7267866FE012}" xr6:coauthVersionLast="36" xr6:coauthVersionMax="36" xr10:uidLastSave="{00000000-0000-0000-0000-000000000000}"/>
  <workbookProtection workbookPassword="CBC0" lockStructure="1"/>
  <bookViews>
    <workbookView xWindow="-105" yWindow="-105" windowWidth="19425" windowHeight="10425" tabRatio="871" firstSheet="7" activeTab="7" xr2:uid="{00000000-000D-0000-FFFF-FFFF00000000}"/>
  </bookViews>
  <sheets>
    <sheet name="PP Aprobadas" sheetId="19" r:id="rId1"/>
    <sheet name="Semana PP" sheetId="31" state="hidden" r:id="rId2"/>
    <sheet name="1-Cult Legalidad" sheetId="5" state="hidden" r:id="rId3"/>
    <sheet name="Sintesis" sheetId="20" state="hidden" r:id="rId4"/>
    <sheet name="Sintesis presentac" sheetId="36" state="hidden" r:id="rId5"/>
    <sheet name="Agregado" sheetId="33" state="hidden" r:id="rId6"/>
    <sheet name="Presentacion" sheetId="34" state="hidden" r:id="rId7"/>
    <sheet name="2020" sheetId="38" r:id="rId8"/>
    <sheet name="Relacion" sheetId="39" state="hidden" r:id="rId9"/>
    <sheet name="1-Ajuste Cult Legalidad" sheetId="22" state="hidden" r:id="rId10"/>
    <sheet name="2-Pereira Innova" sheetId="10" state="hidden" r:id="rId11"/>
    <sheet name="3-Victimas" sheetId="21" state="hidden" r:id="rId12"/>
    <sheet name="4-Seguridad Alimentaria" sheetId="15" state="hidden" r:id="rId13"/>
    <sheet name="5-Salud Sexual" sheetId="18" state="hidden" r:id="rId14"/>
    <sheet name="6-Juventud" sheetId="9" state="hidden" r:id="rId15"/>
    <sheet name="7-Indigenas" sheetId="8" state="hidden" r:id="rId16"/>
    <sheet name="8-Discapacidad" sheetId="6" state="hidden" r:id="rId17"/>
    <sheet name="9-DRAEF" sheetId="29" state="hidden" r:id="rId18"/>
    <sheet name="10-Infancia" sheetId="30" state="hidden" r:id="rId19"/>
    <sheet name="11-Afros" sheetId="3" state="hidden" r:id="rId20"/>
    <sheet name="12-Salud Mental" sheetId="14" state="hidden" r:id="rId21"/>
    <sheet name="13-JAC Consejo Gobierno" sheetId="37" state="hidden" r:id="rId22"/>
    <sheet name="13-J Accion Comunal" sheetId="11" state="hidden" r:id="rId23"/>
    <sheet name="14-Animal" sheetId="4" state="hidden" r:id="rId24"/>
    <sheet name="15-Adulto Mayor" sheetId="24" state="hidden" r:id="rId25"/>
    <sheet name="16-Equidad Genero" sheetId="23" state="hidden" r:id="rId26"/>
    <sheet name="17-Derechos Humanos" sheetId="26" state="hidden" r:id="rId27"/>
    <sheet name="18-habitante calle" sheetId="25" state="hidden" r:id="rId28"/>
    <sheet name="Articulacion" sheetId="28" state="hidden" r:id="rId29"/>
  </sheets>
  <externalReferences>
    <externalReference r:id="rId30"/>
    <externalReference r:id="rId31"/>
    <externalReference r:id="rId32"/>
  </externalReferences>
  <definedNames>
    <definedName name="_xlnm._FilterDatabase" localSheetId="18" hidden="1">'10-Infancia'!$A$5:$AAW$154</definedName>
    <definedName name="_xlnm._FilterDatabase" localSheetId="19" hidden="1">'11-Afros'!$A$5:$PP$106</definedName>
    <definedName name="_xlnm._FilterDatabase" localSheetId="20" hidden="1">'12-Salud Mental'!$A$5:$DL$5</definedName>
    <definedName name="_xlnm._FilterDatabase" localSheetId="22" hidden="1">'13-J Accion Comunal'!$A$4:$DR$89</definedName>
    <definedName name="_xlnm._FilterDatabase" localSheetId="21" hidden="1">'13-JAC Consejo Gobierno'!$A$4:$F$25</definedName>
    <definedName name="_xlnm._FilterDatabase" localSheetId="23" hidden="1">'14-Animal'!$A$5:$DV$61</definedName>
    <definedName name="_xlnm._FilterDatabase" localSheetId="24" hidden="1">'15-Adulto Mayor'!$A$8:$WVZ$108</definedName>
    <definedName name="_xlnm._FilterDatabase" localSheetId="25" hidden="1">'16-Equidad Genero'!$A$5:$AC$80</definedName>
    <definedName name="_xlnm._FilterDatabase" localSheetId="26" hidden="1">'17-Derechos Humanos'!$A$5:$BH$179</definedName>
    <definedName name="_xlnm._FilterDatabase" localSheetId="27" hidden="1">'18-habitante calle'!$A$7:$DZ$85</definedName>
    <definedName name="_xlnm._FilterDatabase" localSheetId="9" hidden="1">'1-Ajuste Cult Legalidad'!$A$4:$BU$92</definedName>
    <definedName name="_xlnm._FilterDatabase" localSheetId="2" hidden="1">'1-Cult Legalidad'!$A$4:$NS$45</definedName>
    <definedName name="_xlnm._FilterDatabase" localSheetId="7" hidden="1">'2020'!$A$4:$BD$1842</definedName>
    <definedName name="_xlnm._FilterDatabase" localSheetId="10" hidden="1">'2-Pereira Innova'!$A$5:$CY$43</definedName>
    <definedName name="_xlnm._FilterDatabase" localSheetId="11" hidden="1">'3-Victimas'!$A$5:$EL$94</definedName>
    <definedName name="_xlnm._FilterDatabase" localSheetId="12" hidden="1">'4-Seguridad Alimentaria'!$A$4:$DE$62</definedName>
    <definedName name="_xlnm._FilterDatabase" localSheetId="13" hidden="1">'5-Salud Sexual'!$A$5:$MD$5</definedName>
    <definedName name="_xlnm._FilterDatabase" localSheetId="14" hidden="1">'6-Juventud'!$A$4:$DC$98</definedName>
    <definedName name="_xlnm._FilterDatabase" localSheetId="15" hidden="1">'7-Indigenas'!$A$4:$DS$152</definedName>
    <definedName name="_xlnm._FilterDatabase" localSheetId="16" hidden="1">'8-Discapacidad'!$A$4:$DP$191</definedName>
    <definedName name="_xlnm._FilterDatabase" localSheetId="17" hidden="1">'9-DRAEF'!$A$4:$DF$192</definedName>
    <definedName name="_xlnm._FilterDatabase" localSheetId="1" hidden="1">'Semana PP'!$B$8:$T$42</definedName>
    <definedName name="_xlnm.Criteria" localSheetId="7">'2020'!$A$1:$I$2</definedName>
  </definedNames>
  <calcPr calcId="191029"/>
</workbook>
</file>

<file path=xl/calcChain.xml><?xml version="1.0" encoding="utf-8"?>
<calcChain xmlns="http://schemas.openxmlformats.org/spreadsheetml/2006/main">
  <c r="BW5" i="22" l="1"/>
  <c r="BW6" i="22"/>
  <c r="BX5" i="22"/>
  <c r="BY5" i="22" s="1"/>
  <c r="I148" i="38"/>
  <c r="BS77" i="9"/>
  <c r="BO77" i="9"/>
  <c r="BT30" i="15"/>
  <c r="BS30" i="15"/>
  <c r="U30" i="15"/>
  <c r="BY32" i="22"/>
  <c r="BY18" i="22"/>
  <c r="AH86" i="22"/>
  <c r="AC86" i="22"/>
  <c r="AA86" i="22"/>
  <c r="Z86" i="22"/>
  <c r="Z31" i="22"/>
  <c r="AC31" i="22"/>
  <c r="CR75" i="21"/>
  <c r="CR95" i="21"/>
  <c r="BO105" i="18"/>
  <c r="CA154" i="8"/>
  <c r="CB42" i="6"/>
  <c r="CB58" i="6"/>
  <c r="CB61" i="6"/>
  <c r="CB193" i="6" s="1"/>
  <c r="CB98" i="6"/>
  <c r="CB100" i="6"/>
  <c r="CB101" i="6"/>
  <c r="CB104" i="6"/>
  <c r="CB105" i="6"/>
  <c r="CB144" i="6"/>
  <c r="CB165" i="6"/>
  <c r="CB181" i="6"/>
  <c r="BS12" i="29"/>
  <c r="BS20" i="29"/>
  <c r="BS21" i="29"/>
  <c r="BS23" i="29"/>
  <c r="BS30" i="29"/>
  <c r="BU35" i="29"/>
  <c r="BS35" i="29"/>
  <c r="BS193" i="29" s="1"/>
  <c r="BS40" i="29"/>
  <c r="BS52" i="29"/>
  <c r="BS74" i="29"/>
  <c r="BS96" i="29"/>
  <c r="BS98" i="29"/>
  <c r="BS101" i="29"/>
  <c r="BS102" i="29"/>
  <c r="BS106" i="29"/>
  <c r="BS109" i="29"/>
  <c r="BS112" i="29"/>
  <c r="BS115" i="29"/>
  <c r="BS121" i="29"/>
  <c r="BS146" i="29"/>
  <c r="BS148" i="29"/>
  <c r="BL139" i="30"/>
  <c r="BL157" i="30" s="1"/>
  <c r="BV109" i="3"/>
  <c r="BW6" i="14"/>
  <c r="BW7" i="14"/>
  <c r="BW9" i="14"/>
  <c r="BW10" i="14"/>
  <c r="BW11" i="14"/>
  <c r="BW12" i="14"/>
  <c r="BW13" i="14"/>
  <c r="BW14" i="14"/>
  <c r="BW15" i="14"/>
  <c r="BW17" i="14"/>
  <c r="BW18" i="14"/>
  <c r="BW19" i="14"/>
  <c r="BW20" i="14"/>
  <c r="BW21" i="14"/>
  <c r="BW22" i="14"/>
  <c r="BW23" i="14"/>
  <c r="BW24" i="14"/>
  <c r="BW26" i="14"/>
  <c r="BW27" i="14"/>
  <c r="BW28" i="14"/>
  <c r="BW29" i="14"/>
  <c r="BW30" i="14"/>
  <c r="BW31" i="14"/>
  <c r="BW32" i="14"/>
  <c r="BW33" i="14"/>
  <c r="BW35" i="14"/>
  <c r="BW36" i="14"/>
  <c r="BW37" i="14"/>
  <c r="BW39" i="14"/>
  <c r="BW43" i="14"/>
  <c r="CC63" i="4"/>
  <c r="CH6" i="4"/>
  <c r="CI6" i="4"/>
  <c r="CG6" i="4"/>
  <c r="CH7" i="4"/>
  <c r="CI7" i="4"/>
  <c r="CG7" i="4"/>
  <c r="CG63" i="4"/>
  <c r="CA6" i="14"/>
  <c r="CA10" i="14"/>
  <c r="CA13" i="14"/>
  <c r="CA21" i="14"/>
  <c r="CA23" i="14"/>
  <c r="CA24" i="14"/>
  <c r="CA26" i="14"/>
  <c r="CA27" i="14"/>
  <c r="CA28" i="14"/>
  <c r="CA33" i="14"/>
  <c r="CA43" i="14"/>
  <c r="BZ109" i="3"/>
  <c r="BQ32" i="30"/>
  <c r="BQ157" i="30"/>
  <c r="BW193" i="29"/>
  <c r="CE154" i="8"/>
  <c r="BT105" i="18"/>
  <c r="BV65" i="15"/>
  <c r="CV95" i="21"/>
  <c r="BO45" i="10"/>
  <c r="AN45" i="36"/>
  <c r="AC32" i="36"/>
  <c r="AA32" i="36"/>
  <c r="Y32" i="36"/>
  <c r="W32" i="36"/>
  <c r="U32" i="36"/>
  <c r="S32" i="36"/>
  <c r="Q32" i="36"/>
  <c r="O32" i="36"/>
  <c r="M32" i="36"/>
  <c r="L32" i="36"/>
  <c r="J32" i="36"/>
  <c r="AK32" i="36" s="1"/>
  <c r="H32" i="36"/>
  <c r="G32" i="36"/>
  <c r="E32" i="36"/>
  <c r="AI30" i="36"/>
  <c r="AH30" i="36"/>
  <c r="AG30" i="36"/>
  <c r="AF30" i="36"/>
  <c r="AC30" i="36"/>
  <c r="AB30" i="36"/>
  <c r="AA30" i="36"/>
  <c r="Z30" i="36"/>
  <c r="Y30" i="36"/>
  <c r="X30" i="36"/>
  <c r="W30" i="36"/>
  <c r="V30" i="36"/>
  <c r="U30" i="36"/>
  <c r="T30" i="36"/>
  <c r="S30" i="36"/>
  <c r="R30" i="36"/>
  <c r="Q30" i="36"/>
  <c r="P30" i="36"/>
  <c r="O30" i="36"/>
  <c r="N30" i="36"/>
  <c r="M30" i="36"/>
  <c r="L30" i="36"/>
  <c r="K30" i="36"/>
  <c r="J30" i="36"/>
  <c r="I30" i="36"/>
  <c r="H30" i="36"/>
  <c r="G30" i="36"/>
  <c r="F30" i="36"/>
  <c r="E30" i="36"/>
  <c r="AK28" i="36"/>
  <c r="AJ28" i="36"/>
  <c r="D28" i="36"/>
  <c r="C28" i="36"/>
  <c r="AK27" i="36"/>
  <c r="AJ27" i="36"/>
  <c r="D27" i="36"/>
  <c r="C27" i="36"/>
  <c r="AK26" i="36"/>
  <c r="AJ26" i="36"/>
  <c r="D26" i="36"/>
  <c r="C26" i="36"/>
  <c r="AK25" i="36"/>
  <c r="AJ25" i="36"/>
  <c r="D25" i="36"/>
  <c r="C25" i="36"/>
  <c r="AK24" i="36"/>
  <c r="AJ24" i="36"/>
  <c r="D24" i="36"/>
  <c r="C24" i="36"/>
  <c r="AK23" i="36"/>
  <c r="AJ23" i="36"/>
  <c r="D23" i="36"/>
  <c r="C23" i="36"/>
  <c r="AK22" i="36"/>
  <c r="AJ22" i="36"/>
  <c r="D22" i="36"/>
  <c r="C22" i="36"/>
  <c r="AK21" i="36"/>
  <c r="AJ21" i="36"/>
  <c r="D21" i="36"/>
  <c r="C21" i="36"/>
  <c r="AK20" i="36"/>
  <c r="AJ20" i="36"/>
  <c r="D20" i="36"/>
  <c r="C20" i="36"/>
  <c r="AK19" i="36"/>
  <c r="AJ19" i="36"/>
  <c r="D19" i="36"/>
  <c r="C19" i="36"/>
  <c r="AK18" i="36"/>
  <c r="AJ18" i="36"/>
  <c r="D18" i="36"/>
  <c r="C18" i="36"/>
  <c r="AK17" i="36"/>
  <c r="AJ17" i="36"/>
  <c r="D17" i="36"/>
  <c r="C17" i="36"/>
  <c r="AK16" i="36"/>
  <c r="AJ16" i="36"/>
  <c r="D16" i="36"/>
  <c r="C16" i="36"/>
  <c r="AK15" i="36"/>
  <c r="AJ15" i="36"/>
  <c r="D15" i="36"/>
  <c r="C15" i="36"/>
  <c r="AK14" i="36"/>
  <c r="AJ14" i="36"/>
  <c r="D14" i="36"/>
  <c r="C14" i="36"/>
  <c r="AK13" i="36"/>
  <c r="AJ13" i="36"/>
  <c r="D13" i="36"/>
  <c r="C13" i="36"/>
  <c r="AK12" i="36"/>
  <c r="AJ12" i="36"/>
  <c r="D12" i="36"/>
  <c r="C12" i="36"/>
  <c r="AK11" i="36"/>
  <c r="AJ11" i="36"/>
  <c r="D11" i="36"/>
  <c r="C11" i="36"/>
  <c r="AK10" i="36"/>
  <c r="AJ10" i="36"/>
  <c r="D10" i="36"/>
  <c r="C10" i="36"/>
  <c r="AK9" i="36"/>
  <c r="AJ9" i="36"/>
  <c r="D9" i="36"/>
  <c r="C9" i="36"/>
  <c r="AK8" i="36"/>
  <c r="AJ8" i="36"/>
  <c r="D8" i="36"/>
  <c r="C8" i="36"/>
  <c r="AK7" i="36"/>
  <c r="AJ7" i="36"/>
  <c r="D7" i="36"/>
  <c r="C7" i="36"/>
  <c r="AK6" i="36"/>
  <c r="AJ6" i="36"/>
  <c r="D6" i="36"/>
  <c r="C6" i="36"/>
  <c r="C32" i="36"/>
  <c r="AK5" i="36"/>
  <c r="AK30" i="36" s="1"/>
  <c r="D5" i="36"/>
  <c r="P12" i="34"/>
  <c r="P7" i="34"/>
  <c r="P3" i="34"/>
  <c r="D30" i="36"/>
  <c r="C30" i="36"/>
  <c r="C12" i="31"/>
  <c r="D7" i="20"/>
  <c r="D8" i="20"/>
  <c r="D9" i="20"/>
  <c r="D10" i="20"/>
  <c r="D11" i="20"/>
  <c r="D12" i="20"/>
  <c r="D13" i="20"/>
  <c r="D14" i="20"/>
  <c r="D15" i="20"/>
  <c r="D16" i="20"/>
  <c r="D17" i="20"/>
  <c r="D18" i="20"/>
  <c r="D19" i="20"/>
  <c r="D20" i="20"/>
  <c r="D21" i="20"/>
  <c r="D22" i="20"/>
  <c r="D23" i="20"/>
  <c r="D24" i="20"/>
  <c r="D25" i="20"/>
  <c r="D26" i="20"/>
  <c r="D27" i="20"/>
  <c r="D28" i="20"/>
  <c r="C7" i="20"/>
  <c r="C8" i="20"/>
  <c r="C9" i="20"/>
  <c r="C10" i="20"/>
  <c r="C6" i="20"/>
  <c r="C11" i="20"/>
  <c r="C12" i="20"/>
  <c r="C13" i="20"/>
  <c r="C14" i="20"/>
  <c r="C15" i="20"/>
  <c r="C16" i="20"/>
  <c r="C17" i="20"/>
  <c r="C18" i="20"/>
  <c r="C19" i="20"/>
  <c r="C20" i="20"/>
  <c r="C21" i="20"/>
  <c r="C22" i="20"/>
  <c r="C30" i="20" s="1"/>
  <c r="C23" i="20"/>
  <c r="C24" i="20"/>
  <c r="C25" i="20"/>
  <c r="C26" i="20"/>
  <c r="C27" i="20"/>
  <c r="C28" i="20"/>
  <c r="P30" i="20"/>
  <c r="D5" i="20"/>
  <c r="D6" i="20"/>
  <c r="AC32" i="20"/>
  <c r="AA32" i="20"/>
  <c r="AB30" i="20"/>
  <c r="Y32" i="20"/>
  <c r="Z30" i="20"/>
  <c r="W32" i="20"/>
  <c r="X30" i="20"/>
  <c r="U32" i="20"/>
  <c r="V30" i="20"/>
  <c r="U30" i="20"/>
  <c r="S32" i="20"/>
  <c r="T30" i="20"/>
  <c r="Q32" i="20"/>
  <c r="R30" i="20"/>
  <c r="O32" i="20"/>
  <c r="M30" i="20"/>
  <c r="M32" i="20"/>
  <c r="N30" i="20"/>
  <c r="L32" i="20"/>
  <c r="I30" i="20"/>
  <c r="K30" i="20"/>
  <c r="J32" i="20"/>
  <c r="J30" i="20"/>
  <c r="H32" i="20"/>
  <c r="G32" i="20"/>
  <c r="E32" i="20"/>
  <c r="F30" i="20"/>
  <c r="E30" i="20"/>
  <c r="BR39" i="14"/>
  <c r="BR37" i="14"/>
  <c r="BR36" i="14"/>
  <c r="BR35" i="14"/>
  <c r="BR33" i="14"/>
  <c r="BR27" i="14"/>
  <c r="BR28" i="14"/>
  <c r="BS27" i="14" s="1"/>
  <c r="BR29" i="14"/>
  <c r="BR30" i="14"/>
  <c r="BR31" i="14"/>
  <c r="BR32" i="14"/>
  <c r="BR26" i="14"/>
  <c r="BR24" i="14"/>
  <c r="BR23" i="14"/>
  <c r="BR22" i="14"/>
  <c r="BR21" i="14"/>
  <c r="BR20" i="14"/>
  <c r="BR19" i="14"/>
  <c r="BR18" i="14"/>
  <c r="BR17" i="14"/>
  <c r="BR15" i="14"/>
  <c r="BR14" i="14"/>
  <c r="BS14" i="14"/>
  <c r="BR13" i="14"/>
  <c r="BR12" i="14"/>
  <c r="BR11" i="14"/>
  <c r="BR10" i="14"/>
  <c r="BR9" i="14"/>
  <c r="BR7" i="14"/>
  <c r="BR6" i="14"/>
  <c r="BT87" i="11"/>
  <c r="BU45" i="11" s="1"/>
  <c r="BT86" i="11"/>
  <c r="BT85" i="11"/>
  <c r="BT84" i="11"/>
  <c r="BT83" i="11"/>
  <c r="BT81" i="11"/>
  <c r="S81" i="11"/>
  <c r="BT78" i="11"/>
  <c r="Z78" i="11"/>
  <c r="BT75" i="11"/>
  <c r="CC74" i="11"/>
  <c r="CC88" i="11" s="1"/>
  <c r="BY71" i="11"/>
  <c r="BT71" i="11"/>
  <c r="AD71" i="11"/>
  <c r="BY70" i="11"/>
  <c r="BT70" i="11"/>
  <c r="AD70" i="11"/>
  <c r="BT69" i="11"/>
  <c r="BT68" i="11"/>
  <c r="BT67" i="11"/>
  <c r="S67" i="11"/>
  <c r="BY66" i="11"/>
  <c r="BT66" i="11"/>
  <c r="AF66" i="11"/>
  <c r="AE66" i="11"/>
  <c r="AD66" i="11" s="1"/>
  <c r="BY65" i="11"/>
  <c r="BT65" i="11"/>
  <c r="AF65" i="11"/>
  <c r="AE65" i="11"/>
  <c r="AD65" i="11"/>
  <c r="BT63" i="11"/>
  <c r="S63" i="11"/>
  <c r="BY62" i="11"/>
  <c r="BT62" i="11"/>
  <c r="AD62" i="11"/>
  <c r="BZ61" i="11"/>
  <c r="BY61" i="11"/>
  <c r="BT61" i="11"/>
  <c r="AD61" i="11"/>
  <c r="AD59" i="11"/>
  <c r="Z59" i="11"/>
  <c r="BY49" i="11"/>
  <c r="BT49" i="11"/>
  <c r="AD49" i="11"/>
  <c r="BY48" i="11"/>
  <c r="BT48" i="11"/>
  <c r="AD48" i="11"/>
  <c r="BT47" i="11"/>
  <c r="BM47" i="11"/>
  <c r="AD47" i="11"/>
  <c r="S47" i="11"/>
  <c r="BT45" i="11"/>
  <c r="BJ45" i="11"/>
  <c r="BM45" i="11"/>
  <c r="BT44" i="11"/>
  <c r="BT42" i="11"/>
  <c r="BT41" i="11"/>
  <c r="AT41" i="11"/>
  <c r="S41" i="11"/>
  <c r="CE40" i="11"/>
  <c r="BT40" i="11"/>
  <c r="S40" i="11"/>
  <c r="BT39" i="11"/>
  <c r="S39" i="11"/>
  <c r="BT38" i="11"/>
  <c r="AK38" i="11"/>
  <c r="AH38" i="11"/>
  <c r="AE38" i="11"/>
  <c r="AD38" i="11"/>
  <c r="AD44" i="11"/>
  <c r="BT37" i="11"/>
  <c r="BY36" i="11"/>
  <c r="AD36" i="11"/>
  <c r="BY35" i="11"/>
  <c r="BT35" i="11"/>
  <c r="AF35" i="11"/>
  <c r="AE35" i="11"/>
  <c r="AD35" i="11"/>
  <c r="BY34" i="11"/>
  <c r="AD34" i="11"/>
  <c r="BT32" i="11"/>
  <c r="BT31" i="11"/>
  <c r="BM31" i="11"/>
  <c r="AO31" i="11"/>
  <c r="AN31" i="11"/>
  <c r="AH31" i="11"/>
  <c r="S31" i="11"/>
  <c r="BT30" i="11"/>
  <c r="BY29" i="11"/>
  <c r="BT29" i="11"/>
  <c r="BY28" i="11"/>
  <c r="BT28" i="11"/>
  <c r="AD28" i="11"/>
  <c r="BY27" i="11"/>
  <c r="BT27" i="11"/>
  <c r="AD27" i="11"/>
  <c r="Z27" i="11"/>
  <c r="BT26" i="11"/>
  <c r="AD26" i="11"/>
  <c r="S25" i="11"/>
  <c r="BY24" i="11"/>
  <c r="BT24" i="11"/>
  <c r="AD24" i="11"/>
  <c r="BT23" i="11"/>
  <c r="BZ22" i="11"/>
  <c r="BY22" i="11" s="1"/>
  <c r="BT22" i="11"/>
  <c r="AD22" i="11"/>
  <c r="Z22" i="11"/>
  <c r="BY21" i="11"/>
  <c r="BT21" i="11"/>
  <c r="AD21" i="11"/>
  <c r="BY17" i="11"/>
  <c r="AD17" i="11"/>
  <c r="AD16" i="11"/>
  <c r="BT15" i="11"/>
  <c r="BY14" i="11"/>
  <c r="BT14" i="11"/>
  <c r="AD14" i="11"/>
  <c r="BY13" i="11"/>
  <c r="BT13" i="11"/>
  <c r="AD13" i="11"/>
  <c r="Z13" i="11"/>
  <c r="BT12" i="11"/>
  <c r="BT11" i="11"/>
  <c r="BY10" i="11"/>
  <c r="BT10" i="11"/>
  <c r="AS10" i="11"/>
  <c r="AR10" i="11"/>
  <c r="AQ10" i="11"/>
  <c r="AP10" i="11"/>
  <c r="AO10" i="11"/>
  <c r="AN10" i="11"/>
  <c r="AK10" i="11"/>
  <c r="AD10" i="11"/>
  <c r="BT9" i="11"/>
  <c r="Z9" i="11"/>
  <c r="BY8" i="11"/>
  <c r="BT8" i="11"/>
  <c r="AD8" i="11"/>
  <c r="BT7" i="11"/>
  <c r="BZ6" i="11"/>
  <c r="BY6" i="11" s="1"/>
  <c r="BT6" i="11"/>
  <c r="AF6" i="11"/>
  <c r="AE6" i="11"/>
  <c r="AD6" i="11" s="1"/>
  <c r="BO104" i="18"/>
  <c r="BR103" i="18"/>
  <c r="BR102" i="18"/>
  <c r="CF101" i="18"/>
  <c r="BR101" i="18"/>
  <c r="AF101" i="18"/>
  <c r="BR100" i="18"/>
  <c r="BR99" i="18"/>
  <c r="BR98" i="18"/>
  <c r="BR97" i="18"/>
  <c r="BP97" i="18"/>
  <c r="BK97" i="18"/>
  <c r="P97" i="18"/>
  <c r="BR96" i="18"/>
  <c r="BR95" i="18"/>
  <c r="BR94" i="18"/>
  <c r="BR93" i="18"/>
  <c r="BR92" i="18"/>
  <c r="BR91" i="18"/>
  <c r="BR90" i="18"/>
  <c r="BR89" i="18"/>
  <c r="BR88" i="18"/>
  <c r="BR87" i="18"/>
  <c r="BR86" i="18"/>
  <c r="BR85" i="18"/>
  <c r="CF84" i="18"/>
  <c r="BR84" i="18"/>
  <c r="AF84" i="18"/>
  <c r="BR83" i="18"/>
  <c r="BR82" i="18"/>
  <c r="BP82" i="18"/>
  <c r="BK82" i="18"/>
  <c r="P82" i="18"/>
  <c r="BR81" i="18"/>
  <c r="BR80" i="18"/>
  <c r="BR79" i="18"/>
  <c r="BR78" i="18"/>
  <c r="BR77" i="18"/>
  <c r="BR76" i="18"/>
  <c r="BR75" i="18"/>
  <c r="BR74" i="18"/>
  <c r="BR73" i="18"/>
  <c r="BR72" i="18"/>
  <c r="BR71" i="18"/>
  <c r="BR70" i="18"/>
  <c r="BR69" i="18"/>
  <c r="BR68" i="18"/>
  <c r="BR67" i="18"/>
  <c r="BR66" i="18"/>
  <c r="BR65" i="18"/>
  <c r="BP65" i="18"/>
  <c r="BK65" i="18"/>
  <c r="P65" i="18"/>
  <c r="BR64" i="18"/>
  <c r="BR63" i="18"/>
  <c r="BR62" i="18"/>
  <c r="BR61" i="18"/>
  <c r="BR60" i="18"/>
  <c r="BR59" i="18"/>
  <c r="BR58" i="18"/>
  <c r="BR57" i="18"/>
  <c r="CF56" i="18"/>
  <c r="BR56" i="18"/>
  <c r="AF56" i="18"/>
  <c r="BR55" i="18"/>
  <c r="BR54" i="18"/>
  <c r="BP54" i="18"/>
  <c r="BK54" i="18"/>
  <c r="AF54" i="18"/>
  <c r="P54" i="18"/>
  <c r="BR53" i="18"/>
  <c r="BR52" i="18"/>
  <c r="BR51" i="18"/>
  <c r="BR50" i="18"/>
  <c r="CF49" i="18"/>
  <c r="BR49" i="18"/>
  <c r="AF49" i="18"/>
  <c r="BR48" i="18"/>
  <c r="BR47" i="18"/>
  <c r="BR46" i="18"/>
  <c r="BR45" i="18"/>
  <c r="CF44" i="18"/>
  <c r="BR44" i="18"/>
  <c r="AF44" i="18"/>
  <c r="BR43" i="18"/>
  <c r="BR42" i="18"/>
  <c r="BR41" i="18"/>
  <c r="BP41" i="18"/>
  <c r="BK41" i="18"/>
  <c r="P41" i="18"/>
  <c r="BR40" i="18"/>
  <c r="BR39" i="18"/>
  <c r="BR38" i="18"/>
  <c r="BR37" i="18"/>
  <c r="BR36" i="18"/>
  <c r="BR35" i="18"/>
  <c r="BR34" i="18"/>
  <c r="BR33" i="18"/>
  <c r="BR32" i="18"/>
  <c r="BR31" i="18"/>
  <c r="BR30" i="18"/>
  <c r="BR29" i="18"/>
  <c r="BR28" i="18"/>
  <c r="BR27" i="18"/>
  <c r="BP27" i="18"/>
  <c r="BK27" i="18"/>
  <c r="BR26" i="18"/>
  <c r="P26" i="18"/>
  <c r="BR25" i="18"/>
  <c r="BR24" i="18"/>
  <c r="BR23" i="18"/>
  <c r="BR22" i="18"/>
  <c r="BR21" i="18"/>
  <c r="BJ21" i="18"/>
  <c r="BI21" i="18"/>
  <c r="BR20" i="18"/>
  <c r="BR19" i="18"/>
  <c r="BR18" i="18"/>
  <c r="BR17" i="18"/>
  <c r="BR16" i="18"/>
  <c r="BR15" i="18"/>
  <c r="BR14" i="18"/>
  <c r="BR13" i="18"/>
  <c r="BR12" i="18"/>
  <c r="BR11" i="18"/>
  <c r="BR10" i="18"/>
  <c r="BR9" i="18"/>
  <c r="BR8" i="18"/>
  <c r="BR7" i="18"/>
  <c r="BR6" i="18"/>
  <c r="BP6" i="18"/>
  <c r="BK6" i="18"/>
  <c r="P6" i="18"/>
  <c r="BX60" i="4"/>
  <c r="BY45" i="4" s="1"/>
  <c r="AD60" i="4"/>
  <c r="AD59" i="4"/>
  <c r="AD57" i="4"/>
  <c r="AD55" i="4"/>
  <c r="BX54" i="4"/>
  <c r="AD54" i="4"/>
  <c r="AD53" i="4"/>
  <c r="AD52" i="4"/>
  <c r="BX49" i="4"/>
  <c r="AD49" i="4"/>
  <c r="BX46" i="4"/>
  <c r="AD46" i="4"/>
  <c r="BX45" i="4"/>
  <c r="AD45" i="4"/>
  <c r="AD41" i="4"/>
  <c r="AD40" i="4"/>
  <c r="BX39" i="4"/>
  <c r="AD39" i="4"/>
  <c r="BX38" i="4"/>
  <c r="BX37" i="4"/>
  <c r="AD37" i="4"/>
  <c r="AD36" i="4"/>
  <c r="AD33" i="4"/>
  <c r="AD32" i="4"/>
  <c r="BX30" i="4"/>
  <c r="AD30" i="4"/>
  <c r="AD28" i="4"/>
  <c r="AD27" i="4"/>
  <c r="BX26" i="4"/>
  <c r="AD26" i="4"/>
  <c r="AD23" i="4"/>
  <c r="BX21" i="4"/>
  <c r="AD21" i="4"/>
  <c r="BX20" i="4"/>
  <c r="AD20" i="4"/>
  <c r="BX19" i="4"/>
  <c r="AD19" i="4"/>
  <c r="AD18" i="4"/>
  <c r="BX17" i="4"/>
  <c r="BY6" i="4" s="1"/>
  <c r="AD17" i="4"/>
  <c r="BX15" i="4"/>
  <c r="AD15" i="4"/>
  <c r="BX14" i="4"/>
  <c r="AD14" i="4"/>
  <c r="BX10" i="4"/>
  <c r="AD10" i="4"/>
  <c r="AD9" i="4"/>
  <c r="U9" i="4"/>
  <c r="U7" i="4"/>
  <c r="CG61" i="4"/>
  <c r="AD6" i="4"/>
  <c r="CC89" i="11"/>
  <c r="BY19" i="4"/>
  <c r="BU39" i="11"/>
  <c r="BS6" i="14"/>
  <c r="AD41" i="11"/>
  <c r="AD40" i="11"/>
  <c r="CM69" i="9"/>
  <c r="BV69" i="9"/>
  <c r="BU69" i="9"/>
  <c r="BT69" i="9"/>
  <c r="BS69" i="9"/>
  <c r="BS102" i="9"/>
  <c r="BO69" i="9"/>
  <c r="BV75" i="6"/>
  <c r="C42" i="31"/>
  <c r="C41" i="31"/>
  <c r="C40" i="31"/>
  <c r="C39" i="31"/>
  <c r="C38" i="31"/>
  <c r="C37" i="31"/>
  <c r="C36" i="31"/>
  <c r="D36" i="31" s="1"/>
  <c r="C35" i="31"/>
  <c r="C34" i="31"/>
  <c r="C33" i="31"/>
  <c r="C29" i="31"/>
  <c r="C28" i="31"/>
  <c r="C27" i="31"/>
  <c r="C26" i="31"/>
  <c r="C25" i="31"/>
  <c r="C24" i="31"/>
  <c r="C23" i="31"/>
  <c r="C19" i="31"/>
  <c r="C18" i="31"/>
  <c r="C17" i="31"/>
  <c r="C13" i="31"/>
  <c r="C8" i="31"/>
  <c r="AJ24" i="20"/>
  <c r="AJ7" i="20"/>
  <c r="AJ8" i="20"/>
  <c r="AJ9" i="20"/>
  <c r="AJ10" i="20"/>
  <c r="AJ11" i="20"/>
  <c r="AJ12" i="20"/>
  <c r="AJ13" i="20"/>
  <c r="AJ14" i="20"/>
  <c r="AJ15" i="20"/>
  <c r="AJ16" i="20"/>
  <c r="AJ17" i="20"/>
  <c r="AJ18" i="20"/>
  <c r="AJ19" i="20"/>
  <c r="AJ20" i="20"/>
  <c r="AJ21" i="20"/>
  <c r="AJ22" i="20"/>
  <c r="AJ23" i="20"/>
  <c r="AJ25" i="20"/>
  <c r="AJ26" i="20"/>
  <c r="AJ27" i="20"/>
  <c r="AJ28" i="20"/>
  <c r="AJ6" i="20"/>
  <c r="C44" i="31"/>
  <c r="D13" i="31" s="1"/>
  <c r="AK6" i="20"/>
  <c r="D19" i="31"/>
  <c r="CO80" i="21"/>
  <c r="CM80" i="21"/>
  <c r="CO63" i="21"/>
  <c r="CM63" i="21"/>
  <c r="CO59" i="21"/>
  <c r="CL56" i="21"/>
  <c r="CL55" i="21"/>
  <c r="CO14" i="21" s="1"/>
  <c r="CO13" i="21"/>
  <c r="CO95" i="21" s="1"/>
  <c r="CO6" i="21"/>
  <c r="CM6" i="21"/>
  <c r="DO2" i="21"/>
  <c r="DN2" i="21"/>
  <c r="DM2" i="21"/>
  <c r="DL2" i="21"/>
  <c r="DK2" i="21"/>
  <c r="DJ2" i="21"/>
  <c r="DI2" i="21"/>
  <c r="DH2" i="21"/>
  <c r="CM14" i="21"/>
  <c r="DE193" i="6"/>
  <c r="DD193" i="6"/>
  <c r="DC193" i="6"/>
  <c r="DB193" i="6"/>
  <c r="DA193" i="6"/>
  <c r="CZ193" i="6"/>
  <c r="CY193" i="6"/>
  <c r="CX193" i="6"/>
  <c r="CW193" i="6"/>
  <c r="CV193" i="6"/>
  <c r="CU193" i="6"/>
  <c r="CT193" i="6"/>
  <c r="CQ193" i="6"/>
  <c r="CP193" i="6"/>
  <c r="CO193" i="6"/>
  <c r="CN193" i="6"/>
  <c r="CM193" i="6"/>
  <c r="CL193" i="6"/>
  <c r="CK193" i="6"/>
  <c r="CI193" i="6"/>
  <c r="CF193" i="6"/>
  <c r="CE193" i="6"/>
  <c r="CC193" i="6"/>
  <c r="CS184" i="6"/>
  <c r="CS193" i="6"/>
  <c r="CJ144" i="6"/>
  <c r="CH144" i="6"/>
  <c r="CH193" i="6" s="1"/>
  <c r="CD139" i="6"/>
  <c r="CD193" i="6"/>
  <c r="CH105" i="6"/>
  <c r="CH104" i="6"/>
  <c r="CR61" i="6"/>
  <c r="CR193" i="6"/>
  <c r="CJ61" i="6"/>
  <c r="CG61" i="6"/>
  <c r="CG193" i="6" s="1"/>
  <c r="BW191" i="6"/>
  <c r="BX165" i="6" s="1"/>
  <c r="BW189" i="6"/>
  <c r="BW188" i="6"/>
  <c r="BW181" i="6"/>
  <c r="BW176" i="6"/>
  <c r="BW170" i="6"/>
  <c r="BW165" i="6"/>
  <c r="BW162" i="6"/>
  <c r="BW160" i="6"/>
  <c r="BW159" i="6"/>
  <c r="BW154" i="6"/>
  <c r="BW149" i="6"/>
  <c r="BW144" i="6"/>
  <c r="BW142" i="6"/>
  <c r="BW141" i="6"/>
  <c r="BW140" i="6"/>
  <c r="BW139" i="6"/>
  <c r="BX139" i="6" s="1"/>
  <c r="BW133" i="6"/>
  <c r="BW124" i="6"/>
  <c r="BV122" i="6"/>
  <c r="BV120" i="6"/>
  <c r="BX109" i="6"/>
  <c r="BW105" i="6"/>
  <c r="BW104" i="6"/>
  <c r="BW101" i="6"/>
  <c r="BT101" i="6"/>
  <c r="BW100" i="6"/>
  <c r="BV99" i="6"/>
  <c r="BW98" i="6"/>
  <c r="BW93" i="6"/>
  <c r="BW92" i="6"/>
  <c r="BW91" i="6"/>
  <c r="BW88" i="6"/>
  <c r="BW85" i="6"/>
  <c r="BW84" i="6"/>
  <c r="BW83" i="6"/>
  <c r="BW82" i="6"/>
  <c r="BW81" i="6"/>
  <c r="BW80" i="6"/>
  <c r="BV78" i="6"/>
  <c r="BW78" i="6"/>
  <c r="BX75" i="6" s="1"/>
  <c r="BV77" i="6"/>
  <c r="BW77" i="6"/>
  <c r="BV76" i="6"/>
  <c r="BW71" i="6"/>
  <c r="BW69" i="6"/>
  <c r="BW67" i="6"/>
  <c r="BW65" i="6"/>
  <c r="BW63" i="6"/>
  <c r="BW61" i="6"/>
  <c r="BW60" i="6"/>
  <c r="BW58" i="6"/>
  <c r="BT58" i="6"/>
  <c r="BW56" i="6"/>
  <c r="BW52" i="6"/>
  <c r="BW51" i="6"/>
  <c r="BW50" i="6"/>
  <c r="BW48" i="6"/>
  <c r="BW46" i="6"/>
  <c r="BW43" i="6"/>
  <c r="BW42" i="6"/>
  <c r="BT42" i="6"/>
  <c r="BW41" i="6"/>
  <c r="BW39" i="6"/>
  <c r="BW38" i="6"/>
  <c r="BX36" i="6" s="1"/>
  <c r="BW37" i="6"/>
  <c r="BW36" i="6"/>
  <c r="BW29" i="6"/>
  <c r="BW28" i="6"/>
  <c r="BW26" i="6"/>
  <c r="BT26" i="6"/>
  <c r="BW25" i="6"/>
  <c r="BW24" i="6"/>
  <c r="BW23" i="6"/>
  <c r="BW22" i="6"/>
  <c r="BW20" i="6"/>
  <c r="BW18" i="6"/>
  <c r="BW17" i="6"/>
  <c r="BW16" i="6"/>
  <c r="BW15" i="6"/>
  <c r="BW12" i="6"/>
  <c r="BW10" i="6"/>
  <c r="BW9" i="6"/>
  <c r="BW8" i="6"/>
  <c r="BW7" i="6"/>
  <c r="BW6" i="6"/>
  <c r="BW5" i="6"/>
  <c r="BX5" i="6" s="1"/>
  <c r="CF195" i="6"/>
  <c r="BX120" i="6"/>
  <c r="CJ193" i="6"/>
  <c r="CU109" i="3"/>
  <c r="BQ104" i="3"/>
  <c r="BQ103" i="3"/>
  <c r="BQ100" i="3"/>
  <c r="BQ98" i="3"/>
  <c r="BR85" i="3" s="1"/>
  <c r="BP95" i="3"/>
  <c r="BQ93" i="3"/>
  <c r="BQ91" i="3"/>
  <c r="BQ88" i="3"/>
  <c r="BQ76" i="3"/>
  <c r="BQ74" i="3"/>
  <c r="BQ73" i="3"/>
  <c r="BR73" i="3" s="1"/>
  <c r="BQ71" i="3"/>
  <c r="BQ70" i="3"/>
  <c r="BQ69" i="3"/>
  <c r="BQ68" i="3"/>
  <c r="BQ67" i="3"/>
  <c r="BQ66" i="3"/>
  <c r="BQ64" i="3"/>
  <c r="BQ63" i="3"/>
  <c r="BQ61" i="3"/>
  <c r="BQ60" i="3"/>
  <c r="BQ59" i="3"/>
  <c r="BQ58" i="3"/>
  <c r="BQ56" i="3"/>
  <c r="BQ50" i="3"/>
  <c r="BQ45" i="3"/>
  <c r="BQ44" i="3"/>
  <c r="BR37" i="3"/>
  <c r="BQ30" i="3"/>
  <c r="BQ28" i="3"/>
  <c r="BQ25" i="3"/>
  <c r="BQ24" i="3"/>
  <c r="BQ15" i="3"/>
  <c r="BQ13" i="3"/>
  <c r="BQ12" i="3"/>
  <c r="BQ10" i="3"/>
  <c r="BR10" i="3" s="1"/>
  <c r="BQ9" i="3"/>
  <c r="BR6" i="3" s="1"/>
  <c r="DC154" i="8"/>
  <c r="DB154" i="8"/>
  <c r="DA154" i="8"/>
  <c r="CZ154" i="8"/>
  <c r="CY154" i="8"/>
  <c r="CX154" i="8"/>
  <c r="CW154" i="8"/>
  <c r="CV154" i="8"/>
  <c r="CU154" i="8"/>
  <c r="CT154" i="8"/>
  <c r="CS154" i="8"/>
  <c r="CR154" i="8"/>
  <c r="CQ154" i="8"/>
  <c r="CP154" i="8"/>
  <c r="CO154" i="8"/>
  <c r="CN154" i="8"/>
  <c r="CM154" i="8"/>
  <c r="CL154" i="8"/>
  <c r="CK154" i="8"/>
  <c r="CJ154" i="8"/>
  <c r="CI154" i="8"/>
  <c r="CH154" i="8"/>
  <c r="CG154" i="8"/>
  <c r="CF154" i="8"/>
  <c r="CD154" i="8"/>
  <c r="CC154" i="8"/>
  <c r="CB154" i="8"/>
  <c r="BM7" i="15"/>
  <c r="AM94" i="22"/>
  <c r="AC79" i="22"/>
  <c r="BG166" i="30"/>
  <c r="V154" i="30"/>
  <c r="R154" i="30"/>
  <c r="R151" i="30"/>
  <c r="R148" i="30"/>
  <c r="R147" i="30"/>
  <c r="R146" i="30"/>
  <c r="N146" i="30"/>
  <c r="R124" i="30"/>
  <c r="R123" i="30"/>
  <c r="R122" i="30"/>
  <c r="R117" i="30"/>
  <c r="R116" i="30"/>
  <c r="R115" i="30"/>
  <c r="R113" i="30"/>
  <c r="R111" i="30"/>
  <c r="R109" i="30"/>
  <c r="R107" i="30"/>
  <c r="R94" i="30"/>
  <c r="R92" i="30"/>
  <c r="R90" i="30"/>
  <c r="R88" i="30"/>
  <c r="R86" i="30"/>
  <c r="R83" i="30"/>
  <c r="N166" i="30"/>
  <c r="AQ32" i="30"/>
  <c r="AQ30" i="30"/>
  <c r="AQ28" i="30"/>
  <c r="AQ26" i="30"/>
  <c r="AQ24" i="30"/>
  <c r="AQ20" i="30"/>
  <c r="AP18" i="30"/>
  <c r="CK32" i="30"/>
  <c r="CK30" i="30"/>
  <c r="CK28" i="30"/>
  <c r="CK26" i="30"/>
  <c r="BS26" i="30"/>
  <c r="CK24" i="30"/>
  <c r="BR24" i="30"/>
  <c r="CK20" i="30"/>
  <c r="BR20" i="30"/>
  <c r="CJ18" i="30"/>
  <c r="BO172" i="29"/>
  <c r="BO164" i="29"/>
  <c r="BU155" i="29"/>
  <c r="BT155" i="29"/>
  <c r="BU153" i="29"/>
  <c r="BT153" i="29"/>
  <c r="BU140" i="29"/>
  <c r="BT140" i="29"/>
  <c r="BO140" i="29"/>
  <c r="BU135" i="29"/>
  <c r="BT135" i="29"/>
  <c r="BU129" i="29"/>
  <c r="BT129" i="29"/>
  <c r="BU123" i="29"/>
  <c r="BT123" i="29"/>
  <c r="BU122" i="29"/>
  <c r="BO120" i="29"/>
  <c r="BO112" i="29"/>
  <c r="BO106" i="29"/>
  <c r="BO93" i="29"/>
  <c r="BO84" i="29"/>
  <c r="BO81" i="29"/>
  <c r="BO63" i="29"/>
  <c r="BO58" i="29"/>
  <c r="BO46" i="29"/>
  <c r="BO41" i="29"/>
  <c r="BO36" i="29"/>
  <c r="BO33" i="29"/>
  <c r="BO31" i="29"/>
  <c r="BO24" i="29"/>
  <c r="BO19" i="29"/>
  <c r="BO12" i="29"/>
  <c r="BO5" i="29"/>
  <c r="BO96" i="9"/>
  <c r="BO94" i="9"/>
  <c r="BO93" i="9"/>
  <c r="BO92" i="9"/>
  <c r="BO91" i="9"/>
  <c r="BO89" i="9"/>
  <c r="BO87" i="9"/>
  <c r="BO86" i="9"/>
  <c r="BO85" i="9"/>
  <c r="BO84" i="9"/>
  <c r="BO80" i="9"/>
  <c r="BO79" i="9"/>
  <c r="BO78" i="9"/>
  <c r="BO76" i="9"/>
  <c r="BO59" i="9"/>
  <c r="BV41" i="9"/>
  <c r="BT41" i="9"/>
  <c r="CF40" i="9"/>
  <c r="BO40" i="9"/>
  <c r="BO36" i="9"/>
  <c r="BO35" i="9"/>
  <c r="BO31" i="9"/>
  <c r="BO102" i="9" s="1"/>
  <c r="BO16" i="9"/>
  <c r="BO13" i="9"/>
  <c r="BO11" i="9"/>
  <c r="BK93" i="9"/>
  <c r="BJ92" i="9"/>
  <c r="BK81" i="9"/>
  <c r="BK75" i="9"/>
  <c r="BK66" i="9"/>
  <c r="BK57" i="9"/>
  <c r="BJ41" i="9"/>
  <c r="BJ40" i="9"/>
  <c r="BK35" i="9"/>
  <c r="BK31" i="9"/>
  <c r="BK16" i="9"/>
  <c r="BK5" i="9"/>
  <c r="BM59" i="15"/>
  <c r="BJ58" i="15"/>
  <c r="BM56" i="15"/>
  <c r="BN51" i="15" s="1"/>
  <c r="BJ56" i="15"/>
  <c r="BM51" i="15"/>
  <c r="BI51" i="15"/>
  <c r="BM48" i="15"/>
  <c r="BN40" i="15" s="1"/>
  <c r="BM43" i="15"/>
  <c r="BJ42" i="15"/>
  <c r="CP38" i="15"/>
  <c r="BW38" i="15"/>
  <c r="BM38" i="15"/>
  <c r="BJ38" i="15"/>
  <c r="BM37" i="15"/>
  <c r="BJ37" i="15"/>
  <c r="BI35" i="15"/>
  <c r="BJ35" i="15" s="1"/>
  <c r="BS29" i="15"/>
  <c r="BR29" i="15" s="1"/>
  <c r="BM28" i="15"/>
  <c r="BN24" i="15"/>
  <c r="BM17" i="15"/>
  <c r="BI16" i="15"/>
  <c r="BL13" i="15"/>
  <c r="BL10" i="15"/>
  <c r="BM43" i="10"/>
  <c r="BK43" i="10"/>
  <c r="BL43" i="10" s="1"/>
  <c r="BF43" i="10"/>
  <c r="BG43" i="10"/>
  <c r="BF42" i="10"/>
  <c r="BM39" i="10"/>
  <c r="BK39" i="10"/>
  <c r="BF39" i="10"/>
  <c r="BF38" i="10"/>
  <c r="BF37" i="10"/>
  <c r="BF36" i="10"/>
  <c r="BM35" i="10"/>
  <c r="BK35" i="10"/>
  <c r="BF35" i="10"/>
  <c r="BF34" i="10"/>
  <c r="BL33" i="10"/>
  <c r="BF33" i="10"/>
  <c r="BF32" i="10"/>
  <c r="BF31" i="10"/>
  <c r="BM30" i="10"/>
  <c r="BK30" i="10"/>
  <c r="BF30" i="10"/>
  <c r="BM29" i="10"/>
  <c r="BK29" i="10"/>
  <c r="BF29" i="10"/>
  <c r="BF28" i="10"/>
  <c r="BF27" i="10"/>
  <c r="BM26" i="10"/>
  <c r="BK26" i="10"/>
  <c r="BF26" i="10"/>
  <c r="BM25" i="10"/>
  <c r="BK25" i="10"/>
  <c r="BF25" i="10"/>
  <c r="BK24" i="10"/>
  <c r="BM24" i="10"/>
  <c r="BF24" i="10"/>
  <c r="BF23" i="10"/>
  <c r="BP22" i="10"/>
  <c r="BF22" i="10"/>
  <c r="BF21" i="10"/>
  <c r="BF20" i="10"/>
  <c r="BG18" i="10" s="1"/>
  <c r="BF19" i="10"/>
  <c r="BF18" i="10"/>
  <c r="BF17" i="10"/>
  <c r="BF16" i="10"/>
  <c r="BF15" i="10"/>
  <c r="BF14" i="10"/>
  <c r="BF13" i="10"/>
  <c r="BF12" i="10"/>
  <c r="BF11" i="10"/>
  <c r="BF10" i="10"/>
  <c r="BF9" i="10"/>
  <c r="BF8" i="10"/>
  <c r="BM7" i="10"/>
  <c r="BK7" i="10"/>
  <c r="BL6" i="10" s="1"/>
  <c r="BF7" i="10"/>
  <c r="BF6" i="10"/>
  <c r="BG6" i="10" s="1"/>
  <c r="AC78" i="22"/>
  <c r="AC72" i="22"/>
  <c r="AI61" i="22"/>
  <c r="AC61" i="22"/>
  <c r="AC56" i="22"/>
  <c r="AC49" i="22"/>
  <c r="AC47" i="22"/>
  <c r="AD32" i="22" s="1"/>
  <c r="AD18" i="22"/>
  <c r="AC9" i="22"/>
  <c r="BL35" i="10"/>
  <c r="BL18" i="10"/>
  <c r="BM10" i="15"/>
  <c r="BN32" i="15"/>
  <c r="BG33" i="10"/>
  <c r="AC5" i="22"/>
  <c r="AD5" i="22"/>
  <c r="P23" i="15"/>
  <c r="O23" i="15"/>
  <c r="AH85" i="25"/>
  <c r="AL85" i="25" s="1"/>
  <c r="AP85" i="25"/>
  <c r="AT85" i="25" s="1"/>
  <c r="AX85" i="25" s="1"/>
  <c r="BB85" i="25" s="1"/>
  <c r="BF85" i="25" s="1"/>
  <c r="BJ85" i="25"/>
  <c r="BN85" i="25" s="1"/>
  <c r="BR85" i="25" s="1"/>
  <c r="BV85" i="25" s="1"/>
  <c r="P85" i="25"/>
  <c r="AM83" i="25"/>
  <c r="AQ83" i="25"/>
  <c r="AU83" i="25"/>
  <c r="AY83" i="25" s="1"/>
  <c r="BC83" i="25" s="1"/>
  <c r="BG83" i="25" s="1"/>
  <c r="BK83" i="25" s="1"/>
  <c r="BO83" i="25" s="1"/>
  <c r="BS83" i="25" s="1"/>
  <c r="BW83" i="25" s="1"/>
  <c r="AH83" i="25"/>
  <c r="AG83" i="25"/>
  <c r="P83" i="25"/>
  <c r="AL82" i="25"/>
  <c r="AP82" i="25" s="1"/>
  <c r="X82" i="25"/>
  <c r="Y82" i="25"/>
  <c r="Z82" i="25"/>
  <c r="AA82" i="25" s="1"/>
  <c r="AB82" i="25" s="1"/>
  <c r="AC82" i="25" s="1"/>
  <c r="AD82" i="25" s="1"/>
  <c r="AE82" i="25" s="1"/>
  <c r="AF82" i="25" s="1"/>
  <c r="AG82" i="25" s="1"/>
  <c r="P82" i="25" s="1"/>
  <c r="AL80" i="25"/>
  <c r="AG80" i="25"/>
  <c r="P80" i="25" s="1"/>
  <c r="AL77" i="25"/>
  <c r="AP77" i="25"/>
  <c r="AT77" i="25" s="1"/>
  <c r="AX77" i="25" s="1"/>
  <c r="BB77" i="25" s="1"/>
  <c r="BF77" i="25" s="1"/>
  <c r="BJ77" i="25" s="1"/>
  <c r="BN77" i="25" s="1"/>
  <c r="BR77" i="25"/>
  <c r="BV77" i="25" s="1"/>
  <c r="P77" i="25"/>
  <c r="AI76" i="25"/>
  <c r="AM76" i="25"/>
  <c r="AQ76" i="25"/>
  <c r="AU76" i="25"/>
  <c r="AY76" i="25" s="1"/>
  <c r="BC76" i="25"/>
  <c r="BG76" i="25" s="1"/>
  <c r="BK76" i="25" s="1"/>
  <c r="BO76" i="25" s="1"/>
  <c r="BS76" i="25" s="1"/>
  <c r="BW76" i="25"/>
  <c r="AH76" i="25"/>
  <c r="P76" i="25"/>
  <c r="AH75" i="25"/>
  <c r="AL75" i="25" s="1"/>
  <c r="X75" i="25"/>
  <c r="Y75" i="25"/>
  <c r="Z75" i="25"/>
  <c r="AA75" i="25" s="1"/>
  <c r="AB75" i="25" s="1"/>
  <c r="AC75" i="25"/>
  <c r="AD75" i="25" s="1"/>
  <c r="AE75" i="25" s="1"/>
  <c r="AF75" i="25" s="1"/>
  <c r="AG75" i="25" s="1"/>
  <c r="P75" i="25" s="1"/>
  <c r="BZ74" i="25"/>
  <c r="AG74" i="25"/>
  <c r="P74" i="25" s="1"/>
  <c r="AL73" i="25"/>
  <c r="AP73" i="25" s="1"/>
  <c r="AT73" i="25" s="1"/>
  <c r="AX73" i="25"/>
  <c r="BB73" i="25" s="1"/>
  <c r="BF73" i="25" s="1"/>
  <c r="BJ73" i="25" s="1"/>
  <c r="BN73" i="25" s="1"/>
  <c r="BR73" i="25"/>
  <c r="BV73" i="25" s="1"/>
  <c r="AG73" i="25"/>
  <c r="P73" i="25"/>
  <c r="AI72" i="25"/>
  <c r="AM72" i="25" s="1"/>
  <c r="AQ72" i="25" s="1"/>
  <c r="AU72" i="25" s="1"/>
  <c r="AY72" i="25" s="1"/>
  <c r="BC72" i="25" s="1"/>
  <c r="BG72" i="25" s="1"/>
  <c r="BK72" i="25" s="1"/>
  <c r="BO72" i="25" s="1"/>
  <c r="BS72" i="25" s="1"/>
  <c r="BW72" i="25" s="1"/>
  <c r="AH72" i="25"/>
  <c r="P72" i="25"/>
  <c r="AI70" i="25"/>
  <c r="AM70" i="25"/>
  <c r="AQ70" i="25"/>
  <c r="AU70" i="25"/>
  <c r="AY70" i="25" s="1"/>
  <c r="BC70" i="25" s="1"/>
  <c r="BG70" i="25" s="1"/>
  <c r="BK70" i="25" s="1"/>
  <c r="BO70" i="25" s="1"/>
  <c r="BS70" i="25" s="1"/>
  <c r="BW70" i="25" s="1"/>
  <c r="AH70" i="25"/>
  <c r="X70" i="25"/>
  <c r="Y70" i="25" s="1"/>
  <c r="Z70" i="25" s="1"/>
  <c r="AA70" i="25" s="1"/>
  <c r="AB70" i="25" s="1"/>
  <c r="AC70" i="25" s="1"/>
  <c r="AD70" i="25" s="1"/>
  <c r="AE70" i="25" s="1"/>
  <c r="AF70" i="25" s="1"/>
  <c r="AG70" i="25" s="1"/>
  <c r="P70" i="25" s="1"/>
  <c r="AH68" i="25"/>
  <c r="AL68" i="25" s="1"/>
  <c r="AP68" i="25" s="1"/>
  <c r="X68" i="25"/>
  <c r="Y68" i="25"/>
  <c r="Z68" i="25" s="1"/>
  <c r="AA68" i="25" s="1"/>
  <c r="AB68" i="25" s="1"/>
  <c r="AC68" i="25" s="1"/>
  <c r="AD68" i="25" s="1"/>
  <c r="AE68" i="25" s="1"/>
  <c r="AF68" i="25" s="1"/>
  <c r="AG68" i="25" s="1"/>
  <c r="P68" i="25" s="1"/>
  <c r="AL67" i="25"/>
  <c r="AP67" i="25" s="1"/>
  <c r="AT67" i="25" s="1"/>
  <c r="AX67" i="25" s="1"/>
  <c r="BB67" i="25" s="1"/>
  <c r="BF67" i="25" s="1"/>
  <c r="BJ67" i="25" s="1"/>
  <c r="BN67" i="25" s="1"/>
  <c r="BR67" i="25" s="1"/>
  <c r="BV67" i="25" s="1"/>
  <c r="P67" i="25"/>
  <c r="AL66" i="25"/>
  <c r="AP66" i="25"/>
  <c r="AT66" i="25"/>
  <c r="AX66" i="25" s="1"/>
  <c r="BB66" i="25"/>
  <c r="BF66" i="25" s="1"/>
  <c r="BJ66" i="25" s="1"/>
  <c r="BN66" i="25" s="1"/>
  <c r="BR66" i="25" s="1"/>
  <c r="BV66" i="25" s="1"/>
  <c r="P66" i="25"/>
  <c r="AH65" i="25"/>
  <c r="AL65" i="25"/>
  <c r="AP65" i="25" s="1"/>
  <c r="AT65" i="25"/>
  <c r="AX65" i="25" s="1"/>
  <c r="BB65" i="25" s="1"/>
  <c r="BF65" i="25" s="1"/>
  <c r="BJ65" i="25" s="1"/>
  <c r="BN65" i="25"/>
  <c r="BR65" i="25" s="1"/>
  <c r="BV65" i="25" s="1"/>
  <c r="P65" i="25"/>
  <c r="AH63" i="25"/>
  <c r="AL63" i="25" s="1"/>
  <c r="AP63" i="25" s="1"/>
  <c r="AT63" i="25"/>
  <c r="AX63" i="25" s="1"/>
  <c r="BB63" i="25" s="1"/>
  <c r="BF63" i="25"/>
  <c r="BJ63" i="25" s="1"/>
  <c r="BN63" i="25" s="1"/>
  <c r="BR63" i="25" s="1"/>
  <c r="BV63" i="25" s="1"/>
  <c r="X63" i="25"/>
  <c r="Y63" i="25"/>
  <c r="Z63" i="25"/>
  <c r="AA63" i="25" s="1"/>
  <c r="AB63" i="25" s="1"/>
  <c r="AC63" i="25"/>
  <c r="AD63" i="25" s="1"/>
  <c r="AE63" i="25" s="1"/>
  <c r="AF63" i="25" s="1"/>
  <c r="AG63" i="25" s="1"/>
  <c r="P63" i="25" s="1"/>
  <c r="AH62" i="25"/>
  <c r="AL62" i="25"/>
  <c r="AP62" i="25" s="1"/>
  <c r="AT62" i="25" s="1"/>
  <c r="AX62" i="25" s="1"/>
  <c r="BB62" i="25" s="1"/>
  <c r="BF62" i="25" s="1"/>
  <c r="BJ62" i="25" s="1"/>
  <c r="BN62" i="25" s="1"/>
  <c r="BR62" i="25" s="1"/>
  <c r="BV62" i="25" s="1"/>
  <c r="P62" i="25"/>
  <c r="AL61" i="25"/>
  <c r="AP61" i="25"/>
  <c r="AT61" i="25"/>
  <c r="AX61" i="25" s="1"/>
  <c r="BB61" i="25" s="1"/>
  <c r="P61" i="25"/>
  <c r="AL60" i="25"/>
  <c r="AP60" i="25"/>
  <c r="P60" i="25"/>
  <c r="AL59" i="25"/>
  <c r="AP59" i="25"/>
  <c r="AT59" i="25"/>
  <c r="AX59" i="25" s="1"/>
  <c r="BB59" i="25"/>
  <c r="BF59" i="25" s="1"/>
  <c r="BJ59" i="25" s="1"/>
  <c r="BN59" i="25" s="1"/>
  <c r="BR59" i="25" s="1"/>
  <c r="BV59" i="25" s="1"/>
  <c r="P59" i="25"/>
  <c r="AL57" i="25"/>
  <c r="AP57" i="25" s="1"/>
  <c r="AT57" i="25" s="1"/>
  <c r="AX57" i="25"/>
  <c r="BB57" i="25" s="1"/>
  <c r="BF57" i="25" s="1"/>
  <c r="BJ57" i="25" s="1"/>
  <c r="BN57" i="25" s="1"/>
  <c r="BR57" i="25" s="1"/>
  <c r="BV57" i="25" s="1"/>
  <c r="P57" i="25"/>
  <c r="AH55" i="25"/>
  <c r="AL55" i="25"/>
  <c r="AP55" i="25"/>
  <c r="AT55" i="25" s="1"/>
  <c r="AX55" i="25" s="1"/>
  <c r="BB55" i="25" s="1"/>
  <c r="BF55" i="25"/>
  <c r="BJ55" i="25" s="1"/>
  <c r="BN55" i="25" s="1"/>
  <c r="BR55" i="25" s="1"/>
  <c r="BV55" i="25" s="1"/>
  <c r="AI55" i="25"/>
  <c r="AM55" i="25" s="1"/>
  <c r="AQ55" i="25" s="1"/>
  <c r="AU55" i="25" s="1"/>
  <c r="AY55" i="25" s="1"/>
  <c r="BC55" i="25" s="1"/>
  <c r="BG55" i="25" s="1"/>
  <c r="BK55" i="25"/>
  <c r="BO55" i="25" s="1"/>
  <c r="BS55" i="25" s="1"/>
  <c r="BW55" i="25" s="1"/>
  <c r="P55" i="25"/>
  <c r="AH54" i="25"/>
  <c r="AL54" i="25" s="1"/>
  <c r="AP54" i="25" s="1"/>
  <c r="AG54" i="25"/>
  <c r="P54" i="25"/>
  <c r="AH53" i="25"/>
  <c r="AL53" i="25" s="1"/>
  <c r="P53" i="25"/>
  <c r="AI51" i="25"/>
  <c r="AM51" i="25" s="1"/>
  <c r="AQ51" i="25" s="1"/>
  <c r="AU51" i="25" s="1"/>
  <c r="AY51" i="25" s="1"/>
  <c r="BC51" i="25" s="1"/>
  <c r="BG51" i="25" s="1"/>
  <c r="BK51" i="25" s="1"/>
  <c r="BO51" i="25" s="1"/>
  <c r="BS51" i="25" s="1"/>
  <c r="BW51" i="25" s="1"/>
  <c r="AG51" i="25"/>
  <c r="P51" i="25"/>
  <c r="AL50" i="25"/>
  <c r="AP50" i="25"/>
  <c r="AT50" i="25"/>
  <c r="AX50" i="25" s="1"/>
  <c r="BB50" i="25" s="1"/>
  <c r="BF50" i="25"/>
  <c r="BJ50" i="25" s="1"/>
  <c r="BN50" i="25" s="1"/>
  <c r="BR50" i="25" s="1"/>
  <c r="BV50" i="25" s="1"/>
  <c r="AI50" i="25"/>
  <c r="P50" i="25"/>
  <c r="AI48" i="25"/>
  <c r="AM48" i="25" s="1"/>
  <c r="AQ48" i="25" s="1"/>
  <c r="AU48" i="25" s="1"/>
  <c r="AY48" i="25" s="1"/>
  <c r="BC48" i="25" s="1"/>
  <c r="P48" i="25"/>
  <c r="AL47" i="25"/>
  <c r="AP47" i="25"/>
  <c r="AT47" i="25"/>
  <c r="AX47" i="25" s="1"/>
  <c r="BB47" i="25" s="1"/>
  <c r="BF47" i="25" s="1"/>
  <c r="BJ47" i="25" s="1"/>
  <c r="BN47" i="25" s="1"/>
  <c r="BR47" i="25" s="1"/>
  <c r="BV47" i="25" s="1"/>
  <c r="AI47" i="25"/>
  <c r="X47" i="25"/>
  <c r="Y47" i="25"/>
  <c r="Z47" i="25" s="1"/>
  <c r="AA47" i="25" s="1"/>
  <c r="AB47" i="25" s="1"/>
  <c r="AC47" i="25" s="1"/>
  <c r="AD47" i="25" s="1"/>
  <c r="AE47" i="25" s="1"/>
  <c r="AF47" i="25"/>
  <c r="AG47" i="25" s="1"/>
  <c r="P47" i="25" s="1"/>
  <c r="AL46" i="25"/>
  <c r="AP46" i="25"/>
  <c r="AT46" i="25"/>
  <c r="AX46" i="25"/>
  <c r="BB46" i="25" s="1"/>
  <c r="BF46" i="25"/>
  <c r="BJ46" i="25" s="1"/>
  <c r="BN46" i="25" s="1"/>
  <c r="BR46" i="25" s="1"/>
  <c r="BV46" i="25" s="1"/>
  <c r="AG46" i="25"/>
  <c r="P46" i="25"/>
  <c r="AL45" i="25"/>
  <c r="AP45" i="25"/>
  <c r="AT45" i="25" s="1"/>
  <c r="AX45" i="25" s="1"/>
  <c r="AG45" i="25"/>
  <c r="P45" i="25"/>
  <c r="AL44" i="25"/>
  <c r="AG44" i="25"/>
  <c r="P44" i="25"/>
  <c r="AL43" i="25"/>
  <c r="AP43" i="25" s="1"/>
  <c r="AT43" i="25" s="1"/>
  <c r="AX43" i="25" s="1"/>
  <c r="BB43" i="25"/>
  <c r="BF43" i="25" s="1"/>
  <c r="BJ43" i="25" s="1"/>
  <c r="BN43" i="25" s="1"/>
  <c r="BR43" i="25" s="1"/>
  <c r="BV43" i="25"/>
  <c r="AG43" i="25"/>
  <c r="P43" i="25" s="1"/>
  <c r="AL42" i="25"/>
  <c r="AG42" i="25"/>
  <c r="P42" i="25"/>
  <c r="AL41" i="25"/>
  <c r="AP41" i="25"/>
  <c r="AG41" i="25"/>
  <c r="P41" i="25" s="1"/>
  <c r="AL40" i="25"/>
  <c r="P40" i="25"/>
  <c r="AI34" i="25"/>
  <c r="AM34" i="25"/>
  <c r="AQ34" i="25" s="1"/>
  <c r="AU34" i="25" s="1"/>
  <c r="AY34" i="25" s="1"/>
  <c r="BC34" i="25" s="1"/>
  <c r="BG34" i="25" s="1"/>
  <c r="BK34" i="25" s="1"/>
  <c r="BO34" i="25" s="1"/>
  <c r="BS34" i="25" s="1"/>
  <c r="BW34" i="25" s="1"/>
  <c r="AH34" i="25"/>
  <c r="X34" i="25"/>
  <c r="Y34" i="25"/>
  <c r="Z34" i="25" s="1"/>
  <c r="P34" i="25"/>
  <c r="AM32" i="25"/>
  <c r="AQ32" i="25"/>
  <c r="AU32" i="25" s="1"/>
  <c r="AY32" i="25" s="1"/>
  <c r="BC32" i="25" s="1"/>
  <c r="BG32" i="25" s="1"/>
  <c r="BK32" i="25" s="1"/>
  <c r="BO32" i="25" s="1"/>
  <c r="BS32" i="25" s="1"/>
  <c r="AH32" i="25"/>
  <c r="AL32" i="25"/>
  <c r="AP32" i="25" s="1"/>
  <c r="AT32" i="25" s="1"/>
  <c r="AX32" i="25" s="1"/>
  <c r="BB32" i="25" s="1"/>
  <c r="BF32" i="25" s="1"/>
  <c r="BJ32" i="25" s="1"/>
  <c r="BN32" i="25"/>
  <c r="BR32" i="25" s="1"/>
  <c r="BV32" i="25" s="1"/>
  <c r="P32" i="25"/>
  <c r="AL29" i="25"/>
  <c r="AP29" i="25"/>
  <c r="AT29" i="25"/>
  <c r="AX29" i="25" s="1"/>
  <c r="BB29" i="25" s="1"/>
  <c r="BF29" i="25" s="1"/>
  <c r="BJ29" i="25" s="1"/>
  <c r="BN29" i="25" s="1"/>
  <c r="BR29" i="25" s="1"/>
  <c r="BV29" i="25" s="1"/>
  <c r="P29" i="25"/>
  <c r="AH28" i="25"/>
  <c r="AL28" i="25" s="1"/>
  <c r="AP28" i="25"/>
  <c r="AT28" i="25" s="1"/>
  <c r="AX28" i="25" s="1"/>
  <c r="BB28" i="25" s="1"/>
  <c r="BF28" i="25" s="1"/>
  <c r="BJ28" i="25" s="1"/>
  <c r="BN28" i="25" s="1"/>
  <c r="BR28" i="25" s="1"/>
  <c r="BV28" i="25" s="1"/>
  <c r="AI28" i="25"/>
  <c r="AM28" i="25" s="1"/>
  <c r="AQ28" i="25" s="1"/>
  <c r="AU28" i="25"/>
  <c r="AY28" i="25" s="1"/>
  <c r="BC28" i="25" s="1"/>
  <c r="BG28" i="25" s="1"/>
  <c r="BK28" i="25" s="1"/>
  <c r="BO28" i="25" s="1"/>
  <c r="BS28" i="25" s="1"/>
  <c r="BW28" i="25" s="1"/>
  <c r="P28" i="25"/>
  <c r="AI27" i="25"/>
  <c r="AM27" i="25"/>
  <c r="AQ27" i="25" s="1"/>
  <c r="AU27" i="25" s="1"/>
  <c r="AY27" i="25"/>
  <c r="BC27" i="25" s="1"/>
  <c r="BG27" i="25" s="1"/>
  <c r="BK27" i="25" s="1"/>
  <c r="BO27" i="25" s="1"/>
  <c r="BS27" i="25" s="1"/>
  <c r="BW27" i="25" s="1"/>
  <c r="AH27" i="25"/>
  <c r="AH26" i="25"/>
  <c r="AL26" i="25" s="1"/>
  <c r="AP26" i="25" s="1"/>
  <c r="AT26" i="25" s="1"/>
  <c r="AX26" i="25" s="1"/>
  <c r="BB26" i="25" s="1"/>
  <c r="BF26" i="25" s="1"/>
  <c r="BJ26" i="25" s="1"/>
  <c r="BN26" i="25" s="1"/>
  <c r="BR26" i="25" s="1"/>
  <c r="BV26" i="25" s="1"/>
  <c r="AI26" i="25"/>
  <c r="P26" i="25"/>
  <c r="AI25" i="25"/>
  <c r="AM25" i="25"/>
  <c r="AQ25" i="25" s="1"/>
  <c r="AU25" i="25" s="1"/>
  <c r="AY25" i="25" s="1"/>
  <c r="BC25" i="25" s="1"/>
  <c r="BG25" i="25" s="1"/>
  <c r="BK25" i="25" s="1"/>
  <c r="BO25" i="25"/>
  <c r="BS25" i="25" s="1"/>
  <c r="BW25" i="25" s="1"/>
  <c r="AH25" i="25"/>
  <c r="AL25" i="25" s="1"/>
  <c r="AP25" i="25" s="1"/>
  <c r="AT25" i="25" s="1"/>
  <c r="AX25" i="25" s="1"/>
  <c r="BB25" i="25" s="1"/>
  <c r="BF25" i="25" s="1"/>
  <c r="BJ25" i="25"/>
  <c r="BN25" i="25" s="1"/>
  <c r="BR25" i="25" s="1"/>
  <c r="BV25" i="25" s="1"/>
  <c r="P25" i="25"/>
  <c r="AH24" i="25"/>
  <c r="AL24" i="25"/>
  <c r="AP24" i="25" s="1"/>
  <c r="AT24" i="25" s="1"/>
  <c r="AX24" i="25" s="1"/>
  <c r="BB24" i="25" s="1"/>
  <c r="BF24" i="25" s="1"/>
  <c r="BJ24" i="25"/>
  <c r="BN24" i="25"/>
  <c r="BR24" i="25" s="1"/>
  <c r="BV24" i="25" s="1"/>
  <c r="AI24" i="25"/>
  <c r="AM24" i="25" s="1"/>
  <c r="AQ24" i="25" s="1"/>
  <c r="AU24" i="25" s="1"/>
  <c r="AY24" i="25" s="1"/>
  <c r="BC24" i="25" s="1"/>
  <c r="BG24" i="25" s="1"/>
  <c r="BK24" i="25" s="1"/>
  <c r="BO24" i="25" s="1"/>
  <c r="BS24" i="25" s="1"/>
  <c r="BW24" i="25" s="1"/>
  <c r="P24" i="25"/>
  <c r="AI23" i="25"/>
  <c r="AM23" i="25"/>
  <c r="AQ23" i="25"/>
  <c r="AU23" i="25"/>
  <c r="AY23" i="25" s="1"/>
  <c r="BC23" i="25"/>
  <c r="BG23" i="25" s="1"/>
  <c r="BK23" i="25" s="1"/>
  <c r="BO23" i="25" s="1"/>
  <c r="BS23" i="25" s="1"/>
  <c r="BW23" i="25" s="1"/>
  <c r="AH23" i="25"/>
  <c r="AL23" i="25"/>
  <c r="AP23" i="25" s="1"/>
  <c r="P23" i="25"/>
  <c r="AL22" i="25"/>
  <c r="AP22" i="25" s="1"/>
  <c r="AT22" i="25" s="1"/>
  <c r="AX22" i="25" s="1"/>
  <c r="BB22" i="25" s="1"/>
  <c r="BF22" i="25" s="1"/>
  <c r="BJ22" i="25" s="1"/>
  <c r="BN22" i="25" s="1"/>
  <c r="BR22" i="25" s="1"/>
  <c r="BV22" i="25" s="1"/>
  <c r="AG22" i="25"/>
  <c r="P22" i="25"/>
  <c r="AL20" i="25"/>
  <c r="AP20" i="25" s="1"/>
  <c r="AI20" i="25"/>
  <c r="AM20" i="25" s="1"/>
  <c r="AQ20" i="25"/>
  <c r="AU20" i="25" s="1"/>
  <c r="AY20" i="25" s="1"/>
  <c r="BC20" i="25"/>
  <c r="BG20" i="25" s="1"/>
  <c r="BK20" i="25"/>
  <c r="BO20" i="25"/>
  <c r="BS20" i="25" s="1"/>
  <c r="BW20" i="25" s="1"/>
  <c r="P20" i="25"/>
  <c r="AL18" i="25"/>
  <c r="AP18" i="25"/>
  <c r="AT18" i="25" s="1"/>
  <c r="AX18" i="25" s="1"/>
  <c r="BB18" i="25" s="1"/>
  <c r="BF18" i="25" s="1"/>
  <c r="BJ18" i="25" s="1"/>
  <c r="BN18" i="25" s="1"/>
  <c r="BR18" i="25" s="1"/>
  <c r="BV18" i="25" s="1"/>
  <c r="AI18" i="25"/>
  <c r="AG18" i="25"/>
  <c r="P18" i="25" s="1"/>
  <c r="AL17" i="25"/>
  <c r="AG17" i="25"/>
  <c r="P17" i="25"/>
  <c r="AL16" i="25"/>
  <c r="AP16" i="25"/>
  <c r="AT16" i="25"/>
  <c r="AX16" i="25" s="1"/>
  <c r="BB16" i="25"/>
  <c r="BF16" i="25"/>
  <c r="BJ16" i="25" s="1"/>
  <c r="BN16" i="25" s="1"/>
  <c r="BR16" i="25" s="1"/>
  <c r="BV16" i="25" s="1"/>
  <c r="P16" i="25"/>
  <c r="AI15" i="25"/>
  <c r="AM15" i="25" s="1"/>
  <c r="AQ15" i="25" s="1"/>
  <c r="AU15" i="25" s="1"/>
  <c r="AY15" i="25" s="1"/>
  <c r="BC15" i="25" s="1"/>
  <c r="BG15" i="25" s="1"/>
  <c r="BK15" i="25" s="1"/>
  <c r="BO15" i="25" s="1"/>
  <c r="BS15" i="25" s="1"/>
  <c r="BW15" i="25" s="1"/>
  <c r="AL15" i="25"/>
  <c r="P15" i="25"/>
  <c r="AL14" i="25"/>
  <c r="AP14" i="25"/>
  <c r="AT14" i="25" s="1"/>
  <c r="AX14" i="25" s="1"/>
  <c r="BB14" i="25" s="1"/>
  <c r="BF14" i="25" s="1"/>
  <c r="BJ14" i="25" s="1"/>
  <c r="BN14" i="25" s="1"/>
  <c r="BR14" i="25" s="1"/>
  <c r="BV14" i="25" s="1"/>
  <c r="AG14" i="25"/>
  <c r="P14" i="25"/>
  <c r="AH12" i="25"/>
  <c r="AL12" i="25"/>
  <c r="AP12" i="25" s="1"/>
  <c r="AT12" i="25" s="1"/>
  <c r="AX12" i="25"/>
  <c r="BB12" i="25" s="1"/>
  <c r="BF12" i="25"/>
  <c r="BJ12" i="25" s="1"/>
  <c r="P12" i="25"/>
  <c r="AH11" i="25"/>
  <c r="P11" i="25"/>
  <c r="AL10" i="25"/>
  <c r="AP10" i="25"/>
  <c r="AT10" i="25"/>
  <c r="AX10" i="25" s="1"/>
  <c r="BB10" i="25" s="1"/>
  <c r="BF10" i="25" s="1"/>
  <c r="BJ10" i="25" s="1"/>
  <c r="BN10" i="25" s="1"/>
  <c r="BR10" i="25"/>
  <c r="BV10" i="25" s="1"/>
  <c r="AG10" i="25"/>
  <c r="P10" i="25"/>
  <c r="AL8" i="25"/>
  <c r="AP8" i="25"/>
  <c r="AT8" i="25"/>
  <c r="AX8" i="25" s="1"/>
  <c r="BB8" i="25"/>
  <c r="BF8" i="25"/>
  <c r="BJ8" i="25" s="1"/>
  <c r="BN8" i="25" s="1"/>
  <c r="BR8" i="25" s="1"/>
  <c r="BV8" i="25" s="1"/>
  <c r="P8" i="25"/>
  <c r="J8" i="25"/>
  <c r="AC76" i="23"/>
  <c r="AC74" i="23"/>
  <c r="AC71" i="23"/>
  <c r="AC69" i="23"/>
  <c r="AC68" i="23"/>
  <c r="AC67" i="23"/>
  <c r="AC66" i="23"/>
  <c r="AC65" i="23"/>
  <c r="AC64" i="23"/>
  <c r="AC61" i="23"/>
  <c r="AC58" i="23"/>
  <c r="AC54" i="23"/>
  <c r="AC52" i="23"/>
  <c r="AC51" i="23"/>
  <c r="AC50" i="23"/>
  <c r="AC49" i="23"/>
  <c r="AC48" i="23"/>
  <c r="AC43" i="23"/>
  <c r="AC37" i="23"/>
  <c r="AC36" i="23"/>
  <c r="AC32" i="23"/>
  <c r="AC26" i="23"/>
  <c r="AC20" i="23"/>
  <c r="AC18" i="23"/>
  <c r="AC16" i="23"/>
  <c r="AC15" i="23"/>
  <c r="AC12" i="23"/>
  <c r="AC11" i="23"/>
  <c r="AC9" i="23"/>
  <c r="AA107" i="24"/>
  <c r="AA106" i="24"/>
  <c r="AA105" i="24"/>
  <c r="AA102" i="24"/>
  <c r="AA92" i="24"/>
  <c r="AA87" i="24"/>
  <c r="AA85" i="24"/>
  <c r="AA83" i="24"/>
  <c r="AA78" i="24"/>
  <c r="AA77" i="24"/>
  <c r="AA72" i="24"/>
  <c r="AA69" i="24"/>
  <c r="AA68" i="24"/>
  <c r="AA65" i="24"/>
  <c r="AA61" i="24"/>
  <c r="AA60" i="24"/>
  <c r="AA55" i="24"/>
  <c r="AA52" i="24"/>
  <c r="AA51" i="24"/>
  <c r="AA50" i="24"/>
  <c r="AA45" i="24"/>
  <c r="AA44" i="24"/>
  <c r="AA42" i="24"/>
  <c r="AA40" i="24"/>
  <c r="AA35" i="24"/>
  <c r="AA34" i="24"/>
  <c r="AA31" i="24"/>
  <c r="AA29" i="24"/>
  <c r="AA28" i="24"/>
  <c r="AA24" i="24"/>
  <c r="AA23" i="24"/>
  <c r="AA21" i="24"/>
  <c r="AA17" i="24"/>
  <c r="AA15" i="24"/>
  <c r="AA14" i="24"/>
  <c r="AA13" i="24"/>
  <c r="AA12" i="24"/>
  <c r="AA11" i="24"/>
  <c r="AA9" i="24"/>
  <c r="Z100" i="3"/>
  <c r="AP95" i="3"/>
  <c r="Z95" i="3"/>
  <c r="Z93" i="3"/>
  <c r="AP91" i="3"/>
  <c r="Z91" i="3"/>
  <c r="Z86" i="3"/>
  <c r="Z85" i="3"/>
  <c r="AK83" i="3"/>
  <c r="AG83" i="3"/>
  <c r="AF83" i="3"/>
  <c r="AE83" i="3"/>
  <c r="AD83" i="3"/>
  <c r="AA83" i="3"/>
  <c r="Z83" i="3"/>
  <c r="AK81" i="3"/>
  <c r="AG81" i="3"/>
  <c r="AF81" i="3"/>
  <c r="AE81" i="3"/>
  <c r="AD81" i="3"/>
  <c r="AA81" i="3"/>
  <c r="Z81" i="3"/>
  <c r="AG184" i="6"/>
  <c r="AF184" i="6"/>
  <c r="AS181" i="6"/>
  <c r="AR181" i="6"/>
  <c r="AM181" i="6"/>
  <c r="AL181" i="6"/>
  <c r="AK181" i="6"/>
  <c r="AJ181" i="6"/>
  <c r="AF178" i="6"/>
  <c r="AF170" i="6"/>
  <c r="AH165" i="6"/>
  <c r="AG165" i="6"/>
  <c r="AF165" i="6"/>
  <c r="AF154" i="6"/>
  <c r="AH144" i="6"/>
  <c r="AG144" i="6"/>
  <c r="AF144" i="6"/>
  <c r="AN105" i="6"/>
  <c r="AK105" i="6"/>
  <c r="AH105" i="6"/>
  <c r="AG105" i="6"/>
  <c r="AF105" i="6"/>
  <c r="AW104" i="6"/>
  <c r="AN104" i="6"/>
  <c r="AH104" i="6"/>
  <c r="AG104" i="6"/>
  <c r="AF104" i="6"/>
  <c r="AH101" i="6"/>
  <c r="AG101" i="6"/>
  <c r="AF101" i="6"/>
  <c r="AB101" i="6"/>
  <c r="AH100" i="6"/>
  <c r="AG100" i="6"/>
  <c r="AF100" i="6"/>
  <c r="AW98" i="6"/>
  <c r="AL98" i="6"/>
  <c r="AH98" i="6"/>
  <c r="AG98" i="6"/>
  <c r="AF98" i="6"/>
  <c r="AG77" i="6"/>
  <c r="AF77" i="6"/>
  <c r="AB58" i="6"/>
  <c r="AH42" i="6"/>
  <c r="AG42" i="6"/>
  <c r="AF42" i="6"/>
  <c r="AB42" i="6"/>
  <c r="AE152" i="8"/>
  <c r="AE149" i="8"/>
  <c r="AE136" i="8"/>
  <c r="AA79" i="8"/>
  <c r="AE62" i="8"/>
  <c r="AE58" i="8"/>
  <c r="AE55" i="8"/>
  <c r="AE54" i="8"/>
  <c r="AE52" i="8"/>
  <c r="AE47" i="8"/>
  <c r="AE45" i="8"/>
  <c r="AE42" i="8"/>
  <c r="AE41" i="8"/>
  <c r="AE35" i="8"/>
  <c r="AE30" i="8"/>
  <c r="AU27" i="8"/>
  <c r="AE27" i="8"/>
  <c r="AE20" i="8"/>
  <c r="BO98" i="9"/>
  <c r="V98" i="9"/>
  <c r="V96" i="9"/>
  <c r="V94" i="9"/>
  <c r="V93" i="9"/>
  <c r="R93" i="9"/>
  <c r="V91" i="9"/>
  <c r="V87" i="9"/>
  <c r="V86" i="9"/>
  <c r="V79" i="9"/>
  <c r="V76" i="9"/>
  <c r="AH46" i="9"/>
  <c r="AG46" i="9"/>
  <c r="AB46" i="9"/>
  <c r="AA46" i="9"/>
  <c r="Z46" i="9"/>
  <c r="W46" i="9"/>
  <c r="V46" i="9"/>
  <c r="R41" i="9"/>
  <c r="AV40" i="9"/>
  <c r="R40" i="9"/>
  <c r="V36" i="9"/>
  <c r="V35" i="9"/>
  <c r="AB31" i="9"/>
  <c r="AA31" i="9"/>
  <c r="Z31" i="9"/>
  <c r="W31" i="9"/>
  <c r="V31" i="9"/>
  <c r="U31" i="9"/>
  <c r="AL16" i="9"/>
  <c r="AH16" i="9"/>
  <c r="AG16" i="9"/>
  <c r="AB16" i="9"/>
  <c r="AA16" i="9"/>
  <c r="Z16" i="9"/>
  <c r="X16" i="9"/>
  <c r="V16" i="9"/>
  <c r="AT13" i="9"/>
  <c r="AH13" i="9"/>
  <c r="AG13" i="9"/>
  <c r="AB13" i="9"/>
  <c r="AA13" i="9"/>
  <c r="Z13" i="9"/>
  <c r="X13" i="9"/>
  <c r="W13" i="9"/>
  <c r="AH11" i="9"/>
  <c r="AB11" i="9"/>
  <c r="AA11" i="9"/>
  <c r="Z11" i="9"/>
  <c r="W11" i="9"/>
  <c r="V11" i="9"/>
  <c r="Q51" i="15"/>
  <c r="Q37" i="15"/>
  <c r="U29" i="15"/>
  <c r="N23" i="15"/>
  <c r="G23" i="15"/>
  <c r="Q20" i="15"/>
  <c r="Q16" i="15"/>
  <c r="Q15" i="15"/>
  <c r="N11" i="15"/>
  <c r="V5" i="15"/>
  <c r="X93" i="21"/>
  <c r="X92" i="21"/>
  <c r="X90" i="21"/>
  <c r="X89" i="21"/>
  <c r="T89" i="21"/>
  <c r="X88" i="21"/>
  <c r="T88" i="21"/>
  <c r="AA87" i="21"/>
  <c r="Z87" i="21"/>
  <c r="Y87" i="21"/>
  <c r="X87" i="21" s="1"/>
  <c r="X86" i="21"/>
  <c r="T86" i="21"/>
  <c r="AV85" i="21"/>
  <c r="X85" i="21"/>
  <c r="AA84" i="21"/>
  <c r="Z84" i="21"/>
  <c r="Y84" i="21"/>
  <c r="X83" i="21"/>
  <c r="X82" i="21"/>
  <c r="X81" i="21"/>
  <c r="X80" i="21"/>
  <c r="AA78" i="21"/>
  <c r="Z78" i="21"/>
  <c r="Y78" i="21"/>
  <c r="X77" i="21"/>
  <c r="AB73" i="21"/>
  <c r="AB72" i="21"/>
  <c r="AB71" i="21"/>
  <c r="X70" i="21"/>
  <c r="T70" i="21"/>
  <c r="X69" i="21"/>
  <c r="T69" i="21"/>
  <c r="X59" i="21"/>
  <c r="T59" i="21"/>
  <c r="X58" i="21"/>
  <c r="T58" i="21"/>
  <c r="X57" i="21"/>
  <c r="X56" i="21"/>
  <c r="AB55" i="21"/>
  <c r="X55" i="21"/>
  <c r="AB54" i="21"/>
  <c r="X54" i="21"/>
  <c r="AB53" i="21"/>
  <c r="X53" i="21"/>
  <c r="X23" i="21"/>
  <c r="T19" i="21"/>
  <c r="X17" i="21"/>
  <c r="X16" i="21"/>
  <c r="T16" i="21"/>
  <c r="X15" i="21"/>
  <c r="T15" i="21"/>
  <c r="X14" i="21"/>
  <c r="T14" i="21"/>
  <c r="AV13" i="21"/>
  <c r="AJ13" i="21"/>
  <c r="AA13" i="21"/>
  <c r="Z13" i="21"/>
  <c r="Y13" i="21"/>
  <c r="T13" i="21"/>
  <c r="X9" i="21"/>
  <c r="Q38" i="10"/>
  <c r="P29" i="10"/>
  <c r="P27" i="10"/>
  <c r="P26" i="10"/>
  <c r="T24" i="10"/>
  <c r="P24" i="10" s="1"/>
  <c r="AF21" i="10"/>
  <c r="P21" i="10"/>
  <c r="AG15" i="10"/>
  <c r="Q15" i="10"/>
  <c r="P14" i="10"/>
  <c r="Q13" i="10"/>
  <c r="P13" i="10"/>
  <c r="AC9" i="10"/>
  <c r="AB9" i="10"/>
  <c r="V9" i="10"/>
  <c r="U9" i="10"/>
  <c r="T9" i="10"/>
  <c r="P9" i="10"/>
  <c r="Q6" i="10"/>
  <c r="P6" i="10"/>
  <c r="AA92" i="22"/>
  <c r="AL79" i="22"/>
  <c r="AL94" i="22" s="1"/>
  <c r="AN48" i="36" s="1"/>
  <c r="Z79" i="22"/>
  <c r="Z78" i="22"/>
  <c r="Z68" i="22"/>
  <c r="Z65" i="22"/>
  <c r="AH61" i="22"/>
  <c r="AI53" i="22"/>
  <c r="Z53" i="22"/>
  <c r="Z51" i="22"/>
  <c r="Z47" i="22"/>
  <c r="AI46" i="22"/>
  <c r="Z46" i="22"/>
  <c r="Z40" i="22"/>
  <c r="Z36" i="22"/>
  <c r="Z32" i="22"/>
  <c r="Z27" i="22"/>
  <c r="Z25" i="22"/>
  <c r="Z23" i="22"/>
  <c r="Z22" i="22"/>
  <c r="Z18" i="22"/>
  <c r="Z12" i="22"/>
  <c r="Z5" i="22"/>
  <c r="P45" i="5"/>
  <c r="L45" i="5"/>
  <c r="P42" i="5"/>
  <c r="T41" i="5"/>
  <c r="P41" i="5"/>
  <c r="Q35" i="5"/>
  <c r="P35" i="5"/>
  <c r="Q33" i="5"/>
  <c r="P33" i="5"/>
  <c r="L25" i="5"/>
  <c r="AK32" i="20"/>
  <c r="AI30" i="20"/>
  <c r="AH30" i="20"/>
  <c r="AG30" i="20"/>
  <c r="AF30" i="20"/>
  <c r="AC30" i="20"/>
  <c r="AA30" i="20"/>
  <c r="Y30" i="20"/>
  <c r="W30" i="20"/>
  <c r="S30" i="20"/>
  <c r="Q30" i="20"/>
  <c r="O30" i="20"/>
  <c r="L30" i="20"/>
  <c r="H30" i="20"/>
  <c r="G30" i="20"/>
  <c r="AK28" i="20"/>
  <c r="AK27" i="20"/>
  <c r="AK26" i="20"/>
  <c r="AK25" i="20"/>
  <c r="AK24" i="20"/>
  <c r="AK23" i="20"/>
  <c r="AK22" i="20"/>
  <c r="AK21" i="20"/>
  <c r="AK20" i="20"/>
  <c r="AK19" i="20"/>
  <c r="AK18" i="20"/>
  <c r="AK17" i="20"/>
  <c r="AK16" i="20"/>
  <c r="AK15" i="20"/>
  <c r="AK14" i="20"/>
  <c r="AK13" i="20"/>
  <c r="AK12" i="20"/>
  <c r="AK11" i="20"/>
  <c r="AK10" i="20"/>
  <c r="AK9" i="20"/>
  <c r="AK8" i="20"/>
  <c r="AK7" i="20"/>
  <c r="AK5" i="20"/>
  <c r="V13" i="9"/>
  <c r="AH94" i="22"/>
  <c r="AX79" i="22"/>
  <c r="AK30" i="20"/>
  <c r="X84" i="21"/>
  <c r="X78" i="21"/>
  <c r="X13" i="21"/>
  <c r="AF24" i="10"/>
  <c r="BB45" i="25"/>
  <c r="BF45" i="25"/>
  <c r="BJ45" i="25" s="1"/>
  <c r="BN45" i="25" s="1"/>
  <c r="BR45" i="25" s="1"/>
  <c r="BV45" i="25" s="1"/>
  <c r="BF61" i="25"/>
  <c r="BJ61" i="25" s="1"/>
  <c r="BN61" i="25"/>
  <c r="BR61" i="25" s="1"/>
  <c r="BV61" i="25" s="1"/>
  <c r="AL11" i="25"/>
  <c r="AP11" i="25" s="1"/>
  <c r="AT11" i="25"/>
  <c r="AX11" i="25"/>
  <c r="BB11" i="25" s="1"/>
  <c r="BF11" i="25"/>
  <c r="BJ11" i="25"/>
  <c r="BN11" i="25" s="1"/>
  <c r="AT20" i="25"/>
  <c r="AX20" i="25"/>
  <c r="BB20" i="25"/>
  <c r="BF20" i="25"/>
  <c r="BJ20" i="25" s="1"/>
  <c r="BN20" i="25" s="1"/>
  <c r="BR20" i="25" s="1"/>
  <c r="BV20" i="25" s="1"/>
  <c r="AM26" i="25"/>
  <c r="AQ26" i="25" s="1"/>
  <c r="AU26" i="25" s="1"/>
  <c r="AP15" i="25"/>
  <c r="AT15" i="25" s="1"/>
  <c r="AX15" i="25" s="1"/>
  <c r="BB15" i="25" s="1"/>
  <c r="BF15" i="25" s="1"/>
  <c r="BJ15" i="25" s="1"/>
  <c r="BN15" i="25" s="1"/>
  <c r="BR15" i="25" s="1"/>
  <c r="BV15" i="25" s="1"/>
  <c r="BZ16" i="25"/>
  <c r="AM18" i="25"/>
  <c r="AQ18" i="25" s="1"/>
  <c r="AP44" i="25"/>
  <c r="AT44" i="25"/>
  <c r="AX44" i="25"/>
  <c r="BB44" i="25" s="1"/>
  <c r="BF44" i="25"/>
  <c r="BJ44" i="25"/>
  <c r="BN44" i="25" s="1"/>
  <c r="BR44" i="25" s="1"/>
  <c r="BV44" i="25" s="1"/>
  <c r="AM50" i="25"/>
  <c r="AQ50" i="25"/>
  <c r="AU50" i="25" s="1"/>
  <c r="AY50" i="25"/>
  <c r="BC50" i="25"/>
  <c r="BG50" i="25"/>
  <c r="BK50" i="25" s="1"/>
  <c r="BO50" i="25" s="1"/>
  <c r="BS50" i="25" s="1"/>
  <c r="BW50" i="25" s="1"/>
  <c r="AT68" i="25"/>
  <c r="AX68" i="25"/>
  <c r="BB68" i="25" s="1"/>
  <c r="BF68" i="25" s="1"/>
  <c r="BJ68" i="25" s="1"/>
  <c r="BN68" i="25" s="1"/>
  <c r="BR68" i="25" s="1"/>
  <c r="BV68" i="25" s="1"/>
  <c r="AL83" i="25"/>
  <c r="AP83" i="25" s="1"/>
  <c r="AT83" i="25"/>
  <c r="AX83" i="25" s="1"/>
  <c r="BB83" i="25" s="1"/>
  <c r="BF83" i="25" s="1"/>
  <c r="BJ83" i="25" s="1"/>
  <c r="BN83" i="25" s="1"/>
  <c r="BR83" i="25" s="1"/>
  <c r="BV83" i="25" s="1"/>
  <c r="BZ46" i="25"/>
  <c r="AL70" i="25"/>
  <c r="AP70" i="25" s="1"/>
  <c r="AT70" i="25"/>
  <c r="BZ70" i="25" s="1"/>
  <c r="AX70" i="25"/>
  <c r="BB70" i="25" s="1"/>
  <c r="BF70" i="25" s="1"/>
  <c r="BJ70" i="25" s="1"/>
  <c r="BN70" i="25" s="1"/>
  <c r="BR70" i="25" s="1"/>
  <c r="BV70" i="25" s="1"/>
  <c r="BZ73" i="25"/>
  <c r="AL34" i="25"/>
  <c r="AP34" i="25"/>
  <c r="AT34" i="25" s="1"/>
  <c r="AX34" i="25" s="1"/>
  <c r="BB34" i="25" s="1"/>
  <c r="BF34" i="25" s="1"/>
  <c r="BJ34" i="25" s="1"/>
  <c r="BN34" i="25" s="1"/>
  <c r="BR34" i="25" s="1"/>
  <c r="BV34" i="25" s="1"/>
  <c r="AM47" i="25"/>
  <c r="AQ47" i="25" s="1"/>
  <c r="AU47" i="25" s="1"/>
  <c r="AY47" i="25" s="1"/>
  <c r="BC47" i="25" s="1"/>
  <c r="BG47" i="25" s="1"/>
  <c r="BK47" i="25" s="1"/>
  <c r="BO47" i="25" s="1"/>
  <c r="BS47" i="25" s="1"/>
  <c r="BW47" i="25" s="1"/>
  <c r="AP53" i="25"/>
  <c r="AT53" i="25" s="1"/>
  <c r="AX53" i="25" s="1"/>
  <c r="AP40" i="25"/>
  <c r="AT40" i="25"/>
  <c r="AX40" i="25" s="1"/>
  <c r="BB40" i="25" s="1"/>
  <c r="BF40" i="25" s="1"/>
  <c r="BJ40" i="25" s="1"/>
  <c r="BN40" i="25" s="1"/>
  <c r="BR40" i="25" s="1"/>
  <c r="BV40" i="25" s="1"/>
  <c r="AT41" i="25"/>
  <c r="AX41" i="25" s="1"/>
  <c r="BB41" i="25" s="1"/>
  <c r="BF41" i="25" s="1"/>
  <c r="BJ41" i="25" s="1"/>
  <c r="BN41" i="25" s="1"/>
  <c r="BR41" i="25" s="1"/>
  <c r="BV41" i="25" s="1"/>
  <c r="BZ43" i="25"/>
  <c r="BZ59" i="25"/>
  <c r="AL72" i="25"/>
  <c r="AP72" i="25"/>
  <c r="AT72" i="25"/>
  <c r="AX72" i="25"/>
  <c r="BB72" i="25" s="1"/>
  <c r="BF72" i="25"/>
  <c r="BJ72" i="25" s="1"/>
  <c r="BN72" i="25" s="1"/>
  <c r="BR72" i="25" s="1"/>
  <c r="BV72" i="25" s="1"/>
  <c r="AT54" i="25"/>
  <c r="AX54" i="25"/>
  <c r="BB54" i="25" s="1"/>
  <c r="BF54" i="25"/>
  <c r="BJ54" i="25"/>
  <c r="BN54" i="25" s="1"/>
  <c r="BR54" i="25" s="1"/>
  <c r="BV54" i="25" s="1"/>
  <c r="AL76" i="25"/>
  <c r="AP76" i="25"/>
  <c r="BZ76" i="25" s="1"/>
  <c r="AT76" i="25"/>
  <c r="AX76" i="25" s="1"/>
  <c r="BB76" i="25" s="1"/>
  <c r="BF76" i="25" s="1"/>
  <c r="BJ76" i="25" s="1"/>
  <c r="BN76" i="25" s="1"/>
  <c r="BR76" i="25" s="1"/>
  <c r="BV76" i="25" s="1"/>
  <c r="AP80" i="25"/>
  <c r="BZ65" i="25"/>
  <c r="BZ77" i="25"/>
  <c r="AT82" i="25"/>
  <c r="AX82" i="25" s="1"/>
  <c r="BB82" i="25" s="1"/>
  <c r="BF82" i="25" s="1"/>
  <c r="BJ82" i="25" s="1"/>
  <c r="BN82" i="25" s="1"/>
  <c r="BR82" i="25" s="1"/>
  <c r="BV82" i="25" s="1"/>
  <c r="U24" i="10"/>
  <c r="BR30" i="15" l="1"/>
  <c r="BR65" i="15"/>
  <c r="BN12" i="25"/>
  <c r="BR12" i="25" s="1"/>
  <c r="BV12" i="25" s="1"/>
  <c r="AU18" i="25"/>
  <c r="AY18" i="25" s="1"/>
  <c r="BC18" i="25" s="1"/>
  <c r="BG18" i="25" s="1"/>
  <c r="BK18" i="25" s="1"/>
  <c r="BO18" i="25" s="1"/>
  <c r="BS18" i="25" s="1"/>
  <c r="BW18" i="25" s="1"/>
  <c r="BR11" i="25"/>
  <c r="BV11" i="25" s="1"/>
  <c r="BZ11" i="25"/>
  <c r="BZ80" i="25"/>
  <c r="BB53" i="25"/>
  <c r="BF53" i="25" s="1"/>
  <c r="BJ53" i="25" s="1"/>
  <c r="BN53" i="25" s="1"/>
  <c r="BR53" i="25" s="1"/>
  <c r="BV53" i="25" s="1"/>
  <c r="BW32" i="25"/>
  <c r="BZ32" i="25"/>
  <c r="AY26" i="25"/>
  <c r="BC26" i="25" s="1"/>
  <c r="BG26" i="25" s="1"/>
  <c r="BK26" i="25" s="1"/>
  <c r="BO26" i="25" s="1"/>
  <c r="BS26" i="25" s="1"/>
  <c r="BW26" i="25" s="1"/>
  <c r="BG48" i="25"/>
  <c r="BK48" i="25" s="1"/>
  <c r="BO48" i="25" s="1"/>
  <c r="BS48" i="25" s="1"/>
  <c r="BW48" i="25" s="1"/>
  <c r="BZ48" i="25"/>
  <c r="BZ20" i="25"/>
  <c r="AT23" i="25"/>
  <c r="AX23" i="25" s="1"/>
  <c r="BB23" i="25" s="1"/>
  <c r="BF23" i="25" s="1"/>
  <c r="BJ23" i="25" s="1"/>
  <c r="BN23" i="25" s="1"/>
  <c r="BR23" i="25" s="1"/>
  <c r="BV23" i="25" s="1"/>
  <c r="BZ23" i="25"/>
  <c r="BZ54" i="25"/>
  <c r="BZ34" i="25"/>
  <c r="BZ44" i="25"/>
  <c r="AP75" i="25"/>
  <c r="AT75" i="25" s="1"/>
  <c r="AX75" i="25" s="1"/>
  <c r="BB75" i="25" s="1"/>
  <c r="BF75" i="25" s="1"/>
  <c r="BJ75" i="25" s="1"/>
  <c r="BN75" i="25" s="1"/>
  <c r="BR75" i="25" s="1"/>
  <c r="BV75" i="25" s="1"/>
  <c r="BZ75" i="25" s="1"/>
  <c r="BZ41" i="25"/>
  <c r="BZ15" i="25"/>
  <c r="BZ66" i="25"/>
  <c r="AT80" i="25"/>
  <c r="AX80" i="25" s="1"/>
  <c r="BB80" i="25" s="1"/>
  <c r="BF80" i="25" s="1"/>
  <c r="BJ80" i="25" s="1"/>
  <c r="BN80" i="25" s="1"/>
  <c r="BR80" i="25" s="1"/>
  <c r="BV80" i="25" s="1"/>
  <c r="BZ47" i="25"/>
  <c r="AP17" i="25"/>
  <c r="AT17" i="25" s="1"/>
  <c r="AX17" i="25" s="1"/>
  <c r="BB17" i="25" s="1"/>
  <c r="BF17" i="25" s="1"/>
  <c r="BJ17" i="25" s="1"/>
  <c r="BN17" i="25" s="1"/>
  <c r="BR17" i="25" s="1"/>
  <c r="BV17" i="25" s="1"/>
  <c r="AL27" i="25"/>
  <c r="AP27" i="25" s="1"/>
  <c r="AT27" i="25" s="1"/>
  <c r="AX27" i="25" s="1"/>
  <c r="BB27" i="25" s="1"/>
  <c r="BF27" i="25" s="1"/>
  <c r="BJ27" i="25" s="1"/>
  <c r="BN27" i="25" s="1"/>
  <c r="BR27" i="25" s="1"/>
  <c r="BV27" i="25" s="1"/>
  <c r="BZ24" i="25"/>
  <c r="BZ68" i="25"/>
  <c r="BZ51" i="25"/>
  <c r="D33" i="31"/>
  <c r="D28" i="31"/>
  <c r="D17" i="31"/>
  <c r="D40" i="31"/>
  <c r="D38" i="31"/>
  <c r="D41" i="31"/>
  <c r="D39" i="31"/>
  <c r="D27" i="31"/>
  <c r="D29" i="31"/>
  <c r="D42" i="31"/>
  <c r="D35" i="31"/>
  <c r="D12" i="31"/>
  <c r="D18" i="31"/>
  <c r="D8" i="31"/>
  <c r="D26" i="31"/>
  <c r="D37" i="31"/>
  <c r="BZ8" i="25"/>
  <c r="BG35" i="10"/>
  <c r="BZ25" i="25"/>
  <c r="BZ22" i="25"/>
  <c r="BZ14" i="25"/>
  <c r="BZ40" i="25"/>
  <c r="BZ63" i="25"/>
  <c r="BZ10" i="25"/>
  <c r="BK40" i="9"/>
  <c r="BJ102" i="9"/>
  <c r="BZ83" i="25"/>
  <c r="BZ72" i="25"/>
  <c r="BZ67" i="25"/>
  <c r="BZ82" i="25"/>
  <c r="BZ62" i="25"/>
  <c r="BZ55" i="25"/>
  <c r="BZ50" i="25"/>
  <c r="W192" i="29"/>
  <c r="BR50" i="3"/>
  <c r="BZ45" i="25"/>
  <c r="BZ61" i="25"/>
  <c r="BZ29" i="25"/>
  <c r="BZ57" i="25"/>
  <c r="D24" i="31"/>
  <c r="CM95" i="21"/>
  <c r="BU5" i="11"/>
  <c r="BY89" i="11"/>
  <c r="AT60" i="25"/>
  <c r="AX60" i="25" s="1"/>
  <c r="BB60" i="25" s="1"/>
  <c r="BF60" i="25" s="1"/>
  <c r="BJ60" i="25" s="1"/>
  <c r="BN60" i="25" s="1"/>
  <c r="BR60" i="25" s="1"/>
  <c r="BV60" i="25" s="1"/>
  <c r="BZ85" i="25"/>
  <c r="D30" i="20"/>
  <c r="BZ28" i="25"/>
  <c r="AP42" i="25"/>
  <c r="AT42" i="25" s="1"/>
  <c r="AX42" i="25" s="1"/>
  <c r="BB42" i="25" s="1"/>
  <c r="BF42" i="25" s="1"/>
  <c r="BJ42" i="25" s="1"/>
  <c r="BN42" i="25" s="1"/>
  <c r="BR42" i="25" s="1"/>
  <c r="BV42" i="25" s="1"/>
  <c r="BZ42" i="25" s="1"/>
  <c r="BR64" i="3"/>
  <c r="D23" i="31"/>
  <c r="D34" i="31"/>
  <c r="C32" i="20"/>
  <c r="BK45" i="10"/>
  <c r="BS18" i="14"/>
  <c r="BN5" i="15"/>
  <c r="BX97" i="6"/>
  <c r="D25" i="31"/>
  <c r="BZ26" i="25" l="1"/>
  <c r="BZ27" i="25"/>
  <c r="BZ17" i="25"/>
  <c r="BZ18" i="25"/>
  <c r="BZ60" i="25"/>
  <c r="AN47" i="36"/>
  <c r="BZ12" i="25"/>
  <c r="BZ87" i="25" s="1"/>
  <c r="BZ53"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Usuario</author>
  </authors>
  <commentList>
    <comment ref="L2" authorId="0" shapeId="0" xr:uid="{00000000-0006-0000-02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M2" authorId="0" shapeId="0" xr:uid="{00000000-0006-0000-0200-000002000000}">
      <text>
        <r>
          <rPr>
            <b/>
            <sz val="12"/>
            <color indexed="81"/>
            <rFont val="Tahoma"/>
            <family val="2"/>
          </rPr>
          <t xml:space="preserve">Comente como desarrollo la acción de la Política Pública por medio de actividades, describiendo el Lugar, Temas desarrollados, etc. </t>
        </r>
      </text>
    </comment>
    <comment ref="N2" authorId="0" shapeId="0" xr:uid="{00000000-0006-0000-0200-000003000000}">
      <text>
        <r>
          <rPr>
            <b/>
            <sz val="12"/>
            <color indexed="81"/>
            <rFont val="Tahoma"/>
            <family val="2"/>
          </rPr>
          <t>Describa que evidencias reposan en el desarrollo de la acción, contratos, actas, fotos, registros de asistencia, informes, documentos, videos, etc</t>
        </r>
      </text>
    </comment>
    <comment ref="O2" authorId="0" shapeId="0" xr:uid="{00000000-0006-0000-0200-000004000000}">
      <text>
        <r>
          <rPr>
            <b/>
            <sz val="12"/>
            <color indexed="81"/>
            <rFont val="Tahoma"/>
            <family val="2"/>
          </rPr>
          <t xml:space="preserve">Comente que problemas, necesidades, aciertos y/o recomendacion se cuentan en el desarrollo de la acción. </t>
        </r>
      </text>
    </comment>
    <comment ref="AY2" authorId="0" shapeId="0" xr:uid="{00000000-0006-0000-0200-000005000000}">
      <text>
        <r>
          <rPr>
            <b/>
            <sz val="9"/>
            <color indexed="81"/>
            <rFont val="Tahoma"/>
            <family val="2"/>
          </rPr>
          <t>La Sección de Matriz de Focalización de Recursos Ecosistémicos se diligencia cuando la acción va dirigida a un Recurso Natural, Fauna y Flora.</t>
        </r>
      </text>
    </comment>
    <comment ref="BD2" authorId="0" shapeId="0" xr:uid="{00000000-0006-0000-0200-000006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BE2" authorId="0" shapeId="0" xr:uid="{00000000-0006-0000-0200-000007000000}">
      <text>
        <r>
          <rPr>
            <b/>
            <sz val="12"/>
            <color indexed="81"/>
            <rFont val="Tahoma"/>
            <family val="2"/>
          </rPr>
          <t xml:space="preserve">Comente como desarrollo la acción de la Política Pública por medio de actividades, describiendo el Lugar, Temas desarrollados, etc. </t>
        </r>
      </text>
    </comment>
    <comment ref="BF2" authorId="0" shapeId="0" xr:uid="{00000000-0006-0000-0200-000008000000}">
      <text>
        <r>
          <rPr>
            <b/>
            <sz val="12"/>
            <color indexed="81"/>
            <rFont val="Tahoma"/>
            <family val="2"/>
          </rPr>
          <t>Describa que evidencias reposan en el desarrollo de la acción, contratos, actas, fotos, registros de asistencia, informes, documentos, videos, etc</t>
        </r>
      </text>
    </comment>
    <comment ref="BG2" authorId="0" shapeId="0" xr:uid="{00000000-0006-0000-0200-000009000000}">
      <text>
        <r>
          <rPr>
            <b/>
            <sz val="12"/>
            <color indexed="81"/>
            <rFont val="Tahoma"/>
            <family val="2"/>
          </rPr>
          <t xml:space="preserve">Comente que problemas, necesidades, aciertos y/o recomendacion se cuentan en el desarrollo de la acción. </t>
        </r>
      </text>
    </comment>
    <comment ref="CQ2" authorId="0" shapeId="0" xr:uid="{00000000-0006-0000-0200-00000A000000}">
      <text>
        <r>
          <rPr>
            <b/>
            <sz val="9"/>
            <color indexed="81"/>
            <rFont val="Tahoma"/>
            <family val="2"/>
          </rPr>
          <t>La Sección de Matriz de Focalización de Recursos Ecosistémicos se diligencia cuando la acción va dirigida a un Recurso Natural, Fauna y Flora.</t>
        </r>
      </text>
    </comment>
    <comment ref="P3" authorId="0" shapeId="0" xr:uid="{00000000-0006-0000-0200-00000B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Q3" authorId="0" shapeId="0" xr:uid="{00000000-0006-0000-0200-00000C000000}">
      <text>
        <r>
          <rPr>
            <b/>
            <sz val="12"/>
            <color indexed="81"/>
            <rFont val="Tahoma"/>
            <family val="2"/>
          </rPr>
          <t>Detalle la cantidad de recursos invertidos del fondo de recursos propios (presupuestos corrientes del Municipio de Pereira)</t>
        </r>
      </text>
    </comment>
    <comment ref="R3" authorId="0" shapeId="0" xr:uid="{00000000-0006-0000-0200-00000D000000}">
      <text>
        <r>
          <rPr>
            <b/>
            <sz val="12"/>
            <color indexed="81"/>
            <rFont val="Tahoma"/>
            <family val="2"/>
          </rPr>
          <t>Detalle la cantidad de recursos invertidos del fondo de recursos del Sistema General de Participaciones (Recursos Girados desde la Nación por el SGP)</t>
        </r>
      </text>
    </comment>
    <comment ref="S3" authorId="0" shapeId="0" xr:uid="{00000000-0006-0000-0200-00000E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T3" authorId="0" shapeId="0" xr:uid="{00000000-0006-0000-0200-00000F000000}">
      <text>
        <r>
          <rPr>
            <b/>
            <sz val="12"/>
            <color indexed="81"/>
            <rFont val="Tahoma"/>
            <family val="2"/>
          </rPr>
          <t>Detalle el número de personas atendidas en cada acción.</t>
        </r>
      </text>
    </comment>
    <comment ref="U3" authorId="0" shapeId="0" xr:uid="{00000000-0006-0000-0200-000010000000}">
      <text>
        <r>
          <rPr>
            <b/>
            <sz val="12"/>
            <color indexed="81"/>
            <rFont val="Tahoma"/>
            <family val="2"/>
          </rPr>
          <t>Según el total de personas atendidas descrimine los valores según su genero.</t>
        </r>
      </text>
    </comment>
    <comment ref="W3" authorId="0" shapeId="0" xr:uid="{00000000-0006-0000-0200-000011000000}">
      <text>
        <r>
          <rPr>
            <b/>
            <sz val="12"/>
            <color indexed="81"/>
            <rFont val="Tahoma"/>
            <family val="2"/>
          </rPr>
          <t>Según el total de personas atendidas descrimine los valores según su zona.</t>
        </r>
      </text>
    </comment>
    <comment ref="Y3" authorId="0" shapeId="0" xr:uid="{00000000-0006-0000-0200-000012000000}">
      <text>
        <r>
          <rPr>
            <b/>
            <sz val="12"/>
            <color indexed="81"/>
            <rFont val="Tahoma"/>
            <family val="2"/>
          </rPr>
          <t>Según el total de personas atendidas descrimine los valores según ciclos de edad.</t>
        </r>
      </text>
    </comment>
    <comment ref="AF3" authorId="0" shapeId="0" xr:uid="{00000000-0006-0000-0200-000013000000}">
      <text>
        <r>
          <rPr>
            <b/>
            <sz val="12"/>
            <color indexed="81"/>
            <rFont val="Tahoma"/>
            <family val="2"/>
          </rPr>
          <t>Según el total de personas atendidas descrimine los valores según su condición.</t>
        </r>
      </text>
    </comment>
    <comment ref="AN3" authorId="0" shapeId="0" xr:uid="{00000000-0006-0000-0200-000014000000}">
      <text>
        <r>
          <rPr>
            <b/>
            <sz val="12"/>
            <color indexed="81"/>
            <rFont val="Tahoma"/>
            <family val="2"/>
          </rPr>
          <t>Según el total de personas atendidas descrimine los valores según su etnia.</t>
        </r>
      </text>
    </comment>
    <comment ref="AT3" authorId="0" shapeId="0" xr:uid="{00000000-0006-0000-0200-000015000000}">
      <text>
        <r>
          <rPr>
            <b/>
            <sz val="12"/>
            <color indexed="81"/>
            <rFont val="Tahoma"/>
            <family val="2"/>
          </rPr>
          <t>En el caso que la acción este dirigida a una organización,  diligenciar el tipo de organización beneficiada.</t>
        </r>
      </text>
    </comment>
    <comment ref="AU3" authorId="0" shapeId="0" xr:uid="{00000000-0006-0000-0200-000016000000}">
      <text>
        <r>
          <rPr>
            <b/>
            <sz val="12"/>
            <color indexed="81"/>
            <rFont val="Tahoma"/>
            <family val="2"/>
          </rPr>
          <t>Describir el objeto principal de la institución u organización beneficiada.</t>
        </r>
      </text>
    </comment>
    <comment ref="AY3" authorId="0" shapeId="0" xr:uid="{00000000-0006-0000-0200-000017000000}">
      <text>
        <r>
          <rPr>
            <b/>
            <sz val="12"/>
            <color indexed="81"/>
            <rFont val="Tahoma"/>
            <family val="2"/>
          </rPr>
          <t xml:space="preserve">Diligenciar si son: 
30 Caninos 
100 Arboles plantados  
2 cuencas recuperadas etc
</t>
        </r>
      </text>
    </comment>
    <comment ref="AZ3" authorId="0" shapeId="0" xr:uid="{00000000-0006-0000-0200-000018000000}">
      <text>
        <r>
          <rPr>
            <b/>
            <sz val="12"/>
            <color indexed="81"/>
            <rFont val="Tahoma"/>
            <family val="2"/>
          </rPr>
          <t>Marcar con una X el tipo de recurso que se beneficio según la acción.</t>
        </r>
      </text>
    </comment>
    <comment ref="BH3" authorId="0" shapeId="0" xr:uid="{00000000-0006-0000-0200-000019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BI3" authorId="0" shapeId="0" xr:uid="{00000000-0006-0000-0200-00001A000000}">
      <text>
        <r>
          <rPr>
            <b/>
            <sz val="12"/>
            <color indexed="81"/>
            <rFont val="Tahoma"/>
            <family val="2"/>
          </rPr>
          <t>Detalle la cantidad de recursos invertidos del fondo de recursos propios (presupuestos corrientes del Municipio de Pereira)</t>
        </r>
      </text>
    </comment>
    <comment ref="BJ3" authorId="0" shapeId="0" xr:uid="{00000000-0006-0000-0200-00001B000000}">
      <text>
        <r>
          <rPr>
            <b/>
            <sz val="12"/>
            <color indexed="81"/>
            <rFont val="Tahoma"/>
            <family val="2"/>
          </rPr>
          <t>Detalle la cantidad de recursos invertidos del fondo de recursos del Sistema General de Participaciones (Recursos Girados desde la Nación por el SGP)</t>
        </r>
      </text>
    </comment>
    <comment ref="BK3" authorId="0" shapeId="0" xr:uid="{00000000-0006-0000-0200-00001C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BL3" authorId="0" shapeId="0" xr:uid="{00000000-0006-0000-0200-00001D000000}">
      <text>
        <r>
          <rPr>
            <b/>
            <sz val="12"/>
            <color indexed="81"/>
            <rFont val="Tahoma"/>
            <family val="2"/>
          </rPr>
          <t>Detalle el número de personas atendidas en cada acción.</t>
        </r>
      </text>
    </comment>
    <comment ref="BM3" authorId="0" shapeId="0" xr:uid="{00000000-0006-0000-0200-00001E000000}">
      <text>
        <r>
          <rPr>
            <b/>
            <sz val="12"/>
            <color indexed="81"/>
            <rFont val="Tahoma"/>
            <family val="2"/>
          </rPr>
          <t>Según el total de personas atendidas descrimine los valores según su genero.</t>
        </r>
      </text>
    </comment>
    <comment ref="BO3" authorId="0" shapeId="0" xr:uid="{00000000-0006-0000-0200-00001F000000}">
      <text>
        <r>
          <rPr>
            <b/>
            <sz val="12"/>
            <color indexed="81"/>
            <rFont val="Tahoma"/>
            <family val="2"/>
          </rPr>
          <t>Según el total de personas atendidas descrimine los valores según su zona.</t>
        </r>
      </text>
    </comment>
    <comment ref="BQ3" authorId="0" shapeId="0" xr:uid="{00000000-0006-0000-0200-000020000000}">
      <text>
        <r>
          <rPr>
            <b/>
            <sz val="12"/>
            <color indexed="81"/>
            <rFont val="Tahoma"/>
            <family val="2"/>
          </rPr>
          <t>Según el total de personas atendidas descrimine los valores según ciclos de edad.</t>
        </r>
      </text>
    </comment>
    <comment ref="BX3" authorId="0" shapeId="0" xr:uid="{00000000-0006-0000-0200-000021000000}">
      <text>
        <r>
          <rPr>
            <b/>
            <sz val="12"/>
            <color indexed="81"/>
            <rFont val="Tahoma"/>
            <family val="2"/>
          </rPr>
          <t>Según el total de personas atendidas descrimine los valores según su condición.</t>
        </r>
      </text>
    </comment>
    <comment ref="CF3" authorId="0" shapeId="0" xr:uid="{00000000-0006-0000-0200-000022000000}">
      <text>
        <r>
          <rPr>
            <b/>
            <sz val="12"/>
            <color indexed="81"/>
            <rFont val="Tahoma"/>
            <family val="2"/>
          </rPr>
          <t>Según el total de personas atendidas descrimine los valores según su etnia.</t>
        </r>
      </text>
    </comment>
    <comment ref="CL3" authorId="0" shapeId="0" xr:uid="{00000000-0006-0000-0200-000023000000}">
      <text>
        <r>
          <rPr>
            <b/>
            <sz val="12"/>
            <color indexed="81"/>
            <rFont val="Tahoma"/>
            <family val="2"/>
          </rPr>
          <t>En el caso que la acción este dirigida a una organización,  diligenciar el tipo de organización beneficiada.</t>
        </r>
      </text>
    </comment>
    <comment ref="CM3" authorId="0" shapeId="0" xr:uid="{00000000-0006-0000-0200-000024000000}">
      <text>
        <r>
          <rPr>
            <b/>
            <sz val="12"/>
            <color indexed="81"/>
            <rFont val="Tahoma"/>
            <family val="2"/>
          </rPr>
          <t>Describir el objeto principal de la institución u organización beneficiada.</t>
        </r>
      </text>
    </comment>
    <comment ref="CQ3" authorId="0" shapeId="0" xr:uid="{00000000-0006-0000-0200-000025000000}">
      <text>
        <r>
          <rPr>
            <b/>
            <sz val="12"/>
            <color indexed="81"/>
            <rFont val="Tahoma"/>
            <family val="2"/>
          </rPr>
          <t xml:space="preserve">Diligenciar si son: 
30 Caninos 
100 Arboles plantados  
2 cuencas recuperadas etc
</t>
        </r>
      </text>
    </comment>
    <comment ref="CR3" authorId="0" shapeId="0" xr:uid="{00000000-0006-0000-0200-000026000000}">
      <text>
        <r>
          <rPr>
            <b/>
            <sz val="12"/>
            <color indexed="81"/>
            <rFont val="Tahoma"/>
            <family val="2"/>
          </rPr>
          <t>Marcar con una X el tipo de recurso que se beneficio según la acción.</t>
        </r>
      </text>
    </comment>
    <comment ref="AW4" authorId="0" shapeId="0" xr:uid="{00000000-0006-0000-0200-000027000000}">
      <text>
        <r>
          <rPr>
            <b/>
            <sz val="12"/>
            <color indexed="81"/>
            <rFont val="Tahoma"/>
            <family val="2"/>
          </rPr>
          <t>Zona de ubicación de la Institución u Organización.</t>
        </r>
      </text>
    </comment>
    <comment ref="AX4" authorId="0" shapeId="0" xr:uid="{00000000-0006-0000-0200-000028000000}">
      <text>
        <r>
          <rPr>
            <b/>
            <sz val="12"/>
            <color indexed="81"/>
            <rFont val="Tahoma"/>
            <family val="2"/>
          </rPr>
          <t>Zona de ubicación de la Institución u Organización.</t>
        </r>
      </text>
    </comment>
    <comment ref="BC4" authorId="0" shapeId="0" xr:uid="{00000000-0006-0000-0200-000029000000}">
      <text>
        <r>
          <rPr>
            <b/>
            <sz val="9"/>
            <color indexed="81"/>
            <rFont val="Tahoma"/>
            <family val="2"/>
          </rPr>
          <t>Zona de ubicación del Recurso Ecosistémico.</t>
        </r>
      </text>
    </comment>
    <comment ref="CO4" authorId="0" shapeId="0" xr:uid="{00000000-0006-0000-0200-00002A000000}">
      <text>
        <r>
          <rPr>
            <b/>
            <sz val="12"/>
            <color indexed="81"/>
            <rFont val="Tahoma"/>
            <family val="2"/>
          </rPr>
          <t>Zona de ubicación de la Institución u Organización.</t>
        </r>
      </text>
    </comment>
    <comment ref="CP4" authorId="0" shapeId="0" xr:uid="{00000000-0006-0000-0200-00002B000000}">
      <text>
        <r>
          <rPr>
            <b/>
            <sz val="12"/>
            <color indexed="81"/>
            <rFont val="Tahoma"/>
            <family val="2"/>
          </rPr>
          <t>Zona de ubicación de la Institución u Organización.</t>
        </r>
      </text>
    </comment>
    <comment ref="CU4" authorId="0" shapeId="0" xr:uid="{00000000-0006-0000-0200-00002C000000}">
      <text>
        <r>
          <rPr>
            <b/>
            <sz val="9"/>
            <color indexed="81"/>
            <rFont val="Tahoma"/>
            <family val="2"/>
          </rPr>
          <t>Zona de ubicación del Recurso Ecosistémico.</t>
        </r>
      </text>
    </comment>
    <comment ref="L12" authorId="1" shapeId="0" xr:uid="{00000000-0006-0000-0200-00002D000000}">
      <text>
        <r>
          <rPr>
            <b/>
            <sz val="9"/>
            <color indexed="81"/>
            <rFont val="Tahoma"/>
            <family val="2"/>
          </rPr>
          <t>reportan 0% se recomienda programrla para 2019</t>
        </r>
      </text>
    </comment>
    <comment ref="BD12" authorId="1" shapeId="0" xr:uid="{00000000-0006-0000-0200-00002E000000}">
      <text>
        <r>
          <rPr>
            <b/>
            <sz val="9"/>
            <color indexed="81"/>
            <rFont val="Tahoma"/>
            <family val="2"/>
          </rPr>
          <t>reportan 0% se recomienda programrla para 2019</t>
        </r>
      </text>
    </comment>
    <comment ref="L18" authorId="1" shapeId="0" xr:uid="{00000000-0006-0000-0200-00002F000000}">
      <text>
        <r>
          <rPr>
            <b/>
            <sz val="9"/>
            <color indexed="81"/>
            <rFont val="Tahoma"/>
            <family val="2"/>
          </rPr>
          <t>reportan: 69 Docentes</t>
        </r>
        <r>
          <rPr>
            <sz val="9"/>
            <color indexed="81"/>
            <rFont val="Tahoma"/>
            <family val="2"/>
          </rPr>
          <t xml:space="preserve">
se deja al 70%</t>
        </r>
      </text>
    </comment>
    <comment ref="L19" authorId="1" shapeId="0" xr:uid="{00000000-0006-0000-0200-000030000000}">
      <text>
        <r>
          <rPr>
            <b/>
            <sz val="9"/>
            <color indexed="81"/>
            <rFont val="Tahoma"/>
            <family val="2"/>
          </rPr>
          <t>No reportan nada pero la actividad da para NA</t>
        </r>
        <r>
          <rPr>
            <sz val="9"/>
            <color indexed="81"/>
            <rFont val="Tahoma"/>
            <family val="2"/>
          </rPr>
          <t xml:space="preserve">
</t>
        </r>
      </text>
    </comment>
    <comment ref="L22" authorId="1" shapeId="0" xr:uid="{00000000-0006-0000-0200-000031000000}">
      <text>
        <r>
          <rPr>
            <b/>
            <sz val="9"/>
            <color indexed="81"/>
            <rFont val="Tahoma"/>
            <family val="2"/>
          </rPr>
          <t>No reportan nada pero la actividad da para NA</t>
        </r>
        <r>
          <rPr>
            <sz val="9"/>
            <color indexed="81"/>
            <rFont val="Tahoma"/>
            <family val="2"/>
          </rPr>
          <t xml:space="preserve">
</t>
        </r>
      </text>
    </comment>
    <comment ref="L26" authorId="1" shapeId="0" xr:uid="{00000000-0006-0000-0200-000032000000}">
      <text>
        <r>
          <rPr>
            <b/>
            <sz val="9"/>
            <color indexed="81"/>
            <rFont val="Tahoma"/>
            <family val="2"/>
          </rPr>
          <t>No reportan nada pero la actividad da para NA</t>
        </r>
        <r>
          <rPr>
            <sz val="9"/>
            <color indexed="81"/>
            <rFont val="Tahoma"/>
            <family val="2"/>
          </rPr>
          <t xml:space="preserve">
</t>
        </r>
      </text>
    </comment>
    <comment ref="L33" authorId="1" shapeId="0" xr:uid="{00000000-0006-0000-0200-000033000000}">
      <text>
        <r>
          <rPr>
            <b/>
            <sz val="9"/>
            <color indexed="81"/>
            <rFont val="Tahoma"/>
            <family val="2"/>
          </rPr>
          <t>no reportan nada pero dadas las actividades y el indicador de met se deja al 70%</t>
        </r>
      </text>
    </comment>
    <comment ref="BD33" authorId="1" shapeId="0" xr:uid="{00000000-0006-0000-0200-000034000000}">
      <text>
        <r>
          <rPr>
            <b/>
            <sz val="9"/>
            <color indexed="81"/>
            <rFont val="Tahoma"/>
            <family val="2"/>
          </rPr>
          <t>no reportan nada pero dadas las actividades y el indicador de met se deja al 70%</t>
        </r>
      </text>
    </comment>
    <comment ref="P35" authorId="1" shapeId="0" xr:uid="{00000000-0006-0000-0200-000035000000}">
      <text>
        <r>
          <rPr>
            <b/>
            <sz val="9"/>
            <color indexed="81"/>
            <rFont val="Tahoma"/>
            <family val="2"/>
          </rPr>
          <t>1. $16,876,147,383
2.      $382,732,661
3.      $276,793,093
4.       $742,110,951
5.  $8,556,549,723</t>
        </r>
      </text>
    </comment>
    <comment ref="Q35" authorId="1" shapeId="0" xr:uid="{00000000-0006-0000-0200-000036000000}">
      <text>
        <r>
          <rPr>
            <b/>
            <sz val="9"/>
            <color indexed="81"/>
            <rFont val="Tahoma"/>
            <family val="2"/>
          </rPr>
          <t>1. $16,348,847,731
2.      $382,732,661
3.      $276,793,093
4.       $742,110,951
5.  $8,556,549,723</t>
        </r>
      </text>
    </comment>
    <comment ref="BH35" authorId="1" shapeId="0" xr:uid="{00000000-0006-0000-0200-000037000000}">
      <text>
        <r>
          <rPr>
            <b/>
            <sz val="9"/>
            <color indexed="81"/>
            <rFont val="Tahoma"/>
            <family val="2"/>
          </rPr>
          <t>1. $16,876,147,383
2.      $382,732,661
3.      $276,793,093
4.       $742,110,951
5.  $8,556,549,723</t>
        </r>
      </text>
    </comment>
    <comment ref="BI35" authorId="1" shapeId="0" xr:uid="{00000000-0006-0000-0200-000038000000}">
      <text>
        <r>
          <rPr>
            <b/>
            <sz val="9"/>
            <color indexed="81"/>
            <rFont val="Tahoma"/>
            <family val="2"/>
          </rPr>
          <t>1. $16,348,847,731
2.      $382,732,661
3.      $276,793,093
4.       $742,110,951
5.  $8,556,549,723</t>
        </r>
      </text>
    </comment>
    <comment ref="L41" authorId="1" shapeId="0" xr:uid="{00000000-0006-0000-0200-000039000000}">
      <text>
        <r>
          <rPr>
            <b/>
            <sz val="12"/>
            <color indexed="81"/>
            <rFont val="Tahoma"/>
            <family val="2"/>
          </rPr>
          <t>reportan 1 y dada la descripción de actividades se asigna 100%</t>
        </r>
      </text>
    </comment>
    <comment ref="BD41" authorId="1" shapeId="0" xr:uid="{00000000-0006-0000-0200-00003A000000}">
      <text>
        <r>
          <rPr>
            <b/>
            <sz val="12"/>
            <color indexed="81"/>
            <rFont val="Tahoma"/>
            <family val="2"/>
          </rPr>
          <t>reportan 1 y dada la descripción de actividades se asigna 100%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Usuario</author>
    <author/>
  </authors>
  <commentList>
    <comment ref="AB2" authorId="0" shapeId="0" xr:uid="{00000000-0006-0000-10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AC2" authorId="0" shapeId="0" xr:uid="{00000000-0006-0000-1000-000002000000}">
      <text>
        <r>
          <rPr>
            <b/>
            <sz val="12"/>
            <color indexed="81"/>
            <rFont val="Tahoma"/>
            <family val="2"/>
          </rPr>
          <t xml:space="preserve">Comente como desarrollo la acción de la Política Pública por medio de actividades, describiendo el Lugar, Temas desarrollados, etc. </t>
        </r>
      </text>
    </comment>
    <comment ref="AD2" authorId="0" shapeId="0" xr:uid="{00000000-0006-0000-1000-000003000000}">
      <text>
        <r>
          <rPr>
            <b/>
            <sz val="12"/>
            <color indexed="81"/>
            <rFont val="Tahoma"/>
            <family val="2"/>
          </rPr>
          <t>Describa que evidencias reposan en el desarrollo de la acción, contratos, actas, fotos, registros de asistencia, informes, documentos, videos, etc</t>
        </r>
      </text>
    </comment>
    <comment ref="AE2" authorId="0" shapeId="0" xr:uid="{00000000-0006-0000-1000-000004000000}">
      <text>
        <r>
          <rPr>
            <b/>
            <sz val="12"/>
            <color indexed="81"/>
            <rFont val="Tahoma"/>
            <family val="2"/>
          </rPr>
          <t xml:space="preserve">Comente que problemas, necesidades, aciertos y/o recomendacion se cuentan en el desarrollo de la acción. </t>
        </r>
      </text>
    </comment>
    <comment ref="BO2" authorId="0" shapeId="0" xr:uid="{00000000-0006-0000-1000-000005000000}">
      <text>
        <r>
          <rPr>
            <b/>
            <sz val="9"/>
            <color indexed="81"/>
            <rFont val="Tahoma"/>
            <family val="2"/>
          </rPr>
          <t>La Sección de Matriz de Focalización de Recursos Ecosistémicos se diligencia cuando la acción va dirigida a un Recurso Natural, Fauna y Flora.</t>
        </r>
      </text>
    </comment>
    <comment ref="BT2" authorId="0" shapeId="0" xr:uid="{00000000-0006-0000-1000-000006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BY2" authorId="0" shapeId="0" xr:uid="{00000000-0006-0000-1000-000007000000}">
      <text>
        <r>
          <rPr>
            <b/>
            <sz val="12"/>
            <color indexed="81"/>
            <rFont val="Tahoma"/>
            <family val="2"/>
          </rPr>
          <t xml:space="preserve">Comente como desarrollo la acción de la Política Pública por medio de actividades, describiendo el Lugar, Temas desarrollados, etc. </t>
        </r>
      </text>
    </comment>
    <comment ref="BZ2" authorId="0" shapeId="0" xr:uid="{00000000-0006-0000-1000-000008000000}">
      <text>
        <r>
          <rPr>
            <b/>
            <sz val="12"/>
            <color indexed="81"/>
            <rFont val="Tahoma"/>
            <family val="2"/>
          </rPr>
          <t>Describa que evidencias reposan en el desarrollo de la acción, contratos, actas, fotos, registros de asistencia, informes, documentos, videos, etc</t>
        </r>
      </text>
    </comment>
    <comment ref="CA2" authorId="0" shapeId="0" xr:uid="{00000000-0006-0000-1000-000009000000}">
      <text>
        <r>
          <rPr>
            <b/>
            <sz val="12"/>
            <color indexed="81"/>
            <rFont val="Tahoma"/>
            <family val="2"/>
          </rPr>
          <t xml:space="preserve">Comente que problemas, necesidades, aciertos y/o recomendacion se cuentan en el desarrollo de la acción. </t>
        </r>
      </text>
    </comment>
    <comment ref="DK2" authorId="0" shapeId="0" xr:uid="{00000000-0006-0000-1000-00000A000000}">
      <text>
        <r>
          <rPr>
            <b/>
            <sz val="9"/>
            <color indexed="81"/>
            <rFont val="Tahoma"/>
            <family val="2"/>
          </rPr>
          <t>La Sección de Matriz de Focalización de Recursos Ecosistémicos se diligencia cuando la acción va dirigida a un Recurso Natural, Fauna y Flora.</t>
        </r>
      </text>
    </comment>
    <comment ref="DQ2" authorId="0" shapeId="0" xr:uid="{00000000-0006-0000-1000-00000B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T2" authorId="0" shapeId="0" xr:uid="{00000000-0006-0000-1000-00000C000000}">
      <text>
        <r>
          <rPr>
            <b/>
            <sz val="12"/>
            <color indexed="81"/>
            <rFont val="Tahoma"/>
            <family val="2"/>
          </rPr>
          <t xml:space="preserve">Comente como desarrollo la acción de la Política Pública por medio de actividades, describiendo el Lugar, Temas desarrollados, etc. </t>
        </r>
      </text>
    </comment>
    <comment ref="DU2" authorId="0" shapeId="0" xr:uid="{00000000-0006-0000-1000-00000D000000}">
      <text>
        <r>
          <rPr>
            <b/>
            <sz val="12"/>
            <color indexed="81"/>
            <rFont val="Tahoma"/>
            <family val="2"/>
          </rPr>
          <t>Describa que evidencias reposan en el desarrollo de la acción, contratos, actas, fotos, registros de asistencia, informes, documentos, videos, etc</t>
        </r>
      </text>
    </comment>
    <comment ref="DV2" authorId="0" shapeId="0" xr:uid="{00000000-0006-0000-1000-00000E000000}">
      <text>
        <r>
          <rPr>
            <b/>
            <sz val="12"/>
            <color indexed="81"/>
            <rFont val="Tahoma"/>
            <family val="2"/>
          </rPr>
          <t xml:space="preserve">Comente que problemas, necesidades, aciertos y/o recomendacion se cuentan en el desarrollo de la acción. </t>
        </r>
      </text>
    </comment>
    <comment ref="FF2" authorId="0" shapeId="0" xr:uid="{00000000-0006-0000-1000-00000F000000}">
      <text>
        <r>
          <rPr>
            <b/>
            <sz val="9"/>
            <color indexed="81"/>
            <rFont val="Tahoma"/>
            <family val="2"/>
          </rPr>
          <t>La Sección de Matriz de Focalización de Recursos Ecosistémicos se diligencia cuando la acción va dirigida a un Recurso Natural, Fauna y Flora.</t>
        </r>
      </text>
    </comment>
    <comment ref="AF3" authorId="0" shapeId="0" xr:uid="{00000000-0006-0000-1000-000010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AG3" authorId="0" shapeId="0" xr:uid="{00000000-0006-0000-1000-000011000000}">
      <text>
        <r>
          <rPr>
            <b/>
            <sz val="12"/>
            <color indexed="81"/>
            <rFont val="Tahoma"/>
            <family val="2"/>
          </rPr>
          <t>Detalle la cantidad de recursos invertidos del fondo de recursos propios (presupuestos corrientes del Municipio de Pereira)</t>
        </r>
      </text>
    </comment>
    <comment ref="AH3" authorId="0" shapeId="0" xr:uid="{00000000-0006-0000-1000-000012000000}">
      <text>
        <r>
          <rPr>
            <b/>
            <sz val="12"/>
            <color indexed="81"/>
            <rFont val="Tahoma"/>
            <family val="2"/>
          </rPr>
          <t>Detalle la cantidad de recursos invertidos del fondo de recursos del Sistema General de Participaciones (Recursos Girados desde la Nación por el SGP)</t>
        </r>
      </text>
    </comment>
    <comment ref="AI3" authorId="0" shapeId="0" xr:uid="{00000000-0006-0000-1000-000013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AJ3" authorId="0" shapeId="0" xr:uid="{00000000-0006-0000-1000-000014000000}">
      <text>
        <r>
          <rPr>
            <b/>
            <sz val="12"/>
            <color indexed="81"/>
            <rFont val="Tahoma"/>
            <family val="2"/>
          </rPr>
          <t>Detalle el número de personas atendidas en cada acción.</t>
        </r>
      </text>
    </comment>
    <comment ref="AK3" authorId="0" shapeId="0" xr:uid="{00000000-0006-0000-1000-000015000000}">
      <text>
        <r>
          <rPr>
            <b/>
            <sz val="12"/>
            <color indexed="81"/>
            <rFont val="Tahoma"/>
            <family val="2"/>
          </rPr>
          <t>Según el total de personas atendidas descrimine los valores según su genero.</t>
        </r>
      </text>
    </comment>
    <comment ref="AM3" authorId="0" shapeId="0" xr:uid="{00000000-0006-0000-1000-000016000000}">
      <text>
        <r>
          <rPr>
            <b/>
            <sz val="12"/>
            <color indexed="81"/>
            <rFont val="Tahoma"/>
            <family val="2"/>
          </rPr>
          <t>Según el total de personas atendidas descrimine los valores según su zona.</t>
        </r>
      </text>
    </comment>
    <comment ref="AO3" authorId="0" shapeId="0" xr:uid="{00000000-0006-0000-1000-000017000000}">
      <text>
        <r>
          <rPr>
            <b/>
            <sz val="12"/>
            <color indexed="81"/>
            <rFont val="Tahoma"/>
            <family val="2"/>
          </rPr>
          <t>Según el total de personas atendidas descrimine los valores según ciclos de edad.</t>
        </r>
      </text>
    </comment>
    <comment ref="AV3" authorId="0" shapeId="0" xr:uid="{00000000-0006-0000-1000-000018000000}">
      <text>
        <r>
          <rPr>
            <b/>
            <sz val="12"/>
            <color indexed="81"/>
            <rFont val="Tahoma"/>
            <family val="2"/>
          </rPr>
          <t>Según el total de personas atendidas descrimine los valores según su condición.</t>
        </r>
      </text>
    </comment>
    <comment ref="BD3" authorId="0" shapeId="0" xr:uid="{00000000-0006-0000-1000-000019000000}">
      <text>
        <r>
          <rPr>
            <b/>
            <sz val="12"/>
            <color indexed="81"/>
            <rFont val="Tahoma"/>
            <family val="2"/>
          </rPr>
          <t>Según el total de personas atendidas descrimine los valores según su etnia.</t>
        </r>
      </text>
    </comment>
    <comment ref="BJ3" authorId="0" shapeId="0" xr:uid="{00000000-0006-0000-1000-00001A000000}">
      <text>
        <r>
          <rPr>
            <b/>
            <sz val="12"/>
            <color indexed="81"/>
            <rFont val="Tahoma"/>
            <family val="2"/>
          </rPr>
          <t>En el caso que la acción este dirigida a una organización,  diligenciar el tipo de organización beneficiada.</t>
        </r>
      </text>
    </comment>
    <comment ref="BK3" authorId="0" shapeId="0" xr:uid="{00000000-0006-0000-1000-00001B000000}">
      <text>
        <r>
          <rPr>
            <b/>
            <sz val="12"/>
            <color indexed="81"/>
            <rFont val="Tahoma"/>
            <family val="2"/>
          </rPr>
          <t>Describir el objeto principal de la institución u organización beneficiada.</t>
        </r>
      </text>
    </comment>
    <comment ref="BO3" authorId="0" shapeId="0" xr:uid="{00000000-0006-0000-1000-00001C000000}">
      <text>
        <r>
          <rPr>
            <b/>
            <sz val="12"/>
            <color indexed="81"/>
            <rFont val="Tahoma"/>
            <family val="2"/>
          </rPr>
          <t xml:space="preserve">Diligenciar si son: 
30 Caninos 
100 Arboles plantados  
2 cuencas recuperadas etc
</t>
        </r>
      </text>
    </comment>
    <comment ref="BP3" authorId="0" shapeId="0" xr:uid="{00000000-0006-0000-1000-00001D000000}">
      <text>
        <r>
          <rPr>
            <b/>
            <sz val="12"/>
            <color indexed="81"/>
            <rFont val="Tahoma"/>
            <family val="2"/>
          </rPr>
          <t>Marcar con una X el tipo de recurso que se beneficio según la acción.</t>
        </r>
      </text>
    </comment>
    <comment ref="CB3" authorId="0" shapeId="0" xr:uid="{00000000-0006-0000-1000-00001E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CC3" authorId="0" shapeId="0" xr:uid="{00000000-0006-0000-1000-00001F000000}">
      <text>
        <r>
          <rPr>
            <b/>
            <sz val="12"/>
            <color indexed="81"/>
            <rFont val="Tahoma"/>
            <family val="2"/>
          </rPr>
          <t>Detalle la cantidad de recursos invertidos del fondo de recursos propios (presupuestos corrientes del Municipio de Pereira)</t>
        </r>
      </text>
    </comment>
    <comment ref="CD3" authorId="0" shapeId="0" xr:uid="{00000000-0006-0000-1000-000020000000}">
      <text>
        <r>
          <rPr>
            <b/>
            <sz val="12"/>
            <color indexed="81"/>
            <rFont val="Tahoma"/>
            <family val="2"/>
          </rPr>
          <t>Detalle la cantidad de recursos invertidos del fondo de recursos del Sistema General de Participaciones (Recursos Girados desde la Nación por el SGP)</t>
        </r>
      </text>
    </comment>
    <comment ref="CE3" authorId="0" shapeId="0" xr:uid="{00000000-0006-0000-1000-000021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CF3" authorId="0" shapeId="0" xr:uid="{00000000-0006-0000-1000-000022000000}">
      <text>
        <r>
          <rPr>
            <b/>
            <sz val="12"/>
            <color indexed="81"/>
            <rFont val="Tahoma"/>
            <family val="2"/>
          </rPr>
          <t>Detalle el número de personas atendidas en cada acción.</t>
        </r>
      </text>
    </comment>
    <comment ref="CG3" authorId="0" shapeId="0" xr:uid="{00000000-0006-0000-1000-000023000000}">
      <text>
        <r>
          <rPr>
            <b/>
            <sz val="12"/>
            <color indexed="81"/>
            <rFont val="Tahoma"/>
            <family val="2"/>
          </rPr>
          <t>Según el total de personas atendidas descrimine los valores según su genero.</t>
        </r>
      </text>
    </comment>
    <comment ref="CI3" authorId="0" shapeId="0" xr:uid="{00000000-0006-0000-1000-000024000000}">
      <text>
        <r>
          <rPr>
            <b/>
            <sz val="12"/>
            <color indexed="81"/>
            <rFont val="Tahoma"/>
            <family val="2"/>
          </rPr>
          <t>Según el total de personas atendidas descrimine los valores según su zona.</t>
        </r>
      </text>
    </comment>
    <comment ref="CK3" authorId="0" shapeId="0" xr:uid="{00000000-0006-0000-1000-000025000000}">
      <text>
        <r>
          <rPr>
            <b/>
            <sz val="12"/>
            <color indexed="81"/>
            <rFont val="Tahoma"/>
            <family val="2"/>
          </rPr>
          <t>Según el total de personas atendidas descrimine los valores según ciclos de edad.</t>
        </r>
      </text>
    </comment>
    <comment ref="CR3" authorId="0" shapeId="0" xr:uid="{00000000-0006-0000-1000-000026000000}">
      <text>
        <r>
          <rPr>
            <b/>
            <sz val="12"/>
            <color indexed="81"/>
            <rFont val="Tahoma"/>
            <family val="2"/>
          </rPr>
          <t>Según el total de personas atendidas descrimine los valores según su condición.</t>
        </r>
      </text>
    </comment>
    <comment ref="CZ3" authorId="0" shapeId="0" xr:uid="{00000000-0006-0000-1000-000027000000}">
      <text>
        <r>
          <rPr>
            <b/>
            <sz val="12"/>
            <color indexed="81"/>
            <rFont val="Tahoma"/>
            <family val="2"/>
          </rPr>
          <t>Según el total de personas atendidas descrimine los valores según su etnia.</t>
        </r>
      </text>
    </comment>
    <comment ref="DF3" authorId="0" shapeId="0" xr:uid="{00000000-0006-0000-1000-000028000000}">
      <text>
        <r>
          <rPr>
            <b/>
            <sz val="12"/>
            <color indexed="81"/>
            <rFont val="Tahoma"/>
            <family val="2"/>
          </rPr>
          <t>En el caso que la acción este dirigida a una organización,  diligenciar el tipo de organización beneficiada.</t>
        </r>
      </text>
    </comment>
    <comment ref="DG3" authorId="0" shapeId="0" xr:uid="{00000000-0006-0000-1000-000029000000}">
      <text>
        <r>
          <rPr>
            <b/>
            <sz val="12"/>
            <color indexed="81"/>
            <rFont val="Tahoma"/>
            <family val="2"/>
          </rPr>
          <t>Describir el objeto principal de la institución u organización beneficiada.</t>
        </r>
      </text>
    </comment>
    <comment ref="DK3" authorId="0" shapeId="0" xr:uid="{00000000-0006-0000-1000-00002A000000}">
      <text>
        <r>
          <rPr>
            <b/>
            <sz val="12"/>
            <color indexed="81"/>
            <rFont val="Tahoma"/>
            <family val="2"/>
          </rPr>
          <t xml:space="preserve">Diligenciar si son: 
30 Caninos 
100 Arboles plantados  
2 cuencas recuperadas etc
</t>
        </r>
      </text>
    </comment>
    <comment ref="DL3" authorId="0" shapeId="0" xr:uid="{00000000-0006-0000-1000-00002B000000}">
      <text>
        <r>
          <rPr>
            <b/>
            <sz val="12"/>
            <color indexed="81"/>
            <rFont val="Tahoma"/>
            <family val="2"/>
          </rPr>
          <t>Marcar con una X el tipo de recurso que se beneficio según la acción.</t>
        </r>
      </text>
    </comment>
    <comment ref="DW3" authorId="0" shapeId="0" xr:uid="{00000000-0006-0000-1000-00002C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DX3" authorId="0" shapeId="0" xr:uid="{00000000-0006-0000-1000-00002D000000}">
      <text>
        <r>
          <rPr>
            <b/>
            <sz val="12"/>
            <color indexed="81"/>
            <rFont val="Tahoma"/>
            <family val="2"/>
          </rPr>
          <t>Detalle la cantidad de recursos invertidos del fondo de recursos propios (presupuestos corrientes del Municipio de Pereira)</t>
        </r>
      </text>
    </comment>
    <comment ref="DY3" authorId="0" shapeId="0" xr:uid="{00000000-0006-0000-1000-00002E000000}">
      <text>
        <r>
          <rPr>
            <b/>
            <sz val="12"/>
            <color indexed="81"/>
            <rFont val="Tahoma"/>
            <family val="2"/>
          </rPr>
          <t>Detalle la cantidad de recursos invertidos del fondo de recursos del Sistema General de Participaciones (Recursos Girados desde la Nación por el SGP)</t>
        </r>
      </text>
    </comment>
    <comment ref="DZ3" authorId="0" shapeId="0" xr:uid="{00000000-0006-0000-1000-00002F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EA3" authorId="0" shapeId="0" xr:uid="{00000000-0006-0000-1000-000030000000}">
      <text>
        <r>
          <rPr>
            <b/>
            <sz val="12"/>
            <color indexed="81"/>
            <rFont val="Tahoma"/>
            <family val="2"/>
          </rPr>
          <t>Detalle el número de personas atendidas en cada acción.</t>
        </r>
      </text>
    </comment>
    <comment ref="EB3" authorId="0" shapeId="0" xr:uid="{00000000-0006-0000-1000-000031000000}">
      <text>
        <r>
          <rPr>
            <b/>
            <sz val="12"/>
            <color indexed="81"/>
            <rFont val="Tahoma"/>
            <family val="2"/>
          </rPr>
          <t>Según el total de personas atendidas descrimine los valores según su genero.</t>
        </r>
      </text>
    </comment>
    <comment ref="ED3" authorId="0" shapeId="0" xr:uid="{00000000-0006-0000-1000-000032000000}">
      <text>
        <r>
          <rPr>
            <b/>
            <sz val="12"/>
            <color indexed="81"/>
            <rFont val="Tahoma"/>
            <family val="2"/>
          </rPr>
          <t>Según el total de personas atendidas descrimine los valores según su zona.</t>
        </r>
      </text>
    </comment>
    <comment ref="EF3" authorId="0" shapeId="0" xr:uid="{00000000-0006-0000-1000-000033000000}">
      <text>
        <r>
          <rPr>
            <b/>
            <sz val="12"/>
            <color indexed="81"/>
            <rFont val="Tahoma"/>
            <family val="2"/>
          </rPr>
          <t>Según el total de personas atendidas descrimine los valores según ciclos de edad.</t>
        </r>
      </text>
    </comment>
    <comment ref="EM3" authorId="0" shapeId="0" xr:uid="{00000000-0006-0000-1000-000034000000}">
      <text>
        <r>
          <rPr>
            <b/>
            <sz val="12"/>
            <color indexed="81"/>
            <rFont val="Tahoma"/>
            <family val="2"/>
          </rPr>
          <t>Según el total de personas atendidas descrimine los valores según su condición.</t>
        </r>
      </text>
    </comment>
    <comment ref="EU3" authorId="0" shapeId="0" xr:uid="{00000000-0006-0000-1000-000035000000}">
      <text>
        <r>
          <rPr>
            <b/>
            <sz val="12"/>
            <color indexed="81"/>
            <rFont val="Tahoma"/>
            <family val="2"/>
          </rPr>
          <t>Según el total de personas atendidas descrimine los valores según su etnia.</t>
        </r>
      </text>
    </comment>
    <comment ref="FA3" authorId="0" shapeId="0" xr:uid="{00000000-0006-0000-1000-000036000000}">
      <text>
        <r>
          <rPr>
            <b/>
            <sz val="12"/>
            <color indexed="81"/>
            <rFont val="Tahoma"/>
            <family val="2"/>
          </rPr>
          <t>En el caso que la acción este dirigida a una organización,  diligenciar el tipo de organización beneficiada.</t>
        </r>
      </text>
    </comment>
    <comment ref="FB3" authorId="0" shapeId="0" xr:uid="{00000000-0006-0000-1000-000037000000}">
      <text>
        <r>
          <rPr>
            <b/>
            <sz val="12"/>
            <color indexed="81"/>
            <rFont val="Tahoma"/>
            <family val="2"/>
          </rPr>
          <t>Describir el objeto principal de la institución u organización beneficiada.</t>
        </r>
      </text>
    </comment>
    <comment ref="FF3" authorId="0" shapeId="0" xr:uid="{00000000-0006-0000-1000-000038000000}">
      <text>
        <r>
          <rPr>
            <b/>
            <sz val="12"/>
            <color indexed="81"/>
            <rFont val="Tahoma"/>
            <family val="2"/>
          </rPr>
          <t xml:space="preserve">Diligenciar si son: 
30 Caninos 
100 Arboles plantados  
2 cuencas recuperadas etc
</t>
        </r>
      </text>
    </comment>
    <comment ref="FG3" authorId="0" shapeId="0" xr:uid="{00000000-0006-0000-1000-000039000000}">
      <text>
        <r>
          <rPr>
            <b/>
            <sz val="12"/>
            <color indexed="81"/>
            <rFont val="Tahoma"/>
            <family val="2"/>
          </rPr>
          <t>Marcar con una X el tipo de recurso que se beneficio según la acción.</t>
        </r>
      </text>
    </comment>
    <comment ref="BM4" authorId="0" shapeId="0" xr:uid="{00000000-0006-0000-1000-00003A000000}">
      <text>
        <r>
          <rPr>
            <b/>
            <sz val="12"/>
            <color indexed="81"/>
            <rFont val="Tahoma"/>
            <family val="2"/>
          </rPr>
          <t>Zona de ubicación de la Institución u Organización.</t>
        </r>
      </text>
    </comment>
    <comment ref="BN4" authorId="0" shapeId="0" xr:uid="{00000000-0006-0000-1000-00003B000000}">
      <text>
        <r>
          <rPr>
            <b/>
            <sz val="12"/>
            <color indexed="81"/>
            <rFont val="Tahoma"/>
            <family val="2"/>
          </rPr>
          <t>Zona de ubicación de la Institución u Organización.</t>
        </r>
      </text>
    </comment>
    <comment ref="BS4" authorId="0" shapeId="0" xr:uid="{00000000-0006-0000-1000-00003C000000}">
      <text>
        <r>
          <rPr>
            <b/>
            <sz val="9"/>
            <color indexed="81"/>
            <rFont val="Tahoma"/>
            <family val="2"/>
          </rPr>
          <t>Zona de ubicación del Recurso Ecosistémico.</t>
        </r>
      </text>
    </comment>
    <comment ref="DI4" authorId="0" shapeId="0" xr:uid="{00000000-0006-0000-1000-00003D000000}">
      <text>
        <r>
          <rPr>
            <b/>
            <sz val="12"/>
            <color indexed="81"/>
            <rFont val="Tahoma"/>
            <family val="2"/>
          </rPr>
          <t>Zona de ubicación de la Institución u Organización.</t>
        </r>
      </text>
    </comment>
    <comment ref="DJ4" authorId="0" shapeId="0" xr:uid="{00000000-0006-0000-1000-00003E000000}">
      <text>
        <r>
          <rPr>
            <b/>
            <sz val="12"/>
            <color indexed="81"/>
            <rFont val="Tahoma"/>
            <family val="2"/>
          </rPr>
          <t>Zona de ubicación de la Institución u Organización.</t>
        </r>
      </text>
    </comment>
    <comment ref="DO4" authorId="0" shapeId="0" xr:uid="{00000000-0006-0000-1000-00003F000000}">
      <text>
        <r>
          <rPr>
            <b/>
            <sz val="9"/>
            <color indexed="81"/>
            <rFont val="Tahoma"/>
            <family val="2"/>
          </rPr>
          <t>Zona de ubicación del Recurso Ecosistémico.</t>
        </r>
      </text>
    </comment>
    <comment ref="FD4" authorId="0" shapeId="0" xr:uid="{00000000-0006-0000-1000-000040000000}">
      <text>
        <r>
          <rPr>
            <b/>
            <sz val="12"/>
            <color indexed="81"/>
            <rFont val="Tahoma"/>
            <family val="2"/>
          </rPr>
          <t>Zona de ubicación de la Institución u Organización.</t>
        </r>
      </text>
    </comment>
    <comment ref="FE4" authorId="0" shapeId="0" xr:uid="{00000000-0006-0000-1000-000041000000}">
      <text>
        <r>
          <rPr>
            <b/>
            <sz val="12"/>
            <color indexed="81"/>
            <rFont val="Tahoma"/>
            <family val="2"/>
          </rPr>
          <t>Zona de ubicación de la Institución u Organización.</t>
        </r>
      </text>
    </comment>
    <comment ref="FJ4" authorId="0" shapeId="0" xr:uid="{00000000-0006-0000-1000-000042000000}">
      <text>
        <r>
          <rPr>
            <b/>
            <sz val="9"/>
            <color indexed="81"/>
            <rFont val="Tahoma"/>
            <family val="2"/>
          </rPr>
          <t>Zona de ubicación del Recurso Ecosistémico.</t>
        </r>
      </text>
    </comment>
    <comment ref="AB5" authorId="1" shapeId="0" xr:uid="{00000000-0006-0000-1000-000043000000}">
      <text>
        <r>
          <rPr>
            <b/>
            <sz val="12"/>
            <color indexed="81"/>
            <rFont val="Tahoma"/>
            <family val="2"/>
          </rPr>
          <t xml:space="preserve"> del personal directivo, docente y comunidad educativa de establecimientos educativos oficiales</t>
        </r>
      </text>
    </comment>
    <comment ref="AB8" authorId="1" shapeId="0" xr:uid="{00000000-0006-0000-1000-000044000000}">
      <text>
        <r>
          <rPr>
            <b/>
            <sz val="12"/>
            <color indexed="81"/>
            <rFont val="Tahoma"/>
            <family val="2"/>
          </rPr>
          <t>4 metodologías implementadas en 41 Establecimientos Educativos</t>
        </r>
      </text>
    </comment>
    <comment ref="AB9" authorId="1" shapeId="0" xr:uid="{00000000-0006-0000-1000-000045000000}">
      <text>
        <r>
          <rPr>
            <b/>
            <sz val="12"/>
            <color indexed="81"/>
            <rFont val="Tahoma"/>
            <family val="2"/>
          </rPr>
          <t>lo cual corresponde a un total de 59 Establecimientos Educativos oficiales del Municipio de Pereira</t>
        </r>
      </text>
    </comment>
    <comment ref="AB12" authorId="1" shapeId="0" xr:uid="{00000000-0006-0000-1000-000046000000}">
      <text>
        <r>
          <rPr>
            <b/>
            <sz val="12"/>
            <color indexed="81"/>
            <rFont val="Tahoma"/>
            <family val="2"/>
          </rPr>
          <t>reportan 10 y dado que la meta es 10 se cuantifica en 100%</t>
        </r>
      </text>
    </comment>
    <comment ref="AB22" authorId="1" shapeId="0" xr:uid="{00000000-0006-0000-1000-000047000000}">
      <text>
        <r>
          <rPr>
            <b/>
            <sz val="9"/>
            <color indexed="81"/>
            <rFont val="Tahoma"/>
            <family val="2"/>
          </rPr>
          <t>reportan NA</t>
        </r>
      </text>
    </comment>
    <comment ref="AB25" authorId="1" shapeId="0" xr:uid="{00000000-0006-0000-1000-000048000000}">
      <text>
        <r>
          <rPr>
            <b/>
            <sz val="9"/>
            <color indexed="81"/>
            <rFont val="Tahoma"/>
            <family val="2"/>
          </rPr>
          <t>reportan NA</t>
        </r>
      </text>
    </comment>
    <comment ref="AB26" authorId="1" shapeId="0" xr:uid="{00000000-0006-0000-1000-000049000000}">
      <text>
        <r>
          <rPr>
            <b/>
            <sz val="9"/>
            <color indexed="81"/>
            <rFont val="Tahoma"/>
            <family val="2"/>
          </rPr>
          <t>reportan 0</t>
        </r>
      </text>
    </comment>
    <comment ref="AB28" authorId="1" shapeId="0" xr:uid="{00000000-0006-0000-1000-00004A000000}">
      <text>
        <r>
          <rPr>
            <b/>
            <sz val="12"/>
            <color indexed="81"/>
            <rFont val="Tahoma"/>
            <family val="2"/>
          </rPr>
          <t>reportan 2 pero la meta hace referencia al establecimeinto de un sistema de becas y ya existe
Ponen 2 pero se ajustta al 60%</t>
        </r>
      </text>
    </comment>
    <comment ref="AB29" authorId="1" shapeId="0" xr:uid="{00000000-0006-0000-1000-00004B000000}">
      <text>
        <r>
          <rPr>
            <b/>
            <sz val="12"/>
            <color indexed="81"/>
            <rFont val="Tahoma"/>
            <family val="2"/>
          </rPr>
          <t xml:space="preserve">ponen 20% pero dado que En el plan de equipamiento se estructuro la propuesta técnica y Se encuentra en análisis jurídico y financiero. Se replantea en un 80%
</t>
        </r>
      </text>
    </comment>
    <comment ref="AB35" authorId="1" shapeId="0" xr:uid="{00000000-0006-0000-1000-00004C000000}">
      <text>
        <r>
          <rPr>
            <b/>
            <sz val="9"/>
            <color indexed="81"/>
            <rFont val="Tahoma"/>
            <family val="2"/>
          </rPr>
          <t>reportan 0</t>
        </r>
      </text>
    </comment>
    <comment ref="AB37" authorId="1" shapeId="0" xr:uid="{00000000-0006-0000-1000-00004D000000}">
      <text>
        <r>
          <rPr>
            <b/>
            <sz val="9"/>
            <color indexed="81"/>
            <rFont val="Tahoma"/>
            <family val="2"/>
          </rPr>
          <t>reportan 2 pero dadas las actividades queda ejecucion al 100%</t>
        </r>
      </text>
    </comment>
    <comment ref="AB38" authorId="1" shapeId="0" xr:uid="{00000000-0006-0000-1000-00004E000000}">
      <text>
        <r>
          <rPr>
            <b/>
            <sz val="9"/>
            <color indexed="81"/>
            <rFont val="Tahoma"/>
            <family val="2"/>
          </rPr>
          <t>reportan 1 pero dadas las actividades queda ejecucion al 100%</t>
        </r>
      </text>
    </comment>
    <comment ref="AB39" authorId="1" shapeId="0" xr:uid="{00000000-0006-0000-1000-00004F000000}">
      <text>
        <r>
          <rPr>
            <b/>
            <sz val="9"/>
            <color indexed="81"/>
            <rFont val="Tahoma"/>
            <family val="2"/>
          </rPr>
          <t>reportan 2 pero dadas las actividades queda ejecucion al 100%</t>
        </r>
      </text>
    </comment>
    <comment ref="AB56" authorId="1" shapeId="0" xr:uid="{00000000-0006-0000-1000-000050000000}">
      <text>
        <r>
          <rPr>
            <b/>
            <sz val="9"/>
            <color indexed="81"/>
            <rFont val="Tahoma"/>
            <family val="2"/>
          </rPr>
          <t>no reportan nada pero dadas las acciones queda ejecucion al 100%</t>
        </r>
      </text>
    </comment>
    <comment ref="AC56" authorId="1" shapeId="0" xr:uid="{00000000-0006-0000-1000-000051000000}">
      <text>
        <r>
          <rPr>
            <b/>
            <sz val="9"/>
            <color indexed="81"/>
            <rFont val="Tahoma"/>
            <family val="2"/>
          </rPr>
          <t xml:space="preserve">Desarrollo Social reporta: Durante lo transcurrido del horizonte de la PP con corte a diciembre 31 de 2018 se han entregado 202 ayudas técnicas  de 369 solicitudes realizadas así:
• 2016: 114 solicitudes de ayudas técnicas, no se entregaron
• 2017: 166 solicitudes ayudas técnicas, 120 entregas ayudas técnicas
• 2018:  89 solicitudes ayudas técnicas, 82 entregas ayudas técnicas.
% de personas que acceden a ayudas técnicas:
202 /369*100% =54.74%
Las entregas se realizan a la población con dicacidad en condición de vulnerabilidad y después de realizarse visitas de verificación de condiciones socio económico por parte de los profesionales del área psico social del proyecto. </t>
        </r>
      </text>
    </comment>
    <comment ref="AD56" authorId="1" shapeId="0" xr:uid="{00000000-0006-0000-1000-000052000000}">
      <text>
        <r>
          <rPr>
            <b/>
            <sz val="9"/>
            <color indexed="81"/>
            <rFont val="Tahoma"/>
            <family val="2"/>
          </rPr>
          <t>reporta Desarrollo Social: Actas de entrega y registro fotográfico</t>
        </r>
      </text>
    </comment>
    <comment ref="AB58" authorId="1" shapeId="0" xr:uid="{00000000-0006-0000-1000-000053000000}">
      <text>
        <r>
          <rPr>
            <b/>
            <sz val="9"/>
            <color indexed="81"/>
            <rFont val="Tahoma"/>
            <family val="2"/>
          </rPr>
          <t>Lo reporta Secretaria de desarrollo social</t>
        </r>
        <r>
          <rPr>
            <sz val="9"/>
            <color indexed="81"/>
            <rFont val="Tahoma"/>
            <family val="2"/>
          </rPr>
          <t xml:space="preserve">
</t>
        </r>
      </text>
    </comment>
    <comment ref="AC61" authorId="1" shapeId="0" xr:uid="{00000000-0006-0000-1000-000054000000}">
      <text>
        <r>
          <rPr>
            <b/>
            <sz val="9"/>
            <color indexed="81"/>
            <rFont val="Tahoma"/>
            <family val="2"/>
          </rPr>
          <t xml:space="preserve">Desarrollo Social reporta:  La Secretaría de Desarrollo Social y Político, aporta al cumplimiento de la meta, a través del proyecto Implementación de estrategias para el bienestar y desarrollo de la población con discapacidad del municipio de Pereira, el cual comprende atención y direccionamiento a la población  para el restablecimiento de derechos, asesoría y acompañamiento psico social, asesoría jurídica y servicio de interpretación en lengua de señas Colombiana.
En estos componentes en total se realizaron 1054 atenciones (543 hombres y 511 mujeres).
</t>
        </r>
      </text>
    </comment>
    <comment ref="AD61" authorId="1" shapeId="0" xr:uid="{00000000-0006-0000-1000-000055000000}">
      <text>
        <r>
          <rPr>
            <b/>
            <sz val="9"/>
            <color indexed="81"/>
            <rFont val="Tahoma"/>
            <family val="2"/>
          </rPr>
          <t xml:space="preserve">Desarrollo Social reporta: Base de datos, registros SPP y fotográficos. </t>
        </r>
      </text>
    </comment>
    <comment ref="AB75" authorId="1" shapeId="0" xr:uid="{00000000-0006-0000-1000-000056000000}">
      <text>
        <r>
          <rPr>
            <b/>
            <sz val="9"/>
            <color indexed="81"/>
            <rFont val="Tahoma"/>
            <family val="2"/>
          </rPr>
          <t>NO EXITE UN FONDO ESPECIFICO, PERO LA OFERTA INSITUCIONAL ES CON INCLUISÓN, TENEMOS CONTRATOS CON PERSONAS INDEPENDIENTES Y CON PERSONAS JURIDICAS PARA EL CUBRIMIENTO DE LA POBLACION CON GRADO DE DISCAPACIDAD, EN DIFERENTES ZONAS DE LA CIUDAD DE PEREIRA TANTO URBANA COMO RURAL. DEL TOTAL DEL PRESUPUESTO DE LA SECRETARIA DE CULTURA SE DESTINÓ EL 1,32% PARA LA POBLACION CON DISCAPACIDAD.</t>
        </r>
        <r>
          <rPr>
            <sz val="9"/>
            <color indexed="81"/>
            <rFont val="Tahoma"/>
            <family val="2"/>
          </rPr>
          <t xml:space="preserve">
</t>
        </r>
      </text>
    </comment>
    <comment ref="AB76" authorId="1" shapeId="0" xr:uid="{00000000-0006-0000-1000-000057000000}">
      <text>
        <r>
          <rPr>
            <b/>
            <sz val="9"/>
            <color indexed="81"/>
            <rFont val="Tahoma"/>
            <family val="2"/>
          </rPr>
          <t>A traves de 13 organizaciones se dictaron procesos de formación a poblacion con discapacidad.</t>
        </r>
        <r>
          <rPr>
            <sz val="9"/>
            <color indexed="81"/>
            <rFont val="Tahoma"/>
            <family val="2"/>
          </rPr>
          <t xml:space="preserve">
</t>
        </r>
      </text>
    </comment>
    <comment ref="AB77" authorId="1" shapeId="0" xr:uid="{00000000-0006-0000-1000-000058000000}">
      <text>
        <r>
          <rPr>
            <b/>
            <sz val="9"/>
            <color indexed="81"/>
            <rFont val="Tahoma"/>
            <family val="2"/>
          </rPr>
          <t>Reportan 2 y al verificar poblacion beneficiada se deja ejecución al 100%</t>
        </r>
      </text>
    </comment>
    <comment ref="AB78" authorId="1" shapeId="0" xr:uid="{00000000-0006-0000-1000-000059000000}">
      <text>
        <r>
          <rPr>
            <b/>
            <sz val="9"/>
            <color indexed="81"/>
            <rFont val="Tahoma"/>
            <family val="2"/>
          </rPr>
          <t>se reporta: 1. SE TRABAJÓ EL AÑO 2018 CON TRECE (13)  ENTIDADES REGISTRADAS ANTE LA CAMARA DE COMERCIO QUE DENTRO DE SU OBJETO SOCIAL LESTA LA ATENCIÓN DE PRSONAS CON  DISCAPACIDAD.FUNDACION ENFANSES 232, ASOCIACION CULTURAL MESTIZANDO, CORPORACION CASA CREATIVA, CORPORACION CULTURAL ESCENA URBANA, FUNDACION CINDES, FUNDACION COLSALUD, INSTITUTO DE AUDIOLOGIA.</t>
        </r>
      </text>
    </comment>
    <comment ref="AB80" authorId="1" shapeId="0" xr:uid="{00000000-0006-0000-1000-00005A000000}">
      <text>
        <r>
          <rPr>
            <b/>
            <sz val="9"/>
            <color indexed="81"/>
            <rFont val="Tahoma"/>
            <family val="2"/>
          </rPr>
          <t>se reportan 73 personas y la meta eran 50</t>
        </r>
      </text>
    </comment>
    <comment ref="AB82" authorId="1" shapeId="0" xr:uid="{00000000-0006-0000-1000-00005B000000}">
      <text>
        <r>
          <rPr>
            <b/>
            <sz val="9"/>
            <color indexed="81"/>
            <rFont val="Tahoma"/>
            <family val="2"/>
          </rPr>
          <t>Se reporta: 40 Transmisiones en el boletin culturral durante el 2018</t>
        </r>
        <r>
          <rPr>
            <sz val="9"/>
            <color indexed="81"/>
            <rFont val="Tahoma"/>
            <family val="2"/>
          </rPr>
          <t xml:space="preserve">
</t>
        </r>
      </text>
    </comment>
    <comment ref="AB83" authorId="1" shapeId="0" xr:uid="{00000000-0006-0000-1000-00005C000000}">
      <text>
        <r>
          <rPr>
            <b/>
            <sz val="9"/>
            <color indexed="81"/>
            <rFont val="Tahoma"/>
            <family val="2"/>
          </rPr>
          <t>reportan: La Secretaría de Cultura tiene una programacion anual en procesos de formación donde estan incluidas las personas con discapacidad, tambien se programa semanalmente actividades culturales que son articuladas con entidades privadas y publicas como comfamiliar, camara de comercio de pereira, biblioteca banco de la republica, entre otras entidades.</t>
        </r>
      </text>
    </comment>
    <comment ref="AB84" authorId="1" shapeId="0" xr:uid="{00000000-0006-0000-1000-00005D000000}">
      <text>
        <r>
          <rPr>
            <b/>
            <sz val="9"/>
            <color indexed="81"/>
            <rFont val="Tahoma"/>
            <family val="2"/>
          </rPr>
          <t>reportan: Los eventos culturales en la Biblioteca Publica, plazoletas son gratuitos.</t>
        </r>
      </text>
    </comment>
    <comment ref="AB85" authorId="1" shapeId="0" xr:uid="{00000000-0006-0000-1000-00005E000000}">
      <text>
        <r>
          <rPr>
            <b/>
            <sz val="9"/>
            <color indexed="81"/>
            <rFont val="Tahoma"/>
            <family val="2"/>
          </rPr>
          <t>Reportan: El Lucy Tejada tiene acceso al edificio a traves de rampa para silla de ruedas y asecensor que conecta desde el primer piso hasta el 4, en el caso del Parqueadero los vigilantes tienen orden de habilitar el ascensor desde el parqueadero si se trata de personas con discapacidad. En cada piso se tiene baños publicos para esta población. Las plazas publicas donde se realizan eventos culturales se acondicionan con baños, las adecuaciones en espacios publicos dependen de la Secretaría de Infraestructura.</t>
        </r>
        <r>
          <rPr>
            <sz val="9"/>
            <color indexed="81"/>
            <rFont val="Tahoma"/>
            <family val="2"/>
          </rPr>
          <t xml:space="preserve">
</t>
        </r>
      </text>
    </comment>
    <comment ref="AB88" authorId="1" shapeId="0" xr:uid="{00000000-0006-0000-1000-00005F000000}">
      <text>
        <r>
          <rPr>
            <b/>
            <sz val="9"/>
            <color indexed="81"/>
            <rFont val="Tahoma"/>
            <family val="2"/>
          </rPr>
          <t>Repoertan: Esta accion se hace permanentemente con las organizaciones sociales y privadas que dentro de su objeto social, tienen trabajo cultural para personas con discpacidad, cada vez se crece en atención a esta población.</t>
        </r>
        <r>
          <rPr>
            <sz val="9"/>
            <color indexed="81"/>
            <rFont val="Tahoma"/>
            <family val="2"/>
          </rPr>
          <t xml:space="preserve">
</t>
        </r>
      </text>
    </comment>
    <comment ref="AB91" authorId="1" shapeId="0" xr:uid="{00000000-0006-0000-1000-000060000000}">
      <text>
        <r>
          <rPr>
            <b/>
            <sz val="9"/>
            <color indexed="81"/>
            <rFont val="Tahoma"/>
            <family val="2"/>
          </rPr>
          <t>reportan: Emisora Cultural Remigio Antonio Cañarte, garantiza la transmision del programa YO CUENTO con una persona con discapacidad de la Secretaria de Desarrollo Social</t>
        </r>
        <r>
          <rPr>
            <sz val="9"/>
            <color indexed="81"/>
            <rFont val="Tahoma"/>
            <family val="2"/>
          </rPr>
          <t xml:space="preserve">
</t>
        </r>
      </text>
    </comment>
    <comment ref="AB93" authorId="1" shapeId="0" xr:uid="{00000000-0006-0000-1000-000061000000}">
      <text>
        <r>
          <rPr>
            <b/>
            <sz val="9"/>
            <color indexed="81"/>
            <rFont val="Tahoma"/>
            <family val="2"/>
          </rPr>
          <t>reportan 41 pero dadas las actividades desarrolladas se deja ejecución al 100$</t>
        </r>
      </text>
    </comment>
    <comment ref="AB97" authorId="1" shapeId="0" xr:uid="{00000000-0006-0000-1000-000062000000}">
      <text>
        <r>
          <rPr>
            <b/>
            <sz val="9"/>
            <color indexed="81"/>
            <rFont val="Tahoma"/>
            <family val="2"/>
          </rPr>
          <t>Plaenacion reporta:
$ 59`493.306
$ 59`493.306</t>
        </r>
      </text>
    </comment>
    <comment ref="AB98" authorId="1" shapeId="0" xr:uid="{00000000-0006-0000-1000-000063000000}">
      <text>
        <r>
          <rPr>
            <b/>
            <sz val="9"/>
            <color indexed="81"/>
            <rFont val="Tahoma"/>
            <family val="2"/>
          </rPr>
          <t>ponen 1 y la meta es 1 sistema. Por tanto se asigna 100%</t>
        </r>
      </text>
    </comment>
    <comment ref="AB99" authorId="1" shapeId="0" xr:uid="{00000000-0006-0000-1000-000064000000}">
      <text>
        <r>
          <rPr>
            <b/>
            <sz val="9"/>
            <color indexed="81"/>
            <rFont val="Tahoma"/>
            <family val="2"/>
          </rPr>
          <t>se capacitan 71 y se espera 200 a 2011 se deja en 100%</t>
        </r>
      </text>
    </comment>
    <comment ref="AB100" authorId="1" shapeId="0" xr:uid="{00000000-0006-0000-1000-000065000000}">
      <text>
        <r>
          <rPr>
            <b/>
            <sz val="9"/>
            <color indexed="81"/>
            <rFont val="Tahoma"/>
            <family val="2"/>
          </rPr>
          <t>ponen 1 y la meta es 1 sistema. Por tanto se asigna 100%</t>
        </r>
      </text>
    </comment>
    <comment ref="AB102" authorId="1" shapeId="0" xr:uid="{00000000-0006-0000-1000-000066000000}">
      <text>
        <r>
          <rPr>
            <b/>
            <sz val="9"/>
            <color indexed="81"/>
            <rFont val="Tahoma"/>
            <family val="2"/>
          </rPr>
          <t>dada las actividades se deja en 100%</t>
        </r>
      </text>
    </comment>
    <comment ref="AB104" authorId="1" shapeId="0" xr:uid="{00000000-0006-0000-1000-000067000000}">
      <text>
        <r>
          <rPr>
            <b/>
            <sz val="9"/>
            <color indexed="81"/>
            <rFont val="Tahoma"/>
            <family val="2"/>
          </rPr>
          <t>ponen 1 y la meta es 1 sistema. Por tanto se asigna 100%</t>
        </r>
      </text>
    </comment>
    <comment ref="AB105" authorId="1" shapeId="0" xr:uid="{00000000-0006-0000-1000-000068000000}">
      <text>
        <r>
          <rPr>
            <b/>
            <sz val="9"/>
            <color indexed="81"/>
            <rFont val="Tahoma"/>
            <family val="2"/>
          </rPr>
          <t>Con base en las acciones implementadas y las personas beneficiadas se pone 80&amp;</t>
        </r>
      </text>
    </comment>
    <comment ref="AB108" authorId="1" shapeId="0" xr:uid="{00000000-0006-0000-1000-000069000000}">
      <text>
        <r>
          <rPr>
            <b/>
            <sz val="9"/>
            <color indexed="81"/>
            <rFont val="Tahoma"/>
            <family val="2"/>
          </rPr>
          <t>dada las actividades se deja en 70%</t>
        </r>
      </text>
    </comment>
    <comment ref="AB109" authorId="1" shapeId="0" xr:uid="{00000000-0006-0000-1000-00006A000000}">
      <text>
        <r>
          <rPr>
            <b/>
            <sz val="9"/>
            <color indexed="81"/>
            <rFont val="Tahoma"/>
            <family val="2"/>
          </rPr>
          <t>dada las actividades se deja en 70%</t>
        </r>
      </text>
    </comment>
    <comment ref="AB111" authorId="1" shapeId="0" xr:uid="{00000000-0006-0000-1000-00006B000000}">
      <text>
        <r>
          <rPr>
            <b/>
            <sz val="9"/>
            <color indexed="81"/>
            <rFont val="Tahoma"/>
            <family val="2"/>
          </rPr>
          <t>se recomeinda dejar NA para programarlo el proximo año</t>
        </r>
      </text>
    </comment>
    <comment ref="AB113" authorId="1" shapeId="0" xr:uid="{00000000-0006-0000-1000-00006C000000}">
      <text>
        <r>
          <rPr>
            <b/>
            <sz val="9"/>
            <color indexed="81"/>
            <rFont val="Tahoma"/>
            <family val="2"/>
          </rPr>
          <t>dada las actividades se deja en 100%</t>
        </r>
      </text>
    </comment>
    <comment ref="AB115" authorId="1" shapeId="0" xr:uid="{00000000-0006-0000-1000-00006D000000}">
      <text>
        <r>
          <rPr>
            <b/>
            <sz val="9"/>
            <color indexed="81"/>
            <rFont val="Tahoma"/>
            <family val="2"/>
          </rPr>
          <t>dada las actividades se deja en 100%</t>
        </r>
      </text>
    </comment>
    <comment ref="AB119" authorId="1" shapeId="0" xr:uid="{00000000-0006-0000-1000-00006E000000}">
      <text>
        <r>
          <rPr>
            <b/>
            <sz val="9"/>
            <color indexed="81"/>
            <rFont val="Tahoma"/>
            <family val="2"/>
          </rPr>
          <t>ponen 1 y la meta es 1 sistema. Por tanto se asigna 100%</t>
        </r>
      </text>
    </comment>
    <comment ref="AC119" authorId="1" shapeId="0" xr:uid="{00000000-0006-0000-1000-00006F000000}">
      <text>
        <r>
          <rPr>
            <b/>
            <sz val="9"/>
            <color indexed="81"/>
            <rFont val="Tahoma"/>
            <family val="2"/>
          </rPr>
          <t xml:space="preserve">Gobierno reporta: 
se realizó dos  charlas  para la eliminación de mitos hacia la población en condición de discapacidad. 2. Superación de mitos población en condición de discapacidad. Dicha actividad se ejecutó en el centro cultural Lucy tejada población discapacitada, y  la segunda actividad en la Institución educativa Kennedy con
Estudiantes grado 9°
</t>
        </r>
        <r>
          <rPr>
            <sz val="9"/>
            <color indexed="81"/>
            <rFont val="Tahoma"/>
            <family val="2"/>
          </rPr>
          <t xml:space="preserve">
Secretaria de Gobierno reporta: 
se realizó dos  charlas  para la eliminación de mitos hacia la población en condición de discapacidad. 2. Superación de mitos población en condición de discapacidad. Dicha actividad se ejecutó en el centro cultural Lucy tejada población discapacitada, y  la segunda actividad en la Institución educativa Kennedy con
Estudiantes grado 9°
</t>
        </r>
      </text>
    </comment>
    <comment ref="AD119" authorId="1" shapeId="0" xr:uid="{00000000-0006-0000-1000-000070000000}">
      <text>
        <r>
          <rPr>
            <b/>
            <sz val="9"/>
            <color indexed="81"/>
            <rFont val="Tahoma"/>
            <family val="2"/>
          </rPr>
          <t>Secretaria de Gobierno reporta:
documento prorporcionado por el contratista a cargo de dicho proceso, a su vez dicha información se encuetra montada en la pagina del SPP</t>
        </r>
      </text>
    </comment>
    <comment ref="AF119" authorId="1" shapeId="0" xr:uid="{00000000-0006-0000-1000-000071000000}">
      <text>
        <r>
          <rPr>
            <b/>
            <sz val="9"/>
            <color indexed="81"/>
            <rFont val="Tahoma"/>
            <family val="2"/>
          </rPr>
          <t>gobierno: 2805000</t>
        </r>
      </text>
    </comment>
    <comment ref="AG119" authorId="1" shapeId="0" xr:uid="{00000000-0006-0000-1000-000072000000}">
      <text>
        <r>
          <rPr>
            <b/>
            <sz val="9"/>
            <color indexed="81"/>
            <rFont val="Tahoma"/>
            <family val="2"/>
          </rPr>
          <t>Gobierno: 2.805.000</t>
        </r>
      </text>
    </comment>
    <comment ref="AB120" authorId="1" shapeId="0" xr:uid="{00000000-0006-0000-1000-000073000000}">
      <text>
        <r>
          <rPr>
            <b/>
            <sz val="9"/>
            <color indexed="81"/>
            <rFont val="Tahoma"/>
            <family val="2"/>
          </rPr>
          <t>reportan 2 capacitaciones y dado que la meta esta al 2022 se deja en 80%</t>
        </r>
      </text>
    </comment>
    <comment ref="AB126" authorId="1" shapeId="0" xr:uid="{00000000-0006-0000-1000-000074000000}">
      <text>
        <r>
          <rPr>
            <b/>
            <sz val="9"/>
            <color indexed="81"/>
            <rFont val="Tahoma"/>
            <family val="2"/>
          </rPr>
          <t>reportan 2 se deja al 100%</t>
        </r>
      </text>
    </comment>
    <comment ref="AB128" authorId="1" shapeId="0" xr:uid="{00000000-0006-0000-1000-000075000000}">
      <text>
        <r>
          <rPr>
            <b/>
            <sz val="9"/>
            <color indexed="81"/>
            <rFont val="Tahoma"/>
            <family val="2"/>
          </rPr>
          <t>reportan 5 entrenadores dejandolo al 100%</t>
        </r>
      </text>
    </comment>
    <comment ref="AC128" authorId="2" shapeId="0" xr:uid="{00000000-0006-0000-1000-000076000000}">
      <text>
        <r>
          <rPr>
            <sz val="11"/>
            <color rgb="FF000000"/>
            <rFont val="Calibri"/>
            <family val="2"/>
          </rPr>
          <t>cual programa, ampliar la descripción de grupos conformados, lugares, instituciones que participan y logros que se obtuvieron en el 2018.
	-Danny Steven Rodriguez Maya</t>
        </r>
      </text>
    </comment>
    <comment ref="AB129" authorId="1" shapeId="0" xr:uid="{00000000-0006-0000-1000-000077000000}">
      <text>
        <r>
          <rPr>
            <b/>
            <sz val="9"/>
            <color indexed="81"/>
            <rFont val="Tahoma"/>
            <family val="2"/>
          </rPr>
          <t>la meta esta al 2022 y en este año se crearon las escuelas pero se logro avanzar en la esctrutura  para la confromacion 
se deja al 70%</t>
        </r>
      </text>
    </comment>
    <comment ref="AC130" authorId="2" shapeId="0" xr:uid="{00000000-0006-0000-1000-000078000000}">
      <text>
        <r>
          <rPr>
            <sz val="11"/>
            <color rgb="FF000000"/>
            <rFont val="Calibri"/>
            <family val="2"/>
          </rPr>
          <t>falta la evidencia
	-Danny Steven Rodriguez Maya</t>
        </r>
      </text>
    </comment>
    <comment ref="AC134" authorId="2" shapeId="0" xr:uid="{00000000-0006-0000-1000-000079000000}">
      <text>
        <r>
          <rPr>
            <sz val="11"/>
            <color rgb="FF000000"/>
            <rFont val="Calibri"/>
            <family val="2"/>
          </rPr>
          <t>se debe ampliar la infomracion del programa
	-Danny Steven Rodriguez Maya</t>
        </r>
      </text>
    </comment>
    <comment ref="AB135" authorId="1" shapeId="0" xr:uid="{00000000-0006-0000-1000-00007A000000}">
      <text>
        <r>
          <rPr>
            <b/>
            <sz val="9"/>
            <color indexed="81"/>
            <rFont val="Tahoma"/>
            <family val="2"/>
          </rPr>
          <t>reportan 4 recomendando dejarla al 100%</t>
        </r>
      </text>
    </comment>
    <comment ref="AC135" authorId="2" shapeId="0" xr:uid="{00000000-0006-0000-1000-00007B000000}">
      <text>
        <r>
          <rPr>
            <sz val="11"/>
            <color rgb="FF000000"/>
            <rFont val="Calibri"/>
            <family val="2"/>
          </rPr>
          <t>ampliar mas los detalles de las acciones que se desarrollaron durante el año.
	-Danny Steven Rodriguez Maya</t>
        </r>
      </text>
    </comment>
    <comment ref="AB138" authorId="1" shapeId="0" xr:uid="{00000000-0006-0000-1000-00007C000000}">
      <text>
        <r>
          <rPr>
            <b/>
            <sz val="9"/>
            <color indexed="81"/>
            <rFont val="Tahoma"/>
            <family val="2"/>
          </rPr>
          <t>reportan 3 recomendando dejarla al 100%</t>
        </r>
      </text>
    </comment>
    <comment ref="AD138" authorId="2" shapeId="0" xr:uid="{00000000-0006-0000-1000-00007D000000}">
      <text>
        <r>
          <rPr>
            <sz val="11"/>
            <color rgb="FF000000"/>
            <rFont val="Calibri"/>
            <family val="2"/>
          </rPr>
          <t>donde se pueden encontrar los convenios?
	-Danny Steven Rodriguez Maya</t>
        </r>
      </text>
    </comment>
    <comment ref="AB144" authorId="1" shapeId="0" xr:uid="{00000000-0006-0000-1000-00007E000000}">
      <text>
        <r>
          <rPr>
            <b/>
            <sz val="9"/>
            <color indexed="81"/>
            <rFont val="Tahoma"/>
            <family val="2"/>
          </rPr>
          <t>Con base en las acciones implementadas y las personas beneficiadas se pone 100%</t>
        </r>
      </text>
    </comment>
    <comment ref="AB153" authorId="1" shapeId="0" xr:uid="{00000000-0006-0000-1000-00007F000000}">
      <text>
        <r>
          <rPr>
            <b/>
            <sz val="9"/>
            <color indexed="81"/>
            <rFont val="Tahoma"/>
            <family val="2"/>
          </rPr>
          <t>no reportan nada pero dadas las observaciones que se copian en las actividades queda al 100% en ejecucion</t>
        </r>
      </text>
    </comment>
    <comment ref="AB154" authorId="1" shapeId="0" xr:uid="{00000000-0006-0000-1000-000080000000}">
      <text>
        <r>
          <rPr>
            <b/>
            <sz val="9"/>
            <color indexed="81"/>
            <rFont val="Tahoma"/>
            <family val="2"/>
          </rPr>
          <t>reportan 8 mejoramientos recursos propios y 11 DPS. Quedando en ejecucion del 100%</t>
        </r>
      </text>
    </comment>
    <comment ref="AC164" authorId="1" shapeId="0" xr:uid="{00000000-0006-0000-1000-000081000000}">
      <text>
        <r>
          <rPr>
            <b/>
            <sz val="12"/>
            <color indexed="81"/>
            <rFont val="Tahoma"/>
            <family val="2"/>
          </rPr>
          <t>Se propone poner NA y llevarla a compromisos para el 2019</t>
        </r>
      </text>
    </comment>
    <comment ref="AB165" authorId="1" shapeId="0" xr:uid="{00000000-0006-0000-1000-000082000000}">
      <text>
        <r>
          <rPr>
            <b/>
            <sz val="9"/>
            <color indexed="81"/>
            <rFont val="Tahoma"/>
            <family val="2"/>
          </rPr>
          <t>ponen 1 y como la meta e 1 campaña se asigna 100%</t>
        </r>
      </text>
    </comment>
    <comment ref="AB166" authorId="1" shapeId="0" xr:uid="{00000000-0006-0000-1000-000083000000}">
      <text>
        <r>
          <rPr>
            <b/>
            <sz val="9"/>
            <color indexed="81"/>
            <rFont val="Tahoma"/>
            <family val="2"/>
          </rPr>
          <t>Estrateguia abordada desde el centro de empleo yse recomienda realizar una descripción en 2019 para determinar posible cuantificacion</t>
        </r>
      </text>
    </comment>
    <comment ref="AB168" authorId="1" shapeId="0" xr:uid="{00000000-0006-0000-1000-000084000000}">
      <text>
        <r>
          <rPr>
            <b/>
            <sz val="9"/>
            <color indexed="81"/>
            <rFont val="Tahoma"/>
            <family val="2"/>
          </rPr>
          <t>Reporta en blanco</t>
        </r>
      </text>
    </comment>
    <comment ref="AB170" authorId="1" shapeId="0" xr:uid="{00000000-0006-0000-1000-000085000000}">
      <text>
        <r>
          <rPr>
            <b/>
            <sz val="12"/>
            <color indexed="81"/>
            <rFont val="Tahoma"/>
            <family val="2"/>
          </rPr>
          <t>Reportan 73 y la meta era 5 por tanto se deja en 100%</t>
        </r>
      </text>
    </comment>
    <comment ref="AC174" authorId="1" shapeId="0" xr:uid="{00000000-0006-0000-1000-000086000000}">
      <text>
        <r>
          <rPr>
            <b/>
            <sz val="9"/>
            <color indexed="81"/>
            <rFont val="Tahoma"/>
            <family val="2"/>
          </rPr>
          <t xml:space="preserve">Desarrollo Social reporta:
Durante la vigencia 2018 en el marco de la campaña de Difusión a empleadores sobre los beneficios en la inclusión laboral de personas con discapacidad y de promoción de la RSE en materia de discapacidad, se realizaron  29  visitas de sensibilización a las siguientes empresas:
TCC S.A.S, Envía, Makro, Cerámica Italia, Bhip Global, Mini- Mercado, Aras, Calzado Bucaramanga, Vidriera Otún, Normarh S.A.S, Dollar City, Gran Hotel, Busccar, Suzuki, Ferretería, Tpl Montaje, Club de billares Quirama, Peláez Hermanos, Suite real, Hotel Luxor, Audifarma, Casa Ortopédica, Comfamiliar, seguridad nacional, Centro de Empleo), Comité de cafeteros, Cooperativa de Cafeteros, Hotel Soratama, Fundación SINAPSIS.
</t>
        </r>
      </text>
    </comment>
    <comment ref="AF176" authorId="1" shapeId="0" xr:uid="{00000000-0006-0000-1000-000087000000}">
      <text>
        <r>
          <rPr>
            <b/>
            <sz val="9"/>
            <color indexed="81"/>
            <rFont val="Tahoma"/>
            <family val="2"/>
          </rPr>
          <t>reporta Desarrollo Social</t>
        </r>
      </text>
    </comment>
    <comment ref="AG176" authorId="1" shapeId="0" xr:uid="{00000000-0006-0000-1000-000088000000}">
      <text>
        <r>
          <rPr>
            <b/>
            <sz val="9"/>
            <color indexed="81"/>
            <rFont val="Tahoma"/>
            <family val="2"/>
          </rPr>
          <t>reporta Desarrollo Social</t>
        </r>
        <r>
          <rPr>
            <sz val="9"/>
            <color indexed="81"/>
            <rFont val="Tahoma"/>
            <family val="2"/>
          </rPr>
          <t xml:space="preserve">
</t>
        </r>
      </text>
    </comment>
    <comment ref="AH176" authorId="1" shapeId="0" xr:uid="{00000000-0006-0000-1000-000089000000}">
      <text>
        <r>
          <rPr>
            <b/>
            <sz val="9"/>
            <color indexed="81"/>
            <rFont val="Tahoma"/>
            <family val="2"/>
          </rPr>
          <t>reporta Desarrollo Social</t>
        </r>
        <r>
          <rPr>
            <sz val="9"/>
            <color indexed="81"/>
            <rFont val="Tahoma"/>
            <family val="2"/>
          </rPr>
          <t xml:space="preserve">
</t>
        </r>
      </text>
    </comment>
    <comment ref="AJ176" authorId="1" shapeId="0" xr:uid="{00000000-0006-0000-1000-00008A000000}">
      <text>
        <r>
          <rPr>
            <b/>
            <sz val="9"/>
            <color indexed="81"/>
            <rFont val="Tahoma"/>
            <family val="2"/>
          </rPr>
          <t>reporta Desarrollo Social</t>
        </r>
        <r>
          <rPr>
            <sz val="9"/>
            <color indexed="81"/>
            <rFont val="Tahoma"/>
            <family val="2"/>
          </rPr>
          <t xml:space="preserve">
</t>
        </r>
      </text>
    </comment>
    <comment ref="AB178" authorId="1" shapeId="0" xr:uid="{00000000-0006-0000-1000-00008B000000}">
      <text>
        <r>
          <rPr>
            <b/>
            <sz val="12"/>
            <color indexed="81"/>
            <rFont val="Tahoma"/>
            <family val="2"/>
          </rPr>
          <t>ponen 1 que se puede relaiconar con el centro de empleo por tanto quedo 100%</t>
        </r>
      </text>
    </comment>
    <comment ref="AB181" authorId="1" shapeId="0" xr:uid="{00000000-0006-0000-1000-00008C000000}">
      <text>
        <r>
          <rPr>
            <b/>
            <sz val="12"/>
            <color indexed="81"/>
            <rFont val="Tahoma"/>
            <family val="2"/>
          </rPr>
          <t>ponen 13 que se puede relaiconar con el centro de empleo por tanto quedo 100%</t>
        </r>
      </text>
    </comment>
    <comment ref="AC181" authorId="1" shapeId="0" xr:uid="{00000000-0006-0000-1000-00008D000000}">
      <text>
        <r>
          <rPr>
            <b/>
            <sz val="9"/>
            <color indexed="81"/>
            <rFont val="Tahoma"/>
            <family val="2"/>
          </rPr>
          <t xml:space="preserve">La Secretaría de Desarrollo Social y Político contribuye al cumplimiento de esta meta mediante la elaboración de perfiles ocupacionales de las personas con discapacidad que requieren del servicio  y están  en busca de una oportunidad laboral, después de realizado el perfil este es enviado a las agencias de empleo del SENA y de Comfamiliar.
Durante la vigencia 2018, la psicóloga del proyecto de discapacidad realizó 44 perfiles ocupacionales (26 hombres y 18 mujeres.
</t>
        </r>
        <r>
          <rPr>
            <sz val="9"/>
            <color indexed="81"/>
            <rFont val="Tahoma"/>
            <family val="2"/>
          </rPr>
          <t xml:space="preserve">
</t>
        </r>
      </text>
    </comment>
    <comment ref="AD181" authorId="1" shapeId="0" xr:uid="{00000000-0006-0000-1000-00008E000000}">
      <text>
        <r>
          <rPr>
            <b/>
            <sz val="9"/>
            <color indexed="81"/>
            <rFont val="Tahoma"/>
            <family val="2"/>
          </rPr>
          <t>Desarrollo Social reporta: Perfiles ocupacionales escaneados</t>
        </r>
        <r>
          <rPr>
            <sz val="9"/>
            <color indexed="81"/>
            <rFont val="Tahoma"/>
            <family val="2"/>
          </rPr>
          <t xml:space="preserve">
</t>
        </r>
      </text>
    </comment>
    <comment ref="AF181" authorId="1" shapeId="0" xr:uid="{00000000-0006-0000-1000-00008F000000}">
      <text>
        <r>
          <rPr>
            <b/>
            <sz val="9"/>
            <color indexed="81"/>
            <rFont val="Tahoma"/>
            <family val="2"/>
          </rPr>
          <t>15648800  lo pone Desarrollo Social</t>
        </r>
      </text>
    </comment>
    <comment ref="AG181" authorId="1" shapeId="0" xr:uid="{00000000-0006-0000-1000-000090000000}">
      <text>
        <r>
          <rPr>
            <b/>
            <sz val="9"/>
            <color indexed="81"/>
            <rFont val="Tahoma"/>
            <family val="2"/>
          </rPr>
          <t xml:space="preserve">2694000  lo pone desarrollo social
</t>
        </r>
      </text>
    </comment>
    <comment ref="AH181" authorId="1" shapeId="0" xr:uid="{00000000-0006-0000-1000-000091000000}">
      <text>
        <r>
          <rPr>
            <b/>
            <sz val="9"/>
            <color indexed="81"/>
            <rFont val="Tahoma"/>
            <family val="2"/>
          </rPr>
          <t>12954600 
lo pone desarrollo social</t>
        </r>
      </text>
    </comment>
    <comment ref="AJ181" authorId="1" shapeId="0" xr:uid="{00000000-0006-0000-1000-000092000000}">
      <text>
        <r>
          <rPr>
            <b/>
            <sz val="9"/>
            <color indexed="81"/>
            <rFont val="Tahoma"/>
            <family val="2"/>
          </rPr>
          <t xml:space="preserve">44 desarrollo social
</t>
        </r>
      </text>
    </comment>
    <comment ref="AK181" authorId="1" shapeId="0" xr:uid="{00000000-0006-0000-1000-000093000000}">
      <text>
        <r>
          <rPr>
            <b/>
            <sz val="9"/>
            <color indexed="81"/>
            <rFont val="Tahoma"/>
            <family val="2"/>
          </rPr>
          <t>26 desarrollo social</t>
        </r>
      </text>
    </comment>
    <comment ref="AN181" authorId="1" shapeId="0" xr:uid="{00000000-0006-0000-1000-000094000000}">
      <text>
        <r>
          <rPr>
            <b/>
            <sz val="9"/>
            <color indexed="81"/>
            <rFont val="Tahoma"/>
            <family val="2"/>
          </rPr>
          <t>2 desarrollo social</t>
        </r>
      </text>
    </comment>
    <comment ref="AQ181" authorId="1" shapeId="0" xr:uid="{00000000-0006-0000-1000-000095000000}">
      <text>
        <r>
          <rPr>
            <b/>
            <sz val="9"/>
            <color indexed="81"/>
            <rFont val="Tahoma"/>
            <family val="2"/>
          </rPr>
          <t>1 desarrollo social</t>
        </r>
      </text>
    </comment>
    <comment ref="AR181" authorId="1" shapeId="0" xr:uid="{00000000-0006-0000-1000-000096000000}">
      <text>
        <r>
          <rPr>
            <b/>
            <sz val="9"/>
            <color indexed="81"/>
            <rFont val="Tahoma"/>
            <family val="2"/>
          </rPr>
          <t>23 desarrollo social</t>
        </r>
      </text>
    </comment>
    <comment ref="AS181" authorId="1" shapeId="0" xr:uid="{00000000-0006-0000-1000-000097000000}">
      <text>
        <r>
          <rPr>
            <b/>
            <sz val="9"/>
            <color indexed="81"/>
            <rFont val="Tahoma"/>
            <family val="2"/>
          </rPr>
          <t>15 desarrollo social</t>
        </r>
      </text>
    </comment>
    <comment ref="AT181" authorId="1" shapeId="0" xr:uid="{00000000-0006-0000-1000-000098000000}">
      <text>
        <r>
          <rPr>
            <b/>
            <sz val="9"/>
            <color indexed="81"/>
            <rFont val="Tahoma"/>
            <family val="2"/>
          </rPr>
          <t>5 desarrollo social</t>
        </r>
      </text>
    </comment>
    <comment ref="AW181" authorId="1" shapeId="0" xr:uid="{00000000-0006-0000-1000-000099000000}">
      <text>
        <r>
          <rPr>
            <b/>
            <sz val="9"/>
            <color indexed="81"/>
            <rFont val="Tahoma"/>
            <family val="2"/>
          </rPr>
          <t>44 desarrollo social</t>
        </r>
      </text>
    </comment>
    <comment ref="BD181" authorId="1" shapeId="0" xr:uid="{00000000-0006-0000-1000-00009A000000}">
      <text>
        <r>
          <rPr>
            <b/>
            <sz val="9"/>
            <color indexed="81"/>
            <rFont val="Tahoma"/>
            <family val="2"/>
          </rPr>
          <t>44 desarrollo social</t>
        </r>
      </text>
    </comment>
    <comment ref="AB184" authorId="1" shapeId="0" xr:uid="{00000000-0006-0000-1000-00009B000000}">
      <text>
        <r>
          <rPr>
            <b/>
            <sz val="12"/>
            <color indexed="81"/>
            <rFont val="Tahoma"/>
            <family val="2"/>
          </rPr>
          <t>Competitividad pone 37 y la meta es 50 se haya proporcion 
Desarrollo Social pone 15
en total se cumple al 100%</t>
        </r>
      </text>
    </comment>
    <comment ref="AC184" authorId="1" shapeId="0" xr:uid="{00000000-0006-0000-1000-00009C000000}">
      <text>
        <r>
          <rPr>
            <b/>
            <sz val="9"/>
            <color indexed="81"/>
            <rFont val="Tahoma"/>
            <family val="2"/>
          </rPr>
          <t xml:space="preserve">desarrollo Social reporta: La SDSYP a través del proyecto de discapacidad contribuyo al cumplimiento de la meta durante la vigencia 2018 con el apoyo y acompañamiento a 15  procesos de emprendimiento así:
• Confección, reparación de sillas de ruedas.
• fábrica de rodachines.
• Elaboración de alfabeto braille y pulsones de braile
• Asesoría en eventos sociales
• criaderos de gallinas y peces
• Proyecto  de guianza para las usuarios de UKUMARI
• Puesto de comida chatarra
• Tienda o miscelánea
• Confección de traje para montar a caballo
• Empresa de eventos sociales
• Revueltería 
• Creación de juegos de futbolín en madera                                                                                                     * Panaderia                                                                                                                                                                           *masajes corporales                                                                                                                                                       * cuidadoras que realizan manualidades
</t>
        </r>
        <r>
          <rPr>
            <sz val="9"/>
            <color indexed="81"/>
            <rFont val="Tahoma"/>
            <family val="2"/>
          </rPr>
          <t xml:space="preserve">
</t>
        </r>
      </text>
    </comment>
    <comment ref="AF184" authorId="1" shapeId="0" xr:uid="{00000000-0006-0000-1000-00009D000000}">
      <text>
        <r>
          <rPr>
            <b/>
            <sz val="9"/>
            <color indexed="81"/>
            <rFont val="Tahoma"/>
            <family val="2"/>
          </rPr>
          <t>Desarrollo Social pone 14134400</t>
        </r>
      </text>
    </comment>
    <comment ref="AB189" authorId="1" shapeId="0" xr:uid="{00000000-0006-0000-1000-00009E000000}">
      <text>
        <r>
          <rPr>
            <b/>
            <sz val="9"/>
            <color indexed="81"/>
            <rFont val="Tahoma"/>
            <family val="2"/>
          </rPr>
          <t>Se propone programarla para 2019 para dejarla como NP (No Programada)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
  </authors>
  <commentList>
    <comment ref="U2" authorId="0" shapeId="0" xr:uid="{00000000-0006-0000-11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W2" authorId="0" shapeId="0" xr:uid="{00000000-0006-0000-1100-000002000000}">
      <text>
        <r>
          <rPr>
            <b/>
            <sz val="12"/>
            <color indexed="81"/>
            <rFont val="Tahoma"/>
            <family val="2"/>
          </rPr>
          <t xml:space="preserve">Comente como desarrollo la acción de la Política Pública por medio de actividades, describiendo el Lugar, Temas desarrollados, etc. </t>
        </r>
      </text>
    </comment>
    <comment ref="X2" authorId="0" shapeId="0" xr:uid="{00000000-0006-0000-1100-000003000000}">
      <text>
        <r>
          <rPr>
            <b/>
            <sz val="12"/>
            <color indexed="81"/>
            <rFont val="Tahoma"/>
            <family val="2"/>
          </rPr>
          <t>Describa que evidencias reposan en el desarrollo de la acción, contratos, actas, fotos, registros de asistencia, informes, documentos, videos, etc</t>
        </r>
      </text>
    </comment>
    <comment ref="Y2" authorId="0" shapeId="0" xr:uid="{00000000-0006-0000-1100-000004000000}">
      <text>
        <r>
          <rPr>
            <b/>
            <sz val="12"/>
            <color indexed="81"/>
            <rFont val="Tahoma"/>
            <family val="2"/>
          </rPr>
          <t xml:space="preserve">Comente que problemas, necesidades, aciertos y/o recomendacion se cuentan en el desarrollo de la acción. </t>
        </r>
      </text>
    </comment>
    <comment ref="BI2" authorId="0" shapeId="0" xr:uid="{00000000-0006-0000-1100-000005000000}">
      <text>
        <r>
          <rPr>
            <b/>
            <sz val="9"/>
            <color indexed="81"/>
            <rFont val="Tahoma"/>
            <family val="2"/>
          </rPr>
          <t>La Sección de Matriz de Focalización de Recursos Ecosistémicos se diligencia cuando la acción va dirigida a un Recurso Natural, Fauna y Flora.</t>
        </r>
      </text>
    </comment>
    <comment ref="BN2" authorId="0" shapeId="0" xr:uid="{00000000-0006-0000-1100-000006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BP2" authorId="0" shapeId="0" xr:uid="{00000000-0006-0000-1100-000007000000}">
      <text>
        <r>
          <rPr>
            <b/>
            <sz val="12"/>
            <color indexed="81"/>
            <rFont val="Tahoma"/>
            <family val="2"/>
          </rPr>
          <t xml:space="preserve">Comente como desarrollo la acción de la Política Pública por medio de actividades, describiendo el Lugar, Temas desarrollados, etc. </t>
        </r>
      </text>
    </comment>
    <comment ref="BQ2" authorId="0" shapeId="0" xr:uid="{00000000-0006-0000-1100-000008000000}">
      <text>
        <r>
          <rPr>
            <b/>
            <sz val="12"/>
            <color indexed="81"/>
            <rFont val="Tahoma"/>
            <family val="2"/>
          </rPr>
          <t>Describa que evidencias reposan en el desarrollo de la acción, contratos, actas, fotos, registros de asistencia, informes, documentos, videos, etc</t>
        </r>
      </text>
    </comment>
    <comment ref="BR2" authorId="0" shapeId="0" xr:uid="{00000000-0006-0000-1100-000009000000}">
      <text>
        <r>
          <rPr>
            <b/>
            <sz val="12"/>
            <color indexed="81"/>
            <rFont val="Tahoma"/>
            <family val="2"/>
          </rPr>
          <t xml:space="preserve">Comente que problemas, necesidades, aciertos y/o recomendacion se cuentan en el desarrollo de la acción. </t>
        </r>
      </text>
    </comment>
    <comment ref="DB2" authorId="0" shapeId="0" xr:uid="{00000000-0006-0000-1100-00000A000000}">
      <text>
        <r>
          <rPr>
            <b/>
            <sz val="9"/>
            <color indexed="81"/>
            <rFont val="Tahoma"/>
            <family val="2"/>
          </rPr>
          <t>La Sección de Matriz de Focalización de Recursos Ecosistémicos se diligencia cuando la acción va dirigida a un Recurso Natural, Fauna y Flora.</t>
        </r>
      </text>
    </comment>
    <comment ref="DH2" authorId="0" shapeId="0" xr:uid="{00000000-0006-0000-1100-00000B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K2" authorId="0" shapeId="0" xr:uid="{00000000-0006-0000-1100-00000C000000}">
      <text>
        <r>
          <rPr>
            <b/>
            <sz val="12"/>
            <color indexed="81"/>
            <rFont val="Tahoma"/>
            <family val="2"/>
          </rPr>
          <t xml:space="preserve">Comente como desarrollo la acción de la Política Pública por medio de actividades, describiendo el Lugar, Temas desarrollados, etc. </t>
        </r>
      </text>
    </comment>
    <comment ref="DL2" authorId="0" shapeId="0" xr:uid="{00000000-0006-0000-1100-00000D000000}">
      <text>
        <r>
          <rPr>
            <b/>
            <sz val="12"/>
            <color indexed="81"/>
            <rFont val="Tahoma"/>
            <family val="2"/>
          </rPr>
          <t>Describa que evidencias reposan en el desarrollo de la acción, contratos, actas, fotos, registros de asistencia, informes, documentos, videos, etc</t>
        </r>
      </text>
    </comment>
    <comment ref="DM2" authorId="0" shapeId="0" xr:uid="{00000000-0006-0000-1100-00000E000000}">
      <text>
        <r>
          <rPr>
            <b/>
            <sz val="12"/>
            <color indexed="81"/>
            <rFont val="Tahoma"/>
            <family val="2"/>
          </rPr>
          <t xml:space="preserve">Comente que problemas, necesidades, aciertos y/o recomendacion se cuentan en el desarrollo de la acción. </t>
        </r>
      </text>
    </comment>
    <comment ref="EW2" authorId="0" shapeId="0" xr:uid="{00000000-0006-0000-1100-00000F000000}">
      <text>
        <r>
          <rPr>
            <b/>
            <sz val="9"/>
            <color indexed="81"/>
            <rFont val="Tahoma"/>
            <family val="2"/>
          </rPr>
          <t>La Sección de Matriz de Focalización de Recursos Ecosistémicos se diligencia cuando la acción va dirigida a un Recurso Natural, Fauna y Flora.</t>
        </r>
      </text>
    </comment>
    <comment ref="Z3" authorId="0" shapeId="0" xr:uid="{00000000-0006-0000-1100-000010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AA3" authorId="0" shapeId="0" xr:uid="{00000000-0006-0000-1100-000011000000}">
      <text>
        <r>
          <rPr>
            <b/>
            <sz val="12"/>
            <color indexed="81"/>
            <rFont val="Tahoma"/>
            <family val="2"/>
          </rPr>
          <t>Detalle la cantidad de recursos invertidos del fondo de recursos propios (presupuestos corrientes del Municipio de Pereira)</t>
        </r>
      </text>
    </comment>
    <comment ref="AB3" authorId="0" shapeId="0" xr:uid="{00000000-0006-0000-1100-000012000000}">
      <text>
        <r>
          <rPr>
            <b/>
            <sz val="12"/>
            <color indexed="81"/>
            <rFont val="Tahoma"/>
            <family val="2"/>
          </rPr>
          <t>Detalle la cantidad de recursos invertidos del fondo de recursos del Sistema General de Participaciones (Recursos Girados desde la Nación por el SGP)</t>
        </r>
      </text>
    </comment>
    <comment ref="AC3" authorId="0" shapeId="0" xr:uid="{00000000-0006-0000-1100-000013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AD3" authorId="0" shapeId="0" xr:uid="{00000000-0006-0000-1100-000014000000}">
      <text>
        <r>
          <rPr>
            <b/>
            <sz val="12"/>
            <color indexed="81"/>
            <rFont val="Tahoma"/>
            <family val="2"/>
          </rPr>
          <t>Detalle el número de personas atendidas en cada acción.</t>
        </r>
      </text>
    </comment>
    <comment ref="AE3" authorId="0" shapeId="0" xr:uid="{00000000-0006-0000-1100-000015000000}">
      <text>
        <r>
          <rPr>
            <b/>
            <sz val="12"/>
            <color indexed="81"/>
            <rFont val="Tahoma"/>
            <family val="2"/>
          </rPr>
          <t>Según el total de personas atendidas descrimine los valores según su genero.</t>
        </r>
      </text>
    </comment>
    <comment ref="AG3" authorId="0" shapeId="0" xr:uid="{00000000-0006-0000-1100-000016000000}">
      <text>
        <r>
          <rPr>
            <b/>
            <sz val="12"/>
            <color indexed="81"/>
            <rFont val="Tahoma"/>
            <family val="2"/>
          </rPr>
          <t>Según el total de personas atendidas descrimine los valores según su zona.</t>
        </r>
      </text>
    </comment>
    <comment ref="AI3" authorId="0" shapeId="0" xr:uid="{00000000-0006-0000-1100-000017000000}">
      <text>
        <r>
          <rPr>
            <b/>
            <sz val="12"/>
            <color indexed="81"/>
            <rFont val="Tahoma"/>
            <family val="2"/>
          </rPr>
          <t>Según el total de personas atendidas descrimine los valores según ciclos de edad.</t>
        </r>
      </text>
    </comment>
    <comment ref="AP3" authorId="0" shapeId="0" xr:uid="{00000000-0006-0000-1100-000018000000}">
      <text>
        <r>
          <rPr>
            <b/>
            <sz val="12"/>
            <color indexed="81"/>
            <rFont val="Tahoma"/>
            <family val="2"/>
          </rPr>
          <t>Según el total de personas atendidas descrimine los valores según su condición.</t>
        </r>
      </text>
    </comment>
    <comment ref="AX3" authorId="0" shapeId="0" xr:uid="{00000000-0006-0000-1100-000019000000}">
      <text>
        <r>
          <rPr>
            <b/>
            <sz val="12"/>
            <color indexed="81"/>
            <rFont val="Tahoma"/>
            <family val="2"/>
          </rPr>
          <t>Según el total de personas atendidas descrimine los valores según su etnia.</t>
        </r>
      </text>
    </comment>
    <comment ref="BD3" authorId="0" shapeId="0" xr:uid="{00000000-0006-0000-1100-00001A000000}">
      <text>
        <r>
          <rPr>
            <b/>
            <sz val="12"/>
            <color indexed="81"/>
            <rFont val="Tahoma"/>
            <family val="2"/>
          </rPr>
          <t>En el caso que la acción este dirigida a una organización,  diligenciar el tipo de organización beneficiada.</t>
        </r>
      </text>
    </comment>
    <comment ref="BE3" authorId="0" shapeId="0" xr:uid="{00000000-0006-0000-1100-00001B000000}">
      <text>
        <r>
          <rPr>
            <b/>
            <sz val="12"/>
            <color indexed="81"/>
            <rFont val="Tahoma"/>
            <family val="2"/>
          </rPr>
          <t>Describir el objeto principal de la institución u organización beneficiada.</t>
        </r>
      </text>
    </comment>
    <comment ref="BI3" authorId="0" shapeId="0" xr:uid="{00000000-0006-0000-1100-00001C000000}">
      <text>
        <r>
          <rPr>
            <b/>
            <sz val="12"/>
            <color indexed="81"/>
            <rFont val="Tahoma"/>
            <family val="2"/>
          </rPr>
          <t xml:space="preserve">Diligenciar si son: 
30 Caninos 
100 Arboles plantados  
2 cuencas recuperadas etc
</t>
        </r>
      </text>
    </comment>
    <comment ref="BJ3" authorId="0" shapeId="0" xr:uid="{00000000-0006-0000-1100-00001D000000}">
      <text>
        <r>
          <rPr>
            <b/>
            <sz val="12"/>
            <color indexed="81"/>
            <rFont val="Tahoma"/>
            <family val="2"/>
          </rPr>
          <t>Marcar con una X el tipo de recurso que se beneficio según la acción.</t>
        </r>
      </text>
    </comment>
    <comment ref="BS3" authorId="0" shapeId="0" xr:uid="{00000000-0006-0000-1100-00001E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BT3" authorId="0" shapeId="0" xr:uid="{00000000-0006-0000-1100-00001F000000}">
      <text>
        <r>
          <rPr>
            <b/>
            <sz val="12"/>
            <color indexed="81"/>
            <rFont val="Tahoma"/>
            <family val="2"/>
          </rPr>
          <t>Detalle la cantidad de recursos invertidos del fondo de recursos propios (presupuestos corrientes del Municipio de Pereira)</t>
        </r>
      </text>
    </comment>
    <comment ref="BU3" authorId="0" shapeId="0" xr:uid="{00000000-0006-0000-1100-000020000000}">
      <text>
        <r>
          <rPr>
            <b/>
            <sz val="12"/>
            <color indexed="81"/>
            <rFont val="Tahoma"/>
            <family val="2"/>
          </rPr>
          <t>Detalle la cantidad de recursos invertidos del fondo de recursos del Sistema General de Participaciones (Recursos Girados desde la Nación por el SGP)</t>
        </r>
      </text>
    </comment>
    <comment ref="BV3" authorId="0" shapeId="0" xr:uid="{00000000-0006-0000-1100-000021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BW3" authorId="0" shapeId="0" xr:uid="{00000000-0006-0000-1100-000022000000}">
      <text>
        <r>
          <rPr>
            <b/>
            <sz val="12"/>
            <color indexed="81"/>
            <rFont val="Tahoma"/>
            <family val="2"/>
          </rPr>
          <t>Detalle el número de personas atendidas en cada acción.</t>
        </r>
      </text>
    </comment>
    <comment ref="BX3" authorId="0" shapeId="0" xr:uid="{00000000-0006-0000-1100-000023000000}">
      <text>
        <r>
          <rPr>
            <b/>
            <sz val="12"/>
            <color indexed="81"/>
            <rFont val="Tahoma"/>
            <family val="2"/>
          </rPr>
          <t>Según el total de personas atendidas descrimine los valores según su genero.</t>
        </r>
      </text>
    </comment>
    <comment ref="BZ3" authorId="0" shapeId="0" xr:uid="{00000000-0006-0000-1100-000024000000}">
      <text>
        <r>
          <rPr>
            <b/>
            <sz val="12"/>
            <color indexed="81"/>
            <rFont val="Tahoma"/>
            <family val="2"/>
          </rPr>
          <t>Según el total de personas atendidas descrimine los valores según su zona.</t>
        </r>
      </text>
    </comment>
    <comment ref="CB3" authorId="0" shapeId="0" xr:uid="{00000000-0006-0000-1100-000025000000}">
      <text>
        <r>
          <rPr>
            <b/>
            <sz val="12"/>
            <color indexed="81"/>
            <rFont val="Tahoma"/>
            <family val="2"/>
          </rPr>
          <t>Según el total de personas atendidas descrimine los valores según ciclos de edad.</t>
        </r>
      </text>
    </comment>
    <comment ref="CI3" authorId="0" shapeId="0" xr:uid="{00000000-0006-0000-1100-000026000000}">
      <text>
        <r>
          <rPr>
            <b/>
            <sz val="12"/>
            <color indexed="81"/>
            <rFont val="Tahoma"/>
            <family val="2"/>
          </rPr>
          <t>Según el total de personas atendidas descrimine los valores según su condición.</t>
        </r>
      </text>
    </comment>
    <comment ref="CQ3" authorId="0" shapeId="0" xr:uid="{00000000-0006-0000-1100-000027000000}">
      <text>
        <r>
          <rPr>
            <b/>
            <sz val="12"/>
            <color indexed="81"/>
            <rFont val="Tahoma"/>
            <family val="2"/>
          </rPr>
          <t>Según el total de personas atendidas descrimine los valores según su etnia.</t>
        </r>
      </text>
    </comment>
    <comment ref="CW3" authorId="0" shapeId="0" xr:uid="{00000000-0006-0000-1100-000028000000}">
      <text>
        <r>
          <rPr>
            <b/>
            <sz val="12"/>
            <color indexed="81"/>
            <rFont val="Tahoma"/>
            <family val="2"/>
          </rPr>
          <t>En el caso que la acción este dirigida a una organización,  diligenciar el tipo de organización beneficiada.</t>
        </r>
      </text>
    </comment>
    <comment ref="CX3" authorId="0" shapeId="0" xr:uid="{00000000-0006-0000-1100-000029000000}">
      <text>
        <r>
          <rPr>
            <b/>
            <sz val="12"/>
            <color indexed="81"/>
            <rFont val="Tahoma"/>
            <family val="2"/>
          </rPr>
          <t>Describir el objeto principal de la institución u organización beneficiada.</t>
        </r>
      </text>
    </comment>
    <comment ref="DB3" authorId="0" shapeId="0" xr:uid="{00000000-0006-0000-1100-00002A000000}">
      <text>
        <r>
          <rPr>
            <b/>
            <sz val="12"/>
            <color indexed="81"/>
            <rFont val="Tahoma"/>
            <family val="2"/>
          </rPr>
          <t xml:space="preserve">Diligenciar si son: 
30 Caninos 
100 Arboles plantados  
2 cuencas recuperadas etc
</t>
        </r>
      </text>
    </comment>
    <comment ref="DC3" authorId="0" shapeId="0" xr:uid="{00000000-0006-0000-1100-00002B000000}">
      <text>
        <r>
          <rPr>
            <b/>
            <sz val="12"/>
            <color indexed="81"/>
            <rFont val="Tahoma"/>
            <family val="2"/>
          </rPr>
          <t>Marcar con una X el tipo de recurso que se beneficio según la acción.</t>
        </r>
      </text>
    </comment>
    <comment ref="DN3" authorId="0" shapeId="0" xr:uid="{00000000-0006-0000-1100-00002C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DO3" authorId="0" shapeId="0" xr:uid="{00000000-0006-0000-1100-00002D000000}">
      <text>
        <r>
          <rPr>
            <b/>
            <sz val="12"/>
            <color indexed="81"/>
            <rFont val="Tahoma"/>
            <family val="2"/>
          </rPr>
          <t>Detalle la cantidad de recursos invertidos del fondo de recursos propios (presupuestos corrientes del Municipio de Pereira)</t>
        </r>
      </text>
    </comment>
    <comment ref="DP3" authorId="0" shapeId="0" xr:uid="{00000000-0006-0000-1100-00002E000000}">
      <text>
        <r>
          <rPr>
            <b/>
            <sz val="12"/>
            <color indexed="81"/>
            <rFont val="Tahoma"/>
            <family val="2"/>
          </rPr>
          <t>Detalle la cantidad de recursos invertidos del fondo de recursos del Sistema General de Participaciones (Recursos Girados desde la Nación por el SGP)</t>
        </r>
      </text>
    </comment>
    <comment ref="DQ3" authorId="0" shapeId="0" xr:uid="{00000000-0006-0000-1100-00002F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DR3" authorId="0" shapeId="0" xr:uid="{00000000-0006-0000-1100-000030000000}">
      <text>
        <r>
          <rPr>
            <b/>
            <sz val="12"/>
            <color indexed="81"/>
            <rFont val="Tahoma"/>
            <family val="2"/>
          </rPr>
          <t>Detalle el número de personas atendidas en cada acción.</t>
        </r>
      </text>
    </comment>
    <comment ref="DS3" authorId="0" shapeId="0" xr:uid="{00000000-0006-0000-1100-000031000000}">
      <text>
        <r>
          <rPr>
            <b/>
            <sz val="12"/>
            <color indexed="81"/>
            <rFont val="Tahoma"/>
            <family val="2"/>
          </rPr>
          <t>Según el total de personas atendidas descrimine los valores según su genero.</t>
        </r>
      </text>
    </comment>
    <comment ref="DU3" authorId="0" shapeId="0" xr:uid="{00000000-0006-0000-1100-000032000000}">
      <text>
        <r>
          <rPr>
            <b/>
            <sz val="12"/>
            <color indexed="81"/>
            <rFont val="Tahoma"/>
            <family val="2"/>
          </rPr>
          <t>Según el total de personas atendidas descrimine los valores según su zona.</t>
        </r>
      </text>
    </comment>
    <comment ref="DW3" authorId="0" shapeId="0" xr:uid="{00000000-0006-0000-1100-000033000000}">
      <text>
        <r>
          <rPr>
            <b/>
            <sz val="12"/>
            <color indexed="81"/>
            <rFont val="Tahoma"/>
            <family val="2"/>
          </rPr>
          <t>Según el total de personas atendidas descrimine los valores según ciclos de edad.</t>
        </r>
      </text>
    </comment>
    <comment ref="ED3" authorId="0" shapeId="0" xr:uid="{00000000-0006-0000-1100-000034000000}">
      <text>
        <r>
          <rPr>
            <b/>
            <sz val="12"/>
            <color indexed="81"/>
            <rFont val="Tahoma"/>
            <family val="2"/>
          </rPr>
          <t>Según el total de personas atendidas descrimine los valores según su condición.</t>
        </r>
      </text>
    </comment>
    <comment ref="EL3" authorId="0" shapeId="0" xr:uid="{00000000-0006-0000-1100-000035000000}">
      <text>
        <r>
          <rPr>
            <b/>
            <sz val="12"/>
            <color indexed="81"/>
            <rFont val="Tahoma"/>
            <family val="2"/>
          </rPr>
          <t>Según el total de personas atendidas descrimine los valores según su etnia.</t>
        </r>
      </text>
    </comment>
    <comment ref="ER3" authorId="0" shapeId="0" xr:uid="{00000000-0006-0000-1100-000036000000}">
      <text>
        <r>
          <rPr>
            <b/>
            <sz val="12"/>
            <color indexed="81"/>
            <rFont val="Tahoma"/>
            <family val="2"/>
          </rPr>
          <t>En el caso que la acción este dirigida a una organización,  diligenciar el tipo de organización beneficiada.</t>
        </r>
      </text>
    </comment>
    <comment ref="ES3" authorId="0" shapeId="0" xr:uid="{00000000-0006-0000-1100-000037000000}">
      <text>
        <r>
          <rPr>
            <b/>
            <sz val="12"/>
            <color indexed="81"/>
            <rFont val="Tahoma"/>
            <family val="2"/>
          </rPr>
          <t>Describir el objeto principal de la institución u organización beneficiada.</t>
        </r>
      </text>
    </comment>
    <comment ref="EW3" authorId="0" shapeId="0" xr:uid="{00000000-0006-0000-1100-000038000000}">
      <text>
        <r>
          <rPr>
            <b/>
            <sz val="12"/>
            <color indexed="81"/>
            <rFont val="Tahoma"/>
            <family val="2"/>
          </rPr>
          <t xml:space="preserve">Diligenciar si son: 
30 Caninos 
100 Arboles plantados  
2 cuencas recuperadas etc
</t>
        </r>
      </text>
    </comment>
    <comment ref="EX3" authorId="0" shapeId="0" xr:uid="{00000000-0006-0000-1100-000039000000}">
      <text>
        <r>
          <rPr>
            <b/>
            <sz val="12"/>
            <color indexed="81"/>
            <rFont val="Tahoma"/>
            <family val="2"/>
          </rPr>
          <t>Marcar con una X el tipo de recurso que se beneficio según la acción.</t>
        </r>
      </text>
    </comment>
    <comment ref="BG4" authorId="0" shapeId="0" xr:uid="{00000000-0006-0000-1100-00003A000000}">
      <text>
        <r>
          <rPr>
            <b/>
            <sz val="12"/>
            <color indexed="81"/>
            <rFont val="Tahoma"/>
            <family val="2"/>
          </rPr>
          <t>Zona de ubicación de la Institución u Organización.</t>
        </r>
      </text>
    </comment>
    <comment ref="BH4" authorId="0" shapeId="0" xr:uid="{00000000-0006-0000-1100-00003B000000}">
      <text>
        <r>
          <rPr>
            <b/>
            <sz val="12"/>
            <color indexed="81"/>
            <rFont val="Tahoma"/>
            <family val="2"/>
          </rPr>
          <t>Zona de ubicación de la Institución u Organización.</t>
        </r>
      </text>
    </comment>
    <comment ref="BM4" authorId="0" shapeId="0" xr:uid="{00000000-0006-0000-1100-00003C000000}">
      <text>
        <r>
          <rPr>
            <b/>
            <sz val="9"/>
            <color indexed="81"/>
            <rFont val="Tahoma"/>
            <family val="2"/>
          </rPr>
          <t>Zona de ubicación del Recurso Ecosistémico.</t>
        </r>
      </text>
    </comment>
    <comment ref="CZ4" authorId="0" shapeId="0" xr:uid="{00000000-0006-0000-1100-00003D000000}">
      <text>
        <r>
          <rPr>
            <b/>
            <sz val="12"/>
            <color indexed="81"/>
            <rFont val="Tahoma"/>
            <family val="2"/>
          </rPr>
          <t>Zona de ubicación de la Institución u Organización.</t>
        </r>
      </text>
    </comment>
    <comment ref="DA4" authorId="0" shapeId="0" xr:uid="{00000000-0006-0000-1100-00003E000000}">
      <text>
        <r>
          <rPr>
            <b/>
            <sz val="12"/>
            <color indexed="81"/>
            <rFont val="Tahoma"/>
            <family val="2"/>
          </rPr>
          <t>Zona de ubicación de la Institución u Organización.</t>
        </r>
      </text>
    </comment>
    <comment ref="DF4" authorId="0" shapeId="0" xr:uid="{00000000-0006-0000-1100-00003F000000}">
      <text>
        <r>
          <rPr>
            <b/>
            <sz val="9"/>
            <color indexed="81"/>
            <rFont val="Tahoma"/>
            <family val="2"/>
          </rPr>
          <t>Zona de ubicación del Recurso Ecosistémico.</t>
        </r>
      </text>
    </comment>
    <comment ref="EU4" authorId="0" shapeId="0" xr:uid="{00000000-0006-0000-1100-000040000000}">
      <text>
        <r>
          <rPr>
            <b/>
            <sz val="12"/>
            <color indexed="81"/>
            <rFont val="Tahoma"/>
            <family val="2"/>
          </rPr>
          <t>Zona de ubicación de la Institución u Organización.</t>
        </r>
      </text>
    </comment>
    <comment ref="EV4" authorId="0" shapeId="0" xr:uid="{00000000-0006-0000-1100-000041000000}">
      <text>
        <r>
          <rPr>
            <b/>
            <sz val="12"/>
            <color indexed="81"/>
            <rFont val="Tahoma"/>
            <family val="2"/>
          </rPr>
          <t>Zona de ubicación de la Institución u Organización.</t>
        </r>
      </text>
    </comment>
    <comment ref="FA4" authorId="0" shapeId="0" xr:uid="{00000000-0006-0000-1100-000042000000}">
      <text>
        <r>
          <rPr>
            <b/>
            <sz val="9"/>
            <color indexed="81"/>
            <rFont val="Tahoma"/>
            <family val="2"/>
          </rPr>
          <t>Zona de ubicación del Recurso Ecosistémico.</t>
        </r>
      </text>
    </comment>
    <comment ref="D54" authorId="1" shapeId="0" xr:uid="{00000000-0006-0000-1100-000043000000}">
      <text>
        <r>
          <rPr>
            <sz val="11"/>
            <color rgb="FF000000"/>
            <rFont val="Calibri"/>
            <family val="2"/>
          </rPr>
          <t xml:space="preserve">incluir informacion del curso de habitos </t>
        </r>
      </text>
    </comment>
    <comment ref="D62" authorId="1" shapeId="0" xr:uid="{00000000-0006-0000-1100-000044000000}">
      <text>
        <r>
          <rPr>
            <sz val="11"/>
            <color rgb="FF000000"/>
            <rFont val="Calibri"/>
            <family val="2"/>
          </rPr>
          <t>incluir estadistica del foro (sumar la participacion en las mesas y en el foro central)</t>
        </r>
      </text>
    </comment>
    <comment ref="W70" authorId="1" shapeId="0" xr:uid="{00000000-0006-0000-1100-000045000000}">
      <text>
        <r>
          <rPr>
            <sz val="11"/>
            <color theme="1"/>
            <rFont val="Arial"/>
            <family val="2"/>
          </rPr>
          <t>======
ID#AAAAJeHYoM8
Danny Steven Rodriguez Maya    (2020-04-28 03:22:53)
esto es mas una observacion que una accion concreta que logre dar cumplimiento a la accion.</t>
        </r>
      </text>
    </comment>
    <comment ref="BP70" authorId="1" shapeId="0" xr:uid="{00000000-0006-0000-1100-000046000000}">
      <text>
        <r>
          <rPr>
            <sz val="11"/>
            <color theme="1"/>
            <rFont val="Arial"/>
            <family val="2"/>
          </rPr>
          <t>======
ID#AAAAJeHYoM8
Danny Steven Rodriguez Maya    (2020-04-28 03:22:53)
esto es mas una observacion que una accion concreta que logre dar cumplimiento a la accion.</t>
        </r>
      </text>
    </comment>
    <comment ref="W72" authorId="1" shapeId="0" xr:uid="{00000000-0006-0000-1100-000047000000}">
      <text>
        <r>
          <rPr>
            <sz val="11"/>
            <color theme="1"/>
            <rFont val="Arial"/>
            <family val="2"/>
          </rPr>
          <t>======
ID#AAAAJeHYoNA
Danny Steven Rodriguez Maya    (2020-04-28 03:23:28)
se podria revisar si hubo articulación con planeacion para los proyectos de presupuesto participativo que tengan relacion con DRAEF</t>
        </r>
      </text>
    </comment>
    <comment ref="BP72" authorId="1" shapeId="0" xr:uid="{00000000-0006-0000-1100-000048000000}">
      <text>
        <r>
          <rPr>
            <sz val="11"/>
            <color theme="1"/>
            <rFont val="Arial"/>
            <family val="2"/>
          </rPr>
          <t>======
ID#AAAAJeHYoNA
Danny Steven Rodriguez Maya    (2020-04-28 03:23:28)
se podria revisar si hubo articulación con planeacion para los proyectos de presupuesto participativo que tengan relacion con DRAEF</t>
        </r>
      </text>
    </comment>
    <comment ref="D127" authorId="1" shapeId="0" xr:uid="{00000000-0006-0000-1100-000049000000}">
      <text>
        <r>
          <rPr>
            <sz val="11"/>
            <color rgb="FF000000"/>
            <rFont val="Calibri"/>
            <family val="2"/>
          </rPr>
          <t>Se realizaron los eventos de ciudad:
Celebración dia de la niñez y la recreación
Celebración dia de la niñez y el disfraz
Campamentos juveniles</t>
        </r>
      </text>
    </comment>
    <comment ref="W135" authorId="1" shapeId="0" xr:uid="{00000000-0006-0000-1100-00004A000000}">
      <text>
        <r>
          <rPr>
            <sz val="11"/>
            <color theme="1"/>
            <rFont val="Arial"/>
            <family val="2"/>
          </rPr>
          <t>======
ID#AAAAJVK8g90
Cristian Fernando Ramos Ríos    (2020-04-27 19:39:27)
Falta agregar las instuciones atendidas en los programas de Jhovana.</t>
        </r>
      </text>
    </comment>
    <comment ref="BP135" authorId="1" shapeId="0" xr:uid="{00000000-0006-0000-1100-00004B000000}">
      <text>
        <r>
          <rPr>
            <sz val="11"/>
            <color theme="1"/>
            <rFont val="Arial"/>
            <family val="2"/>
          </rPr>
          <t>======
ID#AAAAJVK8g90
Cristian Fernando Ramos Ríos    (2020-04-27 19:39:27)
Falta agregar las instuciones atendidas en los programas de Jhovana.</t>
        </r>
      </text>
    </comment>
    <comment ref="D146" authorId="1" shapeId="0" xr:uid="{00000000-0006-0000-1100-00004C000000}">
      <text>
        <r>
          <rPr>
            <sz val="11"/>
            <color rgb="FF000000"/>
            <rFont val="Calibri"/>
            <family val="2"/>
          </rPr>
          <t>calcular por parque:
calcular por parque 2.000 personas
edades entre los 4 y los 28 años
equidad entre hombres y mujeres y 95% urbano</t>
        </r>
      </text>
    </comment>
    <comment ref="W150" authorId="1" shapeId="0" xr:uid="{00000000-0006-0000-1100-00004D000000}">
      <text>
        <r>
          <rPr>
            <sz val="11"/>
            <color theme="1"/>
            <rFont val="Arial"/>
            <family val="2"/>
          </rPr>
          <t>======
ID#AAAAJVMI7Yg
Danny Steven Rodriguez Maya    (2020-04-28 15:29:08)
la descripcion de acciones no corresponde a lo que se expresa en la acción, es lrelacionada con CICLOVIAS Y RECREOVIAS</t>
        </r>
      </text>
    </comment>
    <comment ref="BP150" authorId="1" shapeId="0" xr:uid="{00000000-0006-0000-1100-00004E000000}">
      <text>
        <r>
          <rPr>
            <sz val="11"/>
            <color theme="1"/>
            <rFont val="Arial"/>
            <family val="2"/>
          </rPr>
          <t>======
ID#AAAAJVMI7Yg
Danny Steven Rodriguez Maya    (2020-04-28 15:29:08)
la descripcion de acciones no corresponde a lo que se expresa en la acción, es lrelacionada con CICLOVIAS Y RECREOVIAS</t>
        </r>
      </text>
    </comment>
    <comment ref="D152" authorId="1" shapeId="0" xr:uid="{00000000-0006-0000-1100-00004F000000}">
      <text>
        <r>
          <rPr>
            <sz val="11"/>
            <color rgb="FF000000"/>
            <rFont val="Calibri"/>
            <family val="2"/>
          </rPr>
          <t>estadistica HEVS</t>
        </r>
      </text>
    </comment>
    <comment ref="D154" authorId="1" shapeId="0" xr:uid="{00000000-0006-0000-1100-000050000000}">
      <text>
        <r>
          <rPr>
            <sz val="11"/>
            <color rgb="FF000000"/>
            <rFont val="Calibri"/>
            <family val="2"/>
          </rPr>
          <t>2 Caminatas municipales
20 Ciclopaseos 
Maraton de actividad fisica retroactivate</t>
        </r>
      </text>
    </comment>
    <comment ref="W157" authorId="1" shapeId="0" xr:uid="{00000000-0006-0000-1100-000051000000}">
      <text>
        <r>
          <rPr>
            <sz val="11"/>
            <color theme="1"/>
            <rFont val="Arial"/>
            <family val="2"/>
          </rPr>
          <t>======
ID#AAAAJVMI7bk
Danny Steven Rodriguez Maya    (2020-04-28 15:46:03)
se debe consultar esta información con comfamiliar risaralda.</t>
        </r>
      </text>
    </comment>
    <comment ref="BP157" authorId="1" shapeId="0" xr:uid="{00000000-0006-0000-1100-000052000000}">
      <text>
        <r>
          <rPr>
            <sz val="11"/>
            <color theme="1"/>
            <rFont val="Arial"/>
            <family val="2"/>
          </rPr>
          <t>======
ID#AAAAJVMI7bk
Danny Steven Rodriguez Maya    (2020-04-28 15:46:03)
se debe consultar esta información con comfamiliar risaralda.</t>
        </r>
      </text>
    </comment>
    <comment ref="W159" authorId="1" shapeId="0" xr:uid="{00000000-0006-0000-1100-000053000000}">
      <text>
        <r>
          <rPr>
            <sz val="11"/>
            <color theme="1"/>
            <rFont val="Arial"/>
            <family val="2"/>
          </rPr>
          <t>======
ID#AAAAJVMI7bk
Danny Steven Rodriguez Maya    (2020-04-28 15:46:03)
se debe consultar esta información con comfamiliar risaralda.</t>
        </r>
      </text>
    </comment>
    <comment ref="BP159" authorId="1" shapeId="0" xr:uid="{00000000-0006-0000-1100-000054000000}">
      <text>
        <r>
          <rPr>
            <sz val="11"/>
            <color theme="1"/>
            <rFont val="Arial"/>
            <family val="2"/>
          </rPr>
          <t>======
ID#AAAAJVMI7bk
Danny Steven Rodriguez Maya    (2020-04-28 15:46:03)
se debe consultar esta información con comfamiliar risaralda.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Usuario</author>
    <author>LUISA</author>
    <author>Microsoft Office User</author>
    <author>Portatil</author>
    <author>tc={9371B48A-9D31-4976-B2E0-49F5EB0F6B4D}</author>
    <author>tc={76ECBF35-8491-419D-A890-4C11FA85CB96}</author>
    <author>tc={D540D92B-4AA6-4F09-B079-06254E0224F2}</author>
    <author>tc={C10203D6-5787-4341-8AEC-3E4F84915696}</author>
  </authors>
  <commentList>
    <comment ref="N2" authorId="0" shapeId="0" xr:uid="{00000000-0006-0000-1200-000001000000}">
      <text>
        <r>
          <rPr>
            <b/>
            <sz val="12"/>
            <color rgb="FF000000"/>
            <rFont val="Tahoma"/>
            <family val="2"/>
          </rPr>
          <t xml:space="preserve">De acuerdo al indicador de cada acción, reporte el valor ejecutado en la vigencia 2018 según su unidad de medida (Porcentaje, Numero, Tasa):
</t>
        </r>
        <r>
          <rPr>
            <b/>
            <sz val="12"/>
            <color rgb="FF000000"/>
            <rFont val="Tahoma"/>
            <family val="2"/>
          </rPr>
          <t xml:space="preserve">Ejemplo:
</t>
        </r>
        <r>
          <rPr>
            <b/>
            <sz val="12"/>
            <color rgb="FF000000"/>
            <rFont val="Tahoma"/>
            <family val="2"/>
          </rPr>
          <t xml:space="preserve">
</t>
        </r>
        <r>
          <rPr>
            <b/>
            <sz val="12"/>
            <color rgb="FF000000"/>
            <rFont val="Tahoma"/>
            <family val="2"/>
          </rPr>
          <t xml:space="preserve">10% de los Docentes capacitados.
</t>
        </r>
        <r>
          <rPr>
            <b/>
            <sz val="12"/>
            <color rgb="FF000000"/>
            <rFont val="Tahoma"/>
            <family val="2"/>
          </rPr>
          <t xml:space="preserve">50 personas capacitadas.
</t>
        </r>
        <r>
          <rPr>
            <b/>
            <sz val="12"/>
            <color rgb="FF000000"/>
            <rFont val="Tahoma"/>
            <family val="2"/>
          </rPr>
          <t xml:space="preserve">20% de cobertura.
</t>
        </r>
        <r>
          <rPr>
            <b/>
            <sz val="12"/>
            <color rgb="FF000000"/>
            <rFont val="Tahoma"/>
            <family val="2"/>
          </rPr>
          <t>10% tasa.</t>
        </r>
      </text>
    </comment>
    <comment ref="P2" authorId="0" shapeId="0" xr:uid="{00000000-0006-0000-1200-000002000000}">
      <text>
        <r>
          <rPr>
            <b/>
            <sz val="12"/>
            <color indexed="81"/>
            <rFont val="Tahoma"/>
            <family val="2"/>
          </rPr>
          <t>Describa que evidencias reposan en el desarrollo de la acción, contratos, actas, fotos, registros de asistencia, informes, documentos, videos, etc</t>
        </r>
      </text>
    </comment>
    <comment ref="Q2" authorId="0" shapeId="0" xr:uid="{00000000-0006-0000-1200-000003000000}">
      <text>
        <r>
          <rPr>
            <b/>
            <sz val="12"/>
            <color indexed="81"/>
            <rFont val="Tahoma"/>
            <family val="2"/>
          </rPr>
          <t xml:space="preserve">Comente que problemas, necesidades, aciertos y/o recomendacion se cuentan en el desarrollo de la acción. </t>
        </r>
      </text>
    </comment>
    <comment ref="BB2" authorId="0" shapeId="0" xr:uid="{00000000-0006-0000-1200-000004000000}">
      <text>
        <r>
          <rPr>
            <b/>
            <sz val="9"/>
            <color indexed="81"/>
            <rFont val="Tahoma"/>
            <family val="2"/>
          </rPr>
          <t>La Sección de Matriz de Focalización de Recursos Ecosistémicos se diligencia cuando la acción va dirigida a un Recurso Natural, Fauna y Flora.</t>
        </r>
      </text>
    </comment>
    <comment ref="BG2" authorId="0" shapeId="0" xr:uid="{00000000-0006-0000-1200-000005000000}">
      <text>
        <r>
          <rPr>
            <b/>
            <sz val="12"/>
            <color rgb="FF000000"/>
            <rFont val="Tahoma"/>
            <family val="2"/>
          </rPr>
          <t xml:space="preserve">De acuerdo al indicador de cada acción, reporte el valor ejecutado en la vigencia 2018 según su unidad de medida (Porcentaje, Numero, Tasa):
</t>
        </r>
        <r>
          <rPr>
            <b/>
            <sz val="12"/>
            <color rgb="FF000000"/>
            <rFont val="Tahoma"/>
            <family val="2"/>
          </rPr>
          <t xml:space="preserve">Ejemplo:
</t>
        </r>
        <r>
          <rPr>
            <b/>
            <sz val="12"/>
            <color rgb="FF000000"/>
            <rFont val="Tahoma"/>
            <family val="2"/>
          </rPr>
          <t xml:space="preserve">
</t>
        </r>
        <r>
          <rPr>
            <b/>
            <sz val="12"/>
            <color rgb="FF000000"/>
            <rFont val="Tahoma"/>
            <family val="2"/>
          </rPr>
          <t xml:space="preserve">10% de los Docentes capacitados.
</t>
        </r>
        <r>
          <rPr>
            <b/>
            <sz val="12"/>
            <color rgb="FF000000"/>
            <rFont val="Tahoma"/>
            <family val="2"/>
          </rPr>
          <t xml:space="preserve">50 personas capacitadas.
</t>
        </r>
        <r>
          <rPr>
            <b/>
            <sz val="12"/>
            <color rgb="FF000000"/>
            <rFont val="Tahoma"/>
            <family val="2"/>
          </rPr>
          <t xml:space="preserve">20% de cobertura.
</t>
        </r>
        <r>
          <rPr>
            <b/>
            <sz val="12"/>
            <color rgb="FF000000"/>
            <rFont val="Tahoma"/>
            <family val="2"/>
          </rPr>
          <t>10% tasa.</t>
        </r>
      </text>
    </comment>
    <comment ref="BI2" authorId="0" shapeId="0" xr:uid="{00000000-0006-0000-1200-000006000000}">
      <text>
        <r>
          <rPr>
            <b/>
            <sz val="12"/>
            <color rgb="FF000000"/>
            <rFont val="Tahoma"/>
            <family val="2"/>
          </rPr>
          <t xml:space="preserve">Comente como desarrollo la acción de la Política Pública por medio de actividades, describiendo el Lugar, Temas desarrollados, etc. </t>
        </r>
      </text>
    </comment>
    <comment ref="BJ2" authorId="0" shapeId="0" xr:uid="{00000000-0006-0000-1200-000007000000}">
      <text>
        <r>
          <rPr>
            <b/>
            <sz val="12"/>
            <color indexed="81"/>
            <rFont val="Tahoma"/>
            <family val="2"/>
          </rPr>
          <t>Describa que evidencias reposan en el desarrollo de la acción, contratos, actas, fotos, registros de asistencia, informes, documentos, videos, etc</t>
        </r>
      </text>
    </comment>
    <comment ref="BK2" authorId="0" shapeId="0" xr:uid="{00000000-0006-0000-1200-000008000000}">
      <text>
        <r>
          <rPr>
            <b/>
            <sz val="12"/>
            <color indexed="81"/>
            <rFont val="Tahoma"/>
            <family val="2"/>
          </rPr>
          <t xml:space="preserve">Comente que problemas, necesidades, aciertos y/o recomendacion se cuentan en el desarrollo de la acción. </t>
        </r>
      </text>
    </comment>
    <comment ref="CV2" authorId="0" shapeId="0" xr:uid="{00000000-0006-0000-1200-000009000000}">
      <text>
        <r>
          <rPr>
            <b/>
            <sz val="9"/>
            <color indexed="81"/>
            <rFont val="Tahoma"/>
            <family val="2"/>
          </rPr>
          <t>La Sección de Matriz de Focalización de Recursos Ecosistémicos se diligencia cuando la acción va dirigida a un Recurso Natural, Fauna y Flora.</t>
        </r>
      </text>
    </comment>
    <comment ref="R3" authorId="0" shapeId="0" xr:uid="{00000000-0006-0000-1200-00000A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S3" authorId="0" shapeId="0" xr:uid="{00000000-0006-0000-1200-00000B000000}">
      <text>
        <r>
          <rPr>
            <b/>
            <sz val="12"/>
            <color indexed="81"/>
            <rFont val="Tahoma"/>
            <family val="2"/>
          </rPr>
          <t>Detalle la cantidad de recursos invertidos del fondo de recursos propios (presupuestos corrientes del Municipio de Pereira)</t>
        </r>
      </text>
    </comment>
    <comment ref="T3" authorId="0" shapeId="0" xr:uid="{00000000-0006-0000-1200-00000C000000}">
      <text>
        <r>
          <rPr>
            <b/>
            <sz val="12"/>
            <color indexed="81"/>
            <rFont val="Tahoma"/>
            <family val="2"/>
          </rPr>
          <t>Detalle la cantidad de recursos invertidos del fondo de recursos del Sistema General de Participaciones (Recursos Girados desde la Nación por el SGP)</t>
        </r>
      </text>
    </comment>
    <comment ref="U3" authorId="0" shapeId="0" xr:uid="{00000000-0006-0000-1200-00000D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W3" authorId="0" shapeId="0" xr:uid="{00000000-0006-0000-1200-00000E000000}">
      <text>
        <r>
          <rPr>
            <b/>
            <sz val="12"/>
            <color indexed="81"/>
            <rFont val="Tahoma"/>
            <family val="2"/>
          </rPr>
          <t>Detalle el número de personas atendidas en cada acción.</t>
        </r>
      </text>
    </comment>
    <comment ref="X3" authorId="0" shapeId="0" xr:uid="{00000000-0006-0000-1200-00000F000000}">
      <text>
        <r>
          <rPr>
            <b/>
            <sz val="12"/>
            <color indexed="81"/>
            <rFont val="Tahoma"/>
            <family val="2"/>
          </rPr>
          <t>Según el total de personas atendidas descrimine los valores según su genero.</t>
        </r>
      </text>
    </comment>
    <comment ref="Z3" authorId="0" shapeId="0" xr:uid="{00000000-0006-0000-1200-000010000000}">
      <text>
        <r>
          <rPr>
            <b/>
            <sz val="12"/>
            <color indexed="81"/>
            <rFont val="Tahoma"/>
            <family val="2"/>
          </rPr>
          <t>Según el total de personas atendidas descrimine los valores según su zona.</t>
        </r>
      </text>
    </comment>
    <comment ref="AB3" authorId="0" shapeId="0" xr:uid="{00000000-0006-0000-1200-000011000000}">
      <text>
        <r>
          <rPr>
            <b/>
            <sz val="12"/>
            <color indexed="81"/>
            <rFont val="Tahoma"/>
            <family val="2"/>
          </rPr>
          <t>Según el total de personas atendidas descrimine los valores según ciclos de edad.</t>
        </r>
      </text>
    </comment>
    <comment ref="AI3" authorId="0" shapeId="0" xr:uid="{00000000-0006-0000-1200-000012000000}">
      <text>
        <r>
          <rPr>
            <b/>
            <sz val="12"/>
            <color indexed="81"/>
            <rFont val="Tahoma"/>
            <family val="2"/>
          </rPr>
          <t>Según el total de personas atendidas descrimine los valores según su condición.</t>
        </r>
      </text>
    </comment>
    <comment ref="AQ3" authorId="0" shapeId="0" xr:uid="{00000000-0006-0000-1200-000013000000}">
      <text>
        <r>
          <rPr>
            <b/>
            <sz val="12"/>
            <color indexed="81"/>
            <rFont val="Tahoma"/>
            <family val="2"/>
          </rPr>
          <t>Según el total de personas atendidas descrimine los valores según su etnia.</t>
        </r>
      </text>
    </comment>
    <comment ref="AW3" authorId="0" shapeId="0" xr:uid="{00000000-0006-0000-1200-000014000000}">
      <text>
        <r>
          <rPr>
            <b/>
            <sz val="12"/>
            <color indexed="81"/>
            <rFont val="Tahoma"/>
            <family val="2"/>
          </rPr>
          <t>En el caso que la acción este dirigida a una organización,  diligenciar el tipo de organización beneficiada.</t>
        </r>
      </text>
    </comment>
    <comment ref="AX3" authorId="0" shapeId="0" xr:uid="{00000000-0006-0000-1200-000015000000}">
      <text>
        <r>
          <rPr>
            <b/>
            <sz val="12"/>
            <color indexed="81"/>
            <rFont val="Tahoma"/>
            <family val="2"/>
          </rPr>
          <t>Describir el objeto principal de la institución u organización beneficiada.</t>
        </r>
      </text>
    </comment>
    <comment ref="BB3" authorId="0" shapeId="0" xr:uid="{00000000-0006-0000-1200-000016000000}">
      <text>
        <r>
          <rPr>
            <b/>
            <sz val="12"/>
            <color indexed="81"/>
            <rFont val="Tahoma"/>
            <family val="2"/>
          </rPr>
          <t xml:space="preserve">Diligenciar si son: 
30 Caninos 
100 Arboles plantados  
2 cuencas recuperadas etc
</t>
        </r>
      </text>
    </comment>
    <comment ref="BC3" authorId="0" shapeId="0" xr:uid="{00000000-0006-0000-1200-000017000000}">
      <text>
        <r>
          <rPr>
            <b/>
            <sz val="12"/>
            <color indexed="81"/>
            <rFont val="Tahoma"/>
            <family val="2"/>
          </rPr>
          <t>Marcar con una X el tipo de recurso que se beneficio según la acción.</t>
        </r>
      </text>
    </comment>
    <comment ref="BL3" authorId="0" shapeId="0" xr:uid="{00000000-0006-0000-1200-000018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BM3" authorId="0" shapeId="0" xr:uid="{00000000-0006-0000-1200-000019000000}">
      <text>
        <r>
          <rPr>
            <b/>
            <sz val="12"/>
            <color indexed="81"/>
            <rFont val="Tahoma"/>
            <family val="2"/>
          </rPr>
          <t>Detalle la cantidad de recursos invertidos del fondo de recursos propios (presupuestos corrientes del Municipio de Pereira)</t>
        </r>
      </text>
    </comment>
    <comment ref="BN3" authorId="0" shapeId="0" xr:uid="{00000000-0006-0000-1200-00001A000000}">
      <text>
        <r>
          <rPr>
            <b/>
            <sz val="12"/>
            <color indexed="81"/>
            <rFont val="Tahoma"/>
            <family val="2"/>
          </rPr>
          <t>Detalle la cantidad de recursos invertidos del fondo de recursos del Sistema General de Participaciones (Recursos Girados desde la Nación por el SGP)</t>
        </r>
      </text>
    </comment>
    <comment ref="BO3" authorId="0" shapeId="0" xr:uid="{00000000-0006-0000-1200-00001B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BQ3" authorId="0" shapeId="0" xr:uid="{00000000-0006-0000-1200-00001C000000}">
      <text>
        <r>
          <rPr>
            <b/>
            <sz val="12"/>
            <color indexed="81"/>
            <rFont val="Tahoma"/>
            <family val="2"/>
          </rPr>
          <t>Detalle el número de personas atendidas en cada acción.</t>
        </r>
      </text>
    </comment>
    <comment ref="BR3" authorId="0" shapeId="0" xr:uid="{00000000-0006-0000-1200-00001D000000}">
      <text>
        <r>
          <rPr>
            <b/>
            <sz val="12"/>
            <color indexed="81"/>
            <rFont val="Tahoma"/>
            <family val="2"/>
          </rPr>
          <t>Según el total de personas atendidas descrimine los valores según su genero.</t>
        </r>
      </text>
    </comment>
    <comment ref="BT3" authorId="0" shapeId="0" xr:uid="{00000000-0006-0000-1200-00001E000000}">
      <text>
        <r>
          <rPr>
            <b/>
            <sz val="12"/>
            <color indexed="81"/>
            <rFont val="Tahoma"/>
            <family val="2"/>
          </rPr>
          <t>Según el total de personas atendidas descrimine los valores según su zona.</t>
        </r>
      </text>
    </comment>
    <comment ref="BV3" authorId="0" shapeId="0" xr:uid="{00000000-0006-0000-1200-00001F000000}">
      <text>
        <r>
          <rPr>
            <b/>
            <sz val="12"/>
            <color indexed="81"/>
            <rFont val="Tahoma"/>
            <family val="2"/>
          </rPr>
          <t>Según el total de personas atendidas descrimine los valores según ciclos de edad.</t>
        </r>
      </text>
    </comment>
    <comment ref="CC3" authorId="0" shapeId="0" xr:uid="{00000000-0006-0000-1200-000020000000}">
      <text>
        <r>
          <rPr>
            <b/>
            <sz val="12"/>
            <color indexed="81"/>
            <rFont val="Tahoma"/>
            <family val="2"/>
          </rPr>
          <t>Según el total de personas atendidas descrimine los valores según su condición.</t>
        </r>
      </text>
    </comment>
    <comment ref="CK3" authorId="0" shapeId="0" xr:uid="{00000000-0006-0000-1200-000021000000}">
      <text>
        <r>
          <rPr>
            <b/>
            <sz val="12"/>
            <color indexed="81"/>
            <rFont val="Tahoma"/>
            <family val="2"/>
          </rPr>
          <t>Según el total de personas atendidas descrimine los valores según su etnia.</t>
        </r>
      </text>
    </comment>
    <comment ref="CQ3" authorId="0" shapeId="0" xr:uid="{00000000-0006-0000-1200-000022000000}">
      <text>
        <r>
          <rPr>
            <b/>
            <sz val="12"/>
            <color indexed="81"/>
            <rFont val="Tahoma"/>
            <family val="2"/>
          </rPr>
          <t>En el caso que la acción este dirigida a una organización,  diligenciar el tipo de organización beneficiada.</t>
        </r>
      </text>
    </comment>
    <comment ref="CR3" authorId="0" shapeId="0" xr:uid="{00000000-0006-0000-1200-000023000000}">
      <text>
        <r>
          <rPr>
            <b/>
            <sz val="12"/>
            <color indexed="81"/>
            <rFont val="Tahoma"/>
            <family val="2"/>
          </rPr>
          <t>Describir el objeto principal de la institución u organización beneficiada.</t>
        </r>
      </text>
    </comment>
    <comment ref="CV3" authorId="0" shapeId="0" xr:uid="{00000000-0006-0000-1200-000024000000}">
      <text>
        <r>
          <rPr>
            <b/>
            <sz val="12"/>
            <color indexed="81"/>
            <rFont val="Tahoma"/>
            <family val="2"/>
          </rPr>
          <t xml:space="preserve">Diligenciar si son: 
30 Caninos 
100 Arboles plantados  
2 cuencas recuperadas etc
</t>
        </r>
      </text>
    </comment>
    <comment ref="CW3" authorId="0" shapeId="0" xr:uid="{00000000-0006-0000-1200-000025000000}">
      <text>
        <r>
          <rPr>
            <b/>
            <sz val="12"/>
            <color indexed="81"/>
            <rFont val="Tahoma"/>
            <family val="2"/>
          </rPr>
          <t>Marcar con una X el tipo de recurso que se beneficio según la acción.</t>
        </r>
      </text>
    </comment>
    <comment ref="DB3" authorId="0" shapeId="0" xr:uid="{00000000-0006-0000-1200-000026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E3" authorId="0" shapeId="0" xr:uid="{00000000-0006-0000-1200-000027000000}">
      <text>
        <r>
          <rPr>
            <b/>
            <sz val="12"/>
            <color indexed="81"/>
            <rFont val="Tahoma"/>
            <family val="2"/>
          </rPr>
          <t xml:space="preserve">Comente como desarrollo la acción de la Política Pública por medio de actividades, describiendo el Lugar, Temas desarrollados, etc. </t>
        </r>
      </text>
    </comment>
    <comment ref="DF3" authorId="0" shapeId="0" xr:uid="{00000000-0006-0000-1200-000028000000}">
      <text>
        <r>
          <rPr>
            <b/>
            <sz val="12"/>
            <color indexed="81"/>
            <rFont val="Tahoma"/>
            <family val="2"/>
          </rPr>
          <t>Describa que evidencias reposan en el desarrollo de la acción, contratos, actas, fotos, registros de asistencia, informes, documentos, videos, etc</t>
        </r>
      </text>
    </comment>
    <comment ref="DG3" authorId="0" shapeId="0" xr:uid="{00000000-0006-0000-1200-000029000000}">
      <text>
        <r>
          <rPr>
            <b/>
            <sz val="12"/>
            <color indexed="81"/>
            <rFont val="Tahoma"/>
            <family val="2"/>
          </rPr>
          <t xml:space="preserve">Comente que problemas, necesidades, aciertos y/o recomendacion se cuentan en el desarrollo de la acción. </t>
        </r>
      </text>
    </comment>
    <comment ref="EQ3" authorId="0" shapeId="0" xr:uid="{00000000-0006-0000-1200-00002A000000}">
      <text>
        <r>
          <rPr>
            <b/>
            <sz val="9"/>
            <color indexed="81"/>
            <rFont val="Tahoma"/>
            <family val="2"/>
          </rPr>
          <t>La Sección de Matriz de Focalización de Recursos Ecosistémicos se diligencia cuando la acción va dirigida a un Recurso Natural, Fauna y Flora.</t>
        </r>
      </text>
    </comment>
    <comment ref="AZ4" authorId="0" shapeId="0" xr:uid="{00000000-0006-0000-1200-00002B000000}">
      <text>
        <r>
          <rPr>
            <b/>
            <sz val="12"/>
            <color indexed="81"/>
            <rFont val="Tahoma"/>
            <family val="2"/>
          </rPr>
          <t>Zona de ubicación de la Institución u Organización.</t>
        </r>
      </text>
    </comment>
    <comment ref="BA4" authorId="0" shapeId="0" xr:uid="{00000000-0006-0000-1200-00002C000000}">
      <text>
        <r>
          <rPr>
            <b/>
            <sz val="12"/>
            <color indexed="81"/>
            <rFont val="Tahoma"/>
            <family val="2"/>
          </rPr>
          <t>Zona de ubicación de la Institución u Organización.</t>
        </r>
      </text>
    </comment>
    <comment ref="BF4" authorId="0" shapeId="0" xr:uid="{00000000-0006-0000-1200-00002D000000}">
      <text>
        <r>
          <rPr>
            <b/>
            <sz val="9"/>
            <color indexed="81"/>
            <rFont val="Tahoma"/>
            <family val="2"/>
          </rPr>
          <t>Zona de ubicación del Recurso Ecosistémico.</t>
        </r>
      </text>
    </comment>
    <comment ref="CT4" authorId="0" shapeId="0" xr:uid="{00000000-0006-0000-1200-00002E000000}">
      <text>
        <r>
          <rPr>
            <b/>
            <sz val="12"/>
            <color indexed="81"/>
            <rFont val="Tahoma"/>
            <family val="2"/>
          </rPr>
          <t>Zona de ubicación de la Institución u Organización.</t>
        </r>
      </text>
    </comment>
    <comment ref="CU4" authorId="0" shapeId="0" xr:uid="{00000000-0006-0000-1200-00002F000000}">
      <text>
        <r>
          <rPr>
            <b/>
            <sz val="12"/>
            <color indexed="81"/>
            <rFont val="Tahoma"/>
            <family val="2"/>
          </rPr>
          <t>Zona de ubicación de la Institución u Organización.</t>
        </r>
      </text>
    </comment>
    <comment ref="CZ4" authorId="0" shapeId="0" xr:uid="{00000000-0006-0000-1200-000030000000}">
      <text>
        <r>
          <rPr>
            <b/>
            <sz val="9"/>
            <color indexed="81"/>
            <rFont val="Tahoma"/>
            <family val="2"/>
          </rPr>
          <t>Zona de ubicación del Recurso Ecosistémico.</t>
        </r>
      </text>
    </comment>
    <comment ref="DH4" authorId="0" shapeId="0" xr:uid="{00000000-0006-0000-1200-000031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DI4" authorId="0" shapeId="0" xr:uid="{00000000-0006-0000-1200-000032000000}">
      <text>
        <r>
          <rPr>
            <b/>
            <sz val="12"/>
            <color indexed="81"/>
            <rFont val="Tahoma"/>
            <family val="2"/>
          </rPr>
          <t>Detalle la cantidad de recursos invertidos del fondo de recursos propios (presupuestos corrientes del Municipio de Pereira)</t>
        </r>
      </text>
    </comment>
    <comment ref="DJ4" authorId="0" shapeId="0" xr:uid="{00000000-0006-0000-1200-000033000000}">
      <text>
        <r>
          <rPr>
            <b/>
            <sz val="12"/>
            <color indexed="81"/>
            <rFont val="Tahoma"/>
            <family val="2"/>
          </rPr>
          <t>Detalle la cantidad de recursos invertidos del fondo de recursos del Sistema General de Participaciones (Recursos Girados desde la Nación por el SGP)</t>
        </r>
      </text>
    </comment>
    <comment ref="DK4" authorId="0" shapeId="0" xr:uid="{00000000-0006-0000-1200-000034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DL4" authorId="0" shapeId="0" xr:uid="{00000000-0006-0000-1200-000035000000}">
      <text>
        <r>
          <rPr>
            <b/>
            <sz val="12"/>
            <color indexed="81"/>
            <rFont val="Tahoma"/>
            <family val="2"/>
          </rPr>
          <t>Detalle el número de personas atendidas en cada acción.</t>
        </r>
      </text>
    </comment>
    <comment ref="DM4" authorId="0" shapeId="0" xr:uid="{00000000-0006-0000-1200-000036000000}">
      <text>
        <r>
          <rPr>
            <b/>
            <sz val="12"/>
            <color indexed="81"/>
            <rFont val="Tahoma"/>
            <family val="2"/>
          </rPr>
          <t>Según el total de personas atendidas descrimine los valores según su genero.</t>
        </r>
      </text>
    </comment>
    <comment ref="DO4" authorId="0" shapeId="0" xr:uid="{00000000-0006-0000-1200-000037000000}">
      <text>
        <r>
          <rPr>
            <b/>
            <sz val="12"/>
            <color indexed="81"/>
            <rFont val="Tahoma"/>
            <family val="2"/>
          </rPr>
          <t>Según el total de personas atendidas descrimine los valores según su zona.</t>
        </r>
      </text>
    </comment>
    <comment ref="DQ4" authorId="0" shapeId="0" xr:uid="{00000000-0006-0000-1200-000038000000}">
      <text>
        <r>
          <rPr>
            <b/>
            <sz val="12"/>
            <color indexed="81"/>
            <rFont val="Tahoma"/>
            <family val="2"/>
          </rPr>
          <t>Según el total de personas atendidas descrimine los valores según ciclos de edad.</t>
        </r>
      </text>
    </comment>
    <comment ref="DX4" authorId="0" shapeId="0" xr:uid="{00000000-0006-0000-1200-000039000000}">
      <text>
        <r>
          <rPr>
            <b/>
            <sz val="12"/>
            <color indexed="81"/>
            <rFont val="Tahoma"/>
            <family val="2"/>
          </rPr>
          <t>Según el total de personas atendidas descrimine los valores según su condición.</t>
        </r>
      </text>
    </comment>
    <comment ref="EF4" authorId="0" shapeId="0" xr:uid="{00000000-0006-0000-1200-00003A000000}">
      <text>
        <r>
          <rPr>
            <b/>
            <sz val="12"/>
            <color indexed="81"/>
            <rFont val="Tahoma"/>
            <family val="2"/>
          </rPr>
          <t>Según el total de personas atendidas descrimine los valores según su etnia.</t>
        </r>
      </text>
    </comment>
    <comment ref="EL4" authorId="0" shapeId="0" xr:uid="{00000000-0006-0000-1200-00003B000000}">
      <text>
        <r>
          <rPr>
            <b/>
            <sz val="12"/>
            <color indexed="81"/>
            <rFont val="Tahoma"/>
            <family val="2"/>
          </rPr>
          <t>En el caso que la acción este dirigida a una organización,  diligenciar el tipo de organización beneficiada.</t>
        </r>
      </text>
    </comment>
    <comment ref="EM4" authorId="0" shapeId="0" xr:uid="{00000000-0006-0000-1200-00003C000000}">
      <text>
        <r>
          <rPr>
            <b/>
            <sz val="12"/>
            <color indexed="81"/>
            <rFont val="Tahoma"/>
            <family val="2"/>
          </rPr>
          <t>Describir el objeto principal de la institución u organización beneficiada.</t>
        </r>
      </text>
    </comment>
    <comment ref="EQ4" authorId="0" shapeId="0" xr:uid="{00000000-0006-0000-1200-00003D000000}">
      <text>
        <r>
          <rPr>
            <b/>
            <sz val="12"/>
            <color indexed="81"/>
            <rFont val="Tahoma"/>
            <family val="2"/>
          </rPr>
          <t xml:space="preserve">Diligenciar si son: 
30 Caninos 
100 Arboles plantados  
2 cuencas recuperadas etc
</t>
        </r>
      </text>
    </comment>
    <comment ref="ER4" authorId="0" shapeId="0" xr:uid="{00000000-0006-0000-1200-00003E000000}">
      <text>
        <r>
          <rPr>
            <b/>
            <sz val="12"/>
            <color indexed="81"/>
            <rFont val="Tahoma"/>
            <family val="2"/>
          </rPr>
          <t>Marcar con una X el tipo de recurso que se beneficio según la acción.</t>
        </r>
      </text>
    </comment>
    <comment ref="EO5" authorId="0" shapeId="0" xr:uid="{00000000-0006-0000-1200-00003F000000}">
      <text>
        <r>
          <rPr>
            <b/>
            <sz val="12"/>
            <color indexed="81"/>
            <rFont val="Tahoma"/>
            <family val="2"/>
          </rPr>
          <t>Zona de ubicación de la Institución u Organización.</t>
        </r>
      </text>
    </comment>
    <comment ref="EP5" authorId="0" shapeId="0" xr:uid="{00000000-0006-0000-1200-000040000000}">
      <text>
        <r>
          <rPr>
            <b/>
            <sz val="12"/>
            <color indexed="81"/>
            <rFont val="Tahoma"/>
            <family val="2"/>
          </rPr>
          <t>Zona de ubicación de la Institución u Organización.</t>
        </r>
      </text>
    </comment>
    <comment ref="EU5" authorId="0" shapeId="0" xr:uid="{00000000-0006-0000-1200-000041000000}">
      <text>
        <r>
          <rPr>
            <b/>
            <sz val="9"/>
            <color indexed="81"/>
            <rFont val="Tahoma"/>
            <family val="2"/>
          </rPr>
          <t>Zona de ubicación del Recurso Ecosistémico.</t>
        </r>
      </text>
    </comment>
    <comment ref="N6" authorId="1" shapeId="0" xr:uid="{00000000-0006-0000-1200-000042000000}">
      <text>
        <r>
          <rPr>
            <b/>
            <sz val="9"/>
            <color indexed="81"/>
            <rFont val="Tahoma"/>
            <family val="2"/>
          </rPr>
          <t>Reportan 0 pero las actividades da apra ejecución del 100%</t>
        </r>
      </text>
    </comment>
    <comment ref="R6" authorId="2" shapeId="0" xr:uid="{00000000-0006-0000-1200-000043000000}">
      <text>
        <r>
          <rPr>
            <b/>
            <sz val="9"/>
            <color indexed="81"/>
            <rFont val="Tahoma"/>
            <family val="2"/>
          </rPr>
          <t>LUISA:</t>
        </r>
        <r>
          <rPr>
            <sz val="9"/>
            <color indexed="81"/>
            <rFont val="Tahoma"/>
            <family val="2"/>
          </rPr>
          <t xml:space="preserve">
Enfermera asistencia técnica y Enfermera vigilancia. </t>
        </r>
      </text>
    </comment>
    <comment ref="T6" authorId="2" shapeId="0" xr:uid="{00000000-0006-0000-1200-000044000000}">
      <text>
        <r>
          <rPr>
            <b/>
            <sz val="9"/>
            <color indexed="81"/>
            <rFont val="Tahoma"/>
            <family val="2"/>
          </rPr>
          <t>LUISA:</t>
        </r>
        <r>
          <rPr>
            <sz val="9"/>
            <color indexed="81"/>
            <rFont val="Tahoma"/>
            <family val="2"/>
          </rPr>
          <t xml:space="preserve">
Enfermera asistencia técnica y Enfermera vigilancia. </t>
        </r>
      </text>
    </comment>
    <comment ref="BH6" authorId="3" shapeId="0" xr:uid="{00000000-0006-0000-1200-000045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30,5 x 100.000 N.V</t>
        </r>
      </text>
    </comment>
    <comment ref="N8" authorId="1" shapeId="0" xr:uid="{00000000-0006-0000-1200-000046000000}">
      <text>
        <r>
          <rPr>
            <b/>
            <sz val="9"/>
            <color indexed="81"/>
            <rFont val="Tahoma"/>
            <family val="2"/>
          </rPr>
          <t>reportan 6x1000 NV
las actividades da para ejecución del 100%</t>
        </r>
      </text>
    </comment>
    <comment ref="R8" authorId="2" shapeId="0" xr:uid="{00000000-0006-0000-1200-000047000000}">
      <text>
        <r>
          <rPr>
            <b/>
            <sz val="9"/>
            <color indexed="81"/>
            <rFont val="Tahoma"/>
            <family val="2"/>
          </rPr>
          <t>LUISA:</t>
        </r>
        <r>
          <rPr>
            <sz val="9"/>
            <color indexed="81"/>
            <rFont val="Tahoma"/>
            <family val="2"/>
          </rPr>
          <t xml:space="preserve">
Enfermera asistencia infancia y enfermera Vigilancia infancia, visitas casa . (59.400.000) sana704.400.000 (Cada visita 58700), Grupos de vecinos y amigos (52.800.000)</t>
        </r>
      </text>
    </comment>
    <comment ref="BH8" authorId="3" shapeId="0" xr:uid="{00000000-0006-0000-1200-000048000000}">
      <text>
        <r>
          <rPr>
            <b/>
            <sz val="10"/>
            <color rgb="FF000000"/>
            <rFont val="Tahoma"/>
            <family val="2"/>
          </rPr>
          <t xml:space="preserve">Microsoft Office User: </t>
        </r>
        <r>
          <rPr>
            <sz val="10"/>
            <color rgb="FF000000"/>
            <rFont val="Tahoma"/>
            <family val="2"/>
          </rPr>
          <t xml:space="preserve">
</t>
        </r>
        <r>
          <rPr>
            <sz val="10"/>
            <color rgb="FF000000"/>
            <rFont val="Tahoma"/>
            <family val="2"/>
          </rPr>
          <t xml:space="preserve">el dato reportado es de 4,4 x 1000 N.V </t>
        </r>
      </text>
    </comment>
    <comment ref="N10" authorId="1" shapeId="0" xr:uid="{00000000-0006-0000-1200-000049000000}">
      <text>
        <r>
          <rPr>
            <b/>
            <sz val="9"/>
            <color indexed="81"/>
            <rFont val="Tahoma"/>
            <family val="2"/>
          </rPr>
          <t>reportan 1,3 x 1000 menores de 5 años
las actividadess da para ejecución del 80%</t>
        </r>
      </text>
    </comment>
    <comment ref="R10" authorId="2" shapeId="0" xr:uid="{00000000-0006-0000-1200-00004A000000}">
      <text>
        <r>
          <rPr>
            <b/>
            <sz val="9"/>
            <color indexed="81"/>
            <rFont val="Tahoma"/>
            <family val="2"/>
          </rPr>
          <t>LUISA:</t>
        </r>
        <r>
          <rPr>
            <sz val="9"/>
            <color indexed="81"/>
            <rFont val="Tahoma"/>
            <family val="2"/>
          </rPr>
          <t xml:space="preserve">
Enfermera asistencia infancia y enfermera Vigilancia infancia, visitas casa . (59.400.000) sana704.400.000 (Cada visita 58700), Grupos de vecinos y amigos (52.800.000) más AIEPI cada curso 500.000 para un total de 4.000.000</t>
        </r>
      </text>
    </comment>
    <comment ref="BH10" authorId="3" shapeId="0" xr:uid="{00000000-0006-0000-1200-00004B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1,0 x 1000 Menores de cinco años</t>
        </r>
      </text>
    </comment>
    <comment ref="N12" authorId="1" shapeId="0" xr:uid="{00000000-0006-0000-1200-00004C000000}">
      <text>
        <r>
          <rPr>
            <b/>
            <sz val="9"/>
            <color indexed="81"/>
            <rFont val="Tahoma"/>
            <family val="2"/>
          </rPr>
          <t>reportan La tasa total de mortalidad  por causa externa en el 2018 fue de  8,2 con 10 casos (discriminado por rango de edad Tasa mortalidad por causa externa de 0 a 5: Tasa de 5 con 2 casos, de 6 a 11 años: 0, De 12 a 17 años: tasa de 19,3 con 8 casos
las actividades da para ejecución del 85%</t>
        </r>
      </text>
    </comment>
    <comment ref="N16" authorId="1" shapeId="0" xr:uid="{00000000-0006-0000-1200-00004D000000}">
      <text>
        <r>
          <rPr>
            <b/>
            <sz val="9"/>
            <color indexed="81"/>
            <rFont val="Tahoma"/>
            <family val="2"/>
          </rPr>
          <t>reportan La tasa total de mortalidad  por causa externa en el 2018 fue de  8,2 con 10 casos (discriminado por rango de edad Tasa mortalidad por causa externa de 0 a 5: Tasa de 5 con 2 casos, de 6 a 11 años: 0, De 12 a 17 años: tasa de 19,3 con 8 casos
las actividades da para ejecución del 85%</t>
        </r>
      </text>
    </comment>
    <comment ref="BH18" authorId="3" shapeId="0" xr:uid="{00000000-0006-0000-1200-00004E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158%</t>
        </r>
      </text>
    </comment>
    <comment ref="BH24" authorId="3" shapeId="0" xr:uid="{00000000-0006-0000-1200-00004F000000}">
      <text>
        <r>
          <rPr>
            <b/>
            <sz val="10"/>
            <color rgb="FF000000"/>
            <rFont val="Tahoma"/>
            <family val="2"/>
          </rPr>
          <t>Microsoft Office User:</t>
        </r>
        <r>
          <rPr>
            <sz val="10"/>
            <color rgb="FF000000"/>
            <rFont val="Tahoma"/>
            <family val="2"/>
          </rPr>
          <t xml:space="preserve">
</t>
        </r>
        <r>
          <rPr>
            <sz val="10"/>
            <color rgb="FF000000"/>
            <rFont val="Tahoma"/>
            <family val="2"/>
          </rPr>
          <t xml:space="preserve">El dato reportadado es de 159% </t>
        </r>
      </text>
    </comment>
    <comment ref="BH34" authorId="3" shapeId="0" xr:uid="{00000000-0006-0000-1200-000050000000}">
      <text>
        <r>
          <rPr>
            <b/>
            <sz val="10"/>
            <color rgb="FF000000"/>
            <rFont val="Tahoma"/>
            <family val="2"/>
          </rPr>
          <t>Microsoft Office User:</t>
        </r>
        <r>
          <rPr>
            <sz val="10"/>
            <color rgb="FF000000"/>
            <rFont val="Tahoma"/>
            <family val="2"/>
          </rPr>
          <t xml:space="preserve">
</t>
        </r>
        <r>
          <rPr>
            <sz val="10"/>
            <color rgb="FF000000"/>
            <rFont val="Tahoma"/>
            <family val="2"/>
          </rPr>
          <t xml:space="preserve">El dato reportado es de 95% de gestantes con prueba de VIH </t>
        </r>
      </text>
    </comment>
    <comment ref="N36" authorId="1" shapeId="0" xr:uid="{00000000-0006-0000-1200-000051000000}">
      <text>
        <r>
          <rPr>
            <b/>
            <sz val="9"/>
            <color indexed="81"/>
            <rFont val="Tahoma"/>
            <family val="2"/>
          </rPr>
          <t>reportan 0 pero actividades da para ejecución del 80%</t>
        </r>
      </text>
    </comment>
    <comment ref="BH36" authorId="3" shapeId="0" xr:uid="{00000000-0006-0000-1200-000052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0,15</t>
        </r>
      </text>
    </comment>
    <comment ref="N38" authorId="1" shapeId="0" xr:uid="{00000000-0006-0000-1200-000053000000}">
      <text>
        <r>
          <rPr>
            <b/>
            <sz val="9"/>
            <color indexed="81"/>
            <rFont val="Tahoma"/>
            <family val="2"/>
          </rPr>
          <t>reportan 14.9% pero las actividades da para ejecución del 90%</t>
        </r>
      </text>
    </comment>
    <comment ref="O38" authorId="4" shapeId="0" xr:uid="{00000000-0006-0000-1200-000054000000}">
      <text>
        <r>
          <rPr>
            <b/>
            <sz val="9"/>
            <color indexed="81"/>
            <rFont val="Tahoma"/>
            <family val="2"/>
          </rPr>
          <t>Portatil:</t>
        </r>
        <r>
          <rPr>
            <sz val="9"/>
            <color indexed="81"/>
            <rFont val="Tahoma"/>
            <family val="2"/>
          </rPr>
          <t xml:space="preserve">
SISAP de temas relacionados 
Casa Sana
Luisa</t>
        </r>
      </text>
    </comment>
    <comment ref="BH38" authorId="3" shapeId="0" xr:uid="{00000000-0006-0000-1200-000055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16,8%, lo que segun la meta propuesta corresponde al 80%.</t>
        </r>
      </text>
    </comment>
    <comment ref="BH42" authorId="3" shapeId="0" xr:uid="{00000000-0006-0000-1200-000056000000}">
      <text>
        <r>
          <rPr>
            <b/>
            <sz val="10"/>
            <color rgb="FF000000"/>
            <rFont val="Tahoma"/>
            <family val="2"/>
          </rPr>
          <t>Microsoft Office User:</t>
        </r>
        <r>
          <rPr>
            <sz val="10"/>
            <color rgb="FF000000"/>
            <rFont val="Tahoma"/>
            <family val="2"/>
          </rPr>
          <t xml:space="preserve">
</t>
        </r>
        <r>
          <rPr>
            <sz val="10"/>
            <color rgb="FF000000"/>
            <rFont val="Tahoma"/>
            <family val="2"/>
          </rPr>
          <t xml:space="preserve">El dato reportado es de 32% </t>
        </r>
      </text>
    </comment>
    <comment ref="BH44" authorId="3" shapeId="0" xr:uid="{00000000-0006-0000-1200-000057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0,91 x 1000 N.V  lo que equivale segun la meta prouesta al 48%.</t>
        </r>
      </text>
    </comment>
    <comment ref="BH46" authorId="3" shapeId="0" xr:uid="{00000000-0006-0000-1200-000058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0</t>
        </r>
      </text>
    </comment>
    <comment ref="BH48" authorId="3" shapeId="0" xr:uid="{00000000-0006-0000-1200-000059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3,0 x 1000 menores de 5 años  lo que corresponde al 42% segun la meta propuesta.</t>
        </r>
      </text>
    </comment>
    <comment ref="N58" authorId="1" shapeId="0" xr:uid="{00000000-0006-0000-1200-00005A000000}">
      <text>
        <r>
          <rPr>
            <b/>
            <sz val="9"/>
            <color indexed="81"/>
            <rFont val="Tahoma"/>
            <family val="2"/>
          </rPr>
          <t>reportan 3.8% en desnutrición global, quedando ejecución al 100%</t>
        </r>
      </text>
    </comment>
    <comment ref="R58" authorId="2" shapeId="0" xr:uid="{00000000-0006-0000-1200-00005B000000}">
      <text>
        <r>
          <rPr>
            <b/>
            <sz val="9"/>
            <color indexed="81"/>
            <rFont val="Tahoma"/>
            <family val="2"/>
          </rPr>
          <t>LUISA:</t>
        </r>
        <r>
          <rPr>
            <sz val="9"/>
            <color indexed="81"/>
            <rFont val="Tahoma"/>
            <family val="2"/>
          </rPr>
          <t xml:space="preserve">
Nutricionista 26.400.000
Milady 29.700.000
Aux (5x1.600.000= 64.000.000</t>
        </r>
      </text>
    </comment>
    <comment ref="BH58" authorId="3" shapeId="0" xr:uid="{00000000-0006-0000-1200-00005C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3,85%</t>
        </r>
      </text>
    </comment>
    <comment ref="BH61" authorId="5" shapeId="0" xr:uid="{00000000-0006-0000-1200-00005D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indicador ya no se mide debido a la resolucion 2465 de 2014, el indicador paso a llamarse retraso en talla.</t>
        </r>
      </text>
    </comment>
    <comment ref="BH64" authorId="6" shapeId="0" xr:uid="{00000000-0006-0000-1200-00005E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indicador ya no se mide debido a la resolucion 2465 de 2014, el indicador paso a llamarse retraso en talla.</t>
        </r>
      </text>
    </comment>
    <comment ref="N67" authorId="1" shapeId="0" xr:uid="{00000000-0006-0000-1200-00005F000000}">
      <text>
        <r>
          <rPr>
            <b/>
            <sz val="9"/>
            <color indexed="81"/>
            <rFont val="Tahoma"/>
            <family val="2"/>
          </rPr>
          <t>reportan 8.9% pero actividades descritas permiten dejar ejecución al 80%</t>
        </r>
      </text>
    </comment>
    <comment ref="BH67" authorId="3" shapeId="0" xr:uid="{00000000-0006-0000-1200-000060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8,85%</t>
        </r>
      </text>
    </comment>
    <comment ref="N70" authorId="1" shapeId="0" xr:uid="{00000000-0006-0000-1200-000061000000}">
      <text>
        <r>
          <rPr>
            <b/>
            <sz val="9"/>
            <color indexed="81"/>
            <rFont val="Tahoma"/>
            <family val="2"/>
          </rPr>
          <t>reportan desnutricion del 8.6 dejando ejecución al 100%</t>
        </r>
      </text>
    </comment>
    <comment ref="BH70" authorId="3" shapeId="0" xr:uid="{00000000-0006-0000-1200-000062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9%</t>
        </r>
      </text>
    </comment>
    <comment ref="N73" authorId="1" shapeId="0" xr:uid="{00000000-0006-0000-1200-000063000000}">
      <text>
        <r>
          <rPr>
            <b/>
            <sz val="9"/>
            <color indexed="81"/>
            <rFont val="Tahoma"/>
            <family val="2"/>
          </rPr>
          <t>repoertan media duracion de lactancia de 4 dejendo ejecucion al 100%</t>
        </r>
      </text>
    </comment>
    <comment ref="BH73" authorId="3" shapeId="0" xr:uid="{00000000-0006-0000-1200-000064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4  segun el indicador y las acciones se entendera como 100%</t>
        </r>
      </text>
    </comment>
    <comment ref="N76" authorId="1" shapeId="0" xr:uid="{00000000-0006-0000-1200-000065000000}">
      <text>
        <r>
          <rPr>
            <b/>
            <sz val="9"/>
            <color indexed="81"/>
            <rFont val="Tahoma"/>
            <family val="2"/>
          </rPr>
          <t>reportan bajo peso al nacer de 3.1 dejendo ejecucion al 100%</t>
        </r>
      </text>
    </comment>
    <comment ref="R76" authorId="2" shapeId="0" xr:uid="{00000000-0006-0000-1200-000066000000}">
      <text>
        <r>
          <rPr>
            <b/>
            <sz val="9"/>
            <color indexed="81"/>
            <rFont val="Tahoma"/>
            <family val="2"/>
          </rPr>
          <t>LUISA:</t>
        </r>
        <r>
          <rPr>
            <sz val="9"/>
            <color indexed="81"/>
            <rFont val="Tahoma"/>
            <family val="2"/>
          </rPr>
          <t xml:space="preserve">
Valor de la enfermera de vigilancia </t>
        </r>
      </text>
    </comment>
    <comment ref="BH76" authorId="3" shapeId="0" xr:uid="{00000000-0006-0000-1200-000067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3,4, segun el indicador y las acciones se entendera como 100%.</t>
        </r>
      </text>
    </comment>
    <comment ref="BH79" authorId="3" shapeId="0" xr:uid="{00000000-0006-0000-1200-000068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71 personas atendidas, segun el indicador y las acciones se entendera como 100%</t>
        </r>
      </text>
    </comment>
    <comment ref="BH80" authorId="3" shapeId="0" xr:uid="{00000000-0006-0000-1200-000069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50 personas, segun el indicador y las acciones se entendera como 100%</t>
        </r>
      </text>
    </comment>
    <comment ref="N83" authorId="1" shapeId="0" xr:uid="{00000000-0006-0000-1200-00006A000000}">
      <text>
        <r>
          <rPr>
            <b/>
            <sz val="9"/>
            <color indexed="81"/>
            <rFont val="Tahoma"/>
            <family val="2"/>
          </rPr>
          <t>la reportan en 0 pero según las actividadades realizadas reportan 123 jornadas de socialización, por tanto queda en 100%</t>
        </r>
      </text>
    </comment>
    <comment ref="BH83" authorId="3" shapeId="0" xr:uid="{00000000-0006-0000-1200-00006B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70, segun el indicador y las acciones se entendera como 100%.</t>
        </r>
      </text>
    </comment>
    <comment ref="N86" authorId="1" shapeId="0" xr:uid="{00000000-0006-0000-1200-00006C000000}">
      <text>
        <r>
          <rPr>
            <b/>
            <sz val="9"/>
            <color indexed="81"/>
            <rFont val="Tahoma"/>
            <family val="2"/>
          </rPr>
          <t>reportan 5 pero dadas las actividades se considera avance del 70% en el fortalecimiento del centro integral</t>
        </r>
      </text>
    </comment>
    <comment ref="N92" authorId="1" shapeId="0" xr:uid="{00000000-0006-0000-1200-00006D000000}">
      <text>
        <r>
          <rPr>
            <b/>
            <sz val="9"/>
            <color indexed="81"/>
            <rFont val="Tahoma"/>
            <family val="2"/>
          </rPr>
          <t>se reporta 463 casos de matrato a NNA atendidos en Comisarías de familia
por tanto se asigna 1005 en ejecución</t>
        </r>
      </text>
    </comment>
    <comment ref="BH92" authorId="3" shapeId="0" xr:uid="{00000000-0006-0000-1200-00006E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1364, segun el indicador y las acciones se entendera como 100%.</t>
        </r>
      </text>
    </comment>
    <comment ref="N94" authorId="1" shapeId="0" xr:uid="{00000000-0006-0000-1200-00006F000000}">
      <text>
        <r>
          <rPr>
            <b/>
            <sz val="9"/>
            <color indexed="81"/>
            <rFont val="Tahoma"/>
            <family val="2"/>
          </rPr>
          <t>se reporta 125 casos  en prevención de consumo de SPA. No se hace referencia a la implementación de programas pero se relacionan varias acciones que podrían enmarcarse en algún tipo de programa, 
Se asigna 80% de cumplimiento</t>
        </r>
      </text>
    </comment>
    <comment ref="BH94" authorId="3" shapeId="0" xr:uid="{00000000-0006-0000-1200-000070000000}">
      <text>
        <r>
          <rPr>
            <b/>
            <sz val="10"/>
            <color rgb="FF000000"/>
            <rFont val="Tahoma"/>
            <family val="2"/>
          </rPr>
          <t xml:space="preserve">Microsoft Office User: </t>
        </r>
        <r>
          <rPr>
            <sz val="10"/>
            <color rgb="FF000000"/>
            <rFont val="Tahoma"/>
            <family val="2"/>
          </rPr>
          <t>El dato reportado es de 471, segun el indidcador y las acciones se entendera como 100%</t>
        </r>
      </text>
    </comment>
    <comment ref="N107" authorId="1" shapeId="0" xr:uid="{00000000-0006-0000-1200-000071000000}">
      <text>
        <r>
          <rPr>
            <b/>
            <sz val="9"/>
            <color indexed="81"/>
            <rFont val="Tahoma"/>
            <family val="2"/>
          </rPr>
          <t>se reporta 9.000. No se hace referencia a la implementación de estrategias pero se relacionan varias acciones que podrían enmarcarse en algún tipo de estrategia, 
Se asigna 80% de cumplimiento
En otro archivo reportan  139 operativos ejecutados en el Municipio
sube al 90%
Gobierno reporta:
 139 operativos ejecutados en el Municipio</t>
        </r>
      </text>
    </comment>
    <comment ref="O107" authorId="1" shapeId="0" xr:uid="{00000000-0006-0000-1200-000072000000}">
      <text>
        <r>
          <rPr>
            <b/>
            <sz val="9"/>
            <color indexed="81"/>
            <rFont val="Tahoma"/>
            <family val="2"/>
          </rPr>
          <t>otro archivo reporta en fila 47:  
Operativos de Control e Intervención. Actividades de Sensibilización sobre ETI. SENSIBILIZACIÓN SOBRE EL DÍA INTERNACIONAL DE LA ERRADICACIÓN DEL TRABAJO INFANTIL 
en fila 49 reporta: Operativos de Control e Intervención. Actividades de Sensibilización.     Talleres Lúdico Pedagógicos en Instituciones Educativas
en fila 50 reporta: Talleres Lúdico Pedagógicos en Instituciones Educativas, Empresas, Parques, Descentralizados, Calle y Establecimientos, JAC y Comunidad en general
Gobierno reporta en fila 47:
Operativos de Control e Intervención. Actividades de Sensibilización sobre ETI. SENSIBILIZACIÓN SOBRE EL DÍA INTERNACIONAL DE LA ERRADICACIÓN DEL TRABAJO INFANTIL 
Gobierno reporta en fila 50:
Talleres Lúdico Pedagógicos en Instituciones Educativas, Empresas, Parques, Descentralizados, Calle y Establecimientos, JAC y Comunidad en general</t>
        </r>
      </text>
    </comment>
    <comment ref="P107" authorId="1" shapeId="0" xr:uid="{00000000-0006-0000-1200-000073000000}">
      <text>
        <r>
          <rPr>
            <b/>
            <sz val="9"/>
            <color indexed="81"/>
            <rFont val="Tahoma"/>
            <family val="2"/>
          </rPr>
          <t>otro archivo reporta evidencias de fotos</t>
        </r>
      </text>
    </comment>
    <comment ref="Q107" authorId="1" shapeId="0" xr:uid="{00000000-0006-0000-1200-000074000000}">
      <text>
        <r>
          <rPr>
            <b/>
            <sz val="9"/>
            <color indexed="81"/>
            <rFont val="Tahoma"/>
            <family val="2"/>
          </rPr>
          <t>otro archivo reprta: No es posible establecer en detalle el número de población atendida, al igual que el género y la zona, tampoco los ciclos de vida ni la condición de la población, debido a que la información se presenta de manera global no discriminada para obtener dicha información</t>
        </r>
      </text>
    </comment>
    <comment ref="V107" authorId="1" shapeId="0" xr:uid="{00000000-0006-0000-1200-000075000000}">
      <text>
        <r>
          <rPr>
            <b/>
            <sz val="9"/>
            <color indexed="81"/>
            <rFont val="Tahoma"/>
            <family val="2"/>
          </rPr>
          <t>otro archivo reporta 87 beneficiarios en fila 47
en fila 49 reportan 68 beneficiarios
en fila 50 reportan 27 beneficiarios
Gobierno reporta en fila 47:
87 personas atendidas
Gobierno reporta en fila 50:
27 personas atendidas</t>
        </r>
      </text>
    </comment>
    <comment ref="BH107" authorId="3" shapeId="0" xr:uid="{00000000-0006-0000-1200-000076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30, segun los indicadores y las acciones se entendera como 100%</t>
        </r>
      </text>
    </comment>
    <comment ref="N109" authorId="1" shapeId="0" xr:uid="{00000000-0006-0000-1200-000077000000}">
      <text>
        <r>
          <rPr>
            <b/>
            <sz val="9"/>
            <color indexed="81"/>
            <rFont val="Tahoma"/>
            <family val="2"/>
          </rPr>
          <t>reportan SD pero relacionan na serie de actividades que vinculan a 5 indicadores, por lo cual se asigna cumplimiento del 70%</t>
        </r>
      </text>
    </comment>
    <comment ref="Q109" authorId="1" shapeId="0" xr:uid="{00000000-0006-0000-1200-000078000000}">
      <text>
        <r>
          <rPr>
            <b/>
            <sz val="9"/>
            <color indexed="81"/>
            <rFont val="Tahoma"/>
            <family val="2"/>
          </rPr>
          <t>otro archivo reporta fotos como  evidencia</t>
        </r>
      </text>
    </comment>
    <comment ref="N111" authorId="1" shapeId="0" xr:uid="{00000000-0006-0000-1200-000079000000}">
      <text>
        <r>
          <rPr>
            <b/>
            <sz val="9"/>
            <color indexed="81"/>
            <rFont val="Tahoma"/>
            <family val="2"/>
          </rPr>
          <t>reportan SD pero relacionan na serie de actividades que vinculan a 5 indicadores, por lo cual se asigna cumplimiento del 70%
Otro archivo reporta: 95 Talleres de fortalecimiento
sube a 80%
Gobierno reporta:
95 Talleres de fortalecimiento
sube al 90%</t>
        </r>
      </text>
    </comment>
    <comment ref="N113" authorId="1" shapeId="0" xr:uid="{00000000-0006-0000-1200-00007A000000}">
      <text>
        <r>
          <rPr>
            <b/>
            <sz val="9"/>
            <color indexed="81"/>
            <rFont val="Tahoma"/>
            <family val="2"/>
          </rPr>
          <t>reportan SD pero relacionan na serie de actividades que vinculan a 5 indicadores, por lo cual se asigna cumplimiento del 70%
otro archivo reporta: 272 Talleres de promoción
sube al 80%</t>
        </r>
      </text>
    </comment>
    <comment ref="N115" authorId="1" shapeId="0" xr:uid="{00000000-0006-0000-1200-00007B000000}">
      <text>
        <r>
          <rPr>
            <b/>
            <sz val="9"/>
            <color indexed="81"/>
            <rFont val="Tahoma"/>
            <family val="2"/>
          </rPr>
          <t>reportan 1.63% que sale de la fórmula =+(2000/122941)*100%
sin embargo, reportan una serie de actividades que apuntan a las estrategias de información, educación y comunicación, por lo cual se asigna 70% en ejecución</t>
        </r>
      </text>
    </comment>
    <comment ref="N116" authorId="1" shapeId="0" xr:uid="{00000000-0006-0000-1200-00007C000000}">
      <text>
        <r>
          <rPr>
            <b/>
            <sz val="9"/>
            <color indexed="81"/>
            <rFont val="Tahoma"/>
            <family val="2"/>
          </rPr>
          <t>reportan una tasa de 7347.48 que sale de la fórmula Tasa : 9000/122941*100.000 habitantes= 7347,48
Dada las acciones referecniads se considera ejecución del 80%</t>
        </r>
      </text>
    </comment>
    <comment ref="BH116" authorId="3" shapeId="0" xr:uid="{00000000-0006-0000-1200-00007D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7347,48, segun el indicador y las acciones se entendera como 100%</t>
        </r>
      </text>
    </comment>
    <comment ref="N117" authorId="1" shapeId="0" xr:uid="{00000000-0006-0000-1200-00007E000000}">
      <text>
        <r>
          <rPr>
            <b/>
            <sz val="9"/>
            <color indexed="81"/>
            <rFont val="Tahoma"/>
            <family val="2"/>
          </rPr>
          <t>reportan 424 y según las actividades se refleja modelo pedagógico. Cumplimiento del 100%</t>
        </r>
      </text>
    </comment>
    <comment ref="BH117" authorId="3" shapeId="0" xr:uid="{00000000-0006-0000-1200-00007F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60, segun el indicador y las acciones se entendera como 100%.</t>
        </r>
      </text>
    </comment>
    <comment ref="N122" authorId="1" shapeId="0" xr:uid="{00000000-0006-0000-1200-000080000000}">
      <text>
        <r>
          <rPr>
            <b/>
            <sz val="9"/>
            <color indexed="81"/>
            <rFont val="Tahoma"/>
            <family val="2"/>
          </rPr>
          <t>reportan 6.13% que sale de =+(26/424)*100%
dadas las acciones se considera cumplimeinto del 70%</t>
        </r>
      </text>
    </comment>
    <comment ref="BH122" authorId="7" shapeId="0" xr:uid="{00000000-0006-0000-1200-00008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Averiguar porque no existen datos.</t>
        </r>
      </text>
    </comment>
    <comment ref="N123" authorId="1" shapeId="0" xr:uid="{00000000-0006-0000-1200-000082000000}">
      <text>
        <r>
          <rPr>
            <b/>
            <sz val="9"/>
            <color indexed="81"/>
            <rFont val="Tahoma"/>
            <family val="2"/>
          </rPr>
          <t>reportan 11.46% que sale de =+(22/192)*100%
dadas las acciones queda 70% de reporte</t>
        </r>
      </text>
    </comment>
    <comment ref="BH123" authorId="8" shapeId="0" xr:uid="{00000000-0006-0000-1200-000083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Averiguar porque no existen datos.</t>
        </r>
      </text>
    </comment>
    <comment ref="N124" authorId="1" shapeId="0" xr:uid="{00000000-0006-0000-1200-000084000000}">
      <text>
        <r>
          <rPr>
            <b/>
            <sz val="9"/>
            <color indexed="81"/>
            <rFont val="Tahoma"/>
            <family val="2"/>
          </rPr>
          <t>La reporta Educación</t>
        </r>
      </text>
    </comment>
    <comment ref="N135" authorId="1" shapeId="0" xr:uid="{00000000-0006-0000-1200-000085000000}">
      <text>
        <r>
          <rPr>
            <b/>
            <sz val="9"/>
            <color indexed="81"/>
            <rFont val="Tahoma"/>
            <family val="2"/>
          </rPr>
          <t>repoertan 884</t>
        </r>
        <r>
          <rPr>
            <sz val="9"/>
            <color indexed="81"/>
            <rFont val="Tahoma"/>
            <family val="2"/>
          </rPr>
          <t xml:space="preserve">
</t>
        </r>
      </text>
    </comment>
    <comment ref="N136" authorId="1" shapeId="0" xr:uid="{00000000-0006-0000-1200-000086000000}">
      <text>
        <r>
          <rPr>
            <b/>
            <sz val="9"/>
            <color indexed="81"/>
            <rFont val="Tahoma"/>
            <family val="2"/>
          </rPr>
          <t>repoertan 4563</t>
        </r>
        <r>
          <rPr>
            <sz val="9"/>
            <color indexed="81"/>
            <rFont val="Tahoma"/>
            <family val="2"/>
          </rPr>
          <t xml:space="preserve">
</t>
        </r>
      </text>
    </comment>
    <comment ref="N137" authorId="1" shapeId="0" xr:uid="{00000000-0006-0000-1200-000087000000}">
      <text>
        <r>
          <rPr>
            <b/>
            <sz val="9"/>
            <color indexed="81"/>
            <rFont val="Tahoma"/>
            <family val="2"/>
          </rPr>
          <t>repoertan 4082</t>
        </r>
        <r>
          <rPr>
            <sz val="9"/>
            <color indexed="81"/>
            <rFont val="Tahoma"/>
            <family val="2"/>
          </rPr>
          <t xml:space="preserve">
</t>
        </r>
      </text>
    </comment>
    <comment ref="N138" authorId="1" shapeId="0" xr:uid="{00000000-0006-0000-1200-000088000000}">
      <text>
        <r>
          <rPr>
            <b/>
            <sz val="9"/>
            <color indexed="81"/>
            <rFont val="Tahoma"/>
            <family val="2"/>
          </rPr>
          <t>reportan 6011 se deja al 100%</t>
        </r>
      </text>
    </comment>
    <comment ref="BH138" authorId="3" shapeId="0" xr:uid="{00000000-0006-0000-1200-000089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4595, segun el indicador y las acciones se entendera como 100%.</t>
        </r>
      </text>
    </comment>
    <comment ref="N139" authorId="1" shapeId="0" xr:uid="{00000000-0006-0000-1200-00008A000000}">
      <text>
        <r>
          <rPr>
            <b/>
            <sz val="9"/>
            <color indexed="81"/>
            <rFont val="Tahoma"/>
            <family val="2"/>
          </rPr>
          <t>reportan 6308 se deja al 100%</t>
        </r>
      </text>
    </comment>
    <comment ref="BH139" authorId="3" shapeId="0" xr:uid="{00000000-0006-0000-1200-00008B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4589, segun el indicador y las acciones se entendera como 100%.</t>
        </r>
      </text>
    </comment>
    <comment ref="N140" authorId="1" shapeId="0" xr:uid="{00000000-0006-0000-1200-00008C000000}">
      <text>
        <r>
          <rPr>
            <b/>
            <sz val="9"/>
            <color indexed="81"/>
            <rFont val="Tahoma"/>
            <family val="2"/>
          </rPr>
          <t>reportan: 1202 (3% de niños inscritos o matriculados)</t>
        </r>
        <r>
          <rPr>
            <sz val="9"/>
            <color indexed="81"/>
            <rFont val="Tahoma"/>
            <family val="2"/>
          </rPr>
          <t xml:space="preserve">
</t>
        </r>
      </text>
    </comment>
    <comment ref="N141" authorId="1" shapeId="0" xr:uid="{00000000-0006-0000-1200-00008D000000}">
      <text>
        <r>
          <rPr>
            <b/>
            <sz val="9"/>
            <color indexed="81"/>
            <rFont val="Tahoma"/>
            <family val="2"/>
          </rPr>
          <t>reportan: 3996 (10% de niños inscritos o matriculados)</t>
        </r>
        <r>
          <rPr>
            <sz val="9"/>
            <color indexed="81"/>
            <rFont val="Tahoma"/>
            <family val="2"/>
          </rPr>
          <t xml:space="preserve">
</t>
        </r>
      </text>
    </comment>
    <comment ref="N142" authorId="1" shapeId="0" xr:uid="{00000000-0006-0000-1200-00008E000000}">
      <text>
        <r>
          <rPr>
            <b/>
            <sz val="9"/>
            <color indexed="81"/>
            <rFont val="Tahoma"/>
            <family val="2"/>
          </rPr>
          <t>reportan: 1209 (3% de adolescentes inscritos o matriculados)</t>
        </r>
        <r>
          <rPr>
            <sz val="9"/>
            <color indexed="81"/>
            <rFont val="Tahoma"/>
            <family val="2"/>
          </rPr>
          <t xml:space="preserve">
</t>
        </r>
      </text>
    </comment>
    <comment ref="BH143" authorId="3" shapeId="0" xr:uid="{00000000-0006-0000-1200-00008F000000}">
      <text>
        <r>
          <rPr>
            <b/>
            <sz val="10"/>
            <color rgb="FF000000"/>
            <rFont val="Tahoma"/>
            <family val="2"/>
          </rPr>
          <t>Microsoft Office User:</t>
        </r>
        <r>
          <rPr>
            <sz val="10"/>
            <color rgb="FF000000"/>
            <rFont val="Tahoma"/>
            <family val="2"/>
          </rPr>
          <t xml:space="preserve">
</t>
        </r>
        <r>
          <rPr>
            <sz val="10"/>
            <color rgb="FF000000"/>
            <rFont val="Tahoma"/>
            <family val="2"/>
          </rPr>
          <t>El dato reportado es de 60165, segun el indicador y las acciones se entendera como 100%.</t>
        </r>
      </text>
    </comment>
    <comment ref="N147" authorId="1" shapeId="0" xr:uid="{00000000-0006-0000-1200-000090000000}">
      <text>
        <r>
          <rPr>
            <b/>
            <sz val="9"/>
            <color indexed="81"/>
            <rFont val="Tahoma"/>
            <family val="2"/>
          </rPr>
          <t>reportan 0% pero en las accines plantean que ya se unificaron y está en espera de aprobación, por tanto, se registra ejecución del 50%</t>
        </r>
      </text>
    </comment>
    <comment ref="N148" authorId="1" shapeId="0" xr:uid="{00000000-0006-0000-1200-000091000000}">
      <text>
        <r>
          <rPr>
            <b/>
            <sz val="9"/>
            <color indexed="81"/>
            <rFont val="Tahoma"/>
            <family val="2"/>
          </rPr>
          <t>reprtan 107.77% que sale de =5796/ 5378
dadas las acciones se considera que hicierin una jornada, quedando al 100%</t>
        </r>
      </text>
    </comment>
    <comment ref="N151" authorId="1" shapeId="0" xr:uid="{00000000-0006-0000-1200-000092000000}">
      <text>
        <r>
          <rPr>
            <b/>
            <sz val="9"/>
            <color indexed="81"/>
            <rFont val="Tahoma"/>
            <family val="2"/>
          </rPr>
          <t xml:space="preserve">La medición del indicador la aporta Secretaría de Desarrollo Administrativo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Usuario</author>
    <author>Luisa</author>
    <author/>
  </authors>
  <commentList>
    <comment ref="V3" authorId="0" shapeId="0" xr:uid="{00000000-0006-0000-13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W3" authorId="0" shapeId="0" xr:uid="{00000000-0006-0000-1300-000002000000}">
      <text>
        <r>
          <rPr>
            <b/>
            <sz val="12"/>
            <color indexed="81"/>
            <rFont val="Tahoma"/>
            <family val="2"/>
          </rPr>
          <t xml:space="preserve">Comente como desarrollo la acción de la Política Pública por medio de actividades, describiendo el Lugar, Temas desarrollados, etc. </t>
        </r>
      </text>
    </comment>
    <comment ref="X3" authorId="0" shapeId="0" xr:uid="{00000000-0006-0000-1300-000003000000}">
      <text>
        <r>
          <rPr>
            <b/>
            <sz val="12"/>
            <color indexed="81"/>
            <rFont val="Tahoma"/>
            <family val="2"/>
          </rPr>
          <t>Describa que evidencias reposan en el desarrollo de la acción, contratos, actas, fotos, registros de asistencia, informes, documentos, videos, etc</t>
        </r>
      </text>
    </comment>
    <comment ref="Y3" authorId="0" shapeId="0" xr:uid="{00000000-0006-0000-1300-000004000000}">
      <text>
        <r>
          <rPr>
            <b/>
            <sz val="12"/>
            <color indexed="81"/>
            <rFont val="Tahoma"/>
            <family val="2"/>
          </rPr>
          <t xml:space="preserve">Comente que problemas, necesidades, aciertos y/o recomendacion se cuentan en el desarrollo de la acción. </t>
        </r>
      </text>
    </comment>
    <comment ref="BI3" authorId="0" shapeId="0" xr:uid="{00000000-0006-0000-1300-000005000000}">
      <text>
        <r>
          <rPr>
            <b/>
            <sz val="9"/>
            <color indexed="81"/>
            <rFont val="Tahoma"/>
            <family val="2"/>
          </rPr>
          <t>La Sección de Matriz de Focalización de Recursos Ecosistémicos se diligencia cuando la acción va dirigida a un Recurso Natural, Fauna y Flora.</t>
        </r>
      </text>
    </comment>
    <comment ref="BN3" authorId="0" shapeId="0" xr:uid="{00000000-0006-0000-1300-000006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BS3" authorId="0" shapeId="0" xr:uid="{00000000-0006-0000-1300-000007000000}">
      <text>
        <r>
          <rPr>
            <b/>
            <sz val="12"/>
            <color indexed="81"/>
            <rFont val="Tahoma"/>
            <family val="2"/>
          </rPr>
          <t xml:space="preserve">Comente como desarrollo la acción de la Política Pública por medio de actividades, describiendo el Lugar, Temas desarrollados, etc. </t>
        </r>
      </text>
    </comment>
    <comment ref="BT3" authorId="0" shapeId="0" xr:uid="{00000000-0006-0000-1300-000008000000}">
      <text>
        <r>
          <rPr>
            <b/>
            <sz val="12"/>
            <color indexed="81"/>
            <rFont val="Tahoma"/>
            <family val="2"/>
          </rPr>
          <t>Describa que evidencias reposan en el desarrollo de la acción, contratos, actas, fotos, registros de asistencia, informes, documentos, videos, etc</t>
        </r>
      </text>
    </comment>
    <comment ref="BU3" authorId="0" shapeId="0" xr:uid="{00000000-0006-0000-1300-000009000000}">
      <text>
        <r>
          <rPr>
            <b/>
            <sz val="12"/>
            <color indexed="81"/>
            <rFont val="Tahoma"/>
            <family val="2"/>
          </rPr>
          <t xml:space="preserve">Comente que problemas, necesidades, aciertos y/o recomendacion se cuentan en el desarrollo de la acción. </t>
        </r>
      </text>
    </comment>
    <comment ref="DE3" authorId="0" shapeId="0" xr:uid="{00000000-0006-0000-1300-00000A000000}">
      <text>
        <r>
          <rPr>
            <b/>
            <sz val="9"/>
            <color indexed="81"/>
            <rFont val="Tahoma"/>
            <family val="2"/>
          </rPr>
          <t>La Sección de Matriz de Focalización de Recursos Ecosistémicos se diligencia cuando la acción va dirigida a un Recurso Natural, Fauna y Flora.</t>
        </r>
      </text>
    </comment>
    <comment ref="DK3" authorId="0" shapeId="0" xr:uid="{00000000-0006-0000-1300-00000B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N3" authorId="0" shapeId="0" xr:uid="{00000000-0006-0000-1300-00000C000000}">
      <text>
        <r>
          <rPr>
            <b/>
            <sz val="12"/>
            <color indexed="81"/>
            <rFont val="Tahoma"/>
            <family val="2"/>
          </rPr>
          <t xml:space="preserve">Comente como desarrollo la acción de la Política Pública por medio de actividades, describiendo el Lugar, Temas desarrollados, etc. </t>
        </r>
      </text>
    </comment>
    <comment ref="DO3" authorId="0" shapeId="0" xr:uid="{00000000-0006-0000-1300-00000D000000}">
      <text>
        <r>
          <rPr>
            <b/>
            <sz val="12"/>
            <color indexed="81"/>
            <rFont val="Tahoma"/>
            <family val="2"/>
          </rPr>
          <t>Describa que evidencias reposan en el desarrollo de la acción, contratos, actas, fotos, registros de asistencia, informes, documentos, videos, etc</t>
        </r>
      </text>
    </comment>
    <comment ref="DP3" authorId="0" shapeId="0" xr:uid="{00000000-0006-0000-1300-00000E000000}">
      <text>
        <r>
          <rPr>
            <b/>
            <sz val="12"/>
            <color indexed="81"/>
            <rFont val="Tahoma"/>
            <family val="2"/>
          </rPr>
          <t xml:space="preserve">Comente que problemas, necesidades, aciertos y/o recomendacion se cuentan en el desarrollo de la acción. </t>
        </r>
      </text>
    </comment>
    <comment ref="EZ3" authorId="0" shapeId="0" xr:uid="{00000000-0006-0000-1300-00000F000000}">
      <text>
        <r>
          <rPr>
            <b/>
            <sz val="9"/>
            <color indexed="81"/>
            <rFont val="Tahoma"/>
            <family val="2"/>
          </rPr>
          <t>La Sección de Matriz de Focalización de Recursos Ecosistémicos se diligencia cuando la acción va dirigida a un Recurso Natural, Fauna y Flora.</t>
        </r>
      </text>
    </comment>
    <comment ref="Z4" authorId="0" shapeId="0" xr:uid="{00000000-0006-0000-1300-000010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AA4" authorId="0" shapeId="0" xr:uid="{00000000-0006-0000-1300-000011000000}">
      <text>
        <r>
          <rPr>
            <b/>
            <sz val="12"/>
            <color indexed="81"/>
            <rFont val="Tahoma"/>
            <family val="2"/>
          </rPr>
          <t>Detalle la cantidad de recursos invertidos del fondo de recursos propios (presupuestos corrientes del Municipio de Pereira)</t>
        </r>
      </text>
    </comment>
    <comment ref="AB4" authorId="0" shapeId="0" xr:uid="{00000000-0006-0000-1300-000012000000}">
      <text>
        <r>
          <rPr>
            <b/>
            <sz val="12"/>
            <color indexed="81"/>
            <rFont val="Tahoma"/>
            <family val="2"/>
          </rPr>
          <t>Detalle la cantidad de recursos invertidos del fondo de recursos del Sistema General de Participaciones (Recursos Girados desde la Nación por el SGP)</t>
        </r>
      </text>
    </comment>
    <comment ref="AC4" authorId="0" shapeId="0" xr:uid="{00000000-0006-0000-1300-000013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AD4" authorId="0" shapeId="0" xr:uid="{00000000-0006-0000-1300-000014000000}">
      <text>
        <r>
          <rPr>
            <b/>
            <sz val="12"/>
            <color indexed="81"/>
            <rFont val="Tahoma"/>
            <family val="2"/>
          </rPr>
          <t>Detalle el número de personas atendidas en cada acción.</t>
        </r>
      </text>
    </comment>
    <comment ref="AE4" authorId="0" shapeId="0" xr:uid="{00000000-0006-0000-1300-000015000000}">
      <text>
        <r>
          <rPr>
            <b/>
            <sz val="12"/>
            <color indexed="81"/>
            <rFont val="Tahoma"/>
            <family val="2"/>
          </rPr>
          <t>Según el total de personas atendidas descrimine los valores según su genero.</t>
        </r>
      </text>
    </comment>
    <comment ref="AG4" authorId="0" shapeId="0" xr:uid="{00000000-0006-0000-1300-000016000000}">
      <text>
        <r>
          <rPr>
            <b/>
            <sz val="12"/>
            <color indexed="81"/>
            <rFont val="Tahoma"/>
            <family val="2"/>
          </rPr>
          <t>Según el total de personas atendidas descrimine los valores según su zona.</t>
        </r>
      </text>
    </comment>
    <comment ref="AI4" authorId="0" shapeId="0" xr:uid="{00000000-0006-0000-1300-000017000000}">
      <text>
        <r>
          <rPr>
            <b/>
            <sz val="12"/>
            <color indexed="81"/>
            <rFont val="Tahoma"/>
            <family val="2"/>
          </rPr>
          <t>Según el total de personas atendidas descrimine los valores según ciclos de edad.</t>
        </r>
      </text>
    </comment>
    <comment ref="AP4" authorId="0" shapeId="0" xr:uid="{00000000-0006-0000-1300-000018000000}">
      <text>
        <r>
          <rPr>
            <b/>
            <sz val="12"/>
            <color indexed="81"/>
            <rFont val="Tahoma"/>
            <family val="2"/>
          </rPr>
          <t>Según el total de personas atendidas descrimine los valores según su condición.</t>
        </r>
      </text>
    </comment>
    <comment ref="AX4" authorId="0" shapeId="0" xr:uid="{00000000-0006-0000-1300-000019000000}">
      <text>
        <r>
          <rPr>
            <b/>
            <sz val="12"/>
            <color indexed="81"/>
            <rFont val="Tahoma"/>
            <family val="2"/>
          </rPr>
          <t>Según el total de personas atendidas descrimine los valores según su etnia.</t>
        </r>
      </text>
    </comment>
    <comment ref="BD4" authorId="0" shapeId="0" xr:uid="{00000000-0006-0000-1300-00001A000000}">
      <text>
        <r>
          <rPr>
            <b/>
            <sz val="12"/>
            <color indexed="81"/>
            <rFont val="Tahoma"/>
            <family val="2"/>
          </rPr>
          <t>En el caso que la acción este dirigida a una organización,  diligenciar el tipo de organización beneficiada.</t>
        </r>
      </text>
    </comment>
    <comment ref="BE4" authorId="0" shapeId="0" xr:uid="{00000000-0006-0000-1300-00001B000000}">
      <text>
        <r>
          <rPr>
            <b/>
            <sz val="12"/>
            <color indexed="81"/>
            <rFont val="Tahoma"/>
            <family val="2"/>
          </rPr>
          <t>Describir el objeto principal de la institución u organización beneficiada.</t>
        </r>
      </text>
    </comment>
    <comment ref="BI4" authorId="0" shapeId="0" xr:uid="{00000000-0006-0000-1300-00001C000000}">
      <text>
        <r>
          <rPr>
            <b/>
            <sz val="12"/>
            <color indexed="81"/>
            <rFont val="Tahoma"/>
            <family val="2"/>
          </rPr>
          <t xml:space="preserve">Diligenciar si son: 
30 Caninos 
100 Arboles plantados  
2 cuencas recuperadas etc
</t>
        </r>
      </text>
    </comment>
    <comment ref="BJ4" authorId="0" shapeId="0" xr:uid="{00000000-0006-0000-1300-00001D000000}">
      <text>
        <r>
          <rPr>
            <b/>
            <sz val="12"/>
            <color indexed="81"/>
            <rFont val="Tahoma"/>
            <family val="2"/>
          </rPr>
          <t>Marcar con una X el tipo de recurso que se beneficio según la acción.</t>
        </r>
      </text>
    </comment>
    <comment ref="BV4" authorId="0" shapeId="0" xr:uid="{00000000-0006-0000-1300-00001E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BW4" authorId="0" shapeId="0" xr:uid="{00000000-0006-0000-1300-00001F000000}">
      <text>
        <r>
          <rPr>
            <b/>
            <sz val="12"/>
            <color indexed="81"/>
            <rFont val="Tahoma"/>
            <family val="2"/>
          </rPr>
          <t>Detalle la cantidad de recursos invertidos del fondo de recursos propios (presupuestos corrientes del Municipio de Pereira)</t>
        </r>
      </text>
    </comment>
    <comment ref="BX4" authorId="0" shapeId="0" xr:uid="{00000000-0006-0000-1300-000020000000}">
      <text>
        <r>
          <rPr>
            <b/>
            <sz val="12"/>
            <color indexed="81"/>
            <rFont val="Tahoma"/>
            <family val="2"/>
          </rPr>
          <t>Detalle la cantidad de recursos invertidos del fondo de recursos del Sistema General de Participaciones (Recursos Girados desde la Nación por el SGP)</t>
        </r>
      </text>
    </comment>
    <comment ref="BY4" authorId="0" shapeId="0" xr:uid="{00000000-0006-0000-1300-000021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BZ4" authorId="0" shapeId="0" xr:uid="{00000000-0006-0000-1300-000022000000}">
      <text>
        <r>
          <rPr>
            <b/>
            <sz val="12"/>
            <color indexed="81"/>
            <rFont val="Tahoma"/>
            <family val="2"/>
          </rPr>
          <t>Detalle el número de personas atendidas en cada acción.</t>
        </r>
      </text>
    </comment>
    <comment ref="CA4" authorId="0" shapeId="0" xr:uid="{00000000-0006-0000-1300-000023000000}">
      <text>
        <r>
          <rPr>
            <b/>
            <sz val="12"/>
            <color indexed="81"/>
            <rFont val="Tahoma"/>
            <family val="2"/>
          </rPr>
          <t>Según el total de personas atendidas descrimine los valores según su genero.</t>
        </r>
      </text>
    </comment>
    <comment ref="CC4" authorId="0" shapeId="0" xr:uid="{00000000-0006-0000-1300-000024000000}">
      <text>
        <r>
          <rPr>
            <b/>
            <sz val="12"/>
            <color indexed="81"/>
            <rFont val="Tahoma"/>
            <family val="2"/>
          </rPr>
          <t>Según el total de personas atendidas descrimine los valores según su zona.</t>
        </r>
      </text>
    </comment>
    <comment ref="CE4" authorId="0" shapeId="0" xr:uid="{00000000-0006-0000-1300-000025000000}">
      <text>
        <r>
          <rPr>
            <b/>
            <sz val="12"/>
            <color indexed="81"/>
            <rFont val="Tahoma"/>
            <family val="2"/>
          </rPr>
          <t>Según el total de personas atendidas descrimine los valores según ciclos de edad.</t>
        </r>
      </text>
    </comment>
    <comment ref="CL4" authorId="0" shapeId="0" xr:uid="{00000000-0006-0000-1300-000026000000}">
      <text>
        <r>
          <rPr>
            <b/>
            <sz val="12"/>
            <color indexed="81"/>
            <rFont val="Tahoma"/>
            <family val="2"/>
          </rPr>
          <t>Según el total de personas atendidas descrimine los valores según su condición.</t>
        </r>
      </text>
    </comment>
    <comment ref="CT4" authorId="0" shapeId="0" xr:uid="{00000000-0006-0000-1300-000027000000}">
      <text>
        <r>
          <rPr>
            <b/>
            <sz val="12"/>
            <color indexed="81"/>
            <rFont val="Tahoma"/>
            <family val="2"/>
          </rPr>
          <t>Según el total de personas atendidas descrimine los valores según su etnia.</t>
        </r>
      </text>
    </comment>
    <comment ref="CZ4" authorId="0" shapeId="0" xr:uid="{00000000-0006-0000-1300-000028000000}">
      <text>
        <r>
          <rPr>
            <b/>
            <sz val="12"/>
            <color indexed="81"/>
            <rFont val="Tahoma"/>
            <family val="2"/>
          </rPr>
          <t>En el caso que la acción este dirigida a una organización,  diligenciar el tipo de organización beneficiada.</t>
        </r>
      </text>
    </comment>
    <comment ref="DA4" authorId="0" shapeId="0" xr:uid="{00000000-0006-0000-1300-000029000000}">
      <text>
        <r>
          <rPr>
            <b/>
            <sz val="12"/>
            <color indexed="81"/>
            <rFont val="Tahoma"/>
            <family val="2"/>
          </rPr>
          <t>Describir el objeto principal de la institución u organización beneficiada.</t>
        </r>
      </text>
    </comment>
    <comment ref="DE4" authorId="0" shapeId="0" xr:uid="{00000000-0006-0000-1300-00002A000000}">
      <text>
        <r>
          <rPr>
            <b/>
            <sz val="12"/>
            <color indexed="81"/>
            <rFont val="Tahoma"/>
            <family val="2"/>
          </rPr>
          <t xml:space="preserve">Diligenciar si son: 
30 Caninos 
100 Arboles plantados  
2 cuencas recuperadas etc
</t>
        </r>
      </text>
    </comment>
    <comment ref="DF4" authorId="0" shapeId="0" xr:uid="{00000000-0006-0000-1300-00002B000000}">
      <text>
        <r>
          <rPr>
            <b/>
            <sz val="12"/>
            <color indexed="81"/>
            <rFont val="Tahoma"/>
            <family val="2"/>
          </rPr>
          <t>Marcar con una X el tipo de recurso que se beneficio según la acción.</t>
        </r>
      </text>
    </comment>
    <comment ref="DQ4" authorId="0" shapeId="0" xr:uid="{00000000-0006-0000-1300-00002C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DR4" authorId="0" shapeId="0" xr:uid="{00000000-0006-0000-1300-00002D000000}">
      <text>
        <r>
          <rPr>
            <b/>
            <sz val="12"/>
            <color indexed="81"/>
            <rFont val="Tahoma"/>
            <family val="2"/>
          </rPr>
          <t>Detalle la cantidad de recursos invertidos del fondo de recursos propios (presupuestos corrientes del Municipio de Pereira)</t>
        </r>
      </text>
    </comment>
    <comment ref="DS4" authorId="0" shapeId="0" xr:uid="{00000000-0006-0000-1300-00002E000000}">
      <text>
        <r>
          <rPr>
            <b/>
            <sz val="12"/>
            <color indexed="81"/>
            <rFont val="Tahoma"/>
            <family val="2"/>
          </rPr>
          <t>Detalle la cantidad de recursos invertidos del fondo de recursos del Sistema General de Participaciones (Recursos Girados desde la Nación por el SGP)</t>
        </r>
      </text>
    </comment>
    <comment ref="DT4" authorId="0" shapeId="0" xr:uid="{00000000-0006-0000-1300-00002F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DU4" authorId="0" shapeId="0" xr:uid="{00000000-0006-0000-1300-000030000000}">
      <text>
        <r>
          <rPr>
            <b/>
            <sz val="12"/>
            <color indexed="81"/>
            <rFont val="Tahoma"/>
            <family val="2"/>
          </rPr>
          <t>Detalle el número de personas atendidas en cada acción.</t>
        </r>
      </text>
    </comment>
    <comment ref="DV4" authorId="0" shapeId="0" xr:uid="{00000000-0006-0000-1300-000031000000}">
      <text>
        <r>
          <rPr>
            <b/>
            <sz val="12"/>
            <color indexed="81"/>
            <rFont val="Tahoma"/>
            <family val="2"/>
          </rPr>
          <t>Según el total de personas atendidas descrimine los valores según su genero.</t>
        </r>
      </text>
    </comment>
    <comment ref="DX4" authorId="0" shapeId="0" xr:uid="{00000000-0006-0000-1300-000032000000}">
      <text>
        <r>
          <rPr>
            <b/>
            <sz val="12"/>
            <color indexed="81"/>
            <rFont val="Tahoma"/>
            <family val="2"/>
          </rPr>
          <t>Según el total de personas atendidas descrimine los valores según su zona.</t>
        </r>
      </text>
    </comment>
    <comment ref="DZ4" authorId="0" shapeId="0" xr:uid="{00000000-0006-0000-1300-000033000000}">
      <text>
        <r>
          <rPr>
            <b/>
            <sz val="12"/>
            <color indexed="81"/>
            <rFont val="Tahoma"/>
            <family val="2"/>
          </rPr>
          <t>Según el total de personas atendidas descrimine los valores según ciclos de edad.</t>
        </r>
      </text>
    </comment>
    <comment ref="EG4" authorId="0" shapeId="0" xr:uid="{00000000-0006-0000-1300-000034000000}">
      <text>
        <r>
          <rPr>
            <b/>
            <sz val="12"/>
            <color indexed="81"/>
            <rFont val="Tahoma"/>
            <family val="2"/>
          </rPr>
          <t>Según el total de personas atendidas descrimine los valores según su condición.</t>
        </r>
      </text>
    </comment>
    <comment ref="EO4" authorId="0" shapeId="0" xr:uid="{00000000-0006-0000-1300-000035000000}">
      <text>
        <r>
          <rPr>
            <b/>
            <sz val="12"/>
            <color indexed="81"/>
            <rFont val="Tahoma"/>
            <family val="2"/>
          </rPr>
          <t>Según el total de personas atendidas descrimine los valores según su etnia.</t>
        </r>
      </text>
    </comment>
    <comment ref="EU4" authorId="0" shapeId="0" xr:uid="{00000000-0006-0000-1300-000036000000}">
      <text>
        <r>
          <rPr>
            <b/>
            <sz val="12"/>
            <color indexed="81"/>
            <rFont val="Tahoma"/>
            <family val="2"/>
          </rPr>
          <t>En el caso que la acción este dirigida a una organización,  diligenciar el tipo de organización beneficiada.</t>
        </r>
      </text>
    </comment>
    <comment ref="EV4" authorId="0" shapeId="0" xr:uid="{00000000-0006-0000-1300-000037000000}">
      <text>
        <r>
          <rPr>
            <b/>
            <sz val="12"/>
            <color indexed="81"/>
            <rFont val="Tahoma"/>
            <family val="2"/>
          </rPr>
          <t>Describir el objeto principal de la institución u organización beneficiada.</t>
        </r>
      </text>
    </comment>
    <comment ref="EZ4" authorId="0" shapeId="0" xr:uid="{00000000-0006-0000-1300-000038000000}">
      <text>
        <r>
          <rPr>
            <b/>
            <sz val="12"/>
            <color indexed="81"/>
            <rFont val="Tahoma"/>
            <family val="2"/>
          </rPr>
          <t xml:space="preserve">Diligenciar si son: 
30 Caninos 
100 Arboles plantados  
2 cuencas recuperadas etc
</t>
        </r>
      </text>
    </comment>
    <comment ref="FA4" authorId="0" shapeId="0" xr:uid="{00000000-0006-0000-1300-000039000000}">
      <text>
        <r>
          <rPr>
            <b/>
            <sz val="12"/>
            <color indexed="81"/>
            <rFont val="Tahoma"/>
            <family val="2"/>
          </rPr>
          <t>Marcar con una X el tipo de recurso que se beneficio según la acción.</t>
        </r>
      </text>
    </comment>
    <comment ref="BG5" authorId="0" shapeId="0" xr:uid="{00000000-0006-0000-1300-00003A000000}">
      <text>
        <r>
          <rPr>
            <b/>
            <sz val="12"/>
            <color indexed="81"/>
            <rFont val="Tahoma"/>
            <family val="2"/>
          </rPr>
          <t>Zona de ubicación de la Institución u Organización.</t>
        </r>
      </text>
    </comment>
    <comment ref="BH5" authorId="0" shapeId="0" xr:uid="{00000000-0006-0000-1300-00003B000000}">
      <text>
        <r>
          <rPr>
            <b/>
            <sz val="12"/>
            <color indexed="81"/>
            <rFont val="Tahoma"/>
            <family val="2"/>
          </rPr>
          <t>Zona de ubicación de la Institución u Organización.</t>
        </r>
      </text>
    </comment>
    <comment ref="BM5" authorId="0" shapeId="0" xr:uid="{00000000-0006-0000-1300-00003C000000}">
      <text>
        <r>
          <rPr>
            <b/>
            <sz val="9"/>
            <color indexed="81"/>
            <rFont val="Tahoma"/>
            <family val="2"/>
          </rPr>
          <t>Zona de ubicación del Recurso Ecosistémico.</t>
        </r>
      </text>
    </comment>
    <comment ref="DC5" authorId="0" shapeId="0" xr:uid="{00000000-0006-0000-1300-00003D000000}">
      <text>
        <r>
          <rPr>
            <b/>
            <sz val="12"/>
            <color indexed="81"/>
            <rFont val="Tahoma"/>
            <family val="2"/>
          </rPr>
          <t>Zona de ubicación de la Institución u Organización.</t>
        </r>
      </text>
    </comment>
    <comment ref="DD5" authorId="0" shapeId="0" xr:uid="{00000000-0006-0000-1300-00003E000000}">
      <text>
        <r>
          <rPr>
            <b/>
            <sz val="12"/>
            <color indexed="81"/>
            <rFont val="Tahoma"/>
            <family val="2"/>
          </rPr>
          <t>Zona de ubicación de la Institución u Organización.</t>
        </r>
      </text>
    </comment>
    <comment ref="DI5" authorId="0" shapeId="0" xr:uid="{00000000-0006-0000-1300-00003F000000}">
      <text>
        <r>
          <rPr>
            <b/>
            <sz val="9"/>
            <color indexed="81"/>
            <rFont val="Tahoma"/>
            <family val="2"/>
          </rPr>
          <t>Zona de ubicación del Recurso Ecosistémico.</t>
        </r>
      </text>
    </comment>
    <comment ref="EX5" authorId="0" shapeId="0" xr:uid="{00000000-0006-0000-1300-000040000000}">
      <text>
        <r>
          <rPr>
            <b/>
            <sz val="12"/>
            <color indexed="81"/>
            <rFont val="Tahoma"/>
            <family val="2"/>
          </rPr>
          <t>Zona de ubicación de la Institución u Organización.</t>
        </r>
      </text>
    </comment>
    <comment ref="EY5" authorId="0" shapeId="0" xr:uid="{00000000-0006-0000-1300-000041000000}">
      <text>
        <r>
          <rPr>
            <b/>
            <sz val="12"/>
            <color indexed="81"/>
            <rFont val="Tahoma"/>
            <family val="2"/>
          </rPr>
          <t>Zona de ubicación de la Institución u Organización.</t>
        </r>
      </text>
    </comment>
    <comment ref="FD5" authorId="0" shapeId="0" xr:uid="{00000000-0006-0000-1300-000042000000}">
      <text>
        <r>
          <rPr>
            <b/>
            <sz val="9"/>
            <color indexed="81"/>
            <rFont val="Tahoma"/>
            <family val="2"/>
          </rPr>
          <t>Zona de ubicación del Recurso Ecosistémico.</t>
        </r>
      </text>
    </comment>
    <comment ref="V7" authorId="1" shapeId="0" xr:uid="{00000000-0006-0000-1300-000043000000}">
      <text>
        <r>
          <rPr>
            <b/>
            <sz val="9"/>
            <color indexed="81"/>
            <rFont val="Tahoma"/>
            <family val="2"/>
          </rPr>
          <t>reportan el valor pero dada las actividades se deja al 100%</t>
        </r>
      </text>
    </comment>
    <comment ref="V10" authorId="1" shapeId="0" xr:uid="{00000000-0006-0000-1300-000044000000}">
      <text>
        <r>
          <rPr>
            <b/>
            <sz val="9"/>
            <color indexed="81"/>
            <rFont val="Tahoma"/>
            <family val="2"/>
          </rPr>
          <t>reportan 3 dejando ejecucion al 100%</t>
        </r>
      </text>
    </comment>
    <comment ref="Z10" authorId="2" shapeId="0" xr:uid="{00000000-0006-0000-1300-000045000000}">
      <text>
        <r>
          <rPr>
            <b/>
            <sz val="9"/>
            <color indexed="81"/>
            <rFont val="Tahoma"/>
            <family val="2"/>
          </rPr>
          <t>Luisa:</t>
        </r>
        <r>
          <rPr>
            <sz val="9"/>
            <color indexed="81"/>
            <rFont val="Tahoma"/>
            <family val="2"/>
          </rPr>
          <t xml:space="preserve">
20 mil por persona</t>
        </r>
      </text>
    </comment>
    <comment ref="V12" authorId="1" shapeId="0" xr:uid="{00000000-0006-0000-1300-000046000000}">
      <text>
        <r>
          <rPr>
            <b/>
            <sz val="9"/>
            <color indexed="81"/>
            <rFont val="Tahoma"/>
            <family val="2"/>
          </rPr>
          <t>reportan 4 dejando ejecucion al 100%</t>
        </r>
      </text>
    </comment>
    <comment ref="Z12" authorId="2" shapeId="0" xr:uid="{00000000-0006-0000-1300-000047000000}">
      <text>
        <r>
          <rPr>
            <b/>
            <sz val="9"/>
            <color indexed="81"/>
            <rFont val="Tahoma"/>
            <family val="2"/>
          </rPr>
          <t>Luisa:</t>
        </r>
        <r>
          <rPr>
            <sz val="9"/>
            <color indexed="81"/>
            <rFont val="Tahoma"/>
            <family val="2"/>
          </rPr>
          <t xml:space="preserve">
20 mil por persona</t>
        </r>
      </text>
    </comment>
    <comment ref="V13" authorId="1" shapeId="0" xr:uid="{00000000-0006-0000-1300-000048000000}">
      <text>
        <r>
          <rPr>
            <b/>
            <sz val="9"/>
            <color indexed="81"/>
            <rFont val="Tahoma"/>
            <family val="2"/>
          </rPr>
          <t>reportan 8 dejando ejecucion al 100%</t>
        </r>
      </text>
    </comment>
    <comment ref="V15" authorId="1" shapeId="0" xr:uid="{00000000-0006-0000-1300-000049000000}">
      <text>
        <r>
          <rPr>
            <b/>
            <sz val="9"/>
            <color indexed="81"/>
            <rFont val="Tahoma"/>
            <family val="2"/>
          </rPr>
          <t>reportan 1 dejando ejecucion al 100%</t>
        </r>
      </text>
    </comment>
    <comment ref="Z15" authorId="2" shapeId="0" xr:uid="{00000000-0006-0000-1300-00004A000000}">
      <text>
        <r>
          <rPr>
            <b/>
            <sz val="9"/>
            <color indexed="81"/>
            <rFont val="Tahoma"/>
            <family val="2"/>
          </rPr>
          <t>Luisa:</t>
        </r>
        <r>
          <rPr>
            <sz val="9"/>
            <color indexed="81"/>
            <rFont val="Tahoma"/>
            <family val="2"/>
          </rPr>
          <t xml:space="preserve">
Cada familia por 38 mil de la visita de caracterización</t>
        </r>
      </text>
    </comment>
    <comment ref="V17" authorId="1" shapeId="0" xr:uid="{00000000-0006-0000-1300-00004B000000}">
      <text>
        <r>
          <rPr>
            <b/>
            <sz val="9"/>
            <color indexed="81"/>
            <rFont val="Tahoma"/>
            <family val="2"/>
          </rPr>
          <t>La dirección de Vigilancia, Control y Aseguramiento en salud no realiza censos a la poblacion, por tal motivo no se tiene dicha informacion</t>
        </r>
        <r>
          <rPr>
            <sz val="9"/>
            <color indexed="81"/>
            <rFont val="Tahoma"/>
            <family val="2"/>
          </rPr>
          <t xml:space="preserve">
</t>
        </r>
      </text>
    </comment>
    <comment ref="V19" authorId="1" shapeId="0" xr:uid="{00000000-0006-0000-1300-00004C000000}">
      <text>
        <r>
          <rPr>
            <b/>
            <sz val="9"/>
            <color indexed="81"/>
            <rFont val="Tahoma"/>
            <family val="2"/>
          </rPr>
          <t>La dirección de Vigilancia, Control y Aseguramiento en salud no realiza censos a la poblacion, por tal motivo no se tiene dicha informacion</t>
        </r>
        <r>
          <rPr>
            <sz val="9"/>
            <color indexed="81"/>
            <rFont val="Tahoma"/>
            <family val="2"/>
          </rPr>
          <t xml:space="preserve">
</t>
        </r>
      </text>
    </comment>
    <comment ref="V21" authorId="1" shapeId="0" xr:uid="{00000000-0006-0000-1300-00004D000000}">
      <text>
        <r>
          <rPr>
            <b/>
            <sz val="9"/>
            <color indexed="81"/>
            <rFont val="Tahoma"/>
            <family val="2"/>
          </rPr>
          <t>La oficina local del sisben al momento de realizar la encuesta socieconomica no tiene en cuenta el enfoque diferencial</t>
        </r>
        <r>
          <rPr>
            <sz val="9"/>
            <color indexed="81"/>
            <rFont val="Tahoma"/>
            <family val="2"/>
          </rPr>
          <t xml:space="preserve">
</t>
        </r>
      </text>
    </comment>
    <comment ref="V25" authorId="1" shapeId="0" xr:uid="{00000000-0006-0000-1300-00004E000000}">
      <text>
        <r>
          <rPr>
            <b/>
            <sz val="9"/>
            <color indexed="81"/>
            <rFont val="Tahoma"/>
            <family val="2"/>
          </rPr>
          <t>reportan 46 dejando ejecucion al 100%</t>
        </r>
      </text>
    </comment>
    <comment ref="V28" authorId="1" shapeId="0" xr:uid="{00000000-0006-0000-1300-00004F000000}">
      <text>
        <r>
          <rPr>
            <b/>
            <sz val="9"/>
            <color indexed="81"/>
            <rFont val="Tahoma"/>
            <family val="2"/>
          </rPr>
          <t>reportan 15 dejando ejecucion al 100%</t>
        </r>
      </text>
    </comment>
    <comment ref="V30" authorId="1" shapeId="0" xr:uid="{00000000-0006-0000-1300-000050000000}">
      <text>
        <r>
          <rPr>
            <b/>
            <sz val="9"/>
            <color indexed="81"/>
            <rFont val="Tahoma"/>
            <family val="2"/>
          </rPr>
          <t>Reportaron 354</t>
        </r>
      </text>
    </comment>
    <comment ref="V33" authorId="1" shapeId="0" xr:uid="{00000000-0006-0000-1300-000051000000}">
      <text>
        <r>
          <rPr>
            <b/>
            <sz val="9"/>
            <color indexed="81"/>
            <rFont val="Tahoma"/>
            <family val="2"/>
          </rPr>
          <t>Se realizo consulta al ministerio</t>
        </r>
        <r>
          <rPr>
            <sz val="9"/>
            <color indexed="81"/>
            <rFont val="Tahoma"/>
            <family val="2"/>
          </rPr>
          <t xml:space="preserve">
</t>
        </r>
      </text>
    </comment>
    <comment ref="V34" authorId="1" shapeId="0" xr:uid="{00000000-0006-0000-1300-000052000000}">
      <text>
        <r>
          <rPr>
            <b/>
            <sz val="9"/>
            <color indexed="81"/>
            <rFont val="Tahoma"/>
            <family val="2"/>
          </rPr>
          <t>este proceso requiere revision en comité afro</t>
        </r>
        <r>
          <rPr>
            <sz val="9"/>
            <color indexed="81"/>
            <rFont val="Tahoma"/>
            <family val="2"/>
          </rPr>
          <t xml:space="preserve">
</t>
        </r>
      </text>
    </comment>
    <comment ref="V36" authorId="1" shapeId="0" xr:uid="{00000000-0006-0000-1300-000053000000}">
      <text>
        <r>
          <rPr>
            <b/>
            <sz val="9"/>
            <color indexed="81"/>
            <rFont val="Tahoma"/>
            <family val="2"/>
          </rPr>
          <t>de acuerdo a la respuesta del ministerio se define esta actividad</t>
        </r>
        <r>
          <rPr>
            <sz val="9"/>
            <color indexed="81"/>
            <rFont val="Tahoma"/>
            <family val="2"/>
          </rPr>
          <t xml:space="preserve">
</t>
        </r>
      </text>
    </comment>
    <comment ref="V45" authorId="1" shapeId="0" xr:uid="{00000000-0006-0000-1300-000054000000}">
      <text>
        <r>
          <rPr>
            <b/>
            <sz val="12"/>
            <color indexed="81"/>
            <rFont val="Tahoma"/>
            <family val="2"/>
          </rPr>
          <t>reportan 4 Programas</t>
        </r>
      </text>
    </comment>
    <comment ref="V49" authorId="1" shapeId="0" xr:uid="{00000000-0006-0000-1300-000055000000}">
      <text>
        <r>
          <rPr>
            <b/>
            <sz val="12"/>
            <color indexed="81"/>
            <rFont val="Tahoma"/>
            <family val="2"/>
          </rPr>
          <t>no reportan nada</t>
        </r>
      </text>
    </comment>
    <comment ref="V50" authorId="1" shapeId="0" xr:uid="{00000000-0006-0000-1300-000056000000}">
      <text>
        <r>
          <rPr>
            <b/>
            <sz val="9"/>
            <color indexed="81"/>
            <rFont val="Tahoma"/>
            <family val="2"/>
          </rPr>
          <t>reportan 2 programas dejando ejecución al 100%</t>
        </r>
        <r>
          <rPr>
            <sz val="9"/>
            <color indexed="81"/>
            <rFont val="Tahoma"/>
            <family val="2"/>
          </rPr>
          <t xml:space="preserve">
</t>
        </r>
      </text>
    </comment>
    <comment ref="V52" authorId="1" shapeId="0" xr:uid="{00000000-0006-0000-1300-000057000000}">
      <text>
        <r>
          <rPr>
            <b/>
            <sz val="9"/>
            <color indexed="81"/>
            <rFont val="Tahoma"/>
            <family val="2"/>
          </rPr>
          <t>reportan 1 pero dadas las actividades se deja al 80%</t>
        </r>
        <r>
          <rPr>
            <sz val="9"/>
            <color indexed="81"/>
            <rFont val="Tahoma"/>
            <family val="2"/>
          </rPr>
          <t xml:space="preserve">
</t>
        </r>
      </text>
    </comment>
    <comment ref="V54" authorId="1" shapeId="0" xr:uid="{00000000-0006-0000-1300-000058000000}">
      <text>
        <r>
          <rPr>
            <b/>
            <sz val="9"/>
            <color indexed="81"/>
            <rFont val="Tahoma"/>
            <family val="2"/>
          </rPr>
          <t>dda las evidencia se deja sin calificar dado que ya no aplica</t>
        </r>
      </text>
    </comment>
    <comment ref="V58" authorId="1" shapeId="0" xr:uid="{00000000-0006-0000-1300-000059000000}">
      <text>
        <r>
          <rPr>
            <b/>
            <sz val="9"/>
            <color indexed="81"/>
            <rFont val="Tahoma"/>
            <family val="2"/>
          </rPr>
          <t>dada la claridad de las actividades desarrolladas se deja al 100%</t>
        </r>
      </text>
    </comment>
    <comment ref="V61" authorId="1" shapeId="0" xr:uid="{00000000-0006-0000-1300-00005A000000}">
      <text>
        <r>
          <rPr>
            <b/>
            <sz val="9"/>
            <color indexed="81"/>
            <rFont val="Tahoma"/>
            <family val="2"/>
          </rPr>
          <t>reportan 2 yla meta a 2022 es de 4. por tanto se deja ejecución al 100%</t>
        </r>
        <r>
          <rPr>
            <sz val="9"/>
            <color indexed="81"/>
            <rFont val="Tahoma"/>
            <family val="2"/>
          </rPr>
          <t xml:space="preserve">
</t>
        </r>
      </text>
    </comment>
    <comment ref="W61" authorId="1" shapeId="0" xr:uid="{00000000-0006-0000-1300-00005B000000}">
      <text>
        <r>
          <rPr>
            <b/>
            <sz val="9"/>
            <color indexed="81"/>
            <rFont val="Tahoma"/>
            <family val="2"/>
          </rPr>
          <t xml:space="preserve">Desarrollo Social reporta: Desde la Secretaria de Desarrollo Social y Político, se celebró la conmemoración del mes de la herencia africana, las actividades se realizaron a través de un contrato de invitación pública que incluyo las siguientes actividades:
• Desfile de la afrocolombianidad.
• Misas africanas.
• Conferencias y talleres  alusivos a la conmemoración de la herencia  africana.
• Eventos culturales: danzas, peinados, festival gastronómico.
• Evento de cierre con Interpretación cultural y musical 
</t>
        </r>
        <r>
          <rPr>
            <sz val="9"/>
            <color indexed="81"/>
            <rFont val="Tahoma"/>
            <family val="2"/>
          </rPr>
          <t xml:space="preserve">
</t>
        </r>
      </text>
    </comment>
    <comment ref="V63" authorId="1" shapeId="0" xr:uid="{00000000-0006-0000-1300-00005C000000}">
      <text>
        <r>
          <rPr>
            <b/>
            <sz val="9"/>
            <color indexed="81"/>
            <rFont val="Tahoma"/>
            <family val="2"/>
          </rPr>
          <t>reportan 7 yla meta a 2022 es de 10. por tanto se deja ejecución al 100%</t>
        </r>
        <r>
          <rPr>
            <sz val="9"/>
            <color indexed="81"/>
            <rFont val="Tahoma"/>
            <family val="2"/>
          </rPr>
          <t xml:space="preserve">
</t>
        </r>
      </text>
    </comment>
    <comment ref="V64" authorId="1" shapeId="0" xr:uid="{00000000-0006-0000-1300-00005D000000}">
      <text>
        <r>
          <rPr>
            <b/>
            <sz val="9"/>
            <color indexed="81"/>
            <rFont val="Tahoma"/>
            <family val="2"/>
          </rPr>
          <t>Dadas las aclaraciones de las actividades y teneindo en cuenta que la meta está para 2022 se recomenda dejar como NA y proponer acciones para 2019</t>
        </r>
      </text>
    </comment>
    <comment ref="V66" authorId="1" shapeId="0" xr:uid="{00000000-0006-0000-1300-00005E000000}">
      <text>
        <r>
          <rPr>
            <b/>
            <sz val="9"/>
            <color indexed="81"/>
            <rFont val="Tahoma"/>
            <family val="2"/>
          </rPr>
          <t>Dadas las aclaraciones de las actividades y teneindo en cuenta que la meta está para 2022 se recomenda dejar como NA y proponer acciones para 2019</t>
        </r>
      </text>
    </comment>
    <comment ref="W66" authorId="3" shapeId="0" xr:uid="{00000000-0006-0000-1300-00005F000000}">
      <text>
        <r>
          <rPr>
            <sz val="11"/>
            <color rgb="FF000000"/>
            <rFont val="Calibri"/>
            <family val="2"/>
          </rPr>
          <t>revisar esta acción, se podría dar cuenta de las reuniones que se han tenido con el comite afro y lo que se ha definido alli en materia de deporte y recreación
	-Danny Steven Rodriguez Maya</t>
        </r>
      </text>
    </comment>
    <comment ref="V67" authorId="1" shapeId="0" xr:uid="{00000000-0006-0000-1300-000060000000}">
      <text>
        <r>
          <rPr>
            <b/>
            <sz val="9"/>
            <color indexed="81"/>
            <rFont val="Tahoma"/>
            <family val="2"/>
          </rPr>
          <t>reportan 1 pero Dadas las aclaraciones de las actividades y teneindo en cuenta que la meta está para 2022 se recomenda dejar como NA y proponer acciones para 2019</t>
        </r>
      </text>
    </comment>
    <comment ref="V68" authorId="1" shapeId="0" xr:uid="{00000000-0006-0000-1300-000061000000}">
      <text>
        <r>
          <rPr>
            <b/>
            <sz val="9"/>
            <color indexed="81"/>
            <rFont val="Tahoma"/>
            <family val="2"/>
          </rPr>
          <t>reportan 2 quedando al 100%</t>
        </r>
      </text>
    </comment>
    <comment ref="V69" authorId="1" shapeId="0" xr:uid="{00000000-0006-0000-1300-000062000000}">
      <text>
        <r>
          <rPr>
            <b/>
            <sz val="9"/>
            <color indexed="81"/>
            <rFont val="Tahoma"/>
            <family val="2"/>
          </rPr>
          <t>reportan 5 quedando al 100%</t>
        </r>
      </text>
    </comment>
    <comment ref="V70" authorId="1" shapeId="0" xr:uid="{00000000-0006-0000-1300-000063000000}">
      <text>
        <r>
          <rPr>
            <b/>
            <sz val="9"/>
            <color indexed="81"/>
            <rFont val="Tahoma"/>
            <family val="2"/>
          </rPr>
          <t>reportan 5 quedando al 100%</t>
        </r>
      </text>
    </comment>
    <comment ref="V71" authorId="1" shapeId="0" xr:uid="{00000000-0006-0000-1300-000064000000}">
      <text>
        <r>
          <rPr>
            <b/>
            <sz val="9"/>
            <color indexed="81"/>
            <rFont val="Tahoma"/>
            <family val="2"/>
          </rPr>
          <t>reportan 5 quedando al 100%</t>
        </r>
      </text>
    </comment>
    <comment ref="W71" authorId="3" shapeId="0" xr:uid="{00000000-0006-0000-1300-000065000000}">
      <text>
        <r>
          <rPr>
            <sz val="11"/>
            <color rgb="FF000000"/>
            <rFont val="Calibri"/>
            <family val="2"/>
          </rPr>
          <t>especificar numero de beneficiarios y numero de grupos conformados en cada asentamiento.
	-Danny Steven Rodriguez Maya</t>
        </r>
      </text>
    </comment>
    <comment ref="V72" authorId="1" shapeId="0" xr:uid="{00000000-0006-0000-1300-000066000000}">
      <text>
        <r>
          <rPr>
            <b/>
            <sz val="9"/>
            <color indexed="81"/>
            <rFont val="Tahoma"/>
            <family val="2"/>
          </rPr>
          <t>Dadas las aclaraciones de las actividades y teneindo en cuenta que la meta está para 2022 se recomenda dejar como NA y proponer acciones para 2019</t>
        </r>
      </text>
    </comment>
    <comment ref="V73" authorId="1" shapeId="0" xr:uid="{00000000-0006-0000-1300-000067000000}">
      <text>
        <r>
          <rPr>
            <b/>
            <sz val="9"/>
            <color indexed="81"/>
            <rFont val="Tahoma"/>
            <family val="2"/>
          </rPr>
          <t xml:space="preserve">reportan 1 </t>
        </r>
      </text>
    </comment>
    <comment ref="V74" authorId="1" shapeId="0" xr:uid="{00000000-0006-0000-1300-000068000000}">
      <text>
        <r>
          <rPr>
            <b/>
            <sz val="9"/>
            <color indexed="81"/>
            <rFont val="Tahoma"/>
            <family val="2"/>
          </rPr>
          <t xml:space="preserve">reportan 1 </t>
        </r>
      </text>
    </comment>
    <comment ref="V76" authorId="1" shapeId="0" xr:uid="{00000000-0006-0000-1300-000069000000}">
      <text>
        <r>
          <rPr>
            <b/>
            <sz val="9"/>
            <color indexed="81"/>
            <rFont val="Tahoma"/>
            <family val="2"/>
          </rPr>
          <t xml:space="preserve">reportan 1 </t>
        </r>
      </text>
    </comment>
    <comment ref="V79" authorId="1" shapeId="0" xr:uid="{00000000-0006-0000-1300-00006A000000}">
      <text>
        <r>
          <rPr>
            <b/>
            <sz val="9"/>
            <color indexed="81"/>
            <rFont val="Tahoma"/>
            <family val="2"/>
          </rPr>
          <t xml:space="preserve">reportan 1 </t>
        </r>
      </text>
    </comment>
    <comment ref="V81" authorId="1" shapeId="0" xr:uid="{00000000-0006-0000-1300-00006B000000}">
      <text>
        <r>
          <rPr>
            <b/>
            <sz val="9"/>
            <color indexed="81"/>
            <rFont val="Tahoma"/>
            <family val="2"/>
          </rPr>
          <t xml:space="preserve">reportan 1 </t>
        </r>
      </text>
    </comment>
    <comment ref="W81" authorId="1" shapeId="0" xr:uid="{00000000-0006-0000-1300-00006C000000}">
      <text>
        <r>
          <rPr>
            <b/>
            <sz val="9"/>
            <color indexed="81"/>
            <rFont val="Tahoma"/>
            <family val="2"/>
          </rPr>
          <t>Gobierno reporta:
Se dictarón Talleres y charlas sobre DDHH en instituciones Educativas en Villasantana, Tokio, Las Brisas</t>
        </r>
      </text>
    </comment>
    <comment ref="X81" authorId="1" shapeId="0" xr:uid="{00000000-0006-0000-1300-00006D000000}">
      <text>
        <r>
          <rPr>
            <b/>
            <sz val="9"/>
            <color indexed="81"/>
            <rFont val="Tahoma"/>
            <family val="2"/>
          </rPr>
          <t>Gobierno:
Evidencia en SPP, registro fotográfico y listados de asistencia</t>
        </r>
        <r>
          <rPr>
            <sz val="9"/>
            <color indexed="81"/>
            <rFont val="Tahoma"/>
            <family val="2"/>
          </rPr>
          <t xml:space="preserve">
</t>
        </r>
      </text>
    </comment>
    <comment ref="Z81" authorId="1" shapeId="0" xr:uid="{00000000-0006-0000-1300-00006E000000}">
      <text>
        <r>
          <rPr>
            <b/>
            <sz val="9"/>
            <color indexed="81"/>
            <rFont val="Tahoma"/>
            <family val="2"/>
          </rPr>
          <t>gobierno reporta: 4950000</t>
        </r>
        <r>
          <rPr>
            <sz val="9"/>
            <color indexed="81"/>
            <rFont val="Tahoma"/>
            <family val="2"/>
          </rPr>
          <t xml:space="preserve">
</t>
        </r>
      </text>
    </comment>
    <comment ref="AA81" authorId="1" shapeId="0" xr:uid="{00000000-0006-0000-1300-00006F000000}">
      <text>
        <r>
          <rPr>
            <b/>
            <sz val="9"/>
            <color indexed="81"/>
            <rFont val="Tahoma"/>
            <family val="2"/>
          </rPr>
          <t xml:space="preserve">Gobierno reporta: +4950000
</t>
        </r>
      </text>
    </comment>
    <comment ref="V83" authorId="1" shapeId="0" xr:uid="{00000000-0006-0000-1300-000070000000}">
      <text>
        <r>
          <rPr>
            <b/>
            <sz val="9"/>
            <color indexed="81"/>
            <rFont val="Tahoma"/>
            <family val="2"/>
          </rPr>
          <t xml:space="preserve">reportan 1 </t>
        </r>
      </text>
    </comment>
    <comment ref="W83" authorId="1" shapeId="0" xr:uid="{00000000-0006-0000-1300-000071000000}">
      <text>
        <r>
          <rPr>
            <b/>
            <sz val="9"/>
            <color indexed="81"/>
            <rFont val="Tahoma"/>
            <family val="2"/>
          </rPr>
          <t>Gobierno reporta:
Talleres y charlas sobre negociación y resolución pacífica en instituciones Educativas</t>
        </r>
      </text>
    </comment>
    <comment ref="X83" authorId="1" shapeId="0" xr:uid="{00000000-0006-0000-1300-000072000000}">
      <text>
        <r>
          <rPr>
            <b/>
            <sz val="9"/>
            <color indexed="81"/>
            <rFont val="Tahoma"/>
            <family val="2"/>
          </rPr>
          <t>Gobierno:
Evidencia en SPP, registro fotográfico y listados de asistencia</t>
        </r>
      </text>
    </comment>
    <comment ref="Z83" authorId="1" shapeId="0" xr:uid="{00000000-0006-0000-1300-000073000000}">
      <text>
        <r>
          <rPr>
            <b/>
            <sz val="9"/>
            <color indexed="81"/>
            <rFont val="Tahoma"/>
            <family val="2"/>
          </rPr>
          <t>gobierno reporta: 4950000</t>
        </r>
        <r>
          <rPr>
            <sz val="9"/>
            <color indexed="81"/>
            <rFont val="Tahoma"/>
            <family val="2"/>
          </rPr>
          <t xml:space="preserve">
</t>
        </r>
      </text>
    </comment>
    <comment ref="AA83" authorId="1" shapeId="0" xr:uid="{00000000-0006-0000-1300-000074000000}">
      <text>
        <r>
          <rPr>
            <b/>
            <sz val="9"/>
            <color indexed="81"/>
            <rFont val="Tahoma"/>
            <family val="2"/>
          </rPr>
          <t xml:space="preserve">Gobierno reporta: +4950000
</t>
        </r>
      </text>
    </comment>
    <comment ref="V85" authorId="1" shapeId="0" xr:uid="{00000000-0006-0000-1300-000075000000}">
      <text>
        <r>
          <rPr>
            <b/>
            <sz val="9"/>
            <color indexed="81"/>
            <rFont val="Tahoma"/>
            <family val="2"/>
          </rPr>
          <t>no reportan pero dadas las actividades se deja al 100%</t>
        </r>
        <r>
          <rPr>
            <sz val="9"/>
            <color indexed="81"/>
            <rFont val="Tahoma"/>
            <family val="2"/>
          </rPr>
          <t xml:space="preserve">
</t>
        </r>
      </text>
    </comment>
    <comment ref="V86" authorId="1" shapeId="0" xr:uid="{00000000-0006-0000-1300-000076000000}">
      <text>
        <r>
          <rPr>
            <b/>
            <sz val="9"/>
            <color indexed="81"/>
            <rFont val="Tahoma"/>
            <family val="2"/>
          </rPr>
          <t>no reportan pero dadas las actividades se deja al 100%</t>
        </r>
        <r>
          <rPr>
            <sz val="9"/>
            <color indexed="81"/>
            <rFont val="Tahoma"/>
            <family val="2"/>
          </rPr>
          <t xml:space="preserve">
</t>
        </r>
      </text>
    </comment>
    <comment ref="V104" authorId="1" shapeId="0" xr:uid="{00000000-0006-0000-1300-000077000000}">
      <text>
        <r>
          <rPr>
            <b/>
            <sz val="9"/>
            <color indexed="81"/>
            <rFont val="Tahoma"/>
            <family val="2"/>
          </rPr>
          <t>Desarrollo Social reporta 12 se deja al 100%</t>
        </r>
      </text>
    </comment>
    <comment ref="V106" authorId="1" shapeId="0" xr:uid="{00000000-0006-0000-1300-000078000000}">
      <text>
        <r>
          <rPr>
            <b/>
            <sz val="9"/>
            <color indexed="81"/>
            <rFont val="Tahoma"/>
            <family val="2"/>
          </rPr>
          <t>reportnn 12</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Usuario</author>
    <author>Oscar</author>
    <author/>
  </authors>
  <commentList>
    <comment ref="X3" authorId="0" shapeId="0" xr:uid="{00000000-0006-0000-14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Y3" authorId="0" shapeId="0" xr:uid="{00000000-0006-0000-1400-000002000000}">
      <text>
        <r>
          <rPr>
            <b/>
            <sz val="12"/>
            <color indexed="81"/>
            <rFont val="Tahoma"/>
            <family val="2"/>
          </rPr>
          <t xml:space="preserve">Comente como desarrollo la acción de la Política Pública por medio de actividades, describiendo el Lugar, Temas desarrollados, etc. </t>
        </r>
      </text>
    </comment>
    <comment ref="Z3" authorId="0" shapeId="0" xr:uid="{00000000-0006-0000-1400-000003000000}">
      <text>
        <r>
          <rPr>
            <b/>
            <sz val="12"/>
            <color indexed="81"/>
            <rFont val="Tahoma"/>
            <family val="2"/>
          </rPr>
          <t>Describa que evidencias reposan en el desarrollo de la acción, contratos, actas, fotos, registros de asistencia, informes, documentos, videos, etc</t>
        </r>
      </text>
    </comment>
    <comment ref="AA3" authorId="0" shapeId="0" xr:uid="{00000000-0006-0000-1400-000004000000}">
      <text>
        <r>
          <rPr>
            <b/>
            <sz val="12"/>
            <color indexed="81"/>
            <rFont val="Tahoma"/>
            <family val="2"/>
          </rPr>
          <t xml:space="preserve">Comente que problemas, necesidades, aciertos y/o recomendacion se cuentan en el desarrollo de la acción. </t>
        </r>
      </text>
    </comment>
    <comment ref="BK3" authorId="0" shapeId="0" xr:uid="{00000000-0006-0000-1400-000005000000}">
      <text>
        <r>
          <rPr>
            <b/>
            <sz val="9"/>
            <color indexed="81"/>
            <rFont val="Tahoma"/>
            <family val="2"/>
          </rPr>
          <t>La Sección de Matriz de Focalización de Recursos Ecosistémicos se diligencia cuando la acción va dirigida a un Recurso Natural, Fauna y Flora.</t>
        </r>
      </text>
    </comment>
    <comment ref="BT3" authorId="0" shapeId="0" xr:uid="{00000000-0006-0000-1400-000006000000}">
      <text>
        <r>
          <rPr>
            <b/>
            <sz val="12"/>
            <color indexed="81"/>
            <rFont val="Tahoma"/>
            <family val="2"/>
          </rPr>
          <t xml:space="preserve">Comente como desarrollo la acción de la Política Pública por medio de actividades, describiendo el Lugar, Temas desarrollados, etc. </t>
        </r>
      </text>
    </comment>
    <comment ref="BU3" authorId="0" shapeId="0" xr:uid="{00000000-0006-0000-1400-000007000000}">
      <text>
        <r>
          <rPr>
            <b/>
            <sz val="12"/>
            <color indexed="81"/>
            <rFont val="Tahoma"/>
            <family val="2"/>
          </rPr>
          <t>Describa que evidencias reposan en el desarrollo de la acción, contratos, actas, fotos, registros de asistencia, informes, documentos, videos, etc</t>
        </r>
      </text>
    </comment>
    <comment ref="BV3" authorId="0" shapeId="0" xr:uid="{00000000-0006-0000-1400-000008000000}">
      <text>
        <r>
          <rPr>
            <b/>
            <sz val="12"/>
            <color indexed="81"/>
            <rFont val="Tahoma"/>
            <family val="2"/>
          </rPr>
          <t xml:space="preserve">Comente que problemas, necesidades, aciertos y/o recomendacion se cuentan en el desarrollo de la acción. </t>
        </r>
      </text>
    </comment>
    <comment ref="DN3" authorId="0" shapeId="0" xr:uid="{00000000-0006-0000-1400-000009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Q3" authorId="0" shapeId="0" xr:uid="{00000000-0006-0000-1400-00000A000000}">
      <text>
        <r>
          <rPr>
            <b/>
            <sz val="12"/>
            <color indexed="81"/>
            <rFont val="Tahoma"/>
            <family val="2"/>
          </rPr>
          <t xml:space="preserve">Comente como desarrollo la acción de la Política Pública por medio de actividades, describiendo el Lugar, Temas desarrollados, etc. </t>
        </r>
      </text>
    </comment>
    <comment ref="DR3" authorId="0" shapeId="0" xr:uid="{00000000-0006-0000-1400-00000B000000}">
      <text>
        <r>
          <rPr>
            <b/>
            <sz val="12"/>
            <color indexed="81"/>
            <rFont val="Tahoma"/>
            <family val="2"/>
          </rPr>
          <t>Describa que evidencias reposan en el desarrollo de la acción, contratos, actas, fotos, registros de asistencia, informes, documentos, videos, etc</t>
        </r>
      </text>
    </comment>
    <comment ref="DS3" authorId="0" shapeId="0" xr:uid="{00000000-0006-0000-1400-00000C000000}">
      <text>
        <r>
          <rPr>
            <b/>
            <sz val="12"/>
            <color indexed="81"/>
            <rFont val="Tahoma"/>
            <family val="2"/>
          </rPr>
          <t xml:space="preserve">Comente que problemas, necesidades, aciertos y/o recomendacion se cuentan en el desarrollo de la acción. </t>
        </r>
      </text>
    </comment>
    <comment ref="FC3" authorId="0" shapeId="0" xr:uid="{00000000-0006-0000-1400-00000D000000}">
      <text>
        <r>
          <rPr>
            <b/>
            <sz val="9"/>
            <color indexed="81"/>
            <rFont val="Tahoma"/>
            <family val="2"/>
          </rPr>
          <t>La Sección de Matriz de Focalización de Recursos Ecosistémicos se diligencia cuando la acción va dirigida a un Recurso Natural, Fauna y Flora.</t>
        </r>
      </text>
    </comment>
    <comment ref="AB4" authorId="0" shapeId="0" xr:uid="{00000000-0006-0000-1400-00000E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AC4" authorId="0" shapeId="0" xr:uid="{00000000-0006-0000-1400-00000F000000}">
      <text>
        <r>
          <rPr>
            <b/>
            <sz val="12"/>
            <color indexed="81"/>
            <rFont val="Tahoma"/>
            <family val="2"/>
          </rPr>
          <t>Detalle la cantidad de recursos invertidos del fondo de recursos propios (presupuestos corrientes del Municipio de Pereira)</t>
        </r>
      </text>
    </comment>
    <comment ref="AD4" authorId="0" shapeId="0" xr:uid="{00000000-0006-0000-1400-000010000000}">
      <text>
        <r>
          <rPr>
            <b/>
            <sz val="12"/>
            <color indexed="81"/>
            <rFont val="Tahoma"/>
            <family val="2"/>
          </rPr>
          <t>Detalle la cantidad de recursos invertidos del fondo de recursos del Sistema General de Participaciones (Recursos Girados desde la Nación por el SGP)</t>
        </r>
      </text>
    </comment>
    <comment ref="AE4" authorId="0" shapeId="0" xr:uid="{00000000-0006-0000-1400-000011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AF4" authorId="0" shapeId="0" xr:uid="{00000000-0006-0000-1400-000012000000}">
      <text>
        <r>
          <rPr>
            <b/>
            <sz val="12"/>
            <color indexed="81"/>
            <rFont val="Tahoma"/>
            <family val="2"/>
          </rPr>
          <t>Detalle el número de personas atendidas en cada acción.</t>
        </r>
      </text>
    </comment>
    <comment ref="AG4" authorId="0" shapeId="0" xr:uid="{00000000-0006-0000-1400-000013000000}">
      <text>
        <r>
          <rPr>
            <b/>
            <sz val="12"/>
            <color indexed="81"/>
            <rFont val="Tahoma"/>
            <family val="2"/>
          </rPr>
          <t>Según el total de personas atendidas descrimine los valores según su genero.</t>
        </r>
      </text>
    </comment>
    <comment ref="AI4" authorId="0" shapeId="0" xr:uid="{00000000-0006-0000-1400-000014000000}">
      <text>
        <r>
          <rPr>
            <b/>
            <sz val="12"/>
            <color indexed="81"/>
            <rFont val="Tahoma"/>
            <family val="2"/>
          </rPr>
          <t>Según el total de personas atendidas descrimine los valores según su zona.</t>
        </r>
      </text>
    </comment>
    <comment ref="AK4" authorId="0" shapeId="0" xr:uid="{00000000-0006-0000-1400-000015000000}">
      <text>
        <r>
          <rPr>
            <b/>
            <sz val="12"/>
            <color indexed="81"/>
            <rFont val="Tahoma"/>
            <family val="2"/>
          </rPr>
          <t>Según el total de personas atendidas descrimine los valores según ciclos de edad.</t>
        </r>
      </text>
    </comment>
    <comment ref="AR4" authorId="0" shapeId="0" xr:uid="{00000000-0006-0000-1400-000016000000}">
      <text>
        <r>
          <rPr>
            <b/>
            <sz val="12"/>
            <color indexed="81"/>
            <rFont val="Tahoma"/>
            <family val="2"/>
          </rPr>
          <t>Según el total de personas atendidas descrimine los valores según su condición.</t>
        </r>
      </text>
    </comment>
    <comment ref="AZ4" authorId="0" shapeId="0" xr:uid="{00000000-0006-0000-1400-000017000000}">
      <text>
        <r>
          <rPr>
            <b/>
            <sz val="12"/>
            <color indexed="81"/>
            <rFont val="Tahoma"/>
            <family val="2"/>
          </rPr>
          <t>Según el total de personas atendidas descrimine los valores según su etnia.</t>
        </r>
      </text>
    </comment>
    <comment ref="BF4" authorId="0" shapeId="0" xr:uid="{00000000-0006-0000-1400-000018000000}">
      <text>
        <r>
          <rPr>
            <b/>
            <sz val="12"/>
            <color indexed="81"/>
            <rFont val="Tahoma"/>
            <family val="2"/>
          </rPr>
          <t>En el caso que la acción este dirigida a una organización,  diligenciar el tipo de organización beneficiada.</t>
        </r>
      </text>
    </comment>
    <comment ref="BG4" authorId="0" shapeId="0" xr:uid="{00000000-0006-0000-1400-000019000000}">
      <text>
        <r>
          <rPr>
            <b/>
            <sz val="12"/>
            <color indexed="81"/>
            <rFont val="Tahoma"/>
            <family val="2"/>
          </rPr>
          <t>Describir el objeto principal de la institución u organización beneficiada.</t>
        </r>
      </text>
    </comment>
    <comment ref="BK4" authorId="0" shapeId="0" xr:uid="{00000000-0006-0000-1400-00001A000000}">
      <text>
        <r>
          <rPr>
            <b/>
            <sz val="12"/>
            <color indexed="81"/>
            <rFont val="Tahoma"/>
            <family val="2"/>
          </rPr>
          <t xml:space="preserve">Diligenciar si son: 
30 Caninos 
100 Arboles plantados  
2 cuencas recuperadas etc
</t>
        </r>
      </text>
    </comment>
    <comment ref="BL4" authorId="0" shapeId="0" xr:uid="{00000000-0006-0000-1400-00001B000000}">
      <text>
        <r>
          <rPr>
            <b/>
            <sz val="12"/>
            <color indexed="81"/>
            <rFont val="Tahoma"/>
            <family val="2"/>
          </rPr>
          <t>Marcar con una X el tipo de recurso que se beneficio según la acción.</t>
        </r>
      </text>
    </comment>
    <comment ref="BW4" authorId="0" shapeId="0" xr:uid="{00000000-0006-0000-1400-00001C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BX4" authorId="0" shapeId="0" xr:uid="{00000000-0006-0000-1400-00001D000000}">
      <text>
        <r>
          <rPr>
            <b/>
            <sz val="12"/>
            <color indexed="81"/>
            <rFont val="Tahoma"/>
            <family val="2"/>
          </rPr>
          <t>Detalle la cantidad de recursos invertidos del fondo de recursos propios (presupuestos corrientes del Municipio de Pereira)</t>
        </r>
      </text>
    </comment>
    <comment ref="BY4" authorId="0" shapeId="0" xr:uid="{00000000-0006-0000-1400-00001E000000}">
      <text>
        <r>
          <rPr>
            <b/>
            <sz val="12"/>
            <color indexed="81"/>
            <rFont val="Tahoma"/>
            <family val="2"/>
          </rPr>
          <t>Detalle la cantidad de recursos invertidos del fondo de recursos del Sistema General de Participaciones (Recursos Girados desde la Nación por el SGP)</t>
        </r>
      </text>
    </comment>
    <comment ref="BZ4" authorId="0" shapeId="0" xr:uid="{00000000-0006-0000-1400-00001F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CA4" authorId="0" shapeId="0" xr:uid="{00000000-0006-0000-1400-000020000000}">
      <text>
        <r>
          <rPr>
            <b/>
            <sz val="12"/>
            <color indexed="81"/>
            <rFont val="Tahoma"/>
            <family val="2"/>
          </rPr>
          <t>Detalle el número de personas atendidas en cada acción.</t>
        </r>
      </text>
    </comment>
    <comment ref="CB4" authorId="0" shapeId="0" xr:uid="{00000000-0006-0000-1400-000021000000}">
      <text>
        <r>
          <rPr>
            <b/>
            <sz val="12"/>
            <color indexed="81"/>
            <rFont val="Tahoma"/>
            <family val="2"/>
          </rPr>
          <t>Según el total de personas atendidas descrimine los valores según su genero.</t>
        </r>
      </text>
    </comment>
    <comment ref="CD4" authorId="0" shapeId="0" xr:uid="{00000000-0006-0000-1400-000022000000}">
      <text>
        <r>
          <rPr>
            <b/>
            <sz val="12"/>
            <color indexed="81"/>
            <rFont val="Tahoma"/>
            <family val="2"/>
          </rPr>
          <t>Según el total de personas atendidas descrimine los valores según su zona.</t>
        </r>
      </text>
    </comment>
    <comment ref="CF4" authorId="0" shapeId="0" xr:uid="{00000000-0006-0000-1400-000023000000}">
      <text>
        <r>
          <rPr>
            <b/>
            <sz val="12"/>
            <color indexed="81"/>
            <rFont val="Tahoma"/>
            <family val="2"/>
          </rPr>
          <t>Según el total de personas atendidas descrimine los valores según ciclos de edad.</t>
        </r>
      </text>
    </comment>
    <comment ref="CM4" authorId="0" shapeId="0" xr:uid="{00000000-0006-0000-1400-000024000000}">
      <text>
        <r>
          <rPr>
            <b/>
            <sz val="12"/>
            <color indexed="81"/>
            <rFont val="Tahoma"/>
            <family val="2"/>
          </rPr>
          <t>Según el total de personas atendidas descrimine los valores según su condición.</t>
        </r>
      </text>
    </comment>
    <comment ref="CU4" authorId="0" shapeId="0" xr:uid="{00000000-0006-0000-1400-000025000000}">
      <text>
        <r>
          <rPr>
            <b/>
            <sz val="12"/>
            <color indexed="81"/>
            <rFont val="Tahoma"/>
            <family val="2"/>
          </rPr>
          <t>Según el total de personas atendidas descrimine los valores según su etnia.</t>
        </r>
      </text>
    </comment>
    <comment ref="DA4" authorId="0" shapeId="0" xr:uid="{00000000-0006-0000-1400-000026000000}">
      <text>
        <r>
          <rPr>
            <b/>
            <sz val="12"/>
            <color indexed="81"/>
            <rFont val="Tahoma"/>
            <family val="2"/>
          </rPr>
          <t>En el caso que la acción este dirigida a una organización,  diligenciar el tipo de organización beneficiada.</t>
        </r>
      </text>
    </comment>
    <comment ref="DB4" authorId="0" shapeId="0" xr:uid="{00000000-0006-0000-1400-000027000000}">
      <text>
        <r>
          <rPr>
            <b/>
            <sz val="12"/>
            <color indexed="81"/>
            <rFont val="Tahoma"/>
            <family val="2"/>
          </rPr>
          <t>Describir el objeto principal de la institución u organización beneficiada.</t>
        </r>
      </text>
    </comment>
    <comment ref="DT4" authorId="0" shapeId="0" xr:uid="{00000000-0006-0000-1400-000028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DU4" authorId="0" shapeId="0" xr:uid="{00000000-0006-0000-1400-000029000000}">
      <text>
        <r>
          <rPr>
            <b/>
            <sz val="12"/>
            <color indexed="81"/>
            <rFont val="Tahoma"/>
            <family val="2"/>
          </rPr>
          <t>Detalle la cantidad de recursos invertidos del fondo de recursos propios (presupuestos corrientes del Municipio de Pereira)</t>
        </r>
      </text>
    </comment>
    <comment ref="DV4" authorId="0" shapeId="0" xr:uid="{00000000-0006-0000-1400-00002A000000}">
      <text>
        <r>
          <rPr>
            <b/>
            <sz val="12"/>
            <color indexed="81"/>
            <rFont val="Tahoma"/>
            <family val="2"/>
          </rPr>
          <t>Detalle la cantidad de recursos invertidos del fondo de recursos del Sistema General de Participaciones (Recursos Girados desde la Nación por el SGP)</t>
        </r>
      </text>
    </comment>
    <comment ref="DW4" authorId="0" shapeId="0" xr:uid="{00000000-0006-0000-1400-00002B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DX4" authorId="0" shapeId="0" xr:uid="{00000000-0006-0000-1400-00002C000000}">
      <text>
        <r>
          <rPr>
            <b/>
            <sz val="12"/>
            <color indexed="81"/>
            <rFont val="Tahoma"/>
            <family val="2"/>
          </rPr>
          <t>Detalle el número de personas atendidas en cada acción.</t>
        </r>
      </text>
    </comment>
    <comment ref="DY4" authorId="0" shapeId="0" xr:uid="{00000000-0006-0000-1400-00002D000000}">
      <text>
        <r>
          <rPr>
            <b/>
            <sz val="12"/>
            <color indexed="81"/>
            <rFont val="Tahoma"/>
            <family val="2"/>
          </rPr>
          <t>Según el total de personas atendidas descrimine los valores según su genero.</t>
        </r>
      </text>
    </comment>
    <comment ref="EA4" authorId="0" shapeId="0" xr:uid="{00000000-0006-0000-1400-00002E000000}">
      <text>
        <r>
          <rPr>
            <b/>
            <sz val="12"/>
            <color indexed="81"/>
            <rFont val="Tahoma"/>
            <family val="2"/>
          </rPr>
          <t>Según el total de personas atendidas descrimine los valores según su zona.</t>
        </r>
      </text>
    </comment>
    <comment ref="EC4" authorId="0" shapeId="0" xr:uid="{00000000-0006-0000-1400-00002F000000}">
      <text>
        <r>
          <rPr>
            <b/>
            <sz val="12"/>
            <color indexed="81"/>
            <rFont val="Tahoma"/>
            <family val="2"/>
          </rPr>
          <t>Según el total de personas atendidas descrimine los valores según ciclos de edad.</t>
        </r>
      </text>
    </comment>
    <comment ref="EJ4" authorId="0" shapeId="0" xr:uid="{00000000-0006-0000-1400-000030000000}">
      <text>
        <r>
          <rPr>
            <b/>
            <sz val="12"/>
            <color indexed="81"/>
            <rFont val="Tahoma"/>
            <family val="2"/>
          </rPr>
          <t>Según el total de personas atendidas descrimine los valores según su condición.</t>
        </r>
      </text>
    </comment>
    <comment ref="ER4" authorId="0" shapeId="0" xr:uid="{00000000-0006-0000-1400-000031000000}">
      <text>
        <r>
          <rPr>
            <b/>
            <sz val="12"/>
            <color indexed="81"/>
            <rFont val="Tahoma"/>
            <family val="2"/>
          </rPr>
          <t>Según el total de personas atendidas descrimine los valores según su etnia.</t>
        </r>
      </text>
    </comment>
    <comment ref="EX4" authorId="0" shapeId="0" xr:uid="{00000000-0006-0000-1400-000032000000}">
      <text>
        <r>
          <rPr>
            <b/>
            <sz val="12"/>
            <color indexed="81"/>
            <rFont val="Tahoma"/>
            <family val="2"/>
          </rPr>
          <t>En el caso que la acción este dirigida a una organización,  diligenciar el tipo de organización beneficiada.</t>
        </r>
      </text>
    </comment>
    <comment ref="EY4" authorId="0" shapeId="0" xr:uid="{00000000-0006-0000-1400-000033000000}">
      <text>
        <r>
          <rPr>
            <b/>
            <sz val="12"/>
            <color indexed="81"/>
            <rFont val="Tahoma"/>
            <family val="2"/>
          </rPr>
          <t>Describir el objeto principal de la institución u organización beneficiada.</t>
        </r>
      </text>
    </comment>
    <comment ref="FC4" authorId="0" shapeId="0" xr:uid="{00000000-0006-0000-1400-000034000000}">
      <text>
        <r>
          <rPr>
            <b/>
            <sz val="12"/>
            <color indexed="81"/>
            <rFont val="Tahoma"/>
            <family val="2"/>
          </rPr>
          <t xml:space="preserve">Diligenciar si son: 
30 Caninos 
100 Arboles plantados  
2 cuencas recuperadas etc
</t>
        </r>
      </text>
    </comment>
    <comment ref="FD4" authorId="0" shapeId="0" xr:uid="{00000000-0006-0000-1400-000035000000}">
      <text>
        <r>
          <rPr>
            <b/>
            <sz val="12"/>
            <color indexed="81"/>
            <rFont val="Tahoma"/>
            <family val="2"/>
          </rPr>
          <t>Marcar con una X el tipo de recurso que se beneficio según la acción.</t>
        </r>
      </text>
    </comment>
    <comment ref="BI5" authorId="0" shapeId="0" xr:uid="{00000000-0006-0000-1400-000036000000}">
      <text>
        <r>
          <rPr>
            <b/>
            <sz val="12"/>
            <color indexed="81"/>
            <rFont val="Tahoma"/>
            <family val="2"/>
          </rPr>
          <t>Zona de ubicación de la Institución u Organización.</t>
        </r>
      </text>
    </comment>
    <comment ref="BJ5" authorId="0" shapeId="0" xr:uid="{00000000-0006-0000-1400-000037000000}">
      <text>
        <r>
          <rPr>
            <b/>
            <sz val="12"/>
            <color indexed="81"/>
            <rFont val="Tahoma"/>
            <family val="2"/>
          </rPr>
          <t>Zona de ubicación de la Institución u Organización.</t>
        </r>
      </text>
    </comment>
    <comment ref="BO5" authorId="0" shapeId="0" xr:uid="{00000000-0006-0000-1400-000038000000}">
      <text>
        <r>
          <rPr>
            <b/>
            <sz val="9"/>
            <color indexed="81"/>
            <rFont val="Tahoma"/>
            <family val="2"/>
          </rPr>
          <t>Zona de ubicación del Recurso Ecosistémico.</t>
        </r>
      </text>
    </comment>
    <comment ref="DD5" authorId="0" shapeId="0" xr:uid="{00000000-0006-0000-1400-000039000000}">
      <text>
        <r>
          <rPr>
            <b/>
            <sz val="12"/>
            <color indexed="81"/>
            <rFont val="Tahoma"/>
            <family val="2"/>
          </rPr>
          <t>Zona de ubicación de la Institución u Organización.</t>
        </r>
      </text>
    </comment>
    <comment ref="DE5" authorId="0" shapeId="0" xr:uid="{00000000-0006-0000-1400-00003A000000}">
      <text>
        <r>
          <rPr>
            <b/>
            <sz val="12"/>
            <color indexed="81"/>
            <rFont val="Tahoma"/>
            <family val="2"/>
          </rPr>
          <t>Zona de ubicación de la Institución u Organización.</t>
        </r>
      </text>
    </comment>
    <comment ref="FA5" authorId="0" shapeId="0" xr:uid="{00000000-0006-0000-1400-00003B000000}">
      <text>
        <r>
          <rPr>
            <b/>
            <sz val="12"/>
            <color indexed="81"/>
            <rFont val="Tahoma"/>
            <family val="2"/>
          </rPr>
          <t>Zona de ubicación de la Institución u Organización.</t>
        </r>
      </text>
    </comment>
    <comment ref="FB5" authorId="0" shapeId="0" xr:uid="{00000000-0006-0000-1400-00003C000000}">
      <text>
        <r>
          <rPr>
            <b/>
            <sz val="12"/>
            <color indexed="81"/>
            <rFont val="Tahoma"/>
            <family val="2"/>
          </rPr>
          <t>Zona de ubicación de la Institución u Organización.</t>
        </r>
      </text>
    </comment>
    <comment ref="FG5" authorId="0" shapeId="0" xr:uid="{00000000-0006-0000-1400-00003D000000}">
      <text>
        <r>
          <rPr>
            <b/>
            <sz val="9"/>
            <color indexed="81"/>
            <rFont val="Tahoma"/>
            <family val="2"/>
          </rPr>
          <t>Zona de ubicación del Recurso Ecosistémico.</t>
        </r>
      </text>
    </comment>
    <comment ref="X6" authorId="1" shapeId="0" xr:uid="{00000000-0006-0000-1400-00003E000000}">
      <text>
        <r>
          <rPr>
            <sz val="9"/>
            <color indexed="81"/>
            <rFont val="Tahoma"/>
            <family val="2"/>
          </rPr>
          <t xml:space="preserve">Reportan 81 dejando ejecucioin lal 100%
</t>
        </r>
      </text>
    </comment>
    <comment ref="BQ6" authorId="2" shapeId="0" xr:uid="{00000000-0006-0000-1400-00003F000000}">
      <text>
        <r>
          <rPr>
            <b/>
            <sz val="9"/>
            <color indexed="81"/>
            <rFont val="Tahoma"/>
            <family val="2"/>
          </rPr>
          <t xml:space="preserve">Oscar: Debemos aclarar con la entidad, este reporte de ejecución, toda vez que la meta trazada en la formulación de la política tiene valores en porcentaje, que no concuerdan por el reporte de ejecución
</t>
        </r>
      </text>
    </comment>
    <comment ref="X10" authorId="1" shapeId="0" xr:uid="{00000000-0006-0000-1400-000040000000}">
      <text>
        <r>
          <rPr>
            <b/>
            <sz val="9"/>
            <color indexed="81"/>
            <rFont val="Tahoma"/>
            <family val="2"/>
          </rPr>
          <t>reportan 60 y dadas las actividades se deja ejecución al 100%</t>
        </r>
      </text>
    </comment>
    <comment ref="X11" authorId="1" shapeId="0" xr:uid="{00000000-0006-0000-1400-000041000000}">
      <text>
        <r>
          <rPr>
            <b/>
            <sz val="9"/>
            <color indexed="81"/>
            <rFont val="Tahoma"/>
            <family val="2"/>
          </rPr>
          <t>reportan 81 y dadas las actividades se deja ejecución al 100%</t>
        </r>
      </text>
    </comment>
    <comment ref="X12" authorId="1" shapeId="0" xr:uid="{00000000-0006-0000-1400-000042000000}">
      <text>
        <r>
          <rPr>
            <b/>
            <sz val="9"/>
            <color indexed="81"/>
            <rFont val="Tahoma"/>
            <family val="2"/>
          </rPr>
          <t>reportan 3 y dadas las actividades se deja ejecución al 100%</t>
        </r>
      </text>
    </comment>
    <comment ref="X13" authorId="1" shapeId="0" xr:uid="{00000000-0006-0000-1400-000043000000}">
      <text>
        <r>
          <rPr>
            <b/>
            <sz val="9"/>
            <color indexed="81"/>
            <rFont val="Tahoma"/>
            <family val="2"/>
          </rPr>
          <t>reportan 16 y dadas las actividades se deja ejecución al 100%</t>
        </r>
      </text>
    </comment>
    <comment ref="X15" authorId="1" shapeId="0" xr:uid="{00000000-0006-0000-1400-000044000000}">
      <text>
        <r>
          <rPr>
            <b/>
            <sz val="9"/>
            <color indexed="81"/>
            <rFont val="Tahoma"/>
            <family val="2"/>
          </rPr>
          <t>reportan 4 y dadas las actividades se deja ejecución al 100%</t>
        </r>
      </text>
    </comment>
    <comment ref="X19" authorId="1" shapeId="0" xr:uid="{00000000-0006-0000-1400-000045000000}">
      <text>
        <r>
          <rPr>
            <b/>
            <sz val="9"/>
            <color indexed="81"/>
            <rFont val="Tahoma"/>
            <family val="2"/>
          </rPr>
          <t>reportan 14 y dadas las actividades se deja ejecución al 100%</t>
        </r>
      </text>
    </comment>
    <comment ref="X20" authorId="1" shapeId="0" xr:uid="{00000000-0006-0000-1400-000046000000}">
      <text>
        <r>
          <rPr>
            <b/>
            <sz val="9"/>
            <color indexed="81"/>
            <rFont val="Tahoma"/>
            <family val="2"/>
          </rPr>
          <t>reportan 12 y dadas las actividades se deja ejecución al 100%</t>
        </r>
      </text>
    </comment>
    <comment ref="X21" authorId="1" shapeId="0" xr:uid="{00000000-0006-0000-1400-000047000000}">
      <text>
        <r>
          <rPr>
            <b/>
            <sz val="9"/>
            <color indexed="81"/>
            <rFont val="Tahoma"/>
            <family val="2"/>
          </rPr>
          <t>reportan 6 y dadas las actividades se deja ejecución al 100%</t>
        </r>
      </text>
    </comment>
    <comment ref="X22" authorId="1" shapeId="0" xr:uid="{00000000-0006-0000-1400-000048000000}">
      <text>
        <r>
          <rPr>
            <b/>
            <sz val="9"/>
            <color indexed="81"/>
            <rFont val="Tahoma"/>
            <family val="2"/>
          </rPr>
          <t>reportan 2 y dadas las actividades se deja ejecución al 100%</t>
        </r>
      </text>
    </comment>
    <comment ref="DB22" authorId="3" shapeId="0" xr:uid="{00000000-0006-0000-1400-000049000000}">
      <text>
        <r>
          <rPr>
            <sz val="12"/>
            <color rgb="FF000000"/>
            <rFont val="Calibri"/>
            <family val="2"/>
          </rPr>
          <t xml:space="preserve">Oscar:
Si la responsabilidad es del CREEME (que corresponde a la secretaría X), la secretaría de salud debe pedir este reporte a quien corresponda, y así cumplir con la meta </t>
        </r>
      </text>
    </comment>
    <comment ref="X23" authorId="1" shapeId="0" xr:uid="{00000000-0006-0000-1400-00004A000000}">
      <text>
        <r>
          <rPr>
            <b/>
            <sz val="9"/>
            <color indexed="81"/>
            <rFont val="Tahoma"/>
            <family val="2"/>
          </rPr>
          <t>reportan 21 y dadas las actividades se deja ejecución al 100%</t>
        </r>
      </text>
    </comment>
    <comment ref="X24" authorId="1" shapeId="0" xr:uid="{00000000-0006-0000-1400-00004B000000}">
      <text>
        <r>
          <rPr>
            <b/>
            <sz val="9"/>
            <color indexed="81"/>
            <rFont val="Tahoma"/>
            <family val="2"/>
          </rPr>
          <t>reportan 18 y dadas las actividades se deja ejecución al 100%</t>
        </r>
      </text>
    </comment>
    <comment ref="X26" authorId="1" shapeId="0" xr:uid="{00000000-0006-0000-1400-00004C000000}">
      <text>
        <r>
          <rPr>
            <b/>
            <sz val="9"/>
            <color indexed="81"/>
            <rFont val="Tahoma"/>
            <family val="2"/>
          </rPr>
          <t>reportan 9 y dadas las actividades se deja ejecución al 100%</t>
        </r>
      </text>
    </comment>
    <comment ref="X27" authorId="1" shapeId="0" xr:uid="{00000000-0006-0000-1400-00004D000000}">
      <text>
        <r>
          <rPr>
            <b/>
            <sz val="9"/>
            <color indexed="81"/>
            <rFont val="Tahoma"/>
            <family val="2"/>
          </rPr>
          <t>reportan 3 y dadas las actividades se deja ejecución al 100%</t>
        </r>
      </text>
    </comment>
    <comment ref="BT27" authorId="2" shapeId="0" xr:uid="{00000000-0006-0000-1400-00004E000000}">
      <text>
        <r>
          <rPr>
            <b/>
            <sz val="9"/>
            <color indexed="81"/>
            <rFont val="Tahoma"/>
            <family val="2"/>
          </rPr>
          <t>Oscar:</t>
        </r>
        <r>
          <rPr>
            <sz val="9"/>
            <color indexed="81"/>
            <rFont val="Tahoma"/>
            <family val="2"/>
          </rPr>
          <t xml:space="preserve">
</t>
        </r>
        <r>
          <rPr>
            <sz val="14"/>
            <color indexed="81"/>
            <rFont val="Tahoma"/>
            <family val="2"/>
          </rPr>
          <t>La actividad es "Desarrollar alianzas público-privadas  para la generación de ingresos y reintegración social de personas que culminan tratamiento y se incorporan a la comunidad y no capacitación</t>
        </r>
      </text>
    </comment>
    <comment ref="X28" authorId="1" shapeId="0" xr:uid="{00000000-0006-0000-1400-00004F000000}">
      <text>
        <r>
          <rPr>
            <b/>
            <sz val="9"/>
            <color indexed="81"/>
            <rFont val="Tahoma"/>
            <family val="2"/>
          </rPr>
          <t>reportan 4 y dadas las actividades se deja ejecución al 100%</t>
        </r>
      </text>
    </comment>
    <comment ref="X30" authorId="1" shapeId="0" xr:uid="{00000000-0006-0000-1400-000050000000}">
      <text>
        <r>
          <rPr>
            <b/>
            <sz val="9"/>
            <color indexed="81"/>
            <rFont val="Tahoma"/>
            <family val="2"/>
          </rPr>
          <t>reportan 4 y dadas las actividades se deja ejecución al 100%</t>
        </r>
      </text>
    </comment>
    <comment ref="X33" authorId="1" shapeId="0" xr:uid="{00000000-0006-0000-1400-000051000000}">
      <text>
        <r>
          <rPr>
            <b/>
            <sz val="9"/>
            <color indexed="81"/>
            <rFont val="Tahoma"/>
            <family val="2"/>
          </rPr>
          <t>reportan 415 y dadas las actividades se deja ejecución al 60%</t>
        </r>
      </text>
    </comment>
    <comment ref="X35" authorId="1" shapeId="0" xr:uid="{00000000-0006-0000-1400-000052000000}">
      <text>
        <r>
          <rPr>
            <b/>
            <sz val="9"/>
            <color indexed="81"/>
            <rFont val="Tahoma"/>
            <family val="2"/>
          </rPr>
          <t>reportan 415 y dadas las actividades se deja ejecución al 60%</t>
        </r>
      </text>
    </comment>
    <comment ref="X36" authorId="1" shapeId="0" xr:uid="{00000000-0006-0000-1400-000053000000}">
      <text>
        <r>
          <rPr>
            <b/>
            <sz val="9"/>
            <color indexed="81"/>
            <rFont val="Tahoma"/>
            <family val="2"/>
          </rPr>
          <t>reportan 3 y dadas las actividades se deja ejecución al 100%</t>
        </r>
      </text>
    </comment>
    <comment ref="X39" authorId="1" shapeId="0" xr:uid="{00000000-0006-0000-1400-000054000000}">
      <text>
        <r>
          <rPr>
            <b/>
            <sz val="9"/>
            <color indexed="81"/>
            <rFont val="Tahoma"/>
            <family val="2"/>
          </rPr>
          <t>reportan 14 y dadas las actividades se deja ejecución al 100%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Usuario</author>
    <author>OMAR NARANJO</author>
    <author>contabilidad</author>
  </authors>
  <commentList>
    <comment ref="Z2" authorId="0" shapeId="0" xr:uid="{00000000-0006-0000-16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AA2" authorId="0" shapeId="0" xr:uid="{00000000-0006-0000-1600-000002000000}">
      <text>
        <r>
          <rPr>
            <b/>
            <sz val="12"/>
            <color indexed="81"/>
            <rFont val="Tahoma"/>
            <family val="2"/>
          </rPr>
          <t xml:space="preserve">Comente como desarrollo la acción de la Política Pública por medio de actividades, describiendo el Lugar, Temas desarrollados, etc. </t>
        </r>
      </text>
    </comment>
    <comment ref="AB2" authorId="0" shapeId="0" xr:uid="{00000000-0006-0000-1600-000003000000}">
      <text>
        <r>
          <rPr>
            <b/>
            <sz val="12"/>
            <color indexed="81"/>
            <rFont val="Tahoma"/>
            <family val="2"/>
          </rPr>
          <t>Describa que evidencias reposan en el desarrollo de la acción, contratos, actas, fotos, registros de asistencia, informes, documentos, videos, etc</t>
        </r>
      </text>
    </comment>
    <comment ref="AC2" authorId="0" shapeId="0" xr:uid="{00000000-0006-0000-1600-000004000000}">
      <text>
        <r>
          <rPr>
            <b/>
            <sz val="12"/>
            <color indexed="81"/>
            <rFont val="Tahoma"/>
            <family val="2"/>
          </rPr>
          <t xml:space="preserve">Comente que problemas, necesidades, aciertos y/o recomendacion se cuentan en el desarrollo de la acción. </t>
        </r>
      </text>
    </comment>
    <comment ref="BM2" authorId="0" shapeId="0" xr:uid="{00000000-0006-0000-1600-000005000000}">
      <text>
        <r>
          <rPr>
            <b/>
            <sz val="9"/>
            <color indexed="81"/>
            <rFont val="Tahoma"/>
            <family val="2"/>
          </rPr>
          <t>La Sección de Matriz de Focalización de Recursos Ecosistémicos se diligencia cuando la acción va dirigida a un Recurso Natural, Fauna y Flora.</t>
        </r>
      </text>
    </comment>
    <comment ref="BS2" authorId="0" shapeId="0" xr:uid="{00000000-0006-0000-1600-000006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BV2" authorId="0" shapeId="0" xr:uid="{00000000-0006-0000-1600-000007000000}">
      <text>
        <r>
          <rPr>
            <b/>
            <sz val="12"/>
            <color indexed="81"/>
            <rFont val="Tahoma"/>
            <family val="2"/>
          </rPr>
          <t xml:space="preserve">Comente como desarrollo la acción de la Política Pública por medio de actividades, describiendo el Lugar, Temas desarrollados, etc. </t>
        </r>
      </text>
    </comment>
    <comment ref="BW2" authorId="0" shapeId="0" xr:uid="{00000000-0006-0000-1600-000008000000}">
      <text>
        <r>
          <rPr>
            <b/>
            <sz val="12"/>
            <color indexed="81"/>
            <rFont val="Tahoma"/>
            <family val="2"/>
          </rPr>
          <t>Describa que evidencias reposan en el desarrollo de la acción, contratos, actas, fotos, registros de asistencia, informes, documentos, videos, etc</t>
        </r>
      </text>
    </comment>
    <comment ref="BX2" authorId="0" shapeId="0" xr:uid="{00000000-0006-0000-1600-000009000000}">
      <text>
        <r>
          <rPr>
            <b/>
            <sz val="12"/>
            <color indexed="81"/>
            <rFont val="Tahoma"/>
            <family val="2"/>
          </rPr>
          <t xml:space="preserve">Comente que problemas, necesidades, aciertos y/o recomendacion se cuentan en el desarrollo de la acción. </t>
        </r>
      </text>
    </comment>
    <comment ref="DM2" authorId="0" shapeId="0" xr:uid="{00000000-0006-0000-1600-00000A000000}">
      <text>
        <r>
          <rPr>
            <b/>
            <sz val="9"/>
            <color indexed="81"/>
            <rFont val="Tahoma"/>
            <family val="2"/>
          </rPr>
          <t>La Sección de Matriz de Focalización de Recursos Ecosistémicos se diligencia cuando la acción va dirigida a un Recurso Natural, Fauna y Flora.</t>
        </r>
      </text>
    </comment>
    <comment ref="DS2" authorId="0" shapeId="0" xr:uid="{00000000-0006-0000-1600-00000B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V2" authorId="0" shapeId="0" xr:uid="{00000000-0006-0000-1600-00000C000000}">
      <text>
        <r>
          <rPr>
            <b/>
            <sz val="12"/>
            <color indexed="81"/>
            <rFont val="Tahoma"/>
            <family val="2"/>
          </rPr>
          <t xml:space="preserve">Comente como desarrollo la acción de la Política Pública por medio de actividades, describiendo el Lugar, Temas desarrollados, etc. </t>
        </r>
      </text>
    </comment>
    <comment ref="DW2" authorId="0" shapeId="0" xr:uid="{00000000-0006-0000-1600-00000D000000}">
      <text>
        <r>
          <rPr>
            <b/>
            <sz val="12"/>
            <color indexed="81"/>
            <rFont val="Tahoma"/>
            <family val="2"/>
          </rPr>
          <t>Describa que evidencias reposan en el desarrollo de la acción, contratos, actas, fotos, registros de asistencia, informes, documentos, videos, etc</t>
        </r>
      </text>
    </comment>
    <comment ref="DX2" authorId="0" shapeId="0" xr:uid="{00000000-0006-0000-1600-00000E000000}">
      <text>
        <r>
          <rPr>
            <b/>
            <sz val="12"/>
            <color indexed="81"/>
            <rFont val="Tahoma"/>
            <family val="2"/>
          </rPr>
          <t xml:space="preserve">Comente que problemas, necesidades, aciertos y/o recomendacion se cuentan en el desarrollo de la acción. </t>
        </r>
      </text>
    </comment>
    <comment ref="FH2" authorId="0" shapeId="0" xr:uid="{00000000-0006-0000-1600-00000F000000}">
      <text>
        <r>
          <rPr>
            <b/>
            <sz val="9"/>
            <color indexed="81"/>
            <rFont val="Tahoma"/>
            <family val="2"/>
          </rPr>
          <t>La Sección de Matriz de Focalización de Recursos Ecosistémicos se diligencia cuando la acción va dirigida a un Recurso Natural, Fauna y Flora.</t>
        </r>
      </text>
    </comment>
    <comment ref="AD3" authorId="0" shapeId="0" xr:uid="{00000000-0006-0000-1600-000010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AE3" authorId="0" shapeId="0" xr:uid="{00000000-0006-0000-1600-000011000000}">
      <text>
        <r>
          <rPr>
            <b/>
            <sz val="12"/>
            <color indexed="81"/>
            <rFont val="Tahoma"/>
            <family val="2"/>
          </rPr>
          <t>Detalle la cantidad de recursos invertidos del fondo de recursos propios (presupuestos corrientes del Municipio de Pereira)</t>
        </r>
      </text>
    </comment>
    <comment ref="AF3" authorId="0" shapeId="0" xr:uid="{00000000-0006-0000-1600-000012000000}">
      <text>
        <r>
          <rPr>
            <b/>
            <sz val="12"/>
            <color indexed="81"/>
            <rFont val="Tahoma"/>
            <family val="2"/>
          </rPr>
          <t>Detalle la cantidad de recursos invertidos del fondo de recursos del Sistema General de Participaciones (Recursos Girados desde la Nación por el SGP)</t>
        </r>
      </text>
    </comment>
    <comment ref="AG3" authorId="0" shapeId="0" xr:uid="{00000000-0006-0000-1600-000013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AH3" authorId="0" shapeId="0" xr:uid="{00000000-0006-0000-1600-000014000000}">
      <text>
        <r>
          <rPr>
            <b/>
            <sz val="12"/>
            <color indexed="81"/>
            <rFont val="Tahoma"/>
            <family val="2"/>
          </rPr>
          <t>Detalle el número de personas atendidas en cada acción.</t>
        </r>
      </text>
    </comment>
    <comment ref="AI3" authorId="0" shapeId="0" xr:uid="{00000000-0006-0000-1600-000015000000}">
      <text>
        <r>
          <rPr>
            <b/>
            <sz val="12"/>
            <color indexed="81"/>
            <rFont val="Tahoma"/>
            <family val="2"/>
          </rPr>
          <t>Según el total de personas atendidas descrimine los valores según su genero.</t>
        </r>
      </text>
    </comment>
    <comment ref="AK3" authorId="0" shapeId="0" xr:uid="{00000000-0006-0000-1600-000016000000}">
      <text>
        <r>
          <rPr>
            <b/>
            <sz val="12"/>
            <color indexed="81"/>
            <rFont val="Tahoma"/>
            <family val="2"/>
          </rPr>
          <t>Según el total de personas atendidas descrimine los valores según su zona.</t>
        </r>
      </text>
    </comment>
    <comment ref="AM3" authorId="0" shapeId="0" xr:uid="{00000000-0006-0000-1600-000017000000}">
      <text>
        <r>
          <rPr>
            <b/>
            <sz val="12"/>
            <color indexed="81"/>
            <rFont val="Tahoma"/>
            <family val="2"/>
          </rPr>
          <t>Según el total de personas atendidas descrimine los valores según ciclos de edad.</t>
        </r>
      </text>
    </comment>
    <comment ref="AT3" authorId="0" shapeId="0" xr:uid="{00000000-0006-0000-1600-000018000000}">
      <text>
        <r>
          <rPr>
            <b/>
            <sz val="12"/>
            <color indexed="81"/>
            <rFont val="Tahoma"/>
            <family val="2"/>
          </rPr>
          <t>Según el total de personas atendidas descrimine los valores según su condición.</t>
        </r>
      </text>
    </comment>
    <comment ref="BB3" authorId="0" shapeId="0" xr:uid="{00000000-0006-0000-1600-000019000000}">
      <text>
        <r>
          <rPr>
            <b/>
            <sz val="12"/>
            <color indexed="81"/>
            <rFont val="Tahoma"/>
            <family val="2"/>
          </rPr>
          <t>Según el total de personas atendidas descrimine los valores según su etnia.</t>
        </r>
      </text>
    </comment>
    <comment ref="BH3" authorId="0" shapeId="0" xr:uid="{00000000-0006-0000-1600-00001A000000}">
      <text>
        <r>
          <rPr>
            <b/>
            <sz val="12"/>
            <color indexed="81"/>
            <rFont val="Tahoma"/>
            <family val="2"/>
          </rPr>
          <t>En el caso que la acción este dirigida a una organización,  diligenciar el tipo de organización beneficiada.</t>
        </r>
      </text>
    </comment>
    <comment ref="BI3" authorId="0" shapeId="0" xr:uid="{00000000-0006-0000-1600-00001B000000}">
      <text>
        <r>
          <rPr>
            <b/>
            <sz val="12"/>
            <color indexed="81"/>
            <rFont val="Tahoma"/>
            <family val="2"/>
          </rPr>
          <t>Describir el objeto principal de la institución u organización beneficiada.</t>
        </r>
      </text>
    </comment>
    <comment ref="BM3" authorId="0" shapeId="0" xr:uid="{00000000-0006-0000-1600-00001C000000}">
      <text>
        <r>
          <rPr>
            <b/>
            <sz val="12"/>
            <color indexed="81"/>
            <rFont val="Tahoma"/>
            <family val="2"/>
          </rPr>
          <t xml:space="preserve">Diligenciar si son: 
30 Caninos 
100 Arboles plantados  
2 cuencas recuperadas etc
</t>
        </r>
      </text>
    </comment>
    <comment ref="BN3" authorId="0" shapeId="0" xr:uid="{00000000-0006-0000-1600-00001D000000}">
      <text>
        <r>
          <rPr>
            <b/>
            <sz val="12"/>
            <color indexed="81"/>
            <rFont val="Tahoma"/>
            <family val="2"/>
          </rPr>
          <t>Marcar con una X el tipo de recurso que se beneficio según la acción.</t>
        </r>
      </text>
    </comment>
    <comment ref="BY3" authorId="0" shapeId="0" xr:uid="{00000000-0006-0000-1600-00001E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BZ3" authorId="0" shapeId="0" xr:uid="{00000000-0006-0000-1600-00001F000000}">
      <text>
        <r>
          <rPr>
            <b/>
            <sz val="12"/>
            <color indexed="81"/>
            <rFont val="Tahoma"/>
            <family val="2"/>
          </rPr>
          <t>Detalle la cantidad de recursos invertidos del fondo de recursos propios (presupuestos corrientes del Municipio de Pereira)</t>
        </r>
      </text>
    </comment>
    <comment ref="CA3" authorId="0" shapeId="0" xr:uid="{00000000-0006-0000-1600-000020000000}">
      <text>
        <r>
          <rPr>
            <b/>
            <sz val="12"/>
            <color indexed="81"/>
            <rFont val="Tahoma"/>
            <family val="2"/>
          </rPr>
          <t>Detalle la cantidad de recursos invertidos del fondo de recursos del Sistema General de Participaciones (Recursos Girados desde la Nación por el SGP)</t>
        </r>
      </text>
    </comment>
    <comment ref="CB3" authorId="0" shapeId="0" xr:uid="{00000000-0006-0000-1600-000021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CC3" authorId="0" shapeId="0" xr:uid="{00000000-0006-0000-1600-000022000000}">
      <text>
        <r>
          <rPr>
            <b/>
            <sz val="12"/>
            <color indexed="81"/>
            <rFont val="Tahoma"/>
            <family val="2"/>
          </rPr>
          <t>Detalle el número de personas atendidas en cada acción.</t>
        </r>
      </text>
    </comment>
    <comment ref="CD3" authorId="0" shapeId="0" xr:uid="{00000000-0006-0000-1600-000023000000}">
      <text>
        <r>
          <rPr>
            <b/>
            <sz val="12"/>
            <color indexed="81"/>
            <rFont val="Tahoma"/>
            <family val="2"/>
          </rPr>
          <t>Según el total de personas atendidas descrimine los valores según su genero.</t>
        </r>
      </text>
    </comment>
    <comment ref="CG3" authorId="0" shapeId="0" xr:uid="{00000000-0006-0000-1600-000024000000}">
      <text>
        <r>
          <rPr>
            <b/>
            <sz val="12"/>
            <color indexed="81"/>
            <rFont val="Tahoma"/>
            <family val="2"/>
          </rPr>
          <t>Según el total de personas atendidas descrimine los valores según su zona.</t>
        </r>
      </text>
    </comment>
    <comment ref="CJ3" authorId="0" shapeId="0" xr:uid="{00000000-0006-0000-1600-000025000000}">
      <text>
        <r>
          <rPr>
            <b/>
            <sz val="12"/>
            <color indexed="81"/>
            <rFont val="Tahoma"/>
            <family val="2"/>
          </rPr>
          <t>Según el total de personas atendidas descrimine los valores según ciclos de edad.</t>
        </r>
      </text>
    </comment>
    <comment ref="CR3" authorId="0" shapeId="0" xr:uid="{00000000-0006-0000-1600-000026000000}">
      <text>
        <r>
          <rPr>
            <b/>
            <sz val="12"/>
            <color indexed="81"/>
            <rFont val="Tahoma"/>
            <family val="2"/>
          </rPr>
          <t>Según el total de personas atendidas descrimine los valores según su condición.</t>
        </r>
      </text>
    </comment>
    <comment ref="DA3" authorId="0" shapeId="0" xr:uid="{00000000-0006-0000-1600-000027000000}">
      <text>
        <r>
          <rPr>
            <b/>
            <sz val="12"/>
            <color indexed="81"/>
            <rFont val="Tahoma"/>
            <family val="2"/>
          </rPr>
          <t>Según el total de personas atendidas descrimine los valores según su etnia.</t>
        </r>
      </text>
    </comment>
    <comment ref="DH3" authorId="0" shapeId="0" xr:uid="{00000000-0006-0000-1600-000028000000}">
      <text>
        <r>
          <rPr>
            <b/>
            <sz val="12"/>
            <color indexed="81"/>
            <rFont val="Tahoma"/>
            <family val="2"/>
          </rPr>
          <t>En el caso que la acción este dirigida a una organización,  diligenciar el tipo de organización beneficiada.</t>
        </r>
      </text>
    </comment>
    <comment ref="DI3" authorId="0" shapeId="0" xr:uid="{00000000-0006-0000-1600-000029000000}">
      <text>
        <r>
          <rPr>
            <b/>
            <sz val="12"/>
            <color indexed="81"/>
            <rFont val="Tahoma"/>
            <family val="2"/>
          </rPr>
          <t>Describir el objeto principal de la institución u organización beneficiada.</t>
        </r>
      </text>
    </comment>
    <comment ref="DM3" authorId="0" shapeId="0" xr:uid="{00000000-0006-0000-1600-00002A000000}">
      <text>
        <r>
          <rPr>
            <b/>
            <sz val="12"/>
            <color indexed="81"/>
            <rFont val="Tahoma"/>
            <family val="2"/>
          </rPr>
          <t xml:space="preserve">Diligenciar si son: 
30 Caninos 
100 Arboles plantados  
2 cuencas recuperadas etc
</t>
        </r>
      </text>
    </comment>
    <comment ref="DN3" authorId="0" shapeId="0" xr:uid="{00000000-0006-0000-1600-00002B000000}">
      <text>
        <r>
          <rPr>
            <b/>
            <sz val="12"/>
            <color indexed="81"/>
            <rFont val="Tahoma"/>
            <family val="2"/>
          </rPr>
          <t>Marcar con una X el tipo de recurso que se beneficio según la acción.</t>
        </r>
      </text>
    </comment>
    <comment ref="DY3" authorId="0" shapeId="0" xr:uid="{00000000-0006-0000-1600-00002C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DZ3" authorId="0" shapeId="0" xr:uid="{00000000-0006-0000-1600-00002D000000}">
      <text>
        <r>
          <rPr>
            <b/>
            <sz val="12"/>
            <color indexed="81"/>
            <rFont val="Tahoma"/>
            <family val="2"/>
          </rPr>
          <t>Detalle la cantidad de recursos invertidos del fondo de recursos propios (presupuestos corrientes del Municipio de Pereira)</t>
        </r>
      </text>
    </comment>
    <comment ref="EA3" authorId="0" shapeId="0" xr:uid="{00000000-0006-0000-1600-00002E000000}">
      <text>
        <r>
          <rPr>
            <b/>
            <sz val="12"/>
            <color indexed="81"/>
            <rFont val="Tahoma"/>
            <family val="2"/>
          </rPr>
          <t>Detalle la cantidad de recursos invertidos del fondo de recursos del Sistema General de Participaciones (Recursos Girados desde la Nación por el SGP)</t>
        </r>
      </text>
    </comment>
    <comment ref="EB3" authorId="0" shapeId="0" xr:uid="{00000000-0006-0000-1600-00002F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EC3" authorId="0" shapeId="0" xr:uid="{00000000-0006-0000-1600-000030000000}">
      <text>
        <r>
          <rPr>
            <b/>
            <sz val="12"/>
            <color indexed="81"/>
            <rFont val="Tahoma"/>
            <family val="2"/>
          </rPr>
          <t>Detalle el número de personas atendidas en cada acción.</t>
        </r>
      </text>
    </comment>
    <comment ref="ED3" authorId="0" shapeId="0" xr:uid="{00000000-0006-0000-1600-000031000000}">
      <text>
        <r>
          <rPr>
            <b/>
            <sz val="12"/>
            <color indexed="81"/>
            <rFont val="Tahoma"/>
            <family val="2"/>
          </rPr>
          <t>Según el total de personas atendidas descrimine los valores según su genero.</t>
        </r>
      </text>
    </comment>
    <comment ref="EF3" authorId="0" shapeId="0" xr:uid="{00000000-0006-0000-1600-000032000000}">
      <text>
        <r>
          <rPr>
            <b/>
            <sz val="12"/>
            <color indexed="81"/>
            <rFont val="Tahoma"/>
            <family val="2"/>
          </rPr>
          <t>Según el total de personas atendidas descrimine los valores según su zona.</t>
        </r>
      </text>
    </comment>
    <comment ref="EH3" authorId="0" shapeId="0" xr:uid="{00000000-0006-0000-1600-000033000000}">
      <text>
        <r>
          <rPr>
            <b/>
            <sz val="12"/>
            <color indexed="81"/>
            <rFont val="Tahoma"/>
            <family val="2"/>
          </rPr>
          <t>Según el total de personas atendidas descrimine los valores según ciclos de edad.</t>
        </r>
      </text>
    </comment>
    <comment ref="EO3" authorId="0" shapeId="0" xr:uid="{00000000-0006-0000-1600-000034000000}">
      <text>
        <r>
          <rPr>
            <b/>
            <sz val="12"/>
            <color indexed="81"/>
            <rFont val="Tahoma"/>
            <family val="2"/>
          </rPr>
          <t>Según el total de personas atendidas descrimine los valores según su condición.</t>
        </r>
      </text>
    </comment>
    <comment ref="EW3" authorId="0" shapeId="0" xr:uid="{00000000-0006-0000-1600-000035000000}">
      <text>
        <r>
          <rPr>
            <b/>
            <sz val="12"/>
            <color indexed="81"/>
            <rFont val="Tahoma"/>
            <family val="2"/>
          </rPr>
          <t>Según el total de personas atendidas descrimine los valores según su etnia.</t>
        </r>
      </text>
    </comment>
    <comment ref="FC3" authorId="0" shapeId="0" xr:uid="{00000000-0006-0000-1600-000036000000}">
      <text>
        <r>
          <rPr>
            <b/>
            <sz val="12"/>
            <color indexed="81"/>
            <rFont val="Tahoma"/>
            <family val="2"/>
          </rPr>
          <t>En el caso que la acción este dirigida a una organización,  diligenciar el tipo de organización beneficiada.</t>
        </r>
      </text>
    </comment>
    <comment ref="FD3" authorId="0" shapeId="0" xr:uid="{00000000-0006-0000-1600-000037000000}">
      <text>
        <r>
          <rPr>
            <b/>
            <sz val="12"/>
            <color indexed="81"/>
            <rFont val="Tahoma"/>
            <family val="2"/>
          </rPr>
          <t>Describir el objeto principal de la institución u organización beneficiada.</t>
        </r>
      </text>
    </comment>
    <comment ref="FH3" authorId="0" shapeId="0" xr:uid="{00000000-0006-0000-1600-000038000000}">
      <text>
        <r>
          <rPr>
            <b/>
            <sz val="12"/>
            <color indexed="81"/>
            <rFont val="Tahoma"/>
            <family val="2"/>
          </rPr>
          <t xml:space="preserve">Diligenciar si son: 
30 Caninos 
100 Arboles plantados  
2 cuencas recuperadas etc
</t>
        </r>
      </text>
    </comment>
    <comment ref="FI3" authorId="0" shapeId="0" xr:uid="{00000000-0006-0000-1600-000039000000}">
      <text>
        <r>
          <rPr>
            <b/>
            <sz val="12"/>
            <color indexed="81"/>
            <rFont val="Tahoma"/>
            <family val="2"/>
          </rPr>
          <t>Marcar con una X el tipo de recurso que se beneficio según la acción.</t>
        </r>
      </text>
    </comment>
    <comment ref="BK4" authorId="0" shapeId="0" xr:uid="{00000000-0006-0000-1600-00003A000000}">
      <text>
        <r>
          <rPr>
            <b/>
            <sz val="12"/>
            <color indexed="81"/>
            <rFont val="Tahoma"/>
            <family val="2"/>
          </rPr>
          <t>Zona de ubicación de la Institución u Organización.</t>
        </r>
      </text>
    </comment>
    <comment ref="BL4" authorId="0" shapeId="0" xr:uid="{00000000-0006-0000-1600-00003B000000}">
      <text>
        <r>
          <rPr>
            <b/>
            <sz val="12"/>
            <color indexed="81"/>
            <rFont val="Tahoma"/>
            <family val="2"/>
          </rPr>
          <t>Zona de ubicación de la Institución u Organización.</t>
        </r>
      </text>
    </comment>
    <comment ref="BQ4" authorId="0" shapeId="0" xr:uid="{00000000-0006-0000-1600-00003C000000}">
      <text>
        <r>
          <rPr>
            <b/>
            <sz val="9"/>
            <color indexed="81"/>
            <rFont val="Tahoma"/>
            <family val="2"/>
          </rPr>
          <t>Zona de ubicación del Recurso Ecosistémico.</t>
        </r>
      </text>
    </comment>
    <comment ref="DK4" authorId="0" shapeId="0" xr:uid="{00000000-0006-0000-1600-00003D000000}">
      <text>
        <r>
          <rPr>
            <b/>
            <sz val="12"/>
            <color indexed="81"/>
            <rFont val="Tahoma"/>
            <family val="2"/>
          </rPr>
          <t>Zona de ubicación de la Institución u Organización.</t>
        </r>
      </text>
    </comment>
    <comment ref="DL4" authorId="0" shapeId="0" xr:uid="{00000000-0006-0000-1600-00003E000000}">
      <text>
        <r>
          <rPr>
            <b/>
            <sz val="12"/>
            <color indexed="81"/>
            <rFont val="Tahoma"/>
            <family val="2"/>
          </rPr>
          <t>Zona de ubicación de la Institución u Organización.</t>
        </r>
      </text>
    </comment>
    <comment ref="DQ4" authorId="0" shapeId="0" xr:uid="{00000000-0006-0000-1600-00003F000000}">
      <text>
        <r>
          <rPr>
            <b/>
            <sz val="9"/>
            <color indexed="81"/>
            <rFont val="Tahoma"/>
            <family val="2"/>
          </rPr>
          <t>Zona de ubicación del Recurso Ecosistémico.</t>
        </r>
      </text>
    </comment>
    <comment ref="FF4" authorId="0" shapeId="0" xr:uid="{00000000-0006-0000-1600-000040000000}">
      <text>
        <r>
          <rPr>
            <b/>
            <sz val="12"/>
            <color indexed="81"/>
            <rFont val="Tahoma"/>
            <family val="2"/>
          </rPr>
          <t>Zona de ubicación de la Institución u Organización.</t>
        </r>
      </text>
    </comment>
    <comment ref="FG4" authorId="0" shapeId="0" xr:uid="{00000000-0006-0000-1600-000041000000}">
      <text>
        <r>
          <rPr>
            <b/>
            <sz val="12"/>
            <color indexed="81"/>
            <rFont val="Tahoma"/>
            <family val="2"/>
          </rPr>
          <t>Zona de ubicación de la Institución u Organización.</t>
        </r>
      </text>
    </comment>
    <comment ref="FL4" authorId="0" shapeId="0" xr:uid="{00000000-0006-0000-1600-000042000000}">
      <text>
        <r>
          <rPr>
            <b/>
            <sz val="9"/>
            <color indexed="81"/>
            <rFont val="Tahoma"/>
            <family val="2"/>
          </rPr>
          <t>Zona de ubicación del Recurso Ecosistémico.</t>
        </r>
      </text>
    </comment>
    <comment ref="Z5" authorId="1" shapeId="0" xr:uid="{00000000-0006-0000-1600-000043000000}">
      <text>
        <r>
          <rPr>
            <b/>
            <sz val="9"/>
            <color indexed="81"/>
            <rFont val="Tahoma"/>
            <family val="2"/>
          </rPr>
          <t>reportan 16 dignatarios quednado al 100%</t>
        </r>
        <r>
          <rPr>
            <sz val="9"/>
            <color indexed="81"/>
            <rFont val="Tahoma"/>
            <family val="2"/>
          </rPr>
          <t xml:space="preserve">
</t>
        </r>
      </text>
    </comment>
    <comment ref="Z6" authorId="1" shapeId="0" xr:uid="{00000000-0006-0000-1600-000044000000}">
      <text>
        <r>
          <rPr>
            <b/>
            <sz val="9"/>
            <color indexed="81"/>
            <rFont val="Tahoma"/>
            <family val="2"/>
          </rPr>
          <t>reportan 1 pero dada la descripcion de las actividades se valora en 100%</t>
        </r>
      </text>
    </comment>
    <comment ref="Z7" authorId="1" shapeId="0" xr:uid="{00000000-0006-0000-1600-000045000000}">
      <text>
        <r>
          <rPr>
            <b/>
            <sz val="9"/>
            <color indexed="81"/>
            <rFont val="Tahoma"/>
            <family val="2"/>
          </rPr>
          <t xml:space="preserve">reportn 1194 </t>
        </r>
      </text>
    </comment>
    <comment ref="Z8" authorId="1" shapeId="0" xr:uid="{00000000-0006-0000-1600-000046000000}">
      <text>
        <r>
          <rPr>
            <b/>
            <sz val="9"/>
            <color indexed="81"/>
            <rFont val="Tahoma"/>
            <family val="2"/>
          </rPr>
          <t>reportan 1 pero dada la descripcion de las actividades se valora en 100%</t>
        </r>
      </text>
    </comment>
    <comment ref="Z9" authorId="1" shapeId="0" xr:uid="{00000000-0006-0000-1600-000047000000}">
      <text>
        <r>
          <rPr>
            <b/>
            <sz val="9"/>
            <color indexed="81"/>
            <rFont val="Tahoma"/>
            <family val="2"/>
          </rPr>
          <t>la meta era 1000 y se beneficiaron 699</t>
        </r>
      </text>
    </comment>
    <comment ref="Z10" authorId="1" shapeId="0" xr:uid="{00000000-0006-0000-1600-000048000000}">
      <text>
        <r>
          <rPr>
            <b/>
            <sz val="9"/>
            <color indexed="81"/>
            <rFont val="Tahoma"/>
            <family val="2"/>
          </rPr>
          <t>reportan 1 pero dada la descripcion de las actividades se valora en 100%</t>
        </r>
      </text>
    </comment>
    <comment ref="Z11" authorId="1" shapeId="0" xr:uid="{00000000-0006-0000-1600-000049000000}">
      <text>
        <r>
          <rPr>
            <b/>
            <sz val="9"/>
            <color indexed="81"/>
            <rFont val="Tahoma"/>
            <family val="2"/>
          </rPr>
          <t>la meta era 1600 y se beneficiaron 3384</t>
        </r>
      </text>
    </comment>
    <comment ref="BS11" authorId="2" shapeId="0" xr:uid="{00000000-0006-0000-1600-00004A000000}">
      <text>
        <r>
          <rPr>
            <b/>
            <sz val="9"/>
            <color indexed="81"/>
            <rFont val="Tahoma"/>
            <family val="2"/>
          </rPr>
          <t>OMAR NARANJO:</t>
        </r>
        <r>
          <rPr>
            <sz val="9"/>
            <color indexed="81"/>
            <rFont val="Tahoma"/>
            <family val="2"/>
          </rPr>
          <t xml:space="preserve">
SE REPORTA 1220 MUJERES ATENDIDAS POR LO DESCRITO EN LAS ACTIVIDADES DESARROLLADAS, E INDICAN UN TOTAL DE 1375 PERSONAS ATENDIDAS</t>
        </r>
      </text>
    </comment>
    <comment ref="Z12" authorId="1" shapeId="0" xr:uid="{00000000-0006-0000-1600-00004B000000}">
      <text>
        <r>
          <rPr>
            <b/>
            <sz val="9"/>
            <color indexed="81"/>
            <rFont val="Tahoma"/>
            <family val="2"/>
          </rPr>
          <t>reportan 1 pero dada la descripcion de las actividades se valora en 100%</t>
        </r>
      </text>
    </comment>
    <comment ref="Z14" authorId="1" shapeId="0" xr:uid="{00000000-0006-0000-1600-00004C000000}">
      <text>
        <r>
          <rPr>
            <b/>
            <sz val="9"/>
            <color indexed="81"/>
            <rFont val="Tahoma"/>
            <family val="2"/>
          </rPr>
          <t>reportan 1 pero dada la descripcion de las actividades se valora en 100%</t>
        </r>
      </text>
    </comment>
    <comment ref="Z16" authorId="1" shapeId="0" xr:uid="{00000000-0006-0000-1600-00004D000000}">
      <text>
        <r>
          <rPr>
            <b/>
            <sz val="9"/>
            <color indexed="81"/>
            <rFont val="Tahoma"/>
            <family val="2"/>
          </rPr>
          <t>se recomienda reportar la gestión admisnitrativa para realizar la capacitación durante el 2019 cambiando de 0 al 40%</t>
        </r>
      </text>
    </comment>
    <comment ref="Z17" authorId="1" shapeId="0" xr:uid="{00000000-0006-0000-1600-00004E000000}">
      <text>
        <r>
          <rPr>
            <b/>
            <sz val="9"/>
            <color indexed="81"/>
            <rFont val="Tahoma"/>
            <family val="2"/>
          </rPr>
          <t>No reportan  pero dada la descripcion de las actividades se valora en 100%</t>
        </r>
      </text>
    </comment>
    <comment ref="Z18" authorId="1" shapeId="0" xr:uid="{00000000-0006-0000-1600-00004F000000}">
      <text>
        <r>
          <rPr>
            <b/>
            <sz val="9"/>
            <color indexed="81"/>
            <rFont val="Tahoma"/>
            <family val="2"/>
          </rPr>
          <t>No reportan  pero dada la descripcion de las actividades se valora en 100%</t>
        </r>
      </text>
    </comment>
    <comment ref="Z19" authorId="1" shapeId="0" xr:uid="{00000000-0006-0000-1600-000050000000}">
      <text>
        <r>
          <rPr>
            <b/>
            <sz val="9"/>
            <color indexed="81"/>
            <rFont val="Tahoma"/>
            <family val="2"/>
          </rPr>
          <t>No reportan  pero dada la descripcion de las actividades se valora en 100%</t>
        </r>
      </text>
    </comment>
    <comment ref="Z20" authorId="1" shapeId="0" xr:uid="{00000000-0006-0000-1600-000051000000}">
      <text>
        <r>
          <rPr>
            <b/>
            <sz val="9"/>
            <color indexed="81"/>
            <rFont val="Tahoma"/>
            <family val="2"/>
          </rPr>
          <t>No reportan  pero dada la descripcion de las actividades se valora en 100%</t>
        </r>
      </text>
    </comment>
    <comment ref="Z21" authorId="1" shapeId="0" xr:uid="{00000000-0006-0000-1600-000052000000}">
      <text>
        <r>
          <rPr>
            <b/>
            <sz val="9"/>
            <color indexed="81"/>
            <rFont val="Tahoma"/>
            <family val="2"/>
          </rPr>
          <t>No reportan  pero dada la descripcion de las actividades se valora en 100%</t>
        </r>
      </text>
    </comment>
    <comment ref="Z23" authorId="1" shapeId="0" xr:uid="{00000000-0006-0000-1600-000053000000}">
      <text>
        <r>
          <rPr>
            <b/>
            <sz val="9"/>
            <color indexed="81"/>
            <rFont val="Tahoma"/>
            <family val="2"/>
          </rPr>
          <t>reportan 203 proyectos parobados</t>
        </r>
      </text>
    </comment>
    <comment ref="Z24" authorId="1" shapeId="0" xr:uid="{00000000-0006-0000-1600-000054000000}">
      <text>
        <r>
          <rPr>
            <b/>
            <sz val="9"/>
            <color indexed="81"/>
            <rFont val="Tahoma"/>
            <family val="2"/>
          </rPr>
          <t>se cambia de 0.49% a 49%</t>
        </r>
      </text>
    </comment>
    <comment ref="Z25" authorId="3" shapeId="0" xr:uid="{00000000-0006-0000-1600-000055000000}">
      <text>
        <r>
          <rPr>
            <sz val="12"/>
            <color indexed="81"/>
            <rFont val="Arial"/>
            <family val="2"/>
          </rPr>
          <t>Se establecio la metodologia de formulación de los Planes de Desarrollo para Comunas y Corregimientos reportando 30% de ejecucion</t>
        </r>
      </text>
    </comment>
    <comment ref="AD25" authorId="3" shapeId="0" xr:uid="{00000000-0006-0000-1600-000056000000}">
      <text>
        <r>
          <rPr>
            <b/>
            <sz val="9"/>
            <color indexed="81"/>
            <rFont val="Tahoma"/>
            <family val="2"/>
          </rPr>
          <t>Valor contrato de la Dra. Claudia</t>
        </r>
      </text>
    </comment>
    <comment ref="Z26" authorId="1" shapeId="0" xr:uid="{00000000-0006-0000-1600-000057000000}">
      <text>
        <r>
          <rPr>
            <b/>
            <sz val="9"/>
            <color indexed="81"/>
            <rFont val="Tahoma"/>
            <family val="2"/>
          </rPr>
          <t>No reportan  pero dada la descripcion de las actividades se valora en 100%</t>
        </r>
      </text>
    </comment>
    <comment ref="Z30" authorId="1" shapeId="0" xr:uid="{00000000-0006-0000-1600-000058000000}">
      <text>
        <r>
          <rPr>
            <b/>
            <sz val="9"/>
            <color indexed="81"/>
            <rFont val="Tahoma"/>
            <family val="2"/>
          </rPr>
          <t>No está programada para 2018 se tiene estiulada para 2019</t>
        </r>
      </text>
    </comment>
    <comment ref="Z31" authorId="1" shapeId="0" xr:uid="{00000000-0006-0000-1600-000059000000}">
      <text>
        <r>
          <rPr>
            <b/>
            <sz val="9"/>
            <color indexed="81"/>
            <rFont val="Tahoma"/>
            <family val="2"/>
          </rPr>
          <t>reportan 14 quedando al 100%</t>
        </r>
      </text>
    </comment>
    <comment ref="AH31" authorId="1" shapeId="0" xr:uid="{00000000-0006-0000-1600-00005A000000}">
      <text>
        <r>
          <rPr>
            <b/>
            <sz val="9"/>
            <color indexed="81"/>
            <rFont val="Tahoma"/>
            <family val="2"/>
          </rPr>
          <t>Caimalito 214 niñ@s.</t>
        </r>
      </text>
    </comment>
    <comment ref="BM31" authorId="1" shapeId="0" xr:uid="{00000000-0006-0000-1600-00005B000000}">
      <text>
        <r>
          <rPr>
            <b/>
            <sz val="9"/>
            <color indexed="81"/>
            <rFont val="Tahoma"/>
            <family val="2"/>
          </rPr>
          <t>214 bicicletas para niñ@s</t>
        </r>
      </text>
    </comment>
    <comment ref="Z32" authorId="3" shapeId="0" xr:uid="{00000000-0006-0000-1600-00005C000000}">
      <text>
        <r>
          <rPr>
            <b/>
            <sz val="9"/>
            <color indexed="81"/>
            <rFont val="Tahoma"/>
            <family val="2"/>
          </rPr>
          <t>Sometidos a votación en el proceso de Presupuesto Participativo cumpliendo al 100%</t>
        </r>
      </text>
    </comment>
    <comment ref="Z33" authorId="1" shapeId="0" xr:uid="{00000000-0006-0000-1600-00005D000000}">
      <text>
        <r>
          <rPr>
            <b/>
            <sz val="9"/>
            <color indexed="81"/>
            <rFont val="Tahoma"/>
            <family val="2"/>
          </rPr>
          <t>No reportan nada pero dada las accinesse deja al 80%</t>
        </r>
      </text>
    </comment>
    <comment ref="BS34" authorId="2" shapeId="0" xr:uid="{00000000-0006-0000-1600-00005E000000}">
      <text>
        <r>
          <rPr>
            <b/>
            <sz val="9"/>
            <color indexed="81"/>
            <rFont val="Tahoma"/>
            <family val="2"/>
          </rPr>
          <t>SEGÚN LO INDICADO EN LAS ACTIVIDADES DESARROLLADAS ES QUE NON HAN TENIDO AVANCE EN ESTA ACCIÓN, POR LO QUE SE DEDUCE QUE ESTÁ EN 0%</t>
        </r>
      </text>
    </comment>
    <comment ref="Z35" authorId="1" shapeId="0" xr:uid="{00000000-0006-0000-1600-00005F000000}">
      <text>
        <r>
          <rPr>
            <b/>
            <sz val="9"/>
            <color indexed="81"/>
            <rFont val="Tahoma"/>
            <family val="2"/>
          </rPr>
          <t>No reportan  pero dada la descripcion de las actividades se valora en 100%</t>
        </r>
      </text>
    </comment>
    <comment ref="Z36" authorId="1" shapeId="0" xr:uid="{00000000-0006-0000-1600-000060000000}">
      <text>
        <r>
          <rPr>
            <b/>
            <sz val="9"/>
            <color indexed="81"/>
            <rFont val="Tahoma"/>
            <family val="2"/>
          </rPr>
          <t>No reportan  pero dada la descripcion de las actividades se valora en 100%</t>
        </r>
      </text>
    </comment>
    <comment ref="BS37" authorId="2" shapeId="0" xr:uid="{00000000-0006-0000-1600-000061000000}">
      <text>
        <r>
          <rPr>
            <b/>
            <sz val="9"/>
            <color indexed="81"/>
            <rFont val="Tahoma"/>
            <family val="2"/>
          </rPr>
          <t>INDICAN HABER ATENTIDO A 62 PERSONAS, SE TOMA ESE NÚMERO COMO REPORTE DE EJECUCIÓN</t>
        </r>
      </text>
    </comment>
    <comment ref="Z38" authorId="1" shapeId="0" xr:uid="{00000000-0006-0000-1600-000062000000}">
      <text>
        <r>
          <rPr>
            <b/>
            <sz val="9"/>
            <color indexed="81"/>
            <rFont val="Tahoma"/>
            <family val="2"/>
          </rPr>
          <t>reportan 51 quedando al 100%</t>
        </r>
      </text>
    </comment>
    <comment ref="AD38" authorId="1" shapeId="0" xr:uid="{00000000-0006-0000-1600-000063000000}">
      <text>
        <r>
          <rPr>
            <b/>
            <sz val="9"/>
            <color indexed="81"/>
            <rFont val="Tahoma"/>
            <family val="2"/>
          </rPr>
          <t>Planeain reporta 9.000.000</t>
        </r>
      </text>
    </comment>
    <comment ref="AE38" authorId="1" shapeId="0" xr:uid="{00000000-0006-0000-1600-000064000000}">
      <text>
        <r>
          <rPr>
            <b/>
            <sz val="9"/>
            <color indexed="81"/>
            <rFont val="Tahoma"/>
            <family val="2"/>
          </rPr>
          <t>Planeain reporta 9.000.000</t>
        </r>
      </text>
    </comment>
    <comment ref="AH38" authorId="1" shapeId="0" xr:uid="{00000000-0006-0000-1600-000065000000}">
      <text>
        <r>
          <rPr>
            <b/>
            <sz val="9"/>
            <color indexed="81"/>
            <rFont val="Tahoma"/>
            <family val="2"/>
          </rPr>
          <t>planeacion reporta:
Votaron 19921 en 21 territorios (Comunas y Corregimientos), por los 18 proyectos elegidos se dieron 10912 votos.
Se reportan 465 por planeacion</t>
        </r>
      </text>
    </comment>
    <comment ref="BS39" authorId="2" shapeId="0" xr:uid="{00000000-0006-0000-1600-000066000000}">
      <text>
        <r>
          <rPr>
            <b/>
            <sz val="9"/>
            <color indexed="81"/>
            <rFont val="Tahoma"/>
            <family val="2"/>
          </rPr>
          <t>OMAR NARANJO:</t>
        </r>
        <r>
          <rPr>
            <sz val="9"/>
            <color indexed="81"/>
            <rFont val="Tahoma"/>
            <family val="2"/>
          </rPr>
          <t xml:space="preserve">
En actividades desarrolladas indican que 24 líderes comunales  hicieron parte de la línea de formación  en Emprendimiento  y Desarrollo mediante el 
CEDES</t>
        </r>
      </text>
    </comment>
    <comment ref="BS40" authorId="2" shapeId="0" xr:uid="{00000000-0006-0000-1600-000067000000}">
      <text>
        <r>
          <rPr>
            <b/>
            <sz val="9"/>
            <color indexed="81"/>
            <rFont val="Tahoma"/>
            <family val="2"/>
          </rPr>
          <t>OMAR NARANJO:</t>
        </r>
        <r>
          <rPr>
            <sz val="9"/>
            <color indexed="81"/>
            <rFont val="Tahoma"/>
            <family val="2"/>
          </rPr>
          <t xml:space="preserve">
Indican que se realizaron 38 asesorías a iniciativas empresariales, se toma como reporte de ejecición
</t>
        </r>
      </text>
    </comment>
    <comment ref="BS41" authorId="2" shapeId="0" xr:uid="{00000000-0006-0000-1600-000068000000}">
      <text>
        <r>
          <rPr>
            <b/>
            <sz val="9"/>
            <color indexed="81"/>
            <rFont val="Tahoma"/>
            <family val="2"/>
          </rPr>
          <t>OMAR NARANJO:</t>
        </r>
        <r>
          <rPr>
            <sz val="9"/>
            <color indexed="81"/>
            <rFont val="Tahoma"/>
            <family val="2"/>
          </rPr>
          <t xml:space="preserve">
Indican que fueron acompañadas 140 personas en el proceso de caractreización y vinculación a programas de la secretaría, se toma como reporte de ejecución</t>
        </r>
      </text>
    </comment>
    <comment ref="Z42" authorId="1" shapeId="0" xr:uid="{00000000-0006-0000-1600-000069000000}">
      <text>
        <r>
          <rPr>
            <b/>
            <sz val="9"/>
            <color indexed="81"/>
            <rFont val="Tahoma"/>
            <family val="2"/>
          </rPr>
          <t>Reportan N/A pero las actividades indican implementación de 4 jardines y 118 huertas caseras
se genera entonces ejecución del 100%</t>
        </r>
      </text>
    </comment>
    <comment ref="BS42" authorId="2" shapeId="0" xr:uid="{00000000-0006-0000-1600-00006A000000}">
      <text>
        <r>
          <rPr>
            <b/>
            <sz val="9"/>
            <color indexed="81"/>
            <rFont val="Tahoma"/>
            <family val="2"/>
          </rPr>
          <t>OMAR NARANJO:</t>
        </r>
        <r>
          <rPr>
            <sz val="9"/>
            <color indexed="81"/>
            <rFont val="Tahoma"/>
            <family val="2"/>
          </rPr>
          <t xml:space="preserve">
Indican  asistencia técnica en la implementación de 118 huertas caseras a población rural, se toma como reporte de ejecución</t>
        </r>
      </text>
    </comment>
    <comment ref="Z43" authorId="1" shapeId="0" xr:uid="{00000000-0006-0000-1600-00006B000000}">
      <text>
        <r>
          <rPr>
            <b/>
            <sz val="9"/>
            <color indexed="81"/>
            <rFont val="Tahoma"/>
            <family val="2"/>
          </rPr>
          <t>Se reporta N/A pero en la decripción de actividades da para ejecución del 60%</t>
        </r>
      </text>
    </comment>
    <comment ref="BS43" authorId="2" shapeId="0" xr:uid="{00000000-0006-0000-1600-00006C000000}">
      <text>
        <r>
          <rPr>
            <b/>
            <sz val="9"/>
            <color indexed="81"/>
            <rFont val="Tahoma"/>
            <family val="2"/>
          </rPr>
          <t xml:space="preserve">Reportan 100% pero no indican el número de capacitaciones realizadas. Sin embargo, se deja el 100% de ejecución en el avance de la acción
</t>
        </r>
        <r>
          <rPr>
            <sz val="9"/>
            <color indexed="81"/>
            <rFont val="Tahoma"/>
            <family val="2"/>
          </rPr>
          <t xml:space="preserve">
</t>
        </r>
      </text>
    </comment>
    <comment ref="BS44" authorId="2" shapeId="0" xr:uid="{00000000-0006-0000-1600-00006D000000}">
      <text>
        <r>
          <rPr>
            <b/>
            <sz val="9"/>
            <color indexed="81"/>
            <rFont val="Tahoma"/>
            <family val="2"/>
          </rPr>
          <t>OMAR NARANJO:</t>
        </r>
        <r>
          <rPr>
            <sz val="9"/>
            <color indexed="81"/>
            <rFont val="Tahoma"/>
            <family val="2"/>
          </rPr>
          <t xml:space="preserve">
En actividades desarrolladas indican que 24 líderes comunales  hicieron parte de la línea de formación  en Emprendimiento  y Desarrollo mediante el 
CEDES</t>
        </r>
      </text>
    </comment>
    <comment ref="Z46" authorId="1" shapeId="0" xr:uid="{00000000-0006-0000-1600-00006E000000}">
      <text>
        <r>
          <rPr>
            <b/>
            <sz val="9"/>
            <color indexed="81"/>
            <rFont val="Tahoma"/>
            <family val="2"/>
          </rPr>
          <t>No se ralozaron investigaciones</t>
        </r>
      </text>
    </comment>
    <comment ref="Z47" authorId="1" shapeId="0" xr:uid="{00000000-0006-0000-1600-00006F000000}">
      <text>
        <r>
          <rPr>
            <b/>
            <sz val="9"/>
            <color indexed="81"/>
            <rFont val="Tahoma"/>
            <family val="2"/>
          </rPr>
          <t>reportan 21 quedando al 100%</t>
        </r>
      </text>
    </comment>
    <comment ref="Z48" authorId="1" shapeId="0" xr:uid="{00000000-0006-0000-1600-000070000000}">
      <text>
        <r>
          <rPr>
            <b/>
            <sz val="9"/>
            <color indexed="81"/>
            <rFont val="Tahoma"/>
            <family val="2"/>
          </rPr>
          <t>Reportan 19 convenio pero dada la descripcion de las actividades se valora en 100%</t>
        </r>
      </text>
    </comment>
    <comment ref="Z49" authorId="1" shapeId="0" xr:uid="{00000000-0006-0000-1600-000071000000}">
      <text>
        <r>
          <rPr>
            <b/>
            <sz val="9"/>
            <color indexed="81"/>
            <rFont val="Tahoma"/>
            <family val="2"/>
          </rPr>
          <t>reportan o incidentes  pero dada la descripcion de las actividades se valora en 100%</t>
        </r>
      </text>
    </comment>
    <comment ref="Z52" authorId="1" shapeId="0" xr:uid="{00000000-0006-0000-1600-000072000000}">
      <text>
        <r>
          <rPr>
            <b/>
            <sz val="9"/>
            <color indexed="81"/>
            <rFont val="Tahoma"/>
            <family val="2"/>
          </rPr>
          <t>reportan 645 quedando al 100%</t>
        </r>
      </text>
    </comment>
    <comment ref="Z53" authorId="1" shapeId="0" xr:uid="{00000000-0006-0000-1600-000073000000}">
      <text>
        <r>
          <rPr>
            <b/>
            <sz val="9"/>
            <color indexed="81"/>
            <rFont val="Tahoma"/>
            <family val="2"/>
          </rPr>
          <t>reportan 450 quedando al 100%</t>
        </r>
      </text>
    </comment>
    <comment ref="Z54" authorId="1" shapeId="0" xr:uid="{00000000-0006-0000-1600-000074000000}">
      <text>
        <r>
          <rPr>
            <b/>
            <sz val="9"/>
            <color indexed="81"/>
            <rFont val="Tahoma"/>
            <family val="2"/>
          </rPr>
          <t>reportan 2 quedando al 100%</t>
        </r>
      </text>
    </comment>
    <comment ref="Z55" authorId="1" shapeId="0" xr:uid="{00000000-0006-0000-1600-000075000000}">
      <text>
        <r>
          <rPr>
            <b/>
            <sz val="9"/>
            <color indexed="81"/>
            <rFont val="Tahoma"/>
            <family val="2"/>
          </rPr>
          <t>reportan 2 quedando al 100%</t>
        </r>
      </text>
    </comment>
    <comment ref="Z56" authorId="1" shapeId="0" xr:uid="{00000000-0006-0000-1600-000076000000}">
      <text>
        <r>
          <rPr>
            <b/>
            <sz val="9"/>
            <color indexed="81"/>
            <rFont val="Tahoma"/>
            <family val="2"/>
          </rPr>
          <t>reportan 250 quedando al 100%</t>
        </r>
      </text>
    </comment>
    <comment ref="Z57" authorId="1" shapeId="0" xr:uid="{00000000-0006-0000-1600-000077000000}">
      <text>
        <r>
          <rPr>
            <b/>
            <sz val="9"/>
            <color indexed="81"/>
            <rFont val="Tahoma"/>
            <family val="2"/>
          </rPr>
          <t>reportan 50 quedando al 100%</t>
        </r>
      </text>
    </comment>
    <comment ref="Z58" authorId="1" shapeId="0" xr:uid="{00000000-0006-0000-1600-000078000000}">
      <text>
        <r>
          <rPr>
            <b/>
            <sz val="9"/>
            <color indexed="81"/>
            <rFont val="Tahoma"/>
            <family val="2"/>
          </rPr>
          <t>reportan 5 quedando al 100%</t>
        </r>
      </text>
    </comment>
    <comment ref="Z60" authorId="1" shapeId="0" xr:uid="{00000000-0006-0000-1600-000079000000}">
      <text>
        <r>
          <rPr>
            <b/>
            <sz val="9"/>
            <color indexed="81"/>
            <rFont val="Tahoma"/>
            <family val="2"/>
          </rPr>
          <t>no reportan nada pero dadas las actividades se asigna 60%</t>
        </r>
      </text>
    </comment>
    <comment ref="BS61" authorId="2" shapeId="0" xr:uid="{00000000-0006-0000-1600-00007A000000}">
      <text>
        <r>
          <rPr>
            <b/>
            <sz val="9"/>
            <color indexed="81"/>
            <rFont val="Tahoma"/>
            <family val="2"/>
          </rPr>
          <t xml:space="preserve">SE TOMAN 23 MEJORAMIENTOS URBANOS COMO REPORTE DE EJECUCIÓN CON BASE EN LO DESCRITO EN LAS ACTIVIDADES DESARROLADAS
</t>
        </r>
      </text>
    </comment>
    <comment ref="BS62" authorId="2" shapeId="0" xr:uid="{00000000-0006-0000-1600-00007B000000}">
      <text>
        <r>
          <rPr>
            <b/>
            <sz val="9"/>
            <color indexed="81"/>
            <rFont val="Tahoma"/>
            <family val="2"/>
          </rPr>
          <t>SE TOMAN 90 MEJORAMIENTOS RURALES COMO REPORTE DE EJECUCIÓN CON BASE EN LO DESCRITO EN LAS ACTIVIDADES DESARROLADAS</t>
        </r>
      </text>
    </comment>
    <comment ref="Z65" authorId="1" shapeId="0" xr:uid="{00000000-0006-0000-1600-00007C000000}">
      <text>
        <r>
          <rPr>
            <b/>
            <sz val="9"/>
            <color indexed="81"/>
            <rFont val="Tahoma"/>
            <family val="2"/>
          </rPr>
          <t>Reportan 9 convenio pero dada la descripcion de las actividades se valora en 100%</t>
        </r>
      </text>
    </comment>
    <comment ref="Z66" authorId="1" shapeId="0" xr:uid="{00000000-0006-0000-1600-00007D000000}">
      <text>
        <r>
          <rPr>
            <b/>
            <sz val="9"/>
            <color indexed="81"/>
            <rFont val="Tahoma"/>
            <family val="2"/>
          </rPr>
          <t>Reportan 50 convenio pero dada la descripcion de las actividades se valora en 100%</t>
        </r>
      </text>
    </comment>
    <comment ref="Z67" authorId="1" shapeId="0" xr:uid="{00000000-0006-0000-1600-00007E000000}">
      <text>
        <r>
          <rPr>
            <b/>
            <sz val="9"/>
            <color indexed="81"/>
            <rFont val="Tahoma"/>
            <family val="2"/>
          </rPr>
          <t xml:space="preserve">reporta: 3  Boletines de prensa </t>
        </r>
      </text>
    </comment>
    <comment ref="AD69" authorId="3" shapeId="0" xr:uid="{00000000-0006-0000-1600-00007F000000}">
      <text>
        <r>
          <rPr>
            <b/>
            <sz val="9"/>
            <color indexed="81"/>
            <rFont val="Tahoma"/>
            <family val="2"/>
          </rPr>
          <t xml:space="preserve">LO QUE TE GANASTE EN 2018 ASIGNADO A DIVIPOLA
</t>
        </r>
      </text>
    </comment>
    <comment ref="AR69" authorId="3" shapeId="0" xr:uid="{00000000-0006-0000-1600-000080000000}">
      <text>
        <r>
          <rPr>
            <b/>
            <sz val="9"/>
            <color indexed="81"/>
            <rFont val="Tahoma"/>
            <family val="2"/>
          </rPr>
          <t xml:space="preserve">HOOVER EN ESTAS CELDAS LA RESPUESTA ES NUMERICA
</t>
        </r>
      </text>
    </comment>
    <comment ref="Z70" authorId="1" shapeId="0" xr:uid="{00000000-0006-0000-1600-000081000000}">
      <text>
        <r>
          <rPr>
            <b/>
            <sz val="9"/>
            <color indexed="81"/>
            <rFont val="Tahoma"/>
            <family val="2"/>
          </rPr>
          <t>se avanzó en la meta pero hubo dificultades jurídicasse valora en 40%</t>
        </r>
        <r>
          <rPr>
            <sz val="9"/>
            <color indexed="81"/>
            <rFont val="Tahoma"/>
            <family val="2"/>
          </rPr>
          <t xml:space="preserve">
</t>
        </r>
      </text>
    </comment>
    <comment ref="Z71" authorId="1" shapeId="0" xr:uid="{00000000-0006-0000-1600-000082000000}">
      <text>
        <r>
          <rPr>
            <b/>
            <sz val="9"/>
            <color indexed="81"/>
            <rFont val="Tahoma"/>
            <family val="2"/>
          </rPr>
          <t>Reportan 1 evento equivalente al 100%</t>
        </r>
      </text>
    </comment>
    <comment ref="Z75" authorId="1" shapeId="0" xr:uid="{00000000-0006-0000-1600-000083000000}">
      <text>
        <r>
          <rPr>
            <b/>
            <sz val="9"/>
            <color indexed="81"/>
            <rFont val="Tahoma"/>
            <family val="2"/>
          </rPr>
          <t>reportan $9.100.000
sin embargo, dadas las personas reportadas beneficiadas, supera el 100%</t>
        </r>
      </text>
    </comment>
    <comment ref="BK75" authorId="1" shapeId="0" xr:uid="{00000000-0006-0000-1600-000084000000}">
      <text>
        <r>
          <rPr>
            <b/>
            <sz val="9"/>
            <color indexed="81"/>
            <rFont val="Tahoma"/>
            <family val="2"/>
          </rPr>
          <t xml:space="preserve">PUERTO CALDAS
LOS ALMENDROS
ZEA
LA PALMILLA
VILLA DEL PRADO
HOGARES CLARET
2500 LOTES
MIRASOL
MONSERRATE
VERACRUZ
CUBA
LA ISLA
EL ACUARIO
MADRES COMUNITARIAS
MONTELIBANO
LA HABANA
PUERTA DE ALCALA
LAS PALMAS
MALAGA
PLAN CAMILO
CONSOTA
LAS MERCEDES
LA VICTORIA
VILLA SANTANA
KENEDY
ALEJANDRIA
VILLA LIGIA
VENECIA
PRIMERO DE FEBRERO
ARABIA
EL JARDIN
SANTAFE
LAS BRISAS
TOKIO
RISARALDA
EL TRIUNFO
SAN NICOLAS
GUACARI
SAN CAMILO
BERLIN
MATECAÑA
GILBERTO PELAEZ
MONTELARGO
MUNDO NUEVO
LABAMBA
JAIME SALAZAR ROBLEDO
LENINGRADO
GUAYACANES
TORRES DEL CAMPO
VILLA DE LA PAZ
JARDINES DEL NOGAL
SANTA TERESITA
VILLA AMPARO
SAN GREGORIO
SAN FRANCISCO
ESTACION VILLEGAS
LA BELLA
</t>
        </r>
        <r>
          <rPr>
            <sz val="9"/>
            <color indexed="81"/>
            <rFont val="Tahoma"/>
            <family val="2"/>
          </rPr>
          <t xml:space="preserve">
</t>
        </r>
      </text>
    </comment>
    <comment ref="BL75" authorId="1" shapeId="0" xr:uid="{00000000-0006-0000-1600-000085000000}">
      <text>
        <r>
          <rPr>
            <b/>
            <sz val="9"/>
            <color indexed="81"/>
            <rFont val="Tahoma"/>
            <family val="2"/>
          </rPr>
          <t xml:space="preserve">PTO CALDAS
PTO CALDAS
OTUN
ESTRELLA LA PALMILLA
VILLA SANTANA
VILLA SANTANA
OTUN
COMUNA DEL CAFÉ
CONSOTA
CENTRO
ORIENTE
ORIENTE
CENTRO
ARABIA
VILLA SANTANA
OTUN
OTUN
OTUN
MORELIA
TRIBUNAS
ORIENTE
LA BELLA
</t>
        </r>
        <r>
          <rPr>
            <sz val="9"/>
            <color indexed="81"/>
            <rFont val="Tahoma"/>
            <family val="2"/>
          </rPr>
          <t xml:space="preserve">
</t>
        </r>
      </text>
    </comment>
    <comment ref="Z77" authorId="1" shapeId="0" xr:uid="{00000000-0006-0000-1600-000086000000}">
      <text>
        <r>
          <rPr>
            <b/>
            <sz val="9"/>
            <color indexed="81"/>
            <rFont val="Tahoma"/>
            <family val="2"/>
          </rPr>
          <t>No reportan nada pero dada las accinesse deja al 100%</t>
        </r>
      </text>
    </comment>
    <comment ref="Z78" authorId="1" shapeId="0" xr:uid="{00000000-0006-0000-1600-000087000000}">
      <text>
        <r>
          <rPr>
            <b/>
            <sz val="9"/>
            <color indexed="81"/>
            <rFont val="Tahoma"/>
            <family val="2"/>
          </rPr>
          <t>reportan 8 jornadas</t>
        </r>
        <r>
          <rPr>
            <sz val="9"/>
            <color indexed="81"/>
            <rFont val="Tahoma"/>
            <family val="2"/>
          </rPr>
          <t xml:space="preserve">
</t>
        </r>
      </text>
    </comment>
    <comment ref="Z81" authorId="1" shapeId="0" xr:uid="{00000000-0006-0000-1600-000088000000}">
      <text>
        <r>
          <rPr>
            <b/>
            <sz val="9"/>
            <color indexed="81"/>
            <rFont val="Tahoma"/>
            <family val="2"/>
          </rPr>
          <t>reportan: IWOKA
EAFIT(RED DE LIDERAZGO)
SOCIEDAD EN MOVIMIENTO( SOCIEDAD EN MOVIMIENTO)
PEIMUN
se deja al 100%</t>
        </r>
      </text>
    </comment>
    <comment ref="BS82" authorId="2" shapeId="0" xr:uid="{00000000-0006-0000-1600-000089000000}">
      <text>
        <r>
          <rPr>
            <sz val="9"/>
            <color indexed="81"/>
            <rFont val="Tahoma"/>
            <family val="2"/>
          </rPr>
          <t>INDICAN LA ATENCIÓN A 20000 PERSONAS, PERO NO INDICA EL NÚMERO DE ACTIVIDADES ,REALIZADAS, SIN EMBARGO SE DEJA COMO EL 100% DE CUMPLIMIENTO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OMAR NARANJO</author>
  </authors>
  <commentList>
    <comment ref="AE3" authorId="0" shapeId="0" xr:uid="{00000000-0006-0000-17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AF3" authorId="0" shapeId="0" xr:uid="{00000000-0006-0000-1700-000002000000}">
      <text>
        <r>
          <rPr>
            <b/>
            <sz val="12"/>
            <color indexed="81"/>
            <rFont val="Tahoma"/>
            <family val="2"/>
          </rPr>
          <t xml:space="preserve">Comente como desarrollo la acción de la Política Pública por medio de actividades, describiendo el Lugar, Temas desarrollados, etc. </t>
        </r>
      </text>
    </comment>
    <comment ref="AG3" authorId="0" shapeId="0" xr:uid="{00000000-0006-0000-1700-000003000000}">
      <text>
        <r>
          <rPr>
            <b/>
            <sz val="12"/>
            <color indexed="81"/>
            <rFont val="Tahoma"/>
            <family val="2"/>
          </rPr>
          <t>Describa que evidencias reposan en el desarrollo de la acción, contratos, actas, fotos, registros de asistencia, informes, documentos, videos, etc</t>
        </r>
      </text>
    </comment>
    <comment ref="AH3" authorId="0" shapeId="0" xr:uid="{00000000-0006-0000-1700-000004000000}">
      <text>
        <r>
          <rPr>
            <b/>
            <sz val="12"/>
            <color indexed="81"/>
            <rFont val="Tahoma"/>
            <family val="2"/>
          </rPr>
          <t xml:space="preserve">Comente que problemas, necesidades, aciertos y/o recomendacion se cuentan en el desarrollo de la acción. </t>
        </r>
      </text>
    </comment>
    <comment ref="BR3" authorId="0" shapeId="0" xr:uid="{00000000-0006-0000-1700-000005000000}">
      <text>
        <r>
          <rPr>
            <b/>
            <sz val="9"/>
            <color indexed="81"/>
            <rFont val="Tahoma"/>
            <family val="2"/>
          </rPr>
          <t>La Sección de Matriz de Focalización de Recursos Ecosistémicos se diligencia cuando la acción va dirigida a un Recurso Natural, Fauna y Flora.</t>
        </r>
      </text>
    </comment>
    <comment ref="BW3" authorId="0" shapeId="0" xr:uid="{00000000-0006-0000-1700-000006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BZ3" authorId="0" shapeId="0" xr:uid="{00000000-0006-0000-1700-000007000000}">
      <text>
        <r>
          <rPr>
            <b/>
            <sz val="12"/>
            <color indexed="81"/>
            <rFont val="Tahoma"/>
            <family val="2"/>
          </rPr>
          <t xml:space="preserve">Comente como desarrollo la acción de la Política Pública por medio de actividades, describiendo el Lugar, Temas desarrollados, etc. </t>
        </r>
      </text>
    </comment>
    <comment ref="CA3" authorId="0" shapeId="0" xr:uid="{00000000-0006-0000-1700-000008000000}">
      <text>
        <r>
          <rPr>
            <b/>
            <sz val="12"/>
            <color indexed="81"/>
            <rFont val="Tahoma"/>
            <family val="2"/>
          </rPr>
          <t>Describa que evidencias reposan en el desarrollo de la acción, contratos, actas, fotos, registros de asistencia, informes, documentos, videos, etc</t>
        </r>
      </text>
    </comment>
    <comment ref="CB3" authorId="0" shapeId="0" xr:uid="{00000000-0006-0000-1700-000009000000}">
      <text>
        <r>
          <rPr>
            <b/>
            <sz val="12"/>
            <color indexed="81"/>
            <rFont val="Tahoma"/>
            <family val="2"/>
          </rPr>
          <t xml:space="preserve">Comente que problemas, necesidades, aciertos y/o recomendacion se cuentan en el desarrollo de la acción. </t>
        </r>
      </text>
    </comment>
    <comment ref="DQ3" authorId="0" shapeId="0" xr:uid="{00000000-0006-0000-1700-00000A000000}">
      <text>
        <r>
          <rPr>
            <b/>
            <sz val="9"/>
            <color indexed="81"/>
            <rFont val="Tahoma"/>
            <family val="2"/>
          </rPr>
          <t>La Sección de Matriz de Focalización de Recursos Ecosistémicos se diligencia cuando la acción va dirigida a un Recurso Natural, Fauna y Flora.</t>
        </r>
      </text>
    </comment>
    <comment ref="DW3" authorId="0" shapeId="0" xr:uid="{00000000-0006-0000-1700-00000B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Z3" authorId="0" shapeId="0" xr:uid="{00000000-0006-0000-1700-00000C000000}">
      <text>
        <r>
          <rPr>
            <b/>
            <sz val="12"/>
            <color indexed="81"/>
            <rFont val="Tahoma"/>
            <family val="2"/>
          </rPr>
          <t xml:space="preserve">Comente como desarrollo la acción de la Política Pública por medio de actividades, describiendo el Lugar, Temas desarrollados, etc. </t>
        </r>
      </text>
    </comment>
    <comment ref="EA3" authorId="0" shapeId="0" xr:uid="{00000000-0006-0000-1700-00000D000000}">
      <text>
        <r>
          <rPr>
            <b/>
            <sz val="12"/>
            <color indexed="81"/>
            <rFont val="Tahoma"/>
            <family val="2"/>
          </rPr>
          <t>Describa que evidencias reposan en el desarrollo de la acción, contratos, actas, fotos, registros de asistencia, informes, documentos, videos, etc</t>
        </r>
      </text>
    </comment>
    <comment ref="EB3" authorId="0" shapeId="0" xr:uid="{00000000-0006-0000-1700-00000E000000}">
      <text>
        <r>
          <rPr>
            <b/>
            <sz val="12"/>
            <color indexed="81"/>
            <rFont val="Tahoma"/>
            <family val="2"/>
          </rPr>
          <t xml:space="preserve">Comente que problemas, necesidades, aciertos y/o recomendacion se cuentan en el desarrollo de la acción. </t>
        </r>
      </text>
    </comment>
    <comment ref="FL3" authorId="0" shapeId="0" xr:uid="{00000000-0006-0000-1700-00000F000000}">
      <text>
        <r>
          <rPr>
            <b/>
            <sz val="9"/>
            <color indexed="81"/>
            <rFont val="Tahoma"/>
            <family val="2"/>
          </rPr>
          <t>La Sección de Matriz de Focalización de Recursos Ecosistémicos se diligencia cuando la acción va dirigida a un Recurso Natural, Fauna y Flora.</t>
        </r>
      </text>
    </comment>
    <comment ref="AI4" authorId="0" shapeId="0" xr:uid="{00000000-0006-0000-1700-000010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AJ4" authorId="0" shapeId="0" xr:uid="{00000000-0006-0000-1700-000011000000}">
      <text>
        <r>
          <rPr>
            <b/>
            <sz val="12"/>
            <color indexed="81"/>
            <rFont val="Tahoma"/>
            <family val="2"/>
          </rPr>
          <t>Detalle la cantidad de recursos invertidos del fondo de recursos propios (presupuestos corrientes del Municipio de Pereira)</t>
        </r>
      </text>
    </comment>
    <comment ref="AK4" authorId="0" shapeId="0" xr:uid="{00000000-0006-0000-1700-000012000000}">
      <text>
        <r>
          <rPr>
            <b/>
            <sz val="12"/>
            <color indexed="81"/>
            <rFont val="Tahoma"/>
            <family val="2"/>
          </rPr>
          <t>Detalle la cantidad de recursos invertidos del fondo de recursos del Sistema General de Participaciones (Recursos Girados desde la Nación por el SGP)</t>
        </r>
      </text>
    </comment>
    <comment ref="AL4" authorId="0" shapeId="0" xr:uid="{00000000-0006-0000-1700-000013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AM4" authorId="0" shapeId="0" xr:uid="{00000000-0006-0000-1700-000014000000}">
      <text>
        <r>
          <rPr>
            <b/>
            <sz val="12"/>
            <color indexed="81"/>
            <rFont val="Tahoma"/>
            <family val="2"/>
          </rPr>
          <t>Detalle el número de personas atendidas en cada acción.</t>
        </r>
      </text>
    </comment>
    <comment ref="AN4" authorId="0" shapeId="0" xr:uid="{00000000-0006-0000-1700-000015000000}">
      <text>
        <r>
          <rPr>
            <b/>
            <sz val="12"/>
            <color indexed="81"/>
            <rFont val="Tahoma"/>
            <family val="2"/>
          </rPr>
          <t>Según el total de personas atendidas descrimine los valores según su genero.</t>
        </r>
      </text>
    </comment>
    <comment ref="AP4" authorId="0" shapeId="0" xr:uid="{00000000-0006-0000-1700-000016000000}">
      <text>
        <r>
          <rPr>
            <b/>
            <sz val="12"/>
            <color indexed="81"/>
            <rFont val="Tahoma"/>
            <family val="2"/>
          </rPr>
          <t>Según el total de personas atendidas descrimine los valores según su zona.</t>
        </r>
      </text>
    </comment>
    <comment ref="AR4" authorId="0" shapeId="0" xr:uid="{00000000-0006-0000-1700-000017000000}">
      <text>
        <r>
          <rPr>
            <b/>
            <sz val="12"/>
            <color indexed="81"/>
            <rFont val="Tahoma"/>
            <family val="2"/>
          </rPr>
          <t>Según el total de personas atendidas descrimine los valores según ciclos de edad.</t>
        </r>
      </text>
    </comment>
    <comment ref="AY4" authorId="0" shapeId="0" xr:uid="{00000000-0006-0000-1700-000018000000}">
      <text>
        <r>
          <rPr>
            <b/>
            <sz val="12"/>
            <color indexed="81"/>
            <rFont val="Tahoma"/>
            <family val="2"/>
          </rPr>
          <t>Según el total de personas atendidas descrimine los valores según su condición.</t>
        </r>
      </text>
    </comment>
    <comment ref="BG4" authorId="0" shapeId="0" xr:uid="{00000000-0006-0000-1700-000019000000}">
      <text>
        <r>
          <rPr>
            <b/>
            <sz val="12"/>
            <color indexed="81"/>
            <rFont val="Tahoma"/>
            <family val="2"/>
          </rPr>
          <t>Según el total de personas atendidas descrimine los valores según su etnia.</t>
        </r>
      </text>
    </comment>
    <comment ref="BM4" authorId="0" shapeId="0" xr:uid="{00000000-0006-0000-1700-00001A000000}">
      <text>
        <r>
          <rPr>
            <b/>
            <sz val="12"/>
            <color indexed="81"/>
            <rFont val="Tahoma"/>
            <family val="2"/>
          </rPr>
          <t>En el caso que la acción este dirigida a una organización,  diligenciar el tipo de organización beneficiada.</t>
        </r>
      </text>
    </comment>
    <comment ref="BN4" authorId="0" shapeId="0" xr:uid="{00000000-0006-0000-1700-00001B000000}">
      <text>
        <r>
          <rPr>
            <b/>
            <sz val="12"/>
            <color indexed="81"/>
            <rFont val="Tahoma"/>
            <family val="2"/>
          </rPr>
          <t>Describir el objeto principal de la institución u organización beneficiada.</t>
        </r>
      </text>
    </comment>
    <comment ref="BR4" authorId="0" shapeId="0" xr:uid="{00000000-0006-0000-1700-00001C000000}">
      <text>
        <r>
          <rPr>
            <b/>
            <sz val="12"/>
            <color indexed="81"/>
            <rFont val="Tahoma"/>
            <family val="2"/>
          </rPr>
          <t xml:space="preserve">Diligenciar si son: 
30 Caninos 
100 Arboles plantados  
2 cuencas recuperadas etc
</t>
        </r>
      </text>
    </comment>
    <comment ref="BS4" authorId="0" shapeId="0" xr:uid="{00000000-0006-0000-1700-00001D000000}">
      <text>
        <r>
          <rPr>
            <b/>
            <sz val="12"/>
            <color indexed="81"/>
            <rFont val="Tahoma"/>
            <family val="2"/>
          </rPr>
          <t>Marcar con una X el tipo de recurso que se beneficio según la acción.</t>
        </r>
      </text>
    </comment>
    <comment ref="CC4" authorId="0" shapeId="0" xr:uid="{00000000-0006-0000-1700-00001E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CD4" authorId="0" shapeId="0" xr:uid="{00000000-0006-0000-1700-00001F000000}">
      <text>
        <r>
          <rPr>
            <b/>
            <sz val="12"/>
            <color indexed="81"/>
            <rFont val="Tahoma"/>
            <family val="2"/>
          </rPr>
          <t>Detalle la cantidad de recursos invertidos del fondo de recursos propios (presupuestos corrientes del Municipio de Pereira)</t>
        </r>
      </text>
    </comment>
    <comment ref="CE4" authorId="0" shapeId="0" xr:uid="{00000000-0006-0000-1700-000020000000}">
      <text>
        <r>
          <rPr>
            <b/>
            <sz val="12"/>
            <color indexed="81"/>
            <rFont val="Tahoma"/>
            <family val="2"/>
          </rPr>
          <t>Detalle la cantidad de recursos invertidos del fondo de recursos del Sistema General de Participaciones (Recursos Girados desde la Nación por el SGP)</t>
        </r>
      </text>
    </comment>
    <comment ref="CF4" authorId="0" shapeId="0" xr:uid="{00000000-0006-0000-1700-000021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CG4" authorId="0" shapeId="0" xr:uid="{00000000-0006-0000-1700-000022000000}">
      <text>
        <r>
          <rPr>
            <b/>
            <sz val="12"/>
            <color indexed="81"/>
            <rFont val="Tahoma"/>
            <family val="2"/>
          </rPr>
          <t>Detalle el número de personas atendidas en cada acción.</t>
        </r>
      </text>
    </comment>
    <comment ref="CH4" authorId="0" shapeId="0" xr:uid="{00000000-0006-0000-1700-000023000000}">
      <text>
        <r>
          <rPr>
            <b/>
            <sz val="12"/>
            <color indexed="81"/>
            <rFont val="Tahoma"/>
            <family val="2"/>
          </rPr>
          <t>Según el total de personas atendidas descrimine los valores según su genero.</t>
        </r>
      </text>
    </comment>
    <comment ref="CK4" authorId="0" shapeId="0" xr:uid="{00000000-0006-0000-1700-000024000000}">
      <text>
        <r>
          <rPr>
            <b/>
            <sz val="12"/>
            <color indexed="81"/>
            <rFont val="Tahoma"/>
            <family val="2"/>
          </rPr>
          <t>Según el total de personas atendidas descrimine los valores según su zona.</t>
        </r>
      </text>
    </comment>
    <comment ref="CN4" authorId="0" shapeId="0" xr:uid="{00000000-0006-0000-1700-000025000000}">
      <text>
        <r>
          <rPr>
            <b/>
            <sz val="12"/>
            <color indexed="81"/>
            <rFont val="Tahoma"/>
            <family val="2"/>
          </rPr>
          <t>Según el total de personas atendidas descrimine los valores según ciclos de edad.</t>
        </r>
      </text>
    </comment>
    <comment ref="CV4" authorId="0" shapeId="0" xr:uid="{00000000-0006-0000-1700-000026000000}">
      <text>
        <r>
          <rPr>
            <b/>
            <sz val="12"/>
            <color indexed="81"/>
            <rFont val="Tahoma"/>
            <family val="2"/>
          </rPr>
          <t>Según el total de personas atendidas descrimine los valores según su condición.</t>
        </r>
      </text>
    </comment>
    <comment ref="DE4" authorId="0" shapeId="0" xr:uid="{00000000-0006-0000-1700-000027000000}">
      <text>
        <r>
          <rPr>
            <b/>
            <sz val="12"/>
            <color indexed="81"/>
            <rFont val="Tahoma"/>
            <family val="2"/>
          </rPr>
          <t>Según el total de personas atendidas descrimine los valores según su etnia.</t>
        </r>
      </text>
    </comment>
    <comment ref="DL4" authorId="0" shapeId="0" xr:uid="{00000000-0006-0000-1700-000028000000}">
      <text>
        <r>
          <rPr>
            <b/>
            <sz val="12"/>
            <color indexed="81"/>
            <rFont val="Tahoma"/>
            <family val="2"/>
          </rPr>
          <t>En el caso que la acción este dirigida a una organización,  diligenciar el tipo de organización beneficiada.</t>
        </r>
      </text>
    </comment>
    <comment ref="DM4" authorId="0" shapeId="0" xr:uid="{00000000-0006-0000-1700-000029000000}">
      <text>
        <r>
          <rPr>
            <b/>
            <sz val="12"/>
            <color indexed="81"/>
            <rFont val="Tahoma"/>
            <family val="2"/>
          </rPr>
          <t>Describir el objeto principal de la institución u organización beneficiada.</t>
        </r>
      </text>
    </comment>
    <comment ref="DQ4" authorId="0" shapeId="0" xr:uid="{00000000-0006-0000-1700-00002A000000}">
      <text>
        <r>
          <rPr>
            <b/>
            <sz val="12"/>
            <color indexed="81"/>
            <rFont val="Tahoma"/>
            <family val="2"/>
          </rPr>
          <t xml:space="preserve">Diligenciar si son: 
30 Caninos 
100 Arboles plantados  
2 cuencas recuperadas etc
</t>
        </r>
      </text>
    </comment>
    <comment ref="DR4" authorId="0" shapeId="0" xr:uid="{00000000-0006-0000-1700-00002B000000}">
      <text>
        <r>
          <rPr>
            <b/>
            <sz val="12"/>
            <color indexed="81"/>
            <rFont val="Tahoma"/>
            <family val="2"/>
          </rPr>
          <t>Marcar con una X el tipo de recurso que se beneficio según la acción.</t>
        </r>
      </text>
    </comment>
    <comment ref="EC4" authorId="0" shapeId="0" xr:uid="{00000000-0006-0000-1700-00002C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ED4" authorId="0" shapeId="0" xr:uid="{00000000-0006-0000-1700-00002D000000}">
      <text>
        <r>
          <rPr>
            <b/>
            <sz val="12"/>
            <color indexed="81"/>
            <rFont val="Tahoma"/>
            <family val="2"/>
          </rPr>
          <t>Detalle la cantidad de recursos invertidos del fondo de recursos propios (presupuestos corrientes del Municipio de Pereira)</t>
        </r>
      </text>
    </comment>
    <comment ref="EE4" authorId="0" shapeId="0" xr:uid="{00000000-0006-0000-1700-00002E000000}">
      <text>
        <r>
          <rPr>
            <b/>
            <sz val="12"/>
            <color indexed="81"/>
            <rFont val="Tahoma"/>
            <family val="2"/>
          </rPr>
          <t>Detalle la cantidad de recursos invertidos del fondo de recursos del Sistema General de Participaciones (Recursos Girados desde la Nación por el SGP)</t>
        </r>
      </text>
    </comment>
    <comment ref="EF4" authorId="0" shapeId="0" xr:uid="{00000000-0006-0000-1700-00002F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EG4" authorId="0" shapeId="0" xr:uid="{00000000-0006-0000-1700-000030000000}">
      <text>
        <r>
          <rPr>
            <b/>
            <sz val="12"/>
            <color indexed="81"/>
            <rFont val="Tahoma"/>
            <family val="2"/>
          </rPr>
          <t>Detalle el número de personas atendidas en cada acción.</t>
        </r>
      </text>
    </comment>
    <comment ref="EH4" authorId="0" shapeId="0" xr:uid="{00000000-0006-0000-1700-000031000000}">
      <text>
        <r>
          <rPr>
            <b/>
            <sz val="12"/>
            <color indexed="81"/>
            <rFont val="Tahoma"/>
            <family val="2"/>
          </rPr>
          <t>Según el total de personas atendidas descrimine los valores según su genero.</t>
        </r>
      </text>
    </comment>
    <comment ref="EJ4" authorId="0" shapeId="0" xr:uid="{00000000-0006-0000-1700-000032000000}">
      <text>
        <r>
          <rPr>
            <b/>
            <sz val="12"/>
            <color indexed="81"/>
            <rFont val="Tahoma"/>
            <family val="2"/>
          </rPr>
          <t>Según el total de personas atendidas descrimine los valores según su zona.</t>
        </r>
      </text>
    </comment>
    <comment ref="EL4" authorId="0" shapeId="0" xr:uid="{00000000-0006-0000-1700-000033000000}">
      <text>
        <r>
          <rPr>
            <b/>
            <sz val="12"/>
            <color indexed="81"/>
            <rFont val="Tahoma"/>
            <family val="2"/>
          </rPr>
          <t>Según el total de personas atendidas descrimine los valores según ciclos de edad.</t>
        </r>
      </text>
    </comment>
    <comment ref="ES4" authorId="0" shapeId="0" xr:uid="{00000000-0006-0000-1700-000034000000}">
      <text>
        <r>
          <rPr>
            <b/>
            <sz val="12"/>
            <color indexed="81"/>
            <rFont val="Tahoma"/>
            <family val="2"/>
          </rPr>
          <t>Según el total de personas atendidas descrimine los valores según su condición.</t>
        </r>
      </text>
    </comment>
    <comment ref="FA4" authorId="0" shapeId="0" xr:uid="{00000000-0006-0000-1700-000035000000}">
      <text>
        <r>
          <rPr>
            <b/>
            <sz val="12"/>
            <color indexed="81"/>
            <rFont val="Tahoma"/>
            <family val="2"/>
          </rPr>
          <t>Según el total de personas atendidas descrimine los valores según su etnia.</t>
        </r>
      </text>
    </comment>
    <comment ref="FG4" authorId="0" shapeId="0" xr:uid="{00000000-0006-0000-1700-000036000000}">
      <text>
        <r>
          <rPr>
            <b/>
            <sz val="12"/>
            <color indexed="81"/>
            <rFont val="Tahoma"/>
            <family val="2"/>
          </rPr>
          <t>En el caso que la acción este dirigida a una organización,  diligenciar el tipo de organización beneficiada.</t>
        </r>
      </text>
    </comment>
    <comment ref="FH4" authorId="0" shapeId="0" xr:uid="{00000000-0006-0000-1700-000037000000}">
      <text>
        <r>
          <rPr>
            <b/>
            <sz val="12"/>
            <color indexed="81"/>
            <rFont val="Tahoma"/>
            <family val="2"/>
          </rPr>
          <t>Describir el objeto principal de la institución u organización beneficiada.</t>
        </r>
      </text>
    </comment>
    <comment ref="FL4" authorId="0" shapeId="0" xr:uid="{00000000-0006-0000-1700-000038000000}">
      <text>
        <r>
          <rPr>
            <b/>
            <sz val="12"/>
            <color indexed="81"/>
            <rFont val="Tahoma"/>
            <family val="2"/>
          </rPr>
          <t xml:space="preserve">Diligenciar si son: 
30 Caninos 
100 Arboles plantados  
2 cuencas recuperadas etc
</t>
        </r>
      </text>
    </comment>
    <comment ref="FM4" authorId="0" shapeId="0" xr:uid="{00000000-0006-0000-1700-000039000000}">
      <text>
        <r>
          <rPr>
            <b/>
            <sz val="12"/>
            <color indexed="81"/>
            <rFont val="Tahoma"/>
            <family val="2"/>
          </rPr>
          <t>Marcar con una X el tipo de recurso que se beneficio según la acción.</t>
        </r>
      </text>
    </comment>
    <comment ref="BP5" authorId="0" shapeId="0" xr:uid="{00000000-0006-0000-1700-00003A000000}">
      <text>
        <r>
          <rPr>
            <b/>
            <sz val="12"/>
            <color indexed="81"/>
            <rFont val="Tahoma"/>
            <family val="2"/>
          </rPr>
          <t>Zona de ubicación de la Institución u Organización.</t>
        </r>
      </text>
    </comment>
    <comment ref="BQ5" authorId="0" shapeId="0" xr:uid="{00000000-0006-0000-1700-00003B000000}">
      <text>
        <r>
          <rPr>
            <b/>
            <sz val="12"/>
            <color indexed="81"/>
            <rFont val="Tahoma"/>
            <family val="2"/>
          </rPr>
          <t>Zona de ubicación de la Institución u Organización.</t>
        </r>
      </text>
    </comment>
    <comment ref="BV5" authorId="0" shapeId="0" xr:uid="{00000000-0006-0000-1700-00003C000000}">
      <text>
        <r>
          <rPr>
            <b/>
            <sz val="9"/>
            <color indexed="81"/>
            <rFont val="Tahoma"/>
            <family val="2"/>
          </rPr>
          <t>Zona de ubicación del Recurso Ecosistémico.</t>
        </r>
      </text>
    </comment>
    <comment ref="DO5" authorId="0" shapeId="0" xr:uid="{00000000-0006-0000-1700-00003D000000}">
      <text>
        <r>
          <rPr>
            <b/>
            <sz val="12"/>
            <color indexed="81"/>
            <rFont val="Tahoma"/>
            <family val="2"/>
          </rPr>
          <t>Zona de ubicación de la Institución u Organización.</t>
        </r>
      </text>
    </comment>
    <comment ref="DP5" authorId="0" shapeId="0" xr:uid="{00000000-0006-0000-1700-00003E000000}">
      <text>
        <r>
          <rPr>
            <b/>
            <sz val="12"/>
            <color indexed="81"/>
            <rFont val="Tahoma"/>
            <family val="2"/>
          </rPr>
          <t>Zona de ubicación de la Institución u Organización.</t>
        </r>
      </text>
    </comment>
    <comment ref="DU5" authorId="0" shapeId="0" xr:uid="{00000000-0006-0000-1700-00003F000000}">
      <text>
        <r>
          <rPr>
            <b/>
            <sz val="9"/>
            <color indexed="81"/>
            <rFont val="Tahoma"/>
            <family val="2"/>
          </rPr>
          <t>Zona de ubicación del Recurso Ecosistémico.</t>
        </r>
      </text>
    </comment>
    <comment ref="FJ5" authorId="0" shapeId="0" xr:uid="{00000000-0006-0000-1700-000040000000}">
      <text>
        <r>
          <rPr>
            <b/>
            <sz val="12"/>
            <color indexed="81"/>
            <rFont val="Tahoma"/>
            <family val="2"/>
          </rPr>
          <t>Zona de ubicación de la Institución u Organización.</t>
        </r>
      </text>
    </comment>
    <comment ref="FK5" authorId="0" shapeId="0" xr:uid="{00000000-0006-0000-1700-000041000000}">
      <text>
        <r>
          <rPr>
            <b/>
            <sz val="12"/>
            <color indexed="81"/>
            <rFont val="Tahoma"/>
            <family val="2"/>
          </rPr>
          <t>Zona de ubicación de la Institución u Organización.</t>
        </r>
      </text>
    </comment>
    <comment ref="FP5" authorId="0" shapeId="0" xr:uid="{00000000-0006-0000-1700-000042000000}">
      <text>
        <r>
          <rPr>
            <b/>
            <sz val="9"/>
            <color indexed="81"/>
            <rFont val="Tahoma"/>
            <family val="2"/>
          </rPr>
          <t>Zona de ubicación del Recurso Ecosistémico.</t>
        </r>
      </text>
    </comment>
    <comment ref="BW6" authorId="1" shapeId="0" xr:uid="{00000000-0006-0000-1700-000043000000}">
      <text>
        <r>
          <rPr>
            <b/>
            <sz val="9"/>
            <color indexed="81"/>
            <rFont val="Tahoma"/>
            <family val="2"/>
          </rPr>
          <t>SE REQUIERE EL NÚMERO REAL DE ESTRATEGIAS EDUCATIVAS INCORPORADAS</t>
        </r>
      </text>
    </comment>
    <comment ref="BW7" authorId="1" shapeId="0" xr:uid="{00000000-0006-0000-1700-000044000000}">
      <text>
        <r>
          <rPr>
            <b/>
            <sz val="9"/>
            <color indexed="81"/>
            <rFont val="Tahoma"/>
            <family val="2"/>
          </rPr>
          <t>SE REQUIERE EL REPORTE DE CUÁNTAS INSTITUCIONES FUERON CAPACITADAS</t>
        </r>
      </text>
    </comment>
    <comment ref="BW17" authorId="1" shapeId="0" xr:uid="{00000000-0006-0000-1700-000045000000}">
      <text>
        <r>
          <rPr>
            <b/>
            <sz val="9"/>
            <color indexed="81"/>
            <rFont val="Tahoma"/>
            <family val="2"/>
          </rPr>
          <t>Indicaron la  Ejecución de 6 planes de comunicación en diferentes centros poblados e instituciones educativas del Municipio de pereira, por lo que se cumple con el 100% de avance de ejecución de la acción</t>
        </r>
      </text>
    </comment>
    <comment ref="BW18" authorId="1" shapeId="0" xr:uid="{00000000-0006-0000-1700-000046000000}">
      <text>
        <r>
          <rPr>
            <b/>
            <sz val="9"/>
            <color indexed="81"/>
            <rFont val="Tahoma"/>
            <family val="2"/>
          </rPr>
          <t>SE REQUIERE EL PORCENTAJE DEL DISEÑO E IMPLEMENTACIÓN DE LA ESTRATEGIA DESARROLLADA EN EL REPORTE DE EJECUCIÓN</t>
        </r>
      </text>
    </comment>
    <comment ref="CG21" authorId="1" shapeId="0" xr:uid="{00000000-0006-0000-1700-000047000000}">
      <text>
        <r>
          <rPr>
            <b/>
            <sz val="9"/>
            <color indexed="81"/>
            <rFont val="Tahoma"/>
            <family val="2"/>
          </rPr>
          <t>animales (caninos y felinos)</t>
        </r>
      </text>
    </comment>
    <comment ref="BX23" authorId="1" shapeId="0" xr:uid="{00000000-0006-0000-1700-000048000000}">
      <text>
        <r>
          <rPr>
            <b/>
            <sz val="9"/>
            <color indexed="81"/>
            <rFont val="Tahoma"/>
            <family val="2"/>
          </rPr>
          <t>REVISAR: EL INDICADOR ES NUMÉRICO, PERO LA META ES PORCENTUAL. CÓMO DEBE CALCULARSE ESTAS VACUNAS?</t>
        </r>
      </text>
    </comment>
    <comment ref="CG23" authorId="1" shapeId="0" xr:uid="{00000000-0006-0000-1700-000049000000}">
      <text>
        <r>
          <rPr>
            <b/>
            <sz val="9"/>
            <color indexed="81"/>
            <rFont val="Tahoma"/>
            <family val="2"/>
          </rPr>
          <t>animales (caninos y felinos)</t>
        </r>
      </text>
    </comment>
    <comment ref="BW26" authorId="1" shapeId="0" xr:uid="{00000000-0006-0000-1700-00004A000000}">
      <text>
        <r>
          <rPr>
            <b/>
            <sz val="9"/>
            <color indexed="81"/>
            <rFont val="Tahoma"/>
            <family val="2"/>
          </rPr>
          <t>Indican cumplimiento del 100%, y aclaran que el censo lo realizó la secretaría de salud</t>
        </r>
      </text>
    </comment>
    <comment ref="BW32" authorId="1" shapeId="0" xr:uid="{00000000-0006-0000-1700-00004B000000}">
      <text>
        <r>
          <rPr>
            <b/>
            <sz val="9"/>
            <color indexed="81"/>
            <rFont val="Tahoma"/>
            <family val="2"/>
          </rPr>
          <t>INDICAN QUE NO ES RESPONSABILIDAD DE LA SDRGA, Y QUE ES UN PROGRAMA DE LA SECRETARÍA DE GOBIERNO</t>
        </r>
      </text>
    </comment>
    <comment ref="BW33" authorId="1" shapeId="0" xr:uid="{00000000-0006-0000-1700-00004C000000}">
      <text>
        <r>
          <rPr>
            <b/>
            <sz val="9"/>
            <color indexed="81"/>
            <rFont val="Tahoma"/>
            <family val="2"/>
          </rPr>
          <t>INDICAN QUE LA ACCIÓN ESTÁ A CARGO DE LA CARDER Y LA POLICÍA NACIONAL Y QUE LA FAUNA SILVESTRE NO HACE PARTE DE LAS RESPONSABILIDADES DE LA SDRGA, SIN EMBARGO, LA SEC RURAL COMO RESPONSABLE DIRECTA DEL REPORTE DE EJECUCIÓN DE LA ACCIÓN DEBE RECOPILAR LA INFORMACIÓN  CON DICHAS ENTIDADES RESPECTO AL CUMPLIMIENTO DE ESTA META</t>
        </r>
      </text>
    </comment>
    <comment ref="BW43" authorId="1" shapeId="0" xr:uid="{00000000-0006-0000-1700-00004D000000}">
      <text>
        <r>
          <rPr>
            <b/>
            <sz val="9"/>
            <color indexed="81"/>
            <rFont val="Tahoma"/>
            <family val="2"/>
          </rPr>
          <t>indica que esta acción no es competencia de la SDRGA.
La SDRGA participa del comité CIFRI el cual es dirigido por CARDER, entidad competente para esta labor</t>
        </r>
      </text>
    </comment>
    <comment ref="CG45" authorId="1" shapeId="0" xr:uid="{00000000-0006-0000-1700-00004E000000}">
      <text>
        <r>
          <rPr>
            <b/>
            <sz val="9"/>
            <color indexed="81"/>
            <rFont val="Tahoma"/>
            <family val="2"/>
          </rPr>
          <t>Indicaron 2 eventos como si fuesen personas atendidas, por lo tanto no se tienen encuenta este número</t>
        </r>
      </text>
    </comment>
    <comment ref="BW52" authorId="1" shapeId="0" xr:uid="{00000000-0006-0000-1700-00004F000000}">
      <text>
        <r>
          <rPr>
            <b/>
            <sz val="9"/>
            <color indexed="81"/>
            <rFont val="Tahoma"/>
            <family val="2"/>
          </rPr>
          <t>EL INDICADOR ES NUMÉRICO PERO LA META ESTÁ PORCENTUAL, VERIFICAR PARA HACER EL CÁLCULO CORRECTO</t>
        </r>
      </text>
    </comment>
    <comment ref="BW53" authorId="1" shapeId="0" xr:uid="{00000000-0006-0000-1700-000050000000}">
      <text>
        <r>
          <rPr>
            <b/>
            <sz val="9"/>
            <color indexed="81"/>
            <rFont val="Tahoma"/>
            <family val="2"/>
          </rPr>
          <t>Aunque no entregaron reporte de ejecución explícito, indican que Se realizan de manera permanente procesos de formación y capacitación en buenas prácticas pecuarias incluyendo como pilar fundamental el bienestar animal, con lo cual a la fecha se cuentan con 144 predios en proceso de certificación, recertificación o implementación de BPG, por lo que se deja un 100% de cumplimiento</t>
        </r>
      </text>
    </comment>
    <comment ref="BW55" authorId="1" shapeId="0" xr:uid="{00000000-0006-0000-1700-000051000000}">
      <text>
        <r>
          <rPr>
            <b/>
            <sz val="9"/>
            <color indexed="81"/>
            <rFont val="Tahoma"/>
            <family val="2"/>
          </rPr>
          <t>LA POLÍCIA ES CORESPONSABLE, SI BIEN ESTÁ A CARGO DE SU EJECUCIÓN LA SECRETARÍA DE SALUD ES LA RESPONSABLE DIRECTA DE REPORTAR EL CUMPLIMIENTO.</t>
        </r>
      </text>
    </comment>
    <comment ref="BW57" authorId="1" shapeId="0" xr:uid="{00000000-0006-0000-1700-000052000000}">
      <text>
        <r>
          <rPr>
            <b/>
            <sz val="9"/>
            <color indexed="81"/>
            <rFont val="Tahoma"/>
            <family val="2"/>
          </rPr>
          <t>INDICADOR NUMÉRICO PERO LA META ES PORCENTUAL. VERIFICAR EL PROCESO DE CÁLCULO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Gloria Liliana Garcia</author>
  </authors>
  <commentList>
    <comment ref="AB6" authorId="0" shapeId="0" xr:uid="{00000000-0006-0000-1800-000001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AC6" authorId="0" shapeId="0" xr:uid="{00000000-0006-0000-1800-000002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AF6" authorId="0" shapeId="0" xr:uid="{00000000-0006-0000-1800-000003000000}">
      <text>
        <r>
          <rPr>
            <b/>
            <sz val="12"/>
            <color indexed="81"/>
            <rFont val="Tahoma"/>
            <family val="2"/>
          </rPr>
          <t xml:space="preserve">Comente como desarrollo la acción de la Política Pública por medio de actividades, describiendo el Lugar, Temas desarrollados, etc. </t>
        </r>
      </text>
    </comment>
    <comment ref="AG6" authorId="0" shapeId="0" xr:uid="{00000000-0006-0000-1800-000004000000}">
      <text>
        <r>
          <rPr>
            <b/>
            <sz val="12"/>
            <color indexed="81"/>
            <rFont val="Tahoma"/>
            <family val="2"/>
          </rPr>
          <t>Describa que evidencias reposan en el desarrollo de la acción, contratos, actas, fotos, registros de asistencia, informes, documentos, videos, etc</t>
        </r>
      </text>
    </comment>
    <comment ref="AH6" authorId="0" shapeId="0" xr:uid="{00000000-0006-0000-1800-000005000000}">
      <text>
        <r>
          <rPr>
            <b/>
            <sz val="12"/>
            <color indexed="81"/>
            <rFont val="Tahoma"/>
            <family val="2"/>
          </rPr>
          <t xml:space="preserve">Comente que problemas, necesidades, aciertos y/o recomendacion se cuentan en el desarrollo de la acción. </t>
        </r>
      </text>
    </comment>
    <comment ref="BR6" authorId="0" shapeId="0" xr:uid="{00000000-0006-0000-1800-000006000000}">
      <text>
        <r>
          <rPr>
            <b/>
            <sz val="9"/>
            <color indexed="81"/>
            <rFont val="Tahoma"/>
            <family val="2"/>
          </rPr>
          <t>La Sección de Matriz de Focalización de Recursos Ecosistémicos se diligencia cuando la acción va dirigida a un Recurso Natural, Fauna y Flora.</t>
        </r>
      </text>
    </comment>
    <comment ref="AI7" authorId="0" shapeId="0" xr:uid="{00000000-0006-0000-1800-000007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AJ7" authorId="0" shapeId="0" xr:uid="{00000000-0006-0000-1800-000008000000}">
      <text>
        <r>
          <rPr>
            <b/>
            <sz val="12"/>
            <color indexed="81"/>
            <rFont val="Tahoma"/>
            <family val="2"/>
          </rPr>
          <t>Detalle la cantidad de recursos invertidos del fondo de recursos propios (presupuestos corrientes del Municipio de Pereira)</t>
        </r>
      </text>
    </comment>
    <comment ref="AK7" authorId="0" shapeId="0" xr:uid="{00000000-0006-0000-1800-000009000000}">
      <text>
        <r>
          <rPr>
            <b/>
            <sz val="12"/>
            <color indexed="81"/>
            <rFont val="Tahoma"/>
            <family val="2"/>
          </rPr>
          <t>Detalle la cantidad de recursos invertidos del fondo de recursos del Sistema General de Participaciones (Recursos Girados desde la Nación por el SGP)</t>
        </r>
      </text>
    </comment>
    <comment ref="AL7" authorId="0" shapeId="0" xr:uid="{00000000-0006-0000-1800-00000A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AM7" authorId="0" shapeId="0" xr:uid="{00000000-0006-0000-1800-00000B000000}">
      <text>
        <r>
          <rPr>
            <b/>
            <sz val="12"/>
            <color indexed="81"/>
            <rFont val="Tahoma"/>
            <family val="2"/>
          </rPr>
          <t>Detalle el número de personas atendidas en cada acción.</t>
        </r>
      </text>
    </comment>
    <comment ref="AN7" authorId="0" shapeId="0" xr:uid="{00000000-0006-0000-1800-00000C000000}">
      <text>
        <r>
          <rPr>
            <b/>
            <sz val="12"/>
            <color indexed="81"/>
            <rFont val="Tahoma"/>
            <family val="2"/>
          </rPr>
          <t>Según el total de personas atendidas descrimine los valores según su genero.</t>
        </r>
      </text>
    </comment>
    <comment ref="AP7" authorId="0" shapeId="0" xr:uid="{00000000-0006-0000-1800-00000D000000}">
      <text>
        <r>
          <rPr>
            <b/>
            <sz val="12"/>
            <color indexed="81"/>
            <rFont val="Tahoma"/>
            <family val="2"/>
          </rPr>
          <t>Según el total de personas atendidas descrimine los valores según su zona.</t>
        </r>
      </text>
    </comment>
    <comment ref="AR7" authorId="0" shapeId="0" xr:uid="{00000000-0006-0000-1800-00000E000000}">
      <text>
        <r>
          <rPr>
            <b/>
            <sz val="12"/>
            <color indexed="81"/>
            <rFont val="Tahoma"/>
            <family val="2"/>
          </rPr>
          <t>Según el total de personas atendidas descrimine los valores según ciclos de edad.</t>
        </r>
      </text>
    </comment>
    <comment ref="AY7" authorId="0" shapeId="0" xr:uid="{00000000-0006-0000-1800-00000F000000}">
      <text>
        <r>
          <rPr>
            <b/>
            <sz val="12"/>
            <color indexed="81"/>
            <rFont val="Tahoma"/>
            <family val="2"/>
          </rPr>
          <t>Según el total de personas atendidas descrimine los valores según su condición.</t>
        </r>
      </text>
    </comment>
    <comment ref="BG7" authorId="0" shapeId="0" xr:uid="{00000000-0006-0000-1800-000010000000}">
      <text>
        <r>
          <rPr>
            <b/>
            <sz val="12"/>
            <color indexed="81"/>
            <rFont val="Tahoma"/>
            <family val="2"/>
          </rPr>
          <t>Según el total de personas atendidas descrimine los valores según su etnia.</t>
        </r>
      </text>
    </comment>
    <comment ref="BM7" authorId="0" shapeId="0" xr:uid="{00000000-0006-0000-1800-000011000000}">
      <text>
        <r>
          <rPr>
            <b/>
            <sz val="12"/>
            <color indexed="81"/>
            <rFont val="Tahoma"/>
            <family val="2"/>
          </rPr>
          <t>En el caso que la acción este dirigida a una organización,  diligenciar el tipo de organización beneficiada.</t>
        </r>
      </text>
    </comment>
    <comment ref="BN7" authorId="0" shapeId="0" xr:uid="{00000000-0006-0000-1800-000012000000}">
      <text>
        <r>
          <rPr>
            <b/>
            <sz val="12"/>
            <color indexed="81"/>
            <rFont val="Tahoma"/>
            <family val="2"/>
          </rPr>
          <t>Describir el objeto principal de la institución u organización beneficiada.</t>
        </r>
      </text>
    </comment>
    <comment ref="BR7" authorId="0" shapeId="0" xr:uid="{00000000-0006-0000-1800-000013000000}">
      <text>
        <r>
          <rPr>
            <b/>
            <sz val="12"/>
            <color indexed="81"/>
            <rFont val="Tahoma"/>
            <family val="2"/>
          </rPr>
          <t xml:space="preserve">Diligenciar si son: 
30 Caninos 
100 Arboles plantados  
2 cuencas recuperadas etc
</t>
        </r>
      </text>
    </comment>
    <comment ref="BS7" authorId="0" shapeId="0" xr:uid="{00000000-0006-0000-1800-000014000000}">
      <text>
        <r>
          <rPr>
            <b/>
            <sz val="12"/>
            <color indexed="81"/>
            <rFont val="Tahoma"/>
            <family val="2"/>
          </rPr>
          <t>Marcar con una X el tipo de recurso que se beneficio según la acción.</t>
        </r>
      </text>
    </comment>
    <comment ref="BP8" authorId="0" shapeId="0" xr:uid="{00000000-0006-0000-1800-000015000000}">
      <text>
        <r>
          <rPr>
            <b/>
            <sz val="12"/>
            <color indexed="81"/>
            <rFont val="Tahoma"/>
            <family val="2"/>
          </rPr>
          <t>Zona de ubicación de la Institución u Organización.</t>
        </r>
      </text>
    </comment>
    <comment ref="BQ8" authorId="0" shapeId="0" xr:uid="{00000000-0006-0000-1800-000016000000}">
      <text>
        <r>
          <rPr>
            <b/>
            <sz val="12"/>
            <color indexed="81"/>
            <rFont val="Tahoma"/>
            <family val="2"/>
          </rPr>
          <t>Zona de ubicación de la Institución u Organización.</t>
        </r>
      </text>
    </comment>
    <comment ref="BV8" authorId="0" shapeId="0" xr:uid="{00000000-0006-0000-1800-000017000000}">
      <text>
        <r>
          <rPr>
            <b/>
            <sz val="9"/>
            <color indexed="81"/>
            <rFont val="Tahoma"/>
            <family val="2"/>
          </rPr>
          <t>Zona de ubicación del Recurso Ecosistémico.</t>
        </r>
      </text>
    </comment>
    <comment ref="AA78" authorId="1" shapeId="0" xr:uid="{00000000-0006-0000-1800-000018000000}">
      <text>
        <r>
          <rPr>
            <b/>
            <sz val="9"/>
            <color indexed="81"/>
            <rFont val="Tahoma"/>
            <family val="2"/>
          </rPr>
          <t>Gloria Liliana Garcia:</t>
        </r>
        <r>
          <rPr>
            <sz val="9"/>
            <color indexed="81"/>
            <rFont val="Tahoma"/>
            <family val="2"/>
          </rPr>
          <t xml:space="preserve">
3 millones por año </t>
        </r>
      </text>
    </comment>
    <comment ref="AA83" authorId="1" shapeId="0" xr:uid="{00000000-0006-0000-1800-000019000000}">
      <text>
        <r>
          <rPr>
            <b/>
            <sz val="9"/>
            <color indexed="81"/>
            <rFont val="Tahoma"/>
            <family val="2"/>
          </rPr>
          <t>Gloria Liliana Garcia:</t>
        </r>
        <r>
          <rPr>
            <sz val="9"/>
            <color indexed="81"/>
            <rFont val="Tahoma"/>
            <family val="2"/>
          </rPr>
          <t xml:space="preserve">
30 personas por 200.000 costo individual por 10 años</t>
        </r>
      </text>
    </comment>
    <comment ref="AA106" authorId="1" shapeId="0" xr:uid="{00000000-0006-0000-1800-00001A000000}">
      <text>
        <r>
          <rPr>
            <b/>
            <sz val="9"/>
            <color indexed="81"/>
            <rFont val="Tahoma"/>
            <family val="2"/>
          </rPr>
          <t>Gloria Liliana Garcia:</t>
        </r>
        <r>
          <rPr>
            <sz val="9"/>
            <color indexed="81"/>
            <rFont val="Tahoma"/>
            <family val="2"/>
          </rPr>
          <t xml:space="preserve">
cien mil para mantenimiento mensual de la plataforma* 12 meses por 10 años</t>
        </r>
      </text>
    </comment>
    <comment ref="AA107" authorId="1" shapeId="0" xr:uid="{00000000-0006-0000-1800-00001B000000}">
      <text>
        <r>
          <rPr>
            <b/>
            <sz val="9"/>
            <color indexed="81"/>
            <rFont val="Tahoma"/>
            <family val="2"/>
          </rPr>
          <t>Gloria Liliana Garcia:</t>
        </r>
        <r>
          <rPr>
            <sz val="9"/>
            <color indexed="81"/>
            <rFont val="Tahoma"/>
            <family val="2"/>
          </rPr>
          <t xml:space="preserve">
120..000 por comité para 30 personas refrigerios por valor de 4000 por 6 comités anuales , por 10 años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s>
  <commentList>
    <comment ref="AE3" authorId="0" shapeId="0" xr:uid="{00000000-0006-0000-1900-000001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AH3" authorId="0" shapeId="0" xr:uid="{00000000-0006-0000-1900-000002000000}">
      <text>
        <r>
          <rPr>
            <b/>
            <sz val="12"/>
            <color indexed="81"/>
            <rFont val="Tahoma"/>
            <family val="2"/>
          </rPr>
          <t xml:space="preserve">Comente como desarrollo la acción de la Política Pública por medio de actividades, describiendo el Lugar, Temas desarrollados, etc. </t>
        </r>
      </text>
    </comment>
    <comment ref="AI3" authorId="0" shapeId="0" xr:uid="{00000000-0006-0000-1900-000003000000}">
      <text>
        <r>
          <rPr>
            <b/>
            <sz val="12"/>
            <color indexed="81"/>
            <rFont val="Tahoma"/>
            <family val="2"/>
          </rPr>
          <t>Describa que evidencias reposan en el desarrollo de la acción, contratos, actas, fotos, registros de asistencia, informes, documentos, videos, etc</t>
        </r>
      </text>
    </comment>
    <comment ref="AJ3" authorId="0" shapeId="0" xr:uid="{00000000-0006-0000-1900-000004000000}">
      <text>
        <r>
          <rPr>
            <b/>
            <sz val="12"/>
            <color indexed="81"/>
            <rFont val="Tahoma"/>
            <family val="2"/>
          </rPr>
          <t xml:space="preserve">Comente que problemas, necesidades, aciertos y/o recomendacion se cuentan en el desarrollo de la acción. </t>
        </r>
      </text>
    </comment>
    <comment ref="BT3" authorId="0" shapeId="0" xr:uid="{00000000-0006-0000-1900-000005000000}">
      <text>
        <r>
          <rPr>
            <b/>
            <sz val="9"/>
            <color indexed="81"/>
            <rFont val="Tahoma"/>
            <family val="2"/>
          </rPr>
          <t>La Sección de Matriz de Focalización de Recursos Ecosistémicos se diligencia cuando la acción va dirigida a un Recurso Natural, Fauna y Flora.</t>
        </r>
      </text>
    </comment>
    <comment ref="AK4" authorId="0" shapeId="0" xr:uid="{00000000-0006-0000-1900-000006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AL4" authorId="0" shapeId="0" xr:uid="{00000000-0006-0000-1900-000007000000}">
      <text>
        <r>
          <rPr>
            <b/>
            <sz val="12"/>
            <color indexed="81"/>
            <rFont val="Tahoma"/>
            <family val="2"/>
          </rPr>
          <t>Detalle la cantidad de recursos invertidos del fondo de recursos propios (presupuestos corrientes del Municipio de Pereira)</t>
        </r>
      </text>
    </comment>
    <comment ref="AM4" authorId="0" shapeId="0" xr:uid="{00000000-0006-0000-1900-000008000000}">
      <text>
        <r>
          <rPr>
            <b/>
            <sz val="12"/>
            <color indexed="81"/>
            <rFont val="Tahoma"/>
            <family val="2"/>
          </rPr>
          <t>Detalle la cantidad de recursos invertidos del fondo de recursos del Sistema General de Participaciones (Recursos Girados desde la Nación por el SGP)</t>
        </r>
      </text>
    </comment>
    <comment ref="AN4" authorId="0" shapeId="0" xr:uid="{00000000-0006-0000-1900-000009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AO4" authorId="0" shapeId="0" xr:uid="{00000000-0006-0000-1900-00000A000000}">
      <text>
        <r>
          <rPr>
            <b/>
            <sz val="12"/>
            <color indexed="81"/>
            <rFont val="Tahoma"/>
            <family val="2"/>
          </rPr>
          <t>Detalle el número de personas atendidas en cada acción.</t>
        </r>
      </text>
    </comment>
    <comment ref="AP4" authorId="0" shapeId="0" xr:uid="{00000000-0006-0000-1900-00000B000000}">
      <text>
        <r>
          <rPr>
            <b/>
            <sz val="12"/>
            <color indexed="81"/>
            <rFont val="Tahoma"/>
            <family val="2"/>
          </rPr>
          <t>Según el total de personas atendidas descrimine los valores según su genero.</t>
        </r>
      </text>
    </comment>
    <comment ref="AR4" authorId="0" shapeId="0" xr:uid="{00000000-0006-0000-1900-00000C000000}">
      <text>
        <r>
          <rPr>
            <b/>
            <sz val="12"/>
            <color indexed="81"/>
            <rFont val="Tahoma"/>
            <family val="2"/>
          </rPr>
          <t>Según el total de personas atendidas descrimine los valores según su zona.</t>
        </r>
      </text>
    </comment>
    <comment ref="AT4" authorId="0" shapeId="0" xr:uid="{00000000-0006-0000-1900-00000D000000}">
      <text>
        <r>
          <rPr>
            <b/>
            <sz val="12"/>
            <color indexed="81"/>
            <rFont val="Tahoma"/>
            <family val="2"/>
          </rPr>
          <t>Según el total de personas atendidas descrimine los valores según ciclos de edad.</t>
        </r>
      </text>
    </comment>
    <comment ref="BA4" authorId="0" shapeId="0" xr:uid="{00000000-0006-0000-1900-00000E000000}">
      <text>
        <r>
          <rPr>
            <b/>
            <sz val="12"/>
            <color indexed="81"/>
            <rFont val="Tahoma"/>
            <family val="2"/>
          </rPr>
          <t>Según el total de personas atendidas descrimine los valores según su condición.</t>
        </r>
      </text>
    </comment>
    <comment ref="BI4" authorId="0" shapeId="0" xr:uid="{00000000-0006-0000-1900-00000F000000}">
      <text>
        <r>
          <rPr>
            <b/>
            <sz val="12"/>
            <color indexed="81"/>
            <rFont val="Tahoma"/>
            <family val="2"/>
          </rPr>
          <t>Según el total de personas atendidas descrimine los valores según su etnia.</t>
        </r>
      </text>
    </comment>
    <comment ref="BO4" authorId="0" shapeId="0" xr:uid="{00000000-0006-0000-1900-000010000000}">
      <text>
        <r>
          <rPr>
            <b/>
            <sz val="12"/>
            <color indexed="81"/>
            <rFont val="Tahoma"/>
            <family val="2"/>
          </rPr>
          <t>En el caso que la acción este dirigida a una organización,  diligenciar el tipo de organización beneficiada.</t>
        </r>
      </text>
    </comment>
    <comment ref="BP4" authorId="0" shapeId="0" xr:uid="{00000000-0006-0000-1900-000011000000}">
      <text>
        <r>
          <rPr>
            <b/>
            <sz val="12"/>
            <color indexed="81"/>
            <rFont val="Tahoma"/>
            <family val="2"/>
          </rPr>
          <t>Describir el objeto principal de la institución u organización beneficiada.</t>
        </r>
      </text>
    </comment>
    <comment ref="BT4" authorId="0" shapeId="0" xr:uid="{00000000-0006-0000-1900-000012000000}">
      <text>
        <r>
          <rPr>
            <b/>
            <sz val="12"/>
            <color indexed="81"/>
            <rFont val="Tahoma"/>
            <family val="2"/>
          </rPr>
          <t xml:space="preserve">Diligenciar si son: 
30 Caninos 
100 Arboles plantados  
2 cuencas recuperadas etc
</t>
        </r>
      </text>
    </comment>
    <comment ref="BU4" authorId="0" shapeId="0" xr:uid="{00000000-0006-0000-1900-000013000000}">
      <text>
        <r>
          <rPr>
            <b/>
            <sz val="12"/>
            <color indexed="81"/>
            <rFont val="Tahoma"/>
            <family val="2"/>
          </rPr>
          <t>Marcar con una X el tipo de recurso que se beneficio según la acción.</t>
        </r>
      </text>
    </comment>
    <comment ref="BR5" authorId="0" shapeId="0" xr:uid="{00000000-0006-0000-1900-000014000000}">
      <text>
        <r>
          <rPr>
            <b/>
            <sz val="12"/>
            <color indexed="81"/>
            <rFont val="Tahoma"/>
            <family val="2"/>
          </rPr>
          <t>Zona de ubicación de la Institución u Organización.</t>
        </r>
      </text>
    </comment>
    <comment ref="BS5" authorId="0" shapeId="0" xr:uid="{00000000-0006-0000-1900-000015000000}">
      <text>
        <r>
          <rPr>
            <b/>
            <sz val="12"/>
            <color indexed="81"/>
            <rFont val="Tahoma"/>
            <family val="2"/>
          </rPr>
          <t>Zona de ubicación de la Institución u Organización.</t>
        </r>
      </text>
    </comment>
    <comment ref="BX5" authorId="0" shapeId="0" xr:uid="{00000000-0006-0000-1900-000016000000}">
      <text>
        <r>
          <rPr>
            <b/>
            <sz val="9"/>
            <color indexed="81"/>
            <rFont val="Tahoma"/>
            <family val="2"/>
          </rPr>
          <t>Zona de ubicación del Recurso Ecosistémico.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Usuario</author>
  </authors>
  <commentList>
    <comment ref="BJ3" authorId="0" shapeId="0" xr:uid="{00000000-0006-0000-1A00-000001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BM3" authorId="0" shapeId="0" xr:uid="{00000000-0006-0000-1A00-000002000000}">
      <text>
        <r>
          <rPr>
            <b/>
            <sz val="12"/>
            <color indexed="81"/>
            <rFont val="Tahoma"/>
            <family val="2"/>
          </rPr>
          <t xml:space="preserve">Comente como desarrollo la acción de la Política Pública por medio de actividades, describiendo el Lugar, Temas desarrollados, etc. </t>
        </r>
      </text>
    </comment>
    <comment ref="BN3" authorId="0" shapeId="0" xr:uid="{00000000-0006-0000-1A00-000003000000}">
      <text>
        <r>
          <rPr>
            <b/>
            <sz val="12"/>
            <color indexed="81"/>
            <rFont val="Tahoma"/>
            <family val="2"/>
          </rPr>
          <t>Describa que evidencias reposan en el desarrollo de la acción, contratos, actas, fotos, registros de asistencia, informes, documentos, videos, etc</t>
        </r>
      </text>
    </comment>
    <comment ref="BO3" authorId="0" shapeId="0" xr:uid="{00000000-0006-0000-1A00-000004000000}">
      <text>
        <r>
          <rPr>
            <b/>
            <sz val="12"/>
            <color indexed="81"/>
            <rFont val="Tahoma"/>
            <family val="2"/>
          </rPr>
          <t xml:space="preserve">Comente que problemas, necesidades, aciertos y/o recomendacion se cuentan en el desarrollo de la acción. </t>
        </r>
      </text>
    </comment>
    <comment ref="CY3" authorId="0" shapeId="0" xr:uid="{00000000-0006-0000-1A00-000005000000}">
      <text>
        <r>
          <rPr>
            <b/>
            <sz val="9"/>
            <color indexed="81"/>
            <rFont val="Tahoma"/>
            <family val="2"/>
          </rPr>
          <t>La Sección de Matriz de Focalización de Recursos Ecosistémicos se diligencia cuando la acción va dirigida a un Recurso Natural, Fauna y Flora.</t>
        </r>
      </text>
    </comment>
    <comment ref="BP4" authorId="0" shapeId="0" xr:uid="{00000000-0006-0000-1A00-000006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BQ4" authorId="0" shapeId="0" xr:uid="{00000000-0006-0000-1A00-000007000000}">
      <text>
        <r>
          <rPr>
            <b/>
            <sz val="12"/>
            <color indexed="81"/>
            <rFont val="Tahoma"/>
            <family val="2"/>
          </rPr>
          <t>Detalle la cantidad de recursos invertidos del fondo de recursos propios (presupuestos corrientes del Municipio de Pereira)</t>
        </r>
      </text>
    </comment>
    <comment ref="BR4" authorId="0" shapeId="0" xr:uid="{00000000-0006-0000-1A00-000008000000}">
      <text>
        <r>
          <rPr>
            <b/>
            <sz val="12"/>
            <color indexed="81"/>
            <rFont val="Tahoma"/>
            <family val="2"/>
          </rPr>
          <t>Detalle la cantidad de recursos invertidos del fondo de recursos del Sistema General de Participaciones (Recursos Girados desde la Nación por el SGP)</t>
        </r>
      </text>
    </comment>
    <comment ref="BS4" authorId="0" shapeId="0" xr:uid="{00000000-0006-0000-1A00-000009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BT4" authorId="0" shapeId="0" xr:uid="{00000000-0006-0000-1A00-00000A000000}">
      <text>
        <r>
          <rPr>
            <b/>
            <sz val="12"/>
            <color indexed="81"/>
            <rFont val="Tahoma"/>
            <family val="2"/>
          </rPr>
          <t>Detalle el número de personas atendidas en cada acción.</t>
        </r>
      </text>
    </comment>
    <comment ref="BU4" authorId="0" shapeId="0" xr:uid="{00000000-0006-0000-1A00-00000B000000}">
      <text>
        <r>
          <rPr>
            <b/>
            <sz val="12"/>
            <color indexed="81"/>
            <rFont val="Tahoma"/>
            <family val="2"/>
          </rPr>
          <t>Según el total de personas atendidas descrimine los valores según su genero.</t>
        </r>
      </text>
    </comment>
    <comment ref="BW4" authorId="0" shapeId="0" xr:uid="{00000000-0006-0000-1A00-00000C000000}">
      <text>
        <r>
          <rPr>
            <b/>
            <sz val="12"/>
            <color indexed="81"/>
            <rFont val="Tahoma"/>
            <family val="2"/>
          </rPr>
          <t>Según el total de personas atendidas descrimine los valores según su zona.</t>
        </r>
      </text>
    </comment>
    <comment ref="BY4" authorId="0" shapeId="0" xr:uid="{00000000-0006-0000-1A00-00000D000000}">
      <text>
        <r>
          <rPr>
            <b/>
            <sz val="12"/>
            <color indexed="81"/>
            <rFont val="Tahoma"/>
            <family val="2"/>
          </rPr>
          <t>Según el total de personas atendidas descrimine los valores según ciclos de edad.</t>
        </r>
      </text>
    </comment>
    <comment ref="CF4" authorId="0" shapeId="0" xr:uid="{00000000-0006-0000-1A00-00000E000000}">
      <text>
        <r>
          <rPr>
            <b/>
            <sz val="12"/>
            <color indexed="81"/>
            <rFont val="Tahoma"/>
            <family val="2"/>
          </rPr>
          <t>Según el total de personas atendidas descrimine los valores según su condición.</t>
        </r>
      </text>
    </comment>
    <comment ref="CN4" authorId="0" shapeId="0" xr:uid="{00000000-0006-0000-1A00-00000F000000}">
      <text>
        <r>
          <rPr>
            <b/>
            <sz val="12"/>
            <color indexed="81"/>
            <rFont val="Tahoma"/>
            <family val="2"/>
          </rPr>
          <t>Según el total de personas atendidas descrimine los valores según su etnia.</t>
        </r>
      </text>
    </comment>
    <comment ref="CT4" authorId="0" shapeId="0" xr:uid="{00000000-0006-0000-1A00-000010000000}">
      <text>
        <r>
          <rPr>
            <b/>
            <sz val="12"/>
            <color indexed="81"/>
            <rFont val="Tahoma"/>
            <family val="2"/>
          </rPr>
          <t>En el caso que la acción este dirigida a una organización,  diligenciar el tipo de organización beneficiada.</t>
        </r>
      </text>
    </comment>
    <comment ref="CU4" authorId="0" shapeId="0" xr:uid="{00000000-0006-0000-1A00-000011000000}">
      <text>
        <r>
          <rPr>
            <b/>
            <sz val="12"/>
            <color indexed="81"/>
            <rFont val="Tahoma"/>
            <family val="2"/>
          </rPr>
          <t>Describir el objeto principal de la institución u organización beneficiada.</t>
        </r>
      </text>
    </comment>
    <comment ref="CY4" authorId="0" shapeId="0" xr:uid="{00000000-0006-0000-1A00-000012000000}">
      <text>
        <r>
          <rPr>
            <b/>
            <sz val="12"/>
            <color indexed="81"/>
            <rFont val="Tahoma"/>
            <family val="2"/>
          </rPr>
          <t xml:space="preserve">Diligenciar si son: 
30 Caninos 
100 Arboles plantados  
2 cuencas recuperadas etc
</t>
        </r>
      </text>
    </comment>
    <comment ref="CZ4" authorId="0" shapeId="0" xr:uid="{00000000-0006-0000-1A00-000013000000}">
      <text>
        <r>
          <rPr>
            <b/>
            <sz val="12"/>
            <color indexed="81"/>
            <rFont val="Tahoma"/>
            <family val="2"/>
          </rPr>
          <t>Marcar con una X el tipo de recurso que se beneficio según la acción.</t>
        </r>
      </text>
    </comment>
    <comment ref="CW5" authorId="0" shapeId="0" xr:uid="{00000000-0006-0000-1A00-000014000000}">
      <text>
        <r>
          <rPr>
            <b/>
            <sz val="12"/>
            <color indexed="81"/>
            <rFont val="Tahoma"/>
            <family val="2"/>
          </rPr>
          <t>Zona de ubicación de la Institución u Organización.</t>
        </r>
      </text>
    </comment>
    <comment ref="CX5" authorId="0" shapeId="0" xr:uid="{00000000-0006-0000-1A00-000015000000}">
      <text>
        <r>
          <rPr>
            <b/>
            <sz val="12"/>
            <color indexed="81"/>
            <rFont val="Tahoma"/>
            <family val="2"/>
          </rPr>
          <t>Zona de ubicación de la Institución u Organización.</t>
        </r>
      </text>
    </comment>
    <comment ref="DC5" authorId="0" shapeId="0" xr:uid="{00000000-0006-0000-1A00-000016000000}">
      <text>
        <r>
          <rPr>
            <b/>
            <sz val="9"/>
            <color indexed="81"/>
            <rFont val="Tahoma"/>
            <family val="2"/>
          </rPr>
          <t>Zona de ubicación del Recurso Ecosistémico.</t>
        </r>
      </text>
    </comment>
    <comment ref="AK103" authorId="1" shapeId="0" xr:uid="{00000000-0006-0000-1A00-000017000000}">
      <text>
        <r>
          <rPr>
            <b/>
            <sz val="9"/>
            <color indexed="81"/>
            <rFont val="Tahoma"/>
            <family val="2"/>
          </rPr>
          <t>Conmemoración de:</t>
        </r>
      </text>
    </comment>
    <comment ref="AK107" authorId="1" shapeId="0" xr:uid="{00000000-0006-0000-1A00-000018000000}">
      <text>
        <r>
          <rPr>
            <b/>
            <sz val="9"/>
            <color indexed="81"/>
            <rFont val="Tahoma"/>
            <family val="2"/>
          </rPr>
          <t>Conmemoración de:</t>
        </r>
      </text>
    </comment>
    <comment ref="AK111" authorId="1" shapeId="0" xr:uid="{00000000-0006-0000-1A00-000019000000}">
      <text>
        <r>
          <rPr>
            <b/>
            <sz val="9"/>
            <color indexed="81"/>
            <rFont val="Tahoma"/>
            <family val="2"/>
          </rPr>
          <t>Conmemoración de:</t>
        </r>
      </text>
    </comment>
    <comment ref="AK115" authorId="1" shapeId="0" xr:uid="{00000000-0006-0000-1A00-00001A000000}">
      <text>
        <r>
          <rPr>
            <b/>
            <sz val="9"/>
            <color indexed="81"/>
            <rFont val="Tahoma"/>
            <family val="2"/>
          </rPr>
          <t xml:space="preserve">Conmemoración de:
</t>
        </r>
      </text>
    </comment>
    <comment ref="AK119" authorId="1" shapeId="0" xr:uid="{00000000-0006-0000-1A00-00001B000000}">
      <text>
        <r>
          <rPr>
            <b/>
            <sz val="9"/>
            <color indexed="81"/>
            <rFont val="Tahoma"/>
            <family val="2"/>
          </rPr>
          <t>Conmemoración de:</t>
        </r>
      </text>
    </comment>
    <comment ref="AK123" authorId="1" shapeId="0" xr:uid="{00000000-0006-0000-1A00-00001C000000}">
      <text>
        <r>
          <rPr>
            <b/>
            <sz val="9"/>
            <color indexed="81"/>
            <rFont val="Tahoma"/>
            <family val="2"/>
          </rPr>
          <t>Conmemoración de:</t>
        </r>
      </text>
    </comment>
    <comment ref="AK127" authorId="1" shapeId="0" xr:uid="{00000000-0006-0000-1A00-00001D000000}">
      <text>
        <r>
          <rPr>
            <b/>
            <sz val="9"/>
            <color indexed="81"/>
            <rFont val="Tahoma"/>
            <family val="2"/>
          </rPr>
          <t>Conmemoración de:</t>
        </r>
      </text>
    </comment>
    <comment ref="AK131" authorId="1" shapeId="0" xr:uid="{00000000-0006-0000-1A00-00001E000000}">
      <text>
        <r>
          <rPr>
            <b/>
            <sz val="9"/>
            <color indexed="81"/>
            <rFont val="Tahoma"/>
            <family val="2"/>
          </rPr>
          <t>Conmemoración de:</t>
        </r>
      </text>
    </comment>
    <comment ref="AK132" authorId="1" shapeId="0" xr:uid="{00000000-0006-0000-1A00-00001F000000}">
      <text>
        <r>
          <rPr>
            <b/>
            <sz val="9"/>
            <color indexed="81"/>
            <rFont val="Tahoma"/>
            <family val="2"/>
          </rPr>
          <t>Conmemoración 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Portatil</author>
    <author/>
    <author>Usuario</author>
  </authors>
  <commentList>
    <comment ref="K2" authorId="0" shapeId="0" xr:uid="{00000000-0006-0000-0700-000001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N2" authorId="0" shapeId="0" xr:uid="{00000000-0006-0000-0700-000002000000}">
      <text>
        <r>
          <rPr>
            <b/>
            <sz val="12"/>
            <color indexed="81"/>
            <rFont val="Tahoma"/>
            <family val="2"/>
          </rPr>
          <t xml:space="preserve">Comente como desarrollo la acción de la Política Pública por medio de actividades, describiendo el Lugar, Temas desarrollados, etc. </t>
        </r>
      </text>
    </comment>
    <comment ref="O2" authorId="0" shapeId="0" xr:uid="{00000000-0006-0000-0700-000003000000}">
      <text>
        <r>
          <rPr>
            <b/>
            <sz val="12"/>
            <color indexed="81"/>
            <rFont val="Tahoma"/>
            <family val="2"/>
          </rPr>
          <t>Describa que evidencias reposan en el desarrollo de la acción, contratos, actas, fotos, registros de asistencia, informes, documentos, videos, etc</t>
        </r>
      </text>
    </comment>
    <comment ref="P2" authorId="0" shapeId="0" xr:uid="{00000000-0006-0000-0700-000004000000}">
      <text>
        <r>
          <rPr>
            <b/>
            <sz val="12"/>
            <color indexed="81"/>
            <rFont val="Tahoma"/>
            <family val="2"/>
          </rPr>
          <t xml:space="preserve">Comente que problemas, necesidades, aciertos y/o recomendacion se cuentan en el desarrollo de la acción. </t>
        </r>
      </text>
    </comment>
    <comment ref="AZ2" authorId="0" shapeId="0" xr:uid="{00000000-0006-0000-0700-000005000000}">
      <text>
        <r>
          <rPr>
            <b/>
            <sz val="9"/>
            <color indexed="81"/>
            <rFont val="Tahoma"/>
            <family val="2"/>
          </rPr>
          <t>La Sección de Matriz de Focalización de Recursos Ecosistémicos se diligencia cuando la acción va dirigida a un Recurso Natural, Fauna y Flora.</t>
        </r>
      </text>
    </comment>
    <comment ref="Q3" authorId="0" shapeId="0" xr:uid="{00000000-0006-0000-0700-000006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R3" authorId="0" shapeId="0" xr:uid="{00000000-0006-0000-0700-000007000000}">
      <text>
        <r>
          <rPr>
            <b/>
            <sz val="12"/>
            <color indexed="81"/>
            <rFont val="Tahoma"/>
            <family val="2"/>
          </rPr>
          <t>Detalle la cantidad de recursos invertidos del fondo de recursos propios (presupuestos corrientes del Municipio de Pereira)</t>
        </r>
      </text>
    </comment>
    <comment ref="S3" authorId="0" shapeId="0" xr:uid="{00000000-0006-0000-0700-000008000000}">
      <text>
        <r>
          <rPr>
            <b/>
            <sz val="12"/>
            <color indexed="81"/>
            <rFont val="Tahoma"/>
            <family val="2"/>
          </rPr>
          <t>Detalle la cantidad de recursos invertidos del fondo de recursos del Sistema General de Participaciones (Recursos Girados desde la Nación por el SGP)</t>
        </r>
      </text>
    </comment>
    <comment ref="T3" authorId="0" shapeId="0" xr:uid="{00000000-0006-0000-0700-000009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U3" authorId="0" shapeId="0" xr:uid="{00000000-0006-0000-0700-00000A000000}">
      <text>
        <r>
          <rPr>
            <b/>
            <sz val="12"/>
            <color indexed="81"/>
            <rFont val="Tahoma"/>
            <family val="2"/>
          </rPr>
          <t>Detalle el número de personas atendidas en cada acción.</t>
        </r>
      </text>
    </comment>
    <comment ref="V3" authorId="0" shapeId="0" xr:uid="{00000000-0006-0000-0700-00000B000000}">
      <text>
        <r>
          <rPr>
            <b/>
            <sz val="12"/>
            <color indexed="81"/>
            <rFont val="Tahoma"/>
            <family val="2"/>
          </rPr>
          <t>Según el total de personas atendidas descrimine los valores según su genero.</t>
        </r>
      </text>
    </comment>
    <comment ref="X3" authorId="0" shapeId="0" xr:uid="{00000000-0006-0000-0700-00000C000000}">
      <text>
        <r>
          <rPr>
            <b/>
            <sz val="12"/>
            <color indexed="81"/>
            <rFont val="Tahoma"/>
            <family val="2"/>
          </rPr>
          <t>Según el total de personas atendidas descrimine los valores según su zona.</t>
        </r>
      </text>
    </comment>
    <comment ref="Z3" authorId="0" shapeId="0" xr:uid="{00000000-0006-0000-0700-00000D000000}">
      <text>
        <r>
          <rPr>
            <b/>
            <sz val="12"/>
            <color indexed="81"/>
            <rFont val="Tahoma"/>
            <family val="2"/>
          </rPr>
          <t>Según el total de personas atendidas descrimine los valores según ciclos de edad.</t>
        </r>
      </text>
    </comment>
    <comment ref="AG3" authorId="0" shapeId="0" xr:uid="{00000000-0006-0000-0700-00000E000000}">
      <text>
        <r>
          <rPr>
            <b/>
            <sz val="12"/>
            <color indexed="81"/>
            <rFont val="Tahoma"/>
            <family val="2"/>
          </rPr>
          <t>Según el total de personas atendidas descrimine los valores según su condición.</t>
        </r>
      </text>
    </comment>
    <comment ref="AO3" authorId="0" shapeId="0" xr:uid="{00000000-0006-0000-0700-00000F000000}">
      <text>
        <r>
          <rPr>
            <b/>
            <sz val="12"/>
            <color indexed="81"/>
            <rFont val="Tahoma"/>
            <family val="2"/>
          </rPr>
          <t>Según el total de personas atendidas descrimine los valores según su etnia.</t>
        </r>
      </text>
    </comment>
    <comment ref="AU3" authorId="0" shapeId="0" xr:uid="{00000000-0006-0000-0700-000010000000}">
      <text>
        <r>
          <rPr>
            <b/>
            <sz val="12"/>
            <color indexed="81"/>
            <rFont val="Tahoma"/>
            <family val="2"/>
          </rPr>
          <t>En el caso que la acción este dirigida a una organización,  diligenciar el tipo de organización beneficiada.</t>
        </r>
      </text>
    </comment>
    <comment ref="AV3" authorId="0" shapeId="0" xr:uid="{00000000-0006-0000-0700-000011000000}">
      <text>
        <r>
          <rPr>
            <b/>
            <sz val="12"/>
            <color indexed="81"/>
            <rFont val="Tahoma"/>
            <family val="2"/>
          </rPr>
          <t>Describir el objeto principal de la institución u organización beneficiada.</t>
        </r>
      </text>
    </comment>
    <comment ref="AZ3" authorId="0" shapeId="0" xr:uid="{00000000-0006-0000-0700-000012000000}">
      <text>
        <r>
          <rPr>
            <b/>
            <sz val="12"/>
            <color indexed="81"/>
            <rFont val="Tahoma"/>
            <family val="2"/>
          </rPr>
          <t xml:space="preserve">Diligenciar si son: 
30 Caninos 
100 Arboles plantados  
2 cuencas recuperadas etc
</t>
        </r>
      </text>
    </comment>
    <comment ref="BA3" authorId="0" shapeId="0" xr:uid="{00000000-0006-0000-0700-000013000000}">
      <text>
        <r>
          <rPr>
            <b/>
            <sz val="12"/>
            <color indexed="81"/>
            <rFont val="Tahoma"/>
            <family val="2"/>
          </rPr>
          <t>Marcar con una X el tipo de recurso que se beneficio según la acción.</t>
        </r>
      </text>
    </comment>
    <comment ref="AX4" authorId="0" shapeId="0" xr:uid="{00000000-0006-0000-0700-000014000000}">
      <text>
        <r>
          <rPr>
            <b/>
            <sz val="12"/>
            <color indexed="81"/>
            <rFont val="Tahoma"/>
            <family val="2"/>
          </rPr>
          <t>Zona de ubicación de la Institución u Organización.</t>
        </r>
      </text>
    </comment>
    <comment ref="AY4" authorId="0" shapeId="0" xr:uid="{00000000-0006-0000-0700-000015000000}">
      <text>
        <r>
          <rPr>
            <b/>
            <sz val="12"/>
            <color indexed="81"/>
            <rFont val="Tahoma"/>
            <family val="2"/>
          </rPr>
          <t>Zona de ubicación de la Institución u Organización.</t>
        </r>
      </text>
    </comment>
    <comment ref="BD4" authorId="0" shapeId="0" xr:uid="{00000000-0006-0000-0700-000016000000}">
      <text>
        <r>
          <rPr>
            <b/>
            <sz val="9"/>
            <color indexed="81"/>
            <rFont val="Tahoma"/>
            <family val="2"/>
          </rPr>
          <t>Zona de ubicación del Recurso Ecosistémico.</t>
        </r>
      </text>
    </comment>
    <comment ref="I220" authorId="1" shapeId="0" xr:uid="{00000000-0006-0000-0700-000017000000}">
      <text>
        <r>
          <rPr>
            <b/>
            <sz val="9"/>
            <color indexed="81"/>
            <rFont val="Tahoma"/>
            <family val="2"/>
          </rPr>
          <t>Portatil:</t>
        </r>
        <r>
          <rPr>
            <sz val="9"/>
            <color indexed="81"/>
            <rFont val="Tahoma"/>
            <family val="2"/>
          </rPr>
          <t xml:space="preserve">
Informe Luisa familias visitadas y poblacion objeto</t>
        </r>
      </text>
    </comment>
    <comment ref="I223" authorId="1" shapeId="0" xr:uid="{00000000-0006-0000-0700-000018000000}">
      <text>
        <r>
          <rPr>
            <b/>
            <sz val="9"/>
            <color indexed="81"/>
            <rFont val="Tahoma"/>
            <family val="2"/>
          </rPr>
          <t>Portatil:</t>
        </r>
        <r>
          <rPr>
            <sz val="9"/>
            <color indexed="81"/>
            <rFont val="Tahoma"/>
            <family val="2"/>
          </rPr>
          <t xml:space="preserve">
Escuelas y colegios saludables</t>
        </r>
      </text>
    </comment>
    <comment ref="I224" authorId="1" shapeId="0" xr:uid="{00000000-0006-0000-0700-000019000000}">
      <text>
        <r>
          <rPr>
            <b/>
            <sz val="9"/>
            <color indexed="81"/>
            <rFont val="Tahoma"/>
            <family val="2"/>
          </rPr>
          <t>Portatil:</t>
        </r>
        <r>
          <rPr>
            <sz val="9"/>
            <color indexed="81"/>
            <rFont val="Tahoma"/>
            <family val="2"/>
          </rPr>
          <t xml:space="preserve">
Escuelas y colegios saludables</t>
        </r>
      </text>
    </comment>
    <comment ref="I236" authorId="1" shapeId="0" xr:uid="{00000000-0006-0000-0700-00001A000000}">
      <text>
        <r>
          <rPr>
            <b/>
            <sz val="9"/>
            <color indexed="81"/>
            <rFont val="Tahoma"/>
            <family val="2"/>
          </rPr>
          <t>Portatil:</t>
        </r>
        <r>
          <rPr>
            <sz val="9"/>
            <color indexed="81"/>
            <rFont val="Tahoma"/>
            <family val="2"/>
          </rPr>
          <t xml:space="preserve">
Luisa cifras</t>
        </r>
      </text>
    </comment>
    <comment ref="I253" authorId="1" shapeId="0" xr:uid="{00000000-0006-0000-0700-00001B000000}">
      <text>
        <r>
          <rPr>
            <b/>
            <sz val="9"/>
            <color indexed="81"/>
            <rFont val="Tahoma"/>
            <family val="2"/>
          </rPr>
          <t>Portatil:</t>
        </r>
        <r>
          <rPr>
            <sz val="9"/>
            <color indexed="81"/>
            <rFont val="Tahoma"/>
            <family val="2"/>
          </rPr>
          <t xml:space="preserve">
Informe Juliana</t>
        </r>
      </text>
    </comment>
    <comment ref="I259" authorId="1" shapeId="0" xr:uid="{00000000-0006-0000-0700-00001C000000}">
      <text>
        <r>
          <rPr>
            <b/>
            <sz val="9"/>
            <color indexed="81"/>
            <rFont val="Tahoma"/>
            <family val="2"/>
          </rPr>
          <t>Portatil:</t>
        </r>
        <r>
          <rPr>
            <sz val="9"/>
            <color indexed="81"/>
            <rFont val="Tahoma"/>
            <family val="2"/>
          </rPr>
          <t xml:space="preserve">
Luisa poblacion</t>
        </r>
      </text>
    </comment>
    <comment ref="G765" authorId="2" shapeId="0" xr:uid="{00000000-0006-0000-0700-00001D000000}">
      <text>
        <r>
          <rPr>
            <sz val="11"/>
            <color rgb="FF000000"/>
            <rFont val="Calibri"/>
            <family val="2"/>
          </rPr>
          <t xml:space="preserve">incluir informacion del curso de habitos </t>
        </r>
      </text>
    </comment>
    <comment ref="G773" authorId="2" shapeId="0" xr:uid="{00000000-0006-0000-0700-00001E000000}">
      <text>
        <r>
          <rPr>
            <sz val="11"/>
            <color rgb="FF000000"/>
            <rFont val="Calibri"/>
            <family val="2"/>
          </rPr>
          <t>incluir estadistica del foro (sumar la participacion en las mesas y en el foro central)</t>
        </r>
      </text>
    </comment>
    <comment ref="G838" authorId="2" shapeId="0" xr:uid="{00000000-0006-0000-0700-00001F000000}">
      <text>
        <r>
          <rPr>
            <sz val="11"/>
            <color rgb="FF000000"/>
            <rFont val="Calibri"/>
            <family val="2"/>
          </rPr>
          <t>Se realizaron los eventos de ciudad:
Celebración dia de la niñez y la recreación
Celebración dia de la niñez y el disfraz
Campamentos juveniles</t>
        </r>
      </text>
    </comment>
    <comment ref="G857" authorId="2" shapeId="0" xr:uid="{00000000-0006-0000-0700-000020000000}">
      <text>
        <r>
          <rPr>
            <sz val="11"/>
            <color rgb="FF000000"/>
            <rFont val="Calibri"/>
            <family val="2"/>
          </rPr>
          <t>calcular por parque:
calcular por parque 2.000 personas
edades entre los 4 y los 28 años
equidad entre hombres y mujeres y 95% urbano</t>
        </r>
      </text>
    </comment>
    <comment ref="G863" authorId="2" shapeId="0" xr:uid="{00000000-0006-0000-0700-000021000000}">
      <text>
        <r>
          <rPr>
            <sz val="11"/>
            <color rgb="FF000000"/>
            <rFont val="Calibri"/>
            <family val="2"/>
          </rPr>
          <t>estadistica HEVS</t>
        </r>
      </text>
    </comment>
    <comment ref="G865" authorId="2" shapeId="0" xr:uid="{00000000-0006-0000-0700-000022000000}">
      <text>
        <r>
          <rPr>
            <sz val="11"/>
            <color rgb="FF000000"/>
            <rFont val="Calibri"/>
            <family val="2"/>
          </rPr>
          <t>2 Caminatas municipales
20 Ciclopaseos 
Maraton de actividad fisica retroactivate</t>
        </r>
      </text>
    </comment>
    <comment ref="G1601" authorId="3" shapeId="0" xr:uid="{00000000-0006-0000-0700-000023000000}">
      <text>
        <r>
          <rPr>
            <b/>
            <sz val="9"/>
            <color indexed="81"/>
            <rFont val="Tahoma"/>
            <family val="2"/>
          </rPr>
          <t>Conmemoración de:</t>
        </r>
      </text>
    </comment>
    <comment ref="G1605" authorId="3" shapeId="0" xr:uid="{00000000-0006-0000-0700-000024000000}">
      <text>
        <r>
          <rPr>
            <b/>
            <sz val="9"/>
            <color indexed="81"/>
            <rFont val="Tahoma"/>
            <family val="2"/>
          </rPr>
          <t>Conmemoración de:</t>
        </r>
      </text>
    </comment>
    <comment ref="G1609" authorId="3" shapeId="0" xr:uid="{00000000-0006-0000-0700-000025000000}">
      <text>
        <r>
          <rPr>
            <b/>
            <sz val="9"/>
            <color indexed="81"/>
            <rFont val="Tahoma"/>
            <family val="2"/>
          </rPr>
          <t>Conmemoración de:</t>
        </r>
      </text>
    </comment>
    <comment ref="G1613" authorId="3" shapeId="0" xr:uid="{00000000-0006-0000-0700-000026000000}">
      <text>
        <r>
          <rPr>
            <b/>
            <sz val="9"/>
            <color indexed="81"/>
            <rFont val="Tahoma"/>
            <family val="2"/>
          </rPr>
          <t xml:space="preserve">Conmemoración de:
</t>
        </r>
      </text>
    </comment>
    <comment ref="G1617" authorId="3" shapeId="0" xr:uid="{00000000-0006-0000-0700-000027000000}">
      <text>
        <r>
          <rPr>
            <b/>
            <sz val="9"/>
            <color indexed="81"/>
            <rFont val="Tahoma"/>
            <family val="2"/>
          </rPr>
          <t>Conmemoración de:</t>
        </r>
      </text>
    </comment>
    <comment ref="G1621" authorId="3" shapeId="0" xr:uid="{00000000-0006-0000-0700-000028000000}">
      <text>
        <r>
          <rPr>
            <b/>
            <sz val="9"/>
            <color indexed="81"/>
            <rFont val="Tahoma"/>
            <family val="2"/>
          </rPr>
          <t>Conmemoración de:</t>
        </r>
      </text>
    </comment>
    <comment ref="G1625" authorId="3" shapeId="0" xr:uid="{00000000-0006-0000-0700-000029000000}">
      <text>
        <r>
          <rPr>
            <b/>
            <sz val="9"/>
            <color indexed="81"/>
            <rFont val="Tahoma"/>
            <family val="2"/>
          </rPr>
          <t>Conmemoración de:</t>
        </r>
      </text>
    </comment>
    <comment ref="G1629" authorId="3" shapeId="0" xr:uid="{00000000-0006-0000-0700-00002A000000}">
      <text>
        <r>
          <rPr>
            <b/>
            <sz val="9"/>
            <color indexed="81"/>
            <rFont val="Tahoma"/>
            <family val="2"/>
          </rPr>
          <t>Conmemoración de:</t>
        </r>
      </text>
    </comment>
    <comment ref="G1630" authorId="3" shapeId="0" xr:uid="{00000000-0006-0000-0700-00002B000000}">
      <text>
        <r>
          <rPr>
            <b/>
            <sz val="9"/>
            <color indexed="81"/>
            <rFont val="Tahoma"/>
            <family val="2"/>
          </rPr>
          <t>Conmemoración de: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s>
  <commentList>
    <comment ref="CB5" authorId="0" shapeId="0" xr:uid="{00000000-0006-0000-1B00-000001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CE5" authorId="0" shapeId="0" xr:uid="{00000000-0006-0000-1B00-000002000000}">
      <text>
        <r>
          <rPr>
            <b/>
            <sz val="12"/>
            <color indexed="81"/>
            <rFont val="Tahoma"/>
            <family val="2"/>
          </rPr>
          <t xml:space="preserve">Comente como desarrollo la acción de la Política Pública por medio de actividades, describiendo el Lugar, Temas desarrollados, etc. </t>
        </r>
      </text>
    </comment>
    <comment ref="CF5" authorId="0" shapeId="0" xr:uid="{00000000-0006-0000-1B00-000003000000}">
      <text>
        <r>
          <rPr>
            <b/>
            <sz val="12"/>
            <color indexed="81"/>
            <rFont val="Tahoma"/>
            <family val="2"/>
          </rPr>
          <t>Describa que evidencias reposan en el desarrollo de la acción, contratos, actas, fotos, registros de asistencia, informes, documentos, videos, etc</t>
        </r>
      </text>
    </comment>
    <comment ref="CG5" authorId="0" shapeId="0" xr:uid="{00000000-0006-0000-1B00-000004000000}">
      <text>
        <r>
          <rPr>
            <b/>
            <sz val="12"/>
            <color indexed="81"/>
            <rFont val="Tahoma"/>
            <family val="2"/>
          </rPr>
          <t xml:space="preserve">Comente que problemas, necesidades, aciertos y/o recomendacion se cuentan en el desarrollo de la acción. </t>
        </r>
      </text>
    </comment>
    <comment ref="DQ5" authorId="0" shapeId="0" xr:uid="{00000000-0006-0000-1B00-000005000000}">
      <text>
        <r>
          <rPr>
            <b/>
            <sz val="9"/>
            <color indexed="81"/>
            <rFont val="Tahoma"/>
            <family val="2"/>
          </rPr>
          <t>La Sección de Matriz de Focalización de Recursos Ecosistémicos se diligencia cuando la acción va dirigida a un Recurso Natural, Fauna y Flora.</t>
        </r>
      </text>
    </comment>
    <comment ref="CH6" authorId="0" shapeId="0" xr:uid="{00000000-0006-0000-1B00-000006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CI6" authorId="0" shapeId="0" xr:uid="{00000000-0006-0000-1B00-000007000000}">
      <text>
        <r>
          <rPr>
            <b/>
            <sz val="12"/>
            <color indexed="81"/>
            <rFont val="Tahoma"/>
            <family val="2"/>
          </rPr>
          <t>Detalle la cantidad de recursos invertidos del fondo de recursos propios (presupuestos corrientes del Municipio de Pereira)</t>
        </r>
      </text>
    </comment>
    <comment ref="CJ6" authorId="0" shapeId="0" xr:uid="{00000000-0006-0000-1B00-000008000000}">
      <text>
        <r>
          <rPr>
            <b/>
            <sz val="12"/>
            <color indexed="81"/>
            <rFont val="Tahoma"/>
            <family val="2"/>
          </rPr>
          <t>Detalle la cantidad de recursos invertidos del fondo de recursos del Sistema General de Participaciones (Recursos Girados desde la Nación por el SGP)</t>
        </r>
      </text>
    </comment>
    <comment ref="CK6" authorId="0" shapeId="0" xr:uid="{00000000-0006-0000-1B00-000009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CL6" authorId="0" shapeId="0" xr:uid="{00000000-0006-0000-1B00-00000A000000}">
      <text>
        <r>
          <rPr>
            <b/>
            <sz val="12"/>
            <color indexed="81"/>
            <rFont val="Tahoma"/>
            <family val="2"/>
          </rPr>
          <t>Detalle el número de personas atendidas en cada acción.</t>
        </r>
      </text>
    </comment>
    <comment ref="CM6" authorId="0" shapeId="0" xr:uid="{00000000-0006-0000-1B00-00000B000000}">
      <text>
        <r>
          <rPr>
            <b/>
            <sz val="12"/>
            <color indexed="81"/>
            <rFont val="Tahoma"/>
            <family val="2"/>
          </rPr>
          <t>Según el total de personas atendidas descrimine los valores según su genero.</t>
        </r>
      </text>
    </comment>
    <comment ref="CO6" authorId="0" shapeId="0" xr:uid="{00000000-0006-0000-1B00-00000C000000}">
      <text>
        <r>
          <rPr>
            <b/>
            <sz val="12"/>
            <color indexed="81"/>
            <rFont val="Tahoma"/>
            <family val="2"/>
          </rPr>
          <t>Según el total de personas atendidas descrimine los valores según su zona.</t>
        </r>
      </text>
    </comment>
    <comment ref="CQ6" authorId="0" shapeId="0" xr:uid="{00000000-0006-0000-1B00-00000D000000}">
      <text>
        <r>
          <rPr>
            <b/>
            <sz val="12"/>
            <color indexed="81"/>
            <rFont val="Tahoma"/>
            <family val="2"/>
          </rPr>
          <t>Según el total de personas atendidas descrimine los valores según ciclos de edad.</t>
        </r>
      </text>
    </comment>
    <comment ref="CX6" authorId="0" shapeId="0" xr:uid="{00000000-0006-0000-1B00-00000E000000}">
      <text>
        <r>
          <rPr>
            <b/>
            <sz val="12"/>
            <color indexed="81"/>
            <rFont val="Tahoma"/>
            <family val="2"/>
          </rPr>
          <t>Según el total de personas atendidas descrimine los valores según su condición.</t>
        </r>
      </text>
    </comment>
    <comment ref="DF6" authorId="0" shapeId="0" xr:uid="{00000000-0006-0000-1B00-00000F000000}">
      <text>
        <r>
          <rPr>
            <b/>
            <sz val="12"/>
            <color indexed="81"/>
            <rFont val="Tahoma"/>
            <family val="2"/>
          </rPr>
          <t>Según el total de personas atendidas descrimine los valores según su etnia.</t>
        </r>
      </text>
    </comment>
    <comment ref="DL6" authorId="0" shapeId="0" xr:uid="{00000000-0006-0000-1B00-000010000000}">
      <text>
        <r>
          <rPr>
            <b/>
            <sz val="12"/>
            <color indexed="81"/>
            <rFont val="Tahoma"/>
            <family val="2"/>
          </rPr>
          <t>En el caso que la acción este dirigida a una organización,  diligenciar el tipo de organización beneficiada.</t>
        </r>
      </text>
    </comment>
    <comment ref="DM6" authorId="0" shapeId="0" xr:uid="{00000000-0006-0000-1B00-000011000000}">
      <text>
        <r>
          <rPr>
            <b/>
            <sz val="12"/>
            <color indexed="81"/>
            <rFont val="Tahoma"/>
            <family val="2"/>
          </rPr>
          <t>Describir el objeto principal de la institución u organización beneficiada.</t>
        </r>
      </text>
    </comment>
    <comment ref="DQ6" authorId="0" shapeId="0" xr:uid="{00000000-0006-0000-1B00-000012000000}">
      <text>
        <r>
          <rPr>
            <b/>
            <sz val="12"/>
            <color indexed="81"/>
            <rFont val="Tahoma"/>
            <family val="2"/>
          </rPr>
          <t xml:space="preserve">Diligenciar si son: 
30 Caninos 
100 Arboles plantados  
2 cuencas recuperadas etc
</t>
        </r>
      </text>
    </comment>
    <comment ref="DR6" authorId="0" shapeId="0" xr:uid="{00000000-0006-0000-1B00-000013000000}">
      <text>
        <r>
          <rPr>
            <b/>
            <sz val="12"/>
            <color indexed="81"/>
            <rFont val="Tahoma"/>
            <family val="2"/>
          </rPr>
          <t>Marcar con una X el tipo de recurso que se beneficio según la acción.</t>
        </r>
      </text>
    </comment>
    <comment ref="DO7" authorId="0" shapeId="0" xr:uid="{00000000-0006-0000-1B00-000014000000}">
      <text>
        <r>
          <rPr>
            <b/>
            <sz val="12"/>
            <color indexed="81"/>
            <rFont val="Tahoma"/>
            <family val="2"/>
          </rPr>
          <t>Zona de ubicación de la Institución u Organización.</t>
        </r>
      </text>
    </comment>
    <comment ref="DP7" authorId="0" shapeId="0" xr:uid="{00000000-0006-0000-1B00-000015000000}">
      <text>
        <r>
          <rPr>
            <b/>
            <sz val="12"/>
            <color indexed="81"/>
            <rFont val="Tahoma"/>
            <family val="2"/>
          </rPr>
          <t>Zona de ubicación de la Institución u Organización.</t>
        </r>
      </text>
    </comment>
    <comment ref="DU7" authorId="0" shapeId="0" xr:uid="{00000000-0006-0000-1B00-000016000000}">
      <text>
        <r>
          <rPr>
            <b/>
            <sz val="9"/>
            <color indexed="81"/>
            <rFont val="Tahoma"/>
            <family val="2"/>
          </rPr>
          <t>Zona de ubicación del Recurso Ecosistémico.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OMAR NARANJO</author>
  </authors>
  <commentList>
    <comment ref="AB2" authorId="0" shapeId="0" xr:uid="{00000000-0006-0000-0900-000001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AE2" authorId="0" shapeId="0" xr:uid="{00000000-0006-0000-0900-000002000000}">
      <text>
        <r>
          <rPr>
            <b/>
            <sz val="12"/>
            <color indexed="81"/>
            <rFont val="Tahoma"/>
            <family val="2"/>
          </rPr>
          <t xml:space="preserve">Comente como desarrollo la acción de la Política Pública por medio de actividades, describiendo el Lugar, Temas desarrollados, etc. </t>
        </r>
      </text>
    </comment>
    <comment ref="AF2" authorId="0" shapeId="0" xr:uid="{00000000-0006-0000-0900-000003000000}">
      <text>
        <r>
          <rPr>
            <b/>
            <sz val="12"/>
            <color indexed="81"/>
            <rFont val="Tahoma"/>
            <family val="2"/>
          </rPr>
          <t>Describa que evidencias reposan en el desarrollo de la acción, contratos, actas, fotos, registros de asistencia, informes, documentos, videos, etc</t>
        </r>
      </text>
    </comment>
    <comment ref="AG2" authorId="0" shapeId="0" xr:uid="{00000000-0006-0000-0900-000004000000}">
      <text>
        <r>
          <rPr>
            <b/>
            <sz val="12"/>
            <color indexed="81"/>
            <rFont val="Tahoma"/>
            <family val="2"/>
          </rPr>
          <t xml:space="preserve">Comente que problemas, necesidades, aciertos y/o recomendacion se cuentan en el desarrollo de la acción. </t>
        </r>
      </text>
    </comment>
    <comment ref="BQ2" authorId="0" shapeId="0" xr:uid="{00000000-0006-0000-0900-000005000000}">
      <text>
        <r>
          <rPr>
            <b/>
            <sz val="9"/>
            <color indexed="81"/>
            <rFont val="Tahoma"/>
            <family val="2"/>
          </rPr>
          <t>La Sección de Matriz de Focalización de Recursos Ecosistémicos se diligencia cuando la acción va dirigida a un Recurso Natural, Fauna y Flora.</t>
        </r>
      </text>
    </comment>
    <comment ref="BW2" authorId="0" shapeId="0" xr:uid="{00000000-0006-0000-0900-000006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BZ2" authorId="0" shapeId="0" xr:uid="{00000000-0006-0000-0900-000007000000}">
      <text>
        <r>
          <rPr>
            <b/>
            <sz val="12"/>
            <color indexed="81"/>
            <rFont val="Tahoma"/>
            <family val="2"/>
          </rPr>
          <t xml:space="preserve">Comente como desarrollo la acción de la Política Pública por medio de actividades, describiendo el Lugar, Temas desarrollados, etc. </t>
        </r>
      </text>
    </comment>
    <comment ref="CA2" authorId="0" shapeId="0" xr:uid="{00000000-0006-0000-0900-000008000000}">
      <text>
        <r>
          <rPr>
            <b/>
            <sz val="12"/>
            <color indexed="81"/>
            <rFont val="Tahoma"/>
            <family val="2"/>
          </rPr>
          <t>Describa que evidencias reposan en el desarrollo de la acción, contratos, actas, fotos, registros de asistencia, informes, documentos, videos, etc</t>
        </r>
      </text>
    </comment>
    <comment ref="CB2" authorId="0" shapeId="0" xr:uid="{00000000-0006-0000-0900-000009000000}">
      <text>
        <r>
          <rPr>
            <b/>
            <sz val="12"/>
            <color indexed="81"/>
            <rFont val="Tahoma"/>
            <family val="2"/>
          </rPr>
          <t xml:space="preserve">Comente que problemas, necesidades, aciertos y/o recomendacion se cuentan en el desarrollo de la acción. </t>
        </r>
      </text>
    </comment>
    <comment ref="DL2" authorId="0" shapeId="0" xr:uid="{00000000-0006-0000-0900-00000A000000}">
      <text>
        <r>
          <rPr>
            <b/>
            <sz val="9"/>
            <color indexed="81"/>
            <rFont val="Tahoma"/>
            <family val="2"/>
          </rPr>
          <t>La Sección de Matriz de Focalización de Recursos Ecosistémicos se diligencia cuando la acción va dirigida a un Recurso Natural, Fauna y Flora.</t>
        </r>
      </text>
    </comment>
    <comment ref="AH3" authorId="0" shapeId="0" xr:uid="{00000000-0006-0000-0900-00000B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AI3" authorId="0" shapeId="0" xr:uid="{00000000-0006-0000-0900-00000C000000}">
      <text>
        <r>
          <rPr>
            <b/>
            <sz val="12"/>
            <color indexed="81"/>
            <rFont val="Tahoma"/>
            <family val="2"/>
          </rPr>
          <t>Detalle la cantidad de recursos invertidos del fondo de recursos propios (presupuestos corrientes del Municipio de Pereira)</t>
        </r>
      </text>
    </comment>
    <comment ref="AJ3" authorId="0" shapeId="0" xr:uid="{00000000-0006-0000-0900-00000D000000}">
      <text>
        <r>
          <rPr>
            <b/>
            <sz val="12"/>
            <color indexed="81"/>
            <rFont val="Tahoma"/>
            <family val="2"/>
          </rPr>
          <t>Detalle la cantidad de recursos invertidos del fondo de recursos del Sistema General de Participaciones (Recursos Girados desde la Nación por el SGP)</t>
        </r>
      </text>
    </comment>
    <comment ref="AK3" authorId="0" shapeId="0" xr:uid="{00000000-0006-0000-0900-00000E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AL3" authorId="0" shapeId="0" xr:uid="{00000000-0006-0000-0900-00000F000000}">
      <text>
        <r>
          <rPr>
            <b/>
            <sz val="12"/>
            <color indexed="81"/>
            <rFont val="Tahoma"/>
            <family val="2"/>
          </rPr>
          <t>Detalle el número de personas atendidas en cada acción.</t>
        </r>
      </text>
    </comment>
    <comment ref="AM3" authorId="0" shapeId="0" xr:uid="{00000000-0006-0000-0900-000010000000}">
      <text>
        <r>
          <rPr>
            <b/>
            <sz val="12"/>
            <color indexed="81"/>
            <rFont val="Tahoma"/>
            <family val="2"/>
          </rPr>
          <t>Según el total de personas atendidas descrimine los valores según su genero.</t>
        </r>
      </text>
    </comment>
    <comment ref="AO3" authorId="0" shapeId="0" xr:uid="{00000000-0006-0000-0900-000011000000}">
      <text>
        <r>
          <rPr>
            <b/>
            <sz val="12"/>
            <color indexed="81"/>
            <rFont val="Tahoma"/>
            <family val="2"/>
          </rPr>
          <t>Según el total de personas atendidas descrimine los valores según su zona.</t>
        </r>
      </text>
    </comment>
    <comment ref="AQ3" authorId="0" shapeId="0" xr:uid="{00000000-0006-0000-0900-000012000000}">
      <text>
        <r>
          <rPr>
            <b/>
            <sz val="12"/>
            <color indexed="81"/>
            <rFont val="Tahoma"/>
            <family val="2"/>
          </rPr>
          <t>Según el total de personas atendidas descrimine los valores según ciclos de edad.</t>
        </r>
      </text>
    </comment>
    <comment ref="AX3" authorId="0" shapeId="0" xr:uid="{00000000-0006-0000-0900-000013000000}">
      <text>
        <r>
          <rPr>
            <b/>
            <sz val="12"/>
            <color indexed="81"/>
            <rFont val="Tahoma"/>
            <family val="2"/>
          </rPr>
          <t>Según el total de personas atendidas descrimine los valores según su condición.</t>
        </r>
      </text>
    </comment>
    <comment ref="BF3" authorId="0" shapeId="0" xr:uid="{00000000-0006-0000-0900-000014000000}">
      <text>
        <r>
          <rPr>
            <b/>
            <sz val="12"/>
            <color indexed="81"/>
            <rFont val="Tahoma"/>
            <family val="2"/>
          </rPr>
          <t>Según el total de personas atendidas descrimine los valores según su etnia.</t>
        </r>
      </text>
    </comment>
    <comment ref="BL3" authorId="0" shapeId="0" xr:uid="{00000000-0006-0000-0900-000015000000}">
      <text>
        <r>
          <rPr>
            <b/>
            <sz val="12"/>
            <color indexed="81"/>
            <rFont val="Tahoma"/>
            <family val="2"/>
          </rPr>
          <t>En el caso que la acción este dirigida a una organización,  diligenciar el tipo de organización beneficiada.</t>
        </r>
      </text>
    </comment>
    <comment ref="BM3" authorId="0" shapeId="0" xr:uid="{00000000-0006-0000-0900-000016000000}">
      <text>
        <r>
          <rPr>
            <b/>
            <sz val="12"/>
            <color indexed="81"/>
            <rFont val="Tahoma"/>
            <family val="2"/>
          </rPr>
          <t>Describir el objeto principal de la institución u organización beneficiada.</t>
        </r>
      </text>
    </comment>
    <comment ref="BQ3" authorId="0" shapeId="0" xr:uid="{00000000-0006-0000-0900-000017000000}">
      <text>
        <r>
          <rPr>
            <b/>
            <sz val="12"/>
            <color indexed="81"/>
            <rFont val="Tahoma"/>
            <family val="2"/>
          </rPr>
          <t xml:space="preserve">Diligenciar si son: 
30 Caninos 
100 Arboles plantados  
2 cuencas recuperadas etc
</t>
        </r>
      </text>
    </comment>
    <comment ref="BR3" authorId="0" shapeId="0" xr:uid="{00000000-0006-0000-0900-000018000000}">
      <text>
        <r>
          <rPr>
            <b/>
            <sz val="12"/>
            <color indexed="81"/>
            <rFont val="Tahoma"/>
            <family val="2"/>
          </rPr>
          <t>Marcar con una X el tipo de recurso que se beneficio según la acción.</t>
        </r>
      </text>
    </comment>
    <comment ref="CC3" authorId="0" shapeId="0" xr:uid="{00000000-0006-0000-0900-000019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CD3" authorId="0" shapeId="0" xr:uid="{00000000-0006-0000-0900-00001A000000}">
      <text>
        <r>
          <rPr>
            <b/>
            <sz val="12"/>
            <color indexed="81"/>
            <rFont val="Tahoma"/>
            <family val="2"/>
          </rPr>
          <t>Detalle la cantidad de recursos invertidos del fondo de recursos propios (presupuestos corrientes del Municipio de Pereira)</t>
        </r>
      </text>
    </comment>
    <comment ref="CE3" authorId="0" shapeId="0" xr:uid="{00000000-0006-0000-0900-00001B000000}">
      <text>
        <r>
          <rPr>
            <b/>
            <sz val="12"/>
            <color indexed="81"/>
            <rFont val="Tahoma"/>
            <family val="2"/>
          </rPr>
          <t>Detalle la cantidad de recursos invertidos del fondo de recursos del Sistema General de Participaciones (Recursos Girados desde la Nación por el SGP)</t>
        </r>
      </text>
    </comment>
    <comment ref="CF3" authorId="0" shapeId="0" xr:uid="{00000000-0006-0000-0900-00001C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CG3" authorId="0" shapeId="0" xr:uid="{00000000-0006-0000-0900-00001D000000}">
      <text>
        <r>
          <rPr>
            <b/>
            <sz val="12"/>
            <color indexed="81"/>
            <rFont val="Tahoma"/>
            <family val="2"/>
          </rPr>
          <t>Detalle el número de personas atendidas en cada acción.</t>
        </r>
      </text>
    </comment>
    <comment ref="CH3" authorId="0" shapeId="0" xr:uid="{00000000-0006-0000-0900-00001E000000}">
      <text>
        <r>
          <rPr>
            <b/>
            <sz val="12"/>
            <color indexed="81"/>
            <rFont val="Tahoma"/>
            <family val="2"/>
          </rPr>
          <t>Según el total de personas atendidas descrimine los valores según su genero.</t>
        </r>
      </text>
    </comment>
    <comment ref="CJ3" authorId="0" shapeId="0" xr:uid="{00000000-0006-0000-0900-00001F000000}">
      <text>
        <r>
          <rPr>
            <b/>
            <sz val="12"/>
            <color indexed="81"/>
            <rFont val="Tahoma"/>
            <family val="2"/>
          </rPr>
          <t>Según el total de personas atendidas descrimine los valores según su zona.</t>
        </r>
      </text>
    </comment>
    <comment ref="CL3" authorId="0" shapeId="0" xr:uid="{00000000-0006-0000-0900-000020000000}">
      <text>
        <r>
          <rPr>
            <b/>
            <sz val="12"/>
            <color indexed="81"/>
            <rFont val="Tahoma"/>
            <family val="2"/>
          </rPr>
          <t>Según el total de personas atendidas descrimine los valores según ciclos de edad.</t>
        </r>
      </text>
    </comment>
    <comment ref="CS3" authorId="0" shapeId="0" xr:uid="{00000000-0006-0000-0900-000021000000}">
      <text>
        <r>
          <rPr>
            <b/>
            <sz val="12"/>
            <color indexed="81"/>
            <rFont val="Tahoma"/>
            <family val="2"/>
          </rPr>
          <t>Según el total de personas atendidas descrimine los valores según su condición.</t>
        </r>
      </text>
    </comment>
    <comment ref="DA3" authorId="0" shapeId="0" xr:uid="{00000000-0006-0000-0900-000022000000}">
      <text>
        <r>
          <rPr>
            <b/>
            <sz val="12"/>
            <color indexed="81"/>
            <rFont val="Tahoma"/>
            <family val="2"/>
          </rPr>
          <t>Según el total de personas atendidas descrimine los valores según su etnia.</t>
        </r>
      </text>
    </comment>
    <comment ref="DG3" authorId="0" shapeId="0" xr:uid="{00000000-0006-0000-0900-000023000000}">
      <text>
        <r>
          <rPr>
            <b/>
            <sz val="12"/>
            <color indexed="81"/>
            <rFont val="Tahoma"/>
            <family val="2"/>
          </rPr>
          <t>En el caso que la acción este dirigida a una organización,  diligenciar el tipo de organización beneficiada.</t>
        </r>
      </text>
    </comment>
    <comment ref="DH3" authorId="0" shapeId="0" xr:uid="{00000000-0006-0000-0900-000024000000}">
      <text>
        <r>
          <rPr>
            <b/>
            <sz val="12"/>
            <color indexed="81"/>
            <rFont val="Tahoma"/>
            <family val="2"/>
          </rPr>
          <t>Describir el objeto principal de la institución u organización beneficiada.</t>
        </r>
      </text>
    </comment>
    <comment ref="DL3" authorId="0" shapeId="0" xr:uid="{00000000-0006-0000-0900-000025000000}">
      <text>
        <r>
          <rPr>
            <b/>
            <sz val="12"/>
            <color indexed="81"/>
            <rFont val="Tahoma"/>
            <family val="2"/>
          </rPr>
          <t xml:space="preserve">Diligenciar si son: 
30 Caninos 
100 Arboles plantados  
2 cuencas recuperadas etc
</t>
        </r>
      </text>
    </comment>
    <comment ref="DM3" authorId="0" shapeId="0" xr:uid="{00000000-0006-0000-0900-000026000000}">
      <text>
        <r>
          <rPr>
            <b/>
            <sz val="12"/>
            <color indexed="81"/>
            <rFont val="Tahoma"/>
            <family val="2"/>
          </rPr>
          <t>Marcar con una X el tipo de recurso que se beneficio según la acción.</t>
        </r>
      </text>
    </comment>
    <comment ref="BO4" authorId="0" shapeId="0" xr:uid="{00000000-0006-0000-0900-000027000000}">
      <text>
        <r>
          <rPr>
            <b/>
            <sz val="12"/>
            <color indexed="81"/>
            <rFont val="Tahoma"/>
            <family val="2"/>
          </rPr>
          <t>Zona de ubicación de la Institución u Organización.</t>
        </r>
      </text>
    </comment>
    <comment ref="BP4" authorId="0" shapeId="0" xr:uid="{00000000-0006-0000-0900-000028000000}">
      <text>
        <r>
          <rPr>
            <b/>
            <sz val="12"/>
            <color indexed="81"/>
            <rFont val="Tahoma"/>
            <family val="2"/>
          </rPr>
          <t>Zona de ubicación de la Institución u Organización.</t>
        </r>
      </text>
    </comment>
    <comment ref="BU4" authorId="0" shapeId="0" xr:uid="{00000000-0006-0000-0900-000029000000}">
      <text>
        <r>
          <rPr>
            <b/>
            <sz val="9"/>
            <color indexed="81"/>
            <rFont val="Tahoma"/>
            <family val="2"/>
          </rPr>
          <t>Zona de ubicación del Recurso Ecosistémico.</t>
        </r>
      </text>
    </comment>
    <comment ref="DJ4" authorId="0" shapeId="0" xr:uid="{00000000-0006-0000-0900-00002A000000}">
      <text>
        <r>
          <rPr>
            <b/>
            <sz val="12"/>
            <color indexed="81"/>
            <rFont val="Tahoma"/>
            <family val="2"/>
          </rPr>
          <t>Zona de ubicación de la Institución u Organización.</t>
        </r>
      </text>
    </comment>
    <comment ref="DK4" authorId="0" shapeId="0" xr:uid="{00000000-0006-0000-0900-00002B000000}">
      <text>
        <r>
          <rPr>
            <b/>
            <sz val="12"/>
            <color indexed="81"/>
            <rFont val="Tahoma"/>
            <family val="2"/>
          </rPr>
          <t>Zona de ubicación de la Institución u Organización.</t>
        </r>
      </text>
    </comment>
    <comment ref="DP4" authorId="0" shapeId="0" xr:uid="{00000000-0006-0000-0900-00002C000000}">
      <text>
        <r>
          <rPr>
            <b/>
            <sz val="9"/>
            <color indexed="81"/>
            <rFont val="Tahoma"/>
            <family val="2"/>
          </rPr>
          <t>Zona de ubicación del Recurso Ecosistémico.</t>
        </r>
      </text>
    </comment>
    <comment ref="AB5" authorId="1" shapeId="0" xr:uid="{00000000-0006-0000-0900-00002D000000}">
      <text>
        <r>
          <rPr>
            <b/>
            <sz val="9"/>
            <color indexed="81"/>
            <rFont val="Tahoma"/>
            <family val="2"/>
          </rPr>
          <t>Realizaron 4  capacitaciones a 4 secretarías</t>
        </r>
      </text>
    </comment>
    <comment ref="BW5" authorId="1" shapeId="0" xr:uid="{00000000-0006-0000-0900-00002E000000}">
      <text>
        <r>
          <rPr>
            <b/>
            <sz val="9"/>
            <color indexed="81"/>
            <rFont val="Tahoma"/>
            <family val="2"/>
          </rPr>
          <t>Realizaron 4  capacitaciones a 4 secretarías</t>
        </r>
      </text>
    </comment>
    <comment ref="AB7" authorId="1" shapeId="0" xr:uid="{00000000-0006-0000-0900-00002F000000}">
      <text>
        <r>
          <rPr>
            <b/>
            <sz val="9"/>
            <color indexed="81"/>
            <rFont val="Tahoma"/>
            <family val="2"/>
          </rPr>
          <t>No indícan el porcentaje (%) de funcionarios que reconocen los componentes del plan anticorrupción. El reporte debe ser porcentual. Y tampoco suministran  información en la matriz de enfoque diferencial</t>
        </r>
      </text>
    </comment>
    <comment ref="BW7" authorId="1" shapeId="0" xr:uid="{00000000-0006-0000-0900-000030000000}">
      <text>
        <r>
          <rPr>
            <b/>
            <sz val="9"/>
            <color indexed="81"/>
            <rFont val="Tahoma"/>
            <family val="2"/>
          </rPr>
          <t>No indícan el porcentaje (%) de funcionarios que reconocen los componentes del plan anticorrupción. El reporte debe ser porcentual. Y tampoco suministran  información en la matriz de enfoque diferencial</t>
        </r>
      </text>
    </comment>
    <comment ref="AB10" authorId="1" shapeId="0" xr:uid="{00000000-0006-0000-0900-000031000000}">
      <text>
        <r>
          <rPr>
            <b/>
            <sz val="9"/>
            <color indexed="81"/>
            <rFont val="Tahoma"/>
            <family val="2"/>
          </rPr>
          <t>No Aplica porque se implementa en 2020</t>
        </r>
      </text>
    </comment>
    <comment ref="BW10" authorId="1" shapeId="0" xr:uid="{00000000-0006-0000-0900-000032000000}">
      <text>
        <r>
          <rPr>
            <b/>
            <sz val="9"/>
            <color indexed="81"/>
            <rFont val="Tahoma"/>
            <family val="2"/>
          </rPr>
          <t>No Aplica porque se implementa en 2020</t>
        </r>
      </text>
    </comment>
    <comment ref="AB12" authorId="1" shapeId="0" xr:uid="{00000000-0006-0000-0900-000033000000}">
      <text>
        <r>
          <rPr>
            <b/>
            <sz val="9"/>
            <color indexed="81"/>
            <rFont val="Tahoma"/>
            <family val="2"/>
          </rPr>
          <t>No Aplica porque se implementa en 2020</t>
        </r>
      </text>
    </comment>
    <comment ref="AE12" authorId="1" shapeId="0" xr:uid="{00000000-0006-0000-0900-000034000000}">
      <text>
        <r>
          <rPr>
            <b/>
            <sz val="9"/>
            <color indexed="81"/>
            <rFont val="Tahoma"/>
            <family val="2"/>
          </rPr>
          <t>Información entregada por las TICS mediante SAIA. Solo describe actividades, evidencias y observaciones. No indica ningún reporte exacto sobre el porcentaje (%) de implementación de una estrategia comunicativa</t>
        </r>
      </text>
    </comment>
    <comment ref="BW12" authorId="1" shapeId="0" xr:uid="{00000000-0006-0000-0900-000035000000}">
      <text>
        <r>
          <rPr>
            <b/>
            <sz val="9"/>
            <color indexed="81"/>
            <rFont val="Tahoma"/>
            <family val="2"/>
          </rPr>
          <t>No Aplica porque se implementa en 2020</t>
        </r>
      </text>
    </comment>
    <comment ref="AB16" authorId="1" shapeId="0" xr:uid="{00000000-0006-0000-0900-000036000000}">
      <text>
        <r>
          <rPr>
            <b/>
            <sz val="9"/>
            <color indexed="81"/>
            <rFont val="Tahoma"/>
            <family val="2"/>
          </rPr>
          <t>No Aplica porque se implementa en 2020. Sin embargo el reporte debe ser porcentual y no numérico</t>
        </r>
      </text>
    </comment>
    <comment ref="BW16" authorId="1" shapeId="0" xr:uid="{00000000-0006-0000-0900-000037000000}">
      <text>
        <r>
          <rPr>
            <b/>
            <sz val="9"/>
            <color indexed="81"/>
            <rFont val="Tahoma"/>
            <family val="2"/>
          </rPr>
          <t>No Aplica porque se implementa en 2020. Sin embargo el reporte debe ser porcentual y no numérico</t>
        </r>
      </text>
    </comment>
    <comment ref="AB22" authorId="1" shapeId="0" xr:uid="{00000000-0006-0000-0900-000038000000}">
      <text>
        <r>
          <rPr>
            <b/>
            <sz val="9"/>
            <color indexed="81"/>
            <rFont val="Tahoma"/>
            <family val="2"/>
          </rPr>
          <t>No Aplica porque se implementa en 2020. Sin embargo, el reporte de ejecución debe ser porcentual (corregir)</t>
        </r>
      </text>
    </comment>
    <comment ref="BW22" authorId="1" shapeId="0" xr:uid="{00000000-0006-0000-0900-000039000000}">
      <text>
        <r>
          <rPr>
            <b/>
            <sz val="9"/>
            <color indexed="81"/>
            <rFont val="Tahoma"/>
            <family val="2"/>
          </rPr>
          <t>No Aplica porque se implementa en 2020. Sin embargo, el reporte de ejecución debe ser porcentual (corregir)</t>
        </r>
      </text>
    </comment>
    <comment ref="AB23" authorId="1" shapeId="0" xr:uid="{00000000-0006-0000-0900-00003A000000}">
      <text>
        <r>
          <rPr>
            <b/>
            <sz val="9"/>
            <color indexed="81"/>
            <rFont val="Tahoma"/>
            <family val="2"/>
          </rPr>
          <t>No indicaron avances de la implementación de la acción</t>
        </r>
      </text>
    </comment>
    <comment ref="BW23" authorId="1" shapeId="0" xr:uid="{00000000-0006-0000-0900-00003B000000}">
      <text>
        <r>
          <rPr>
            <b/>
            <sz val="9"/>
            <color indexed="81"/>
            <rFont val="Tahoma"/>
            <family val="2"/>
          </rPr>
          <t>No indicaron avances de la implementación de la acción</t>
        </r>
      </text>
    </comment>
    <comment ref="AB25" authorId="1" shapeId="0" xr:uid="{00000000-0006-0000-0900-00003C000000}">
      <text>
        <r>
          <rPr>
            <b/>
            <sz val="9"/>
            <color indexed="81"/>
            <rFont val="Tahoma"/>
            <family val="2"/>
          </rPr>
          <t>No Aplica porque se implementa en 2020</t>
        </r>
      </text>
    </comment>
    <comment ref="BW25" authorId="1" shapeId="0" xr:uid="{00000000-0006-0000-0900-00003D000000}">
      <text>
        <r>
          <rPr>
            <b/>
            <sz val="9"/>
            <color indexed="81"/>
            <rFont val="Tahoma"/>
            <family val="2"/>
          </rPr>
          <t>No Aplica porque se implementa en 2020</t>
        </r>
      </text>
    </comment>
    <comment ref="AB46" authorId="1" shapeId="0" xr:uid="{00000000-0006-0000-0900-00003E000000}">
      <text>
        <r>
          <rPr>
            <b/>
            <sz val="9"/>
            <color indexed="81"/>
            <rFont val="Tahoma"/>
            <family val="2"/>
          </rPr>
          <t>No indican exactaente el porcentaje (%) de fortalecimiento de las escuelas de padres. Solo indican 532 actividades y tampoco indican el número de personas beneficiadas</t>
        </r>
      </text>
    </comment>
    <comment ref="BW46" authorId="1" shapeId="0" xr:uid="{00000000-0006-0000-0900-00003F000000}">
      <text>
        <r>
          <rPr>
            <b/>
            <sz val="9"/>
            <color indexed="81"/>
            <rFont val="Tahoma"/>
            <family val="2"/>
          </rPr>
          <t>No indican exactaente el porcentaje (%) de fortalecimiento de las escuelas de padres. Solo indican 532 actividades y tampoco indican el número de personas beneficiadas</t>
        </r>
      </text>
    </comment>
    <comment ref="AB49" authorId="1" shapeId="0" xr:uid="{00000000-0006-0000-0900-000040000000}">
      <text>
        <r>
          <rPr>
            <b/>
            <sz val="9"/>
            <color indexed="81"/>
            <rFont val="Tahoma"/>
            <family val="2"/>
          </rPr>
          <t>Reportaron 1, pero es posible que sea por falta de formato porcentual, se aplicó porcentaje y por ello da un 100% de cumplimiento, además por las actividades descritas y el número de personas atendidas se entiende el cumplimiento de la acción.</t>
        </r>
      </text>
    </comment>
    <comment ref="BW49" authorId="1" shapeId="0" xr:uid="{00000000-0006-0000-0900-000041000000}">
      <text>
        <r>
          <rPr>
            <b/>
            <sz val="9"/>
            <color indexed="81"/>
            <rFont val="Tahoma"/>
            <family val="2"/>
          </rPr>
          <t>Reportaron 1, pero es posible que sea por falta de formato porcentual, se aplicó porcentaje y por ello da un 100% de cumplimiento, además por las actividades descritas y el número de personas atendidas se entiende el cumplimiento de la acción.</t>
        </r>
      </text>
    </comment>
    <comment ref="AB50" authorId="1" shapeId="0" xr:uid="{00000000-0006-0000-0900-000042000000}">
      <text>
        <r>
          <rPr>
            <b/>
            <sz val="9"/>
            <color indexed="81"/>
            <rFont val="Tahoma"/>
            <family val="2"/>
          </rPr>
          <t>Se requiere un reporte porcentual sobre la percepción de cuidado por el espacio público. Reportan textualmente Capacitaciones y sensibilizaciones. Favor Corregir.</t>
        </r>
      </text>
    </comment>
    <comment ref="BW50" authorId="1" shapeId="0" xr:uid="{00000000-0006-0000-0900-000043000000}">
      <text>
        <r>
          <rPr>
            <b/>
            <sz val="9"/>
            <color indexed="81"/>
            <rFont val="Tahoma"/>
            <family val="2"/>
          </rPr>
          <t>Se requiere un reporte porcentual sobre la percepción de cuidado por el espacio público. Reportan textualmente Capacitaciones y sensibilizaciones. Favor Corregir.</t>
        </r>
      </text>
    </comment>
    <comment ref="AB51" authorId="1" shapeId="0" xr:uid="{00000000-0006-0000-0900-000044000000}">
      <text>
        <r>
          <rPr>
            <b/>
            <sz val="9"/>
            <color indexed="81"/>
            <rFont val="Tahoma"/>
            <family val="2"/>
          </rPr>
          <t>No Aplica porque se implementa en 2020</t>
        </r>
      </text>
    </comment>
    <comment ref="BW51" authorId="1" shapeId="0" xr:uid="{00000000-0006-0000-0900-000045000000}">
      <text>
        <r>
          <rPr>
            <b/>
            <sz val="9"/>
            <color indexed="81"/>
            <rFont val="Tahoma"/>
            <family val="2"/>
          </rPr>
          <t>No Aplica porque se implementa en 2020</t>
        </r>
      </text>
    </comment>
    <comment ref="AB53" authorId="1" shapeId="0" xr:uid="{00000000-0006-0000-0900-000046000000}">
      <text>
        <r>
          <rPr>
            <b/>
            <sz val="9"/>
            <color indexed="81"/>
            <rFont val="Tahoma"/>
            <family val="2"/>
          </rPr>
          <t>Indicar reporte porcentual de instituciones capacitadas. No indican población atendida. Favor corregir, por ahora la acción tiene un avance en 0%</t>
        </r>
      </text>
    </comment>
    <comment ref="BW53" authorId="1" shapeId="0" xr:uid="{00000000-0006-0000-0900-000047000000}">
      <text>
        <r>
          <rPr>
            <b/>
            <sz val="9"/>
            <color indexed="81"/>
            <rFont val="Tahoma"/>
            <family val="2"/>
          </rPr>
          <t>Indicar reporte porcentual de instituciones capacitadas. No indican población atendida. Favor corregir, por ahora la acción tiene un avance en 0%</t>
        </r>
      </text>
    </comment>
    <comment ref="AB56" authorId="1" shapeId="0" xr:uid="{00000000-0006-0000-0900-000048000000}">
      <text>
        <r>
          <rPr>
            <b/>
            <sz val="9"/>
            <color indexed="81"/>
            <rFont val="Tahoma"/>
            <family val="2"/>
          </rPr>
          <t>No reportan directamente el cumplimiento, sin embargo en la descripción de las actividades y los distintos eventos que indican fueron llevados a cabo cumplen con la meta 2019 que son dos eventos realizados, de igual manera se requiere el reporte específico.</t>
        </r>
      </text>
    </comment>
    <comment ref="BW56" authorId="1" shapeId="0" xr:uid="{00000000-0006-0000-0900-000049000000}">
      <text>
        <r>
          <rPr>
            <b/>
            <sz val="9"/>
            <color indexed="81"/>
            <rFont val="Tahoma"/>
            <family val="2"/>
          </rPr>
          <t>No reportan directamente el cumplimiento, sin embargo en la descripción de las actividades y los distintos eventos que indican fueron llevados a cabo cumplen con la meta 2019 que son dos eventos realizados, de igual manera se requiere el reporte específico.</t>
        </r>
      </text>
    </comment>
    <comment ref="AB65" authorId="1" shapeId="0" xr:uid="{00000000-0006-0000-0900-00004A000000}">
      <text>
        <r>
          <rPr>
            <b/>
            <sz val="9"/>
            <color indexed="81"/>
            <rFont val="Tahoma"/>
            <family val="2"/>
          </rPr>
          <t>NO REPORTAN EL NÚMERO DE CAMPAÑAS DE DIFUSIÓN, REPORTAN 150.697.160 QUE SE VE REFLEJADO EN LA MATRIZ FINANCIERA. EL REPORTE DEBE SER CORREGIDO, POR EL MOMENTO TIENE UN AVANCE EN 0%</t>
        </r>
      </text>
    </comment>
    <comment ref="BW65" authorId="1" shapeId="0" xr:uid="{00000000-0006-0000-0900-00004B000000}">
      <text>
        <r>
          <rPr>
            <b/>
            <sz val="9"/>
            <color indexed="81"/>
            <rFont val="Tahoma"/>
            <family val="2"/>
          </rPr>
          <t>NO REPORTAN EL NÚMERO DE CAMPAÑAS DE DIFUSIÓN, REPORTAN 150.697.160 QUE SE VE REFLEJADO EN LA MATRIZ FINANCIERA. EL REPORTE DEBE SER CORREGIDO, POR EL MOMENTO TIENE UN AVANCE EN 0%</t>
        </r>
      </text>
    </comment>
    <comment ref="AB68" authorId="1" shapeId="0" xr:uid="{00000000-0006-0000-0900-00004C000000}">
      <text>
        <r>
          <rPr>
            <b/>
            <sz val="9"/>
            <color indexed="81"/>
            <rFont val="Tahoma"/>
            <family val="2"/>
          </rPr>
          <t>Indican que no implementaron plan padrino</t>
        </r>
      </text>
    </comment>
    <comment ref="BW68" authorId="1" shapeId="0" xr:uid="{00000000-0006-0000-0900-00004D000000}">
      <text>
        <r>
          <rPr>
            <b/>
            <sz val="9"/>
            <color indexed="81"/>
            <rFont val="Tahoma"/>
            <family val="2"/>
          </rPr>
          <t>Indican que no implementaron plan padrino</t>
        </r>
      </text>
    </comment>
    <comment ref="AB72" authorId="1" shapeId="0" xr:uid="{00000000-0006-0000-0900-00004E000000}">
      <text>
        <r>
          <rPr>
            <b/>
            <sz val="9"/>
            <color indexed="81"/>
            <rFont val="Tahoma"/>
            <family val="2"/>
          </rPr>
          <t>Se toman las 3 campañas con el instituto de movilidad descritas en las actividades como reporte de ejecució,n aunque según lo indicado en las actividades  pueden haber sido más campañas pero no se especifica el número</t>
        </r>
      </text>
    </comment>
    <comment ref="BW72" authorId="1" shapeId="0" xr:uid="{00000000-0006-0000-0900-00004F000000}">
      <text>
        <r>
          <rPr>
            <b/>
            <sz val="9"/>
            <color indexed="81"/>
            <rFont val="Tahoma"/>
            <family val="2"/>
          </rPr>
          <t>Se toman las 3 campañas con el instituto de movilidad descritas en las actividades como reporte de ejecució,n aunque según lo indicado en las actividades  pueden haber sido más campañas pero no se especifica el número</t>
        </r>
      </text>
    </comment>
    <comment ref="AB79" authorId="1" shapeId="0" xr:uid="{00000000-0006-0000-0900-000050000000}">
      <text>
        <r>
          <rPr>
            <b/>
            <sz val="9"/>
            <color indexed="81"/>
            <rFont val="Tahoma"/>
            <family val="2"/>
          </rPr>
          <t>Según las actividades descritas, cumplen con más de un proceso de apropiación. Se toma como reporte de ejecución el plan piloto de educación ambiental que se lleva a cabo en los colegios</t>
        </r>
      </text>
    </comment>
    <comment ref="AH79" authorId="1" shapeId="0" xr:uid="{00000000-0006-0000-0900-000051000000}">
      <text>
        <r>
          <rPr>
            <b/>
            <sz val="9"/>
            <color indexed="81"/>
            <rFont val="Tahoma"/>
            <family val="2"/>
          </rPr>
          <t>Aseo: $1006650</t>
        </r>
      </text>
    </comment>
    <comment ref="AL79" authorId="1" shapeId="0" xr:uid="{00000000-0006-0000-0900-000052000000}">
      <text>
        <r>
          <rPr>
            <b/>
            <sz val="9"/>
            <color indexed="81"/>
            <rFont val="Tahoma"/>
            <family val="2"/>
          </rPr>
          <t>No hay congruencia entre el total atendidos y con el número de mujeres y hombres</t>
        </r>
      </text>
    </comment>
    <comment ref="BW79" authorId="1" shapeId="0" xr:uid="{00000000-0006-0000-0900-000053000000}">
      <text>
        <r>
          <rPr>
            <b/>
            <sz val="9"/>
            <color indexed="81"/>
            <rFont val="Tahoma"/>
            <family val="2"/>
          </rPr>
          <t>Según las actividades descritas, cumplen con más de un proceso de apropiación. Se toma como reporte de ejecución el plan piloto de educación ambiental que se lleva a cabo en los colegios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Usuario</author>
    <author>Oscar</author>
    <author>OMAR NARANJO</author>
  </authors>
  <commentList>
    <comment ref="L2" authorId="0" shapeId="0" xr:uid="{00000000-0006-0000-0A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M2" authorId="0" shapeId="0" xr:uid="{00000000-0006-0000-0A00-000002000000}">
      <text>
        <r>
          <rPr>
            <b/>
            <sz val="12"/>
            <color indexed="81"/>
            <rFont val="Tahoma"/>
            <family val="2"/>
          </rPr>
          <t xml:space="preserve">Comente como desarrollo la acción de la Política Pública por medio de actividades, describiendo el Lugar, Temas desarrollados, etc. </t>
        </r>
      </text>
    </comment>
    <comment ref="N2" authorId="0" shapeId="0" xr:uid="{00000000-0006-0000-0A00-000003000000}">
      <text>
        <r>
          <rPr>
            <b/>
            <sz val="12"/>
            <color indexed="81"/>
            <rFont val="Tahoma"/>
            <family val="2"/>
          </rPr>
          <t>Describa que evidencias reposan en el desarrollo de la acción, contratos, actas, fotos, registros de asistencia, informes, documentos, videos, etc</t>
        </r>
      </text>
    </comment>
    <comment ref="O2" authorId="0" shapeId="0" xr:uid="{00000000-0006-0000-0A00-000004000000}">
      <text>
        <r>
          <rPr>
            <b/>
            <sz val="12"/>
            <color indexed="81"/>
            <rFont val="Tahoma"/>
            <family val="2"/>
          </rPr>
          <t xml:space="preserve">Comente que problemas, necesidades, aciertos y/o recomendacion se cuentan en el desarrollo de la acción. </t>
        </r>
      </text>
    </comment>
    <comment ref="AY2" authorId="0" shapeId="0" xr:uid="{00000000-0006-0000-0A00-000005000000}">
      <text>
        <r>
          <rPr>
            <b/>
            <sz val="9"/>
            <color indexed="81"/>
            <rFont val="Tahoma"/>
            <family val="2"/>
          </rPr>
          <t>La Sección de Matriz de Focalización de Recursos Ecosistémicos se diligencia cuando la acción va dirigida a un Recurso Natural, Fauna y Flora.</t>
        </r>
      </text>
    </comment>
    <comment ref="BE2" authorId="0" shapeId="0" xr:uid="{00000000-0006-0000-0A00-000006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BH2" authorId="0" shapeId="0" xr:uid="{00000000-0006-0000-0A00-000007000000}">
      <text>
        <r>
          <rPr>
            <b/>
            <sz val="12"/>
            <color indexed="81"/>
            <rFont val="Tahoma"/>
            <family val="2"/>
          </rPr>
          <t xml:space="preserve">Comente como desarrollo la acción de la Política Pública por medio de actividades, describiendo el Lugar, Temas desarrollados, etc. </t>
        </r>
      </text>
    </comment>
    <comment ref="BI2" authorId="0" shapeId="0" xr:uid="{00000000-0006-0000-0A00-000008000000}">
      <text>
        <r>
          <rPr>
            <b/>
            <sz val="12"/>
            <color indexed="81"/>
            <rFont val="Tahoma"/>
            <family val="2"/>
          </rPr>
          <t>Describa que evidencias reposan en el desarrollo de la acción, contratos, actas, fotos, registros de asistencia, informes, documentos, videos, etc</t>
        </r>
      </text>
    </comment>
    <comment ref="BJ2" authorId="0" shapeId="0" xr:uid="{00000000-0006-0000-0A00-000009000000}">
      <text>
        <r>
          <rPr>
            <b/>
            <sz val="12"/>
            <color indexed="81"/>
            <rFont val="Tahoma"/>
            <family val="2"/>
          </rPr>
          <t xml:space="preserve">Comente que problemas, necesidades, aciertos y/o recomendacion se cuentan en el desarrollo de la acción. </t>
        </r>
      </text>
    </comment>
    <comment ref="CT2" authorId="0" shapeId="0" xr:uid="{00000000-0006-0000-0A00-00000A000000}">
      <text>
        <r>
          <rPr>
            <b/>
            <sz val="9"/>
            <color indexed="81"/>
            <rFont val="Tahoma"/>
            <family val="2"/>
          </rPr>
          <t>La Sección de Matriz de Focalización de Recursos Ecosistémicos se diligencia cuando la acción va dirigida a un Recurso Natural, Fauna y Flora.</t>
        </r>
      </text>
    </comment>
    <comment ref="P3" authorId="0" shapeId="0" xr:uid="{00000000-0006-0000-0A00-00000B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Q3" authorId="0" shapeId="0" xr:uid="{00000000-0006-0000-0A00-00000C000000}">
      <text>
        <r>
          <rPr>
            <b/>
            <sz val="12"/>
            <color indexed="81"/>
            <rFont val="Tahoma"/>
            <family val="2"/>
          </rPr>
          <t>Detalle la cantidad de recursos invertidos del fondo de recursos propios (presupuestos corrientes del Municipio de Pereira)</t>
        </r>
      </text>
    </comment>
    <comment ref="R3" authorId="0" shapeId="0" xr:uid="{00000000-0006-0000-0A00-00000D000000}">
      <text>
        <r>
          <rPr>
            <b/>
            <sz val="12"/>
            <color indexed="81"/>
            <rFont val="Tahoma"/>
            <family val="2"/>
          </rPr>
          <t>Detalle la cantidad de recursos invertidos del fondo de recursos del Sistema General de Participaciones (Recursos Girados desde la Nación por el SGP)</t>
        </r>
      </text>
    </comment>
    <comment ref="S3" authorId="0" shapeId="0" xr:uid="{00000000-0006-0000-0A00-00000E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T3" authorId="0" shapeId="0" xr:uid="{00000000-0006-0000-0A00-00000F000000}">
      <text>
        <r>
          <rPr>
            <b/>
            <sz val="12"/>
            <color indexed="81"/>
            <rFont val="Tahoma"/>
            <family val="2"/>
          </rPr>
          <t>Detalle el número de personas atendidas en cada acción.</t>
        </r>
      </text>
    </comment>
    <comment ref="U3" authorId="0" shapeId="0" xr:uid="{00000000-0006-0000-0A00-000010000000}">
      <text>
        <r>
          <rPr>
            <b/>
            <sz val="12"/>
            <color indexed="81"/>
            <rFont val="Tahoma"/>
            <family val="2"/>
          </rPr>
          <t>Según el total de personas atendidas descrimine los valores según su genero.</t>
        </r>
      </text>
    </comment>
    <comment ref="W3" authorId="0" shapeId="0" xr:uid="{00000000-0006-0000-0A00-000011000000}">
      <text>
        <r>
          <rPr>
            <b/>
            <sz val="12"/>
            <color indexed="81"/>
            <rFont val="Tahoma"/>
            <family val="2"/>
          </rPr>
          <t>Según el total de personas atendidas descrimine los valores según su zona.</t>
        </r>
      </text>
    </comment>
    <comment ref="Y3" authorId="0" shapeId="0" xr:uid="{00000000-0006-0000-0A00-000012000000}">
      <text>
        <r>
          <rPr>
            <b/>
            <sz val="12"/>
            <color indexed="81"/>
            <rFont val="Tahoma"/>
            <family val="2"/>
          </rPr>
          <t>Según el total de personas atendidas descrimine los valores según ciclos de edad.</t>
        </r>
      </text>
    </comment>
    <comment ref="AF3" authorId="0" shapeId="0" xr:uid="{00000000-0006-0000-0A00-000013000000}">
      <text>
        <r>
          <rPr>
            <b/>
            <sz val="12"/>
            <color indexed="81"/>
            <rFont val="Tahoma"/>
            <family val="2"/>
          </rPr>
          <t>Según el total de personas atendidas descrimine los valores según su condición.</t>
        </r>
      </text>
    </comment>
    <comment ref="AN3" authorId="0" shapeId="0" xr:uid="{00000000-0006-0000-0A00-000014000000}">
      <text>
        <r>
          <rPr>
            <b/>
            <sz val="12"/>
            <color indexed="81"/>
            <rFont val="Tahoma"/>
            <family val="2"/>
          </rPr>
          <t>Según el total de personas atendidas descrimine los valores según su etnia.</t>
        </r>
      </text>
    </comment>
    <comment ref="AT3" authorId="0" shapeId="0" xr:uid="{00000000-0006-0000-0A00-000015000000}">
      <text>
        <r>
          <rPr>
            <b/>
            <sz val="12"/>
            <color indexed="81"/>
            <rFont val="Tahoma"/>
            <family val="2"/>
          </rPr>
          <t>En el caso que la acción este dirigida a una organización,  diligenciar el tipo de organización beneficiada.</t>
        </r>
      </text>
    </comment>
    <comment ref="AU3" authorId="0" shapeId="0" xr:uid="{00000000-0006-0000-0A00-000016000000}">
      <text>
        <r>
          <rPr>
            <b/>
            <sz val="12"/>
            <color indexed="81"/>
            <rFont val="Tahoma"/>
            <family val="2"/>
          </rPr>
          <t>Describir el objeto principal de la institución u organización beneficiada.</t>
        </r>
      </text>
    </comment>
    <comment ref="AY3" authorId="0" shapeId="0" xr:uid="{00000000-0006-0000-0A00-000017000000}">
      <text>
        <r>
          <rPr>
            <b/>
            <sz val="12"/>
            <color indexed="81"/>
            <rFont val="Tahoma"/>
            <family val="2"/>
          </rPr>
          <t xml:space="preserve">Diligenciar si son: 
30 Caninos 
100 Arboles plantados  
2 cuencas recuperadas etc
</t>
        </r>
      </text>
    </comment>
    <comment ref="AZ3" authorId="0" shapeId="0" xr:uid="{00000000-0006-0000-0A00-000018000000}">
      <text>
        <r>
          <rPr>
            <b/>
            <sz val="12"/>
            <color indexed="81"/>
            <rFont val="Tahoma"/>
            <family val="2"/>
          </rPr>
          <t>Marcar con una X el tipo de recurso que se beneficio según la acción.</t>
        </r>
      </text>
    </comment>
    <comment ref="BK3" authorId="0" shapeId="0" xr:uid="{00000000-0006-0000-0A00-000019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BL3" authorId="0" shapeId="0" xr:uid="{00000000-0006-0000-0A00-00001A000000}">
      <text>
        <r>
          <rPr>
            <b/>
            <sz val="12"/>
            <color indexed="81"/>
            <rFont val="Tahoma"/>
            <family val="2"/>
          </rPr>
          <t>Detalle la cantidad de recursos invertidos del fondo de recursos propios (presupuestos corrientes del Municipio de Pereira)</t>
        </r>
      </text>
    </comment>
    <comment ref="BM3" authorId="0" shapeId="0" xr:uid="{00000000-0006-0000-0A00-00001B000000}">
      <text>
        <r>
          <rPr>
            <b/>
            <sz val="12"/>
            <color indexed="81"/>
            <rFont val="Tahoma"/>
            <family val="2"/>
          </rPr>
          <t>Detalle la cantidad de recursos invertidos del fondo de recursos del Sistema General de Participaciones (Recursos Girados desde la Nación por el SGP)</t>
        </r>
      </text>
    </comment>
    <comment ref="BN3" authorId="0" shapeId="0" xr:uid="{00000000-0006-0000-0A00-00001C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BO3" authorId="0" shapeId="0" xr:uid="{00000000-0006-0000-0A00-00001D000000}">
      <text>
        <r>
          <rPr>
            <b/>
            <sz val="12"/>
            <color indexed="81"/>
            <rFont val="Tahoma"/>
            <family val="2"/>
          </rPr>
          <t>Detalle el número de personas atendidas en cada acción.</t>
        </r>
      </text>
    </comment>
    <comment ref="BP3" authorId="0" shapeId="0" xr:uid="{00000000-0006-0000-0A00-00001E000000}">
      <text>
        <r>
          <rPr>
            <b/>
            <sz val="12"/>
            <color indexed="81"/>
            <rFont val="Tahoma"/>
            <family val="2"/>
          </rPr>
          <t>Según el total de personas atendidas descrimine los valores según su genero.</t>
        </r>
      </text>
    </comment>
    <comment ref="BR3" authorId="0" shapeId="0" xr:uid="{00000000-0006-0000-0A00-00001F000000}">
      <text>
        <r>
          <rPr>
            <b/>
            <sz val="12"/>
            <color indexed="81"/>
            <rFont val="Tahoma"/>
            <family val="2"/>
          </rPr>
          <t>Según el total de personas atendidas descrimine los valores según su zona.</t>
        </r>
      </text>
    </comment>
    <comment ref="BT3" authorId="0" shapeId="0" xr:uid="{00000000-0006-0000-0A00-000020000000}">
      <text>
        <r>
          <rPr>
            <b/>
            <sz val="12"/>
            <color indexed="81"/>
            <rFont val="Tahoma"/>
            <family val="2"/>
          </rPr>
          <t>Según el total de personas atendidas descrimine los valores según ciclos de edad.</t>
        </r>
      </text>
    </comment>
    <comment ref="CA3" authorId="0" shapeId="0" xr:uid="{00000000-0006-0000-0A00-000021000000}">
      <text>
        <r>
          <rPr>
            <b/>
            <sz val="12"/>
            <color indexed="81"/>
            <rFont val="Tahoma"/>
            <family val="2"/>
          </rPr>
          <t>Según el total de personas atendidas descrimine los valores según su condición.</t>
        </r>
      </text>
    </comment>
    <comment ref="CI3" authorId="0" shapeId="0" xr:uid="{00000000-0006-0000-0A00-000022000000}">
      <text>
        <r>
          <rPr>
            <b/>
            <sz val="12"/>
            <color indexed="81"/>
            <rFont val="Tahoma"/>
            <family val="2"/>
          </rPr>
          <t>Según el total de personas atendidas descrimine los valores según su etnia.</t>
        </r>
      </text>
    </comment>
    <comment ref="CO3" authorId="0" shapeId="0" xr:uid="{00000000-0006-0000-0A00-000023000000}">
      <text>
        <r>
          <rPr>
            <b/>
            <sz val="12"/>
            <color indexed="81"/>
            <rFont val="Tahoma"/>
            <family val="2"/>
          </rPr>
          <t>En el caso que la acción este dirigida a una organización,  diligenciar el tipo de organización beneficiada.</t>
        </r>
      </text>
    </comment>
    <comment ref="CP3" authorId="0" shapeId="0" xr:uid="{00000000-0006-0000-0A00-000024000000}">
      <text>
        <r>
          <rPr>
            <b/>
            <sz val="12"/>
            <color indexed="81"/>
            <rFont val="Tahoma"/>
            <family val="2"/>
          </rPr>
          <t>Describir el objeto principal de la institución u organización beneficiada.</t>
        </r>
      </text>
    </comment>
    <comment ref="CT3" authorId="0" shapeId="0" xr:uid="{00000000-0006-0000-0A00-000025000000}">
      <text>
        <r>
          <rPr>
            <b/>
            <sz val="12"/>
            <color indexed="81"/>
            <rFont val="Tahoma"/>
            <family val="2"/>
          </rPr>
          <t xml:space="preserve">Diligenciar si son: 
30 Caninos 
100 Arboles plantados  
2 cuencas recuperadas etc
</t>
        </r>
      </text>
    </comment>
    <comment ref="CU3" authorId="0" shapeId="0" xr:uid="{00000000-0006-0000-0A00-000026000000}">
      <text>
        <r>
          <rPr>
            <b/>
            <sz val="12"/>
            <color indexed="81"/>
            <rFont val="Tahoma"/>
            <family val="2"/>
          </rPr>
          <t>Marcar con una X el tipo de recurso que se beneficio según la acción.</t>
        </r>
      </text>
    </comment>
    <comment ref="CZ3" authorId="0" shapeId="0" xr:uid="{00000000-0006-0000-0A00-000027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C3" authorId="0" shapeId="0" xr:uid="{00000000-0006-0000-0A00-000028000000}">
      <text>
        <r>
          <rPr>
            <b/>
            <sz val="12"/>
            <color indexed="81"/>
            <rFont val="Tahoma"/>
            <family val="2"/>
          </rPr>
          <t xml:space="preserve">Comente como desarrollo la acción de la Política Pública por medio de actividades, describiendo el Lugar, Temas desarrollados, etc. </t>
        </r>
      </text>
    </comment>
    <comment ref="DD3" authorId="0" shapeId="0" xr:uid="{00000000-0006-0000-0A00-000029000000}">
      <text>
        <r>
          <rPr>
            <b/>
            <sz val="12"/>
            <color indexed="81"/>
            <rFont val="Tahoma"/>
            <family val="2"/>
          </rPr>
          <t>Describa que evidencias reposan en el desarrollo de la acción, contratos, actas, fotos, registros de asistencia, informes, documentos, videos, etc</t>
        </r>
      </text>
    </comment>
    <comment ref="DE3" authorId="0" shapeId="0" xr:uid="{00000000-0006-0000-0A00-00002A000000}">
      <text>
        <r>
          <rPr>
            <b/>
            <sz val="12"/>
            <color indexed="81"/>
            <rFont val="Tahoma"/>
            <family val="2"/>
          </rPr>
          <t xml:space="preserve">Comente que problemas, necesidades, aciertos y/o recomendacion se cuentan en el desarrollo de la acción. </t>
        </r>
      </text>
    </comment>
    <comment ref="EO3" authorId="0" shapeId="0" xr:uid="{00000000-0006-0000-0A00-00002B000000}">
      <text>
        <r>
          <rPr>
            <b/>
            <sz val="9"/>
            <color indexed="81"/>
            <rFont val="Tahoma"/>
            <family val="2"/>
          </rPr>
          <t>La Sección de Matriz de Focalización de Recursos Ecosistémicos se diligencia cuando la acción va dirigida a un Recurso Natural, Fauna y Flora.</t>
        </r>
      </text>
    </comment>
    <comment ref="DF4" authorId="0" shapeId="0" xr:uid="{00000000-0006-0000-0A00-00002C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DG4" authorId="0" shapeId="0" xr:uid="{00000000-0006-0000-0A00-00002D000000}">
      <text>
        <r>
          <rPr>
            <b/>
            <sz val="12"/>
            <color indexed="81"/>
            <rFont val="Tahoma"/>
            <family val="2"/>
          </rPr>
          <t>Detalle la cantidad de recursos invertidos del fondo de recursos propios (presupuestos corrientes del Municipio de Pereira)</t>
        </r>
      </text>
    </comment>
    <comment ref="DH4" authorId="0" shapeId="0" xr:uid="{00000000-0006-0000-0A00-00002E000000}">
      <text>
        <r>
          <rPr>
            <b/>
            <sz val="12"/>
            <color indexed="81"/>
            <rFont val="Tahoma"/>
            <family val="2"/>
          </rPr>
          <t>Detalle la cantidad de recursos invertidos del fondo de recursos del Sistema General de Participaciones (Recursos Girados desde la Nación por el SGP)</t>
        </r>
      </text>
    </comment>
    <comment ref="DI4" authorId="0" shapeId="0" xr:uid="{00000000-0006-0000-0A00-00002F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DJ4" authorId="0" shapeId="0" xr:uid="{00000000-0006-0000-0A00-000030000000}">
      <text>
        <r>
          <rPr>
            <b/>
            <sz val="12"/>
            <color indexed="81"/>
            <rFont val="Tahoma"/>
            <family val="2"/>
          </rPr>
          <t>Detalle el número de personas atendidas en cada acción.</t>
        </r>
      </text>
    </comment>
    <comment ref="DK4" authorId="0" shapeId="0" xr:uid="{00000000-0006-0000-0A00-000031000000}">
      <text>
        <r>
          <rPr>
            <b/>
            <sz val="12"/>
            <color indexed="81"/>
            <rFont val="Tahoma"/>
            <family val="2"/>
          </rPr>
          <t>Según el total de personas atendidas descrimine los valores según su genero.</t>
        </r>
      </text>
    </comment>
    <comment ref="DM4" authorId="0" shapeId="0" xr:uid="{00000000-0006-0000-0A00-000032000000}">
      <text>
        <r>
          <rPr>
            <b/>
            <sz val="12"/>
            <color indexed="81"/>
            <rFont val="Tahoma"/>
            <family val="2"/>
          </rPr>
          <t>Según el total de personas atendidas descrimine los valores según su zona.</t>
        </r>
      </text>
    </comment>
    <comment ref="DO4" authorId="0" shapeId="0" xr:uid="{00000000-0006-0000-0A00-000033000000}">
      <text>
        <r>
          <rPr>
            <b/>
            <sz val="12"/>
            <color indexed="81"/>
            <rFont val="Tahoma"/>
            <family val="2"/>
          </rPr>
          <t>Según el total de personas atendidas descrimine los valores según ciclos de edad.</t>
        </r>
      </text>
    </comment>
    <comment ref="DV4" authorId="0" shapeId="0" xr:uid="{00000000-0006-0000-0A00-000034000000}">
      <text>
        <r>
          <rPr>
            <b/>
            <sz val="12"/>
            <color indexed="81"/>
            <rFont val="Tahoma"/>
            <family val="2"/>
          </rPr>
          <t>Según el total de personas atendidas descrimine los valores según su condición.</t>
        </r>
      </text>
    </comment>
    <comment ref="ED4" authorId="0" shapeId="0" xr:uid="{00000000-0006-0000-0A00-000035000000}">
      <text>
        <r>
          <rPr>
            <b/>
            <sz val="12"/>
            <color indexed="81"/>
            <rFont val="Tahoma"/>
            <family val="2"/>
          </rPr>
          <t>Según el total de personas atendidas descrimine los valores según su etnia.</t>
        </r>
      </text>
    </comment>
    <comment ref="EJ4" authorId="0" shapeId="0" xr:uid="{00000000-0006-0000-0A00-000036000000}">
      <text>
        <r>
          <rPr>
            <b/>
            <sz val="12"/>
            <color indexed="81"/>
            <rFont val="Tahoma"/>
            <family val="2"/>
          </rPr>
          <t>En el caso que la acción este dirigida a una organización,  diligenciar el tipo de organización beneficiada.</t>
        </r>
      </text>
    </comment>
    <comment ref="EK4" authorId="0" shapeId="0" xr:uid="{00000000-0006-0000-0A00-000037000000}">
      <text>
        <r>
          <rPr>
            <b/>
            <sz val="12"/>
            <color indexed="81"/>
            <rFont val="Tahoma"/>
            <family val="2"/>
          </rPr>
          <t>Describir el objeto principal de la institución u organización beneficiada.</t>
        </r>
      </text>
    </comment>
    <comment ref="EO4" authorId="0" shapeId="0" xr:uid="{00000000-0006-0000-0A00-000038000000}">
      <text>
        <r>
          <rPr>
            <b/>
            <sz val="12"/>
            <color indexed="81"/>
            <rFont val="Tahoma"/>
            <family val="2"/>
          </rPr>
          <t xml:space="preserve">Diligenciar si son: 
30 Caninos 
100 Arboles plantados  
2 cuencas recuperadas etc
</t>
        </r>
      </text>
    </comment>
    <comment ref="EP4" authorId="0" shapeId="0" xr:uid="{00000000-0006-0000-0A00-000039000000}">
      <text>
        <r>
          <rPr>
            <b/>
            <sz val="12"/>
            <color indexed="81"/>
            <rFont val="Tahoma"/>
            <family val="2"/>
          </rPr>
          <t>Marcar con una X el tipo de recurso que se beneficio según la acción.</t>
        </r>
      </text>
    </comment>
    <comment ref="AW5" authorId="0" shapeId="0" xr:uid="{00000000-0006-0000-0A00-00003A000000}">
      <text>
        <r>
          <rPr>
            <b/>
            <sz val="12"/>
            <color indexed="81"/>
            <rFont val="Tahoma"/>
            <family val="2"/>
          </rPr>
          <t>Zona de ubicación de la Institución u Organización.</t>
        </r>
      </text>
    </comment>
    <comment ref="AX5" authorId="0" shapeId="0" xr:uid="{00000000-0006-0000-0A00-00003B000000}">
      <text>
        <r>
          <rPr>
            <b/>
            <sz val="12"/>
            <color indexed="81"/>
            <rFont val="Tahoma"/>
            <family val="2"/>
          </rPr>
          <t>Zona de ubicación de la Institución u Organización.</t>
        </r>
      </text>
    </comment>
    <comment ref="BC5" authorId="0" shapeId="0" xr:uid="{00000000-0006-0000-0A00-00003C000000}">
      <text>
        <r>
          <rPr>
            <b/>
            <sz val="9"/>
            <color indexed="81"/>
            <rFont val="Tahoma"/>
            <family val="2"/>
          </rPr>
          <t>Zona de ubicación del Recurso Ecosistémico.</t>
        </r>
      </text>
    </comment>
    <comment ref="CR5" authorId="0" shapeId="0" xr:uid="{00000000-0006-0000-0A00-00003D000000}">
      <text>
        <r>
          <rPr>
            <b/>
            <sz val="12"/>
            <color indexed="81"/>
            <rFont val="Tahoma"/>
            <family val="2"/>
          </rPr>
          <t>Zona de ubicación de la Institución u Organización.</t>
        </r>
      </text>
    </comment>
    <comment ref="CS5" authorId="0" shapeId="0" xr:uid="{00000000-0006-0000-0A00-00003E000000}">
      <text>
        <r>
          <rPr>
            <b/>
            <sz val="12"/>
            <color indexed="81"/>
            <rFont val="Tahoma"/>
            <family val="2"/>
          </rPr>
          <t>Zona de ubicación de la Institución u Organización.</t>
        </r>
      </text>
    </comment>
    <comment ref="CX5" authorId="0" shapeId="0" xr:uid="{00000000-0006-0000-0A00-00003F000000}">
      <text>
        <r>
          <rPr>
            <b/>
            <sz val="9"/>
            <color indexed="81"/>
            <rFont val="Tahoma"/>
            <family val="2"/>
          </rPr>
          <t>Zona de ubicación del Recurso Ecosistémico.</t>
        </r>
      </text>
    </comment>
    <comment ref="EM5" authorId="0" shapeId="0" xr:uid="{00000000-0006-0000-0A00-000040000000}">
      <text>
        <r>
          <rPr>
            <b/>
            <sz val="12"/>
            <color indexed="81"/>
            <rFont val="Tahoma"/>
            <family val="2"/>
          </rPr>
          <t>Zona de ubicación de la Institución u Organización.</t>
        </r>
      </text>
    </comment>
    <comment ref="EN5" authorId="0" shapeId="0" xr:uid="{00000000-0006-0000-0A00-000041000000}">
      <text>
        <r>
          <rPr>
            <b/>
            <sz val="12"/>
            <color indexed="81"/>
            <rFont val="Tahoma"/>
            <family val="2"/>
          </rPr>
          <t>Zona de ubicación de la Institución u Organización.</t>
        </r>
      </text>
    </comment>
    <comment ref="ES5" authorId="0" shapeId="0" xr:uid="{00000000-0006-0000-0A00-000042000000}">
      <text>
        <r>
          <rPr>
            <b/>
            <sz val="9"/>
            <color indexed="81"/>
            <rFont val="Tahoma"/>
            <family val="2"/>
          </rPr>
          <t>Zona de ubicación del Recurso Ecosistémico.</t>
        </r>
      </text>
    </comment>
    <comment ref="L6" authorId="1" shapeId="0" xr:uid="{00000000-0006-0000-0A00-000043000000}">
      <text>
        <r>
          <rPr>
            <b/>
            <sz val="9"/>
            <color indexed="81"/>
            <rFont val="Tahoma"/>
            <family val="2"/>
          </rPr>
          <t>reportan 3 y con base en las actividades y el reporte del 2017 se deja ejecucion del 80%</t>
        </r>
        <r>
          <rPr>
            <sz val="9"/>
            <color indexed="81"/>
            <rFont val="Tahoma"/>
            <family val="2"/>
          </rPr>
          <t xml:space="preserve">
</t>
        </r>
      </text>
    </comment>
    <comment ref="L7" authorId="1" shapeId="0" xr:uid="{00000000-0006-0000-0A00-000044000000}">
      <text>
        <r>
          <rPr>
            <b/>
            <sz val="9"/>
            <color indexed="81"/>
            <rFont val="Tahoma"/>
            <family val="2"/>
          </rPr>
          <t>reportan 3 y dadas las actividades y reporte del 2017 se deja al 100%</t>
        </r>
        <r>
          <rPr>
            <sz val="9"/>
            <color indexed="81"/>
            <rFont val="Tahoma"/>
            <family val="2"/>
          </rPr>
          <t xml:space="preserve">
</t>
        </r>
      </text>
    </comment>
    <comment ref="BP10" authorId="2" shapeId="0" xr:uid="{00000000-0006-0000-0A00-000045000000}">
      <text>
        <r>
          <rPr>
            <b/>
            <sz val="9"/>
            <color indexed="81"/>
            <rFont val="Tahoma"/>
            <family val="2"/>
          </rPr>
          <t>Oscar:</t>
        </r>
        <r>
          <rPr>
            <sz val="9"/>
            <color indexed="81"/>
            <rFont val="Tahoma"/>
            <family val="2"/>
          </rPr>
          <t xml:space="preserve">
</t>
        </r>
        <r>
          <rPr>
            <sz val="12"/>
            <color indexed="81"/>
            <rFont val="Tahoma"/>
            <family val="2"/>
          </rPr>
          <t>Falta caracterizar la población</t>
        </r>
      </text>
    </comment>
    <comment ref="L14" authorId="1" shapeId="0" xr:uid="{00000000-0006-0000-0A00-000046000000}">
      <text>
        <r>
          <rPr>
            <b/>
            <sz val="9"/>
            <color indexed="81"/>
            <rFont val="Tahoma"/>
            <family val="2"/>
          </rPr>
          <t>Usuario:</t>
        </r>
        <r>
          <rPr>
            <sz val="9"/>
            <color indexed="81"/>
            <rFont val="Tahoma"/>
            <family val="2"/>
          </rPr>
          <t>repoertan 3 se deja al 90%</t>
        </r>
      </text>
    </comment>
    <comment ref="L15" authorId="1" shapeId="0" xr:uid="{00000000-0006-0000-0A00-000047000000}">
      <text>
        <r>
          <rPr>
            <b/>
            <sz val="9"/>
            <color indexed="81"/>
            <rFont val="Tahoma"/>
            <family val="2"/>
          </rPr>
          <t>reportan 12411 equicalentes al 50%</t>
        </r>
      </text>
    </comment>
    <comment ref="BK18" authorId="2" shapeId="0" xr:uid="{00000000-0006-0000-0A00-000048000000}">
      <text>
        <r>
          <rPr>
            <b/>
            <sz val="9"/>
            <color indexed="81"/>
            <rFont val="Tahoma"/>
            <family val="2"/>
          </rPr>
          <t>Oscar:</t>
        </r>
        <r>
          <rPr>
            <sz val="9"/>
            <color indexed="81"/>
            <rFont val="Tahoma"/>
            <family val="2"/>
          </rPr>
          <t xml:space="preserve">
</t>
        </r>
        <r>
          <rPr>
            <sz val="14"/>
            <color indexed="81"/>
            <rFont val="Tahoma"/>
            <family val="2"/>
          </rPr>
          <t>El presupuesto se debe discriminar en recursos propios, SGP o destinación especifica</t>
        </r>
      </text>
    </comment>
    <comment ref="BP18" authorId="2" shapeId="0" xr:uid="{00000000-0006-0000-0A00-000049000000}">
      <text>
        <r>
          <rPr>
            <b/>
            <sz val="9"/>
            <color indexed="81"/>
            <rFont val="Tahoma"/>
            <family val="2"/>
          </rPr>
          <t>Oscar:</t>
        </r>
        <r>
          <rPr>
            <sz val="9"/>
            <color indexed="81"/>
            <rFont val="Tahoma"/>
            <family val="2"/>
          </rPr>
          <t xml:space="preserve">
</t>
        </r>
        <r>
          <rPr>
            <sz val="14"/>
            <color indexed="81"/>
            <rFont val="Tahoma"/>
            <family val="2"/>
          </rPr>
          <t>Se debe reportar las personas o instituciones beneficiarias</t>
        </r>
      </text>
    </comment>
    <comment ref="BK19" authorId="2" shapeId="0" xr:uid="{00000000-0006-0000-0A00-00004A000000}">
      <text>
        <r>
          <rPr>
            <b/>
            <sz val="9"/>
            <color indexed="81"/>
            <rFont val="Tahoma"/>
            <family val="2"/>
          </rPr>
          <t>Oscar:</t>
        </r>
        <r>
          <rPr>
            <sz val="9"/>
            <color indexed="81"/>
            <rFont val="Tahoma"/>
            <family val="2"/>
          </rPr>
          <t xml:space="preserve">
El presupuesto se debe discriminar en recursos propios, SGP o destinación especifica</t>
        </r>
      </text>
    </comment>
    <comment ref="BP19" authorId="2" shapeId="0" xr:uid="{00000000-0006-0000-0A00-00004B000000}">
      <text>
        <r>
          <rPr>
            <b/>
            <sz val="9"/>
            <color indexed="81"/>
            <rFont val="Tahoma"/>
            <family val="2"/>
          </rPr>
          <t>Oscar:</t>
        </r>
        <r>
          <rPr>
            <sz val="9"/>
            <color indexed="81"/>
            <rFont val="Tahoma"/>
            <family val="2"/>
          </rPr>
          <t xml:space="preserve">
</t>
        </r>
        <r>
          <rPr>
            <sz val="14"/>
            <color indexed="81"/>
            <rFont val="Tahoma"/>
            <family val="2"/>
          </rPr>
          <t>Se debe reportar las personas o instituciones beneficiarias</t>
        </r>
      </text>
    </comment>
    <comment ref="L21" authorId="1" shapeId="0" xr:uid="{00000000-0006-0000-0A00-00004C000000}">
      <text>
        <r>
          <rPr>
            <b/>
            <sz val="9"/>
            <color indexed="81"/>
            <rFont val="Tahoma"/>
            <family val="2"/>
          </rPr>
          <t>reportan 3451 se deja al 100%</t>
        </r>
        <r>
          <rPr>
            <sz val="9"/>
            <color indexed="81"/>
            <rFont val="Tahoma"/>
            <family val="2"/>
          </rPr>
          <t xml:space="preserve">
</t>
        </r>
      </text>
    </comment>
    <comment ref="BK21" authorId="2" shapeId="0" xr:uid="{00000000-0006-0000-0A00-00004D000000}">
      <text>
        <r>
          <rPr>
            <b/>
            <sz val="9"/>
            <color indexed="81"/>
            <rFont val="Tahoma"/>
            <family val="2"/>
          </rPr>
          <t>Oscar:</t>
        </r>
        <r>
          <rPr>
            <sz val="9"/>
            <color indexed="81"/>
            <rFont val="Tahoma"/>
            <family val="2"/>
          </rPr>
          <t xml:space="preserve">
El presupuesto se debe discriminar en recursos propios, SGP o destinación especifica</t>
        </r>
      </text>
    </comment>
    <comment ref="BP21" authorId="2" shapeId="0" xr:uid="{00000000-0006-0000-0A00-00004E000000}">
      <text>
        <r>
          <rPr>
            <b/>
            <sz val="9"/>
            <color indexed="81"/>
            <rFont val="Tahoma"/>
            <family val="2"/>
          </rPr>
          <t>Oscar:</t>
        </r>
        <r>
          <rPr>
            <sz val="9"/>
            <color indexed="81"/>
            <rFont val="Tahoma"/>
            <family val="2"/>
          </rPr>
          <t xml:space="preserve">
Se debe reportar las personas o instituciones beneficiarias</t>
        </r>
      </text>
    </comment>
    <comment ref="L22" authorId="1" shapeId="0" xr:uid="{00000000-0006-0000-0A00-00004F000000}">
      <text>
        <r>
          <rPr>
            <sz val="9"/>
            <color indexed="81"/>
            <rFont val="Tahoma"/>
            <family val="2"/>
          </rPr>
          <t>reportan 6 se deja al 100%</t>
        </r>
      </text>
    </comment>
    <comment ref="BK22" authorId="2" shapeId="0" xr:uid="{00000000-0006-0000-0A00-000050000000}">
      <text>
        <r>
          <rPr>
            <b/>
            <sz val="9"/>
            <color indexed="81"/>
            <rFont val="Tahoma"/>
            <family val="2"/>
          </rPr>
          <t>Oscar:</t>
        </r>
        <r>
          <rPr>
            <sz val="9"/>
            <color indexed="81"/>
            <rFont val="Tahoma"/>
            <family val="2"/>
          </rPr>
          <t xml:space="preserve">
El presupuesto se debe discriminar en recursos propios, SGP o destinación especifica</t>
        </r>
      </text>
    </comment>
    <comment ref="BP22" authorId="2" shapeId="0" xr:uid="{00000000-0006-0000-0A00-000051000000}">
      <text>
        <r>
          <rPr>
            <b/>
            <sz val="9"/>
            <color indexed="81"/>
            <rFont val="Tahoma"/>
            <family val="2"/>
          </rPr>
          <t>Oscar:</t>
        </r>
        <r>
          <rPr>
            <sz val="9"/>
            <color indexed="81"/>
            <rFont val="Tahoma"/>
            <family val="2"/>
          </rPr>
          <t xml:space="preserve">
Se debe reportar las personas o instituciones beneficiarias</t>
        </r>
      </text>
    </comment>
    <comment ref="L23" authorId="1" shapeId="0" xr:uid="{00000000-0006-0000-0A00-000052000000}">
      <text>
        <r>
          <rPr>
            <sz val="9"/>
            <color indexed="81"/>
            <rFont val="Tahoma"/>
            <family val="2"/>
          </rPr>
          <t>reportan 2 se deja al 100%</t>
        </r>
      </text>
    </comment>
    <comment ref="L24" authorId="1" shapeId="0" xr:uid="{00000000-0006-0000-0A00-000053000000}">
      <text>
        <r>
          <rPr>
            <b/>
            <sz val="9"/>
            <color indexed="81"/>
            <rFont val="Tahoma"/>
            <family val="2"/>
          </rPr>
          <t>reportan 30 tallerres de deja al 70% teneindo en cuenta el reporte de 2017</t>
        </r>
      </text>
    </comment>
    <comment ref="L25" authorId="1" shapeId="0" xr:uid="{00000000-0006-0000-0A00-000054000000}">
      <text>
        <r>
          <rPr>
            <b/>
            <sz val="9"/>
            <color indexed="81"/>
            <rFont val="Tahoma"/>
            <family val="2"/>
          </rPr>
          <t>reportan 3 se deja al 100%</t>
        </r>
      </text>
    </comment>
    <comment ref="L26" authorId="1" shapeId="0" xr:uid="{00000000-0006-0000-0A00-000055000000}">
      <text>
        <r>
          <rPr>
            <b/>
            <sz val="9"/>
            <color indexed="81"/>
            <rFont val="Tahoma"/>
            <family val="2"/>
          </rPr>
          <t>reportan 390 se deja al 100%</t>
        </r>
      </text>
    </comment>
    <comment ref="L27" authorId="1" shapeId="0" xr:uid="{00000000-0006-0000-0A00-000056000000}">
      <text>
        <r>
          <rPr>
            <b/>
            <sz val="9"/>
            <color indexed="81"/>
            <rFont val="Tahoma"/>
            <family val="2"/>
          </rPr>
          <t>reportan 38 se deja al 100%</t>
        </r>
      </text>
    </comment>
    <comment ref="L28" authorId="1" shapeId="0" xr:uid="{00000000-0006-0000-0A00-000057000000}">
      <text>
        <r>
          <rPr>
            <b/>
            <sz val="9"/>
            <color indexed="81"/>
            <rFont val="Tahoma"/>
            <family val="2"/>
          </rPr>
          <t>reportan 13 se deja al 100%</t>
        </r>
      </text>
    </comment>
    <comment ref="L29" authorId="1" shapeId="0" xr:uid="{00000000-0006-0000-0A00-000058000000}">
      <text>
        <r>
          <rPr>
            <b/>
            <sz val="9"/>
            <color indexed="81"/>
            <rFont val="Tahoma"/>
            <family val="2"/>
          </rPr>
          <t>no reportan nada pero dadas las actividades se deja al 100%</t>
        </r>
        <r>
          <rPr>
            <sz val="9"/>
            <color indexed="81"/>
            <rFont val="Tahoma"/>
            <family val="2"/>
          </rPr>
          <t xml:space="preserve">
</t>
        </r>
      </text>
    </comment>
    <comment ref="L33" authorId="1" shapeId="0" xr:uid="{00000000-0006-0000-0A00-000059000000}">
      <text>
        <r>
          <rPr>
            <b/>
            <sz val="9"/>
            <color indexed="81"/>
            <rFont val="Tahoma"/>
            <family val="2"/>
          </rPr>
          <t>reportan 42  se deja al 100%</t>
        </r>
        <r>
          <rPr>
            <sz val="9"/>
            <color indexed="81"/>
            <rFont val="Tahoma"/>
            <family val="2"/>
          </rPr>
          <t xml:space="preserve">
</t>
        </r>
      </text>
    </comment>
    <comment ref="L34" authorId="1" shapeId="0" xr:uid="{00000000-0006-0000-0A00-00005A000000}">
      <text>
        <r>
          <rPr>
            <b/>
            <sz val="9"/>
            <color indexed="81"/>
            <rFont val="Tahoma"/>
            <family val="2"/>
          </rPr>
          <t xml:space="preserve">reportan 320  se deja al 100%
</t>
        </r>
      </text>
    </comment>
    <comment ref="L35" authorId="1" shapeId="0" xr:uid="{00000000-0006-0000-0A00-00005B000000}">
      <text>
        <r>
          <rPr>
            <b/>
            <sz val="9"/>
            <color indexed="81"/>
            <rFont val="Tahoma"/>
            <family val="2"/>
          </rPr>
          <t xml:space="preserve">reportan116  se deja al 100%
</t>
        </r>
        <r>
          <rPr>
            <sz val="9"/>
            <color indexed="81"/>
            <rFont val="Tahoma"/>
            <family val="2"/>
          </rPr>
          <t xml:space="preserve">
</t>
        </r>
      </text>
    </comment>
    <comment ref="L38" authorId="1" shapeId="0" xr:uid="{00000000-0006-0000-0A00-00005C000000}">
      <text>
        <r>
          <rPr>
            <b/>
            <sz val="9"/>
            <color indexed="81"/>
            <rFont val="Tahoma"/>
            <family val="2"/>
          </rPr>
          <t>reportan: 17 Asociaciones</t>
        </r>
        <r>
          <rPr>
            <sz val="9"/>
            <color indexed="81"/>
            <rFont val="Tahoma"/>
            <family val="2"/>
          </rPr>
          <t xml:space="preserve">
</t>
        </r>
      </text>
    </comment>
    <comment ref="L39" authorId="1" shapeId="0" xr:uid="{00000000-0006-0000-0A00-00005D000000}">
      <text>
        <r>
          <rPr>
            <b/>
            <sz val="9"/>
            <color indexed="81"/>
            <rFont val="Tahoma"/>
            <family val="2"/>
          </rPr>
          <t xml:space="preserve">reportn: 2952 productores beneficiados </t>
        </r>
        <r>
          <rPr>
            <sz val="9"/>
            <color indexed="81"/>
            <rFont val="Tahoma"/>
            <family val="2"/>
          </rPr>
          <t xml:space="preserve">
</t>
        </r>
      </text>
    </comment>
    <comment ref="L40" authorId="1" shapeId="0" xr:uid="{00000000-0006-0000-0A00-00005E000000}">
      <text>
        <r>
          <rPr>
            <b/>
            <sz val="9"/>
            <color indexed="81"/>
            <rFont val="Tahoma"/>
            <family val="2"/>
          </rPr>
          <t>reportan 82 se deja al 100%</t>
        </r>
        <r>
          <rPr>
            <sz val="9"/>
            <color indexed="81"/>
            <rFont val="Tahoma"/>
            <family val="2"/>
          </rPr>
          <t xml:space="preserve">
</t>
        </r>
      </text>
    </comment>
    <comment ref="BE40" authorId="3" shapeId="0" xr:uid="{00000000-0006-0000-0A00-00005F000000}">
      <text>
        <r>
          <rPr>
            <b/>
            <sz val="9"/>
            <color indexed="81"/>
            <rFont val="Tahoma"/>
            <family val="2"/>
          </rPr>
          <t xml:space="preserve">Indican haber realizado 17 asociaciones por lo que se deduce que cumplen con el 100% de avance de producto
</t>
        </r>
      </text>
    </comment>
    <comment ref="BE41" authorId="3" shapeId="0" xr:uid="{00000000-0006-0000-0A00-000060000000}">
      <text>
        <r>
          <rPr>
            <b/>
            <sz val="9"/>
            <color indexed="81"/>
            <rFont val="Tahoma"/>
            <family val="2"/>
          </rPr>
          <t xml:space="preserve">Reportan 2600 productores beneficiados como reporte de ejecución, se entenderían que son 2600 líneas productivas asistidas, por lo que se indica el 100% de avance del producto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Usuario</author>
  </authors>
  <commentList>
    <comment ref="T1" authorId="0" shapeId="0" xr:uid="{00000000-0006-0000-0B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U1" authorId="0" shapeId="0" xr:uid="{00000000-0006-0000-0B00-000002000000}">
      <text>
        <r>
          <rPr>
            <b/>
            <sz val="12"/>
            <color indexed="81"/>
            <rFont val="Tahoma"/>
            <family val="2"/>
          </rPr>
          <t xml:space="preserve">Comente como desarrollo la acción de la Política Pública por medio de actividades, describiendo el Lugar, Temas desarrollados, etc. </t>
        </r>
      </text>
    </comment>
    <comment ref="V1" authorId="0" shapeId="0" xr:uid="{00000000-0006-0000-0B00-000003000000}">
      <text>
        <r>
          <rPr>
            <b/>
            <sz val="12"/>
            <color indexed="81"/>
            <rFont val="Tahoma"/>
            <family val="2"/>
          </rPr>
          <t>Describa que evidencias reposan en el desarrollo de la acción, contratos, actas, fotos, registros de asistencia, informes, documentos, videos, etc</t>
        </r>
      </text>
    </comment>
    <comment ref="W1" authorId="0" shapeId="0" xr:uid="{00000000-0006-0000-0B00-000004000000}">
      <text>
        <r>
          <rPr>
            <b/>
            <sz val="12"/>
            <color indexed="81"/>
            <rFont val="Tahoma"/>
            <family val="2"/>
          </rPr>
          <t xml:space="preserve">Comente que problemas, necesidades, aciertos y/o recomendacion se cuentan en el desarrollo de la acción. </t>
        </r>
      </text>
    </comment>
    <comment ref="BG1" authorId="0" shapeId="0" xr:uid="{00000000-0006-0000-0B00-000005000000}">
      <text>
        <r>
          <rPr>
            <b/>
            <sz val="9"/>
            <color indexed="81"/>
            <rFont val="Tahoma"/>
            <family val="2"/>
          </rPr>
          <t>La Sección de Matriz de Focalización de Recursos Ecosistémicos se diligencia cuando la acción va dirigida a un Recurso Natural, Fauna y Flora.</t>
        </r>
      </text>
    </comment>
    <comment ref="X2" authorId="0" shapeId="0" xr:uid="{00000000-0006-0000-0B00-000006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Y2" authorId="0" shapeId="0" xr:uid="{00000000-0006-0000-0B00-000007000000}">
      <text>
        <r>
          <rPr>
            <b/>
            <sz val="12"/>
            <color indexed="81"/>
            <rFont val="Tahoma"/>
            <family val="2"/>
          </rPr>
          <t>Detalle la cantidad de recursos invertidos del fondo de recursos propios (presupuestos corrientes del Municipio de Pereira)</t>
        </r>
      </text>
    </comment>
    <comment ref="Z2" authorId="0" shapeId="0" xr:uid="{00000000-0006-0000-0B00-000008000000}">
      <text>
        <r>
          <rPr>
            <b/>
            <sz val="12"/>
            <color indexed="81"/>
            <rFont val="Tahoma"/>
            <family val="2"/>
          </rPr>
          <t>Detalle la cantidad de recursos invertidos del fondo de recursos del Sistema General de Participaciones (Recursos Girados desde la Nación por el SGP)</t>
        </r>
      </text>
    </comment>
    <comment ref="AA2" authorId="0" shapeId="0" xr:uid="{00000000-0006-0000-0B00-000009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AB2" authorId="0" shapeId="0" xr:uid="{00000000-0006-0000-0B00-00000A000000}">
      <text>
        <r>
          <rPr>
            <b/>
            <sz val="12"/>
            <color indexed="81"/>
            <rFont val="Tahoma"/>
            <family val="2"/>
          </rPr>
          <t>Detalle el número de personas atendidas en cada acción.</t>
        </r>
      </text>
    </comment>
    <comment ref="AC2" authorId="0" shapeId="0" xr:uid="{00000000-0006-0000-0B00-00000B000000}">
      <text>
        <r>
          <rPr>
            <b/>
            <sz val="12"/>
            <color indexed="81"/>
            <rFont val="Tahoma"/>
            <family val="2"/>
          </rPr>
          <t>Según el total de personas atendidas descrimine los valores según su genero.</t>
        </r>
      </text>
    </comment>
    <comment ref="AE2" authorId="0" shapeId="0" xr:uid="{00000000-0006-0000-0B00-00000C000000}">
      <text>
        <r>
          <rPr>
            <b/>
            <sz val="12"/>
            <color indexed="81"/>
            <rFont val="Tahoma"/>
            <family val="2"/>
          </rPr>
          <t>Según el total de personas atendidas descrimine los valores según su zona.</t>
        </r>
      </text>
    </comment>
    <comment ref="AG2" authorId="0" shapeId="0" xr:uid="{00000000-0006-0000-0B00-00000D000000}">
      <text>
        <r>
          <rPr>
            <b/>
            <sz val="12"/>
            <color indexed="81"/>
            <rFont val="Tahoma"/>
            <family val="2"/>
          </rPr>
          <t>Según el total de personas atendidas descrimine los valores según ciclos de edad.</t>
        </r>
      </text>
    </comment>
    <comment ref="AN2" authorId="0" shapeId="0" xr:uid="{00000000-0006-0000-0B00-00000E000000}">
      <text>
        <r>
          <rPr>
            <b/>
            <sz val="12"/>
            <color indexed="81"/>
            <rFont val="Tahoma"/>
            <family val="2"/>
          </rPr>
          <t>Según el total de personas atendidas descrimine los valores según su condición.</t>
        </r>
      </text>
    </comment>
    <comment ref="AV2" authorId="0" shapeId="0" xr:uid="{00000000-0006-0000-0B00-00000F000000}">
      <text>
        <r>
          <rPr>
            <b/>
            <sz val="12"/>
            <color indexed="81"/>
            <rFont val="Tahoma"/>
            <family val="2"/>
          </rPr>
          <t>Según el total de personas atendidas descrimine los valores según su etnia.</t>
        </r>
      </text>
    </comment>
    <comment ref="BB2" authorId="0" shapeId="0" xr:uid="{00000000-0006-0000-0B00-000010000000}">
      <text>
        <r>
          <rPr>
            <b/>
            <sz val="12"/>
            <color indexed="81"/>
            <rFont val="Tahoma"/>
            <family val="2"/>
          </rPr>
          <t>En el caso que la acción este dirigida a una organización,  diligenciar el tipo de organización beneficiada.</t>
        </r>
      </text>
    </comment>
    <comment ref="BC2" authorId="0" shapeId="0" xr:uid="{00000000-0006-0000-0B00-000011000000}">
      <text>
        <r>
          <rPr>
            <b/>
            <sz val="12"/>
            <color indexed="81"/>
            <rFont val="Tahoma"/>
            <family val="2"/>
          </rPr>
          <t>Describir el objeto principal de la institución u organización beneficiada.</t>
        </r>
      </text>
    </comment>
    <comment ref="BG2" authorId="0" shapeId="0" xr:uid="{00000000-0006-0000-0B00-000012000000}">
      <text>
        <r>
          <rPr>
            <b/>
            <sz val="12"/>
            <color indexed="81"/>
            <rFont val="Tahoma"/>
            <family val="2"/>
          </rPr>
          <t xml:space="preserve">Diligenciar si son: 
30 Caninos 
100 Arboles plantados  
2 cuencas recuperadas etc
</t>
        </r>
      </text>
    </comment>
    <comment ref="BH2" authorId="0" shapeId="0" xr:uid="{00000000-0006-0000-0B00-000013000000}">
      <text>
        <r>
          <rPr>
            <b/>
            <sz val="12"/>
            <color indexed="81"/>
            <rFont val="Tahoma"/>
            <family val="2"/>
          </rPr>
          <t>Marcar con una X el tipo de recurso que se beneficio según la acción.</t>
        </r>
      </text>
    </comment>
    <comment ref="BE3" authorId="0" shapeId="0" xr:uid="{00000000-0006-0000-0B00-000014000000}">
      <text>
        <r>
          <rPr>
            <b/>
            <sz val="12"/>
            <color indexed="81"/>
            <rFont val="Tahoma"/>
            <family val="2"/>
          </rPr>
          <t>Zona de ubicación de la Institución u Organización.</t>
        </r>
      </text>
    </comment>
    <comment ref="BF3" authorId="0" shapeId="0" xr:uid="{00000000-0006-0000-0B00-000015000000}">
      <text>
        <r>
          <rPr>
            <b/>
            <sz val="12"/>
            <color indexed="81"/>
            <rFont val="Tahoma"/>
            <family val="2"/>
          </rPr>
          <t>Zona de ubicación de la Institución u Organización.</t>
        </r>
      </text>
    </comment>
    <comment ref="BK3" authorId="0" shapeId="0" xr:uid="{00000000-0006-0000-0B00-000016000000}">
      <text>
        <r>
          <rPr>
            <b/>
            <sz val="9"/>
            <color indexed="81"/>
            <rFont val="Tahoma"/>
            <family val="2"/>
          </rPr>
          <t>Zona de ubicación del Recurso Ecosistémico.</t>
        </r>
      </text>
    </comment>
    <comment ref="CR4" authorId="0" shapeId="0" xr:uid="{00000000-0006-0000-0B00-000017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CS4" authorId="0" shapeId="0" xr:uid="{00000000-0006-0000-0B00-000018000000}">
      <text>
        <r>
          <rPr>
            <b/>
            <sz val="12"/>
            <color indexed="81"/>
            <rFont val="Tahoma"/>
            <family val="2"/>
          </rPr>
          <t>Detalle la cantidad de recursos invertidos del fondo de recursos propios (presupuestos corrientes del Municipio de Pereira)</t>
        </r>
      </text>
    </comment>
    <comment ref="CT4" authorId="0" shapeId="0" xr:uid="{00000000-0006-0000-0B00-000019000000}">
      <text>
        <r>
          <rPr>
            <b/>
            <sz val="12"/>
            <color indexed="81"/>
            <rFont val="Tahoma"/>
            <family val="2"/>
          </rPr>
          <t>Detalle la cantidad de recursos invertidos del fondo de recursos del Sistema General de Participaciones (Recursos Girados desde la Nación por el SGP)</t>
        </r>
      </text>
    </comment>
    <comment ref="CU4" authorId="0" shapeId="0" xr:uid="{00000000-0006-0000-0B00-00001A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CV4" authorId="0" shapeId="0" xr:uid="{00000000-0006-0000-0B00-00001B000000}">
      <text>
        <r>
          <rPr>
            <b/>
            <sz val="12"/>
            <color indexed="81"/>
            <rFont val="Tahoma"/>
            <family val="2"/>
          </rPr>
          <t>Detalle el número de personas atendidas en cada acción.</t>
        </r>
      </text>
    </comment>
    <comment ref="CY4" authorId="0" shapeId="0" xr:uid="{00000000-0006-0000-0B00-00001C000000}">
      <text>
        <r>
          <rPr>
            <b/>
            <sz val="12"/>
            <color indexed="81"/>
            <rFont val="Tahoma"/>
            <family val="2"/>
          </rPr>
          <t>Según el total de personas atendidas descrimine los valores según su zona.</t>
        </r>
      </text>
    </comment>
    <comment ref="DA4" authorId="0" shapeId="0" xr:uid="{00000000-0006-0000-0B00-00001D000000}">
      <text>
        <r>
          <rPr>
            <b/>
            <sz val="12"/>
            <color indexed="81"/>
            <rFont val="Tahoma"/>
            <family val="2"/>
          </rPr>
          <t>Según el total de personas atendidas descrimine los valores según ciclos de edad.</t>
        </r>
      </text>
    </comment>
    <comment ref="DH4" authorId="0" shapeId="0" xr:uid="{00000000-0006-0000-0B00-00001E000000}">
      <text>
        <r>
          <rPr>
            <b/>
            <sz val="12"/>
            <color indexed="81"/>
            <rFont val="Tahoma"/>
            <family val="2"/>
          </rPr>
          <t>Según el total de personas atendidas descrimine los valores según su condición.</t>
        </r>
      </text>
    </comment>
    <comment ref="DP4" authorId="0" shapeId="0" xr:uid="{00000000-0006-0000-0B00-00001F000000}">
      <text>
        <r>
          <rPr>
            <b/>
            <sz val="12"/>
            <color indexed="81"/>
            <rFont val="Tahoma"/>
            <family val="2"/>
          </rPr>
          <t>Según el total de personas atendidas descrimine los valores según su etnia.</t>
        </r>
      </text>
    </comment>
    <comment ref="DV4" authorId="0" shapeId="0" xr:uid="{00000000-0006-0000-0B00-000020000000}">
      <text>
        <r>
          <rPr>
            <b/>
            <sz val="12"/>
            <color indexed="81"/>
            <rFont val="Tahoma"/>
            <family val="2"/>
          </rPr>
          <t>En el caso que la acción este dirigida a una organización,  diligenciar el tipo de organización beneficiada.</t>
        </r>
      </text>
    </comment>
    <comment ref="DW4" authorId="0" shapeId="0" xr:uid="{00000000-0006-0000-0B00-000021000000}">
      <text>
        <r>
          <rPr>
            <b/>
            <sz val="12"/>
            <color indexed="81"/>
            <rFont val="Tahoma"/>
            <family val="2"/>
          </rPr>
          <t>Describir el objeto principal de la institución u organización beneficiada.</t>
        </r>
      </text>
    </comment>
    <comment ref="DY5" authorId="0" shapeId="0" xr:uid="{00000000-0006-0000-0B00-000022000000}">
      <text>
        <r>
          <rPr>
            <b/>
            <sz val="12"/>
            <color indexed="81"/>
            <rFont val="Tahoma"/>
            <family val="2"/>
          </rPr>
          <t>Zona de ubicación de la Institución u Organización.</t>
        </r>
      </text>
    </comment>
    <comment ref="DZ5" authorId="0" shapeId="0" xr:uid="{00000000-0006-0000-0B00-000023000000}">
      <text>
        <r>
          <rPr>
            <b/>
            <sz val="12"/>
            <color indexed="81"/>
            <rFont val="Tahoma"/>
            <family val="2"/>
          </rPr>
          <t>Zona de ubicación de la Institución u Organización.</t>
        </r>
      </text>
    </comment>
    <comment ref="T20" authorId="1" shapeId="0" xr:uid="{00000000-0006-0000-0B00-000024000000}">
      <text>
        <r>
          <rPr>
            <b/>
            <sz val="9"/>
            <color indexed="81"/>
            <rFont val="Tahoma"/>
            <family val="2"/>
          </rPr>
          <t>reportan 33 entregas superando el 100%</t>
        </r>
      </text>
    </comment>
    <comment ref="T21" authorId="1" shapeId="0" xr:uid="{00000000-0006-0000-0B00-000025000000}">
      <text>
        <r>
          <rPr>
            <b/>
            <sz val="9"/>
            <color indexed="81"/>
            <rFont val="Tahoma"/>
            <family val="2"/>
          </rPr>
          <t>reportan 1</t>
        </r>
      </text>
    </comment>
    <comment ref="T22" authorId="1" shapeId="0" xr:uid="{00000000-0006-0000-0B00-000026000000}">
      <text>
        <r>
          <rPr>
            <b/>
            <sz val="9"/>
            <color indexed="81"/>
            <rFont val="Tahoma"/>
            <family val="2"/>
          </rPr>
          <t>reportan 20entregas superando el 100%</t>
        </r>
      </text>
    </comment>
    <comment ref="T23" authorId="1" shapeId="0" xr:uid="{00000000-0006-0000-0B00-000027000000}">
      <text>
        <r>
          <rPr>
            <b/>
            <sz val="9"/>
            <color indexed="81"/>
            <rFont val="Tahoma"/>
            <family val="2"/>
          </rPr>
          <t>reportan 6 y dada la descrpción de actividdes reportan 2 descentralizados en 2018, por tanto quedaría en 100%</t>
        </r>
      </text>
    </comment>
    <comment ref="T24" authorId="1" shapeId="0" xr:uid="{00000000-0006-0000-0B00-000028000000}">
      <text>
        <r>
          <rPr>
            <b/>
            <sz val="9"/>
            <color indexed="81"/>
            <rFont val="Tahoma"/>
            <family val="2"/>
          </rPr>
          <t>reportan 10147603165.4167
dadas la actividades y por falta de caracterizacion de victimas se toma por demanda, quedando en ejecucion del 100%</t>
        </r>
      </text>
    </comment>
    <comment ref="T25" authorId="1" shapeId="0" xr:uid="{00000000-0006-0000-0B00-000029000000}">
      <text>
        <r>
          <rPr>
            <b/>
            <sz val="9"/>
            <color indexed="81"/>
            <rFont val="Tahoma"/>
            <family val="2"/>
          </rPr>
          <t>reportan 4 quedando en 100% de ejecucion</t>
        </r>
      </text>
    </comment>
    <comment ref="AB25" authorId="1" shapeId="0" xr:uid="{00000000-0006-0000-0B00-00002A000000}">
      <text>
        <r>
          <rPr>
            <b/>
            <sz val="9"/>
            <color indexed="81"/>
            <rFont val="Tahoma"/>
            <family val="2"/>
          </rPr>
          <t>reportan No Apllica</t>
        </r>
        <r>
          <rPr>
            <sz val="9"/>
            <color indexed="81"/>
            <rFont val="Tahoma"/>
            <family val="2"/>
          </rPr>
          <t xml:space="preserve">
</t>
        </r>
      </text>
    </comment>
    <comment ref="T26" authorId="1" shapeId="0" xr:uid="{00000000-0006-0000-0B00-00002B000000}">
      <text>
        <r>
          <rPr>
            <b/>
            <sz val="9"/>
            <color indexed="81"/>
            <rFont val="Tahoma"/>
            <family val="2"/>
          </rPr>
          <t>no reportan nada pero dadas las actividades seintuye ejecucion del 70%
en la aclaracin plantean que: Se cumplió la meta al 100% de acuerdo a lo proyectado por la secretaria</t>
        </r>
      </text>
    </comment>
    <comment ref="T27" authorId="1" shapeId="0" xr:uid="{00000000-0006-0000-0B00-00002C000000}">
      <text>
        <r>
          <rPr>
            <b/>
            <sz val="9"/>
            <color indexed="81"/>
            <rFont val="Tahoma"/>
            <family val="2"/>
          </rPr>
          <t>reportan 578 quedando en 100% de ejecucion</t>
        </r>
      </text>
    </comment>
    <comment ref="T32" authorId="1" shapeId="0" xr:uid="{00000000-0006-0000-0B00-00002D000000}">
      <text>
        <r>
          <rPr>
            <b/>
            <sz val="12"/>
            <color indexed="81"/>
            <rFont val="Tahoma"/>
            <family val="2"/>
          </rPr>
          <t>reportan: 2300 
Niños y niñas.
Se deja en 100%</t>
        </r>
      </text>
    </comment>
    <comment ref="T33" authorId="1" shapeId="0" xr:uid="{00000000-0006-0000-0B00-00002E000000}">
      <text>
        <r>
          <rPr>
            <b/>
            <sz val="12"/>
            <color indexed="81"/>
            <rFont val="Tahoma"/>
            <family val="2"/>
          </rPr>
          <t>No reportan nada pero dada la descripción se pone 100%</t>
        </r>
      </text>
    </comment>
    <comment ref="T34" authorId="1" shapeId="0" xr:uid="{00000000-0006-0000-0B00-00002F000000}">
      <text>
        <r>
          <rPr>
            <b/>
            <sz val="12"/>
            <color indexed="81"/>
            <rFont val="Tahoma"/>
            <family val="2"/>
          </rPr>
          <t>No reportan nada pero dada la descripción se pone 100%</t>
        </r>
      </text>
    </comment>
    <comment ref="T35" authorId="1" shapeId="0" xr:uid="{00000000-0006-0000-0B00-000030000000}">
      <text>
        <r>
          <rPr>
            <b/>
            <sz val="9"/>
            <color indexed="81"/>
            <rFont val="Tahoma"/>
            <family val="2"/>
          </rPr>
          <t>reportan 2 y la meta era 1 por tanto lo dejamos en 100%</t>
        </r>
      </text>
    </comment>
    <comment ref="T36" authorId="1" shapeId="0" xr:uid="{00000000-0006-0000-0B00-000031000000}">
      <text>
        <r>
          <rPr>
            <b/>
            <sz val="12"/>
            <color indexed="81"/>
            <rFont val="Tahoma"/>
            <family val="2"/>
          </rPr>
          <t>No reportan nada pero dada la descripción se pone 100%</t>
        </r>
      </text>
    </comment>
    <comment ref="T37" authorId="1" shapeId="0" xr:uid="{00000000-0006-0000-0B00-000032000000}">
      <text>
        <r>
          <rPr>
            <b/>
            <sz val="12"/>
            <color indexed="81"/>
            <rFont val="Tahoma"/>
            <family val="2"/>
          </rPr>
          <t>No reportan nada pero dada la descripción se pone 100%</t>
        </r>
      </text>
    </comment>
    <comment ref="T38" authorId="1" shapeId="0" xr:uid="{00000000-0006-0000-0B00-000033000000}">
      <text>
        <r>
          <rPr>
            <b/>
            <sz val="12"/>
            <color indexed="81"/>
            <rFont val="Tahoma"/>
            <family val="2"/>
          </rPr>
          <t>Reportan 9 por tanto se deja en 100%</t>
        </r>
      </text>
    </comment>
    <comment ref="T46" authorId="1" shapeId="0" xr:uid="{00000000-0006-0000-0B00-000034000000}">
      <text>
        <r>
          <rPr>
            <b/>
            <sz val="9"/>
            <color indexed="81"/>
            <rFont val="Tahoma"/>
            <family val="2"/>
          </rPr>
          <t>se reporta 5 equivalente al 100%
en otro archivo reportan 27500000</t>
        </r>
      </text>
    </comment>
    <comment ref="T47" authorId="1" shapeId="0" xr:uid="{00000000-0006-0000-0B00-000035000000}">
      <text>
        <r>
          <rPr>
            <b/>
            <sz val="9"/>
            <color indexed="81"/>
            <rFont val="Tahoma"/>
            <family val="2"/>
          </rPr>
          <t>reportan diner, hay que verificar</t>
        </r>
      </text>
    </comment>
    <comment ref="T48" authorId="1" shapeId="0" xr:uid="{00000000-0006-0000-0B00-000036000000}">
      <text>
        <r>
          <rPr>
            <b/>
            <sz val="9"/>
            <color indexed="81"/>
            <rFont val="Tahoma"/>
            <family val="2"/>
          </rPr>
          <t>reportan diner, hay que verificar</t>
        </r>
      </text>
    </comment>
    <comment ref="T49" authorId="1" shapeId="0" xr:uid="{00000000-0006-0000-0B00-000037000000}">
      <text>
        <r>
          <rPr>
            <b/>
            <sz val="9"/>
            <color indexed="81"/>
            <rFont val="Tahoma"/>
            <family val="2"/>
          </rPr>
          <t>reportan diner, hay que verificar</t>
        </r>
      </text>
    </comment>
    <comment ref="T50" authorId="1" shapeId="0" xr:uid="{00000000-0006-0000-0B00-000038000000}">
      <text>
        <r>
          <rPr>
            <b/>
            <sz val="9"/>
            <color indexed="81"/>
            <rFont val="Tahoma"/>
            <family val="2"/>
          </rPr>
          <t>reportan diner, hay que verificar</t>
        </r>
      </text>
    </comment>
    <comment ref="T51" authorId="1" shapeId="0" xr:uid="{00000000-0006-0000-0B00-000039000000}">
      <text>
        <r>
          <rPr>
            <b/>
            <sz val="9"/>
            <color indexed="81"/>
            <rFont val="Tahoma"/>
            <family val="2"/>
          </rPr>
          <t>reportan diner, hay que verificar</t>
        </r>
      </text>
    </comment>
    <comment ref="T52" authorId="1" shapeId="0" xr:uid="{00000000-0006-0000-0B00-00003A000000}">
      <text>
        <r>
          <rPr>
            <b/>
            <sz val="9"/>
            <color indexed="81"/>
            <rFont val="Tahoma"/>
            <family val="2"/>
          </rPr>
          <t>reportan diner, hay que verificar</t>
        </r>
      </text>
    </comment>
    <comment ref="T56" authorId="1" shapeId="0" xr:uid="{00000000-0006-0000-0B00-00003B000000}">
      <text>
        <r>
          <rPr>
            <b/>
            <sz val="9"/>
            <color indexed="81"/>
            <rFont val="Tahoma"/>
            <family val="2"/>
          </rPr>
          <t xml:space="preserve">reportan 340 personas atendidas correspondiente al </t>
        </r>
        <r>
          <rPr>
            <sz val="9"/>
            <color indexed="81"/>
            <rFont val="Tahoma"/>
            <family val="2"/>
          </rPr>
          <t xml:space="preserve">
68% de ejecusion</t>
        </r>
      </text>
    </comment>
    <comment ref="T64" authorId="1" shapeId="0" xr:uid="{00000000-0006-0000-0B00-00003C000000}">
      <text>
        <r>
          <rPr>
            <b/>
            <sz val="9"/>
            <color indexed="81"/>
            <rFont val="Tahoma"/>
            <family val="2"/>
          </rPr>
          <t>reportan diner, hay que verificar</t>
        </r>
      </text>
    </comment>
    <comment ref="T65" authorId="1" shapeId="0" xr:uid="{00000000-0006-0000-0B00-00003D000000}">
      <text>
        <r>
          <rPr>
            <b/>
            <sz val="9"/>
            <color indexed="81"/>
            <rFont val="Tahoma"/>
            <family val="2"/>
          </rPr>
          <t>No reportan nada</t>
        </r>
      </text>
    </comment>
    <comment ref="T66" authorId="1" shapeId="0" xr:uid="{00000000-0006-0000-0B00-00003E000000}">
      <text>
        <r>
          <rPr>
            <b/>
            <sz val="9"/>
            <color indexed="81"/>
            <rFont val="Tahoma"/>
            <family val="2"/>
          </rPr>
          <t>No reportan nada</t>
        </r>
      </text>
    </comment>
    <comment ref="T67" authorId="1" shapeId="0" xr:uid="{00000000-0006-0000-0B00-00003F000000}">
      <text>
        <r>
          <rPr>
            <b/>
            <sz val="9"/>
            <color indexed="81"/>
            <rFont val="Tahoma"/>
            <family val="2"/>
          </rPr>
          <t>repoertan: 21944000</t>
        </r>
        <r>
          <rPr>
            <sz val="9"/>
            <color indexed="81"/>
            <rFont val="Tahoma"/>
            <family val="2"/>
          </rPr>
          <t xml:space="preserve">
dado que la meta es de 8 y relacinan 17 familias se deja al 100%</t>
        </r>
      </text>
    </comment>
    <comment ref="T71" authorId="1" shapeId="0" xr:uid="{00000000-0006-0000-0B00-000040000000}">
      <text>
        <r>
          <rPr>
            <b/>
            <sz val="9"/>
            <color indexed="81"/>
            <rFont val="Tahoma"/>
            <family val="2"/>
          </rPr>
          <t>no reportan nada pero dadas las actividades se deja ejecucion del 100%</t>
        </r>
      </text>
    </comment>
    <comment ref="T72" authorId="1" shapeId="0" xr:uid="{00000000-0006-0000-0B00-000041000000}">
      <text>
        <r>
          <rPr>
            <b/>
            <sz val="9"/>
            <color indexed="81"/>
            <rFont val="Tahoma"/>
            <family val="2"/>
          </rPr>
          <t>no reportan nada pero dadas las actividades se deja ejecucion del 100%</t>
        </r>
      </text>
    </comment>
    <comment ref="T73" authorId="1" shapeId="0" xr:uid="{00000000-0006-0000-0B00-000042000000}">
      <text>
        <r>
          <rPr>
            <b/>
            <sz val="9"/>
            <color indexed="81"/>
            <rFont val="Tahoma"/>
            <family val="2"/>
          </rPr>
          <t>no reportan nada pero dadas las actividades se deja ejecucion del 100%</t>
        </r>
      </text>
    </comment>
    <comment ref="T80" authorId="1" shapeId="0" xr:uid="{00000000-0006-0000-0B00-000043000000}">
      <text>
        <r>
          <rPr>
            <b/>
            <sz val="9"/>
            <color indexed="81"/>
            <rFont val="Tahoma"/>
            <family val="2"/>
          </rPr>
          <t>reportan 9 mesas por tanto 100% de ejecución</t>
        </r>
      </text>
    </comment>
    <comment ref="T82" authorId="1" shapeId="0" xr:uid="{00000000-0006-0000-0B00-000044000000}">
      <text>
        <r>
          <rPr>
            <b/>
            <sz val="9"/>
            <color indexed="81"/>
            <rFont val="Tahoma"/>
            <family val="2"/>
          </rPr>
          <t>reportan 9 participaciones, ejecución del 100%</t>
        </r>
      </text>
    </comment>
    <comment ref="T83" authorId="1" shapeId="0" xr:uid="{00000000-0006-0000-0B00-000045000000}">
      <text>
        <r>
          <rPr>
            <b/>
            <sz val="9"/>
            <color indexed="81"/>
            <rFont val="Tahoma"/>
            <family val="2"/>
          </rPr>
          <t>reportan 3 espacios, ejecución del 100%</t>
        </r>
      </text>
    </comment>
    <comment ref="T93" authorId="1" shapeId="0" xr:uid="{00000000-0006-0000-0B00-000046000000}">
      <text>
        <r>
          <rPr>
            <b/>
            <sz val="9"/>
            <color indexed="81"/>
            <rFont val="Tahoma"/>
            <family val="2"/>
          </rPr>
          <t>No reportan nada, sin embargo, en la descripción de actividades cumplen en 100%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OMAR NARANJO</author>
    <author>Usuario</author>
    <author>xxxxxxxxxxx xxxxxx</author>
  </authors>
  <commentList>
    <comment ref="Q2" authorId="0" shapeId="0" xr:uid="{00000000-0006-0000-0C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R2" authorId="0" shapeId="0" xr:uid="{00000000-0006-0000-0C00-000002000000}">
      <text>
        <r>
          <rPr>
            <b/>
            <sz val="12"/>
            <color indexed="81"/>
            <rFont val="Tahoma"/>
            <family val="2"/>
          </rPr>
          <t xml:space="preserve">Comente como desarrollo la acción de la Política Pública por medio de actividades, describiendo el Lugar, Temas desarrollados, etc. </t>
        </r>
      </text>
    </comment>
    <comment ref="S2" authorId="0" shapeId="0" xr:uid="{00000000-0006-0000-0C00-000003000000}">
      <text>
        <r>
          <rPr>
            <b/>
            <sz val="12"/>
            <color indexed="81"/>
            <rFont val="Tahoma"/>
            <family val="2"/>
          </rPr>
          <t>Describa que evidencias reposan en el desarrollo de la acción, contratos, actas, fotos, registros de asistencia, informes, documentos, videos, etc</t>
        </r>
      </text>
    </comment>
    <comment ref="T2" authorId="0" shapeId="0" xr:uid="{00000000-0006-0000-0C00-000004000000}">
      <text>
        <r>
          <rPr>
            <b/>
            <sz val="12"/>
            <color indexed="81"/>
            <rFont val="Tahoma"/>
            <family val="2"/>
          </rPr>
          <t xml:space="preserve">Comente que problemas, necesidades, aciertos y/o recomendacion se cuentan en el desarrollo de la acción. </t>
        </r>
      </text>
    </comment>
    <comment ref="BD2" authorId="0" shapeId="0" xr:uid="{00000000-0006-0000-0C00-000005000000}">
      <text>
        <r>
          <rPr>
            <b/>
            <sz val="9"/>
            <color indexed="81"/>
            <rFont val="Tahoma"/>
            <family val="2"/>
          </rPr>
          <t>La Sección de Matriz de Focalización de Recursos Ecosistémicos se diligencia cuando la acción va dirigida a un Recurso Natural, Fauna y Flora.</t>
        </r>
      </text>
    </comment>
    <comment ref="BK2" authorId="0" shapeId="0" xr:uid="{00000000-0006-0000-0C00-000006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BL2" authorId="0" shapeId="0" xr:uid="{00000000-0006-0000-0C00-000007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BO2" authorId="0" shapeId="0" xr:uid="{00000000-0006-0000-0C00-000008000000}">
      <text>
        <r>
          <rPr>
            <b/>
            <sz val="12"/>
            <color indexed="81"/>
            <rFont val="Tahoma"/>
            <family val="2"/>
          </rPr>
          <t xml:space="preserve">Comente como desarrollo la acción de la Política Pública por medio de actividades, describiendo el Lugar, Temas desarrollados, etc. </t>
        </r>
      </text>
    </comment>
    <comment ref="BP2" authorId="0" shapeId="0" xr:uid="{00000000-0006-0000-0C00-000009000000}">
      <text>
        <r>
          <rPr>
            <b/>
            <sz val="12"/>
            <color indexed="81"/>
            <rFont val="Tahoma"/>
            <family val="2"/>
          </rPr>
          <t>Describa que evidencias reposan en el desarrollo de la acción, contratos, actas, fotos, registros de asistencia, informes, documentos, videos, etc</t>
        </r>
      </text>
    </comment>
    <comment ref="BQ2" authorId="0" shapeId="0" xr:uid="{00000000-0006-0000-0C00-00000A000000}">
      <text>
        <r>
          <rPr>
            <b/>
            <sz val="12"/>
            <color indexed="81"/>
            <rFont val="Tahoma"/>
            <family val="2"/>
          </rPr>
          <t xml:space="preserve">Comente que problemas, necesidades, aciertos y/o recomendacion se cuentan en el desarrollo de la acción. </t>
        </r>
      </text>
    </comment>
    <comment ref="DA2" authorId="0" shapeId="0" xr:uid="{00000000-0006-0000-0C00-00000B000000}">
      <text>
        <r>
          <rPr>
            <b/>
            <sz val="9"/>
            <color indexed="81"/>
            <rFont val="Tahoma"/>
            <family val="2"/>
          </rPr>
          <t>La Sección de Matriz de Focalización de Recursos Ecosistémicos se diligencia cuando la acción va dirigida a un Recurso Natural, Fauna y Flora.</t>
        </r>
      </text>
    </comment>
    <comment ref="DG2" authorId="0" shapeId="0" xr:uid="{00000000-0006-0000-0C00-00000C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J2" authorId="0" shapeId="0" xr:uid="{00000000-0006-0000-0C00-00000D000000}">
      <text>
        <r>
          <rPr>
            <b/>
            <sz val="12"/>
            <color indexed="81"/>
            <rFont val="Tahoma"/>
            <family val="2"/>
          </rPr>
          <t xml:space="preserve">Comente como desarrollo la acción de la Política Pública por medio de actividades, describiendo el Lugar, Temas desarrollados, etc. </t>
        </r>
      </text>
    </comment>
    <comment ref="DK2" authorId="0" shapeId="0" xr:uid="{00000000-0006-0000-0C00-00000E000000}">
      <text>
        <r>
          <rPr>
            <b/>
            <sz val="12"/>
            <color indexed="81"/>
            <rFont val="Tahoma"/>
            <family val="2"/>
          </rPr>
          <t>Describa que evidencias reposan en el desarrollo de la acción, contratos, actas, fotos, registros de asistencia, informes, documentos, videos, etc</t>
        </r>
      </text>
    </comment>
    <comment ref="DL2" authorId="0" shapeId="0" xr:uid="{00000000-0006-0000-0C00-00000F000000}">
      <text>
        <r>
          <rPr>
            <b/>
            <sz val="12"/>
            <color indexed="81"/>
            <rFont val="Tahoma"/>
            <family val="2"/>
          </rPr>
          <t xml:space="preserve">Comente que problemas, necesidades, aciertos y/o recomendacion se cuentan en el desarrollo de la acción. </t>
        </r>
      </text>
    </comment>
    <comment ref="EV2" authorId="0" shapeId="0" xr:uid="{00000000-0006-0000-0C00-000010000000}">
      <text>
        <r>
          <rPr>
            <b/>
            <sz val="9"/>
            <color indexed="81"/>
            <rFont val="Tahoma"/>
            <family val="2"/>
          </rPr>
          <t>La Sección de Matriz de Focalización de Recursos Ecosistémicos se diligencia cuando la acción va dirigida a un Recurso Natural, Fauna y Flora.</t>
        </r>
      </text>
    </comment>
    <comment ref="U3" authorId="0" shapeId="0" xr:uid="{00000000-0006-0000-0C00-000011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V3" authorId="0" shapeId="0" xr:uid="{00000000-0006-0000-0C00-000012000000}">
      <text>
        <r>
          <rPr>
            <b/>
            <sz val="12"/>
            <color indexed="81"/>
            <rFont val="Tahoma"/>
            <family val="2"/>
          </rPr>
          <t>Detalle la cantidad de recursos invertidos del fondo de recursos propios (presupuestos corrientes del Municipio de Pereira)</t>
        </r>
      </text>
    </comment>
    <comment ref="W3" authorId="0" shapeId="0" xr:uid="{00000000-0006-0000-0C00-000013000000}">
      <text>
        <r>
          <rPr>
            <b/>
            <sz val="12"/>
            <color indexed="81"/>
            <rFont val="Tahoma"/>
            <family val="2"/>
          </rPr>
          <t>Detalle la cantidad de recursos invertidos del fondo de recursos del Sistema General de Participaciones (Recursos Girados desde la Nación por el SGP)</t>
        </r>
      </text>
    </comment>
    <comment ref="X3" authorId="0" shapeId="0" xr:uid="{00000000-0006-0000-0C00-000014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Y3" authorId="0" shapeId="0" xr:uid="{00000000-0006-0000-0C00-000015000000}">
      <text>
        <r>
          <rPr>
            <b/>
            <sz val="12"/>
            <color indexed="81"/>
            <rFont val="Tahoma"/>
            <family val="2"/>
          </rPr>
          <t>Detalle el número de personas atendidas en cada acción.</t>
        </r>
      </text>
    </comment>
    <comment ref="Z3" authorId="0" shapeId="0" xr:uid="{00000000-0006-0000-0C00-000016000000}">
      <text>
        <r>
          <rPr>
            <b/>
            <sz val="12"/>
            <color indexed="81"/>
            <rFont val="Tahoma"/>
            <family val="2"/>
          </rPr>
          <t>Según el total de personas atendidas descrimine los valores según su genero.</t>
        </r>
      </text>
    </comment>
    <comment ref="AB3" authorId="0" shapeId="0" xr:uid="{00000000-0006-0000-0C00-000017000000}">
      <text>
        <r>
          <rPr>
            <b/>
            <sz val="12"/>
            <color indexed="81"/>
            <rFont val="Tahoma"/>
            <family val="2"/>
          </rPr>
          <t>Según el total de personas atendidas descrimine los valores según su zona.</t>
        </r>
      </text>
    </comment>
    <comment ref="AD3" authorId="0" shapeId="0" xr:uid="{00000000-0006-0000-0C00-000018000000}">
      <text>
        <r>
          <rPr>
            <b/>
            <sz val="12"/>
            <color indexed="81"/>
            <rFont val="Tahoma"/>
            <family val="2"/>
          </rPr>
          <t>Según el total de personas atendidas descrimine los valores según ciclos de edad.</t>
        </r>
      </text>
    </comment>
    <comment ref="AK3" authorId="0" shapeId="0" xr:uid="{00000000-0006-0000-0C00-000019000000}">
      <text>
        <r>
          <rPr>
            <b/>
            <sz val="12"/>
            <color indexed="81"/>
            <rFont val="Tahoma"/>
            <family val="2"/>
          </rPr>
          <t>Según el total de personas atendidas descrimine los valores según su condición.</t>
        </r>
      </text>
    </comment>
    <comment ref="AS3" authorId="0" shapeId="0" xr:uid="{00000000-0006-0000-0C00-00001A000000}">
      <text>
        <r>
          <rPr>
            <b/>
            <sz val="12"/>
            <color indexed="81"/>
            <rFont val="Tahoma"/>
            <family val="2"/>
          </rPr>
          <t>Según el total de personas atendidas descrimine los valores según su etnia.</t>
        </r>
      </text>
    </comment>
    <comment ref="AY3" authorId="0" shapeId="0" xr:uid="{00000000-0006-0000-0C00-00001B000000}">
      <text>
        <r>
          <rPr>
            <b/>
            <sz val="12"/>
            <color indexed="81"/>
            <rFont val="Tahoma"/>
            <family val="2"/>
          </rPr>
          <t>En el caso que la acción este dirigida a una organización,  diligenciar el tipo de organización beneficiada.</t>
        </r>
      </text>
    </comment>
    <comment ref="AZ3" authorId="0" shapeId="0" xr:uid="{00000000-0006-0000-0C00-00001C000000}">
      <text>
        <r>
          <rPr>
            <b/>
            <sz val="12"/>
            <color indexed="81"/>
            <rFont val="Tahoma"/>
            <family val="2"/>
          </rPr>
          <t>Describir el objeto principal de la institución u organización beneficiada.</t>
        </r>
      </text>
    </comment>
    <comment ref="BD3" authorId="0" shapeId="0" xr:uid="{00000000-0006-0000-0C00-00001D000000}">
      <text>
        <r>
          <rPr>
            <b/>
            <sz val="12"/>
            <color indexed="81"/>
            <rFont val="Tahoma"/>
            <family val="2"/>
          </rPr>
          <t xml:space="preserve">Diligenciar si son: 
30 Caninos 
100 Arboles plantados  
2 cuencas recuperadas etc
</t>
        </r>
      </text>
    </comment>
    <comment ref="BE3" authorId="0" shapeId="0" xr:uid="{00000000-0006-0000-0C00-00001E000000}">
      <text>
        <r>
          <rPr>
            <b/>
            <sz val="12"/>
            <color indexed="81"/>
            <rFont val="Tahoma"/>
            <family val="2"/>
          </rPr>
          <t>Marcar con una X el tipo de recurso que se beneficio según la acción.</t>
        </r>
      </text>
    </comment>
    <comment ref="BR3" authorId="0" shapeId="0" xr:uid="{00000000-0006-0000-0C00-00001F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BS3" authorId="0" shapeId="0" xr:uid="{00000000-0006-0000-0C00-000020000000}">
      <text>
        <r>
          <rPr>
            <b/>
            <sz val="12"/>
            <color indexed="81"/>
            <rFont val="Tahoma"/>
            <family val="2"/>
          </rPr>
          <t>Detalle la cantidad de recursos invertidos del fondo de recursos propios (presupuestos corrientes del Municipio de Pereira)</t>
        </r>
      </text>
    </comment>
    <comment ref="BT3" authorId="0" shapeId="0" xr:uid="{00000000-0006-0000-0C00-000021000000}">
      <text>
        <r>
          <rPr>
            <b/>
            <sz val="12"/>
            <color indexed="81"/>
            <rFont val="Tahoma"/>
            <family val="2"/>
          </rPr>
          <t>Detalle la cantidad de recursos invertidos del fondo de recursos del Sistema General de Participaciones (Recursos Girados desde la Nación por el SGP)</t>
        </r>
      </text>
    </comment>
    <comment ref="BU3" authorId="0" shapeId="0" xr:uid="{00000000-0006-0000-0C00-000022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BV3" authorId="0" shapeId="0" xr:uid="{00000000-0006-0000-0C00-000023000000}">
      <text>
        <r>
          <rPr>
            <b/>
            <sz val="12"/>
            <color indexed="81"/>
            <rFont val="Tahoma"/>
            <family val="2"/>
          </rPr>
          <t>Detalle el número de personas atendidas en cada acción.</t>
        </r>
      </text>
    </comment>
    <comment ref="BW3" authorId="0" shapeId="0" xr:uid="{00000000-0006-0000-0C00-000024000000}">
      <text>
        <r>
          <rPr>
            <b/>
            <sz val="12"/>
            <color indexed="81"/>
            <rFont val="Tahoma"/>
            <family val="2"/>
          </rPr>
          <t>Según el total de personas atendidas descrimine los valores según su genero.</t>
        </r>
      </text>
    </comment>
    <comment ref="BY3" authorId="0" shapeId="0" xr:uid="{00000000-0006-0000-0C00-000025000000}">
      <text>
        <r>
          <rPr>
            <b/>
            <sz val="12"/>
            <color indexed="81"/>
            <rFont val="Tahoma"/>
            <family val="2"/>
          </rPr>
          <t>Según el total de personas atendidas descrimine los valores según su zona.</t>
        </r>
      </text>
    </comment>
    <comment ref="CA3" authorId="0" shapeId="0" xr:uid="{00000000-0006-0000-0C00-000026000000}">
      <text>
        <r>
          <rPr>
            <b/>
            <sz val="12"/>
            <color indexed="81"/>
            <rFont val="Tahoma"/>
            <family val="2"/>
          </rPr>
          <t>Según el total de personas atendidas descrimine los valores según ciclos de edad.</t>
        </r>
      </text>
    </comment>
    <comment ref="CH3" authorId="0" shapeId="0" xr:uid="{00000000-0006-0000-0C00-000027000000}">
      <text>
        <r>
          <rPr>
            <b/>
            <sz val="12"/>
            <color indexed="81"/>
            <rFont val="Tahoma"/>
            <family val="2"/>
          </rPr>
          <t>Según el total de personas atendidas descrimine los valores según su condición.</t>
        </r>
      </text>
    </comment>
    <comment ref="CP3" authorId="0" shapeId="0" xr:uid="{00000000-0006-0000-0C00-000028000000}">
      <text>
        <r>
          <rPr>
            <b/>
            <sz val="12"/>
            <color indexed="81"/>
            <rFont val="Tahoma"/>
            <family val="2"/>
          </rPr>
          <t>Según el total de personas atendidas descrimine los valores según su etnia.</t>
        </r>
      </text>
    </comment>
    <comment ref="CV3" authorId="0" shapeId="0" xr:uid="{00000000-0006-0000-0C00-000029000000}">
      <text>
        <r>
          <rPr>
            <b/>
            <sz val="12"/>
            <color indexed="81"/>
            <rFont val="Tahoma"/>
            <family val="2"/>
          </rPr>
          <t>En el caso que la acción este dirigida a una organización,  diligenciar el tipo de organización beneficiada.</t>
        </r>
      </text>
    </comment>
    <comment ref="CW3" authorId="0" shapeId="0" xr:uid="{00000000-0006-0000-0C00-00002A000000}">
      <text>
        <r>
          <rPr>
            <b/>
            <sz val="12"/>
            <color indexed="81"/>
            <rFont val="Tahoma"/>
            <family val="2"/>
          </rPr>
          <t>Describir el objeto principal de la institución u organización beneficiada.</t>
        </r>
      </text>
    </comment>
    <comment ref="DA3" authorId="0" shapeId="0" xr:uid="{00000000-0006-0000-0C00-00002B000000}">
      <text>
        <r>
          <rPr>
            <b/>
            <sz val="12"/>
            <color indexed="81"/>
            <rFont val="Tahoma"/>
            <family val="2"/>
          </rPr>
          <t xml:space="preserve">Diligenciar si son: 
30 Caninos 
100 Arboles plantados  
2 cuencas recuperadas etc
</t>
        </r>
      </text>
    </comment>
    <comment ref="DB3" authorId="0" shapeId="0" xr:uid="{00000000-0006-0000-0C00-00002C000000}">
      <text>
        <r>
          <rPr>
            <b/>
            <sz val="12"/>
            <color indexed="81"/>
            <rFont val="Tahoma"/>
            <family val="2"/>
          </rPr>
          <t>Marcar con una X el tipo de recurso que se beneficio según la acción.</t>
        </r>
      </text>
    </comment>
    <comment ref="DM3" authorId="0" shapeId="0" xr:uid="{00000000-0006-0000-0C00-00002D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DN3" authorId="0" shapeId="0" xr:uid="{00000000-0006-0000-0C00-00002E000000}">
      <text>
        <r>
          <rPr>
            <b/>
            <sz val="12"/>
            <color indexed="81"/>
            <rFont val="Tahoma"/>
            <family val="2"/>
          </rPr>
          <t>Detalle la cantidad de recursos invertidos del fondo de recursos propios (presupuestos corrientes del Municipio de Pereira)</t>
        </r>
      </text>
    </comment>
    <comment ref="DO3" authorId="0" shapeId="0" xr:uid="{00000000-0006-0000-0C00-00002F000000}">
      <text>
        <r>
          <rPr>
            <b/>
            <sz val="12"/>
            <color indexed="81"/>
            <rFont val="Tahoma"/>
            <family val="2"/>
          </rPr>
          <t>Detalle la cantidad de recursos invertidos del fondo de recursos del Sistema General de Participaciones (Recursos Girados desde la Nación por el SGP)</t>
        </r>
      </text>
    </comment>
    <comment ref="DP3" authorId="0" shapeId="0" xr:uid="{00000000-0006-0000-0C00-000030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DQ3" authorId="0" shapeId="0" xr:uid="{00000000-0006-0000-0C00-000031000000}">
      <text>
        <r>
          <rPr>
            <b/>
            <sz val="12"/>
            <color indexed="81"/>
            <rFont val="Tahoma"/>
            <family val="2"/>
          </rPr>
          <t>Detalle el número de personas atendidas en cada acción.</t>
        </r>
      </text>
    </comment>
    <comment ref="DR3" authorId="0" shapeId="0" xr:uid="{00000000-0006-0000-0C00-000032000000}">
      <text>
        <r>
          <rPr>
            <b/>
            <sz val="12"/>
            <color indexed="81"/>
            <rFont val="Tahoma"/>
            <family val="2"/>
          </rPr>
          <t>Según el total de personas atendidas descrimine los valores según su genero.</t>
        </r>
      </text>
    </comment>
    <comment ref="DT3" authorId="0" shapeId="0" xr:uid="{00000000-0006-0000-0C00-000033000000}">
      <text>
        <r>
          <rPr>
            <b/>
            <sz val="12"/>
            <color indexed="81"/>
            <rFont val="Tahoma"/>
            <family val="2"/>
          </rPr>
          <t>Según el total de personas atendidas descrimine los valores según su zona.</t>
        </r>
      </text>
    </comment>
    <comment ref="DV3" authorId="0" shapeId="0" xr:uid="{00000000-0006-0000-0C00-000034000000}">
      <text>
        <r>
          <rPr>
            <b/>
            <sz val="12"/>
            <color indexed="81"/>
            <rFont val="Tahoma"/>
            <family val="2"/>
          </rPr>
          <t>Según el total de personas atendidas descrimine los valores según ciclos de edad.</t>
        </r>
      </text>
    </comment>
    <comment ref="EC3" authorId="0" shapeId="0" xr:uid="{00000000-0006-0000-0C00-000035000000}">
      <text>
        <r>
          <rPr>
            <b/>
            <sz val="12"/>
            <color indexed="81"/>
            <rFont val="Tahoma"/>
            <family val="2"/>
          </rPr>
          <t>Según el total de personas atendidas descrimine los valores según su condición.</t>
        </r>
      </text>
    </comment>
    <comment ref="EK3" authorId="0" shapeId="0" xr:uid="{00000000-0006-0000-0C00-000036000000}">
      <text>
        <r>
          <rPr>
            <b/>
            <sz val="12"/>
            <color indexed="81"/>
            <rFont val="Tahoma"/>
            <family val="2"/>
          </rPr>
          <t>Según el total de personas atendidas descrimine los valores según su etnia.</t>
        </r>
      </text>
    </comment>
    <comment ref="EQ3" authorId="0" shapeId="0" xr:uid="{00000000-0006-0000-0C00-000037000000}">
      <text>
        <r>
          <rPr>
            <b/>
            <sz val="12"/>
            <color indexed="81"/>
            <rFont val="Tahoma"/>
            <family val="2"/>
          </rPr>
          <t>En el caso que la acción este dirigida a una organización,  diligenciar el tipo de organización beneficiada.</t>
        </r>
      </text>
    </comment>
    <comment ref="ER3" authorId="0" shapeId="0" xr:uid="{00000000-0006-0000-0C00-000038000000}">
      <text>
        <r>
          <rPr>
            <b/>
            <sz val="12"/>
            <color indexed="81"/>
            <rFont val="Tahoma"/>
            <family val="2"/>
          </rPr>
          <t>Describir el objeto principal de la institución u organización beneficiada.</t>
        </r>
      </text>
    </comment>
    <comment ref="EV3" authorId="0" shapeId="0" xr:uid="{00000000-0006-0000-0C00-000039000000}">
      <text>
        <r>
          <rPr>
            <b/>
            <sz val="12"/>
            <color indexed="81"/>
            <rFont val="Tahoma"/>
            <family val="2"/>
          </rPr>
          <t xml:space="preserve">Diligenciar si son: 
30 Caninos 
100 Arboles plantados  
2 cuencas recuperadas etc
</t>
        </r>
      </text>
    </comment>
    <comment ref="EW3" authorId="0" shapeId="0" xr:uid="{00000000-0006-0000-0C00-00003A000000}">
      <text>
        <r>
          <rPr>
            <b/>
            <sz val="12"/>
            <color indexed="81"/>
            <rFont val="Tahoma"/>
            <family val="2"/>
          </rPr>
          <t>Marcar con una X el tipo de recurso que se beneficio según la acción.</t>
        </r>
      </text>
    </comment>
    <comment ref="BB4" authorId="0" shapeId="0" xr:uid="{00000000-0006-0000-0C00-00003B000000}">
      <text>
        <r>
          <rPr>
            <b/>
            <sz val="12"/>
            <color indexed="81"/>
            <rFont val="Tahoma"/>
            <family val="2"/>
          </rPr>
          <t>Zona de ubicación de la Institución u Organización.</t>
        </r>
      </text>
    </comment>
    <comment ref="BC4" authorId="0" shapeId="0" xr:uid="{00000000-0006-0000-0C00-00003C000000}">
      <text>
        <r>
          <rPr>
            <b/>
            <sz val="12"/>
            <color indexed="81"/>
            <rFont val="Tahoma"/>
            <family val="2"/>
          </rPr>
          <t>Zona de ubicación de la Institución u Organización.</t>
        </r>
      </text>
    </comment>
    <comment ref="BH4" authorId="0" shapeId="0" xr:uid="{00000000-0006-0000-0C00-00003D000000}">
      <text>
        <r>
          <rPr>
            <b/>
            <sz val="9"/>
            <color indexed="81"/>
            <rFont val="Tahoma"/>
            <family val="2"/>
          </rPr>
          <t>Zona de ubicación del Recurso Ecosistémico.</t>
        </r>
      </text>
    </comment>
    <comment ref="CY4" authorId="0" shapeId="0" xr:uid="{00000000-0006-0000-0C00-00003E000000}">
      <text>
        <r>
          <rPr>
            <b/>
            <sz val="12"/>
            <color indexed="81"/>
            <rFont val="Tahoma"/>
            <family val="2"/>
          </rPr>
          <t>Zona de ubicación de la Institución u Organización.</t>
        </r>
      </text>
    </comment>
    <comment ref="CZ4" authorId="0" shapeId="0" xr:uid="{00000000-0006-0000-0C00-00003F000000}">
      <text>
        <r>
          <rPr>
            <b/>
            <sz val="12"/>
            <color indexed="81"/>
            <rFont val="Tahoma"/>
            <family val="2"/>
          </rPr>
          <t>Zona de ubicación de la Institución u Organización.</t>
        </r>
      </text>
    </comment>
    <comment ref="DE4" authorId="0" shapeId="0" xr:uid="{00000000-0006-0000-0C00-000040000000}">
      <text>
        <r>
          <rPr>
            <b/>
            <sz val="9"/>
            <color indexed="81"/>
            <rFont val="Tahoma"/>
            <family val="2"/>
          </rPr>
          <t>Zona de ubicación del Recurso Ecosistémico.</t>
        </r>
      </text>
    </comment>
    <comment ref="ET4" authorId="0" shapeId="0" xr:uid="{00000000-0006-0000-0C00-000041000000}">
      <text>
        <r>
          <rPr>
            <b/>
            <sz val="12"/>
            <color indexed="81"/>
            <rFont val="Tahoma"/>
            <family val="2"/>
          </rPr>
          <t>Zona de ubicación de la Institución u Organización.</t>
        </r>
      </text>
    </comment>
    <comment ref="EU4" authorId="0" shapeId="0" xr:uid="{00000000-0006-0000-0C00-000042000000}">
      <text>
        <r>
          <rPr>
            <b/>
            <sz val="12"/>
            <color indexed="81"/>
            <rFont val="Tahoma"/>
            <family val="2"/>
          </rPr>
          <t>Zona de ubicación de la Institución u Organización.</t>
        </r>
      </text>
    </comment>
    <comment ref="EZ4" authorId="0" shapeId="0" xr:uid="{00000000-0006-0000-0C00-000043000000}">
      <text>
        <r>
          <rPr>
            <b/>
            <sz val="9"/>
            <color indexed="81"/>
            <rFont val="Tahoma"/>
            <family val="2"/>
          </rPr>
          <t>Zona de ubicación del Recurso Ecosistémico.</t>
        </r>
      </text>
    </comment>
    <comment ref="BK7" authorId="1" shapeId="0" xr:uid="{00000000-0006-0000-0C00-000044000000}">
      <text>
        <r>
          <rPr>
            <b/>
            <sz val="9"/>
            <color indexed="81"/>
            <rFont val="Tahoma"/>
            <family val="2"/>
          </rPr>
          <t>Indicaron 25000 cabezas de ganado doble propósito, se toma como reporte de ejecución ( información entregada a última hora por rural)</t>
        </r>
      </text>
    </comment>
    <comment ref="Q29" authorId="2" shapeId="0" xr:uid="{00000000-0006-0000-0C00-000045000000}">
      <text>
        <r>
          <rPr>
            <b/>
            <sz val="9"/>
            <color indexed="81"/>
            <rFont val="Tahoma"/>
            <family val="2"/>
          </rPr>
          <t>Erportan 6 y dada la descrición de actividades se reporta el 80%</t>
        </r>
      </text>
    </comment>
    <comment ref="Q30" authorId="2" shapeId="0" xr:uid="{00000000-0006-0000-0C00-000046000000}">
      <text>
        <r>
          <rPr>
            <b/>
            <sz val="10"/>
            <color indexed="81"/>
            <rFont val="Tahoma"/>
            <family val="2"/>
          </rPr>
          <t>reportan 11.5%, sin embargo, en la descripción de actividades señalan que pasaron de 16.853 a 22.301 niñ@s atetndiso equivalente a un incremetno del 32% superando la meta  con ello, se el reporte de ejecución queda en 100%</t>
        </r>
      </text>
    </comment>
    <comment ref="Q31" authorId="2" shapeId="0" xr:uid="{00000000-0006-0000-0C00-000047000000}">
      <text>
        <r>
          <rPr>
            <b/>
            <sz val="10"/>
            <color indexed="81"/>
            <rFont val="Tahoma"/>
            <family val="2"/>
          </rPr>
          <t>reportan 11.5%, sin embargo, en la descripción de actividades señalan que pasaron de 16.853 a 22.301 niñ@s atetndiso equivalente a un incremetno del 32% superando la meta  con ello, se el reporte de ejecución queda en 100%</t>
        </r>
      </text>
    </comment>
    <comment ref="Q32" authorId="2" shapeId="0" xr:uid="{00000000-0006-0000-0C00-000048000000}">
      <text>
        <r>
          <rPr>
            <b/>
            <sz val="9"/>
            <color indexed="81"/>
            <rFont val="Tahoma"/>
            <family val="2"/>
          </rPr>
          <t>reportan SD pero dadas las actividades se deja ejecución al 60%</t>
        </r>
      </text>
    </comment>
    <comment ref="Q35" authorId="2" shapeId="0" xr:uid="{00000000-0006-0000-0C00-000049000000}">
      <text>
        <r>
          <rPr>
            <b/>
            <sz val="9"/>
            <color indexed="81"/>
            <rFont val="Tahoma"/>
            <family val="2"/>
          </rPr>
          <t>reportan 19471 dejando ejecucion al 100% por demanda</t>
        </r>
      </text>
    </comment>
    <comment ref="AS35" authorId="3" shapeId="0" xr:uid="{00000000-0006-0000-0C00-00004A000000}">
      <text>
        <r>
          <rPr>
            <b/>
            <sz val="9"/>
            <color indexed="81"/>
            <rFont val="Calibri"/>
            <family val="2"/>
          </rPr>
          <t>xxxxxxxxxxx xxxxxx:</t>
        </r>
        <r>
          <rPr>
            <sz val="9"/>
            <color indexed="81"/>
            <rFont val="Calibri"/>
            <family val="2"/>
          </rPr>
          <t xml:space="preserve">
DOC ACA SE AGRUPO OTRAS ETNIAS Y UNOS QUE DICEN NO APLICAN</t>
        </r>
      </text>
    </comment>
    <comment ref="Q36" authorId="2" shapeId="0" xr:uid="{00000000-0006-0000-0C00-00004B000000}">
      <text>
        <r>
          <rPr>
            <b/>
            <sz val="9"/>
            <color indexed="81"/>
            <rFont val="Tahoma"/>
            <family val="2"/>
          </rPr>
          <t>reportan: Todas las IE tienen en sus proyectos transversales la formacion en temas asociados a salud publica, habitos de vida saludable y el componente nutricional.
Adicionalmente desde el programa de alimentacion PAE se hace un acompañamiento de carácter psicosocial a estudiantes, docentes y padres de familia en habitos de consumo, habitos de vida saludable y en la importancia de la adecuada contribucion nutricional en los distintos alimentos del dia.</t>
        </r>
        <r>
          <rPr>
            <sz val="9"/>
            <color indexed="81"/>
            <rFont val="Tahoma"/>
            <family val="2"/>
          </rPr>
          <t xml:space="preserve">
</t>
        </r>
      </text>
    </comment>
    <comment ref="Q37" authorId="2" shapeId="0" xr:uid="{00000000-0006-0000-0C00-00004C000000}">
      <text>
        <r>
          <rPr>
            <b/>
            <sz val="9"/>
            <color indexed="81"/>
            <rFont val="Tahoma"/>
            <family val="2"/>
          </rPr>
          <t>reportan 4
ejecucion 4/6=67%</t>
        </r>
      </text>
    </comment>
    <comment ref="Q39" authorId="2" shapeId="0" xr:uid="{00000000-0006-0000-0C00-00004D000000}">
      <text>
        <r>
          <rPr>
            <b/>
            <sz val="9"/>
            <color indexed="81"/>
            <rFont val="Tahoma"/>
            <family val="2"/>
          </rPr>
          <t>Reportan No aplica pero se incluye en las actividades reportadas.
Se deja ejecucion al 100%</t>
        </r>
      </text>
    </comment>
    <comment ref="Q40" authorId="2" shapeId="0" xr:uid="{00000000-0006-0000-0C00-00004E000000}">
      <text>
        <r>
          <rPr>
            <b/>
            <sz val="9"/>
            <color indexed="81"/>
            <rFont val="Tahoma"/>
            <family val="2"/>
          </rPr>
          <t>reportan 3,8% desnutricion global menores de cinco años
se eja ejecucion al 100%</t>
        </r>
      </text>
    </comment>
    <comment ref="Q42" authorId="2" shapeId="0" xr:uid="{00000000-0006-0000-0C00-00004F000000}">
      <text>
        <r>
          <rPr>
            <b/>
            <sz val="9"/>
            <color indexed="81"/>
            <rFont val="Tahoma"/>
            <family val="2"/>
          </rPr>
          <t>se reporta 462 actividades educativas
Se deja ejecucion al 100%</t>
        </r>
      </text>
    </comment>
    <comment ref="Q43" authorId="2" shapeId="0" xr:uid="{00000000-0006-0000-0C00-000050000000}">
      <text>
        <r>
          <rPr>
            <b/>
            <sz val="9"/>
            <color indexed="81"/>
            <rFont val="Tahoma"/>
            <family val="2"/>
          </rPr>
          <t>reportan IRCA  urbano (o,o sin riesgo para el consumo) IRCA rural (0,52 riesgo bajo para el consumo humano)
se deja ejecucion al 100%</t>
        </r>
      </text>
    </comment>
    <comment ref="Q55" authorId="2" shapeId="0" xr:uid="{00000000-0006-0000-0C00-000051000000}">
      <text>
        <r>
          <rPr>
            <b/>
            <sz val="9"/>
            <color indexed="81"/>
            <rFont val="Tahoma"/>
            <family val="2"/>
          </rPr>
          <t>reportan Se realizan visitas de Inspección, Vigilancia y Control. Mediante actas lista de chequeo donde se verifica el cumplimiento de las normas sanitarias vigentes Resolucion 2674 de 2013.</t>
        </r>
      </text>
    </comment>
    <comment ref="Q56" authorId="2" shapeId="0" xr:uid="{00000000-0006-0000-0C00-000052000000}">
      <text>
        <r>
          <rPr>
            <b/>
            <sz val="9"/>
            <color indexed="81"/>
            <rFont val="Tahoma"/>
            <family val="2"/>
          </rPr>
          <t>reportan Se realizan visitas de Inspección, Vigilancia y Control. Mediante actas lista de chequeo donde se verifica el cumplimiento de las normas sanitarias vigentes Resolucion 2674 de 2013.</t>
        </r>
      </text>
    </comment>
    <comment ref="Q57" authorId="2" shapeId="0" xr:uid="{00000000-0006-0000-0C00-000053000000}">
      <text>
        <r>
          <rPr>
            <b/>
            <sz val="9"/>
            <color indexed="81"/>
            <rFont val="Tahoma"/>
            <family val="2"/>
          </rPr>
          <t>reportan Se realizan visitas de Inspección, Vigilancia y Control. Mediante actas lista de chequeo donde se verifica el cumplimiento de las normas sanitarias vigentes Resolucion 2674 de 2013.</t>
        </r>
      </text>
    </comment>
    <comment ref="Q58" authorId="2" shapeId="0" xr:uid="{00000000-0006-0000-0C00-000054000000}">
      <text>
        <r>
          <rPr>
            <b/>
            <sz val="9"/>
            <color indexed="81"/>
            <rFont val="Tahoma"/>
            <family val="2"/>
          </rPr>
          <t>reportan Se realizan visitas de Inspección, Vigilancia y Control. Mediante actas lista de chequeo donde se verifica el cumplimiento de las normas sanitarias vigentes Resolucion 2674 de 2013.</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OMAR NARANJO</author>
    <author>Allarit Giraldo Zuluaga</author>
    <author>Portatil</author>
    <author>motas</author>
  </authors>
  <commentList>
    <comment ref="K3" authorId="0" shapeId="0" xr:uid="{00000000-0006-0000-0D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BI3" authorId="0" shapeId="0" xr:uid="{00000000-0006-0000-0D00-000002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E3" authorId="0" shapeId="0" xr:uid="{00000000-0006-0000-0D00-000003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H3" authorId="0" shapeId="0" xr:uid="{00000000-0006-0000-0D00-000004000000}">
      <text>
        <r>
          <rPr>
            <b/>
            <sz val="12"/>
            <color indexed="81"/>
            <rFont val="Tahoma"/>
            <family val="2"/>
          </rPr>
          <t xml:space="preserve">Comente como desarrollo la acción de la Política Pública por medio de actividades, describiendo el Lugar, Temas desarrollados, etc. </t>
        </r>
      </text>
    </comment>
    <comment ref="DI3" authorId="0" shapeId="0" xr:uid="{00000000-0006-0000-0D00-000005000000}">
      <text>
        <r>
          <rPr>
            <b/>
            <sz val="12"/>
            <color indexed="81"/>
            <rFont val="Tahoma"/>
            <family val="2"/>
          </rPr>
          <t>Describa que evidencias reposan en el desarrollo de la acción, contratos, actas, fotos, registros de asistencia, informes, documentos, videos, etc</t>
        </r>
      </text>
    </comment>
    <comment ref="DJ3" authorId="0" shapeId="0" xr:uid="{00000000-0006-0000-0D00-000006000000}">
      <text>
        <r>
          <rPr>
            <b/>
            <sz val="12"/>
            <color indexed="81"/>
            <rFont val="Tahoma"/>
            <family val="2"/>
          </rPr>
          <t xml:space="preserve">Comente que problemas, necesidades, aciertos y/o recomendacion se cuentan en el desarrollo de la acción. </t>
        </r>
      </text>
    </comment>
    <comment ref="ET3" authorId="0" shapeId="0" xr:uid="{00000000-0006-0000-0D00-000007000000}">
      <text>
        <r>
          <rPr>
            <b/>
            <sz val="9"/>
            <color indexed="81"/>
            <rFont val="Tahoma"/>
            <family val="2"/>
          </rPr>
          <t>La Sección de Matriz de Focalización de Recursos Ecosistémicos se diligencia cuando la acción va dirigida a un Recurso Natural, Fauna y Flora.</t>
        </r>
      </text>
    </comment>
    <comment ref="DK4" authorId="0" shapeId="0" xr:uid="{00000000-0006-0000-0D00-000008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DL4" authorId="0" shapeId="0" xr:uid="{00000000-0006-0000-0D00-000009000000}">
      <text>
        <r>
          <rPr>
            <b/>
            <sz val="12"/>
            <color indexed="81"/>
            <rFont val="Tahoma"/>
            <family val="2"/>
          </rPr>
          <t>Detalle la cantidad de recursos invertidos del fondo de recursos propios (presupuestos corrientes del Municipio de Pereira)</t>
        </r>
      </text>
    </comment>
    <comment ref="DM4" authorId="0" shapeId="0" xr:uid="{00000000-0006-0000-0D00-00000A000000}">
      <text>
        <r>
          <rPr>
            <b/>
            <sz val="12"/>
            <color indexed="81"/>
            <rFont val="Tahoma"/>
            <family val="2"/>
          </rPr>
          <t>Detalle la cantidad de recursos invertidos del fondo de recursos del Sistema General de Participaciones (Recursos Girados desde la Nación por el SGP)</t>
        </r>
      </text>
    </comment>
    <comment ref="DN4" authorId="0" shapeId="0" xr:uid="{00000000-0006-0000-0D00-00000B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DO4" authorId="0" shapeId="0" xr:uid="{00000000-0006-0000-0D00-00000C000000}">
      <text>
        <r>
          <rPr>
            <b/>
            <sz val="12"/>
            <color indexed="81"/>
            <rFont val="Tahoma"/>
            <family val="2"/>
          </rPr>
          <t>Detalle el número de personas atendidas en cada acción.</t>
        </r>
      </text>
    </comment>
    <comment ref="DP4" authorId="0" shapeId="0" xr:uid="{00000000-0006-0000-0D00-00000D000000}">
      <text>
        <r>
          <rPr>
            <b/>
            <sz val="12"/>
            <color indexed="81"/>
            <rFont val="Tahoma"/>
            <family val="2"/>
          </rPr>
          <t>Según el total de personas atendidas descrimine los valores según su genero.</t>
        </r>
      </text>
    </comment>
    <comment ref="DR4" authorId="0" shapeId="0" xr:uid="{00000000-0006-0000-0D00-00000E000000}">
      <text>
        <r>
          <rPr>
            <b/>
            <sz val="12"/>
            <color indexed="81"/>
            <rFont val="Tahoma"/>
            <family val="2"/>
          </rPr>
          <t>Según el total de personas atendidas descrimine los valores según su zona.</t>
        </r>
      </text>
    </comment>
    <comment ref="DT4" authorId="0" shapeId="0" xr:uid="{00000000-0006-0000-0D00-00000F000000}">
      <text>
        <r>
          <rPr>
            <b/>
            <sz val="12"/>
            <color indexed="81"/>
            <rFont val="Tahoma"/>
            <family val="2"/>
          </rPr>
          <t>Según el total de personas atendidas descrimine los valores según ciclos de edad.</t>
        </r>
      </text>
    </comment>
    <comment ref="EA4" authorId="0" shapeId="0" xr:uid="{00000000-0006-0000-0D00-000010000000}">
      <text>
        <r>
          <rPr>
            <b/>
            <sz val="12"/>
            <color indexed="81"/>
            <rFont val="Tahoma"/>
            <family val="2"/>
          </rPr>
          <t>Según el total de personas atendidas descrimine los valores según su condición.</t>
        </r>
      </text>
    </comment>
    <comment ref="EI4" authorId="0" shapeId="0" xr:uid="{00000000-0006-0000-0D00-000011000000}">
      <text>
        <r>
          <rPr>
            <b/>
            <sz val="12"/>
            <color indexed="81"/>
            <rFont val="Tahoma"/>
            <family val="2"/>
          </rPr>
          <t>Según el total de personas atendidas descrimine los valores según su etnia.</t>
        </r>
      </text>
    </comment>
    <comment ref="EO4" authorId="0" shapeId="0" xr:uid="{00000000-0006-0000-0D00-000012000000}">
      <text>
        <r>
          <rPr>
            <b/>
            <sz val="12"/>
            <color indexed="81"/>
            <rFont val="Tahoma"/>
            <family val="2"/>
          </rPr>
          <t>En el caso que la acción este dirigida a una organización,  diligenciar el tipo de organización beneficiada.</t>
        </r>
      </text>
    </comment>
    <comment ref="EP4" authorId="0" shapeId="0" xr:uid="{00000000-0006-0000-0D00-000013000000}">
      <text>
        <r>
          <rPr>
            <b/>
            <sz val="12"/>
            <color indexed="81"/>
            <rFont val="Tahoma"/>
            <family val="2"/>
          </rPr>
          <t>Describir el objeto principal de la institución u organización beneficiada.</t>
        </r>
      </text>
    </comment>
    <comment ref="ET4" authorId="0" shapeId="0" xr:uid="{00000000-0006-0000-0D00-000014000000}">
      <text>
        <r>
          <rPr>
            <b/>
            <sz val="12"/>
            <color indexed="81"/>
            <rFont val="Tahoma"/>
            <family val="2"/>
          </rPr>
          <t xml:space="preserve">Diligenciar si son: 
30 Caninos 
100 Arboles plantados  
2 cuencas recuperadas etc
</t>
        </r>
      </text>
    </comment>
    <comment ref="EU4" authorId="0" shapeId="0" xr:uid="{00000000-0006-0000-0D00-000015000000}">
      <text>
        <r>
          <rPr>
            <b/>
            <sz val="12"/>
            <color indexed="81"/>
            <rFont val="Tahoma"/>
            <family val="2"/>
          </rPr>
          <t>Marcar con una X el tipo de recurso que se beneficio según la acción.</t>
        </r>
      </text>
    </comment>
    <comment ref="ER5" authorId="0" shapeId="0" xr:uid="{00000000-0006-0000-0D00-000016000000}">
      <text>
        <r>
          <rPr>
            <b/>
            <sz val="12"/>
            <color indexed="81"/>
            <rFont val="Tahoma"/>
            <family val="2"/>
          </rPr>
          <t>Zona de ubicación de la Institución u Organización.</t>
        </r>
      </text>
    </comment>
    <comment ref="ES5" authorId="0" shapeId="0" xr:uid="{00000000-0006-0000-0D00-000017000000}">
      <text>
        <r>
          <rPr>
            <b/>
            <sz val="12"/>
            <color indexed="81"/>
            <rFont val="Tahoma"/>
            <family val="2"/>
          </rPr>
          <t>Zona de ubicación de la Institución u Organización.</t>
        </r>
      </text>
    </comment>
    <comment ref="EX5" authorId="0" shapeId="0" xr:uid="{00000000-0006-0000-0D00-000018000000}">
      <text>
        <r>
          <rPr>
            <b/>
            <sz val="9"/>
            <color indexed="81"/>
            <rFont val="Tahoma"/>
            <family val="2"/>
          </rPr>
          <t>Zona de ubicación del Recurso Ecosistémico.</t>
        </r>
      </text>
    </comment>
    <comment ref="BI6" authorId="1" shapeId="0" xr:uid="{00000000-0006-0000-0D00-000019000000}">
      <text>
        <r>
          <rPr>
            <b/>
            <sz val="9"/>
            <color indexed="81"/>
            <rFont val="Tahoma"/>
            <family val="2"/>
          </rPr>
          <t>INDICAR EXACTAAMENTE EL VALOR DE LA RAZÓN DE MORTALIDAD, EL CUAL INDICAN SE MANTUVO POR DEBAJO DE 18,5</t>
        </r>
      </text>
    </comment>
    <comment ref="D7" authorId="2" shapeId="0" xr:uid="{00000000-0006-0000-0D00-00001A000000}">
      <text>
        <r>
          <rPr>
            <b/>
            <sz val="12"/>
            <color indexed="81"/>
            <rFont val="Tahoma"/>
            <family val="2"/>
          </rPr>
          <t>ESTE INIDICADOR ES UNA TASA NO UN PORCENTAJE</t>
        </r>
      </text>
    </comment>
    <comment ref="BI7" authorId="1" shapeId="0" xr:uid="{00000000-0006-0000-0D00-00001B000000}">
      <text>
        <r>
          <rPr>
            <b/>
            <sz val="9"/>
            <color indexed="81"/>
            <rFont val="Tahoma"/>
            <family val="2"/>
          </rPr>
          <t>INDICAR EL NÚMERO DE ACCIONES REALIZADAS</t>
        </r>
      </text>
    </comment>
    <comment ref="BH32" authorId="3" shapeId="0" xr:uid="{00000000-0006-0000-0D00-00001C000000}">
      <text>
        <r>
          <rPr>
            <b/>
            <sz val="9"/>
            <color indexed="81"/>
            <rFont val="Tahoma"/>
            <family val="2"/>
          </rPr>
          <t>Portatil:</t>
        </r>
        <r>
          <rPr>
            <sz val="9"/>
            <color indexed="81"/>
            <rFont val="Tahoma"/>
            <family val="2"/>
          </rPr>
          <t xml:space="preserve">
informes VIviana</t>
        </r>
      </text>
    </comment>
    <comment ref="J38" authorId="3" shapeId="0" xr:uid="{00000000-0006-0000-0D00-00001D000000}">
      <text>
        <r>
          <rPr>
            <b/>
            <sz val="9"/>
            <color indexed="81"/>
            <rFont val="Tahoma"/>
            <family val="2"/>
          </rPr>
          <t>Portatil:</t>
        </r>
        <r>
          <rPr>
            <sz val="9"/>
            <color indexed="81"/>
            <rFont val="Tahoma"/>
            <family val="2"/>
          </rPr>
          <t xml:space="preserve">
Informe Luisa familias visitadas y poblacion objeto</t>
        </r>
      </text>
    </comment>
    <comment ref="BE38" authorId="3" shapeId="0" xr:uid="{00000000-0006-0000-0D00-00001E000000}">
      <text>
        <r>
          <rPr>
            <b/>
            <sz val="9"/>
            <color indexed="81"/>
            <rFont val="Tahoma"/>
            <family val="2"/>
          </rPr>
          <t>Portatil:</t>
        </r>
        <r>
          <rPr>
            <sz val="9"/>
            <color indexed="81"/>
            <rFont val="Tahoma"/>
            <family val="2"/>
          </rPr>
          <t xml:space="preserve">
Informe Luisa familias visitadas y poblacion objeto</t>
        </r>
      </text>
    </comment>
    <comment ref="BG38" authorId="3" shapeId="0" xr:uid="{00000000-0006-0000-0D00-00001F000000}">
      <text>
        <r>
          <rPr>
            <b/>
            <sz val="9"/>
            <color indexed="81"/>
            <rFont val="Tahoma"/>
            <family val="2"/>
          </rPr>
          <t>Portatil:</t>
        </r>
        <r>
          <rPr>
            <sz val="9"/>
            <color indexed="81"/>
            <rFont val="Tahoma"/>
            <family val="2"/>
          </rPr>
          <t xml:space="preserve">
Informe Luisa familias visitadas y poblacion objeto</t>
        </r>
      </text>
    </comment>
    <comment ref="J41" authorId="3" shapeId="0" xr:uid="{00000000-0006-0000-0D00-000020000000}">
      <text>
        <r>
          <rPr>
            <b/>
            <sz val="9"/>
            <color indexed="81"/>
            <rFont val="Tahoma"/>
            <family val="2"/>
          </rPr>
          <t>Portatil:</t>
        </r>
        <r>
          <rPr>
            <sz val="9"/>
            <color indexed="81"/>
            <rFont val="Tahoma"/>
            <family val="2"/>
          </rPr>
          <t xml:space="preserve">
Escuelas y colegios saludables</t>
        </r>
      </text>
    </comment>
    <comment ref="M41" authorId="3" shapeId="0" xr:uid="{00000000-0006-0000-0D00-000021000000}">
      <text>
        <r>
          <rPr>
            <b/>
            <sz val="9"/>
            <color indexed="81"/>
            <rFont val="Tahoma"/>
            <family val="2"/>
          </rPr>
          <t>Portatil:</t>
        </r>
        <r>
          <rPr>
            <sz val="9"/>
            <color indexed="81"/>
            <rFont val="Tahoma"/>
            <family val="2"/>
          </rPr>
          <t xml:space="preserve">
Falta poblacion</t>
        </r>
      </text>
    </comment>
    <comment ref="BE41" authorId="3" shapeId="0" xr:uid="{00000000-0006-0000-0D00-000022000000}">
      <text>
        <r>
          <rPr>
            <b/>
            <sz val="9"/>
            <color indexed="81"/>
            <rFont val="Tahoma"/>
            <family val="2"/>
          </rPr>
          <t>Portatil:</t>
        </r>
        <r>
          <rPr>
            <sz val="9"/>
            <color indexed="81"/>
            <rFont val="Tahoma"/>
            <family val="2"/>
          </rPr>
          <t xml:space="preserve">
Escuelas y colegios saludables</t>
        </r>
      </text>
    </comment>
    <comment ref="BG41" authorId="3" shapeId="0" xr:uid="{00000000-0006-0000-0D00-000023000000}">
      <text>
        <r>
          <rPr>
            <b/>
            <sz val="9"/>
            <color indexed="81"/>
            <rFont val="Tahoma"/>
            <family val="2"/>
          </rPr>
          <t>Portatil:</t>
        </r>
        <r>
          <rPr>
            <sz val="9"/>
            <color indexed="81"/>
            <rFont val="Tahoma"/>
            <family val="2"/>
          </rPr>
          <t xml:space="preserve">
Escuelas y colegios saludables</t>
        </r>
      </text>
    </comment>
    <comment ref="BM41" authorId="3" shapeId="0" xr:uid="{00000000-0006-0000-0D00-000024000000}">
      <text>
        <r>
          <rPr>
            <b/>
            <sz val="9"/>
            <color indexed="81"/>
            <rFont val="Tahoma"/>
            <family val="2"/>
          </rPr>
          <t>Portatil:</t>
        </r>
        <r>
          <rPr>
            <sz val="9"/>
            <color indexed="81"/>
            <rFont val="Tahoma"/>
            <family val="2"/>
          </rPr>
          <t xml:space="preserve">
Falta poblacion</t>
        </r>
      </text>
    </comment>
    <comment ref="J42" authorId="3" shapeId="0" xr:uid="{00000000-0006-0000-0D00-000025000000}">
      <text>
        <r>
          <rPr>
            <b/>
            <sz val="9"/>
            <color indexed="81"/>
            <rFont val="Tahoma"/>
            <family val="2"/>
          </rPr>
          <t>Portatil:</t>
        </r>
        <r>
          <rPr>
            <sz val="9"/>
            <color indexed="81"/>
            <rFont val="Tahoma"/>
            <family val="2"/>
          </rPr>
          <t xml:space="preserve">
Escuelas y colegios saludables</t>
        </r>
      </text>
    </comment>
    <comment ref="M42" authorId="3" shapeId="0" xr:uid="{00000000-0006-0000-0D00-000026000000}">
      <text>
        <r>
          <rPr>
            <b/>
            <sz val="9"/>
            <color indexed="81"/>
            <rFont val="Tahoma"/>
            <family val="2"/>
          </rPr>
          <t>Portatil:</t>
        </r>
        <r>
          <rPr>
            <sz val="9"/>
            <color indexed="81"/>
            <rFont val="Tahoma"/>
            <family val="2"/>
          </rPr>
          <t xml:space="preserve">
Falta poblacion</t>
        </r>
      </text>
    </comment>
    <comment ref="BE42" authorId="3" shapeId="0" xr:uid="{00000000-0006-0000-0D00-000027000000}">
      <text>
        <r>
          <rPr>
            <b/>
            <sz val="9"/>
            <color indexed="81"/>
            <rFont val="Tahoma"/>
            <family val="2"/>
          </rPr>
          <t>Portatil:</t>
        </r>
        <r>
          <rPr>
            <sz val="9"/>
            <color indexed="81"/>
            <rFont val="Tahoma"/>
            <family val="2"/>
          </rPr>
          <t xml:space="preserve">
Escuelas y colegios saludables</t>
        </r>
      </text>
    </comment>
    <comment ref="BG42" authorId="3" shapeId="0" xr:uid="{00000000-0006-0000-0D00-000028000000}">
      <text>
        <r>
          <rPr>
            <b/>
            <sz val="9"/>
            <color indexed="81"/>
            <rFont val="Tahoma"/>
            <family val="2"/>
          </rPr>
          <t>Portatil:</t>
        </r>
        <r>
          <rPr>
            <sz val="9"/>
            <color indexed="81"/>
            <rFont val="Tahoma"/>
            <family val="2"/>
          </rPr>
          <t xml:space="preserve">
Escuelas y colegios saludables</t>
        </r>
      </text>
    </comment>
    <comment ref="BM42" authorId="3" shapeId="0" xr:uid="{00000000-0006-0000-0D00-000029000000}">
      <text>
        <r>
          <rPr>
            <b/>
            <sz val="9"/>
            <color indexed="81"/>
            <rFont val="Tahoma"/>
            <family val="2"/>
          </rPr>
          <t>Portatil:</t>
        </r>
        <r>
          <rPr>
            <sz val="9"/>
            <color indexed="81"/>
            <rFont val="Tahoma"/>
            <family val="2"/>
          </rPr>
          <t xml:space="preserve">
Falta poblacion</t>
        </r>
      </text>
    </comment>
    <comment ref="BH43" authorId="3" shapeId="0" xr:uid="{00000000-0006-0000-0D00-00002A000000}">
      <text>
        <r>
          <rPr>
            <b/>
            <sz val="9"/>
            <color indexed="81"/>
            <rFont val="Tahoma"/>
            <family val="2"/>
          </rPr>
          <t>Portatil:</t>
        </r>
        <r>
          <rPr>
            <sz val="9"/>
            <color indexed="81"/>
            <rFont val="Tahoma"/>
            <family val="2"/>
          </rPr>
          <t xml:space="preserve">
informes VIviana</t>
        </r>
      </text>
    </comment>
    <comment ref="BH47" authorId="3" shapeId="0" xr:uid="{00000000-0006-0000-0D00-00002B000000}">
      <text>
        <r>
          <rPr>
            <b/>
            <sz val="9"/>
            <color indexed="81"/>
            <rFont val="Tahoma"/>
            <family val="2"/>
          </rPr>
          <t>Portatil:</t>
        </r>
        <r>
          <rPr>
            <sz val="9"/>
            <color indexed="81"/>
            <rFont val="Tahoma"/>
            <family val="2"/>
          </rPr>
          <t xml:space="preserve">
informes VIviana</t>
        </r>
      </text>
    </comment>
    <comment ref="J54" authorId="3" shapeId="0" xr:uid="{00000000-0006-0000-0D00-00002C000000}">
      <text>
        <r>
          <rPr>
            <b/>
            <sz val="9"/>
            <color indexed="81"/>
            <rFont val="Tahoma"/>
            <family val="2"/>
          </rPr>
          <t>Portatil:</t>
        </r>
        <r>
          <rPr>
            <sz val="9"/>
            <color indexed="81"/>
            <rFont val="Tahoma"/>
            <family val="2"/>
          </rPr>
          <t xml:space="preserve">
Luisa cifras</t>
        </r>
      </text>
    </comment>
    <comment ref="BE54" authorId="3" shapeId="0" xr:uid="{00000000-0006-0000-0D00-00002D000000}">
      <text>
        <r>
          <rPr>
            <b/>
            <sz val="9"/>
            <color indexed="81"/>
            <rFont val="Tahoma"/>
            <family val="2"/>
          </rPr>
          <t>Portatil:</t>
        </r>
        <r>
          <rPr>
            <sz val="9"/>
            <color indexed="81"/>
            <rFont val="Tahoma"/>
            <family val="2"/>
          </rPr>
          <t xml:space="preserve">
Luisa cifras</t>
        </r>
      </text>
    </comment>
    <comment ref="BG54" authorId="3" shapeId="0" xr:uid="{00000000-0006-0000-0D00-00002E000000}">
      <text>
        <r>
          <rPr>
            <b/>
            <sz val="9"/>
            <color indexed="81"/>
            <rFont val="Tahoma"/>
            <family val="2"/>
          </rPr>
          <t>Portatil:</t>
        </r>
        <r>
          <rPr>
            <sz val="9"/>
            <color indexed="81"/>
            <rFont val="Tahoma"/>
            <family val="2"/>
          </rPr>
          <t xml:space="preserve">
Luisa cifras</t>
        </r>
      </text>
    </comment>
    <comment ref="M62" authorId="3" shapeId="0" xr:uid="{00000000-0006-0000-0D00-00002F000000}">
      <text>
        <r>
          <rPr>
            <b/>
            <sz val="9"/>
            <color indexed="81"/>
            <rFont val="Tahoma"/>
            <family val="2"/>
          </rPr>
          <t xml:space="preserve">Portati
Nuemro de personas Luisa
</t>
        </r>
      </text>
    </comment>
    <comment ref="BM62" authorId="3" shapeId="0" xr:uid="{00000000-0006-0000-0D00-000030000000}">
      <text>
        <r>
          <rPr>
            <b/>
            <sz val="9"/>
            <color indexed="81"/>
            <rFont val="Tahoma"/>
            <family val="2"/>
          </rPr>
          <t xml:space="preserve">Portati
Nuemro de personas Luisa
</t>
        </r>
      </text>
    </comment>
    <comment ref="M63" authorId="3" shapeId="0" xr:uid="{00000000-0006-0000-0D00-000031000000}">
      <text>
        <r>
          <rPr>
            <b/>
            <sz val="9"/>
            <color indexed="81"/>
            <rFont val="Tahoma"/>
            <family val="2"/>
          </rPr>
          <t xml:space="preserve">Portati
Nuemro de personas Luisa
</t>
        </r>
      </text>
    </comment>
    <comment ref="BM63" authorId="3" shapeId="0" xr:uid="{00000000-0006-0000-0D00-000032000000}">
      <text>
        <r>
          <rPr>
            <b/>
            <sz val="9"/>
            <color indexed="81"/>
            <rFont val="Tahoma"/>
            <family val="2"/>
          </rPr>
          <t xml:space="preserve">Portati
Nuemro de personas Luisa
</t>
        </r>
      </text>
    </comment>
    <comment ref="BH69" authorId="3" shapeId="0" xr:uid="{00000000-0006-0000-0D00-000033000000}">
      <text>
        <r>
          <rPr>
            <b/>
            <sz val="9"/>
            <color indexed="81"/>
            <rFont val="Tahoma"/>
            <family val="2"/>
          </rPr>
          <t>Portatil:</t>
        </r>
        <r>
          <rPr>
            <sz val="9"/>
            <color indexed="81"/>
            <rFont val="Tahoma"/>
            <family val="2"/>
          </rPr>
          <t xml:space="preserve">
informes VIviana</t>
        </r>
      </text>
    </comment>
    <comment ref="J71" authorId="3" shapeId="0" xr:uid="{00000000-0006-0000-0D00-000034000000}">
      <text>
        <r>
          <rPr>
            <b/>
            <sz val="9"/>
            <color indexed="81"/>
            <rFont val="Tahoma"/>
            <family val="2"/>
          </rPr>
          <t>Portatil:</t>
        </r>
        <r>
          <rPr>
            <sz val="9"/>
            <color indexed="81"/>
            <rFont val="Tahoma"/>
            <family val="2"/>
          </rPr>
          <t xml:space="preserve">
Informe Juliana</t>
        </r>
      </text>
    </comment>
    <comment ref="BE71" authorId="3" shapeId="0" xr:uid="{00000000-0006-0000-0D00-000035000000}">
      <text>
        <r>
          <rPr>
            <b/>
            <sz val="9"/>
            <color indexed="81"/>
            <rFont val="Tahoma"/>
            <family val="2"/>
          </rPr>
          <t>Portatil:</t>
        </r>
        <r>
          <rPr>
            <sz val="9"/>
            <color indexed="81"/>
            <rFont val="Tahoma"/>
            <family val="2"/>
          </rPr>
          <t xml:space="preserve">
Informe Juliana</t>
        </r>
      </text>
    </comment>
    <comment ref="BG71" authorId="3" shapeId="0" xr:uid="{00000000-0006-0000-0D00-000036000000}">
      <text>
        <r>
          <rPr>
            <b/>
            <sz val="9"/>
            <color indexed="81"/>
            <rFont val="Tahoma"/>
            <family val="2"/>
          </rPr>
          <t>Portatil:</t>
        </r>
        <r>
          <rPr>
            <sz val="9"/>
            <color indexed="81"/>
            <rFont val="Tahoma"/>
            <family val="2"/>
          </rPr>
          <t xml:space="preserve">
Informe Juliana</t>
        </r>
      </text>
    </comment>
    <comment ref="BI73" authorId="1" shapeId="0" xr:uid="{00000000-0006-0000-0D00-000037000000}">
      <text>
        <r>
          <rPr>
            <b/>
            <sz val="9"/>
            <color indexed="81"/>
            <rFont val="Tahoma"/>
            <family val="2"/>
          </rPr>
          <t>La meta del indicador era reducir a 9 por cada 100,000 la mortalidad por VIH, quedo en 10,2</t>
        </r>
      </text>
    </comment>
    <comment ref="J77" authorId="3" shapeId="0" xr:uid="{00000000-0006-0000-0D00-000038000000}">
      <text>
        <r>
          <rPr>
            <b/>
            <sz val="9"/>
            <color indexed="81"/>
            <rFont val="Tahoma"/>
            <family val="2"/>
          </rPr>
          <t>Portatil:</t>
        </r>
        <r>
          <rPr>
            <sz val="9"/>
            <color indexed="81"/>
            <rFont val="Tahoma"/>
            <family val="2"/>
          </rPr>
          <t xml:space="preserve">
Luisa poblacion</t>
        </r>
      </text>
    </comment>
    <comment ref="BE77" authorId="3" shapeId="0" xr:uid="{00000000-0006-0000-0D00-000039000000}">
      <text>
        <r>
          <rPr>
            <b/>
            <sz val="9"/>
            <color indexed="81"/>
            <rFont val="Tahoma"/>
            <family val="2"/>
          </rPr>
          <t>Portatil:</t>
        </r>
        <r>
          <rPr>
            <sz val="9"/>
            <color indexed="81"/>
            <rFont val="Tahoma"/>
            <family val="2"/>
          </rPr>
          <t xml:space="preserve">
Luisa poblacion</t>
        </r>
      </text>
    </comment>
    <comment ref="BG77" authorId="3" shapeId="0" xr:uid="{00000000-0006-0000-0D00-00003A000000}">
      <text>
        <r>
          <rPr>
            <b/>
            <sz val="9"/>
            <color indexed="81"/>
            <rFont val="Tahoma"/>
            <family val="2"/>
          </rPr>
          <t>Portatil:</t>
        </r>
        <r>
          <rPr>
            <sz val="9"/>
            <color indexed="81"/>
            <rFont val="Tahoma"/>
            <family val="2"/>
          </rPr>
          <t xml:space="preserve">
Luisa poblacion</t>
        </r>
      </text>
    </comment>
    <comment ref="M82" authorId="3" shapeId="0" xr:uid="{00000000-0006-0000-0D00-00003B000000}">
      <text>
        <r>
          <rPr>
            <b/>
            <sz val="9"/>
            <color indexed="81"/>
            <rFont val="Tahoma"/>
            <family val="2"/>
          </rPr>
          <t>Portatil:</t>
        </r>
        <r>
          <rPr>
            <sz val="9"/>
            <color indexed="81"/>
            <rFont val="Tahoma"/>
            <family val="2"/>
          </rPr>
          <t xml:space="preserve">
Actividades CAIVAS</t>
        </r>
      </text>
    </comment>
    <comment ref="BM82" authorId="3" shapeId="0" xr:uid="{00000000-0006-0000-0D00-00003C000000}">
      <text>
        <r>
          <rPr>
            <b/>
            <sz val="9"/>
            <color indexed="81"/>
            <rFont val="Tahoma"/>
            <family val="2"/>
          </rPr>
          <t>Portatil:</t>
        </r>
        <r>
          <rPr>
            <sz val="9"/>
            <color indexed="81"/>
            <rFont val="Tahoma"/>
            <family val="2"/>
          </rPr>
          <t xml:space="preserve">
Actividades CAIVAS</t>
        </r>
      </text>
    </comment>
    <comment ref="M83" authorId="3" shapeId="0" xr:uid="{00000000-0006-0000-0D00-00003D000000}">
      <text>
        <r>
          <rPr>
            <b/>
            <sz val="9"/>
            <color indexed="81"/>
            <rFont val="Tahoma"/>
            <family val="2"/>
          </rPr>
          <t>Portatil:</t>
        </r>
        <r>
          <rPr>
            <sz val="9"/>
            <color indexed="81"/>
            <rFont val="Tahoma"/>
            <family val="2"/>
          </rPr>
          <t xml:space="preserve">
Actividades CAIVAS</t>
        </r>
      </text>
    </comment>
    <comment ref="BM83" authorId="3" shapeId="0" xr:uid="{00000000-0006-0000-0D00-00003E000000}">
      <text>
        <r>
          <rPr>
            <b/>
            <sz val="9"/>
            <color indexed="81"/>
            <rFont val="Tahoma"/>
            <family val="2"/>
          </rPr>
          <t>Portatil:</t>
        </r>
        <r>
          <rPr>
            <sz val="9"/>
            <color indexed="81"/>
            <rFont val="Tahoma"/>
            <family val="2"/>
          </rPr>
          <t xml:space="preserve">
Actividades CAIVAS</t>
        </r>
      </text>
    </comment>
    <comment ref="T97" authorId="4" shapeId="0" xr:uid="{00000000-0006-0000-0D00-00003F000000}">
      <text>
        <r>
          <rPr>
            <b/>
            <sz val="9"/>
            <color indexed="81"/>
            <rFont val="Tahoma"/>
            <family val="2"/>
          </rPr>
          <t>motas: Usuarios unicos 676</t>
        </r>
      </text>
    </comment>
    <comment ref="U97" authorId="4" shapeId="0" xr:uid="{00000000-0006-0000-0D00-000040000000}">
      <text>
        <r>
          <rPr>
            <b/>
            <sz val="9"/>
            <color indexed="81"/>
            <rFont val="Tahoma"/>
            <family val="2"/>
          </rPr>
          <t>motas:</t>
        </r>
        <r>
          <rPr>
            <sz val="9"/>
            <color indexed="81"/>
            <rFont val="Tahoma"/>
            <family val="2"/>
          </rPr>
          <t xml:space="preserve">
333 uusarios unicos que incluyen 27 indocumentados</t>
        </r>
      </text>
    </comment>
    <comment ref="V97" authorId="4" shapeId="0" xr:uid="{00000000-0006-0000-0D00-000041000000}">
      <text>
        <r>
          <rPr>
            <b/>
            <sz val="9"/>
            <color indexed="81"/>
            <rFont val="Tahoma"/>
            <family val="2"/>
          </rPr>
          <t>motas:</t>
        </r>
        <r>
          <rPr>
            <sz val="9"/>
            <color indexed="81"/>
            <rFont val="Tahoma"/>
            <family val="2"/>
          </rPr>
          <t xml:space="preserve">
343 uusarios unicos que incluyen 13 indocumentados</t>
        </r>
      </text>
    </comment>
    <comment ref="W97" authorId="4" shapeId="0" xr:uid="{00000000-0006-0000-0D00-000042000000}">
      <text>
        <r>
          <rPr>
            <b/>
            <sz val="9"/>
            <color indexed="81"/>
            <rFont val="Tahoma"/>
            <family val="2"/>
          </rPr>
          <t>motas:</t>
        </r>
        <r>
          <rPr>
            <sz val="9"/>
            <color indexed="81"/>
            <rFont val="Tahoma"/>
            <family val="2"/>
          </rPr>
          <t xml:space="preserve">
tenr presnete que esta variable no se puede sacar por valor uusuario uan vez uqe un usuario puede  en un momento a ver cambiado de  residencia</t>
        </r>
      </text>
    </comment>
    <comment ref="X97" authorId="4" shapeId="0" xr:uid="{00000000-0006-0000-0D00-000043000000}">
      <text>
        <r>
          <rPr>
            <b/>
            <sz val="9"/>
            <color indexed="81"/>
            <rFont val="Tahoma"/>
            <family val="2"/>
          </rPr>
          <t>motas:</t>
        </r>
        <r>
          <rPr>
            <sz val="9"/>
            <color indexed="81"/>
            <rFont val="Tahoma"/>
            <family val="2"/>
          </rPr>
          <t xml:space="preserve">
aplica el mismo comentario de urbano existen 179 sin georeferenciar</t>
        </r>
      </text>
    </comment>
    <comment ref="AE97" authorId="4" shapeId="0" xr:uid="{00000000-0006-0000-0D00-000044000000}">
      <text>
        <r>
          <rPr>
            <b/>
            <sz val="9"/>
            <color indexed="81"/>
            <rFont val="Tahoma"/>
            <family val="2"/>
          </rPr>
          <t>motas:</t>
        </r>
        <r>
          <rPr>
            <sz val="9"/>
            <color indexed="81"/>
            <rFont val="Tahoma"/>
            <family val="2"/>
          </rPr>
          <t xml:space="preserve">
existen 25 registros que no  reportaron edad</t>
        </r>
      </text>
    </comment>
    <comment ref="BT97" authorId="4" shapeId="0" xr:uid="{00000000-0006-0000-0D00-000045000000}">
      <text>
        <r>
          <rPr>
            <b/>
            <sz val="9"/>
            <color indexed="81"/>
            <rFont val="Tahoma"/>
            <family val="2"/>
          </rPr>
          <t>motas: Usuarios unicos 676</t>
        </r>
      </text>
    </comment>
    <comment ref="BU97" authorId="4" shapeId="0" xr:uid="{00000000-0006-0000-0D00-000046000000}">
      <text>
        <r>
          <rPr>
            <b/>
            <sz val="9"/>
            <color indexed="81"/>
            <rFont val="Tahoma"/>
            <family val="2"/>
          </rPr>
          <t>motas:</t>
        </r>
        <r>
          <rPr>
            <sz val="9"/>
            <color indexed="81"/>
            <rFont val="Tahoma"/>
            <family val="2"/>
          </rPr>
          <t xml:space="preserve">
333 uusarios unicos que incluyen 27 indocumentados</t>
        </r>
      </text>
    </comment>
    <comment ref="BV97" authorId="4" shapeId="0" xr:uid="{00000000-0006-0000-0D00-000047000000}">
      <text>
        <r>
          <rPr>
            <b/>
            <sz val="9"/>
            <color indexed="81"/>
            <rFont val="Tahoma"/>
            <family val="2"/>
          </rPr>
          <t>motas:</t>
        </r>
        <r>
          <rPr>
            <sz val="9"/>
            <color indexed="81"/>
            <rFont val="Tahoma"/>
            <family val="2"/>
          </rPr>
          <t xml:space="preserve">
343 uusarios unicos que incluyen 13 indocumentados</t>
        </r>
      </text>
    </comment>
    <comment ref="BW97" authorId="4" shapeId="0" xr:uid="{00000000-0006-0000-0D00-000048000000}">
      <text>
        <r>
          <rPr>
            <b/>
            <sz val="9"/>
            <color indexed="81"/>
            <rFont val="Tahoma"/>
            <family val="2"/>
          </rPr>
          <t>motas:</t>
        </r>
        <r>
          <rPr>
            <sz val="9"/>
            <color indexed="81"/>
            <rFont val="Tahoma"/>
            <family val="2"/>
          </rPr>
          <t xml:space="preserve">
tenr presnete que esta variable no se puede sacar por valor uusuario uan vez uqe un usuario puede  en un momento a ver cambiado de  residencia</t>
        </r>
      </text>
    </comment>
    <comment ref="BX97" authorId="4" shapeId="0" xr:uid="{00000000-0006-0000-0D00-000049000000}">
      <text>
        <r>
          <rPr>
            <b/>
            <sz val="9"/>
            <color indexed="81"/>
            <rFont val="Tahoma"/>
            <family val="2"/>
          </rPr>
          <t>motas:</t>
        </r>
        <r>
          <rPr>
            <sz val="9"/>
            <color indexed="81"/>
            <rFont val="Tahoma"/>
            <family val="2"/>
          </rPr>
          <t xml:space="preserve">
aplica el mismo comentario de urbano existen 179 sin georeferenciar</t>
        </r>
      </text>
    </comment>
    <comment ref="CE97" authorId="4" shapeId="0" xr:uid="{00000000-0006-0000-0D00-00004A000000}">
      <text>
        <r>
          <rPr>
            <b/>
            <sz val="9"/>
            <color indexed="81"/>
            <rFont val="Tahoma"/>
            <family val="2"/>
          </rPr>
          <t>motas:</t>
        </r>
        <r>
          <rPr>
            <sz val="9"/>
            <color indexed="81"/>
            <rFont val="Tahoma"/>
            <family val="2"/>
          </rPr>
          <t xml:space="preserve">
existen 25 registros que no  reportaron edad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Usuario</author>
    <author/>
    <author>contabilidad</author>
  </authors>
  <commentList>
    <comment ref="R2" authorId="0" shapeId="0" xr:uid="{00000000-0006-0000-0E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S2" authorId="0" shapeId="0" xr:uid="{00000000-0006-0000-0E00-000002000000}">
      <text>
        <r>
          <rPr>
            <b/>
            <sz val="12"/>
            <color indexed="81"/>
            <rFont val="Tahoma"/>
            <family val="2"/>
          </rPr>
          <t xml:space="preserve">Comente como desarrollo la acción de la Política Pública por medio de actividades, describiendo el Lugar, Temas desarrollados, etc. </t>
        </r>
      </text>
    </comment>
    <comment ref="T2" authorId="0" shapeId="0" xr:uid="{00000000-0006-0000-0E00-000003000000}">
      <text>
        <r>
          <rPr>
            <b/>
            <sz val="12"/>
            <color indexed="81"/>
            <rFont val="Tahoma"/>
            <family val="2"/>
          </rPr>
          <t>Describa que evidencias reposan en el desarrollo de la acción, contratos, actas, fotos, registros de asistencia, informes, documentos, videos, etc</t>
        </r>
      </text>
    </comment>
    <comment ref="U2" authorId="0" shapeId="0" xr:uid="{00000000-0006-0000-0E00-000004000000}">
      <text>
        <r>
          <rPr>
            <b/>
            <sz val="12"/>
            <color indexed="81"/>
            <rFont val="Tahoma"/>
            <family val="2"/>
          </rPr>
          <t xml:space="preserve">Comente que problemas, necesidades, aciertos y/o recomendacion se cuentan en el desarrollo de la acción. </t>
        </r>
      </text>
    </comment>
    <comment ref="BE2" authorId="0" shapeId="0" xr:uid="{00000000-0006-0000-0E00-000005000000}">
      <text>
        <r>
          <rPr>
            <b/>
            <sz val="9"/>
            <color indexed="81"/>
            <rFont val="Tahoma"/>
            <family val="2"/>
          </rPr>
          <t>La Sección de Matriz de Focalización de Recursos Ecosistémicos se diligencia cuando la acción va dirigida a un Recurso Natural, Fauna y Flora.</t>
        </r>
      </text>
    </comment>
    <comment ref="BJ2" authorId="0" shapeId="0" xr:uid="{00000000-0006-0000-0E00-000006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BL2" authorId="0" shapeId="0" xr:uid="{00000000-0006-0000-0E00-000007000000}">
      <text>
        <r>
          <rPr>
            <b/>
            <sz val="12"/>
            <color indexed="81"/>
            <rFont val="Tahoma"/>
            <family val="2"/>
          </rPr>
          <t xml:space="preserve">Comente como desarrollo la acción de la Política Pública por medio de actividades, describiendo el Lugar, Temas desarrollados, etc. </t>
        </r>
      </text>
    </comment>
    <comment ref="BM2" authorId="0" shapeId="0" xr:uid="{00000000-0006-0000-0E00-000008000000}">
      <text>
        <r>
          <rPr>
            <b/>
            <sz val="12"/>
            <color indexed="81"/>
            <rFont val="Tahoma"/>
            <family val="2"/>
          </rPr>
          <t>Describa que evidencias reposan en el desarrollo de la acción, contratos, actas, fotos, registros de asistencia, informes, documentos, videos, etc</t>
        </r>
      </text>
    </comment>
    <comment ref="BN2" authorId="0" shapeId="0" xr:uid="{00000000-0006-0000-0E00-000009000000}">
      <text>
        <r>
          <rPr>
            <b/>
            <sz val="12"/>
            <color indexed="81"/>
            <rFont val="Tahoma"/>
            <family val="2"/>
          </rPr>
          <t xml:space="preserve">Comente que problemas, necesidades, aciertos y/o recomendacion se cuentan en el desarrollo de la acción. </t>
        </r>
      </text>
    </comment>
    <comment ref="CX2" authorId="0" shapeId="0" xr:uid="{00000000-0006-0000-0E00-00000A000000}">
      <text>
        <r>
          <rPr>
            <b/>
            <sz val="9"/>
            <color indexed="81"/>
            <rFont val="Tahoma"/>
            <family val="2"/>
          </rPr>
          <t>La Sección de Matriz de Focalización de Recursos Ecosistémicos se diligencia cuando la acción va dirigida a un Recurso Natural, Fauna y Flora.</t>
        </r>
      </text>
    </comment>
    <comment ref="DD2" authorId="0" shapeId="0" xr:uid="{00000000-0006-0000-0E00-00000B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G2" authorId="0" shapeId="0" xr:uid="{00000000-0006-0000-0E00-00000C000000}">
      <text>
        <r>
          <rPr>
            <b/>
            <sz val="12"/>
            <color indexed="81"/>
            <rFont val="Tahoma"/>
            <family val="2"/>
          </rPr>
          <t xml:space="preserve">Comente como desarrollo la acción de la Política Pública por medio de actividades, describiendo el Lugar, Temas desarrollados, etc. </t>
        </r>
      </text>
    </comment>
    <comment ref="DH2" authorId="0" shapeId="0" xr:uid="{00000000-0006-0000-0E00-00000D000000}">
      <text>
        <r>
          <rPr>
            <b/>
            <sz val="12"/>
            <color indexed="81"/>
            <rFont val="Tahoma"/>
            <family val="2"/>
          </rPr>
          <t>Describa que evidencias reposan en el desarrollo de la acción, contratos, actas, fotos, registros de asistencia, informes, documentos, videos, etc</t>
        </r>
      </text>
    </comment>
    <comment ref="DI2" authorId="0" shapeId="0" xr:uid="{00000000-0006-0000-0E00-00000E000000}">
      <text>
        <r>
          <rPr>
            <b/>
            <sz val="12"/>
            <color indexed="81"/>
            <rFont val="Tahoma"/>
            <family val="2"/>
          </rPr>
          <t xml:space="preserve">Comente que problemas, necesidades, aciertos y/o recomendacion se cuentan en el desarrollo de la acción. </t>
        </r>
      </text>
    </comment>
    <comment ref="ES2" authorId="0" shapeId="0" xr:uid="{00000000-0006-0000-0E00-00000F000000}">
      <text>
        <r>
          <rPr>
            <b/>
            <sz val="9"/>
            <color indexed="81"/>
            <rFont val="Tahoma"/>
            <family val="2"/>
          </rPr>
          <t>La Sección de Matriz de Focalización de Recursos Ecosistémicos se diligencia cuando la acción va dirigida a un Recurso Natural, Fauna y Flora.</t>
        </r>
      </text>
    </comment>
    <comment ref="V3" authorId="0" shapeId="0" xr:uid="{00000000-0006-0000-0E00-000010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W3" authorId="0" shapeId="0" xr:uid="{00000000-0006-0000-0E00-000011000000}">
      <text>
        <r>
          <rPr>
            <b/>
            <sz val="12"/>
            <color indexed="81"/>
            <rFont val="Tahoma"/>
            <family val="2"/>
          </rPr>
          <t>Detalle la cantidad de recursos invertidos del fondo de recursos propios (presupuestos corrientes del Municipio de Pereira)</t>
        </r>
      </text>
    </comment>
    <comment ref="X3" authorId="0" shapeId="0" xr:uid="{00000000-0006-0000-0E00-000012000000}">
      <text>
        <r>
          <rPr>
            <b/>
            <sz val="12"/>
            <color indexed="81"/>
            <rFont val="Tahoma"/>
            <family val="2"/>
          </rPr>
          <t>Detalle la cantidad de recursos invertidos del fondo de recursos del Sistema General de Participaciones (Recursos Girados desde la Nación por el SGP)</t>
        </r>
      </text>
    </comment>
    <comment ref="Y3" authorId="0" shapeId="0" xr:uid="{00000000-0006-0000-0E00-000013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Z3" authorId="0" shapeId="0" xr:uid="{00000000-0006-0000-0E00-000014000000}">
      <text>
        <r>
          <rPr>
            <b/>
            <sz val="12"/>
            <color indexed="81"/>
            <rFont val="Tahoma"/>
            <family val="2"/>
          </rPr>
          <t>Detalle el número de personas atendidas en cada acción.</t>
        </r>
      </text>
    </comment>
    <comment ref="AA3" authorId="0" shapeId="0" xr:uid="{00000000-0006-0000-0E00-000015000000}">
      <text>
        <r>
          <rPr>
            <b/>
            <sz val="12"/>
            <color indexed="81"/>
            <rFont val="Tahoma"/>
            <family val="2"/>
          </rPr>
          <t>Según el total de personas atendidas descrimine los valores según su genero.</t>
        </r>
      </text>
    </comment>
    <comment ref="AC3" authorId="0" shapeId="0" xr:uid="{00000000-0006-0000-0E00-000016000000}">
      <text>
        <r>
          <rPr>
            <b/>
            <sz val="12"/>
            <color indexed="81"/>
            <rFont val="Tahoma"/>
            <family val="2"/>
          </rPr>
          <t>Según el total de personas atendidas descrimine los valores según su zona.</t>
        </r>
      </text>
    </comment>
    <comment ref="AE3" authorId="0" shapeId="0" xr:uid="{00000000-0006-0000-0E00-000017000000}">
      <text>
        <r>
          <rPr>
            <b/>
            <sz val="12"/>
            <color indexed="81"/>
            <rFont val="Tahoma"/>
            <family val="2"/>
          </rPr>
          <t>Según el total de personas atendidas descrimine los valores según ciclos de edad.</t>
        </r>
      </text>
    </comment>
    <comment ref="AL3" authorId="0" shapeId="0" xr:uid="{00000000-0006-0000-0E00-000018000000}">
      <text>
        <r>
          <rPr>
            <b/>
            <sz val="12"/>
            <color indexed="81"/>
            <rFont val="Tahoma"/>
            <family val="2"/>
          </rPr>
          <t>Según el total de personas atendidas descrimine los valores según su condición.</t>
        </r>
      </text>
    </comment>
    <comment ref="AT3" authorId="0" shapeId="0" xr:uid="{00000000-0006-0000-0E00-000019000000}">
      <text>
        <r>
          <rPr>
            <b/>
            <sz val="12"/>
            <color indexed="81"/>
            <rFont val="Tahoma"/>
            <family val="2"/>
          </rPr>
          <t>Según el total de personas atendidas descrimine los valores según su etnia.</t>
        </r>
      </text>
    </comment>
    <comment ref="AZ3" authorId="0" shapeId="0" xr:uid="{00000000-0006-0000-0E00-00001A000000}">
      <text>
        <r>
          <rPr>
            <b/>
            <sz val="12"/>
            <color indexed="81"/>
            <rFont val="Tahoma"/>
            <family val="2"/>
          </rPr>
          <t>En el caso que la acción este dirigida a una organización,  diligenciar el tipo de organización beneficiada.</t>
        </r>
      </text>
    </comment>
    <comment ref="BA3" authorId="0" shapeId="0" xr:uid="{00000000-0006-0000-0E00-00001B000000}">
      <text>
        <r>
          <rPr>
            <b/>
            <sz val="12"/>
            <color indexed="81"/>
            <rFont val="Tahoma"/>
            <family val="2"/>
          </rPr>
          <t>Describir el objeto principal de la institución u organización beneficiada.</t>
        </r>
      </text>
    </comment>
    <comment ref="BE3" authorId="0" shapeId="0" xr:uid="{00000000-0006-0000-0E00-00001C000000}">
      <text>
        <r>
          <rPr>
            <b/>
            <sz val="12"/>
            <color indexed="81"/>
            <rFont val="Tahoma"/>
            <family val="2"/>
          </rPr>
          <t xml:space="preserve">Diligenciar si son: 
30 Caninos 
100 Arboles plantados  
2 cuencas recuperadas etc
</t>
        </r>
      </text>
    </comment>
    <comment ref="BF3" authorId="0" shapeId="0" xr:uid="{00000000-0006-0000-0E00-00001D000000}">
      <text>
        <r>
          <rPr>
            <b/>
            <sz val="12"/>
            <color indexed="81"/>
            <rFont val="Tahoma"/>
            <family val="2"/>
          </rPr>
          <t>Marcar con una X el tipo de recurso que se beneficio según la acción.</t>
        </r>
      </text>
    </comment>
    <comment ref="BO3" authorId="0" shapeId="0" xr:uid="{00000000-0006-0000-0E00-00001E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BP3" authorId="0" shapeId="0" xr:uid="{00000000-0006-0000-0E00-00001F000000}">
      <text>
        <r>
          <rPr>
            <b/>
            <sz val="12"/>
            <color indexed="81"/>
            <rFont val="Tahoma"/>
            <family val="2"/>
          </rPr>
          <t>Detalle la cantidad de recursos invertidos del fondo de recursos propios (presupuestos corrientes del Municipio de Pereira)</t>
        </r>
      </text>
    </comment>
    <comment ref="BQ3" authorId="0" shapeId="0" xr:uid="{00000000-0006-0000-0E00-000020000000}">
      <text>
        <r>
          <rPr>
            <b/>
            <sz val="12"/>
            <color indexed="81"/>
            <rFont val="Tahoma"/>
            <family val="2"/>
          </rPr>
          <t>Detalle la cantidad de recursos invertidos del fondo de recursos del Sistema General de Participaciones (Recursos Girados desde la Nación por el SGP)</t>
        </r>
      </text>
    </comment>
    <comment ref="BR3" authorId="0" shapeId="0" xr:uid="{00000000-0006-0000-0E00-000021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BS3" authorId="0" shapeId="0" xr:uid="{00000000-0006-0000-0E00-000022000000}">
      <text>
        <r>
          <rPr>
            <b/>
            <sz val="12"/>
            <color indexed="81"/>
            <rFont val="Tahoma"/>
            <family val="2"/>
          </rPr>
          <t>Detalle el número de personas atendidas en cada acción.</t>
        </r>
      </text>
    </comment>
    <comment ref="BT3" authorId="0" shapeId="0" xr:uid="{00000000-0006-0000-0E00-000023000000}">
      <text>
        <r>
          <rPr>
            <b/>
            <sz val="12"/>
            <color indexed="81"/>
            <rFont val="Tahoma"/>
            <family val="2"/>
          </rPr>
          <t>Según el total de personas atendidas descrimine los valores según su genero.</t>
        </r>
      </text>
    </comment>
    <comment ref="BV3" authorId="0" shapeId="0" xr:uid="{00000000-0006-0000-0E00-000024000000}">
      <text>
        <r>
          <rPr>
            <b/>
            <sz val="12"/>
            <color indexed="81"/>
            <rFont val="Tahoma"/>
            <family val="2"/>
          </rPr>
          <t>Según el total de personas atendidas descrimine los valores según su zona.</t>
        </r>
      </text>
    </comment>
    <comment ref="BX3" authorId="0" shapeId="0" xr:uid="{00000000-0006-0000-0E00-000025000000}">
      <text>
        <r>
          <rPr>
            <b/>
            <sz val="12"/>
            <color indexed="81"/>
            <rFont val="Tahoma"/>
            <family val="2"/>
          </rPr>
          <t>Según el total de personas atendidas descrimine los valores según ciclos de edad.</t>
        </r>
      </text>
    </comment>
    <comment ref="CE3" authorId="0" shapeId="0" xr:uid="{00000000-0006-0000-0E00-000026000000}">
      <text>
        <r>
          <rPr>
            <b/>
            <sz val="12"/>
            <color indexed="81"/>
            <rFont val="Tahoma"/>
            <family val="2"/>
          </rPr>
          <t>Según el total de personas atendidas descrimine los valores según su condición.</t>
        </r>
      </text>
    </comment>
    <comment ref="CM3" authorId="0" shapeId="0" xr:uid="{00000000-0006-0000-0E00-000027000000}">
      <text>
        <r>
          <rPr>
            <b/>
            <sz val="12"/>
            <color indexed="81"/>
            <rFont val="Tahoma"/>
            <family val="2"/>
          </rPr>
          <t>Según el total de personas atendidas descrimine los valores según su etnia.</t>
        </r>
      </text>
    </comment>
    <comment ref="CS3" authorId="0" shapeId="0" xr:uid="{00000000-0006-0000-0E00-000028000000}">
      <text>
        <r>
          <rPr>
            <b/>
            <sz val="12"/>
            <color indexed="81"/>
            <rFont val="Tahoma"/>
            <family val="2"/>
          </rPr>
          <t>En el caso que la acción este dirigida a una organización,  diligenciar el tipo de organización beneficiada.</t>
        </r>
      </text>
    </comment>
    <comment ref="CT3" authorId="0" shapeId="0" xr:uid="{00000000-0006-0000-0E00-000029000000}">
      <text>
        <r>
          <rPr>
            <b/>
            <sz val="12"/>
            <color indexed="81"/>
            <rFont val="Tahoma"/>
            <family val="2"/>
          </rPr>
          <t>Describir el objeto principal de la institución u organización beneficiada.</t>
        </r>
      </text>
    </comment>
    <comment ref="CX3" authorId="0" shapeId="0" xr:uid="{00000000-0006-0000-0E00-00002A000000}">
      <text>
        <r>
          <rPr>
            <b/>
            <sz val="12"/>
            <color indexed="81"/>
            <rFont val="Tahoma"/>
            <family val="2"/>
          </rPr>
          <t xml:space="preserve">Diligenciar si son: 
30 Caninos 
100 Arboles plantados  
2 cuencas recuperadas etc
</t>
        </r>
      </text>
    </comment>
    <comment ref="CY3" authorId="0" shapeId="0" xr:uid="{00000000-0006-0000-0E00-00002B000000}">
      <text>
        <r>
          <rPr>
            <b/>
            <sz val="12"/>
            <color indexed="81"/>
            <rFont val="Tahoma"/>
            <family val="2"/>
          </rPr>
          <t>Marcar con una X el tipo de recurso que se beneficio según la acción.</t>
        </r>
      </text>
    </comment>
    <comment ref="DJ3" authorId="0" shapeId="0" xr:uid="{00000000-0006-0000-0E00-00002C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DK3" authorId="0" shapeId="0" xr:uid="{00000000-0006-0000-0E00-00002D000000}">
      <text>
        <r>
          <rPr>
            <b/>
            <sz val="12"/>
            <color indexed="81"/>
            <rFont val="Tahoma"/>
            <family val="2"/>
          </rPr>
          <t>Detalle la cantidad de recursos invertidos del fondo de recursos propios (presupuestos corrientes del Municipio de Pereira)</t>
        </r>
      </text>
    </comment>
    <comment ref="DL3" authorId="0" shapeId="0" xr:uid="{00000000-0006-0000-0E00-00002E000000}">
      <text>
        <r>
          <rPr>
            <b/>
            <sz val="12"/>
            <color indexed="81"/>
            <rFont val="Tahoma"/>
            <family val="2"/>
          </rPr>
          <t>Detalle la cantidad de recursos invertidos del fondo de recursos del Sistema General de Participaciones (Recursos Girados desde la Nación por el SGP)</t>
        </r>
      </text>
    </comment>
    <comment ref="DM3" authorId="0" shapeId="0" xr:uid="{00000000-0006-0000-0E00-00002F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DN3" authorId="0" shapeId="0" xr:uid="{00000000-0006-0000-0E00-000030000000}">
      <text>
        <r>
          <rPr>
            <b/>
            <sz val="12"/>
            <color indexed="81"/>
            <rFont val="Tahoma"/>
            <family val="2"/>
          </rPr>
          <t>Detalle el número de personas atendidas en cada acción.</t>
        </r>
      </text>
    </comment>
    <comment ref="DO3" authorId="0" shapeId="0" xr:uid="{00000000-0006-0000-0E00-000031000000}">
      <text>
        <r>
          <rPr>
            <b/>
            <sz val="12"/>
            <color indexed="81"/>
            <rFont val="Tahoma"/>
            <family val="2"/>
          </rPr>
          <t>Según el total de personas atendidas descrimine los valores según su genero.</t>
        </r>
      </text>
    </comment>
    <comment ref="DQ3" authorId="0" shapeId="0" xr:uid="{00000000-0006-0000-0E00-000032000000}">
      <text>
        <r>
          <rPr>
            <b/>
            <sz val="12"/>
            <color indexed="81"/>
            <rFont val="Tahoma"/>
            <family val="2"/>
          </rPr>
          <t>Según el total de personas atendidas descrimine los valores según su zona.</t>
        </r>
      </text>
    </comment>
    <comment ref="DS3" authorId="0" shapeId="0" xr:uid="{00000000-0006-0000-0E00-000033000000}">
      <text>
        <r>
          <rPr>
            <b/>
            <sz val="12"/>
            <color indexed="81"/>
            <rFont val="Tahoma"/>
            <family val="2"/>
          </rPr>
          <t>Según el total de personas atendidas descrimine los valores según ciclos de edad.</t>
        </r>
      </text>
    </comment>
    <comment ref="DZ3" authorId="0" shapeId="0" xr:uid="{00000000-0006-0000-0E00-000034000000}">
      <text>
        <r>
          <rPr>
            <b/>
            <sz val="12"/>
            <color indexed="81"/>
            <rFont val="Tahoma"/>
            <family val="2"/>
          </rPr>
          <t>Según el total de personas atendidas descrimine los valores según su condición.</t>
        </r>
      </text>
    </comment>
    <comment ref="EH3" authorId="0" shapeId="0" xr:uid="{00000000-0006-0000-0E00-000035000000}">
      <text>
        <r>
          <rPr>
            <b/>
            <sz val="12"/>
            <color indexed="81"/>
            <rFont val="Tahoma"/>
            <family val="2"/>
          </rPr>
          <t>Según el total de personas atendidas descrimine los valores según su etnia.</t>
        </r>
      </text>
    </comment>
    <comment ref="EN3" authorId="0" shapeId="0" xr:uid="{00000000-0006-0000-0E00-000036000000}">
      <text>
        <r>
          <rPr>
            <b/>
            <sz val="12"/>
            <color indexed="81"/>
            <rFont val="Tahoma"/>
            <family val="2"/>
          </rPr>
          <t>En el caso que la acción este dirigida a una organización,  diligenciar el tipo de organización beneficiada.</t>
        </r>
      </text>
    </comment>
    <comment ref="EO3" authorId="0" shapeId="0" xr:uid="{00000000-0006-0000-0E00-000037000000}">
      <text>
        <r>
          <rPr>
            <b/>
            <sz val="12"/>
            <color indexed="81"/>
            <rFont val="Tahoma"/>
            <family val="2"/>
          </rPr>
          <t>Describir el objeto principal de la institución u organización beneficiada.</t>
        </r>
      </text>
    </comment>
    <comment ref="ES3" authorId="0" shapeId="0" xr:uid="{00000000-0006-0000-0E00-000038000000}">
      <text>
        <r>
          <rPr>
            <b/>
            <sz val="12"/>
            <color indexed="81"/>
            <rFont val="Tahoma"/>
            <family val="2"/>
          </rPr>
          <t xml:space="preserve">Diligenciar si son: 
30 Caninos 
100 Arboles plantados  
2 cuencas recuperadas etc
</t>
        </r>
      </text>
    </comment>
    <comment ref="ET3" authorId="0" shapeId="0" xr:uid="{00000000-0006-0000-0E00-000039000000}">
      <text>
        <r>
          <rPr>
            <b/>
            <sz val="12"/>
            <color indexed="81"/>
            <rFont val="Tahoma"/>
            <family val="2"/>
          </rPr>
          <t>Marcar con una X el tipo de recurso que se beneficio según la acción.</t>
        </r>
      </text>
    </comment>
    <comment ref="BC4" authorId="0" shapeId="0" xr:uid="{00000000-0006-0000-0E00-00003A000000}">
      <text>
        <r>
          <rPr>
            <b/>
            <sz val="12"/>
            <color indexed="81"/>
            <rFont val="Tahoma"/>
            <family val="2"/>
          </rPr>
          <t>Zona de ubicación de la Institución u Organización.</t>
        </r>
      </text>
    </comment>
    <comment ref="BD4" authorId="0" shapeId="0" xr:uid="{00000000-0006-0000-0E00-00003B000000}">
      <text>
        <r>
          <rPr>
            <b/>
            <sz val="12"/>
            <color indexed="81"/>
            <rFont val="Tahoma"/>
            <family val="2"/>
          </rPr>
          <t>Zona de ubicación de la Institución u Organización.</t>
        </r>
      </text>
    </comment>
    <comment ref="BI4" authorId="0" shapeId="0" xr:uid="{00000000-0006-0000-0E00-00003C000000}">
      <text>
        <r>
          <rPr>
            <b/>
            <sz val="9"/>
            <color indexed="81"/>
            <rFont val="Tahoma"/>
            <family val="2"/>
          </rPr>
          <t>Zona de ubicación del Recurso Ecosistémico.</t>
        </r>
      </text>
    </comment>
    <comment ref="CV4" authorId="0" shapeId="0" xr:uid="{00000000-0006-0000-0E00-00003D000000}">
      <text>
        <r>
          <rPr>
            <b/>
            <sz val="12"/>
            <color indexed="81"/>
            <rFont val="Tahoma"/>
            <family val="2"/>
          </rPr>
          <t>Zona de ubicación de la Institución u Organización.</t>
        </r>
      </text>
    </comment>
    <comment ref="CW4" authorId="0" shapeId="0" xr:uid="{00000000-0006-0000-0E00-00003E000000}">
      <text>
        <r>
          <rPr>
            <b/>
            <sz val="12"/>
            <color indexed="81"/>
            <rFont val="Tahoma"/>
            <family val="2"/>
          </rPr>
          <t>Zona de ubicación de la Institución u Organización.</t>
        </r>
      </text>
    </comment>
    <comment ref="DB4" authorId="0" shapeId="0" xr:uid="{00000000-0006-0000-0E00-00003F000000}">
      <text>
        <r>
          <rPr>
            <b/>
            <sz val="9"/>
            <color indexed="81"/>
            <rFont val="Tahoma"/>
            <family val="2"/>
          </rPr>
          <t>Zona de ubicación del Recurso Ecosistémico.</t>
        </r>
      </text>
    </comment>
    <comment ref="EQ4" authorId="0" shapeId="0" xr:uid="{00000000-0006-0000-0E00-000040000000}">
      <text>
        <r>
          <rPr>
            <b/>
            <sz val="12"/>
            <color indexed="81"/>
            <rFont val="Tahoma"/>
            <family val="2"/>
          </rPr>
          <t>Zona de ubicación de la Institución u Organización.</t>
        </r>
      </text>
    </comment>
    <comment ref="ER4" authorId="0" shapeId="0" xr:uid="{00000000-0006-0000-0E00-000041000000}">
      <text>
        <r>
          <rPr>
            <b/>
            <sz val="12"/>
            <color indexed="81"/>
            <rFont val="Tahoma"/>
            <family val="2"/>
          </rPr>
          <t>Zona de ubicación de la Institución u Organización.</t>
        </r>
      </text>
    </comment>
    <comment ref="EW4" authorId="0" shapeId="0" xr:uid="{00000000-0006-0000-0E00-000042000000}">
      <text>
        <r>
          <rPr>
            <b/>
            <sz val="9"/>
            <color indexed="81"/>
            <rFont val="Tahoma"/>
            <family val="2"/>
          </rPr>
          <t>Zona de ubicación del Recurso Ecosistémico.</t>
        </r>
      </text>
    </comment>
    <comment ref="R5" authorId="1" shapeId="0" xr:uid="{00000000-0006-0000-0E00-000043000000}">
      <text>
        <r>
          <rPr>
            <b/>
            <sz val="9"/>
            <color indexed="81"/>
            <rFont val="Tahoma"/>
            <family val="2"/>
          </rPr>
          <t>se ejecutaron 2 talleres dejando ejecución al 100%</t>
        </r>
      </text>
    </comment>
    <comment ref="R8" authorId="1" shapeId="0" xr:uid="{00000000-0006-0000-0E00-000044000000}">
      <text>
        <r>
          <rPr>
            <b/>
            <sz val="9"/>
            <color indexed="81"/>
            <rFont val="Tahoma"/>
            <family val="2"/>
          </rPr>
          <t xml:space="preserve">reportan $64939333 pero dadas las actividades la ejecucion queda al 100%
</t>
        </r>
      </text>
    </comment>
    <comment ref="R9" authorId="1" shapeId="0" xr:uid="{00000000-0006-0000-0E00-000045000000}">
      <text>
        <r>
          <rPr>
            <b/>
            <sz val="9"/>
            <color indexed="81"/>
            <rFont val="Tahoma"/>
            <family val="2"/>
          </rPr>
          <t>se ejecutaron 5talleres dejando ejecución al 100%</t>
        </r>
      </text>
    </comment>
    <comment ref="S11" authorId="1" shapeId="0" xr:uid="{00000000-0006-0000-0E00-000046000000}">
      <text>
        <r>
          <rPr>
            <b/>
            <sz val="9"/>
            <color indexed="81"/>
            <rFont val="Tahoma"/>
            <family val="2"/>
          </rPr>
          <t>Gobierno reporta:
20.11.2018 se realizaron 05 actividades enfocadas a :Prevención en reclutamiento y organizaciones criminales, enfocadas en el tema legal de responsabilidad penal en adolescentes  En dichas mesas participaron estudiantes de diferentes instituciones educativas del municipio y grupo de jovenes policia civica cuba  al igual mienbros de las comunidades. en total participarón 136 jóvenes.</t>
        </r>
      </text>
    </comment>
    <comment ref="U11" authorId="1" shapeId="0" xr:uid="{00000000-0006-0000-0E00-000047000000}">
      <text>
        <r>
          <rPr>
            <b/>
            <sz val="9"/>
            <color indexed="81"/>
            <rFont val="Tahoma"/>
            <family val="2"/>
          </rPr>
          <t>Gobierno reporta:
El 100% va de acuerdo al numero de actividades que se realizan por mes.</t>
        </r>
      </text>
    </comment>
    <comment ref="W11" authorId="1" shapeId="0" xr:uid="{00000000-0006-0000-0E00-000048000000}">
      <text>
        <r>
          <rPr>
            <b/>
            <sz val="9"/>
            <color indexed="81"/>
            <rFont val="Tahoma"/>
            <family val="2"/>
          </rPr>
          <t>Gobierno reporta: 15.144.000</t>
        </r>
      </text>
    </comment>
    <comment ref="Z11" authorId="1" shapeId="0" xr:uid="{00000000-0006-0000-0E00-000049000000}">
      <text>
        <r>
          <rPr>
            <b/>
            <sz val="9"/>
            <color indexed="81"/>
            <rFont val="Tahoma"/>
            <family val="2"/>
          </rPr>
          <t>Gobierno reporta 136</t>
        </r>
      </text>
    </comment>
    <comment ref="AT11" authorId="1" shapeId="0" xr:uid="{00000000-0006-0000-0E00-00004A000000}">
      <text>
        <r>
          <rPr>
            <b/>
            <sz val="9"/>
            <color indexed="81"/>
            <rFont val="Tahoma"/>
            <family val="2"/>
          </rPr>
          <t>reporto Gobierno</t>
        </r>
      </text>
    </comment>
    <comment ref="AZ11" authorId="1" shapeId="0" xr:uid="{00000000-0006-0000-0E00-00004B000000}">
      <text>
        <r>
          <rPr>
            <b/>
            <sz val="9"/>
            <color indexed="81"/>
            <rFont val="Tahoma"/>
            <family val="2"/>
          </rPr>
          <t>Reporto Gobierno</t>
        </r>
      </text>
    </comment>
    <comment ref="S13" authorId="1" shapeId="0" xr:uid="{00000000-0006-0000-0E00-00004C000000}">
      <text>
        <r>
          <rPr>
            <b/>
            <sz val="9"/>
            <color indexed="81"/>
            <rFont val="Tahoma"/>
            <family val="2"/>
          </rPr>
          <t xml:space="preserve">salud reporta que jovenes intervenidos en talleres de formacion en mecanismo de resolucion de conflictos
Gobierno reporta:
entre el 02.02.2018 y el 20.11.2018 se realizaron 26 actividades enfocadas a :Resolución pacífica de conflictos y mecanismos de conciliación y Prevención en consumo de spa . En dichas mesas participaron estudiantes de diferentes instituciones educativas del municipio y grupo de jovenes de la policica civica de cuba, madres jovenes gestantes y lactantes al igual mienbros de las comunidades. en total participarón 546 jóvenes </t>
        </r>
      </text>
    </comment>
    <comment ref="U13" authorId="1" shapeId="0" xr:uid="{00000000-0006-0000-0E00-00004D000000}">
      <text>
        <r>
          <rPr>
            <b/>
            <sz val="9"/>
            <color indexed="81"/>
            <rFont val="Tahoma"/>
            <family val="2"/>
          </rPr>
          <t>salud reporta que Actividades Pedagogicas En Derechos Humanos, Paz Y Reconciliacion</t>
        </r>
      </text>
    </comment>
    <comment ref="W13" authorId="1" shapeId="0" xr:uid="{00000000-0006-0000-0E00-00004E000000}">
      <text>
        <r>
          <rPr>
            <b/>
            <sz val="9"/>
            <color indexed="81"/>
            <rFont val="Tahoma"/>
            <family val="2"/>
          </rPr>
          <t>Salud reporta:  20.000.000
Gobierno reporta: 15.144.000</t>
        </r>
      </text>
    </comment>
    <comment ref="X13" authorId="1" shapeId="0" xr:uid="{00000000-0006-0000-0E00-00004F000000}">
      <text>
        <r>
          <rPr>
            <b/>
            <sz val="9"/>
            <color indexed="81"/>
            <rFont val="Tahoma"/>
            <family val="2"/>
          </rPr>
          <t>salud reporta 20.000.000</t>
        </r>
      </text>
    </comment>
    <comment ref="Z13" authorId="1" shapeId="0" xr:uid="{00000000-0006-0000-0E00-000050000000}">
      <text>
        <r>
          <rPr>
            <b/>
            <sz val="9"/>
            <color indexed="81"/>
            <rFont val="Tahoma"/>
            <family val="2"/>
          </rPr>
          <t>Salud reporta 415
Gobierno reporta 546</t>
        </r>
      </text>
    </comment>
    <comment ref="AE13" authorId="1" shapeId="0" xr:uid="{00000000-0006-0000-0E00-000051000000}">
      <text>
        <r>
          <rPr>
            <b/>
            <sz val="9"/>
            <color indexed="81"/>
            <rFont val="Tahoma"/>
            <family val="2"/>
          </rPr>
          <t>reporta salud</t>
        </r>
      </text>
    </comment>
    <comment ref="AF13" authorId="1" shapeId="0" xr:uid="{00000000-0006-0000-0E00-000052000000}">
      <text>
        <r>
          <rPr>
            <b/>
            <sz val="9"/>
            <color indexed="81"/>
            <rFont val="Tahoma"/>
            <family val="2"/>
          </rPr>
          <t>reporta salud</t>
        </r>
      </text>
    </comment>
    <comment ref="AL13" authorId="1" shapeId="0" xr:uid="{00000000-0006-0000-0E00-000053000000}">
      <text>
        <r>
          <rPr>
            <b/>
            <sz val="9"/>
            <color indexed="81"/>
            <rFont val="Tahoma"/>
            <family val="2"/>
          </rPr>
          <t>reporta salud</t>
        </r>
      </text>
    </comment>
    <comment ref="AM13" authorId="1" shapeId="0" xr:uid="{00000000-0006-0000-0E00-000054000000}">
      <text>
        <r>
          <rPr>
            <b/>
            <sz val="9"/>
            <color indexed="81"/>
            <rFont val="Tahoma"/>
            <family val="2"/>
          </rPr>
          <t>reporta salud</t>
        </r>
        <r>
          <rPr>
            <sz val="9"/>
            <color indexed="81"/>
            <rFont val="Tahoma"/>
            <family val="2"/>
          </rPr>
          <t xml:space="preserve">
</t>
        </r>
      </text>
    </comment>
    <comment ref="AN13" authorId="1" shapeId="0" xr:uid="{00000000-0006-0000-0E00-000055000000}">
      <text>
        <r>
          <rPr>
            <b/>
            <sz val="9"/>
            <color indexed="81"/>
            <rFont val="Tahoma"/>
            <family val="2"/>
          </rPr>
          <t>reporta salud</t>
        </r>
        <r>
          <rPr>
            <sz val="9"/>
            <color indexed="81"/>
            <rFont val="Tahoma"/>
            <family val="2"/>
          </rPr>
          <t xml:space="preserve">
</t>
        </r>
      </text>
    </comment>
    <comment ref="AP13" authorId="1" shapeId="0" xr:uid="{00000000-0006-0000-0E00-000056000000}">
      <text>
        <r>
          <rPr>
            <b/>
            <sz val="9"/>
            <color indexed="81"/>
            <rFont val="Tahoma"/>
            <family val="2"/>
          </rPr>
          <t>reporta salud</t>
        </r>
        <r>
          <rPr>
            <sz val="9"/>
            <color indexed="81"/>
            <rFont val="Tahoma"/>
            <family val="2"/>
          </rPr>
          <t xml:space="preserve">
</t>
        </r>
      </text>
    </comment>
    <comment ref="AT13" authorId="1" shapeId="0" xr:uid="{00000000-0006-0000-0E00-000057000000}">
      <text>
        <r>
          <rPr>
            <b/>
            <sz val="9"/>
            <color indexed="81"/>
            <rFont val="Tahoma"/>
            <family val="2"/>
          </rPr>
          <t>reporta salud</t>
        </r>
        <r>
          <rPr>
            <sz val="9"/>
            <color indexed="81"/>
            <rFont val="Tahoma"/>
            <family val="2"/>
          </rPr>
          <t xml:space="preserve">
</t>
        </r>
      </text>
    </comment>
    <comment ref="AU13" authorId="1" shapeId="0" xr:uid="{00000000-0006-0000-0E00-000058000000}">
      <text>
        <r>
          <rPr>
            <b/>
            <sz val="9"/>
            <color indexed="81"/>
            <rFont val="Tahoma"/>
            <family val="2"/>
          </rPr>
          <t>reporta salud</t>
        </r>
        <r>
          <rPr>
            <sz val="9"/>
            <color indexed="81"/>
            <rFont val="Tahoma"/>
            <family val="2"/>
          </rPr>
          <t xml:space="preserve">
</t>
        </r>
      </text>
    </comment>
    <comment ref="AV13" authorId="1" shapeId="0" xr:uid="{00000000-0006-0000-0E00-000059000000}">
      <text>
        <r>
          <rPr>
            <b/>
            <sz val="9"/>
            <color indexed="81"/>
            <rFont val="Tahoma"/>
            <family val="2"/>
          </rPr>
          <t>reporta salud</t>
        </r>
        <r>
          <rPr>
            <sz val="9"/>
            <color indexed="81"/>
            <rFont val="Tahoma"/>
            <family val="2"/>
          </rPr>
          <t xml:space="preserve">
</t>
        </r>
      </text>
    </comment>
    <comment ref="AZ13" authorId="1" shapeId="0" xr:uid="{00000000-0006-0000-0E00-00005A000000}">
      <text>
        <r>
          <rPr>
            <b/>
            <sz val="9"/>
            <color indexed="81"/>
            <rFont val="Tahoma"/>
            <family val="2"/>
          </rPr>
          <t>Reporto Gobierno</t>
        </r>
      </text>
    </comment>
    <comment ref="R16" authorId="1" shapeId="0" xr:uid="{00000000-0006-0000-0E00-00005B000000}">
      <text>
        <r>
          <rPr>
            <b/>
            <sz val="9"/>
            <color indexed="81"/>
            <rFont val="Tahoma"/>
            <family val="2"/>
          </rPr>
          <t>No reportan ejecusión pero dada la descripción de actividades se valora en 100%</t>
        </r>
      </text>
    </comment>
    <comment ref="V16" authorId="1" shapeId="0" xr:uid="{00000000-0006-0000-0E00-00005C000000}">
      <text>
        <r>
          <rPr>
            <b/>
            <sz val="9"/>
            <color indexed="81"/>
            <rFont val="Tahoma"/>
            <family val="2"/>
          </rPr>
          <t>salud reporta 10.000.000</t>
        </r>
      </text>
    </comment>
    <comment ref="Z16" authorId="1" shapeId="0" xr:uid="{00000000-0006-0000-0E00-00005D000000}">
      <text>
        <r>
          <rPr>
            <b/>
            <sz val="9"/>
            <color indexed="81"/>
            <rFont val="Tahoma"/>
            <family val="2"/>
          </rPr>
          <t>salud reporta 1036</t>
        </r>
      </text>
    </comment>
    <comment ref="AF16" authorId="1" shapeId="0" xr:uid="{00000000-0006-0000-0E00-00005E000000}">
      <text>
        <r>
          <rPr>
            <b/>
            <sz val="9"/>
            <color indexed="81"/>
            <rFont val="Tahoma"/>
            <family val="2"/>
          </rPr>
          <t>salud reporta 116</t>
        </r>
      </text>
    </comment>
    <comment ref="AI16" authorId="1" shapeId="0" xr:uid="{00000000-0006-0000-0E00-00005F000000}">
      <text>
        <r>
          <rPr>
            <b/>
            <sz val="9"/>
            <color indexed="81"/>
            <rFont val="Tahoma"/>
            <family val="2"/>
          </rPr>
          <t>reporta salud</t>
        </r>
        <r>
          <rPr>
            <sz val="9"/>
            <color indexed="81"/>
            <rFont val="Tahoma"/>
            <family val="2"/>
          </rPr>
          <t xml:space="preserve">
</t>
        </r>
      </text>
    </comment>
    <comment ref="AJ16" authorId="1" shapeId="0" xr:uid="{00000000-0006-0000-0E00-000060000000}">
      <text>
        <r>
          <rPr>
            <b/>
            <sz val="9"/>
            <color indexed="81"/>
            <rFont val="Tahoma"/>
            <family val="2"/>
          </rPr>
          <t>reporta salud</t>
        </r>
      </text>
    </comment>
    <comment ref="AK16" authorId="1" shapeId="0" xr:uid="{00000000-0006-0000-0E00-000061000000}">
      <text>
        <r>
          <rPr>
            <b/>
            <sz val="9"/>
            <color indexed="81"/>
            <rFont val="Tahoma"/>
            <family val="2"/>
          </rPr>
          <t>reporta salud</t>
        </r>
      </text>
    </comment>
    <comment ref="AM16" authorId="1" shapeId="0" xr:uid="{00000000-0006-0000-0E00-000062000000}">
      <text>
        <r>
          <rPr>
            <b/>
            <sz val="9"/>
            <color indexed="81"/>
            <rFont val="Tahoma"/>
            <family val="2"/>
          </rPr>
          <t>reporta salud</t>
        </r>
        <r>
          <rPr>
            <sz val="9"/>
            <color indexed="81"/>
            <rFont val="Tahoma"/>
            <family val="2"/>
          </rPr>
          <t xml:space="preserve">
</t>
        </r>
      </text>
    </comment>
    <comment ref="AN16" authorId="1" shapeId="0" xr:uid="{00000000-0006-0000-0E00-000063000000}">
      <text>
        <r>
          <rPr>
            <b/>
            <sz val="9"/>
            <color indexed="81"/>
            <rFont val="Tahoma"/>
            <family val="2"/>
          </rPr>
          <t>reporta salud</t>
        </r>
        <r>
          <rPr>
            <sz val="9"/>
            <color indexed="81"/>
            <rFont val="Tahoma"/>
            <family val="2"/>
          </rPr>
          <t xml:space="preserve">
</t>
        </r>
      </text>
    </comment>
    <comment ref="AO16" authorId="1" shapeId="0" xr:uid="{00000000-0006-0000-0E00-000064000000}">
      <text>
        <r>
          <rPr>
            <b/>
            <sz val="9"/>
            <color indexed="81"/>
            <rFont val="Tahoma"/>
            <family val="2"/>
          </rPr>
          <t>reporta salud</t>
        </r>
        <r>
          <rPr>
            <sz val="9"/>
            <color indexed="81"/>
            <rFont val="Tahoma"/>
            <family val="2"/>
          </rPr>
          <t xml:space="preserve">
</t>
        </r>
      </text>
    </comment>
    <comment ref="AP16" authorId="1" shapeId="0" xr:uid="{00000000-0006-0000-0E00-000065000000}">
      <text>
        <r>
          <rPr>
            <b/>
            <sz val="9"/>
            <color indexed="81"/>
            <rFont val="Tahoma"/>
            <family val="2"/>
          </rPr>
          <t>reporta salud</t>
        </r>
        <r>
          <rPr>
            <sz val="9"/>
            <color indexed="81"/>
            <rFont val="Tahoma"/>
            <family val="2"/>
          </rPr>
          <t xml:space="preserve">
</t>
        </r>
      </text>
    </comment>
    <comment ref="AS16" authorId="1" shapeId="0" xr:uid="{00000000-0006-0000-0E00-000066000000}">
      <text>
        <r>
          <rPr>
            <b/>
            <sz val="9"/>
            <color indexed="81"/>
            <rFont val="Tahoma"/>
            <family val="2"/>
          </rPr>
          <t>reporta salud:</t>
        </r>
        <r>
          <rPr>
            <sz val="9"/>
            <color indexed="81"/>
            <rFont val="Tahoma"/>
            <family val="2"/>
          </rPr>
          <t xml:space="preserve">
</t>
        </r>
      </text>
    </comment>
    <comment ref="AT16" authorId="1" shapeId="0" xr:uid="{00000000-0006-0000-0E00-000067000000}">
      <text>
        <r>
          <rPr>
            <b/>
            <sz val="9"/>
            <color indexed="81"/>
            <rFont val="Tahoma"/>
            <family val="2"/>
          </rPr>
          <t>reporta salud</t>
        </r>
        <r>
          <rPr>
            <sz val="9"/>
            <color indexed="81"/>
            <rFont val="Tahoma"/>
            <family val="2"/>
          </rPr>
          <t xml:space="preserve">
</t>
        </r>
      </text>
    </comment>
    <comment ref="AU16" authorId="1" shapeId="0" xr:uid="{00000000-0006-0000-0E00-000068000000}">
      <text>
        <r>
          <rPr>
            <b/>
            <sz val="9"/>
            <color indexed="81"/>
            <rFont val="Tahoma"/>
            <family val="2"/>
          </rPr>
          <t>reporta salud</t>
        </r>
        <r>
          <rPr>
            <sz val="9"/>
            <color indexed="81"/>
            <rFont val="Tahoma"/>
            <family val="2"/>
          </rPr>
          <t xml:space="preserve">
</t>
        </r>
      </text>
    </comment>
    <comment ref="AV16" authorId="1" shapeId="0" xr:uid="{00000000-0006-0000-0E00-000069000000}">
      <text>
        <r>
          <rPr>
            <b/>
            <sz val="9"/>
            <color indexed="81"/>
            <rFont val="Tahoma"/>
            <family val="2"/>
          </rPr>
          <t>reporta salud</t>
        </r>
        <r>
          <rPr>
            <sz val="9"/>
            <color indexed="81"/>
            <rFont val="Tahoma"/>
            <family val="2"/>
          </rPr>
          <t xml:space="preserve">
</t>
        </r>
      </text>
    </comment>
    <comment ref="R20" authorId="1" shapeId="0" xr:uid="{00000000-0006-0000-0E00-00006A000000}">
      <text>
        <r>
          <rPr>
            <b/>
            <sz val="9"/>
            <color indexed="81"/>
            <rFont val="Tahoma"/>
            <family val="2"/>
          </rPr>
          <t>reportan 81 se asume que es %</t>
        </r>
      </text>
    </comment>
    <comment ref="R31" authorId="1" shapeId="0" xr:uid="{00000000-0006-0000-0E00-00006B000000}">
      <text>
        <r>
          <rPr>
            <b/>
            <sz val="9"/>
            <color indexed="81"/>
            <rFont val="Tahoma"/>
            <family val="2"/>
          </rPr>
          <t>No reportan ejecusión pero dada la descripción de actividades se valora en 100%</t>
        </r>
      </text>
    </comment>
    <comment ref="S31" authorId="1" shapeId="0" xr:uid="{00000000-0006-0000-0E00-00006C000000}">
      <text>
        <r>
          <rPr>
            <b/>
            <sz val="9"/>
            <color indexed="81"/>
            <rFont val="Tahoma"/>
            <family val="2"/>
          </rPr>
          <t>salud reporta: 
Según investigación realizada en el año 2018, los resultados son los siguientes: Obesidad 19,2%, Sobrepeso 18,8%, Delgadez 4,7%.</t>
        </r>
      </text>
    </comment>
    <comment ref="T31" authorId="1" shapeId="0" xr:uid="{00000000-0006-0000-0E00-00006D000000}">
      <text>
        <r>
          <rPr>
            <b/>
            <sz val="9"/>
            <color indexed="81"/>
            <rFont val="Tahoma"/>
            <family val="2"/>
          </rPr>
          <t>salud reporta:
Investigación sobre el estado nutricional en población menor de 28 años en el Municipio de Pereira, año 2018</t>
        </r>
      </text>
    </comment>
    <comment ref="U31" authorId="1" shapeId="0" xr:uid="{00000000-0006-0000-0E00-00006E000000}">
      <text>
        <r>
          <rPr>
            <b/>
            <sz val="9"/>
            <color indexed="81"/>
            <rFont val="Tahoma"/>
            <family val="2"/>
          </rPr>
          <t>Usuario:</t>
        </r>
        <r>
          <rPr>
            <sz val="9"/>
            <color indexed="81"/>
            <rFont val="Tahoma"/>
            <family val="2"/>
          </rPr>
          <t xml:space="preserve">
</t>
        </r>
      </text>
    </comment>
    <comment ref="V31" authorId="1" shapeId="0" xr:uid="{00000000-0006-0000-0E00-00006F000000}">
      <text>
        <r>
          <rPr>
            <b/>
            <sz val="9"/>
            <color indexed="81"/>
            <rFont val="Tahoma"/>
            <family val="2"/>
          </rPr>
          <t>salud reporta 200.000.000</t>
        </r>
      </text>
    </comment>
    <comment ref="Z31" authorId="1" shapeId="0" xr:uid="{00000000-0006-0000-0E00-000070000000}">
      <text>
        <r>
          <rPr>
            <b/>
            <sz val="9"/>
            <color indexed="81"/>
            <rFont val="Tahoma"/>
            <family val="2"/>
          </rPr>
          <t>salud reporta 827</t>
        </r>
      </text>
    </comment>
    <comment ref="AC31" authorId="1" shapeId="0" xr:uid="{00000000-0006-0000-0E00-000071000000}">
      <text>
        <r>
          <rPr>
            <b/>
            <sz val="9"/>
            <color indexed="81"/>
            <rFont val="Tahoma"/>
            <family val="2"/>
          </rPr>
          <t>reporta salud</t>
        </r>
        <r>
          <rPr>
            <sz val="9"/>
            <color indexed="81"/>
            <rFont val="Tahoma"/>
            <family val="2"/>
          </rPr>
          <t xml:space="preserve">
</t>
        </r>
      </text>
    </comment>
    <comment ref="AD31" authorId="1" shapeId="0" xr:uid="{00000000-0006-0000-0E00-000072000000}">
      <text>
        <r>
          <rPr>
            <b/>
            <sz val="9"/>
            <color indexed="81"/>
            <rFont val="Tahoma"/>
            <family val="2"/>
          </rPr>
          <t>reporta salud</t>
        </r>
        <r>
          <rPr>
            <sz val="9"/>
            <color indexed="81"/>
            <rFont val="Tahoma"/>
            <family val="2"/>
          </rPr>
          <t xml:space="preserve">
</t>
        </r>
      </text>
    </comment>
    <comment ref="AT31" authorId="1" shapeId="0" xr:uid="{00000000-0006-0000-0E00-000073000000}">
      <text>
        <r>
          <rPr>
            <b/>
            <sz val="9"/>
            <color indexed="81"/>
            <rFont val="Tahoma"/>
            <family val="2"/>
          </rPr>
          <t>reporta salud</t>
        </r>
        <r>
          <rPr>
            <sz val="9"/>
            <color indexed="81"/>
            <rFont val="Tahoma"/>
            <family val="2"/>
          </rPr>
          <t xml:space="preserve">
</t>
        </r>
      </text>
    </comment>
    <comment ref="AU31" authorId="1" shapeId="0" xr:uid="{00000000-0006-0000-0E00-000074000000}">
      <text>
        <r>
          <rPr>
            <b/>
            <sz val="9"/>
            <color indexed="81"/>
            <rFont val="Tahoma"/>
            <family val="2"/>
          </rPr>
          <t>reporta salud</t>
        </r>
        <r>
          <rPr>
            <sz val="9"/>
            <color indexed="81"/>
            <rFont val="Tahoma"/>
            <family val="2"/>
          </rPr>
          <t xml:space="preserve">
</t>
        </r>
      </text>
    </comment>
    <comment ref="AV31" authorId="1" shapeId="0" xr:uid="{00000000-0006-0000-0E00-000075000000}">
      <text>
        <r>
          <rPr>
            <b/>
            <sz val="9"/>
            <color indexed="81"/>
            <rFont val="Tahoma"/>
            <family val="2"/>
          </rPr>
          <t>reporta salud</t>
        </r>
      </text>
    </comment>
    <comment ref="R34" authorId="1" shapeId="0" xr:uid="{00000000-0006-0000-0E00-000076000000}">
      <text>
        <r>
          <rPr>
            <b/>
            <sz val="9"/>
            <color indexed="81"/>
            <rFont val="Tahoma"/>
            <family val="2"/>
          </rPr>
          <t>reportan:
68%  IE oficiales
16% IE privadas</t>
        </r>
      </text>
    </comment>
    <comment ref="BJ34" authorId="2" shapeId="0" xr:uid="{00000000-0006-0000-0E00-000077000000}">
      <text>
        <r>
          <rPr>
            <sz val="11"/>
            <color rgb="FF000000"/>
            <rFont val="Calibri"/>
            <family val="2"/>
          </rPr>
          <t>reportan:
68%  IE oficiales
16% IE privadas</t>
        </r>
      </text>
    </comment>
    <comment ref="R35" authorId="1" shapeId="0" xr:uid="{00000000-0006-0000-0E00-000078000000}">
      <text>
        <r>
          <rPr>
            <b/>
            <sz val="9"/>
            <color indexed="81"/>
            <rFont val="Tahoma"/>
            <family val="2"/>
          </rPr>
          <t>Reportan ejecusión de 8 y dada la descripción de actividades se valora en 100%</t>
        </r>
      </text>
    </comment>
    <comment ref="R36" authorId="1" shapeId="0" xr:uid="{00000000-0006-0000-0E00-000079000000}">
      <text>
        <r>
          <rPr>
            <b/>
            <sz val="9"/>
            <color indexed="81"/>
            <rFont val="Tahoma"/>
            <family val="2"/>
          </rPr>
          <t>No reportan ejecusión pero dada la descripción de actividades se valora en 100%</t>
        </r>
      </text>
    </comment>
    <comment ref="R42" authorId="1" shapeId="0" xr:uid="{00000000-0006-0000-0E00-00007A000000}">
      <text>
        <r>
          <rPr>
            <b/>
            <sz val="9"/>
            <color indexed="81"/>
            <rFont val="Tahoma"/>
            <family val="2"/>
          </rPr>
          <t xml:space="preserve">73 Docentes Psicorientadores.
</t>
        </r>
        <r>
          <rPr>
            <sz val="9"/>
            <color indexed="81"/>
            <rFont val="Tahoma"/>
            <family val="2"/>
          </rPr>
          <t xml:space="preserve">
</t>
        </r>
      </text>
    </comment>
    <comment ref="BJ42" authorId="2" shapeId="0" xr:uid="{00000000-0006-0000-0E00-00007B000000}">
      <text>
        <r>
          <rPr>
            <sz val="11"/>
            <color rgb="FF000000"/>
            <rFont val="Calibri"/>
            <family val="2"/>
          </rPr>
          <t xml:space="preserve">73 Docentes Psicorientadores.
</t>
        </r>
      </text>
    </comment>
    <comment ref="R43" authorId="1" shapeId="0" xr:uid="{00000000-0006-0000-0E00-00007C000000}">
      <text>
        <r>
          <rPr>
            <b/>
            <sz val="9"/>
            <color indexed="81"/>
            <rFont val="Tahoma"/>
            <family val="2"/>
          </rPr>
          <t>reportan:
24%
IE PUBLICA
4%
IE PRIVADA</t>
        </r>
      </text>
    </comment>
    <comment ref="BJ43" authorId="2" shapeId="0" xr:uid="{00000000-0006-0000-0E00-00007D000000}">
      <text>
        <r>
          <rPr>
            <sz val="11"/>
            <color rgb="FF000000"/>
            <rFont val="Calibri"/>
            <family val="2"/>
          </rPr>
          <t>reportan:
24%
IE PUBLICA
4%
IE PRIVADA</t>
        </r>
      </text>
    </comment>
    <comment ref="R45" authorId="1" shapeId="0" xr:uid="{00000000-0006-0000-0E00-00007E000000}">
      <text>
        <r>
          <rPr>
            <b/>
            <sz val="9"/>
            <color indexed="81"/>
            <rFont val="Tahoma"/>
            <family val="2"/>
          </rPr>
          <t>dada las acciones se reporta NA</t>
        </r>
        <r>
          <rPr>
            <sz val="9"/>
            <color indexed="81"/>
            <rFont val="Tahoma"/>
            <family val="2"/>
          </rPr>
          <t xml:space="preserve">
</t>
        </r>
      </text>
    </comment>
    <comment ref="BJ45" authorId="2" shapeId="0" xr:uid="{00000000-0006-0000-0E00-00007F000000}">
      <text>
        <r>
          <rPr>
            <sz val="11"/>
            <color rgb="FF000000"/>
            <rFont val="Calibri"/>
            <family val="2"/>
          </rPr>
          <t xml:space="preserve">dada las acciones se reporta NA
</t>
        </r>
      </text>
    </comment>
    <comment ref="R46" authorId="1" shapeId="0" xr:uid="{00000000-0006-0000-0E00-000080000000}">
      <text>
        <r>
          <rPr>
            <b/>
            <sz val="9"/>
            <color indexed="81"/>
            <rFont val="Tahoma"/>
            <family val="2"/>
          </rPr>
          <t>reportan:
635  
Estudiantes de BECA PA PEPAS 2018
486 
estudiantes
se reporta 60%</t>
        </r>
      </text>
    </comment>
    <comment ref="V46" authorId="1" shapeId="0" xr:uid="{00000000-0006-0000-0E00-000081000000}">
      <text>
        <r>
          <rPr>
            <b/>
            <sz val="9"/>
            <color indexed="81"/>
            <rFont val="Tahoma"/>
            <family val="2"/>
          </rPr>
          <t>1..454.023.000
659.189.076</t>
        </r>
      </text>
    </comment>
    <comment ref="W46" authorId="1" shapeId="0" xr:uid="{00000000-0006-0000-0E00-000082000000}">
      <text>
        <r>
          <rPr>
            <b/>
            <sz val="9"/>
            <color indexed="81"/>
            <rFont val="Tahoma"/>
            <family val="2"/>
          </rPr>
          <t>1..454.023.000
659.189.076</t>
        </r>
      </text>
    </comment>
    <comment ref="Z46" authorId="1" shapeId="0" xr:uid="{00000000-0006-0000-0E00-000083000000}">
      <text>
        <r>
          <rPr>
            <b/>
            <sz val="9"/>
            <color indexed="81"/>
            <rFont val="Tahoma"/>
            <family val="2"/>
          </rPr>
          <t>635  primer semester Becas Pa' Pepas y 635 para el segundo semestre 2018</t>
        </r>
        <r>
          <rPr>
            <sz val="9"/>
            <color indexed="81"/>
            <rFont val="Tahoma"/>
            <family val="2"/>
          </rPr>
          <t xml:space="preserve">
</t>
        </r>
      </text>
    </comment>
    <comment ref="R49" authorId="1" shapeId="0" xr:uid="{00000000-0006-0000-0E00-000084000000}">
      <text>
        <r>
          <rPr>
            <b/>
            <sz val="9"/>
            <color indexed="81"/>
            <rFont val="Tahoma"/>
            <family val="2"/>
          </rPr>
          <t>dada las acciones se reporta NA</t>
        </r>
        <r>
          <rPr>
            <sz val="9"/>
            <color indexed="81"/>
            <rFont val="Tahoma"/>
            <family val="2"/>
          </rPr>
          <t xml:space="preserve">
</t>
        </r>
      </text>
    </comment>
    <comment ref="BJ49" authorId="2" shapeId="0" xr:uid="{00000000-0006-0000-0E00-000085000000}">
      <text>
        <r>
          <rPr>
            <sz val="11"/>
            <color rgb="FF000000"/>
            <rFont val="Calibri"/>
            <family val="2"/>
          </rPr>
          <t xml:space="preserve">dada las acciones se reporta NA
</t>
        </r>
      </text>
    </comment>
    <comment ref="R50" authorId="1" shapeId="0" xr:uid="{00000000-0006-0000-0E00-000086000000}">
      <text>
        <r>
          <rPr>
            <b/>
            <sz val="9"/>
            <color indexed="81"/>
            <rFont val="Tahoma"/>
            <family val="2"/>
          </rPr>
          <t>dada las acciones se reporta NA</t>
        </r>
        <r>
          <rPr>
            <sz val="9"/>
            <color indexed="81"/>
            <rFont val="Tahoma"/>
            <family val="2"/>
          </rPr>
          <t xml:space="preserve">
</t>
        </r>
      </text>
    </comment>
    <comment ref="BJ50" authorId="2" shapeId="0" xr:uid="{00000000-0006-0000-0E00-000087000000}">
      <text>
        <r>
          <rPr>
            <sz val="11"/>
            <color rgb="FF000000"/>
            <rFont val="Calibri"/>
            <family val="2"/>
          </rPr>
          <t xml:space="preserve">dada las acciones se reporta NA
</t>
        </r>
      </text>
    </comment>
    <comment ref="R51" authorId="1" shapeId="0" xr:uid="{00000000-0006-0000-0E00-000088000000}">
      <text>
        <r>
          <rPr>
            <b/>
            <sz val="9"/>
            <color indexed="81"/>
            <rFont val="Tahoma"/>
            <family val="2"/>
          </rPr>
          <t>dada las acciones se reporta NA</t>
        </r>
        <r>
          <rPr>
            <sz val="9"/>
            <color indexed="81"/>
            <rFont val="Tahoma"/>
            <family val="2"/>
          </rPr>
          <t xml:space="preserve">
</t>
        </r>
      </text>
    </comment>
    <comment ref="BJ51" authorId="2" shapeId="0" xr:uid="{00000000-0006-0000-0E00-000089000000}">
      <text>
        <r>
          <rPr>
            <sz val="11"/>
            <color rgb="FF000000"/>
            <rFont val="Calibri"/>
            <family val="2"/>
          </rPr>
          <t xml:space="preserve">dada las acciones se reporta NA
</t>
        </r>
      </text>
    </comment>
    <comment ref="R53" authorId="1" shapeId="0" xr:uid="{00000000-0006-0000-0E00-00008A000000}">
      <text>
        <r>
          <rPr>
            <b/>
            <sz val="9"/>
            <color indexed="81"/>
            <rFont val="Tahoma"/>
            <family val="2"/>
          </rPr>
          <t>dada las acciones se reporta NA</t>
        </r>
        <r>
          <rPr>
            <sz val="9"/>
            <color indexed="81"/>
            <rFont val="Tahoma"/>
            <family val="2"/>
          </rPr>
          <t xml:space="preserve">
</t>
        </r>
      </text>
    </comment>
    <comment ref="BJ53" authorId="2" shapeId="0" xr:uid="{00000000-0006-0000-0E00-00008B000000}">
      <text>
        <r>
          <rPr>
            <sz val="11"/>
            <color rgb="FF000000"/>
            <rFont val="Calibri"/>
            <family val="2"/>
          </rPr>
          <t xml:space="preserve">dada las acciones se reporta NA
</t>
        </r>
      </text>
    </comment>
    <comment ref="R56" authorId="1" shapeId="0" xr:uid="{00000000-0006-0000-0E00-00008C000000}">
      <text>
        <r>
          <rPr>
            <b/>
            <sz val="9"/>
            <color indexed="81"/>
            <rFont val="Tahoma"/>
            <family val="2"/>
          </rPr>
          <t>dada las acciones se reporta NA</t>
        </r>
        <r>
          <rPr>
            <sz val="9"/>
            <color indexed="81"/>
            <rFont val="Tahoma"/>
            <family val="2"/>
          </rPr>
          <t xml:space="preserve">
</t>
        </r>
      </text>
    </comment>
    <comment ref="BJ56" authorId="2" shapeId="0" xr:uid="{00000000-0006-0000-0E00-00008D000000}">
      <text>
        <r>
          <rPr>
            <sz val="11"/>
            <color rgb="FF000000"/>
            <rFont val="Calibri"/>
            <family val="2"/>
          </rPr>
          <t xml:space="preserve">dada las acciones se reporta NA
</t>
        </r>
      </text>
    </comment>
    <comment ref="R57" authorId="1" shapeId="0" xr:uid="{00000000-0006-0000-0E00-00008E000000}">
      <text>
        <r>
          <rPr>
            <b/>
            <sz val="9"/>
            <color indexed="81"/>
            <rFont val="Tahoma"/>
            <family val="2"/>
          </rPr>
          <t>dada las observaciones se reporta NA</t>
        </r>
        <r>
          <rPr>
            <sz val="9"/>
            <color indexed="81"/>
            <rFont val="Tahoma"/>
            <family val="2"/>
          </rPr>
          <t xml:space="preserve">
</t>
        </r>
      </text>
    </comment>
    <comment ref="R59" authorId="1" shapeId="0" xr:uid="{00000000-0006-0000-0E00-00008F000000}">
      <text>
        <r>
          <rPr>
            <b/>
            <sz val="9"/>
            <color indexed="81"/>
            <rFont val="Tahoma"/>
            <family val="2"/>
          </rPr>
          <t>se reporta 115 dejandola al 100%</t>
        </r>
      </text>
    </comment>
    <comment ref="S59" authorId="2" shapeId="0" xr:uid="{00000000-0006-0000-0E00-000090000000}">
      <text>
        <r>
          <rPr>
            <sz val="11"/>
            <color rgb="FF000000"/>
            <rFont val="Calibri"/>
            <family val="2"/>
          </rPr>
          <t>Se deben revisar estas acciones desarrolladas, puesto que se debe tener en cuenta que las acciones son iniciativas de los mismos jóvenes, no de la oferta que tiene la secretaría para la comunidad.
	-Danny Steven Rodriguez Maya</t>
        </r>
      </text>
    </comment>
    <comment ref="R60" authorId="1" shapeId="0" xr:uid="{00000000-0006-0000-0E00-000091000000}">
      <text>
        <r>
          <rPr>
            <b/>
            <sz val="9"/>
            <color indexed="81"/>
            <rFont val="Tahoma"/>
            <family val="2"/>
          </rPr>
          <t>se reporta 41 dejandola al 100%</t>
        </r>
      </text>
    </comment>
    <comment ref="S60" authorId="2" shapeId="0" xr:uid="{00000000-0006-0000-0E00-000092000000}">
      <text>
        <r>
          <rPr>
            <sz val="11"/>
            <color rgb="FF000000"/>
            <rFont val="Calibri"/>
            <family val="2"/>
          </rPr>
          <t>mejorar redacción, para hacer más entendible las acciones desarrolladas.
	-Danny Steven Rodriguez Maya</t>
        </r>
      </text>
    </comment>
    <comment ref="R61" authorId="1" shapeId="0" xr:uid="{00000000-0006-0000-0E00-000093000000}">
      <text>
        <r>
          <rPr>
            <b/>
            <sz val="9"/>
            <color indexed="81"/>
            <rFont val="Tahoma"/>
            <family val="2"/>
          </rPr>
          <t>se reporta 8 dejandola al 100%</t>
        </r>
      </text>
    </comment>
    <comment ref="T61" authorId="2" shapeId="0" xr:uid="{00000000-0006-0000-0E00-000094000000}">
      <text>
        <r>
          <rPr>
            <sz val="11"/>
            <color rgb="FF000000"/>
            <rFont val="Calibri"/>
            <family val="2"/>
          </rPr>
          <t>especificar en donde reposan los archivos y las evidencias que dan cuenta de las acciones realizadas.
	-Danny Steven Rodriguez Maya</t>
        </r>
      </text>
    </comment>
    <comment ref="R63" authorId="1" shapeId="0" xr:uid="{00000000-0006-0000-0E00-000095000000}">
      <text>
        <r>
          <rPr>
            <b/>
            <sz val="9"/>
            <color indexed="81"/>
            <rFont val="Tahoma"/>
            <family val="2"/>
          </rPr>
          <t>Reportan 0 pero se recomienda dejarla en NP y programarla de manera posterior</t>
        </r>
      </text>
    </comment>
    <comment ref="R64" authorId="1" shapeId="0" xr:uid="{00000000-0006-0000-0E00-000096000000}">
      <text>
        <r>
          <rPr>
            <b/>
            <sz val="9"/>
            <color indexed="81"/>
            <rFont val="Tahoma"/>
            <family val="2"/>
          </rPr>
          <t>Usuario:</t>
        </r>
        <r>
          <rPr>
            <sz val="9"/>
            <color indexed="81"/>
            <rFont val="Tahoma"/>
            <family val="2"/>
          </rPr>
          <t xml:space="preserve">
No reportan nada pero ddas las evidencias y observaciones se propone dejarla en 80%</t>
        </r>
      </text>
    </comment>
    <comment ref="R67" authorId="1" shapeId="0" xr:uid="{00000000-0006-0000-0E00-000097000000}">
      <text>
        <r>
          <rPr>
            <b/>
            <sz val="9"/>
            <color indexed="81"/>
            <rFont val="Tahoma"/>
            <family val="2"/>
          </rPr>
          <t>reportan 7 pero dadas las actividades se deja al 100%</t>
        </r>
        <r>
          <rPr>
            <sz val="9"/>
            <color indexed="81"/>
            <rFont val="Tahoma"/>
            <family val="2"/>
          </rPr>
          <t xml:space="preserve">
</t>
        </r>
      </text>
    </comment>
    <comment ref="R68" authorId="1" shapeId="0" xr:uid="{00000000-0006-0000-0E00-000098000000}">
      <text>
        <r>
          <rPr>
            <b/>
            <sz val="9"/>
            <color indexed="81"/>
            <rFont val="Tahoma"/>
            <family val="2"/>
          </rPr>
          <t>reportan 1626 pero dadas las actividades se deja al 100%</t>
        </r>
        <r>
          <rPr>
            <sz val="9"/>
            <color indexed="81"/>
            <rFont val="Tahoma"/>
            <family val="2"/>
          </rPr>
          <t xml:space="preserve">
</t>
        </r>
      </text>
    </comment>
    <comment ref="R69" authorId="1" shapeId="0" xr:uid="{00000000-0006-0000-0E00-000099000000}">
      <text>
        <r>
          <rPr>
            <b/>
            <sz val="9"/>
            <color indexed="81"/>
            <rFont val="Tahoma"/>
            <family val="2"/>
          </rPr>
          <t>reportan 9 pero dadas las actividades se deja al 100%</t>
        </r>
        <r>
          <rPr>
            <sz val="9"/>
            <color indexed="81"/>
            <rFont val="Tahoma"/>
            <family val="2"/>
          </rPr>
          <t xml:space="preserve">
</t>
        </r>
      </text>
    </comment>
    <comment ref="R73" authorId="1" shapeId="0" xr:uid="{00000000-0006-0000-0E00-00009A000000}">
      <text>
        <r>
          <rPr>
            <b/>
            <sz val="9"/>
            <color indexed="81"/>
            <rFont val="Tahoma"/>
            <family val="2"/>
          </rPr>
          <t>reportan 2 pero dadas las actividades se deja al 100%</t>
        </r>
        <r>
          <rPr>
            <sz val="9"/>
            <color indexed="81"/>
            <rFont val="Tahoma"/>
            <family val="2"/>
          </rPr>
          <t xml:space="preserve">
</t>
        </r>
      </text>
    </comment>
    <comment ref="R75" authorId="1" shapeId="0" xr:uid="{00000000-0006-0000-0E00-00009B000000}">
      <text>
        <r>
          <rPr>
            <b/>
            <sz val="9"/>
            <color indexed="81"/>
            <rFont val="Tahoma"/>
            <family val="2"/>
          </rPr>
          <t>no reportan nada dada las acciones se registra 70%</t>
        </r>
      </text>
    </comment>
    <comment ref="R76" authorId="1" shapeId="0" xr:uid="{00000000-0006-0000-0E00-00009C000000}">
      <text>
        <r>
          <rPr>
            <b/>
            <sz val="9"/>
            <color indexed="81"/>
            <rFont val="Tahoma"/>
            <family val="2"/>
          </rPr>
          <t>No reportan ejecusión pero dada la descripción de actividades se valora en 100%</t>
        </r>
      </text>
    </comment>
    <comment ref="R79" authorId="1" shapeId="0" xr:uid="{00000000-0006-0000-0E00-00009D000000}">
      <text>
        <r>
          <rPr>
            <b/>
            <sz val="9"/>
            <color indexed="81"/>
            <rFont val="Tahoma"/>
            <family val="2"/>
          </rPr>
          <t>desarrollo social: no reportan nada pero dada las actividades se recomienda dejarlo en 70%</t>
        </r>
      </text>
    </comment>
    <comment ref="S79" authorId="1" shapeId="0" xr:uid="{00000000-0006-0000-0E00-00009E000000}">
      <text>
        <r>
          <rPr>
            <b/>
            <sz val="9"/>
            <color indexed="81"/>
            <rFont val="Tahoma"/>
            <family val="2"/>
          </rPr>
          <t>reporta desarrollo social</t>
        </r>
        <r>
          <rPr>
            <sz val="9"/>
            <color indexed="81"/>
            <rFont val="Tahoma"/>
            <family val="2"/>
          </rPr>
          <t xml:space="preserve">
</t>
        </r>
      </text>
    </comment>
    <comment ref="V79" authorId="1" shapeId="0" xr:uid="{00000000-0006-0000-0E00-00009F000000}">
      <text>
        <r>
          <rPr>
            <b/>
            <sz val="9"/>
            <color indexed="81"/>
            <rFont val="Tahoma"/>
            <family val="2"/>
          </rPr>
          <t xml:space="preserve">reporta desarrollo social
</t>
        </r>
        <r>
          <rPr>
            <sz val="9"/>
            <color indexed="81"/>
            <rFont val="Tahoma"/>
            <family val="2"/>
          </rPr>
          <t xml:space="preserve">
</t>
        </r>
      </text>
    </comment>
    <comment ref="Z79" authorId="1" shapeId="0" xr:uid="{00000000-0006-0000-0E00-0000A0000000}">
      <text>
        <r>
          <rPr>
            <b/>
            <sz val="9"/>
            <color indexed="81"/>
            <rFont val="Tahoma"/>
            <family val="2"/>
          </rPr>
          <t xml:space="preserve">reporta desarrollo social
</t>
        </r>
        <r>
          <rPr>
            <sz val="9"/>
            <color indexed="81"/>
            <rFont val="Tahoma"/>
            <family val="2"/>
          </rPr>
          <t xml:space="preserve">
</t>
        </r>
      </text>
    </comment>
    <comment ref="BJ81" authorId="2" shapeId="0" xr:uid="{00000000-0006-0000-0E00-0000A1000000}">
      <text>
        <r>
          <rPr>
            <sz val="11"/>
            <color rgb="FF000000"/>
            <rFont val="Calibri"/>
            <family val="2"/>
          </rPr>
          <t>no reportan nada dada las acciones se registra 100%</t>
        </r>
      </text>
    </comment>
    <comment ref="R82" authorId="1" shapeId="0" xr:uid="{00000000-0006-0000-0E00-0000A2000000}">
      <text>
        <r>
          <rPr>
            <b/>
            <sz val="9"/>
            <color indexed="81"/>
            <rFont val="Tahoma"/>
            <family val="2"/>
          </rPr>
          <t>no reportan nada dada las acciones se registra 100%</t>
        </r>
      </text>
    </comment>
    <comment ref="BJ82" authorId="2" shapeId="0" xr:uid="{00000000-0006-0000-0E00-0000A3000000}">
      <text>
        <r>
          <rPr>
            <sz val="11"/>
            <color rgb="FF000000"/>
            <rFont val="Calibri"/>
            <family val="2"/>
          </rPr>
          <t xml:space="preserve">dada las observaciones se reporta NA
</t>
        </r>
      </text>
    </comment>
    <comment ref="R84" authorId="1" shapeId="0" xr:uid="{00000000-0006-0000-0E00-0000A4000000}">
      <text>
        <r>
          <rPr>
            <b/>
            <sz val="9"/>
            <color indexed="81"/>
            <rFont val="Tahoma"/>
            <family val="2"/>
          </rPr>
          <t>dada las observaciones se reporta NA</t>
        </r>
        <r>
          <rPr>
            <sz val="9"/>
            <color indexed="81"/>
            <rFont val="Tahoma"/>
            <family val="2"/>
          </rPr>
          <t xml:space="preserve">
</t>
        </r>
      </text>
    </comment>
    <comment ref="R85" authorId="1" shapeId="0" xr:uid="{00000000-0006-0000-0E00-0000A5000000}">
      <text>
        <r>
          <rPr>
            <b/>
            <sz val="9"/>
            <color indexed="81"/>
            <rFont val="Tahoma"/>
            <family val="2"/>
          </rPr>
          <t>reportan 0 per se propone dejar para 2019 conseguir el predio</t>
        </r>
      </text>
    </comment>
    <comment ref="R86" authorId="1" shapeId="0" xr:uid="{00000000-0006-0000-0E00-0000A6000000}">
      <text>
        <r>
          <rPr>
            <b/>
            <sz val="9"/>
            <color indexed="81"/>
            <rFont val="Tahoma"/>
            <family val="2"/>
          </rPr>
          <t>Reportan ejecusión de 7 y dada la descripción de actividades se valora en 100%</t>
        </r>
      </text>
    </comment>
    <comment ref="R87" authorId="1" shapeId="0" xr:uid="{00000000-0006-0000-0E00-0000A7000000}">
      <text>
        <r>
          <rPr>
            <b/>
            <sz val="9"/>
            <color indexed="81"/>
            <rFont val="Tahoma"/>
            <family val="2"/>
          </rPr>
          <t>Reportan ejecusión de 1 y dada la descripción de actividades se valora en 100%</t>
        </r>
      </text>
    </comment>
    <comment ref="R89" authorId="1" shapeId="0" xr:uid="{00000000-0006-0000-0E00-0000A8000000}">
      <text>
        <r>
          <rPr>
            <b/>
            <sz val="9"/>
            <color indexed="81"/>
            <rFont val="Tahoma"/>
            <family val="2"/>
          </rPr>
          <t>Reportan ejecusión de 0 y dada la descripción de actividades se valora en 60%</t>
        </r>
      </text>
    </comment>
    <comment ref="R90" authorId="1" shapeId="0" xr:uid="{00000000-0006-0000-0E00-0000A9000000}">
      <text>
        <r>
          <rPr>
            <b/>
            <sz val="9"/>
            <color indexed="81"/>
            <rFont val="Tahoma"/>
            <family val="2"/>
          </rPr>
          <t>Reportan ejecusión de 0 y dada la descripción de actividades se valora en 60%</t>
        </r>
      </text>
    </comment>
    <comment ref="R91" authorId="1" shapeId="0" xr:uid="{00000000-0006-0000-0E00-0000AA000000}">
      <text>
        <r>
          <rPr>
            <b/>
            <sz val="9"/>
            <color indexed="81"/>
            <rFont val="Tahoma"/>
            <family val="2"/>
          </rPr>
          <t>reportan 21 quedando al 100%</t>
        </r>
      </text>
    </comment>
    <comment ref="U91" authorId="3" shapeId="0" xr:uid="{00000000-0006-0000-0E00-0000AB000000}">
      <text>
        <r>
          <rPr>
            <sz val="9"/>
            <color indexed="81"/>
            <rFont val="Tahoma"/>
            <family val="2"/>
          </rPr>
          <t>Debe esperarse a la entrega del proyecto ganador.</t>
        </r>
      </text>
    </comment>
    <comment ref="BB91" authorId="3" shapeId="0" xr:uid="{00000000-0006-0000-0E00-0000AC000000}">
      <text>
        <r>
          <rPr>
            <sz val="9"/>
            <color indexed="81"/>
            <rFont val="Tahoma"/>
            <family val="2"/>
          </rPr>
          <t>Debe esperarse a la entrega del proyecto ganador.</t>
        </r>
      </text>
    </comment>
    <comment ref="BE91" authorId="3" shapeId="0" xr:uid="{00000000-0006-0000-0E00-0000AD000000}">
      <text>
        <r>
          <rPr>
            <b/>
            <sz val="9"/>
            <color indexed="81"/>
            <rFont val="Tahoma"/>
            <family val="2"/>
          </rPr>
          <t>Concretar esta información con Juan carlos Ruiz.</t>
        </r>
      </text>
    </comment>
    <comment ref="R92" authorId="1" shapeId="0" xr:uid="{00000000-0006-0000-0E00-0000AE000000}">
      <text>
        <r>
          <rPr>
            <b/>
            <sz val="9"/>
            <color indexed="81"/>
            <rFont val="Tahoma"/>
            <family val="2"/>
          </rPr>
          <t>Se programa para 2019 hasta que se unifiquen las elecciones a la Alcaldía Juvenil</t>
        </r>
      </text>
    </comment>
    <comment ref="R94" authorId="1" shapeId="0" xr:uid="{00000000-0006-0000-0E00-0000AF000000}">
      <text>
        <r>
          <rPr>
            <b/>
            <sz val="9"/>
            <color indexed="81"/>
            <rFont val="Tahoma"/>
            <family val="2"/>
          </rPr>
          <t>Reportan ejecusión de 1 y dada la descripción de actividades se valora en 100%</t>
        </r>
      </text>
    </comment>
    <comment ref="R96" authorId="1" shapeId="0" xr:uid="{00000000-0006-0000-0E00-0000B0000000}">
      <text>
        <r>
          <rPr>
            <b/>
            <sz val="9"/>
            <color indexed="81"/>
            <rFont val="Tahoma"/>
            <family val="2"/>
          </rPr>
          <t>No Reportan ejecusión pero dada la descripción de actividades se valora en 100%</t>
        </r>
      </text>
    </comment>
    <comment ref="R98" authorId="1" shapeId="0" xr:uid="{00000000-0006-0000-0E00-0000B1000000}">
      <text>
        <r>
          <rPr>
            <b/>
            <sz val="9"/>
            <color indexed="81"/>
            <rFont val="Tahoma"/>
            <family val="2"/>
          </rPr>
          <t>Reportan ejecusión de 1 y dada la descripción de actividades se valora en 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Julian Andres Cardona Morales</author>
    <author>Usuario</author>
    <author/>
    <author>LUISA</author>
  </authors>
  <commentList>
    <comment ref="AA2" authorId="0" shapeId="0" xr:uid="{00000000-0006-0000-0F00-000001000000}">
      <text>
        <r>
          <rPr>
            <b/>
            <sz val="12"/>
            <color indexed="81"/>
            <rFont val="Tahoma"/>
            <family val="2"/>
          </rPr>
          <t>De acuerdo al indicador de cada acción, reporte el valor ejecutado en la vigencia 2018 según su unidad de medida (Porcentaje, Numero, Tasa):
Ejemplo:
10% de los Docentes capacitados.
50 personas capacitadas.
20% de cobertura.
10% tasa.</t>
        </r>
      </text>
    </comment>
    <comment ref="AB2" authorId="0" shapeId="0" xr:uid="{00000000-0006-0000-0F00-000002000000}">
      <text>
        <r>
          <rPr>
            <b/>
            <sz val="12"/>
            <color indexed="81"/>
            <rFont val="Tahoma"/>
            <family val="2"/>
          </rPr>
          <t xml:space="preserve">Comente como desarrollo la acción de la Política Pública por medio de actividades, describiendo el Lugar, Temas desarrollados, etc. </t>
        </r>
      </text>
    </comment>
    <comment ref="AC2" authorId="0" shapeId="0" xr:uid="{00000000-0006-0000-0F00-000003000000}">
      <text>
        <r>
          <rPr>
            <b/>
            <sz val="12"/>
            <color indexed="81"/>
            <rFont val="Tahoma"/>
            <family val="2"/>
          </rPr>
          <t>Describa que evidencias reposan en el desarrollo de la acción, contratos, actas, fotos, registros de asistencia, informes, documentos, videos, etc</t>
        </r>
      </text>
    </comment>
    <comment ref="AD2" authorId="0" shapeId="0" xr:uid="{00000000-0006-0000-0F00-000004000000}">
      <text>
        <r>
          <rPr>
            <b/>
            <sz val="12"/>
            <color indexed="81"/>
            <rFont val="Tahoma"/>
            <family val="2"/>
          </rPr>
          <t xml:space="preserve">Comente que problemas, necesidades, aciertos y/o recomendacion se cuentan en el desarrollo de la acción. </t>
        </r>
      </text>
    </comment>
    <comment ref="BN2" authorId="0" shapeId="0" xr:uid="{00000000-0006-0000-0F00-000005000000}">
      <text>
        <r>
          <rPr>
            <b/>
            <sz val="9"/>
            <color indexed="81"/>
            <rFont val="Tahoma"/>
            <family val="2"/>
          </rPr>
          <t>La Sección de Matriz de Focalización de Recursos Ecosistémicos se diligencia cuando la acción va dirigida a un Recurso Natural, Fauna y Flora.</t>
        </r>
      </text>
    </comment>
    <comment ref="BS2" authorId="0" shapeId="0" xr:uid="{00000000-0006-0000-0F00-000006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BX2" authorId="0" shapeId="0" xr:uid="{00000000-0006-0000-0F00-000007000000}">
      <text>
        <r>
          <rPr>
            <b/>
            <sz val="12"/>
            <color indexed="81"/>
            <rFont val="Tahoma"/>
            <family val="2"/>
          </rPr>
          <t xml:space="preserve">Comente como desarrollo la acción de la Política Pública por medio de actividades, describiendo el Lugar, Temas desarrollados, etc. </t>
        </r>
      </text>
    </comment>
    <comment ref="BY2" authorId="0" shapeId="0" xr:uid="{00000000-0006-0000-0F00-000008000000}">
      <text>
        <r>
          <rPr>
            <b/>
            <sz val="12"/>
            <color indexed="81"/>
            <rFont val="Tahoma"/>
            <family val="2"/>
          </rPr>
          <t>Describa que evidencias reposan en el desarrollo de la acción, contratos, actas, fotos, registros de asistencia, informes, documentos, videos, etc</t>
        </r>
      </text>
    </comment>
    <comment ref="BZ2" authorId="0" shapeId="0" xr:uid="{00000000-0006-0000-0F00-000009000000}">
      <text>
        <r>
          <rPr>
            <b/>
            <sz val="12"/>
            <color indexed="81"/>
            <rFont val="Tahoma"/>
            <family val="2"/>
          </rPr>
          <t xml:space="preserve">Comente que problemas, necesidades, aciertos y/o recomendacion se cuentan en el desarrollo de la acción. </t>
        </r>
      </text>
    </comment>
    <comment ref="DJ2" authorId="0" shapeId="0" xr:uid="{00000000-0006-0000-0F00-00000A000000}">
      <text>
        <r>
          <rPr>
            <b/>
            <sz val="9"/>
            <color indexed="81"/>
            <rFont val="Tahoma"/>
            <family val="2"/>
          </rPr>
          <t>La Sección de Matriz de Focalización de Recursos Ecosistémicos se diligencia cuando la acción va dirigida a un Recurso Natural, Fauna y Flora.</t>
        </r>
      </text>
    </comment>
    <comment ref="DP2" authorId="0" shapeId="0" xr:uid="{00000000-0006-0000-0F00-00000B000000}">
      <text>
        <r>
          <rPr>
            <b/>
            <sz val="12"/>
            <color indexed="81"/>
            <rFont val="Tahoma"/>
            <family val="2"/>
          </rPr>
          <t>De acuerdo al indicador de cada acción, reporte el valor ejecutado en la vigencia 2019 según su unidad de medida (Porcentaje, Numero, Tasa):
Ejemplo:
10% de los Docentes capacitados.
50 personas capacitadas.
20% de cobertura.
10% tasa.</t>
        </r>
      </text>
    </comment>
    <comment ref="DS2" authorId="0" shapeId="0" xr:uid="{00000000-0006-0000-0F00-00000C000000}">
      <text>
        <r>
          <rPr>
            <b/>
            <sz val="12"/>
            <color indexed="81"/>
            <rFont val="Tahoma"/>
            <family val="2"/>
          </rPr>
          <t xml:space="preserve">Comente como desarrollo la acción de la Política Pública por medio de actividades, describiendo el Lugar, Temas desarrollados, etc. </t>
        </r>
      </text>
    </comment>
    <comment ref="DT2" authorId="0" shapeId="0" xr:uid="{00000000-0006-0000-0F00-00000D000000}">
      <text>
        <r>
          <rPr>
            <b/>
            <sz val="12"/>
            <color indexed="81"/>
            <rFont val="Tahoma"/>
            <family val="2"/>
          </rPr>
          <t>Describa que evidencias reposan en el desarrollo de la acción, contratos, actas, fotos, registros de asistencia, informes, documentos, videos, etc</t>
        </r>
      </text>
    </comment>
    <comment ref="DU2" authorId="0" shapeId="0" xr:uid="{00000000-0006-0000-0F00-00000E000000}">
      <text>
        <r>
          <rPr>
            <b/>
            <sz val="12"/>
            <color indexed="81"/>
            <rFont val="Tahoma"/>
            <family val="2"/>
          </rPr>
          <t xml:space="preserve">Comente que problemas, necesidades, aciertos y/o recomendacion se cuentan en el desarrollo de la acción. </t>
        </r>
      </text>
    </comment>
    <comment ref="FE2" authorId="0" shapeId="0" xr:uid="{00000000-0006-0000-0F00-00000F000000}">
      <text>
        <r>
          <rPr>
            <b/>
            <sz val="9"/>
            <color indexed="81"/>
            <rFont val="Tahoma"/>
            <family val="2"/>
          </rPr>
          <t>La Sección de Matriz de Focalización de Recursos Ecosistémicos se diligencia cuando la acción va dirigida a un Recurso Natural, Fauna y Flora.</t>
        </r>
      </text>
    </comment>
    <comment ref="AE3" authorId="0" shapeId="0" xr:uid="{00000000-0006-0000-0F00-000010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AF3" authorId="0" shapeId="0" xr:uid="{00000000-0006-0000-0F00-000011000000}">
      <text>
        <r>
          <rPr>
            <b/>
            <sz val="12"/>
            <color indexed="81"/>
            <rFont val="Tahoma"/>
            <family val="2"/>
          </rPr>
          <t>Detalle la cantidad de recursos invertidos del fondo de recursos propios (presupuestos corrientes del Municipio de Pereira)</t>
        </r>
      </text>
    </comment>
    <comment ref="AG3" authorId="0" shapeId="0" xr:uid="{00000000-0006-0000-0F00-000012000000}">
      <text>
        <r>
          <rPr>
            <b/>
            <sz val="12"/>
            <color indexed="81"/>
            <rFont val="Tahoma"/>
            <family val="2"/>
          </rPr>
          <t>Detalle la cantidad de recursos invertidos del fondo de recursos del Sistema General de Participaciones (Recursos Girados desde la Nación por el SGP)</t>
        </r>
      </text>
    </comment>
    <comment ref="AH3" authorId="0" shapeId="0" xr:uid="{00000000-0006-0000-0F00-000013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AI3" authorId="0" shapeId="0" xr:uid="{00000000-0006-0000-0F00-000014000000}">
      <text>
        <r>
          <rPr>
            <b/>
            <sz val="12"/>
            <color indexed="81"/>
            <rFont val="Tahoma"/>
            <family val="2"/>
          </rPr>
          <t>Detalle el número de personas atendidas en cada acción.</t>
        </r>
      </text>
    </comment>
    <comment ref="AJ3" authorId="0" shapeId="0" xr:uid="{00000000-0006-0000-0F00-000015000000}">
      <text>
        <r>
          <rPr>
            <b/>
            <sz val="12"/>
            <color indexed="81"/>
            <rFont val="Tahoma"/>
            <family val="2"/>
          </rPr>
          <t>Según el total de personas atendidas descrimine los valores según su genero.</t>
        </r>
      </text>
    </comment>
    <comment ref="AL3" authorId="0" shapeId="0" xr:uid="{00000000-0006-0000-0F00-000016000000}">
      <text>
        <r>
          <rPr>
            <b/>
            <sz val="12"/>
            <color indexed="81"/>
            <rFont val="Tahoma"/>
            <family val="2"/>
          </rPr>
          <t>Según el total de personas atendidas descrimine los valores según su zona.</t>
        </r>
      </text>
    </comment>
    <comment ref="AN3" authorId="0" shapeId="0" xr:uid="{00000000-0006-0000-0F00-000017000000}">
      <text>
        <r>
          <rPr>
            <b/>
            <sz val="12"/>
            <color indexed="81"/>
            <rFont val="Tahoma"/>
            <family val="2"/>
          </rPr>
          <t>Según el total de personas atendidas descrimine los valores según ciclos de edad.</t>
        </r>
      </text>
    </comment>
    <comment ref="AU3" authorId="0" shapeId="0" xr:uid="{00000000-0006-0000-0F00-000018000000}">
      <text>
        <r>
          <rPr>
            <b/>
            <sz val="12"/>
            <color indexed="81"/>
            <rFont val="Tahoma"/>
            <family val="2"/>
          </rPr>
          <t>Según el total de personas atendidas descrimine los valores según su condición.</t>
        </r>
      </text>
    </comment>
    <comment ref="BC3" authorId="0" shapeId="0" xr:uid="{00000000-0006-0000-0F00-000019000000}">
      <text>
        <r>
          <rPr>
            <b/>
            <sz val="12"/>
            <color indexed="81"/>
            <rFont val="Tahoma"/>
            <family val="2"/>
          </rPr>
          <t>Según el total de personas atendidas descrimine los valores según su etnia.</t>
        </r>
      </text>
    </comment>
    <comment ref="BI3" authorId="0" shapeId="0" xr:uid="{00000000-0006-0000-0F00-00001A000000}">
      <text>
        <r>
          <rPr>
            <b/>
            <sz val="12"/>
            <color indexed="81"/>
            <rFont val="Tahoma"/>
            <family val="2"/>
          </rPr>
          <t>En el caso que la acción este dirigida a una organización,  diligenciar el tipo de organización beneficiada.</t>
        </r>
      </text>
    </comment>
    <comment ref="BJ3" authorId="0" shapeId="0" xr:uid="{00000000-0006-0000-0F00-00001B000000}">
      <text>
        <r>
          <rPr>
            <b/>
            <sz val="12"/>
            <color indexed="81"/>
            <rFont val="Tahoma"/>
            <family val="2"/>
          </rPr>
          <t>Describir el objeto principal de la institución u organización beneficiada.</t>
        </r>
      </text>
    </comment>
    <comment ref="BN3" authorId="0" shapeId="0" xr:uid="{00000000-0006-0000-0F00-00001C000000}">
      <text>
        <r>
          <rPr>
            <b/>
            <sz val="12"/>
            <color indexed="81"/>
            <rFont val="Tahoma"/>
            <family val="2"/>
          </rPr>
          <t xml:space="preserve">Diligenciar si son: 
30 Caninos 
100 Arboles plantados  
2 cuencas recuperadas etc
</t>
        </r>
      </text>
    </comment>
    <comment ref="BO3" authorId="0" shapeId="0" xr:uid="{00000000-0006-0000-0F00-00001D000000}">
      <text>
        <r>
          <rPr>
            <b/>
            <sz val="12"/>
            <color indexed="81"/>
            <rFont val="Tahoma"/>
            <family val="2"/>
          </rPr>
          <t>Marcar con una X el tipo de recurso que se beneficio según la acción.</t>
        </r>
      </text>
    </comment>
    <comment ref="CA3" authorId="0" shapeId="0" xr:uid="{00000000-0006-0000-0F00-00001E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CB3" authorId="0" shapeId="0" xr:uid="{00000000-0006-0000-0F00-00001F000000}">
      <text>
        <r>
          <rPr>
            <b/>
            <sz val="12"/>
            <color indexed="81"/>
            <rFont val="Tahoma"/>
            <family val="2"/>
          </rPr>
          <t>Detalle la cantidad de recursos invertidos del fondo de recursos propios (presupuestos corrientes del Municipio de Pereira)</t>
        </r>
      </text>
    </comment>
    <comment ref="CC3" authorId="0" shapeId="0" xr:uid="{00000000-0006-0000-0F00-000020000000}">
      <text>
        <r>
          <rPr>
            <b/>
            <sz val="12"/>
            <color indexed="81"/>
            <rFont val="Tahoma"/>
            <family val="2"/>
          </rPr>
          <t>Detalle la cantidad de recursos invertidos del fondo de recursos del Sistema General de Participaciones (Recursos Girados desde la Nación por el SGP)</t>
        </r>
      </text>
    </comment>
    <comment ref="CD3" authorId="0" shapeId="0" xr:uid="{00000000-0006-0000-0F00-000021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CE3" authorId="0" shapeId="0" xr:uid="{00000000-0006-0000-0F00-000022000000}">
      <text>
        <r>
          <rPr>
            <b/>
            <sz val="12"/>
            <color indexed="81"/>
            <rFont val="Tahoma"/>
            <family val="2"/>
          </rPr>
          <t>Detalle el número de personas atendidas en cada acción.</t>
        </r>
      </text>
    </comment>
    <comment ref="CF3" authorId="0" shapeId="0" xr:uid="{00000000-0006-0000-0F00-000023000000}">
      <text>
        <r>
          <rPr>
            <b/>
            <sz val="12"/>
            <color indexed="81"/>
            <rFont val="Tahoma"/>
            <family val="2"/>
          </rPr>
          <t>Según el total de personas atendidas descrimine los valores según su genero.</t>
        </r>
      </text>
    </comment>
    <comment ref="CH3" authorId="0" shapeId="0" xr:uid="{00000000-0006-0000-0F00-000024000000}">
      <text>
        <r>
          <rPr>
            <b/>
            <sz val="12"/>
            <color indexed="81"/>
            <rFont val="Tahoma"/>
            <family val="2"/>
          </rPr>
          <t>Según el total de personas atendidas descrimine los valores según su zona.</t>
        </r>
      </text>
    </comment>
    <comment ref="CJ3" authorId="0" shapeId="0" xr:uid="{00000000-0006-0000-0F00-000025000000}">
      <text>
        <r>
          <rPr>
            <b/>
            <sz val="12"/>
            <color indexed="81"/>
            <rFont val="Tahoma"/>
            <family val="2"/>
          </rPr>
          <t>Según el total de personas atendidas descrimine los valores según ciclos de edad.</t>
        </r>
      </text>
    </comment>
    <comment ref="CQ3" authorId="0" shapeId="0" xr:uid="{00000000-0006-0000-0F00-000026000000}">
      <text>
        <r>
          <rPr>
            <b/>
            <sz val="12"/>
            <color indexed="81"/>
            <rFont val="Tahoma"/>
            <family val="2"/>
          </rPr>
          <t>Según el total de personas atendidas descrimine los valores según su condición.</t>
        </r>
      </text>
    </comment>
    <comment ref="CY3" authorId="0" shapeId="0" xr:uid="{00000000-0006-0000-0F00-000027000000}">
      <text>
        <r>
          <rPr>
            <b/>
            <sz val="12"/>
            <color indexed="81"/>
            <rFont val="Tahoma"/>
            <family val="2"/>
          </rPr>
          <t>Según el total de personas atendidas descrimine los valores según su etnia.</t>
        </r>
      </text>
    </comment>
    <comment ref="DE3" authorId="0" shapeId="0" xr:uid="{00000000-0006-0000-0F00-000028000000}">
      <text>
        <r>
          <rPr>
            <b/>
            <sz val="12"/>
            <color indexed="81"/>
            <rFont val="Tahoma"/>
            <family val="2"/>
          </rPr>
          <t>En el caso que la acción este dirigida a una organización,  diligenciar el tipo de organización beneficiada.</t>
        </r>
      </text>
    </comment>
    <comment ref="DF3" authorId="0" shapeId="0" xr:uid="{00000000-0006-0000-0F00-000029000000}">
      <text>
        <r>
          <rPr>
            <b/>
            <sz val="12"/>
            <color indexed="81"/>
            <rFont val="Tahoma"/>
            <family val="2"/>
          </rPr>
          <t>Describir el objeto principal de la institución u organización beneficiada.</t>
        </r>
      </text>
    </comment>
    <comment ref="DJ3" authorId="0" shapeId="0" xr:uid="{00000000-0006-0000-0F00-00002A000000}">
      <text>
        <r>
          <rPr>
            <b/>
            <sz val="12"/>
            <color indexed="81"/>
            <rFont val="Tahoma"/>
            <family val="2"/>
          </rPr>
          <t xml:space="preserve">Diligenciar si son: 
30 Caninos 
100 Arboles plantados  
2 cuencas recuperadas etc
</t>
        </r>
      </text>
    </comment>
    <comment ref="DK3" authorId="0" shapeId="0" xr:uid="{00000000-0006-0000-0F00-00002B000000}">
      <text>
        <r>
          <rPr>
            <b/>
            <sz val="12"/>
            <color indexed="81"/>
            <rFont val="Tahoma"/>
            <family val="2"/>
          </rPr>
          <t>Marcar con una X el tipo de recurso que se beneficio según la acción.</t>
        </r>
      </text>
    </comment>
    <comment ref="DV3" authorId="0" shapeId="0" xr:uid="{00000000-0006-0000-0F00-00002C000000}">
      <text>
        <r>
          <rPr>
            <b/>
            <sz val="12"/>
            <color indexed="81"/>
            <rFont val="Tahoma"/>
            <family val="2"/>
          </rPr>
          <t>Totalice los recursos financieros invertidos en la acción.
ADVERTENCIA: En el caso de que la inversion se comparta con otras acciones dividir los recursos para evitar duplicidad de los recursos invertidos al momento de sumar.</t>
        </r>
      </text>
    </comment>
    <comment ref="DW3" authorId="0" shapeId="0" xr:uid="{00000000-0006-0000-0F00-00002D000000}">
      <text>
        <r>
          <rPr>
            <b/>
            <sz val="12"/>
            <color indexed="81"/>
            <rFont val="Tahoma"/>
            <family val="2"/>
          </rPr>
          <t>Detalle la cantidad de recursos invertidos del fondo de recursos propios (presupuestos corrientes del Municipio de Pereira)</t>
        </r>
      </text>
    </comment>
    <comment ref="DX3" authorId="0" shapeId="0" xr:uid="{00000000-0006-0000-0F00-00002E000000}">
      <text>
        <r>
          <rPr>
            <b/>
            <sz val="12"/>
            <color indexed="81"/>
            <rFont val="Tahoma"/>
            <family val="2"/>
          </rPr>
          <t>Detalle la cantidad de recursos invertidos del fondo de recursos del Sistema General de Participaciones (Recursos Girados desde la Nación por el SGP)</t>
        </r>
      </text>
    </comment>
    <comment ref="DY3" authorId="0" shapeId="0" xr:uid="{00000000-0006-0000-0F00-00002F000000}">
      <text>
        <r>
          <rPr>
            <b/>
            <sz val="12"/>
            <color indexed="81"/>
            <rFont val="Tahoma"/>
            <family val="2"/>
          </rPr>
          <t>Detalle la cantidad de recursos invertidos del fondo de recursos de Destinación Especifica (Recursos Municipales, Nacionales o Departamentales con inversión de destinación especifica)</t>
        </r>
      </text>
    </comment>
    <comment ref="DZ3" authorId="0" shapeId="0" xr:uid="{00000000-0006-0000-0F00-000030000000}">
      <text>
        <r>
          <rPr>
            <b/>
            <sz val="12"/>
            <color indexed="81"/>
            <rFont val="Tahoma"/>
            <family val="2"/>
          </rPr>
          <t>Detalle el número de personas atendidas en cada acción.</t>
        </r>
      </text>
    </comment>
    <comment ref="EA3" authorId="0" shapeId="0" xr:uid="{00000000-0006-0000-0F00-000031000000}">
      <text>
        <r>
          <rPr>
            <b/>
            <sz val="12"/>
            <color indexed="81"/>
            <rFont val="Tahoma"/>
            <family val="2"/>
          </rPr>
          <t>Según el total de personas atendidas descrimine los valores según su genero.</t>
        </r>
      </text>
    </comment>
    <comment ref="EC3" authorId="0" shapeId="0" xr:uid="{00000000-0006-0000-0F00-000032000000}">
      <text>
        <r>
          <rPr>
            <b/>
            <sz val="12"/>
            <color indexed="81"/>
            <rFont val="Tahoma"/>
            <family val="2"/>
          </rPr>
          <t>Según el total de personas atendidas descrimine los valores según su zona.</t>
        </r>
      </text>
    </comment>
    <comment ref="EE3" authorId="0" shapeId="0" xr:uid="{00000000-0006-0000-0F00-000033000000}">
      <text>
        <r>
          <rPr>
            <b/>
            <sz val="12"/>
            <color indexed="81"/>
            <rFont val="Tahoma"/>
            <family val="2"/>
          </rPr>
          <t>Según el total de personas atendidas descrimine los valores según ciclos de edad.</t>
        </r>
      </text>
    </comment>
    <comment ref="EL3" authorId="0" shapeId="0" xr:uid="{00000000-0006-0000-0F00-000034000000}">
      <text>
        <r>
          <rPr>
            <b/>
            <sz val="12"/>
            <color indexed="81"/>
            <rFont val="Tahoma"/>
            <family val="2"/>
          </rPr>
          <t>Según el total de personas atendidas descrimine los valores según su condición.</t>
        </r>
      </text>
    </comment>
    <comment ref="ET3" authorId="0" shapeId="0" xr:uid="{00000000-0006-0000-0F00-000035000000}">
      <text>
        <r>
          <rPr>
            <b/>
            <sz val="12"/>
            <color indexed="81"/>
            <rFont val="Tahoma"/>
            <family val="2"/>
          </rPr>
          <t>Según el total de personas atendidas descrimine los valores según su etnia.</t>
        </r>
      </text>
    </comment>
    <comment ref="EZ3" authorId="0" shapeId="0" xr:uid="{00000000-0006-0000-0F00-000036000000}">
      <text>
        <r>
          <rPr>
            <b/>
            <sz val="12"/>
            <color indexed="81"/>
            <rFont val="Tahoma"/>
            <family val="2"/>
          </rPr>
          <t>En el caso que la acción este dirigida a una organización,  diligenciar el tipo de organización beneficiada.</t>
        </r>
      </text>
    </comment>
    <comment ref="FA3" authorId="0" shapeId="0" xr:uid="{00000000-0006-0000-0F00-000037000000}">
      <text>
        <r>
          <rPr>
            <b/>
            <sz val="12"/>
            <color indexed="81"/>
            <rFont val="Tahoma"/>
            <family val="2"/>
          </rPr>
          <t>Describir el objeto principal de la institución u organización beneficiada.</t>
        </r>
      </text>
    </comment>
    <comment ref="FE3" authorId="0" shapeId="0" xr:uid="{00000000-0006-0000-0F00-000038000000}">
      <text>
        <r>
          <rPr>
            <b/>
            <sz val="12"/>
            <color indexed="81"/>
            <rFont val="Tahoma"/>
            <family val="2"/>
          </rPr>
          <t xml:space="preserve">Diligenciar si son: 
30 Caninos 
100 Arboles plantados  
2 cuencas recuperadas etc
</t>
        </r>
      </text>
    </comment>
    <comment ref="FF3" authorId="0" shapeId="0" xr:uid="{00000000-0006-0000-0F00-000039000000}">
      <text>
        <r>
          <rPr>
            <b/>
            <sz val="12"/>
            <color indexed="81"/>
            <rFont val="Tahoma"/>
            <family val="2"/>
          </rPr>
          <t>Marcar con una X el tipo de recurso que se beneficio según la acción.</t>
        </r>
      </text>
    </comment>
    <comment ref="BL4" authorId="0" shapeId="0" xr:uid="{00000000-0006-0000-0F00-00003A000000}">
      <text>
        <r>
          <rPr>
            <b/>
            <sz val="12"/>
            <color indexed="81"/>
            <rFont val="Tahoma"/>
            <family val="2"/>
          </rPr>
          <t>Zona de ubicación de la Institución u Organización.</t>
        </r>
      </text>
    </comment>
    <comment ref="BM4" authorId="0" shapeId="0" xr:uid="{00000000-0006-0000-0F00-00003B000000}">
      <text>
        <r>
          <rPr>
            <b/>
            <sz val="12"/>
            <color indexed="81"/>
            <rFont val="Tahoma"/>
            <family val="2"/>
          </rPr>
          <t>Zona de ubicación de la Institución u Organización.</t>
        </r>
      </text>
    </comment>
    <comment ref="BR4" authorId="0" shapeId="0" xr:uid="{00000000-0006-0000-0F00-00003C000000}">
      <text>
        <r>
          <rPr>
            <b/>
            <sz val="9"/>
            <color indexed="81"/>
            <rFont val="Tahoma"/>
            <family val="2"/>
          </rPr>
          <t>Zona de ubicación del Recurso Ecosistémico.</t>
        </r>
      </text>
    </comment>
    <comment ref="DH4" authorId="0" shapeId="0" xr:uid="{00000000-0006-0000-0F00-00003D000000}">
      <text>
        <r>
          <rPr>
            <b/>
            <sz val="12"/>
            <color indexed="81"/>
            <rFont val="Tahoma"/>
            <family val="2"/>
          </rPr>
          <t>Zona de ubicación de la Institución u Organización.</t>
        </r>
      </text>
    </comment>
    <comment ref="DI4" authorId="0" shapeId="0" xr:uid="{00000000-0006-0000-0F00-00003E000000}">
      <text>
        <r>
          <rPr>
            <b/>
            <sz val="12"/>
            <color indexed="81"/>
            <rFont val="Tahoma"/>
            <family val="2"/>
          </rPr>
          <t>Zona de ubicación de la Institución u Organización.</t>
        </r>
      </text>
    </comment>
    <comment ref="DN4" authorId="0" shapeId="0" xr:uid="{00000000-0006-0000-0F00-00003F000000}">
      <text>
        <r>
          <rPr>
            <b/>
            <sz val="9"/>
            <color indexed="81"/>
            <rFont val="Tahoma"/>
            <family val="2"/>
          </rPr>
          <t>Zona de ubicación del Recurso Ecosistémico.</t>
        </r>
      </text>
    </comment>
    <comment ref="FC4" authorId="0" shapeId="0" xr:uid="{00000000-0006-0000-0F00-000040000000}">
      <text>
        <r>
          <rPr>
            <b/>
            <sz val="12"/>
            <color indexed="81"/>
            <rFont val="Tahoma"/>
            <family val="2"/>
          </rPr>
          <t>Zona de ubicación de la Institución u Organización.</t>
        </r>
      </text>
    </comment>
    <comment ref="FD4" authorId="0" shapeId="0" xr:uid="{00000000-0006-0000-0F00-000041000000}">
      <text>
        <r>
          <rPr>
            <b/>
            <sz val="12"/>
            <color indexed="81"/>
            <rFont val="Tahoma"/>
            <family val="2"/>
          </rPr>
          <t>Zona de ubicación de la Institución u Organización.</t>
        </r>
      </text>
    </comment>
    <comment ref="FI4" authorId="0" shapeId="0" xr:uid="{00000000-0006-0000-0F00-000042000000}">
      <text>
        <r>
          <rPr>
            <b/>
            <sz val="9"/>
            <color indexed="81"/>
            <rFont val="Tahoma"/>
            <family val="2"/>
          </rPr>
          <t>Zona de ubicación del Recurso Ecosistémico.</t>
        </r>
      </text>
    </comment>
    <comment ref="AA5" authorId="1" shapeId="0" xr:uid="{00000000-0006-0000-0F00-000043000000}">
      <text>
        <r>
          <rPr>
            <b/>
            <sz val="9"/>
            <color indexed="81"/>
            <rFont val="Tahoma"/>
            <family val="2"/>
          </rPr>
          <t>reportan 5 se deja al 100%</t>
        </r>
      </text>
    </comment>
    <comment ref="AB5" authorId="2" shapeId="0" xr:uid="{00000000-0006-0000-0F00-000044000000}">
      <text>
        <r>
          <rPr>
            <sz val="11"/>
            <color rgb="FF000000"/>
            <rFont val="Calibri"/>
            <family val="2"/>
          </rPr>
          <t>dividir las acciones por asentamientos.
	-Danny Steven Rodriguez Maya</t>
        </r>
      </text>
    </comment>
    <comment ref="AC5" authorId="2" shapeId="0" xr:uid="{00000000-0006-0000-0F00-000045000000}">
      <text>
        <r>
          <rPr>
            <sz val="11"/>
            <color rgb="FF000000"/>
            <rFont val="Calibri"/>
            <family val="2"/>
          </rPr>
          <t>.Faltan definir las evidencias
	-Danny Steven Rodriguez Maya</t>
        </r>
      </text>
    </comment>
    <comment ref="AA8" authorId="1" shapeId="0" xr:uid="{00000000-0006-0000-0F00-000046000000}">
      <text>
        <r>
          <rPr>
            <b/>
            <sz val="9"/>
            <color indexed="81"/>
            <rFont val="Tahoma"/>
            <family val="2"/>
          </rPr>
          <t>Se recomienda dejar en NA y programarla de manera posterior</t>
        </r>
      </text>
    </comment>
    <comment ref="AD8" authorId="2" shapeId="0" xr:uid="{00000000-0006-0000-0F00-000047000000}">
      <text>
        <r>
          <rPr>
            <sz val="11"/>
            <color rgb="FF000000"/>
            <rFont val="Calibri"/>
            <family val="2"/>
          </rPr>
          <t>escribir las razones por las cuales no se desarrollaron los juegos
	-Danny Steven Rodriguez Maya</t>
        </r>
      </text>
    </comment>
    <comment ref="AA19" authorId="1" shapeId="0" xr:uid="{00000000-0006-0000-0F00-000048000000}">
      <text>
        <r>
          <rPr>
            <b/>
            <sz val="9"/>
            <color indexed="81"/>
            <rFont val="Tahoma"/>
            <family val="2"/>
          </rPr>
          <t>reportan 5 y dado que le meta 2022 es 9 se deja al 100%</t>
        </r>
        <r>
          <rPr>
            <sz val="9"/>
            <color indexed="81"/>
            <rFont val="Tahoma"/>
            <family val="2"/>
          </rPr>
          <t xml:space="preserve">
</t>
        </r>
      </text>
    </comment>
    <comment ref="AA20" authorId="1" shapeId="0" xr:uid="{00000000-0006-0000-0F00-000049000000}">
      <text>
        <r>
          <rPr>
            <b/>
            <sz val="9"/>
            <color indexed="81"/>
            <rFont val="Tahoma"/>
            <family val="2"/>
          </rPr>
          <t>reporte en blanco pero la descripcion de actividades refleja cumplimeinto del 100%</t>
        </r>
      </text>
    </comment>
    <comment ref="AA22" authorId="1" shapeId="0" xr:uid="{00000000-0006-0000-0F00-00004A000000}">
      <text>
        <r>
          <rPr>
            <b/>
            <sz val="9"/>
            <color indexed="81"/>
            <rFont val="Tahoma"/>
            <family val="2"/>
          </rPr>
          <t>Se propone dejaro,como meta a 2019</t>
        </r>
      </text>
    </comment>
    <comment ref="AA24" authorId="1" shapeId="0" xr:uid="{00000000-0006-0000-0F00-00004B000000}">
      <text>
        <r>
          <rPr>
            <b/>
            <sz val="9"/>
            <color indexed="81"/>
            <rFont val="Tahoma"/>
            <family val="2"/>
          </rPr>
          <t>Se propone dejaro,como meta a 2019</t>
        </r>
      </text>
    </comment>
    <comment ref="AA27" authorId="1" shapeId="0" xr:uid="{00000000-0006-0000-0F00-00004C000000}">
      <text>
        <r>
          <rPr>
            <b/>
            <sz val="9"/>
            <color indexed="81"/>
            <rFont val="Tahoma"/>
            <family val="2"/>
          </rPr>
          <t>reporte en blanco pero la descripcion de actividades refleja cumplimeinto del 100%</t>
        </r>
      </text>
    </comment>
    <comment ref="AA30" authorId="1" shapeId="0" xr:uid="{00000000-0006-0000-0F00-00004D000000}">
      <text>
        <r>
          <rPr>
            <b/>
            <sz val="9"/>
            <color indexed="81"/>
            <rFont val="Tahoma"/>
            <family val="2"/>
          </rPr>
          <t>lo reportan en blanco pero incersión laboral e impulso al empendimiento se  viene apoyando desde la Admsiniración actual
Se deja en 80%</t>
        </r>
      </text>
    </comment>
    <comment ref="AA33" authorId="1" shapeId="0" xr:uid="{00000000-0006-0000-0F00-00004E000000}">
      <text>
        <r>
          <rPr>
            <b/>
            <sz val="9"/>
            <color indexed="81"/>
            <rFont val="Tahoma"/>
            <family val="2"/>
          </rPr>
          <t>Se propone dejarlo para 2019 y vincularlo al programa compra pereira</t>
        </r>
      </text>
    </comment>
    <comment ref="AA35" authorId="1" shapeId="0" xr:uid="{00000000-0006-0000-0F00-00004F000000}">
      <text>
        <r>
          <rPr>
            <b/>
            <sz val="9"/>
            <color indexed="81"/>
            <rFont val="Tahoma"/>
            <family val="2"/>
          </rPr>
          <t>reportan en blanco pero se han realizado asesorías</t>
        </r>
      </text>
    </comment>
    <comment ref="AA40" authorId="1" shapeId="0" xr:uid="{00000000-0006-0000-0F00-000050000000}">
      <text>
        <r>
          <rPr>
            <b/>
            <sz val="9"/>
            <color indexed="81"/>
            <rFont val="Tahoma"/>
            <family val="2"/>
          </rPr>
          <t>Se propone dejaro,como meta a 2019</t>
        </r>
      </text>
    </comment>
    <comment ref="AA41" authorId="1" shapeId="0" xr:uid="{00000000-0006-0000-0F00-000051000000}">
      <text>
        <r>
          <rPr>
            <b/>
            <sz val="9"/>
            <color indexed="81"/>
            <rFont val="Tahoma"/>
            <family val="2"/>
          </rPr>
          <t>Reportaron 1 y dada la descripción de las actividades se reporta 100%</t>
        </r>
      </text>
    </comment>
    <comment ref="AA42" authorId="1" shapeId="0" xr:uid="{00000000-0006-0000-0F00-000052000000}">
      <text>
        <r>
          <rPr>
            <b/>
            <sz val="9"/>
            <color indexed="81"/>
            <rFont val="Tahoma"/>
            <family val="2"/>
          </rPr>
          <t>Reportaron 1 y dada la descripción de las actividades se reporta 100%</t>
        </r>
      </text>
    </comment>
    <comment ref="AA45" authorId="1" shapeId="0" xr:uid="{00000000-0006-0000-0F00-000053000000}">
      <text>
        <r>
          <rPr>
            <b/>
            <sz val="9"/>
            <color indexed="81"/>
            <rFont val="Tahoma"/>
            <family val="2"/>
          </rPr>
          <t>Reportaron 1 y dada la descripción de las actividades se reporta 100%</t>
        </r>
      </text>
    </comment>
    <comment ref="AA47" authorId="1" shapeId="0" xr:uid="{00000000-0006-0000-0F00-000054000000}">
      <text>
        <r>
          <rPr>
            <b/>
            <sz val="9"/>
            <color indexed="81"/>
            <rFont val="Tahoma"/>
            <family val="2"/>
          </rPr>
          <t>Reportaron 1 y dada la descripción de las actividades se reporta 100%</t>
        </r>
      </text>
    </comment>
    <comment ref="AA52" authorId="1" shapeId="0" xr:uid="{00000000-0006-0000-0F00-000055000000}">
      <text>
        <r>
          <rPr>
            <b/>
            <sz val="9"/>
            <color indexed="81"/>
            <rFont val="Tahoma"/>
            <family val="2"/>
          </rPr>
          <t>Reportaron 1 y dada la descripción de las actividades se reporta 100%</t>
        </r>
      </text>
    </comment>
    <comment ref="AA54" authorId="1" shapeId="0" xr:uid="{00000000-0006-0000-0F00-000056000000}">
      <text>
        <r>
          <rPr>
            <b/>
            <sz val="9"/>
            <color indexed="81"/>
            <rFont val="Tahoma"/>
            <family val="2"/>
          </rPr>
          <t>Reportaron 1 y dada la descripción de las actividades se reporta 100%</t>
        </r>
      </text>
    </comment>
    <comment ref="AA55" authorId="1" shapeId="0" xr:uid="{00000000-0006-0000-0F00-000057000000}">
      <text>
        <r>
          <rPr>
            <b/>
            <sz val="9"/>
            <color indexed="81"/>
            <rFont val="Tahoma"/>
            <family val="2"/>
          </rPr>
          <t>Reportaron 1 y dada la descripción de las actividades se reporta 100%</t>
        </r>
      </text>
    </comment>
    <comment ref="AA58" authorId="1" shapeId="0" xr:uid="{00000000-0006-0000-0F00-000058000000}">
      <text>
        <r>
          <rPr>
            <b/>
            <sz val="9"/>
            <color indexed="81"/>
            <rFont val="Tahoma"/>
            <family val="2"/>
          </rPr>
          <t>Reportaron 1 y dada la descripción de las actividades se reporta 100%</t>
        </r>
      </text>
    </comment>
    <comment ref="AA62" authorId="1" shapeId="0" xr:uid="{00000000-0006-0000-0F00-000059000000}">
      <text>
        <r>
          <rPr>
            <b/>
            <sz val="9"/>
            <color indexed="81"/>
            <rFont val="Tahoma"/>
            <family val="2"/>
          </rPr>
          <t>Reportaron 1 y dada la descripción de las actividades se reporta 100%</t>
        </r>
      </text>
    </comment>
    <comment ref="AA69" authorId="1" shapeId="0" xr:uid="{00000000-0006-0000-0F00-00005A000000}">
      <text>
        <r>
          <rPr>
            <b/>
            <sz val="9"/>
            <color indexed="81"/>
            <rFont val="Tahoma"/>
            <family val="2"/>
          </rPr>
          <t>Reportaron 3 y dada la descripción de las actividades se reporta 100%</t>
        </r>
      </text>
    </comment>
    <comment ref="AA75" authorId="1" shapeId="0" xr:uid="{00000000-0006-0000-0F00-00005B000000}">
      <text>
        <r>
          <rPr>
            <b/>
            <sz val="12"/>
            <color indexed="81"/>
            <rFont val="Tahoma"/>
            <family val="2"/>
          </rPr>
          <t>322 
ESTUDIANTES INDIGENAS CON BONOS DE ALIMENTACION ESCOLAR
93
ESTUDIANTES INDIGENAS  CON BONOS DE TRANSPORTE</t>
        </r>
      </text>
    </comment>
    <comment ref="AA79" authorId="1" shapeId="0" xr:uid="{00000000-0006-0000-0F00-00005C000000}">
      <text>
        <r>
          <rPr>
            <b/>
            <sz val="12"/>
            <color indexed="81"/>
            <rFont val="Tahoma"/>
            <family val="2"/>
          </rPr>
          <t>17 estudiantes indigenas beneficiados.</t>
        </r>
      </text>
    </comment>
    <comment ref="AA81" authorId="1" shapeId="0" xr:uid="{00000000-0006-0000-0F00-00005D000000}">
      <text>
        <r>
          <rPr>
            <b/>
            <sz val="12"/>
            <color indexed="81"/>
            <rFont val="Tahoma"/>
            <family val="2"/>
          </rPr>
          <t>Reportan 300 
Docentes Capacitados. Se toma de decisión de dejarla en 100%</t>
        </r>
      </text>
    </comment>
    <comment ref="AA84" authorId="1" shapeId="0" xr:uid="{00000000-0006-0000-0F00-00005E000000}">
      <text>
        <r>
          <rPr>
            <b/>
            <sz val="9"/>
            <color indexed="81"/>
            <rFont val="Tahoma"/>
            <family val="2"/>
          </rPr>
          <t>reportaron 12194155</t>
        </r>
        <r>
          <rPr>
            <sz val="9"/>
            <color indexed="81"/>
            <rFont val="Tahoma"/>
            <family val="2"/>
          </rPr>
          <t xml:space="preserve">
</t>
        </r>
      </text>
    </comment>
    <comment ref="AA85" authorId="1" shapeId="0" xr:uid="{00000000-0006-0000-0F00-00005F000000}">
      <text>
        <r>
          <rPr>
            <b/>
            <sz val="9"/>
            <color indexed="81"/>
            <rFont val="Tahoma"/>
            <family val="2"/>
          </rPr>
          <t>reportaron: 29300000</t>
        </r>
      </text>
    </comment>
    <comment ref="AA87" authorId="1" shapeId="0" xr:uid="{00000000-0006-0000-0F00-000060000000}">
      <text>
        <r>
          <rPr>
            <b/>
            <sz val="9"/>
            <color indexed="81"/>
            <rFont val="Tahoma"/>
            <family val="2"/>
          </rPr>
          <t>repotaron 5400000</t>
        </r>
        <r>
          <rPr>
            <sz val="9"/>
            <color indexed="81"/>
            <rFont val="Tahoma"/>
            <family val="2"/>
          </rPr>
          <t xml:space="preserve">
</t>
        </r>
      </text>
    </comment>
    <comment ref="AA88" authorId="1" shapeId="0" xr:uid="{00000000-0006-0000-0F00-000061000000}">
      <text>
        <r>
          <rPr>
            <b/>
            <sz val="9"/>
            <color indexed="81"/>
            <rFont val="Tahoma"/>
            <family val="2"/>
          </rPr>
          <t>reportaron 900000</t>
        </r>
        <r>
          <rPr>
            <sz val="9"/>
            <color indexed="81"/>
            <rFont val="Tahoma"/>
            <family val="2"/>
          </rPr>
          <t xml:space="preserve">
dadas las actividades y que la meta de politica va a 2022 se deja al 50%</t>
        </r>
      </text>
    </comment>
    <comment ref="AA89" authorId="1" shapeId="0" xr:uid="{00000000-0006-0000-0F00-000062000000}">
      <text>
        <r>
          <rPr>
            <b/>
            <sz val="9"/>
            <color indexed="81"/>
            <rFont val="Tahoma"/>
            <family val="2"/>
          </rPr>
          <t>reportan NA Se realizo consulta al ministerio</t>
        </r>
      </text>
    </comment>
    <comment ref="AA91" authorId="1" shapeId="0" xr:uid="{00000000-0006-0000-0F00-000063000000}">
      <text>
        <r>
          <rPr>
            <b/>
            <sz val="9"/>
            <color indexed="81"/>
            <rFont val="Tahoma"/>
            <family val="2"/>
          </rPr>
          <t>Se deja NA dada la observacion y la meta es a 2022</t>
        </r>
      </text>
    </comment>
    <comment ref="AA94" authorId="1" shapeId="0" xr:uid="{00000000-0006-0000-0F00-000064000000}">
      <text>
        <r>
          <rPr>
            <b/>
            <sz val="9"/>
            <color indexed="81"/>
            <rFont val="Tahoma"/>
            <family val="2"/>
          </rPr>
          <t>reportan 3 dejando ejecución al 100%</t>
        </r>
      </text>
    </comment>
    <comment ref="AE94" authorId="3" shapeId="0" xr:uid="{00000000-0006-0000-0F00-000065000000}">
      <text>
        <r>
          <rPr>
            <b/>
            <sz val="9"/>
            <color indexed="81"/>
            <rFont val="Tahoma"/>
            <family val="2"/>
          </rPr>
          <t>LUISA:</t>
        </r>
        <r>
          <rPr>
            <sz val="9"/>
            <color indexed="81"/>
            <rFont val="Tahoma"/>
            <family val="2"/>
          </rPr>
          <t xml:space="preserve">
20 Mil cada persona, entre tamizaje y educación.
</t>
        </r>
      </text>
    </comment>
    <comment ref="AA97" authorId="1" shapeId="0" xr:uid="{00000000-0006-0000-0F00-000066000000}">
      <text>
        <r>
          <rPr>
            <b/>
            <sz val="9"/>
            <color indexed="81"/>
            <rFont val="Tahoma"/>
            <family val="2"/>
          </rPr>
          <t>reportan NA Se realizo consulta al ministerio</t>
        </r>
      </text>
    </comment>
    <comment ref="AA100" authorId="1" shapeId="0" xr:uid="{00000000-0006-0000-0F00-000067000000}">
      <text>
        <r>
          <rPr>
            <b/>
            <sz val="9"/>
            <color indexed="81"/>
            <rFont val="Tahoma"/>
            <family val="2"/>
          </rPr>
          <t>reportan 2 dejando ejecución al 100%</t>
        </r>
      </text>
    </comment>
    <comment ref="AA101" authorId="1" shapeId="0" xr:uid="{00000000-0006-0000-0F00-000068000000}">
      <text>
        <r>
          <rPr>
            <b/>
            <sz val="9"/>
            <color indexed="81"/>
            <rFont val="Tahoma"/>
            <family val="2"/>
          </rPr>
          <t>reportan 1 dejando ejecución al 100%</t>
        </r>
      </text>
    </comment>
    <comment ref="AA103" authorId="1" shapeId="0" xr:uid="{00000000-0006-0000-0F00-000069000000}">
      <text>
        <r>
          <rPr>
            <b/>
            <sz val="9"/>
            <color indexed="81"/>
            <rFont val="Tahoma"/>
            <family val="2"/>
          </rPr>
          <t>reportan NA de acuerdo a la respuesta del ministerio se define esta actividad</t>
        </r>
        <r>
          <rPr>
            <sz val="9"/>
            <color indexed="81"/>
            <rFont val="Tahoma"/>
            <family val="2"/>
          </rPr>
          <t xml:space="preserve">
</t>
        </r>
      </text>
    </comment>
    <comment ref="AA106" authorId="1" shapeId="0" xr:uid="{00000000-0006-0000-0F00-00006A000000}">
      <text>
        <r>
          <rPr>
            <b/>
            <sz val="9"/>
            <color indexed="81"/>
            <rFont val="Tahoma"/>
            <family val="2"/>
          </rPr>
          <t xml:space="preserve">reportan NA acciones respuestas para el minsiterio y comité </t>
        </r>
      </text>
    </comment>
    <comment ref="AA109" authorId="1" shapeId="0" xr:uid="{00000000-0006-0000-0F00-00006B000000}">
      <text>
        <r>
          <rPr>
            <b/>
            <sz val="9"/>
            <color indexed="81"/>
            <rFont val="Tahoma"/>
            <family val="2"/>
          </rPr>
          <t>NA de acuerdo a la respuesta del ministerio se define esta actividad</t>
        </r>
      </text>
    </comment>
    <comment ref="AA111" authorId="1" shapeId="0" xr:uid="{00000000-0006-0000-0F00-00006C000000}">
      <text>
        <r>
          <rPr>
            <b/>
            <sz val="9"/>
            <color indexed="81"/>
            <rFont val="Tahoma"/>
            <family val="2"/>
          </rPr>
          <t>de acuerdo a la respuesta del ministerio se define esta actividad</t>
        </r>
        <r>
          <rPr>
            <sz val="9"/>
            <color indexed="81"/>
            <rFont val="Tahoma"/>
            <family val="2"/>
          </rPr>
          <t xml:space="preserve">
</t>
        </r>
      </text>
    </comment>
    <comment ref="AA113" authorId="1" shapeId="0" xr:uid="{00000000-0006-0000-0F00-00006D000000}">
      <text>
        <r>
          <rPr>
            <b/>
            <sz val="9"/>
            <color indexed="81"/>
            <rFont val="Tahoma"/>
            <family val="2"/>
          </rPr>
          <t>de acuerdo a la respuesta del ministerio se define esta actividad</t>
        </r>
        <r>
          <rPr>
            <sz val="9"/>
            <color indexed="81"/>
            <rFont val="Tahoma"/>
            <family val="2"/>
          </rPr>
          <t xml:space="preserve">
</t>
        </r>
      </text>
    </comment>
    <comment ref="AA114" authorId="1" shapeId="0" xr:uid="{00000000-0006-0000-0F00-00006E000000}">
      <text>
        <r>
          <rPr>
            <b/>
            <sz val="9"/>
            <color indexed="81"/>
            <rFont val="Tahoma"/>
            <family val="2"/>
          </rPr>
          <t>reportan 2 dejando ejecución al 100%</t>
        </r>
      </text>
    </comment>
    <comment ref="AE114" authorId="3" shapeId="0" xr:uid="{00000000-0006-0000-0F00-00006F000000}">
      <text>
        <r>
          <rPr>
            <b/>
            <sz val="9"/>
            <color indexed="81"/>
            <rFont val="Tahoma"/>
            <family val="2"/>
          </rPr>
          <t>LUISA:</t>
        </r>
        <r>
          <rPr>
            <sz val="9"/>
            <color indexed="81"/>
            <rFont val="Tahoma"/>
            <family val="2"/>
          </rPr>
          <t xml:space="preserve">
Caracterizacion inicial 2.318.000 (38 mil por cada familia, en este caso son  61 Familias).    18 mil por visita educativa. 108.000 (18x61)</t>
        </r>
      </text>
    </comment>
    <comment ref="AG114" authorId="3" shapeId="0" xr:uid="{00000000-0006-0000-0F00-000070000000}">
      <text>
        <r>
          <rPr>
            <b/>
            <sz val="9"/>
            <color indexed="81"/>
            <rFont val="Tahoma"/>
            <family val="2"/>
          </rPr>
          <t>LUISA:</t>
        </r>
        <r>
          <rPr>
            <sz val="9"/>
            <color indexed="81"/>
            <rFont val="Tahoma"/>
            <family val="2"/>
          </rPr>
          <t xml:space="preserve">
Caracterizacion inicial 2.318.000 (38 mil por cada familia, en este caso son  61 Familias).    18 mil por visita educativa. 108.000 (18x61)</t>
        </r>
      </text>
    </comment>
    <comment ref="AA115" authorId="1" shapeId="0" xr:uid="{00000000-0006-0000-0F00-000071000000}">
      <text>
        <r>
          <rPr>
            <b/>
            <sz val="9"/>
            <color indexed="81"/>
            <rFont val="Tahoma"/>
            <family val="2"/>
          </rPr>
          <t>reportan 2 dejando ejecución al 100%</t>
        </r>
      </text>
    </comment>
    <comment ref="AE115" authorId="3" shapeId="0" xr:uid="{00000000-0006-0000-0F00-000072000000}">
      <text>
        <r>
          <rPr>
            <b/>
            <sz val="9"/>
            <color indexed="81"/>
            <rFont val="Tahoma"/>
            <family val="2"/>
          </rPr>
          <t>LUISA:</t>
        </r>
        <r>
          <rPr>
            <sz val="9"/>
            <color indexed="81"/>
            <rFont val="Tahoma"/>
            <family val="2"/>
          </rPr>
          <t xml:space="preserve">
20 mil por persona (18.320.000)</t>
        </r>
      </text>
    </comment>
    <comment ref="AG115" authorId="3" shapeId="0" xr:uid="{00000000-0006-0000-0F00-000073000000}">
      <text>
        <r>
          <rPr>
            <b/>
            <sz val="9"/>
            <color indexed="81"/>
            <rFont val="Tahoma"/>
            <family val="2"/>
          </rPr>
          <t>LUISA:</t>
        </r>
        <r>
          <rPr>
            <sz val="9"/>
            <color indexed="81"/>
            <rFont val="Tahoma"/>
            <family val="2"/>
          </rPr>
          <t xml:space="preserve">
20 mil por persona (18.320.000)</t>
        </r>
      </text>
    </comment>
    <comment ref="AA117" authorId="1" shapeId="0" xr:uid="{00000000-0006-0000-0F00-000074000000}">
      <text>
        <r>
          <rPr>
            <b/>
            <sz val="9"/>
            <color indexed="81"/>
            <rFont val="Tahoma"/>
            <family val="2"/>
          </rPr>
          <t>reportan 7 dejando ejecución al 100%</t>
        </r>
      </text>
    </comment>
    <comment ref="AA119" authorId="1" shapeId="0" xr:uid="{00000000-0006-0000-0F00-000075000000}">
      <text>
        <r>
          <rPr>
            <b/>
            <sz val="9"/>
            <color indexed="81"/>
            <rFont val="Tahoma"/>
            <family val="2"/>
          </rPr>
          <t xml:space="preserve">NA se propone estudio de factibilidad </t>
        </r>
        <r>
          <rPr>
            <sz val="9"/>
            <color indexed="81"/>
            <rFont val="Tahoma"/>
            <family val="2"/>
          </rPr>
          <t xml:space="preserve">
</t>
        </r>
      </text>
    </comment>
    <comment ref="AA121" authorId="1" shapeId="0" xr:uid="{00000000-0006-0000-0F00-000076000000}">
      <text>
        <r>
          <rPr>
            <b/>
            <sz val="9"/>
            <color indexed="81"/>
            <rFont val="Tahoma"/>
            <family val="2"/>
          </rPr>
          <t xml:space="preserve">Reporta  1388 dejando ejecución al 100% </t>
        </r>
        <r>
          <rPr>
            <sz val="9"/>
            <color indexed="81"/>
            <rFont val="Tahoma"/>
            <family val="2"/>
          </rPr>
          <t xml:space="preserve">
</t>
        </r>
      </text>
    </comment>
    <comment ref="AA123" authorId="1" shapeId="0" xr:uid="{00000000-0006-0000-0F00-000077000000}">
      <text>
        <r>
          <rPr>
            <b/>
            <sz val="9"/>
            <color indexed="81"/>
            <rFont val="Tahoma"/>
            <family val="2"/>
          </rPr>
          <t xml:space="preserve">Reporta  807dejando ejecución al 100% </t>
        </r>
        <r>
          <rPr>
            <sz val="9"/>
            <color indexed="81"/>
            <rFont val="Tahoma"/>
            <family val="2"/>
          </rPr>
          <t xml:space="preserve">
</t>
        </r>
      </text>
    </comment>
    <comment ref="AA125" authorId="1" shapeId="0" xr:uid="{00000000-0006-0000-0F00-000078000000}">
      <text>
        <r>
          <rPr>
            <b/>
            <sz val="9"/>
            <color indexed="81"/>
            <rFont val="Tahoma"/>
            <family val="2"/>
          </rPr>
          <t>reportan 6 gestantes captadas para ingreso a control prenatal de calidad, quedando ejecución al 100%</t>
        </r>
        <r>
          <rPr>
            <sz val="9"/>
            <color indexed="81"/>
            <rFont val="Tahoma"/>
            <family val="2"/>
          </rPr>
          <t xml:space="preserve">
</t>
        </r>
      </text>
    </comment>
    <comment ref="AA127" authorId="1" shapeId="0" xr:uid="{00000000-0006-0000-0F00-000079000000}">
      <text>
        <r>
          <rPr>
            <b/>
            <sz val="9"/>
            <color indexed="81"/>
            <rFont val="Tahoma"/>
            <family val="2"/>
          </rPr>
          <t xml:space="preserve">Reporta  2 dejando ejecución al 100% </t>
        </r>
        <r>
          <rPr>
            <sz val="9"/>
            <color indexed="81"/>
            <rFont val="Tahoma"/>
            <family val="2"/>
          </rPr>
          <t xml:space="preserve">
</t>
        </r>
      </text>
    </comment>
    <comment ref="AA131" authorId="1" shapeId="0" xr:uid="{00000000-0006-0000-0F00-00007A000000}">
      <text>
        <r>
          <rPr>
            <b/>
            <sz val="9"/>
            <color indexed="81"/>
            <rFont val="Tahoma"/>
            <family val="2"/>
          </rPr>
          <t>NA: La promoción de estilos de vida saludables con comunidad indígena, se aborda desde las estrategias Escuelas y Colegios Saludables, Salud Nutricional y estrategia Casa Sana</t>
        </r>
      </text>
    </comment>
    <comment ref="AA132" authorId="1" shapeId="0" xr:uid="{00000000-0006-0000-0F00-00007B000000}">
      <text>
        <r>
          <rPr>
            <b/>
            <sz val="9"/>
            <color indexed="81"/>
            <rFont val="Tahoma"/>
            <family val="2"/>
          </rPr>
          <t>dada las acciones se deja al a100%</t>
        </r>
      </text>
    </comment>
    <comment ref="AA134" authorId="1" shapeId="0" xr:uid="{00000000-0006-0000-0F00-00007C000000}">
      <text>
        <r>
          <rPr>
            <b/>
            <sz val="9"/>
            <color indexed="81"/>
            <rFont val="Tahoma"/>
            <family val="2"/>
          </rPr>
          <t>dada las acciones se deja al a100%</t>
        </r>
      </text>
    </comment>
    <comment ref="AA136" authorId="1" shapeId="0" xr:uid="{00000000-0006-0000-0F00-00007D000000}">
      <text>
        <r>
          <rPr>
            <b/>
            <sz val="9"/>
            <color indexed="81"/>
            <rFont val="Tahoma"/>
            <family val="2"/>
          </rPr>
          <t>No se programo nada para 2018 dada la característica de la meta y la explicación de actividades reaizadas</t>
        </r>
      </text>
    </comment>
    <comment ref="AA141" authorId="1" shapeId="0" xr:uid="{00000000-0006-0000-0F00-00007E000000}">
      <text>
        <r>
          <rPr>
            <b/>
            <sz val="9"/>
            <color indexed="81"/>
            <rFont val="Tahoma"/>
            <family val="2"/>
          </rPr>
          <t>dada las evidencias se deja al a100%</t>
        </r>
      </text>
    </comment>
    <comment ref="AA143" authorId="1" shapeId="0" xr:uid="{00000000-0006-0000-0F00-00007F000000}">
      <text>
        <r>
          <rPr>
            <b/>
            <sz val="9"/>
            <color indexed="81"/>
            <rFont val="Tahoma"/>
            <family val="2"/>
          </rPr>
          <t>dada las evidencias se deja al a100%</t>
        </r>
      </text>
    </comment>
    <comment ref="AA148" authorId="1" shapeId="0" xr:uid="{00000000-0006-0000-0F00-000080000000}">
      <text>
        <r>
          <rPr>
            <b/>
            <sz val="9"/>
            <color indexed="81"/>
            <rFont val="Tahoma"/>
            <family val="2"/>
          </rPr>
          <t>dada las evidencias se deja al a100%</t>
        </r>
      </text>
    </comment>
    <comment ref="AA149" authorId="1" shapeId="0" xr:uid="{00000000-0006-0000-0F00-000081000000}">
      <text>
        <r>
          <rPr>
            <b/>
            <sz val="9"/>
            <color indexed="81"/>
            <rFont val="Tahoma"/>
            <family val="2"/>
          </rPr>
          <t>Reportaron 1 y dada la descripción de las actividades se reporta 100%</t>
        </r>
      </text>
    </comment>
    <comment ref="AA152" authorId="1" shapeId="0" xr:uid="{00000000-0006-0000-0F00-000082000000}">
      <text>
        <r>
          <rPr>
            <b/>
            <sz val="9"/>
            <color indexed="81"/>
            <rFont val="Tahoma"/>
            <family val="2"/>
          </rPr>
          <t>Reportaron 1 y dada la descripción de las actividades se reporta 100%</t>
        </r>
      </text>
    </comment>
  </commentList>
</comments>
</file>

<file path=xl/sharedStrings.xml><?xml version="1.0" encoding="utf-8"?>
<sst xmlns="http://schemas.openxmlformats.org/spreadsheetml/2006/main" count="35765" uniqueCount="10642">
  <si>
    <t>INFORME DE SEGUIMIENTO 2018</t>
  </si>
  <si>
    <t>REPORTE EJECUCIÓN DEL 2018</t>
  </si>
  <si>
    <t>DESCRIBA LAS ACTIVIDADES DESARROLLADAS EN EL AÑO 2018</t>
  </si>
  <si>
    <t>EVIDENCIAS 2018</t>
  </si>
  <si>
    <t>OBSERVACIONES</t>
  </si>
  <si>
    <t>MATRIZ DE FOCALIZACIÓN DE RECURSOS ECOSISTÉMICOS</t>
  </si>
  <si>
    <t>TOTAL (PESOS)$</t>
  </si>
  <si>
    <t>PROPIOS</t>
  </si>
  <si>
    <t>S.G.P</t>
  </si>
  <si>
    <t>DESTINACIÓN ESPECIFICA</t>
  </si>
  <si>
    <t xml:space="preserve">TOTAL PERSONAS ATENDIDAS </t>
  </si>
  <si>
    <t>GENERO</t>
  </si>
  <si>
    <t>ZONA</t>
  </si>
  <si>
    <t>CICLOS DE EDAD</t>
  </si>
  <si>
    <t>CONDICIÓN</t>
  </si>
  <si>
    <t>ETNIA</t>
  </si>
  <si>
    <t>TIPO DE INSTITUCIÓN U ORGANIZACIÓN</t>
  </si>
  <si>
    <t>OBJETO DE INSTITUCIÓN U ORGANIZACIÓN</t>
  </si>
  <si>
    <t>NUMERO DE BENEFICIARIOS</t>
  </si>
  <si>
    <t>ZONA DE UBICACIÓN</t>
  </si>
  <si>
    <t>LOCALIZACIÓN</t>
  </si>
  <si>
    <t>TOTAL POBLACION / UNIDAD DE MEDIDAD</t>
  </si>
  <si>
    <t>TIPO DE RECURSO</t>
  </si>
  <si>
    <t>HOMBRES</t>
  </si>
  <si>
    <t>MUJERES</t>
  </si>
  <si>
    <t>URBANO</t>
  </si>
  <si>
    <t>RURAL</t>
  </si>
  <si>
    <t>PRIMERA INFANCIA (0-6)</t>
  </si>
  <si>
    <t>INFANCIA(7-12)</t>
  </si>
  <si>
    <t>ADOLESCENCIA(13-17)</t>
  </si>
  <si>
    <t>JUVENTUD(18-28)</t>
  </si>
  <si>
    <t>ADULTO JOVEN (27-45)</t>
  </si>
  <si>
    <t>ADULTOS (46-64)</t>
  </si>
  <si>
    <t>ADULTO MAYOR (65 Y MÁS)</t>
  </si>
  <si>
    <t>SIN CONDICIÓN</t>
  </si>
  <si>
    <t>DISCAPACIDAD</t>
  </si>
  <si>
    <t>DESPLAZADOS</t>
  </si>
  <si>
    <t>VICTIMA CONF ARMADO INTERNO</t>
  </si>
  <si>
    <t>MUJER CABEZA DE HOGAR</t>
  </si>
  <si>
    <t>DIVERSIDAD SEXUAL</t>
  </si>
  <si>
    <t>HABITANTE DE CALLE</t>
  </si>
  <si>
    <t>MIGRANTE</t>
  </si>
  <si>
    <t>MESTIZO</t>
  </si>
  <si>
    <t>AFROCOLOMBIANO</t>
  </si>
  <si>
    <t>INDÍGENA</t>
  </si>
  <si>
    <t>PALANQUERO</t>
  </si>
  <si>
    <t>RAIZAL</t>
  </si>
  <si>
    <t>ROM</t>
  </si>
  <si>
    <t>BARRIO O VEREDA</t>
  </si>
  <si>
    <t>COMUNA / CORREGIMIENTO</t>
  </si>
  <si>
    <t>RECURSO NATURAL
(X)</t>
  </si>
  <si>
    <t>FAUNA (X)</t>
  </si>
  <si>
    <t>FLORA (X)</t>
  </si>
  <si>
    <t>CATEGORÍA</t>
  </si>
  <si>
    <t>OBJETIVOS DE POLITICA</t>
  </si>
  <si>
    <t>ESTRATEGIA</t>
  </si>
  <si>
    <t>ACCIONES RECOMENDADAS DE LA POLÍTICA</t>
  </si>
  <si>
    <t>INDICADOR DE LA POLÍTICA</t>
  </si>
  <si>
    <t>LÌNEA BASE</t>
  </si>
  <si>
    <t>META DE LA POLÍTICA AL 2012</t>
  </si>
  <si>
    <t>META DE LA POLÍTICA AL 2015</t>
  </si>
  <si>
    <t>META DE LA POLÍTICA AL 2022</t>
  </si>
  <si>
    <t>Medios de verificación</t>
  </si>
  <si>
    <t>Entidad Responsables</t>
  </si>
  <si>
    <t>Entidad de Concurrencia</t>
  </si>
  <si>
    <t>VIVIENDA</t>
  </si>
  <si>
    <t>Proporcionar a la población afrodescendiente de Pereira el acceso a la vivienda digna</t>
  </si>
  <si>
    <t>Inclusión en los planes  de vivienda que desarrolla el municipio de Pereira para la población Afrodescendiente</t>
  </si>
  <si>
    <t>1. Destinar de los planes de vivienda que desarrolle la ciudad de Pereira un porcentaje para la comunidad afro de la ciudad.</t>
  </si>
  <si>
    <t>N° de familias afro que se benefician de los programas de vivienda</t>
  </si>
  <si>
    <t>N.D</t>
  </si>
  <si>
    <t>6% del total de viviendas nuevas</t>
  </si>
  <si>
    <t>12% del total de viviendas nuevas</t>
  </si>
  <si>
    <t>Documentos de adjudicación</t>
  </si>
  <si>
    <t>Secretaría de Vivienda Social</t>
  </si>
  <si>
    <t>2. Realizar la caracterización de la población afro para identificar las necesidades de vivienda nueva y mejoramiento</t>
  </si>
  <si>
    <t>Caracterización realizada</t>
  </si>
  <si>
    <t>1 Actualizada</t>
  </si>
  <si>
    <t>Documento con la caracterización</t>
  </si>
  <si>
    <t>Secretaría de Desarrollo Social</t>
  </si>
  <si>
    <t>Implementar programas de mejoramiento de vivienda para la población afrodescendiente</t>
  </si>
  <si>
    <t>3. Incluir programas de mejoramiento de vivienda con un porcentaje mínimo establecido para la población afrodescendiente</t>
  </si>
  <si>
    <t>Número de familias que se benefician de los programas de mejoramiento de vivienda</t>
  </si>
  <si>
    <t>3% del total de los programas de mejoramiento en vivienda que desarrolle el municipio de Pereira</t>
  </si>
  <si>
    <t>6% del total de los programas de mejoramiento en vivienda que desarrolle el municipio de Pereira</t>
  </si>
  <si>
    <t>12% del total de los programas de mejoramiento en vivienda que desarrolle el municipio de Pereira</t>
  </si>
  <si>
    <t>SALUD</t>
  </si>
  <si>
    <t>Mejorar las condiciones de salud de la población afrodescendiente</t>
  </si>
  <si>
    <t>Realizar un diagnóstico general para identificar la situación de discapacidad,vulnerablidad,, nutrición, mortalidad y enfermedades más frecuentes en la población afrodescendiente</t>
  </si>
  <si>
    <t>1. Promoción de estilos de vida saludables en especial buenos hábitos alimenticios en el marco de la cultura afrodescendiente</t>
  </si>
  <si>
    <t>N° de programas de promoción de la vida saludable desarrollados para la población afro</t>
  </si>
  <si>
    <t>Registro de las actividades de promoción y listados de asistencia</t>
  </si>
  <si>
    <t xml:space="preserve">Secretaría de Salud municipal  </t>
  </si>
  <si>
    <t>Secretaría de Recreación y deporte</t>
  </si>
  <si>
    <t>2. Programas de prevención y promoción de los derechos sexuales y reproductivos de la población afrodescendiente</t>
  </si>
  <si>
    <t>Número de programas implementados</t>
  </si>
  <si>
    <t>Registro de las actividades de prevención y promoción y listados de asistencia</t>
  </si>
  <si>
    <t xml:space="preserve">Secretaría de salud municipal </t>
  </si>
  <si>
    <t>PROFAMILIA</t>
  </si>
  <si>
    <t>3. Implementar programas dirigidos a la  juventud afrodescendiente en la prevención de la drogadicción, la prostitución, la violencia y la delincuencia. en pro del uso adecuado del tiempo libre</t>
  </si>
  <si>
    <t>Registro de las actividades y listados de asistencia</t>
  </si>
  <si>
    <t>PROFAMILIA, Personería municipal.</t>
  </si>
  <si>
    <t>4. Realizar un diagnostico para Identificar las situaciones de riesgo en salud de la población Afro</t>
  </si>
  <si>
    <t>Diagnóstico realizado</t>
  </si>
  <si>
    <t>1 Diagnóstico Actualizado</t>
  </si>
  <si>
    <t>Documento con diagnóstico</t>
  </si>
  <si>
    <t>Secretaría de salud municipal</t>
  </si>
  <si>
    <t>Secretaría de desarrollo social y político</t>
  </si>
  <si>
    <t>Ampliación de la cobertura en SISBEN y Régimen Subsidiado  en Salud</t>
  </si>
  <si>
    <t>5. Realización de un censo para la identificación de personas con régimen de salud y para orientarlos en afiliación al SISBEN</t>
  </si>
  <si>
    <t>Censo realizado</t>
  </si>
  <si>
    <t>1 actualizado</t>
  </si>
  <si>
    <t>Secretaría de Salud municipal</t>
  </si>
  <si>
    <t>6. Realización y actualización de censo de personas afro vinculadas al régimen subsidiado de salud</t>
  </si>
  <si>
    <t>1 Actualizado</t>
  </si>
  <si>
    <t>2 actualizado</t>
  </si>
  <si>
    <t>7. Inclusión de la población afro identificada en el diagnóstico sin cobertura al régimen subsidiado y al SISBEN</t>
  </si>
  <si>
    <t>Número de personas vinculadas</t>
  </si>
  <si>
    <t>70% de la población identificada</t>
  </si>
  <si>
    <t>80% de la población identificada</t>
  </si>
  <si>
    <t>100% de la población identificada</t>
  </si>
  <si>
    <t>Registro de la población afro vinculada</t>
  </si>
  <si>
    <t>Seguimiento, control y vigilancia a la prestación de servicios de salud</t>
  </si>
  <si>
    <t>8. Implementación de programas educativos a la comunidad afro para el seguimiento, vigilancia y control en la prestación de servicios de salud.</t>
  </si>
  <si>
    <t>Registro de inscripción y listado de asistencia</t>
  </si>
  <si>
    <t>9. Conformación de veedurías para el seguimiento, control y vigilancia a la prestación de servicio de salud de la comunidad afro</t>
  </si>
  <si>
    <t>Veeduría conformada</t>
  </si>
  <si>
    <t>Registro de la conformación de la veeduría</t>
  </si>
  <si>
    <t xml:space="preserve">Secretaría de salud municipal  </t>
  </si>
  <si>
    <t>Organizaciones de base</t>
  </si>
  <si>
    <t>Formación de grupos en salud</t>
  </si>
  <si>
    <t>10. Realización de programas de formación como gestores y promotores de la salud en las comunidades afrodescendientes del municipio.</t>
  </si>
  <si>
    <t>Número de personas formadas</t>
  </si>
  <si>
    <t xml:space="preserve">11. Realización de brigadas de salud a población afrodescendiente </t>
  </si>
  <si>
    <t>Número de brigadas realizadas</t>
  </si>
  <si>
    <t>5 (1 en cada sector donde hay población afro asentada)</t>
  </si>
  <si>
    <t>10 (1 en cada sector donde hay población afro asentada)</t>
  </si>
  <si>
    <t>15 (1 en cada sector donde hay población afro asentada)</t>
  </si>
  <si>
    <t>Listado de personas atendidas</t>
  </si>
  <si>
    <t xml:space="preserve">ESE Salud </t>
  </si>
  <si>
    <t>12. Seguimiento al cumplimiento de la ley 1257 sobre la no violencia contra la mujer</t>
  </si>
  <si>
    <t>Número de casos monitoreados</t>
  </si>
  <si>
    <t>100% de los casos identificados monitoreados</t>
  </si>
  <si>
    <t>Registro de casos monitoreados y reporte de seguimiento</t>
  </si>
  <si>
    <t>Secretaría de Desarrollo Social y Político</t>
  </si>
  <si>
    <t>Institucionalización para el ejercicio y Aplicación de la medicina tradicional afrodescendiente</t>
  </si>
  <si>
    <t>13. Certificación de idoneidad para las personas que presten el servicio de medicina ancestral y tradicional afro</t>
  </si>
  <si>
    <t>Número de personas certificadas</t>
  </si>
  <si>
    <t xml:space="preserve">Registro de personas certificadas y listados de asistencia </t>
  </si>
  <si>
    <t xml:space="preserve">Secretaría de Salud Municipal </t>
  </si>
  <si>
    <t>14. Articulación de los sabedores afros en medicina ancestral y tradicional afro con las instituciones educativas formadoras en salud de la ciudad de Pereira</t>
  </si>
  <si>
    <t>Número de redes de saberes</t>
  </si>
  <si>
    <t>Convenios firmados</t>
  </si>
  <si>
    <t xml:space="preserve"> Organizaciones de base, Universidades</t>
  </si>
  <si>
    <t>15. Realizar eventos en pro de la recuperación, desarrollo y aplicación de la medicina ancestral de la población afrodescendiente</t>
  </si>
  <si>
    <t>Número de eventos realizados</t>
  </si>
  <si>
    <t>Reporte de actividades, listados de asistencia</t>
  </si>
  <si>
    <t>Alcaldía de Pereira y organizaciones de base</t>
  </si>
  <si>
    <t xml:space="preserve">EDUCACION </t>
  </si>
  <si>
    <t>Implementar la política de etnoeducación afrocolombiana en el Municipio de Pereira</t>
  </si>
  <si>
    <t xml:space="preserve"> Fortalecimiento Institucional para la implementación de la etnoeducación y la cátedra de estudios afrocolombiano en el municipio de Pereira</t>
  </si>
  <si>
    <t>Coordinación definida con sus funciones</t>
  </si>
  <si>
    <t>Resolución de la Secretaría de Educación</t>
  </si>
  <si>
    <t>Secretaría de Educación</t>
  </si>
  <si>
    <t>2. Realización del concurso de etnoeducadores afrocolombianos</t>
  </si>
  <si>
    <t>Acción implementada</t>
  </si>
  <si>
    <t>Convocatoria</t>
  </si>
  <si>
    <t xml:space="preserve">Secretaría de Educación  </t>
  </si>
  <si>
    <t>Ministerio de Educación Nacional y Comisión Pedagógica Nacional de comunidades negras</t>
  </si>
  <si>
    <t>Política implementada</t>
  </si>
  <si>
    <t>A la fecha solo se esta trabajando la política nacional</t>
  </si>
  <si>
    <t>Documento con la política de etnoeducación y cátedra de estudios en el PEI</t>
  </si>
  <si>
    <t xml:space="preserve">Secretaría de Educación </t>
  </si>
  <si>
    <t>4. Implementar instrumentos de seguimiento, control, monitoreo y evaluación de la política de etnoeducación afrocolombiana</t>
  </si>
  <si>
    <t>% de cumplimiento de la política de etnoeducación afrocolombiana</t>
  </si>
  <si>
    <t>Instrumento diseñado e implementado</t>
  </si>
  <si>
    <t>Ministerio de Educación Nacional Comisión Pedagógica Nacional de comunidades negras, organizaciones de base con procesos etnoeducativos, coordinadores de Etnoeducación afrocolombiana</t>
  </si>
  <si>
    <t>Formación Docente en Política Etnoeducativa</t>
  </si>
  <si>
    <t>5. Incluir en los programas de formación docente de la SEM la capacitación pedagógica y metodológica para la implementación de los estudios afros en el currículo y los planes de estudios en las instituciones educativas del municipio de Pereira</t>
  </si>
  <si>
    <t>N° de docentes capacitados en pedagogía y metodología para la educación afro</t>
  </si>
  <si>
    <t>10% del total de los docentes de las instituciones educativas del municipio</t>
  </si>
  <si>
    <t>50% del total de los docentes de las instituciones educativas del municipio</t>
  </si>
  <si>
    <t>100% del total de los docentes de las instituciones educativas del municipio</t>
  </si>
  <si>
    <t>Registro de docentes capacitados y listado de asistencia</t>
  </si>
  <si>
    <t>Formación Posgraduada para la población Afrodescendiente</t>
  </si>
  <si>
    <t>6. Aplicación de incentivos y apoyo a profesionales para el acceso a la formación en maestrías y doctorados de la población afrodescendiente</t>
  </si>
  <si>
    <t>N° de becas otorgadas a población afro</t>
  </si>
  <si>
    <t>Acto administrativo de otorgamiento de becas</t>
  </si>
  <si>
    <t xml:space="preserve">Secretaría de educación </t>
  </si>
  <si>
    <t>Mejoramiento de la  calidad, permanencia y pertinencia de la educación para la población afrodescendiente, con énfasis en la atención a la primera infancia</t>
  </si>
  <si>
    <t>7. Asignación directa de Kits escolares, bono de transporte, bonos de alimentación, apoyo Psicosocial</t>
  </si>
  <si>
    <t>Número de estudiantes afro beneficiados</t>
  </si>
  <si>
    <t>Se esta prestando atención por parte de la Secretaría de Educación pero no es suficiente, oportuna y permanente</t>
  </si>
  <si>
    <t>60% del total de niñ@s afro</t>
  </si>
  <si>
    <t>70% del total de niñ@s afro</t>
  </si>
  <si>
    <t>100% del total de niñ@s afro</t>
  </si>
  <si>
    <t>Base de datos de los niñ@s beneficiados y firma de recibido de los beneficios</t>
  </si>
  <si>
    <t>8. Implementar programas de sensibilización contra la discriminación racial en el marco de las competencias ciudadanas y de los derechos humanos en los diferentes estamentos (estudiantes, docentes, administrativos)</t>
  </si>
  <si>
    <t>Número de instituciones con programas implementados</t>
  </si>
  <si>
    <t>10% del total de las instituciones educativas del municipio</t>
  </si>
  <si>
    <t>50% del total de las instituciones educativas del municipio</t>
  </si>
  <si>
    <t>100% del total de las instituciones educativas del municipio</t>
  </si>
  <si>
    <t>Informe de actividades, Registros de asistencia, Registro de las instituciones que implementan los programas</t>
  </si>
  <si>
    <t xml:space="preserve">Secretaría de educación  </t>
  </si>
  <si>
    <t>instituciones educativas, comisión pedagógica.</t>
  </si>
  <si>
    <t>1 programa por cada institución educativa del municipio de Pereira que contenga las cuatro categorías (cuidado,, nutrición, salud y educación inicial)</t>
  </si>
  <si>
    <t>3 programa por cada institución educativa del municipio de Pereira que contenga las cuatro categorías (cuidado,, nutrición, salud y educación inicial)</t>
  </si>
  <si>
    <t>5 programa por cada institución educativa del municipio de Pereira que contenga las cuatro categorías (cuidado,, nutrición, salud y educación inicial)</t>
  </si>
  <si>
    <t>ICBF</t>
  </si>
  <si>
    <t>Registro y caracterización realizado</t>
  </si>
  <si>
    <t>Registro y caracterización sistematizado</t>
  </si>
  <si>
    <t>Registro y caracterización actualizado</t>
  </si>
  <si>
    <t>Base de datos disponible</t>
  </si>
  <si>
    <t>Instituciones educativas, ICBF, Instituciones privadas</t>
  </si>
  <si>
    <t>Alianzas estratégicas</t>
  </si>
  <si>
    <t>11. Celebración de alianzas y convenios con las instituciones de educación técnica y superior</t>
  </si>
  <si>
    <t>N° de convenios firmados</t>
  </si>
  <si>
    <t xml:space="preserve"> las instituciones involucradas</t>
  </si>
  <si>
    <t>CULTURA</t>
  </si>
  <si>
    <t>Rescatar, conservar y difundir la cultura afrodescendiente</t>
  </si>
  <si>
    <t>1. Realizar programas y actividades de teatro, poesía, cuentería, danzas, gastronomía, entre otros, en los diferentes espacios de la ciudad</t>
  </si>
  <si>
    <t>Número de programas y actividades desarrollados</t>
  </si>
  <si>
    <t>Registros fotográficos, listados de asistencia, memorias del evento</t>
  </si>
  <si>
    <t>Secretaría de cultura</t>
  </si>
  <si>
    <t>Consejo Municipal de Política Pública</t>
  </si>
  <si>
    <t xml:space="preserve">2. Crear escuelas de formación en danzas, teatro, canto, grupos musicales,  arte y recuperación de las tradiciones ancestrales. </t>
  </si>
  <si>
    <t>Número de escuelas de formación apoyadas y creadas</t>
  </si>
  <si>
    <t>Registro de matrículas, Controles de asistencia, Registro fotográfico</t>
  </si>
  <si>
    <t>Consejo Municipal de Política Pública, Organizaciones de base</t>
  </si>
  <si>
    <t>3. Celebrar convenios con el instituto de cultura para que  los espacios físicos  puedan ser utilizados por la comunidad.</t>
  </si>
  <si>
    <t>Número de convenios</t>
  </si>
  <si>
    <t>Convenio firmado</t>
  </si>
  <si>
    <t xml:space="preserve">4. Contratación de instructores afros para difusión y formación en las diferentes manifestaciones culturales de la comunidad </t>
  </si>
  <si>
    <t>Número instructores incluidos en los programas de difusión</t>
  </si>
  <si>
    <t>Contratos firmados</t>
  </si>
  <si>
    <t>Consejo Municipal de Política Pública, instructores</t>
  </si>
  <si>
    <t>5. Incluir en las bibliotecas del municipio  textos de la cultura afro en coordinación con el Consejo Municipal de Política Pública</t>
  </si>
  <si>
    <t>espacio otorgado para la sección de temas relacionados con la cultura afro</t>
  </si>
  <si>
    <t>Acto administrativo para la asignación de espacios</t>
  </si>
  <si>
    <t>6. Incluir en el Museo del Instituto de Cultura memorias y aportes de la comunidad afro</t>
  </si>
  <si>
    <t>Número de espacios otorgados</t>
  </si>
  <si>
    <t>7. Generar espacios de visualización de las muestras tradicionales afro: artesanías, vestuario, instrumentos musicales, gastronomía entre otros</t>
  </si>
  <si>
    <t>Número de eventos de muestra de las tradiciones afro desarrollados</t>
  </si>
  <si>
    <t>Insertar en el presupuesto del municipio los recursos necesarios para el desarrollo de las actividades culturales.</t>
  </si>
  <si>
    <t xml:space="preserve">8. Realizar anualmente las conmemoraciones especiales, entre ellas: 21 de marzo "día mundial contra el racismo", 21 de mayo "día nacional de  la afrocolombianidad" Ley 725, 12 de octubre semana de la interculturalidad, resaltar y visibilizar la mujer afro en el día internacional de la mujer  8 marzo. </t>
  </si>
  <si>
    <t>Número de actividades realizadas  en el marco de las conmemoraciones</t>
  </si>
  <si>
    <t>9. Programas culturales interbarriales</t>
  </si>
  <si>
    <t>Número de programas interbarriales realizados con participación afro</t>
  </si>
  <si>
    <t>Registros fotográficos, listados de asistencia</t>
  </si>
  <si>
    <t xml:space="preserve">DEPORTE Y RECREACION </t>
  </si>
  <si>
    <t>Contribuir al mejoramiento de la calidad de vida de la población afrodescendiente a través de la actividad física, el deporte, la recreación.</t>
  </si>
  <si>
    <t>Fortalecimiento de organizaciones deportivas y recreativas de la población afrodescendiente</t>
  </si>
  <si>
    <t>1. Realización de alianzas estratégicas entre las organizaciones de base afros y  las Universidades e Instituciones deportivas y recreativas donde los  niños, jóvenes y estudiantes Afrodescendientes, realicen su formación, practicas y actividades lúdicas y recreativas.</t>
  </si>
  <si>
    <t>Número de alianzas o convenios</t>
  </si>
  <si>
    <t>ND</t>
  </si>
  <si>
    <t>convenio firmado</t>
  </si>
  <si>
    <t>Secretaría de Deportes</t>
  </si>
  <si>
    <t xml:space="preserve">Las Universidades e Instituciones deportivas y recreativas </t>
  </si>
  <si>
    <t>2. Realización de alianzas estratégicas con la Secretaria Municipal de Recreación y Deportes para la realización de acciones coordinadas en materia deportiva y recreativa en las Comunidades Afrodescendientes.</t>
  </si>
  <si>
    <t>Registro de participantes, registro fotográfico</t>
  </si>
  <si>
    <t>organizaciones de base Afro</t>
  </si>
  <si>
    <t>Visibilización de recursos económicos para la población afrodescendiente,  que fomenten la realización de actividad física, recreación y deporte.</t>
  </si>
  <si>
    <t>3. Realización, cada año,  de los juegos deportivos afropereiranos</t>
  </si>
  <si>
    <t>Juegos Deportivos Realizados</t>
  </si>
  <si>
    <t>En la actualidad se desarrollan en forma discontinua los  juegos afrodescendientes</t>
  </si>
  <si>
    <t>4. Realización, cada año, de  los juegos recreativos interbarrios de las comunidades afrodescendientes</t>
  </si>
  <si>
    <t>Juegos Recreativos Realizados</t>
  </si>
  <si>
    <t>5. Desarrollar programas de actividad física y recreación para los grupos de los adultos mayores, jóvenes, adolescentes y niñ@s de las comunidades afro descendientes</t>
  </si>
  <si>
    <t>Número de Programas realizados</t>
  </si>
  <si>
    <t>(05) cinco, uno en cada asentamiento</t>
  </si>
  <si>
    <t>6. Implementación de programas de  recreación para las familias de las comunidades afro descendientes</t>
  </si>
  <si>
    <t>7. Implementación de  escuelas deportivas en  los barrios de asentamientos de las  comunidades afro descendientes</t>
  </si>
  <si>
    <t>Número de escuelas deportivas implementadas</t>
  </si>
  <si>
    <t>8. Apoyo educativo, profesional y laboral a los deportista afro descendientes de alto rendimiento deportivo, por disciplina deportiva,  con una partida presupuestal definida.</t>
  </si>
  <si>
    <t>Número de deportistas de alto rendimiento apoyados</t>
  </si>
  <si>
    <t>10 deportistas</t>
  </si>
  <si>
    <t>15 deportistas</t>
  </si>
  <si>
    <t>20 deportistas</t>
  </si>
  <si>
    <t>Registro de participantes, registro fotográfico.
Acto admon. de apoyo
Registros de Seguimiento.</t>
  </si>
  <si>
    <t>PARTICIPACION Y DERECHOS</t>
  </si>
  <si>
    <t>Fortalecer los mecanismos de participación y promover los derechos de las personas afrodescendientes</t>
  </si>
  <si>
    <t>Promoción y fortalecimiento de las organizaciones ofrodescendientes</t>
  </si>
  <si>
    <t>1. Definir un espacio físico y dotado para desarrollar acciones que fortalezcan  a las organizaciones afrodescendientes</t>
  </si>
  <si>
    <t>Espacio físico otorgado y dotado</t>
  </si>
  <si>
    <t>Convenio</t>
  </si>
  <si>
    <t>organización de base que firma el convenio</t>
  </si>
  <si>
    <t xml:space="preserve">2. Creación de la oficina de asuntos étnicos con los respectivos funcionarios competentes y  delegados por la comunidad afro dentro de la administración municipal </t>
  </si>
  <si>
    <t>Oficina creada y en funcionamiento</t>
  </si>
  <si>
    <t>Acuerdo</t>
  </si>
  <si>
    <t>Concejo Municipal</t>
  </si>
  <si>
    <t>3. Programa de formación para elaboración y gestión de proyectos de cooperación para líderes de la comunidad afro</t>
  </si>
  <si>
    <t>Programa diseñado e implementado</t>
  </si>
  <si>
    <t>Fortalecimiento y apoyo al consejo de política pública para la población afrodescendiente</t>
  </si>
  <si>
    <t>4. Formación en temas de gestión, control y evaluación de los planes, programas y proyectos, mecanismos de  participación ciudadana y política pública.</t>
  </si>
  <si>
    <t>N° de programas de formación en materia de participación ciudadana, mecanismos de gestión, seguimiento y evaluación y política pública</t>
  </si>
  <si>
    <t>ESAP</t>
  </si>
  <si>
    <t>5. Formación en temas de  promoción Derechos Humanos</t>
  </si>
  <si>
    <t>Número de programas en Derechos Humanos</t>
  </si>
  <si>
    <t>Secretaría de Gobierno</t>
  </si>
  <si>
    <t>ESAP , Defensoria del Pueblo</t>
  </si>
  <si>
    <t>6. Formación en negociación y resolución pacífica de conflictos dirigidos a la comunidad afrodescendiente</t>
  </si>
  <si>
    <t>N° de programas de formación en negociación y resolución pacífica de conflictos realizados</t>
  </si>
  <si>
    <t xml:space="preserve">INCLUSION LABORAL </t>
  </si>
  <si>
    <t xml:space="preserve">Impulsar procesos de inclusión laboral y emprendimiento empresarial.                   </t>
  </si>
  <si>
    <t>Fortalecimiento  y desarrollo de las capacidades empresariales y asociativas de la población afrodescendiente</t>
  </si>
  <si>
    <t>Número de  semilleros de investigación creados para el emprendimiento productivo y empresarial.</t>
  </si>
  <si>
    <t>Proyectos existentes sobre: borojo, vino, pepapan, vino de pipilongo, pulpas de frutas de productos del pacifico, gastronomía y demás actividades propias.</t>
  </si>
  <si>
    <t>1 semillero.</t>
  </si>
  <si>
    <t>2 semilleros.</t>
  </si>
  <si>
    <t>4 Semilleros</t>
  </si>
  <si>
    <t>Convenio con universidades y estudiantes universitarios Afro</t>
  </si>
  <si>
    <t>Secretaría de Desarrollo Económico y Competitividad</t>
  </si>
  <si>
    <t xml:space="preserve">2. Estudio para la Identificación de productos y servicios potencialmente comerciables </t>
  </si>
  <si>
    <t>Estudio realizado</t>
  </si>
  <si>
    <t>A la fecha existen empresas en los sectores, de la Gastronomías, Agroindustias , de Servicios y Organizaciones Sociales.</t>
  </si>
  <si>
    <t>1 Estudio</t>
  </si>
  <si>
    <t>Secretaria de Desarrollo Social y Político</t>
  </si>
  <si>
    <t xml:space="preserve">3. Formulación, gestión y ejecución de proyectos de emprendimiento empresarial de farmacopeas para la comunidad afro y la contribución en el bienestar en salud para la ciudadanía pereirana </t>
  </si>
  <si>
    <t>Número de proyectos formulados, gestionados e implementados</t>
  </si>
  <si>
    <t>Proyecto formulado, gestionado y ejecutado</t>
  </si>
  <si>
    <t>SENA, empresarios, organizaciones de base</t>
  </si>
  <si>
    <t>4. Impulsar la creación de empresas productivas de la comunidad Afrodescendiente</t>
  </si>
  <si>
    <t>Número de empresas productivas de organizaciones de la comunidad afrodescendiente creadas y asesoradas.</t>
  </si>
  <si>
    <t>A través de ONG´S internacionales, Min desarrollo, Agricultura, Ambiente, Vivienda, Protección Social, Educación, y secretarias de Orden territoriales.</t>
  </si>
  <si>
    <t>Registro de Cámara de Comercio</t>
  </si>
  <si>
    <t xml:space="preserve"> organizaciones de base</t>
  </si>
  <si>
    <t>5. Implementación de un banco de datos para la empleabilidad</t>
  </si>
  <si>
    <t>% de actualización de la información en el banco de datos con respecto a la población afrodescendiente</t>
  </si>
  <si>
    <t>Banco de datos construido e implementado</t>
  </si>
  <si>
    <t>SENA</t>
  </si>
  <si>
    <t>Fortalecimiento de las capacidades de empleabilidad y emprendimiento de la población afrodescendiente</t>
  </si>
  <si>
    <t>6. Implementación de un sistema de evaluación ocupacional</t>
  </si>
  <si>
    <t>% de implementación del sistema</t>
  </si>
  <si>
    <t>Sistema de evaluación ocupacional creado</t>
  </si>
  <si>
    <t>7. Formación para el empleo a partir de competencias laborales atendiendo  las necesidades pedagógicas y cognitivas</t>
  </si>
  <si>
    <t>Número de personas capacitadas en formación para el empleo</t>
  </si>
  <si>
    <t>Instituciones existentes que ofrecen formación en competencias laborales (SENA, UNIVERSIDADES, INSTITUTOS DE FORMACIÓN)</t>
  </si>
  <si>
    <t>Registro de matrícula, listados de asistencia y reporte de personas graduadas</t>
  </si>
  <si>
    <t>8. Creación de la escuela de formación del circulo de belleza AFRO</t>
  </si>
  <si>
    <t>Registro de creación y listados de asistencia</t>
  </si>
  <si>
    <t>9. Impulsar programas de emprendimiento e inserción laboral</t>
  </si>
  <si>
    <t>Número de programas de emprendimiento implementados</t>
  </si>
  <si>
    <t>Gobernación, Alcaldía, SENA.</t>
  </si>
  <si>
    <t>Listados de asistencia y convenios firmados</t>
  </si>
  <si>
    <t>10. Diseñar e implementar un instrumento para la vigilancia en el cumplimiento de disposiciones legales en materia de protección, atención e intervención laboral</t>
  </si>
  <si>
    <t>Documento con instrumento diseñado</t>
  </si>
  <si>
    <t>Fomentar, apoyar y fortalecer  formas asociativas de recuperación y sostenimiento de los saberes ancestrales de la comunidad en cadenas productivas</t>
  </si>
  <si>
    <t>11. Fomentar, apoyar y fortalecer  formas asociativas económicas</t>
  </si>
  <si>
    <t>Número de asociaciones creadas.</t>
  </si>
  <si>
    <t>Registro de Asociaciones creadas</t>
  </si>
  <si>
    <t xml:space="preserve"> SENA</t>
  </si>
  <si>
    <t>12. Implementar programas en cadenas productivas de: medicina tradicional y de la cultura afro (alimenticias, artesanales, artísticas, entre otras).</t>
  </si>
  <si>
    <t>N° de programas en cadenas productivas implementados</t>
  </si>
  <si>
    <t>Informes de cadenas productivas implementadas, listados de asistencia</t>
  </si>
  <si>
    <t xml:space="preserve"> Secretaría de desarrollo rural, secretaría de desarrollo social y político, SENA</t>
  </si>
  <si>
    <t>MATRIZ FINANCIERA
DETALLE E INFORME LA CANTIDAD DE RECURSO FINANCIEROS INVERTIDOS EN EL DESARROLLO DE CADA ACCIÓN</t>
  </si>
  <si>
    <t>MATRIZ DE FOCALIZACIÓN SEGÚN ENFOQUE DIFERENCIAL
INFORME EL NUMERO Y DETALLE DE LA POBLACIÓN ATENDIDA SI LA ACCIÓN VA DIRIGIDA A PERSONAS</t>
  </si>
  <si>
    <t>MATRIZ DE FOCALIZACIÓN ORGANIZACIONAL
INFORME EL DETALLE DE LA INSTITUCIONES U ORGANIZACIONES ATENDIDAS SI LA ACCION VA DIRIGIDA A ESTE TIPO DE GRUPO</t>
  </si>
  <si>
    <t>OBJETIVO GENERAL DE LA POLÍTICA PÚBLICA</t>
  </si>
  <si>
    <t>Mejorar  las condiciones de vida de los animales, transformando la relación que existe entre los animales humanos, no humanos y su entorno a partir de la apropiación de una cultura ciudadana e institucional, comprometida con la protección y el bienestar animal, reconociéndolos como seres sintientes.</t>
  </si>
  <si>
    <t>OBJETIVO ESPECÍFICO DE LA POLÍTICA PÚBLICA</t>
  </si>
  <si>
    <t>LÍNEA ESTRATÉGICA</t>
  </si>
  <si>
    <t>PROGRAMA</t>
  </si>
  <si>
    <t>SUBPROGRAMA</t>
  </si>
  <si>
    <t>TIPO DE INDICADOR</t>
  </si>
  <si>
    <t>LÍNEA BASE</t>
  </si>
  <si>
    <t>METAS DE LA POLÍTICA PÚBLICA</t>
  </si>
  <si>
    <t>MEDIOS DE VERIFICACIÓN</t>
  </si>
  <si>
    <t>RESPONSABLES</t>
  </si>
  <si>
    <t>RESPONSABLES DE CONCURRENCIA</t>
  </si>
  <si>
    <t>FUENTES DE FINANCIACIÓN</t>
  </si>
  <si>
    <t>PRESUPUESTO ESTIMADO</t>
  </si>
  <si>
    <t>RECURSOS PROPIOS</t>
  </si>
  <si>
    <t>TRANSFERENCIAS</t>
  </si>
  <si>
    <t>DESTINACIÓN ESPECÍFICA</t>
  </si>
  <si>
    <t>OTROS</t>
  </si>
  <si>
    <t>INTEGRAR ESTRATEGIAS, MEDIOS Y PROCESOS PARTICIPATIVOS, QUE PERMITAN TANTO A LA SOCIEDAD CIVIL, COMO A LA COMUNIDAD EDUCATIVA Y A LA INSTITUCIONALIDAD, COMPARTIR CONOCIMIENTOS Y LLEGAR A CONSENSOS EN LA CONSOLIDACIÓN DE MECANISMOS, QUE ORIENTEN LA TRANSFORMACIÓN DE LAS PRÁCTICAS DE PROTECCIÓN Y BIENESTAR ANIMAL.</t>
  </si>
  <si>
    <t>1. PEREIRA EDUCANDO PARA LA PROTECCIÓN Y EL BIENESTAR ANIMAL</t>
  </si>
  <si>
    <t>1.1. Educando para la protección y el bienestar animal.</t>
  </si>
  <si>
    <t>1.1.1. Cultura y educación para la protección y el bienestar animal.</t>
  </si>
  <si>
    <t>1.1.1.1. Fortalecimiento del Comité Municipal de Educación Ambiental - COMEDA, para la incorporación de estrategias educativas con fundamento en los lineamientos de la política pública de bienestar animal.</t>
  </si>
  <si>
    <t>Número de estrategias educativas incorporadas.</t>
  </si>
  <si>
    <t>Mantenimiento</t>
  </si>
  <si>
    <t>Registros fotográficos, listados de asistencia, actas.</t>
  </si>
  <si>
    <t>1.1.1.2. Talleres para  docentes de instituciones públicas y privadas en el tema de protección,  tenencia responsable y bienestar animal.</t>
  </si>
  <si>
    <t xml:space="preserve">
Número de instituciones capacitadas en el tema de protección y bienestar animal.
</t>
  </si>
  <si>
    <t>Incremento</t>
  </si>
  <si>
    <t>Bioparque Ukumarí</t>
  </si>
  <si>
    <t>1.1.1.3. Socialización de la Ley 84 de 1989 - Resolución 008430 de 1993, en el comité de ética y de investigación de las universidades y en los centros de investigación,  para desestimular el uso de animales en los experimentos  científicos.</t>
  </si>
  <si>
    <t>Número de socializaciones a comités de ética y centros de investigación.</t>
  </si>
  <si>
    <t>Secretaría de Desarrollo Rural</t>
  </si>
  <si>
    <t xml:space="preserve">Comité Insterinstitucional de Protección y Bienestar Animal </t>
  </si>
  <si>
    <t>1.1.1.4 Asesoría para la  incorporación e implementación  de estrategias de Protección y Bienestar Animal en los proyectos ambientales escolares (PRAE) y Proyectos Ambientales Universitarios (PRAU) y Proyectos Comunitarios de Educación Ambiental (PROCEDAS).</t>
  </si>
  <si>
    <t xml:space="preserve">Porcentaje de instituciones educativas, universidades y comunidades asesoradas.  </t>
  </si>
  <si>
    <t>1.1.1.5. Socialización de la normatividad especial para animales,  a los establecimientos públicos, sector transporte y comunidad en general,  (Ingreso de personas con perros de asistencia, Decreto Nacional 1660 de 2003 como para el transporte público de perros lazarillos).</t>
  </si>
  <si>
    <t>Número de socializaciones realizadas.</t>
  </si>
  <si>
    <t>1.1.1.6. Capacitación en la normatividad de protección y bienestar animal a las instituciones de control e integrantes del Comité Interinstitucional de Protección y Bienestar Animal.</t>
  </si>
  <si>
    <t>Número de capacitaciones realizadas.</t>
  </si>
  <si>
    <t xml:space="preserve">Secretaría de Gobierno  </t>
  </si>
  <si>
    <t>CARDER.</t>
  </si>
  <si>
    <t>1.1.1.7. Sensibilización y educación relacionada con temas de convivencia  animal y relación hombre animal y bienestar animal a la comunidad en general e institucionalidad.</t>
  </si>
  <si>
    <t>Número de sensibilizaciones y campañas educativas realizadas.</t>
  </si>
  <si>
    <t>1.1.2. Aprendiendo  el respeto por la fauna.</t>
  </si>
  <si>
    <t xml:space="preserve">
1.1.2.1. Diseño e implementación y difusión de una estrategia de medios de comunicación,  acorde a los lineamientos de la Política Pública de Protección y Bienestar Animal.
</t>
  </si>
  <si>
    <t>Porcentaje del diseño e implementación de la estrategia desarrollada.</t>
  </si>
  <si>
    <t>Documento Técnico de la estrategia y su respectivo plan de acción, registros fotográficos, listados de asistencia, actas.</t>
  </si>
  <si>
    <t>Asesoria de comunicaciones</t>
  </si>
  <si>
    <t>Oficina de Asesora de Prensa y Comunicaciones</t>
  </si>
  <si>
    <t>FORTALECER LA GESTIÓN INSTITUCIONAL PARA DAR RESPUESTA A LOS REQUERIMIENTOS Y NECESIDADES DE LA FAUNA, TALES COMO: ANIMALES EN CONDICIÓN DE MALTRATO, ABANDONO, RIESGO PARA SU VIDA O PARA LA COMUNIDAD Y ATENCIÓN A CASOS DE ANIMALES INVASORES QUE GENERAN CONFLICTO CON LA COMUNIDAD.</t>
  </si>
  <si>
    <t>2. PROTECCIÓN Y BIENESTAR ANIMAL</t>
  </si>
  <si>
    <t>2.1. Atención Integral a la Fauna</t>
  </si>
  <si>
    <t>2.1.1. Convivencia Responsable</t>
  </si>
  <si>
    <t>2.1.1.1 Diseño e implementación de una estrategia para la convivencia responsable con animales de compañia</t>
  </si>
  <si>
    <t>Porcentaje de la estrategia de convivencia responsable implementada.</t>
  </si>
  <si>
    <t>Documento Técnico de la estrategia y su respectivo plan de acción y ejecución, registros fotográficos, listados de asistencia, actas.</t>
  </si>
  <si>
    <t>2.1.1.2.Definición e implementación de protocolos para esterilizaciones, adopción y la eutanasia de animales de compañía, que involucre criterios medicos veterinarios, eticos, de salud publica  y económicos</t>
  </si>
  <si>
    <t>Porcentaje del diseño e implementación de protocolos para la esterilización, adopción y eutanasia de animales de compañía.</t>
  </si>
  <si>
    <t>Documento Técnico de los protocolos</t>
  </si>
  <si>
    <t>2.1.1.3 Esterilizaciones para control de población de animales de compañía,  bajo la condiciones sanitarias que brinden un manejo adecuado .</t>
  </si>
  <si>
    <t>Número de esterilizaciones realizadas</t>
  </si>
  <si>
    <t xml:space="preserve">Mantener por encima de 5000 esterilizaciones año </t>
  </si>
  <si>
    <t>Listados de beneficiarios</t>
  </si>
  <si>
    <t xml:space="preserve">Secretaría de Salud </t>
  </si>
  <si>
    <t>2.1.1.4.Vacunaciones contra la rabia para animales de compañía</t>
  </si>
  <si>
    <t>Número  de vacunaciones contra la rabia realizadas.</t>
  </si>
  <si>
    <t>Mantener coberetura de 80%</t>
  </si>
  <si>
    <t xml:space="preserve">2.1.1.5.Realizar el censo de perros y gatos en el municipio </t>
  </si>
  <si>
    <t>Número de censos de aperros y gatos realizados</t>
  </si>
  <si>
    <t>Informe del censo realizado, documento técnico</t>
  </si>
  <si>
    <t>Secretaría de Desarrollo Rural y Gestión Ambiental</t>
  </si>
  <si>
    <t>2.1.1.6. Campañas de sensibilización para fomentar la adopción de animales de compañía.</t>
  </si>
  <si>
    <t>Número de camapañas realizadas.</t>
  </si>
  <si>
    <t>2.1.1.7. Diseño e implementación de una estrategia para el control de especies que se identifiquen como invasoras  y generen conflictos.</t>
  </si>
  <si>
    <t>Porcentaje de la estrategia implementada</t>
  </si>
  <si>
    <t>Documento Técnico de la estrategia y su respectivo plan de acción y ejecución</t>
  </si>
  <si>
    <t>Coordinación de CARDER con participación del Comité insterinstitucional de Protección y Bienestar Animal</t>
  </si>
  <si>
    <t>2.1.1.8. Implementación del sistema de registro de razas identificadas como potencialmente peligrosas, según lo contemplado en el Código Nacional de Polícia Ley 1801 de 2016, Capítulo IV, Artículo 128, Numeral 4.</t>
  </si>
  <si>
    <t>Porcentaje del sistema implementado</t>
  </si>
  <si>
    <t>Listados de animales identificados</t>
  </si>
  <si>
    <t>Secretaria TICS</t>
  </si>
  <si>
    <t>2.1.1.9. Definición e implementación  de un programa de marcaje para animales de compañía.</t>
  </si>
  <si>
    <t>Programa de marcaje definido e implementado</t>
  </si>
  <si>
    <t>Programa definido y en implementación</t>
  </si>
  <si>
    <t xml:space="preserve">
2.1.1.10. Contar con un Hogar de Paso para fauna silvestre de animales provenientes del control al tráfico ilegal. 
</t>
  </si>
  <si>
    <t>Número de Hogares de paso para la fauna silvestre en operaciòn.</t>
  </si>
  <si>
    <t>Hogar de paso en operación.</t>
  </si>
  <si>
    <t>2.1.1.11.Diseño y operación de un centro de bienestar de fauna doméstica.</t>
  </si>
  <si>
    <t>Número de centros de bienestar de fauna doméstica diseñados e implementados</t>
  </si>
  <si>
    <t xml:space="preserve"> Incremento</t>
  </si>
  <si>
    <t>1 CBPA (30 cupos)</t>
  </si>
  <si>
    <t>1 CBPA (35 cupos)</t>
  </si>
  <si>
    <t>1 CBPA (40 cupos)</t>
  </si>
  <si>
    <t>1 CBPA (45 cupos)</t>
  </si>
  <si>
    <t>2 CBPA (50 cupos)</t>
  </si>
  <si>
    <t>3 CBPA (55 cupos)</t>
  </si>
  <si>
    <t>4 CBPA (60 cupos)</t>
  </si>
  <si>
    <t>5 CBPA (65 cupos)</t>
  </si>
  <si>
    <t>6 CBPA (70 cupos)</t>
  </si>
  <si>
    <t>7 CBPA (75 cupos)</t>
  </si>
  <si>
    <t>8 CBPA (80 cupos)</t>
  </si>
  <si>
    <t>Centro operando</t>
  </si>
  <si>
    <t>2.1.2. Atención a Emergencias, Denuncias y Seguimiento</t>
  </si>
  <si>
    <t xml:space="preserve">2.1.2.1.Fortalecimiento del servicio de atención a quejas por maltrato animal  en la línea 123. </t>
  </si>
  <si>
    <t>Porcentaje de fortalecimiento del servicio de atención a quejas</t>
  </si>
  <si>
    <t>Contratos de prestación de servicios, listados de asistencia, convenios</t>
  </si>
  <si>
    <t xml:space="preserve">2.1.2.2. Consolidación y seguimiento a las peticiones, quejas y reclamos presentados ante la administración municipal, a la línea 123 o plataforma web de denuncia ciudadana, relacionados con animales de compañía, callejeros, potencialmente peligrosos  y de producción. </t>
  </si>
  <si>
    <t>Número de seguimientos a las Peticiones, Quejas y Reclamos -  PQR realizados</t>
  </si>
  <si>
    <t>2.1.2.3. Diseño e implementación a una estrategia de seguimiento y acompañamiento integral a los equinos en proceso de adopción, proveniente del programa de sustitución de vehículos de tracción animal.</t>
  </si>
  <si>
    <t>Porcentaje de la estrategia  de seguimiento diseñada e implementada</t>
  </si>
  <si>
    <t>Documento elaborado y seguimiento</t>
  </si>
  <si>
    <t>2.1.2.4 Dotación con implementos necesarios a las dependencias y entes de control para la atención de casos de maltrato en animales  y generación de  protocolo que permita la creacion de una brigada anticrueldad, la cual deberá estar en funcionamiento a mediano plazo, a partir de la aprobación de la política.</t>
  </si>
  <si>
    <t>Número de dotaciones entregadas</t>
  </si>
  <si>
    <t>Actas de entrega de elementos de dotación</t>
  </si>
  <si>
    <t>2.1.3. Estrategia de Conservación</t>
  </si>
  <si>
    <t>2.1.3.1. Identificación y generación de corredores urbanos de acuerdo a las necesidades de la fauna silvestre.</t>
  </si>
  <si>
    <t>Número de corredores urbanos identificados y generados</t>
  </si>
  <si>
    <t>Secretaria de Planeación.</t>
  </si>
  <si>
    <t>CARDER</t>
  </si>
  <si>
    <t xml:space="preserve">2.1.3.2.Seguimiento a la estrategia para evitar el tráfico de fauna silvestre. </t>
  </si>
  <si>
    <t>Número de seguimientos realizados</t>
  </si>
  <si>
    <t>INVOLUCRAR A LOS ACTORES DE LA SOCIEDAD HACIA EL CUMPLIMIENTO DE LA LEGISLACIÓN Y REGLAMENTACIÓN DE PROTOCOLOS PARA LA PROTECCIÓN ANIMAL PARA REALIZAR SEGUIMIENTO.</t>
  </si>
  <si>
    <t>3. BUEN GOBIERNO PARA LA PROTECCIÓN Y BIENESTAR ANIMAL</t>
  </si>
  <si>
    <t xml:space="preserve">3.1. 
Intitucionalidad trabajando para la protección y bienestar animal
</t>
  </si>
  <si>
    <t>3.1.1. Pereira cumpliendo con la protección y bienestar animal</t>
  </si>
  <si>
    <t xml:space="preserve">
3.1.1.1. Seguimiento y control  del cumplimiento del marco normativo y de los protocolos de bienestar animal a las personas responsables de espectáculos relacionados con eventos gallísticos, caninos, circos, manifestaciones culturales y similares, peleas de gallos (Ley 643 de 2001, Decreto 2482 de 2003,  Acuerdo 9 de 2005 del Ministerio de Protección Social), Circos (Ley 1638  de 2013) y  manifestaciones culturales (Ley 84 de 1989 (Art 7), Sentencia C-666 de 2010 excepciones del maltrato animal). 
</t>
  </si>
  <si>
    <t>Porcentaje de autorizaciones con seguimiento al cumplimiento de la normatividads y los protocolos</t>
  </si>
  <si>
    <t>Secretaria de gobierno</t>
  </si>
  <si>
    <t>oficina de control y vigilancia, secretaria de gobierno</t>
  </si>
  <si>
    <t>3.1.1.2.Inspeccionar, vigilar y controlar las condiciones sanitarias en bienestar animal, de todos los establecimientos que manejen animales domésticos, exóticos y silvestres.</t>
  </si>
  <si>
    <t>Porcentaje de establecimientos con visitas de inspección realizadas</t>
  </si>
  <si>
    <t>Actas de inspección, informes</t>
  </si>
  <si>
    <t xml:space="preserve">3.1.1.3. Realizar operativos de control, inspección y vigilancia en las ferias urbanas y rurales en las que se comercialicen animales. </t>
  </si>
  <si>
    <t>Porcentaje de operativos realizados</t>
  </si>
  <si>
    <t>3.1.1.4. Generar reglamentación y protocolo  para empresas que usan animales para trabajos (caninos para vigilancia)  y espectáculos (incluye Policia Nacional) , realizar seguimiento al cumplimiento de la reglamentación.</t>
  </si>
  <si>
    <t>Número de protocolos reglamentados</t>
  </si>
  <si>
    <t>Documento técnico realizado</t>
  </si>
  <si>
    <t>3.1.1.5. Capacitación de buenas prácticas Pecuarias de crianza, manejo, transporte y sacrificio  con criterios de Bienestar Animal.</t>
  </si>
  <si>
    <t>Número de capacitaciones realizadas</t>
  </si>
  <si>
    <t>INVIMA, ICA</t>
  </si>
  <si>
    <t>Número de inspecciones realizadas</t>
  </si>
  <si>
    <t>espacio público</t>
  </si>
  <si>
    <t>3.1.1.7. Identificar y  controlar  el sacrificio clandestino de animales para consumo y la entrada de  sus productos a expendios y plazas de mercado.</t>
  </si>
  <si>
    <t>Númerro de inspecciones realizadas</t>
  </si>
  <si>
    <t>Policía nacional</t>
  </si>
  <si>
    <t>3.1.1.8. Seguimiento a procesos administrativos en casos de maltrato animal por parte de la autoridad competente. Ley 1774 de 2016, Ley 84 de 1989 y 1801 de 2016 Código de Polícia.</t>
  </si>
  <si>
    <t>Número de procedimientos administrativos realizados</t>
  </si>
  <si>
    <t>Documentos legales de los procesos iniciados</t>
  </si>
  <si>
    <t>Personería Municipal</t>
  </si>
  <si>
    <t>3.1.2. Seguimento a la Política Pública</t>
  </si>
  <si>
    <t>3.1.2.1. Informes de seguimiento realizados por el Observatorio de Políticas Públicas.</t>
  </si>
  <si>
    <t>Número de seguimientos desarrollados</t>
  </si>
  <si>
    <t>Informe de seguimiento</t>
  </si>
  <si>
    <t>Secretaría de Planeación</t>
  </si>
  <si>
    <t>3.1.2.2. Registro de las actividades de la politica pública en el Sistema de Información de Políticas Públicas.</t>
  </si>
  <si>
    <t>Porcentaje de implementación del sistema</t>
  </si>
  <si>
    <t>Reportes SPP</t>
  </si>
  <si>
    <r>
      <t>Secretaría de Gobierno</t>
    </r>
    <r>
      <rPr>
        <b/>
        <sz val="11"/>
        <color indexed="10"/>
        <rFont val="Calibri"/>
        <family val="2"/>
        <scheme val="minor"/>
      </rPr>
      <t xml:space="preserve"> </t>
    </r>
  </si>
  <si>
    <r>
      <t>3.1.1.6. Inspeccionar, vigilar y controlar la comercialización de animales y sus  productos en establecimientos y espacios públicos.</t>
    </r>
    <r>
      <rPr>
        <sz val="11"/>
        <color indexed="62"/>
        <rFont val="Calibri"/>
        <family val="2"/>
        <scheme val="minor"/>
      </rPr>
      <t xml:space="preserve"> </t>
    </r>
  </si>
  <si>
    <t>FORMATO PARA RENDICIÓN INFORME DE AVANCE PERIODO 2018 DE LA POLÍTICA PÚBLICA DE CULTURA DE LA LEGALIDAD</t>
  </si>
  <si>
    <t>OBJETIVO GENERAL DE LA POLÍTICA: Transformar los conocimientos, actitudes, y comportamientos de la ciudadanía Pereiranos, por hábitos de sana convivencia, a través de intervenciones formativas en la familia, la escuela, el espacio público y los medios de comunicación, con alto énfasis en derechos humanos</t>
  </si>
  <si>
    <t>OBJETIVOS DE LA POLÍTICA</t>
  </si>
  <si>
    <t>INDICADOR</t>
  </si>
  <si>
    <t>RESPONSABLE</t>
  </si>
  <si>
    <t>ENTIDAD DE CONCURRENCIA</t>
  </si>
  <si>
    <t>META 2017</t>
  </si>
  <si>
    <t>REPORTE EJECUCIÓN 2017</t>
  </si>
  <si>
    <t>Movilidad y Educación Vial</t>
  </si>
  <si>
    <t>Generar sinergia interinstitucional y ciudadana para la actuación eficaz y eficiente en materia ambiental municipal, con especial atención a mantener una ciudad limpia de (residuos sólidos, emisión de gases y el vertimiento de desechos a quebradas y ríos) y con óptimo nivel de ruido.</t>
  </si>
  <si>
    <t>1.1   Construcción e implementación de un programa integral de aseo para la ciudad de Pereira.</t>
  </si>
  <si>
    <t>Programa integral de aseo implementado</t>
  </si>
  <si>
    <t>Empresa de Aseo de Pereira</t>
  </si>
  <si>
    <t>Secretaría de Planeación, Secretaría de Desarrollo Rural</t>
  </si>
  <si>
    <t>Fomentar la recuperación integral del espacio público ocupado por ventas informales, mediante la reubicación concertada y efectiva de los vendedores ambulantes.   También se propone recuperar los parques, con el acompañamiento de la comunidad en general.</t>
  </si>
  <si>
    <t>1.2   Fortalecimiento del Pacto Cívico (manejo integral de vendedores informales, recuperación de espacio público a través de Operativos de Control, etc.</t>
  </si>
  <si>
    <t>Pacto Cívico por el espacio Operando</t>
  </si>
  <si>
    <t xml:space="preserve"> Generar y desarrollar estrategias e instrumentos para alcanzar mejores índices de movilidad en la ciudad, disminuyendo tanto los tiempos de desplazamiento de un lugar a otro como las lesiones fatales y no fatales en accidentes de tránsito</t>
  </si>
  <si>
    <t>1.3   Implementación del “DÍA SIN CARRO Y SIN MOTO” / implementación del “DÍA DE LA BICICLETA”.    Implementación de vías activas, peatonalización del centro, ciclo vías en los barrios por sectores 25 ciclo vías</t>
  </si>
  <si>
    <t>día sin carro y sin moto , día de la bicicleta,  vías activas y ciclo vías implementados</t>
  </si>
  <si>
    <t>Instituto de Movilidad de Pereira</t>
  </si>
  <si>
    <t xml:space="preserve">Secretaría de Planeación, Área Metropolitana de Centro Occidente, Secretaría de Gobierno, </t>
  </si>
  <si>
    <t>1.4 Implementación de un plan integral  de semaforización (vehicular y peatonal) y educación vial en la Ciudad de Pereira</t>
  </si>
  <si>
    <t>Implementar un plan integral de semaforización en la ciudad de Pereira</t>
  </si>
  <si>
    <t>N.D.</t>
  </si>
  <si>
    <t xml:space="preserve">1.5 Implementar la estrategia foro permanente de Ciudad </t>
  </si>
  <si>
    <t>implementación de la estrategia foro permanente de Ciudad</t>
  </si>
  <si>
    <t>N.A.</t>
  </si>
  <si>
    <t>1.6  Promover el uso del Sistema Integrado de Transporte Masivo (SITM), con el apoyo de MEGABUS.</t>
  </si>
  <si>
    <t xml:space="preserve"> Sistema integrado de transporte público proyectado e implementado.</t>
  </si>
  <si>
    <t>Área Metropolitana de Centro Occidente</t>
  </si>
  <si>
    <t>Instituto de Movilidad de Pereira, Secretaría de Planeación, MEGABUS</t>
  </si>
  <si>
    <t>Crear consciencia colectiva, para reconocer y cumplir la norma como elemento importante para la convivencia; generar cambios de actitud frente al ejercicio del derecho y el cumplimiento del deber y, lograr transformaciones en la comunidad educativa (en todos los niveles) en cuanto al pensar y el actuar</t>
  </si>
  <si>
    <t>1.7  Promover campañas de capacitación lúdico-pedagógicas a infractores de las normas viales y de espacio público.</t>
  </si>
  <si>
    <t>Campañas lúdico-pedagógicas a infractores de las normas viales y de espacio publico realizadas</t>
  </si>
  <si>
    <t>1.8   Capacitación a conductores de servicio público en turismo, inglés y otras disciplinas.</t>
  </si>
  <si>
    <t>Número de conductores formados y capacitados en Programas de turismo, inglés y otras disciplinas</t>
  </si>
  <si>
    <t xml:space="preserve"> Crear condiciones para la generación de confianza al inversionista.</t>
  </si>
  <si>
    <t xml:space="preserve">1.9   Diseñar e implementar la estrategia de Certificación de Legalidad a Establecimientos Públicos Nocturnos y Diurnos tipo LLL, LL y L (discotecas y otros establecimientos de expendio de licores) que cumplan con los parámetros de ley. </t>
  </si>
  <si>
    <t>Estrategia de certificación de legalidad operando</t>
  </si>
  <si>
    <t>Comunicación Pública</t>
  </si>
  <si>
    <t>Fortalecer las fases de la estrategia de comunicación pública en Cultura de la Legalidad.</t>
  </si>
  <si>
    <t>2.1. Priorizar una estrategia de comunicación pública, donde se logre una eficaz relación entre la sociedad civil, estamentos políticos, el sector privado y el Estado para lograr mayor participación de los Pereiranos.</t>
  </si>
  <si>
    <t>Estrategia de comunicación para el fortalecimiento de la alianza público, privada (sociedad civil, estamentos políticos, el sector privado y el Estado)</t>
  </si>
  <si>
    <t>Oficina Asesora de Comunicaciones</t>
  </si>
  <si>
    <t>2.2. Hacer seguimiento al cumplimiento de pactos donde cada sector o entidad se comprometen a defender la Cultura de la Legalidad y a realizar acciones encaminadas a tal fin.</t>
  </si>
  <si>
    <t>Mecanismo de seguimiento a pactos cívicos operando</t>
  </si>
  <si>
    <t>2.3. Establecer una red informativa que utilice los canales tradicionales de comunicación y los medios electrónicos y alternativos para divulgar la Cultura de la Legalidad .</t>
  </si>
  <si>
    <t>Red informática para difusión de la PP Cultura de la Legalidad operando</t>
  </si>
  <si>
    <t>2.4. Realizar actos de rendición de cuentas sobre las actividades realizadas.</t>
  </si>
  <si>
    <t>Rendición de cuentas semestrales</t>
  </si>
  <si>
    <t>Educación</t>
  </si>
  <si>
    <t>Crear consciencia colectiva, para reconocer y cumplir la norma como elemento importante para la convivencia; generar cambios de actitud frente al ejercicio del derecho y el cumplimiento del deber y, lograr transformaciones en la comunidad educativa (en todos los niveles) en cuanto al pensar y el actuar.</t>
  </si>
  <si>
    <t>3.1. Formar docentes en los mínimos de respeto a la legalidad.</t>
  </si>
  <si>
    <t>Número de docentes formados</t>
  </si>
  <si>
    <t>3.2. Construcción del mínimo curricular en Cultura de la Legalidad para el sector educativo formal, no formal y superior.</t>
  </si>
  <si>
    <t>Currículo en cultura de la legalidad incluido en los planes de estudio del sector educativo formal, informal y superior</t>
  </si>
  <si>
    <t>3.3. Acto simbólico de juramento de acatamiento a la Cultura de la Legalidad.</t>
  </si>
  <si>
    <t>Diseño de acto simbólico</t>
  </si>
  <si>
    <t>3.4. Veedurías sobre la aplicación cotidiana de la Cultura de la Legalidad.</t>
  </si>
  <si>
    <t>Acompañamiento y formación a las Veedurías Ciudadanas</t>
  </si>
  <si>
    <t>3.5. Revisión de reglamentos estudiantiles.</t>
  </si>
  <si>
    <t>Reglamentos estudiantiles revisados</t>
  </si>
  <si>
    <t>3.6 Implementación de la catedra de deberes ciudadanos y derechos humanos, tanto en el sector educativo y en el sector comunitario.</t>
  </si>
  <si>
    <t>Porcentaje de instituciones con implementación de deberes ciudadanos y derechos humanos.</t>
  </si>
  <si>
    <t>3.7 Implementación de la catedra de comportamiento y salud para estudiantes de secundaria con énfasis en: sexualidad, familia, autocuidado y otros conexos.</t>
  </si>
  <si>
    <t>Porcentaje de instituciones con implementación en  comportamiento y salud para estudiantes de secundaria</t>
  </si>
  <si>
    <t>3.8 Implementación de la educación hacia el cambio climático.</t>
  </si>
  <si>
    <t>Porcentaje de instituciones con Implementación de la educación hacia el cambio climático</t>
  </si>
  <si>
    <t>Secretaría de Desarrollo Rural. Secretaría de Planeación</t>
  </si>
  <si>
    <t>3.9 Implementar la guía pedagógica de la contribución en  las instituciones  educativas del municipio de Pereira (educación Básica y media)</t>
  </si>
  <si>
    <t>Implementación de la guía metodológica en las Instituciones Educativas</t>
  </si>
  <si>
    <t>Medio Ambiente y Desarrollo Sostenible</t>
  </si>
  <si>
    <t>4.1 Diseñar e implementar programas para el manejo adecuado de los residuos solidos en la fuente vinculante al sector empresarial.</t>
  </si>
  <si>
    <t>Diseño e implementación programas para el manejo adecuado de los residuos solidos</t>
  </si>
  <si>
    <t>Secretaría de Desarrollo Rural, Secretaría de Planeación</t>
  </si>
  <si>
    <t>4.2. Implementación del  Manual de Silvicultura Urbana.</t>
  </si>
  <si>
    <t>Manual de Silvicultura urbana implementado</t>
  </si>
  <si>
    <t>Secretaría de Planeación, Secretaría de Infraestructura</t>
  </si>
  <si>
    <t>4.3. Cumplimiento al Plan de Gestión Integral de Residuos Sólidos (PGIRS).</t>
  </si>
  <si>
    <t>Plan de gestión integral de residuos sólidos Operando</t>
  </si>
  <si>
    <t>Secretaría de Planeación, Empresa de Aseo de Pereira</t>
  </si>
  <si>
    <t>4.4. Implementar el pacto cívico por el no ruido.</t>
  </si>
  <si>
    <t>Pacto cívico por el no ruido implementado</t>
  </si>
  <si>
    <t>4.5. Fortalecimiento a las empresas de  reciclajes y disposición de residuos.</t>
  </si>
  <si>
    <t>Número de empresas de reciclaje y disposición de residuos fortalecidas</t>
  </si>
  <si>
    <t>Secretaría de Planeación, Secretaría de Gobierno, Secretaría de Desarrollo Rural</t>
  </si>
  <si>
    <t>4.6. Implementación del Sistema Integrado de Transporte  Público (SITP).</t>
  </si>
  <si>
    <t>Sistema integrado de transporte público implementado</t>
  </si>
  <si>
    <t>Instituto de Movilidad de Pereira, MEGABUS</t>
  </si>
  <si>
    <t>4.7. Diseñar e implementar un programa de producción limpia.</t>
  </si>
  <si>
    <t>Programa de producción limpia implementado</t>
  </si>
  <si>
    <t>4.8 Diseñar y ejecutar un programa de áreas protegidas</t>
  </si>
  <si>
    <t>Programa para el cuidado y recuperación de áreas protegidas</t>
  </si>
  <si>
    <t>4.9. Implementar programa de saneamiento hídrico</t>
  </si>
  <si>
    <t>Programa de saneamiento hídrico implementado</t>
  </si>
  <si>
    <t>Aguas y Aguas de Pereira</t>
  </si>
  <si>
    <t>Derechos Humanos y Seguridad Ciudadana</t>
  </si>
  <si>
    <t>Promover la disminución de los delitos de alto impacto como: las lesiones fatales por homicidio, las lesiones personales no fatales, los delitos contra la libertad y la propiedad.</t>
  </si>
  <si>
    <t>5.1. Fortalecimiento a entidades de la Fuerza Pública y Administradores de Justicia para la atención integral de seguridad ciudadana (Micrográfico, Violencia Escolar, Porte Ilegal de armas, Uso ilícito de documentación, Delitos contra la libertad y el pudor sexual, Micro extorsión, Delitos contra los derechos de autor, Delincuencia juvenil y Violencia intrafamiliar, entre otros).</t>
  </si>
  <si>
    <t>Número de entidades de la fuerza pública y administradores de justicia fortalecidos para la atención integral de seguridad ciudadana</t>
  </si>
  <si>
    <t>Policía Metropolitana de Pereira</t>
  </si>
  <si>
    <t>5.2.Disminución del mercado de narcóticos (oferta-demanda).</t>
  </si>
  <si>
    <t>Operativos y Programas que contribuyan a la reducción del mercado de narcóticos</t>
  </si>
  <si>
    <t>5.3. Reducción del crimen organizado (bandas y redes criminales).</t>
  </si>
  <si>
    <t>Operativos y Programas que contribuyan a la reducción del crimen organizado</t>
  </si>
  <si>
    <t>5.4. Promover la cobertura y el uso de las cámaras de seguridad Electrónicas de apoyo a la seguridad ciudadana.</t>
  </si>
  <si>
    <t>Red de cámaras de seguridad funcionando.</t>
  </si>
  <si>
    <t>5.5. Grupos familiares cohesionados mediante un trabajo interinstitucional con equipos psicosociales y jurídicos que atienden a la población más vulnerable.</t>
  </si>
  <si>
    <t xml:space="preserve">Número de casos registrados y atendidos (con equipos psicosociales y jurídicos) en cuanto a seguridad ciudadana y DDHH en las comisarías de familia y casas de justicia </t>
  </si>
  <si>
    <t>Secretaria de Desarrollo Social y Político, Policía Metropolitana de Pereira</t>
  </si>
  <si>
    <t>5.6. Diseñar e implementar un programa de prevención y atención de la explotación laboral y el abuso sexual en niños, niñas y adolescentes.</t>
  </si>
  <si>
    <t>Programa de prevención y atención de la explotación laboral y el abuso sexual en niños, niñas y adolescentes implementado</t>
  </si>
  <si>
    <t>Secretaría de Salud, Secretaría de Educación, Secretaría de Gobierno, ICBF, Secretaría de Planeación, Policía Metropolitana de Pereira</t>
  </si>
  <si>
    <t>5.7.Diseñar e implementar un programa de prevención y atención de personas en riesgo de calle.</t>
  </si>
  <si>
    <t>Programa de prevención y atención de habitantes de calle y en riesgo de calle implementado</t>
  </si>
  <si>
    <t>Secretaría de Salud, Secretaría de Educación, Secretaría de Gobierno</t>
  </si>
  <si>
    <t>5.8 Revisión técnica grafológica de legalidad a los certificados educativos (diploma, actas de grado, etc) que son documentos soporte de servidores públicos y contratistas.</t>
  </si>
  <si>
    <t>documentos soporte de contratistas y servidores públicos revisados</t>
  </si>
  <si>
    <t>Secretaría de Desarrollo Administrativo</t>
  </si>
  <si>
    <t xml:space="preserve">5.9. Dinamización  del Comité Municipal de Promoción y Protección de los Derechos Humanos en el Municipio de Pereira. </t>
  </si>
  <si>
    <t>Comité Municipal de Promoción y protección de los DDHH operando</t>
  </si>
  <si>
    <t>5.10. Formulación de una estrategia para el fortalecimiento del Programa "Pereira Te Acoge" como acción preventiva.</t>
  </si>
  <si>
    <t>Programa para la atención a migrantes implementado</t>
  </si>
  <si>
    <t>POLÍTICA PÚBLICA: DISCAPACIDAD</t>
  </si>
  <si>
    <t xml:space="preserve">OBJETIVO GENERAL DE LA POLÍTICA:Avanzar en la garantía de derechos de personas con discapacidad, sus familias y cuidadores a fin de mejorar sus condiciones de vida y reconocerlos como Sujetos Titulares de Derechos y como protagonistas del desarrollo en el Municipio de Pereira. </t>
  </si>
  <si>
    <t>EDUCACIÓN</t>
  </si>
  <si>
    <t>Ajustar los proyectos educativos institucionales con modelos pedagógicos de Educación Inclusiva, en el Municipio de Pereira</t>
  </si>
  <si>
    <t>Formación Docente (Administración Pedagógica)</t>
  </si>
  <si>
    <t>% de docentes, administrativos docentes Formados</t>
  </si>
  <si>
    <t>Planes de formación, listados de asistencia, memorias</t>
  </si>
  <si>
    <t>Número de profesionales de apoyo contratados según Norma</t>
  </si>
  <si>
    <t>Hay un equipo de profesionales que es insuficiente para atender la demanda</t>
  </si>
  <si>
    <t>Contratación, informes de ejecución</t>
  </si>
  <si>
    <t>Número de proyectos de investigación con apoyo</t>
  </si>
  <si>
    <t>Informes de investigación elaborados</t>
  </si>
  <si>
    <t>Ajuste Institucional</t>
  </si>
  <si>
    <t>Número de metodologías flexibles implementadas</t>
  </si>
  <si>
    <t>Hay metodologías que se implementan en algunas instituciones.</t>
  </si>
  <si>
    <t>Propuestas metodológicas formuladas, informes de ejecución</t>
  </si>
  <si>
    <t>% de las I. E. con modelos en educación inclusiva institucionalizados</t>
  </si>
  <si>
    <t>En la actualidad hay 4 instituciones.</t>
  </si>
  <si>
    <t>Proyectos educativos institucionales ajustados, informes de ejecución, evaluaciones institucionales</t>
  </si>
  <si>
    <t xml:space="preserve">% de instituciones con procesos de detección temprana de necesidades educativas especiales </t>
  </si>
  <si>
    <t>Reportes de información por instituciones, informes de seguimiento a casos</t>
  </si>
  <si>
    <t>Secretaría de salud</t>
  </si>
  <si>
    <t>Número de programas en ejecución</t>
  </si>
  <si>
    <t>Informes de ejecución, evaluaciones</t>
  </si>
  <si>
    <t xml:space="preserve">Cobertura neta de educación en personas con discapacidad. </t>
  </si>
  <si>
    <t>Inicial = 100%</t>
  </si>
  <si>
    <t>Matrícula</t>
  </si>
  <si>
    <t>Instituciones educativas, universidades, SENA</t>
  </si>
  <si>
    <t xml:space="preserve"> Corresponden al valor asignado por matricula de acuerdo al SGP </t>
  </si>
  <si>
    <t>Básica = 95%</t>
  </si>
  <si>
    <t>Básica = 100%</t>
  </si>
  <si>
    <t>Media = 85%</t>
  </si>
  <si>
    <t>Media = 95%</t>
  </si>
  <si>
    <t>Media = 100%</t>
  </si>
  <si>
    <t>Técnica= 30%</t>
  </si>
  <si>
    <t>Técnica= 40%</t>
  </si>
  <si>
    <t>Técnica= 50%</t>
  </si>
  <si>
    <t>Superior= 10%</t>
  </si>
  <si>
    <t>Superior= 20%</t>
  </si>
  <si>
    <t>Superior= 50%</t>
  </si>
  <si>
    <t>Número de programas</t>
  </si>
  <si>
    <t>Informes de ejecución, listados de asistencia, evaluaciones de programa</t>
  </si>
  <si>
    <t>Secretaría de educación</t>
  </si>
  <si>
    <t>Número de sistemas de seguimiento implementados</t>
  </si>
  <si>
    <t>Hay metodologías de evaluación pero que se aplican irregularmente</t>
  </si>
  <si>
    <t>Reportes de sistema de seguimiento y monitoreo</t>
  </si>
  <si>
    <t>% de establecimiento dotados con TICs especializadas</t>
  </si>
  <si>
    <t>Actas de entrega de dotación</t>
  </si>
  <si>
    <t xml:space="preserve">                -   </t>
  </si>
  <si>
    <t>Han existido programas que son de difícil acceso para la población más pobre.</t>
  </si>
  <si>
    <t>Planes de formación, reportes de atención, seguimiento a casos</t>
  </si>
  <si>
    <t>Número de Instituciones educativas con PEI articulados</t>
  </si>
  <si>
    <t>Análisis y evaluación de proyectos educativos institucionales</t>
  </si>
  <si>
    <t xml:space="preserve">Instituciones técnicas, universidades, gremios </t>
  </si>
  <si>
    <t>Número de becas con apoyo económico asignadas</t>
  </si>
  <si>
    <t>Informes de ejecución, actas de entrega de becas</t>
  </si>
  <si>
    <t xml:space="preserve">Mejoramiento de la infraestructura de las instituciones educativas para garantizar la accesibilidad de las personas con  discapacidad. </t>
  </si>
  <si>
    <t>% de ejecución del plan de equipamientos</t>
  </si>
  <si>
    <t>Informes de ejecución</t>
  </si>
  <si>
    <t>% del presupuesto participativo priorizado</t>
  </si>
  <si>
    <t>Informes de ejecución físico-financiera</t>
  </si>
  <si>
    <t>Número de sistemas en ejecución</t>
  </si>
  <si>
    <t>Reportes del sistema</t>
  </si>
  <si>
    <t>Mejorar las condiciones de salud de la población con discapacidad, sus familias, cuidadoras y cuidadores</t>
  </si>
  <si>
    <t>Impulsar y fortalecer la prevención oportuna de condiciones que generen discapacidades temporales y/o permanentes, con orientación a la familia y cuidadores.</t>
  </si>
  <si>
    <t xml:space="preserve">Informe de gestión </t>
  </si>
  <si>
    <t>Secretaría de Salud y Seguridad Social</t>
  </si>
  <si>
    <t>% de disminución en origen de la discapacidad</t>
  </si>
  <si>
    <t>23% según RLCPD</t>
  </si>
  <si>
    <t>Resultados del RLCPD (Informes de gestión)</t>
  </si>
  <si>
    <t>Se desarrolla a través de políticas como la de infancia y adolescencia y el plan territorial de salud pública</t>
  </si>
  <si>
    <t>5,3% según RLCPD</t>
  </si>
  <si>
    <t>Fomentar estilos de vida saludables que reduzcan el riesgo de adquirir y/o complejizar discapacidades y mejorar la calidad de vida.</t>
  </si>
  <si>
    <t xml:space="preserve"> </t>
  </si>
  <si>
    <t>Informe de gestión</t>
  </si>
  <si>
    <t>Ampliación del aseguramiento</t>
  </si>
  <si>
    <t>% de personas con discapacidad con afiliación</t>
  </si>
  <si>
    <t>69% (2007-DANE)</t>
  </si>
  <si>
    <t>Registros de aseguramiento</t>
  </si>
  <si>
    <t>Corresponde a la asignación de los cupos por parte del municipio. El valor de la UPC varía de acuerdo a cada año</t>
  </si>
  <si>
    <t>% de encuestadores capacitados</t>
  </si>
  <si>
    <t>Certificación capacitación</t>
  </si>
  <si>
    <t xml:space="preserve">Secretaría de Desarrollo Social y Político </t>
  </si>
  <si>
    <t>Formación del personal en salud</t>
  </si>
  <si>
    <t>% de personas del sector salud capacitadas</t>
  </si>
  <si>
    <t>Programas de formación, listados de asistencia</t>
  </si>
  <si>
    <t xml:space="preserve">Seguimiento, control y vigilancia a la prestación de servicios de salud. </t>
  </si>
  <si>
    <t>% de sistema de información fortalecidos</t>
  </si>
  <si>
    <t xml:space="preserve">Sistema de información operando, reportes de información. </t>
  </si>
  <si>
    <t>Tic</t>
  </si>
  <si>
    <t>% docentes capacitados</t>
  </si>
  <si>
    <t>Universidades</t>
  </si>
  <si>
    <t>% procesos de vigilancia A las EPS sobre su red prestadora de servicios</t>
  </si>
  <si>
    <t>Reportes de información desagregada</t>
  </si>
  <si>
    <t>Ministerio de la Protección Social (Risaralda)</t>
  </si>
  <si>
    <t>Implementación de procesos de habilitación y rehabilitación</t>
  </si>
  <si>
    <t>% de centros de Rehabilitación y habilitación capacitados</t>
  </si>
  <si>
    <t>% de los programas de prevención con variable discapacidad incluida</t>
  </si>
  <si>
    <t xml:space="preserve">Secretaría de Salud y Seguridad Social </t>
  </si>
  <si>
    <t>Ese Salud Pereira - EPS – ARS</t>
  </si>
  <si>
    <t>Numero de cupos año para la atención integral</t>
  </si>
  <si>
    <t>25 cupos</t>
  </si>
  <si>
    <t>Registros de atención, reportes de atención</t>
  </si>
  <si>
    <t>% de personas que acceden a ayudas técnicas</t>
  </si>
  <si>
    <t>Hay un programa que lo orienta el departamento.</t>
  </si>
  <si>
    <t>Actas de entrega de ayudas</t>
  </si>
  <si>
    <t xml:space="preserve">Listados de asistencia, reportes de atención. </t>
  </si>
  <si>
    <t>Número de sistemas implementados</t>
  </si>
  <si>
    <t>Protocolos y rutas en operación</t>
  </si>
  <si>
    <t>Desarrollo de procesos de rehabilitación basado en comunidad - RBC.</t>
  </si>
  <si>
    <t>% de comunas o corregimientos con diagnósticos de discapacidad</t>
  </si>
  <si>
    <t>El municipio no cuenta con este proceso.</t>
  </si>
  <si>
    <t>Diagnósticos comunitarios</t>
  </si>
  <si>
    <t>Número de programas encaminados a mejorar las condiciones nutricionales de los niños y niñas en primera infancia con discapacidad</t>
  </si>
  <si>
    <t xml:space="preserve">Registros de atención, reportes del estado nutricional. </t>
  </si>
  <si>
    <t>Número de programas diseñados</t>
  </si>
  <si>
    <t xml:space="preserve">Listados de asistencia, actas de reuniones, memorias e informes de procesos. </t>
  </si>
  <si>
    <t>Número de comunas con líderes formados</t>
  </si>
  <si>
    <t>Plan de formación, listados de asistencia</t>
  </si>
  <si>
    <t>% de comunas o corregimientos con planes implementados</t>
  </si>
  <si>
    <t>% de experiencias en RBC sistematizadas</t>
  </si>
  <si>
    <t>Documentos de sistematización</t>
  </si>
  <si>
    <t>Fortalecer las expresiones culturales  de  y para personas con discapacidad, sus familias, cuidadoras y cuidadores.</t>
  </si>
  <si>
    <t xml:space="preserve">Formación de personas con discapacidad como gestores culturales </t>
  </si>
  <si>
    <t>Porcentaje de recursos para la discapacidad</t>
  </si>
  <si>
    <t>Informes de ejecución fisico-financiera</t>
  </si>
  <si>
    <t>Secretaría de Cultura</t>
  </si>
  <si>
    <t>Número de procesos</t>
  </si>
  <si>
    <t>Se han desarrollado acciones aisladas</t>
  </si>
  <si>
    <t>Registro audiovisual, listados de asistencia, actas</t>
  </si>
  <si>
    <t>Número de personas capacitadas</t>
  </si>
  <si>
    <t>Listados de asistencia, planes de formación</t>
  </si>
  <si>
    <t>Número de cooperativas creadas</t>
  </si>
  <si>
    <t>Acta de constitución, documentos de inscripción, informes de ejecución</t>
  </si>
  <si>
    <t>Listados de asistencia, planes de formación, informes de ejecución</t>
  </si>
  <si>
    <t>Realización de muestras artísticas y culturales agenciadas por personas con discapacidad</t>
  </si>
  <si>
    <t>número de planes de promoción</t>
  </si>
  <si>
    <t>Registro audiovisual, listados de asistencia, informes de ejecución</t>
  </si>
  <si>
    <t>Número de cronogramas elaborados</t>
  </si>
  <si>
    <t>Informes de ejecución de los cronogramas</t>
  </si>
  <si>
    <t>Se logra con gestión de otros componentes</t>
  </si>
  <si>
    <t>Aprobación de una norma de exención</t>
  </si>
  <si>
    <t>Norma, informes de implementación</t>
  </si>
  <si>
    <t>% de lugares accesibles</t>
  </si>
  <si>
    <t>Informes de ejecución, reportes de eventos</t>
  </si>
  <si>
    <t>Secretaría de infraestructura</t>
  </si>
  <si>
    <t xml:space="preserve">Fomento a la participación de personas con discapacidad en actividades culturales y artísticas. </t>
  </si>
  <si>
    <t>Número de planes elaborados</t>
  </si>
  <si>
    <t>Planes elaborados, informes de ejecución</t>
  </si>
  <si>
    <t>% de organizaciones con criterios de accesibilidad</t>
  </si>
  <si>
    <t>Actas de compromiso, informes de seguimiento</t>
  </si>
  <si>
    <t xml:space="preserve">Creación de una Plataforma, que posibilite la comunicación de los bienes culturales y artísticos para personas con discapacidad.       </t>
  </si>
  <si>
    <t>Número de producciones</t>
  </si>
  <si>
    <t>Textos elaborados</t>
  </si>
  <si>
    <t>Número de espacios</t>
  </si>
  <si>
    <t>Espacios elaborados</t>
  </si>
  <si>
    <t xml:space="preserve">Diseño de un proceso de intervención de comunidades de personas con discapacidad, que posibilite la determinación del grado de asimilación de los modelos culturales contemporáneos con su subsiguiente proceso de personalización o deshumanización.     </t>
  </si>
  <si>
    <t> Numero de Estudios realizados</t>
  </si>
  <si>
    <t> Número de Equipos conformados</t>
  </si>
  <si>
    <t>Actas de reuniones, informes de ejecución</t>
  </si>
  <si>
    <t> Numero de alianzas conformadas</t>
  </si>
  <si>
    <t>Documentos de establecimiento de alianzas, informes de seguimiento</t>
  </si>
  <si>
    <t>Comité de discapacidad - Universidades.</t>
  </si>
  <si>
    <t>PARTICIPACIÓN</t>
  </si>
  <si>
    <t>Fortalecer los mecanismos de participación de las personas con discapacidad, sus familias, cuidadoras y cuidadores</t>
  </si>
  <si>
    <t>Promoción y fortalecimiento de organizaciones de personas con discapacidad y sus familias</t>
  </si>
  <si>
    <t xml:space="preserve">Número de proyectos financiados a través del presupuesto participativo. </t>
  </si>
  <si>
    <t>Informes de ejecución, programación físico financiera</t>
  </si>
  <si>
    <t>Secretaría de planeación</t>
  </si>
  <si>
    <t>Número de planes implementados</t>
  </si>
  <si>
    <t>Plan elaborado, informes de ejecución y seguimiento</t>
  </si>
  <si>
    <t xml:space="preserve">Número de personas formadas </t>
  </si>
  <si>
    <t>Se han desarrollado pero no agenciados por el municipio</t>
  </si>
  <si>
    <t>Comité de discapacidad</t>
  </si>
  <si>
    <t xml:space="preserve">Fortalecimiento del Comité Municipal de Discapacidad. </t>
  </si>
  <si>
    <t>Número de programas de formación</t>
  </si>
  <si>
    <t>Comité municipal de discapacidad</t>
  </si>
  <si>
    <t>% de dependencias asesoradas por el comité</t>
  </si>
  <si>
    <t>Actas de reunión, informes de seguimiento a compromisos</t>
  </si>
  <si>
    <t xml:space="preserve">Formación a personas con discapacidad, cuidadores y cuidadoras,  sobre mecanismos de participación. </t>
  </si>
  <si>
    <t>Número de escuelas de liderazgo formadas</t>
  </si>
  <si>
    <t>% de barreras disminuidas</t>
  </si>
  <si>
    <t>Inventario de barreras, planes de ajuste elaborados e informes de ejecución y seguimiento</t>
  </si>
  <si>
    <t>Promoción del control social de las personas con discapacidad</t>
  </si>
  <si>
    <t>% de veedurías y mecanismos de control social en las que participan personas con discapacidad</t>
  </si>
  <si>
    <t xml:space="preserve">Actas de constitución de veedurías, informes de gestión de las veedurías. </t>
  </si>
  <si>
    <t>DERECHOS</t>
  </si>
  <si>
    <t>Promover los derechos de las personas con discapacidad, sus familias, cuidadoras y cuidadores, en el municipio Pereira</t>
  </si>
  <si>
    <t>Formación de la población con discapacidad, cuidadores y cuidadoras, en derechos humanos y derechos de las personas con discapacidad.</t>
  </si>
  <si>
    <t>Número de programas de formación  implementados</t>
  </si>
  <si>
    <t>Hay algunos programas, pero no agenciados por el municipio</t>
  </si>
  <si>
    <t>Número de herramientas de divulgación</t>
  </si>
  <si>
    <t>Hay algunas herramientas pero no elaboradas por el municipio</t>
  </si>
  <si>
    <t>Herramientas y materiales elaborados</t>
  </si>
  <si>
    <t xml:space="preserve">Desarrollo de campañas en contra del estigma y la discriminación. </t>
  </si>
  <si>
    <t>Número de programas de sensibilización</t>
  </si>
  <si>
    <t>Estrategia de información en ejecución</t>
  </si>
  <si>
    <t>Registro en medios, informes de ejecución</t>
  </si>
  <si>
    <t>RECREACIÓN Y DEPORTE</t>
  </si>
  <si>
    <t>Fortalecer las expresiones de actividad física, recreación y deporte de y para personas con discapacidad, sus familias, cuidadoras y cuidadores.</t>
  </si>
  <si>
    <t>Formación de organismos de actividad física, recreación y deporte para personas con discapacidad.</t>
  </si>
  <si>
    <t>Número de Personas formadas</t>
  </si>
  <si>
    <t>Secretaría de Recreación y Deporte</t>
  </si>
  <si>
    <t>% de clubes y ligas capacitadas</t>
  </si>
  <si>
    <t>Hay en la ciudad 11 clubes y 3 ligas</t>
  </si>
  <si>
    <t>Número de clubes conformados</t>
  </si>
  <si>
    <t>Actas de conformación, estatutos elaborados, registros de inscripción.</t>
  </si>
  <si>
    <t xml:space="preserve">                        -   </t>
  </si>
  <si>
    <t>Número de convenios en ejecución</t>
  </si>
  <si>
    <t>Convenios</t>
  </si>
  <si>
    <t>Secretaría de Educación - ONGs de discapacidad</t>
  </si>
  <si>
    <t xml:space="preserve">Fortalecimiento de organizaciones deportivas y recreativas para personas con discapacidad. </t>
  </si>
  <si>
    <t>% de clubes dotados</t>
  </si>
  <si>
    <t>Número de desportistas con discapacidad que asisten a eventos del Sistema Paralímpico</t>
  </si>
  <si>
    <t>Registros de participación, actas de reuniones</t>
  </si>
  <si>
    <t>Comité paralímpico colombiano</t>
  </si>
  <si>
    <t xml:space="preserve">Implementación de mecanismos de apoyo y estímulo al deporte de rendimiento para personas con discapacidad. </t>
  </si>
  <si>
    <t>Número de entrenadores/monitores Contratados</t>
  </si>
  <si>
    <t>Escuelas funcionando</t>
  </si>
  <si>
    <t>ONGs de discapacidad</t>
  </si>
  <si>
    <t>% de escenarios con barreras</t>
  </si>
  <si>
    <t>Inventario de escenarios con barreras</t>
  </si>
  <si>
    <t>Secretaría de infraestructura. ONGs de discapacidad</t>
  </si>
  <si>
    <t>Número de juegos municipales</t>
  </si>
  <si>
    <t>Hay juegos dirigidos a niños y niñas con discapacidad cognitiva</t>
  </si>
  <si>
    <t>Registro fotográfico, memorias de procesos, listados de asistencia, inscripciones</t>
  </si>
  <si>
    <t>Clubes deportivos  -ONGs de discapacidad</t>
  </si>
  <si>
    <t>% de deportistas discapacitados recibiendo estímulos</t>
  </si>
  <si>
    <t>Actas de entrega de estímulos.</t>
  </si>
  <si>
    <t>Implementación de programas de actividad física, recreación y deporte para personas con discapacidad</t>
  </si>
  <si>
    <t>% de barrios con programas en ejecución</t>
  </si>
  <si>
    <t>Registro fotográfico, memorias de procesos, listados de asistencia</t>
  </si>
  <si>
    <t>Número de instituciones con programa</t>
  </si>
  <si>
    <t>Convenios e informes de ejecución</t>
  </si>
  <si>
    <t>ACCESIBILIDAD</t>
  </si>
  <si>
    <t>Consolidar un municipio accesible que permita el ejercicio pleno de los derechos de las personas con discapacidad.</t>
  </si>
  <si>
    <t>Implementar un sistema de registro sistemático de datos e información de la población con discapacidad, sus familias y cuidadores; que facilite la planeación, priorización de programas, proyectos.</t>
  </si>
  <si>
    <t>% de población con discapacidad en el RLCPD</t>
  </si>
  <si>
    <t>Informe DANE</t>
  </si>
  <si>
    <t>Numero de Observatorios de discapacidad</t>
  </si>
  <si>
    <t>Portal Web utilizando TICs</t>
  </si>
  <si>
    <t>Diseño y ejecución de alternativas para el turismo accesible, la recreación y el uso del tiempo libre.</t>
  </si>
  <si>
    <t>Programas turísticos, actas de compromiso, informes de ejecución</t>
  </si>
  <si>
    <t>Secretaría de Desarrollo Economico y Competitividad</t>
  </si>
  <si>
    <t>gremios y operadores turísticos</t>
  </si>
  <si>
    <t xml:space="preserve">Promoción de mecanismos de diseño y seguimiento a la accesibilidad con participación ciudadana </t>
  </si>
  <si>
    <t>Número de veedurías conformadas</t>
  </si>
  <si>
    <t>Acta de conformación, informes de gestión de la veeduría</t>
  </si>
  <si>
    <t>Secretaría de Infraestructura</t>
  </si>
  <si>
    <t xml:space="preserve"> Secretaría de Desarrollo Social Comité municipal de discapacidad – ONGs</t>
  </si>
  <si>
    <t>Educación ciudadana en accesibilidad universal y manejo de la discapacidad</t>
  </si>
  <si>
    <t>Porcentaje de instituciones en programa de capacitación</t>
  </si>
  <si>
    <t>Número de Programas de educación</t>
  </si>
  <si>
    <t>Diseño, construcción y señalización accesible de espacio e infraestructura pública.</t>
  </si>
  <si>
    <t>Porcentaje de infraestructura con criterios mencionados</t>
  </si>
  <si>
    <t>Informes de ejecución de obras</t>
  </si>
  <si>
    <t xml:space="preserve"> Instituto de Movilidad</t>
  </si>
  <si>
    <t>Adecuación accesible a los sistemas de transporte y movilidad.</t>
  </si>
  <si>
    <t>Número de estrategias determinadas</t>
  </si>
  <si>
    <t>las rutas alimentadoras no son accesibles</t>
  </si>
  <si>
    <t>Estrategias diseñadas, informes de ejecución</t>
  </si>
  <si>
    <t>Promoción de vivienda digna y accesible.</t>
  </si>
  <si>
    <t>% de viviendas accesibles otorgadas</t>
  </si>
  <si>
    <t>Actas de entrega</t>
  </si>
  <si>
    <t>Secretaría de Vivienda</t>
  </si>
  <si>
    <t>De la gestión en materia de vivienda prioritaria y de interese social que se haga</t>
  </si>
  <si>
    <t>% de viviendas adecuadas según plan</t>
  </si>
  <si>
    <t>Actas de entrega, informes de mejoramiento de vivienda</t>
  </si>
  <si>
    <t>Investigación e inclusión de la accesibilidad universal en los procesos de planificación municipal</t>
  </si>
  <si>
    <t>Número de planes maestros de accesibilidad aprobados</t>
  </si>
  <si>
    <t>Actos administrativos, informes de ejecución</t>
  </si>
  <si>
    <t>número de planes de ordenamiento  con criterios de accesibilidad</t>
  </si>
  <si>
    <t>Número de documentos aportados al sistema de planeación</t>
  </si>
  <si>
    <t>Implementación de estrategias para el desarrollo de tecnologías de la información y la comunicación accesibles.</t>
  </si>
  <si>
    <t>% de páginas web accesibles</t>
  </si>
  <si>
    <t>Páginas web</t>
  </si>
  <si>
    <t>Secretaría de las TIC</t>
  </si>
  <si>
    <t>Programas de televisión</t>
  </si>
  <si>
    <t>Secretaría de Comunicaciones</t>
  </si>
  <si>
    <t>Número de planes de TICs accesibles</t>
  </si>
  <si>
    <t>Informes de ejecución de planes</t>
  </si>
  <si>
    <t>Número de grupos de investigación en Tics - COLCIENCIAS</t>
  </si>
  <si>
    <t>Informes de gestión de grupos, investigaciones, reportes de Colciencias</t>
  </si>
  <si>
    <t>INCLUSIÓN LABORAL</t>
  </si>
  <si>
    <t>Desarrollar procesos de inclusión laboral y emprendimiento dirigidos a personas con discapacidad, sus familias o cuidadores.</t>
  </si>
  <si>
    <t xml:space="preserve">Promoción de la inclusión laboral. </t>
  </si>
  <si>
    <t>Número de campañas de información de beneficios</t>
  </si>
  <si>
    <t>Hay campañas pero no lideradas por el municipio</t>
  </si>
  <si>
    <t>porcentaje de empresas con personas con discapacidad laborando</t>
  </si>
  <si>
    <t>Secretaría de desarrollo social y político - Ministerio de la protección social (Risaralda) - Gremios.</t>
  </si>
  <si>
    <t xml:space="preserve">Porcentaje de personas con discapacidad en la contratación del recurso humano de la administración municipal. </t>
  </si>
  <si>
    <t>Informes de contratación</t>
  </si>
  <si>
    <t>Secretaría Privada</t>
  </si>
  <si>
    <t>Se logra con gestión</t>
  </si>
  <si>
    <t>Número de programas de formación y capacitación</t>
  </si>
  <si>
    <t>El SENA tienen programas</t>
  </si>
  <si>
    <t xml:space="preserve">Número de Acuerdos municipales vigentes </t>
  </si>
  <si>
    <t>Acuerdos</t>
  </si>
  <si>
    <t>Secretaría de Hacienda 
Concejo Municipal</t>
  </si>
  <si>
    <t>Numero de programas de promoción del empleo enmarcado en RSE</t>
  </si>
  <si>
    <t>Secretaría de desarrollo social 
Gremios</t>
  </si>
  <si>
    <t>Fortalecimiento de las capacidades de empleabilidad y emprendimiento de cuidadores, cuidadoras y personas con discapacidad.</t>
  </si>
  <si>
    <t>Número de centros funcionando</t>
  </si>
  <si>
    <t>Número de sistemas de evaluación</t>
  </si>
  <si>
    <t>número emprendimientos nuevos</t>
  </si>
  <si>
    <t>número emprendimientos con capital semilla</t>
  </si>
  <si>
    <t>Desarrollo social - SENA - Comité Municipal de discapacidad</t>
  </si>
  <si>
    <t>Número de microcréditos aprobados</t>
  </si>
  <si>
    <t>Informes de ejecución, desembolsos, reportes de seguimiento y asistencia técnica</t>
  </si>
  <si>
    <t>Presupuesto (en millones de pesos)
2018</t>
  </si>
  <si>
    <t>OBJETIVO ESTRATEGICO</t>
  </si>
  <si>
    <t xml:space="preserve">ENTIDADAD DE CONCURRENCIA </t>
  </si>
  <si>
    <t xml:space="preserve">1. RECONOCER EN EL SISTEMA MUNICIPAL DE DEPORTE; LA RECREACIÓN, LA EDUCACIÓN FÍSICA Y LA ACTIVIDAD FÍSICA.  </t>
  </si>
  <si>
    <t>Constitucion de la mesa intersectorial municipal DRAEF, para el fortalecimiento y visibilización de los organismos DRAEF, con base en los lineamientos nacionales.</t>
  </si>
  <si>
    <t>Mesa intersectorial municipal DRAEF</t>
  </si>
  <si>
    <t>Nro. Sectores involucrados en la constitución de la mesa intersectorial municipal DRAEF</t>
  </si>
  <si>
    <t>Gestión</t>
  </si>
  <si>
    <t>Comités municipales de Educación Física, Deporte, Recreación, Actividad Física y Escenarios</t>
  </si>
  <si>
    <t>Nro. De comités establecidos constituidos en las mesas intersectoriales municipales DRAEF</t>
  </si>
  <si>
    <t>2. ESTABLECER EL REGISTRO ÚNICO PARA LA INSCRIPCIÓN DE LOS ORGANISMOS PÚBLICOS Y PRIVADOS QUE CONFORMAN EL SISTEMA MUNICIPAL DEL DRAEF</t>
  </si>
  <si>
    <t>Registro de las organizaciones DRAEF (teniendo en cuenta los parámetros del RUN).</t>
  </si>
  <si>
    <t>Identificación, caracterización, clasificación, categorización, de los organismos del DRAEF</t>
  </si>
  <si>
    <t>Porcentaje de organismos DRAEF identificados, caracterizados, clasificados y categorizados</t>
  </si>
  <si>
    <t xml:space="preserve"> 100% identif icado s</t>
  </si>
  <si>
    <t>100% caract erizad os. 100% clasifi cados y   categ orizados</t>
  </si>
  <si>
    <t>100% clasifi cados y   categ orizados</t>
  </si>
  <si>
    <t>Secretaria de recreación y deporte</t>
  </si>
  <si>
    <t>Sistema georeferenciado para el sector DRAEF</t>
  </si>
  <si>
    <t>% de desarrollo del sistema georeferenciado para el sistema DRAEF</t>
  </si>
  <si>
    <t>Plataforma web para registro de los organismos y actores del DRAEF</t>
  </si>
  <si>
    <t>Plataforma web en funcionamiento para registro de los organismos y actores del DRAEF</t>
  </si>
  <si>
    <t>secretaria de desarrollo administrativo</t>
  </si>
  <si>
    <t>Software de registro e inscripción, actualización de organismos del sector DRAEF</t>
  </si>
  <si>
    <t>Software en funcionamiento para registro e inscripción, actualización de organismos del sector DRAEF</t>
  </si>
  <si>
    <t xml:space="preserve">Secretaria de recreación y deporte, </t>
  </si>
  <si>
    <t>3. DESCENTRALIZAR Y FORTALECER LA PRESENCIA INSTITUCIONAL DEL ESTADO Y DE LAS ORGANIZACIONES DE LA SOCIEDAD CIVIL.</t>
  </si>
  <si>
    <t>Promoción y fortalecimiento de organizaciones voluntarias para el fomento de la recreación, la actividad fisica y el deporte social comunitario</t>
  </si>
  <si>
    <t>Crear y/o fortalecer los comités, clubes y organizaciones comunitarias, para que promocionen y desarrollen programas de Deporte, Recreación y Actividad Física en las comunas.</t>
  </si>
  <si>
    <t>Nro de comites y clubes comunitarios creadas</t>
  </si>
  <si>
    <t>6 comites 10 clubes</t>
  </si>
  <si>
    <t>6comites 10 clubes</t>
  </si>
  <si>
    <t>7comites 10 clubes</t>
  </si>
  <si>
    <t>%de comites y clubes fortalecidos</t>
  </si>
  <si>
    <t>Fortalecimiento del proyecto cogestores</t>
  </si>
  <si>
    <t>Crear redes interinstitucionales a nivel comunitario</t>
  </si>
  <si>
    <t>Nro de redes interinstitucionales creadas</t>
  </si>
  <si>
    <t>Secretaria de recreación y deporte, organizaciones civiles, otras secretarias</t>
  </si>
  <si>
    <t>Asignar a comuna y corregimiento cogestores de desarrollo.</t>
  </si>
  <si>
    <t>Nro de cogestores asignados</t>
  </si>
  <si>
    <t>Secretaria de recreación y deporte, secretaria jurídica</t>
  </si>
  <si>
    <t>4. CREAR EL OBSERVATORIO MUNICIPAL DE LA POLÍTICA PÚBLICA PARA EL DEPORTE, LA RECREACIÓN, LA EDUCACIÓNFÍSICA, Y LA ACTIVIDAD FÍSICA</t>
  </si>
  <si>
    <t>Fortalecimiento del observatorio DRAEF</t>
  </si>
  <si>
    <t>Articular el observatorio a la mesa intersectorial.</t>
  </si>
  <si>
    <t>Nro. de acciones desarrolladas entre el observatorio y la mesa intersectorial para la articulación</t>
  </si>
  <si>
    <t>Observatorio DRAEF oficializado</t>
  </si>
  <si>
    <t>Observatorio formalizado para darle vida legal al observatorio DRAEF</t>
  </si>
  <si>
    <t>Secretaria de recreación y deporte, observatorio, mesa intersectorial</t>
  </si>
  <si>
    <t>Convenios con universidades y entidades públicas y privadas.</t>
  </si>
  <si>
    <t>Nro. de convenios establecidos para el fortalecimiento del observatorio DRAEF</t>
  </si>
  <si>
    <t>Vinculacion del observatorio a redes académicas, científicas y de observatorios</t>
  </si>
  <si>
    <t>Nro. de vinculaciones a redes académicas, científicas y de observatorios</t>
  </si>
  <si>
    <t>Talento humano y recursos asignados</t>
  </si>
  <si>
    <t>Nro. de profesionales contratados para su funcionamiento</t>
  </si>
  <si>
    <t>5. ACREDITAR EL TALENTO HUMANO Y LOS SERVICIOS DRAEF, DE LOS ORGANISMOS QUE CONFORMAN EL SISTEMA MUNICIPAL DEL DRAEF</t>
  </si>
  <si>
    <t>Implementacion del sistema de acreditación del talento humano y de los servicios de los actores DRAEF</t>
  </si>
  <si>
    <t>Determinar los parámetros mínimos de acreditación</t>
  </si>
  <si>
    <t>Nro. de parámetros establecidos para la implementación del sistema de acreditación del talento humano y de los servicios de los actores DRAEF</t>
  </si>
  <si>
    <t>Poner en funcionamiento el sistema de acreditación</t>
  </si>
  <si>
    <t>N. de personas y servicios acreditados para poner en funcionamiento el sistema de acreditación</t>
  </si>
  <si>
    <t xml:space="preserve">Secretaria de recreación y deporte, academia,
Sena
</t>
  </si>
  <si>
    <t>6. PROMOVER EL RECONOCIMIENTO DRAEF ENTRE LOS ORGANISMOS SISTEMA</t>
  </si>
  <si>
    <t>Implementeación del sistema de reconocimiento</t>
  </si>
  <si>
    <t>Determinar los parámetros de reconocimiento</t>
  </si>
  <si>
    <t>Nro. de estudios realizados para determinar los parámetros de reconocimiento</t>
  </si>
  <si>
    <t>Fortalecer la asistencia tecnica y seguimiento</t>
  </si>
  <si>
    <t>Poner en funcionamiento el sistema</t>
  </si>
  <si>
    <t>Proceso implementado para poner en funcionamiento el sistema de reconocimiento</t>
  </si>
  <si>
    <t>N.E</t>
  </si>
  <si>
    <t>Secretaria de recreación y deporte, academia</t>
  </si>
  <si>
    <t>Incrementar el número de profesionales para la asistencia técnica y el seguimiento</t>
  </si>
  <si>
    <t>N de profesionales contratados para la asistencia técnica y el seguimiento</t>
  </si>
  <si>
    <t>7. MANTENER CANALES EFECTIVOS DE COMUNICACIÓN DESDE Y ENTRE LOS DISTINTOS COMPONENTES DEL SISTEMA MUNICIPAL DEL SECTOR DRAEF</t>
  </si>
  <si>
    <t>Desarrollo de mercadeo social del DRAEF</t>
  </si>
  <si>
    <t>Creación de la página web y blogs, para la comunicación la información y participación</t>
  </si>
  <si>
    <t xml:space="preserve">Pagina web y n. blogs creados </t>
  </si>
  <si>
    <t>Realizar alianzas con los canales de comunicación de universidades, televisión y radio regionales y comunitarios.</t>
  </si>
  <si>
    <t xml:space="preserve">Nro. de alianzas realizadas </t>
  </si>
  <si>
    <t xml:space="preserve">Secretaria de recreación y deporte </t>
  </si>
  <si>
    <t>Implementar la metodología IEC (información, Educación. comunicación)</t>
  </si>
  <si>
    <t>% de aplicación de la metodología por sub sectores</t>
  </si>
  <si>
    <t>Secretaria de recreación y deporte, canales regionales, emisoras</t>
  </si>
  <si>
    <t>8. FORTALECER LA SECRETARIA MUNICIPAL DE RECREACION Y DEPORTE</t>
  </si>
  <si>
    <t>Modernización de la estructura administrativa.</t>
  </si>
  <si>
    <t>Adecuar la estructura administrativa de la secretaria acorde a la politica publica DRAEF</t>
  </si>
  <si>
    <t xml:space="preserve">Nro. de funcionarios de planta asignados a la secretaria </t>
  </si>
  <si>
    <t>secretaria de salud</t>
  </si>
  <si>
    <t>Mejorar y adecuar las instalaciones donde funciona la secretaria.</t>
  </si>
  <si>
    <t>Asignacion de recursos de funcionamiento.</t>
  </si>
  <si>
    <t>Asignar recurso para la adquisición de muebles y equipos de sistemas y comunicaciones para el desarrollo de la secretaria</t>
  </si>
  <si>
    <t>Presupuesto suficiente asignado</t>
  </si>
  <si>
    <t>Realizar los estudios, para la creación e implementación de indicadores del sector DRAEF</t>
  </si>
  <si>
    <t xml:space="preserve">Nro. de estudios realizados </t>
  </si>
  <si>
    <t>Realizar convenios interinstitucionales con la academia, instituciones públicas y privadas para el desarrollo de programas de investigación - formación y extensión.</t>
  </si>
  <si>
    <t xml:space="preserve">Nro. de convenios interinstitucionales realizados </t>
  </si>
  <si>
    <t>Resultado</t>
  </si>
  <si>
    <t>Secretaria de recreación y deporte, academia, Sena</t>
  </si>
  <si>
    <t xml:space="preserve">Elaborar el mapa deportivo, recreativo y de actividad física de Pereira </t>
  </si>
  <si>
    <t>Mapa deportivo, recreativo y de actividad Física de Pereira elaborado</t>
  </si>
  <si>
    <t>Secretaria de recreación y deporte, academia, empresas públicas y privadas</t>
  </si>
  <si>
    <t>Establecer la muestra maestra para la investigación DRAEF</t>
  </si>
  <si>
    <t>Muestra maestra establecida para la investigación DRAEF</t>
  </si>
  <si>
    <t>Secretaria de recreación y deporte, Academia, grupos de investigación</t>
  </si>
  <si>
    <t>Realizar bienalmente la encuesta de Hábitos y estilos de vida saludable en la población pereirana</t>
  </si>
  <si>
    <t xml:space="preserve">Nro de encuestas realizadas </t>
  </si>
  <si>
    <t>Creación del programa de formación para el deporte, la recreación, la educación fisica y la actividad fisica. (en asocio con la mesa intersectorial, la academia y los institutos oara el trabajo y el desarrollo humano)</t>
  </si>
  <si>
    <t>Realizar estudios para determinar el perfil deportivo de altos logros del municipio</t>
  </si>
  <si>
    <t>Nro. estudios realizados</t>
  </si>
  <si>
    <t xml:space="preserve">Realizar alianzas estratégicas con la academia e instituciones públicas y privadas para el desarrollo del programa de investigación </t>
  </si>
  <si>
    <t>Nro. de aliaznas</t>
  </si>
  <si>
    <t>Implementar el programa municipal de capacitación para los actores y organismos del DRAEF (cursos, seminarios, diplomados)</t>
  </si>
  <si>
    <t>Programa municipal de capacitación implementado</t>
  </si>
  <si>
    <t>Capacitar en aspectos técnicos, administrativos, financieros y de gestion a los líderes de cada comunidad.</t>
  </si>
  <si>
    <t xml:space="preserve">No de capacitaciones desarrolladas </t>
  </si>
  <si>
    <t xml:space="preserve">Secretaria de recreación y deporte, academia, organizaciones sociales y civiles,
</t>
  </si>
  <si>
    <t>secretaria de educación</t>
  </si>
  <si>
    <t>Implementar la formación continuada en administración y gestión para integrantes de los clubes Deportivos.</t>
  </si>
  <si>
    <t>No de cursos de formación desarrollados</t>
  </si>
  <si>
    <t>10. GARANTIZAR LA PARTICIPACION CIUDADANA EN EL DESARROLLO DE LA POLITICA PUBLICA</t>
  </si>
  <si>
    <t>Promocion de la participacion comunitaria en el sector draef</t>
  </si>
  <si>
    <t>Implementar veedurías ciudadanas en las comunas.</t>
  </si>
  <si>
    <t>Nro. de veedurías implementadas</t>
  </si>
  <si>
    <t>Producto</t>
  </si>
  <si>
    <t>Presentar la rendición de cuentas del sector DRAEF, a las comunas y corregimientos</t>
  </si>
  <si>
    <t>Realizar Foros permanente de la política pública DRAEF</t>
  </si>
  <si>
    <t>Nro. de foros realizados</t>
  </si>
  <si>
    <t>11. OPTIMIZAR EL USO DE LOS RECURSOS DEL SECTOR.</t>
  </si>
  <si>
    <t>Implementar macro proyectos DRAEF de ciudad.</t>
  </si>
  <si>
    <t>Articulación funcional del sector con otros sectores (publico, privado y organizaciones sociales)</t>
  </si>
  <si>
    <t>Nro. de macro proyectos de ciudad implementados</t>
  </si>
  <si>
    <t>Determinacion de las zonas donde se requiere construir escenarios Deportivos y recreativos de acuerdo al POT y a las normas urbanísticas y ambientales</t>
  </si>
  <si>
    <t>Realizar la actualización del inventario de espacios recreo Deportivos de la ciudad, para determinar las zonas más necesitadas de estos</t>
  </si>
  <si>
    <t>Nro. de estudios realizados</t>
  </si>
  <si>
    <t>Articulacion con los organismos de planificacion urbanistica municipal</t>
  </si>
  <si>
    <t>Construir unidades integrales DRAEF en ejes principales (que garanticen accesibilidad, usabilidad, equipamento, segurabilidad) de acuerdo al POT y a las UPE.</t>
  </si>
  <si>
    <t xml:space="preserve">Nro. de unidades integrales construidas </t>
  </si>
  <si>
    <t>Articulacion con el Departamento en materia de escenarios DRAEF</t>
  </si>
  <si>
    <t>Desarrollar estrategias comunes para la contruccion, mantenimiento y/o adecuacion de escenarios deportivos en especial del deporte convencional y paralimpico</t>
  </si>
  <si>
    <t xml:space="preserve">Nro. de estrategias comunes desarrolladas </t>
  </si>
  <si>
    <t>Implementacion del presupuesto participativo del sector DRAEF</t>
  </si>
  <si>
    <t>Generar el proyecto de presupuesto participativo del sistema municipal DRAEF desde la mesa intersectorial</t>
  </si>
  <si>
    <t>Nro. de proyectos generados</t>
  </si>
  <si>
    <t>Secretaria de infraestructura departamental</t>
  </si>
  <si>
    <t>Articulación de la política pública DRAEF con las políticas públicas de discapacidad, etnodesarrollo, comunidades indígenas, desplazados, niñez y juventud del municipio</t>
  </si>
  <si>
    <t>Implementar en la política pública DRAEF las acciones correspondientes de las políticas públicas de discapacidad, etnodesarrollo, comunidades indígenas, desplazados, niñez y juventud del municipio</t>
  </si>
  <si>
    <t>Nro. de articulación con políticas pública del municipio</t>
  </si>
  <si>
    <t xml:space="preserve">Secretaria de recreación y deporte
</t>
  </si>
  <si>
    <t>secretaria de planeación</t>
  </si>
  <si>
    <t>12. GENERAR FUENTES DE INGRESOS PARA EL SECTOR DRAEF.</t>
  </si>
  <si>
    <t>Búsqueda de nuevas fuentes de financiación del sistema DRAEF.</t>
  </si>
  <si>
    <t>Realizar estudios para determinar a nivel nacional, regional y local diferentes fuentes de financiación (recursos de la ley de regalías, por ejemplo)</t>
  </si>
  <si>
    <t>Estudiar la viabilidad de establecer la estampilla pro-DRAEF.</t>
  </si>
  <si>
    <t xml:space="preserve">Nro. de estudios de Viabilidad </t>
  </si>
  <si>
    <t>Recuperar los recursos que ingresan por concepto de taquilla y alquiler de espacios deportivos, los cuales deben ser destinados para los mismos escenarios</t>
  </si>
  <si>
    <t>13. CREAR EL FONDO SOCIAL DE INFRAESTRUCTURA DEPORTIVA Y RECREATIVA MUNICIPAL.</t>
  </si>
  <si>
    <t>Creación del fondo social municipal para garantizar el mantenimiento y construcción de infraestructura básica social para la práctica del DRAEF</t>
  </si>
  <si>
    <t>Realizar la abogacía para la constitución del fondo social, ante el gobierno municipal.</t>
  </si>
  <si>
    <t>Constitución del fondo social</t>
  </si>
  <si>
    <t xml:space="preserve">Secretaria de recreación y deporte
</t>
  </si>
  <si>
    <t>14. PROMOVER LA VINCULACIÓN DE LA EMPRESA PRIVADA Y EL SECTOR PÚBLICO EN LA FINANCIACIÓN DEL SECTOR.</t>
  </si>
  <si>
    <t>Generacion del programa de alianza estratégica para apoyo al DRAEF “empresarios por el DRAEF".</t>
  </si>
  <si>
    <t>Crear una oficina o unidad encargadas de fomentar las alianzas estratégicas y convenios interinstitucionales, investigaciones y convocatorias en torno al sector DRAEF</t>
  </si>
  <si>
    <t>Unidad creada encargada de fomentar las alianzas estratégicas y convenios interinstitucionales, investigaciones y convocatorias en torno al sector DRAEF</t>
  </si>
  <si>
    <t>secretaria de hacienda</t>
  </si>
  <si>
    <t>Desarrollar una estrategia de marketing y responsabilidad social empresarial.</t>
  </si>
  <si>
    <t>Nro. de estrategias de marketing y responsabilidad social empresarial desarrolladas</t>
  </si>
  <si>
    <t xml:space="preserve">Secretaria de recreación y deporte  </t>
  </si>
  <si>
    <t>Apadrinamiento de la empresa privada para la construcción y mantenimiento de la infraestructura DRAEF</t>
  </si>
  <si>
    <t>Nro. de empresas vinculadas para la construcción y mantenimiento de la infraestructura DRAEF</t>
  </si>
  <si>
    <t>Secretaria de recreación y deporte, acción social</t>
  </si>
  <si>
    <t>Articular las cooperativas para el financiamiento del sistema municipal DRAEF a través de los excedentes financieros</t>
  </si>
  <si>
    <t>Nro. de cooperativas articuladas para el financiamiento del sistema municipal DRAEF a través de los excedentes financieros</t>
  </si>
  <si>
    <t xml:space="preserve">Secretaria de recreación y deporte,
academia, empresa privada
</t>
  </si>
  <si>
    <t>Unidad de proyectos de cooperación para el desarrollo de proyectos DRAEF</t>
  </si>
  <si>
    <t>Alianzas de cooperación con agencias y organismos a todo nivel para el desarrollo de proyectos DRAEF</t>
  </si>
  <si>
    <t>Iniciativas conjuntas de cooperación, en asocio con la mesa intersectorial para el desarrollo de proyectos DRAEF.</t>
  </si>
  <si>
    <t>Nro. de iniciativas conjuntas de cooperación, en asocio con la mesa intersectorial para el desarrollo de proyectos DRAEF presentadas</t>
  </si>
  <si>
    <t>acción social</t>
  </si>
  <si>
    <t>16. GARANTIZAR LA INFRAESTRUCTURA PARA LA PRÁCTICA DE LA ACTIVIDAD FÍSICA, EL DEPORTE Y LA RECREACIÓN</t>
  </si>
  <si>
    <t>Establecimiento del plan maestro de equipamentos deportivos y recreativos.</t>
  </si>
  <si>
    <t>Realizar las acciones para la elaborar e Implementar el plan maestro de equipamentos deportivos y recreativos.</t>
  </si>
  <si>
    <t>Plan maestro elaborado e implementado</t>
  </si>
  <si>
    <t>Secretaria de recreación y deportes, mesa intersectorial</t>
  </si>
  <si>
    <t>Recuperacion de la gobernabilidad de los escenarios deportivos y recreativos por parte de la administracion municipal</t>
  </si>
  <si>
    <t>Implementar el plan unico de administracion de escenarios deportrivos y recreativos</t>
  </si>
  <si>
    <t xml:space="preserve">Plan implementado </t>
  </si>
  <si>
    <t>Secretaria de recreación y deportes</t>
  </si>
  <si>
    <t>Acción social, Academia</t>
  </si>
  <si>
    <t>Evaluar y determinar la viabilidad de la continuacion de los comodatos.</t>
  </si>
  <si>
    <t>Nr comodatos evaluados</t>
  </si>
  <si>
    <t xml:space="preserve">Sec recreación y deporte
</t>
  </si>
  <si>
    <t>Construcción, dotación y mantenimiento de instalaciones y escenarios para el deporte social comunitario, la recreacion y la actividad fisica. De acuerdo con las necesidades de las comunas y corregimientos</t>
  </si>
  <si>
    <t>Construir unidades comunitarias integrales, Deportivas, Recreativas y culturales (UCI), (zonas recreativas, gimnasios comunitarios y al aire libre, lucotecas, placas deportivas) en las comunas y corregimientos con déficit de espacios, con criterios de inclusion y accesibilidad, usabilidad, organizacion, supervision y  equipamiento</t>
  </si>
  <si>
    <t>Nro. Unidades comunitarias integrales construidas</t>
  </si>
  <si>
    <t>Secretaria de   recreación y deporte</t>
  </si>
  <si>
    <t>Adecuar y mantener los escenarios e instalaciones draef del Municipio.</t>
  </si>
  <si>
    <t>Escenarios e instalacione Adecuar y mantenidos</t>
  </si>
  <si>
    <t xml:space="preserve">secretaria jurídica, Infraestruc tura y Secretaria de   recreación
y deporte
</t>
  </si>
  <si>
    <t>Articulación con las entidades estatales responsables de garantizar la generación de espacios DRAEF</t>
  </si>
  <si>
    <t>Coordinar con gestión inmobiliaria y secretarias de infraestructura, secretaria y planeación  la implementación del control y seguimiento para garantizar la generación de espacios, la construcción y mantenimiento de instalaciones DRAEF de acuerdo a las normatividades existentes.</t>
  </si>
  <si>
    <t>Equipo constituido</t>
  </si>
  <si>
    <t>Sec recreación y deporte</t>
  </si>
  <si>
    <t>Sec de gestión inmobiliari a,    Secretaría de   infraestructura</t>
  </si>
  <si>
    <t>Dotación y mantenimiento de instalaciones y escenarios de acuerdo con las exigencias reglamentarias y de alta tecnología del deporte de rendimiento, convencional y paralimpico</t>
  </si>
  <si>
    <t>Dotar y mantener instalaciones DRAEF de acuerdo con las exigencias reglamentarias y de alta tecnología del deporte contemporáneo.</t>
  </si>
  <si>
    <t xml:space="preserve">Instalaciones DRAEF, Construidas y dotadas </t>
  </si>
  <si>
    <t>Sec de gestión inmobiliaria, Secretaría de   infraestructura.</t>
  </si>
  <si>
    <t>17. FOMENTAR LAS PRÁCTICAS DEL DEPORTE SOCIAL COMUNITARIO EN SUS MÚLTIPLES MANIFESTACIONES, CON CRITERIOS DE INCLUSIÓN.</t>
  </si>
  <si>
    <t>Fomento a programas y eventos de deporte social comunitario</t>
  </si>
  <si>
    <t>Implementar las acciones propuestas entorno al deporte comunitario, en la política pública municipal de discapacidad. etnodesarrollo, comunidades indígenas, niñez y juventud.</t>
  </si>
  <si>
    <t>% Acciones de políticas publicas Municipales articuladas con la política Publica del DRAEF</t>
  </si>
  <si>
    <t xml:space="preserve">Sec recreación y deporte </t>
  </si>
  <si>
    <t>Crear el programa "glorias de deporte" para los deportistas representativos del municipio lleven el mensaje, de la práctica del DRAEF)</t>
  </si>
  <si>
    <t>secretaria de    recreación y deporte</t>
  </si>
  <si>
    <t xml:space="preserve">involucrados delas políticas públicas </t>
  </si>
  <si>
    <t>Implementar las escuelas Deportivas populares para la convivencia (todos los segmentos poblacionales).</t>
  </si>
  <si>
    <t>18. FORTALECER EL DEPORTE ESTUDIANTIL EN SUS MÚLTIPLES MANIFESTACIONES.</t>
  </si>
  <si>
    <t>Fomento y promoción del Deporte escolar</t>
  </si>
  <si>
    <t>Realizar los festivales escolares y juegos intercolegiados diurnos y nocturnos</t>
  </si>
  <si>
    <t>Festivales y juegos realizados</t>
  </si>
  <si>
    <t>Fomentar la creación de clubes en las instituciones educativas</t>
  </si>
  <si>
    <t>Clubes en las instituciones educativos creados</t>
  </si>
  <si>
    <t>Promover el deporte escolar extracurricular en las instituciones educativas</t>
  </si>
  <si>
    <t xml:space="preserve">Nro instituciones educativas </t>
  </si>
  <si>
    <t>Asegurar la preparación y participación de los colegios de Pereira en juegos Departamentales y Nacionales</t>
  </si>
  <si>
    <t>Programas de preparación implementados</t>
  </si>
  <si>
    <t>Fomento y promoción del Deporte Universitario.</t>
  </si>
  <si>
    <t>Realizar los juegos deportivos de las instituciones de educación superior</t>
  </si>
  <si>
    <t>Instituciones de educación superior participantes de los Juegos Deportivos</t>
  </si>
  <si>
    <t>Fomentar la creación de los clubes educativos en las instituciones de educación superior</t>
  </si>
  <si>
    <t>Clubes Educativos en las instituciones de educación superior creados</t>
  </si>
  <si>
    <t>Asegurar el ingreso y sostenibilidad en la universidad de los deportisas de rendimiento</t>
  </si>
  <si>
    <t>No. Deportistas de alto rendimiento beneficiados con el ingreso y sostenibilidad en la universidad asegurado</t>
  </si>
  <si>
    <t>Realizar seguimiento a la promoción de deporte, recreación y actividad fisica en las instituciones de educación superior</t>
  </si>
  <si>
    <t>No instituciones que realizan seguimiento a la promoción de deporte, recreación y actividad física en las instituciones de educación superior</t>
  </si>
  <si>
    <t>19. FOMENTAR Y DESARROLLAR LA RECREACIÓN, CON CRITERIOS DE INCLUSIÓN.</t>
  </si>
  <si>
    <t>Promoción de programas y eventos recreativos en las comunidades</t>
  </si>
  <si>
    <t>Implementar las acciones propuestas en materia de recreación, en la política pública municipal de discapacidad. etnodesarrollo, comunidades indígenas, niñez y juventud.</t>
  </si>
  <si>
    <t>%. Acciones de políticas públicas municipales articuladas con la política Publica del DRAEF</t>
  </si>
  <si>
    <t>Secretaria de Educación</t>
  </si>
  <si>
    <t>Implementar programas recreativos comunitarios para el desarrollo de la convivencia.</t>
  </si>
  <si>
    <t>Realizar proyectos recreativos de ciudad y eventos masivos, en coordinación con los sectores públicos, privados y comunitarios en conmemoraciones internacionales y nacionales ( día de la inclusión, mes de la niñez y la recreación niños, festivales navideños, novenas navideñas)</t>
  </si>
  <si>
    <t>Proyectos recreativos de ciudad y eventos masivos realizados</t>
  </si>
  <si>
    <t>Implementar el programa ludotecas en las comunas y corregimientos.</t>
  </si>
  <si>
    <t>Nro. De comunas y corregimientos beneficiados en el programa de ludotecas</t>
  </si>
  <si>
    <t>Promoción de la recreación en las instituciones educativas de todo nivel</t>
  </si>
  <si>
    <t>Realizar los juegos recreativos para la básica primaria y secundaria, con actividades orientadas al desarrollo de la inclusión social y fortalecer la convivencia y la paz.</t>
  </si>
  <si>
    <t>% de instituciones participantes en los juegos recreativos realizados</t>
  </si>
  <si>
    <t>Implementar programas recreativos para el desarrollo de la convivencia escolar ( escuelas de convivencia y escuelas alfa)</t>
  </si>
  <si>
    <t>Nro. Instituciones beneficiadas con el programas recreativos para el desarrollo de la convivencia escolar</t>
  </si>
  <si>
    <t>Realizar en coordinación con los sectores públicos, privados y comunitarios los juegos recreativos universitarios.</t>
  </si>
  <si>
    <t>Nro. De instituciones de educación superior participantes de los juegos recreativos universitarios.</t>
  </si>
  <si>
    <t>Implementar, a través de la mesa intersectorial, la escuela para la convivencia orientada al desarrollo de competencias ciudadanas en el parque del café.</t>
  </si>
  <si>
    <t>Escuela de convivencia orientada al desarrollo de competencias ciudadanas en el parque del café implementada</t>
  </si>
  <si>
    <t>Realizar proyectos de ciudad, en coordinación con los sectores públicos, privados y comunitarios.</t>
  </si>
  <si>
    <t>Implementar las acciones propuestas en materia de actividad Física, en la política pública municipal de discapacidad. etnodesarrollo, comunidades indígenas, desplazados, niñez y juventud.</t>
  </si>
  <si>
    <t>Implementar programas de actividad Física empresariales y comunitarios para el desarrollo hábitos de vida saludables ( ciclo paseos, clubes de caminantes, grupos de actividad Física )</t>
  </si>
  <si>
    <t>Nro. Empresas en el programa de actividad Física empresariales y comunitarios para el desarrollo hábitos de vida saludables</t>
  </si>
  <si>
    <t>Fomento de espacios de encuentro ciudadano para la práctica de la actividad Física auto dirigida (canchas utp, la villa olímpica, jardín botánico, parque del café, Olaya herrera)</t>
  </si>
  <si>
    <t>Nro. De espacios encuentro ciudadano para la práctica de la actividad Física implementados</t>
  </si>
  <si>
    <t>Implementar programas de actividad Física comunitarios en los grandes escenarios Deportivos de la ciudad (coliseo mayor, coliseo menor, piscinas olímpicas, parque del oso, coliseo de cuba)</t>
  </si>
  <si>
    <t>Nro. programas de actividad Física comunitarios en los grandes escenarios Deportivos implementados</t>
  </si>
  <si>
    <t>secretaria de    educación, instituciones educativas</t>
  </si>
  <si>
    <t>Implementar en las diferentes comunidades programas de actividad física, deporte y recreación tipo Recreo Vías,Ciclovias.</t>
  </si>
  <si>
    <t>Nro. programas de actividad física, deporte y recreación en las diferentes comunidades implementados</t>
  </si>
  <si>
    <t>Implementar proyectos de promoción de Hábitos de Vida Saludables y prevención de ECNT a través de la actividad Física en conjunto con el sector salud (con eps, ips,arp) y la academia.</t>
  </si>
  <si>
    <t>Nro. proyectos de promoción de Hábitos de Vida Saludables y prevención de ECNT</t>
  </si>
  <si>
    <t>secretaria de    recreación y deporte.</t>
  </si>
  <si>
    <t>Realizar eventos masivos, en las fechas y conmemoraciones a nivel internacional, nacional, regionales y municipales, articulados a procesos continúo de participación de las comunidades en programas de actividad física y recreacion. Estos eventos se realizaran en asocio con actores públicos y privados (caminata de discapacitados, carnaval del adulto mayor, carrera de la mujer, día mundial de la actividad Física, la mujer, de hvs, la obesidad; día nacional de la inclusión, discapacidad)</t>
  </si>
  <si>
    <t>Nro.de eventos masivos a realizar, en las fechas y conmemoraciones</t>
  </si>
  <si>
    <t>Promoción de la actividad Física en las instituciones educativas de todo nivel</t>
  </si>
  <si>
    <t>Implementar, en asocio con la caja de compensación, las jornadas escolares complementarias para la promoción de HVS, actividad física, deporte y recreación.</t>
  </si>
  <si>
    <t>Nro. De instituciones beneficiadas programa de jornadas escolares complementarias, implementado</t>
  </si>
  <si>
    <t xml:space="preserve">secretaria de    recreación y deporte </t>
  </si>
  <si>
    <t>Promocionar y fortalecer los proyectos obligatorios de uso del tiempo libre de las instituciones educativas de básica primaria  y educacion superior</t>
  </si>
  <si>
    <t>Nro. Instituciones con proyectos obligatorios de uso del tiempo libre</t>
  </si>
  <si>
    <t xml:space="preserve">secretaria de    recreación y deporte
</t>
  </si>
  <si>
    <t>secretaria de    educación, instituciones
educativas</t>
  </si>
  <si>
    <t>Elaborar e Implementar programas de actividad Física de acuerdo a los lineamientos de la política pública, en asocio con las instituciones de Educación superior e institutos para el trabajo, con el fin de promover HVS y el desarrollo humano.</t>
  </si>
  <si>
    <t>Numero de programas de actividad Física implementados</t>
  </si>
  <si>
    <t>secretaria de recreación y deporte</t>
  </si>
  <si>
    <t>empresa privada</t>
  </si>
  <si>
    <t>Vinculación a la red colombiana y americana de A.F</t>
  </si>
  <si>
    <t>Vincular la secretaria y los demas intergrantes de la mesa intersectorial, a las redes de actividad ( redcolaf, rafapana y agita mundo)</t>
  </si>
  <si>
    <t>Nro. Vinculadas a las redes de actividad ( Redcolaf, Rafapana y Agita mundo)</t>
  </si>
  <si>
    <t xml:space="preserve">secretaria de recreación y deporte
</t>
  </si>
  <si>
    <t>21. PROMOVER EL DESARROLLO DE LA EDUCACIÓN FÍSICA A PARTIR DE LOS PEI EN TODAS LAS INSTITUCIONES EDUCATIVAS DEL MUNICIPIO.</t>
  </si>
  <si>
    <t>fortalecimiento y seguimiento de los PEI (rurales y urbanos) que dinamicen procesos integrados e innovadores de articulación entre la actividad Física, la recreación y la Educación Física con los objetivos del plan municipal DRAEF</t>
  </si>
  <si>
    <t>Realizar capacitaciones en actualización en currículo y herramientas para la realización de la clase de Educación Física permitan integrar la niñez y juventud, buscando la práctica de DRAEF para promoción de los hábitos de vida saludable, habilidades para la vida y convivencia.</t>
  </si>
  <si>
    <t>Nro. De capacitaciones para la realización de la clase de Educación Física que permitan integrar la niñez y juventud.</t>
  </si>
  <si>
    <t>Realizar seguimiento a la educación física que apunte al desarrollo de los estándares y lineamientos curriculares del sector</t>
  </si>
  <si>
    <t>Nro. De instituciones en seguimiento a la educación física que apunte al desarrollo de los estándares y lineamientos curriculares del sector.</t>
  </si>
  <si>
    <t>involucrados dela políticas públicas y secretaria de recreación y deporte</t>
  </si>
  <si>
    <t>Promover la asistencia tecnica a las clases de Educación Física a través de un equipo técnico conjunto entre la mesa intersectorial.</t>
  </si>
  <si>
    <t>Nro. de instituciones asistidas</t>
  </si>
  <si>
    <t xml:space="preserve">secretaria de recreación y deporte </t>
  </si>
  <si>
    <t>empresa privada, sec de salud</t>
  </si>
  <si>
    <t>Gestionar acuerdos municipales para la vinculación de licenciados o profesionales de Educación Física en la básica primaria.</t>
  </si>
  <si>
    <t>Implementar a nivel municipal las pruebas de aptitud Física dentro de las pruebas saber y saber pro, con el fin de volver responsables a los mismo estudiantes de su condición física.</t>
  </si>
  <si>
    <t>Convertir las instituciones educativas en polos de desarrollo DRAEF, donde en sus instituciones converjan los clubes, ligas, ONG´s a desarrollar sus acciones.</t>
  </si>
  <si>
    <t>empresa privada y comunidad</t>
  </si>
  <si>
    <t>22. MEJORAR LOS LOGROS DEPORTIVOS DE PEREIRA EN LOS EVENTOS COMPETITIVOS, DEPARTAMENTALES Y NACIONALES DEL DEPORTE CONVENCIONAL Y PARALÍMPICO.</t>
  </si>
  <si>
    <t>Conformación de un grupo metodológico idóneo a nivel municipal, interdisciplinario (técnico - deportivo, psicológico, biomédico, nutricional, administrativo, jurídico y tributario) que asesore, acompañe, controle e implemente un plan municipal hacia altos logros deportivos</t>
  </si>
  <si>
    <t>Conformar el grupo metodológico de profesionales que asesore, acompañe, controle e implemente un plan municipal hacia los altos logros deportivos</t>
  </si>
  <si>
    <t>Nro. de profesionales contratados que asesore, acompañe, controle e implemente un plan municipal hacia los altos logros deportivos.</t>
  </si>
  <si>
    <t>empresa privada, sec de salud, EPS. ARP IPS</t>
  </si>
  <si>
    <t>Realizar convenios con las instituciones de Educación superior, empresa privada y pública para el desarrollo deportivo hacia altos logros</t>
  </si>
  <si>
    <t>Nro. de convenios con las instituciones de Educación superior, empresa privada y pública para el desarrollo deportivo hacia altos logros realizados</t>
  </si>
  <si>
    <t>Implementar un proceso de formación Deportiva permanente orientado a la selección de talentos desde el ente Municipal (escuela única deportiva)</t>
  </si>
  <si>
    <t>Proceso formación Deportiva permanente orientado a la selección de talentos</t>
  </si>
  <si>
    <t>caja de     compensació n familiar , instituciones educativas</t>
  </si>
  <si>
    <t>Establecer el sistema municipal de detección de talentos y preparación de reservas estratégicas del deporte de logros ( programa deportista apoyado municipal articulado con el ente departamental</t>
  </si>
  <si>
    <t>Sistema municipal de logros deportivos</t>
  </si>
  <si>
    <t>instituciones educativas</t>
  </si>
  <si>
    <t>Crear un sistema de competición deportivo municipal (sector educativo, festivales, encuentros, intercambios y juegos, juegos paralímpicos ) articulado con las competiciones departamentales y nacionales</t>
  </si>
  <si>
    <t>Sistema de competición deportivo municipal articulado con las competiciones departamentales y nacionales</t>
  </si>
  <si>
    <t>Articular las acciones del grupo metodológico al plan nacional de medicina Deportiva en lo que respecta al municipio. (con la secretaria departamental de recreación y deporte y la academia)</t>
  </si>
  <si>
    <t>Nro. de acciones articuladas del grupo metodológico al plan nacional de medicina Deportiva en lo que respecta al municipio.</t>
  </si>
  <si>
    <t>secretaria de recreación y deporte integrantes mesa intersectorial</t>
  </si>
  <si>
    <t>Implementación de los mecanismos de asignación de recursos de acuerdo a los parámetros técnicos y directrices desde la política pública.</t>
  </si>
  <si>
    <t>Realizar la clasificación y categorización de los clubes Deportivos a nivel técnico y administrativo</t>
  </si>
  <si>
    <t>Documento de clasificación y categorización de los clubes Deportivos a nivel técnico y administrativo.</t>
  </si>
  <si>
    <t xml:space="preserve">secretaria de recreación y deporte, </t>
  </si>
  <si>
    <t>Asignar recursos de acuerdo a los parámetros establecidos en la política pública</t>
  </si>
  <si>
    <t>Identificar el estado del deporte paralímpico en el municipio.</t>
  </si>
  <si>
    <t>Fortalecer los clubes paralímpicos del municipio</t>
  </si>
  <si>
    <t>Garantizar la sostenibilidad de los procesos de preparación y participación de los deportistas Pereiran@s en eventos</t>
  </si>
  <si>
    <t>Crear un plan de incentivos para el deportistas de Proyección y de rendimiento (Educación, seguridad social, transporte, trabajo)</t>
  </si>
  <si>
    <t>Plan de incentivos para el deportistas de Proyección y de rendimiento</t>
  </si>
  <si>
    <t>Vincular a la empresa privada con el apadrinamiento de los deportistas pereiranos en preparación y participación en eventos</t>
  </si>
  <si>
    <t>Crear la plataforma estratégica integral de mercadeo DRAEF para la gestión de recursos con las entidades privadas</t>
  </si>
  <si>
    <t>POLÍTICA PÚBLICA: DRAEF</t>
  </si>
  <si>
    <t>POLÍTICA PÚBLICA: INDIGENAS</t>
  </si>
  <si>
    <t>OBJETIVO GENERAL DE LA POLÍTICA: Mejorar  las condiciones de vida comunitaria de la población  indígena  asentada  en  la ciudad de  Pereira   para  el  desenvolvimiento  futuro  de su desarrollo  como  grupo social y cultural en un contexto de ciudad, preservando la identidad étnica y cultural a través de su cosmovisión y direccionado por medio de sus autoridades tradicionales, organizaciones y la administración municipal</t>
  </si>
  <si>
    <t>Proyección Presupuesto</t>
  </si>
  <si>
    <t>Actividad Física, Deporte y Recreación</t>
  </si>
  <si>
    <t>Desarrollar programas que fortalezcan la actividad física, recreación y deportes tradicionales de la comunidad indígena.</t>
  </si>
  <si>
    <t>Uso creativo del tiempo libre para las comunidades indígenas</t>
  </si>
  <si>
    <t>1. Desarrollar programas de actividad fisica y recreación para los grupos de los adultos mayores, jovenes, adolescentes y niños y niñas de las comunidades indígenas</t>
  </si>
  <si>
    <t>Numero de Programas realizados</t>
  </si>
  <si>
    <t>(07) uno por cada asentamiento</t>
  </si>
  <si>
    <t>Registro de participantes, registro fotografico</t>
  </si>
  <si>
    <t>Secretaría de Deporte y Recreación</t>
  </si>
  <si>
    <t xml:space="preserve">Fomento y difusión de  las expresiones tradicionales deportivas y culturales de la comunidad indígena </t>
  </si>
  <si>
    <t>2. Promoción de Programas para la difusión del deporte tradicional, así como las expresiones competitivas, recreativas y lúdicas de las comunidades indígenas</t>
  </si>
  <si>
    <t>3. Generación de programas para el fomento al  uso creativo del tiempo libre y apoyo a la difusión y preservación de las expresiones culturales de la comunidad como danza, pintura, vestuario y gastronomía propias.</t>
  </si>
  <si>
    <t xml:space="preserve">Secretaría de Cultura
</t>
  </si>
  <si>
    <t>Cabildo indígena</t>
  </si>
  <si>
    <t>Cultura</t>
  </si>
  <si>
    <t>Fortalecer las expresiones culturales de las comunidades indígenas de acuerdo a su tradición ancestral y cosmovisión</t>
  </si>
  <si>
    <t>Difusión y preservación de la tradición y la cultura indígena</t>
  </si>
  <si>
    <t>1. Creación de un centro cultural dedicado a la promoción y reconocimiento de la CULTURA INDÍGENA, en cumplimiento de los mandatos legales</t>
  </si>
  <si>
    <t>Centro Cultural creado y en funcionamiento</t>
  </si>
  <si>
    <t>Registros fotográficos, listados de asistencia, registro fotográfico, número de actividades programadas,  memorias del evento</t>
  </si>
  <si>
    <t>Diagnóstico de la cultura indígena</t>
  </si>
  <si>
    <t xml:space="preserve">2. Actualización de Diagnóstico de la Cultura indígena </t>
  </si>
  <si>
    <t>1 (actualización)</t>
  </si>
  <si>
    <t>3. Generación espacios de visualización de las muestras tradicionales de la comunidad indígena: artesanias, vestuario, instrumentos musicales, gastronomía entre otros</t>
  </si>
  <si>
    <t>Número de eventos de muestra de las tradiciones indígenas desarrollados</t>
  </si>
  <si>
    <t>comunidad indígena en general</t>
  </si>
  <si>
    <t>Fortalecimiento de competencias para la preservación de la cultura indígena</t>
  </si>
  <si>
    <t>4. Realización de actividades de capacitación con expertos para diseño de artesanías</t>
  </si>
  <si>
    <t>Número de eventos de capacitación realizados</t>
  </si>
  <si>
    <t>Secretaría de Desarrollo Economico y Competitividad
Cabildo indígena</t>
  </si>
  <si>
    <t xml:space="preserve">5. Contratación de instructores indígenas para difusión y formación en las diferentes manifestaciones culturales de la comunidad </t>
  </si>
  <si>
    <t>Número de instructores incluidos en los programas de difusión y formación</t>
  </si>
  <si>
    <t>Empleo</t>
  </si>
  <si>
    <t>Impulsar procesos de inclusión laboral y emprendimiento empresarial</t>
  </si>
  <si>
    <t>Fortalecimiento  y desarrollo de las capacidades empresariales y asociativas de la población indígena</t>
  </si>
  <si>
    <t>1. Capacitación y diseño de estrategias para el emprendimiento productivo y empresarial.</t>
  </si>
  <si>
    <t>Convenio con universidades empresas</t>
  </si>
  <si>
    <t xml:space="preserve">Secretaría de Desarrollo Económico y Competitividad </t>
  </si>
  <si>
    <t>Cámara de Comercio</t>
  </si>
  <si>
    <t>2. Realización de un Estudio para la Identificación de mercados para la comercialización de artesanías propias de la comunidad a nivel nacional e internacional</t>
  </si>
  <si>
    <t>3. Formulación, gestión y ejecución de proyectos de emprendimiento empresarial con énfasis en la comercialización de artesanías</t>
  </si>
  <si>
    <t>4.  Formación para el empleo a partir de competencias laborales atendiendo  las necesidades  propias de la comunidad</t>
  </si>
  <si>
    <t>Instituciones existentes que ofrecen formacion en competencias laborales  (SENA, Universidades, Institutos de Formación Técnica)</t>
  </si>
  <si>
    <t>5. Impulso de programas de emprendimiento e inserción laboral</t>
  </si>
  <si>
    <t>Gobernación, alcadia, SENA.</t>
  </si>
  <si>
    <t>Fomentar, apoyar y fortalecer  formas asociativas de la comunidad</t>
  </si>
  <si>
    <t>6. Fomento, apoyo y fortalecimiento de  formas asociativas económicas</t>
  </si>
  <si>
    <t>7. Asesoría empresarial y acompañamiento para la conformación de empresa para comercialización de artesanías</t>
  </si>
  <si>
    <t>Número de asesorías realizadas</t>
  </si>
  <si>
    <t>8. Realizar un estudio para la identificación de otras alternativas económicas para la comunidad</t>
  </si>
  <si>
    <t>Número de estudios realizados</t>
  </si>
  <si>
    <t>1 - Actualización del estudio</t>
  </si>
  <si>
    <t>Participación y Derechos</t>
  </si>
  <si>
    <t>Fortalecer los mecanismos de participación y promover los derechos de las comunidades indígenas</t>
  </si>
  <si>
    <t>Fortalecimiento y apoyo al consejo de política pública para la comunidad indígena</t>
  </si>
  <si>
    <t xml:space="preserve">1. Programas de formación para el fortalecimiento del Consejo de Política Pública Indígena </t>
  </si>
  <si>
    <t>No. de programas de formación formulados e implementados</t>
  </si>
  <si>
    <t>Registro de asistencia, actas firmadas, registro fotográfico y listado de asistencia</t>
  </si>
  <si>
    <t>Promoción y fortalecimiento de las organizaciones indígenas</t>
  </si>
  <si>
    <t>2. Capacitación en  formulación y gestión de proyectos de cooperacion internacional dirigido a  líderes de la comunidad indígena</t>
  </si>
  <si>
    <t>No. De capacitaciones realizadas</t>
  </si>
  <si>
    <t>Registro de inscripción registro fotográfico y listado de asistencia</t>
  </si>
  <si>
    <t>3. Formación en temas de gestión, control y evaluación de los planes, programas y proyectos, mecanismos de  participación ciudadana y política pública.</t>
  </si>
  <si>
    <t>No. De capacitación realizadas</t>
  </si>
  <si>
    <t>4. Formación en temas de  promoción de Derechos Humanos, protección y promoción de los derechos de los niños y la Mujer</t>
  </si>
  <si>
    <t>5. Implementación de un instrumento de vigilancia, control y evaluación a los casos de violencia intrafamiliar</t>
  </si>
  <si>
    <t>Instrumento implementado</t>
  </si>
  <si>
    <t>Reportes de seguimiento</t>
  </si>
  <si>
    <t xml:space="preserve"> Secretaría de Gobierno 
 Defensoría del Pueblo, Personería Municipal</t>
  </si>
  <si>
    <t>6. Dotación de la casa indígena para la prestación de servicios como casa de paso y actividades culturales y de formación</t>
  </si>
  <si>
    <t>Casa indígena dotada y en funcionamiento</t>
  </si>
  <si>
    <t>Informe del intervedor sobre la dotación realizada</t>
  </si>
  <si>
    <t>Consejo de la Política Pública</t>
  </si>
  <si>
    <t>7. Programas de capacitación a la comunidad sobre liderazgo, empoderamiento,  instrumentos y mecanismos de participación</t>
  </si>
  <si>
    <t>No  de programas realizados</t>
  </si>
  <si>
    <t>Registro de las actividades , registro fotográfico y listados de asistencia</t>
  </si>
  <si>
    <t xml:space="preserve">8. Formación en resolución pacífica de conflictos </t>
  </si>
  <si>
    <t>Número de cursos de formación realizados</t>
  </si>
  <si>
    <t>Registro de las actividades, registro fotográfico y listados de asistencia</t>
  </si>
  <si>
    <t xml:space="preserve">9. Programa de capacitación y actualización en torno a los derechos de los pueblos indígenas, derecho internacional y JEI. </t>
  </si>
  <si>
    <t>10. Encuentro Nacional de pueblos indígenas, Intercambio de experiencias y diálogo de saberes con representantes de otras comunidades.</t>
  </si>
  <si>
    <t>Encuentros realizado</t>
  </si>
  <si>
    <t>Fortalecer la educación de las comunidades indígenas de acuerdo a los lineamientos de una educación propia, según su tradición y cosmovisión</t>
  </si>
  <si>
    <t>Fortalecimiento a la educación indígena propia</t>
  </si>
  <si>
    <t>1. Aumento en el número de hogares Infantiles Indigenas con una formación integral con calidad y pertinencia con énfasis en tres lenguas -lengua de origen, español e inglés</t>
  </si>
  <si>
    <t>Número de hogares infantiles indígenas con las características determinadas</t>
  </si>
  <si>
    <t>3 (sin las condiciones requeridas)</t>
  </si>
  <si>
    <t>Resolución de la creación de los hogares</t>
  </si>
  <si>
    <t>2. Construcción de una institución educativa de acuerdo a los lineamientos de la educación propia de la cultura indígena</t>
  </si>
  <si>
    <t>Número de escuelas construidas</t>
  </si>
  <si>
    <t>Registros de obra</t>
  </si>
  <si>
    <t>3. Diseño de curriculo propio para la comunidad indígena</t>
  </si>
  <si>
    <t>Número de curriculos diseñados</t>
  </si>
  <si>
    <t>Reuniones realizadas, documento terminado</t>
  </si>
  <si>
    <t>Apoyo a los estudiantes de la comunidad indígena</t>
  </si>
  <si>
    <t>4. Asignación de Kits escolares, bono de transporte, bonos de alimentación</t>
  </si>
  <si>
    <t>Número de estudiantes indígenas beneficiados</t>
  </si>
  <si>
    <t>80% del total de niñ@s indígenas</t>
  </si>
  <si>
    <t>90% del total de niñ@iindigenas</t>
  </si>
  <si>
    <t>100% del total de niñ@s indigenas</t>
  </si>
  <si>
    <t>5. Celebración de alianzas y convenios con las instituciones de educación técnica y superior para capacitación de comunidad indígena  y sus dirigentes</t>
  </si>
  <si>
    <t>N° de alianzas y convenios firmados</t>
  </si>
  <si>
    <t>Formación para la comunidad indígena</t>
  </si>
  <si>
    <t xml:space="preserve">6. Aplicación de incentivos y apoyo para el acceso a la formación en educación básica, educación segundaria, pregrado y  maestrías de la población indígena </t>
  </si>
  <si>
    <t>N° de becas otorgadas a población indígena</t>
  </si>
  <si>
    <t>7. Construcción de materiales didácticos que permita la práctica educativa</t>
  </si>
  <si>
    <t>N° de materiales didácticos construidos</t>
  </si>
  <si>
    <t>Materiales didácticos</t>
  </si>
  <si>
    <t>8. Incluir en los programas de formación docente de la SEM la capacitación pedagógica y metodológica para la implementación de los estudios indígenas en el curriculo y los planes de estudios en las instituciones educativas del municipio de Pereira</t>
  </si>
  <si>
    <t>N° de docentes capacitados en pedagogía y metodología para la educación indígena</t>
  </si>
  <si>
    <t>Formación para la disminución de la discriminación</t>
  </si>
  <si>
    <t>9. Implementar programas de sensibilización contra la discriminación racial en el marco de las competencias ciudadanas y de los derechos humanos en los diferentes estamentos (estudiantes, docentes, administrativos)</t>
  </si>
  <si>
    <t>Instituciones educativas, comisión pedagógica.</t>
  </si>
  <si>
    <t>Incentivo para desarrollo de proyectos en comunidades de origen</t>
  </si>
  <si>
    <t>10. Generar incentivos a los profesionales indígenas para desarrollar proyectos en sus  comunidades de origen</t>
  </si>
  <si>
    <t>Número de incentivos creados</t>
  </si>
  <si>
    <t xml:space="preserve"> Registro de las instituciones que implementan los programas</t>
  </si>
  <si>
    <t>Vivienda</t>
  </si>
  <si>
    <t>Implementar programas de vivienda para mejorar las condiciones de vida de la comunidad indígena asentada en el municipio de Pereira</t>
  </si>
  <si>
    <t>Inclusión en los planes  de vivienda que desarrolla el municipio de Pereira para la población indígena</t>
  </si>
  <si>
    <t>1. Destinación de porcentaje específico  en el número de viviendas de interés social para la comunidad indígena de la ciudad.</t>
  </si>
  <si>
    <t>N° de familias indígenas que se benefician de los programas de vivienda</t>
  </si>
  <si>
    <t>2. Caracterización de la población indígena para identificar las necesidades de vivienda nueva y de mejoramiento</t>
  </si>
  <si>
    <t>Secretaría de Desarrollo Social y Politico</t>
  </si>
  <si>
    <t>3. Adquisición, reubicación y mejoramiento de vivienda para la población indígena</t>
  </si>
  <si>
    <t>5% del total de los programas de mejoramiento en vivienda que desarrolle el municipio de Pereira</t>
  </si>
  <si>
    <t>10% del total de los programas de mejoramiento en vivienda que desarrolle el municipio de Pereira</t>
  </si>
  <si>
    <t>15% del total de los programas de mejoramiento en vivienda que desarrolle el municipio de Pereira</t>
  </si>
  <si>
    <t>4. Programas para la dotación de servicios básicos sanitarios a propietarios de vivienda</t>
  </si>
  <si>
    <t>Número de familias que se benefician de los programas de servicios básicos sanitarios</t>
  </si>
  <si>
    <t>Salud</t>
  </si>
  <si>
    <t>Mejorar las condiciones de salud de la comunidad indígena y promover el conocimiento y preservación de la medicina  tradicional indígena</t>
  </si>
  <si>
    <t>Preservación de la medicina tradicional indígena</t>
  </si>
  <si>
    <t>1. Creación de redes de articulación entre la medicina occidental y la medicina tradicional para el  trabajo coordinado entre el Jaibana, parteras, hierbateros, sobanderos, pulsadores y los prestadores de servicios de salud occidental</t>
  </si>
  <si>
    <t>Número de redes de saberes constituidas y en funcionamiento</t>
  </si>
  <si>
    <t>Alianzas realizadas, actas, registro de asistencia</t>
  </si>
  <si>
    <t>cabildo indígena</t>
  </si>
  <si>
    <t>2. Fomento de Programa de huertas con plantas medicinales dirigida a miembros de la comunidad indígena para la preservación del conocimiento tradicional y la medicina ancestral</t>
  </si>
  <si>
    <t>Número de huertas sembradas</t>
  </si>
  <si>
    <t>Reporte de actividades, registro fotográfico, reporte de interventor</t>
  </si>
  <si>
    <t>Mejoramiento calidad de vida</t>
  </si>
  <si>
    <t>3. Promoción de estilos de vida saludables con énfasis en buenos hábitos alimenticios  para el mejoramiento de la calidad de vida indígena</t>
  </si>
  <si>
    <t>N° de programas de promoción de la vida saludable desarrollados para la población indígena</t>
  </si>
  <si>
    <t>4. Realización de programas de formación dirigidos a médicos tradicionales de la comunidad  para la interlocución y facilitación de la integración de ambos conocimientos médicos</t>
  </si>
  <si>
    <t>Número de médicos tradicionales formados</t>
  </si>
  <si>
    <t>Control y vigilancia en salud</t>
  </si>
  <si>
    <t>5. Implentación de programas educativos para la comunidad indígena para el conocimiento de sus derechos en salud,  seguimiento, vigilancia y control en la prestación de servicios médicos.</t>
  </si>
  <si>
    <t>Registro de inscripción, registro fotográfico y listado de asistencia</t>
  </si>
  <si>
    <t>Veeduría conformada y en funcionamiento</t>
  </si>
  <si>
    <t xml:space="preserve">cabildo indígena </t>
  </si>
  <si>
    <t>Número de encuentros realizados</t>
  </si>
  <si>
    <t xml:space="preserve">Número de modelos formulados e implementados </t>
  </si>
  <si>
    <t>1 Modelo validado</t>
  </si>
  <si>
    <t>1 Modelo validado y actualizado</t>
  </si>
  <si>
    <t>Reporte de actividades, listados de asistencia, registro fotográfico</t>
  </si>
  <si>
    <t>Alcaldía de Pereira y cabildo indígena, médicos tradicionales de la comunidad</t>
  </si>
  <si>
    <t>Encuentros realizados</t>
  </si>
  <si>
    <t>Reconocimiento de idoneidad médica tradicional</t>
  </si>
  <si>
    <t>Acuerdo Municipal</t>
  </si>
  <si>
    <t>Programas de asistencia médica para la comunidad indígena</t>
  </si>
  <si>
    <t>Registro de las actividades de prevención y promoción, registro fotográfico y listados de asistencia</t>
  </si>
  <si>
    <t>ESE Salud</t>
  </si>
  <si>
    <t>7 (1 en cada sector donde hay población indígena)</t>
  </si>
  <si>
    <t>Centro de atención médica creado y en funcionamiento</t>
  </si>
  <si>
    <t>Registros de interventoría</t>
  </si>
  <si>
    <t xml:space="preserve">ESE Salud, Gobernación </t>
  </si>
  <si>
    <t>Número de campañas realizadas</t>
  </si>
  <si>
    <t>9 (1 en cada sector donde hay población indígena)</t>
  </si>
  <si>
    <t>11 (1 en cada sector donde hay población indígena)</t>
  </si>
  <si>
    <t>Número de controles realizados</t>
  </si>
  <si>
    <t>14 (2 semestrales en cada sector donde hay población indígena)</t>
  </si>
  <si>
    <t>Número de programas realizados</t>
  </si>
  <si>
    <t>Registro de personas atendidas</t>
  </si>
  <si>
    <t>2 programas por cada institución educativa del municipio de Pereira que contenga las cuatro categorías (cuidado,, nutrición, salud y educación inicial)</t>
  </si>
  <si>
    <t>Jurisdicción Especial Indígena</t>
  </si>
  <si>
    <t xml:space="preserve">Promover, difundir, adoptar e implementar la norma jurídica correspondiente a la jurisdicción especial. </t>
  </si>
  <si>
    <t>Preservación de la identidad y tradición  en aspectos pertinentes al Fortalecimiento de JEI</t>
  </si>
  <si>
    <t>1. Capacitación a guardia indígena en técnicas de seguridad y en derechos humanos</t>
  </si>
  <si>
    <t xml:space="preserve">Convenio con universidades </t>
  </si>
  <si>
    <t>Snsibilización a los administradores de justicia y comunidad en general en torno a la JEI</t>
  </si>
  <si>
    <t>2. Sistematización y publicación de modulo en Juridiciones especiales indigena</t>
  </si>
  <si>
    <t>Módulo sistematizado</t>
  </si>
  <si>
    <t>1  actualización</t>
  </si>
  <si>
    <t>1 actualización</t>
  </si>
  <si>
    <t>Módulo</t>
  </si>
  <si>
    <t>3. Construcción de tambo para sanación y reflexión</t>
  </si>
  <si>
    <t>tambo construido</t>
  </si>
  <si>
    <t>Reporte de obras ejecutadas</t>
  </si>
  <si>
    <t>4. Formulación y puesta en marcha de Programa de Promoción y difusión de la ley de Origen, el Derecho Mayor, Derecho Propio y la Ley Karavi</t>
  </si>
  <si>
    <t>Programa formulado y en funcionamiento</t>
  </si>
  <si>
    <t>Registros fotográficos, reporte de actividades</t>
  </si>
  <si>
    <t>Secretaria de Desarrollo Social y Político
Personería</t>
  </si>
  <si>
    <t>5. Formulación y difusión de Programa de formación en los temas de: autonomía, unidad, cultura y territorio</t>
  </si>
  <si>
    <t>Integración y armonización entre el Sistema Jurídico Ordinario y la Jurisdicción Especial Indígena.</t>
  </si>
  <si>
    <t>6. Sensibilización a los administradores de justicia en la Justicia y la comunidad en general de la Jurisdicción Especial Indígena en el Sistema Judicial Nacional</t>
  </si>
  <si>
    <t>Sensibilización realizada</t>
  </si>
  <si>
    <t>Control ciudadano, personería municipal</t>
  </si>
  <si>
    <t>7. Elaboración y publicación de documento con Interpretación jurídica  sobre el principio de la diversidad étnica y cultural para la interculturalidad</t>
  </si>
  <si>
    <t>Documento publicado</t>
  </si>
  <si>
    <t>Publicación realizada</t>
  </si>
  <si>
    <t>8. Creación de comité para administración de justicia indígena</t>
  </si>
  <si>
    <t>Comité creado y en funcionamiento</t>
  </si>
  <si>
    <t>Actas de reuniones</t>
  </si>
  <si>
    <t xml:space="preserve">Secretaría de Gobierno </t>
  </si>
  <si>
    <t>personería municipal</t>
  </si>
  <si>
    <t>Territorio</t>
  </si>
  <si>
    <t>Generar las condiciones adecuadas a partir de una política de reubicación que garantice condiciones favorables de vida para las comunidades indígenas</t>
  </si>
  <si>
    <t>Estudio para la identificación áreas aptas para reubicación</t>
  </si>
  <si>
    <t>1. Estudio de disponibilidad de tierras rurales bajo condiciones favorables para el desarrollo, social, económico, político y cultural de las comunidades indígenas -servicios públicos, salud, educación de la comunidad indígena</t>
  </si>
  <si>
    <t>Estudio realizado, registro fotográfico</t>
  </si>
  <si>
    <t>Gobernación de Risaralda</t>
  </si>
  <si>
    <t>Programa para la reubicación</t>
  </si>
  <si>
    <t>2. Adquisición de tierras rurales para programa de reubicación bajo condiciones favorables de acuerdo a los requerimientos de la comunidad y al estudio realizado</t>
  </si>
  <si>
    <t>Tierras adquiridas</t>
  </si>
  <si>
    <t>Adquisición de tierras</t>
  </si>
  <si>
    <t>Presupuesto
2018</t>
  </si>
  <si>
    <t>CATEGORIA</t>
  </si>
  <si>
    <t>ACCIONES RECOMENDADAS 
EN LA POLÍTICA</t>
  </si>
  <si>
    <t>COMPORTAMIENTO DEL INDICADOR</t>
  </si>
  <si>
    <t>Todos vivos</t>
  </si>
  <si>
    <t>Garantizar las mejores condiciones para la vida y la salud de la población joven del municipio de Pereira a partir de la promoción de factores protectores y la disminución de factores de riesgo</t>
  </si>
  <si>
    <t>Prevención de la mortalidad evitable</t>
  </si>
  <si>
    <t xml:space="preserve">Desarrollo de campañas de promoción de factores protectores en población juvenil y prevención de accidentes con participación de adolescentes y jóvenes. </t>
  </si>
  <si>
    <t>Material comunicativo elaborado, guiones y protocolos de campañas</t>
  </si>
  <si>
    <t>Secretaría de Salud</t>
  </si>
  <si>
    <t>INCREMENTO</t>
  </si>
  <si>
    <t>PRODUCTO</t>
  </si>
  <si>
    <t>En la actualidad se desarrollan campañas de promoción de factores protectores desde el sector salud pero no se encuentran articuladas a otras esferas de la administración municipal ni abarcan todos los tipos de mortalidad prevenible</t>
  </si>
  <si>
    <t>Desarrollo de campañas de prevención de la accidentalidad vial dirigidas a jóvenes</t>
  </si>
  <si>
    <t>Instituto de Movilidad</t>
  </si>
  <si>
    <t>Nro. de campañas realizadas</t>
  </si>
  <si>
    <t>El Instituto Municipal de Tránsito y transporte ha desarrollado campañas de cultura vial en instituciones educativas y en población en general, pero no tiene una oferta especializada para juventud</t>
  </si>
  <si>
    <t>Desarrollo de programas de prevención del suicidio y promoción de la salud mental en adolescentes y jóvenes</t>
  </si>
  <si>
    <t>Diseños de programas, listados de asistencia, informes de ejecución</t>
  </si>
  <si>
    <t>Nro. de programas realizados</t>
  </si>
  <si>
    <t>La Secretaría de Salud ha desarrollado programas de salud mental pero su énfasis no está en el suicidio. Así mismo desarrolla programas d de promoción de la salud en instituciones educativas pero no tienen su especialidad en salud mental.</t>
  </si>
  <si>
    <t>Formulación y ejecución de un plan municipal de prevención del reclutamiento de adolescentes y jóvenes en organizaciones criminales con participación de adolescentes y jóvenes</t>
  </si>
  <si>
    <t>Porcentaje de ejecución del plan</t>
  </si>
  <si>
    <t>SOSTENIMIENTO</t>
  </si>
  <si>
    <t>No existe el plan</t>
  </si>
  <si>
    <t>Formación de adolescentes  y jóvenes en resolución pacífica de conflictos y mecanismos de conciliación</t>
  </si>
  <si>
    <t>Programa de formación, informes de ejecución</t>
  </si>
  <si>
    <t>Número de jóvenes formados</t>
  </si>
  <si>
    <t xml:space="preserve">Se han desarrollado algunos procesos aislados en materia de conciliación escolar. </t>
  </si>
  <si>
    <t>Todos saludables</t>
  </si>
  <si>
    <t>Prevención y atención del consumo de Drogas</t>
  </si>
  <si>
    <t>Desarrollo de iniciativas de grupos de adolescentes   y jóvenes que promuevan la prevención, educación e información relacionadas con el uso y abuso de drogas lícitas e ilícitas.</t>
  </si>
  <si>
    <t>Registro fotográfico, listados de asistencia, informes de gestión</t>
  </si>
  <si>
    <t>Nro. de iniciativas</t>
  </si>
  <si>
    <t>Si bien se han desarrollado programas de prevención, en su gran mayoría no son iniciativas agenciadas por jóvenes.</t>
  </si>
  <si>
    <t xml:space="preserve">Desarrollo de estrategias comunitarias e institucionales para el tratamiento del abuso de drogas. </t>
  </si>
  <si>
    <t>Historiales de atención, informes de ejecución</t>
  </si>
  <si>
    <t>Número de adolescentes y jóvenes con abuso de drogas atendidos</t>
  </si>
  <si>
    <t>Existen cupos de atención en modalidad institucional, así como algunas experiencias en modalidad ambulatoria y comunitaria</t>
  </si>
  <si>
    <t>Promoción de la Salud Sexual y reproductiva</t>
  </si>
  <si>
    <t xml:space="preserve">Desarrollo de programas de prevención del embarazo en menores de edad. </t>
  </si>
  <si>
    <t>Reportes de embarazo en menores de edad, certificados de nacidos vivos, RIPS</t>
  </si>
  <si>
    <t xml:space="preserve">Secretaría de Educación Municipal. </t>
  </si>
  <si>
    <t>Porcentaje de embarazos en menores de edad</t>
  </si>
  <si>
    <t xml:space="preserve">DISMINUCIÓN </t>
  </si>
  <si>
    <t>23.3%</t>
  </si>
  <si>
    <t xml:space="preserve">Fortalecimiento de los programas de educación sexual y construcción de Ciudadanía. </t>
  </si>
  <si>
    <t>Informes de seguimiento. Informes de gestión</t>
  </si>
  <si>
    <t xml:space="preserve">Porcentaje de instituciones educativas con proyectos de educación sexual y construcción de ciudadanía operando conforme a los lineamientos nacionales. </t>
  </si>
  <si>
    <t>No hay dato</t>
  </si>
  <si>
    <t>Desarrollo de programas de promoción de los derechos sexuales y reproductivos desarrollado por y para jóvenes</t>
  </si>
  <si>
    <t>Número de programas de promoción de los derechos sexuales y reproductivos en ejecución desarrollado a través de la metodología de pares</t>
  </si>
  <si>
    <t>Implantación de los servicios amigables para adolescentes en IPS y EPS</t>
  </si>
  <si>
    <t>Informes de asistencia técnica, seguimiento y monitoreo</t>
  </si>
  <si>
    <t>ESE Salud Pereira, EPS, IPS</t>
  </si>
  <si>
    <t>Porcentajes de EPS e IPS con servicios amigables para el adolescente</t>
  </si>
  <si>
    <t>Se ha hecho asistencia técnica a algunas entidades prestadoras de servicios de salud pero no existe en la actualidad un análisis situacional de la oferta de servicios</t>
  </si>
  <si>
    <t>Implantación y operacionalización de la Norma Técnica para detección temprana de las alteraciones del desarrollo en jóvenes</t>
  </si>
  <si>
    <t>Porcentaje de EPS e IPS que dan cumplimiento a lo estipulado en la Norma Técnica</t>
  </si>
  <si>
    <t>Todos bien nutridos</t>
  </si>
  <si>
    <t>Mejoramiento del estado nutricional de adolescentes y jóvenes</t>
  </si>
  <si>
    <t>Promoción de la nutrición saludable en adolescentes y jóvenes</t>
  </si>
  <si>
    <t>Investigaciones sobre el estado nutricional de adolescentes</t>
  </si>
  <si>
    <t>Disminución del porcentaje de adolescentes malnutridos</t>
  </si>
  <si>
    <t>Regulación de la alimentos y bebidas ofertados en tiendas escolares</t>
  </si>
  <si>
    <t>Seguimiento y monitoreo a la oferta de productos en tiendas escolares</t>
  </si>
  <si>
    <t>Porcentaje de instituciones educativas que regulan la venta de productos no saludables en la tienda escolar</t>
  </si>
  <si>
    <t>Promoción de hábitos saludables en nutrición en instituciones educativas</t>
  </si>
  <si>
    <t>Seguimiento a los PEI y planes de estudio</t>
  </si>
  <si>
    <t>Porcentaje de instituciones educativas que incorporan en sus contenidos de formación, la promoción y enseñanza de una nutrición balanceada.</t>
  </si>
  <si>
    <t>Todos con Familia</t>
  </si>
  <si>
    <t>Fortalecimiento de relaciones intergeneracionales</t>
  </si>
  <si>
    <t>Apoyo a iniciativas juveniles para el reconocimiento, integración y respeto entre generaciones</t>
  </si>
  <si>
    <t>Número de iniciativas apoyadas</t>
  </si>
  <si>
    <t>Apoyo a jóvenes cabeza de hogar</t>
  </si>
  <si>
    <t>Desarrollo de iniciativas productivas y psicosociales que apoyen a jóvenes cabeza de hogar en condiciones de pobreza</t>
  </si>
  <si>
    <t>Número de iniciativas desarrolladas</t>
  </si>
  <si>
    <t>Promoción de la convivencia familiar</t>
  </si>
  <si>
    <t>Ejecución del PLAN HAZ PAZ</t>
  </si>
  <si>
    <t>Nro. de Planes reformulados y ajustados</t>
  </si>
  <si>
    <t>El plan se debe reformular y reajustar en el 2015</t>
  </si>
  <si>
    <t>Porcentaje de ejecución del plan reformulado</t>
  </si>
  <si>
    <t>No aplica</t>
  </si>
  <si>
    <t>Todos con educación</t>
  </si>
  <si>
    <t>Elevar las capacidades y oportunidades de las y los jóvenes para su participación activa en la vida social y productiva</t>
  </si>
  <si>
    <t xml:space="preserve">Disminución de la deserción y repitencia escolar </t>
  </si>
  <si>
    <t>Detección y atención integral de niños, niñas y adolescentes con necesidades educativas especiales</t>
  </si>
  <si>
    <t>Reportes de detección y atención</t>
  </si>
  <si>
    <t xml:space="preserve">Porcentaje de instituciones educativas que desarrollan procesos de detección y atención a NNA con necesidades educativas especiales. </t>
  </si>
  <si>
    <t>Fortalecimiento de metodologías flexibles y la inclusión educativa</t>
  </si>
  <si>
    <t>Informes de seguimiento y monitoreo</t>
  </si>
  <si>
    <t>Porcentaje de instituciones que implementan metodologías flexibles y desarrollan procesos de inclusión educativa</t>
  </si>
  <si>
    <t>Formación de docentes en la detección y abordaje pedagógico de factores de riesgo para la deserción y repitencia</t>
  </si>
  <si>
    <t>Planes de formación, listados de asistencia, certificaciones expedidas</t>
  </si>
  <si>
    <t>Porcentaje de docentes formados en la detección y abordaje pedagógico de factores de riesgo</t>
  </si>
  <si>
    <t>Mejoramiento de la calidad educativa</t>
  </si>
  <si>
    <t>Fortalecimiento del bilingüismo</t>
  </si>
  <si>
    <t>Pruebas Saber</t>
  </si>
  <si>
    <t>Porcentaje de estudiantes que alcanzan un nivel básico de inglés (A2) en la prueba Saber 11</t>
  </si>
  <si>
    <t>Fortalecimiento de competencias en los estudiantes</t>
  </si>
  <si>
    <t>Promedio de calificación en el núcleo común en las pruebas Saber 11</t>
  </si>
  <si>
    <t>Superación del analfabetismo juvenil</t>
  </si>
  <si>
    <t>Fortalecimiento de los procesos de alfabetización y educación para adolescentes y adultos</t>
  </si>
  <si>
    <t>Registros de matrícula y deserción</t>
  </si>
  <si>
    <t>Porcentaje de analfabetismo juvenil</t>
  </si>
  <si>
    <t>Fomento de la educación superior</t>
  </si>
  <si>
    <t>Aumento de la cobertura en educación superior</t>
  </si>
  <si>
    <t>Ministerio de Educación Nacional, ICETEX, Administración Municipal, SENA, Universidades</t>
  </si>
  <si>
    <t>Porcentaje de cobertura en educación superior</t>
  </si>
  <si>
    <t>Aumento de la tasa de absorción en educación superior</t>
  </si>
  <si>
    <t>Tasa de absorción</t>
  </si>
  <si>
    <t>Disminución de la deserción universitaria</t>
  </si>
  <si>
    <t>Porcentaje de deserción en la última cohorte de educación universitaria</t>
  </si>
  <si>
    <t>Porcentaje de deserción en la última cohorte de educación técnica y tecnológica</t>
  </si>
  <si>
    <t>Sistema municipal de apoyo a la vinculación y permanencia en educación superior.</t>
  </si>
  <si>
    <t>Becas entregadas, créditos asignados, informes de ejecución</t>
  </si>
  <si>
    <t>Sistema municipal en funcionamiento</t>
  </si>
  <si>
    <t>No existe</t>
  </si>
  <si>
    <t>Todos con acceso a la recreación, actividad física y deporte</t>
  </si>
  <si>
    <t>Promoción de la actividad física y el deporte</t>
  </si>
  <si>
    <t>Fortalecimiento de la actividad física y el deporte en instituciones educativas</t>
  </si>
  <si>
    <t>Reportes de seguimiento y monitoreo</t>
  </si>
  <si>
    <t xml:space="preserve">Porcentaje de instituciones educativas que tienen estructurados y desarrollan planes de formación en actividad física </t>
  </si>
  <si>
    <t>Promoción de iniciativas juveniles en actividad física, deporte y recreación</t>
  </si>
  <si>
    <t>Secretaría de Deporte y Recreación.</t>
  </si>
  <si>
    <t>Formación y apoyo a talentos deportivos juveniles</t>
  </si>
  <si>
    <t>Informes de ejecución, Becas y apoyos económicos entregados</t>
  </si>
  <si>
    <t>Becas y apoyos económicos entregados</t>
  </si>
  <si>
    <t>Fomento de actividades deportivas y recreativas innovadoras (skatingboard, porrismo, etc.)</t>
  </si>
  <si>
    <t>Informes de ejecución, Becas y apoyos económicos y dotaciones entregados</t>
  </si>
  <si>
    <t>Iniciativas deportivas y recreativas innovadoras apoyadas</t>
  </si>
  <si>
    <t>Desarrollo de olimpiadas juveniles municipales</t>
  </si>
  <si>
    <t>Registro fotográfico, inscripciones, informes de ejecución</t>
  </si>
  <si>
    <t>Numero de olimpiadas juveniles desarrolladas</t>
  </si>
  <si>
    <t>Difusión de actividades deportivas para jóvenes</t>
  </si>
  <si>
    <t>Comunicados de prensa, publicaciones, mensajes masivos, etc.</t>
  </si>
  <si>
    <t>Sistema de difusión permanente funcionando</t>
  </si>
  <si>
    <t>Todos con Cultura</t>
  </si>
  <si>
    <t>Promoción de la cultura y actividades artísticas</t>
  </si>
  <si>
    <t xml:space="preserve">Fortalecimiento de las actividades culturales y artísticas en instituciones educativas. </t>
  </si>
  <si>
    <t>Seguimiento y monitoreo a procesos</t>
  </si>
  <si>
    <t>Porcentaje de instituciones que tienen planes de formación en artes y cultura en sus planes de estudio</t>
  </si>
  <si>
    <t>Promoción de iniciativas juveniles en cultura y arte</t>
  </si>
  <si>
    <t>Informes de gestión</t>
  </si>
  <si>
    <t>Formación y apoyo a talentos jóvenes artísticos y culturales</t>
  </si>
  <si>
    <t>Realización de festivales artísticos desarrollados por jóvenes y para jóvenes</t>
  </si>
  <si>
    <t>Número de festivales realizados</t>
  </si>
  <si>
    <t>Realización de investigaciones sobre dinámicas culturales de las y los jóvenes</t>
  </si>
  <si>
    <t>Investigaciones</t>
  </si>
  <si>
    <t>Numero de investigaciones realizadas</t>
  </si>
  <si>
    <t>Difusión de actividades culturales y artísticas para jóvenes</t>
  </si>
  <si>
    <t>Todos en actividades productivas</t>
  </si>
  <si>
    <t>Fortalecimiento del emprendimiento adolescente</t>
  </si>
  <si>
    <t>Fortalecimiento de los proyectos de emprendimiento en las instituciones educativas</t>
  </si>
  <si>
    <t>Porcentajes de instituciones que tienen planes de emprendimiento y de formación de competencias para la productividad articulados a los planes de estudio</t>
  </si>
  <si>
    <t>Erradicación del trabajo infantil</t>
  </si>
  <si>
    <t>Implementación de la estrategia nacional para erradicar las peores formas de trabajo infantil y protección del joven trabajador</t>
  </si>
  <si>
    <t>Instituciones del CETI</t>
  </si>
  <si>
    <t>Porcentaje de trabajo infantil</t>
  </si>
  <si>
    <t>Generación de empleo</t>
  </si>
  <si>
    <t>Fomentar el empleo juvenil</t>
  </si>
  <si>
    <t>Gran encuesta integrada de hogares</t>
  </si>
  <si>
    <t>Secretaría de Competitividad</t>
  </si>
  <si>
    <t>Tasa de desempleo juvenil</t>
  </si>
  <si>
    <t>Realizar campañas de difusión de la Ley del primer empleo en gremios, empresarios y sectores productivos</t>
  </si>
  <si>
    <t>Material audiovisual, publicaciones, mensajes</t>
  </si>
  <si>
    <t>Apoyar iniciativas productivas de jóvenes</t>
  </si>
  <si>
    <t>Microcréditos aprobados, capitales suministrados, dotaciones, registros de asistencia técnica</t>
  </si>
  <si>
    <t>Nro. de iniciativas productivas apoyadas</t>
  </si>
  <si>
    <t>Todos participando en espacios sociales</t>
  </si>
  <si>
    <t>Fortalecimiento de la ciudadanía juvenil y de los mecanismos de participación para los y las jóvenes</t>
  </si>
  <si>
    <t>Fortalecimiento de Gobiernos Escolares</t>
  </si>
  <si>
    <t>Fortalecimiento de la Red de Personeros Escolares</t>
  </si>
  <si>
    <t>Programas de formación ejecutados, materiales y suministros entregados, actas de reuniones, registro fotográfico</t>
  </si>
  <si>
    <t>Numero de redes fortalecidas</t>
  </si>
  <si>
    <t>Hay una red que opera de forma fragmentada e intermitente</t>
  </si>
  <si>
    <t>Fortalecimiento de Consejos Estudiantiles</t>
  </si>
  <si>
    <t>Porcentaje de consejos estudiantiles fortalecidos</t>
  </si>
  <si>
    <t>En las instituciones educativas hay consejos estudiantiles que tienen baja incidencia en la toma de decisiones que les afectan</t>
  </si>
  <si>
    <t>Fortalecimiento de los espacios de participación</t>
  </si>
  <si>
    <t>Consolidación y creación de casas de la juventud</t>
  </si>
  <si>
    <t>Actos administrativos de creación, actas de entrega de dotación suscritas, consejos de administración conformados, programas operando.</t>
  </si>
  <si>
    <t>Número de casas de la juventud creadas y en funcionamiento</t>
  </si>
  <si>
    <t>En el municipio solo hay una casa de la juventud que presta servicios insuficientes para atender a toda la población juvenil del municipio</t>
  </si>
  <si>
    <t xml:space="preserve">Fortalecimiento y desarrollo de las semanas de la juventud con énfasis en la promoción de la participación y el ejercicio de la ciudadanía juvenil. </t>
  </si>
  <si>
    <t>Semanas de la juventud realizadas</t>
  </si>
  <si>
    <t>Se han realizado semanas de la juventud como hechos aislados y sin claridad en los saldos pedagógicos obtenidos</t>
  </si>
  <si>
    <t>Fortalecimiento de los mecanismos de participación</t>
  </si>
  <si>
    <t>Conformación y fortalecimiento de una red de control social juvenil</t>
  </si>
  <si>
    <t>Documentos de constitución, informes de veeduría, listados de asistencia de capacitaciones, programas de formación desarrollados</t>
  </si>
  <si>
    <t>Contraloría Municipal.</t>
  </si>
  <si>
    <t>Red de control social juvenil en funcionamiento</t>
  </si>
  <si>
    <t>Se han desarrollado iniciativas de control social juvenil de forma aislada y sin continuidad</t>
  </si>
  <si>
    <t>Fortalecimiento de la alcaldía juvenil como un espacio de representación, con formación previa a aspirantes, asistencia técnica y apoyo operativo por parte de la administración y mecanismos de rendición hacia los electores</t>
  </si>
  <si>
    <t>Elecciones realizadas, actas de reunión de asistencia técnica, apoyos logísticos suministrados, informes de gestión</t>
  </si>
  <si>
    <t>Número de alcaldías juveniles que desarrollan permanentemente acciones de concertación, consulta e incidencia en las decisiones del municipio</t>
  </si>
  <si>
    <t>se ha desarrollado en varias ocasiones la elección del Alcalde Juvenil pero este no cuenta con el acompañamiento ni los recursos necesarios para cumplir a cabalidad su labor</t>
  </si>
  <si>
    <t>Fortalecimiento de consejo de la juventud como un espacio de representación, con formación previa a aspirantes, asistencia técnica y apoyo operativo por parte de la administración y mecanismos de rendición hacia los electores</t>
  </si>
  <si>
    <t>Número de consejos municipales de la Juventud que desarrollan permanentemente acciones de concertación, consulta e incidencia en las decisiones del municipio</t>
  </si>
  <si>
    <t xml:space="preserve">Se ha desarrollado en varias ocasiones la elección del Consejo Municipal  pero este no cuenta con el acompañamiento ni los recursos necesarios para cumplir a cabalidad su labor, adicionalmente se ha presentado deserción de sus miembros. </t>
  </si>
  <si>
    <t>Desarrollo de procesos de presupuesto participativo con jóvenes</t>
  </si>
  <si>
    <t>Número de Proyectos de presupuesto participativo con jóvenes ejecutados</t>
  </si>
  <si>
    <t>Creación de un fondo de apoyo a iniciativas juveniles</t>
  </si>
  <si>
    <t>Número de iniciativas juveniles apoyadas</t>
  </si>
  <si>
    <t>Fomento a la participación de jóvenes en las JAC</t>
  </si>
  <si>
    <t>Actas</t>
  </si>
  <si>
    <t>Porcentaje de JAC con participación de jóvenes en el nivel directivo</t>
  </si>
  <si>
    <t>Reestablecimiento de Derechos</t>
  </si>
  <si>
    <t>Restablecer los derechos que han sido vulnerados a hombres y mujeres jóvenes</t>
  </si>
  <si>
    <t>Atención integral a víctimas de violencia intrafamiliar y violencia sexual</t>
  </si>
  <si>
    <t>Fortalecimiento del CAIVAS y el CAVIF</t>
  </si>
  <si>
    <t>registros de atención</t>
  </si>
  <si>
    <t>Porcentaje de víctimas que reciben atención integral</t>
  </si>
  <si>
    <t>Implementación del plan municipal de prevención de la explotación sexual</t>
  </si>
  <si>
    <t>Adaptación del plan nacional y puesta en marcha del mismo</t>
  </si>
  <si>
    <t>Instituciones del CETI y del Comprever</t>
  </si>
  <si>
    <t>Se desarrollan acciones aisladas en materia de prevención y atención</t>
  </si>
  <si>
    <t>Superación de la discriminación hacia las y los jóvenes</t>
  </si>
  <si>
    <t xml:space="preserve">Desarrollar un programa de promoción de los derechos de los y las jóvenes y la prevención del estigma y la discriminación. </t>
  </si>
  <si>
    <t>Programa en ejecución</t>
  </si>
  <si>
    <t>POLÍTICA PÚBLICA: JUVENTUD</t>
  </si>
  <si>
    <t>METAS
2012</t>
  </si>
  <si>
    <t>METAS
2015</t>
  </si>
  <si>
    <t>POLÍTICA PÚBLICA:  PEREIRA INNOVA</t>
  </si>
  <si>
    <t>Categoría</t>
  </si>
  <si>
    <t>META DE LA POLÍTICA 2017</t>
  </si>
  <si>
    <t>REPORTE EJECUCIÓN RESPECTO A LA META 2017</t>
  </si>
  <si>
    <t>INNOVACIONES, CIENCIA Y TECNOLOGÍA</t>
  </si>
  <si>
    <t>Sistemas Nacional y Departamental de Innovación, Ciencia y Tecnología.</t>
  </si>
  <si>
    <t>Parquesoft (2011:30)</t>
  </si>
  <si>
    <t>Formulación y evaluación de proyectos.</t>
  </si>
  <si>
    <t>Numero de proyectos formulados</t>
  </si>
  <si>
    <t>NA</t>
  </si>
  <si>
    <t>Estructuración y ejecución de sistemas, redes y observatorios de información.</t>
  </si>
  <si>
    <t>Red de Nodos de Innovación, Ciencia y Tecnología.</t>
  </si>
  <si>
    <t>Diseño, estructuración y puesta en marcha del Centro de Innovación y Desarrollo Tecnológico como Nodo Central de la Red.</t>
  </si>
  <si>
    <t>0% (Fuente: Red de Nodos de Innovación).</t>
  </si>
  <si>
    <t>Estructuración del Sistema de Gerencia de la Red de Nodos de Innovación,
Ciencia y Tecnología.</t>
  </si>
  <si>
    <t>Definición de Modelos Administrativos, Organizacionales y de Gestión para cada uno de los nodos de la red.</t>
  </si>
  <si>
    <t>Diseño, estructuración y puesta en marcha de los nodos sectoriales.</t>
  </si>
  <si>
    <t>30% (Fuente: Red de Nodos de Innovación).</t>
  </si>
  <si>
    <t>Articulación de cada nodo de la red con la comunidad de base a través de los
Centros de Emprendimiento y Desarrollo Empresarial.</t>
  </si>
  <si>
    <t>Cultura de la Innovación y el Emprendimiento</t>
  </si>
  <si>
    <t>Laboratorios y talleres de emprendimiento e innovación.</t>
  </si>
  <si>
    <t>Existencia de Talleres de Emprendimiento e Innovación</t>
  </si>
  <si>
    <t>Centros de Emprendimiento y Desarrollo Empresarial - CEDEs.</t>
  </si>
  <si>
    <t xml:space="preserve">Formación para el trabajo con énfasis en emprendimiento e innovación </t>
  </si>
  <si>
    <t>Número de beneficiarios de procesos de formación para el trabajo</t>
  </si>
  <si>
    <t>Promedio anual 2000 personas atendidas</t>
  </si>
  <si>
    <t>Funcionamiento de CEDES  (Actividad Nueva 2012)</t>
  </si>
  <si>
    <t>Numero de CEDES en funcionamiento</t>
  </si>
  <si>
    <t>Construcción de nuevos CEDES (Actividad Nueva 2012)</t>
  </si>
  <si>
    <t>Talleres, laboratorios y semilleros de emprendimiento e innovación con énfasis
en nuevas tecnologías (TIC)</t>
  </si>
  <si>
    <t>Existencia de un ViveLabs, Labortatorio de Contenidos Digitales: Animación 3D y diseño de Software</t>
  </si>
  <si>
    <t>Promoción de redes empresariales de conocimiento e innovación</t>
  </si>
  <si>
    <t xml:space="preserve">Nùmero de redes empresariales estructuradas </t>
  </si>
  <si>
    <t>6 (Fuente:  Secretaría de Planeación Pereira).</t>
  </si>
  <si>
    <t>Número de Microempresarios Beneficiarios de Programas de Asistencia Técnica y Servicios Prestados en los Cedes</t>
  </si>
  <si>
    <t>200 (Fuente:  Secretaría de Planeación Pereira).</t>
  </si>
  <si>
    <t>Ferias de Empleo y Emprendimienfo - Pereira Emprende.</t>
  </si>
  <si>
    <t>Ferias para promover competencias laborales y oportunidades de empleo</t>
  </si>
  <si>
    <t>Número de ferias programadas y ejecutadas</t>
  </si>
  <si>
    <t>Ferias para promover cultura de emprendimiento e innovación y generar ideas
de negocios</t>
  </si>
  <si>
    <t>Impacto</t>
  </si>
  <si>
    <t>Cantidad de ferias apoyadas</t>
  </si>
  <si>
    <t>Jóvenes Innovadores.</t>
  </si>
  <si>
    <t>Numero de talleres realizados</t>
  </si>
  <si>
    <t>Concursos de ideas de emprendimiento e innovación</t>
  </si>
  <si>
    <t>Diseño de un concurso  de ideas  e iniciativas emprendedoras e innovadoras.</t>
  </si>
  <si>
    <t>Creación de Empresas</t>
  </si>
  <si>
    <t>Fondo de Inversiones de Capital de Riesgo.</t>
  </si>
  <si>
    <t>Estructuración e implementación de un Fondo de Capital de Riesgo</t>
  </si>
  <si>
    <t>Porcentaje  de implementación según estado de avance (fase de implementación).</t>
  </si>
  <si>
    <t>10% (Fuente: INFIPEREIRA)</t>
  </si>
  <si>
    <t>Financiación a Planes de Negocios para Creación de Empresas.</t>
  </si>
  <si>
    <t>Participación en convocatorias regionales del Fondo Emprender</t>
  </si>
  <si>
    <t>Colocación de recursos no reembolsables</t>
  </si>
  <si>
    <t>500 millones promedio anual (fuente: Banco de las oportunidades)</t>
  </si>
  <si>
    <t>Desarrollo Empresarial</t>
  </si>
  <si>
    <t>Banco de las Oportunidades</t>
  </si>
  <si>
    <t>Colocación de créditos para fortalecimiento</t>
  </si>
  <si>
    <t>2800 (Fuente:  Banco de las oportunidades).</t>
  </si>
  <si>
    <t>Número de microempresarios capacitados y asesorados</t>
  </si>
  <si>
    <t>Colocación de créditos para emprendimiento</t>
  </si>
  <si>
    <t>126 (Fuente: Banco de las oportunidades)</t>
  </si>
  <si>
    <t>Colocación de recursos no reembolsables para crédito</t>
  </si>
  <si>
    <t>Programa de Apoyo al Desarrollo Empresarial- PADE Pereira.</t>
  </si>
  <si>
    <t>Colocación de recursos no reembolsables para asistencia técnica</t>
  </si>
  <si>
    <t>Financiación a Planes de Fortalecimiento Empresarial.</t>
  </si>
  <si>
    <t>Número de proyectos aprobados para el fortalecimiento empresarial</t>
  </si>
  <si>
    <t>Estrategia Transversal.</t>
  </si>
  <si>
    <t>Sistema de Información para el Emprendimiento de Risaralda -</t>
  </si>
  <si>
    <t>Sistema de Información actualizado</t>
  </si>
  <si>
    <t>OBJETIVO GENERAL DE LA POLÍTICA</t>
  </si>
  <si>
    <t xml:space="preserve">FORMATO PARA RENDICIÓN INFORME DE AVANCE PERIODO 2018 DE LA POLÍTICA PÚBLICA DE LOS ORGANISMOS DE ACCIÓN COMUNAL </t>
  </si>
  <si>
    <t>PLAN DE ACCIÓN POLITICA PÚBLICA</t>
  </si>
  <si>
    <t>COMPONENTE</t>
  </si>
  <si>
    <t xml:space="preserve">TIPO DE INDICADOR </t>
  </si>
  <si>
    <t>LINEA BASE 2017</t>
  </si>
  <si>
    <t>ENTIDADES RESPONSABLES</t>
  </si>
  <si>
    <t>ENTIDADES CONCURRENCIA</t>
  </si>
  <si>
    <t>Implementar estrategias y acciones que propendan por el conocimiento de los roles, funciones y competencias, de los Organismos de Acción Comunal, por parte de los dignatarios y funcionarios de la Administración Municipal</t>
  </si>
  <si>
    <t>ESTRUCTURA DE LOS ORGANISMOS DE ACCIÓN COMUNAL</t>
  </si>
  <si>
    <t xml:space="preserve">Capacitación en formación Cultural  a dignatarios de Organismos de Acción Comunal. </t>
  </si>
  <si>
    <t>Número de dignatarios de Organismos de Acción Comunal capacitados como  formadores culturales</t>
  </si>
  <si>
    <t>Actas, listados de asistencia, evidencia fotográfica</t>
  </si>
  <si>
    <t>Implementación de la Escuela de liderazgo comunal infantil</t>
  </si>
  <si>
    <t>Número de Escuelas de  liderazgo comunal infantil implementadas (con un  cupo de 35 participantes)</t>
  </si>
  <si>
    <t>Actas, Resgistro de asistencia,plan de estudio formulad.o evidencia fotográfica</t>
  </si>
  <si>
    <t>Número de asistentes a la Escuela de liderazgo comunal infantil</t>
  </si>
  <si>
    <t>Estrategia Derechos y Participación Juvenil en todos los espacios de participación y en los Organismos de Acción Comunal</t>
  </si>
  <si>
    <t>Número de Estrategias en Derechos y Participación Juvenil</t>
  </si>
  <si>
    <t>Estrategia Formulada en medio digital</t>
  </si>
  <si>
    <t>Número de Beneficiarios de la Estrategia de Derechos y Participación Juvenil</t>
  </si>
  <si>
    <t>Actas, listados de asistencia, Base de datos , reporte SPP evidencia fotográfica</t>
  </si>
  <si>
    <t>Estrategia para fortalecer la Participación Social y Politica de las mujer en  Organismos de Acción Comunal</t>
  </si>
  <si>
    <t>Número de Estrategias para la participación social y política de las mujeres en los Organismos de Acción Comunal</t>
  </si>
  <si>
    <t>Número de beneficiarías   de la Estrategia para la participación social y política de las mujeres en los Organismos de Acción Comunal.</t>
  </si>
  <si>
    <t>Actas, listados de asistencia, reporte SDSYP evidencia fotográfica</t>
  </si>
  <si>
    <t>Estrategía para fortalecer el sector comunal en el muncipio de Pereira (JAC, , Asojuntas, Federación, Fedecomunal y oficiina de Gestión Comunal)</t>
  </si>
  <si>
    <t xml:space="preserve">Estrategía formulada y en ejecución </t>
  </si>
  <si>
    <t>Actas, listados de asistencia, registros SPP,  evidencia fotográfica</t>
  </si>
  <si>
    <t>Fedecomunal, Asojuntas,  y Planeación Municipal</t>
  </si>
  <si>
    <t>Visitas de Inspección, control y vigilancia a los organismos comunales</t>
  </si>
  <si>
    <t>Número  visitas de inspección, control y vigilancia por JAC (3 visitas por JAC)</t>
  </si>
  <si>
    <t>Acta , Registro SPP, evidencia fotográfico</t>
  </si>
  <si>
    <t>Estrategia de capacitación en funciones y roles de Organismos Comunales a los integrantes de los Organismos Comunales</t>
  </si>
  <si>
    <t xml:space="preserve">  Número de estrategias de capacitación implementadas relacionadas con funciones  y roles para los integrantes de los Organismos Comunales</t>
  </si>
  <si>
    <t>Estrategia en  medio digital</t>
  </si>
  <si>
    <t>Número de integrantes de los organismos comunales sensibilizados en funciones y Roles</t>
  </si>
  <si>
    <t>Registro SPP, evidencia fotográfica</t>
  </si>
  <si>
    <t>Número de horas de capacitación realizadas en el marco de la estrategia formador de fomardores (Decreto 2350 Art 32).</t>
  </si>
  <si>
    <t>N/D</t>
  </si>
  <si>
    <t>Federación de Acción Comunal - Comité Acción Comunal</t>
  </si>
  <si>
    <t>Apoyar el proceso eleccionario de los Organismos Comunales</t>
  </si>
  <si>
    <t>Apoyar las Elecciones de las JAC</t>
  </si>
  <si>
    <t>Apoyar las Elecciones de las ASOJAC</t>
  </si>
  <si>
    <t>Apoyar las Elecciones de la FEDERACIÓN.</t>
  </si>
  <si>
    <t>Apoyar las Elecciones de las JACI</t>
  </si>
  <si>
    <t xml:space="preserve">Asesoría y acompañamiento a los organismos comunales para la formulación de proyectos a través del FIC  </t>
  </si>
  <si>
    <t xml:space="preserve">Número de asesorias y acompañamientos realizados a los organismos comunales para la formulación de proyectos a través del FIC  </t>
  </si>
  <si>
    <t>29/ a 2015</t>
  </si>
  <si>
    <t>Comunas y corregimientos beneficiados por proyectos presentados  al Fondo de Inversiones Comunitarias</t>
  </si>
  <si>
    <t>Número de Comunas y corregimientos beneficiados por proyectos presentados  al Fondo de Inversiones Comunitarias</t>
  </si>
  <si>
    <t>Número de proyectos aprobados a traves del FIC</t>
  </si>
  <si>
    <t>&gt; o = 31</t>
  </si>
  <si>
    <t>Acta aprobación de proyecto</t>
  </si>
  <si>
    <t>Rendición de cuentas realizadas y presentadas por parte de los Organismos Comunales</t>
  </si>
  <si>
    <t>Porcentaje de Organismos Comunales que realizaron y presentaron su rendición de cuentas</t>
  </si>
  <si>
    <t xml:space="preserve">Mantenimiento </t>
  </si>
  <si>
    <t xml:space="preserve">Formulación de Planes de Desarrollo por Comuna y Corregimiento con la activa participación de la comunidad </t>
  </si>
  <si>
    <t>Número de Planes de Desarrollo formulados por Comuna y Corregimiento con la activa participación de la comunidad</t>
  </si>
  <si>
    <t>Proyectos Aprobados por el FIC  para beneficiar a personas en condiciones de discapacidad presentados por los Organismos de Acción Comunal</t>
  </si>
  <si>
    <t>Número de proyectos Aprobados por el FIC  para beneficiar a personas en condiciones de discapacidad presentados por los Organismos de Acción Comunal</t>
  </si>
  <si>
    <t xml:space="preserve"> Aprobado Proyecto Contrato ejecutado</t>
  </si>
  <si>
    <t>Caracterización socio- demografica de los dignatarios de los Organismos de Acción Comunal</t>
  </si>
  <si>
    <t>Porcentaje de caracterización socio -demográfica realizada a los dignatarios de los Organismos de Acción Comunal.</t>
  </si>
  <si>
    <t>Matenimiento</t>
  </si>
  <si>
    <t>Juntas de Acción Comunal</t>
  </si>
  <si>
    <t>Diplomado en  Organización solidaria y gestión comunitaria dirigido a dignatarios de los Organimos Comunales</t>
  </si>
  <si>
    <t>Número de Diplomados realizados en Organización solidaria y gestión comunitaria dirigido a dignatarios de los Organimos Comunales (40 cupos)</t>
  </si>
  <si>
    <t>Número de dignatarios formados en Diplomado de Organización solidaria y gestión comunitaria</t>
  </si>
  <si>
    <t xml:space="preserve">Implementación de la Escuela de formación comunal en el sistema de Planeación  participativa y democrática </t>
  </si>
  <si>
    <t>Porcentaje de implementación de la Escuela formación comunal</t>
  </si>
  <si>
    <t>Instrumento de legalización, actas, listados de asistencia y evidencia fotográfica</t>
  </si>
  <si>
    <t xml:space="preserve"> Presentación de proyectos por parte de las Juntas de Acción Comunal Infantil JACI en el programa de Presupuesto Participativo </t>
  </si>
  <si>
    <t>Número de proyectos presentados  por parte de las Juntas de Acción Comunal Infantil JACI en el programa de Presupuesto Participativo</t>
  </si>
  <si>
    <t>Documentos, Actas</t>
  </si>
  <si>
    <t xml:space="preserve"> Proyectos presentados por parte de los Organismos de Acción Comunal al programa de Presupuesto Participativo </t>
  </si>
  <si>
    <t xml:space="preserve">Número de proyectos presentados al programa de Presupuesto Participativo por parte de los Organismos de Acción Comunal  </t>
  </si>
  <si>
    <t xml:space="preserve">Registro fotográfico  y planificación de la semana </t>
  </si>
  <si>
    <t>Capacitación dirigida a dignatarios de los Organimos Comunales en regimen Municipal en temas de gestión comunitaria y derechos humanos</t>
  </si>
  <si>
    <t>Número de capacitaciones  dirigidas a dignatarios de los Organimos Comunales en regimen Municipal temas de gestión comunitaria y derechos humanos</t>
  </si>
  <si>
    <t>SAC: Sistema de Atención a Comunidad</t>
  </si>
  <si>
    <t>Secretaria Privada</t>
  </si>
  <si>
    <t>Jornadas de capacitación a Organismos de Acción Comunal sobre Identidad sexual y genero</t>
  </si>
  <si>
    <t xml:space="preserve"> Número de jornadas de Capacitación sobre identidad sexual y genero dirigida a los Organismos de Acción Comunal de las comunas y corregimientos</t>
  </si>
  <si>
    <t>Estrategia  para fomentar  la participación política de los sectores sociales  LGTBI en los Organismos Comunales</t>
  </si>
  <si>
    <t>Número de estrategias implementadas para fomentar  la participación política de los sectores sociales  LGTB en los Organismos Comunales</t>
  </si>
  <si>
    <t>Estrategia para promover  la participación de las minorias etnicas en los organismos comunales</t>
  </si>
  <si>
    <t>Participación de minorias etnicas en cargos directivos de los  Organismos Comunales</t>
  </si>
  <si>
    <t>Base de datos actualizada</t>
  </si>
  <si>
    <t>Capacitación a dignatarios de los Organismos de acción Comunal en el uso de las Tecnologías de la Información y Comunicación  TIC</t>
  </si>
  <si>
    <t>Número de dignatarios de las OAC capacitados en manejo de las TIC</t>
  </si>
  <si>
    <t>Secretaria de las TIC</t>
  </si>
  <si>
    <t xml:space="preserve"> Asesoría en formulación de proyectos, planes y programas sociales a los dignatarios de los Organismos Comunales </t>
  </si>
  <si>
    <t>Número de asesorias realizadas en  formulación de proyectos, planes y programas sociales a los dignatarios de los Organismos Comunales</t>
  </si>
  <si>
    <t>Promover la sostenibilidad de los organismos de acción comunal, a través de procesos asociativos, proyectos y estrategias que incidan en las condiciones de vida de la comunidad</t>
  </si>
  <si>
    <t>SOSTENIBILIDAD DE LOS ORGANISMOS DE ACCIÓN COMUNAL</t>
  </si>
  <si>
    <t xml:space="preserve">Formación  a dignatarios de los Organismos Comunales en temas relacionados con el emprendimiento </t>
  </si>
  <si>
    <t xml:space="preserve">Número de dignatarios encargados de Organismos Comunales capacitados en temas relacionados con el emprendimiento </t>
  </si>
  <si>
    <t xml:space="preserve">Asesoría de iniciativas empresariales y microempresas presentadas desde los Organismos de Acción Comunal. </t>
  </si>
  <si>
    <t xml:space="preserve">Número de asesorías realizadas a iniciativas empresariales y microempresas presentadas desde los Organismos de Acción Comunal. </t>
  </si>
  <si>
    <t xml:space="preserve">Acompañamiento y seguimiento de iniciativas empresariales y microempresas presentadas desde los Organismos de Acción Comunal. </t>
  </si>
  <si>
    <t xml:space="preserve">Número de acompañamientos realizados a iniciativas empresariales y microempresas presentadas desde los Organismos de Acción Comunal. </t>
  </si>
  <si>
    <t>Número de Organizaciones comunales beneficiadas con  asistencia técnica en asuntos agropecuarios y ambientales</t>
  </si>
  <si>
    <t>Secretaría De Desarrollo Rural y Gestión Ambiental</t>
  </si>
  <si>
    <t>Capacitaciones  en manejo y reutilización de residuos solidos dirigidos  a los Organismos de Acción Comunal.</t>
  </si>
  <si>
    <t>Número de Capacitaciones realizadas a los Organismos de Acción Comunal en manejo y reutilización de residuos solidos</t>
  </si>
  <si>
    <t>Capacitación a dignatarios de los Organimos de Acción Comunal en  formación para el trabajo.</t>
  </si>
  <si>
    <t>Número de dignatarios de los Organismos de Acción Comunal capacitados en  formación para el trabajo</t>
  </si>
  <si>
    <t>Generar escenarios de articulación entre los organismos de acción comunal y las entidades oficiales y privadas, a través de mecanismos de comunicación y acciones de corresponsabilidad.</t>
  </si>
  <si>
    <t>INSTITUCIONALIDAD DE LOS ORGANISMOS DE ACCIÓN COMUNAL</t>
  </si>
  <si>
    <t xml:space="preserve"> Implementación de un Sistema de Información para el seguimiento y evaluación de la Política Pública para los Organismos de Acción Comunal </t>
  </si>
  <si>
    <t>Porcentaje de implementación de Sistema de Información para el seguimiento y evaluación de la Política Pública para los Organismos de Acción Comunal.</t>
  </si>
  <si>
    <t xml:space="preserve"> Investigación cualitativa y cuantitativa de las organizaciones comunales en el Municipio de Pereira </t>
  </si>
  <si>
    <t>Número de investigaciones realizadas</t>
  </si>
  <si>
    <t>Publicación y documentos soporte de la investigación</t>
  </si>
  <si>
    <t>Conformación de veedurias para la ejecución de proyectos mediante Presupuesto Participativo y Fondo de Inversión Comunitaria por parte de los Organismos Comunales.</t>
  </si>
  <si>
    <t>Número de veedurias conformadas para  la ejecución de proyectos mediante Presupuesto Participativo y Fondo de Inversión Comunitaria por parte de los Organismos Comunales.</t>
  </si>
  <si>
    <t>Revisión y viabilización de convenios para la ejecución de proyectos mediante Presupuesto Participativo y Fondo de Inversión Comunitaria por parte de los Organismos Comunales.</t>
  </si>
  <si>
    <t>Número de convenios revisados y viabilizados para la ejecución de proyectos mediente Presupuesto Participativos y Fondo de Inversión Comunitaria por parte de los Organismos Comunales.</t>
  </si>
  <si>
    <t>Documento concepto de revisión, Convenio, Actas y fotos</t>
  </si>
  <si>
    <t>Control a bienes e insumos entregados a los Organismos Comunales a través del FIC, informando a los entidades competentes las irregularidades detectadas</t>
  </si>
  <si>
    <t>Controlar el  100% de bienes e insumos entregados a los Organismos Comunales  a través del FIC, con el respectivo reporte de irregularidades detectadas</t>
  </si>
  <si>
    <t>formatos de inspección de inventarios, reporte de irregularidades a entidades de control</t>
  </si>
  <si>
    <t>Kilometros de vías rurales municipales pavimentadas postuladas por los Organismos de Acción Comunal</t>
  </si>
  <si>
    <t>Número kilometros de Vías rurales municipales pavimentadas postuladas por los Organismos de Acción Comunal</t>
  </si>
  <si>
    <t>Secretaria de Infraestrcutura</t>
  </si>
  <si>
    <t>Kilometros de Vías Urbanas municipales pavimentadas postuladas por los Organismos de Acción Comunal</t>
  </si>
  <si>
    <t>Número kilometros de vías Urbanas municipales pavimentadas postuladas por los Organismos de Acción Comunal</t>
  </si>
  <si>
    <t>Kilometros de Vías rurales municipales recuperadas y con mantenimiento  postuladas por los Organismos de Acción Comunal</t>
  </si>
  <si>
    <t>Número de Kilometros de vías rurales municipales recuperadas y con mantenimiento postuladas por los Organismos de Acción Comunal</t>
  </si>
  <si>
    <t>Kilometros de Vías urbanas municipales recuperadas y con mantenimiento  postuladas por los Organismos de Acción Comunal</t>
  </si>
  <si>
    <t>Número de kilometros de vías urbanas municipales  recuperadas y con mantenimiento postuladas por los Organismos de Acción Comunal</t>
  </si>
  <si>
    <t xml:space="preserve">Construcción de nuevas Casetas comunales  </t>
  </si>
  <si>
    <t xml:space="preserve">Número de Casetas Comunales construidas  </t>
  </si>
  <si>
    <t xml:space="preserve">Adecuación y mejoramiento de Casetas comunales </t>
  </si>
  <si>
    <t>Número de Casetas comunales adecuadas y mejoradas</t>
  </si>
  <si>
    <t>Adecuación y mejoramiento de zonas verdes postuladas por los Organismos de Acción Comunal</t>
  </si>
  <si>
    <t>Número de zonas verdes mejoradas postuladas por los Organismos de Acción Comunal</t>
  </si>
  <si>
    <t>Adecuación de espacios públicos postulados por los Organismos de Acción Comunal</t>
  </si>
  <si>
    <t>Número de espacios públicos adecuados postulados por los Organismos de Acción Comunal</t>
  </si>
  <si>
    <t>Diseño y construcción de nuevos espacios públicos postulados por los Organismos de Acción Comunales</t>
  </si>
  <si>
    <t>Número de Espacios públicos diseñados y construidos postulados por los Organismos de Acción Comunales</t>
  </si>
  <si>
    <t>Siembra de  árboles urbanos con participación de Organismos Comunales</t>
  </si>
  <si>
    <t>Número de arboles urbanos sembrados con la participación de Organizaciones Comunales.</t>
  </si>
  <si>
    <t xml:space="preserve">Recuperación y mantenimiento de Parques, postulados por los Organismos de Acción Comunal </t>
  </si>
  <si>
    <t>Número de Parques de la ciudad recuperados y con mantenimiento postulados por los Organismos de Acción Comunal</t>
  </si>
  <si>
    <t xml:space="preserve">Subsidios de mejoramientos de vivienda en la zona urbana postulados por las Juntas de Acción Comunal </t>
  </si>
  <si>
    <t xml:space="preserve">Número de Subsidios de mejoramientos de vivienda zona urbana postulados por las Juntas de Acción Comunal </t>
  </si>
  <si>
    <t>Secretaria de Vivienda Social</t>
  </si>
  <si>
    <t xml:space="preserve">Subsidios de mejoramientos de vivienda en la zona rural postulados por las Juntas de Acción Comunal </t>
  </si>
  <si>
    <t xml:space="preserve">Número de Subsidios de mejoramientos de vivienda zona rural postulados por las Juntas de Acción Comunal </t>
  </si>
  <si>
    <t>Jornadas de descentralización de la Oferta Institucional en las diferentes Comunas y Corregimientos</t>
  </si>
  <si>
    <t>Número de Jornadas de descentralización de la Oferta Institucional en las diferentes Comunas y Corregimientos</t>
  </si>
  <si>
    <t>Participación de delegados de las Juntas de Acción Comunal JACI  en la mesa Municipal de participación de Niños, Niñas y Adolescentes</t>
  </si>
  <si>
    <t>Número de delegados de las JACI en la mesa Municipal de participación de Niños, Niñas y Adolescentes</t>
  </si>
  <si>
    <t>Fortalecer y mantener el número de Juntas Acción Comunal  Infantil existentes en el Municipio de Pereira</t>
  </si>
  <si>
    <t>Número de JACI existentes en el Municipio de Pereira fortalecidas</t>
  </si>
  <si>
    <t>mantenimiento</t>
  </si>
  <si>
    <t>Publicaciones en medios de comunicación contenidos relacionados con la Acción Comunal</t>
  </si>
  <si>
    <t>Número de publicaciones de contenidos relacionados con  Acción Comunal</t>
  </si>
  <si>
    <t>Publicidad realizada</t>
  </si>
  <si>
    <t>Plan de Acción del Comité de Acción Comunal del Municipio de Pereira</t>
  </si>
  <si>
    <t>Porcentaje de ejecución del Plan de Acción del Comité de Acción Comunal del Municipio de Pereira</t>
  </si>
  <si>
    <t>Estudio de viabilidad de organización Política Administrativa de Comunas y Corregimientos</t>
  </si>
  <si>
    <t>Porcentaje de realización de estudio de viabilidad de organización Política Administrativa de comunas y Corregimientos</t>
  </si>
  <si>
    <t>Documento estudio, actas, listados de asistencia, evidencia fotográfica</t>
  </si>
  <si>
    <t xml:space="preserve">Celebración de la Semana de Participación ciudadana </t>
  </si>
  <si>
    <t>Número de eventos para la celebración de la semana de participación ciudadana</t>
  </si>
  <si>
    <t>Celebración del día de la acción Comunal el segundo domingo del mes de Noviembre cada año Acuerdo 49/2005 Municipio de Pereira, (Articulo 73 Ley 743)</t>
  </si>
  <si>
    <t>Número de eventos para la celebración del día de la Acción Comunal</t>
  </si>
  <si>
    <t>Registro fotográfico  y planificación deI día de la acción comunal</t>
  </si>
  <si>
    <t>Talleres dirigidos a miembros de Asociaciones de Juntas de Acción Comunal para la difusion de los acuerdos de paz</t>
  </si>
  <si>
    <t>Número de talleres realizados dirigidos a miembros de Asociaciones de Juntas de Acción Comunal para la difusion de los acuerdos de paz</t>
  </si>
  <si>
    <t>Oficina de paz, reconciliacion y posconflicto</t>
  </si>
  <si>
    <t>Talleres a dignatarios de Juntas de Acción Comunal de barrios y veredas del Municipio de Pereira, en el marco del Plan de Acción del Consejo Municipal de Paz, Reconciliacion y Convivencia</t>
  </si>
  <si>
    <t>Número de talleres realizados  a dignatarios de Juntas de Acción Comunal de barrios y veredas del Municipio de Pereira, en el marco del Plan de Acción del Plan de acción del Consejo Municipal de Paz, Reconciliacion y Convivencia</t>
  </si>
  <si>
    <t>Realización de Juegos Deportivos Comunales</t>
  </si>
  <si>
    <t>Número de Juegos Deportivos Comunales realizados</t>
  </si>
  <si>
    <t>Sensibilización del  Plan de Emergencia Comunitaria dirigida a  miembros de los Organismos de Acción Comunal</t>
  </si>
  <si>
    <t>Número de personas sensibilizadas del Plan de Emergencia Comunitaria que hacen parte de Organismos de Acción Comunal</t>
  </si>
  <si>
    <t>Capacitaciones en temas de Cultura de la Legalidad a los miembros de los Organismos de Acción Comunal</t>
  </si>
  <si>
    <t>Número de capacitaciones realizadas en temas de Cultura de la Legalidad a los miembros de los Organismos de Acción Comunal</t>
  </si>
  <si>
    <t>Jornadas de socialización sobre oferta de educación superior a los Organismos de Acción Comunal</t>
  </si>
  <si>
    <t>Número de jornadas de socialización sobre oferta de educación superior a los Organismos de Acción Comunal</t>
  </si>
  <si>
    <t>Mantenimiento y dotación de escenarios DRAEF postulados por los Organismos de Acción Comunal</t>
  </si>
  <si>
    <t>Número de escenarios DRAEF con mantenimiento y dotación, postulados por los Organismos de Acción Comunal</t>
  </si>
  <si>
    <t>Realización de eventos deportivos, recreativos y de actividad física  gestionados por los Organismos de Acción Comunal</t>
  </si>
  <si>
    <t>Número de eventos deportivos, recreativos y de actividad física  gestionados por los Organismos de Acción Comunal</t>
  </si>
  <si>
    <t>Jornadas de formación en participación y Liderazgo Comunal a  estudiantes de las Instituciones Educativas</t>
  </si>
  <si>
    <t>Número de jornadas de formación en participación y Liderazgo Comunal a estudiantes de las Instituciones Educativas</t>
  </si>
  <si>
    <t xml:space="preserve">Número de  actividades realizadas  para vincular a las Organizaciones Comunales en la promociòn  del Paisaje Cultural Cafetero  </t>
  </si>
  <si>
    <t>Implementación de zonas de escucha para la prevención y mitigación del consumo de sustancias psicoactivas promovidas por los Organismos de Acción Comunal</t>
  </si>
  <si>
    <t>Número de zonas de escucha implementadas para la prevención y mitigación del consumo de sustancias psicoactivas promovidas por los Organismos de Acción Comunal</t>
  </si>
  <si>
    <t>Secretaría De Salud y Seguridad Social</t>
  </si>
  <si>
    <t>Campañas de promoción de la estrategia de atención primaria en salud (APS) desde de los Organismos de Acción Comunal.</t>
  </si>
  <si>
    <t>Número de Campañas de promoción de la estrategia de atención primaria en salud (APS) desde de los Organismos de Acción Comunal.</t>
  </si>
  <si>
    <t>Campañas en prevención de vectores transmisores de dengue desde los Organismos Comunales</t>
  </si>
  <si>
    <t>Número de campañas en prevención de vectores transmisores de dengue desde los Organismos Comunales</t>
  </si>
  <si>
    <t>Jornadas de vacunación antirrábica promovidas por los Organismos de Acción Comunal</t>
  </si>
  <si>
    <t>Número de jornadas de vacunación antirrábica desde los Organismos de Acción Comunal</t>
  </si>
  <si>
    <t>Jornadas de sensibilización desde los Organismos de Acción Comunal del proyecto familias para la atención primaria en salud mental del riesgo psicosocial.</t>
  </si>
  <si>
    <t>Número de jornadas de sensibilización desde los Organismos de Acción Comunal del proyecto familias para la atención primaria en salud mental del riesgo psicosocial.</t>
  </si>
  <si>
    <t>METAS  2018</t>
  </si>
  <si>
    <t>PRESUPUESTO  2018</t>
  </si>
  <si>
    <t>COMPONENTES</t>
  </si>
  <si>
    <t>OBJETIVO DE LA POLÍTICA</t>
  </si>
  <si>
    <t>INDICADORES DE LA POLÍTICA</t>
  </si>
  <si>
    <t>TOTAL ACUMULADO</t>
  </si>
  <si>
    <t>ENTIDADES DE CONCURRENCIA</t>
  </si>
  <si>
    <t>Atención integral en salud mental</t>
  </si>
  <si>
    <t>Reducir la incidencia de factores de riesgo que mitiguen la vulnerabilidad psicosocial de problemas asociados a trastornos de salud mental y al consumo de sustancias psicoactivas.</t>
  </si>
  <si>
    <t>Número de personas rehabilotadas a través del proceso comunitario</t>
  </si>
  <si>
    <t>Número</t>
  </si>
  <si>
    <t xml:space="preserve">Secretaría de Salud. </t>
  </si>
  <si>
    <t xml:space="preserve">Articulación de Comisarias de Familia, Caivas, Cavifs en alianza con las EPS y equipos extramurales para garantizar la atención en salud mental </t>
  </si>
  <si>
    <t>Porcentaje de la articulación implementada</t>
  </si>
  <si>
    <t>Porcentaje</t>
  </si>
  <si>
    <t xml:space="preserve">Actas de atención Registros de asistencia </t>
  </si>
  <si>
    <t xml:space="preserve">CAIVAS, CAVIFS, Comisarías de Familia, EAPB y </t>
  </si>
  <si>
    <t xml:space="preserve">Crear e implementar la red de atención en salud mental comunitaria en todo el municipio de Pereira       </t>
  </si>
  <si>
    <t>Porcentaje de la red implementada</t>
  </si>
  <si>
    <t>Actas. Listados de asistencia, instrumento de lgalización de la red</t>
  </si>
  <si>
    <t xml:space="preserve">Secretaría de Salud.  </t>
  </si>
  <si>
    <t xml:space="preserve">Capacitación de los equipos extramurales de APS comunitaria, de dispositivos de base comunitaria, de comisarias de familia, y orientadores escolares enlas herramientas de MH GAP: Diagnóstico en salud mental, tamizaje, intervención breve y entrevista motivacional.     </t>
  </si>
  <si>
    <t xml:space="preserve">Número de capacitciones realizadas </t>
  </si>
  <si>
    <t xml:space="preserve">Numero </t>
  </si>
  <si>
    <t xml:space="preserve">Listados de asistencia Registros SPP Registro fotográficos e informes de actividades </t>
  </si>
  <si>
    <t xml:space="preserve">Asistencia técnica a los equipos de salud de primer nivel en diagnóstico, manejo, y seguimiento de casos en salud mental y consumo de sustancias psicoactivas.          </t>
  </si>
  <si>
    <t>Número de asistencias realizadas</t>
  </si>
  <si>
    <t>Actas de reunión de asistencias, Registros de asistencia Informe de la asistencia realizada</t>
  </si>
  <si>
    <t xml:space="preserve">Caracterización de los centros de atención a población drogodependiente del municipio no habilitados para desarrollar el proceso de habilitación  </t>
  </si>
  <si>
    <t xml:space="preserve">Número de centros caracterizados y en proceso de habilitación </t>
  </si>
  <si>
    <t xml:space="preserve">Número </t>
  </si>
  <si>
    <t xml:space="preserve">Registros de habilitación, actas, listados de asistencia </t>
  </si>
  <si>
    <t xml:space="preserve">Fortalecimiento de las Zonas de Escucha a nivel comunitario </t>
  </si>
  <si>
    <t>Número de zonas de escucha conformadas</t>
  </si>
  <si>
    <t>Registros de asistencia de las personas atendidas</t>
  </si>
  <si>
    <t>Protección y promoción de los derechos humanos con enfoque en salud mental</t>
  </si>
  <si>
    <t xml:space="preserve">Identificar y minimizar las barreras de acceso al diagnóstico, a la atención integral, a la reducción de daños, al seguimiento y a la inclusión social de calidad para las comunidades en Pereira. </t>
  </si>
  <si>
    <t xml:space="preserve">Implementación del sistema de seguimiento de atención integral y de calidad  en primer y segundo nivel y en ámbito comunitario. </t>
  </si>
  <si>
    <t xml:space="preserve">Porcentaje de implementación del sistema de seguimiento </t>
  </si>
  <si>
    <t>Resolución de la creación de los equipos comunitarios.                     Actas de reunión con actores comunitarios involucrados. Informes de visita de seguimiento a las EAPB*Evidencia fotográfica</t>
  </si>
  <si>
    <t>Caracterización de la población con trastorno mental y abuso o dependencia al consumo de sustancias psicoactivas</t>
  </si>
  <si>
    <t>Número de caracterizaciones realizadas para determinar el trastorno mental y abuso o dependencia de consumo de sustancias psicoactivas</t>
  </si>
  <si>
    <t xml:space="preserve">Fichas de Notificación Registros de atención Registros de asistencia </t>
  </si>
  <si>
    <t xml:space="preserve">EAPB, IPS, Hospital Mental, CADs Habilitados </t>
  </si>
  <si>
    <t>Revisión y ajuste de las rutas de atención en salud mental y consumo de sustancias psicoactivas.</t>
  </si>
  <si>
    <t xml:space="preserve">Número de revisiones y ajutes realizados </t>
  </si>
  <si>
    <t>Igualdad y no discriminación en salud mental</t>
  </si>
  <si>
    <t xml:space="preserve">Fomentar la salud mental en el municipio a través de un enfoque diferencial, que elimine el estigma de la enfermedad mental y promueva un trato digno de las personas con problemas y patologías mentales así como  de las personas que usan sustancias psicoactivas y sus redes de apoyo familiar o comunitario. </t>
  </si>
  <si>
    <t xml:space="preserve">Definir e implementar  una guía de atención integral en salud mental y consumo de SPA.     </t>
  </si>
  <si>
    <t xml:space="preserve">Porcentaje de implementación de la guía de atención integral en salud mental                                                                                                                                                                                                                         </t>
  </si>
  <si>
    <t xml:space="preserve">Actas de seguimiento a las capacitaciones realizadas.                         Evaluación piloto de la guía de seguimiento de atención en salud mental </t>
  </si>
  <si>
    <t xml:space="preserve">Capacitación a los equipos de las IPS en la guía de atención integral en salud mental y consumo de sustancias psicoactivas.   </t>
  </si>
  <si>
    <t xml:space="preserve">*Número de equipos de las IPS capacitados en la aplicación de guías de salud mental y consumo de sustancias psicoactivas.            </t>
  </si>
  <si>
    <t xml:space="preserve">Actas de capacitación e informes de las capacitaciones </t>
  </si>
  <si>
    <t xml:space="preserve">Capacitación orientada a profesionales de la salud mental, a comunidad y sector productivo con el fin de mitigar el estigma de la enfermedad mental y el consumo de SPA. </t>
  </si>
  <si>
    <t xml:space="preserve">Capacitación a familiares y personas que padecen trastornos mentales o usuarios de sustancias psicoactivas en el acceso a la atención priorizada en salud mental </t>
  </si>
  <si>
    <t>Actas de reunión.                                    Registro de asistencia                               Registro Fotográfico</t>
  </si>
  <si>
    <t xml:space="preserve">Gestionar la contratación de profesionales de la salud en la especialidad psiquiátrica para atender a la población del CREEME </t>
  </si>
  <si>
    <t xml:space="preserve">Número de profesionales contratados </t>
  </si>
  <si>
    <t xml:space="preserve">Actas de reunión de los procesos de gestión y listados de asistencia </t>
  </si>
  <si>
    <t xml:space="preserve">Atención particularizada a las personas que requieran asesoría sobre el manejo de situaciones asociadas al trastorno mental y al consumo de SPA. </t>
  </si>
  <si>
    <t>Número de personas atendidas</t>
  </si>
  <si>
    <t xml:space="preserve">Registro de atención y seguimiento </t>
  </si>
  <si>
    <t xml:space="preserve">Capacitación a instituciones educativas del municipio (Docentes. Directivos, Estudiantes y funcionarios) sobre temas relacionados con la salud mental y el consumo de SPA </t>
  </si>
  <si>
    <t xml:space="preserve">Nümero de instituciones capacitadas </t>
  </si>
  <si>
    <t xml:space="preserve">Listados de asistencia evidencia fotográfica e informes de capactiación </t>
  </si>
  <si>
    <t xml:space="preserve">Capacitación a empresas del sector productivo del municipio sobre temas relacionados con la salud mental y el consumo de SPA </t>
  </si>
  <si>
    <t xml:space="preserve">Número de empresas capacitadas </t>
  </si>
  <si>
    <t>Gobernanza para la salud mental</t>
  </si>
  <si>
    <t xml:space="preserve">Velar por el cumplimiento de las acciones de la política pública, fortaleciendo la producción de evidencia para el monitoreo y seguimiento de la misma. </t>
  </si>
  <si>
    <t xml:space="preserve">Desarrollar alianzas público-privadas  para la generación de ingresos y reintegración social de personas que culminan tratamiento y se incorporan a la comunidad.                                                                                                            </t>
  </si>
  <si>
    <t xml:space="preserve">Número de convenios suscritos con empresas del sector productivo de la ciudad.                                                                                                                                   </t>
  </si>
  <si>
    <t xml:space="preserve">Documento de suscripción del convenio, actas, listados de asistencia y registros fotográficos </t>
  </si>
  <si>
    <t xml:space="preserve">Capacitación a funcionarios del sector central y descentralizado del municipio para la atención y el manejo de las personas que padecen trastrorno mental o consumidoras de sustancias psicoactivas. </t>
  </si>
  <si>
    <t xml:space="preserve">Número de caoacitaciones realizadas </t>
  </si>
  <si>
    <t xml:space="preserve">Registros de asistencia, registro fotográfico </t>
  </si>
  <si>
    <t>Seguimiento a la implementacióin de las acciones de política pública</t>
  </si>
  <si>
    <t>Informes de seguimiento, matriz de seguimiento, actas y listados de asistencia</t>
  </si>
  <si>
    <t xml:space="preserve">Elaboración de informes de análisis de la situación de salud mental del municipio </t>
  </si>
  <si>
    <t>Número de informes elaborados</t>
  </si>
  <si>
    <t xml:space="preserve">Informes de análisis de la situación en salud mental </t>
  </si>
  <si>
    <t>Gestión e implementación  para garantizar la atención psicológica y psiquiátrica a primer nivel de atención en salud frente a las instancias nacionales pertinentes</t>
  </si>
  <si>
    <t xml:space="preserve">Porcentaje de la gestión e implementación </t>
  </si>
  <si>
    <t xml:space="preserve">Proyectos Formulados, Oficios, actas de reunión, listados de asistencia </t>
  </si>
  <si>
    <t>Gestión de proyectos frente a instancias nacionales e internacionales con el fin de fomentar la salud mental en el municipio</t>
  </si>
  <si>
    <t xml:space="preserve">Número de proyectos gestionados </t>
  </si>
  <si>
    <t xml:space="preserve">Oficios, actas de reunión, listados de asistencia </t>
  </si>
  <si>
    <t xml:space="preserve">Implementación de una estrategia institucional de salud mental y convivencia social para la paz y reconciliación </t>
  </si>
  <si>
    <t>Porcentaje de la Implementación de la estrategia</t>
  </si>
  <si>
    <t xml:space="preserve">Creación e implementación de la ruta escolar de atención en salud mental y consumo de SPA </t>
  </si>
  <si>
    <t>Porcentaje de implementación de la ruta en las instituciones educativas</t>
  </si>
  <si>
    <t xml:space="preserve">Documento de la Ruta, Actas, Listados de Asistencia y evidencia fotográfica </t>
  </si>
  <si>
    <t xml:space="preserve">Articulación interinstitucional para la identificación  y mitigación del  consumo  de sustancias psicoactivas en el municipio </t>
  </si>
  <si>
    <t xml:space="preserve">Número de zonas identificadas </t>
  </si>
  <si>
    <t>Fortalecimiento de las estrategias de reducción de daños en consumo de SPA y en drogas por vía inyectada</t>
  </si>
  <si>
    <t>Porcentaje de fortalecimiento de la estrategia</t>
  </si>
  <si>
    <t>Policía Nacional</t>
  </si>
  <si>
    <t>Dinamización de los comités municipales de SPA y heroína con participacipación de población diferencial</t>
  </si>
  <si>
    <t xml:space="preserve">Número de sesiones desarrollladas </t>
  </si>
  <si>
    <t>actas de reunión y registros de asistencia</t>
  </si>
  <si>
    <t>POLÍTICA PÚBLICA: SEGURIDAD ALIMENTARIA</t>
  </si>
  <si>
    <t>OBJETIVO GENERAL DE LA POLÍTICA: Contribuir a que la población pereirana disponga, acceda y consuma alimentos de manera permanente y oportuna, en suficiente cantidad, variedad, calidad e inocuidad, mediante el fortalecimiento de la soberanía alimentaria del territorio.</t>
  </si>
  <si>
    <t>Componentes Estrategicos</t>
  </si>
  <si>
    <t>Objetivos Estrategicos</t>
  </si>
  <si>
    <t>FORMULA DE CALCULO</t>
  </si>
  <si>
    <t>FUENTE INDICADOR</t>
  </si>
  <si>
    <t>ENTIDAD RESPONSABLE</t>
  </si>
  <si>
    <t xml:space="preserve">LINEA BASE DEL INDICADOR </t>
  </si>
  <si>
    <t>FECHA LINEA BASE</t>
  </si>
  <si>
    <t>META 2019</t>
  </si>
  <si>
    <t>Disponibilidad de alimentos suficiente, variada y de calidad.</t>
  </si>
  <si>
    <t>Producción de alimentos suficiente, variada y de calidad para la población pereirana disponible</t>
  </si>
  <si>
    <t>Toneladas de cosecha de alimento (Cultivo de hortalizas)</t>
  </si>
  <si>
    <t>toneladas cosechas de produccion agricola ( se excluye el café, las flores y el follaje )= Σ de toneladas de produccion</t>
  </si>
  <si>
    <t>Secretaría de Desarrollo Rural, mediante el sistema SISAA</t>
  </si>
  <si>
    <t>90541 ton</t>
  </si>
  <si>
    <t>82200 (Disminuye pues no hay proyecciones para los transitorios)</t>
  </si>
  <si>
    <t>Producción Agricola</t>
  </si>
  <si>
    <t>Ha. Plantadas de produccion agricola  se excluye el café, las flores y el follaje )= Σ de toneladas de produccion</t>
  </si>
  <si>
    <t>Informe de conyuntura de evaluación agropuecuario de la Secretaria de Desarrollo Rural</t>
  </si>
  <si>
    <t>6520 ha</t>
  </si>
  <si>
    <t>6684 ha</t>
  </si>
  <si>
    <t>PD</t>
  </si>
  <si>
    <t>Producción pecuario bovina</t>
  </si>
  <si>
    <t>Ganado de carne doble proposito = Σ de cabeza de ganado en el Municipio</t>
  </si>
  <si>
    <t xml:space="preserve"> FEDEGAN</t>
  </si>
  <si>
    <t>Litros de Leche Año =Σ Litros leche al año del Municipio</t>
  </si>
  <si>
    <t>Producción avicola</t>
  </si>
  <si>
    <t xml:space="preserve">Numero de Aves = Σ de aves de corral en el Municipio </t>
  </si>
  <si>
    <t>Conflicto de uso agricola (disminución)</t>
  </si>
  <si>
    <t>Conflicto de Uso agricola = No de Ha potenciales para produccion agricola - No de Ha actuales en Uso Agricola</t>
  </si>
  <si>
    <t>CARDER, POT, expediente Municipal</t>
  </si>
  <si>
    <t>30% de suelos rurales destinados a la producción agrícola en el municipio de Pereira 2019.</t>
  </si>
  <si>
    <t>Agricultura Organica y Agrocologia</t>
  </si>
  <si>
    <t>No de predios del municipio con producción Agroecologica/ organica =  Σ predios del municipio con producción Agroecologica/ organica</t>
  </si>
  <si>
    <t>CARDER, CORA</t>
  </si>
  <si>
    <t>Incrementar al 100%</t>
  </si>
  <si>
    <t>Incrementar al 200%</t>
  </si>
  <si>
    <t>Población Rural Capacitada en Cambio climatico</t>
  </si>
  <si>
    <t>% de cobertura en capacitacion para productores agropecuarios vulnerables del municipio en la preveencion y mitigacion de los efectos del cambio climatico = ( suma productores agropecuarios vulnerables del municipio capacitados en prevencion y mitigacion de los efectos del cambio climatico / Total de Productores agropecuarios vulnerables de zona rural del municipio) * 100</t>
  </si>
  <si>
    <t>40% de productores agropecuarios capacitados en temas relacionados con la mitigación del efecto clímatico (pozos sépticos, obras de bioingeniería, manejo de cuencas hidrográficas, reforestación, saneamiento básico, purificación de aguas del rio Consota.</t>
  </si>
  <si>
    <t>Población rural del municipio de Pereira con altos niveles de competitividad</t>
  </si>
  <si>
    <t>Buenas practicas agricolas y pecuarias</t>
  </si>
  <si>
    <t>% de fincas que implementan BPM Agricolas en el municipio de Pereira= (No. De fincas atendidas por la Secretaría de Des Rural en BPM el municipio/No. Total de predios atendidos por la Secretaría de Desarrollo Rural en el municipio de Pereira)*100</t>
  </si>
  <si>
    <t>Sistema SISAA.</t>
  </si>
  <si>
    <t>100% de fincas atendidas por la secretaría de desarrollo rural que adopten BP agrícolas y pecuarias en el municipio de Pereira.</t>
  </si>
  <si>
    <t>Producción agricola tecnificada</t>
  </si>
  <si>
    <t xml:space="preserve">% de productores agropecuarios vulnerables (PAV) atendidos por la Secretaria de Desarrollo Rural que adoptan paquetes tecnológicos implementados para cada piso térmico en el municipio de Pereira=(No. De PAV atendidos por la SDR que adoptan paquetes tecnólogicos implementados para cada piso térmico en el municipio/No. Total de PAV atendidos por la SDRen el municipio)*100 </t>
  </si>
  <si>
    <t>El 10 % de los 1503 productores agropecuarios existentes en el municipio de Pereira.</t>
  </si>
  <si>
    <t>80% de productores agropecuarios atendidos por la SDR que adoptan paquetes tecnológicos implementados por cada piso térmico en el municipio.</t>
  </si>
  <si>
    <t>Vías rurales mejoradas</t>
  </si>
  <si>
    <t>Vias rurales mejoradas = (km. De vías rurales mejoradas en el municipio/Km de vías rurales existentes en el municipio de Pereira)*100</t>
  </si>
  <si>
    <t xml:space="preserve"> Secretaría de  Infraestructura </t>
  </si>
  <si>
    <t xml:space="preserve">80% de las vías rurales del municipio de Pereira mejoradas. </t>
  </si>
  <si>
    <t>Créditos agropecuarias</t>
  </si>
  <si>
    <t>% de créditos para el sector agropecuario tramitados y desembolsados ante el banco agrario=No de créditos para el sector agropecuario tramitados y desembolsados ante el banco agrario/No de créditos solicitados*100</t>
  </si>
  <si>
    <t>Mantener la línea 100%</t>
  </si>
  <si>
    <t>Sistema agroalimentario consolidado en el municipio</t>
  </si>
  <si>
    <t>Cadenas productivas agrícolas</t>
  </si>
  <si>
    <t>No de cadenas productivas agrícolas =Σ de cadenas productivas conformadas por el municipio.</t>
  </si>
  <si>
    <t xml:space="preserve">Secretaría de Planeación y Desarrollo Rural. </t>
  </si>
  <si>
    <t>Incrementar en un 10%</t>
  </si>
  <si>
    <t>Incrementar en un 30%</t>
  </si>
  <si>
    <t>1.2.8 Fortalecimiento al emprendimiento asociativo para el desarrollo comercial en el municipio de Pereira.</t>
  </si>
  <si>
    <t>Número de asociaciones para el emprendimiento</t>
  </si>
  <si>
    <t>Porcentaje de actualización del sistema de información agropecuario</t>
  </si>
  <si>
    <t>Acceso</t>
  </si>
  <si>
    <t>Produccion para el autoabastecimiento alimentario en la poblacion urbana y rural de pereira promovida y fortalecida</t>
  </si>
  <si>
    <t>Participacion de comunas y corregimientos en programas y practicas de autoabastecimiento alimentario</t>
  </si>
  <si>
    <t>Dato 1. Sec de desarrollo Rural y sec de desarrollo social. Alcaldia de pereira.                 Dato 2 UTP.</t>
  </si>
  <si>
    <t>Dato 1:0%pues el PAN ya no tiene programa de agricultura</t>
  </si>
  <si>
    <t>Dato 1: Pendiente de la Secretaria de desarrollo rual Dato2: 33,33%</t>
  </si>
  <si>
    <t>Fomento a la produccion en las unidades minimas rentables</t>
  </si>
  <si>
    <t>Toneladas de alimentos producidas en las unidades minimas rentables por Ha</t>
  </si>
  <si>
    <t>secretaria de desarrollo Rural</t>
  </si>
  <si>
    <t>La secretaria se encuentra en proceso de levantamiento de linea de base</t>
  </si>
  <si>
    <t>La secretaria de desarrollo rural establecera la meta una vez determine la linea base</t>
  </si>
  <si>
    <t>Programas de asistencia alimentaria articulado y efectivo</t>
  </si>
  <si>
    <t>Institucionalidad para la asistencia alimentaria</t>
  </si>
  <si>
    <t>Secretaria de desarrollo social</t>
  </si>
  <si>
    <t>Alcaldia de pereira, ICBF, Gobernacion de Risaralda, Banco de alimentos caritas, Comfamiliar y accion social 6 instituciones</t>
  </si>
  <si>
    <t>Permanecer en 6</t>
  </si>
  <si>
    <t>Disminuya en un 25% los demandantes de los programas de asistencia alimentaria</t>
  </si>
  <si>
    <t>Asistencia alimentaria</t>
  </si>
  <si>
    <t>% de cubrimiento con la oferta de programas de asistencia alimentaria de la alcaldia=N.o de personas de la poblacion prioritaria que son asistidas/total de la poblacion Pereira)*100</t>
  </si>
  <si>
    <t>Incrementar a 4%</t>
  </si>
  <si>
    <t>Incrementar a 5%</t>
  </si>
  <si>
    <t>Consumo</t>
  </si>
  <si>
    <t>Habitos alimentarios y nutricionales adecuados</t>
  </si>
  <si>
    <t>Niños y niñas en programas de deteccion temprana y proteccion especifica en el municipio de pereira</t>
  </si>
  <si>
    <t>% de niños y niñas en programas de deteccion temprana y proteccion especifica en el municipio de pereira =( N. de niños en programas de deteccion temprana y proteccionespecifica en el municipio de pereira, atendidos con complementacion alimentaria/N. total de niños y niñas del municipio de pereira, menores de cinco años)*100</t>
  </si>
  <si>
    <t>Mesas de trabajo componente consumo-salud</t>
  </si>
  <si>
    <t>Secretaria de desarrollo social y politico</t>
  </si>
  <si>
    <t>90% de los niños menores de 5 años y niñas en programas de detección temprana y protección específica en el municipio de Pereira.</t>
  </si>
  <si>
    <t>cobertura de asistencia a controles prenatales en el municipio de pereira</t>
  </si>
  <si>
    <t>N. de controles prenatales para madres gestantes en el municipio de pereira/N. total de madres gestantes en el municipio de pereira</t>
  </si>
  <si>
    <t>IPS</t>
  </si>
  <si>
    <t>Meta a 2019: 90%</t>
  </si>
  <si>
    <t>seguimiento nutricional en el municipio de pereira</t>
  </si>
  <si>
    <t>% de usuarios valoradosnutricionalmente=(N. total de usuarios de programas de PAN valorados en el municipio de preira/N. total de usuarios de programas de PAN en el municipio)*100</t>
  </si>
  <si>
    <t>Secretaria de salud</t>
  </si>
  <si>
    <t>Educacion transversalizada en los procesos de educacion formal, informal y no formal</t>
  </si>
  <si>
    <t>Articulacion de la dimension en seguridad alimentaria y nutricional en los proyectos educativos institucionales</t>
  </si>
  <si>
    <t>%de articulacion de la dimension en seguridad alimentaria y nutricional en los proyectos educativos institucionales PEI=(N.o de PEI que involucran la dimension en SAN/total de PEI del municipio)*100</t>
  </si>
  <si>
    <t>Secretaria de Educacion, Alcaldia de pereira</t>
  </si>
  <si>
    <t>Secretaria de Educacion</t>
  </si>
  <si>
    <t>Actualmente el 100% de los PEI deben involucrar la dimensión en SAN a traves de las competencias del curriculum en ciencias naturales y ciencias sociales, y habitos de vida saludable. Ademas se presenta la socialización del tren alimentario en primero y segundo grado.</t>
  </si>
  <si>
    <t>Permanece y se incluye en el tema de culinaria nativa</t>
  </si>
  <si>
    <t>Se mantiene la linea base</t>
  </si>
  <si>
    <t>Lactancia materna</t>
  </si>
  <si>
    <t>Lactancia materna exclusiva en el municipio de pereira</t>
  </si>
  <si>
    <t>Definido por la ENSIN 2010</t>
  </si>
  <si>
    <t>ENSIN2010</t>
  </si>
  <si>
    <t>1,8 meses</t>
  </si>
  <si>
    <t>Incrementar a 3 meses</t>
  </si>
  <si>
    <t>Incrementar a 6 meses</t>
  </si>
  <si>
    <t>vacunacion infantil</t>
  </si>
  <si>
    <t>de vacunacion en el municipio de pereira=No. De niños menosres de cinco años vacunados/No.total de niñosmenores de cinco años en el municipio de pereira*100</t>
  </si>
  <si>
    <t>100% de procesos de vacunación realizados en niños menores de cinco años, en el municipio de Pereira.</t>
  </si>
  <si>
    <t>Condiciones de salud que favorezca la nutricion</t>
  </si>
  <si>
    <t>desparasitacion infantil</t>
  </si>
  <si>
    <t>%de niños menores de cinco años con cobertura de desparasitacion en el municipio de pereira=No. De niños menores de cinco años desparasitacion/No. Total de niños menores de cinco años en el municipio de pereira*100</t>
  </si>
  <si>
    <t>100% de procesos de desparasitación realizados en niños menores de cinco años, en el municipio de Pereira.</t>
  </si>
  <si>
    <t>Control de patologias asociaadas al aprovechamiento(aparato digestivo. Congenitas e infecciosas y parasitarias)</t>
  </si>
  <si>
    <t>prevalencia</t>
  </si>
  <si>
    <t>No. De casos nuevos y antiguos de las patologias/poblacion en la mitad de periodo observado por una constante</t>
  </si>
  <si>
    <t>secretaria de salud SISAV sistema de informacion en salud publica</t>
  </si>
  <si>
    <t>incidencia</t>
  </si>
  <si>
    <t>No. De casos nuevos de las patologias/poblacion en la mitad de periodo observado por una constante</t>
  </si>
  <si>
    <t>Estilos de vida saludables</t>
  </si>
  <si>
    <t>poblacion capacitada en estilos de vida saludable</t>
  </si>
  <si>
    <t>% de poblacion capacitada en estilos de vida saludable=(No. De personas capacitadas/No. De habitantes de pereira)*100</t>
  </si>
  <si>
    <t>cobertura de agua potable en la zona urbana</t>
  </si>
  <si>
    <t>% de hogares urbanos con acceso a agua potable en el municipio =No. De hogares urbanos con acceso a agua potable/No. De hogares urbanos en el municipio de pereira</t>
  </si>
  <si>
    <t>aguas y aguas</t>
  </si>
  <si>
    <t>continuidad de la linea base</t>
  </si>
  <si>
    <t>continuidad del servicio de agua potable en la zona urbana</t>
  </si>
  <si>
    <t>% de horas de servicio de agua potable=No. De horas de servicio de agua potable/24*100</t>
  </si>
  <si>
    <t>cobertura de agua potable en la zona rural</t>
  </si>
  <si>
    <t>% de hogares rurales con acceso a agua potable en el municipio =No. De hogares rurales con acceso a agua potable/No. De hogares rurales en el municipio de pereira</t>
  </si>
  <si>
    <t>Salud y Secretaria de planeacion, unidad de gestion ambiental y de servicios publicos domiciliarios</t>
  </si>
  <si>
    <t>75% de los hogares de zonas rurales con acceso a agua potable y segura en el municipio de pereira</t>
  </si>
  <si>
    <t>Irca urbano</t>
  </si>
  <si>
    <t>Según la resolucion 2115 de 2007</t>
  </si>
  <si>
    <t>sin riesgo</t>
  </si>
  <si>
    <t>mantener la linea base</t>
  </si>
  <si>
    <t>Irca rural</t>
  </si>
  <si>
    <t>100% vigilados</t>
  </si>
  <si>
    <t>Uso y Aprovechamiento Biológico</t>
  </si>
  <si>
    <t>Acceso a agua y saneamiento</t>
  </si>
  <si>
    <t>Calida e Inocuidad</t>
  </si>
  <si>
    <t>Vigilancia y control a la producción primaria de alimentos</t>
  </si>
  <si>
    <t>Implementación de normas sanitarias y de inocuidad en predios de produccioón agrícola y pecuaria.</t>
  </si>
  <si>
    <t>(Número de predios certificados/No de predios registrados)*100</t>
  </si>
  <si>
    <t>ICA</t>
  </si>
  <si>
    <t>Octubre de 2011</t>
  </si>
  <si>
    <t>Inspección, vigilancia y control en plantas de beneficio</t>
  </si>
  <si>
    <t>Verificación de las normas sanitarias en plantas de beneficio animal</t>
  </si>
  <si>
    <t>(N° de plantas que cumplen con las normas/N° de plantas de beneficio con plan de cumplimiento)*100</t>
  </si>
  <si>
    <t>INVIMA</t>
  </si>
  <si>
    <t>Vigilancia y control de los productos agroalimentarios</t>
  </si>
  <si>
    <t xml:space="preserve">Porcentaje de cumplimiento de las condiciones higiénicas sanitarias y locativas de los establecimientos de preparación, comercialización, venta y distribución. Esto se hace por IVC Inspección, vigilancia y control. </t>
  </si>
  <si>
    <t>N° de establecimientos visitados año/ N° establecimientos total)*100</t>
  </si>
  <si>
    <t>97% de cobertura a los establecimientos de año mediano y bajo riesgo epidemiológico.</t>
  </si>
  <si>
    <t>Fortalecimiento de la inocuidad y calidad alimentaria</t>
  </si>
  <si>
    <t xml:space="preserve">Porcentaje de concepto favorable </t>
  </si>
  <si>
    <t>(Nro de visitas con concepto favorable año/ Total de visitas año)* 100</t>
  </si>
  <si>
    <t>Porcentaje de conceptos pendientes</t>
  </si>
  <si>
    <t>(Nro de visitas con concepto pendiente año/ Total de visitas año)* 100</t>
  </si>
  <si>
    <t xml:space="preserve">Porcentaje de concepto desfavorable </t>
  </si>
  <si>
    <t>(Nro de visitas con concepto desfavorable año/ Total de visitas año)* 100</t>
  </si>
  <si>
    <t>Producción agropecuaria amigable con el medio</t>
  </si>
  <si>
    <t>Producción más limpia</t>
  </si>
  <si>
    <t>Gremios que han firmado convenios de producción más limpia=∑ de convenioso de producción más limpia activos</t>
  </si>
  <si>
    <t>CARDER y Colombia Internacional</t>
  </si>
  <si>
    <t>2 Convenios firmados de producción agropecuaria: sector panelero y porcicola</t>
  </si>
  <si>
    <t>4 Convenios</t>
  </si>
  <si>
    <t>6 Convenios</t>
  </si>
  <si>
    <t>Establecimiento de normatividad que regule la producción agropecuaria amigable con el medio ambiente</t>
  </si>
  <si>
    <t>Porcentaje de palicación de la normatividad para la producción amigable con el medio ambiente.</t>
  </si>
  <si>
    <t>CARDER/Colaboración de CCI</t>
  </si>
  <si>
    <t>CARDER y CCI (corporación Colombiana Internacional)</t>
  </si>
  <si>
    <t>Socialización de la Res. 187 de 2006 de Minagricultura para productos agropecuarios ecológico</t>
  </si>
  <si>
    <t>Implementación al 100% en los productos orgánicos de la Resolución 187 de Minagricultura</t>
  </si>
  <si>
    <t>META 2015</t>
  </si>
  <si>
    <t>Presupuesto proyectao 2018</t>
  </si>
  <si>
    <t>POLÍTICA PÚBLICA: ETNODESARROLLO</t>
  </si>
  <si>
    <t>OBJETIVO GENERAL DE LA POLÍTICA: mejorar la calidad de vida económica, social, política, cultural y étnica de la población afrodescendiente residente en el municipio de Pereira</t>
  </si>
  <si>
    <t>POLITICA PUBLICA DE BIENESTAR Y CUIDADO ANIMAL</t>
  </si>
  <si>
    <t>METAS
2022</t>
  </si>
  <si>
    <t xml:space="preserve">
Implementación de procesos de rehabilitación basados en la comunidad, asegurando la presencia de equipos multidisciplinarios de APS en salud mental.
</t>
  </si>
  <si>
    <t xml:space="preserve"> POLÍTICA PÚBLICA PARA LA  ATENCIÓN Y REPARACIÓN A VÍCTIMAS</t>
  </si>
  <si>
    <t>Meta de Resultado del Cuatrienio</t>
  </si>
  <si>
    <t xml:space="preserve">Nombre del Programa, subprograma o proyecto </t>
  </si>
  <si>
    <t>No de Acción</t>
  </si>
  <si>
    <t>Responsable</t>
  </si>
  <si>
    <t>Línea Base</t>
  </si>
  <si>
    <t>Metas de producto</t>
  </si>
  <si>
    <t>Unidad de medida</t>
  </si>
  <si>
    <t xml:space="preserve">Indicador de producto </t>
  </si>
  <si>
    <t>Meta 2018</t>
  </si>
  <si>
    <t>DERECHOS ASOCIADOS</t>
  </si>
  <si>
    <t>MEDIDAS</t>
  </si>
  <si>
    <t>Metas de Resultado</t>
  </si>
  <si>
    <t>Meta 2019</t>
  </si>
  <si>
    <t>Unidad de Medida</t>
  </si>
  <si>
    <t xml:space="preserve">Indicador de Resultado </t>
  </si>
  <si>
    <t>Vida, Integridad, Libertad, Seguridad</t>
  </si>
  <si>
    <t>PREVENCIÓN</t>
  </si>
  <si>
    <t>Prevención Temprana</t>
  </si>
  <si>
    <t>Ejecutar todas las acciones de competencia para la prevención y protección de los derechos de las víctimas del conflicto</t>
  </si>
  <si>
    <t>Porcentaje de acciones ejecutadas en el plan de contingencia para prevenir y proteger los derechos de las víctimas del conflicto</t>
  </si>
  <si>
    <t>Prevención y protección de los derechos de las víctimas, con enfoque diferencial</t>
  </si>
  <si>
    <t>Sec. De Gobierno</t>
  </si>
  <si>
    <t>S.D</t>
  </si>
  <si>
    <t>Reducción de la tasa de violencia contra niños, niñas y adolescentes en un 10%</t>
  </si>
  <si>
    <t>27 (local, 2014)</t>
  </si>
  <si>
    <t>Tasa de violencia contra niños, niñas y adolescentes</t>
  </si>
  <si>
    <t>Subprograma Seguridad y Convivencia Ciudadana</t>
  </si>
  <si>
    <t>Formular e implementar el PICS (Plan Integral de Seguridad y Convivencia Ciudadana) con inclusión del capítulo de prevención del delito en adolescentes y víctimas del conflicto</t>
  </si>
  <si>
    <t>SD</t>
  </si>
  <si>
    <t>Plan Integral de Convivencia y Seguridad ciudadana) con inclusión del capítulo de prevención del delito en adolescentes y víctimas del conflicto</t>
  </si>
  <si>
    <t>Aumentar la cobertura de la estrategia colegios seguros al 100% de IE sector oficial y la protección de los derechos de los NNA víctimas del conflicto</t>
  </si>
  <si>
    <t>Acciones implementadas en la estrategia Colegios Seguros para la protección de los derechos de los NNA víctimas del conflicto</t>
  </si>
  <si>
    <t>Brindar al 100% de las personas que declaren hechos victimizantes y/o víctimas del conflicto armado que lo soliciten  atención, asistencia y rehabilitación psicosocial</t>
  </si>
  <si>
    <t>Porcentaje de personas que declaren hechos victimizantes y/o víctimas del conflicto con atención, asistencia y rehabilitación psicosocial</t>
  </si>
  <si>
    <t>Subprograma Atención y asistencia a las víctimas del conflicto armado</t>
  </si>
  <si>
    <t xml:space="preserve">Actualizar 1 plan de contigencia  para la atención a la  población victima (en caso de llegada de población  con desplazamiento masivo) </t>
  </si>
  <si>
    <t>Sec. De Desarrollo Social</t>
  </si>
  <si>
    <t xml:space="preserve">100%
</t>
  </si>
  <si>
    <t>Porcentaje de actualización del Plan de Contingencia</t>
  </si>
  <si>
    <t>Diseñar y ejecutar una estrategia de prevención para el reclutamiento de menores por parte de grupos armados</t>
  </si>
  <si>
    <t>Prevención para el reclutamiento de menores por parte de grupos armados</t>
  </si>
  <si>
    <t>100% de las solicitudes gestionadas para la Protección de los derechos de personas, grupos y comunidades víctimas del conflicto</t>
  </si>
  <si>
    <t>% de solicitudes gestionadas para la protección de derechos de personas, grupos y/o comunidades víctimas del conflicto</t>
  </si>
  <si>
    <t>Protección de tierras</t>
  </si>
  <si>
    <t>Protección de Bienes patrimoniales, tierras y territorios (*)</t>
  </si>
  <si>
    <t>100% de gestiones realizadas para la protección de Bienes patrimoniales, tierras y territorios de población víctima que lo solicite</t>
  </si>
  <si>
    <t>N.A</t>
  </si>
  <si>
    <t>Porcentaje de gestiones realizadas para la protección de bienes patrimoniales, tierras y territorios de población víctima que lo solicite</t>
  </si>
  <si>
    <t>Información</t>
  </si>
  <si>
    <t>ATENCIÓN</t>
  </si>
  <si>
    <t>Información y Orientación</t>
  </si>
  <si>
    <t>100% de  atención y orientación a las víctimas del conflicto, en el punto de atención</t>
  </si>
  <si>
    <t>Porcentaje de atención y orientación realizadas a las víctimas del conflicto, en el punto de atención</t>
  </si>
  <si>
    <t>Subsistencia Mínima</t>
  </si>
  <si>
    <t>ASISTENCIA</t>
  </si>
  <si>
    <t>Ayuda Humanitaria Inmediata (otros hechos)</t>
  </si>
  <si>
    <t>100% de población con declaración por otros hechos victimizantes con atención humanitaria inmediata</t>
  </si>
  <si>
    <t>Porcentaje de población con declaración por otros hechos victimizantes con atención humanitaria inmediata</t>
  </si>
  <si>
    <t>Ayuda  Humanitaria Inmediata (Desplazamiento)</t>
  </si>
  <si>
    <t>100% de población víctima del conflicto con atención humanitaria inmediata</t>
  </si>
  <si>
    <t>Porcentaje de población víctima del conflicto  con atención humanitaria inmediata</t>
  </si>
  <si>
    <t>Atención Humanitaria de Emergencia (*)</t>
  </si>
  <si>
    <t>100% de la población víctima que lo solicite, orientada para el trámite de la ayuda humanitaria de emergencia</t>
  </si>
  <si>
    <t>Sec. De desarrollo social</t>
  </si>
  <si>
    <t>Porcentaje de la población víctima orientada para el trámite de la ayuda humanitaria de emergencia</t>
  </si>
  <si>
    <t xml:space="preserve">Atención Humanitaria de Transición </t>
  </si>
  <si>
    <t>Ejecutar el 100% de los recursos asignados para la atención humanitaria de transición</t>
  </si>
  <si>
    <t>Porcentaje de atenciones para víctimas del conflicto con ayuda humanitaria de transición</t>
  </si>
  <si>
    <t>Gestionar y/o construir 5.000 viviendas VIS y VIP, con enfoque diferencial.</t>
  </si>
  <si>
    <t>5.797 (2012-2015 construidas por la administración municipal)</t>
  </si>
  <si>
    <t>Número de viviendas VIS y VIP gestionadas y/o construidas</t>
  </si>
  <si>
    <t>Subprograma Más vivienda social</t>
  </si>
  <si>
    <t>Implementar en un 20% un programa de vivienda rural</t>
  </si>
  <si>
    <t>Sec. De Vivienda Social</t>
  </si>
  <si>
    <t>Porcentaje de Programa de vivienda rural implementado</t>
  </si>
  <si>
    <t>Subprograma Gestión integral del hábitat</t>
  </si>
  <si>
    <t>Mejorar 300 Viviendas urbanas</t>
  </si>
  <si>
    <t>Número de viviendas urbanas mejoradas</t>
  </si>
  <si>
    <t>Mejorar 17 viviendas rurales</t>
  </si>
  <si>
    <t>Número de viviendas rurales mejoradas</t>
  </si>
  <si>
    <t>Legalizar 1 asentamiento</t>
  </si>
  <si>
    <t>Número de asentamientos legalizados</t>
  </si>
  <si>
    <t>Titular 8 predios</t>
  </si>
  <si>
    <t>Identificación</t>
  </si>
  <si>
    <t>Realizar 8 jornadas de descentralización que incluyan procesos de identificación para las  víctimas del conflicto armado</t>
  </si>
  <si>
    <t>Número de jornadas de descentralización realizadas</t>
  </si>
  <si>
    <t>Mantener la cobertura de aseguramiento en el sistema de seguridad social ensalud</t>
  </si>
  <si>
    <t>99.47%</t>
  </si>
  <si>
    <t>99.47%%</t>
  </si>
  <si>
    <t>Porcentaje de cobertura de aseguramiento en el sistema de seguridad social en salud</t>
  </si>
  <si>
    <t>Subprograma todos asegurados con calidad y equidad</t>
  </si>
  <si>
    <t>Garantizar el acceso y el aseguramiento de la población víctima del conflicto armado al sistema de seguridad social en salud</t>
  </si>
  <si>
    <t>Sec. De Salud</t>
  </si>
  <si>
    <t>Porcentaje de cobertura de aseguramiento de la población víctima del conflicto armado en el sistema de seguridad social en salud</t>
  </si>
  <si>
    <t>100%%</t>
  </si>
  <si>
    <t>Reducir en
25% de las
familias
intervenidas
por la
estrategia de
atención
primaria en
salud los
factores de
riesgo</t>
  </si>
  <si>
    <t>Porcentaje de familias de sectores priorizados que disminuyen factores de riesgo en salud con la estrategia de la atención primaria en salud</t>
  </si>
  <si>
    <t>Todos por un ambiente saludable</t>
  </si>
  <si>
    <t>Realizar 4 visitas de IVC al año. Para garantizar el proceso de inspección, vigilancia y control del albergue de víctimas</t>
  </si>
  <si>
    <t>Número de visitas de IVC realizadas durante el año al albergue de víctimas para desarrollar procesos de inspección, vigilancia y control</t>
  </si>
  <si>
    <t>13 programas de prevención y promoción con atención a población víctima del conflicto</t>
  </si>
  <si>
    <t>Número de programas de promoción y prevención con atención a población víctima del conflicto armado</t>
  </si>
  <si>
    <t>Salud pública y social</t>
  </si>
  <si>
    <t>Realizar 13 acciones de promoción y prevención a la población víctima del conflicto armado por los programas de salud pública</t>
  </si>
  <si>
    <t>Número de acciones de promoción y prevención con atención a población víctima del conflicto</t>
  </si>
  <si>
    <t>Aumentar la cobertura de la población víctima del conflicto armado con la estrategia de APS</t>
  </si>
  <si>
    <t>Cobertura de población víctima del conflicto con la estrategia APS</t>
  </si>
  <si>
    <t>Hogares e Instituciones saludables</t>
  </si>
  <si>
    <t>Realizar visitas de caracterización a familias víctimas del conflicto armado que habiten en las zonas priorizadas por la estrategia Casa sana</t>
  </si>
  <si>
    <t>Número de visitas de caracterización a familias víctimas del conflicto que habiten en las zonas priorizadas por la estrategia Casa Sana</t>
  </si>
  <si>
    <t>Incrementar el promedio en Pruebas Saber de las IE del sistema oficial en 3,8 puntos</t>
  </si>
  <si>
    <t>51.2 fuente del ministerio de educacion nacional</t>
  </si>
  <si>
    <t>Puntaje promedio en Pruebas Saber 11, de las instituciones educativas oficiales, de jornada regular, calendario A</t>
  </si>
  <si>
    <t>Subprograma Educación para todos</t>
  </si>
  <si>
    <t>Mantener en porcentaje de la cobertura neta de los niños y niñas identificados como víctimas del conflicto</t>
  </si>
  <si>
    <t>Sec. De Educación</t>
  </si>
  <si>
    <t>Tasa de cobertura neta en transición de los niños y niñas identificados como víctimas del conflicto</t>
  </si>
  <si>
    <t>Mantener el porcentaje de la cobertura neta en básica primaria de los NNA identificados como víctimas del conflicto</t>
  </si>
  <si>
    <t>Tasa de cobertura neta en básica primaria de los NNA identificados como víctimas del conflicto</t>
  </si>
  <si>
    <t>Mantener el porcentaje de cobertura neta de los NNA identificados como víctimas del conflicto en básica secundaria</t>
  </si>
  <si>
    <t>Tasa de cobertura neta en básica secundaria de los NNA identificados como víctimas del conflicto</t>
  </si>
  <si>
    <t>Mantener el porcentaje de cobertura neta de los NNA identificados como víctimas del conflicto en educación media</t>
  </si>
  <si>
    <t>Tasa de cobertura neta en educación media de los NNA identificados como víctimas del conflicto</t>
  </si>
  <si>
    <t>Número de cupos para niños en educación inicial participando del Proyecto Círculo Virtuoso</t>
  </si>
  <si>
    <t>Diseñar, implementar y mantener una estrategia de modernización de la educación media, para aumentar cobertura y calidad, y disminuir la deserción con énfasis en NNA identificados como víctimas del conflicto</t>
  </si>
  <si>
    <t>Número de estrategias de modernización de la educación media, implementadas para aumentar cobertura y calidad, y disminuir la deserción con énfasis en NNA identificados como víctimas del conflicto</t>
  </si>
  <si>
    <t>Identificar y atender a los NNA víctimas del conflicto con necesidades educativas especiales</t>
  </si>
  <si>
    <t>Porcentaje de estudiantes víctimas del conflicto con necesidades educativas especiales identificados y atendidos en el sistema educativo</t>
  </si>
  <si>
    <t>Diseñar, implementar y mantener una estrategia para garantizar el servicio educativo a víctimas del conflicto armado</t>
  </si>
  <si>
    <t>Número de estrategias implementadas para garantizar el servicio educativo a víctimas del conflicto armado</t>
  </si>
  <si>
    <t>Mantener las 4 estrategias de canasta educativa, para la permanencia, en el sistema educativo oficial: alimentación, transporte, dotación escolar y seguro estudiantil para NNA identificados como víctimas del conflicto</t>
  </si>
  <si>
    <t>Número de estrategias implementadas de canasta educativa, para la permanencia, en el sistema educativo oficial: alimentación, transporte, dotación escolar y seguro estudiantil para NNA identificados como víctimas del  conflicto</t>
  </si>
  <si>
    <t>Promedio Pruebas Saber</t>
  </si>
  <si>
    <t>Subprograma a la Altura de los mejores</t>
  </si>
  <si>
    <t>Incrementar el número de becarios víctimas del conflicto subsidiados para ingreso y permanencia en la educación superior</t>
  </si>
  <si>
    <t>Número de becarios víctimas del conflicto subsidiados para ingreso y permanencia en la educación superior</t>
  </si>
  <si>
    <t>Incrementar y mantener 9 estrategias y procesos transversales para una educación de calidad: (1) educación para la sexualidad; (2) equidad y diversidad de género; (3) cátedra de la paz;  con énfasis en el respeto por los NNA identificados como víctimas del conflicto (4) pedagogía de los derechos humanos; (5) proyectos educativos ambientales (PRAES); (6) plan de lectura y escritura; (7) Cátedra de la pereiranidad; (8) Escuelas saludables; y (9) construcción de ciudadanía (incluye convivencia escolar, ética y valores).</t>
  </si>
  <si>
    <t>Número de estrategias y procesos transversales y complementarios para una educación de calidad: (1) educación para la sexualidad; (2) equidad y diversidad de género; (3) cátedra de la paz; (4) pedagogía de los derechos humanos;</t>
  </si>
  <si>
    <t>Formular e implementar un Plan de educación rural de calidad, con un capítulo para las víctimas del conflicto, la paz y reconciliación</t>
  </si>
  <si>
    <t>Porcentaje de formulación e implementación del Plan de educación rural de calidad, con un capítulo para las víctimas, la paz y la reconciliación</t>
  </si>
  <si>
    <t>Subprograma Mejores ambientes escolares,</t>
  </si>
  <si>
    <t>Construir y operar un Centro de Desarrollo Integral para la primera infancia (CDI) en la Ciudadela Salamanca, como parte del Plan de retornos y reubicaciones</t>
  </si>
  <si>
    <t>Número de nuevos Centros de Desarrollo Integral para la primera infancia (CDI) construidos para educación inicial de calidad, en la ciudadela Salamanca como parte del Plan de retornos y reubicaciones</t>
  </si>
  <si>
    <t>Incrementar la práctica DRAEF un 19%.</t>
  </si>
  <si>
    <t>Porcentaje de personas realizando adecuadamente DRAEF (Mide el número de personas realizando adecuadamente deporte, recreación actividad física y educación física/ número total de personas)</t>
  </si>
  <si>
    <t>Subprograma Actividad física, recreación y deporte</t>
  </si>
  <si>
    <t>Beneficiar a 2 instituciones a través de actividad física, recreación y deporte</t>
  </si>
  <si>
    <t>Sec. De Deportes</t>
  </si>
  <si>
    <t>Número de instituciones beneficiadas</t>
  </si>
  <si>
    <t>Conformación de 1 escuela de iniciación de formación deportiva con inclusión de las víctimas del conflicto</t>
  </si>
  <si>
    <t>Escuela de formación deportiva conformada</t>
  </si>
  <si>
    <t>Realizar 4 atenciones comunitarias a través de deporte y recreación para población víctima por año</t>
  </si>
  <si>
    <t>Número de atenciones comunitarias deportivas y recreativas realizadas</t>
  </si>
  <si>
    <t>Gestión para la conformación y operación de un club deportivo para las víctimas del conflicto</t>
  </si>
  <si>
    <t>Número de clubes deportivos para las víctimas gestionado</t>
  </si>
  <si>
    <t>Realizar 2 vías activas comunitarias en comunas con asentamientos de víctimas por año</t>
  </si>
  <si>
    <t>Número de vías activas realizadas</t>
  </si>
  <si>
    <t>Generación de Ingresos</t>
  </si>
  <si>
    <t>Incrementar el
Porcentaje de
familias
víctimas del
conflicto con
acompañamien
to en la
implementació
n de proyectos
productivos en
la zona rural</t>
  </si>
  <si>
    <t>Porcentaje de
familias
víctima del
conflicto con
acompañamien
to en la
implementació
n de proyectos
productivos en
la zona rural</t>
  </si>
  <si>
    <t>Reparación integral para la población víctima del
conflicto</t>
  </si>
  <si>
    <t>Mantener 4 líneas productivas para la implementación de proyectos productivos a la población víctima del conflicto</t>
  </si>
  <si>
    <t>Sec. De Desarrollo Rural</t>
  </si>
  <si>
    <t>Número de líneas productivas con acompañamiento en la implementación para atención a la población víctima del conflicto</t>
  </si>
  <si>
    <t>Reducir el grado de informalidad laboral para garantiza mejores condiciones de trabajo para la población ocupada</t>
  </si>
  <si>
    <t>47,5% (2015) Fuente: DANE</t>
  </si>
  <si>
    <t>Porcentaje de población ocupada en condiciones de Informalidad</t>
  </si>
  <si>
    <t>Subprograma Emprendimiento e impulso a producción pereirana</t>
  </si>
  <si>
    <t>Apoyar y monitorear a 10 proyectos para generar un sistema que fortalezca las iniciativas de los emprendedores que se identifiquen como víctimas del conflicto</t>
  </si>
  <si>
    <t>Sec. De Desarrollo Económico y Competitividad</t>
  </si>
  <si>
    <t>Proyectos Asesorados en iniciativas para emprendedores que se identifquen como víctimas del conflicto</t>
  </si>
  <si>
    <t>Incrementar en 4 unidades porcentuales la participación del sector secundario en el PIB de Pereira</t>
  </si>
  <si>
    <t>22% sector secundario</t>
  </si>
  <si>
    <t>Porcentaje de participación del PIB del sector, secundario con respecto al PIB total del municipio</t>
  </si>
  <si>
    <t>Subprograma Políticas de competitividad</t>
  </si>
  <si>
    <t>Gestionar encadenamientos productivos para microempresas de población víctima que fomenten la formalización del tejido empresarial</t>
  </si>
  <si>
    <t>Número de encadenamientos productivos gestionados para microempresas de población víctima del conflicto que fomenten la formalización del tejido empresarial</t>
  </si>
  <si>
    <t>Apoyar a 100 empresas nuevas por línea de emprendimiento</t>
  </si>
  <si>
    <t>Número de Empresas nuevas apoyadas por líneas de emprendimiento</t>
  </si>
  <si>
    <t>Fortalecer 50 emprendimientos de población víctima del conflicto para articular a la plataforma comercial de Pereira</t>
  </si>
  <si>
    <t>Número de emprendimientos de población víctima fortalecidos</t>
  </si>
  <si>
    <t>Diagnosticar, asesorar y fortalecer 30 microempresas pertenecientes a población víctima del conflicto</t>
  </si>
  <si>
    <t>Número de emprendimientos dinámicos de población víctima del conflicto de alto impacto económico y social diagnosticados y apoyados, mediante banca para todos</t>
  </si>
  <si>
    <t>Apoyar a 1000 personas víctimas del conflicto en procesos de formación para el trabajo a través de los CEDE</t>
  </si>
  <si>
    <t>Número de Personas víctimas del conflicto en procesos de formación para el trabajo</t>
  </si>
  <si>
    <t>Subprograma Pereira un factor diferenciador para el empleo</t>
  </si>
  <si>
    <t>Gestion para el empleo de la población víctima en el municipio de Pereira</t>
  </si>
  <si>
    <t>Número de personas atendidas para gestión de empleo a través del Centro de Empleo</t>
  </si>
  <si>
    <t>Incrementar a 15000 el Nº de personas en procesos de apropiación social del conocimiento</t>
  </si>
  <si>
    <t>Número de personas vinculadas a procesos de apropiación social del conocimiento</t>
  </si>
  <si>
    <t>INFRAESTRUCTURA, SERVICIOS, APLICACIONES Y CONTENIDOS TIC PARA EL DESARROLLO</t>
  </si>
  <si>
    <t>Apoyar en 40 el Nº de Beneficiarios víctimas del conflicto de las iniciativas de desarrollo de contenidos digitales y Apps</t>
  </si>
  <si>
    <t>Sec. De TICs</t>
  </si>
  <si>
    <t>Número de beneficiarios víctimas del conflicto de Apps.co</t>
  </si>
  <si>
    <t>Incrementar a 19374 el número de personas beneficiadas en capacitaciones y formación especializada en temas de TIC</t>
  </si>
  <si>
    <t>Formación digital</t>
  </si>
  <si>
    <t xml:space="preserve">Apoyar en 20 el número de personas víctimas del conflicto beneficiadas en capacitaciones y formación especializada en temas de TIC </t>
  </si>
  <si>
    <t>Personas víctimas del conflicto beneficiadas en procesos de formación en temas TIC como apoyo a talento digital</t>
  </si>
  <si>
    <t>Apoyar en 20 el Nº de Personas víctimas del conflicto capacitadas en herramientas de apoyo a la industria creativa, en los Vive Labs y Puntos Vive Digital Plus.</t>
  </si>
  <si>
    <t>Personas víctimas del conflicto capacitadas en la industria creativa del software</t>
  </si>
  <si>
    <t>Alimentación</t>
  </si>
  <si>
    <t>Seguridad alimentaria</t>
  </si>
  <si>
    <t>Mantener en un 50% el porcentaje de cobertura en atencion de urgencia a familias en debilidad manifiesta que lo solicitan</t>
  </si>
  <si>
    <t>Porcentaje de cobertura de atencion de urgencia en debilidad manifiesta</t>
  </si>
  <si>
    <t>Subprograma Grupos de especial interés</t>
  </si>
  <si>
    <t>Incrementar en el periodo 2016- 2019 en 2.000 el número de personas  victimas atendidas con alimentación y nutrición</t>
  </si>
  <si>
    <t>Número de personas atendidas con alimentación y nutrición</t>
  </si>
  <si>
    <t>Reunificación Familiar</t>
  </si>
  <si>
    <t>familias  víctima del conflicto con acompañamiento en la implementación de proyectos productivos en la zona rural</t>
  </si>
  <si>
    <t>Porcentaje de familias  víctima del conflicto con acompañamiento en la implementación de proyectos productivos en la zona rural</t>
  </si>
  <si>
    <t>Subprograma Reparación Integral para las víctimas del conflicto</t>
  </si>
  <si>
    <t>Porcentaje de víctimas apoyadas para la reunificación familiar</t>
  </si>
  <si>
    <t>Asistencia Funeraria</t>
  </si>
  <si>
    <t>Mantener en un 100% el Porcentaje de personas que declaran hechos victimizantes y víctimas del conflicto armado con atención, asistencia y rehabilitación psicosocial</t>
  </si>
  <si>
    <t>Porcentaje de personas que declaran hechos victimizantes y víctimas del conflicto armado con atención, asistencia y rehabilitación psicosocial</t>
  </si>
  <si>
    <t xml:space="preserve">Brindar asistencia funeraria  al 100% de la población víctima del conflicto armado interno que lo requiera de conformidad con el artículo 50 de la ley 1448 de 2011 </t>
  </si>
  <si>
    <t>Porcentaje de población víctima del conflicto que lo requiera con asistencia funeraria, de conformidad con el artículo 50 de la ley 1448 de 2011</t>
  </si>
  <si>
    <t>Verdad</t>
  </si>
  <si>
    <t>VERDAD</t>
  </si>
  <si>
    <t>Construcción de la memoria</t>
  </si>
  <si>
    <t>Reparación Integral para la población víctima del conflicto</t>
  </si>
  <si>
    <t>Conmemorar cada año en el período 2016-2019 el día nacional de la memoria y solidaridad con las víctimas</t>
  </si>
  <si>
    <t>Conmemoración del día nacional de la memoria y la solidaridad con las víctimas</t>
  </si>
  <si>
    <t>Reparación Integral</t>
  </si>
  <si>
    <t>REPARACIÓN INTEGRAL</t>
  </si>
  <si>
    <t>Medidas de Restitución</t>
  </si>
  <si>
    <t>Subprograma Reparación integral para la población víctima del conflicto</t>
  </si>
  <si>
    <t>100% de las sentencias proferidas por los jueces acatadas para el cumplimiento de la normatividad y goce efectivo de derechos de la población víctima del conflicto incluida en la política de restitución de tierras</t>
  </si>
  <si>
    <t>Sec. Jurídica</t>
  </si>
  <si>
    <t>Porcentaje de las sentencias proferidas por los jueces acatadas para el cumplimiento de la normatividad y goce efectivo de derechos de la población víctima del conflicto incluida en la política de restitución de tierras</t>
  </si>
  <si>
    <t>Generar 8 convenios comerciales para el desarrollo local mediante alianzas estratégicas</t>
  </si>
  <si>
    <t>Número de Convenios Comerciales con empresas ancla para el desarrollo local</t>
  </si>
  <si>
    <t>Incrementar en 100 el número de empleos para población víctima a partir del fortalecimiento de capacidades locales</t>
  </si>
  <si>
    <t>Número de Empleos Generados para población víctima del conflicto</t>
  </si>
  <si>
    <t>Promover  la vinculación al mercado de trabajo de jóvenes y mujeres víctimas del conflicto sin experiencia laboral</t>
  </si>
  <si>
    <t>% implementación de estrategias para promover la vinculación al mercado de trabajo de jóvenes y mujeres víctimas del conflicto sin experiencia laboral</t>
  </si>
  <si>
    <t>Promover la vinculación laboral del 0,5% de los participantes víctimas de la estrategia bilingüismo para el trabajo</t>
  </si>
  <si>
    <t>Porcentaje de articulación de la estrategia de bilingüismo con la generación de empleo de población víctima del conflicto</t>
  </si>
  <si>
    <t>Apoyar a 30 microempresarios víctimas del conflicto con microcréditos, a través de la banca de las oportunidades</t>
  </si>
  <si>
    <t>Número de microempresarios víctimas del conflicto apoyados con microcréditos, a través de banca de las oportunidades</t>
  </si>
  <si>
    <t>8</t>
  </si>
  <si>
    <t>Incrementar el Porcentaje de familias víctimas del conflicto con acompañamien to en la implementació n de proyectos productivos en la zona rural</t>
  </si>
  <si>
    <t>Porcentaje de familias víctima del conflicto con acompañamien to en la implementació n de proyectos productivos en la zona rural</t>
  </si>
  <si>
    <t>Exonerar de impuestos municipales y servicios públicos al 100% de los hogares víctimas del conflicto armado, que lo soliciten de acuerdo a lo establecido en el Arcuerdo Municipal No 47 de 2014</t>
  </si>
  <si>
    <t>Sec. De Hacienda</t>
  </si>
  <si>
    <t>Número de hogares de población víctima del conflicto armado exonerados de impuestos municipales y servicios públicos de acuerdo a lo establecido en el Acuerdo No 47 de 2014.</t>
  </si>
  <si>
    <t>Retorno y Reubicaciones</t>
  </si>
  <si>
    <t>Formular e implementar el Plan de retornos y reubicaciones</t>
  </si>
  <si>
    <t>Formulación e implementación del Plan de retornos y reubicaciones</t>
  </si>
  <si>
    <t>Apoyar el 100% de víctimas del conflicto armado interno  con transporte de urgencia para retorno o reubicación que cumplan con el protocolo</t>
  </si>
  <si>
    <t>Porcentaje de víctimas del conflicto armado interno apoyadas con transporte de urgencia para retorno o reubicación que cumplan con el protocolo</t>
  </si>
  <si>
    <t>Medidas de Rehabilitación</t>
  </si>
  <si>
    <t>Lograr que el 50% de la población atendida disminuya el riesgo psicosocial</t>
  </si>
  <si>
    <t>50%%</t>
  </si>
  <si>
    <t>Porcentaje de familias intervenidas con disminución del riesgo psicosocial</t>
  </si>
  <si>
    <t>Vida saludable para todos</t>
  </si>
  <si>
    <t>Realizar intervención psicosocial al 7% de la población víctima del clnflicto armado</t>
  </si>
  <si>
    <t>Porcentaje de población víctima del conflicto armado con atención psicosocial</t>
  </si>
  <si>
    <t>Medidas de Satisfacción</t>
  </si>
  <si>
    <t xml:space="preserve">Tasa de homicidios por cada cien mil habitantes </t>
  </si>
  <si>
    <t xml:space="preserve">Reducir a la media nacional la tasa de homicidios por cada 100.000 habitantes </t>
  </si>
  <si>
    <t>SUBPROGRAMA SEGURIDAD Y CONVIVENCIA CIUDADANA</t>
  </si>
  <si>
    <t xml:space="preserve">Diseñar e implementar la Política Pública en Derechos Humanos </t>
  </si>
  <si>
    <t xml:space="preserve">Política Pública de Derechos Humanos implementada </t>
  </si>
  <si>
    <t>100% de las gestiones realizadas para la exención del servicio militar de las víctimas del conflicto que lo soliciten</t>
  </si>
  <si>
    <t>Porcentaje de las gestiones realizadas para la exención del servicio militar de las víctimas del conflicto que lo soliciten</t>
  </si>
  <si>
    <t>Indemnización</t>
  </si>
  <si>
    <t>100% de la estrategia implementada para el acompañamiento  en la adecuada inversiòn de la indemnización</t>
  </si>
  <si>
    <t>Garantías de No Repetición</t>
  </si>
  <si>
    <t>Implementación de 3 campañas de prevención y reprobación de la violencia contra la mujer, NNA, por los hechos ocurridos en el marco de las violaciones contempladas en el Art. 3 de la Ley 1448 de 2011</t>
  </si>
  <si>
    <t>Número de campañas de prevención y reprobación de la violencia contra la mujer, NNA, por los hechos ocurridos en el marco de las violaciones contempladas en el Art. 3 de la Ley 1448 de 2011.</t>
  </si>
  <si>
    <t>TRANSVERSAL</t>
  </si>
  <si>
    <t>TRASVERSAL</t>
  </si>
  <si>
    <t xml:space="preserve">Apoyar  el desarrollo de 6  mesas de participación efectiva de víctimas </t>
  </si>
  <si>
    <t>Número de mesas de participación efectiva de las víctimas apoyadas</t>
  </si>
  <si>
    <t>Apoyar a la Personería Municipal para el cumplimiento a las funciones asignadas por la ley 1448 de 2011 (art. 174 paragrafo 3)</t>
  </si>
  <si>
    <t>Porcentaje de acciones apoyadas en el plan de trabajo de la personería para la atención y asistencia de las víctimas</t>
  </si>
  <si>
    <t>PARTICIPACION</t>
  </si>
  <si>
    <t>Mantener el porcentaje de niños, niñas y adolescentes que participan en la mesa municipal de participación, Juntas de Acción Comunal Infantiles y Consejo de Política Social</t>
  </si>
  <si>
    <t>porcentaje</t>
  </si>
  <si>
    <t>Porcentaje de niños, niñas y adolescentes en espacios de participación</t>
  </si>
  <si>
    <t>Subprograma Niños, niñas, adolescentes y jóvenes con derechos,</t>
  </si>
  <si>
    <t>Garantizar la participación de la población víctima en la mesa municipal de participación de niños, niñas y adolescentes</t>
  </si>
  <si>
    <t>Mesa municipal de participación de niños, niñas y adolescentes con presencia de población víctima</t>
  </si>
  <si>
    <t>Incrementar en 2,28 puntos la proporción de jóvenes candidatos a corporaciones públicas</t>
  </si>
  <si>
    <t xml:space="preserve">Promover la participación de la población víctima en espacios  para el ejercicio de la ciudadanía juvenil </t>
  </si>
  <si>
    <t>50 %</t>
  </si>
  <si>
    <t>80.00 %</t>
  </si>
  <si>
    <t>Número de espacios  para el ejercicio de la ciudadanía juvenil con participación de población víctima</t>
  </si>
  <si>
    <t>Tasa de violencia contra la mujer a nivel intrafamiliar</t>
  </si>
  <si>
    <t>Reducir en 3 puntos la tasa de violencia contra la mujer a nivel intrafamiliar</t>
  </si>
  <si>
    <t>Subprograma Equidad de género para las mujeres y diversidad sexual</t>
  </si>
  <si>
    <t xml:space="preserve">Plan de prevención de la violencia contra la mujer con un capítulo especial de víctimas formulado e implementado </t>
  </si>
  <si>
    <t>Incrementar en 13,1 puntos el porcentaje de adultos mayores asistencia y atención individual, familiar y comunitaria</t>
  </si>
  <si>
    <t>40.2%</t>
  </si>
  <si>
    <t>53.3%</t>
  </si>
  <si>
    <t>Porcentaje de adultos mayores con asistencia y atención individual, familiar y comunitaria</t>
  </si>
  <si>
    <t xml:space="preserve">Promover la participación del 100% de la población adulta mayor  víctima en las actividades de los  centros vida </t>
  </si>
  <si>
    <t>Número de adultos mayores participando en las actividades de los centros vida</t>
  </si>
  <si>
    <t>Mantener los Recursos económicos que ingresan a las familias beneficiarias por los subsidios condicionados otorgados por el Gobierno Nacional</t>
  </si>
  <si>
    <t xml:space="preserve">9.265 millones
</t>
  </si>
  <si>
    <t>$ 39.904 millones</t>
  </si>
  <si>
    <t>Recursos</t>
  </si>
  <si>
    <t>Recursos económicos que ingresan a las familias beneficiarias por los subsidios condicionados otorgados por el Gobierno Nacional</t>
  </si>
  <si>
    <t>Mantener en un 100% el porcentaje de familias víctimas  beneficiarias de los programas presidenciales para la reducción de la pobreza extrema con seguimiento y acompañamiento</t>
  </si>
  <si>
    <t>Porcentaje de familias víctimas beneficiarias de los programas presidenciales para la reducción de la pobreza extrema con seguimiento y acompañamiento</t>
  </si>
  <si>
    <t>FORTALECIMIENTO INSTITUCIONAL</t>
  </si>
  <si>
    <t>Gestión para la adecuación, puesta en marcha y operación del Centro Regional</t>
  </si>
  <si>
    <t>Porcentaje de la gestión realizada para la adecuación y puesta en marcha del Centro Regional</t>
  </si>
  <si>
    <t>Realizar jornadas de difusión y sensibilización en ley de víctimas al 100% a funcionarios públicos de las entidades centralizadas y descentralizadas del municipio</t>
  </si>
  <si>
    <t>Porcentaje de población antendida en el punto de información sensibilizada en ley de víctimas</t>
  </si>
  <si>
    <t>Implementar 1 programa de capacitación en derechos humanos y derecho internacional humanitario</t>
  </si>
  <si>
    <t>Programa de capacitación en derechos humanos y derecho internacional humanitario implementado</t>
  </si>
  <si>
    <t xml:space="preserve">Actualizar y hacer seguimiento a la  implementación  del Plan de Acción Territorial para la atención a la población víctima </t>
  </si>
  <si>
    <t>Sec. De Desarrollo Social y Sec. De Planeación</t>
  </si>
  <si>
    <t>Porcentaje de actualización y seguimiento del Plan de Acción Territorial para la atención de la población víctima</t>
  </si>
  <si>
    <t>SISTEMAS DE INFORMACIÓN</t>
  </si>
  <si>
    <t>Un sistema de caracterización implementado para la población víctima del conflicto</t>
  </si>
  <si>
    <t>Sistema</t>
  </si>
  <si>
    <t>Sistema de caracterización implementado para la población víctima del conflicto</t>
  </si>
  <si>
    <t>Subprograma Gestión de la información para todos</t>
  </si>
  <si>
    <t>Gestión para la caracterización de las víctimas del conflicto</t>
  </si>
  <si>
    <t>Porcentaje de la gestión realizada para la caracterización de las víctimas del conflicto</t>
  </si>
  <si>
    <t>Actualizar el Plan Operativo de Sistemas de Información - POSI</t>
  </si>
  <si>
    <t>Plan Operativo de sistemas de información POSI actualizado</t>
  </si>
  <si>
    <t>Metas de Producto</t>
  </si>
  <si>
    <t xml:space="preserve">POLÍTICA PÚBLICA: PRIMERA INFANCIA, INFANCIA Y ADOLESCENCIA </t>
  </si>
  <si>
    <t>Líneas Orientadoras</t>
  </si>
  <si>
    <t>Categoría de Política</t>
  </si>
  <si>
    <t>Objetivo de Política</t>
  </si>
  <si>
    <t>Metas</t>
  </si>
  <si>
    <t xml:space="preserve">Líneas Estratégicas  </t>
  </si>
  <si>
    <t xml:space="preserve">Líneas de Acción </t>
  </si>
  <si>
    <t xml:space="preserve">NIÑOS SEGUROS </t>
  </si>
  <si>
    <t xml:space="preserve">EXISTENCIA </t>
  </si>
  <si>
    <t xml:space="preserve">TODOS VIVOS </t>
  </si>
  <si>
    <t xml:space="preserve">*Razón de mortalidad Materna evitable 2010: 71,8.   </t>
  </si>
  <si>
    <t xml:space="preserve">* Disminuir la razón  de  mortalidad materna evitable  a  56,8 por mil nacidos vivos.                </t>
  </si>
  <si>
    <t xml:space="preserve">* Disminuir  la razón  de  mortalidad evitable materna a 45 por mil nacidos vivos.   </t>
  </si>
  <si>
    <t xml:space="preserve">*Atención primaria en salud para la niñez, la adolescencia y la familia. </t>
  </si>
  <si>
    <t xml:space="preserve">* Tasa de mortalidad infantil    2010: 11,32      </t>
  </si>
  <si>
    <t xml:space="preserve">  * Disminuir a 10,83  la tasa de mortalidad infantil por mil nacidos vivos     </t>
  </si>
  <si>
    <t xml:space="preserve"> * Disminuir a 10,1  la tasa de mortalidad infantil   por mil nacidos vivos.     </t>
  </si>
  <si>
    <t xml:space="preserve">* Fortalecimiento del componente de seguridad materna teniendo en cuenta proceso de inspección,  vigilancia, asistencia técnica y educación a la gestante y la familia.            </t>
  </si>
  <si>
    <t xml:space="preserve">* Tasa de mortalidad infantil menores de cinco años 2010: 3,0       </t>
  </si>
  <si>
    <t xml:space="preserve"> *Disminuir a 2,3  la tasa de mortalidad en menores de cinco años.</t>
  </si>
  <si>
    <t xml:space="preserve"> * Disminuir a 1 la tasa de mortalidad en menores de cinco años.   </t>
  </si>
  <si>
    <t xml:space="preserve">* Tasa de mortalidad de 0 a 17 años por causas externas 2010:                                   0-6 años: 12,3.                                                         7 - 12 años: 2.2.                                                     13 - 18 años: 46.7 </t>
  </si>
  <si>
    <t xml:space="preserve">*  Disminuir la tasa de mortalidad de 0 a 17 años por causas externas 2010:                                                               0-6 años: 11,5.                                                  7 - 12 años: 2.0.                                           13 - 18 años: 45.9.     </t>
  </si>
  <si>
    <t xml:space="preserve">* Disminuir la tasa de mortalidad de 0 a 17 años por causas externas 2010:                                     0-6 años: 10,6.                                  7 - 12 años: 1.6.                             13 - 18 años: 40.7. </t>
  </si>
  <si>
    <t>NIÑOS SEGUROS</t>
  </si>
  <si>
    <t xml:space="preserve">TODOS SALUDABLES </t>
  </si>
  <si>
    <t xml:space="preserve">* Cobertura inmunización contra el BCG  en niños (as), menores de 1 año. 2010: 80,66     </t>
  </si>
  <si>
    <t xml:space="preserve">*Cobertura útil en todos los biológicos del 95%.   </t>
  </si>
  <si>
    <t>* Mantenimiento  y Cobertura útil en todos los biológicos del 95%</t>
  </si>
  <si>
    <t xml:space="preserve">Instituciones, vecinos y amigos de la primera infancia, infancia y adolescencia. </t>
  </si>
  <si>
    <t xml:space="preserve">* Implementación y mantenimiento de estrategia de Atención integral de enfermedades prevalentes de la infancia (AIEPI), Instituciones Amigas de la Mujer y la Infancia (IAMI), Escuelas Saludables, Vecinos y Amigos de la Primera Infancia. </t>
  </si>
  <si>
    <t>* Cobertura de inmunización  contra el polio en niños (as) en menores de 1 año.  2010: 80,6.</t>
  </si>
  <si>
    <t xml:space="preserve"> * Aseguramiento de universal en salud de niños, niñas y adolescentes.</t>
  </si>
  <si>
    <t>* Cobertura  de inmunización contra el DPT en niños (as) menores de 1 año. 2010: 80,6</t>
  </si>
  <si>
    <t xml:space="preserve"> * Creación de centros de atención especializados de funcionamiento permanente para NNA con  derechos amenazados, inobservados y vulnerados; y para atender necesidades específicas relacionadas con procesos de habilitación, rehabilitación y trtamiento integral desde los componenetes biopsicosociales. </t>
  </si>
  <si>
    <t>*Cobertura de inmunización contra la hepatitis B en niños (as) menores de 1 año. 2010: 80,6</t>
  </si>
  <si>
    <t xml:space="preserve">* Diseño, producción e implementación de herramientas lúdico pedagógicas para el fomento de estilos de vida saludables. </t>
  </si>
  <si>
    <t>*Cobertura de inmunización contra el Rotavirus en niños (as) menores de 1 año. 2011: 76,0.</t>
  </si>
  <si>
    <t xml:space="preserve">* Fortelecimiento de la estrategia Servicios Amigables del Adolescentes a nivel institucional y comunitario. </t>
  </si>
  <si>
    <t>* Cobertura de  inmunización contra el Neumococo en niños (as)  de 1 año. 2010: SD</t>
  </si>
  <si>
    <t>* Fortalecimiento al proceso de formación de familias y cuidadores en pautas de crianza, prácticas y estilos de vida saludable, factores protectores como garantes de derechos de la infancia y la adolescencia.</t>
  </si>
  <si>
    <t>*Cobertura de inmunización contra la Triple Viral en niños (as) menores de 1 año. 2010: 81,0</t>
  </si>
  <si>
    <t>* Fortalecimiento del programa de crecimiento y desarrollo.</t>
  </si>
  <si>
    <t>* Cobertura de inmunización contra la influenza en niños (as) menores de1 año. 2010: 65,3</t>
  </si>
  <si>
    <t>* Programas y proyectos orientados a la prevención, detección y atención de los trastornos selectivos del desarrollo y atención de niños, niñas y adolescentes con habilidades o capacidades excepcionales.</t>
  </si>
  <si>
    <t xml:space="preserve">* % de mujeres gestantes que asistieron a control prenatal y que se practicaron la prueba de VIH  ( Elisa ). 2010: SD     </t>
  </si>
  <si>
    <t xml:space="preserve">*   100% de mujeres gestantes con prueba de VIH.   </t>
  </si>
  <si>
    <t xml:space="preserve">   *   100% de mujeres gestantes con prueba de VIH.     </t>
  </si>
  <si>
    <t xml:space="preserve"> * Fortalecer la red interinstitucional para impulsar la prevención, reducción y mitigración del consumo de sustancias psicoactivas por parte de niños, niñas y adolescentes en articulación con la política de prevención de consumo de sustancias psicoactivas.  </t>
  </si>
  <si>
    <t xml:space="preserve">*Tasa de trasmisión materno infantil de VIH. 2010: SD   </t>
  </si>
  <si>
    <t xml:space="preserve">* Lograr monitoreo al 100% de casos de trasmisión vertical  materno infantil de VIH.    </t>
  </si>
  <si>
    <t xml:space="preserve">* Lograr monitoreo al 100% de casos de trasmisión vertical  materno infantil de VIH. </t>
  </si>
  <si>
    <t xml:space="preserve"> * Fortalemiento de programa Río de Agua Pura. </t>
  </si>
  <si>
    <t xml:space="preserve"> % de embarazos en mujeres adolescentes: 2010:  25,6%</t>
  </si>
  <si>
    <t xml:space="preserve"> * Fortalecimiento de la estrategia vacunación sin barreras y seguimiento a la cohorte de recien nacido.</t>
  </si>
  <si>
    <t xml:space="preserve">Creación de un centro de atención especializado.  </t>
  </si>
  <si>
    <t xml:space="preserve">Mantenimiento del   centro de atención especializado.                           </t>
  </si>
  <si>
    <t xml:space="preserve">* Implementación de la estrategia Entornos Saludables. </t>
  </si>
  <si>
    <t>TODOS BIEN NUTRIDOS</t>
  </si>
  <si>
    <t xml:space="preserve">Porcentaje de niños, niñas menores de 5 años valorados con desnutrición Global. 2008: 36.9%.        </t>
  </si>
  <si>
    <t xml:space="preserve">* Disminuir la desnutrición global en niños y niñas menores de 5 años  a 25, 6%.  </t>
  </si>
  <si>
    <t xml:space="preserve">* Disminuir la desnutrición global en niños y niñas menores de 5 años  a 21, 7%.       </t>
  </si>
  <si>
    <t xml:space="preserve">Seguridad alimentaria para madres gestantes, lactantes, niños, niñas y adolescentes. </t>
  </si>
  <si>
    <t xml:space="preserve">* Implementación de programas de recuperación nutricional para gestantes niños, niñas y adolescentes de manera continua, con un proceso de selección que priorice el estado nutricional en términos de malnutrición (desnutrición, sobrepeso y obesidad). .   </t>
  </si>
  <si>
    <t xml:space="preserve"> Porcentaje de niños, niñas menores de 10  años valorados con desnutrición Global. 2008: 30,1%.</t>
  </si>
  <si>
    <t xml:space="preserve"> * Disminuir la desnutrición global  niñas menores de 10  años 26. 7%.  </t>
  </si>
  <si>
    <t xml:space="preserve"> * Disminuir la desnutrición global  niñas menores de 10  años 20 %.   </t>
  </si>
  <si>
    <t xml:space="preserve"> * Fomento a la implementación del programa madre canguro en las IPS del municipio.</t>
  </si>
  <si>
    <t xml:space="preserve">* Porcentaje de niños, niñas y adolescentes entre los 10 y 17 valorados con Desnutrición Global. 2008: 21,0%. </t>
  </si>
  <si>
    <t xml:space="preserve"> * Disminuir Desnutrición Global  de niños, niñas y adolescentes entre los 10 y 17 años a  20.2%.     </t>
  </si>
  <si>
    <t xml:space="preserve">* Disminuir la desnutrición Global  de niños, niñas y adolescentes entre los 10 y 17 años a  15.2%.    </t>
  </si>
  <si>
    <t>* Implementación de estrategias de información, comunicación y educación en torno a la promoción de lactancia materna exclusiva,  de hábitos alimenticios saludables y de prácticas preventivas como la desparasitación</t>
  </si>
  <si>
    <t>* Porcentaje de niños, niñas menores de 5 años valorados con desnutrición crónica.  2008:  26,9%</t>
  </si>
  <si>
    <t xml:space="preserve">* Disminuir la desnutrición crónica  en niños, niñas menores de 5 años  a  21. 8%. </t>
  </si>
  <si>
    <t xml:space="preserve"> * Disminuir la desnutrición crónica  en niños, niñas menores de 5 años  a  16 %. </t>
  </si>
  <si>
    <t>* Articulación con la política de seguridad alimentaria con los componentes de disponibilidad, acceso, consumo, uso, aprovechamiento, calidad e inocuidad.</t>
  </si>
  <si>
    <t>* Porcentaje de niños, niñas menores de 10 años valorados con desnutrición crónica. 2008:  27,4%</t>
  </si>
  <si>
    <t>* Disminuir   desnutrición crónica en niños, niñas menores de 10 años a 23,2%.</t>
  </si>
  <si>
    <t>* Disminuir   desnutrición crónica en niños, niñas menores de 10 años a 18,7%.</t>
  </si>
  <si>
    <t xml:space="preserve"> * Tiendas escolares saludables. * Loncheras saludables.</t>
  </si>
  <si>
    <t xml:space="preserve">* Media de Lactancia Materna: 2,2  </t>
  </si>
  <si>
    <t xml:space="preserve">* Aumentar la media de duración de la  Lactancia Materna: 3,2  </t>
  </si>
  <si>
    <t>* Aumentar la media de duración de la  Lactancia Materna: 4</t>
  </si>
  <si>
    <t xml:space="preserve">* Realización de investigaciones relacionadas con las situación nutricional de niños, niñas y adolescentes. </t>
  </si>
  <si>
    <t>Porcentaje de niños, niñas con bajo peso al nacer. 2010: 8,2</t>
  </si>
  <si>
    <t>Disminur el porcentaje de niños, niñas con bajo peso al nacer a 6.0</t>
  </si>
  <si>
    <t>Disminur el porcentaje de niños, niñas con bajo peso al nacer a 4,5</t>
  </si>
  <si>
    <t>* Implementación de programas de cocina experimental que incluya recuperación de prácticas tradicionales</t>
  </si>
  <si>
    <t>TODOS CON  FAMILIA</t>
  </si>
  <si>
    <t xml:space="preserve">Número de niños (as) y adolescentes entre los 0 y 17 años declarados en situación de adoptabilidad. 2010: 99 </t>
  </si>
  <si>
    <t>Disminuir a 89 el número de niños (as) y adolescentes entre los 0 y 17 años declarados en situación de adoptabilidad</t>
  </si>
  <si>
    <t>Disminuir a 79 el número de niños (as) y adolescentes entre los 0 y 17 años declarados en situación de adoptabilidad</t>
  </si>
  <si>
    <t xml:space="preserve">Niños, niñas y adolescentes con derecho a la felicidad , a la familia y  a  hogares de protección especial. </t>
  </si>
  <si>
    <t xml:space="preserve">Número de niños (as) y adolescentes entre los 0 y 17 años, dados en adopción. 2010: 198. * </t>
  </si>
  <si>
    <t>Disminuir a  150  el número de niños (as) y adolescentes entre los 0 y 17 años declarados en situación de adoptabilidad</t>
  </si>
  <si>
    <t>Disminuir a  100  el número de niños (as) y adolescentes entre los 0 y 17 años declarados en situación de adoptabilidad</t>
  </si>
  <si>
    <t xml:space="preserve">* Fortalecer las estrategias de protección, restitución y goce efectivo de derechos. </t>
  </si>
  <si>
    <t>Número estimado de niños (as) entre  0 y 5 años en situación de calle. 2010: 4</t>
  </si>
  <si>
    <t xml:space="preserve">Disminuir a 0 el  número de niños (as) entre  0 y 5 años en situación de calle. </t>
  </si>
  <si>
    <t xml:space="preserve">*  Fortalecimiento y formación de las familias y cuidadores de los NNA en su responsabilidad como garantes de sus derechos y en el afianzamiento de factores protectores de su vida y su entorno.        </t>
  </si>
  <si>
    <t>Número estimado de niños (as) entre 6 y 11 años  en situación de calle. 2010: 15</t>
  </si>
  <si>
    <t>Disminuir 0 (cero) el número  de niños (as) entre 6 y 11 años  en situación de calle.</t>
  </si>
  <si>
    <t xml:space="preserve">* Diseño, implementación y/o fortalecimiento del centro de atención integral de emergencia para niños, niñas y adolescentes en situaciones de riesgo y de calle.   </t>
  </si>
  <si>
    <t xml:space="preserve">Número estimado de niños (as) entre 12 y 17 años  en situación de calle. 2010: 39 </t>
  </si>
  <si>
    <t xml:space="preserve">Disminuir a  0 (cero) el número  de niños (as) entre 12 y 17 años  en situación de calle.  </t>
  </si>
  <si>
    <t xml:space="preserve">Disminuir a  0 (cero) el número  de niños (as) entre 12 y 17 años  en situación de calle. </t>
  </si>
  <si>
    <t xml:space="preserve">* Creación de centros de atención especializados de funcionamiento permanente para NNA con  derechos amenazados, inobservados y vulnerados; y para atender necesidades específicas relacionadas con procesos de habilitación, rehabilitación y tratamiento integral desde los componentes biopsicosociales (conforme a lo establecido en el artículo 60 de la Ley 1098 de 2006).           </t>
  </si>
  <si>
    <t>Número estimado de personas menores de 18 años  en situación de calle. 2010: 58</t>
  </si>
  <si>
    <t>Disminuir a 0 (cero) el número de personas menores de 18 años  en situación de calle.</t>
  </si>
  <si>
    <t xml:space="preserve">*Creación de la red de hogares de paso.   </t>
  </si>
  <si>
    <t>PROTECCION</t>
  </si>
  <si>
    <t>NINGUNO MALTRATADO, ABUSADO O VÍCTIMA DEL CONFLICTO GENERADO POR GRUPOS AL MARGEN DE LA LEY</t>
  </si>
  <si>
    <t xml:space="preserve"> Número de casos denunciados de maltrato en niños (as)  entre 0 y17 años  (Municipio.) 2010: 1277</t>
  </si>
  <si>
    <t xml:space="preserve">Disminuir 200 el número de casos atendidos  por violencia escolar, institucional e intrafamiliar  donde las víctimas sean los NNA. </t>
  </si>
  <si>
    <t xml:space="preserve">Disminuir 100 el número de casos atendidos  por violencia escolar, institucional e intrafamiliar  donde las víctimas sean los NNA. </t>
  </si>
  <si>
    <t xml:space="preserve"> Pereira, una ciudad amiga y protectora de la primera infancia, infancia y adolescencia con enfoque en las políticas de Haz Paz, Erradicación del trabajo infantil, Explotación  sexual comercial,  violencia sexual e intrafamiliar,  </t>
  </si>
  <si>
    <t xml:space="preserve"> Fortalecimiento del CAIVAS  y del CAVIF con aumento de equipo humano cualificado que agilice el proceso de restablecimiento de derechos vulnerados  Implementación de estrategias de información, comunicación y educación en torno a la prevención de la violencias sexual e intrafamiliar y a la denuncia del delito.  </t>
  </si>
  <si>
    <t>Número de casos denunciados por abuso sexual en niños (as) y adolescentes entre 0 y 17 años (Municipio.) 2010: 676</t>
  </si>
  <si>
    <t xml:space="preserve">Disminuir 200 el número de casos atendidos  por abuso sexual donde las víctimas sean los NNA. </t>
  </si>
  <si>
    <t>Cero revictimización de NNA e impunidad al 2019 en el municipio de Pereira por caso comprobado y el victimario judicializado.</t>
  </si>
  <si>
    <t xml:space="preserve"> * Implementación de programas encaminados a promover la corresponsabilidad de las familias en la protección y cuidado de niños, niñas y adolescentes. </t>
  </si>
  <si>
    <t>NINGUNO EN ACTIVIDAD PERJUDICIAL</t>
  </si>
  <si>
    <t>Número de niños (as) y adolescentes entre los 5 y 17 años, que participan en una actividad remunerada o no. 2010. SD</t>
  </si>
  <si>
    <t xml:space="preserve">* Implementar estrategias de prevención y erradicación de las peores formas del trabajo infantil y protección al joven trabajador.                                          *                                                                                                                                                                                                                                </t>
  </si>
  <si>
    <t>Número de niños (as) y adolescentes entre los 7 y 12 años, que participan en una actividad remunerada o no.  2010. SD</t>
  </si>
  <si>
    <t xml:space="preserve"> * Implementación efectiva de la estrategia Entornos saludables en el ámbito domiciliario, escolar, comunitario e institucional.   </t>
  </si>
  <si>
    <t>Número de niños (as) y adolescentes entre los 13 y  17 años, que participan en una actividad remunerada o no.  2010. SD</t>
  </si>
  <si>
    <t xml:space="preserve">Fortalecimiento de las competencias del recurso humano que trabaja en el ámbito de promoción, prevención, atención y restablecimiento de derechos vulnerados.                          </t>
  </si>
  <si>
    <t xml:space="preserve"> Numero de niños (as) y adolescentes entre 7 y 13 años que trabajan 15 o más horas en oficios del hogar 2010. SD</t>
  </si>
  <si>
    <t xml:space="preserve">* Diseño, desarrollo e implementación de estrategias de información, educación y comunicación de manera sistemática y continua para la promoción de estilos de vida saludables a favor del proceso de crecimiento y desarrollo; y para prevención de la morbimortalidad y de situaciones en que los NNA se vean involucrados en infracciones a la ley penal; sean víctimas de maltrato infantil, explotación sexual, explotación laboral, abuso sexual, violencia intrafamiliar, y víctimas del reclutamiento por grupos ilegales.      </t>
  </si>
  <si>
    <t>% De niños (as) y adolescentes entre 5 y 17 años que trabajan 15 o más horas en oficios del hogar. 2010. SD</t>
  </si>
  <si>
    <t xml:space="preserve">Fortalecer el trabajo sectorial de campo del Ministerio de Trabajo e ICBF. fortalecer el protocolo de policia Judicial que agilice la acción delos Jueces de Garantias aplicabilidad de las leyes 1336-1329 y 1453  60% de casos reportados por el # de casos con restableciento. cero impunidad frente a los delitos de explotación sexual y trata de personas en el municipio de Pereira.   </t>
  </si>
  <si>
    <t>Tasa de trabajo infantil Área  Metropolitana Pereira. 2010. SD</t>
  </si>
  <si>
    <t>Reducir a 0 (cero)  el número de niños (as) y adolescentes entre 0 y 17 años explotados sexualmente</t>
  </si>
  <si>
    <t>Adolescentes acusados de violar la ley penal con su debido proceso</t>
  </si>
  <si>
    <t># de adolescente entre 14 y 17 años infractores de la ley penal vinculados a procesos judiciales. 2010:  1403</t>
  </si>
  <si>
    <t xml:space="preserve">Disminur a  1200 el número de adolescente entre 14 y 17 años infractores de la ley penal vinculados a procesos judiciales en el muncipio. </t>
  </si>
  <si>
    <t xml:space="preserve">Disminur a 1000 el número de adolescente entre 14 y 17 años infractores de la ley penal vinculados a procesos judiciales  en el muncipio. </t>
  </si>
  <si>
    <t xml:space="preserve">Equipo intrersectorial e intsititucional desarrollando estrategias de inclusión social, Familiares, educativas,  laborales , culturales  y deportivas a los  adolescentes vinculados , infractores y egresados del SRPA en el municipio </t>
  </si>
  <si>
    <t>Sistema de Responsabilidad penal para adolescentes: Centro de Atención Especializado de adolescentes y jóvenes en conflicto con la Ley, Modelo Pedagógico implementado.  Modelo de apoyo pos institucional al egreso del SRPA</t>
  </si>
  <si>
    <t>%de adolescente entre 14 y 17 años infractores de ley penal reincidentes. 2010: 14.5%</t>
  </si>
  <si>
    <t xml:space="preserve">Disminuir a 10.5 % de adolescentes entre 14 y 17 años infractores de ley penal reincidentes.  </t>
  </si>
  <si>
    <t xml:space="preserve">Disminuir  a 5.5 % de adolescentes entre 14 y 17 años nfractores de ley penal reincidentes.   </t>
  </si>
  <si>
    <t>* Diseño, desarrollo e implementación de estrategias de información, educación y comunicación de manera sistemática y continua para la promoción de estilos de vida saludables a favor del proceso de crecimiento y desarrollo; y para prevención de la morbimortalidad y de situaciones en que los NNA se vean involucrados en infracciones a la ley penal; sean víctimas de maltrato infantil, explotación sexual, explotación laboral, abuso sexual, violencia intrafamiliar, y víctimas del reclutamiento por grupos ilegales.</t>
  </si>
  <si>
    <t>% de adolescentes entre 14 y 17 años privados de libertad procesados conforme a la ley. 2010: 14.68%</t>
  </si>
  <si>
    <t xml:space="preserve">Disminuir a 10.68% los adolescentes entre 14 y 17 años privados de la libertad procesados comforme a la ley </t>
  </si>
  <si>
    <t xml:space="preserve">Disminuir a 5.68 % los  adolescentes entre 14 y 17 años privados de la libertad procesados comforme a la ley .  </t>
  </si>
  <si>
    <t>NIÑOS CAPACES</t>
  </si>
  <si>
    <t xml:space="preserve">DESARROLLO, CUIDADANIA Y PARTICIPACIÓN </t>
  </si>
  <si>
    <t xml:space="preserve">TODOS CON EDUCACIÓN </t>
  </si>
  <si>
    <t>*% de niños (as) vinculados a programas de educación inicial. 2010: 108,2%</t>
  </si>
  <si>
    <t>Aumentar el  % de niñas, niños vinculados a programas de educación inicial.</t>
  </si>
  <si>
    <t>Sostener el % de vinculación de niñas y niños vinculado a programas de educación inicial.</t>
  </si>
  <si>
    <t>Educación con calidad en todos los niveles del sistema educativo en el marco de la formación integral (ser, saber, hacer) y educacion inicial</t>
  </si>
  <si>
    <t>Creación del sistema de aseguramiento y de calidad (definición y desarrollo) en todas las insituciones educactivas -públicas y privadas- del municipio de Pereira</t>
  </si>
  <si>
    <t>Tasa de deserción escolar interanual de transición a grado once: 2010:  3.4%</t>
  </si>
  <si>
    <t>Reducir en 2 %la tasa de deserccion escolar interanual de transicióna grado once</t>
  </si>
  <si>
    <t>Reducir en 0.4 %la tasa de deserccion escolar interanual de transicióna grado once</t>
  </si>
  <si>
    <t xml:space="preserve"> *Fortalecimiento del desarrollo de las competencias básicas, cientificas ciudadanas, biligues, lingüisticas, tecnológicas y matemáticas. </t>
  </si>
  <si>
    <t>Tasa de repitencia en educación básica primaria. 2010: SD</t>
  </si>
  <si>
    <t xml:space="preserve">Reducir a  % tasa de repitencia en educación básica primaria </t>
  </si>
  <si>
    <t xml:space="preserve">*Fortelecimeinto del sistema de evaluación de ñas instituciones educativas -públicas y privadas- del municipio. </t>
  </si>
  <si>
    <t>Tasa de repitencia en educación básica secundaria.2010: SD</t>
  </si>
  <si>
    <t xml:space="preserve">Reducir % a tasa de repitencia en educación básica secundaria </t>
  </si>
  <si>
    <t xml:space="preserve"> * realización de estudios de cobertura y permanencia  educativa por comuna y corregimiento. * Construcción e implementación de curriculos de competencias laborales en la media básica y universidad. </t>
  </si>
  <si>
    <t>Tasa de repitencia en educación básica media. 2010: SD</t>
  </si>
  <si>
    <t>Reducir % a tasa de repitencia en educación básica media</t>
  </si>
  <si>
    <t>.* Fortalecimiento del SIGCE.</t>
  </si>
  <si>
    <t>Tasa de repitencia del municipio. 2010: 2.1%</t>
  </si>
  <si>
    <t xml:space="preserve">Reducir 1.1 % a tasa de repitencia del Municipio </t>
  </si>
  <si>
    <t xml:space="preserve">Reducir 0.1 % a tasa de repitencia del Municipio </t>
  </si>
  <si>
    <t xml:space="preserve">* Fortalecimientpo y modernización de la gestión de la Secretaría de educación y sus establecimiento educativos como espacios garantes de los derechos de la primera infancia, infancia y adolescencia. </t>
  </si>
  <si>
    <t>Puntaje promedio de las pruebas SABER- 5 grado: 2009: 316</t>
  </si>
  <si>
    <t>Aumentar el promedio de las pruebas SABER- 5 grado a 340</t>
  </si>
  <si>
    <t>Aumentar el promedio de las pruebas SABER- 5 grado a 360</t>
  </si>
  <si>
    <t xml:space="preserve"> * Construcción y /o adecuación de espacios propicios para la educación inicial a la primera infancia en las instituciones públicas de municipio de Pereira. </t>
  </si>
  <si>
    <t xml:space="preserve"> Número de niños (as) entre 0 y 6 años que asisten a bibliotecas. 2010: 1.864.</t>
  </si>
  <si>
    <t xml:space="preserve"> Aumentar a 2500 el número de niños (as) entre 0 y 6 años que asisten a bibliotecas</t>
  </si>
  <si>
    <t xml:space="preserve"> Aumentar a 3500 el número de niños (as) entre 0 y 6 años que asisten a bibliotecas</t>
  </si>
  <si>
    <t>Número de niños (as) y adolescentes entre 7 y 12 años que asisten a bibliotecas. 2010. 3.262</t>
  </si>
  <si>
    <t xml:space="preserve"> Aumentar a 4.500  Número de niños (as) entre 7 y 12 años que asisten a bibliotecas</t>
  </si>
  <si>
    <t xml:space="preserve"> Aumentar a 6000 el número de niños (as) entre 7 y 12 años que asisten a bibliotecas</t>
  </si>
  <si>
    <t xml:space="preserve">* Realización de campañas de formación cultural que expresen la imagen de los niños y niñas primero en cualquier espacio público de la ciudad. </t>
  </si>
  <si>
    <t>DESARROLLO, CUIDADANIA Y PARTICIPACIÓN</t>
  </si>
  <si>
    <t>TODOS JUGANDO</t>
  </si>
  <si>
    <t>Número de adolescentes entre 13 y 17 años que asisten a bibliotecas. 2010: 4.194</t>
  </si>
  <si>
    <t xml:space="preserve"> Aumentar a 6000 el  número de adolescentes entre 13 y 17 años que asisten a bibliotecas. </t>
  </si>
  <si>
    <t xml:space="preserve"> Aumentar a 8000 el  número de adolescentes entre 13 y 17 años que asisten a bibliotecas. </t>
  </si>
  <si>
    <t>Infancia y adolescencia activa con recreación y deporte</t>
  </si>
  <si>
    <t xml:space="preserve">* Promoción de la cultura ciudadana defensora de los derechos de los infantes y adolescentes. </t>
  </si>
  <si>
    <t>% de niños (as) y adolescentes entre 7 y 12 años matriculados o inscritos en programas de recreación y deporte: 2010: 17%</t>
  </si>
  <si>
    <t xml:space="preserve">El 45 % de niños (as) y adolescentes entre 7 y 12 años matriculados o inscritos en programas de recreación y deporte </t>
  </si>
  <si>
    <t xml:space="preserve">El  70 % de niños (as) y adolescentes entre 7 y 12 años matriculados o inscritos en programas de recreación y deporte </t>
  </si>
  <si>
    <t xml:space="preserve">* Fortalecimiento de programas recreativos, lúdicos, culturales y deportivos con énfasis en desarrollo psicomotor y habilidades para la vida.      </t>
  </si>
  <si>
    <t>%  adolescentes entre 13 y 17 años matriculados o inscritos en programas de recreación y deporte. 2010: 7%</t>
  </si>
  <si>
    <t xml:space="preserve">El  20 %  adolescentes entre 13 y 17 años matriculados o inscritos en programas de recreación y deporte.  </t>
  </si>
  <si>
    <t xml:space="preserve">El  50 %  adolescentes entre 13 y 17 años matriculados o inscritos en programas de recreación y deporte.  </t>
  </si>
  <si>
    <t xml:space="preserve"> * Diseño e implementación de parques para la primera infancia - Una oportunidad segura y de sano esparcimiento-.                                                                       </t>
  </si>
  <si>
    <t>% de niños, niñas entre 0 y 6 años inscritos o matriculados en programas artísticos, lúdicos o culturales: 2010: 10.1%</t>
  </si>
  <si>
    <t xml:space="preserve">El 25 % de niños, niñas entre 0 y 6 años inscritos o matriculados en programas artísticos, lúdicos o culturales. </t>
  </si>
  <si>
    <t xml:space="preserve">El 50 % de niños, niñas entre 0 y 6 años inscritos o matriculados en programas artísticos, lúdicos o culturales. </t>
  </si>
  <si>
    <t xml:space="preserve">  * Dotación y adecuación de espacios escolares y comunitarios para la lúdica, juego, recreación, actividad física, deporte y cultura.                                         </t>
  </si>
  <si>
    <t>% de niños, niñas y adolescentes  entre 7 y 12 años inscritos o matriculados en programas artísticos, lúdicos o culturales.2010: 21.4%</t>
  </si>
  <si>
    <t xml:space="preserve">El 40 % de niños, niñas y adolescentes  entre 7 y 12 años inscritos o matriculados en programas artísticos, lúdicos o culturales. </t>
  </si>
  <si>
    <t xml:space="preserve">El 70 % de niños, niñas y adolescentes  entre 7 y 12 años inscritos o matriculados en programas artísticos, lúdicos o culturales. </t>
  </si>
  <si>
    <t xml:space="preserve">Implementación de programas de lectura para niños, niñas y adolescentes constructores de textos.  * </t>
  </si>
  <si>
    <t>% de  adolescentes entre 13 y 17 años inscritos o matriculados en programas artísticos, lúdicos o culturales.2010: 28.5%</t>
  </si>
  <si>
    <t xml:space="preserve">El 45 % de  adolescentes entre 13 y 17 años inscritos o matriculados en programas artísticos, lúdicos o culturales. </t>
  </si>
  <si>
    <t xml:space="preserve">El 70 % de  adolescentes entre 13 y 17 años inscritos o matriculados en programas artísticos, lúdicos o culturales. </t>
  </si>
  <si>
    <t>Todos capaces de manejar afectos, emociones y sexualidad</t>
  </si>
  <si>
    <t>Número de niños (as) y adolescentes que recibieron orientación en educación sexual y reproductiva: 2010:  39.074</t>
  </si>
  <si>
    <t>Aumentar  a 42.500 el número de niños (as) y adolescentes que recibien orientación en educación sexual y reproductiva</t>
  </si>
  <si>
    <t>Aumentar  a 45.000 el número de niños (as) y adolescentes que recibien orientación en educación sexual y reproductiva</t>
  </si>
  <si>
    <t xml:space="preserve">Habilidades  para vivir y para trasmitir afectos y emociones. </t>
  </si>
  <si>
    <t xml:space="preserve">* Capacitar al personal docente en estrategias pedagógicas adecuadas para birndar asesoría y orientación en educación sexual  e involucar ala familias en el prdoesco de educación sexual.                                                                                                                   </t>
  </si>
  <si>
    <t>TODOS PARTICIPANDO EN ESPACIOS SOCIALES</t>
  </si>
  <si>
    <t xml:space="preserve">el 90%  de gobiernos escolares operando en instituciones Municipales
</t>
  </si>
  <si>
    <t>infancia y adolescencia protagonistas del ejercicio de su ciudadania</t>
  </si>
  <si>
    <t xml:space="preserve">31 niños y niñas adolescente participando en los consejos de política social  representantes de las comunas y corregimientos del Municipio
</t>
  </si>
  <si>
    <t>1 Consejo Municipal de Juventud en pleno funcionando</t>
  </si>
  <si>
    <t>Niños y niñas  con identidad ciudadana y civil</t>
  </si>
  <si>
    <t>Implementar una jornada de registro civil en las entidades de salud, educacion y hogares comunitarios. Jornades de expedicion de tarjeta de identidad en la poblacion escolar</t>
  </si>
  <si>
    <t>Rendicion de cuentas anuales de Politica Publica primaria infancia, infancia y adolescencia</t>
  </si>
  <si>
    <t xml:space="preserve">tres rendiciones de cuentas que visibilice los programas y la inversion de la administracion publica y la proyeccion para la atencion de la primera infancia, infancia y adolescencia
</t>
  </si>
  <si>
    <t>cuatro  rendiciones de cuentas que visibilice los programas y la inversion de la administracion publica y la proyeccion para la atencion de la primera infancia, infancia y adolescencia</t>
  </si>
  <si>
    <t>Instituciones amigas y comprometidas con la primera infancia, infancia y adolescencia</t>
  </si>
  <si>
    <t>Sistema unico de informacion (SUI) Municipal</t>
  </si>
  <si>
    <t>El Municipio de Pereira cuenta con sistema unico de informacion (SUI) que articula los procesos adelantados en las dependencias respectivas evidenciando la garantia y el  goce efectivo del derecho.</t>
  </si>
  <si>
    <t>Servidores públicos formados capacitados y cualificados en atencion integral con enfoque diferencial.</t>
  </si>
  <si>
    <t xml:space="preserve">60% de los servidores publicos y operadores capacitados para la atencion integral  de los niños y niñas adolescentes del Municipio.
</t>
  </si>
  <si>
    <t xml:space="preserve">80% de los servidores publicos y operadores capacitados para la atencion integral  de los niños y niñas adolescentes del Municipio.
</t>
  </si>
  <si>
    <t>Observatorio de Politicas Publicas</t>
  </si>
  <si>
    <t>El Municipio de Pereira cuenta con Observatorio de Politicas Publicas fortalecido y funcionando en primera infancia y adolescencia</t>
  </si>
  <si>
    <t>° Diseño e implementacion del sistema de unico de informacion para la gerencia de derechos de la primera infancia y adolescencia. ° Diseño e implementacion del proceso de formacion de servidores publicos, comunicadores y operadores de programas competentes en el tema de primera infancia, infancia y adolescencia.</t>
  </si>
  <si>
    <t>Catedra de Primera Infancia</t>
  </si>
  <si>
    <t>Una catedra de primera infancia funcionando en las instituciones educativas del Municipio.</t>
  </si>
  <si>
    <t>Alianzas con la academia politico-privada para el diseño e implementacion de la catedra de primera infancia. Institucionalizacion de la catedra de primera infancia en las universidades del Municipio de Pereira.</t>
  </si>
  <si>
    <t>Comisarias de familias</t>
  </si>
  <si>
    <t>Apoyo al fortalecimiento logistico de la politica de infancia y adolescencia en el municipio de Pereira. Implementacion y fortalecimiento de las redes basicas comunitarias en el municipio como soporte de la prevencion integral a los NNA .</t>
  </si>
  <si>
    <t xml:space="preserve">Responsable </t>
  </si>
  <si>
    <t xml:space="preserve">Corresponsable </t>
  </si>
  <si>
    <t>Indicador y Línea base</t>
  </si>
  <si>
    <t xml:space="preserve">ENTIDADES CORRESPONSABLES DEL SNBF </t>
  </si>
  <si>
    <t xml:space="preserve">SECRETARIA DE DESARROLLO SOCIAL Y POLITICO </t>
  </si>
  <si>
    <t>SECRETARIA DE GOBIERNO</t>
  </si>
  <si>
    <t>SECRETARIA DE EDUCACION</t>
  </si>
  <si>
    <t>MOVILIDAD</t>
  </si>
  <si>
    <t>SECRETARIA DE CULTURA</t>
  </si>
  <si>
    <t>SECRETARIA DE DEPORTES</t>
  </si>
  <si>
    <t>SECRETARIA DE SALUD</t>
  </si>
  <si>
    <t>SECRETARIA DE PLANEACON</t>
  </si>
  <si>
    <t xml:space="preserve">Estructuración de sistemas estratégicos de organización, gestión conjunta y
posicionamiento del emprendimiento de base tecnológica.
</t>
  </si>
  <si>
    <t>Promoción de Grupos de Investigación en desarrollo de actividades de
innovación inherentes a los sectores estratégicos priorizados.</t>
  </si>
  <si>
    <t xml:space="preserve">Impacto </t>
  </si>
  <si>
    <t>Beneficio Tributario para la Creación de Empresas de Base Tecnológica y para Empresas Constituidas que generen procesos de Innovación y agreguen valor en sus productos o servicios.</t>
  </si>
  <si>
    <t>Beneficio tributario creado a través del Estatuto Tributario</t>
  </si>
  <si>
    <t>Educación Innovadora y Emprendedora.</t>
  </si>
  <si>
    <t>Currículo orientado al emprendimiento y a la innovación.</t>
  </si>
  <si>
    <t>Diseño del currículo orientado al emprendimiento y la innovación</t>
  </si>
  <si>
    <t>Innovación para el desarrollo social (Actividad nueva año 2012).</t>
  </si>
  <si>
    <t>Porcentaje de implementación del Proyecto Piloto Pereira Virtuosa e Innovadora</t>
  </si>
  <si>
    <t>Proyecto formulado (Fuente: Secretaria de Planeación).</t>
  </si>
  <si>
    <t>Material didáctico en emprendimiento e innovación.</t>
  </si>
  <si>
    <t>Cartillas entregadas</t>
  </si>
  <si>
    <t>Semilleros de emprendimiento y de innovación.</t>
  </si>
  <si>
    <t>Existencia de Semilleros de Emprendimiento e Innovación</t>
  </si>
  <si>
    <t xml:space="preserve">Asistencia Técnica, asesoría y acompañamiento en la generación de ideas de
negocios y desarrollo empresarial
</t>
  </si>
  <si>
    <t>Talleres para fomentar creatividad, liderazgo, trabajo en equipo, capacidad de
investigación, organización, habilidad en la toma de decisiones y la
comunicación</t>
  </si>
  <si>
    <t>Fomentar el microcrédito y servicios financieros en alianza entre el sector
público y privado que conlleve al fortalecimiento y emprendimiento de las
microempresas, de acuerdo a las necesidades y al perfil de los
microempresarios que no tienen acceso al sector financiero tradicional.</t>
  </si>
  <si>
    <t>Capacitar asesorar y realizar seguimiento él los microempresarios beneficiarios
del proyecto Banco de las Oportunidades en los siguientes temas: gestión
empresarial, desarrollo comercial, construcción de planes de negocio que
conlleven a generar actividades productivas y rentables para población de
bajos ingresos, fomentando la generación de ingresos, de empleo y el
autoempleo.</t>
  </si>
  <si>
    <t>Fomentar el emprendimiento y/o fortalecimiento empresarial, en grupos
vulnerables que lo requieran (población en situación de desplazamiento,
carreros, vendedores informales, madres cabeza de familia, personas de los
estratos 1 y 2, afectadas por fenómenos naturales), a través de una línea de
capital semilla el cual debe estar condicionado a un aporte del propio
beneficiario, con el fin de contribuir en la disminución de los índices de
desempleo que registra la ciudad de Pereira.</t>
  </si>
  <si>
    <t>Cadenas Productivas y Desarrollo de Proveedores.</t>
  </si>
  <si>
    <t>Desarrollar programas de asistencia técnica, capacitación e implementación
de acuerdo a las necesidades de cada uno de los eslabones de la cadena.
(asociatividad, producción, cosecha, postcosecha, transformación,
comercialización) .</t>
  </si>
  <si>
    <t>Sumatoria (cantidad) de encadenamientos productivos</t>
  </si>
  <si>
    <t>lmplementar proyectos de agricultura específica por sitio en el sector agrícola
con el fin de aumentar la productividad con base en el uso potencial del suelo
y variables ambientales.</t>
  </si>
  <si>
    <t>Sumatoria (cantidad) de líneas productivas</t>
  </si>
  <si>
    <t>Coordinación definida con sus funciones. Durante la vigencia 2018, se cuenta con dos docentes en comisión (IVAN ALBERTO VERGARA Y AMERICO PORTOCARRERO)  de la Comunidad Afrodescendiente del Municipio de Pereira,  que cumplen funciones específicas que se encuentran establecidas en la política Pública.</t>
  </si>
  <si>
    <t>$74,520,000</t>
  </si>
  <si>
    <t>X</t>
  </si>
  <si>
    <t xml:space="preserve">EDUCACION
DESARROLLO SOCIAL
JURIDICA
CULTURA
ICBF
SENA
</t>
  </si>
  <si>
    <t xml:space="preserve">Asistencias Técnico - académicas en  los EE con los docentes, directivos y estudiantes en todo lo relacionado con los temas Afrocolombiano.
Se realizo 3 Asistencias técnicas en el Técnico Superior a los directores de núcleos, rectores, secretarias de las instituciones educativas para el proceso de caracterización  de estudiantes afro matriculados en el Sistema  Educativo. De igual manera en las instituciones educativas  SAN NICOLAS, EL DORADO, AQUILINO BEDOYA, MARIA CRISTINA GOMEZ, COMUNITARIO CERRITOS, CARLOS EDUARDO VASCO, AUGUSTO ZULUAGA, VILLASANTANA, CIUDADELA CUBA, ESCUELA LA PALABRA.
</t>
  </si>
  <si>
    <t>Se realizo  Asistencia Técnica en los EE se tiene como evidencia los siguientes soportes(acta de asistencia- actas de reunión, registro fotográfico, matriz de  seguimiento, curriculum de afros a los siguientes establecimientos educativos: SAN NICOLAS, EL DORADO, AQUILINO BEDOYA, MARIA CRISTINA GOMEZ, COMUNITARIO CERRITOS, CARLOS EDUARDO VASCO, AUGUSTO ZULUAGA, VILLASANTANA, CIUDADELA CUBA, ESCUELA LA PALABRA.</t>
  </si>
  <si>
    <t>Se realizo transversalización de la política de etnoeducación en los siguientes establecimientos educativos: SAN NICOLAS, EL DORADO, AQUILINO BEDOYA, MARIA CRISTINA GOMEZ, COMUNITARIO CERRITOS, CARLOS EDUARDO VASCO, AUGUSTO ZULUAGA, VILLASANTANA, CIUDADELA CUBA, ESCUELA LA PALABRA.</t>
  </si>
  <si>
    <t>EDUCACION</t>
  </si>
  <si>
    <t>Esta incluida dentro de la Línea del Plan de  Formación Territorial Docente. Durante la vigencia 2018, no se otorgaron becas a profesionales para  maestría o doctorados de la población afrodescendiente.</t>
  </si>
  <si>
    <t xml:space="preserve">Alimentación escolar en la vigencia 2018: 681 niños afro.
Transporte escolar-Contratación rutas escolares: 74 niños afro.
Transporte escolar- para pago de transporte público: 123 niños afro.
</t>
  </si>
  <si>
    <t xml:space="preserve">Se realiza las siguientes actividades masivas:
Se conmemoro  en las Instituciones Educativas el Día Internacional de la Eliminación de la Discriminación Racial el 21 de marzo. El evento central se realizo en la Universidad del Área Andina a través de un ciclo de conferencias en torno al día mundial contra todas las formas de discriminación racial, en el marco de la convención emanada por Naciones Unidas en 1965. 
2) Se conmemora el mes de mayo como el mes de la herencia africana en Colombia, se realizo una conferencia central en el Banco de la República con conferencista de corte Nacional dirigida a los docentes etnoeducadores, docentes del área de ciencias sociales y organizaciones de base afropereiranas. De otra parte durante este mes se llevaron a cabo actividades culturales en todos los establecimientos educativos alusivas a la fecha.
3) Un evento masivo realizado en la Universidad Tecnológica de Pereira en el auditorio Jorge Roa Martínez, aproximadamente 500 personas asistieron, docentes de varias instituciones públicas y privadas para conmemorar el 12 de octubre al rededor de la reflexión sobre los avances y obstáculos de la implementación de la etnoeducacion.
</t>
  </si>
  <si>
    <r>
      <t xml:space="preserve">PREESCOLAR INTEGRAL: </t>
    </r>
    <r>
      <rPr>
        <sz val="11"/>
        <rFont val="Calibri"/>
        <family val="2"/>
        <scheme val="minor"/>
      </rPr>
      <t xml:space="preserve">Atención integral a la primera infancia a los NN de 80 grupos de 35 IE oficiales del Municipio. Sus componentes son:
 * Salud, nutrición y alimentación. 
* Familias comunidades y redes.
* Componente Pedagógico (dotación de material didáctico)
* Ambientes educativos y protectores.
* Administración y gestión.
* Talento Humano.
</t>
    </r>
    <r>
      <rPr>
        <b/>
        <sz val="11"/>
        <rFont val="Calibri"/>
        <family val="2"/>
        <scheme val="minor"/>
      </rPr>
      <t xml:space="preserve">
CIRCULO VIRTUOSO:
</t>
    </r>
    <r>
      <rPr>
        <sz val="11"/>
        <rFont val="Calibri"/>
        <family val="2"/>
        <scheme val="minor"/>
      </rPr>
      <t xml:space="preserve">Estrategia de fortalecimiento y cualificación de los procesos de atención y educación de la primera infancia y la básica en los sectores circundantes de los CDI atendidos. 
Iniciación a la lengua inglesa.
Desarrollo del pensamiento científico.
Salud sensorial (tamizaje visual y auditivo).
Emprendimiento.
Fortalecimiento de las competencias parentales.
</t>
    </r>
    <r>
      <rPr>
        <b/>
        <sz val="11"/>
        <rFont val="Calibri"/>
        <family val="2"/>
        <scheme val="minor"/>
      </rPr>
      <t xml:space="preserve">
PEQUEÑOS SABIOS:
</t>
    </r>
    <r>
      <rPr>
        <sz val="11"/>
        <rFont val="Calibri"/>
        <family val="2"/>
        <scheme val="minor"/>
      </rPr>
      <t xml:space="preserve">Programa de atención educativa a 300 niños y niñas de 3 y 4 años de 22 IE oficiales del Municipio. Se desarrolla en asocio con la Escuela Normal Superior El Jardín del Risaralda, con el apoyo de la Universidad Uniminuto, Universidad del Tolima y del programa Círculo Virtuoso liderado por la UTP.
</t>
    </r>
    <r>
      <rPr>
        <b/>
        <sz val="11"/>
        <rFont val="Calibri"/>
        <family val="2"/>
        <scheme val="minor"/>
      </rPr>
      <t>PROGRAMA  DE LA OFERTA EDUCATIVA CON COMFAMILIAR RISARALDA</t>
    </r>
    <r>
      <rPr>
        <sz val="11"/>
        <rFont val="Calibri"/>
        <family val="2"/>
        <scheme val="minor"/>
      </rPr>
      <t>: Se fortaleció pedagógicamente los 8 CDI del Municipio en los procesos educativos de la primera infancia.</t>
    </r>
    <r>
      <rPr>
        <b/>
        <sz val="11"/>
        <rFont val="Calibri"/>
        <family val="2"/>
        <scheme val="minor"/>
      </rPr>
      <t xml:space="preserve">
</t>
    </r>
  </si>
  <si>
    <t>SALUD
EDUCACION
DESARROLLO SOCIAL</t>
  </si>
  <si>
    <t>Se realizaron 3 reuniones de capacitación a directivos docentes (rectores y personal de secretaria) IE oficiales sobre la caracterización de la población. La actividad se realizo en el Instituto Técnico Superior en el mes de abril 2018.</t>
  </si>
  <si>
    <t>Se inició el proceso de alianzas con el SENA, La Universidad Claretiana. Pero aún está pendiente la formalización de los convenios.</t>
  </si>
  <si>
    <t>Durante la vigencia 2018 la alcaldía no realizo concurso de etnoeducadores porque fue asumida por el ministerio de educación nacional</t>
  </si>
  <si>
    <t>Durante el año 2018, se realizaron actividades de actualización en materia de educación inclusiva, dentro de lo que se incluyeron 4 jornadas dirigidas a directivos docentes, con el fin de brindar las orientaciones necesarias y los lineamientos de acuerdo al decreto 1421 de 2017</t>
  </si>
  <si>
    <t>Registros de asistencia y fotográfico</t>
  </si>
  <si>
    <t>A través del contrato 3200 de 2018 con la Fundación Progresa se realizó la contratación de un total de 85 profesionales a través de la modalidad de prestación de servicios. Así como la contratación directa de la profesional de la SEM para coordinar este proceso.</t>
  </si>
  <si>
    <t>Contrato 3200 de 2018 y el contrato 4555 de 2018</t>
  </si>
  <si>
    <t>Durante el 2018 para el fortalecimiento de estos procesos y el fomento de accione de investigación en los diferentes tipos de discapacidad y/o talentos, se realizó un foro de experiencias significativas en donde fueron un total de 14 experiencias postuladas y 5 seleccionadas, con esto se da inicio al fortalecimiento de estos proceso</t>
  </si>
  <si>
    <t>Registro de asistencia y fotográfico</t>
  </si>
  <si>
    <t>$10.000.000</t>
  </si>
  <si>
    <t>Durante el año 2018 se implementaron 4 metodologías flexibles en 41 Establecimientos Educativos, las cuales hacen referencia a Aceleración del aprendizaje, Caminar en Secundaria, Escuela Nueva y Educación para jóvenes extra edad.</t>
  </si>
  <si>
    <t xml:space="preserve">Registro del SIMAT </t>
  </si>
  <si>
    <t>Se maneja más de una condición en la población de esta acción</t>
  </si>
  <si>
    <t>Registro del SIMAT de las 4 IE</t>
  </si>
  <si>
    <t xml:space="preserve">34%
</t>
  </si>
  <si>
    <t>Durante el año 2018 se realizaron acciones de aportes al PEI y el PMI de 21 Establecimientos Educativos, en donde se plantean acciones para la detección temprana de talentos en donde cuentan con alta población caracterizada como capacidad y/o talento excepcional</t>
  </si>
  <si>
    <t>Documentos de reflexiones del PEI y PMI de los Establecimientos Educativos</t>
  </si>
  <si>
    <t>$18.000.000</t>
  </si>
  <si>
    <t>El desarrollo de estos programas se realiza en un total de 69 Establecimientos Educativos en donde se cuentan con docentes orientadores, a través de los lineamientos entregados por la ley 1620 (ley de convivencia escolar)</t>
  </si>
  <si>
    <t>Informes de actividades de los docentes orientadores</t>
  </si>
  <si>
    <t>$ 181.862.749 ( SGP de Nomina de docentes)</t>
  </si>
  <si>
    <t xml:space="preserve">Se garantiza la prestación del servicio educativo a los niños que presentan discapacidades y que se encuentran en las Instituciones Educativas Oficiales </t>
  </si>
  <si>
    <t>Registro SIMAT</t>
  </si>
  <si>
    <t>Se garantiza la prestación del servicio educativo a los estudiantes que presentan discapacidades</t>
  </si>
  <si>
    <t>Matrícula académica de 1 estudiante para el primer semestre 2018 y matrícula para los dos semestres de 1 estudiante durante el año 2018. Otorgamiento de becas univeritarias (pago de matrículas) con apoyos socioeconómicos a través de alimentación y transporte</t>
  </si>
  <si>
    <t>Listado de beneficiarios del programa Becas Pa' Pepas - Concepto médico de enfermedad</t>
  </si>
  <si>
    <t>Resolución de matrícula académica y financiera, listado de beneficiarios, listado de recepción de apoyos socioeconómicos</t>
  </si>
  <si>
    <t>ESTA ACTIVIDAD NO ES COMPETENCIA DE LA SECRETARIA DE EDUCACIÓN, Se debe buscar a través del comité de discapacidad una articulación con el SENA, Comfamiliar y demás instituciones para el trabajo y desarrollo humano que puedan ejecutar dicha acción</t>
  </si>
  <si>
    <t>Durante el año 2018 se entregaron en 69 Establecimientos Educativos Oficiales las reflexiones sobre los PEI  y los PMI en materia de inclusión de estudiantes con discapacidad, capacidades y/o talentos excepcionales, lo que busca que a través de un sistema de seguimiento de la SEM se aplique esta metodología anualmente</t>
  </si>
  <si>
    <t>Documentos de reflexiones del PEI de los Establecimientos Educativos</t>
  </si>
  <si>
    <t>A través de las resoluciones 7765 y 7850 de 2017, los Establecimientos Educativos recibieron para el 2018  transferencia de los recursos . Dichos recursos permitieron la compra y adecuacion de material especializado relacionado con tiflotecnologías (para atención de población con baja visión - ciego), y canastas específicas para estudiantes con discapacidades cognitivas, sensoriales, físicas.</t>
  </si>
  <si>
    <t>Resoluciones de transferencia</t>
  </si>
  <si>
    <t>$988.906.814(saldo de 2017, ejecutado 2018)</t>
  </si>
  <si>
    <t>ESTA ACTIVIDAD NO ES COMPETENCIA DE LA SECRETARIA DE EDUCACIÓN, dado que según el decreto 1421 de 2017 la educación debe ser inclusiva no especializada</t>
  </si>
  <si>
    <t>La IE Jesus Maria Ormaza ya tiene el PEI articulado a los procesos de Universidad para Cuba, donde se brindan la posbilidades de ingreso de la poblacion con discapacidad.</t>
  </si>
  <si>
    <t>Otorgamiento de becas univeritarias (pago de matrículas) con apoyos socioeconómicos a través de alimentación y transporte a traves del programa Beca pa Pepas.</t>
  </si>
  <si>
    <t xml:space="preserve">_x000D_
En las vigencias 2016 y 2017 se realizo las transferencias del SGP para discapacidad a las IE para el suministro de dotaciones para poblacion con discapacidad. Radicados en la resolucion 7765 del 14 de dic de 2017 y bajo la resolucion 7850 del 18 de diciembre de 2017._x000D_
_x000D_
En la vigencia 2018 se realizo seguimiento a la inversion de dichas transferencia en las IE asignadas, bajo una matriz de seguimiento._x000D_
_x000D_
En el plan de equipamiento se estructuro la propuesta técnica. Se encuentra en análisis jurídico y financiero._x000D_
_x000D_
</t>
  </si>
  <si>
    <t>Se implementara en la vigencia 2019.</t>
  </si>
  <si>
    <t>No se han creado grupos de investigacion Tics para alternativas tecnológicas accesibles.</t>
  </si>
  <si>
    <t xml:space="preserve">Se debe tener que el municipio de Pereira NO cuenta con hogares infantiles  Indígenas; razón por la cual, los hogares CDI reciben a todo tipo de población. El objetivo de todos los hogares es brindar una atención integral de calidad. 
Cabe resaltar que el énfasis de la lengua de origen no se realiza, se focaliza en los CDI el español y el inglés.
</t>
  </si>
  <si>
    <t>Se ha realizado reuniones entre la secretaria de Educación, e infraestructura, esta situación es difícil de cumplirse ya que la población indígena se encuentra en todo el municipio de Pereira, sin embargo los EE realizan la cobertura de la población como oferta institucional para que los mismos accedan.</t>
  </si>
  <si>
    <t>x</t>
  </si>
  <si>
    <t>No se entrego material didactico.</t>
  </si>
  <si>
    <t xml:space="preserve">DOCENTES DE LOS EE DEL GABRIEL TRUJILLO- LA CARBONERA-LAS BRISAS- TKIO-CIUDADELA CUBA- CARLOS EDUARDO VASCO- CARLOS CASTRO SAAVERA- SAN NICOLAS- DEOGRACIAS CARDONA- CAPACITACION EN LA METODOLOGIA DE ENFOQUE DIFERENCIA PARA REALIZAR EL PLAN DE ESTUDIOS DE  INDIGENAS </t>
  </si>
  <si>
    <t>Se realiza un  trabajo por parte de la SEM para el apoyo de proyectos de las comunidades indígenas, sin embargo durante la vigencia no se  generaron  incentivos.</t>
  </si>
  <si>
    <t>ALIMENTACION ESCOLAR-ALMUERZO:  Achagua 5, Betoye 1, Chami 13, Cocama 1,  Embera 36, Embera Catio o Embera Katío 3,  Embera Chami 247,  Inga 3,  Kogui 1,  Nasa (Paéz) 2,  Ocaina 1 , Otras etnias 2, Pastos 1 , Pijaos 2,  Quiyasingas 1, Tikuna 1,  Wayuu 1,  Zenú 1.  TOTAL:  322.
TRANSPORTE ESCOLAR-CONTRATACIÓN RUTAS ESCOLARES TERRESTRE:  Chami 4, Embera 1, Embera Catio o Embera Katío 2,  Embera Chami 26,  Nasa (Paéz) 1.  TOTAL:  34.
TRANSPORTE ESCOLAR-VALES PARA PAGO DE TRANSPORTE PÚBLICO: Chami 1,  Embera 10, Embera Chami 47,  Inga 1.  TOTAL:  59.</t>
  </si>
  <si>
    <t>Se otorgaron 3 becas entregadas a la población indigena dentro del proyecto emblematico Universidad para Cuba
14 estudiantes de Beca para Pepas. 
Otorgamiento de becas univeritarias (pago de matrículas) con apoyos socioeconómicos a través de alimentación y transporte.</t>
  </si>
  <si>
    <t>Los 3 becados estudian Técnico P. program Software. 
Resolución de matrícula académica y financiera, listado de beneficiarios, listado de recepción de apoyos socioeconómicos</t>
  </si>
  <si>
    <t xml:space="preserve">Desde el Centro de Empleo se hacen  procesos de sencibilación con los empresarios que se visitan por parte de la gestión empresarial, actualmente no existen beneficios de orden Municpal. Sin embargo se les informa sobre lo beneficios de la ley 1816. </t>
  </si>
  <si>
    <t>N/A</t>
  </si>
  <si>
    <t>A tráves de los CEDEs (Centros de Emprendimiento y Desarrollo Empresarial) se beneficiaron 73 personas en condición de discapacidad, con diferentes programas, elaboracion de artesanias, tecnologias de la información, emprendimiento entre otras.</t>
  </si>
  <si>
    <t>Certificaciones de Formación, Listadados de asistencia.</t>
  </si>
  <si>
    <t>SI</t>
  </si>
  <si>
    <t>Formatos de Visita Empresas</t>
  </si>
  <si>
    <t>El desarrollo de la Visita Empresarial que realiza el Centro de Empleo va  emarcado en todo el contexto de  sencibilizacion del empresario.</t>
  </si>
  <si>
    <t>El Centro de Empleo del Municipio de Pereira cuenta con los accesos a personas con movilidad reducida, y articulados con la Secretaria de Desarrollo Social se generan espacios con traductores, procurando el acceso a este programa con una atención diferencial y una oferta ajustada a esta población</t>
  </si>
  <si>
    <t>Registro de Atencion Sistema de Politicas Publicas</t>
  </si>
  <si>
    <t>1- Resultado de la prueba
2- Resgistro del Sistema de Informacion de Politicas de Publicas</t>
  </si>
  <si>
    <t>El Centro de Empleo tiene como insumo para perfilación de sus buscadores y como valor agregado la Prueba Performance que permite cualificar el buscador de empleo en sus competencias laborales. Estas pruebas son aplicadas y analizadas por los Psicologos del programa</t>
  </si>
  <si>
    <t>No se impacto la acción recomendada</t>
  </si>
  <si>
    <t>Se solicita re evaluar esta accion recomendada ya que la Secretaria de Desarrollo Economico no tiene la idoneidad para cumplirla, y se sugiere involugrar al Ministerio de Trabajo, como ente territorial que vela por el bienestar de la poblacion laboralmente activa</t>
  </si>
  <si>
    <t xml:space="preserve">
1- Participaciòn en Semilleros de Emprendimiento e innovaciòn</t>
  </si>
  <si>
    <t xml:space="preserve"> Reporte en el Sistemas de Politicas Publicas, 
-listados de asistencia a las Actividades</t>
  </si>
  <si>
    <t>Estos semilleros son abiertos  a todo tipo de poblaciòn,  y el presupuesto estimado que se aporta proviene de la contrataciòn de las personas que estan involucradas en los diferentes programas de la secretaria.</t>
  </si>
  <si>
    <t>1- Se realizo  Acompañamiento a iniciativas empresariales personalizadas</t>
  </si>
  <si>
    <t xml:space="preserve">Esta actividad se reporta en la Acciòn de  Estudio para la Identificación de productos y servicios potencialmente comerciables </t>
  </si>
  <si>
    <t>Participaciones en procesos de :
Intermedicacion laboral, Orientacion laboral, Maratones y  Minimaratones en el Programa Centro de Empleo</t>
  </si>
  <si>
    <t xml:space="preserve">
1- Resgistro del Sistema de Informacion de Politicas de Publicas</t>
  </si>
  <si>
    <t>El Centro de Empleo en su area de Orientacion laboral realizo (17) pruebas performance a personas Afrocolombianas.</t>
  </si>
  <si>
    <t>No se impacto eta accion recomendada</t>
  </si>
  <si>
    <t>1- Se realizaron capacitaciones en emprendimiento productrivo
2- Se reallizaron capacitaciones en formaciòn para el trabajo con enfasis en emprendimiento
3- Se formaron semilleros en emprendimiento e innovaciòn</t>
  </si>
  <si>
    <t>Reporte en el Sistemas de Politicas Publicas, 
Listados de Asistencia</t>
  </si>
  <si>
    <t xml:space="preserve">Se realizó sensibilización a los encuestadores de campo y administrativos sobre discapacidad para que dicha población sea tenida en cuenta de acuerdo al tipo discapacidad de cada persona, de igual forma se brinda la ruta de atención del proyecto.
En total se capacitaron 18 encuestadores / de 18 encuestadores contratados * 100 = 100%.
</t>
  </si>
  <si>
    <t>salida de campo y registro fotografico</t>
  </si>
  <si>
    <t xml:space="preserve">N.A. </t>
  </si>
  <si>
    <t>SISBEN</t>
  </si>
  <si>
    <t xml:space="preserve">El plan de igualdad de oportunidades se actualiza e implementa anualmente. En el Plan de acción para la vigencia 2018 considera las siguientes actividades:
• Acompañar a las mujeres, colectivos, asociaciones, fundaciones ONG dedicadas a defender y promover los derechos vulnerados de la mujer con discapacidad del municipio de Pereira 
• Orientar y brindar acompañamiento mujeres con discapacidad y cuidadoras que lo requieran en condición de discapacidad del Municipio 
• Difundir campañas para exaltar el rol de la mujer en la sociedad Pereira de las mujeres con discapacidad 
• Realizar Charlas y/o talleres sobre la importancia de la igualdad de oportunidades para las mujeres con discapacidad
En total se atendieron 55 personas. 
</t>
  </si>
  <si>
    <t>SPP, registro fotografico</t>
  </si>
  <si>
    <t xml:space="preserve">La Secretaría de Desarrollo Social y Político realiza la Secretaría técnica del Comité Municipal de Discapacidad, en la vigencia 2018 se realizaron 6 reuniones ordinarias del Comité, a través de las cuales se realizó el acompañamiento técnico y jurídico requerido por sus integrantes.
</t>
  </si>
  <si>
    <t xml:space="preserve">Actas de reunión y Decretos de delegaciones.
6. 
</t>
  </si>
  <si>
    <t>No se registran personas atendidas ya que se hace referencia a reuniones en las que se realiza el acompañamiento técnico y jurídico</t>
  </si>
  <si>
    <t xml:space="preserve">El comité Municipal de Discapacidad se ha dado a conocer a través de las siguientes acciones :
• Seguimiento y evaluación periódica de la Política Pública.
• Trámite de permisos de pico y placa para personas con discapacidad.
• Exención de copagos en medicina general a las personas con discapacidad que solicitan del servicio en cumplimiento de la normatividad vigente.
• Seguimiento a obras realizadas por el municipio para verificar la accesibilidad para las personas con discapacidad.
Se han realizado acciones de articulación para el posicionamiento del comité con a 10 dependencias de 17 (16 secretarías y el Instituto Municipal de Tránsito y transportes).
10/17*100%= 58,82%
</t>
  </si>
  <si>
    <t>Actas del Comité Municipal de Discapacidad.</t>
  </si>
  <si>
    <t xml:space="preserve">La Estrategia de Formación de Formadores considera las siguientes acciones:
• Grabación en emisora Remigio Antonio Cañarte programa "Yo cuento"
• Talleres de  formación en liderazgo dirigido a organizaciones para y/o personas con discapacidad
En total se grabaron y transmitieron  6 programas y se  atendieron de forma directa en los talleres de formación 706 personas (412 hombres y 294 mujeres) 
</t>
  </si>
  <si>
    <t>evidencias programas grabados, salidas de campo y registros SPP y fotográficos.</t>
  </si>
  <si>
    <t xml:space="preserve">Con el fin de disminuir barreras que dificultan el acceso a la participación de las personas con discapacidad, desde la SDSYP se realizaron las siguientes acciones en la vigencia 2018:
• Asesorar y acompañar  en su constitución legal grupos en condición de discapacidad interesados en asociarse.                                
• Sensibilización sobre participación a organizaciones de y para personas con discapacidad.
• Promover  la inclusión de  personas en condición de discapacidad en diferentes espacios de participación (Comités de Política Pública  y JAC              acompañamiento en la presentación de proyectos participativos ante el FIC en beneficio de la población con discapacidad.
</t>
  </si>
  <si>
    <t>Programas grabados, salidas de campo y registros SPP y fotográficos.</t>
  </si>
  <si>
    <t xml:space="preserve">Durante la vigencia 2018, la estrategía de superación de mitos y creencias erróneas sobre la discapacidad considero las siguientes acciones:
• Grabación en emisora Remigio Antonio Cañarte programa "Yo cuento”.
• Charlas de sensibilización a nivel comunitario y en organizaciones de población con discapacidad relacionadas con la discapacidad.
En total se grabaron y transmitieron 6 programas y se  atendieron de forma directa en los talleres de formación 242 personas (77 hombres y 165 mujeres) 
</t>
  </si>
  <si>
    <t>Se aportan como evidencias programas grabados Salidas de campo y registros SPP.</t>
  </si>
  <si>
    <t xml:space="preserve">Se realizaron 10 capacitaciones en el instituto de movilidad con los infractores de transito sensibilizando sobre discapacidad y el manejo el de esta.
En total se beneficiaron 141 personas.
</t>
  </si>
  <si>
    <t>Registro SPP y registro fotografico</t>
  </si>
  <si>
    <t xml:space="preserve">En la vigencia 2018 esta actividad se considero como masiva porque no esta dirigica  directamente a personas con discapacidad, por lo tanto no la discriminaron por sexo, ni grupos de edades </t>
  </si>
  <si>
    <t xml:space="preserve">No se realizan acciones que aporten al cumplimiento de este indicador, porque se considera es de competencia de la Secretaría de Gobierno Municipal 
</t>
  </si>
  <si>
    <t xml:space="preserve">Durante la vigencia 2018 en el marco de la campaña de Difusión a empleadores sobre los beneficios en la inclusión laboral de personas con discapacidad y de promoción de la RSE en materia de discapacidad, se realizaron  29  visitas de sensibilización a las siguientes empresas:
TCC S.A.S, Envía, Makro, Cerámica Italia, Bhip Global, Mini- Mercado, Aras, Calzado Bucaramanga, Vidriera Otún, Normarh S.A.S, Dollar City, Gran Hotel, Busccar, Suzuki, Ferretería, Tpl Montaje, Club de billares Quirama, Peláez Hermanos, Suite real, Hotel Luxor, Audifarma, Casa Ortopédica, Comfamiliar, seguridad nacional, Centro de Empleo), Comité de cafeteros, Cooperativa de Cafeteros, Hotel Soratama, Fundación SINAPSIS.
</t>
  </si>
  <si>
    <t xml:space="preserve">registro fotografico y actas de reunion </t>
  </si>
  <si>
    <t xml:space="preserve">No se registran atenciones ya que en este item se consideran es visitas empresariales </t>
  </si>
  <si>
    <t xml:space="preserve">El Centro de Empleo en su area de Orientacion laboral realizo (13) pruebas performance a personas en condicion de discapacidad.
La Secretaría de Desarrollo Social y Político contribuye al cumplimiento de esta meta mediante la elaboración de perfiles ocupacionales de las personas con discapacidad que requieren del servicio  y están  en busca de una oportunidad laboral, después de realizado el perfil este es enviado a las agencias de empleo del SENA y de Comfamiliar.
Durante la vigencia 2018, la psicóloga del proyecto de discapacidad realizó 44 perfiles ocupacionales (26 hombres y 18 mujeres.
</t>
  </si>
  <si>
    <t>1- Resultado de la prueba
2- Resgistro del Sistema de Informacion de Politicas de Publicas
Perfiles ocupacionales escaneados</t>
  </si>
  <si>
    <t>1- Acompañamiento a iniciativas empresariales
2- Formación en emprendimiento
3- Participacion den Semilleros de emprendimiento e innovación
APORTE DE SARROLLO SOCIAL
cumplimiento de la meta durante la vigencia 2018 con el apoyo y acompañamiento a 15  procesos de emprendimiento así:
• Confección, reparación de sillas de ruedas.
• fábrica de rodachines.
• Elaboración de alfabeto braille y pulsones de braile
• Asesoría en eventos sociales
• criaderos de gallinas y peces
• Proyecto  de guianza para las usuarios de UKUMARI
• Puesto de comida chatarra
• Tienda o miscelánea
• Confección de traje para montar a caballo
• Empresa de eventos sociales
• Revueltería 
• Creación de juegos de futbolín en madera                                                                                                     * Panaderia                                                                                                                                                                           *masajes corporales                                                                                                                                                       * cuidadoras que realizan manualidades</t>
  </si>
  <si>
    <t>Registro de Atencion Sistema de Politicas Publicas
Actas de reunión, registros SPP, proyectos y formatos de asesorías en emprendimiento diligenciados</t>
  </si>
  <si>
    <t xml:space="preserve">A través del proyecto “Implementación de estrategias para la promoción de la equidad de género para las mujeres en el municipio de Pereira” se realizan las siguientes campañas de prevención de violencia contra la mujer:
Sensibilización en ley 1257.
Socialización de la ruta de atención.
Taller de Prevención de violencias
Durante la vigencia 2018 se realizaron 1.762  atenciones
Así mismo se realiza acompañamiento psicológico individual y grupal a mujeres, en total se registraron por parte del proyecto equidad de género para la mujer 354 atenciones psicológicas a las mujeres víctimas de violencia intrafamiliar y a sus familias  
</t>
  </si>
  <si>
    <t xml:space="preserve">Se aportan como evidencias base de datos filtrada. </t>
  </si>
  <si>
    <t xml:space="preserve">En el primer piso de la alcaldía municipal, se encuentra la oficina de asunto étnicos, la cual se encuentra debidamente dotada y operando; en este espacio los profesionales del área de psico social, jurídica y de emprendimiento realizan acciones tendientes al fortalecimiento de las organizaciones como son asesoría y acompañamiento en temas de emprendimiento y asociatividad, asesoría jurídica para legalización de organizaciones y acompañamiento psico social.
En total se brindaron 150 atenciones (52 hombres y 98 mujeres)
</t>
  </si>
  <si>
    <t>Base de datos filtrada relacionada con  fortalecimiento a las organizaciones, registros SPP y fotográficos</t>
  </si>
  <si>
    <t xml:space="preserve">La oficina de asunto étnicos, se encuentra debidamente dotada y operando, durante la vigencia 2018 conto con un total de 7 personas para la atención y/o direccionamiento de la población afrodescendiente así:
• Un articulador del proyecto afrodescendientes: Abogado titulado y con responsabilidad en tema de derechos humanos
• Un profesional responsable del apoyo y acompañamiento en temas de Política Pública y de emprendimiento. 
• Un profesional responsable de acompañamiento a formas asociativas liderazgo.
• Una psicóloga responsable del programa de atención socio familiar y  de elaboración de perfiles vocacionales.
• Una abogada responsable de asesorías jurídicas y legales en conformación de formas asociativas.
• Un técnico de apoyo y acompañamiento a las actividades con la comunidad y que sensibiliza en temas de derechos humanos.
• Un técnico encargado de la sistematización del proyecto. 
Durante la vigencia 2018 en total se realizaron 276 atenciones (83 hombres y  193 mujeres) 
</t>
  </si>
  <si>
    <t>Base total de atenciones del proyecto.</t>
  </si>
  <si>
    <t xml:space="preserve">Durante la vigencia 2018 en el marco del programa  de elaboración y gestión de proyectos se realizaron las siguientes acciones:
• Actividades de fortalecimiento y/o seguimiento realizados a proyectos relacionados con procesos de emprendimiento identificados
• Visitas a entidades con el fin de identificar oferta de servicios o realizar articulación de acciones para vincular los proyectos de emprendimiento
• Socializar la oferta de servicios y acciones convenidas a la población afrodescendiente
• Identificar perfiles ocupacionales y vocacionales de la población afrodescendiente que lo requiera 
En el  2018 en total se realizaron 213 atenciones (61 hombres y  152 mujeres) relacionadas con elaboración y gestión de proyectos. 
</t>
  </si>
  <si>
    <t xml:space="preserve">Programa de elaboración y gestión de proyectos  formulado para la vigencia 2018, registro fotográfico, registros SPP  y actas </t>
  </si>
  <si>
    <t xml:space="preserve">Para dar cumplimiento al indicador, se realizaron las siguientes acciones:
• Se actualizó e implementó propuesta para promover procesos de organización y participación en las comunidades afrodescendientes  
• Se realizaron capacitaciones sobre liderazgo a la población.
• Se promovió la participación de  la población afro en las JAC y otros organismos de participación
En esta acción hubo 588 atenciones (196 hombres y 392 mujeres).
</t>
  </si>
  <si>
    <t>Propuesta para promover procesos de organización y participación en las comunidades afrodescendientes en medio digital., registros SPP y fotográficos.</t>
  </si>
  <si>
    <t xml:space="preserve">Para el cumplimiento de esta acción de PP se realizaron las siguientes actividades
• Se actualizó la estrategia para  promocionar los derechos de la población afrodescendiente. 
• Talleres y charlas de promoción de los derechos de la población afrodescendiente.
• Talleres en prevención de la discriminación racial.
• Orientación jurídica a la población afrodescendiente para el restablecimiento de sus derechos.
En total se beneficiaron 190 personas (110 hombres y 80 mujeres). 
</t>
  </si>
  <si>
    <t>Estrategia para  promocionar los derechos de la población afrodescendiente, base de datos filtrada, registros SPP y fotográficos.</t>
  </si>
  <si>
    <t xml:space="preserve">Se realizaron talleres sobre conciliación y resolución pacífica de conflictos dirigidos a la población afrodescendiente que reside en el municipio de Pereira, de los cuales se beneficiaron 179 personas (82 hombres y 97 mujeres). </t>
  </si>
  <si>
    <t xml:space="preserve"> Base de datos filtrada, registros SPP y fotográficos.</t>
  </si>
  <si>
    <t xml:space="preserve">Desde la Secretaría de Desarrollo Social y Político se promovieron formas asociativas, asesoraron y acompañaron  en su   constitución legal  a población afrodescendiente interesada en asociarse. 
Durante la vigencia 2018 se crearon y/o fortalecieron 12 asociaciones.
En total se beneficiaron 33 personas (14 hombres y 19 mujeres). 
Se aportan como evidencias base de datos filtrada, registros SPP y fotográficos
</t>
  </si>
  <si>
    <t xml:space="preserve">La secretaría de Desarrollo Social y Político posee la Secretaría técnica del comité y por tanto realiza las convocatorias al mismo. Durante la vigencia 2018 se realizaron 6  CPPI, en los cuales se planificaron acciones bimensualmente para dar cumplimiento a la PP y para hacer seguimiento a la misma.
En los CPP se realizaron sensibilizaciones a sus integrantes sobre la importancia de este espacio de participación dentro de la Política Pública.
Se aportan como evidencias  Convocatorias, actas de reunión, registro fotográfico y decretos de delegaciones
</t>
  </si>
  <si>
    <t xml:space="preserve">Convocatorias, actas de reunión, registro fotográfico y decretos de delegaciones. 
</t>
  </si>
  <si>
    <t xml:space="preserve">No se registran personas, ya que los integrantes del CPP son constantes </t>
  </si>
  <si>
    <t>cabildo kurmado/ poblacion indigena asentada en la ciudad de Pereira</t>
  </si>
  <si>
    <t>organización indigena</t>
  </si>
  <si>
    <t>sectres de Caimalito barrio nuevo, la carbonera, las colonias, salamanca, el rosal, la siria, yaraumito las brisas, campoalegre</t>
  </si>
  <si>
    <t>san Joaquin, cerritos, tribunas, vill antana, cuba,morelia</t>
  </si>
  <si>
    <t xml:space="preserve">Durante la vigencia 2018, en el marco de las capacitaciones relacionadas con  elaboración y gestión de proyectos, se capacitaron 68 líderes de las autoridades mayores indígenas en las diferentes etapas de la formulación  de proyectos.
Se aportan como evidencias en medio digital el Proyecto para el fortalecimiento de la cultura indígena y base de datos filtrada con  capacitaciones a líderes indígenas, en elaboración de proyectos 
En total se beneficiaron 68 indígenas  (68 hombres y  0 mujeres).
</t>
  </si>
  <si>
    <t xml:space="preserve">Se aportan como evidencias en medio digital el Proyecto para el fortalecimiento de la cultura indígena y base de datos filtrada con  capacitaciones a líderes indígenas, en elaboración de proyectos 
</t>
  </si>
  <si>
    <t xml:space="preserve">A lo largo de la vigencia 2018 se realizaron 22 capacitaciones en gestión, control y evaluación de planes programas y proyectos  y en mecanismos de participación. Se capacitaron  las comunidades indígenas asentadas en Caimalito, San Joaquin, Combia Baja, Consota, Tribunas Corcega, Villasantana, Con un total de 545 personas beneficiarias
En total se beneficiaron 545 personas  (147 hombres y  398 mujeres).
</t>
  </si>
  <si>
    <t xml:space="preserve">registro fotografico regfitro spp base de datos filtrada </t>
  </si>
  <si>
    <t xml:space="preserve">Se realizaron actividades pedagógicas relacionadas con los derechos humanos de los niños, niñas y adolescentes;  de las cuales se beneficiaron 344 personas.
Así mismo se capacitaron en derechos humanos 546 personas 
En total se beneficiaron 890  indígenas ( 320 hombres y 570 mujeres)
</t>
  </si>
  <si>
    <t xml:space="preserve">Registros SPP, fotográficos y base de datos filtrada </t>
  </si>
  <si>
    <t xml:space="preserve">Para dar cumplimiento a esta acción de política, durante la vigencia 2018 Se realizaron 20 capacitaciones en prevención de la violencia intrafamiliar con 629  indígenas beneficiarios 
En los casos de vulneración de derechos identificados se aplicó la ruta de atencion interinstitucional según situación identificada.
</t>
  </si>
  <si>
    <t xml:space="preserve">Actas de reunión,  registros SPP, fotográficos y base de datos filtrada </t>
  </si>
  <si>
    <t xml:space="preserve">Para la adecuación de la casa indígena se realizaron gestiones ante la Secretaría de infraestructura quien realizó las adecuaciones mínimas requeridas para su funcionamiento: en instalaciones hidráulicas, sanitarias y eléctricas. 
Con el fin de continuar las adecuaciones y dotación de la casa indígena en el Consejo de Política Pública Indígena realizado el 27 de diciembre de 2018.
se establecieron los siguientes compromisos
• La Secretaría de infraestructura elaborará el presupuesto de intervención.
• Se buscara que las Secretarias involucradas en la política pública, designen en la vigencia 2019 un compromiso presupuestal para las adecuaciones y dotación. 
</t>
  </si>
  <si>
    <t>Se aportan como evidencias actas de reunión y registros fotográficos.</t>
  </si>
  <si>
    <t>Se establecieron compromisos con secretaria de infraestructura para formar bolsa y realizar la adecuacio definitiva.</t>
  </si>
  <si>
    <t xml:space="preserve">A lo largo de la vigencia 2018 se realizaron 22 capacitaciones en liderazgo empoderamiento   y en mecanismos de participación. Se capacitaron  las comunidades indígenas asentadas en Caimalito, San Joaquin, Combia Baja, Consota, Tribunas Corcega, Villasantana, Con un total de 545 personas beneficiarias.
En total se beneficiaron 545 personas  (147 hombres y  398 mujeres).
</t>
  </si>
  <si>
    <t xml:space="preserve">Base de datos filtrada , registros SPP y fotográfico </t>
  </si>
  <si>
    <t xml:space="preserve">Se Promovió la resolución pacífica de conflictos en las comunidades indígenas asentadas en el municipio de Pereira, a través de talleres de capacitación 
Así mismo se realizaron capacitaciones en la casa indígena y  casas de justicia sobre jurisdicción especial indígena y resolución de conflictos en la cultura indígena.
De estas actividades  se beneficiaron 465 personas  (145 hombres y  320 mujeres).
</t>
  </si>
  <si>
    <t>Registros SPP, de campo y fotográficos.</t>
  </si>
  <si>
    <t xml:space="preserve">Durante la vigencia 2018 se realizaron 3 asambleas del cabildo donde se capacitó sobre JEI y derecho mayor. Se llevaron a cabo en la casa indígena. 
En total se beneficiaron 546 indígenas  (147 hombres y 399 mujeres).
</t>
  </si>
  <si>
    <t>Registros SPP y  fotográficos de actividades realizadas en 3 los  encuentros realizados  en la casa indígena.</t>
  </si>
  <si>
    <t xml:space="preserve">Durante la vigencia 2018 se realizaron 3 asambleas del cabildo donde se compartieron  saberes y  cultura con las diferentes etnias
En total se beneficiaron 546 indígenas  (147 hombres y 399 mujeres).
</t>
  </si>
  <si>
    <t xml:space="preserve">No se ha realizado ninguna acción al respecto porque se considera no es una meta de competencia de la SDSYP, las obras son de competencia de la Secretaría de infraestructura. 
Desde la Secretaría de desarrollo Social y Político, se ha priorizado la recuperación de la casa indígena, donde se hacen los rituales tradicionales, entre ellos los relacionados con sanación y reflexión 
</t>
  </si>
  <si>
    <t>Se considera es de competencia de Secretaría de Infraestructura</t>
  </si>
  <si>
    <t>Desde la vigencia 2017 se realizó el estudio,  ya en fase de aprobación de compra de tierras</t>
  </si>
  <si>
    <t>Se aportan como evidencias Estudio en medio digital  realizado en la vigencia 2017</t>
  </si>
  <si>
    <t xml:space="preserve">La adquisición de tierras se encuentra en la fase final de la compra así: 
• se realizó la postulación y verificación de documentación, 
• visitas al predio por parte de la comunidad, 
visita técnica, topográfica y social por parte de la agencia nacional de tierras y con la participación de los profesionales requeridos en las áreas mencionadas
</t>
  </si>
  <si>
    <t>Oficios enviados y recibidos de la agencia nacional de tierras, actas de visitas y registros fotográficos</t>
  </si>
  <si>
    <t xml:space="preserve">Para mover los indicadores de situación de calle y trabajo infantil, desde la Secretaría de Desarrollo Social y Político se realizaron las siguientes acciones: 
• Se realizaron 73 Recorridos de calle para identificar niños, niñas y adolescentes en situación de calle y trabajo infantil.
A través de los cuales se realizaron 249 sensibilizaciones (a123 hombres y 126 mujeres)
• Visitas domiciliarias para caracterización socio familiar de NNA identificados en situación de calle y con trabajo infantil.
• Se participó  en actividades de trabajo extramural en acompañamiento  al proyecto habitante de calle y en riesgo de calle.
• Se realizaron 123 talleres de capacitación en prevención del riesgo de calle en NNYA, de los cuales se beneficiaron 3.553 personas (1774 hombres y  1779 mujeres) 
Se realizaron 3.802 atenciones acumuladas, relacionadas con la prevención de explotación laboral y trabajo infantil.
Por parte de la Secretaría de desarrollo Social y Político, durante la vigencia 2018, se implementaron las siguientes actividades de  prevención, que contribuyeron al cumplimiento de los indicadores de maltrato, abuso sexual y consumo de sustancias psicoactivas
• 98 asesorías psicológicas para seguimiento  y activación de las rutas de atención en los casos requeridos y para asesorar en prevención y atención del consumo SPA.
• 66 asesorías pedagógicas, seguimiento  y activación de las rutas de atención en los casos requeridos
• 26 asesorías Familiares.
• 26 visitas domiciliarias de orientación  socio familiar en los casos identificados de vulneración de derechos de los NNA
• 154 Talleres de prevención de maltrato y 125 en prevención de consumo de SPA.
• Participación en el comité municipal de prevención de SPA
Se realizaron 8.944 atenciones acumuladas relacionadas con prevención del abuso sexual
En total se realizaron 12.746 atenciones relacionadas con la prevención de la explotación laboral y el abusos sexual  
</t>
  </si>
  <si>
    <t>base de datos SDSYP,  registro fotográfico - salidas de  campo</t>
  </si>
  <si>
    <t xml:space="preserve">Desde la secretaría de Desarrollo Social y Político, se implementa el proyecto – “Asistencia social para el habitante de calle y en riesgo de calle del municipio de Pereira”,  dentro del cual se consideran las siguientes acciones para atender este grupo poblacional:
• Se atendieron, asesorar y direccionar 258 habitantes de la calle y en riesgo de calle, que lo requirieron.
• Estrategia de trabajo extramural con la realización de 318 operativos y/o recorridos de calle requeridos  para controlar la mendicidad estacionaria y el pernoctar en las calles de la ciudad, en cumplimiento del decreto 716 de 2012
• 358 personas atendidas con asistencia básica a través de albergue temporal que solicitaron el servicio.
• 83 gestiones para  la atención posthospitalaria y postquirúrgica a habitantes de calle y en riesgo de calle que lo requirieron.
• Proceso de intervención comunitaria de mitigación del daño por consumo de sustancias psicoactivas del cual se beneficiaron 300 personas.
• 72% de avance en  la formulación de la política pública de habitante de calle
• Apoyo y acompañamiento para  el adecuado desarrollo  del proyecto  y  la implementación del sistema de información
En total por parte del proyecto se atendieron 696 personas (570 hombres y 126 mujeres).
</t>
  </si>
  <si>
    <t xml:space="preserve">Carpeta de evidencias Seguimiento plan de acción del proyecto vigencia 2018 </t>
  </si>
  <si>
    <t xml:space="preserve">A esta acción de PP, desde la SDSYP se le da cumplimiento a través del proyecto denominado “Fortalecimiento de los procesos de atención a la población con experiencia migratoria del municipio de Pereira”, el cual abarca las siguienes actividades.
• Atender, orientar, asesorar   y/o direccionar al 100% de  personas que soliciten los servicios del proyecto.
• Brindar atención psicosocial  al 100% de población con experiencia migratoria que requiera del servicio.
• Talleres de sensibilización relacionados con proyecto de vida, autoestima, emprendimiento,  prevención de la migración irregular y delitos conexos.
• Brindar asesoría y/o direccionamiento en temas de emprendimiento al 100% de la población con experiencia migratoria que requiere el servicio.
• Realizar el proceso de acompañamiento y apoyo permanente al comité municipal de migraciones.
• Realizar seguimiento y articulación  a  las acciones programadas en el  documento de  política pública integral migratoria.
• Realizar seguimiento y articulación  a  las acciones programadas en el  documento de  política pública integral migratoria
Durante la vigencia 2018 realizaron 5.254 atenciones en total (2.499 hombres y 2.755 mujeres).
</t>
  </si>
  <si>
    <t>Carpeta de evidencias con caracterizaciones, formatos registros de visitas domiciliarias Psicosociales y de emprendimientos, registros de talleres, formatos SSP, Base de datos consolidada, remisiones, actas de reuniones, registros fotográficos.</t>
  </si>
  <si>
    <t xml:space="preserve">En el marco del Plan Municipal de prevención del reclutamiento de adolescentes y jóvenes, desde la Secretaría de Desarrollo t Político se desarrollaron las siguientes acciones:
• Se actualizó  la  estrategia de prevención del delito en adolescentes y  jóvenes del municipio de Pereira, con un plan de acción definido.
• Se desarrolló e hizo seguimiento a  las actividades formuladas en el Plan de acción de la estrategia de prevención del delito en adolescentes y  jóvenes del municipio de Pereira (individual). 
• Se Implementaron talleres de capacitación en conciliación y resolución pacífica de conflictos.
En total se atendieron 856 jóvenes (489 hombres y 36mujeres).
</t>
  </si>
  <si>
    <t xml:space="preserve">estrategia actualizada a 2018,  base de datos filtrada. registros SPP  escaneados y fotográficos </t>
  </si>
  <si>
    <t>No se mide el indicador porque este es de competencia directa de la Secretaría de Gobierno Municipal</t>
  </si>
  <si>
    <t>Base de datos filtrada. registros SPP  escaneados y fotográficos.</t>
  </si>
  <si>
    <t xml:space="preserve">Desde la SDSYP, se aporta al cumplimiento de la meta a través de la estrategía habilidades para la vida a través de la cual se realizan sensibilizaciones para prevenir el uso y abuso de sustancias psicoactivas. 
Se realizaron 92 actividades, de las que se beneficiaron 4350 jóvenes (1.992 hombres y 2.358 mujeres).
Se aportan como evidencias registros SPP 
</t>
  </si>
  <si>
    <t xml:space="preserve">Rgistros SPP </t>
  </si>
  <si>
    <t>No se mide el indicador porque este es de competencia directa de la Secretaría de Salud Municipal</t>
  </si>
  <si>
    <t>Desde el proyecto de “Asistencia alimentaria y nutricional dirigida a la población en condición de vulnerabilidad social del municipio de  Pereira”, se atendieron 307  jóvenes (49 hombres y 258 mujeres)</t>
  </si>
  <si>
    <t>Formatos de entrega complementos nutricionales procesados y no procesados, documentación de beneficiarios y registro fotográfico</t>
  </si>
  <si>
    <t xml:space="preserve">Durante la vigencia 2018, se realizaron las siguientes acciones para dar cumplimiento al indicador: 
• Se brindó apoyo y acompañamiento para el desarrollo de 8 iniciativas  el juveniles, las cuales se describen a continuación:
 Escuela Friky
 Chicos Kpoop
 Seminario de redacción periodística de UNIMINUTO.
 Tarde anti bulliing de la UTP
 Huellas de amor
 Tecno clases  colegio Mejía Robledo.
 Club de literatura en el Banco de la República
 Dibujo de ANIME en el barrio Cuba.
• 49 Asesoría y acompañamiento en el proceso de creación y legalización de organizaciones de los siguientes grupos de jóvenes interesados en asociarse.
En total se atendieron 2.826  jóvenes (1.419 hombres y 1.407 mujeres)
</t>
  </si>
  <si>
    <t>Se aportan como evidencias actas  Registros SPP y fotográficos.</t>
  </si>
  <si>
    <t xml:space="preserve">Para cumplir con esta acción de política durante la vigencia 2018, la SDSYP centro esfuerzos en brindar atención psico social  a jóvenes cabeza de hogar que requirieron del servicio.
En total se atendieron 1.392 jóvenes con sus familias,  (581 hombres y 811 mujeres).
</t>
  </si>
  <si>
    <t>Se aporta como evidencias Registros SPP</t>
  </si>
  <si>
    <t xml:space="preserve">Es importante aclarar que desde la PP de  juventud se apunta a la estrategia, considerando acciones que apuntan a prevenir las peores formas de trabajo, a su vez desde la PP de infancia se realizan acciones tendientes a prevenir el trabajo infantil  
La SDSYP a través del proyecto juventud, durante la vigencia 2018 realizó las siguientes acciones:
Capacitaciones en proyecto de vida
Sensibilizaciones en derechos de los jóvenes
Asesorías en deberes, derechos y obligaciones
Reuniones y acompañamiento en los operativos programados por el CETI
Jornadas de prevención del trabajo infantil con empresarios de la ciudad
En total se atendieron 5.445 jóvenes (3.141 hombres y  2.304 mujeres) 
</t>
  </si>
  <si>
    <t>Informes de ejecución, Listados de asistencia y Registro Fotografico</t>
  </si>
  <si>
    <t xml:space="preserve">No se dio cumplimiento a esta meta porque no ha sido posible, se asigne inmueble para ello.
En vigencias anteriores la Casa de la Juventud opero en la sede de la JAC del barrio el Progreso, pero por dificultades de operación y  a solicitud de la JAC, no  pudo continuar funcionando en este espacio. Así mismo se centralizaban acciones relacionadas con casas de la Juventud en los CEDES de Altagracia y Parque Industrial.
</t>
  </si>
  <si>
    <t>Se aporta como evidencias solicitudes enviadas.</t>
  </si>
  <si>
    <t>NINGUNA</t>
  </si>
  <si>
    <t xml:space="preserve">Se realizó la semana de la juventud en el mes de diciembre donde se desarrollaron actividades de tipo cultural, deportivo, político y de premiación de los jóvenes destacados en cada uno de los diferentes campos.
En total se beneficiaron 3.120  jóvenes ( 1.716 mujeres y 1.404 hombres 
</t>
  </si>
  <si>
    <t>Mantener la fecha de la Semana de la Juventud en el mes de Agosto</t>
  </si>
  <si>
    <t>En la vigencia 2018 se ejerció control social juvenil a través  de : 
La plataforma juvenil
EL Consejo Municipal de política social
El Consejo municipal de políticas públicas de las comunidades Afro.
La participación en el Comité de PP Plan de vida Indígena
La Mesa Departamental de Juventud
Las JAC - Juntas de Acción Comuna
En total se atendieron 2.449  jóvenes y sus familias  (1.210 hombres y 1.239 mujeres).</t>
  </si>
  <si>
    <t xml:space="preserve">Se aportan como evidencias actas de reunión </t>
  </si>
  <si>
    <t>Según el estatuto de ciudadanía juvenil, se unificaran las fechas de elecciones de la alcaldía y el consejo juvenil. A la fecha no se han unificado: se encuentra en estudio y aprobación.</t>
  </si>
  <si>
    <t>Se aportan como evidencias Ley 1622 de 2013 y ley 1885 de 2018, articulo 52</t>
  </si>
  <si>
    <t>Se aportan como evidencias Ley 1622 de 2013 y ley 1885 de 2018, articulo  XX</t>
  </si>
  <si>
    <t>No se ha creado.</t>
  </si>
  <si>
    <t xml:space="preserve">En la base de datos de dignatarios de las JAC,  se encuentran registrados 409 de 5.885,   correspondiente al 33% de los participantes.
409/5885*100%= 6,94%
Para motivar la participación de los jóvenes en las JAC se realizaron las siguientes actividades:
Capacitaciones en participación social y Política, de las cuales se beneficiaron 699 jóvenes y sus familias  (334 hombres y 365 mujeres).
</t>
  </si>
  <si>
    <t>Se aportan como evidencias salidas de campo, actas de reunión, registros SPP y fotográficos.</t>
  </si>
  <si>
    <t xml:space="preserve">Desde la SDSYP para  fortalecer el CAIVAS y CAVIF  a través del proyecto de juventud se formuló e  Implementó  la estrategia para contribuir en la prevención de la violencia intrafamiliar y de pareja con jóvenes entre los 18 a 28 años y se apoyó la implementación y seguimiento a  las actividades formuladas en el Plan de acción de la estrategia de prevención de la explotación sexual, 
En total se realizaron 26 actividades, de las cuales,  se beneficiaron  2.140  jóvenes (967 mujeres y 1.173 hombres )
Así mismo desde el proyecto Fortalecimiento de la convivencia social y familiar en el municipio de Pereira, se actualizó e Implementó el  modelo pedagógico  de convivencia social y familiar, a través del cual se realizaron 173 talleres con 2.984 beneficiarios.
El total de beneficiarios es de 5.124 personas. 
</t>
  </si>
  <si>
    <t xml:space="preserve">Se aportan como evidencias base de datos filtrada,  salidas de campo registros SPP y fotográfico. Acta de seguimiento Plan de acción del proyecto Convivencia social y familiar punto 1. </t>
  </si>
  <si>
    <t xml:space="preserve">Se  Implementó  la estrategia para contribuir en la prevención de la violencia intrafamiliar y de pareja con jóvenes entre los 18 a 28 años
Se Apoya  la implementación y seguimiento a  las actividades formuladas en el Plan de acción de la estrategia de prevención de la explotación sexual, realizando 8  actividades, de las cuales,  se beneficiaron  1.347  jóvenes, de los cuales fueron  ( 946 mujeres y  406 hombres 
</t>
  </si>
  <si>
    <t xml:space="preserve">Se aportan como evidencias registros SPP </t>
  </si>
  <si>
    <t>Para el cumplimiento de este indicador se  realizaron Talleres de capacitaciones de la ley 1622 donde están consignados los derechos y deberes de los jóvenes; así como también se efectuaron sensibilizaciones para prevenir el estigma y la discriminación, actividades  que fueron desarrolladas en instituciones educativas, fundaciones y grupos juveniles,    se beneficiaron   409  jóvenes, de los cuales fueron  ( 213 mujeres y  196 hombres) .</t>
  </si>
  <si>
    <t xml:space="preserve">La Escuela de liderazgo implica los procesos de formación a los NNA para motivar su participación social y política en los temas de la ciudad.
Durante la vigencia 2018  se realizaron 669 talleres de capacitación en: 
• Habilidades para la vida.
• Liderazgo.
• Participación
• Se realizó encuentro de las JACI en Diciembre.
• Representación de las 50 JACI n en la rendición Pública de cuentas de la PP de primera infancia, infancia y adolescencia por parte del SR Alcalde.
• Encuentro entre JACI e integrantes de la mesa de participación 
</t>
  </si>
  <si>
    <t>Se aportan como evidencias registros SPP y fotográficos</t>
  </si>
  <si>
    <t>En total se realizaron 1.194 atenciones a NNA (629 hombres y 565 mujeres)</t>
  </si>
  <si>
    <t xml:space="preserve">Reporte base de datos </t>
  </si>
  <si>
    <t>En el 2018 desde el proyecto juventud se actualizo la Estrategía para motivar la participación de los jóvenes en las JAC y en otros espacios de participación</t>
  </si>
  <si>
    <t xml:space="preserve">Estrategia formulada en medio digital, registros SPP (142 hojas escaneadas)  escaneados y fotográficos.
</t>
  </si>
  <si>
    <t xml:space="preserve">En el 2018 desde el proyecto juventud se actualizo la Estrategia para motivar la participación de los jóvenes en las JAC y en otros espacios de participación. En el marco de la estrategia se realizaron las siguientes actividades:
Capacitaciones en participación social y Política, de las cuales se beneficiaron 699 jóvenes y sus familias  (334 hombres y 365 mujeres).
En la base de datos de dignatarios de las JAC,  se encuentran registrados 409 de 5.885,   correspondiente al 33% de los participantes.
409/5885*100%= 6,94%
Se aportan como evidencias estrategia formulada en medio digital, salidas de campo, actas de reunión, registros SPP y fotográficos.
</t>
  </si>
  <si>
    <t xml:space="preserve">Durante la vigencia 2018 se actualizó la estrategia de participación social y política de las mujeres, la cual consta de los aspectos: 
• Reconocimiento a la mujer Pereirana
• Sensibilización sobre los alcances de las mujeres en el transcurso de la historia y empoderamiento para que en la actualidad sean activas en todos los procesos socio políticos de la ciudad. 
En total se beneficiaron 3.384   personas atendidas: Mujeres 2532  Hombres 852
</t>
  </si>
  <si>
    <t>Se aportan como evidencias Estrategia formulada en medio digital, registros SPP (80 hojas)  escaneados y fotográficos.</t>
  </si>
  <si>
    <t xml:space="preserve">Esta acción de Política pública es transversal para la Secretaría de Desarrollo Social y Político, ya que con el desarrollo de  todas las acciones de Política de competencia de este Despacho se está fortaleciendo el sector comunal. La estrategia abarca el desarrollo de 3 proyectos inscritos en el banco de proyectos de inversión municipal, cada uno con asignación presupuestal y plan de acción anualizado con los cuales se da cumplimiento a las metas de Política Pública: 
• Nº 16910008 - Fortalecimiento de los procesos de organización y participación de la acción comunal  en el municipio de Pereira.
Presupuesto asignado 2018: $ 347.929.600 
Presupuesto ejecutado 2018: $ 336.898.057 
• Nº 1610004 - Fortalecimiento de las juntas administradores locales del municipio de Pereira.
Presupuesto asignado 2018: $ 110.152.497 
Presupuesto ejecutado 2018: $ 109.345.601 
</t>
  </si>
  <si>
    <t xml:space="preserve">PDF de seguimiento planeas de acción a diciembre de 2018, de los 3 proyectos mencionados </t>
  </si>
  <si>
    <t>En esta acción no se coloca la ejecución presuúestal de los proyectos mencionados. Ya que esta se describe en las otras acciones de Política de competencia de la SDSYP.  Su sumatoria es el valor total de la inversión de los 3 proyectos</t>
  </si>
  <si>
    <t xml:space="preserve">Se formuló la Estrategia de capacitación en funciones y roles
</t>
  </si>
  <si>
    <t xml:space="preserve">Se aporta como evidencias la estrategía formulada en medio digital </t>
  </si>
  <si>
    <t>Para el desarrollo de esta estrategia se realizaron las siguientes acciones:
• 499 visitas de asesoría a los diferentes organismos comunales para  brindarles el apoyo y acompañamiento requerido, se sensibilizaron 2 dignatarios por visita; es decir 998 personas.
• 641 sensibilizaciones en funciones y roles.
En total durante la vigencia 2018 se capacitaron en total 1639 dignatarios.</t>
  </si>
  <si>
    <t xml:space="preserve">Se aporta como evidencias actas de visita de asesoría y registros SPP. </t>
  </si>
  <si>
    <t>Esta información no fue  registrada la base de datos de la SDSYP por lo que no se pueden realizar clasificaciones porsexo, zona geográfica, edad, situación o condición y etnía.</t>
  </si>
  <si>
    <t xml:space="preserve">Durante la vigencia 2018, Fedecomunales no realizó capacitaciones a las JAC. </t>
  </si>
  <si>
    <t>Se aporta como evidencias la estrategia formulada en medio digital, actas escaneadas de visitas de asesoría, registros SPP de sensibilizaciones y fotográficos</t>
  </si>
  <si>
    <t xml:space="preserve"> Fedecomunales no realizó capacitaciones en la vigencia 2018</t>
  </si>
  <si>
    <t xml:space="preserve">El proceso eleccionario de las JAC, se realiza de forma ordinaria cada 4 años y a nivel extraordinario cada que se requiere bien sea por reactivación de Juntas o creación de nuevas.
Durante la vigencia 2018 no se realizaron procesos ordinarios, el próximo está planeado para la vigencia 2020.
A nivel extraordinario se brindó apoyo y acompañamiento en los procesos eleccionarios de Barrio Naranjal, Villavicencio, José Domingo Escobar, Jaime Pardo Leal, Nueva Esperanza, Cuba, la Elvira JAC así:
Cinco (5) JAC a nivel de reactivación
Dos (2) JAC a nivel de creación
Desde la oficina de Gestión comunitaria se brinda apoyo y acompañamiento relacionado con solicitud de personería jurídica, radio de acción, elaboración y aprobación de estatutos.
Se aportan como evidencias actas de visita y actos administrativos de reconocimiento de dignatarios.
Con respecto a ASOJAC: A nivel extraordinario no se reportaron solicitudes de reactivación o creación de Asociaciones. 
A nivel de federación el proceso eleccionario se realiza cada cuatro años en el mes de septiembre el último domingo, el próximo se efectuará en la vigencia 2020 
Se aportan como evidencias ley 743 
A nivel de JACI el proceso eleccionario se realiza cada 4 años, se culminó con 50 JACI conformadas.
</t>
  </si>
  <si>
    <t>Actas de visita y actos administrativos de reconocimiento de dignatarios,  ley 743 .</t>
  </si>
  <si>
    <t>No se registran personas porque se hace referencia a actas de visita y actos administrativos de reconocimiento de dignatarios</t>
  </si>
  <si>
    <t xml:space="preserve">Durante la vigencia 2018 se realizaron las siguientes actividades para dar cumplimiento al indicador
Se socializó el protocolo para acceder a los recursos del FIC en las 19 comunas y 12 corregimientos del 
Se realiza la recepción 29 proyectos, los cuales fueron revisados respecto a su documentación y devueltos para hacer los ajustes pertinentes según acuerdo 043 de 2014. 
Un total de 22 proyectos fueron devueltos para hacer ajustes pertinentes, estos fueron: Altagracia, Combia Alta, El oso, Arabia, bella, el jardín, san nicolas, consota, perla del otún, universidad, villa santana, centro, poblado, estrella la palmilla, Villavicencio, rocio, rio otun, olímpica, cerritos, ferrocarril, cuba. 
Se realizaron procesos de capacitación para la formulación y presentación de las propuestas a ser presentadas por el FIC  entre 09 comunas y corregimientos a saber: 
Comunas: San Nicolas, Oriente, Villa Santana, Rio Otun, El Oso, Centro     
Corregimientos: Arabia, Altagracia, Cerritos  
Se aportan como evidencias registro fotográfico, actas de asesoría y/o capacitación y actas de devolución de proyectos.
</t>
  </si>
  <si>
    <t xml:space="preserve">Durante la vigencia 2018 se beneficiaron 29 comunas y  corregimientos  (18 comunas y 11 corregimientos) a través del FIC:
Comunas:
Boston, centro, consota, cuba, olímpica, perla del otún, rio otún, san nicolas, universidad, villa santa, Villavicencio, el café, el jardín, el oso, el poblado, el rocio,  ferrocarril, 
Corregimientos:
Altagracia, arabia, caimalito, cerritos, combia alta, puerto caldas, tribunas, estrella la          palmilla, la bella, la florida, Morelia. 
Corregimientos:
En total se aprobaron 203 proyectos.
</t>
  </si>
  <si>
    <t xml:space="preserve">Se aportan como evidencias registro fotográfico, actas de asesoría y/o capacitación y actas de devolución de proyectos.  </t>
  </si>
  <si>
    <t xml:space="preserve">No se registran personas porque se hace referencia a comunas y corregimientos y proyectos aprobados </t>
  </si>
  <si>
    <t xml:space="preserve">Rindieron cuentas 2 JAC / de  409 JAC radicadas durante la vigencia 2018* 100%= 0,49%
Se recomienda tener especial cuidado con el cumplimiento de esta meta en la vigencia 2019, ya que no se cumplió con lo programado para la vigencia.
</t>
  </si>
  <si>
    <t>Se aporta como evidencia Informes presentados por la Junta directiva del las JAC en la Asamblea General de afiliados.</t>
  </si>
  <si>
    <t xml:space="preserve">Se beneficiaron de equipo biomédico las siguientes JAC que lo solicitaron así:
San Nicolás, Jardín Primera Etapa, Vereda La Esperanza, Pueblo Escondido, Los Andes, Sinai I, El Retiro. 
Para un total de siete (7) JAC beneficiadas con elementos como: camillas, sillas de ruedas, muletas, cama hospitalaria entre otros. 
Desde el proyecto discapacidad se realizaron sensibilizaciones en las JAC de El Poblado, Corocito y San Nicolás para motivarlos a presentar propuestas ante el FIC que beneficien a personas con discapacidad: 
</t>
  </si>
  <si>
    <t>Se presentan como evidencias matriz en Excel de bloque de compras equipo biomédico</t>
  </si>
  <si>
    <t xml:space="preserve">Para medir este indicador, se tomaron los como referencia los datos de la caracterización realizada en la vigencia 2017, 
Se  caracterizaron 5.756 dignatarios de los organismos comunales / de  5885  registrados * 100 % =  97,81%
Se aporta como evidencias base de datos de dignatarios caracterizados.
Los gestores comunales no reportan en la base de datos actualización de la  información de los dignatarios correspondiente a la vigencia  2018 
</t>
  </si>
  <si>
    <t>Se aporta como evidencias base de datos de dignatarios caracterizados en el 2017 y relación de dignatarios 2018.</t>
  </si>
  <si>
    <t>No se presenta avance en esta meta ya que según PP esta programado para la vigencia 2019.</t>
  </si>
  <si>
    <t>Desde el proyecto “implementación de estrategias para la promoción  de los derechos de la población diversa por orientación sexual del municipio de Pereira” no se adelantaron acciones en este sentido en la vigencia 2018</t>
  </si>
  <si>
    <t xml:space="preserve">Se realizaran a partir de la próxima vigencia </t>
  </si>
  <si>
    <t>En la vigencia 2018 se realizó un acto de inclusión y reconocimiento como mujeres transgenero, se les hace una invitación por parte del proyecto de Diversidad Sexual a la conmemoración del Dia Internacional de la Mujer  a la que responden 19 chicas trangeneristas en un espacio de participación  cultural y musical en el cual se incentiva la participación social y política mediante las estrategias del proyecto a las chicas en diferentes espacios, con el fin de realizar un acercamiento positivo con la administración municipal que permite reivindicar el concepto negativo que tienen de las instituciones públicas.</t>
  </si>
  <si>
    <t>Se aportan como evidencias registros SPP y fotográficos.</t>
  </si>
  <si>
    <t xml:space="preserve">Por parte del proyecto “Implementación de acciones enfocadas al bienestar y desarrollo de la población afrodescendiente del municipio de Pereira”  se realizaron reuniones con líderes comunales afrodescendientes, donde se trataron temas relacionados con la creación de juntas comunales y la importancia del trabajo comunal.
En total se brindaron 150 atenciones (52 hombres y 98 mujeres)
</t>
  </si>
  <si>
    <t>Base de datos filtrada.</t>
  </si>
  <si>
    <t xml:space="preserve">Desde la Secretaría de Desarrollo Social y Político durante la vigencia 2018, se realizaron 13 reuniones técnicas de revisión y evaluación de propuestas FIC
Producto de la revisión se conforman 19 bloques de compras de los cuales se adelantaron a través de la tienda virtual de Colombia Compra Eficiente la compra de un bloque, tres bloques a través de proceso selección de mínima cuantía y once bloques a través de proceso de selección abreviada por subasta inversa. Quedando pendiente dos bloques por ejecutar Obras y/o parques, Papelería, Productos avícola e insumo químicos.
</t>
  </si>
  <si>
    <t>Matriz en Excel bloques de compras y documento con conceptos de revisión, Contratos, Actas y fotos.</t>
  </si>
  <si>
    <t xml:space="preserve">No se registran atenciones porque se hace referencia a reuniones y  contratos </t>
  </si>
  <si>
    <t xml:space="preserve">No se regustran personas porque se hace referencia a reuniones de aprobación de propuestas </t>
  </si>
  <si>
    <t xml:space="preserve">Desde la oficina de Gestión comunitaria los promotores comunales en las visitas de inspección control y vigilancia realizaron control a inventarios.
Se anexan como evidencias formatos de inspección de inventarios.
En esta vigencia no se han reportado irregularidades a las entidades de control, porque no se ha verificado lo el inventario que tienen con lo que se ha entregado. 
Esta labor se tiene programada para la vigencia 2019, una vez la Secretaría de Desarrollo Administrativo haga entrega de la base de datos con los bienes e insumos entregados. Por lo que no se logró medir el indicador durante la vigencia 2018
</t>
  </si>
  <si>
    <t xml:space="preserve">Formatos de inspección de inventarios.
</t>
  </si>
  <si>
    <t xml:space="preserve">Durante la vigencia 2018 se registran 9 NNA como representantes de las JACI en la mesa de participación ASÍ:
• Harrison Ramírez Cuartas: JACI Leningrado.
• Yefredy Mosquera H : JACI intermedio de Villasantana.
• Sara María Valencia: JUACI Parque Industrial.
• Felipe Mejía Upegui: JACI Salamanca
• Karen Salinas: JACI Salamanca.
• Kaled Mejía Upegui: JACI Salamanca.
• Isabella Toro: JACI Terranova.
• Juan Pablo Patiño: JACI Torres de la Acuarela.
• Juan José Maceto Torres de la Acuarela.
</t>
  </si>
  <si>
    <t>Base de datos JACI</t>
  </si>
  <si>
    <t xml:space="preserve">No se regsitran personas atendidas ya que es una relación de NNA representantes de JACI en MMNNA </t>
  </si>
  <si>
    <t xml:space="preserve">A diciembre de 2018, se culminó con 50 JACI,  las cuales fueron beneficiadas de las acciones planteadas en el punto 1, relacionado con la escuela de liderazgo.  
Se aportan como evidencias base de datos JACI
</t>
  </si>
  <si>
    <t>No se registra atenciones yua que es una BD</t>
  </si>
  <si>
    <t>Durante esta vigencia no se realizó la semana de la participación ciudadana debido a la tardanza en la aprobación del acuerdo 43 de 2016 y su decreto reglamentario 479 del 09 de julio de 2018</t>
  </si>
  <si>
    <t xml:space="preserve">Se anexan copia del acuerdo y el decreto </t>
  </si>
  <si>
    <t>La Conmemoración del día de la acción comunal fue llevada a cabo el día 22 de Diciembre en la finca TEOCALI entrada 4 vía cerritos mediante actividades pedagógicas y culturales para los dignatarios convocados. 
En total se beneficiaron 168 personas</t>
  </si>
  <si>
    <t xml:space="preserve">Registros de asistencia, fotográficos y acta de reunión con el operador
</t>
  </si>
  <si>
    <t xml:space="preserve">No hay reporte por genero, solo listados de asistencia  </t>
  </si>
  <si>
    <t>se realizaron 528 visitas</t>
  </si>
  <si>
    <t xml:space="preserve">Durante la vigencia 2018, 6 instituciones prestaron el servicio de asistencia alimentaria y nutricional en el municipio de Pereira:
Alcaldía de Pereira, 
ICBF
Gobernación de Risaralda
 Banco de alimentos Caritas
Comfamiliar 
Prosperidad social 
La Alcaldía de Pereira a través de las Secretarías de Educación,  de Desarrollo Social y Político y  de Salud, de Desarrollo Rural hacen parte de los proyectos adelantados para garantizar la asistencia alimentaria y nutricional  de la primera infancia, infancia y adolescencia, adultos mayores, inmigrantes, madres gestantes y lactantes en condición de vulnerabilidad social.
Desde la Secretaría de Desarrollo Social y  Político a través del proyecto “Asistencia alimentaria y nutricional dirigida a la población en condición de vulnerabilidad social del municipio de  Pereira”,  se realizaron las siguientes acciones en cumplimiento del indicador:
• Se realizaron 16 visitas de evaluación técnica requeridas, para identificar puntos de servido.
• Se realizaron 85  visitas de seguimiento y control en los puntos de atención que se requieran, para identificar calidad, cantidad e inocuidad de los complementos entregados  a los beneficiarios
• Se realizaron 13  reuniones  de fortalecimiento   y articulación institucional para el cumplimiento y seguimiento a la política pública de seguridad y soberanía alimentaria
• Así mismo se realizaron labores de apoyo y acompañamiento para   el adecuado desarrollo  del proyecto  y  la implementación del sistema de información
</t>
  </si>
  <si>
    <t>Actas del comité municipal de Seguridad y Soberanía  Alimentaria y Nutricional  en el municipio de Pereira, actas de articulación interinstitucional, actas de visitas de evaluación técnica, actas de seguimiento y control y registro fotográfico.</t>
  </si>
  <si>
    <t xml:space="preserve">No se colocan beneficiarios, porque este indicador comprende es la institucionalidad </t>
  </si>
  <si>
    <t xml:space="preserve">A partir del año 2017 el programa de alimentación PAE es trasladado a la secretaria de Educación Municipal mediante lineamientos del Ministerio de Educación Nacional. De acuerdo a instrucciones dadas desde Planeación municipal se incluye en este indicador la población atendida a través del PAE (Plan de Alimentación Escolar), contándose con un reporte de 19.900. La Secretaría de Desarrollo Social y Político reporta los beneficiarios y la Secretaría de Educación los recursos.
VIGENCIA Y PERSONAS ATENDIDAS
2016 15.877 (PAE)
2017 16.853
2018 22.301
TOTAL 55.031
Fuente Acta: Seguimiento metas Plan de Desarrollo SDSYP vigencia 2018 demarzo 6 de 2019.
Para evaluar el cumplimiento del indicador se tiene la siguente formula:
% de cubrimiento con la oferta de programas de asistencia alimentaria de la alcaldía=N.o de personas de la población prioritaria que son asistidas/total de la población Pereira)*100
Proyección a 2018 de la Población de Pereira, según censo DANE 2015 = 476.636 habitantes 
Población prioritaria atendida 
55.031 / 476.636*100= 11,545 %
Desde la Secretaría de Desarrollo Social y  Político a través del proyecto “Asistencia alimentaria y nutricional dirigida a la población en condición de vulnerabilidad social del municipio de  Pereira”,  se beneficiaron las siguientes personas:
• 1027 beneficiarios de complementos nutricionales procesados, durante 39 días.
• 132 beneficiarios de complementos nutricionales líquidos (En total se entregaron 11.880 dosis).
• 1243 beneficiarios de complementos nutricionales no procesados (en total se  entregaron 1.486 mercados).
Es decir en total por la SDSYP se beneficiaron 2.402 personas
• Se realizaron 44 talleres nutricionales sobre buenos hábitos alimenticios, de los cuales se beneficiaron 732 personas. Dichas actividades educativas se realizaron con metodología C3, para fomentar estilos de vida saludables, buenos hábitos de alimentación  e higiene.
• Se efectuaron 132 valoraciones nutricionales: con toma de medidas antropométricas.
</t>
  </si>
  <si>
    <t xml:space="preserve">Formatos de entrega complementos nutricionales procesados y no procesados, documentación de beneficiarios y registro fotográfico, registros de asistencia a talleres y fotográfico. </t>
  </si>
  <si>
    <t xml:space="preserve">Para mover los indicadores de situación de calle y trabajo infantil, desde la Secretaría de Desarrollo Social y Político se realizaron las siguientes acciones: 
• Se realizaron 73 Recorridos de calle para identificar niños, niñas y adolescentes en situación de calle y trabajo infantil.
A través de los cuales se realizaron 249 sensibilizaciones (a123 hombres y 126 mujeres)
• Visitas domiciliarias para caracterización socio familiar de NNA identificados en situación de calle y con trabajo infantil.
• Se participó  en actividades de trabajo extramural en acompañamiento  al proyecto habitante de calle y en riesgo de calle.
• Se realizaron 123 talleres de capacitación en prevención del riesgo de calle en NNYA, de los cuales se beneficiaron 3.553 personas (1774 hombres y  1779 mujeres) 
En total se realizaron 3.802 atenciones durante la vigencia 2018, En total se realizaron 3.802 atenciones durante la vigencia 2018, que se describen en la columna  S Total  personas atendidas 
</t>
  </si>
  <si>
    <t>Informe ICBF, salidas de campo, actas de reunión, Registros SPP y fotográficos</t>
  </si>
  <si>
    <t xml:space="preserve">En la columna S,  se registra el total de personas atendidas para mover el indicador </t>
  </si>
  <si>
    <t xml:space="preserve">Por parte de la Secretaría de desarrollo Social y Político, durante la vigencia 2018, se implementaron las siguientes actividades de  prevención, que contribuyeron al cumplimiento de los indicadores de maltrato, abuso sexual y consumo de sustancias psicoactivas
• 98 asesorías psicológicas para seguimiento  y activación de las rutas de atención en los casos requeridos y para asesorar en prevención y atención del consumo SPA.
• 66 asesorías pedagógicas, seguimiento  y activación de las rutas de atención en los casos requeridos
• 26 asesorías Familiares.
• 26 visitas domiciliarias de orientación  socio familiar en los casos identificados de vulneración de derechos de los NNA
• 154 Talleres de prevención de maltrato y 125 en prevención de consumo de SPA.
• Participación en el comité municipal de prevención de SPA
Durante la vigencia 2018 en total hubo 8.944 atenciones
</t>
  </si>
  <si>
    <t>Se aportan como evidencias: acta de seguimiento plan de acción del proyecto Fortalecimiento de la convivencia social y familiar en el municipio de Pereira vigencia 2018. Meta 8.
Con respecto a las actividades de prevención, se aportan como evidencias: base de datos SDSYP,  registro fotográfico - salidas de  campo</t>
  </si>
  <si>
    <t xml:space="preserve">Durante la vigencia 2018 se denunciaron y fueron atendidos por parte de las Comisarías de familia 463  casos de maltrato a NNA (145 hombres, 162 mujeres y 156 denuncias anónimas). </t>
  </si>
  <si>
    <t>Durante la vigencia 2018 se denunciaron y atendieron a través de procesos de restablecimiento de derechos 125  casos por abuso sexual a NNA.  No se describen por cilcos de edades</t>
  </si>
  <si>
    <t xml:space="preserve">Desde la Secretaría de Desarrollo Social y Político, para mitigar el trabajo infantil, se realizan las mismas actividades que se señalan en la prevención de calle así:
• Se realizaron 73 Recorridos de calle para identificar niños, niñas y adolescentes en situación de calle y trabajo infantil.
A través de los cuales se realizaron 249 sensibilizaciones (a123 hombres y 126 mujeres)
• Visitas domiciliarias para caracterización socio familiar de NNA identificados en situación de calle y con trabajo infantil.
• Se participó  en actividades de trabajo extramural en acompañamiento  al proyecto habitante de calle y en riesgo de calle.
• Se realizaron 123 talleres de capacitación en prevención del riesgo de calle en NNYA, de los cuales se beneficiaron 3.553 personas personas (1.774 hombres y  1.779 mujeres) 
En total se realizaron 3.802 atenciones durante la vigencia 2018
</t>
  </si>
  <si>
    <t xml:space="preserve">Reporte encuesta integrada de hogares  2012 -2017 la cual se emite en miles, salidas de campo, Registros SPP y fotográficos
</t>
  </si>
  <si>
    <t xml:space="preserve">Para la medición de este indicador se ha considerado la encuesta integrada de hogares del DANE, quien reporta los datos de área metropolitana.
Según datos del último reporte 2012-2017. Entre 5 y 17 años de edad se identificaron 9000 NNA (emitido el 6 de abril de 2018)
</t>
  </si>
  <si>
    <t xml:space="preserve">Reporte encuesta integrada de hogares  2012 -2017 la cual se emite en miles </t>
  </si>
  <si>
    <t xml:space="preserve">Para la medición de este indicador se ha considerado la encuesta integrada de hogares del DANE, quien reporta los datos de área metropolitana y únicamente considerando las edades entre 5 y 17 años, por lo que solo se reportara este ciclo de edades </t>
  </si>
  <si>
    <t xml:space="preserve">Para la medición de este indicador se ha considerado la encuesta integrada de hogares del DANE, quien según último reporte a abril de 2017 se encuentran en el área metropolitana 2.000 NNA que realizan oficios del hogar por 15 hora o más de 122.491 NNA del municipio de Pereira, según proyección Censo DANE a 2018 
2.000/122.941*100%= 1,63%
</t>
  </si>
  <si>
    <t xml:space="preserve">La tasa de NNA en trabajo infantil se sacó de la siguiente manera:
9.000 NNA en trabajo infantil identificados en el área metropolitana  de 122.491 NNA del municipio de Pereira según proyección censo DANE a 2018 
Tasa : 9000/122941*100.000 habitantes= 7347,48
</t>
  </si>
  <si>
    <t>Se aporta como evidencia encuesta integrada de hogares y pantallazo proyección censo DANE a 2018</t>
  </si>
  <si>
    <t>Desde La  Secretaria De Desarrollo  Social  y Político se  tiene   contrato de prestación de servicios con Hogares Claret  para la operación del CREEME, a través del cual se implementa el modelo pedagógico y terapéutico para la atención y restauración de los jóvenes que están con medida de privación de la libertad y demás modalidades del sistema de responsabilidad penal para adolescentes.</t>
  </si>
  <si>
    <t xml:space="preserve">informe  ICBF - actas  de  supervision  secretaria de  desarrollo  social   y politico </t>
  </si>
  <si>
    <t>Durante la vigencia 2018 se identificaron 424 jóvenes infractores de la ley penal. El ICBF  no precisa en el informe  por hombres y mujeres.</t>
  </si>
  <si>
    <t xml:space="preserve">Informe  ICBF -actas  de  supervision  secretaria de  desarrollo social  y politico </t>
  </si>
  <si>
    <t xml:space="preserve">Durante la vigencia 2018 se identificaron 26 jóvenes reincidentes. 
26 jóvenes reincidentes / 424 Total de jóvenes privados de la libertad durante la vigencia 2018 * 100 = 6,13% de reincidencia 
</t>
  </si>
  <si>
    <t xml:space="preserve">informe  ICBF -actas  de supervision y secretaria de  desarrollo  social   y politico </t>
  </si>
  <si>
    <t>Desde la Secretaría de Desarrollo Social y Político se aporta al cumplimiento de la meta a través de la contratación de 5 profesionales que brindan atención psicológica a los niños, niñas y sus familias beneficiarios de los CDI, abordando en especial aquellos que tienen dificultades en su escala de desarrollo y en vulneración de derechos.</t>
  </si>
  <si>
    <t>Se aportan como evidencias actas de reunión,  registros SPP y fotográficos</t>
  </si>
  <si>
    <t xml:space="preserve">Durante la vigencia 2018 se  realizaron  4   secciones  ordinarias del CPS  y 1 extraordinaria de CPS, en las que hubo participación un adolescente.
5 sesiones del CPS con delegado de NNA / 5 sesiones CPS realizadas *100 = 100%
</t>
  </si>
  <si>
    <t>Actas   de reunion CPS</t>
  </si>
  <si>
    <t xml:space="preserve">En la vigencia 2018 nacieron vivos 5.378 NNA según datos aportados por la Secretaría de salud 
En la vigencia 2018 fueron registrados 5.796  NNA según datos de la Registraduría las notarias.
5.796  registrados / 5.378 nacidos vivos *100% = 107.77%
</t>
  </si>
  <si>
    <t>Se aporta como evidencias reporte Secretaría de salud,  Registraduría y  Notarias.</t>
  </si>
  <si>
    <t xml:space="preserve">Desde la Secretaría de Desarrollo Social y Político, se aporta al indicador a través de la Mesa de primera infancia, infancia y adolescencia, liderando la secretaría técnica  que implica la convocatoria y dinamización de su Plan de acción, mediante el cual los funcionarios involucrados se capacitan y retroalimentan sus conocimientos en los temas relacionados con la infancia y adolescencia así:
• Acuerdo 42 
• Erradicación de trabajo infantil
• Comprever
• Política Pública (seguimiento, evaluación y ajustes).
• Comité técnico de CPS.
Así mismo las 21 personas contratadas desde el proyecto “Fortalecimiento de la garantía de derechos de la  infancia  y adolescencia del municipio de Pereira” realizan quincenalmente procesos de capacitación y retroalimentación relacionados con la temática de infancia y adolescencia en las reuniones de equipo.
</t>
  </si>
  <si>
    <t>Se aportan como evidencias actas de reunión y registro fotográfico.</t>
  </si>
  <si>
    <t xml:space="preserve">La medición de este indicador es de responsabilidad de Secretaría de Desarrollo Administrativo, que tiene bajo su responsabilidad la capacitación de los funcionarios públicos </t>
  </si>
  <si>
    <t xml:space="preserve">Las Comisarías se fortalecieron a través del proyecto Fortalecimiento de la convivencia social y familiar en el municipio de Pereira, con la contratación de personal profesional del área legal y psico social, de técnicos y auxiliares a través del proyecto así:
16 abogados
09 psicologas
06 Trabajadoras Sociales 
04 técnicos 
04auxiliares administrativos.
Para un total de 39 personas contratadas en el proceso de fortalecimiento de las Comisarías de Familia.
Además se creó la Comisaría nocturna.
Durante la vigencia 2018 se brindaron 29.863 atenciones  (10031 hombres, 19552 mujeres y 280 sin identificar).
</t>
  </si>
  <si>
    <t>Se aportan como evidencias acta de seguimiento al 4 trimestre de 2018 del proyecto  Fortalecimiento de la convivencia social y familiar en el municipio de Pereira</t>
  </si>
  <si>
    <t xml:space="preserve">Durante la vigencia 2018 se brindaron 29.863 atenciones  (10031 hombres, 19552 mujeres y 280 sin identificar por lo que la sumatoria de las columnas T87  y U87 no coincide con la columna F) </t>
  </si>
  <si>
    <t>Se realizó acompañamiento a 20 emprendimientos de base tecnológica a través del nodo de Biotecnología
Se realizo acompañamiento a  dieciocho (18) empresas del Sector agroindustrial</t>
  </si>
  <si>
    <t>Contrato No.  3024 (Universidad Libre de Pereira - Nodo de  Biotecnología)</t>
  </si>
  <si>
    <t>Se formularon tres proyectos y convocatorias del sector turismo</t>
  </si>
  <si>
    <t>Contrato de prestación de servicios para dos profesionales de apoyo de la dirección de turismo</t>
  </si>
  <si>
    <t>Se realizó un fortalecimiento a la red de nodos de ciencia, tecnología e innovación, a través del Nodo central</t>
  </si>
  <si>
    <t>Contrato Nº 3914 realizado con la UTP</t>
  </si>
  <si>
    <t>Se realizo un fortalecimiento a este nodo de Biotecnología a través de la universidad Libre de Pereira</t>
  </si>
  <si>
    <t>Se realizaron 3 talleres con el nodo de metalmecánica</t>
  </si>
  <si>
    <t xml:space="preserve"> Contrato No. 3432 (CCDosquebradas-Metalmecánico)</t>
  </si>
  <si>
    <t>Centro de  Innovación y Negocios del Conocimiento CEDE Parque Industrial</t>
  </si>
  <si>
    <t>Contrato No. 5233 Factor INK SAS.</t>
  </si>
  <si>
    <t>Se realizaron en los CEDES, talleres de formación para el trabajo en alianza con el SENA</t>
  </si>
  <si>
    <t>CEDES: San Nicolas, Perla del Otún, Consota, Remanso, Parque Industrial y Ormaza</t>
  </si>
  <si>
    <t>Contratos de prestación de servcios de 6 coordinadores y 6 técnicos</t>
  </si>
  <si>
    <t>Se adecuaron y activaron como CEDEs los espacios ubicados en Perla del Otún y Consota</t>
  </si>
  <si>
    <t>Selección Abreviada Contrato No. 5233 celebrado entre Factor Ink y el Municipio de Pereira</t>
  </si>
  <si>
    <t>Se realizaron 30 talleres en desarrollo de contenidos digitales
Se dictaron capacitación y encuentros en los diferente CEDES de la ciudad</t>
  </si>
  <si>
    <t>Contrato Nº 5262 Virtual tours
Taller de animacion I
Taller de V</t>
  </si>
  <si>
    <t>Se consolido le programa Hecho en Pereira, el clúster textil y de confección y la iniciativa clúster de turismo de reuniones.</t>
  </si>
  <si>
    <t xml:space="preserve">Contrato Nº 5214 HQ Import, Contrato Nº 5236 Clúster textil, 
</t>
  </si>
  <si>
    <t>Este reporte se realiza a través de la consolidación del infrome que presenta los coordinadores de los CEDES</t>
  </si>
  <si>
    <t>Se realizaron 15 maratones de empleo y 23 minimaratones a través de los contratistas del Centro de Empleo
Participacion en la vitrina turisca Anato,  para promocion del municipio, expositores de Pereira</t>
  </si>
  <si>
    <t xml:space="preserve">Contratos de prestación de servicios para 23 profesionales que atienden el Centro de empleo
Contrato No. 3088 BUREAU CONVENTION.
Contrato No.3038 COTELCO Vitrina Turisca  de Promoción ANATO </t>
  </si>
  <si>
    <t xml:space="preserve">Se realizaron 6 ferias una en cada CEDE y 7 ferias Ejemoda, Expocamello, Pereira fashion Project, Congreso Fenalco, Congreso Cotelco, Pereira capital descuentos, Eje exporta, </t>
  </si>
  <si>
    <t xml:space="preserve">Contratos Nº 2481, 4597, 4254, 5153, 4398, </t>
  </si>
  <si>
    <t>Participantes de ocho (8) empresas sector confección</t>
  </si>
  <si>
    <t>Taller de capacitación de como participar exitosamente en ferias y congresos.
Participación de nueve (9) empresas para promover el comercio.</t>
  </si>
  <si>
    <t>Contrato No. 4254 Fenalco</t>
  </si>
  <si>
    <t xml:space="preserve">Participación de 9 empresas para promover el comercio </t>
  </si>
  <si>
    <t>Puesta en marcha del programa Banca para todos a través del convenio con Bancoldex</t>
  </si>
  <si>
    <t>Contrato Nº 4475 convenio interadministrativo con bancoldex</t>
  </si>
  <si>
    <t>Esta meta se cumplio con recursos asignados a contratistas de la secretaría</t>
  </si>
  <si>
    <t>ContratoSsde prestación de servicios para tres  profesionales de apoyo</t>
  </si>
  <si>
    <t>Puesta en marcha del programa Banca para todos a través del convenio con INFIDER</t>
  </si>
  <si>
    <t>Contrato Nº 4477 INFIDER</t>
  </si>
  <si>
    <t>Se desarrollo el programa en alianza con ACOPI, en cual se beneficiaron 27 empresarios</t>
  </si>
  <si>
    <t>Contrato Nº 4602 INFIDER Contrato  No. 2964 celebrado entre ACOPI y el Municipio de Pereira</t>
  </si>
  <si>
    <t>A través de la firma consultora ACCIONAR, se fortalecieron 82 empresas para acceder a capital semilla</t>
  </si>
  <si>
    <t>Contrato Nº 3003 y Nº 5154</t>
  </si>
  <si>
    <t>Se desarrollo el sistema de información socioeconómica de la ciudad y también se desarrollo la plataforma tecnológicade emprendimiento EMPECé</t>
  </si>
  <si>
    <t>Contrato Nº 3133 y Nº 4905</t>
  </si>
  <si>
    <t xml:space="preserve">A traves de los Centros de Emprendimiento "CEDES" se realizaron  Capacitaciones y diseño de estrategias para el emprendimiento productivo y empresarial al igual que varios cursos de Formacion para el trabajo con enfasis en emprendimiento
</t>
  </si>
  <si>
    <t>A tráves de los CEDEs (Centros de Emprendimiento y Desarrollo Empresarial) se beneficiaron 44 personas Indigeneas, con diferentes programas, elaboracion de artesanias, tecnologias de la información, emprendimiento entre otras.</t>
  </si>
  <si>
    <t>La secretaria tuve en el 2018 a disposicion de la población los programas de Hecho en Pereira, Pade, Banca para todos con el fi de impusar el empredimiento Pereirano</t>
  </si>
  <si>
    <t>Se realizaron las siguientes actividades:
1- Acompañamiento en creacion de empresa
2- Capacitacion en emprendimiento productivo
3- Asesorias empresariales y Micro empresariales</t>
  </si>
  <si>
    <t>Listado de Asistencias , Registro en el Sistemas de Politicas Publicas</t>
  </si>
  <si>
    <t>Participación del Laboratorio de Emprendimiento del Parque Industrial</t>
  </si>
  <si>
    <t>Registro de Asistencia. Sistema de Policita Publica</t>
  </si>
  <si>
    <t>Se realizo compañamiento a traves de modelo cambas, asesorias de servicio al cliente especializadas, redireccionamientos a otras empresas que hacen parte de la red departamental de emprendimiento, Se realizo reguimiento al capital semilla entregado a traves del Infider</t>
  </si>
  <si>
    <t>Actas, listados de asistencia, registro en el sistema de politicas publicas</t>
  </si>
  <si>
    <t>Participacion de lideres del Municipio formados en los CEDES (Centros de Emprendimiento y Desarrollo Empresarial) en cursos ofertados en alianza con el SENA, en distintas modalidades.</t>
  </si>
  <si>
    <t>Listado de asistencia, Registros en el sistemas de politicas publicas</t>
  </si>
  <si>
    <t xml:space="preserve">NO SE TIENE EVIDENCIA </t>
  </si>
  <si>
    <t>NO SE CONTÓ CON LA DISPONIBILIDAD PRESUPUESTAL  PARA REALIZAR LA CONTRATACION DE SEVICIOS  CON ESTE OBJETO</t>
  </si>
  <si>
    <t>A traves de las juntas de acción comunal se realizan actividades de educación ambiental a la población de la zona rural
implementación de 4 jardines y 118 huertas caseras</t>
  </si>
  <si>
    <t>Informes de seguimientos a técnicos e informe de seguimiento a la vigencia 2018</t>
  </si>
  <si>
    <t xml:space="preserve">Los miembros de las juntas de acción comunal son beneficiarios del programa de asistencia técnica, pero estas actividades no son solicitadas directamente por la junta de acción comunal por lo tanto no se caracterizan como tal. </t>
  </si>
  <si>
    <t xml:space="preserve">Se realizaron 2 reuniones institucionales del comité técnico  del RESPEL municipal 
Capacitación a personal de servicios generales –Alcaldía de Pereira 
Se realizo el reporte a la plataforma del IDEAM de 512.3 kilogramos de RESPEL, en cumplimiento del Plan de Gestión Integral de Residuos Peligrosos de la Alcaldía.
Se apoyo la realización de dos jornadas de recolección de residuos peligrosos posconsumo (104,4 toneladas) en conjunto con las instituciones del Comité Ambiental Metropolitano de Respel.
Se realizaron 3 jornadas de recolección de envases vacíos de agroquímicos (4.036) kilos).
 </t>
  </si>
  <si>
    <t>Las capacitaciones y jornadas de recolección de residuos solidos y residuos peligrosos se realizan directamente con la población por lo cual no se discrimina ni se caracterizan a que junta de acción pertenece</t>
  </si>
  <si>
    <t>-</t>
  </si>
  <si>
    <t>Se convoca a comité con los lideres de Accion Comunaly los comuneros para la realizacion del Dia del Campesino (16 y 17 caimalito, puesto caldas, altagracia, morelia, la palmilla, Arabia)
(22 y 23 Combia Alta, El Pital de Combia, Combia Baja, La Florida, La Bella, Tribunas)</t>
  </si>
  <si>
    <t>Informes y evidencias del contrato celebrado para la realización de los eventos del día del campesino</t>
  </si>
  <si>
    <t xml:space="preserve">Se presta asistencia técnica a los productores del municipio de Pereira con el fin de mejorar la producción, rentabilidad y calidad en sus productos </t>
  </si>
  <si>
    <t>Informes de actividades del personal encargardo de realizar la asistencia técnica</t>
  </si>
  <si>
    <t>Se realizan actividades de implementación Buenas practicas agricolas y pecuarias.
Se llevan 135,5  ha reforestadas.
Asistencia técnica agropecuaria.
Aplcación del acuerdo 042 sobre incentivos tributarios.</t>
  </si>
  <si>
    <t xml:space="preserve">El programa de asistencia técnica tuvo una inversión total de 2.443.178.000 en los cuales estan incluidos todos los productores sin caracterizar por lo cual no se tienen discriminados por tipo de producción </t>
  </si>
  <si>
    <t>Servicio de asistencia, estrategias de acceso al mercado local, incluida en el programa "Hecho en Pereira, Lo Compro"</t>
  </si>
  <si>
    <t>10 estufas ecológicas, 35 módulos semintegrados, 24 tanques para aguas lluvias</t>
  </si>
  <si>
    <t>Informes de actividades del personal encargardo de realizar las labores de capacitación y construcción</t>
  </si>
  <si>
    <t>El año 2018, cierra con 93 predios implementando y con diferentes grados de avance en el porcentaje de ejecución de BPA. Para un total acumulado de 508 predios.
Para la implementación de las buenas practicas agropecuarias se realizan capacitaciones, acompañamiento y asistencia técnica para el manejo de residuos liquidos y solidos, bienestar de trabajadores, calidad y manejo del agua, manejo integrado del cultivo, equipos, utensilios y herramientas adecuadas y áreas e instalaciones requeridas para producir alimentos con calidad e inocuidad.</t>
  </si>
  <si>
    <t>Informes del personal encargados de realizar las actividades para la certificación de Buenas prácticas agropecuarios.
Soportes de las certificaciones entregadas.</t>
  </si>
  <si>
    <t>Informe de los contratos celebrados para la construcción de los elementos</t>
  </si>
  <si>
    <t>Esta actividad no es competencia de la Secretaría de Desarrollo Rural y Gestión Ambiental</t>
  </si>
  <si>
    <t>Se realiza convenio para la financiación de proyectos de producción, comercialización o Agroindustria a través de operaciones de redescuento entre el municipio de Pereira y el Fondo para el financiermiento de sector agropeciario Finagro y el Banco Agrario de Colombia S.A</t>
  </si>
  <si>
    <t>Soportes de solicitudes de creditos y creditos aprobados por el Banco Agrario</t>
  </si>
  <si>
    <t>Se tienen 52 creditos vigentes en lo que va corrido del convenio</t>
  </si>
  <si>
    <t>Se constituyo la asociación ASOLACP con la cual se fortalece la cadena productiva de los lácteos en el municipio de pereira</t>
  </si>
  <si>
    <t>Informes de actividades del personal encargado del acompañamiento de esta asociación</t>
  </si>
  <si>
    <t>Al iniciar la administración en el año 2016 se atendian 10 Asociaciones con 393 Asociados; hoy estamos atendiendo 18 asociaciones con un total 583 asociados, lo que nos dá un incremento de 48,34% en número de asociados. Se realiza el mercado campesino que apoya la comercialización de productos agrícolas y apoyo desde la SDRGA con Camión para todas asociaciones</t>
  </si>
  <si>
    <t>Informes de actividades del personal acargo del proyecto de implementación del cluster agroindustrial</t>
  </si>
  <si>
    <t>Para este periodo se han realizado 912 visitas lo que nos ha permito actualizar 1.759 hectáreas de pasto y 1975 hectáreas de cultivo, que sumado a lo realizado en años anteriores tenemos una radiografía de la zona rural, en donde se identifica que 15.838,07 hectáreas del municipio están dedicas a cultivos y 20.260,5 hectáreas están destinadas a pasto, para un total de 36.098,57</t>
  </si>
  <si>
    <t>Informes de actividades de personal encargado de realizar visitas e información cargada en el sistema de información SISAA</t>
  </si>
  <si>
    <t>Esta actividad esta incluida dentro del presupuesto destinado para la asistencia técnica puesto que son los técnicos quienes actualizan el sistema de información SISAA</t>
  </si>
  <si>
    <t>Todos los productos cultivados y producidos en los corregimientos son comercializados en la zona urbana, por lo cual no se tiene un programa de autoabastecimiento urbano y rural</t>
  </si>
  <si>
    <t>Informes de actividades del personal encargado de realizar la asistencia técnica integral</t>
  </si>
  <si>
    <t>La Secretaría no tiene competencia en esta actividad.</t>
  </si>
  <si>
    <t>Para la implementación de las buenas practicas agropecuarias se realizan capacitaciones, acompañamiento y asistencia técnica para el manejo de residuos liquidos y solidos, bienestar de trabajadores, calidad y manejo del agua, manejo integrado del cultivo, equipos, utensilios y herramientas adecuadas y áreas e instalaciones requeridas para producir alimentos con calidad e inocuidad.</t>
  </si>
  <si>
    <t>Se celebraron convenios con Comité de Cafeteros, Asocolflores, y Porkolombia para brindar asistencia técnica a productores con base en las regulaciones</t>
  </si>
  <si>
    <t>Informes de convenios de Comité de cafeteros, Asocolflores y Porkolombia</t>
  </si>
  <si>
    <t>La resolución 187 no se aplica en las actividades propias de la secretaria.</t>
  </si>
  <si>
    <t xml:space="preserve"> POLÍTICA PÚBLICA DE SALUD SEXUAL Y REPRODUCTIVA</t>
  </si>
  <si>
    <t>LÍNEAS DE INTERVENCIÓN</t>
  </si>
  <si>
    <t>ESTRATEGIAS</t>
  </si>
  <si>
    <t>INDICADORES DE RESULTADO</t>
  </si>
  <si>
    <t>ACCIONES
 PRODUCTOS</t>
  </si>
  <si>
    <t>REPORTE EJECUCIÓN META DE RESULTADO</t>
  </si>
  <si>
    <t>META 2018 DE LA ACCIÓN</t>
  </si>
  <si>
    <t>META 2021</t>
  </si>
  <si>
    <t>SALUD MATERNA</t>
  </si>
  <si>
    <t>ESTRATEGIAS IEC</t>
  </si>
  <si>
    <t>Razón de mortalidad materna</t>
  </si>
  <si>
    <t>Promoción de derechos y deberes de hombre y mujeres en cuanto a los servicios de consulta preconcepcional, control prenatal, curso profiláctico, parto, puerperio y atención a menores de un año</t>
  </si>
  <si>
    <t>Mantener por debajo de 18,5 la razón de mortalidad materna por cada 100.000 nacidos vivos</t>
  </si>
  <si>
    <t>Actas de visita
Listas de chequeo
Informe ejecutivo de visitas
Actas de unidades de analálisis
Seguimiento a planes de mejoramiento</t>
  </si>
  <si>
    <t>En el año 2018 se presentaron 0 muertes maternas directas por causas evitables</t>
  </si>
  <si>
    <t>IPS y EAPB</t>
  </si>
  <si>
    <t>Prestación de Servicios de Salud y Administradoras de planes de beneficios en salud</t>
  </si>
  <si>
    <t xml:space="preserve">Mortalidad materna directo evitable </t>
  </si>
  <si>
    <t>Promoción de la detección oportuna de signos de alarma en la gestación</t>
  </si>
  <si>
    <t>Realizar acciones de demanda inducida para asistencia a control prenatal en zonas intervenidas por estrategia de atención primaria en salud.</t>
  </si>
  <si>
    <t xml:space="preserve">Orientación a las gestantes captadas por la estrategia APS sobre los signos de alarma por los cuales consultar a los servicios de urgencias  </t>
  </si>
  <si>
    <t>Registros aplicativo SISAP
Registros SPP</t>
  </si>
  <si>
    <t>Implementación de estrategias de IEC para inducir la demanda hacia los servicios de control prenatal y SSR que ofrecen APV</t>
  </si>
  <si>
    <t>Desarrollo de estrategias  de informacion, educacion y comunicación para mejorar la demanda a los servicios de salud sexual y reproductiva que incluyen el control prenatal y la APV</t>
  </si>
  <si>
    <t>Al interior del control prenatal se debe garantizar la (APV) Asesoria para prueba Voluntaria de VIH con el objetivo de disminuir la transmision materno infantil de VIH</t>
  </si>
  <si>
    <t>Tasa de mortalidad neonatal</t>
  </si>
  <si>
    <t>Promoción del ingreso oportuno al control prenatal</t>
  </si>
  <si>
    <t>Reducir la Tasa de mortalidad neonatal a 4,4 x 1000. N.V</t>
  </si>
  <si>
    <t xml:space="preserve"> Realizar  visitas de vigilancia epidemiológica al 100% de mortalidad materna y mortalidad perinatal 
Realizar unidades de análisis al 100% casos de  mortalidad perinatal y sífilis congénita
Realizar 76  visitas a las  IPS  para verificar el cumplimiento de la normatividad frente al programa  de deteccion temprana de alteraciones del embarazo
</t>
  </si>
  <si>
    <t>Tasa de mortalidad perinatal 3,3 por cada 1000 nacidos vivos</t>
  </si>
  <si>
    <t>Promoción de la participación de los hombres en el cuidado de las gestantes en cada una de las etapas de la gestación y en el cuidado de los niños menores de un año</t>
  </si>
  <si>
    <t>Realizar 76  visitas a las  IPS  para verificar el cumplimiento de la normatividad frente al programa  de deteccion temprana de alteraciones del embarazo</t>
  </si>
  <si>
    <t>Se verifica la promocion, captacion e ingreso oportuno al control prenatal</t>
  </si>
  <si>
    <t>Actas de visitas
Informes ejecutivos
Planes de Mejoramiento</t>
  </si>
  <si>
    <t>Tasa de mortalidad perinatal</t>
  </si>
  <si>
    <t>Promoción del acceso a servicios de salud para gestantes y desestimulo de la automedicación y de la consulta con personal no calificado</t>
  </si>
  <si>
    <t>Difusión del contenido de la sentencia C-355 de 2006 en todos los actores</t>
  </si>
  <si>
    <t xml:space="preserve">COORDINACIÓN INSTITUCIONAL </t>
  </si>
  <si>
    <t>Cobertura de control prenatal (cuatro controles)</t>
  </si>
  <si>
    <t>Formación del talento humano para la garantía de los derechos de las gestantes y la prestación de servicios de calidad</t>
  </si>
  <si>
    <t>formulación de planes de seguimiento, prevención y control a la mortalidad materna con las empresas promotoras de salud.</t>
  </si>
  <si>
    <t xml:space="preserve"> Realizar  visitas de vigilancia epidemiológica al 100% de mortalidad materna y mortalidad perinatal </t>
  </si>
  <si>
    <t>Verificacion del aplicativo de reporte SIVIGILA, seguimiento a los casos notificados</t>
  </si>
  <si>
    <t>No se presentaron casos de mortalidad materna por causas directas</t>
  </si>
  <si>
    <t>Fortalecimiento de los procesos de asistencia técnica, incluyendo el plan de eliminación de sífilis gestacional y congénita</t>
  </si>
  <si>
    <t xml:space="preserve">Realizar seguimiento epidemiológico al 100% de casos notificados por SIVIGILA como sífilis gestacional y congénita </t>
  </si>
  <si>
    <t>Verificacion del aplicativo de reporte SIVIGILA, seguimiento a los casos notificados en campo y en las IPS notificadoras</t>
  </si>
  <si>
    <t>Actas de visitas
Actas de unidades de analisis</t>
  </si>
  <si>
    <t>1 caso de sifilis congénita</t>
  </si>
  <si>
    <t>Implementación y seguimiento de la vigilancia de la morbilidad materna extrema</t>
  </si>
  <si>
    <t>Seguimiento al 100% de los casos notificados de Morbilidad Materna Extrema (MME)</t>
  </si>
  <si>
    <t>Se realiza seguimiento a los casos de morbilidad materna extrema reportados de forma inmediata por las UPGD (Unidades Primarias Generadoras de Datos)</t>
  </si>
  <si>
    <t>Informes de seguimiento</t>
  </si>
  <si>
    <t>Se realiza seguimiento a las EAPB con base en la notificacion inmediata del programa SIVIGILA para que den continuidad al seguimiento de la MME según el protocolo nacional</t>
  </si>
  <si>
    <t>Desarrollar estrategias de búsqueda activa de gestantes</t>
  </si>
  <si>
    <t>Busqueda activa de gestantes con la estrategia APS, en comunidades priorizadas por la estrategia casa Sana, seguimiento a la captacion y canalizacion a los servicios de salud en articulacion con el programa de SSR y la lider de maternidad segura</t>
  </si>
  <si>
    <t>FORTALECIMIENTO DE LA GESTIÓN</t>
  </si>
  <si>
    <t>realizar acciones de movilización social para la sensibilización a directivos y técnicos sobre barreras de acceso realacionadas con la atención integral en salud sexual y reproductiva, con énfasis en población de adolescentes y jóvenes.</t>
  </si>
  <si>
    <t>Realizar 70 visitas de asistencia técnica  a IPS para verificar cumplimiento de la normatividad sobre control del joven y planificación familiar</t>
  </si>
  <si>
    <t>Visitas de asistencia tecnica para la implementacion y seguimiento a la norma tecnica de deteccion de alteraciones del joven en las EAPB e IPS del municipio que prestan este servicio</t>
  </si>
  <si>
    <t xml:space="preserve">IPS </t>
  </si>
  <si>
    <t>Atencion de servicios de salud para la promocion de la planificacion familiar</t>
  </si>
  <si>
    <t>Pereira</t>
  </si>
  <si>
    <t>Articulación del programa de salud materna con la estrategia de APS</t>
  </si>
  <si>
    <t>Las visitas comprenden caracterizacion de la familia, identificacion de factores de riesgo e intervenciones educativas y seguimiento con base en las necesidades familiares e individuales</t>
  </si>
  <si>
    <t>Ficha de caracterizacion de familias</t>
  </si>
  <si>
    <t>Implementación y seguimiento de modelos de gestión clínica para la calidad de los servicios de obstetricia en todos los niveles de complejidad del sistema</t>
  </si>
  <si>
    <t>Incrementar al 95%  las gestantes con 4 o más controles prenatales</t>
  </si>
  <si>
    <t>La asistencia tecnica comprende ademas verificacion de las condiciones necesarias para la atencion adecuada del binomio madre e hijo, y el ingreso oportuno a control prenatal</t>
  </si>
  <si>
    <t>Garantizar la provisión de servicios, procedimientos y suplementos necesarios para salud optima de la gestante y el recién nacido.</t>
  </si>
  <si>
    <t>La asistencia tecnica comprende ademas verificacion de las condiciones  necesarias para la atencion adecuada del binomio madre e hijo</t>
  </si>
  <si>
    <t>Atención oportuna de IVE</t>
  </si>
  <si>
    <t>Promoción y seguimiento al cumplimiento de las guías de atención, incluidas aquellas relacionadas con IVE y postaborto</t>
  </si>
  <si>
    <t>Durante las visitas de asistencia tecnica se verifica que el recurso humano encarga de atencion y control a las gestantes tenga las competencias y capacidades para brindar una atencion de calidad, que incluye brindar informacion sobre las diferentes opciones reproductivas, incluyendo la IVE en los casos que aplique</t>
  </si>
  <si>
    <t>la asistencia tecnica comprende ademas verificacion de las condiciones minimas necesarias para la atencion adecuada del binomio madre e hijo</t>
  </si>
  <si>
    <t xml:space="preserve">PROMOCIÓN DE LA PARTICIPACIÓN SOCIAL </t>
  </si>
  <si>
    <t>Promoción de los sistemas de preguntas, quejas y reclamos en la población gestante.</t>
  </si>
  <si>
    <t xml:space="preserve">Formación a los miembros de ligas de usuarios de EPS e IPS y COPACO en la promoción y garantía de derechos de las gestantes y la prestación de servicios de calidad </t>
  </si>
  <si>
    <t>Fortalecer las redes de apoyo social (nodos) en la promoción de la salud materna</t>
  </si>
  <si>
    <t>PLANIFICACIÓN FAMILIAR</t>
  </si>
  <si>
    <t xml:space="preserve">Tasa de sífilis gestacional </t>
  </si>
  <si>
    <t>Promoción de derechos y deberes de hombre y mujeres en cuanto a servicios de planificación</t>
  </si>
  <si>
    <t>Actividades educativas para la promocion de los servicios de SSR</t>
  </si>
  <si>
    <t>Jornadas integrales de promocion de la SSR que incluye identifacion de riesgo reproductivo y activacion de rutas de atencion en el sistema de salud</t>
  </si>
  <si>
    <t>Registros SPP
Registros Aplicativo SISAP</t>
  </si>
  <si>
    <t>Desarrollo de acciones encaminadas a superar los mitos y barreras en cuanto los métodos anticonceptivos en hombres y mujeres</t>
  </si>
  <si>
    <t>Jornadas integrales de promocion de la SSR que incluye identifacion de riesgo reproductivo y activacion de rutas de atencion en el sistema de salud, se hace enfasis en las asesorias de planificacion familiar y los diferentes metodos anticonceptivos</t>
  </si>
  <si>
    <t xml:space="preserve">Desarrollo de un programa especializado de promoción de uso de MAC y planificación familiar dirigido a hombres y mujeres adolescentes y jóvenes </t>
  </si>
  <si>
    <t>Las visitas de asistencia tecnica del componente de planificacion familiar verifican la garantia de la promocion de uso de MAC y seguimiento en los programas de planificacion familiar</t>
  </si>
  <si>
    <t>Promoción de la participación de los hombres en los procesos de planificación familiar y en especial en el fomento del uso del condón como mecanismo de doble protección</t>
  </si>
  <si>
    <t>Las visitas de asistencia tecnica del componente de planificacion familiar verifican la garantia de la promocion de uso de MAC y seguimiento en los programas de planificacion familiar, además refuerzo del uso del preservativo como doble proteccion</t>
  </si>
  <si>
    <t>Fomento de la capacidad de negociación y decisión de las mujeres sobre la cantidad de hijos que se desea tener</t>
  </si>
  <si>
    <t>Las visitas de asistencia tecnica del componente de planificacion familiar verifican la garantia de la promocion de uso de MAC y promocion de derechos sexuales y reproductivos</t>
  </si>
  <si>
    <t>Fortalecer los proyectos de educación sexual y construcción de ciudadanía como mecanismos para la promoción de los servicios de planificación familiar en población adolescentey joven</t>
  </si>
  <si>
    <t>Implementar sistemas de seguimiento a coberturas</t>
  </si>
  <si>
    <t>Garantizar la oportunidad y disponibilidad de los servicios de planificación familiar, así como el suministro de MAC, incluyendo métodos de emergencia</t>
  </si>
  <si>
    <t>Las visitas de asistencia tecnica del componente de planificacion familiar verifican la garantia de la promocion de uso y entrega oportuna y suficiente de MAC y promocion de derechos sexuales y reproductivos</t>
  </si>
  <si>
    <t>Articulación del programa de planificación familiar con la estrategia de APS</t>
  </si>
  <si>
    <t>Realizar acciones de demanda inducida para asistencia a planificación familiar  en zonas intervenidas por estrategia de atención primaria en salud.</t>
  </si>
  <si>
    <t>Incluir en las actividades de planificación familiar la consulta preconcepcional como estrategia efectiva para el tratamiento de patologías previas a la gestación, con especial énfasis en sífilis.</t>
  </si>
  <si>
    <t>Las visitas de asistencia tecnica del componente de planificacion familiar verifican la garantia de la promocion de uso y entrega oportuna y suficiente de MAC y promocion de derechos sexuales y reproductivos, ademas identificacion oportuna de riesgos en las mujeres con alto riesgo obstétrico</t>
  </si>
  <si>
    <t>Fortalecimiento de servicios amigables para adolescentes en el municipio de Pereira</t>
  </si>
  <si>
    <t>Las visitas de asistencia tecnica del componente del joven se acompaña a las instituciones para fortalecer la atencion de los adolescentes y jovenes, a través de la implementacion de la estrategia de Servicios Amigables para Adolescentes y Jovenes (SAAJ)</t>
  </si>
  <si>
    <t>Promover el acceso servicios de planificación familiar en organizaciones sociales y comunitarias, estudiantiles (incluyendo eduación superior ) y organizaciones de mujeres</t>
  </si>
  <si>
    <t>Desarrollo de procesos que propicien el empoderamiento y participación de las mujeres sobre su propia salud sexual y reproductiva</t>
  </si>
  <si>
    <t>Fortalecer las redes de apoyo social (nodos) en la promoción de la salud planificación familiar.</t>
  </si>
  <si>
    <t xml:space="preserve">SALUD SEXUAL Y REPRODUCTIVA EN ADOLESCENTES Y JÓVENES </t>
  </si>
  <si>
    <t>Porcentaje de embarazos en adolescentes</t>
  </si>
  <si>
    <t>Desarrollo de estrategias IEC que fomenten las competencias ciudadanas en el marco de los proyectos de educación sexual y construcción de ciudadanía</t>
  </si>
  <si>
    <t>Registro SPP
Registo aplicativo SISAP
1372 seguidores en la fanpage
Registro fotograficos y videos</t>
  </si>
  <si>
    <t>Promoción de los servicios amigables para el adolescente y el joven</t>
  </si>
  <si>
    <t>Estrategia Senderos de la Sexualidad desarrollada en escuelas y colegios del municipio</t>
  </si>
  <si>
    <t>Se realizan actividades de informacion, educacion y comunicación en escuelas y colegios a través del PESCC, desde alli se promociona la asistencia a los programas en salud para la atencion de los adolescentes y jovenes</t>
  </si>
  <si>
    <t>Registro SPP
Registo aplicativo SISAP</t>
  </si>
  <si>
    <t xml:space="preserve">Fortalecer los proyectos de educación sexual y construcción de ciudadanía </t>
  </si>
  <si>
    <t>Asistir tecnicamente para fortalecer los Programas de Educacion para la Sexualidad y Construccion de Ciudadanía en conjunto con la Secretaria de Educacion municipal</t>
  </si>
  <si>
    <t>Participación activa en los encuentros PEESC con la Secretaria de Educación</t>
  </si>
  <si>
    <t>Actas de reunion</t>
  </si>
  <si>
    <t>Institucines Educativas</t>
  </si>
  <si>
    <t>Desarrollo del Programa de Educacion para la Sexualidad y Construccion de Ciudadania</t>
  </si>
  <si>
    <t>Hacer seguimiento a la implementación de las normas técnicas relacionadas.</t>
  </si>
  <si>
    <t>Reducir a 17% el porcentaje de embarazo en mujeres entre los 15 y 19 años de edad</t>
  </si>
  <si>
    <t>Actividades educativas de promocion de la sexualidad sana y responsable en adolescentes con la estrategia de APS</t>
  </si>
  <si>
    <t xml:space="preserve">Implementar programas de educación sexual y construcción de ciudadanía en universidades </t>
  </si>
  <si>
    <t>Brindar asistencia técnica a EPS e IPS</t>
  </si>
  <si>
    <t>Desarrollar investigaciones sobre la salud sexual y salud reproductiva de adolescente y jóvenes.</t>
  </si>
  <si>
    <t>Implementación y seguimiento a los servicios amigables para adolescentes.</t>
  </si>
  <si>
    <t>Articulación del programa de salud sexual en adolescentes y jóvenes con la estrategia de APS</t>
  </si>
  <si>
    <t>Realizar acciones de demanda inducida para asistencia a control de joven en zonas intervenidas por estrategia de atención primaria en salud.</t>
  </si>
  <si>
    <t>Desarrollo de estrategia de IEC para prevencion del embarazo adolescente con poblacion de 10 a 17 años tanto hombre como mujeres</t>
  </si>
  <si>
    <t>Formación del talento humano para la implementación del enfoque diferencial en salud sexual y reproductiva.</t>
  </si>
  <si>
    <t>Desarrollo de proyectos de educación sexual y construcción de ciudadanía con enfoque comunitario y de carácter extramurales.</t>
  </si>
  <si>
    <t>Desarrollar programas de formación de dinamizadores juveniles en salud sexual y salud reproductiva</t>
  </si>
  <si>
    <t>Fortalecer las redes de apoyo social (nodos) en la promoción de la salud sexual del adolescente y el joven</t>
  </si>
  <si>
    <t>Mortalidad de cáncer de próstata</t>
  </si>
  <si>
    <t>Difusión de información a la población general sobre la incidencia del cáncer de próstata, cérvix y mama y los factores protectores.</t>
  </si>
  <si>
    <t>Difusión en hombres sobre su papel en la prevención de la transmisión del VPH y su relación con el cáncer de cuello uterino</t>
  </si>
  <si>
    <t>Educación en prevención y detección de cáncer de cuello uterino y cáncer de mama a 12.000 familias intervenidas por la estrategia de atencion primaria en salud.</t>
  </si>
  <si>
    <t>La estrategia educativa para la prevencion, deteccion temprana y atencion oportuna del cancer de cuello uterino comprende el involucramiento de la pareja en la responsabilidad y la concertacion del uso del preservativo para prevenir las ITS</t>
  </si>
  <si>
    <t>Desarrollo de estrategias IEC para superar los mitos y creencias frente a la citología y examen de próstata, dirigidas a hombres, mujeres y mujeres gestantes.</t>
  </si>
  <si>
    <t>La estrategia educativa para la prevencion, deteccion temprana y atencion oportuna del cancer de cuello uterino y de próstata, incluyen desmitificación al respecto de los procedimientos que se realizan en estos tamizajes y la importancia de los mismos</t>
  </si>
  <si>
    <t>Realizar visitas a las 41  IPS para verificar normatividad frente a la operación del programa de  cáncer de mama y cérvix</t>
  </si>
  <si>
    <t>Durante las visitas de asistencia técnica se revisan protocolos de atencion para garantizar una adecuada adherencia a las guias de manejo de la atencion de cáncer cervical y cáncer de mama</t>
  </si>
  <si>
    <t>IPS que brindan atencion para la deteccion temprana y control oportuno del cancer de cuello uterino y de mama</t>
  </si>
  <si>
    <t>Desarrollar acciones encaminadas al control del riesgo.</t>
  </si>
  <si>
    <t>Realizar unidades de análisis de casos de morbilidad por cáncer de mama y cérvix.</t>
  </si>
  <si>
    <t>Se realizan unidades de análisis de los casos de mortalidad por cancer de mama y cervix y se realizan planes de mejoramiento con base en los hallazgos 
Seguimiento a la creacion y la implementacion de las rutas de atencion para la prevencion y atencion  del cáncer cervical y de mama</t>
  </si>
  <si>
    <t xml:space="preserve">Actas de unidad de análisis
Planes de mejoramiento
</t>
  </si>
  <si>
    <t>Diseñar y ejecutar acciones encaminadas a mejorar la toma, lectura e interpretación de los resultados obtenidos a partir de las citologías cérvico-uterina</t>
  </si>
  <si>
    <t>Mantener por debajo de 6,9 x 100.000 mujeres la tasa de mortalidad por cáncer de cérvix</t>
  </si>
  <si>
    <t>durante las visitas de asistencia técnica se verifica que el personal que realiza la toma de la citologia cervico uterina este entrenado, certificado y que realice el procedimiento conforme las guia vigente para tal fin</t>
  </si>
  <si>
    <t xml:space="preserve">Actas de visita
Listas de chequeo
Planes de Mejoramiento
</t>
  </si>
  <si>
    <t>Desarrollo del programa de deteccion temprana de cancer de cuello uterino</t>
  </si>
  <si>
    <t>Implementación de sistemas de seguimiento a personas con tamizaje positivo</t>
  </si>
  <si>
    <t>Seguimiento y acompañamiento a la cohorte de casos positivos desde 2016 a 2018</t>
  </si>
  <si>
    <t>soportes de seguimiento telefónico
actas de visita
Cohorte mama y cérvix</t>
  </si>
  <si>
    <t>Mortalidad de cáncer de mama</t>
  </si>
  <si>
    <t>VIH</t>
  </si>
  <si>
    <t xml:space="preserve">Tasa de sífilis congénita </t>
  </si>
  <si>
    <t>Diseño y desarrollo de estrategias de IEC dirigida a los y las jóvenes, y población mayor de 45 años, en los ámbitos escolar, comunitario y social que promuevan el ejercicio autónomo , responsable y placentero de la sexualidad</t>
  </si>
  <si>
    <t xml:space="preserve"> Reducir a 1,5 x 1000 N.V  la tasa de incidencia de sífilis congénita</t>
  </si>
  <si>
    <t>Actas de visitas y Actas de seguimiento
Actas de unidades de análisis</t>
  </si>
  <si>
    <t>Se logró reducir a 0,15 x 1000 nacidos vivos la tasa de sífilis congénita, que significa solo un caso ocurrido en el municipio de Pereira en el 2018</t>
  </si>
  <si>
    <t>Desarrollo de estrategias IEC para promoción de la prueba voluntaria</t>
  </si>
  <si>
    <t>Desarrollo de estrategias IEC para la superación del estigma y discriminación de las personas que viven con VIH</t>
  </si>
  <si>
    <t>Realizar acciones de demanda inducida para realización de  de la prueba voluntaria de VIH en zonas intervenidas por estrategia de atención primaria en salud.</t>
  </si>
  <si>
    <t>Realizar visitas de educacion mediante unidad didáctica para la prevencion de VIH</t>
  </si>
  <si>
    <t>Registros SPP
Registros aplicativo SISAP</t>
  </si>
  <si>
    <t>Desarrollo de acciones encaminadas a la superaración del estigma y la discriminación.</t>
  </si>
  <si>
    <t>fortalecer los proyectos de educación sexual y construcción de ciudadanía</t>
  </si>
  <si>
    <t xml:space="preserve">Instituciones educativas </t>
  </si>
  <si>
    <t>Puesta en marcha de los programas de educacion para la sexualidad y construccion de ciudadania</t>
  </si>
  <si>
    <t>Hacer seguimiento a la implementación de las normas técnicas relacionadas</t>
  </si>
  <si>
    <t>La asistencia tecnica comprende ademas verificacion de las condiciones minimas necesarias para la atencion adecuada del binomio madre e hijo</t>
  </si>
  <si>
    <t>Garantizar el aseguramiento de las personas que viven con VIH.</t>
  </si>
  <si>
    <t>Garantizar el aseguramiento de las personas que viven con VIH</t>
  </si>
  <si>
    <t>Registro SIVIGILA</t>
  </si>
  <si>
    <t>36 personas con Dx de VIH sin aseguramiento</t>
  </si>
  <si>
    <t>Formación del talento humano de acuerdo con los modelos de gestión programáticos y guías de atención integral vigentes (adultos y niñez) y el plan de respuesta intersectorial de VIH y SIDA</t>
  </si>
  <si>
    <t>Comités de Salud Sexual y Reproductiva
Mesa de trabajo para la implementación del plan de respuesta local frente al VIH</t>
  </si>
  <si>
    <t>Se realizaron las actividades de informacion y comunicación en plan de respuesta frente al VIH con los diferentes actores del sistema</t>
  </si>
  <si>
    <t>Implementación de mecanismos de seguimiento y control a gestantes que viven con VIH y a recién nacidos con madres que viven con VIH</t>
  </si>
  <si>
    <t xml:space="preserve">Realizar unidades de análisis al 100% de los casos de mortalidad materna y transmision vertical de VIH, mortalidad por VIH y hepatitis B
Realizar seguimiento epidemiológico al 100% de casos de gestantes con VIH y recien nacidos expuestos </t>
  </si>
  <si>
    <t xml:space="preserve">No se presentaron casos </t>
  </si>
  <si>
    <t>Divulgación y capacitación al personal de salud en la implementación del protocolo de manejo profiláctico y terapéutico de transmisión perinatal del VIH</t>
  </si>
  <si>
    <t>Se realizaron las actividades de informacion y comunicación en plan de respuesta frente al VIH, algoritmos diagnosticos y guia de practica clinica,  con los diferentes actores del sistema</t>
  </si>
  <si>
    <t>IPS 
IPS de atencion integral
EAPB</t>
  </si>
  <si>
    <t>Prestacion de servicios y administracion de recursos de salud</t>
  </si>
  <si>
    <t>Capacitación al recurso humano en salud de las EPS e IPS en los contenidos técnicos para el abordaje sindrómico de las ITS</t>
  </si>
  <si>
    <t>Fortalecimiento del sistema de vigilancia y notificación.</t>
  </si>
  <si>
    <t xml:space="preserve">Realizar 100% Seguimiento a usuarios inhaderentes al tratamiento de VIH </t>
  </si>
  <si>
    <t xml:space="preserve">Actas de visita 
</t>
  </si>
  <si>
    <t>Articulación de los programas de prevención de VIH con la estrategia de APS</t>
  </si>
  <si>
    <t>Fortalecimiento de redes de jóvenes por los derechos sexuales y reproductivos que promuevan una sexualidad segura, responsabe y placentera</t>
  </si>
  <si>
    <t>Capacitación de grupos de base comunitaria para la promoción de los derechos sexuales y reproductivos y la prevención de las ITS, VIH y SIDA, especialmente los relacionados con poblaciones caracterizadas por mayor vulnerabilidad</t>
  </si>
  <si>
    <t>Realizar educación en salud y actividades de movilización social en grupos como trabajadoras sexuales, comunidad LGTB, entre otros.</t>
  </si>
  <si>
    <t>Actividades educativas para promocionar los derechos sexuales y reproductivos, uso adecuado y constantes del preservativo</t>
  </si>
  <si>
    <t>Incidencia de VIH</t>
  </si>
  <si>
    <t>Fortalecimiento de las organizaciones de personas que viven con VIH.</t>
  </si>
  <si>
    <t>Realizar visitas de asistencia técnica, seguimiento y acompañamiento en las 12 EPS frente a la implementación del plan nacional de respuesta ante las ITS VIH/SIDA, incluyendo acciones colaborativas con tuberculosis</t>
  </si>
  <si>
    <t>Se realizaron actividades para socializacion e implementacion del plan de respuesta frente al VIH, en el las cuales se incluyeron PVVIH para fortalecer su participacion en espacios municipales y que sus organizaciones y/o grupos de apoyo se fortalezcan con la participacion de los entes gubernamentales</t>
  </si>
  <si>
    <t>EAPB</t>
  </si>
  <si>
    <t>Administrar los recursos del sistema de salud para las Personas que Viven con el VIH (PVVIH)</t>
  </si>
  <si>
    <t>Fortalecer las redes de apoyo social (nodos) en la prevención del VIH y la promoción de la prueba voluntaria</t>
  </si>
  <si>
    <t>VIOLENCIA INTRAFAMILIAR (VIF) Y SEXUAL (VS)</t>
  </si>
  <si>
    <t xml:space="preserve">Tasa de delitos sexuales </t>
  </si>
  <si>
    <t>Se debe establecer a partir de la líne BASE Y METAS FORMULADAS POR EL Observatorio Nacional de violencias ( cfr. Conpes 140 de 2011)</t>
  </si>
  <si>
    <t xml:space="preserve">Realizar actividades educativas para fomentar la estrategia CAIVAS  y CAVIF,  como herramientas sociales de restablecimientos de derechos vulnerados por violencia  sexual e intrafamiliar. </t>
  </si>
  <si>
    <t>Actividades de promocion, prevencion, y atencion que contribuyen a reconocer la VS y la VIF como hechos intolerable en nuestra sociedad, y a generar la cultura de la denuncia</t>
  </si>
  <si>
    <t xml:space="preserve">Tasa de violencia intrafamiliar </t>
  </si>
  <si>
    <t>Desarrollar estrategias de comunicación socila y comunitaria que contribuyan a reconocer la VIF y la VS como intolerables sociales.</t>
  </si>
  <si>
    <t>Desarrollar estrategias de promoción de habilidades para la vida en niños, niñas, familias y comunidad.</t>
  </si>
  <si>
    <t>Desarollar estrategias IEC  para la promoción y defensa de los derechos de las mujeres</t>
  </si>
  <si>
    <t>Desarrollar estrategias IEC para la promoción de nuevas masculinidades</t>
  </si>
  <si>
    <t>Fortalecer los programas de educación sexual y construcción de ciudadanía (PESCC) como estrategias para la prevención del abuso sexual en niños y niñas.</t>
  </si>
  <si>
    <t>consolidar un sistema de vigilancia intersectorial que apoye la garantía de derechos de la población</t>
  </si>
  <si>
    <t xml:space="preserve">Incorporar en las rutas y protocolos de atención de las instituciones el enfoque diferencial </t>
  </si>
  <si>
    <t>Visitas de asistencia técnica a IPS y EAPB del municipio en los componentes de SSR</t>
  </si>
  <si>
    <t>En las visitas de asistencia tecnica se promueve la incorporacion del enfoque diferencial en la atencion a todos los individuos</t>
  </si>
  <si>
    <t>Actas de visita
Informes ejecutivos</t>
  </si>
  <si>
    <t>Realizar 20 visitas a las  IPS con servicios de Urgencias para verificar el cumplimiento de la normatividad frente a la atención a victimas de violencia sexual</t>
  </si>
  <si>
    <t xml:space="preserve">Se realizan visitas de vigilancia y seguimiento para garantiza la atencion adecuada de las victima de VS o VIF. </t>
  </si>
  <si>
    <t>Actas de visita
Planes de mejoramiento</t>
  </si>
  <si>
    <t>No se cumple la meta debido a que cierran dos centros de atencion de urgencias en el municipio</t>
  </si>
  <si>
    <t>Atención integral a víctimas de violencia</t>
  </si>
  <si>
    <t>Implantar un sistema departamental de información Para la detección, seguimiento y monitoreo de casos de VIF y VS</t>
  </si>
  <si>
    <t>Elevar las capacidades del talento humano de las instituciones competentes para la prevención, atención integral y detención, y vigilancia de la VS y la VIF</t>
  </si>
  <si>
    <t>Fortalecer el CAIVAS  y el CAVIF</t>
  </si>
  <si>
    <t>Articulación de los programas de prevención y detección de la violencia sexual e intrafamiliar con la estrategia APS</t>
  </si>
  <si>
    <t>Capacitar a actores institucionales y comunitarios en la detección temprana de casos de VS y VIF, rutas de atención y prevención de la VS y VIF</t>
  </si>
  <si>
    <t xml:space="preserve">Fortalecer las redes de apoyo social (nodos) en la prevención de la violencia sexual y la violencia intrafamiliar, la detección y la denuncia </t>
  </si>
  <si>
    <t>Unidades de análisis al 100% casos de  mortalidad perinatal y sífilis congénita,visitas de vigilancia epidemiológica al 100% de mortalidad materna y mortalidad perinatal,  visitas a IPS  para verificar el cumplimiento de la normatividad frente al programa  de deteccion temprana de alteraciones del embarazo y Desde la estrategia casa sana se visitaron 12 mil familias donde se verifica asistencia a control prenatal y educacion en signos de alarma</t>
  </si>
  <si>
    <t>No se presentaron muertes maternas por causas evitables</t>
  </si>
  <si>
    <t xml:space="preserve">No Aplica </t>
  </si>
  <si>
    <t>IPS - EAPB</t>
  </si>
  <si>
    <t>Aseguramiento y prestación de servicios de salud</t>
  </si>
  <si>
    <t>37 IPS</t>
  </si>
  <si>
    <t>Urbanas</t>
  </si>
  <si>
    <t>Municipio de Pereira</t>
  </si>
  <si>
    <t>Se realizaron actividades como asistencia tecnica a la red publica y privada del municipio sobre salud materno perinatal y crecimiento y desarrollo (32 IPS). Implementación de la estrategia Casa sana através de la cual se visitaron 12 mil familias que recibieron educación en la prevención morbimortalidad infantil. Implementación de la estrategia vecinos y amigos de la infancia, con conformación de 10 grupos en lols cuales se orientan temáticas relacionadas con la salud infantil</t>
  </si>
  <si>
    <t>Actas de visita, Registros SPP, Listas de chequeo</t>
  </si>
  <si>
    <t>32 IPS</t>
  </si>
  <si>
    <t>Se realizaron actividades como asistencia tecnica a la red publica y privada del municipio sobre salud materno perinatal y crecimiento y desarrollo (32 IPS). Implementación de la estrategia Casa sana através de la cual se visitaron 12 mil familias que recibieron educación en la prevención morbimortalidad infantil. Implementación de la estrategia vecinos y amigos de la infancia, con conformación de 10 grupos en lols cuales se orientan temáticas relacionadas con la salud infantil, Implementación de la estrategia AIEPI para lo cual se realizó una capacitación de AIEPI clinico para el personal de salud y 8 cursos de AIEPI comunitario</t>
  </si>
  <si>
    <t xml:space="preserve">Desde el programa de salud mental se desarrollan actividades para la prevención del suicidio entre ellas, la estrategia colores de la vida, desde vigilancia epidemiológica se hace seguimiento a la notificación </t>
  </si>
  <si>
    <t>Asistencia tecnica a EAPB e IPS</t>
  </si>
  <si>
    <t>Reporte mensual EAPB- informe mensual de vacunación</t>
  </si>
  <si>
    <t>Completar esquemas de vacunacion a nacidos vivos en el municipio de Pereira, seguimiento a EAPB para aumentar cobertura en vacunación, vacunación extramural en coordinacion con la ESE Salud Pereura, seguimiento a la cohorte y jornadas de vacunación</t>
  </si>
  <si>
    <t>Completar esquemas de vacunacion a nacidos vivos en el municiio de Pereira, seguimiento a EAPB para aumentar cobertura en vacunación, vacunación extramural en coordinacion con la ESE Salud Pereura, seguimiento a la cohorte y jornadas de vacunación</t>
  </si>
  <si>
    <t>Visitas a las  IPS  para verificar el cumplimiento de la normatividad frente al programa  de deteccion temprana de alteraciones del embarazo, donde se garantiza la aplicación dela estrategia mundial para la reduccion de la transmision vertical de VIH</t>
  </si>
  <si>
    <t>Actas de visitas 
Informes ejecutivos
Listas de chequeo</t>
  </si>
  <si>
    <t>A toda gestante al momento del parto en una IPS se le realiza prueba elisa</t>
  </si>
  <si>
    <t xml:space="preserve">Revision semanal de los sistemas de información para verificar la notificación del evento de transmision materno infantil de VIH, 
Seguimiento caso a caso a usuarias gestantes con diagnóstico de VIH para garantizar su atencion integral 
Visitas institucionales para verificar la calidad del control prenatal y la aplicacion de guias de manejo actualizadas
seguimiento en campo a usuarias con alto riesgo </t>
  </si>
  <si>
    <t>Actas de visitas
Informes de seguimiento
Ficha de caracterizacion familiar de la estrategia APS</t>
  </si>
  <si>
    <t>No se presentaron casos de transmision materno infantil de VIH en el 2018</t>
  </si>
  <si>
    <t>Actividades de informacion, educacion y comunicación, Estrategia sexualidad con sentido en 29 Instituciones educativas, 6 encuentros  del PESCC(Proyecto de Educación para la Sexualidad y Construcción de Ciudadania)
Senderos de la sexualidad
Promocion de derechos sexuales y reproductivos con enfasis en adolescentes y jovenes para retraso de inicio de actividad sexual, uso correcto y constante del condón y asistencia a las asesorias en el programa de deteccion de alteraciones del joven, Conformación de 4 veedurias de jovenes, página virtual jovenes con sentido con 1200 seguidores.</t>
  </si>
  <si>
    <t>Registro SPP
Registro Aplicativo SISAP</t>
  </si>
  <si>
    <t>Desde el programa de salud nutricional se realizan actividades como: Promoción de la lactancia materna, para lo cual se realizaron 40 cursos de consejería dirigidos a comunidad y profesionales de la salud, visitas a 50 empresas para la promoción de las salas amigas de la lactancia. El municipio cuenta con 8 salas amigas de lalactancia operando. Vigilancia epidemiologica comunitaria, valorandose   19471  niños, niñas y adolescentes. Se realizaron 610 actividades educativas sobre alimentación saludable, Se visitaron 40 instituciones educativas para la promoción de tienda escolar saludable.</t>
  </si>
  <si>
    <t>Los indicadores presentados corresponden a la investigación realizada en el año 2018</t>
  </si>
  <si>
    <t>Según resolucion 2465 del 14 de Junio de 2016, se modifica la clasificación nutricional según indicadores antropométricos por lo cual ya no se tiene el dato de desnutrición global</t>
  </si>
  <si>
    <t>Registros SPP, Actas de reunión, Registros de valoraciones, SISAP</t>
  </si>
  <si>
    <t xml:space="preserve">Desde el programa de salud nutricional se realizan actividades como: Promoción de la lactancia materna, para lo cual se realizaron 40 cursos de consejería dirigidos a comunidad y profesionales de la salud, visitas a 50 empresas para la promoción de las salas amigas de la lactancia. El municipio cuenta con 8 salas amigas de lalactancia operando. </t>
  </si>
  <si>
    <t>El reporte de ejecución se obtuvo con un estudio en articulación con la UTP, con una estudiante aspirante a magister en gerencia en sistemas de salud.</t>
  </si>
  <si>
    <t xml:space="preserve">Seguimiento semanal a la notificación realizadad por parte las IPS, sobre nacidos vivos a término  con bajo peso, visita de campo al hogar del infante reportado y verificación a su recuperación nutricional </t>
  </si>
  <si>
    <t>Actas de reunión, Registro SPP, reporte unico de afiliación -nacidos vivos</t>
  </si>
  <si>
    <t>Talleres de habilidades para la vida en los cuales se trabaja el auto cuidado y factores protectores</t>
  </si>
  <si>
    <t>SPP</t>
  </si>
  <si>
    <t>Actividad pedagÃ³gica en habilidades para la vida, prevenciÃ³n de suicidio, violencias evitables, rutas de atenciÃ³n,  identidad masculina y femenina para prevenir la violencia en el ambito barrial.</t>
  </si>
  <si>
    <t>actividades de promocion y prevencion en conducta suicida en instituciones educativas y comunidad del municipio de pereira.</t>
  </si>
  <si>
    <t>Actividades Educacion Para La Prevencion De La Conducta Suicida Grupal Con Adolescentes, padres y cuidadores, lideres y docentes de comunas y corregimientos del municipio de pereira.</t>
  </si>
  <si>
    <t>Para cumplir con esta acción se planear e Implementaron talleres de capacitación en conciliación y resolución pacífica de conflictos, de los cuales se beneficiaron 856 jóvenes (489 hombres y 36mujeres).</t>
  </si>
  <si>
    <t>realizacion de tamizajes a poblacion que requiera la atencio n</t>
  </si>
  <si>
    <t>Tamizajes SRQ e intervencion breve</t>
  </si>
  <si>
    <t>Intervenciones Breves, Tamizajes (SRQ).</t>
  </si>
  <si>
    <t>10,000,000</t>
  </si>
  <si>
    <t xml:space="preserve">Ejecución de actividades  a través de la estrategia Sexualidad con sentido </t>
  </si>
  <si>
    <t>Registros de asistencia, informe de ejecución</t>
  </si>
  <si>
    <t>El reporte de ejecución corresponde al porcentaje de embarazo en adolescentes en el municipio</t>
  </si>
  <si>
    <t>Las actividades realizadas para darle cumplimiento al indicador de la política, incluye: Conformación de Veedurias Juveniles, Grupos Focales sobre representaciones sociales, Fan Page,Estrategia  Sexualidad con sentido en instituciones educativas, asistencia tecnica en IPS  para control del joven, atención diferencial en servicios amigables para adolescentes y jovenes en IPS.</t>
  </si>
  <si>
    <t>Informes de ejecución, registros de asistencia, lista de chequeo</t>
  </si>
  <si>
    <t>Visita de asistencia técnica en IPS, donde se evidencia atención diferenciada para adolescentes y jovenes</t>
  </si>
  <si>
    <t>Informes de ejecución, lista de chequeo</t>
  </si>
  <si>
    <t>La población beneficiada corresponde a los usuarios atendidos en las diferentes IPS del Municipio, motivo por el cual no se tiene desagregada.</t>
  </si>
  <si>
    <t>20,000,000</t>
  </si>
  <si>
    <t>Atencion de servicios de salud para la promocion de deteccion temprana de alteraciones del joven</t>
  </si>
  <si>
    <t>4.693  Por parte de las IPS Veterinarias Y 1.900 Por parte de la secretaria de Desarro Rural</t>
  </si>
  <si>
    <t>El programa de esterilizacion paso a ser parte de la secretaria de desarrollo rural, por tal motivo ellos tienen las evidencias pertinentes de las cirugias realizadas. En cuanto a las IPS veterinarias como evidencia  se encuentran los reortes enviados por ellos mensualmente al correo institucional del programa Zoonosis.</t>
  </si>
  <si>
    <t>Desarrollo Rural y Correos con los reportes de las IPS</t>
  </si>
  <si>
    <t>51,900 zoonosis + 7.460 IPS vet = 59.360</t>
  </si>
  <si>
    <t xml:space="preserve">Jornadas de vacunacion antirrabica puerta a puerta por las diferentes comunas y barrios en el municipio de Pereira para prevenir el virus de la rabia </t>
  </si>
  <si>
    <t>Registros de vacunacion antirrabica de cada uno de los animales de compañía vacunados en la igencia 2018</t>
  </si>
  <si>
    <t>Se realizo consulta al ministerio</t>
  </si>
  <si>
    <t>La promoción de estilos de vida saludables con comunidad indígena, se aborda desde las estrategias Escuelas y Colegios Saludables, Salud Nutricional y estrategia Casa Sana, en las cuales se brinda educación en plato saludable y se realiza tamizaje de talla y peso con comunidades indigenas.</t>
  </si>
  <si>
    <t>Registro SPP, Plataforma Sisap, Registro de valoración (Talla y Peso)</t>
  </si>
  <si>
    <t>Se realizaron acciones de promoción de los deberes y derechos en salud  a  59 indígenas</t>
  </si>
  <si>
    <t>registros SPP registro fotografico</t>
  </si>
  <si>
    <t>se estructuro  un grupo del plan de renovación de veedurias en salud de pre adolescentes en la carbonera.  Capacitacion permanente a este grupo sobre: prevención del suicidio, prevención del uso de polvora, prevención de la drogradicción, prevención del dengue, rutas de aseguramiento y deberes y derechos en salud</t>
  </si>
  <si>
    <t>registros SPP . Registro fotografico</t>
  </si>
  <si>
    <t>de acuerdo a la respuesta del ministerio se define esta actividad</t>
  </si>
  <si>
    <t xml:space="preserve">acciones respuestas para el minsiterio y comité </t>
  </si>
  <si>
    <t xml:space="preserve">Las 2 estrategias implementadas son: Casa Sana, que incluye la promoción de los derechos sexuales y reproductivos y la Estrategia AIEPI Embera. </t>
  </si>
  <si>
    <t>Registros SPP, Plataforma SISAP</t>
  </si>
  <si>
    <t>Se realizaron acciones en salud oral a través de casa sana y el programa salud bucal</t>
  </si>
  <si>
    <t>Desde la estrategia Casa Sana, se realizaron Festivales de la salud en los sectores de: Caimalito, Puerto Caldas, Villasantana, Cuba, Rio Otún, Ferrocarril y Oriente.</t>
  </si>
  <si>
    <t>Registros SPP</t>
  </si>
  <si>
    <t xml:space="preserve">se propone estudio de factibilidad </t>
  </si>
  <si>
    <t>Se realizó vacuación extramural casa a casa en los sectores de Caimalito, Puerto Caldas, Las brisas, Tokio, Galicia, Salamanca, donde reside este tipo de pobación</t>
  </si>
  <si>
    <t>Registros diarios de vacunación, jornadas de vacunación e informe mensual de vacunación</t>
  </si>
  <si>
    <t>controles de crecimiento y desarrollo a menores de 5 años</t>
  </si>
  <si>
    <t>registro en sistemas de informacion ESE salud</t>
  </si>
  <si>
    <t>UNIDAD INTERMEDIA DEL CENTRO, PUESTO DE SALUD PUERTO CALDAS, PUESTO DE SALUD CAIMALITO, CASA DEL ABUELO,CENTRO DE SALUD ARABIA,CENTRO DE SALUD PERLA DEL OTUN,CENTRO DE SALUD SAN NICOLAS,CENTRO DE SALUD SANTA TERESITA,CENTRO DE SALUD VILLA CONSOTA</t>
  </si>
  <si>
    <t>Derirvacion de la poblacion indigena gestante, hacia los programas de control prenatal, educacion en signos de alarma para consultar por urgencias, educacion en metodos de planificacion familiar</t>
  </si>
  <si>
    <t>Fichas de caracterización familiar
Registros aplicativo SISAP (Vïa Web)</t>
  </si>
  <si>
    <t>Las actividades que se realizan desde la dimensión  para la población adulta mayor son para todas las etnias,  en el año 2018 solo  participo 2 personas indígena de dichas actividades que se desarrollan en los grupos de adultos mayores, ademas no se cuenta con un programa especifico para dicha población, ya que los programas los maneja desarrollo social.</t>
  </si>
  <si>
    <t>spp</t>
  </si>
  <si>
    <t>La promoción de estilos de vida saludables con comunidad Afro, se aborda desde las estrategias Escuelas y Colegios Saludables, Salud Nutricional y estrategia Casa Sana, en las cuales se brinda educación en plato saludable y se realiza tamizaje de talla y peso .</t>
  </si>
  <si>
    <t>personas de la comunidad Afrodescendiente atendida por las diferentes estrategias de educacion en SSR</t>
  </si>
  <si>
    <t>Desde la secretaría de salud, se realizaron las siguientes actividades: Veedurías Juveniles, Hora Saludable, a través de Casa Sana Unidad didáctica  de prevención de cáncer y VIH  y Unidad didáctica prevención de violencia sexual. Realizar acciones de demanda inducida para asistencia a planificación familiar, promocion de la citologia, la mamografia y examen de prostata en zonas intervenidas por estrategia de atención primaria en salud.
Además estrategia IEC para la prevencion de embarazo adolescente</t>
  </si>
  <si>
    <t>Se realizan actividades pedagógicas en prevención del consumo de spa, tamizajes, talleres de habilidades para la vida a líderes, madres , cuidadores de la comunidad y jóvenes de la comunidad que solicita la atención.</t>
  </si>
  <si>
    <t xml:space="preserve">•  Acciones educativas en rutas de atención, herramientas psicosociales para el abordaje de las violencias evitables, población afrocolombiana víctima del conflicto armado.
•    Actividades de educación en promoción de la salud mental y fortalecimiento de habilidades para la vida.
</t>
  </si>
  <si>
    <t xml:space="preserve">Desde la secretaría de Salud, a través de la estrategia casa sana se realiza un diagnòstico general con la información obtenida en la caracterización familiar, en la cual se incluye la población afro que atendió la visita familiar.  </t>
  </si>
  <si>
    <t>Registro SPP, Plataforma Sisap, Documento Diagnòstico</t>
  </si>
  <si>
    <t xml:space="preserve">665 Familias con 1356 Personas  </t>
  </si>
  <si>
    <t>La dirección de Vigilancia, Control y Aseguramiento en salud no realiza censos a la poblacion, por tal motivo no se tiene dicha informacion, por el contrario el SISBEN es el responsable de la estratificion de la poblacion del municipio recurso que sirve de insumo para los diferentes programas sociales.</t>
  </si>
  <si>
    <t>La oficina local del sisben al momento de realizar la encuesta socieconomica no tiene en cuenta el enfoque diferencial, por tal motivo es imposible para esta dirección saber que poblacion con este enfoque (afro) se encuentra en la poblacion vinculada del municipio.</t>
  </si>
  <si>
    <t>Desde la Secretaría de Salud y Seguridad Social, a través de la estrategia Casa Sana, se conforman nodos de red con participación comunitaria, con quienes se realizaron reuniones periodicas para fortalecer sus competencias en derechos y deberes en salud,promocion de estilos de vida saludables y fomento de la participacion ciudadana.</t>
  </si>
  <si>
    <t>Actas de conformación de nodos, Registro SPP</t>
  </si>
  <si>
    <t>Desde la estrategia casa sana se realizan festivales de la salud en los sectores intervenidos, realizando actividades lùdico recreativas y educativas. Las jornadas se realizaron en los siguientes sectores: Las Brisas, Tokio, Remanso, Guayabal, Caimalito(Primero de mayo y Azufral), Puerto Caldas(El Cofre, Maria Auxiliadora), Las Palmas, Brisas del Consota, Cortes,El Dorado, El Rosal, Villa del Sur, Nacederos y El Plumon.</t>
  </si>
  <si>
    <t>este proceso requiere revision en comité afro</t>
  </si>
  <si>
    <t>4,800,000</t>
  </si>
  <si>
    <t xml:space="preserve">Se desarrollan dos reuniones con la coordinadora de Bienestar familiar con el fin de identificar la necesidad de construir una ruta de atención municipal para los casos de gestantes consumidoras de sustancias psicoactivas </t>
  </si>
  <si>
    <t>Acta de reunion</t>
  </si>
  <si>
    <t xml:space="preserve">Construcción de rutas de atención articuladas con las EAPB e IPS del Municipio en los casos asociados a violencia sexual, violencia intrafamiliar </t>
  </si>
  <si>
    <t xml:space="preserve">N/A </t>
  </si>
  <si>
    <t xml:space="preserve">Se llevan a cabo encuentros periódicos con los acrores involucrados y se generan acuerdos en torno a aspectos como: la prevención, la promoción de la salud mental y la atencion oportuna a los pacientes que requieren atención integral </t>
  </si>
  <si>
    <t xml:space="preserve">Se desarrolla el comité municipal de SPA que se encuentra asociado al comité de políica pública de atención integral a la salud mental, con el fin de atender las necesaidades asociadas a la salud mental y llevar a cabo procesos de articulación con las diferentes entidades </t>
  </si>
  <si>
    <t>Se realizan 4 capacitaciones a docentes orientadoras del municipio en lo que concierne a: construcción de rutas de atención en salud mental y estrategias de intervención (Intervención Breve)</t>
  </si>
  <si>
    <t xml:space="preserve">Capacitaciones a docentes orientadoras del municipio en articulación con la secretaría de educación de Pereira. </t>
  </si>
  <si>
    <t xml:space="preserve">Se realizan desde el componente de VIH y Sustancias psicoactivas 17 Asistencias técnicas, mientras que en el tema de salud mental se realizan 64 asistencias técnicas </t>
  </si>
  <si>
    <t xml:space="preserve">Se llevan a cabo Asistencias técnicas en los componente de Salud Mental, Sustancias Psicoactivas y VIH  </t>
  </si>
  <si>
    <t>IPS PRESTADORAS DE SALUD</t>
  </si>
  <si>
    <t>PRESTAR SERVICIOS EN REHABILITACION PARA PERSONAS QUE CONSUMEN SUSTANCIAS PSICOACTIVAS</t>
  </si>
  <si>
    <t>CENTRO</t>
  </si>
  <si>
    <t xml:space="preserve">Se ofrece información a cerca de la importancia de llevar a cabo procesos de capacitación con la secretaría de salud departamental para informarse a cerca de los procesos de habilitación. </t>
  </si>
  <si>
    <t xml:space="preserve">Se ubican 14 Fundaciones que No cuentan con la habilitación para prestar servicios de atención a la población drogodependiente. </t>
  </si>
  <si>
    <t>Centros de atencion a drogodependientes</t>
  </si>
  <si>
    <t>Se realiza caracterización y visitas a los centros de atención para drogodependicentes NO habilitados por el municipio</t>
  </si>
  <si>
    <t>se contó para el año 2018 con 16 zonas de escucha que funcionaron en los sectores priorizados por el municipio y que posibilitaron la intervención breve de población vulnerable que requería atención en el componente de salud mental.</t>
  </si>
  <si>
    <t xml:space="preserve">Se activan las zonas de escuha a nivel comunitario en los sectores priorizados por el municipio. </t>
  </si>
  <si>
    <t xml:space="preserve">Se desarrollan en total 81 Asistencias técnicas con la finalidad de ralizar seguimiento a los procesos de atención integra en el componente de salud mental </t>
  </si>
  <si>
    <t xml:space="preserve">Asistencias téncicas a EAPB e IPS del Municipio </t>
  </si>
  <si>
    <t xml:space="preserve">Se caracteriza a  la población consumidora de drogas por via inyectada y se realizan acciones de autocuidado, mitigación de riesgos y daños y psicoeducación </t>
  </si>
  <si>
    <t xml:space="preserve">Articulación con instituciones, fundaciones y secretarías de despacho que trabajan con población que tiene problemáticas asociadas a la salud mental </t>
  </si>
  <si>
    <t>Se realizan 4 capactiacines a docentes orientadoras del municipio en lo que concierne a: construcción de rutas de atención en salud mental y estrategias de intervención (Intervención Breve)</t>
  </si>
  <si>
    <t xml:space="preserve">se realiza revisión y ajuste de la ruta de atención en salud mental para las Instituciones Educativas del Municipio </t>
  </si>
  <si>
    <t xml:space="preserve">Se encuentra en proceso de revisión y construcción </t>
  </si>
  <si>
    <t>Se desarrollan capacitaciones a IPS del municipio con el fin de minimizar el estigma y la discriminación en los temas asociados a la salud mental</t>
  </si>
  <si>
    <t>actas de reunion</t>
  </si>
  <si>
    <t xml:space="preserve">Se realiza la socialización de Rutas de Atención en Salud Mental, haciendo énfasis en el proceso de humanización en la atención de pacientes </t>
  </si>
  <si>
    <t>Se ha implementado la estrategia de Zonas de Escucha, a la fecha se han fortalecido 16 Zonas de Escucha en los sectores priorizados por el municipio</t>
  </si>
  <si>
    <t xml:space="preserve">Estas actividades se han desarrollado a través de la estrategia Zonas de Escucha. </t>
  </si>
  <si>
    <t>Se logró contar con el apoyo de HOMERIS para la gestión de casos y se proyecta tener la opción de psiquiatría de enlace y de comités de anáisis de casos para favorecer la atención de los usuarios</t>
  </si>
  <si>
    <t>realizacion de tamizajes SRQ; ASSIT, APGAR , a la poblacion que requiere atencion y derivacion al sistema de salud</t>
  </si>
  <si>
    <t>capacitaciones a docentes orientadoras del municipio en lo que concierne a: construcción de rutas de atención en salud mental y estrategias de intervención (Intervención Breve)</t>
  </si>
  <si>
    <t xml:space="preserve">No se ha realizado aún esta actividad </t>
  </si>
  <si>
    <t xml:space="preserve">Se realizaron  jornadas masivas de sensibilización en las diferentes dependencias de la Administración municipal en el marco de las conmemoraciones de salud mental y conducta suicida </t>
  </si>
  <si>
    <t>Se inicia este proceso con reunión de socialización de matriz de seguimiento de política con planeación municipal y las entidades afines</t>
  </si>
  <si>
    <t xml:space="preserve">Se realiza recolección de información de campo e informe anual de análisis de programa </t>
  </si>
  <si>
    <t xml:space="preserve">Se logró la habilitación de servicio de psicología en la ESE Salud Pereira </t>
  </si>
  <si>
    <t xml:space="preserve">Se presentó proyecto al Fondo Nacional de Estupefacientes para darle continuidad al abordaje de la población inyectora de drogas (PIDS), y fue aprobado para ejecución en 2019 </t>
  </si>
  <si>
    <t>jovenes intervenidos en talleres de formacion en mecanismo de resolucion de conflictos</t>
  </si>
  <si>
    <t>Actividades Pedagogicas En Derechos Humanos, Paz Y Reconciliacion</t>
  </si>
  <si>
    <t xml:space="preserve">Se trabajo articuladamente en el comité de convivencia escolar del municipio en las rutas de atención en sustancias psicoactivas y conducta suicida. </t>
  </si>
  <si>
    <t>Se dio continuidad al comité municipal de prevención y mitigación de sustancias psicoactivas a través de siete encuentros al año donde se planearon y realizaron acciones conjuntas de prevención al consumo (día internacional de prevención, jornadas masivas, entre otras)</t>
  </si>
  <si>
    <t xml:space="preserve">Se han realizado jornadas y acompañamientos complementarios permanentes a través de profesionales en enfermería y psicología que han apoyado el trabajo en campo con PIDS, de igual forma se aseguró la compra de kits de inyección con una inversión de 100 millones a través de PIC </t>
  </si>
  <si>
    <t xml:space="preserve">• Capacitación equipos de base comunitaria
• Intervención breve psicológica
• Sidies comunitario
• Encuentros equipos de base comunitaria
</t>
  </si>
  <si>
    <t>total 463</t>
  </si>
  <si>
    <t>Se realizaron las Campañas de Promoción de la estrategia APS, en los sectores priorizados mediante jornadas masivas o festivales de la salud ( Comuna Ferrocarril, Villasantana, El Oso, Del Café, Oriente, Boston, Rio Otún, Caimalito, Puerto Caldas). En las jornadas se realizan actividades educativas en salud, toma de presión arterial, vacunación de perros y gatos, y actividad física</t>
  </si>
  <si>
    <t>total 319</t>
  </si>
  <si>
    <t xml:space="preserve">son actividades que se programaban como masivas por lo tanto no se caracterizo la poblacion en el momento de la intervencion. La mayoria de la poblacion atendida son menores de 10 años. </t>
  </si>
  <si>
    <t xml:space="preserve">total 589 </t>
  </si>
  <si>
    <t xml:space="preserve">animales de compañía </t>
  </si>
  <si>
    <t xml:space="preserve">total 1255 </t>
  </si>
  <si>
    <t>• Actividad pedagógica en habilidades para la vida, prevención de suicidio, violencias evitables, rutas de atención, identidad masculina y femenina para prevenir la violencia y pautas de crianza</t>
  </si>
  <si>
    <t>total 356</t>
  </si>
  <si>
    <t xml:space="preserve">Continuidad de la implementacion de la estrategia RBC la cual cuenta con 10 nodos comunitarios distribuidos en diferentes zonas del Municipio de Pereira La rehabilitación basada en la comunidad (RBC) es una estrategia integral, la cual realiza actividades de intervención dirigida a personas con discapacidad, sus cuidadores y el entorno de los mismos, y se manejan temas enfocados en la deteccion temprana de riesgos de adquirir una discapacidad. </t>
  </si>
  <si>
    <t>actas de reunion, registro fotografico, registro para el seguimiento de politicas publicas.</t>
  </si>
  <si>
    <t>unos de los temas a tratar en en los encuentros con los nodos RBC es la deteccion temprana y los riesgos de adquirir una discapacidad.</t>
  </si>
  <si>
    <t xml:space="preserve">las acciones van dirigidas a la comunidad con discapacidad y sus cidadores </t>
  </si>
  <si>
    <t>Dicha accion se desarrollo con el proceso  de asistencia tecnica en salud donde se hace seguimiento a los programas de gestacion, parto y crecimiento y desarrollo,  enfermedades cronicas como HTA, DM, ERC,  cancer, segun la normatividad vigente teniendo en cuenta las  RUTAS de atencion en salud el  MIAS,   la visitas de asistencia tecnica se realizan por un referente de la Secretaria de Salud Publica y Seguridad Social de Pereira que se encarga de velar por la atención de esta población y desde la linea de trabajo de discapacidad se construyeron las listas de chequeo de paralisis infantil para generar estrategias conjuntas con EAPB e IPS para una atención integral a las condiciones y necesidades de estos menores,  Con la  estrategia CASA SANA  se realizan vistas integrales  casa a casa  en las zonas mas vulnerables del Municipio de Pereira que han sido priorizadas por la secretaria de salud  donde se hace identificaion de factores de riesgos y determinantes de la salud y se tiene en cuenta  ala poblacion en condicion de discapacidad. ademas se hace el analisis de disminucion en casa del origen  origen de la discapacidad  con la poblacion caractrerizada a corte de diciembre de 2018</t>
  </si>
  <si>
    <t>registro fotografico, registro para el seguimiento de politicas publicas, actas de reunion, listas de chequeo.</t>
  </si>
  <si>
    <t xml:space="preserve">visitas de asistencia tecnica a las 12 EAPB E  41 IPS publicas y provadas del municipio de pereira  </t>
  </si>
  <si>
    <t>se realizan visitas las insituciones  de salud la cual no te atiente poblacion directamente.</t>
  </si>
  <si>
    <t>Por medio de la estrategia RBC (Reabilitacion basada en la comunidad) por medio de 10 nodos comunitarios distribuidos en diferentes zonas del Municipio de Pereira, se reraslizan acciones de educion y orientacion en la prevencion de accidentes teniendo en cuenta los diferentes tipos de origen de la discapacidad. la estrategia esta dirigida a personas en condicion de discapacidad y comunes.</t>
  </si>
  <si>
    <t>Estrategia RBC</t>
  </si>
  <si>
    <t>Por medio de la estrategia colegios saludables en el programa escuela activa, la estrategia CARMEN con la intervencion en los 18 nodos comunitarios  y la incorporación de la actividad física en los nodos RBC se da respuesta al indicador, estas estrategias  promueven y favorecen la adquisision de hábitos y estilos de vida saludables, promoviendo la  salud física, psicológica y social en los ambitos escolares.</t>
  </si>
  <si>
    <t>estrategia CARMEN y RBC</t>
  </si>
  <si>
    <t xml:space="preserve">las acciones van dirigidas a la comunidad  en general , con discapacidad y sus cuidadores </t>
  </si>
  <si>
    <t>A dicho indicador se le da respuesta por medio de la estrategia CARMEN: conjunto de acciones para la reduccion multifactorial de las enfermedades crónicas no transmisilbles , la cual promueve y favorece la adquisision de hábitos y estilos de vida saludables, promoviendo la  salud física, psicológica y social en la comunidad en general.  este programa desarrollo acciones en 18 puntos de encuentro comunitarios.</t>
  </si>
  <si>
    <t xml:space="preserve">Estrategia CARMEN  </t>
  </si>
  <si>
    <t xml:space="preserve">las acciones van dirigidas a la comunidad  en general  </t>
  </si>
  <si>
    <t>a vigencia del 2018 se registraron en el  RLCPCD 1458 personas en condicion de discapacidad la cual se encuentran afiliados al regimen contributivo y subsidiado según corresponde.</t>
  </si>
  <si>
    <t xml:space="preserve">spp, registro para el seguimiento de politicas publicas </t>
  </si>
  <si>
    <t>RLCPCD</t>
  </si>
  <si>
    <t>Se realiza capacitacion al personal de las EAPB/IPS,  en el manejo  y atencion de las personas en condicion de discapacidad, RLCPD con el proceso de asistencia tecnica donde se intervino las siguientes instituiciones:  4 EAPB(sanitas, Coomeva, Sanidad Batallón y Sanidad Policía)  y 5 IPS (UPREC,  Comfamiliar,  clínica de fracturas, medicarte, IPSsanitas) del Municipio.</t>
  </si>
  <si>
    <t>actas de reunion, registro para el seguimiento de politicas publicas, spp.</t>
  </si>
  <si>
    <t>EAPB/IPS</t>
  </si>
  <si>
    <t xml:space="preserve">atencion en salud </t>
  </si>
  <si>
    <t>Indicador que se desarrolla por medio de las acciones de asistencia tecnica a EPS e IPS, total 41  instituciones involucradas en los procesos de fortalecimiento haciendo enfasis en la prevencion y en el manejo de la PCD</t>
  </si>
  <si>
    <t>listas de chequeo, actas de reunion.</t>
  </si>
  <si>
    <t>visitas de asistencia tecncia las EAPB e IPS del Municipio de Pereira.</t>
  </si>
  <si>
    <t xml:space="preserve">Se Realiza Capacitación y Sensibilización en: Que es Discapacidad, Tipos de Discapacidad. Normatividad (Derechos y Deberes de personas con Discapacidad) – Ley 1618 de 2013, Registro de Localización y Caracterización de Personas con Discapacidad a  4 Instituciones de educación superior (Fundación Universitaria del Área Andina:2 personas, UNIMINUTO: 10 personas, SENA (Sede principal y sede Frailes): 104 personas, Universidad católica: 35 personas.
</t>
  </si>
  <si>
    <t>registro de actividades para el seguimiento de politicas publicas, spp, actas de reunion.</t>
  </si>
  <si>
    <t>copacitaciones en universidades</t>
  </si>
  <si>
    <t xml:space="preserve">Universidades </t>
  </si>
  <si>
    <t xml:space="preserve">Formacion academica </t>
  </si>
  <si>
    <t xml:space="preserve">Docentes </t>
  </si>
  <si>
    <t xml:space="preserve">las americas, belmonte, centro, </t>
  </si>
  <si>
    <t>indicador que se desarrolla por medio del proceso de asistencia tecnica, se ha desarrollado el fortalecimiento de los procesos de vigilancia y control a las Entidades Promotoras de Salud EPS,  sobre su red prestadora de servicios en la atención a la población con discapacidad y promocion del RLCPD. 12 EPS: (Medimas Contributivo, Medimas Subsidiado, Sanitas, Coomeva, Cosmitet, Sanidad Policía, Sanidad Militar, Salud Total, SOS, Sura, Nueva EPS, Asmetsalud)</t>
  </si>
  <si>
    <t>actas de reunion, listas de chequeo, oficios de notificacion de visitas.</t>
  </si>
  <si>
    <t>Se viistan con el proceso de asistencia tecnica 12 EPS y 41 IPS  ealizando seguimiento sobre  su red prestadora de servicios de rehabilitacion</t>
  </si>
  <si>
    <t>se realizan visitas las insituciones  de salud la cual no te atiente poblacion directamente sino personal de la salud.</t>
  </si>
  <si>
    <t>Se realiza un proceso de capacitacion a las IPS de rehabilitacion del Minicipio de pereira a la fundacion sinapsis vital, IPS creer, con el fin de fortalecer los programas de rehabilitacion.</t>
  </si>
  <si>
    <t>actas de reunion, registro de actividades para el segumiento de politicas publicas.</t>
  </si>
  <si>
    <t>1 IPS intervenidas.</t>
  </si>
  <si>
    <t>visitas a IPS de rehabiitacion.</t>
  </si>
  <si>
    <t>con el programa RBC ( Rehabilitacion Basada en la comunidad) se maneja el tema de disminucion de facvtores que derioran la discapacidad. La cual se desarrolla en 10 nodos comunitarios ubicados en diferentes zonas del Municipio de Pereira donde hay mas poblacion vulnerable y con discapacidad.</t>
  </si>
  <si>
    <t>actas de reunion, registro de actividades para el segumiento de politicas publicas, registro fotografico.</t>
  </si>
  <si>
    <t>se maneja el tema de disminucion de facvtores que derioran la discapacidad</t>
  </si>
  <si>
    <t xml:space="preserve">Las acciones para la atencion integral de los niños, niñas con discapacidad, se desarrollaron en el marco  del seguimiento a la veeduria trabajada con madres de niños con discapacidad, participación en unidad de analaisis de defectos congenitos de niños y niñas con sindrome de down y paralisis cerebral y en la estrategia RBC con su componente de acompañamiento en las actividades de asesoria y participacion comunitaria y acceso al registro de localizacion y caracterizacion de la poblacion con discapacidad. </t>
  </si>
  <si>
    <t>se realizan 5 encuentros con la vveduria que vela por la atencion d elos niños y niñas con discapacidad</t>
  </si>
  <si>
    <t>veeduria para velar por la prestacion de servicios de salud de niños y niñas con discapacidad</t>
  </si>
  <si>
    <t>organización que vela por la prestacion de los servicios de los niños y niñas con discapacidad.</t>
  </si>
  <si>
    <t>Se desarrolla en el programa de atención integral al adulto mayor la  implementacion de medidas de atencion para la poblacion adulta mayor y discapacidad perteneciente a estas instituciones (centros de proteccion social para el adulto mayor)</t>
  </si>
  <si>
    <t>registro de actividades para el seguieinto de politicas publicas.</t>
  </si>
  <si>
    <t>esta actividad no es competencia de la secretaria de salud Publica y Seguridad Social Municipal.</t>
  </si>
  <si>
    <t>Esta actividad se desarrolla de la estrategia RBC, en la cual se integra a los nucleos familiares en los procesos de rehabilitacion de las PCD.</t>
  </si>
  <si>
    <t>actas de reunion, spp, registro fotografico, registro de actividades para el seguimeinto de politicas publicas.</t>
  </si>
  <si>
    <t>dentro del desarrollo de la estrategia RBC esta incluido el sistema de atencion integral para la pblacion en condicion de discapacidad y las articulaciones que esta estrategia genera con otros programas:  como CASA SANA, sensibilizacion a poblacion escolar con el programa escuelas y colegios saludables,  seguimiento intrainstitucional e interinstitucional por medio de los procesos de asistencia tecnica, acceso al RLCPD en la secretaria de salud municipal,  Trabajo articulado con mas familias en accion, SISBEN.</t>
  </si>
  <si>
    <t>actas de reunion, registro de actiivdade para el seguimiento de politicas publicas.</t>
  </si>
  <si>
    <t>Se realiza al diagnóstico RBC en los 10  nodos que se establecieron para el año 2018, para un total de  10 comunas.</t>
  </si>
  <si>
    <t xml:space="preserve">actas de reunion, registro fotografico, registro de actividades para el seguieinto de politicas publicas </t>
  </si>
  <si>
    <t>estrategia RBC</t>
  </si>
  <si>
    <t xml:space="preserve">Este indicador se desarrolla con las acciones implementadas desde la estrategia "niños y niñas sanos" del programa de salud infantil. </t>
  </si>
  <si>
    <t>programa salud infantil</t>
  </si>
  <si>
    <t>Con la estrategia RBC  se realizo en la vigencvia del 2018  se desarrollaron actividades enfocadas las  personas con discapacidad y cuidadores  en la cual se ejecutaron actividades ludico- recreativas  de fortalecimiento  promoviendo Habitos saludables, procesos de rehabilitación, planes caseros, nutrición saludable, deberes y derechos de las PCD,  promoción de la salud y prevención de la enfermedad, autocuidado, y fortaleciendo la inclusión social de la discapacidad desde un enfoque diferencial.</t>
  </si>
  <si>
    <t xml:space="preserve">Por medio de la  estrategia RBC antes de inciar la ejeccion de las actividades se hace un acercamiento con los lideres comunitarios de las zonas que fueron priorizadas en este casa comunas con el fin de explicarles en que consiste el proceso y socializar todo el plan de tabajo que se tiene proyectado desarrollar conla poblacion en condicion de discapacidad y sus cuidadores teniendo en cuenta el  proceso de fortalecimiento, formación, empoderamiento y acompañamiento empoderamiento de derechos y deberes de PCD, mecanismos de acceso, rutas de atencion por tan se realiza acercamiento con  10  lideres comunitarios de 9 comunas de la cidudad: 9 Comunas del municipio en las cuales se han realizado actividades de fortalecimiento a la estrategia RBC:  SAN JOAQUIN, centro, jardin, olimpica, galicia, villa cecilia, consota, morelia, universidad.
</t>
  </si>
  <si>
    <t>9  Comunas del municipio en las cuales se han realizado actividades de fortalecimiento a la estrategia RBC: SAN JOAQUIN, centro, jardin, olimpica, galicia, villa cecilia, consota, morelia, universidad.                                                                                                                                                                                                                                                                                                                                                                        Proceso de formacion que se desarrolla en el marco de la estrategia RBC, espacios en los cuales se promueve el empoderamiento el derechos y deberes de PCD, mecanismos de acceso, rutas de atencion y la estrategia RBC.</t>
  </si>
  <si>
    <t>Se realiza la sistematizacion de la experiencia RBC en el municipio de Pereira, en el sistema de la secretaria de salud SPP.</t>
  </si>
  <si>
    <t>en la vigencia de 2018 se realizan 1458 registros de localizacion y caracterizacion de personas con discapaciadd.</t>
  </si>
  <si>
    <t>spp, registro unicod e discapaciada del misnisterio de salud.</t>
  </si>
  <si>
    <t>se realizan visitas a 32 IPS sobre controles de crecimiento y desarrollo</t>
  </si>
  <si>
    <t>actas de visita</t>
  </si>
  <si>
    <t>las IPS reportan cobertura de control de crecimiento y desarrollo despues del primer trimestre de cada año</t>
  </si>
  <si>
    <t>29 700000</t>
  </si>
  <si>
    <t>pereira</t>
  </si>
  <si>
    <t>se realizan visitas a 37 IPS sobre norma técnica de control prenatal</t>
  </si>
  <si>
    <t>valoracion nutricional a menores de 28 años para detectar la desnutricion y asi activar rutas de atencion</t>
  </si>
  <si>
    <t xml:space="preserve">registros de valoraicon nutricional. </t>
  </si>
  <si>
    <t>valoraciones que se realizan a través del programa salud nutriconal y la estrategia casa sana</t>
  </si>
  <si>
    <t>actas de reunión, spp</t>
  </si>
  <si>
    <t>actividad que no se realiza desde la secretaría . Hace parte del plan obligatorio en salud que implementan las IPS</t>
  </si>
  <si>
    <t>Investigacion año 2018. estado nutricional del municipio de pereira menores de 28 años de edad</t>
  </si>
  <si>
    <t xml:space="preserve">otros indicadores: Desnutricion aguda menores de cinco años 5,8%
desnutricion crónica menroes de cicno años 8,9%
sobrepeso y obseidad menores de cinco año: 9,3%.
</t>
  </si>
  <si>
    <t>Actividad que se realiza en el marco de la estrategia escuelas y colegios saludables bajo la denominacion de plato saludable.</t>
  </si>
  <si>
    <t>Se realizaron 470 toma de muestras para análisis microbiológicos al agua para consumo humano en la zona Urbana del municipio</t>
  </si>
  <si>
    <t>la pagina de la Alcaldía de Pereira cuenta con adaptación de alto contraste para personas con discapacidad visual, tambien por medio del MINTIC se maneja el centro de relevo, que ayuda a que las personas con discapacidad auditiva sean guiadas por las paginas web que necesiten, una persona es la encargada de traducir mediante lenguaje de señas todo el contenido requerido, esta plataforma esta disponible en horarios y días específicos.</t>
  </si>
  <si>
    <t>http://www.pereira.gov.co/Paginas/default.aspx
https://centroderelevo.gov.co/632/w3-propertyvalue-15269.html</t>
  </si>
  <si>
    <t>Mediante los Puntos Vive Digital se desarrollan planes de accesibilidad para personas en situación de discapacidad, se realizó junto al ministerio TIC un espacio llamado "cine para todos" consiste en proyectar una película al mes apta para personas con discapacidad visual, auditiva y cognitiva, también se maneja la impresora a Brailler para que personas con discapacidad visual puedan tener acceso a la información impresa.</t>
  </si>
  <si>
    <t>http://www.cineparatodos.gov.co/671/w3-channel.html</t>
  </si>
  <si>
    <t>Capacitación a dignatarios de los organismos de accion comunal en temas como Excel, Ofimática y Word</t>
  </si>
  <si>
    <t>Información suministrada por el SPP</t>
  </si>
  <si>
    <t>ninguna</t>
  </si>
  <si>
    <t>Se realizara la entrega de 5 Lotes con servicios en el Remanso Guayabal por medio de convocatoria publica con enfoque diferencial con presencia de la personeria y desarrollo social.</t>
  </si>
  <si>
    <t>Se entregaron 8 mejoramientos recursos propios y 11 de DPS</t>
  </si>
  <si>
    <t>Resoluciones y digitales</t>
  </si>
  <si>
    <t xml:space="preserve">Se entregaron 12 subsidios para vivienda de los cuales 5 corresponden a la urbanizacion santa clara y 7 al remanso guayabal.  </t>
  </si>
  <si>
    <t>Resoluciones</t>
  </si>
  <si>
    <t>$4,826.185 valor del lote  urbanizacion santa clara, en remanso guayabal 3 de $7.368.000 y 4 de $42.600.712</t>
  </si>
  <si>
    <t>Se dio un Subsidio para la Urbanizacion Santa Clara y un subsidio en Remanso Guayabal</t>
  </si>
  <si>
    <t>valor del subsidio en urbanizacion santa clara$4.826,185                     valor del subsidio en Remanso Guayabal $7.368.000</t>
  </si>
  <si>
    <t>Se entregaron 6 mejoramientos de vivienda para la comunidad indigena</t>
  </si>
  <si>
    <t>Se cumplio la meta de 21 mejoramientos urbanos con recursos propios de la secretaria de vivienda; 4 de presupuesto participativo se han entregado en la comuna oriente.</t>
  </si>
  <si>
    <t>Se cumplio la meta para dar cumplimiento a la politica publica de accion comunal</t>
  </si>
  <si>
    <t>Se entregaron 3 mejoramientos rurales con recursos propios; De presupuesto participativo se entregaron 28 en la palmilla y 21 en altagracia.</t>
  </si>
  <si>
    <t>CAPACITACIONES EN PLANES FAMILIARES DE GESTION DEL RIESGO</t>
  </si>
  <si>
    <t>CARPETA CAPACITACIONES, ARCHIVO DIGER</t>
  </si>
  <si>
    <t>EL PROCEDIMIENTO SIEMPRE EMPEZABA CON UNA COMUNICACIÓN Y PROGRAMACION CON LOS LIDERES O PRESIDENTES, QUIENES SE ENCARGABAN DE CONVOCAR A LA COMUNIDAD</t>
  </si>
  <si>
    <t>COMUNIDAD</t>
  </si>
  <si>
    <t>PARQUE INDUSTRIAL</t>
  </si>
  <si>
    <t>COMUNA DEL CAFÉ</t>
  </si>
  <si>
    <t>Esta actividad se realizo el dia 25 de septiembre de 2018 con horario de 7am a 7pm donde se realizaron actividades como, sensibilizaciones relacionadas con el medio ambiente, normas de transito y modos alternativos de trasnporte</t>
  </si>
  <si>
    <t>Las evidencias reposan en el subproceso de educacion vial del IMP, tales como asistencia, registro fotografico</t>
  </si>
  <si>
    <t>Comuna Centro</t>
  </si>
  <si>
    <t>Se realizo la limpieza y pintura de postes y semaforos de la zona occidental y suroccidental de Pereira, además el mantenimiento preventivo y correctivo de los 95 controladores de trafico, se semaforizo 4 intersecciones viales, eliminando los conflictos, mejorando la circulacion peatonal</t>
  </si>
  <si>
    <t>Estas reposan en el Proceso de Movilidad  registro fotografico y demas</t>
  </si>
  <si>
    <t>SE realizaron tres campañas, SOY UN MOTOCICLISTA EJEMPLAR EN LA VIA, CAPITAL DEL EJE SE MOVILIZA EN BICI Y SOY UN PEATON SEGURO EN LA VIA, donde se realizaron sensibilizacion en normas de transito y comportamiento vial a acada uno de los actores viales</t>
  </si>
  <si>
    <t>19 comunas y corregimientos</t>
  </si>
  <si>
    <t>Para el año 2018 no se realizo el programa en union con el AMCO en lo relacionado en normas de transito,</t>
  </si>
  <si>
    <t>Se visitaron 32 Instituciones educativas y se conformaron 17 patrullas escolares las cuales apoyan al IMP en flujo vehicular y peatonal a las salidas de las jornadas escolares,</t>
  </si>
  <si>
    <t>SE visitaron los corregimientos de Caimalito, la florida, La bella y Puerto Caldas y las 19 comunas en educacion en transito y en 9 comunas estan constituidas las patrullas escolares,</t>
  </si>
  <si>
    <t>35,71%</t>
  </si>
  <si>
    <t>0,0%</t>
  </si>
  <si>
    <t>Verificar el reporte de ejecución de la vigencia 2018 en relación a la meta establecida por el plan de acción del 2018. Este campo no puede quedar sin valor, en caso que no exista dato se debe poner en las observaciones el por qué no hay dato. Sin embargo hay personas beneficiadas en esta acción por lo cual deben existir recursos destinados para esta acción.</t>
  </si>
  <si>
    <t>Explicar en las observaciones de manera más detallada el por qué no se realizó esta acción. ANEXAR EVIDENCIAS</t>
  </si>
  <si>
    <t>$9.428.571.40</t>
  </si>
  <si>
    <t>$0.00</t>
  </si>
  <si>
    <t>Registros de asistencia y fotográfico.</t>
  </si>
  <si>
    <t>Actas de reunión y registros de asistencia, con miembros de la Federación  Comunal, para definir cronograma de capacitaciones. Comunicación externa radicado #29560-2018 y SAIA #12798  de 2018, archivados en la carpeta #130-66-08 de 2018.</t>
  </si>
  <si>
    <t xml:space="preserve">1- Según las comunicaciones reseñadas, no fue posible elaborar el cronograma de los talleres con las Juntas de Acción Comunal, ya que cuando se contactaron los dignatarios que respondieron al llamado, mostraron poco interés en la actividad a desarrollar.
2- Mediante Oficio SAIA 11805 del 01 de Abril de 2019 se había enviado esta información de acuerdo con su solicitud formulada en el Oficio 9146 del 13 de marzo 2019.
</t>
  </si>
  <si>
    <t>NP</t>
  </si>
  <si>
    <t>1.Ejecutar obras de optimización de redes de alcantarillado en 1,615 m de diferentes sectores de la ciudad.
2.Optimizar interceptores: Obras de estabilización y protección del interceptor Qda.La Dulcera y obras complementarias en los sectores calle 50 y otros obras y estudios menores
3.Interventoría para la construcción del emisor final portal de salida túnel Consotá - Otún y obras complementarias.
4.Construir conexiones y aliviaderos de interceptores en diferentes puntos de las vertientes Otún y Consotá.
5.Realizar estudios detallados de la planta de tratamiento de aguas residuales.</t>
  </si>
  <si>
    <t>Contratos y Obras realizadas</t>
  </si>
  <si>
    <t>-Contratos de obra ejecutados
-Imágenes de obras en operación
(Disponibles en la Subgerencia Técnica)</t>
  </si>
  <si>
    <t xml:space="preserve">En temas como: teatro, musica, danza, clases de arte visual, clases de audiovisuales a niños CD, clases de braile a niños y adolescentes, clases de literatura, clases de pintura, estimulacion literatura para personas con discapacidad, talleres metodologia orff niños con discapacidad, manualidades niños con discapacidad, </t>
  </si>
  <si>
    <t>Procesos gratuitos, incluyentes y por demanda de los pereiranos.</t>
  </si>
  <si>
    <t xml:space="preserve">Personas con discapacidad contratadas para dictar procesos de formación a personas con discapacidad sin destrezas artísticas. lenguaje de señas y brailie en la Bibliteca Pública de Pereira y formación  en musica para poblacion con discpacidad </t>
  </si>
  <si>
    <t>Procesos formativos en danza, teatro, musica, lectura, titeres, entre otras actividades.</t>
  </si>
  <si>
    <t xml:space="preserve">GESTIÓN </t>
  </si>
  <si>
    <t>PERSONAS QUE ACOMPAÑAN A SUS HIJOS, A LOS DIFERENTES PROGRAMAS, SE LES ENSEÑA EL ARTE DE  LENGUAJE DE SEÑAS, BRAILIE,  CONECTANDO SENTIDOS  PARA QUE ADELANTEN LOS PROCESOS EN SUS HOGARES.</t>
  </si>
  <si>
    <t>A partir del  mes de marzo de 2018 se dio inicio al Programa Radial "YO CUENTO", en acuerdo de voluntades con Desarrollo Social, cuatro programas mensuales se transmitieron 40 programas, tambien se promociono a traves de los  eventos masivos de la biblioteca un traductor de lenguaje de señas que en los diferentes programas de la secretaria transmite en leguaje de señas a traves de facebook. y la movida cultural que circula semanalmente.</t>
  </si>
  <si>
    <t>acuerdo de voluntades y grabaciones radiales que reposan en la Emisora Cultural RAC</t>
  </si>
  <si>
    <t>Articulacion de eventos, diseño de la "Movida Cultural" promocion y divulgacion en redes sociales, emisora RAC</t>
  </si>
  <si>
    <t>www.facebook.com/secretaria.culturadepereira/videos</t>
  </si>
  <si>
    <t>GESTION</t>
  </si>
  <si>
    <t>Dentro del plan de estímulos se etablecio la linea para poblacion con discapacidad dentro de la cual participó y ganó beca de circulacion internacional Estímulos 2018 la Señorita  JENNIFER PULGARIN , quien participó en el MISS Y MISTER DEAF WORLD (REINADO SORDOS).</t>
  </si>
  <si>
    <t>Contrato que reposa en el area de promocion cultural</t>
  </si>
  <si>
    <t>Charlas, reuniones externas, convocatorias de estímulos  con la linea de atención personas con discapacidad.</t>
  </si>
  <si>
    <t>Se facilita el espacio radial, los equipos, se orientan en el desarrollo del programa radial, Desarrollo Social define la temática a tratar con las personas con discapacidad.</t>
  </si>
  <si>
    <t>Grabaciones que reposan en la Emisora RAC</t>
  </si>
  <si>
    <t>Contratistas que dictan sus procesos de formación en danza, teatro, musica, lectura, brailie, lenguaje de señas, entre otros, sus grupos incluyen niños, adolescentes, jovenes y adultos con discapacidad. La Secretaría de Cultura formó 48 funcionarios en Lenguaje de Señas de abril a junio, participaron de: Cuerpo de Bomberos • Secretaría de Gobierno • Secretaría de Educación • Secretaría de Hacienda • Secretaría de Competitividad • Instituto de Movilidad  • Sisbén.</t>
  </si>
  <si>
    <t>NO EXITE UN FONDO ESPECIFICO, PERO LA OFERTA INSITUCIONAL ES CON INCLUISÓN, TENEMOS CONTRATOS CON PERSONAS INDEPENDIENTES Y CON PERSONAS JURIDICAS PARA EL CUBRIMIENTO DE LA POBLACION CON GRADO DE DISCAPACIDAD, EN DIFERENTES ZONAS DE LA CIUDAD DE PEREIRA TANTO URBANA COMO RURAL. DEL TOTAL DEL PRESUPUESTO DE LA SECRETARIA DE CULTURA SE DESTINÓ EL 1,32% PARA LA POBLACION CON DISCAPACIDAD.</t>
  </si>
  <si>
    <t>DEL TOTAL DEL PRESUPUESTO DE LA SECRETARIA DE CULTURA SE DESTINÓ EL 1,32% PARA LA POBLACION CON DISCAPACIDAD</t>
  </si>
  <si>
    <t>Se podría reportar ejecución en la medida que reporten recursos y poblacion beneficiada</t>
  </si>
  <si>
    <t>Se desarrolla el programa de formación cultural en danza afrocolombiana en el Lucy Tejada y el Lucy Tejada y visitas guiadas al laboratorio N 6</t>
  </si>
  <si>
    <t>listas de asistencia y registros fotográficos</t>
  </si>
  <si>
    <t>Escuela de Formación que contiene las areas de danza, teatro, artes visuales, musica.</t>
  </si>
  <si>
    <t>En el area de teatro se hacen obras de teatro con tematicas enfocadas algunas a las tradiciones afrocolombianas, la Banda sinfonica tiene un montaje en Musica Afrocolombiana del Pacífico.</t>
  </si>
  <si>
    <t>A partir del 2017 el Insituto de Cultura desaparece y se crea la Secretaría de Cultura donde el acceso a los programas culturales son gratuitos, en el Lucy Tejada, Biblioteca y sus satélites.</t>
  </si>
  <si>
    <t>Formador contratado para el programa continuo de danza afrocolombiana</t>
  </si>
  <si>
    <t>Exposicion sobre Los invisibilizados, donde la poblacion afro estan incluidos en una socieda invisibilizada como una de las formas de racismo y de estigmatización el artista Jose de Pereira los aborda a través de las posturas, gestos y vestuarios "El Afro en Contexto", esta exposicion se hizo en el mes de agosto de 2018.</t>
  </si>
  <si>
    <t>2,200,000</t>
  </si>
  <si>
    <t>A través de la Emisora Cultural Remigio Antonio Cañarte se visualizan las tradiciones afro, ademas de publicitar los diferentes eventos interculturales que se adelantan en la ciudad como ferias.                                 Se realizó la Feria BARAI donde se muestran artesanías de población Afro. a traves del programa de estimulos se apoyo el proyecto " LAS LUPES DE GUADALUPE ZAPATA" puesta en escena por la  compañia Cuerpo Convite.</t>
  </si>
  <si>
    <t>grabaciones que reposan en la emisora RAC. Youtobe, fragmento las lupes de guadalupe.</t>
  </si>
  <si>
    <t xml:space="preserve">11 programas de visualizacion a traves de Musica Recomendada, invitados especiales afrodescendientes que viven en Pereira, Martha Castrillon, entrevistas a grupos de tradicion afro, </t>
  </si>
  <si>
    <r>
      <t>se lleva a cabo la semana de la Afrocolombianidad con la Asociación de Mujeres Afrorisaraldense KAYNA, quienes llevaron a cabo la misa con tradiciones afro, para poblacion afro y con sacerdote afro, ademas ejecutaron en la Plaza Civia Ciudad Victoria muestras de  la cultura afro como gastronomía, artesanías, baile, musica y peinados.         Se dió conferencia de la Afrocolombianidad y se llevo a cabo Actividad Ludicopedagogica Afrodescendiente, estas ultimas con la asociacion Kayna. Con un montaje creado e integrado por jóvenes afro de los sectores de El Plumón, Salamanca, San Nicolás, Torres del camp</t>
    </r>
    <r>
      <rPr>
        <i/>
        <sz val="11"/>
        <color rgb="FFFF0000"/>
        <rFont val="Calibri"/>
        <family val="2"/>
        <scheme val="minor"/>
      </rPr>
      <t>o</t>
    </r>
    <r>
      <rPr>
        <sz val="11"/>
        <color rgb="FFFF0000"/>
        <rFont val="Calibri"/>
        <family val="2"/>
        <scheme val="minor"/>
      </rPr>
      <t xml:space="preserve">
y El Remanso, La Secretaria de Cultura conmemoró el DÍA DE LA AFROCOLOMBIANIDAD, el 23 de mayo con la asistencia de  de 3.245 personas.</t>
    </r>
  </si>
  <si>
    <t>contrato ejecutado</t>
  </si>
  <si>
    <t>eventos masivos por lo que no se caracteriza la población</t>
  </si>
  <si>
    <t>ASOCIACIÓN</t>
  </si>
  <si>
    <t>Promover actividades para rescatar la cultura afro radicada en la ciudad de Pereira</t>
  </si>
  <si>
    <t>Actividades de fomación en las comunas Boston , Consota, Cuba, San Joaquín, Ferrocarril, San Nicolas y Villa Santana</t>
  </si>
  <si>
    <t>Esta accion se lleva a cabo con la misma contratista Lucelly Maturana, por lo anterior no se pone dato financiero para no duplicar la inversión.</t>
  </si>
  <si>
    <t>En la Biblioteca se adelanta programas incluyentes, se cuenta con un inventario 33 mil volúmenes, en los cuales existen textos escritos por personas negras, afrodescendientes, palenqueras y raizales.</t>
  </si>
  <si>
    <t>Programa creado para el fomento de la cultura de la comunidad indigena que habita el Municipio de Pereira.</t>
  </si>
  <si>
    <t>Danza Cultura Indigena y laboratorio de creación arte indígena</t>
  </si>
  <si>
    <t>La Secretaría de Cultura tiene el Centro Cultural Lucy Tejada donde se realizan durante todo el año formación y promoción de la cultura y el arte con inclusion social y diferencial.</t>
  </si>
  <si>
    <t>Se llevo a cabo el diagnóstico de la cultura Indígena a traves de recopilación de información sobre las expresiones culturales y artisiticas de las comunidades indigenas del cabildo Kurmado del Municipio de Pereira.</t>
  </si>
  <si>
    <t>diagnóstico realizado</t>
  </si>
  <si>
    <t>Feria Barai donde la comunidad Indigena mostro a la ciudad, su cultura indigena a través de artesanias, gastronomia y danza tradicional, esta Feria se llevo a cabo tanto en la Plaza de Bolivar como en la Plazoleta Lucy Tejada donde la participación es masiva.</t>
  </si>
  <si>
    <t>registro fotografico</t>
  </si>
  <si>
    <t>actividad masiva, por ende no se caracteriza la poblacion beneficiada</t>
  </si>
  <si>
    <t>capacitación adelantanda para poblacion indigena en artesanias tradicionales Embera.</t>
  </si>
  <si>
    <t>Formadores indigenas contratados</t>
  </si>
  <si>
    <t>contratos que reposan en la Secretaría de Cultura</t>
  </si>
  <si>
    <t>Promocion de expresiones artisticas para jovenes, en danza, teatro, artes plasticas y visuales, banda musico marcial y banda sinfónica, con 77 formadores contratados que atienden permanentemente esta población</t>
  </si>
  <si>
    <t>A traves de las 7 areas de la Escuela de artes y talento de la secretaría cuenta con las siguientes areas: Artes vivas, artes visuales, coros, bandas musicales, bandas musicomarciales, cuerdas tipicas o pulsadas, y cuerdas sinfónicas, todos estos procesos se forman y apoyan los procesos artisticos y culturales de manera grautita.</t>
  </si>
  <si>
    <t>Se entiende este proceso de formacion como un apoyo economico, teniendo en cuenta que de asistir esta poblacion joven a un instituto privado deben de pagar su matricula y mensualidad.</t>
  </si>
  <si>
    <t>La secretaria de cultura tiene dentro de sus funciones,  misionales la formacion a formadores culturales, la cual es realizada a traves de festivales didacticos y pedagógico, realizado por formadores jovenes para jovenes y poblacion en general.</t>
  </si>
  <si>
    <t>Festivales didacticos en Cuerdas Tìpicas y Cuerdas Sinfónicas</t>
  </si>
  <si>
    <t>programas radiales en la Emisora Cultural Remigio Antonio Cañarte, sobre invitacion seminario literatura juvenil y un programa de media hora donde se invitó a la poblacion joven del mnicipio a participar de Una jornada gratuita de detección de pacientes con artritis juevenil</t>
  </si>
  <si>
    <t>grabaciones que reposan en la emisora RAC</t>
  </si>
  <si>
    <t>Cine foro y Hora del Cuento</t>
  </si>
  <si>
    <t>Etapa de exploración artística</t>
  </si>
  <si>
    <t>cine foro, hora del cuento, atencion a personas con discapacidad, visita sala conectando sentidos, vacaciones recreativas</t>
  </si>
  <si>
    <t>procesos desarrollados con cinco (5) contratistas y la casa creativa</t>
  </si>
  <si>
    <t>Cine foro, hora del cuento, atencion a personas con discapacidad, programamunicipal de lectura, cine foro del papel a la pantalla, sala conectajdo sentidos, lenguaje de brailie.</t>
  </si>
  <si>
    <t>Procesos desarrollados con siete (7) contratistas.</t>
  </si>
  <si>
    <t>4 contratistas expertos en cuerpo sonoro y pedagogia en primera infancia.</t>
  </si>
  <si>
    <t xml:space="preserve">formar niños en danza, clases artisticas niños con discapacidad (musica), clases de arte visual, clases de arte visual niños CD, Clases de baile, clases de teatro, clases de danza niños con discapacidad, formacion en artes plasticas, danza cultura indigena, danza cultura afrodescendiente, formacion en bandas musicomarciales, formacion en cuerdas tipicas, en cuerdas sinfonicas, talleres de musica, talleres de titeres, talleres de manualidades, </t>
  </si>
  <si>
    <t xml:space="preserve">109 formadores </t>
  </si>
  <si>
    <t xml:space="preserve">57 formadores </t>
  </si>
  <si>
    <t>No se tienen solicitudes por parte de miembros de comunidades indigenas para el servicio de asistencia técnica</t>
  </si>
  <si>
    <t>Desde la Secretaría de Infraestructura con el área de Parques se realizó un inventario de la silvicultura urbana del Municipio de Pereira pero Desde la Secretaria de Desarrollo Rural y Gestión Ambiental no se tiene un Manual.</t>
  </si>
  <si>
    <t>Aprovechamiento de los residuos sólidos y Pereira mas verde y lmpia
Inclusión de los recicladores y cultura ambiental para el manejo adecuado de residuos solidos
+Implementación del plan de gestión integral de residuos peligrosos RESPEL</t>
  </si>
  <si>
    <t xml:space="preserve">La evidencia se encuentra en el Informe del Plan de Gestión de Residuos Solidos PGIRS
</t>
  </si>
  <si>
    <t>El dato registrado para personas atendidas corresponde al total de personas sensibilizadas en el Plan de Gestión de Residuos solidos PEGIRS</t>
  </si>
  <si>
    <t xml:space="preserve">1. Se realizó seguimiento y asistencia técnica para certificación en BPA y BPG y buenas prácticas porcicolas mediante visitas, asistencia técnica, certificación y recertificación.
Mediante el convenio con Porkcolombia se apoyo la certificación de buena prácticas porcicolas 
2. Se realiza asistencia técnica y asesoria en el programa de huertas caseras en escuelas y predios rurales </t>
  </si>
  <si>
    <t>1. informe de técnicos y profesionales que realizan las visitas técnicas
Informe de convenios
certificaciones en BPA
2.Informe de profesionales que realizan las visitas.
Registros de visita y asistencia técnica.</t>
  </si>
  <si>
    <t>Se tiene un programa de certificación en Buenas prácticas Agricolas BPA y Buenas practicas Ganaderas y Porcicolas 
Presupuesto: 311.194.000
. Se realiza asistencia técnica y asesoria en el programa de huertas caseras en escuelas y predios rurales con el fin de concientizar a la población sobre la importancia de producir su propio alimento.
Presupuesto:47.522.696</t>
  </si>
  <si>
    <t>1. 508 productores
2. 4751 personas</t>
  </si>
  <si>
    <t xml:space="preserve">En asistencia técnica agricola se realizaron   visitas a productores.
En asociatividad Se tienen 17 asociaciones.
Se brindó una asistencia tecnica en contabilidad para el tema de asesoria contable en declaración de renta y calificación al regimen tributario especial ante la DIAN
acompañamiento comercial, y asistencia tecnica en la parte organizacional, formulación de proyectos ante el ministerio y la ADR y asesoria agroindustrial con el fin de darle un valor agregado al producto final. 
Se esta implementó una planta picadora de platano en cuya prueba piloto fue en Arabia para darle un valor agregado a las asociaciones Asoarabia y Agroarabia.
Se logró por medio del progama Hecho en pereira lo compro la presencia de una impulsadora en los diferentes supermercados donde estan codificadas las asociaciones .
Se implementó un acompañamiento logistico a traves del suministro de un camion el cual recogió los productos en la sede de la asociacion y los lleva a los diferentes puntos de venta disminuyendo su costo logistico en un 20% fortaleciendo la asociación mejorando la rentabilidad.
 Para 2019 Asohas firmo contrato con la superficie Pricesmart para ser proveedor de aguacarte para colombia, centro america y el caribe. </t>
  </si>
  <si>
    <t xml:space="preserve">7 potencializadas. Tienen mas proyección (asohas-asoperagro-entreverdes-asofrutas-ejeorganicos-asopp-horfrubella). 
Se tienen 5 asociaciones en el programa hecho en pereira lo compro(horfrubella-ejeorganico-entreverdes-asofruta-asoperagro)
Asohas esta exportando a europa.
Se logró negociar la inclusión de ASoperagro a la superficie Pricesmart. </t>
  </si>
  <si>
    <t>Se tienen recursos limitados para la prestación continua de asistencia técnica.
Se esta sujeto a capacidad de contratación</t>
  </si>
  <si>
    <t>17 Asociaciones de productores:
1. AgroArabia
2. Aprovir
3. Ascafe
4. AsoArabia
5. Asofrutas
6. Asohass
7. Asoperagro
8. Asopp
9. Asopulpas
10. Horfrubella
11. Entreverdes
12. Asonuevosol
13. Ejeorganico
14. Asoaquapez
15. Acoal
16.Vicampaz
17. Asolac P</t>
  </si>
  <si>
    <t>1. Distribución y comercialización de Colino de Platano - Platano
2. Distribución y comercialización de Aves
3. Distribución y comercialización de Café
4. Distribución y comercialización de Platano
5. Distribución y comercialización de Platano - Aguacate
6. Distribución y comercialización de Aguacate Hass
7. Distribución y comercialización de Aguacate papelillo - Hass
8. Distribución y comercialización de Porcinos
9. Distribución y comercialización de Pulpa de fruta
10. Distribución y comercialización de Hortalizas, mora ultracongelada
11. Distribución y comercialización de Café de alta calidad
12. Distribución y comercialización de Colino de café
13. Distribución y comercialización de Productos organicos
14. Distribución y comercialización de peces
15. Distribución y comercialización de Platano - yuca - huevo - frutas
16. Distribución y comercialización de Platano - mani - Maiz - etc
17. Distribución y comercialización de Leche y derivados</t>
  </si>
  <si>
    <t>1. 10
2. 15
3. 32
4. 32
5. 14
6. 64
7. 21
8. 19
9. 20
10. 28
11. 249
12. 4
13. 11
14. 13
15. 10
16. 9
17. 22
total: 573</t>
  </si>
  <si>
    <t>16. La selva</t>
  </si>
  <si>
    <t xml:space="preserve">1. Arabia
2. Municipio
3. Municipio
4.Arabia
5. Altagracia
6. La Bella 
7. Altagracia
8. Municipio
9.Minorista
10. La Bella
11. Municipio
12. Morelia
13. Combia - La bella - tribunas
14. Combia - cerritos 
15. Combia 
16. Morelia
17. Arabia - Combia
</t>
  </si>
  <si>
    <t>Se prestó asistencia técnica agricola a 2952 productores en la zona rural del municipio en temas de buenas prácticas agricolas (BPA) con el fin de mejorar su productividad y generar potencializar el suelo.</t>
  </si>
  <si>
    <t>Registros de visitas de asistencia técnica agricola</t>
  </si>
  <si>
    <t>Se tienen recursos limitados para la prestación continua de asistencia técnica.</t>
  </si>
  <si>
    <t>El 21, 22 y 23 de febrero, tuvieron asistencia técnica 69 docentes orientadores en rutas de atención y debido proceso en la Universidad Católica</t>
  </si>
  <si>
    <t>En el año 2013, se hizo la construccion de los minimos curriculares para la educacion Basica Primaria y Basica Secundara.. 
Aun no se a implementado.</t>
  </si>
  <si>
    <t>SLas I.E. realizan ajuste a los manuales según su necesidad cada año como lo estipula la Ley 1620 de 2013. Este año se recibieron 23 de instituciones públicas y 4 de privadas. El comité Municipal estableció unos lineamientos para la actualización de los manuales y el año entrante hacer seguimiento al repsecto.</t>
  </si>
  <si>
    <t>Es de aclarar que no se maneja como cátedra, sino como proyecto tranversal en las Instituciones educativas; mediante la implementación el proyecto de competencias ciudadanas y Convivencia escolar. ( De obligatorio cumplimiento)</t>
  </si>
  <si>
    <t>No se maneja como cátedra, sino de manera transversal mediante la implementación del proyecto de Educación para la sexualidad y convivencia escolar. ( De obligatorio cumplimiento)</t>
  </si>
  <si>
    <t>Se visitaron 42 IE oficiales para la implementacion de la educacion hacia el cambio climatico. 
La Educación hacia el cambio climático se maneja como tema dentro de los Proyectos Ambientales Escolares PRAES, con el cual cuenta todas las Instituciones educativas del Municipio de Pereira. De igual manera el día 14 de abril se realizo varias actividades para la  Celebración del Día interamericano de la Calidad del Aire al igual que el 14 de agosto de 2018.</t>
  </si>
  <si>
    <t>La guía de la contribución fue elaborada e implementada por la DIAN hasta el 2014 en Instituciones eeducativas; quienes son los responsables de la socialización del mismo.</t>
  </si>
  <si>
    <t xml:space="preserve">Las 182  IE oficiales, seis (6)centros educativos y rurales y 144 IE privadas.
 Es un programa transversal a todas las areas del conocimiento,  de conformidad al Art 1 4de la ley 115 del 1994.
Esta incluido en los manuales de convivencia, con perspectiva de genero y ciudadania.
PEI con perpectiva de genero y ciudadania.
Unidades didactivas elaboradas como herramientas pedagogica de la secretaria de Educacion  en concurrencia con la secretaria de Salud, para apoyar las instituciones en implementacion del programa.
</t>
  </si>
  <si>
    <r>
      <t xml:space="preserve">Acuerdo 043 del 2013. Se implemento en las 73 IE </t>
    </r>
    <r>
      <rPr>
        <sz val="11"/>
        <rFont val="Calibri"/>
        <family val="2"/>
        <scheme val="minor"/>
      </rPr>
      <t xml:space="preserve">y 144 IE privadas </t>
    </r>
  </si>
  <si>
    <t>Acuerdo 043 del 2013 que establece una regulacion de los alimentos saludables en todas las IE oficiales y privadas.
De un total de 73 IE oficiales, 50 vienen trabajando con escuelas y colegios saludables para crear habitos y estilos de vida saludables. 
En IE privadas la secretaria de Salud hace el seguimiento y control a traves de los certificados de salubridad a las instituciones.
De un total de 144  IE privadas,  23  vienen trabajando con escuelas y colegios saludables para crear habitos y estilos de vida saludables.</t>
  </si>
  <si>
    <t>La hora saludable implementada en todas las IE del Municipio.
En IE privadas la secretaria de Salud hace el seguimiento y control a traves de los certificados de salubridad a las instituciones.</t>
  </si>
  <si>
    <t>Recomendamos adicionar a la Secretaria de Salud esta accion ya que la SEM es de apoyo unicamente.</t>
  </si>
  <si>
    <t>Durante el año 2018 se realizaron acciones de aportes al PEI y el PMI de 21 EE, en donde se plantean acciones para la deteccion temprana de talentos  en donde cuentan con alta poblacion caracterizada como capacidad y/o talento excepcional.
Se contrato al operador Fundacion Progressa. OBJETO: Prestacion de los servicios educativos de apoyo pedagogico de acuerdo a las necesidades encontradas en las IE oficiales del Municipio de Pereira, de conformidad a las discapacidades, talentos y excepcionalidades para la planeacion e implementacion del Diseño Universal  de Aprendizaje (DUA) y los planes individuales de ajustes razonables (PIAR) pertinentes a la vigencia 2018.</t>
  </si>
  <si>
    <t xml:space="preserve">A través del contrato 3200 de 2018 con la Fundación Progresa se realizó la contratacion de un total de 86 profesionales a través de la modalidad de prestación de servicios. Así como la contratación directa de la profesional de la SEM para coordinar este proceso. 
Se seleccionaron 4 IE </t>
  </si>
  <si>
    <t>De un total de 73 instituciones, 41 estan aplicando medologias flexibles ( aceleracion de aprendizaje, caminar en secundaria, decreto 3011, escuela nueva)</t>
  </si>
  <si>
    <t>En esta caracterizacion se maneja 2 condiciones</t>
  </si>
  <si>
    <t xml:space="preserve"> Los cuales atienden los 182 EE y sedes oficiales y  6 centros educativos.</t>
  </si>
  <si>
    <t xml:space="preserve">Los estudiantes de las IE oficiales,  obtuvieron  un resultado promedio  de 49,39% en ingles en las pruebas saber 11 en la vigencia 2018.
Los estudiantes de las IE privadas,   obtuvieron  un resultado promedio de 60,24% en ingles en las pruebas saber 11 en la vigencia 2018.                                                                                           </t>
  </si>
  <si>
    <t xml:space="preserve">El municipio desde el 2015 fue declarado libre de analfabetismo </t>
  </si>
  <si>
    <t>Convenio interadministrativo son la Universidad Tecnologica de Pereira contrato  6630-4484 y 3184 del 21 de febrero de 2018.
Becas subsidiadas para los estratos del sisben 1 y 2 de todos los colegios oficiales de pereira</t>
  </si>
  <si>
    <t>Convenio
Universidad para Cuba
Becas pa Pepas</t>
  </si>
  <si>
    <t>Solo contamos con los indicadores de educacion superior del anuario estadistico de la educacion superior que nos reporta una cobertura  en el Departamento de Risaralda de un 58,66% en el año 2016</t>
  </si>
  <si>
    <t>Solo contamos con los indicadores de educacion superior del anuario estadistico de la educacion superior que nos reporta un indice de desercion  en el Departamento de Risaralda de un 8,05% en el año 2016</t>
  </si>
  <si>
    <t>Solo contamos con los indicadores del anuario estadistico  que nos reporta un indice de desercion  en el Departamento de Risaralda:  Tecnico profesional 16,27% y tecnologico 15,39% en el año 2016</t>
  </si>
  <si>
    <t>No manejamos datos de educacion superior. Solo de programas emblematicos.</t>
  </si>
  <si>
    <t>&lt;</t>
  </si>
  <si>
    <t>La  Secretaria de Educación  solicita ajustar el responsable de esta acción. Ya que solo somos de apoyo y no de nuestra gestión.</t>
  </si>
  <si>
    <t>Arte es una de las areas fundamentales 73 IE oficiales y las privadas art 23 de la ley 115.</t>
  </si>
  <si>
    <t>Se visitaron 8 IE en el sector cuba. Articulación de la media con el ecosistema de la universidad para Cuba. Se presentó el programa emblemático a las instituciones, para la modernización de la media y la posibilidad de vincular a las mismas con la universidad para Cuba.</t>
  </si>
  <si>
    <t>Se fortalecio la red de Personeros Escolares  a traves del programa convivencia escolar en articulacion con la Personeria Municipal a todas las IE oficiales (incluidas sedes) y privadas.</t>
  </si>
  <si>
    <t>En la vigencia 2018 no se realizo actividades de fortalecimiento a consejos estudiantiles. Es un tema que lidera la Secretaria de Desarrollo Social.</t>
  </si>
  <si>
    <t>Adecuaciones en infraestructura de la  IE Jesús María Ormaza, dotación ofina Universidad para Cuba; Contratación de  personal para la coordinación y administración del Proyecto la Universidad para Cuba; Definición de los criterios de operación de la Universidad para Cuba; Firma de convenios con las Instituciones de Educación superior generando un portafolio de  ofertas a la Universidad para Cuba con La Ciaf y Universidad Católica de Pereira; Implementación y puesta en marcha de las ofertas de Educación Superior (Técnico profesional en Desarrollo de Software, Tecnología en Software con la Catolica. Continuidad de Ingeniería de Sistemas y de Tecnología Industial con la UTP.
Becas pa' pepas: Pago de matrícula para estudiantes a nivel de pregrado en programas de la Universidad Tecnológica de Pereira, seleccionados por la Alcaldía de Pereira teniendo como requisito base haber sido admitido en un programa académico de la UTP. Apoyo económico para transporte y alimentación, previamente reglamentado entre la Vicerrectoría de Responsabilidad Social de la Universidad Tecnológica de Pereira y la Secretaría de Educación de la Alcaldía de Pereira. Fortaleciendo las estrategias que permiten fomentar la excelencia y calidad de la educación superior a estudiantes con menores recursos económicos y destacados en las pruebas saber 11.
Las becas  entregadas para formación postgradual de docentes cursadas en la UTP (gestionadas)  fueron en las áreas de: Ciencias Ambientales, Educación, Enseñanza de la Matemática. Historia y Literatura-Las becas cursadas en la UCP fueron en la siguiente área: Pedagogía en desarrollo humano.</t>
  </si>
  <si>
    <t xml:space="preserve">Mediante convenios: 2018-1. Convenio 2881. CIAF 2018-1; Convenio 2976. U. Católica; 2018-2. Convenio 3847. CIAF; 2018-2. Convenio 3885. U. Católica.
Resolución listado de matriculados en Universidad Tecnológica de Pereira. Fotos, Listado de recepción de apoyos. Contrato 3184 del 21 de febrero de 2018.
Los documentos que contienen el total de  beneficiarios de las becas para formación pos gradual (UTP, Católica),  reposan en el archivo (digital) de la Subsecretaría de Planeación y Calidad Educativa de la Secretaría de Educación Municipal. 
</t>
  </si>
  <si>
    <t>47 IE</t>
  </si>
  <si>
    <t>4 IE</t>
  </si>
  <si>
    <t>Para la escuela del  Emprendimiento del BBVA se han vinculado 9 instituciones (Leningrado, San Nicolás, Rodrigo Arenas, San Francisco de Asís, Inem Felipe Pérez, Gonzalo Mejía Echeverry, Carlos Castro Saavedra , Alfredo García y Suroriental), que han venido implementando la cátedra de emprendimiento en los grados octavo y noveno.
Consistio en buscar el desarrollo de competencias financieras y de emprendimientos en los estudiantes.  Se logro durante la vigencia 2018 realizar talleres de educación financiera para la vida donde a traves de material didactico se diseñaron conceptos sobre presupuesto familiar , oportunidad de ahorro, identifiación de ingresos y gastos hormiga.</t>
  </si>
  <si>
    <t>Convenio BBVA</t>
  </si>
  <si>
    <t>Para la vigencia 2018  esta actividad no se realizó por parte de la SEM.</t>
  </si>
  <si>
    <t>La Escuela de Emprendimiento del BBVA realizó la entrega de: Cartilla Estudiantes de grado octavo, noveno y decimo de las siguientes EE:  (Leningrado, San Nicolás, Rodrigo Arenas, San Francisco de Asís, Inem Felipe Pérez, Gonzalo Mejía Echeverry, Carlos Castro Saavedra , Alfredo García y Suroriental),</t>
  </si>
  <si>
    <t>En convenio con la Universidad Católia, Se realizo el primer piloo del programa de formación en competen cias para matemáticas, promoviendo acciones que permitan lograr mayores niveles de interpretación, formulación, ejecución y argumentación de las ciencias básicas, beneficiando a siete EE: Luis Carlos Gonzalez, El Dorado, Sofia Hernandez, La Villa, Ciudadela Cuba, Jesus María Ormaza y Matecaña</t>
  </si>
  <si>
    <t>Convenio Universidad Catolica</t>
  </si>
  <si>
    <t xml:space="preserve">
En el comité Municipal de Educación ambiental se socializo y sensibilizo con todas la direcciones de Núcleos. Se realizo un cronograma de actividades con el fin de implementar la política de Protección Animal en la vigencia 2019 para  todas las IE del Municipio de Pereira.
</t>
  </si>
  <si>
    <t>Actas de Comité</t>
  </si>
  <si>
    <t>El plan de Acción comienza en la vigencia 2019</t>
  </si>
  <si>
    <t>Se socializó y se sensibilizó con todas los docentes coordinadores de los PRAES en el segundo Foro de Educación Ambiental, se realizo un cronograma de actividades con el fin de implementar la política de Protección Animal en la vigencia 2019 para  todas las IE del Municipio de Pereira.</t>
  </si>
  <si>
    <t>Fotografias, Inscripcion de Asistentes</t>
  </si>
  <si>
    <t>Se brindó dos capacitaciones sobre mecanimos de  participación en el centro cultura lLucy tejada 1.  Capacitación mecanismos de participación. 2. Mecanismos de control y participación. En total fueron capacitadas 71 personas con algún tipo de discapacidad</t>
  </si>
  <si>
    <t>documento prorporcionado por el contratista a cargo de dicho proceso, a su vez dicha información se encuetra montada en la pagina del SPP</t>
  </si>
  <si>
    <t xml:space="preserve">las capacitaciones se birndarón entre el 26 de abril de 2018 y el 06 de junio en tres sesiones de trabajo </t>
  </si>
  <si>
    <t xml:space="preserve">INSTITUCIONES EDUCSATIVAS Y CENTRO CULTURAL LUCY TEJADA </t>
  </si>
  <si>
    <t xml:space="preserve">Se dictó charla de Fortalecimiento de las organizaciones en condición de discapacidad a Estudiantes de grado 11a colegio Luis Carlos González, el dia 28 de febrero del 2018 </t>
  </si>
  <si>
    <t xml:space="preserve">solo aparece registro de una actividad </t>
  </si>
  <si>
    <t xml:space="preserve">EL 02 de mayo del 2018 7:00pm, se realizó el taller de Mecanismos de control y participación con personas en condición de discapacidad en el centro cultural lucy tejada. Asistieron 16 perosnas. </t>
  </si>
  <si>
    <t>El 28 de febrero del 2018 Se asesoró entorno al Fortalecimiento de las organizaciones en condición de discapacidad y Proyectos vida.adicionalmente en  2. herramientas para su fortalecimiento fundamentados en proyectos de vida.</t>
  </si>
  <si>
    <t>participaron Estudiantes de grado 11a del  colegio Luis Carlos González</t>
  </si>
  <si>
    <t xml:space="preserve">Desde el programa Pereira la Veo Bien, se raelizó una campaña compuesta por varios flayers publucitarios enfocados a la no discriminación contra personas en condición de Discsapacidad. Dicha publicidad se presentó en redes socialles y medio oficilaes de la adminstración municipal  </t>
  </si>
  <si>
    <t xml:space="preserve">no se evidencia mas camapañas al respecto frente a esta acción </t>
  </si>
  <si>
    <t xml:space="preserve">en el Polideportivo Villavicencio  se realizó una capacitación a la  comunidad en temas relacionados a los derechos humanos. A dicha mesa participarón 14 personas en condición de discapacidad. </t>
  </si>
  <si>
    <t>Capacitaciones a la comunidad indigena de la CARBONERA Y DEL Cabildo Kurmado</t>
  </si>
  <si>
    <t>Fotografica, asistencia y spp</t>
  </si>
  <si>
    <t>Carbonera, Las Brisas y Salamanca</t>
  </si>
  <si>
    <t>Se elaboro documento de interpretacion juridica practicas y procedimientos de justicia especial indigena</t>
  </si>
  <si>
    <t>documento fisico</t>
  </si>
  <si>
    <t>Pendiente de socializar y publicar con el gobernador indigena</t>
  </si>
  <si>
    <t>Se formulo  programa de formacion en tema de tierra y territorio</t>
  </si>
  <si>
    <t>No se ha sensibilizo por falta de articulacion de parte del cabildo Kurmado</t>
  </si>
  <si>
    <t>Ya esta creado el Comité por la Secretaria de Desarrollo Social y en funcionamiento</t>
  </si>
  <si>
    <t>Se realizaron descentralizados a la comunidad de Corregimiento de Puerto Caldas, Comuna de Villasantana, Salamanca, Parque Industrial, donde se capacito a la comunidad en el tema de Cultura de la Ciudadana con la campaña Pereira La Veo Bien, ademas se realizaron diferentes campañas con la comunidad en encuentros comunitarios</t>
  </si>
  <si>
    <t>Asistencia y registro fotografico</t>
  </si>
  <si>
    <t>Instituciones educativas, policia metropolitana y comunidad</t>
  </si>
  <si>
    <t xml:space="preserve">Instituciones educativas y policia metropolitana </t>
  </si>
  <si>
    <t>1. Aplicación Metodologia Presupuesto Participativo, Acuerdo 29 de 2014. 2. Construcción y Selección Perfiles de Proyecto y escogencia de delegados veedores. 3. Elecciones Presupuesto Participativo. 4. Proceso de viabilidad de compras para la implementación del proyecto ganador. 5. Compra y entrega de los Equipos o Insumos objeto del proyecto  ganador.
1. Aplicación Metodologia Presupuesto Participativo, Acuerdo 29 de 2014. 2. Construcción y Selección Perfiles de Proyecto y escogencia de delegados veedores. 3. Elecciones Presupuesto Participativo. 4. Proceso de viabilidad de compras para la implementación del proyecto ganador. 5. Compra y entrega de los Equipos o Insumos objeto del proyecto  ganador.</t>
  </si>
  <si>
    <t>Dotación de Equipos Biomédicos y Odontológicos para el Puesto de Salud de Combia Baja
Ayudas Ortopédicas</t>
  </si>
  <si>
    <t>Todas las personas del Corregimiento
Asociaciones de Adultos Mayores</t>
  </si>
  <si>
    <t>Mejorar la salud bucal de los habitantes del Corregimiento
Mejorar la calidad de vida de las personas de 65 y mas años de edad.</t>
  </si>
  <si>
    <t>Corregimiento</t>
  </si>
  <si>
    <t>Ver Acta Correg Combia Baja
Ver Acta Comuna Cuba</t>
  </si>
  <si>
    <t>Acompañamiento permanente de los contratistas de apoyo en la ejecución del Sistema de Planeación Participativa y Democrática, especificamente en la Fase Definición de de elección de Delegados y elección del Proyecto a ejecutar en la comuna o corregimiento.</t>
  </si>
  <si>
    <t>Planillas de Inscripción de votantes.</t>
  </si>
  <si>
    <t>Debe esperarse a la entrega del proyecto ganador.</t>
  </si>
  <si>
    <t>Votaron 17857 en 18 territorios (Comunas y Corregimientos), por los 18 proyectos elegidos se dieron 10912 votos.</t>
  </si>
  <si>
    <t xml:space="preserve"> Juntas de Acción Comunal y Juntas Administradoras Locales de la  Comuna o Corregimiento</t>
  </si>
  <si>
    <t>Mejorar la calidad de vida de los habitantes del Barrios y Veredas, que componen la Comuna o Corregimiento.</t>
  </si>
  <si>
    <t>420 Juntas de Acción Comunal, legitimamente constituidas, en territorio urbano y rural, como se puede especificar en base de datos en excell, que se anexa.</t>
  </si>
  <si>
    <t>Comunas: Boston, Centro, El Rocio, Cuba, Del Café, El Jardin, Perla del Otún, Universidad, Oriente, El Oso y San Joaquin. Corregimientos: Altagracia, Arabia, Caimalito, Cerritos, La Bella, Morelia, Puerto Caldas, La Estrella La Palmilla, Tribunas Corcega y La Florida.</t>
  </si>
  <si>
    <t>Participaron 1025 adolescentes y 3017 jóvenes. Urbano: Adolescentes (Entre 13/17 años) 315 hombres y 270 mujeres. Jóvenes (18/28 años) 833 hombres y 893 mujeres. Rural: Adolescentes (Entre 13/17 años) 244 hombres y 196 mujeres. Jóvenes (18/28 años) 652 hombres y 639 mujeres. Total votos año 2018: 19921; Urbano 12.222 y Rural 7699.</t>
  </si>
  <si>
    <t>Se contrato una persona para construir la metodología para la Formulación de los Planes de Desarrollo de Comunas y Corregimientos, para este proceso se conto con los liders sociales de las Comunas de Pereira.</t>
  </si>
  <si>
    <t>Actas y Documento con la Metodología para la Formulación de los Planes de Desarrollo de Comunas y Corregimientos</t>
  </si>
  <si>
    <t xml:space="preserve">No hubo los recursos para contratar la Elaboración de los Planes de Desarrollo de Comunas y Corregimientos. Esta acción se desarrollará en 2019. </t>
  </si>
  <si>
    <t>Dignatarios de las Juntas de Acción Comunal, Ediles miembros de las Juntas Administradores Locales, Organizaciones No Gubernamentales, Organizaciones de la Sociedad Civil, Líderes Sociales y en general cualquier persona.</t>
  </si>
  <si>
    <t>19 Comunas y 12 Corregimientos</t>
  </si>
  <si>
    <t>Se han  realizado gestiones con la ESAP y se diseño un curriculo de Formación para ochenta (80) horas. Igualmente se gestiono con la Universidad Cooperativa de Colombia; sin embargo no se autorizo la contratación.</t>
  </si>
  <si>
    <t>Se adjunta medios magneticos de email y microcurriculo.</t>
  </si>
  <si>
    <t>En 2019 se realizará la primera cohorte. Los resultados deben presentarse en 2020.</t>
  </si>
  <si>
    <t>Se desarrollo el Presupuesto Participativos para niñ@s en 2 Corregimientos (Puerto Caldas y Caimalito) y 2 Comunas (Villa Santana y Ferrocarril), a través de las instituciones educativas.</t>
  </si>
  <si>
    <t>Actas de escrutinio de las votaciones en las que se aprobaron 4 proyectos de 14 y actas de entrega de los proyectos electos.</t>
  </si>
  <si>
    <t>Los nin@s que aprobaron los proyectos fueron 1614 (58%) de un total de 2797 niñ@s.</t>
  </si>
  <si>
    <t>Acompañamiento permanente de los contratistas de apoyo en la ejecución del Sistema de Planeación Participativa y Democrática, especificamente en la Fase Definición de Perfiles de los proyectos del Presupuesto Participativo</t>
  </si>
  <si>
    <t>Actas de escrutinio de las votaciones en las que se aprobo el proyecto y se eligieron los delegados.</t>
  </si>
  <si>
    <t>En las comunas y corregimientos las JAC¨S presentan por barrio un perfil de proyecto, sin embargo, para efectos de someterlo a votación, escojen un máximo de 2 o 3 proyectos, sin embargo el indicador es superado.</t>
  </si>
  <si>
    <t>Votaron 19921 en 21 territorios (Comunas y Corregimientos), por los 18 proyectos elegidos se dieron 10912 votos.</t>
  </si>
  <si>
    <t xml:space="preserve"> Juntas de Acción Comunal, de las Juntas Administradoras Locales a que pertenecen (Comuna o Corregimiento)</t>
  </si>
  <si>
    <t>Depende de cuando se haga entrega de los productos establecidos en los proyectos ganadores para cada Comuna o Corregimiento.</t>
  </si>
  <si>
    <t>Comunas: Cuba, Del Café, El Jardin, El Rocio, Perla del Otún, Universidad, Centro, El Oso y San Joaquin. Corregimientos: Altagracia, Arabia, Caimalito, Cerritos, La Bella, Morelia, Puerto Caldas, Tribunas Corcega y La Florida.</t>
  </si>
  <si>
    <t>Parametrizar el Sistema de Políticas Públicas SPP actualmente disponible para el seguimiento y evaluación de las Políticas Públicas, en este caso la política de los OAC. Este sistema se alimenta por medio de las actividades caracterizadas que las entidades correspondientes realicen.</t>
  </si>
  <si>
    <t>Actas, Ingreso de la Política Pública con sus componentes, acciones e indicadores en el SPP, de esta forma las entidades pueden ingresar al sistema las actividades que cumplan con las acciones de la política.
Se crearon algunos usuarios para la Secretaria de Planeación, Subsecretaría de planeación socioeconomica para el ingreso de la información de los contratistas de presupuesto participativo.</t>
  </si>
  <si>
    <t>Se realizó la instalación del Comité Municipal de Acción Comunal, se socializó, aprobo y ejecuto el cronograma del Comité Municipal de Acción Comuna y se desarrollo el proceso de Implementación del Plan de Acción de la Política Pública Comunal. Adicionalmente se socializo la Política Pública en Comunas y Corregimientos a los actores directos de las JAC.</t>
  </si>
  <si>
    <t>Actas de reuniones, informes de las secretarias de despacho e informes presentados a junio 30  y diciembre 31 de 2018.</t>
  </si>
  <si>
    <t>$ 36.473.000</t>
  </si>
  <si>
    <t>Dignatarios de las Juntas de Acción Comunal, Ediles que conforman las Juntas Administradoras Locales de las Comuna o Corregimiento  del Municipio de Pereira y Servidores Públicos y contratistas del Pereira.</t>
  </si>
  <si>
    <t>19 Comunas y 12 Corregimientos, más 13 secretarias de despacho y 2 oficinas asesoras (Paz Reconciliación y Posconflicto y Comunicaciones).</t>
  </si>
  <si>
    <t>19 Comunas y 12 Corregimientos y 4 edificios en el centro de la ciudad donde despachan funcionarios y contratistas de la Alcaldía de Pereira.</t>
  </si>
  <si>
    <t>IE Gabriel Trujillo (678+110) e IE La Carbonera (144+13), estudiantes de los niveles básica primaria y primeros grados de secundaria.
IE Aquilino Bedoya e IE Matecaña, estudiantes de los niveles preescolar, básica primaria, secundaria y media.</t>
  </si>
  <si>
    <t>Mejorar la calidad de vida de los niñ@s de las Instituciones Educativas de la Comuna Ferrocarril.
Mejorar la calidad de vida de los niñ@s de las Instituciones Educativas del Corregimiento de Caimalito.</t>
  </si>
  <si>
    <t>Barrio y veredas 
Barrios Nacederoa y Plumon</t>
  </si>
  <si>
    <t>Corregimiento Caimalito
Comuna Ferrocarril</t>
  </si>
  <si>
    <t>Corregimiento Caimalito.
Comuna Ferrocarril</t>
  </si>
  <si>
    <t>1- Asistencia Tecnica
2- Acompañamiento y Asesorias en Planes de Negocio
Este reporte se realiza a través de la consolidación del infrome que presenta los coordinadores de los CEDES
Acompañamiento permanente de los contratistas de apoyo en la ejecución del Sistema de Planeación Participativa y Democrática, especificamente en la Fase Definición de Perfiles de los proyectos del Presupuesto Participativo</t>
  </si>
  <si>
    <t>Este reporte se realiza a través de la consolidación del infrome que presenta los coordinadores de los CEDES
Actas de escrutinio de las votaciones en las que se aprobo el proyecto y se eligieron los delegados</t>
  </si>
  <si>
    <t>Se capacitaron y se eligieron los Delegados del Presupuesto Participativo de 11 Comunas y 10 Corregimientos, los cuales tienen como función ser veedores del proceso.</t>
  </si>
  <si>
    <t>En el año 2019, se capacitarán y se diligenciarán las actas respectivas de las veedurias del Presupuesto Participativo de la Comuna y/o Corregimiento respectivo ante la instancia competente.</t>
  </si>
  <si>
    <t>56 Delegados Veedores elegidos de 92 candidatos y 63 Delegadas Veedoras elegidas de 97 candidatas.</t>
  </si>
  <si>
    <t>Se elaboró el estudio mediante los documentos denominados Diagnóstico Institucional, Sondeo de Percepción Social y Diagnóstico técnico consolidado.</t>
  </si>
  <si>
    <t>Documentos  en PDF denominados Diagnóstico Institucional, Sondeo de Percepción Social y Diagnóstico técnico consolidado.    Y Actas de Reuniòn soporte de construcciòn de los mismos.</t>
  </si>
  <si>
    <t>* Se contrataron dos personas parara realizar el estudio.                                * Según los resultados y recomendaciones del estudio para la vigencia 2019 se tiene propuesto desarrollar acciones con el fin de avanzar en la actualización de la DIVIPOLA mediante la realización de talleres de concertación y socialización con los actores involucrados.</t>
  </si>
  <si>
    <t>Juntas Administradoras Locales, Juntas de Acciòn Comunal, Dependencias de Administraciòn Municipal</t>
  </si>
  <si>
    <t>propender por mejorar la calidad de vida de los habitantes de la Comuna o Corregimiento</t>
  </si>
  <si>
    <t>155 ediles y 5880 dignatarios de JAC</t>
  </si>
  <si>
    <t>todas las veredas y barrios que posean Junta de Acción Comunal</t>
  </si>
  <si>
    <t>lideres sociales</t>
  </si>
  <si>
    <t>OBRAS DE CONSTRUCCION DE PLACA HUELLA Y ANDEN EN LA VIA QUE CONDUCE DE LA VARIANTE PEREIRA ARMENIA AL COLEGIO JOSE ANTONIO GALAN</t>
  </si>
  <si>
    <t>OBRA FISICA/ PROCESO CONTRACTUAL</t>
  </si>
  <si>
    <t>NI</t>
  </si>
  <si>
    <t xml:space="preserve">CONSTRUCCIÓN CALZADA NORTE DE LA AVENIDA LA INDEPENDENCIA DESDE EL CRUCERO DE CUBA, HASTA LA INTERSECCIÓN DE CORALES DEL MUNICIPIO DE PEREIRA /
CONSTRUCCIÓN CONEXIÓN ANILLO LONGITUDINAL AVENIDA 30 DE AGOSTO CON CALLE 50 DE LA CIUDAD DE PEREIRA/CONSTRUCCION AVENIDA SAN MATEO DESDE LA AVENIDA LAS AMERICAS HASTA LA INTERSECCION AVENIDA 30 DE AGOSTO DEL MUNICIPIO DE PEREIRA.
</t>
  </si>
  <si>
    <t>MANTENIMIENTO DE LA RED VIAL URBANA Y RURAL POR PARTE DE LA DIRECCION OPERATIVA DE MANTENIMIENTO DE LA INFRAESTRUCTURA VIAL</t>
  </si>
  <si>
    <t>CONSTRUCCIÓN DE LA VÍA QUE COMUNICA EL BARRIO VILLA VERDE CON EL BARRIO NARANJITO EN EL MUNICIPIO DE PEREIRA/    REPARACIÓN Y MANTENIMIENTO DE LA VIA DEL BARRIO LOS SAUCES 1 SECTOR CUBA, QUE INCLUYE REHABILITACIÓN DEL ALCANTARILLADO/     OBRAS DE CONSTRUCCION DE VIA EN PAVIMENTO RIGIDO ENTRE MANZANA 8 Y MANZANA 9 DEL BARRIO BELLO HORIZONTE DEL MUNICIPIO DE PEREIRA/      OBRAS DE CONSTRUCCION DE VIA EN PAVIMENTO RIGIDO ENTRE MANZANA 8 Y MANZANA 9 DEL BARRIO BELLO HORIZONTE DEL MUNICIPIO DE PEREIRA/  OBRAS DE REPARACIÓN MANTENIMIENTO Y CONSTRUCCIÓN DE ANDENES DE LOS BARRIOS JARDÍN PRIMERA Y SEGUNDA ETAPA PROYECTO ELEGIDO MEDIANTE EL PROCESO DE PRESUPUESTO PARTICIPATIVO EN EL MUNICIPIO DE PEREIRA/  DEMOLICIÓN ESCALAS PUENTE VEHICULAR CR 10 CON AVENIDA DEL FERROCARRIL DEL MUNICIPIO DE PEREIRA</t>
  </si>
  <si>
    <t xml:space="preserve">CONSTRUCCION DEL SALON COMUNAL DEL BARRIO CENTENARIO DE LA COMUNA BOSTON  /CONSTRUCCION DEL SALON COMUNAL DEL BARRIO BOSTON LA FLORIDA  DE LA COMUNA BOSTON  </t>
  </si>
  <si>
    <t xml:space="preserve">OBRAS DE MEJORAMIENTO DE CASETAS COMUNALES DEL CORREGIMIENTO DE LA BELLA Y FLORIDA/   OBRAS DE MEJORAMIENTO DE LA CASETA COMUNAL DEL BARRIO LA VILLA COMUNA OLÍMPICA </t>
  </si>
  <si>
    <t>MANTENIMIENTO DE LAS ZONAS VERDES REALIZADAS POR LA DIRECCION CORRESPONDIENTE. ROCERIA DE ZONAS VERDES Y PODA, ES REALIZADA POR ATESA</t>
  </si>
  <si>
    <t>CONSTRUCCION CANCHA MULTIPLE VEREDA EL COFRE DEL CORREGIMIENTO DE PUERTO CALDAS PROYECTO ELEGIDO POR VOTO POPULAR EN ELECCIONES DE PRESUPUESTO PARCITIPATIVO/  CONSTRUCCION CANCHA MULTIPLE VEREDA EL COFRE DEL CORREGIMIENTO DE PUERTO CALDAS /  CONSTRUCCIÓN CANCHA MÚLTIPLE BARRIO SAMARIA 2 SECTOR C DEL MUNICIPIO DE PEREIRA /OBRAS DE CERRAMIENTO DE LA CANCHA DE FUTBOL DE SAMARIA I SECTOR A, /OBRAS DE MANTENIMIENTO DE ESCENARIOS DEPORTIVOS DE LOS CORREGIMIENTOS DE CAIMALITO, ARABIA Y DE LA COMUNA UNIVERSIDAD, OBRAS DE MANTENIMIENTO CANCHA SINTÉTICA BARRIO SAN NICOLAS</t>
  </si>
  <si>
    <t>CONSTRUCCIÓN DE PARQUES LOCALIZADOS SOBRE LA AVENIDA CIRCUNVALARA EN EL PROMETEO, LA JULIA, LA REBECA Y POPULAR MODELO EN EL MUNICIPIO DE PEREIRTA</t>
  </si>
  <si>
    <t>SIEMBRA DE 12,000 ARBOLES EN DIFERENTES SECTORES DE LA CIUDAD</t>
  </si>
  <si>
    <t>MANTENIMIENTO Y RECUPERACION DE PARQUES, REALIZADOS POR LA DIRECCION OPERATIVA RESPECTIVA./OBRAS DE CONSTRUCCIÓN, EQUIPAMIENTO Y REHABILITACIÓN DE LAS FUENTES DE AGUA ARQUITECTONICAS DEL PARQUE LINEAL EGOYA, SECTOR COMPRENDIDO ENTRE CALLES 17 Y 18 CON CARRERA 12, FRENTE AL VICTORIA CENTRO COMERCIAL REGIONAL</t>
  </si>
  <si>
    <t>se hizo el acercamiento con las organizaciones afros, pero no se llego a un acuerdo para realizar las acciones y/o articulaciones</t>
  </si>
  <si>
    <t>Actas de reunion , reposan en el archivo del area de actividad fisica de la secretaria de Deporte y Recreacion</t>
  </si>
  <si>
    <t>se hizo el acercamiento con las organizaciones afros, se socializo la oferta institucional de la secretaria de Deportes en los diferentes acentamientos,  pero no se llego a un acuerdo para realizar las acciones y/o articulaciones</t>
  </si>
  <si>
    <t>no se realizaron debido a  la falta de recursos destinados para la ciudad de pereira, la secretaria departamental los ejecuto</t>
  </si>
  <si>
    <t xml:space="preserve">se realizaron los juegos en el festival raices pacificas tokio mania villasantana festival de juegos tradicionales y torneo de micro futbol los dias 12 13 y 14 de octubre se beneficiaron 260 personas se entregaron 10 kit deportivos masculino y femenino para cada participante , festival de futbol cierre del programa de inclusion masculino femenino futbol 6 se realizo el sabado 8 de diciembre en el barrio salamanca, se beneficiaron 150 personas y se entrgo la respectiva premiacion trofeo, medallas y anchetas </t>
  </si>
  <si>
    <t>Registro fotografico reposa en la nube de google drive de la secretaria de Deporte y Recreacion, Actas de reunion , reposan en el archivo del area de Recreacion de la secretaria de Deporte</t>
  </si>
  <si>
    <t xml:space="preserve">Se brindo atencion a 1086 adultos mayores, jóvenes, adolescentes y niñ@s , afrodescendientes , 465 mujeres, 574 hombres, 931 en el sector urbano, 108 en el sector rural, en los diferentes asentamientos: tokio, villasantana, remanso, salamanca, caracol la curva, caimalito, plumon. a traves de los programas regulares de la secretaria de Deporte y Recreaciòn; Tales como
1- PROGRAMA  COMPROMETIENDO JUVENTUDES SE EJECUTARON EN LOS ASENTAMIENTOS DE PLUMON ALTO (INVASION)-SALAMANCA-TOKIO-VILLA SANTANA (INTERMEDIO)- con un total de 117 usuario                         2-PROGRAMA ESCUELAS RECREATIVAS SE EJECUTO EN EL  ASENTAMIENTOS DE SALAMANCA con un total de 87 usuario                                                                         3-PROGRAMA DE ESCUELAS DE JUEGO Y MOTRICIDAD SE EJECUTARON EN LOS ASENTAMIENTOS DE SALAMANCA-TOKIO con un total de 88 usuario                                                                         4-PROGRAMA ESCUELAS DEPORTIVAS SE EJECUTARON EN LOS ASENTAMIENTOS DE EL PLUMON -PLUMON BAJO (INVASION)-REMANSO-VEREDA CAIMALITO- con un total de 214 usuario          5-PROGRAMA COMUNIDADES ACTIVAS Y SALUDABLES SE EJECUTARON EN LOS ASENTAMIENTOS DE EL PLUMON-VILLA SANTANA (INTERMEDIO)- con un total de 39 usuario                       6-PROGRAMA  GIMNASIOS COMUNITARIOS SE EJECUTARON EN LOS ASENTAMIENTOS DE SALAMANCA-TOKIO-VILLA SANTANA -con un total de 47 usuario                                                                                7-PROGRAMA  HABITOS Y ESTILOS DE VIDA SALUDABLE (HEVS) SE EJECUTARON EN LOS ASENTAMIENTOS DE CARACOL LA CURVA -PLUMON ALTO (INVASION)-REMANSO-SALAMANCA-VEREDA CAIMALITO-VILLA SANTANA (INTERMEDIO)- con un total de 244 usuario                                                              8-PROGRAMA DE  INCLUSION SOCIAL A TRAVES DEL DEPORTE Y LA RECREACION SE EJECUTARON EN LOS ASENTAMIENTOS DE PLUMON ALTO (INVASION)-SALAMANCA-TOKIO- con un total de 184 usuario                9- PROGRAMA DE  ESCUELAS ACTIVAS Y SALUDABLES SE EJECUTO EN EL ASENTAMIENTO DE VILLA SANTANA (INTERMEDIO) con un total de 66 usuario </t>
  </si>
  <si>
    <t>Registro fotografico reposa en la nube de google drive de la secretaria de Deporte y Recreacion</t>
  </si>
  <si>
    <t>Se brindo atencion a 357  Usuarios, 176 hombres,181 mujeres, 313 beneficiarios en la parte urbana, 44 beneficiarios en la parte rural en los diferentes asentamientos, a traves de los programas regulares de la secretaria de Deporte y Recreaciòn; Tales como COMPROMETIENDO JUVENTUDES- EN LOS ASENTAMIENTOS DE :PLUMON ALTO (INVASION)-SALAMANCA-TOKIO-VILLA SANTANA (INTERMEDIO)- con un total de 117 usuario ESCUELAS RECREATIVAS-EN  EL ASENTAMIENTO DE : SALAMANCA con un total de 87 usuario ESCUELAS DEL JUEGO Y LA MOTRICIDAD EN LOS ASENTAMIENTOS DE : SALAMANCA-TOKIO con un total de 88 usuario</t>
  </si>
  <si>
    <t xml:space="preserve">Se tuvieron implementadas escuelas deportivas con un total de 214 niñ@s beneficidos en las disciplinas : atletismo,futbol, rugby, natacion, taekwondo en los asentamientos de:PLUMON BAJO (INVASION) FUTBOL  28 niñ@s beneficiados  NATACION 15 niñ@s beneficiados   , REMANSO FUTBOL 47niñ@s beneficiados   , VEREDA CAIMALITO FUTBOL 25 niñ@s beneficiados  RUGBY 22 niñ@s beneficiados  , TOKIO FUTBOL 30 niñ@s beneficiados   TAEKONDO 15 niñ@s beneficiados   Y ATLETISMO 10 niñ@s beneficiados  , VILLA SANTANA (INTERMEDIO) FUTBOL 22 niñ@s beneficiados  </t>
  </si>
  <si>
    <t>Registro fotografico reposa en la nube de google drive de la secretaria de Deporte y Recreacion, Actas de reunion , reposan en el archivo del area de Deportes de la secretaria de Deporte y Recreacion</t>
  </si>
  <si>
    <t>no se desarrollo este punto debido a que la secretaria de Deporte y Recreacion no tiene recursos destinados para esta accion</t>
  </si>
  <si>
    <t xml:space="preserve">capacitacion a los cuidadores que asisten al programa miercoles de inclusion  para que conozcan sobre los beneficios de la actividad fisica en las personas en situacion de discapacidad, ademas de que tipo de actividades deben realizar en los hogares para mejora capacidades condicionales y ccordinativas </t>
  </si>
  <si>
    <t xml:space="preserve">registro de asistencia y registro fotrografico el cual reposa en los archivos de la secretaria municpal de deporte y recreacion en el area de actividad fisica programa de inclusion  </t>
  </si>
  <si>
    <t xml:space="preserve">No se cuenta con un programa de capacitacion directa a los entes paralimpicos </t>
  </si>
  <si>
    <t xml:space="preserve">El programa de inclusion no estaba enfocado en la creacion de programas </t>
  </si>
  <si>
    <t xml:space="preserve">Es una meta que no podemos realizar como secretaria </t>
  </si>
  <si>
    <t xml:space="preserve">Realizacion de la actividad denominada viernes terapeutico, el cual se realiza con el apoyo de los estudiantes de medicina comunitaria de la universidad tecnologica de pereira, este prgrama se desarrollo durante el segundo semestre del año, teniendo como objetivo brindar apoyo, evaluacion y capacitacion a las personas en sitaucion de discapacidad fisica. </t>
  </si>
  <si>
    <t xml:space="preserve">convenio universidad tecnologica de pereira  y registro fotorgrafico el cual reposa en los archivos de la secretaria municipal de deporte y recreacion, area de activida fisica, programa de inclusion </t>
  </si>
  <si>
    <t>Se realizó la entrega de implementacion deportiva a la liga deportiva de sordos de risaralda la cual conto con una mesa de tenis de mesa el dia 10-09-2018 y premiacion el dia 01-08-2018 premiacion a la liga departamental de discapacitados fisicos para el open de billar el dia 16-08-2018</t>
  </si>
  <si>
    <t xml:space="preserve">Acta de entrega de implementacion deportiva y premiacion. Registro fotografico el cual reposa en los archivos de la secretaria municipal de deporte y recreacion  </t>
  </si>
  <si>
    <t xml:space="preserve">Asesoria y renovacion de reconocimiento deportivo a los clubes de discapacidad: fundiris, compe,  desoper, corpovision, escuela de la palabra, club señante y los robles. participacion de las instituciones de personas en situacion de discapacidad en los juegos superate </t>
  </si>
  <si>
    <t xml:space="preserve">Entreaga y actulizacion de reconocimientos deportivos a clubes paralimpicos . listados de asistencia los cuales reposan en el area de fortalecimiento a clubes . Registro de inscripcion de la institucion cindes  </t>
  </si>
  <si>
    <t xml:space="preserve">El programa de inclusion a traves del deporte contó con 5 contratistas profesionales en ciencias del deporte y areas a fines encargados de realizar procesos continuos realizando dos intervenciones por semana con una duracion de una hora en las insituciones la cuales fueron:  liga de discapacidad fisica intervencion de rehabilitacion terapuetica en la villa olimpica, cindes en el barrio olimpico II , inpe,  ludes barrio providencia, arte y saber corregimiento de mundo nuevo, donde  se logro mejorar las capacidades coordinativas y condicionales de los integrantes de los diferentes grupos </t>
  </si>
  <si>
    <t xml:space="preserve"> contratos monitores, formatos de prestacion de  servicios, registro fotografico </t>
  </si>
  <si>
    <t xml:space="preserve">Para este periodo no se crearon las escuelas pero se logro avanzar en la esctrutura  para la confromacion </t>
  </si>
  <si>
    <t xml:space="preserve">Rampa de acceso a la entrada de la villa olimpica </t>
  </si>
  <si>
    <t xml:space="preserve">Registro fotografico el cual reposa en el archivo del area de escenarios deportivos </t>
  </si>
  <si>
    <t xml:space="preserve">No se realizaron los juegos porque el presupuesto lo asignaba coldeportes nacional y para este año no fue asignado </t>
  </si>
  <si>
    <t xml:space="preserve">No se realizaron entrega de estimulos a los deportistas paralimpicos </t>
  </si>
  <si>
    <t xml:space="preserve">Se cuenta con el programa de inclusión social a traves del deporte, el cual realiza intervención en procesos continuos dos veces por semana con una duracion de una hora en las diferentes  instituciones de personas en situacion de discapacidad con el objetivo de mejorar las capacidades condicionales y coordinativas de las personas en situacion de discapaciad.  utilizando el deporte, la recreacion y la actividad fisica como una herramienta de transformacion e integracion social en la poblacion </t>
  </si>
  <si>
    <t xml:space="preserve">reporte del spp de los contratistas, registro fotografico y formato de prestacion de servicios  </t>
  </si>
  <si>
    <t xml:space="preserve">Intervenciones en procesos continuos  en las instituciones educativas las cuales tienes aulas  incluyentes las cuales fueron: pablo Emilio Cardona, América mixta, ormaza y Alfredo García. Donde se logro llevar el programa de inclusion social a traves del deporte y se realizaaron durante todo el año las intervenciones orientadas a  mejoras las capacidades de los niños y jovenes estudiantes en situacion de discapacidad del municipio de pereira  </t>
  </si>
  <si>
    <t xml:space="preserve">reporte del spp de los contratistas registro fotografico planes de accion y planes clase </t>
  </si>
  <si>
    <t xml:space="preserve">Convenio con la universidad tecnológica de Pereira  donde se cuenta con: practicantes de recreación específica, medicina deportiva  y  práctica del programa de medicina comunitaria.
Participación ciudadana  donde se cuenta con la presencia de los jóvenes del servicios social de los diferentes colegios de la ciudad.
Convenio con la empresa de transporte Covicharalda.
</t>
  </si>
  <si>
    <t xml:space="preserve">Acuerdo de voluntdes, registro fotografico </t>
  </si>
  <si>
    <t xml:space="preserve">La secretaria de deportes tiene 4 programas  donde se intervienen en las comunidades del municipio de pereira, Escuelas de Formacion, Inclusion Social, Escuelas de Juego y Motricidad, Comunidades Activas y Saludables  y Habitos y estilos de vida saludable programas que atienden de forma continua los niños, jovenes y adultos de todo el municipio de Pereira </t>
  </si>
  <si>
    <t>En este año no se llevaron a cabo los juegos indigenas, ya que el recurso que habia sido asignado para este actividad venia por parte del impuesto iva telefonia celular y este en ultimo momento fue desigando por parte de la gobernacion para preparacion de deportistas a juegos nacionales.</t>
  </si>
  <si>
    <t xml:space="preserve">el proceso duro 4 mese y se desarrollo en cada comuna y corregimiento del municipio de pereira 2018 </t>
  </si>
  <si>
    <t xml:space="preserve">apoyos financieros  entregados a las ligas para  16 clubes ,apoyo en trasporte 8 asistencia tecnica 77, implementacion a 27 clubes categorizados. Estos apoyos de importancia para fortalecer los clubes de las ligas  para la formacion a talentos juveniles .  Apoyo a fisiterapeuta programa: de de inclusión en procesos continuos Apoyo en implementación mesa de tenis para la liga deportiva de sordos de Risaralda .
Apoyo a ligas deportivas implementación, escenarios para entrenamientos , trasporte Liga de ciclismo 2contratos ,2 apoyos de implentacion 
Apoyo en trasporte en intercolegiados ,implementación deportivas (25 i.e)
</t>
  </si>
  <si>
    <t xml:space="preserve">1. estudios previos  para el apoyo financieros, asistencia tecnica spp .entrega de premiacion a clubes .reporte al spp ,solicitud de implementacion,dotacion entregada  smdyr ,  radicado </t>
  </si>
  <si>
    <t xml:space="preserve">1. los apoyos en los aspectos financieros se hacen por medio de estudios previos con la propuesta de evento. entrega de implementacion se hizo por categorizacion ,  apoyos asistencia a clubes  gratis. se describe acciones de varias areas de la secretaria 1 area de actividad fisica (programas de gimnasios al aire libre, inclusion ,hevs) 2 aea de recreacion 3 area de deportes </t>
  </si>
  <si>
    <t>se realizaron iniciativas en eventos de stunt bike por parte de la estrategia de C.A.S en  corregimientos:florida,caimalito, la palmilla  y comunas: alta vista  con jovenes .se realizo una valida municipal de stunk bike en el coliseo de cuba con premiación 2. se realizo por parte del area de actividad fisica  3  eventos del programa de gimnasios al aire libre con nuevas tendencias en  los meses.marzo,agosto, noviembre. 3. se fomento el skating boar en el escenario construido para la disciplina en la villa olimpica por 45 dias se inicio proceso continuo y promoción y excibición en los eventos. En el programa comprometiendo juventudes se realizaron eventos de celebracion del dia de la familia, actividades culturales, ambientales, caminatas ecologicas, cineforos, gymacanas, encuentros deportivos,  lideradas por los grupos juveniles comunitarios, institucionales y de trato especial. En el programa escuelas activas se realizaron celebraciones del dia de la niñez, dia del disfraz, dia de la familia, actos culturales, encuentros deportivos, actividades recreativas iderados por los grupos dentro de las instituciones educativas.</t>
  </si>
  <si>
    <t>contrato minima ,imforme del contratista de cada comuna y corregimientos  ,rejistros fotograficos ,spp. 2. Informe del contratista, spp 3.informe del contratista spp</t>
  </si>
  <si>
    <t xml:space="preserve">se promociono por medio de eventos de  stunt bike  como  nuevas tendencias innovadoras  que se desarrollan en barrios y veredas del municipio de pereira  ,atraves de C.A.S se promociono  las habilidades y destrezas en cualquier tipo de bicicleta 2. se implemento nuevas tendencia de gimnasios aire libre  .3.el proceso de contratacion fue largo .9 de noviembre a 23 de diciembre ,  </t>
  </si>
  <si>
    <t>no se desarrollaron actividades con relacion a esta acción</t>
  </si>
  <si>
    <t>plataforma de coldeportes, spp contratistas de juegos superate</t>
  </si>
  <si>
    <t xml:space="preserve">es todo el proceso que se realizóen las instituciones de comunas y corregimientos del municipio de pereira  por el programa de juegos intercolegiados superate 2018  </t>
  </si>
  <si>
    <t xml:space="preserve"> La población beneficiada de  7 A 12 años en  procesos continuos se detalla  a continuación en los siguientes programas:
Comprometiendo juventudes 184, comunidades activas y saludables 218, escuelas activas y saludables 282, escuelas deportivas 2318, escuelas recreativas 2506, gimnasios comunitarios 38, hábitos y estilos de vida saludable (HEVS) 569, inclusión social a través del deporte y la recreación 261.</t>
  </si>
  <si>
    <t>La población beneficiada de  13 A 17  años en  procesos continuos se detalla  a continuación en los siguientes programas:</t>
  </si>
  <si>
    <t>Comprometiendo juventudes 1356, comunidades activas y saludables 582, escuelas activas y saludables 1426,  escuelas deportivas 2373, escuelas recreativas 162, gimnasios comunitarios4488, hábitos y estilos de vida saludable (HEVS) 394, inclusión social a través del deporte y la recreación 284</t>
  </si>
  <si>
    <t xml:space="preserve">Se realizaron 8 visitas a sectores productivos para difundir la ley de primer empleo. 
Se Realizaron  talleres de capacitación para difundir la ley del primer empleo en organizaciones juveniles e instituciones educativas, de los cuales se beneficiaron 1.874  jóvenes (1.025 hombres y  849 mujeres). 
</t>
  </si>
  <si>
    <t>Se visitaron 8 IE en el sector cuba. Articulacion de la media con el ecosistema de la universidad para Cuba. Se presento el programa emblematico a las instituciones, para la modernizacion de la media y la posibilidad de vincular a las mismas con la universidad para Cuba.</t>
  </si>
  <si>
    <t>Actas de Reunion y asistencia.</t>
  </si>
  <si>
    <t>Trabajamos de manera conjunta con las anteriores instituciones para capacitar los estudiantes en temas de liderazgo y gobierno escolar.</t>
  </si>
  <si>
    <t>Todas las IE tienen en sus proyectos transversales la formacion en temas asociados a salud publica, habitos de vida saludable y el componente nutricional.
Adicionalmente desde el programa de alimentacion PAE se hace un acompañamiento de carácter psicosocial a estudiantes, docentes y padres de familia en habitos de consumo, habitos de vida saludable y en la importancia de la adecuada contribucion nutricional en los distintos alimentos del dia.</t>
  </si>
  <si>
    <t xml:space="preserve">La dirección de espacio público para el año 2018 en su plan de acción direcciono la sensibilización de la comunidad en general sobre las ventas informales en el espacio público mediante la siguiente meta “Implementar en un 100% procesos pedagógicos en cultura ciudadana, autorregulación y orden para la ciudadanía en general y los vendedores informales”, para el periodo del 2018 se realizaron 11 actividades artísticas-educativas relacionadas con en el Código Nacional de Policía y Convivencia (Ley 1801 de 2016),  las cuales se realizaron en diversas instituciones educativas de la ciudad de Pereira.
</t>
  </si>
  <si>
    <t>Se realiza capacitacion a representantes legales de los establecimientos de comercio que hacen parte de ASOBARES sector circunvalar, se realiza un breve sondeo sobre la normatividad vigente referente al ruido y se realiza profundizacion  sobre resolucion 0627 de 2006, ademas se da una breve explicacion de la ley 1801 de 2016 con relacion a la resolucion 0627 de 2006.</t>
  </si>
  <si>
    <t xml:space="preserve">Se realiza capacitación referente a los requerimientos de acuerdo al art 87 Ley 1801 de 2016, principalmente Concepto de Uso del Suelo. Se refiere a los asistentes sobre la importancia de tramitar este requisito, pues existe una Acción Popular donde se le exige al Municipio realizar acciones contundentes referente al tema.
</t>
  </si>
  <si>
    <t>Distribucion de afiches en establecimientos de comercio.
Integración de campaña con organismos privados como Sayonara, Homcenter, Frisby, Apostar, Aguas y Aguas, Instituto de Movilidad, Secretaria de Cultura, Empresa de Energia, Empresa de Aseo e Integra S.A.</t>
  </si>
  <si>
    <t>Actas y fotos que reposan en la carpeta del contrato No.2658 de la Secretaria de Gobierno.</t>
  </si>
  <si>
    <t>Mesas de seguimiento al pacto civico.</t>
  </si>
  <si>
    <t xml:space="preserve">SE REALIZA CIERRE DEL ESTABLECIMIENTO BILLARES LA 28.
SE REALIZA SENSIBILIZACION A LOS ESTABLECIMIENTOS EN CUYOS CASOS REALIZABAN PERIFONEO Y POR ENDE SE LES COMUNICO ACERCA DE LOS DOCUMENTOS QUE DEBEN TENER A LA MANO,
SE REALIZA SENSIBILIZACION A LOS ESTABLECIMIENTOS EN CUYOS CASOS REALIZABAN PERIFONEO Y POR ENDE SE LES COMUNICO ACERCA DE LOS DOCUMENTOS QUE DEBEN TENER A LA MANO.
SE REALIZA RECORRIDO POR EL SECTOR DEL CUBA Y ATENDIENDO DERECHO DE PETICIÓN DE GOBERNACIÓN DE RISARALDA, REFERENTE A ACADEMIA DE BAILE, DONDE SE REALIZA ACTIVIDAD PRESUNTAMENTE SIN DOCUMENTACIÓN Y SIN MEDIDAS DE MITIGACIÓN DE RUIDO.
SE REALIZA RECORRIDO POR EL SECTOR DEL CENTRO Y ATENDIENDO DERECHO DE PETICIÓN DE LA EMISORA ECOS, , DONDE EN EL MOMENTO DE LAS VISITAS SE HACE FIRMAR ACTA DE COMPROMISO POR PARTE DE LOS ADMINISTRADORES .
</t>
  </si>
  <si>
    <t>Parque Olaya
16/10/2018. La Policía Cívica de Mayores, realizó la campaña de prevención al hurto a personas con el ánimo de contrarrestar los delitos que más se presentan,  los ciudadanos, se dieron recomendaciones de seguridad y auto-cuidado, con el propósito de que no sean objeto del actuar delincuencial, y no le abra paso al factor oportunidad siendo despojado de sus bienes personales.
Parque Guadalupe zapata,
20/10/2018 En compañía de funcionarios Policiales pertenecientes a los cuadrantes de la jurisdicción de Cuba, la Policía cívica de Mayores, realizo actividad de registro y control, a los establecimientos públicos, con el fin de generar acampamiento y tranquilidad a la comunidad,  de igual forma se socializo el código de Policía y convivencia, dando las recomendaciones de seguridad y auto control, con el fin de tener una sana y mejor convivencia en nuestro país.
El día 22 de octubre de 2018, se realizó la socialización del programa Red de Participación Cívica, por medio de los espacios que brinda la emisora de la Policía Metropolitana de Pereira, contando con la participación de los representantes de las empresas, personas jurídicas y naturales, dando a conocer a los oyentes los protocolos, parámetros y demás principios que deben cumplir para el mismo, de igual manera invitando e incentivando a vincularse con los diferentes programas que lidera nuestra institución para el fortalecimiento y confianza entre Policía y comunidad. 
El día 18 de octubre de 2018, en compañía de las patrullas Policiales de los cuadrantes de la jurisdicción de Villa Santa, se realizó campaña de control y requisa, brindando recomendaciones de seguridad  y auto cuidado, motivándolos a denunciar actividades de microtrafico o expendio en dicho sector.</t>
  </si>
  <si>
    <t xml:space="preserve">Se realizaron campañas orientadas a reducir el expendio  y fabricación de estupefacientes asi:  Estación Pereira: 21 campañas, impacto 572 pers. Estación Cuba:32 campañas, impacto 738 person. 
Estación Ciudadela del Café: 6 campañas, impacto 100 personas.
Estación El Remanso: 17 campañas, impacto 300 persona.
El día 16 de octubre de 2018, los integrantes de la Red de Participación Cívica de la metropolitana de Pereira, realizó la campaña de prevención al consumo de sustancias psicoactivas, basado en el artículo 34  “Parágrafo 1°. Los niños, niñas y adolescentes que cometan alguno de los comportamientos señalados en los numerales anteriores serán objeto de las medidas dispuestas en la Ley 1098 de 2006 y demás normas vigentes en la materia, también procederá la medida de destrucción del bien, cuando haya lugar.” del nuevo código Nacional de Policía y Convivencia, con el ánimo de  desarrollar actividades de información, educación y comunicación, fomentar factores protectores como la formación y construcción de valores, dirigida a colegios priorizados.
29/10/2018, se da cumplimiento  al objetivo  operacional “CONTRY” organización  delincuencial que operaba en los barrios los pinos de  Dosquebradas, desarticulada Mediante la ejecución y materialización de 04 órdenes de  captura en el plan choque “el que la hace la paga” por el delito de Tráfico, fabricación o Porte de sustancias Estupefacientes (Articulo 376 CP). Proceso Radicado 6600160087852017-00016.El 14/11/2018 mediante la ejecución de once (11) diligencias de registro y allanamientos en diferentes barrios del municipio de la Virginia Risaralda, se logra la desarticulación del objetivo operacional denominado “MERCURIO”, con la materialización de trece 13 órdenes de captura y la incautación de 185 gramos de base de coca, ciudadanos y elementos dejados a disposición de la Fiscalía general de la Nación.  El día 30/11/2018, se logra la desarticulación del objetivo operacional “SATURNO”, logrando los siguientes resultados operativos; una (01) diligencia de registro y allanamiento, la materialización de cuatro (4) órdenes de captura y la incautación de un terminal móvil de comunicación, ciudadanos y elementos dejados a disposición de la Fiscalía General de la Nación mediante NUNC 660016000058201700274, por el delito de Tráfico, Fabricación o Porte de estupefacientes. 06/12/2018, se logra la desarticulación del objetivo operacional “ZOMBIES II”, logrando los  siguientes  resultados operativos; una (01) diligencia de registro  y allanamiento,  la materialización de nueve (9) ordenes de  captura, dos (2) imputaciones, la incautación de cien (100) dosis de  heroína, quinientas setenta (570) dosis de base de coca y la incautación de dos terminales móviles de comunicación, ciudadanos y elementos dejados a disposición de la Fiscalía General de la Nación mediante NUNC 6600160000582017-00079, por el delito de  Tráfico, Fabricación o Porte de estupefacientes.
Por parte del Grupo Protección a la Infancia y Adolescencia en articulación con la Secretaría de Gobierno de Pereira y la UPPV (Unidad Permanente Protección a la Vida), en el cuarto trimestre del año, se ha adelantado actividades disuasivas, de vigilancia y control a la entrada, salida y cambios de jornadas académicas en las diferentes instituciones educativas del área metropolitana, brindando acompañamiento y seguridad a estudiantes, actividades de puerta a puerta, a fin de prevenir riñas, hurto a personas, venta y consumo de estupefacientes y  demás vulneraciones que puedan ser un riesgo para la integridad de los NNA, evidenciando  lo anterior  en el informe  de actividades S-2018- 068388 / SEPRO – GINAD 29.25 del 11/12/2018.
</t>
  </si>
  <si>
    <t>Informe digital.</t>
  </si>
  <si>
    <t xml:space="preserve">ESTACION PEREIRA  Se realizó el fortalecimiento del frente de seguridad de la manzana 42 y 43 barrio Jardín primera etapa, donde se visitó a la señora María Nelly Ruiz coordinadora del mismo y algunos integrantes del frente, se socializo unos artículos de la ley 1801 de 2016 Código Nacional de Policía y Convivencia, ley 850 Veedurías Ciudadanas e igualmente se dieron recomendaciones y se escucharon inquietudes, sugerencias en materia de seguridad y se actualizo los números telefónicos del cuadrante N° 23, Caí  Jardín y líneas de emergencia 123, con el propósito de informar cualquier situación anómala que se presente en su sector.
El día 19/10/2018 se realizó fortalecimiento ubicado en el barrio jardín primera etapa jurisdicción del cuadrante N° MEPERPNVCCD01E01000023
 ESTACION CUBA Se realiza fortalecimiento con los integrantes del frente de seguridad ciudadano ubicado en sector del Barrio Portal de las Mercede Manzana C casa 9, donde se desarrolló la campaña preventiva en aras de generar participación e integración de los residentes de este sector y de esta manera prevenir la ocurrencia de delitos y conductas contrarias a la convivencia como el hurto residencias, de igual manera se les recuerda a la ciudadanía las medidas de seguridad para prevenir este flagelo que afecta la convivencia y seguridad ciudadana y de informar oportunamente cualquier actitud sospechosa.
El día 14/10/2018 se realizó fortalecimiento sector del Barrio Portal de las Mercede Manzana C casa 9 jurisdicción del cuadrante N° MEPERPNVCCD01E04000017 *Se realizó el fortalecimiento del frente de seguridad ubicado en la carrera 12 calle 21 sector del parque Olaya Herrera, mediante la reunión con el señor Jorge Andrés Torres coordinador y los integrantes del mismo, se trataron temas relacionados con la seguridad del sector referente a mantener una buenas comunicación permanente con la Policía Nacional . 16 11 2018 Oferta de prevención villa santa
20-12-2018 Acompañamiento a la emisora caravana cuadras seguras  
</t>
  </si>
  <si>
    <t xml:space="preserve">*Apoyo en la ejecución de las estrategias de frentes de seguridad, encuentros, cámaras de seguridad y escuelas de seguridad ciudadana del municipio.(Milton Alejandro Bello, Contador especialista en Deportes/gobierno)                     *Apoyo en la promoción, creación y consolidación de los frentes de seguridad en el municipio de Pereira.JEISSON ALEXANDER  DUARTE  MONTOYA/TECNOLOGO UPPV)                                                        *Elaborar informes de instalación, inventario, soporte técnico frentes de seguridad, alarmas y cámaras de seguridad.Cesar Augusto Gómez Ramírez/técnico/S. Gobierno </t>
  </si>
  <si>
    <t>(1) Descentralizado de servicios para las víctimas del conflicto en Ciudadela Salamanca
470 niños(as) y adolescentes sensibilizados en Perdón, Paz y Reconciliación</t>
  </si>
  <si>
    <t>Se dinamizó el Comité Municipal de Derechos Humanos a partir de las siguientes acciones:
(3) sesiones, de las cuales (2) se realizaron en el marco de la formulación de la Política Pública Integral de Derechos Humanos, Paz y Reconciliación
Formulación de la Política Pública Integral en Derechos Humanos, Paz y Reconciliación, a partir de la articulación con actores institucionales y sociales en 27 espacios de participación. 327 personas consultadas.
(1) diplomado en Derechos Humanos en articulación con la Escuela Superior de Administración Pública - ESAP</t>
  </si>
  <si>
    <t>Capacitación dirigida a Ediles y presidentes de junta sobre medidas de protección en cuanto a amenazas y respecto de los derechos humanos</t>
  </si>
  <si>
    <t>Asistencia y Registro fotografico</t>
  </si>
  <si>
    <t>Cubrimiento eleccion de dignatarios de las JAC.                                                                                      Entrega de ayuda fisicas y materiales a las JAC.                                                               -La información relacionada con la Secretaría de Desarrollo Social y Político a la que pertenece el proyecto de las Juntas de Acción Comunal, depende directamente de las acciones que promueva  el responsable del proyecto, para este caso la relacion entre estas JAC y la Secretaría de Desarrollo Social y Político, generan escasa información que sea suceptible de publicar  a traves de los boletines de prensa.</t>
  </si>
  <si>
    <t xml:space="preserve">No hubo destinación de recursos por parte de la Oficina de Comunicaciones.  </t>
  </si>
  <si>
    <t>No se tiene un total especifico de personas atendidas ya que las acciones  que se promueven con las Juntas de Acción Comunal y los mecanismos dependen directamente del responsable de cada  proyecto.</t>
  </si>
  <si>
    <t>Realizar visitas de vigilancia epidemiologica para verificacion del cumplmiento de la normatividad para Violencia Sexual y reproductiva</t>
  </si>
  <si>
    <t>Se realizaron 18 visitas ya que por habilitacion fueron cerrados 2 sevicios de urgencias lo que impidió cumplir la meta de 20 IPS</t>
  </si>
  <si>
    <t>20 Visitas de asistencia tecnica a los servicios de urgencias</t>
  </si>
  <si>
    <t xml:space="preserve">Fortalecer las ligas de usuarios en la promocion y garantia de derechos de las gestantes </t>
  </si>
  <si>
    <t>Realizado a través de nuestras redes sociales  y en las visitas de AT a las IPS y EAPB</t>
  </si>
  <si>
    <t>Actas de visitas</t>
  </si>
  <si>
    <t>Actividades de sensibilizacion a las ligas de usuarios con énfasis en la garantia de derechos a las gestantes</t>
  </si>
  <si>
    <t>Registros de Asistencia</t>
  </si>
  <si>
    <t>Ligas de usuarios</t>
  </si>
  <si>
    <t>Promocionar y garantizar los derechos  de los usuarios en el SGSSS</t>
  </si>
  <si>
    <t>Asistencia técnica a las Instituciones Educativas  en el Programa de Educacion Sexual y Construcción de Ciudadanía</t>
  </si>
  <si>
    <t>4 actividades coordinadas con Secretaria de Educacion</t>
  </si>
  <si>
    <t>Actas de reunión</t>
  </si>
  <si>
    <t>Vigilancia epidemiologica</t>
  </si>
  <si>
    <t>Visitas a 12000 familias de la estrategia APS</t>
  </si>
  <si>
    <t>1 nodo capacitado en la promocion de la planificacion familiar</t>
  </si>
  <si>
    <t>Realizar asistencia técnica para la implementacion del PESCC en Universidades</t>
  </si>
  <si>
    <t>Se realizan actividades de informacion, educacion y comunicación en escuelas y colegios a través del PESCC, Publicaciones videos, fotos y foros en la fanpage de jovenes con sentido, Educacion para la sexualidad</t>
  </si>
  <si>
    <t>Actividad masiva realizada en una universidad relacionada con el PESCC</t>
  </si>
  <si>
    <t>Registro fotográfico</t>
  </si>
  <si>
    <t>Las visitas de asistencia tecnica del componente del joven se acompaña a las instituciones para fortalecer la atencion de los adolescentes y jovenes, a través de la implementacion de la estrategia de Servicios Amigables para Adolescentes y Jovenes (SAAJ)  que incuye asesoria al personas de los servicios de salud sobre el enfoque diferencial en la atencion a las poblaciones vulnerables en cuanto a lo derechos sexuales y reproductivos</t>
  </si>
  <si>
    <t>Acompañamiento a la Secretaria de Educacion para el Desarrollo del PESCC, en 35 IE del municipio</t>
  </si>
  <si>
    <t>Listados de asistencia</t>
  </si>
  <si>
    <t xml:space="preserve">Conformar  grupos de adolescentes y jóvenes en el ámbito escolar para la prevención de embarazo a temprana edad </t>
  </si>
  <si>
    <t>Redes de apoyo al adolescente y joven fortalecidas</t>
  </si>
  <si>
    <t xml:space="preserve">La estrategia Sexualidad con Sentido conforma grupos de adolescentes para la formacion de pares que puedan contribuir a la sensibilizacion de la importancia de recibir asesorias en SSR </t>
  </si>
  <si>
    <t>A través de la estrategia sexualidad con sentido se conforman mantienen y fortalecen los grupos de jovenes pares para la promocion de la SSR dirigida  a estos y otros adolescentes y jovenes</t>
  </si>
  <si>
    <t>Se brinda educacion en deteccion temprana de alteraciones de la mama con enfasis en realizacion de autoexamen y se promueve la asistencia a los servicios de salud para realizar la citologia cervicouterina y el examen de prostata, ademas se educa sobre practicas sexuales saludables que incluyen retardo en el inicio de la relaciones sexuales de adolescentes y jovenes, uso correcto y constante del preservativo</t>
  </si>
  <si>
    <t>IPS que brindan atencion para la deteccion temprana y control oportuno del cancer de próstata</t>
  </si>
  <si>
    <t>Se realiza a través de seguimiento telefónico efectivo a los usuarios a las usuarias con tamizaje positivo para gestionar las diferentes situaciones que se presentan en cuanto a la oportunidad en los diferentes momentos de la atencion, ante seguimientos telefonicos inefectivos se realiza visita domiciliaria - Se realiza seguimiento a las diferentes IPS que atienden usuarias en las diferentes etapas del proceso desde el tamizaje hasta el tratamiento final</t>
  </si>
  <si>
    <t>Identificacion de riesgo según edad, sexo, asistencia o no a servicios de tamizaje - derivacion a servicios de salud para la atencion correspondiente según los hallazgos
Activacion de rutas de atencion - Seguimientos</t>
  </si>
  <si>
    <t>Visitas de Asistencia tecnica para la implementacion y seguimiento a la norma tecnica cancer de mama y cervix</t>
  </si>
  <si>
    <t>Seguimiento a través de la cohore de mama y cervix y unidades de analisis (UDA) a los casos de muerte</t>
  </si>
  <si>
    <t>Matriz de seguimiento
Actas de UDA</t>
  </si>
  <si>
    <t>Realizar visitas de educacion mediante unidad didáctica para prevencion del estigma y discriminacion a PVVIH</t>
  </si>
  <si>
    <t>Identificacion, captacion y activacion de rutas de atencion de las personas que viven con VIH en el municipio de Pereira; Una vez identificados se asesoran y se acompañan para iniciar proceso de identificacion de derechos a subsidios, y afiliacion al regimen subisidiado hasta lograr la atencion integral en el sistema de salud</t>
  </si>
  <si>
    <t>Desarrollo de las acciones de deteccion temprana de cancer  de próstata</t>
  </si>
  <si>
    <t>53 (41 IPS 12 EAPB)</t>
  </si>
  <si>
    <t>Realizar seguimiento epidemiológico al 100% de casos notificados por SIVIGILA con dx de cáncer de mama y cérvix, y gestionar la notificación de los casos detectados por  BAI ( búsqueda activa institucional)</t>
  </si>
  <si>
    <t>Realizar acciones para la prevencion del estigma y la discriminacion de las PVVIH</t>
  </si>
  <si>
    <t>Realizar acciones de demanda inducida para prevenir Estigma y Discriminacion a PVVIH</t>
  </si>
  <si>
    <t>Se realiza revision de los casos de no adherencia en las IPS de atencion integral, se solicita garantizar la atencion complementaria con psiquiatria, busqueda telefonica y visita domiciliaria Ademas se realizan seguimientos telefonicos y visitas domiciliarias a pacientes no adherentes</t>
  </si>
  <si>
    <t>Una asociación de PVVIH identificada y asistida para su fortalecimiento</t>
  </si>
  <si>
    <t>Actividades de promocion, prevencion, y atencion que contribuyen a reconocer la VS  como hechos intolerable en nuestra sociedad, y a generar la cultura de la denuncia</t>
  </si>
  <si>
    <t>Visitas a 12000 familiar de la estrategia APS</t>
  </si>
  <si>
    <t>Realizar visitas de educacion mediante unidad didáctica para la prevencion de violencia</t>
  </si>
  <si>
    <t>Se realiza seguimiento a algunos casos de violencia sexual que corresponda a niños niñas y/o adolescentes</t>
  </si>
  <si>
    <t>Acta de visita de seguimiento</t>
  </si>
  <si>
    <t>Monitoreo a la notificación del SIVIGILA en materia de VS</t>
  </si>
  <si>
    <t xml:space="preserve">Matriz de seguimiento  </t>
  </si>
  <si>
    <t>18 Instituciones asistidas tecnicamente</t>
  </si>
  <si>
    <t>Actas de visita</t>
  </si>
  <si>
    <t>Atención de un profesional de psicologia de forma permanente para la atencion de victimas de violencia sexual</t>
  </si>
  <si>
    <t>Informe de actividades de la contratista</t>
  </si>
  <si>
    <t>Direccionamiento de los casos de violencia sexual identificados a través de las visitas de la estrategia APS</t>
  </si>
  <si>
    <t>Fichas de caracterizacion familiar
Registros de notificación</t>
  </si>
  <si>
    <t>Actividades de atencion y promocion para la prevencio y deteccion de la violencia sexual e intrafamiliar en las zonas priorizadas por la estrategia APS</t>
  </si>
  <si>
    <t>Fichas de caracterizacion familiar
Registro de actividades SPP</t>
  </si>
  <si>
    <t>una red de apoyo fortalecida en prevencion e identificacion de la violencia sexual</t>
  </si>
  <si>
    <t>Fortalecer las ligas de usuario o asociaciones de PVVIH</t>
  </si>
  <si>
    <t xml:space="preserve">Realizar actividades educativas para fomentar la estrategia CAIVAS  ,  como herramienta social de restablecimientosde derechos vulnerados por violencia  sexualr. </t>
  </si>
  <si>
    <t>Realizar acciones de demanda inducida para la promocion de habilidaes para la vida</t>
  </si>
  <si>
    <t>Realizar acciones de demanda inducida para la prevencion de la violencia de género</t>
  </si>
  <si>
    <t>Asitencia tecnica a las IE del municipio para formulacion del PESCC</t>
  </si>
  <si>
    <t>Vsiitas de vigilancia a casos de violencia sexual e intrafamiliar</t>
  </si>
  <si>
    <t>Sistema de vigilancia de violencia sexual implementado</t>
  </si>
  <si>
    <t>Asistencia técnica en las IPS de atención de urgencias, garantizando la certificacion en atención integrala victimas de violencia sexual</t>
  </si>
  <si>
    <t xml:space="preserve">Asignar un profesional de atencion permanente para la atencion integral de victimas de violencia sexual </t>
  </si>
  <si>
    <t>Activar la ruta de atencion integral a victimas de violencia sexual</t>
  </si>
  <si>
    <t>Fortalecer las redes de apoyo comunitario en pro de la identificacion temprana de los casos de violencia sexual e intrafamiliar y promocion de la denuncia</t>
  </si>
  <si>
    <t>A CARGO DE DESARROLLO SOCIAL</t>
  </si>
  <si>
    <t>Desarrollar el comité de SSR con diferentes actores del SGSSS y las OBC de población diversa</t>
  </si>
  <si>
    <t>76 Visitas de asistencia técnica a IPS y EAPB del municipio en los componentes de SSR que promuevan la incorporacion del enfoque diferencial</t>
  </si>
  <si>
    <t>Acciones comunitarias para la prevencion de la discriminacion a poblacion diversa</t>
  </si>
  <si>
    <t>Fortalecer las redes de apoyo comunitario para la prevencion de estigma y discrimacion por género</t>
  </si>
  <si>
    <t>Articulación de los programas de prevención de cáncer de cérvis, mama y próstata con la estrategia de APS</t>
  </si>
  <si>
    <t>Vsitas institucionales de verificación frente a  normatividad del programa de  cáncer de mama y cérvix</t>
  </si>
  <si>
    <t>Realizar seguimiento a las muertes presentadas por cancer de mama y cervix</t>
  </si>
  <si>
    <t>Desarrrollar estrategias de comunicación social y comunitaria que contribuyan a reconocer la VS como intolerable sociales.</t>
  </si>
  <si>
    <t>Desarrollar estrategias IEC para el reconocimiento de la diversidad sexual y los derechos sexuales y reproductivos</t>
  </si>
  <si>
    <t>Fortalecer los programas de educación sexual y construcción de ciudadanía (PESCC) como estrategias la valoración de la diferencia.</t>
  </si>
  <si>
    <t>Brindar asistencia técnica para la superación de la homofobia y la discriminación en prestadores de servicios de salud.</t>
  </si>
  <si>
    <t>Incorporar el enfoque diferencial en la oferta de servicios, en especial en población trans e intersexual.</t>
  </si>
  <si>
    <t>Articulación de los programas de prevención de discriminación por orientación sexual y discriminación basada en género con la estrategia de APS</t>
  </si>
  <si>
    <t>Desarrollar procesos de promoción de derechos y deberes en población LGTBI</t>
  </si>
  <si>
    <t>Fortalecer las redes de apoyo social (nodos) en la prevención de la homofobia y la discriminación basada en género.</t>
  </si>
  <si>
    <t>Posicionar el módulo de gesyanyes en la EPS.</t>
  </si>
  <si>
    <t>Mortalidad de cáncer de cérvis</t>
  </si>
  <si>
    <t>HOMOFOBIA Y DISCRIMINACIÓN</t>
  </si>
  <si>
    <t xml:space="preserve">Disminuir los índices de homofobia </t>
  </si>
  <si>
    <t>Se debe establecer a partir de la líne BASE por parte del Municipio</t>
  </si>
  <si>
    <t>144*100.000 M</t>
  </si>
  <si>
    <t>No existe medición de este indicador</t>
  </si>
  <si>
    <t>Estrategia Senderos de la Sexualidad desarrollada en escuelas y colegios del municipio, Fanpage de Facebook: jovenes con sentido</t>
  </si>
  <si>
    <t>Educación en prevención y detección de cáncer de cuello uterino, cáncer de mama y cáncer de próstata a 12.000 familias intervenidas por la estrategia de atencion primaria en salud. Realizar acciones de demanda inducida para realización de mamografía en zonas intervenidas por la estrategia de atención primaria en salud.</t>
  </si>
  <si>
    <t>Comités de Salud Sexual y Reproductiva Mesa de trabajo para la implementación del plan de respuesta local frente al VIH</t>
  </si>
  <si>
    <t>Comités de Salud Sexual y Reproductiva - Mesa de trabajo para la implementación del plan de respuesta local frente al VIH</t>
  </si>
  <si>
    <t>RECURSOS INVERTIDOS POR CATEGORIA</t>
  </si>
  <si>
    <t>Realizar unidades de análisis al 100% casos de  mortalidad perinatal y sífilis congénita - Realizar  visitas de vigilancia epidemiológica al 100% de mortalidad materna y mortalidad perinatal - Realizar 76  visitas a 41  IPS  para verificar el cumplimiento de la normatividad frente al programa  de deteccion temprana de alteraciones del embarazo</t>
  </si>
  <si>
    <t xml:space="preserve">Realizar  visitas de vigilancia epidemiológica al 100% de mortalidad materna y mortalidad perinatal 
Realizar unidades de análisis al 100% casos de  mortalidad perinatal y sífilis congénita
Realizar 76  visitas a las  IPS  para verificar el cumplimiento de la normatividad frente al programa  de deteccion temprana de alteraciones del embarazo
</t>
  </si>
  <si>
    <t xml:space="preserve">Durante las visitas de asistencia tecnica se verifica que el recurso humano encargado de atencion y control a las gestantes tenga las competencias y capacidades para brindar una atencion de calidad </t>
  </si>
  <si>
    <t>Ficha de caracterización de familias</t>
  </si>
  <si>
    <t>Instituciones Educativas</t>
  </si>
  <si>
    <t>Formación en Educacion Básica Primaria y Secundaria</t>
  </si>
  <si>
    <t xml:space="preserve">En las visitas realizadaspor la estrategia de APS, se identifican poblaciones en edad reproductiva y se promociona la asistencia a los programas de planificacion familiar y se activan las rutas de atencion </t>
  </si>
  <si>
    <t>IPS  de atención integral y EAPB</t>
  </si>
  <si>
    <t>Administrar y ejecutar los recursos destinados para la atencion de PVVIH</t>
  </si>
  <si>
    <t>IPS, IPS de atención integral y EAPB</t>
  </si>
  <si>
    <t>Asociación de usuarios</t>
  </si>
  <si>
    <t>Encuentros periódicos de sus miembros para fortalecer la red de apoyo a PVVIH</t>
  </si>
  <si>
    <t>Atención de urgencias a casos de violencia sexual e intrafamiliar</t>
  </si>
  <si>
    <t>CAIVAS - CAVIF</t>
  </si>
  <si>
    <t xml:space="preserve">Atención psicológica a victimas de violencia sexual </t>
  </si>
  <si>
    <t>Red de apoyo comunitaria</t>
  </si>
  <si>
    <t>Desarrollar actividades comunitarias de promocion de la salud y prevencion dela enfermedad</t>
  </si>
  <si>
    <t>Activación del 100% de los casos requeridos la Ruta de Atención por discriminación en razón de la orientación sexual y  la identidad de género. Actividades pedagógicas sobre diversidad sexual e identidades de género.  implementación de la estrategia para fortalecer la participación social y política de la población  con orientaciones sexuales e identidades de género no hegemónicas.  Asesoría psicológica  al 100% de la población  con orientaciones sexuales e identidades de género no hegemónicas que soliciten el servicio.  Campaña social de promoción, difusión y sensibilización de los derechos de la  población con orientaciones sexuales e identidades de género no hegemónicas</t>
  </si>
  <si>
    <t>Bases de datos, registros fotográficos, actas de reuniones, registros de salidas de campo</t>
  </si>
  <si>
    <t>Participación activa de las OBC de población diversa y demas actores del SGSSS en el comité municipal de SSR</t>
  </si>
  <si>
    <t>Actas de comité</t>
  </si>
  <si>
    <t>IPS, EAPB, OBC de población diversa</t>
  </si>
  <si>
    <t>Desarrollar acciones en pro del respeto por los derechos sexuales y reproductivos y demas temas de SSR</t>
  </si>
  <si>
    <t>Las visitas de asistencia tecnica de los componentes de SSR solicitan a los actores del SGSSS incorporan en su atencion el enfoque diferencial</t>
  </si>
  <si>
    <t xml:space="preserve">IPS, EAPB </t>
  </si>
  <si>
    <t>Prestacion de Servicios y Administración de los recursos del SGSSS</t>
  </si>
  <si>
    <t>12.000 familias visitadas, encuestadas y acompañadas en la promocion de la SSR</t>
  </si>
  <si>
    <t>Ficha de caracterizacion de familias
Resgistros SPP</t>
  </si>
  <si>
    <t>Actividades educativas para promocionar los derechos sexuales y reproductivos</t>
  </si>
  <si>
    <t>una red de apoyo fortalecida en prevencion de la discriminación por género</t>
  </si>
  <si>
    <t xml:space="preserve">Desarrollar actividades comunitarias en promocion de la SSR </t>
  </si>
  <si>
    <t xml:space="preserve">Resoluciones:           1579 y 13197 de 2018            </t>
  </si>
  <si>
    <t>Se caracterizaron 37 personas de las comunidades Indigenas para: Vivienda Nueva, Mejoramientos de vivienda y Titulacion.</t>
  </si>
  <si>
    <t>Formatos de Caracterizacion: digitales - fisicos</t>
  </si>
  <si>
    <t>Resolucion:             11779 de 2018</t>
  </si>
  <si>
    <t>Se entregaron 6 mejoramientos de vivienda para la población Indígena; De igual manera 15 solicitudes adicionales de mejoramientos de vivienda están pendiente de la visita de la DIGER para verificar si cumplen requisitos.</t>
  </si>
  <si>
    <t>Se entrego 1 mejoramiento para la dotacion de servicios basicos sanitarios para la comunidad indigena</t>
  </si>
  <si>
    <t>El mejoramiento para la dotacion de servicios basicos sanitarios esta incluido en los mejoramientos de vivienda entregados a la poblacion indigena</t>
  </si>
  <si>
    <t xml:space="preserve">Resoluciones:           1579, 13197, 13064, 13067, 2719, 2657 de 2018            </t>
  </si>
  <si>
    <t>Se caracterizaron 49 personas de las comunidades Afros para: Vivienda Nueva, Mejoramientos de vivienda y Titulacion.</t>
  </si>
  <si>
    <t>Se entregaron 6 mejoramientos de vivienda para la poblacion Afro.</t>
  </si>
  <si>
    <t>Resoluciones:           9192 de 2018           11520 de 2018         11779 de 2018</t>
  </si>
  <si>
    <t>Se entregaron 6 mejoramientos de vivienda descritos en actividades desarrolladas en el año 2018; De igual manera 8 solicitudes adicionales de mejoramientos de vivienda no cumplieron con los requisitos establecidos.</t>
  </si>
  <si>
    <t>No</t>
  </si>
  <si>
    <t>Fecha</t>
  </si>
  <si>
    <t>Número de Acuerdo</t>
  </si>
  <si>
    <t>Contenido</t>
  </si>
  <si>
    <t>Ponente</t>
  </si>
  <si>
    <t>Secretaría Técnica</t>
  </si>
  <si>
    <t>ACUERDO 23 / 2010</t>
  </si>
  <si>
    <t xml:space="preserve">POLÍTICA PÚBLICA EN CULTURA DE LA LEGALIDAD </t>
  </si>
  <si>
    <t>Adolfo Arturo Carvajal Castro.</t>
  </si>
  <si>
    <t xml:space="preserve">CULTURA DE LA LEGALIDAD </t>
  </si>
  <si>
    <t>ACUERDO 71 / 2010</t>
  </si>
  <si>
    <t>POLÍTICA PÚBLICA DEL PROGRAMA "PEREIRA INNOVA"</t>
  </si>
  <si>
    <t>PROGRAMA "PEREIRA INNOVA"</t>
  </si>
  <si>
    <t xml:space="preserve">ACUERDO 65 / 2011 </t>
  </si>
  <si>
    <t>POLÍTICA PÚBLICA PLAN INTEGRAL ÚNICO PARA LA POBLACIÓN VICTIMA DE DESPLAZAMIENTO FORZADO PRO LA VIOLENCIA REUBICADA EN EL MUNICIPIO DE PEREIRA COMO INSTRUMENTO DE LA POLÍTICA PÚBLICA PARA GARANTIZAR EL GOCE EFECTIVO DE LOS DERECHOS 2011 - 2015</t>
  </si>
  <si>
    <t>Rubén Darío Orozco</t>
  </si>
  <si>
    <t xml:space="preserve">PLAN INTEGRAL ÚNICO PARA LA POBLACIÓN VICTIMA </t>
  </si>
  <si>
    <t xml:space="preserve">ACUERDO 64 / 2011 </t>
  </si>
  <si>
    <t>POLÍTICA PÚBLICA Y PLAN MUNICIPAL EN SEGURIDAD Y SOBERANÍA ALIMENTARIA Y NUTRICIONAL MUNICIPIO DE PEREIRA 2012-2019</t>
  </si>
  <si>
    <t>Yesid Rozo</t>
  </si>
  <si>
    <t xml:space="preserve">PLAN MUNICIPAL EN SEGURIDAD Y SOBERANÍA ALIMENTARIA </t>
  </si>
  <si>
    <t>ACUERDO 59 / 2011</t>
  </si>
  <si>
    <t>POLÍTICA PÚBLICA DE SALUD SEXUAL Y REPRODUCTIVA DEL MUNICIPIO DE PEREIRA</t>
  </si>
  <si>
    <t xml:space="preserve">Juan Carlos Réinales Agudelo </t>
  </si>
  <si>
    <t xml:space="preserve">SALUD SEXUAL Y REPRODUCTIVA </t>
  </si>
  <si>
    <t xml:space="preserve">ACUERDO 57 / 2011 </t>
  </si>
  <si>
    <t>POLÍTICA PÚBLICA DE JUVENTUD EN EL MUNICIPIO DE PEREIRA 2012-2021</t>
  </si>
  <si>
    <t xml:space="preserve">JUVENTUD </t>
  </si>
  <si>
    <t xml:space="preserve">ACUERDO 56 / 2011 </t>
  </si>
  <si>
    <t>POLÍTICA PÚBLICA PARA EL PLAN DE VIDA DE LA COMUNIDAD INDÍGENA EN EL MUNICIPIO DE PEREIRA Y SE DICTAN OTRAS DISPOSICIONES</t>
  </si>
  <si>
    <t>Fernando Arias</t>
  </si>
  <si>
    <t xml:space="preserve">PLAN DE VIDA DE LA COMUNIDAD INDÍGENA </t>
  </si>
  <si>
    <t xml:space="preserve">ACUERDO 55 2011 </t>
  </si>
  <si>
    <t>POLÍTICA PUBLICA DE DISCAPACIDAD EN EL MUNICIPIO DE PEREIRA 2012 - 2021</t>
  </si>
  <si>
    <t xml:space="preserve">DISCAPACIDAD </t>
  </si>
  <si>
    <t>ACUERDO 51 / 2011</t>
  </si>
  <si>
    <t>POLÍTICA PÚBLICA DE DEPORTE, RECREACIÓN, ACTIVIDAD FÍSICA, Y EDUCACIÓN FÍSICA (DRAEF)</t>
  </si>
  <si>
    <t>José Albeiro Quintero Neira</t>
  </si>
  <si>
    <t xml:space="preserve">Secretaría de Recreación y Deportes </t>
  </si>
  <si>
    <t>DEPORTE, RECREACIÓN, ACTIVIDAD FÍSICA, Y EDUCACIÓN FÍSICA</t>
  </si>
  <si>
    <t>ACUERDO 50 / 2011</t>
  </si>
  <si>
    <t>POLÍTICA PÚBLICA DE PRIMERA INFANCIA, INFANCIA Y ADOLESCENCIA DEL MUNICIPIO DE PEREIRA. PEREIRA MUNICIPIO AMIGO DE LA PRIMERA INFANCIA, INFANCIA Y ADOLESCENCIA</t>
  </si>
  <si>
    <t>Álvaro Escobar</t>
  </si>
  <si>
    <t xml:space="preserve">PRIMERA INFANCIA, INFANCIA Y ADOLESCENCIA </t>
  </si>
  <si>
    <t xml:space="preserve">ACUERDO 58 / 2011 </t>
  </si>
  <si>
    <t>POLÍTICA PÚBLICA PARA EL PLAN DE ETNODESARROLLO EN EL MUNICIPIO DE PEREIRA 2012-2021</t>
  </si>
  <si>
    <t>Jhon Jairo Lemus</t>
  </si>
  <si>
    <t>PLAN DE ETNODESARROLLO</t>
  </si>
  <si>
    <t>ACUERDO 24 / 2017</t>
  </si>
  <si>
    <t>POLÍTICA PÚBLICA DE PROMOCIÓN, PROTECCIÓN Y ATENCIÓN INTEGRAL DE LA SALUD MENTAL Y SUSTANCIAS PSICOACTIVAS EN EL MUNICIPIO DE PEREIRA PARA EL PERIODO 2017-2027</t>
  </si>
  <si>
    <t>Carlos Mario Gil Castañeda</t>
  </si>
  <si>
    <t>PROMOCIÓN, PROTECCIÓN Y ATENCIÓN INTEGRAL DE LA SALUD MENTAL</t>
  </si>
  <si>
    <t>ACUERDO 1 / 2018</t>
  </si>
  <si>
    <t>POLÍTICA PÚBLICA JUNTAS DE ACCIÓN COMUNAL</t>
  </si>
  <si>
    <t xml:space="preserve">Secretaría de Planeación </t>
  </si>
  <si>
    <t>JUNTAS DE ACCIÓN COMUNAL</t>
  </si>
  <si>
    <t>ACUERDO 16 / 2018</t>
  </si>
  <si>
    <t>POLÍTICA PÚBLICA CUIDADO ANIMAL</t>
  </si>
  <si>
    <t xml:space="preserve">Atilano Córdoba Maturana </t>
  </si>
  <si>
    <t>CUIDADO ANIMAL</t>
  </si>
  <si>
    <t>ACUERDO 8 / 2019</t>
  </si>
  <si>
    <t>POLÍTICA PÚBLICA PARA LAS PERSONAS ADULATAS MAYORES EN EL MUNICIPIO DE PEREIRA, PARA EL PERÍODO 2019-2028</t>
  </si>
  <si>
    <t>Judith Giraldo Giraldo</t>
  </si>
  <si>
    <t>PERSONAS ADULATAS MAYORES</t>
  </si>
  <si>
    <t>ACUERDO 14 / 2019</t>
  </si>
  <si>
    <t>POLITICA PUBLICA EQUIDAD DE GENERO PARA LAS MUJERES DEL MUNICIPIO DE PEREIRA, PARA EL PERIODO 2019-2028</t>
  </si>
  <si>
    <t xml:space="preserve">EQUIDAD DE GENERO </t>
  </si>
  <si>
    <r>
      <t>ACUERDO 22</t>
    </r>
    <r>
      <rPr>
        <sz val="11"/>
        <color theme="1"/>
        <rFont val="Calibri"/>
        <family val="2"/>
        <scheme val="minor"/>
      </rPr>
      <t xml:space="preserve"> </t>
    </r>
    <r>
      <rPr>
        <sz val="11"/>
        <color rgb="FF000000"/>
        <rFont val="Times New Roman"/>
        <family val="1"/>
      </rPr>
      <t>/ 2019</t>
    </r>
  </si>
  <si>
    <t>POLÍTICA PÚBLICA INTEGRAL EN DERECHOS HUMANOS, PAZ Y RECONCILIACIÓN DEL MUNICIPIO DE PEREIRA PARA EL PERÍODO 2019-2029</t>
  </si>
  <si>
    <t>DERECHOS HUMANOS, PAZ Y RECONCILIACIÓN</t>
  </si>
  <si>
    <r>
      <t>ACUERDO 23</t>
    </r>
    <r>
      <rPr>
        <sz val="11"/>
        <color theme="1"/>
        <rFont val="Calibri"/>
        <family val="2"/>
        <scheme val="minor"/>
      </rPr>
      <t xml:space="preserve"> </t>
    </r>
    <r>
      <rPr>
        <sz val="11"/>
        <color rgb="FF000000"/>
        <rFont val="Times New Roman"/>
        <family val="1"/>
      </rPr>
      <t>/ 2019</t>
    </r>
  </si>
  <si>
    <r>
      <t> </t>
    </r>
    <r>
      <rPr>
        <sz val="11"/>
        <color rgb="FF000000"/>
        <rFont val="Times New Roman"/>
        <family val="1"/>
      </rPr>
      <t>POLÍTICA PÚBLICA PARA EL HABITANTE DE CALLE Y EN CALLE DEL MUNICIPIO DE PEREIRA, PARA EL PERÍODO 2020 -2030</t>
    </r>
  </si>
  <si>
    <t>Atilano Córdoba Maturana</t>
  </si>
  <si>
    <t>HABITANTE DE CALLE Y EN CALLE</t>
  </si>
  <si>
    <t>COMPETITIVIDAD</t>
  </si>
  <si>
    <t>SECRETARíAS</t>
  </si>
  <si>
    <t xml:space="preserve">PEREIRA INNOVA </t>
  </si>
  <si>
    <t xml:space="preserve">VICTIMAS </t>
  </si>
  <si>
    <t xml:space="preserve">SEGURIDAD ALIMENTARIA </t>
  </si>
  <si>
    <t>SALUD SEXUAL Y REPRODUCTIVA</t>
  </si>
  <si>
    <t>JUVENTUD</t>
  </si>
  <si>
    <t>INDIGENAS</t>
  </si>
  <si>
    <t>DRAEF</t>
  </si>
  <si>
    <t>INFANCIA</t>
  </si>
  <si>
    <t>AFROS</t>
  </si>
  <si>
    <t xml:space="preserve">SALUD MENTAL </t>
  </si>
  <si>
    <t xml:space="preserve">JUNTAS DE ACCION COMUNAL </t>
  </si>
  <si>
    <t xml:space="preserve">ANIMAL </t>
  </si>
  <si>
    <t>PERSONAS ADULTAS MAYORES</t>
  </si>
  <si>
    <t>EQUIDAD DE GENERO</t>
  </si>
  <si>
    <t>AMCO</t>
  </si>
  <si>
    <t xml:space="preserve">ASEO </t>
  </si>
  <si>
    <t xml:space="preserve">COMUNICACIONES </t>
  </si>
  <si>
    <t xml:space="preserve">CULTURA </t>
  </si>
  <si>
    <t xml:space="preserve">DEPORTES </t>
  </si>
  <si>
    <t>DESARROLLO ECONOMICO Y COMPETITIVIDAD</t>
  </si>
  <si>
    <t xml:space="preserve">DESARROLLO SOCIAL </t>
  </si>
  <si>
    <t>DIRECCION ADMINISTRATIVA</t>
  </si>
  <si>
    <t xml:space="preserve">GOBIERNO </t>
  </si>
  <si>
    <t xml:space="preserve">HACIENDA </t>
  </si>
  <si>
    <t xml:space="preserve">INFRAESTRUCTURA </t>
  </si>
  <si>
    <t>JURIDICA</t>
  </si>
  <si>
    <t xml:space="preserve">OFICINA DE PAZ </t>
  </si>
  <si>
    <t xml:space="preserve">PLANEACION </t>
  </si>
  <si>
    <t xml:space="preserve">RURAL </t>
  </si>
  <si>
    <t>SECRETARIA PRIVADA</t>
  </si>
  <si>
    <t>TICS</t>
  </si>
  <si>
    <t>DIGER</t>
  </si>
  <si>
    <t>Atender al 100% de personas víctimas del conflicto para la prevenciòn y/o protección de sus derechos con enfoque diferencial</t>
  </si>
  <si>
    <t>Incrementar el número de cupos para niños en educación inicial, participando, con alguno de los componentes, del Proyecto Círculo Virtuoso</t>
  </si>
  <si>
    <t>Apoyo y articulación institucional para la reunificación faniliar de las víctimas del conflicto</t>
  </si>
  <si>
    <t xml:space="preserve">Construir un un capítulo especial de víctimas en el  Plan  de prevención de las violencias contra la mujer </t>
  </si>
  <si>
    <t>Porcentaje de atención a víctimas del conflicto  en prevenciòn y protección de derechos con enfoque diferencial</t>
  </si>
  <si>
    <t>30 Víctimas del conflicto atendidas para la protección de sus derechos; dicha atención se realiza teniendo en cuenta el enfoque diferencial</t>
  </si>
  <si>
    <t>Dada la confidencialidad de la información en el tema de protección a las personas amenazadas, la evidencia que puede suministrarse es la discriminación de la estadística por enfoque diferencial</t>
  </si>
  <si>
    <t>Se realizaron (33) sensibilizaciones en instituciones educativas a niños(as) y adolescentes víctimas del conflicto. (481 niños(as) y adolescentes sensibilizados) en Perdón, Paz y Reconciliación.
Se realizaron (2) capacitaciones en la caseta comunal del barrio Salamanca y (1) en la biblioteca de Torres del campo, (8) en el punto de atención PAV, en derechos humanos, resolución pacífica de conflictos y convivencia ciudadana (178 víctimas capacitadas)</t>
  </si>
  <si>
    <t>Evidencia fotográfica anexa</t>
  </si>
  <si>
    <t>La Secretaría de Gobierno, en articulación con la Policía Nacional y la Personería Municipal realiza operativos preventivos en las instituciones educativas del municipio, que constan de operativos para la incautación de armas y sustancias psicoactivas en posesión de los menores. Dado que dicha actividad se realiza de manera masiva, el reporte que puede entregarse de dicha actividad, es la programación de dichos operativos en los colegios de barrios donde existe mayor concentración de víctimas del conflicto; así las cosas se intervinieron los colegios de Ciudadela Salamanca, Villasantana y Montelíbano (Cuba)</t>
  </si>
  <si>
    <t>Durante la vigencia 2018, se actualizó el Plan de Contingencia con los lineamientos enviados por el Dr Uriel García de la Unidad de Víctimas a excepción de las líneas de tiempo que están con fecha programada para el 11 de abril de 2019</t>
  </si>
  <si>
    <t>Plan de Contingencia vigencia 2018 y actas de reunión</t>
  </si>
  <si>
    <t xml:space="preserve">No se regitran personas porque las acciones implican reruniones interinstitucionales </t>
  </si>
  <si>
    <t>Legalización del Decreto 379 de 2018
Actividad con niños(as) y adolescentes de Salamanca, para la prevención del reclutamiento
Capacitación a comisarios de familia, defensores y equipos psicosociales de la UPPV en detección de riesgos para la prevención del reclutamiento de menores
Capacitación a docentes por parte de la Dirección de Derechos Humanos de la Presidencia de la República en factores de riesgo en niños(as) y adolescentes, que prevengan el reclutamiento de menores
Evento con organizaciones juveniles en factores de riesgo en niños(as) y adolescentes, que prevengan el reclutamiento de menores en articulación con la Dirección de Derechos Humanos de Presidencia de la República y la Gobernación de Risaralda
Primer encuentro con Secretarios de Despacho para articular el plan de acción 2018-2019 en prevención del reclutamiento de menores</t>
  </si>
  <si>
    <t>Registro fotográfico anexo</t>
  </si>
  <si>
    <t>30 solicitudes de protección de personas que se identificaron como víctimas del conflicto. La Secretaría de Gobierno procede a activar la ruta y a remitir a las instancias pertinentes (UNP-Policía).
Articulación con Sec. De Desarrollo Social, UNP y Policía para proteger la vida e integridad de las personas víctimas del conflicto que se encuentran en el albergue</t>
  </si>
  <si>
    <t>registro fotográfico anexo</t>
  </si>
  <si>
    <t>No se presentaron solicitudes por parte de población víctima para la protección de bienes patrimoniales, tierras y territorios. Dicha acción es competencia de la Unidad de Restitución de Tierras de conformidad con la normatividad vigente</t>
  </si>
  <si>
    <t xml:space="preserve">Durante la vigencia 2018, la  SDSYP a través del proyecto  Asistencia a la población víctima del conflicto armado interno residente en el municipio de Pereira,  brindó atención, orientación y direccionamiento a la población víctima en el punto de atención y en el Centro Regional de Atención a Víctimas (CRAV) así: 
• Orientaciones y remisiones según necesidades particulares de la población (SENA, SALUD, EDUCACION, REGISTRADURIA…).
• Acompañamiento jurídico (atención, derechos de petición, tutelas, recursos)
• Atención psicosocial: visitas domiciliarias, valoraciones psicológicas a nivel individual y  grupal y valoraciones socio familiares para determinar condiciones socio económicas.  
• Talleres de capacitación en derechos humanos y derecho internacional humanitario.
• Atenciones y direccionamientos en temas de emprendimiento y empleabilidad.
• Asignación de citas para la toma de declaraciones.
Se atendieron en total 11.702 personas víctimas (4.129 hombres y 7.573mujeres) 
</t>
  </si>
  <si>
    <t>base de datos en medio digital</t>
  </si>
  <si>
    <t xml:space="preserve">Se atendio el 100% de población víctima que se acerco al punto de atención al CRAV a solicitar los servicios </t>
  </si>
  <si>
    <t xml:space="preserve">Durante la vigencia 2018  se  activó la ruta de ayuda humanitaria inmediata a través a 6 personas que se acercaron al punto y al CRAV a solicitarla y aquellas que fueron notificadas por el ministerio público 
6 atenciones de ayuda humanitaria inmediata a  víctimas de otros hechos victimizantes  /  6 atenciones solicitadas directamente  por victimas de otros hechos victimizantes  que requirieron el servicio directamente y/o fueron notificas por Ministerio Público *100%, (4 hombres y 2 mujeres)
Se les brindó atención humanitaria representada en:
• Albergue con alimentación (desayuno- media mañana- almuerzo-refrigerio en la tarde y cena) y kit de aseo, acompañamiento psicosocial  entrega de kit de aseo, kit de vestuario( siempre y cuando se requiera), 
• Mercado
• Pañales y leche
• Acompañamiento psicosocial y capacitación en emprendimiento.
• Acompañamiento institucional por parte de la Secretaría de Salud, del ICBF y del SENA.
</t>
  </si>
  <si>
    <t xml:space="preserve">Se aportan como evidencias remisiones, actas de reunión, registros SPP y fotográfico.
</t>
  </si>
  <si>
    <t xml:space="preserve">Durante la vigencia se brindaron 956  atenciones  humanitarias inmediatas a personas víctimas (por desplazamiento forzado)  de 956 solicitudes (475 hombres y 481 mujeres). Esta representada en:
• Albergue con alimentación (desayuno- media mañana- almuerzo-refrigerio en la tarde y cena) y kit de aseo, acompañamiento psicosocial  entrega de kit de aseo, kit de vestuario( siempre y cuando se requiera), 
• Mercado
• Pañales y leche
• Acompañamiento psicosocial y capacitación en emprendimiento.
• Acompañamiento institucional por parte de la Secretaría de Salud, del ICBF y del SENA.
Se atendió el 100% de población que requirió del servicio y/o fue notificada por el ministerio Público 
</t>
  </si>
  <si>
    <t>Durante la vigencia 2018, 6097 víctimas se orientaron para el trámite de ayuda humanitaria de emergencia;  es decir 6097 víctimas orientadas  / 6.097 que solicitaron del servicio*100%.=100%.</t>
  </si>
  <si>
    <t>Informe unidad de víctimas escaneado</t>
  </si>
  <si>
    <t xml:space="preserve">No se reporta clasificación de población atendida en este item por sexo, localización, ciclos deedades, condición y etnía ya que la unidad de víctimas no realiza este tipo de caracterización, solo reporta la información comsiderando los pagos colocados </t>
  </si>
  <si>
    <t xml:space="preserve">La UARIV es quien da lineamientos y selecciona las personas víctimas sujetos de la ayuda humanitaria de transición y para la vigencia 2018 estableció un monto de $ 12.854.445 para un total de 57 familias (225.516). Debido al lineamiento final establecido por la UARV, que fue en el cuarto trimestre de la vigencia.
Para aportar al cumplimiento de este indicador la SDSYP realizó las siguientes acciones desde le proyecto de víctimas: 
• 57 Visitas psicosociales y técnicas a las familias, para la confirmación de los beneficiarios
• Estudio presupuestal y elaboración de minuta de adjudicación de la ayuda humanitaria. 
Este trámite transcurre durante los meses de noviembre y diciembre teniendo resolución firmada el 28 de Diciembre, ante lo cual la Secretaría de Hacienda manifiesta de manera verbal que por los trámites administrativos era imposible expedir los 57 compromisos presupuestales La evaluación de esta meta es de 0. Teniendo en cuenta que esta meta no se ha cumplido es necesario generar un plan de mejoramiento para garantizar que los recursos que se asignen en la vigencia 2019 sean ejecutados efectivamente.
</t>
  </si>
  <si>
    <t>Se aporta como evidencia acta de seguimiento Plan de Desarrollo Vigencia 2018 punto 4 meta 334, visitas domiciliarias, estudio presupuestal y elaboración de minuta</t>
  </si>
  <si>
    <t xml:space="preserve">No se regitran atenciones porque en esta acción se hace referencia a familias  </t>
  </si>
  <si>
    <t>Resoluciones y Digitales</t>
  </si>
  <si>
    <t>Se  entregaron 61 mejoramientos urbanos de Recursos Propios.</t>
  </si>
  <si>
    <t xml:space="preserve">Se desarrollo de  de acuerdo al Decreto 1077 que reglamenta los mejoramientos de vivienda con enfoque diferencial y fueron máximo hasta $1.000.000 </t>
  </si>
  <si>
    <t xml:space="preserve">Se entregaron 33 mejoramientos rurales de recursos propios y 1 de presupuesto participativo en la palmilla </t>
  </si>
  <si>
    <t>Se desarrollo la  Legalizacion del Barrio Intermedio Villasantana</t>
  </si>
  <si>
    <t>No de predios titulados</t>
  </si>
  <si>
    <t>Los 20 predios titulados fueron en los sectores de: Galicia, Cuba, Plumon, Puerto Caldas e independencia.</t>
  </si>
  <si>
    <t xml:space="preserve">Durante las vigencias 2016 a 2018 se han realizado 6 descentralizaciones, en el año 2018 se efectuaron 2 de ellas, los días 28 de enero y 27 de abril. En ellas se priorizó la atención en IE ubicadas en zonas de mayor asentamiento de población victima: Caimalito y Tokio.
Se atendieron en total 474 personas (172 hombres y 302 mujeres)
</t>
  </si>
  <si>
    <t>Se aporta como evidencias registros SPP y fotográficos.</t>
  </si>
  <si>
    <t>No se reporta información por ciclos de edad, condición o etnia ya que se trata de una ctividad masiva y no individual</t>
  </si>
  <si>
    <t>5947560825/ aseguramiento</t>
  </si>
  <si>
    <t xml:space="preserve">Albergar las personas victimas o desplazados que esten de manera transitoria por el municipio, o que requieran apoyo transitorio </t>
  </si>
  <si>
    <t xml:space="preserve">Actas de visitas </t>
  </si>
  <si>
    <t>Albergue de paso</t>
  </si>
  <si>
    <t>Barrio 20 de julio</t>
  </si>
  <si>
    <t xml:space="preserve">Oriente </t>
  </si>
  <si>
    <t xml:space="preserve">Se realizaron jornadas de promoción y prevención denominadas Festivales de la salud, en las cuales se benefician todas las personas del sector, incluidas las personas victimas del conflicto. </t>
  </si>
  <si>
    <t xml:space="preserve">Desde la estrategia Casa Sana, Se realizaron jornadas de promoción y prevención denominadas Festivales de la salud, en las cuales se benefician todas las personas del sector, incluidas las personas victimas del conflicto. </t>
  </si>
  <si>
    <t>Procesos de caracterizacion y educacion de la poblacion</t>
  </si>
  <si>
    <t>Registro de actividades para el segumiento de las politicas publicas-SPP</t>
  </si>
  <si>
    <t>casa sana</t>
  </si>
  <si>
    <t>Se cumple con el cien por ciento de la cobertura en el sistema educativo de los niños en transición (población total 142) identificados como víctimas del conflicto armado en el municipio de Pereira</t>
  </si>
  <si>
    <t xml:space="preserve">SE CUMPLE CON EL CIEN POR CIENTO DE LA ATENCIÓN A LOS NIÑOS EN TRANSICIÓN </t>
  </si>
  <si>
    <t>Se cumple con el cien por ciento de la cobertura en el sistema educativo  que se encuentran en la educación básica primaria, básica primaria aceleración y educación para adultos ciclo 2 (población total de 1050) identificados como víctimas del conflicto armado en el municipio de Pereira.</t>
  </si>
  <si>
    <t>SE CUMPLE CON EL CIEN POR CIENTO DE LA ATENCIÓN  A LA POBLACIÓN VINCULADA.</t>
  </si>
  <si>
    <t>Se cumple con el cien por ciento de la cobertura en el sistema educativo  que se encuentran en la educación básica secundaria y básica secundaria jóvenes y adultos  (población total de 1085) identificados como víctimas del conflicto armado en el municipio de Pereira.</t>
  </si>
  <si>
    <t>Se cumple con el cien por ciento de la cobertura en el sistema educativo  que se encuentran en la educación básica media, básica media jóvenes y adultos  y normalistas (población total de 412) identificados como víctimas del conflicto armado en el municipio de Pereira.</t>
  </si>
  <si>
    <t xml:space="preserve">Establecimientos educativos como: SAN VICENTE HOGAR, PABLO EMILIO CARDONA, VILLA SANTANA Y CARLOS EDUARDO SAAVEDRA
DE IGUAL MANERA, SE DESARROLLARON ACIVIDADES EN LOS DIFERENTES CDI DEL MUNICIPIO DE PEREIRA, EN ARTICULACIÓN CON LA UNILIBRE, UTP,UNIANDINA CON PROGRAMAS DE BILINGUISMO, CIENCIA Y TECNOLOGIA ENTRE OTROS
</t>
  </si>
  <si>
    <t>SE CUMPLE CON EL CIEN POR CIENTO DE LA POBLACIÓN VINCULADA</t>
  </si>
  <si>
    <t>Se implementaron las nueve estrategias del Plan de Desarrollo en toda la población víctima.</t>
  </si>
  <si>
    <t xml:space="preserve">Se realiza una identificación y fortalecimiento  de la población con necesidades educativas especiales vinculadas en el sector educativos (población total 198)víctimas del conflicto armado interno </t>
  </si>
  <si>
    <t xml:space="preserve">Se les oferta donde contamos con metodologías y didácticas flexibles, (aceleración de aprendizaje y caminar en secundaria) en 46 IE en el municipio. De conformidad con la ley 1448 del 2011. </t>
  </si>
  <si>
    <t xml:space="preserve">En la vigencia 2018 se mantiene la canasta educativa de la siguiente manera:
póliza estudiantil y dotación escolar  para los 2689 estudiantes vinculados al sistema educativo
alimentación escolar para un total de 945 estudiantes
transporte escolar:222 estudiantes
</t>
  </si>
  <si>
    <t>SE CUMPLE CON EL NUMERO DE ATENCIONES RECIBIDAS EN CADA UNO DE LOS EE PARA ALIMENTACIÓN ESCOLAR Y TRANSPORTE, DE IGUAL MANERA TODA LA POBLACIÓN CUENTA CON LA POLIZA ESTUDIANTES Y LA INFRAESTUCTURA FISICA ADECUADA</t>
  </si>
  <si>
    <t>Otorgamiento de 49 becas universitarias (pago de matrículas) con apoyos socioeconómicos a través de alimentación y transporte
Vinculación en programas de educación superior  a 10 estudiantes  de TECNICO PROFESIONAL EN DESARROLLO DE SOFTWARE y  TECNOLOGÍA EN PROGRAMACIÓN DE SOFTWARE</t>
  </si>
  <si>
    <t>La Secretaria de Educación ha desarrollado las nueve estrategias que beneficien a la población victima que se encuentra vinculada en Los EE de los 2689 estudiantes cumpliendo el plan de acción y  las metas de la vigencia.</t>
  </si>
  <si>
    <t>Durante la vigencia 2018, s realizaron estrategias enmarcadas en el Plan de Desarrollo y en PAT en todos los EE</t>
  </si>
  <si>
    <t>Durante la vigencia 2018, se ha realizado un 50% en los avances en la formulación del Plan de educación rural (En las instituciones educativas ubicadas en el S ector rural. Con un total de población beneficiada de  606 estudiantes</t>
  </si>
  <si>
    <t>SE CONTINUA EN EL PROCESO DE LA FORMULACIÓN DEL PLAN DE EDUCACION RURAL PARA LA VIGENCIA 2018</t>
  </si>
  <si>
    <t>Durante la vigencia 2018, se ha brindado asistencia  en  el CDI de Salamanca como cumplimiento al plan de retornos y reubicaciones, con un total de 60 niños vinculados.</t>
  </si>
  <si>
    <t>Apoya A  6 CDI. 
En la actualidad se estanbeneficiando las instituciones a través de la actividad física, recreación y deporte:                   - Carlos Eduardo Vasco Salamanca (Primaria)
- IE Hans Drews Arango</t>
  </si>
  <si>
    <t>se implementaron escuelas deportiva s en remanso (58) las brisass (83), Caimalito (82), puerto caldas (49) sn joaquin (88)y el dorado (44)</t>
  </si>
  <si>
    <t>se realizaron 107 eventos deprotivos, recreativos y de actividad fisca en: San joaquin(38) villa santana(19) consota(11) puerto caldas(14) ferrocarril (14), caimalito ( 11)</t>
  </si>
  <si>
    <t>se brindo asesoria para la conformacion de lcubes deportivos en las comunas san joaquin, villa santana , consota.</t>
  </si>
  <si>
    <t xml:space="preserve">se realizó visitas en campo para determinar los requerimientos para el tipo de línea productiva, y dar las recomendaciones necesarias para el mantenimiento de los cultivos, visita realizada por un agrónomo a 17 familias que habitan los predios la cristalina y el plan de vivienda en la bella, para ello se solicitó la documentación que los acredita  como victimas expedido por la Unidad de Victimas </t>
  </si>
  <si>
    <t>Registro de visitas a campo para brindar asistencia técnica
Fotografias e informe del profesiomal encargado de realizar la asistencia técnica a victimas</t>
  </si>
  <si>
    <t>17 familias</t>
  </si>
  <si>
    <t>La operación de 5 Centros de emprendimiento y dasarrollo empresarial. 
Personal profesional capacitdo. 
Articulación con entidades de apoyo.</t>
  </si>
  <si>
    <t>atencion a usuarios y/o visitantes</t>
  </si>
  <si>
    <t xml:space="preserve">La infraestructura, tecnología recurso humano: técnico, profesional y espacialistas en la atención y direccinamiento de los encadenamientos productivos. </t>
  </si>
  <si>
    <t>atencion a usuarios y/o visitantes, actas de reunion, caracterizaciones, diagnostico</t>
  </si>
  <si>
    <t>Se tiene establecido cada el proyecto Hecho en Pereira lo compro, como articulador comercial y los demas procesos donde participamos en  rueda de negocio y ferias comerciales como Expocamello, faschion projet, eje moda.</t>
  </si>
  <si>
    <t>Nota: La Secretria de Competitivadad no cuenta con un presupuesto para la atencion a Victimas, se parte del principio de atenciòn univeral a la poblaciòn, con atencion diferencial para cada tipo de poblaciòn.</t>
  </si>
  <si>
    <t>La operación de oficina banca para todos con dos profesionales para presolicitudes y operadores financieros para la articulacion del programa.</t>
  </si>
  <si>
    <t>a  través de asistencia tecnica y actividades como bancarizacion, se prepararan para presentar su proyecto a un operador fianciero, direccionados por Bancoldex o Infider.</t>
  </si>
  <si>
    <t>registros fotograficos, atencion a usuarios y/o visitantes</t>
  </si>
  <si>
    <t>Equipo Interdisciplinario Centro de Empleo (10 Contratistas)</t>
  </si>
  <si>
    <t>Mediante la App de denuncia ciudadana, se beneficiaron 177 personas victimas del conflicto realizando denuncias por medio de esta.</t>
  </si>
  <si>
    <t>Se capacitaron por medio de los Puntos Vive Digital 100 personas en temas como Excel avanzado y mantenimiento de equipos de computo.</t>
  </si>
  <si>
    <t>Obtenida del SPP</t>
  </si>
  <si>
    <t>A través del Punto Vive Digital Plus se capacitaron 29 personas en Producción de audiovisuales.</t>
  </si>
  <si>
    <t>Durante la vigencia 2018 La SDSYP a través del  proyecto Asistencia alimentaria y nutricional dirigida a la población en condición de vulnerabilidad social del municipio de  Pereira, se atendieron con asistencia alimentaría 340 personas (256 mujeres y 84 hombres), con 512 atenciones.</t>
  </si>
  <si>
    <t>Se aporta como evidencias base de datos filtrada del proyecto.</t>
  </si>
  <si>
    <t>Para dar cumplimiento al indicador se realizaron sensibilizaciones sobre la ruta de atención para la reubicación familiar y requisitos: En la vigencia 2018 no se prestaron solicitudes de reubicación.</t>
  </si>
  <si>
    <t>Se aportan como evidencias registros fotográficos y actas de reunión</t>
  </si>
  <si>
    <t xml:space="preserve">No se registran personas porque no hubo solicitudes de reunificación </t>
  </si>
  <si>
    <t>En la vigencia 2018 se prestaron 9 servicios de asistencia funeraria a población víctima que incluyen velación, cofre, movilización y preparación  del cuerpo.</t>
  </si>
  <si>
    <t>No se registran atenciones porque se prestan es servicios funerarios</t>
  </si>
  <si>
    <t xml:space="preserve">En la vigencia 2018 se llevó a cabo la conmemoración el día 9 de abril, en el Centro Cultural Lucy Tejada. Se realizaron actos culturales y académicos, se contó con la participación del batallón, la personería, la defensoría del pueblo, la Policia, la UARIV y Gobernación entre otros.
Participaron 220 personas 
</t>
  </si>
  <si>
    <t>Se aportan como evidencias, registros SPP y fotográficos.</t>
  </si>
  <si>
    <t>Durante la vigencia 2018, la Secretaría Jurídica no ha realizado pago de sentencias judiciales en cumplimiento de la normatividad y goce efectivo de derechos de la población víctima del conflicto incluida en la política de restitución de tierras</t>
  </si>
  <si>
    <t>plataforma ministerio de trabajo</t>
  </si>
  <si>
    <t>Equipo Interdisciplinario Centro de Empleo (9 Contratistas)</t>
  </si>
  <si>
    <t>Se entregaron insumos y herramienta como apoyo para el mantenimiento de las lineas productivas</t>
  </si>
  <si>
    <t>acta de entregas de insumos y herramientas</t>
  </si>
  <si>
    <t>La unidad de víctimas realiza formulación e implementación del Plan de retorno y reubicación; por parte de la SDSYP a través del proyecto de víctimas se realiza apoyo para su actualización aportando los insumos  e información que sean requeridos.</t>
  </si>
  <si>
    <t>Se aporta como evidencias Plan formulado en forma digital y diagnóstico en Excel</t>
  </si>
  <si>
    <t>No se reportan personas porque se hace referencia es a acciones de articulación ionstitucional</t>
  </si>
  <si>
    <t xml:space="preserve">En el 2018 se brindaron 51 servicios de transporte a personas que requirieron del servicio y cumplieron con el protocolo.
51/51*100%=100%
</t>
  </si>
  <si>
    <t xml:space="preserve">base de datos filtrada.
</t>
  </si>
  <si>
    <t xml:space="preserve">Apoyo psicosocial, intervencion breve, tamizaje  </t>
  </si>
  <si>
    <t>Formato de visita, APGAR FAMILIAR, SRQ</t>
  </si>
  <si>
    <t>Valorar mediante la aplicacion de cuestionario los conocimientos basicos en salud</t>
  </si>
  <si>
    <t>Cuestionario pre y pos en deberes y derechos en salud y SPP</t>
  </si>
  <si>
    <t xml:space="preserve">Jornadas de informacion y atencion en el punto de atencion a victimas </t>
  </si>
  <si>
    <t>Para la formulación de la Política Pública se realizaron las siguientes actividades, en articulación con la Oficina de Paz y Reconciliación: 
Para vincular a las víctimas del Conflicto, se generaron 3 convocatorias diferentes: 
La primera convocatoria asistió (1) integrante de la Mesa Municipal de Víctimas de Pereira, a los demás escenarios fueron convocados, pero no se presentaron.
En cuanto a la implementación de acciones en materia de derechos humanos, se realizaron las siguientes acciones:
(1) descentralizado en Ciudadela Salamanca
470 niños(as) y adolescentes sensibilizados en perdón, paz y reconciliación.</t>
  </si>
  <si>
    <t>Se presentó una solicitud por parte de un joven víctima del conflicto, situación en la cual se remitió la documentación correspondiente al Distrito Militar N 22 y a la Unidad de Víctimas</t>
  </si>
  <si>
    <t>Porcentaje de la estrategia implementada para la adecuada inversiòn de la indemnización</t>
  </si>
  <si>
    <t xml:space="preserve">La estrategia se direcciona desde la unidad de víctimas;  La SDSYP  apoya a dicha unidad en el desarrollo del 100% de las actividades requeridas, en la vigencia 2018 se  apoyaron 3 jornadas de entrega de cartas cheques e indemnizaciones enviadas por  parte de la Unidad para la Atención y Reparación integral a las víctimas.
Se atendieron 412 personas 
Se aportan como evidencias reporte escaneado de la unidad de víctimas registro fotográfico y comunicado de prensa
</t>
  </si>
  <si>
    <t>Se aportan como evidencias reporte escaneado de la unidad de víctimas registro fotográfico y comunicado de prensa</t>
  </si>
  <si>
    <t xml:space="preserve">A través del proyecto “Implementación de estrategias para la promoción de la equidad de género para las mujeres en el municipio de Pereira” se realizan las siguientes campañas de prevención de violencia contra la mujer:
Sensibilización en ley 1257.
Socialización de la ruta de atención.
Taller de Prevención de violencias
Así mismo se realiza acompañamiento psicológico individual y grupal a mujeres.
Durante la vigencia 2018 se realizaron 1.762  atenciones.  
</t>
  </si>
  <si>
    <t xml:space="preserve">Se aporta como evidencias reporte base de datos.
</t>
  </si>
  <si>
    <t xml:space="preserve">Durante la vigencia 2018 se realizaron 9 mesas efectiva de víctimas, realizadas las siguientes fechas:
• Primer plenario: Marzo 24 -25
• Segundo Plenario: Agosto 23 – 24.
• Tercer Plenario: Noviembre 13-14
• Curato Plenario: Diciembre 10-11
• Comité ejecutivo: Junio 22
• Comité Ejecutivo: Septiembre 21 
• Comité Ejecutivo: Septiembre 28
• Comité Ejecutivo: Octubre 11
• Comité Ejecutivo: Noviembre 19
</t>
  </si>
  <si>
    <t>Se aportan como evidencias actas de reunión, registros de asistencia, certificaciones de la personería y registro fotográfico.</t>
  </si>
  <si>
    <t xml:space="preserve">NO se registran personas porque con reuniones institucionales  y con representantes de víctimas </t>
  </si>
  <si>
    <t xml:space="preserve">En apoyo al desarrollo de las actividades de la Personería Municipal relacionadas con la población Víctima, la SDSYP contrato 5 personas:
• 1 Profesional especializado.
• 3 técnicos.
• 1 auxiliar.
Estas personas realizaron actividades relacionadas con toma de declaraciones, acompañamiento jurídico, charlas en derechos humanos, secretaría técnica de la mesa de participación de víctimas.
Durante la vigencia 2018 hubo 704 atenciones por parte de la personería (214 hombres y 490 mujeres). 
Se aportan como evidencias Registros SPP y base de datos filtrada con atenciones personería.
</t>
  </si>
  <si>
    <t>Registros SPP y base de datos filtrada con atenciones personería.</t>
  </si>
  <si>
    <t xml:space="preserve">No se reporta información por ubicación, ciclos de edad, condición y etnia.  </t>
  </si>
  <si>
    <t>En la vigencia 2018 participó una niña Víctima del conflicto armado interna en las 4 mesas municipales de participación de NNA realizadas, quien asistió en compañía desu mamá.</t>
  </si>
  <si>
    <t>Actas de reunión y registro fotográfico</t>
  </si>
  <si>
    <t>No se regsitran personas atendidas ya que son reuniones</t>
  </si>
  <si>
    <t xml:space="preserve">Para motivar la participación de los  jóvenes desde el proyecto fortalecimiento de la garantía de derechos de la juventud del municipio de Pereira se realizaron las siguientes actividades:
Capacitaciones en participación social y Política, del total de 699 jóvenes y sus familias beneficiarios, 15 con  jóvenes Víctimas del conflicto armado interno (9 hombres y 6 mujeres).
Durante la vigencia 2018  hay participación de jóvenes en los siguientes espacios: 
• JAC: 499 jóvenes.
• Plataforma juvenil: 07 jóvenes. (18 y 28)
• Concejo Municipal:  01 jóvenes(18 y 28)
</t>
  </si>
  <si>
    <t>Dentro del plan de prevención a la violencia contra la mujer, se  proyectó el capítulo especial de mujer víctima del conflicto armado y una ruta diferencial de atención que se articula con el proyecto “Implementación de estrategias para la promoción de la equidad de género para las mujeres en el municipio de Pereira”. Esta ruta se socializó al Comité municipal  para la prevención de todas las formas de violencia contra la mujer.</t>
  </si>
  <si>
    <t>Se aportan como evidencias capítulo especial de atención a la mujer víctima en PDF y actas de reunión</t>
  </si>
  <si>
    <t xml:space="preserve">En los Centros Vida se prestará atención integral a los adultos mayores en condición de vulnerabilidad social, abandono y descuido. La oferta de servicios del Centro vida está representada en:
• Orientación psicosocial 
• Atención primaria en salud 
• Aseguramiento en salud 
• Alimentación 
• Actividades productivas 
• Deporte cultura y recreación 
• Constitución de redes de apoyo 
• Uso de las tic
• Auxilio ezequial 
• Promoción del trabajo asociativo 
• Encuentros intergeneracionales
De un total de 20.945 atenciones en el Centro Vida, se 1308 fueron atenciones a adultos mayores víctimas del conflicto armado interno (929 hombres y 379 mujeres). Atendiéndose el 100% adultos mayores víctimas del conflicto que solicitaron del conflicto. 
</t>
  </si>
  <si>
    <t xml:space="preserve">Durante la vigencia 2018 a través del proyecto “Apoyo y acompañamiento  a familias en vulnerabilidad manifiesta y pobreza extrema   del municipio de Pereira”, se beneficiaron las siguientes personas  víctimas del conflicto armado interno:
• Más Familias en Acción 3.711 personas (423 hombres y 3.288 mujeres).
• Jóvenes en acción 58 (17 hombres y 41 mujeres).
• Red Unidos: 112 personas (21 hombres y 91 mujeres).
En total se atendieron 3.881 personas (461 hombres y 3.420 mujeres).
A través de los programas presidenciales se atendió el 100% de población que solicito de los servicios.  3881/3881*100%=100%
</t>
  </si>
  <si>
    <t xml:space="preserve">Para puesta en marcha del Centro regional, se  articularon acciones con la UARIV, lográndose adecuar los pisos 8 y 9 del Edificio Palacio Nacional ubicado en la calle 19 No. 9 – 47, los cuales fueron entregados en comodato a la Alcaldía de Pereira    Se realizó convenio interadministrativo 1386 con un presupuesto de 848.309.730,00, lo que permitió colocar en funcionamiento el Centro Regional a partir del 15 de noviembre de 2018.
El presupuesto invertido se refleja y divide entre las metas 1 (punto de atención a víctimas)  y 24 (puesta en marcha Centro regional).
</t>
  </si>
  <si>
    <t>Copia del convenio interadministrativo 1386 y registro fotográfico.</t>
  </si>
  <si>
    <t xml:space="preserve">El presupuesto invertido se refleja y divide entre las metas 1 (punto de atención a víctimas)  y 24 (puesta en marcha Centro regional).  Las personas atendidas con las mismas del punto 1 </t>
  </si>
  <si>
    <t xml:space="preserve">Durante la vigencia 2018 se sensibilizaron en ley de victimas 426 personas de 426 que asistieron al punto de información*100% = 100%
Esta actividad fue desarrollada por los contratistas de la SDSYP que prestan apoyo a la  personería Municipal .
</t>
  </si>
  <si>
    <t xml:space="preserve">Durante la vigencia 2018 se capacitaron y/o sensibilizaron en derechos humanos y derecho internacional humanitario 35 personas (15 hombres y 20 mujeres)  
</t>
  </si>
  <si>
    <t>Para hacer seguimiento al PAT, en la SDSYP se contrataron 2 personas quienes realizan visitas institucionales para verificar el cumplimiento de los compromisos adquiridos por las entidades encargadas de las acciones del PAT.</t>
  </si>
  <si>
    <t xml:space="preserve">Actas de reuniones institucionales y correos vía saia. </t>
  </si>
  <si>
    <t>No se registran personas porque se hace referencia es al diligenciamiento de una matriz de seguimiento</t>
  </si>
  <si>
    <t xml:space="preserve">Durante la vigencia 2018, se realizaron 2 procesos de caracterización a víctimas del conflicto así. 
• Caracterización a usuarios (declarantes) y víctimas del conflicto armado que solicitaron los servicios en el punto de atención y posteriormente en el Centro. En total se atendieron 11.067 personas, las cuales 5.556 son víctimas (1.976 hombres y 3.580 mujeres) se caracterizaron por Género, etnia, ciclo vital, hecho victimizante y situación o condición.
• Caracterización Nacional adelantada en coordinación con la UARIV, donde el municipio aportó los puntos vive digital y  personal de apoyo y acompañamiento. El reporte con corte a 31 de Diciembre es de  1.722 hogares conformados por 6.278 personas caracterizadas. 
</t>
  </si>
  <si>
    <t>Se aportan como evidencias base de datos de atenciones de la SDSYP y reporte de la RNI con corte a 31 de diciembre de 2018.</t>
  </si>
  <si>
    <t xml:space="preserve">En la vigencia 2018 se diligenció la matriz POSI, dando cumplimiento a su primera etapa. Fue enviada a la Unidad de Víctimas para la revisión y validación. Fue revisada y retroalimentada, así mismo se dio paso a la implementación de la segunda etapa a llevarse a cabo en la vigencia 2019. </t>
  </si>
  <si>
    <t>Se aportan como evidencias matriz POSI y pantallazos correos electrónicos</t>
  </si>
  <si>
    <t>No se registran personas por consiste en el diligenciar una matriz operativa.</t>
  </si>
  <si>
    <t>BA-CE-A1</t>
  </si>
  <si>
    <t>BA-CE-A2</t>
  </si>
  <si>
    <t>BA-CE-A3</t>
  </si>
  <si>
    <t>BA-CE-A4</t>
  </si>
  <si>
    <t>BA-CE-A5</t>
  </si>
  <si>
    <t>BA-CE-A6</t>
  </si>
  <si>
    <t>BA-CE-A7</t>
  </si>
  <si>
    <t>BA-AR-A1</t>
  </si>
  <si>
    <t>BA-CR-A1</t>
  </si>
  <si>
    <t>BA-CR-A2</t>
  </si>
  <si>
    <t>BA-CR-A3</t>
  </si>
  <si>
    <t>BA-CR-A4</t>
  </si>
  <si>
    <t>BA-CR-A5</t>
  </si>
  <si>
    <t>BA-CR-A6</t>
  </si>
  <si>
    <t>BA-CR-A7</t>
  </si>
  <si>
    <t>BA-CR-A8</t>
  </si>
  <si>
    <t>BA-CR-A9</t>
  </si>
  <si>
    <t>BA-CR-A10</t>
  </si>
  <si>
    <t>BA-CR-A11</t>
  </si>
  <si>
    <t>BA-AE-A1</t>
  </si>
  <si>
    <t>BA-AE-A2</t>
  </si>
  <si>
    <t>BA-AE-A3</t>
  </si>
  <si>
    <t>BA-AE-A4</t>
  </si>
  <si>
    <t>BA-EC-A1</t>
  </si>
  <si>
    <t>BA-EC-A2</t>
  </si>
  <si>
    <t>BA-PC-A1</t>
  </si>
  <si>
    <t>BA-PC-A2</t>
  </si>
  <si>
    <t>BA-PC-A3</t>
  </si>
  <si>
    <t>BA-PC-A4</t>
  </si>
  <si>
    <t>BA-PC-A5</t>
  </si>
  <si>
    <t>BA-PC-A6</t>
  </si>
  <si>
    <t>BA-PC-A7</t>
  </si>
  <si>
    <t>BA-PC-A8</t>
  </si>
  <si>
    <t>BA-SP-A1</t>
  </si>
  <si>
    <t>BA-SP-A2</t>
  </si>
  <si>
    <t>IN - LE1 - A1</t>
  </si>
  <si>
    <t>IN - LE1 - A2</t>
  </si>
  <si>
    <t>IN - LE1 - A3</t>
  </si>
  <si>
    <t xml:space="preserve">*  Desarrollo de un  programa sistemático y  continuo de educación familiar en torno a la detección y control de los  riesgos  y la prevención  y determinación de conductas a seguir ante posibles enfermedades prevalentes de la primera infancia, infancia y adolescencia.   </t>
  </si>
  <si>
    <t>IN - LE1 - A4</t>
  </si>
  <si>
    <t xml:space="preserve">*  Desarrollo de un plan estratégico de información, comunicación y educación en salud para entornos familiares, escolares, institucionales y comunitarios.   </t>
  </si>
  <si>
    <t>IN - LE1 - A5</t>
  </si>
  <si>
    <t>Fortalecimiento de las redes de seguridad y policia comunitaria.</t>
  </si>
  <si>
    <t>IN - LE1 - A6</t>
  </si>
  <si>
    <t>*Fortalecer los programas de seguridad vial que incluya entreotros la regulación, la movilización de niños y niñas en cualquier medio de transporte.</t>
  </si>
  <si>
    <t>IN - LE1 - A7</t>
  </si>
  <si>
    <t>* Implementación de un proceso continuo de control y vigilancia sobre el servicio de transporte escolar de los colegios publicos y privados.</t>
  </si>
  <si>
    <t>IN - LE2 - A1</t>
  </si>
  <si>
    <t>IN - LE2 - A2</t>
  </si>
  <si>
    <t>IN - LE2 - A3</t>
  </si>
  <si>
    <t>IN - LE2 - A4</t>
  </si>
  <si>
    <t>IN - LE2 - A5</t>
  </si>
  <si>
    <t>IN - LE2 - A6</t>
  </si>
  <si>
    <t>IN - LE2 - A7</t>
  </si>
  <si>
    <t>IN - LE2 - A8</t>
  </si>
  <si>
    <t>IN - LE2 - A9</t>
  </si>
  <si>
    <t>IN - LE2 - A10</t>
  </si>
  <si>
    <t>IN - LE2 - A11</t>
  </si>
  <si>
    <t>IN - LE2 - A12</t>
  </si>
  <si>
    <t>IN - LE3 - A1</t>
  </si>
  <si>
    <t>IN - LE3 - A2</t>
  </si>
  <si>
    <t>IN - LE3 - A3</t>
  </si>
  <si>
    <t>IN - LE3 - A4</t>
  </si>
  <si>
    <t>IN - LE3 - A5</t>
  </si>
  <si>
    <t>IN - LE3 - A6</t>
  </si>
  <si>
    <t>IN - LE3 - A7</t>
  </si>
  <si>
    <t>IN - LE4 - A1</t>
  </si>
  <si>
    <t>IN - LE4 - A2</t>
  </si>
  <si>
    <t>IN - LE4 - A3</t>
  </si>
  <si>
    <t>* Fortalecimiento de las competencias del recurso humano que trabaja en el ambito de promoción, prevención, atención y restablecimiento de derechos vulnerados.</t>
  </si>
  <si>
    <t>IN - LE4 - A4</t>
  </si>
  <si>
    <t>IN - LE4 - A5</t>
  </si>
  <si>
    <t>* Implementación de programas y proyectos orientados a la prevención, detección y atención de los trastornosselectivos del desarrollo y/o detección y atención NNA con habilidades o capacidades excepcionales en el ámbito comunitarioy escolar.</t>
  </si>
  <si>
    <t>IN - LE4 - A6</t>
  </si>
  <si>
    <t>IN - LE4 - A7</t>
  </si>
  <si>
    <t>IN - LE4 - A8</t>
  </si>
  <si>
    <t>IN - LE5 - A1</t>
  </si>
  <si>
    <t>IN - LE5 - A2</t>
  </si>
  <si>
    <t>IN - LE5 - A3</t>
  </si>
  <si>
    <t>* Creación de la red de hogares de paso.</t>
  </si>
  <si>
    <t>IN - LE5 - A4</t>
  </si>
  <si>
    <t>*Diseño, implementación y/o fortalecimiento del centro de atención integral de emergencia para niños, niñas y adolescentes en situación de riesgo y de calle.</t>
  </si>
  <si>
    <t>IN - LE5 - A5</t>
  </si>
  <si>
    <t>* Desarrollo de las gestiones requeridas con otros municipios de procendencia para la opereción retorno e inclusión familiar de niños, niñas y adolescentes en situación de riesgo y calle.</t>
  </si>
  <si>
    <t>IN - LE5 - A6</t>
  </si>
  <si>
    <t>* Fortalecer la atención psicosocial de niños, niñas y adolescentes victimas de vulneración de derechos. * Realizar la gestión para modificar el DECRETO 877 de 2008. "Prohibe la presencia de los menores de 18 años de edad en establecimientos nocturnos abierto al público para minimizar riesgos que afectan la integridad de NNA".</t>
  </si>
  <si>
    <t>IN - LE5 - A7</t>
  </si>
  <si>
    <t>* Fortalecer el área psicosocial de la UAO. * Implementar la ludoteca en la UAO.</t>
  </si>
  <si>
    <t>IN - LE5 - A8</t>
  </si>
  <si>
    <t>* Linea amiga con funcionamiento efectivo.</t>
  </si>
  <si>
    <t>IN - LE5 - A9</t>
  </si>
  <si>
    <t>* Implementación de la línea amiga para los niños, niñas y adolescentes. * Fortalecer las comisarías de familias. Campañas masivas de prevención y rutas de denuncia.</t>
  </si>
  <si>
    <t>IN - LE5 - A10</t>
  </si>
  <si>
    <t>* Ampliar el equipo interdisciplinario de planta para garantizar una atención oportuna a los beneficiarios. Socialización e implementación de la política Haz Paz.</t>
  </si>
  <si>
    <t>IN - LE5 - A11</t>
  </si>
  <si>
    <t>* Socialización e implementación de políticas y planes nacionales de: estrategia nacional de hechos y derechos, prevención y erradicación de la explotación sexual comercial de niños, niñas y adolescentes, erradicación de las peores formas de trabajo infantil, cero a siempre - primera infancia, discapacidad, niñas, niños y adolescentes víctimas del desplazamiento por conflicto interno y demás políticas intersectoriales que se deben implementar en el territorio.</t>
  </si>
  <si>
    <t>IN- LE5 - A12</t>
  </si>
  <si>
    <t>* Equipo interdisciplinario conformado y operando para la atención de los niños, niñas y adolescentes en situación de desplazamiento. * Implementar un programa para la prevención de la explotación sexual comercial en NNA. * Fortalecimiento operativo de las comisarías de familia y casa de justicia del municipio.</t>
  </si>
  <si>
    <t>IN - LE5 - A13</t>
  </si>
  <si>
    <t>* Diseño, desarrollo e implementación de estrategias de información, eduación y comunicación de manera sistemática y continua para la promoción de estilos de vida saludables a favor del proceso del crecimiento  y desarrollo; y para la prevención de la morbilidad y de situaciones en que los NNA se vean involucrados en infracciones a la ley penal; sean víctimas de maltrato infantil, explotación sexual, explotación laboral, abuso sexual, violencia intrafamiliar, y víctimas del reclutamiento por grupos ilegales .</t>
  </si>
  <si>
    <t>IN - LE5 - A14</t>
  </si>
  <si>
    <t>IN - LE5 - A15</t>
  </si>
  <si>
    <t>IN - LE5 - A16</t>
  </si>
  <si>
    <t>IN - LE5 - A17</t>
  </si>
  <si>
    <t>IN - LE5 - A18</t>
  </si>
  <si>
    <t>IN - LE6 - A1</t>
  </si>
  <si>
    <t>IN - LE6 - A2</t>
  </si>
  <si>
    <t>*Realizar la gestión para modificar el DECRETO 877 de 2008. "Prohibe la presencia de los menores de 18 años de edad en establecimientos nocturnos abierto al público para minimizar riesgos que afectan la integridad de NNA".</t>
  </si>
  <si>
    <t>IN - LE6 - A3</t>
  </si>
  <si>
    <t>* Integración e inclusión a través de programas de vinculación educativa y laboral para los jóvenes que han estado en conflicto con la ley penal y que son egresados de los programas especializados en alianzas con los diferentes gremios y sectores empresariales del municipio.</t>
  </si>
  <si>
    <t>IN - LE6 - A4</t>
  </si>
  <si>
    <t>IN - LE7 - A1</t>
  </si>
  <si>
    <t>IN - LE7 - A2</t>
  </si>
  <si>
    <t>IN - LE7 - A3</t>
  </si>
  <si>
    <t>IN - LE7 - A4</t>
  </si>
  <si>
    <t>IN - LE7 - A5</t>
  </si>
  <si>
    <t>IN - LE7 - A6</t>
  </si>
  <si>
    <t>IN - LE7 - A7</t>
  </si>
  <si>
    <t>IN - LE7 - A8</t>
  </si>
  <si>
    <t xml:space="preserve">* Fomento de escuelas itinerantes de teatro y danza.             * Implementación de festivales folclóricos de la diversidad étnica y cultural del municipio de Pereira. </t>
  </si>
  <si>
    <t>IN - LE7 - A9</t>
  </si>
  <si>
    <t>IN - LE8 - A1</t>
  </si>
  <si>
    <t>IN - LE8 - A2</t>
  </si>
  <si>
    <t>IN - LE8 - A3</t>
  </si>
  <si>
    <t>IN - LE8 - A4</t>
  </si>
  <si>
    <t>IN - LE8 - A5</t>
  </si>
  <si>
    <t>IN - LE9 - A1</t>
  </si>
  <si>
    <t>IN - LE9 - A2</t>
  </si>
  <si>
    <t>* Diseñar e implementar estrategias pedagógicas para niños y niñas innovadoras para el proceso de la salud sexual y reproductiva.</t>
  </si>
  <si>
    <t>IN - LE10 - A1</t>
  </si>
  <si>
    <t>*Capacitacion de niños, niñas y adolescentes en mecanismos de participacion ciudadana, fortaleciendo y acompañando el proceso de eleccion y accionar de las JACI, gobierno escolar y consejo municipal de juventud.                                  *Promocion de la participacion y el protagonismo de los niños, niñas y adolescentes en los consejos de polotica social como espacio de toma de decisiones en beneficio de la garantia de sus derechos y en pro desarrollo integral.            Formacion de niños,niñas y adolescentes en control social del riesgo.                                                                                *Promover la participacionefectiva de los niños, niñas y adolescentes mediente la orientacion de dudas prejuveniles y juveniles en el municipio de Pereira.</t>
  </si>
  <si>
    <t>IN - LE11 - A1</t>
  </si>
  <si>
    <t>IN - LE12 - A1</t>
  </si>
  <si>
    <t>*Fortalecimiento de los mecanismos de cooperacion institucional que garanticen la vinculacion y acceso a salud, registro civil, identidad, educacion, deporte y recreacion, entre otros.   * Fortalecimiento en cultura organizacional con instituciones y entidades publicas y privadas protectores y amigos del niño, niña y adolescente en el municipio de Pereira.    *Fomento de una cultura organizacional orientada a "Despachos Amigos de los niños".  *Capacitacion y asesoria a las dependencias de la administracion y la institucionalidad para facilitar la grantia de derechos de primera infancia , infancia y adolescencia.   * Socializacion de la ley 1098, estrategias, hechos y derechos, ley 1438 de 2011, Objetivo del milenio relacionado con la primera infancia, infancia adolescencia.   *Fortalecimiento del observatorio de politicas publicas.</t>
  </si>
  <si>
    <t>IN - LE12 - A2</t>
  </si>
  <si>
    <t>IN - LE12 - A3</t>
  </si>
  <si>
    <t>IN - LE12 - A4</t>
  </si>
  <si>
    <t>Un equipo basico extramural conformado  operando en el 40% de los barrios pobres y vulnerables del municipio.</t>
  </si>
  <si>
    <t>Sostenibilidad e incremento de equipo basico extramural operendo en el 80&amp; de los barrios pobres y vulnerables del municipio.</t>
  </si>
  <si>
    <t>Fortalecimiento empresarial</t>
  </si>
  <si>
    <t>Sistema de Información</t>
  </si>
  <si>
    <t>FINALIDAD</t>
  </si>
  <si>
    <t>INDICADOR DE IMPACTO</t>
  </si>
  <si>
    <t>OBJETIVO</t>
  </si>
  <si>
    <t>RESULTADO 
OBJETIVO</t>
  </si>
  <si>
    <t>META 
RESULTADO</t>
  </si>
  <si>
    <t>INDICADOR DE RESULTADO</t>
  </si>
  <si>
    <t>COD ACCIÓN</t>
  </si>
  <si>
    <t>ACCIÓN</t>
  </si>
  <si>
    <t>CLASIFICACIÓN</t>
  </si>
  <si>
    <t>DESCRIPCIÓN DE LA ACCIÓN</t>
  </si>
  <si>
    <t xml:space="preserve">POBLACIÓN OBJETIVO </t>
  </si>
  <si>
    <t>META ACCIÓN 2023</t>
  </si>
  <si>
    <t>INDICADOR DE PRODUCTO</t>
  </si>
  <si>
    <t>CORESPONSABLES</t>
  </si>
  <si>
    <t>ACUMULADO 
PERIDO</t>
  </si>
  <si>
    <t>PROYECCIÓN 
ECONÓMICA ANUAL ($)</t>
  </si>
  <si>
    <t>1: FORTALECIMIENTO INSTITUCIONAL</t>
  </si>
  <si>
    <t>Administración municipal dinámica, eficiente y articulada en sinergia frente a  la temática de cultura de la legalidad</t>
  </si>
  <si>
    <t>Índice de Transparencia Municipal</t>
  </si>
  <si>
    <t>Corporación Transparencia por Colombia (Nacional)</t>
  </si>
  <si>
    <t>Mejorar las capacidades administrativas y técnicas de la Alcaldía de Pereira para el cumplimiento de la Política Pública Cultura de la Legalidad.</t>
  </si>
  <si>
    <t>Servidores Públicos formados y empoderados del tema de la Cultura de la Legalidad</t>
  </si>
  <si>
    <t>Mantener el nivel de riesgo de corrupción en moderado (Rango entre 74,5% y 89,4%)</t>
  </si>
  <si>
    <t>Índice de Transparencia Municipal (Subcategoría: Información de estrategias y medidas anticorrupción en el sitio web</t>
  </si>
  <si>
    <t>Realizar procesos formativos a los servidores públicos de la administración municipal y entidades descentralizadas sobre la Cultura de la Legalidad y Convivencia Ciudadana.</t>
  </si>
  <si>
    <t>ANTIGUA</t>
  </si>
  <si>
    <t>Realizar (talleres, conversatorios, seminarios, actividades pedagógicas).</t>
  </si>
  <si>
    <t>Funcionarios públicos y contratistas de la administración y entidades descentralizadas del municipio de Pereira.</t>
  </si>
  <si>
    <t>A 31 de diciembre de 2023, realizar 50 procesos (10 por año) formativos a los funcionarios y contratistas de la administración.</t>
  </si>
  <si>
    <t>Número de procesos formativos sobre cultura de la legalidad realizados</t>
  </si>
  <si>
    <t>Secretaría de Gestión Administrativa</t>
  </si>
  <si>
    <t>0
(2018)</t>
  </si>
  <si>
    <t>Empoderar a los funcionarios de la administración municipal que trabajan el tema de políticas públicas en las diferentes áreas de la administración (Transparencia, Plan Anticorrupción, Legalidad, entre otros)</t>
  </si>
  <si>
    <t>Realizar talleres focalizados a los funcionarios y contratistas de la administración que trabajan temas de política pública.</t>
  </si>
  <si>
    <t>Funcionarios públicos y contratistas de la administración y entidades descentralizadas de la municipalidad que trabajan con las políticas publicas.</t>
  </si>
  <si>
    <t>A diciembre de 2023, realizar 20 procesos formativos (4 por años), a los funcionarios y contratistas de la administración.</t>
  </si>
  <si>
    <t>Porcentaje de funcionarios y contratistas que reconocen los componentes del plan anticorrupción</t>
  </si>
  <si>
    <t>100% 
(2018)</t>
  </si>
  <si>
    <t>Planeación estratégica para la cultura de la legalidad implementada</t>
  </si>
  <si>
    <t>Índice de Transparencia Municipal (Subcategoría:  Información de planeación y gestión en el sitio web</t>
  </si>
  <si>
    <t>Generar espacios de articulación para la ejecución de las acciones de la Política Pública Cultura de la Legalidad por parte de todas las entidades que tienen competencia en ella</t>
  </si>
  <si>
    <t>Llevar a cabo mesas de trabajo de acuerdo al cronograma establecido en el comité técnico de cultura de la legalidad.</t>
  </si>
  <si>
    <t>Funcionarios y contratistas delegados para el comité técnico de cultura de la legalidad</t>
  </si>
  <si>
    <t>A 31 de diciembre de 2023 realizar 15 mesas de trabajo (3 por años) en el marco del comité técnico de la política cultura de la legalidad.</t>
  </si>
  <si>
    <t>Número de mesas de trabajo del comité técnico de cultura de la legalidad celebradas</t>
  </si>
  <si>
    <t>3
(2017)</t>
  </si>
  <si>
    <t>Realizar evaluación a la política pública cultura de la legalidad con el fin de conocer el resultado de su proceso de implementación.</t>
  </si>
  <si>
    <t>NUEVA</t>
  </si>
  <si>
    <t>Evaluar la política pública cada año después de su implementación con el objetivo de evidenciar fortalezas o debilidades que presente.</t>
  </si>
  <si>
    <t>Entidades del sector central y descentralizado que ejecuta componentes de la política publica cultura de la legalidad</t>
  </si>
  <si>
    <t>A diciembre 31 de cada año, desarrollar en un 100% el proceso de evaluación de la Política Pública Cultura de la Legalidad.</t>
  </si>
  <si>
    <t>Porcentaje  de ejecución de la evaluación de la Política Pública Cultura de la legalidad</t>
  </si>
  <si>
    <t>1
(2017)</t>
  </si>
  <si>
    <t>Índice de Transparencia Municipal (Subcategoría: Información de planeación y gestión en el sitio web</t>
  </si>
  <si>
    <t>Generar una estrategia comunicativa de  convivencia y cultura ciudadana en el marco de cultura de la legalidad que utilice los canales tradicionales de comunicación y los medios electrónicos y alternativos para divulgar la Cultura de la Legalidad.</t>
  </si>
  <si>
    <t xml:space="preserve">La Estrategia comunicativa  debe estar integrada por Oficina de Comunicaciones, Secretaría de las TICS y la Secretaria de Cultura. </t>
  </si>
  <si>
    <t>Habitantes de las comunas y corregimientos del municipio de Pereira que tengan acceso a diferentes medios de comunicación.</t>
  </si>
  <si>
    <t>A junio 30 de 2019, diseñar una estrategia comunicativa en el tema de cultura de la legalidad. A partir de julio 1 de 2019 hasta el 31 de diciembre de 2023 la implementación.  El presupuesto para el diseño principal debe ir consensuado entre la oficina de comunicaciones las TICs</t>
  </si>
  <si>
    <t>Porcentaje de implementación de  la estrategia comunicativa de  convivencia y cultura ciudadana en el marco de cultura de la legalidad.</t>
  </si>
  <si>
    <t>0% 
(2018)</t>
  </si>
  <si>
    <t>Servidores Públicos  comprometidos con la cultura ciudadana</t>
  </si>
  <si>
    <t>Índice de Transparencia Municipal (Subcategoría: Condiciones institucionales para la participación ciudadana)</t>
  </si>
  <si>
    <t xml:space="preserve">Fortalecer el programa de cultura ciudadana al interior de la administración y en la ciudad en el marco de la cultura de la legalidad. </t>
  </si>
  <si>
    <t>Articular la estrategia entre las entidades relacionadas.</t>
  </si>
  <si>
    <t>Habitantes de las comunas y corregimientos del municipio de Pereira
Funcionarios del sector central y descentralizado del municipio de Pereira</t>
  </si>
  <si>
    <t xml:space="preserve">A junio 30 de 2019, diseñar una estrategia de articulación del programa de cultura ciudadana con las instituciones en el tema de cultura de la legalidad. A partir de julio 1 de 2019 hasta el 31 de diciembre de 2023 la implementación. </t>
  </si>
  <si>
    <t>Porcentaje de instituciones  articuladas con el programa de cultura ciudadana instituciones en el marco de cultura de la legalidad</t>
  </si>
  <si>
    <t xml:space="preserve">2: PROMOCION POR Y PARA LA DEMOCRACÍA </t>
  </si>
  <si>
    <t>Ciudadanos participativos, comprometidos en los procesos democráticos del municipio de Pereira y con confianza en las instituciones públicas.</t>
  </si>
  <si>
    <t xml:space="preserve">Desarrollar procesos formativos en la ciudadanía en torno a la cultura cívica y democrática </t>
  </si>
  <si>
    <t>Habitantes más participativos en temas de construcción colectiva, participación democrática empoderados en su rol de ciudadano dentro de un marco democrático</t>
  </si>
  <si>
    <t>Construir línea base en 2019 y mantener el indicador por entre 0% y 5% (En Alerta)</t>
  </si>
  <si>
    <t>Indicador compuesto de cultura de la legalidad en la dimensión de conducta</t>
  </si>
  <si>
    <t>Secretaría de Gobierno, Secretaría de Planeación</t>
  </si>
  <si>
    <t>Realizar audiencias publicas, rendiciones de cuentas y prácticas transparentes por parte de la administración municipal.</t>
  </si>
  <si>
    <t xml:space="preserve">La rendición de cuentas debe ser el resumen de actividades entorno la política pública, o a la gestión del  Alcalde dentro de su plan de gobierno. Esta actividad  la debe liderar la Secretaría Privada y la Oficina de  Comunicaciones en articulación con Planeación Municipal y las demás secretarías de la administración. </t>
  </si>
  <si>
    <t>Habitantes de las comunas y corregimientos del municipio de Pereira</t>
  </si>
  <si>
    <t>A diciembre 31 de 2023, hacer 5 (1 cada noviembre) rendiciones de cuentas por parte de Alcalde de Pereira o su delegado .</t>
  </si>
  <si>
    <t>Número de rendiciones de cuentas realizadas por la Alcaldía de Pereira</t>
  </si>
  <si>
    <t>Desarrollar procesos formativos  con los  directivos docentes  y docentes de las instituciones educativas oficiales en torno la Cultura de la Legalidad.</t>
  </si>
  <si>
    <t xml:space="preserve">Directivos docentes y docentes de las instituciones educativas oficiales del municipio de Pereira </t>
  </si>
  <si>
    <t>A diciembre 31 de 2023, capacitar al 100% de  los cuerpos directivos y docentes de las instituciones educativas públicas del municipio de Pereira.</t>
  </si>
  <si>
    <t>Porcentaje de cuerpos directivos docentes  y docentes de instituciones educativas públicas del municipio de Pereira capacitados en el tema de la cultura de la legalidad</t>
  </si>
  <si>
    <t>0%
(2018)</t>
  </si>
  <si>
    <t>Promover lo mecanismos de participación ciudadana (rendición de cuentas, presupuesto participativo, veedurías, entre otros).</t>
  </si>
  <si>
    <t>Esta acción es orientada desde planeación municipal y debe estar articulada con presupuesto participativo.</t>
  </si>
  <si>
    <t>Líderes comunitarios , actores sociales y culturales del municipio, Mesa de Municipal de  Participación de niños niñas y adolescentes</t>
  </si>
  <si>
    <t>A diciembre 31 de 2023, promover 5 jornadas (1 por año) de difusión de los espacios de participación ciudadana.</t>
  </si>
  <si>
    <t>Número de jornadas de promoción sobre los  mecanismos de participación ciudadana realizadas</t>
  </si>
  <si>
    <t>Desarrollo Social y Político</t>
  </si>
  <si>
    <t>Promover procesos de integración institucional entre la administración municipal y la comunidad en el marco de la cultura de la legalidad.</t>
  </si>
  <si>
    <t>La acción va orientada a socializar diferentes procesos dentro del plan de gobierno de la administración con la comunidad</t>
  </si>
  <si>
    <t>Número de actividades descentralizadas donde se aborde la temática de Cultura de la Legalidad realizadas</t>
  </si>
  <si>
    <t>Secretaría Privada, entidades que converjan en temas de la política pública Cultura de la Legalidad</t>
  </si>
  <si>
    <t>Desarrollar acciones encaminadas a incentivar a los ciudadanos para participar en procesos democráticos que se realicen en la ciudad.</t>
  </si>
  <si>
    <t xml:space="preserve">Desde el programa de cultura ciudadana difundir y reconocer el programa embajadores de la cultura de la legalidad en las diferentes comunas y corregimientos de la ciudad de Pereira. Este proceso lo lidera Gobierno, apoyado por la Sociedad de Mejoras y la Secretaría de Educación en colaboración con la S. de Cultura </t>
  </si>
  <si>
    <t>Todos los actores sociales del municipio de Pereira</t>
  </si>
  <si>
    <t>Generar espacios de discusión y procesos de formación articulados  a  temáticas democráticas relacionadas con la cultura de la legalidad.</t>
  </si>
  <si>
    <t>Número  espacios de discusión y procesos de formación articulados  a  temáticas democráticas relacionadas con la cultura de la legalidad.</t>
  </si>
  <si>
    <t>0 (2018)</t>
  </si>
  <si>
    <t>Ciudadanía capacitada y formada en  temas democráticos</t>
  </si>
  <si>
    <t xml:space="preserve">Realizar procesos formativos (capacitaciones, talleres, seminarios, foros) a los ciudadanos Pereiranos sobre la política pública  Cultura de la Legalidad </t>
  </si>
  <si>
    <t>Los procesos van orientadas a difundir la política pública y generar espacios de formación por medio de la misma</t>
  </si>
  <si>
    <t>A diciembre 31 de 2023, hacer 5 espacios de capacitación (1 por año) con el fin de dar a conocer la política pública Cultura de la legalidad y problemáticas relacionas con la misma en el municipio de Pereira.</t>
  </si>
  <si>
    <t>Número de capacitaciones desarrolladas sobre la política pública cultura de la legalidad</t>
  </si>
  <si>
    <t>3: PROMOCIÓN DE LA CONVIVENCIA CIUDADANA</t>
  </si>
  <si>
    <t>Ciudadanos con conductas apropiadas y  orientadas al respeto por las diferencias en el marco de la convivencia y la resolución pacífica de conflictos.</t>
  </si>
  <si>
    <t xml:space="preserve">Desarrollar procesos formativos de cultura y convivencia ciudadana en el contexto de la cultura de la legalidad.
</t>
  </si>
  <si>
    <t>Ciudadanos orientados al respeto por las diferencias en el marco de la convivencia y la resolución pacífica de conflictos.</t>
  </si>
  <si>
    <t>Incrementar en un 3% el buen comportamiento ciudadano frente al respeto por las normas básicas de convivencia</t>
  </si>
  <si>
    <t>Buen Comportamiento ciudadano frente al respeto por las normas básicas de convivencia</t>
  </si>
  <si>
    <t>Sensibilizar a la ciudadanía de Pereira en procesos de sana convivencia  social, familiar y cultura ciudadana</t>
  </si>
  <si>
    <t>Los procesos de sensibilización los liderará la Secretaría de Gobierno a través del programa  institucional de Cultura Ciudadana con la temática relacionada será sobre convivencia ciudadana y apropiación ciudadana en temas de relacionados con la política pública.</t>
  </si>
  <si>
    <t>A diciembre 31 de 2023, generar 5 campañas de impacto social (1 por año) a través del programa  "Pereira la veo bien" en el mucepo de Pereira</t>
  </si>
  <si>
    <t>Número de campañas realizadas sobre sana convivencia y cultura ciudadana</t>
  </si>
  <si>
    <t>Articular programa de cultura ciudadana con los diferentes procesos o marcas que trabajan en pro del civismo y cultura ciudadana en la ciudad de Pereira</t>
  </si>
  <si>
    <t>La acción va diseñada con el fin de generar convenios de cooperación entre la administración municipal y la empresa privada, ONG, cooperación internacional entre otros.</t>
  </si>
  <si>
    <t>Entidades del sector central y descentralizado del municipio de Pereira que trabajan el tema de la Cultura de la Legalidad
Empresas del sector publico, privado y solidario</t>
  </si>
  <si>
    <t>A diciembre 31 de 2023, articular por lo menos 10  empresas, ONG,  con el programa de cultura ciudadana.</t>
  </si>
  <si>
    <t>número de empresas articuladas</t>
  </si>
  <si>
    <t>Generar espacios culturales entorno a la sana convivencia enfocados a la ciudadanía y al respeto por el otro.</t>
  </si>
  <si>
    <t>Desde la Secretaría de Cultura se liderará procesos en el cual se trabajará articuladamente con las entidades que sean necesarias para el cumplimiento de dicha acción.</t>
  </si>
  <si>
    <t xml:space="preserve">Diferentes grupos poblacionales, colectivos sociales ubicados en el municipio de Pereira </t>
  </si>
  <si>
    <t>Llevar acabo 5  procesos de formación  (1 por año) artísticas con enfoque poblacional y territorial en el municipio de Pereira. El periodo establecido será entre el 2020 y 2023</t>
  </si>
  <si>
    <t>Número procesos  artísticos con enfoque poblacional y territorial en el municipio de Pereira.</t>
  </si>
  <si>
    <t xml:space="preserve">Difundir la oferta cultural del municipio de Pereira con el fin de generar espacios de convivencia ciudadana óptimos para sus habitantes </t>
  </si>
  <si>
    <t>El proceso de difusión debe estar a cargo oficina de comunicaciones y la Secretaría de Cultura. Pero las actividades las deben presentar las entidades que estén relacionadas en la política pública.</t>
  </si>
  <si>
    <t xml:space="preserve">Diseñar y desarrollar al 100%  un producto comunicativo para la amplia divulgación de la agenda cultural pertinente para la legalidad y la convivencia en el municipio de Pereira. </t>
  </si>
  <si>
    <t>Porcentaje de ejecución del producto comunicativo para la divulgación de la oferta cultural</t>
  </si>
  <si>
    <t>Secretaría de Cultura (Emisora Cultural, Pereira al Aire)</t>
  </si>
  <si>
    <t>100%
(2018)</t>
  </si>
  <si>
    <t xml:space="preserve">Fortalecer las escuelas de padres en las instituciones educativas del municipio de Pereira en el marco de la cultura de la legalidad </t>
  </si>
  <si>
    <t>El proceso estará a cargo de Secretaría de educación y tendrá como finalidad llevar a cabo diferentes actividades en las cuales estén presentes los representantes de las escuelas de padres. En dichas actividades se debe abordar problemáticas relacionadas en la cultura de la legalidad.</t>
  </si>
  <si>
    <t>Padres, madres y/o acudientes de estudiantes de instituciones educativas públicas del municipio de Pereira.</t>
  </si>
  <si>
    <t>Fortalecer el 100% las escuelas de padres por medio de procesos formativos vinculados a la cultura de la legalidad y la convivencia ciudadana</t>
  </si>
  <si>
    <t>Porcentaje de fortalecimiento de las escuelas de padres en el marco de la cultura de la legalidad</t>
  </si>
  <si>
    <t>Llevar a cabo proceso de socialización del  "Código Nacional de Policía y Convivencia  para Vivir en Paz" a los diferentes grupos poblacionales en el marco de la convivencia ciudadana</t>
  </si>
  <si>
    <t>En cada campaña de socialización se debe socializar los puntos más importantes del "Código Nacional de Policía y Convivencia  para Vivir en Paz "con los diferentes sectores de la población (Charlas  pedagógicas, talleres, foros, entre otros)</t>
  </si>
  <si>
    <t>A diciembre 31 de 2023, generar 10 campañas (2 por año)  de socialización del  "Código Nacional de Policía y Convivencia  para Vivir en Paz"</t>
  </si>
  <si>
    <t>Número de campañas de socialización sobre el  "Código Nacional de Policía y Convivencia  para Vivir en Paz" realizadas</t>
  </si>
  <si>
    <t>1
(2018)</t>
  </si>
  <si>
    <t>Promover campañas lúdico-pedagógicas de respeto a la normas viales para la seguridad y convivencia ciudadana</t>
  </si>
  <si>
    <t>Capacitaciones preventivas serán orientadas a estos sectores: Instituciones educativas públicas, empresas públicas y privadas, peatones y empresas de transporte público</t>
  </si>
  <si>
    <t>Habitantes de las comunas y corregimientos del municipio de Pereira
Infractores de las normas viales</t>
  </si>
  <si>
    <t>Realizar cinco (5) jornadas/campañas de prevención y concientización  de seguridad y convivencia vial en el municipio de Pereira</t>
  </si>
  <si>
    <t>Porcentaje de  campañas de prevención y concientización lúdico-pedagógicas sobre las normas viales realizadas</t>
  </si>
  <si>
    <t>4
(2018)</t>
  </si>
  <si>
    <t>Fomentar el respeto y apropiación del patrimonio cultural, histórico y natural de Pereira en el contexto de la cultura de la legalidad.</t>
  </si>
  <si>
    <t>Ciudadanos consientes,   empoderados, con sentido de pertenencia y vocación cívica frente a temas de ciudad</t>
  </si>
  <si>
    <t>Promover campañas lúdico-pedagógicas de prevención y concientización  sobre el buen uso del espacio público.</t>
  </si>
  <si>
    <t>Realizar capacitaciones sobre el cuidado y buen uso de los espacios públicos de la cuidad de Pereira</t>
  </si>
  <si>
    <t>Habitantes de las comunas y corregimientos del municipio de Pereira
Ocupantes ilegales del espacio público</t>
  </si>
  <si>
    <t>A diciembre 31 de 2023,  incrementar el porcentaje de percepción del cuidado y respeto por los espacios públicos</t>
  </si>
  <si>
    <t>Porcentaje de percepción de cuidado y respeto por el espacio público</t>
  </si>
  <si>
    <t>18%
(2016)</t>
  </si>
  <si>
    <t>Desarrollar procesos de formación a la ciudadanía Pereirana en torno a la apropiación y protección del patrimonio cultural material e inmaterial (raíces, identidad) y natural de la Ciudad</t>
  </si>
  <si>
    <t xml:space="preserve">Fomentar el sentido de pertenencia de los habitantes del municipio de Pereira, frente a su raíces y construcción indentitaria y sobre el cuidado  del patrimonio cultural material e inmaterial (raíces, identidad) y natural de la Ciudad. </t>
  </si>
  <si>
    <t>A diciembre 31 de 2023, realizar 30 talleres y/o tertulias pedagógicas (2 por año) en torno a la apropiación y protección del patrimonio cultural material e inmaterial (raíces, identidad) y natural de la Ciudad</t>
  </si>
  <si>
    <t>Número de talleres y/o tertulias realizadas en torno a la apropiación y protección del patrimonio cultural material e inmaterial de la ciudad de Pereira</t>
  </si>
  <si>
    <t>Fortalecer el comité de convivencia escolar (Visibilizar y mitigar las problemáticas en los centro educativos que atentan contra la sana convivencia y la construcción libre de la personalidad (matoneo, automutilación, micro tráfico estudiantil y otros.)</t>
  </si>
  <si>
    <t>Ofrecer capacitaciones y acompañamiento con un equipo  multidisciplinario a los instituciones educativas públicas del municipio de Pereira en los temas de convivencia requeridos en particular (comité de convivencia escolar).</t>
  </si>
  <si>
    <t>Estudiantes de Instituciones Públicas del municipio de Pereira y/o padres y madres de familia y/o acudientes.</t>
  </si>
  <si>
    <t>A diciembre 31 de 2023, capacitar y fortalecer al 100% de los establecimientos educativos en la ley 1620 de 2013 " ley sobre la convivencia escolar"</t>
  </si>
  <si>
    <t>Porcentaje de instituciones educativas capacitadas en el marco del fortalecimiento del comité de convivencia escolar</t>
  </si>
  <si>
    <t>Fomentar y difundir los espacios y eventos que posicionen la imagen la ciudad (Ferias, festivales culturales, eventos deportivos, exposiciones entre otros) las campañas de cultura de la legalidad</t>
  </si>
  <si>
    <t>Desde la administración y en trabajo articulado con las diferentes entidades como cámara de comercio, promover a Pereira como destino, turístico, comercial, de espectáculos, eventos de interés nacional, congresos, entre otros con fin de generar en la ciudad " la capital de la cultura regional"</t>
  </si>
  <si>
    <t>Realizar eventos anuales de gran envergadura en la ciudad con mensajes de cultura de la legalidad</t>
  </si>
  <si>
    <t>Número de eventos realizados que incluyan mensajes de cultura de la legalidad</t>
  </si>
  <si>
    <t>2
(2016)</t>
  </si>
  <si>
    <t>Realizar procesos continuos orientadas a incentivar el uso correcto de la bicicleta en el marco de la protección del medio ambiente</t>
  </si>
  <si>
    <t>El proceso debe ir orientado a la población del municipio que utiliza medios de transporte públicos y personas que trabajan en el centro de la ciudad.</t>
  </si>
  <si>
    <t>A  31 diciembre de 2023, incrementar en 4% (1% por año) los viajes en bicicleta  y el respeto por las ciclo bandas</t>
  </si>
  <si>
    <t>Porcentaje de viajes en bicicleta que se realizan en la ciudad de Pereira utilizando correctamente las ciclo bandas</t>
  </si>
  <si>
    <t>3%
(2016)</t>
  </si>
  <si>
    <t>Promover el uso de los diferentes medios de transporte público legal en el AMCO mediante la articulación institucional</t>
  </si>
  <si>
    <t xml:space="preserve">Para el cumplimiento de la acción se debe generar la articulación institucional entre: AMCO, Megabus, Instituto de Movilidad. Se debe diseñar campañas de difusión e incentivar el buen uso de medios de transporte en el municipio de Pereira. </t>
  </si>
  <si>
    <t xml:space="preserve">Habitantes del municipio de Pereira que hacen uso de los medios de transporte público legal </t>
  </si>
  <si>
    <t xml:space="preserve">A diciembre 31 de 2023, realizar 5 campañas de difusión y sensibilización estrategia sobre el buen uso de los medios de transporte público legal en el municipio de Pereira   </t>
  </si>
  <si>
    <t xml:space="preserve">Número de campañas  de difusión y sensibilización  sobre el buen uso de los medios de transporte público legal el en municipio de Pereira   </t>
  </si>
  <si>
    <t>Área Metropolitana de Centro Occidente-AMCO</t>
  </si>
  <si>
    <t xml:space="preserve">Promover la cultura de la legalidad  y la recuperación integral de espacio público en un tejido corresponsable entre la administración municipal y la ciudadanía. </t>
  </si>
  <si>
    <t>Ciudadanos que respetan el espacio público cómo un punto de encuentro</t>
  </si>
  <si>
    <t xml:space="preserve">Incrementar en 4m2, el espacio público por habitante en la ciudad de Pereira </t>
  </si>
  <si>
    <t>Metros cuadrados de espacio público  por habitante</t>
  </si>
  <si>
    <t>Red de Ciudades Cómo Vamos (Nacional)</t>
  </si>
  <si>
    <t>Formular e implementar estrategias o programas encaminados a la recuperación integral del espacio público en la ciudad de Pereira</t>
  </si>
  <si>
    <t>Desarrollar un plan padrino institucional para recuperación integral de espacio público (parques, plazoletas, recursos hídricos) y el buen uso del mismo.</t>
  </si>
  <si>
    <t>Habitantes de los comunas y corregimientos de Pereira circundantes a  las zonas  de influencia del espacio público a preservar.</t>
  </si>
  <si>
    <t>A diciembre 31 de 2023, implementar en un 100% un plan padrino liderado por la misma comunidad donde se localiza el bien a proteger (parque recurso hídrico, plazoleta)</t>
  </si>
  <si>
    <t>Porcentaje de implementación del plan padrino de recuperación integral de espacio público</t>
  </si>
  <si>
    <t xml:space="preserve"> Secretaría de Gobierno</t>
  </si>
  <si>
    <t xml:space="preserve">Promover el respeto por los edificios públicos, las señales de tránsito, las calles y las fuentes hídricas en el municipio de Pereira </t>
  </si>
  <si>
    <t xml:space="preserve">Implementar desde la administración y en trabajo colaborativo con instituciones educativas, colectivos sociales, líderes, policía entre otras entidades, jornadas  masivas de campañas las cuales se pueda involucrar a la ciudadanía y en cuyo objetivo sea trabajar entorno al embellecimiento y la protección ambiental de Pereira  </t>
  </si>
  <si>
    <t xml:space="preserve">Fomentar e incentivar 5 campañas  (1 por año)  </t>
  </si>
  <si>
    <t>1 
(2018)</t>
  </si>
  <si>
    <t>Implementar una estrategia pedagógica para el empoderamiento de la ciudadanía frente al pacto cívico de la Cultura de la Legalidad</t>
  </si>
  <si>
    <t>Consolidar el pacto cívico vigente por medio del diseño de una estrategia de comunicación educativa para vincular a la ciudadanía en la corresponsabilidad de su cumplimiento</t>
  </si>
  <si>
    <t>Al 31 diciembre 2023, realizar 5 campañas (1 por año) de vinculación  ciudadanía en la corresponsabilidad del cumplimiento del pacto cívico</t>
  </si>
  <si>
    <t>Número de campañas sobre la corresponsabilidad ciudadana en el pacto cívico de cultura de la  legalidad desarrolladas</t>
  </si>
  <si>
    <t>Generar procesos de cultura ciudadana para el respeto de los ciudadanos dirigidos al la protección y cuidado del  medio ambiente en el municipio de Pereira</t>
  </si>
  <si>
    <t>Mejorar los procesos de apropiación del conocimiento medio ambiental para elevar los niveles de conciencia ciudadana en los habitantes.</t>
  </si>
  <si>
    <t>A 31  diciembre de 2023, realizar 5 procesos de apropiación (1 por año) del conocimiento medio ambiental</t>
  </si>
  <si>
    <t>Número de procesos  de apropiación del conocimiento ambiental desarrollados</t>
  </si>
  <si>
    <t>0
(2017)</t>
  </si>
  <si>
    <t>Llevar a cabo procesos de sensibilización a los propietarios de los establecimientos de comercio, en el cumplimiento de la normatividad pertinente para la operación legal de su negocio unido a lo ordenado en el Plan de ordenamiento Territorial</t>
  </si>
  <si>
    <t>Visitar los establecimientos y sensibilizar y capacitar en la normatividad correspondiente al sector</t>
  </si>
  <si>
    <t>Propietarios de los establecimientos públicos de la ciudad de Pereira</t>
  </si>
  <si>
    <t>A 31 de diciembre de 2023, visitar 100 establecimientos (20 por año) y realizar capacitaciones a los propietarios</t>
  </si>
  <si>
    <t>Número de establecimientos visitados y capacitados en  el cumplimiento de la normatividad pertinente para la operación de su negocio</t>
  </si>
  <si>
    <t>20
(2017)</t>
  </si>
  <si>
    <t>CL-LE1-A1</t>
  </si>
  <si>
    <t>CL-LE1-A2</t>
  </si>
  <si>
    <t>CL-LE1-A3</t>
  </si>
  <si>
    <t>CL-LE1-A4</t>
  </si>
  <si>
    <t>CL-LE1-A5</t>
  </si>
  <si>
    <t>CL-LE1-A6</t>
  </si>
  <si>
    <t>CL-LE1-A7</t>
  </si>
  <si>
    <t>CL-LE2-A1</t>
  </si>
  <si>
    <t>CL-LE1-A8</t>
  </si>
  <si>
    <t>CL-LE1-A9</t>
  </si>
  <si>
    <t>CL-LE2-A2</t>
  </si>
  <si>
    <t>CL-LE2-A3</t>
  </si>
  <si>
    <t>CL-LE2-A4</t>
  </si>
  <si>
    <t>CL-LE3-A1</t>
  </si>
  <si>
    <t>CL-LE3-A2</t>
  </si>
  <si>
    <t>CL-LE3-A3</t>
  </si>
  <si>
    <t>CL-LE3-A4</t>
  </si>
  <si>
    <t>CL-LE3-A5</t>
  </si>
  <si>
    <t>CL-LE3-A6</t>
  </si>
  <si>
    <t>CL-LE3-A7</t>
  </si>
  <si>
    <t>CL-LE3-A8</t>
  </si>
  <si>
    <t>CL-LE3-A9</t>
  </si>
  <si>
    <t>CL-LE4-A1</t>
  </si>
  <si>
    <t>CL-LE4-A2</t>
  </si>
  <si>
    <t>CL-LE4-A3</t>
  </si>
  <si>
    <t>CL-LE4-A4</t>
  </si>
  <si>
    <t>CL-LE4-A5</t>
  </si>
  <si>
    <t>CL-LE4-A6</t>
  </si>
  <si>
    <t>CL-LE4-A7</t>
  </si>
  <si>
    <t>CL-LE4-A8</t>
  </si>
  <si>
    <t>CL-LE4-A9</t>
  </si>
  <si>
    <t>CL-LE5-A1</t>
  </si>
  <si>
    <t>CL-LE5-A2</t>
  </si>
  <si>
    <t>CL-LE5-A3</t>
  </si>
  <si>
    <t>CL-LE5-A4</t>
  </si>
  <si>
    <t>CL-LE5-A5</t>
  </si>
  <si>
    <t>CL-LE5-A6</t>
  </si>
  <si>
    <t>CL-LE5-A7</t>
  </si>
  <si>
    <t>CL-LE5-A8</t>
  </si>
  <si>
    <t>CL-LE5-A9</t>
  </si>
  <si>
    <t>CL-LE5-A10</t>
  </si>
  <si>
    <t>SA-OB1-I1</t>
  </si>
  <si>
    <t>SA-OB1-I2</t>
  </si>
  <si>
    <t>SA-OB1-I3</t>
  </si>
  <si>
    <t>SA-OB1-I4</t>
  </si>
  <si>
    <t>SA-OB1-I5</t>
  </si>
  <si>
    <t>SA-OB1-I6</t>
  </si>
  <si>
    <t>SA-OB1-I7</t>
  </si>
  <si>
    <t>SA-OB1-I8</t>
  </si>
  <si>
    <t>SA-OB2-I1</t>
  </si>
  <si>
    <t>SA-OB2-I2</t>
  </si>
  <si>
    <t>SA-OB2-I3</t>
  </si>
  <si>
    <t>SA-OB2-I4</t>
  </si>
  <si>
    <t>SA-OB3-I1</t>
  </si>
  <si>
    <t>SA-OB4-I1</t>
  </si>
  <si>
    <t>SA-OB4-I2</t>
  </si>
  <si>
    <t>SA-OB4-I3</t>
  </si>
  <si>
    <t>SA-OB5-I1</t>
  </si>
  <si>
    <t>SA-OB5-I2</t>
  </si>
  <si>
    <t>SA-OB6-I1</t>
  </si>
  <si>
    <t>SA-OB6-I2</t>
  </si>
  <si>
    <t>SA-OB6-I3</t>
  </si>
  <si>
    <t>SA-OB7-I1</t>
  </si>
  <si>
    <t>SA-OB8-I1</t>
  </si>
  <si>
    <t>SA-OB9-I1</t>
  </si>
  <si>
    <t>SA-OB9-I2</t>
  </si>
  <si>
    <t>SA-OB10-I1</t>
  </si>
  <si>
    <t>SA-OB11-I1</t>
  </si>
  <si>
    <t>SA-OB11-I2</t>
  </si>
  <si>
    <t>SA-OB11-I3</t>
  </si>
  <si>
    <t>SA-OB11-I4</t>
  </si>
  <si>
    <t>SA-OB11-I5</t>
  </si>
  <si>
    <t>SA-OB12-I1</t>
  </si>
  <si>
    <t>SA5-OB13-I1</t>
  </si>
  <si>
    <t>SA-OB14-I1</t>
  </si>
  <si>
    <t>SA-OB15-I1</t>
  </si>
  <si>
    <t>SA-OB15-I2</t>
  </si>
  <si>
    <t>SA-OB15-I3</t>
  </si>
  <si>
    <t>SA5-OB16-I1</t>
  </si>
  <si>
    <t>SA-OB16-I2</t>
  </si>
  <si>
    <t>6. Conformación de veedurías para el seguimiento, control y vigilancia en la prestación de servicio de salud de la comunidad indígena</t>
  </si>
  <si>
    <t>7. Encuentros entre médicos tradicionales indígenas, representantes del cabildo y miembros de la administración municipal  para el diseño de un modelo de prevención y atención en salud, intercultural e integral, para las comunidades embera e indígenas</t>
  </si>
  <si>
    <t>9. Realización de eventos tendientes a la recuperación  y la aplicación de la medicina ancestral  indígena</t>
  </si>
  <si>
    <t>10. Encuentro de sabedores indigenas con otros pueblos para el diálogo de saberes y preservación de la medicina tradicional indígena</t>
  </si>
  <si>
    <t>11. Reconocimiento de la idoneidad médica tradicional para la expedición de incapacidades médicas a miembros de la comunidad indígena</t>
  </si>
  <si>
    <t xml:space="preserve">12. Implementación de Programas de prevención y promoción de los derechos sexuales y reproductivos de la población indígena y de los deberes y derechos en el área de la salud, basados en sus propias necesidades </t>
  </si>
  <si>
    <t>13. Implementación de programas de salud oral y oftalmológica para la población indígena</t>
  </si>
  <si>
    <t>14. Realización de brigadas de salud a población indígena en los diferentes asentamientos</t>
  </si>
  <si>
    <t>15. Adquisición y adecuación de espacio físico para el desarrollo de ceremonias y atención médica. (Su función es similar a la de centro médico occidental, pero con las características y cosmovisión de la comunidad indígena)</t>
  </si>
  <si>
    <t>16. Realización de campañas permanentes de vacunación por sectores para los niños menores de 5 años</t>
  </si>
  <si>
    <t>17. Realización de controles de control de crecimiento y desarrollo para niños menores de 5 años</t>
  </si>
  <si>
    <t>18. Implementación de Programas de promoción y atención en control prenatal de las mujeres en embarazo</t>
  </si>
  <si>
    <t>19. Programas de asistencia prioritaria para la atención al adulto mayor</t>
  </si>
  <si>
    <t xml:space="preserve">20. Implementación de programas de atención integral dirigido a la primera infancia en cuidado, nutrición, salud y educación inicial con pertinencia étnica a los niños y niñas  indígenas del municipio de Pereira </t>
  </si>
  <si>
    <t>8. Diseño e implementación de un modelo de prevención y atención en salud, intercultural e integral para la comunidad indígena</t>
  </si>
  <si>
    <t xml:space="preserve">1. Formación y actualización permanente a personal directivo, administrativo, docente y comunidad educativa en general, para la orientación pedagógica de la educación inclusiva de la población con discapacidad y en situación de vulnerabilidad diferencial. </t>
  </si>
  <si>
    <t>2. Fortalecimiento de la planta de personal de apoyo pedagógico (profesionales de apoyo pedagógico, modelos lingüísticos, interpretes, entre otras) de acuerdo al Decreto 366 de 2009 y demás normas conexas.</t>
  </si>
  <si>
    <t>3. Fortalecimiento de los procesos de investigación en los diferentes tipos de discapacidad y/o talentos.</t>
  </si>
  <si>
    <t>4. Implementación de metodologías flexibles que atiendan a los niños y niñas con discapacidad de acuerdo con sus necesidades.</t>
  </si>
  <si>
    <t>5. Institucionalización de un modelo de formación inclusiva con calidad en cascada, para la comunidad educativa (docentes, familias, directivos-docentes) de las Instituciones Educativas (I.E.).</t>
  </si>
  <si>
    <t xml:space="preserve">6. Desarrollo de procesos de detección temprana de necesidades educativas especiales en instituciones   de educación y en programas dirigidos a la primera infancia.  </t>
  </si>
  <si>
    <t>7. Desarrollo de programas  encaminados a la no discriminación de las personas con discapacidad</t>
  </si>
  <si>
    <t>8. Acceso, permanencia y promoción desde la educación inicial hasta superior de la población con discapacidad</t>
  </si>
  <si>
    <t xml:space="preserve">9. Desarrollo de programas de educación a partir de metodologías flexibles dirigidos a cuidadores y cuidadoras de personas con discapacidad. </t>
  </si>
  <si>
    <t xml:space="preserve">10. Desarrollo de sistemas de seguimiento y monitoreo a la ejecución de los Proyectos Educativos Institucionales (PEI),  a la luz de los lineamientos de educación inclusiva. </t>
  </si>
  <si>
    <t>11. Fortalecimiento de las instituciones educativas con dotación especializadas  en Tecnologías de la Información y la Comunicación (TICs).</t>
  </si>
  <si>
    <t xml:space="preserve">12. Desarrollo de programas de educación especializada para personas  que por su discapacidad no accedan al sistema educativo formal. </t>
  </si>
  <si>
    <t xml:space="preserve">13. Articulación de las Instituciones educativas incluyentes, con las universidades, instituciones de nivel técnico y del sector productivo. </t>
  </si>
  <si>
    <t xml:space="preserve">14. Establecimiento de un sistema de becas y apoyo a las personas con discapacidad, familias y cuidadores para el acceso a la educación técnica, tecnológica y profesional. </t>
  </si>
  <si>
    <t xml:space="preserve">15. Diseño y ejecución de un plan maestro de equipamientos educativos, con criterios de accesibilidad, e inclusión de material pedagógico, didáctico y tecnológico. </t>
  </si>
  <si>
    <t>16. Priorización en  la asignación de recursos del presupuesto participativo, para el mejoramiento de la accesibilidad de las Instituciones Educativas</t>
  </si>
  <si>
    <t>17. Implementación de un sistema de seguimiento de evaluación y control.</t>
  </si>
  <si>
    <t>1. Implementación de un programa de detección temprana de riesgos de adquirir una discapacidad.</t>
  </si>
  <si>
    <t>2. Atención oportuna en procesos de gestación, parto, primer año de vida, de enfermedades congénitas, genéticas, crónicas y transmisibles</t>
  </si>
  <si>
    <t>3. Implementación de un programa de prevención de accidentes.</t>
  </si>
  <si>
    <t>4. Diseño y ejecución de un programa de hábitos que promueven y favorecen la salud: física, psicológica, social y ocupacional, tanto en la comunidad, la escuela y lugar de trabajo.</t>
  </si>
  <si>
    <t>5. Implementación de un programa de promoción de factores protectores para enfermedades crónicas, transmisibles y factores protectores de la discapacidad.</t>
  </si>
  <si>
    <t xml:space="preserve">6. Definición de cupos específicos en el régimen subsidiado para personas con discapacidad, cuidadores y cuidadoras. </t>
  </si>
  <si>
    <t>7. Capacitación al personal que realiza la aplicación de la encuesta del SISBEN, en cuanto al conocimiento sobre Discapacidad.</t>
  </si>
  <si>
    <t xml:space="preserve">8. Capacitación del personal de las instituciones prestadoras de salud - IPS, en el manejo y atención de las personas con discapacidad. </t>
  </si>
  <si>
    <t>9. Fortalecimiento de los sistemas de información poblacional, haciendo énfasis en las  acciones de prevención y manejo de la discapacidad.</t>
  </si>
  <si>
    <t>10. Formación a los docentes de las facultades de Salud en la atención de las personas con discapacidad</t>
  </si>
  <si>
    <t xml:space="preserve">11. Fortalecimiento de los procesos de vigilancia y control a las Entidades Promotoras de Salud EPS,  sobre su red prestadora de servicios en la atención a la población con discapacidad. </t>
  </si>
  <si>
    <t xml:space="preserve">12. Fortalecimiento de lo programas de habilitación/rehabilitación. </t>
  </si>
  <si>
    <t xml:space="preserve">13. Implementación de programas de prevención para  la disminución de los factores que deterioran la  discapacidad.  </t>
  </si>
  <si>
    <t xml:space="preserve">14. Prestación de servicios de atención integral a niños, niñas y adolescentes con discapacidad. </t>
  </si>
  <si>
    <t>15. Implementación de un programa especializado para la atención integral del adulto mayor con discapacidad</t>
  </si>
  <si>
    <t xml:space="preserve">16. Otorgamiento de ayudas técnicas, tecnológicas o medicamentos, de acuerdo a las necesidades de las personas con discapacidad. </t>
  </si>
  <si>
    <t xml:space="preserve">17. Desarrollo de programas para asesoría e integración de las familias  y cuidadores en los procesos de rehabilitación. </t>
  </si>
  <si>
    <t xml:space="preserve">18. Implementación de un sistema de atención integral para la población con discapacidad. </t>
  </si>
  <si>
    <t xml:space="preserve">19. Elaboración de diagnósticos comunitarios sobre la situación de personas con discapacidad en comunidades focalizadas. </t>
  </si>
  <si>
    <t>20. Desarrollo de acciones encaminadas al mejoramiento de las condiciones nutricionales de los niños y niñas con discapacidad en primera infancia</t>
  </si>
  <si>
    <t>21. Diseño e implementación de un programa de Rehabilitación Basada en Comunidad</t>
  </si>
  <si>
    <t xml:space="preserve">22. Formación de líderes comunitarios  y otros actores dinamizadores de la estrategia RBC. </t>
  </si>
  <si>
    <t>23. Formulación de planes comunitarios para la implementación de la RBC</t>
  </si>
  <si>
    <t xml:space="preserve">24. Sistematización de experiencias. </t>
  </si>
  <si>
    <t xml:space="preserve">1. Creación de un fondo específico para desarrollar actividades culturales agenciadas por personas con discapacidad, cuidadores y cuidadoras. </t>
  </si>
  <si>
    <t xml:space="preserve">2. Desarrollo de procesos culturales y productivos por parte de personas con discapacidad que posean destrezas artísticas ya adquiridas. </t>
  </si>
  <si>
    <t xml:space="preserve">3. Capacitación por parte de personas con discapacidad que posean destrezas artísticas ya adquiridas, a otras que aún no las poseen.                                                                                                                                                                                            </t>
  </si>
  <si>
    <t xml:space="preserve">4. Creación de una Cooperativa de producción artística, conformada por personas que presenten algún tipo de discapacidad.                                                                                                                                                                                                         </t>
  </si>
  <si>
    <t xml:space="preserve">5. Formación de personas con discapacidad, cuidadores y cuidadoras, como gestores culturales. </t>
  </si>
  <si>
    <t>6. Diagnóstico y acompañamiento en la formación cultural de las personas con discapacidad que posibilite el descubrimiento de talentos artísticos.</t>
  </si>
  <si>
    <t xml:space="preserve">7. Promoción de actividades culturales y programas en diferentes espacios de la ciudad dirigidos a personas con discapacidad (bibliotecas, escuelas de arte, etc). </t>
  </si>
  <si>
    <t xml:space="preserve">8. Elaboración de un cronograma cultural por parte del municipio de Pereira, en el que se incluyan propuestas o acciones de personas con discapacidad.                                                                                                                                                    </t>
  </si>
  <si>
    <t xml:space="preserve">9. Exención o reducción de costos frente al acceso a eventos culturales (Visita a museos, exposiciones, actividades deportivas y culturales, festivales, etc)                                                                                                                            </t>
  </si>
  <si>
    <t xml:space="preserve">10. Establecimiento de locaciones especiales en eventos culturales para personas con algún grado de discapacidad, que garantice la accesibilidad de los mismos.  </t>
  </si>
  <si>
    <t>11. Elaboración de planes de estímulo a la producción artística y cultural de las personas con discapacidad y cuidadores.</t>
  </si>
  <si>
    <t xml:space="preserve">12. Sensibilización a las organizaciones encargadas de procesos culturales y artísticos para que incluyan criterios de accesibilidad de personas con discapacidad  y cuidadores. </t>
  </si>
  <si>
    <t xml:space="preserve">13. Producción de textos en distintos códigos lingüísticos que garantice la transmisión de la cultura a personas con discapacidad (Señas, sistemas auditivos, braile, visagrafía, etc.)                                                                                                                        </t>
  </si>
  <si>
    <t>14. Diseño de espacios radiales, virtuales y televisivos que garanticen la transmisión cultural con personas con discapacidad.</t>
  </si>
  <si>
    <t>15. Estudio sobre las expresiones culturales actuales de personas con discapacidad.</t>
  </si>
  <si>
    <t>16. Conformación del grupo profesional que realiza la intervención respectiva.</t>
  </si>
  <si>
    <t xml:space="preserve">17. Establecimiento de alianzas inter-universitarias, gubernamental, comités de discapacidad, para el logro del proceso de intervención.   </t>
  </si>
  <si>
    <t xml:space="preserve">1. Desarrollo de presupuestos participativos para población con discapacidad, cuidadores, cuidadoras y familias. </t>
  </si>
  <si>
    <t>2. Implementación de un plan de igualdad de oportunidades para mujeres con discapacidad</t>
  </si>
  <si>
    <t>3. Formación y fortalecimiento de las organizaciones de personas con discapacidad para el lobby y la incidencia en decisiones políticas</t>
  </si>
  <si>
    <t xml:space="preserve">4. Formación de los miembros del Comité en aspectos técnico – jurídicos relacionados con discapacidad. </t>
  </si>
  <si>
    <t xml:space="preserve">5. Posicionamiento del Comité  ante las distintas dependencias e institutos descentralizados. </t>
  </si>
  <si>
    <t>6. Implementación de programa de formación</t>
  </si>
  <si>
    <t>7. Implementación de una estrategia de formación de formadores.</t>
  </si>
  <si>
    <t xml:space="preserve">8. Disminución de las barreras  para  el acceso a los mecanismos de participación por parte de las personas con discapacidad, cuidadores y cuidadoras. </t>
  </si>
  <si>
    <t xml:space="preserve">9. Creación y fortalecimiento de mecanismos de control social con participación de personas con discapacidad, organizaciones no gubernamentales, y/o cuidadores. </t>
  </si>
  <si>
    <t>1. Implementación de programa de formación</t>
  </si>
  <si>
    <t>2. Implementación de una estrategia de formación de formadores.</t>
  </si>
  <si>
    <t>3. Diseño de herramientas de divulgación y material educativo inclusivo.</t>
  </si>
  <si>
    <t xml:space="preserve">4. Sensibilización a la comunidad sobre la discapacidad y los derechos de las personas con discapacidad. </t>
  </si>
  <si>
    <t xml:space="preserve">5. Implementación de estrategias de información, comunicación y educación para la superación de mitos y creencias erróneas sobre la discapacidad. </t>
  </si>
  <si>
    <t>1. Formación de personas con discapacidad y sus cuidadores como cogestores de actividad física, recreación y deporte.</t>
  </si>
  <si>
    <t xml:space="preserve">2. Capacitación a las personas que constituyen  los organismos  de clubes y ligas </t>
  </si>
  <si>
    <t>3. Formación en definición e implementación de programas deportivos acordes a las distintas discapacidades.</t>
  </si>
  <si>
    <t>4. Constitución de clubes deportivos en las Instituciones Educativas.</t>
  </si>
  <si>
    <t>5. Promoción de convenios interinstitucionales para generar espacios de reflexión, concertación y capacitación</t>
  </si>
  <si>
    <t xml:space="preserve">6. Definición e implementación de programas deportivos acordes a las distintas discapacidades. </t>
  </si>
  <si>
    <t xml:space="preserve">7. Fortalecimiento y sostenibilidad al sistema paralímpico municipal. </t>
  </si>
  <si>
    <t>8. Asignación de entrenadores y monitores por tipo de discapacidad.</t>
  </si>
  <si>
    <t>9. Creación de escuelas de iniciación y formación deportiva para personas con discapacidad.</t>
  </si>
  <si>
    <t>10. Mejoramiento de la accesibilidad a todos los escenarios deportivos.</t>
  </si>
  <si>
    <t>11. Realización de los juegos municipales de la discapacidad y la Inclusión.</t>
  </si>
  <si>
    <t>12. Implementación de estímulos a nivel municipal a deportistas con rendimiento destacado.</t>
  </si>
  <si>
    <t>13. Implementación de programas de actividad física, recreación y deporte para personas con discapacidad y sus cuidadores cerca a los lugares de residencia</t>
  </si>
  <si>
    <t>14. Implementación de un programa de actividades deportivas, culturales y recreativas como estrategia de rehabilitación e inclusión en Instituciones Educativas Inclusivas</t>
  </si>
  <si>
    <t>15. Implementación de Convenios de servicio social con instituciones educativas, Practica profesional con Instituciones de educación superior  y con empresas de transporte, para masificar la atención de personas con discapacidad en los distintos programas</t>
  </si>
  <si>
    <t>1. Ampliación y actualización del Registro de Localización y Caracterización de las Personas con Discapacidad - RLCPD.</t>
  </si>
  <si>
    <t>2. Consolidar un observatorio de políticas públicas de discapacidad.</t>
  </si>
  <si>
    <t>3. Definición e implementación de programas específicos inter institucionales de turismo accesible y asequible para las personas con discapacidad, cuidadores y familias.</t>
  </si>
  <si>
    <t>4. Conformación de una veeduría con participación inter disciplinaria y de personas con discapacidad para el seguimiento, control y monitoreo del desarrollo de la accesibilidad universal en el municipio.</t>
  </si>
  <si>
    <t>5. Capacitación a personal de transporte público de instituciones y empresas públicas o  privadas en el manejo de la discapacidad.</t>
  </si>
  <si>
    <t>6. Educación ciudadana sobre utilización de espacio público y accesibilidad universal</t>
  </si>
  <si>
    <t>7. Adaptación, construcción, señalización, semaforización sonora y señalética accesible de escenarios deportivos, recreativos, culturales e infraestructura de uso público.</t>
  </si>
  <si>
    <t>8. Definición de estrategias concretas para el transporte accesible y asequible (beneficios diferenciados) para personas con discapacidad, incluido rutas alimentadoras.</t>
  </si>
  <si>
    <t>9. Adjudicación de vivienda digna y accesible para personas con discapacidad.</t>
  </si>
  <si>
    <t>10. Definición de planes de adecuación accesible en viviendas de personas con discapacidad.</t>
  </si>
  <si>
    <t>11. Elaboración de diagnósticos y definición de un plan maestro con planes graduales de accesibilidad (con sistema de seguimiento) al medio físico, el transporte, la comunicación y la tecnología que contemple alternativas específicas para personas con discapacidad física, visual, auditiva, cognitiva y mental.</t>
  </si>
  <si>
    <t>12. Inclusión transversal del tema de accesibilidad universal en el Plan de Ordenamiento Territorial.</t>
  </si>
  <si>
    <t>13. Inclusión del tema de accesibilidad en todas las escalas de planificación municipal (POT, Planes Parciales, Piezas Intermedias de Planificación, Plan de Desarrollo Municipal, Planes sectoriales)</t>
  </si>
  <si>
    <t>14. Adaptación de páginas web institucionales de manera accesible y que incluya información sobre discapacidad.</t>
  </si>
  <si>
    <t>15. Promoción de la accesibilidad la información  en medios de comunicación local y regional (TV).</t>
  </si>
  <si>
    <t>16. Implementación de Tecnologías de la Información y la Comunicación (TICs) accesibles en el municipio.</t>
  </si>
  <si>
    <t>17. Fomento de la investigación y la innovación en el desarrollo de alternativas tecnológicas accesibles.</t>
  </si>
  <si>
    <t xml:space="preserve">1. Difusión a empleadores de beneficios en la inclusión laboral. </t>
  </si>
  <si>
    <t xml:space="preserve">2. Sensibilización al sector productivo para la inclusión laboral de las personas con discapacidad. </t>
  </si>
  <si>
    <t xml:space="preserve">3. Desarrollo de un mecanismo de cuotas dirigidas a la población con discapacidad en la contratación del recurso humano en la administración municipal. </t>
  </si>
  <si>
    <t>4. Formación para el empleo reconociendo las necesidades pedagógicas y didácticas que demandan las personas con discapacidad, de acuerdo al tipo de discapacidad</t>
  </si>
  <si>
    <t>5. Fomento a la vinculación laboral, implementando beneficios fiscales del orden municipal</t>
  </si>
  <si>
    <t>6. Promoción de la responsabilidad social empresarial RSE.</t>
  </si>
  <si>
    <t xml:space="preserve">7. Implementación de un centro de información y asesoría para el empleo. </t>
  </si>
  <si>
    <t>8. Implementación de un Sistema de evaluación ocupacional</t>
  </si>
  <si>
    <t>9. Impulso a procesos de emprendimiento de personas con discapacidad, cuidadores y cuidadoras.</t>
  </si>
  <si>
    <t>10. Fortalecimiento de emprendimientos con capital semilla.</t>
  </si>
  <si>
    <t xml:space="preserve">11. Vigilancia en el cumplimiento de disposiciones legales en materia de protección, atención, intervención, adaptación laboral para personas con discapacidad. </t>
  </si>
  <si>
    <t>12. Fortalecimiento de unidades productivas a partir de microcréditos con criterios de acceso y accesibilidad que puedan ser pagados.</t>
  </si>
  <si>
    <t>AF-O1-A1</t>
  </si>
  <si>
    <t>AF-O1-A2</t>
  </si>
  <si>
    <t>AF-O1-A3</t>
  </si>
  <si>
    <t>AF-O2-A1</t>
  </si>
  <si>
    <t>AF-O2-A2</t>
  </si>
  <si>
    <t>AF-O2-A3</t>
  </si>
  <si>
    <t>AF-O2-A4</t>
  </si>
  <si>
    <t>AF-O2-A5</t>
  </si>
  <si>
    <t>AF-O2-A6</t>
  </si>
  <si>
    <t>AF-O2-A7</t>
  </si>
  <si>
    <t>AF-O2-A8</t>
  </si>
  <si>
    <t>AF-O2-A9</t>
  </si>
  <si>
    <t>AF-O2-A10</t>
  </si>
  <si>
    <t>AF-O2-A11</t>
  </si>
  <si>
    <t>AF-O2-A12</t>
  </si>
  <si>
    <t>AF-O2-A13</t>
  </si>
  <si>
    <t>AF-O2-A14</t>
  </si>
  <si>
    <t>AF-O2-A15</t>
  </si>
  <si>
    <t>AF-O3-A1</t>
  </si>
  <si>
    <t>1.Creación de la coordinación de etnoeducación afrocolombiana al interior de la Secretaría de Educación municipal (Con dos docentes expertos en el tema con  comisión remunerada)</t>
  </si>
  <si>
    <t>AF-O3-A2</t>
  </si>
  <si>
    <t>AF-O3-A3</t>
  </si>
  <si>
    <t>3.. Transversalización de la política de etnoeducación y cátedra de estudios afrocolombianos en el currículo de las instituciones educativas del municipio de Pereira</t>
  </si>
  <si>
    <t>AF-O3-A4</t>
  </si>
  <si>
    <t>AF-O3-A5</t>
  </si>
  <si>
    <t>AF-O3-A6</t>
  </si>
  <si>
    <t>AF-O3-A7</t>
  </si>
  <si>
    <t>AF-O3-A8</t>
  </si>
  <si>
    <t>AF-O3-A9</t>
  </si>
  <si>
    <t>9. Implementar programas de atención integral dirigido a la primera infancia en cuidado, nutrición, salud y educación inicial con pertinencia étnica a los niños y niñas  afrodescendientes del municipio de Pereira</t>
  </si>
  <si>
    <t>AF-O3-A10</t>
  </si>
  <si>
    <t>10. Realizar el registro y caracterización de la población menor de 5 años, infancia y juventud afrodescendiente del municipio de Pereira para fortalecer el SIMAT</t>
  </si>
  <si>
    <t>AF-O3-A11</t>
  </si>
  <si>
    <t>AF-O4-A1</t>
  </si>
  <si>
    <t>AF-O4-A2</t>
  </si>
  <si>
    <t>AF-O4-A3</t>
  </si>
  <si>
    <t>AF-O4-A4</t>
  </si>
  <si>
    <t>AF-O4-A5</t>
  </si>
  <si>
    <t>AF-O4-A6</t>
  </si>
  <si>
    <t>AF-O4-A7</t>
  </si>
  <si>
    <t>AF-O4-A8</t>
  </si>
  <si>
    <t>AF-O4-A9</t>
  </si>
  <si>
    <t>AF-05-A1</t>
  </si>
  <si>
    <t>AF-05-A2</t>
  </si>
  <si>
    <t>AF-05-A3</t>
  </si>
  <si>
    <t>AF-05-A4</t>
  </si>
  <si>
    <t>AF-05-A5</t>
  </si>
  <si>
    <t>AF-05-A6</t>
  </si>
  <si>
    <t>AF-05-A7</t>
  </si>
  <si>
    <t>AF-05-A8</t>
  </si>
  <si>
    <t>AF-O6-A1</t>
  </si>
  <si>
    <t>AF-O6-A2</t>
  </si>
  <si>
    <t>AF-O6-A3</t>
  </si>
  <si>
    <t>AF-O6-A4</t>
  </si>
  <si>
    <t>AF-O6-A5</t>
  </si>
  <si>
    <t>AF-O6-A6</t>
  </si>
  <si>
    <t>AF-O7-A1</t>
  </si>
  <si>
    <t>1. Crear y fortalecer  semilleros de investigación  para el  emprendimiento productivo y empresarial</t>
  </si>
  <si>
    <t>AF-O7-A2</t>
  </si>
  <si>
    <t>AF-O7-A3</t>
  </si>
  <si>
    <t>AF-O7-A4</t>
  </si>
  <si>
    <t>AF-O7-A5</t>
  </si>
  <si>
    <t>AF-O7-A6</t>
  </si>
  <si>
    <t>AF-O7-A7</t>
  </si>
  <si>
    <t>AF-O7-A8</t>
  </si>
  <si>
    <t>AF-O7-A9</t>
  </si>
  <si>
    <t>AF-O7-A10</t>
  </si>
  <si>
    <t>AF-O7-A11</t>
  </si>
  <si>
    <t>AF-O7-A12</t>
  </si>
  <si>
    <t>MATRIZ DE PLANIFICACIÓN</t>
  </si>
  <si>
    <t>CATERORIA 
PROBLEMICA</t>
  </si>
  <si>
    <t>Protección de los derechos humanos de las personas adultas mayores</t>
  </si>
  <si>
    <t>POLÍTICA PÚBLICA ADULTO MAYOR</t>
  </si>
  <si>
    <t>PROTECCION DE LOS DERECHOS HUMANOS DE LAS PERSONAS ADULTAS MAYORES</t>
  </si>
  <si>
    <t>PROBLEMAS</t>
  </si>
  <si>
    <t>META DE RESULTADO</t>
  </si>
  <si>
    <t>RESULTADO</t>
  </si>
  <si>
    <t xml:space="preserve">ACCIONES </t>
  </si>
  <si>
    <t>DESCRIPCION DE ACCIÓN</t>
  </si>
  <si>
    <t>POBLACIÓN OBJETIVO</t>
  </si>
  <si>
    <t>META  2019</t>
  </si>
  <si>
    <t>META  2020</t>
  </si>
  <si>
    <t>META  2021</t>
  </si>
  <si>
    <t>META  2022</t>
  </si>
  <si>
    <t>META  2023</t>
  </si>
  <si>
    <t>META  2024</t>
  </si>
  <si>
    <t>META  2025</t>
  </si>
  <si>
    <t>META  2026</t>
  </si>
  <si>
    <t>META  2027</t>
  </si>
  <si>
    <t>META  2028</t>
  </si>
  <si>
    <t xml:space="preserve">PRODUCTO </t>
  </si>
  <si>
    <t>UNIDAD OPERACIONAL DEL INDICADOR</t>
  </si>
  <si>
    <t xml:space="preserve">RESPONSABLE </t>
  </si>
  <si>
    <t xml:space="preserve"> ENTIDADES DE COMPLEMENTARIEDAD, SUBSIDIARIDAD Y CONCURRENCIA</t>
  </si>
  <si>
    <t>PROYECCIÓN PRESUPUESTAL  A  2028</t>
  </si>
  <si>
    <t>Los adultos mayores vulnerables en pobreza extrema necesitan atención  integral  y especial</t>
  </si>
  <si>
    <t>1. Fomentar la garantía del servicio de salud a los adultos mayores teniendo en cuenta el acceso, la calidad, la permanencia y los nuevos métodos como la medicina alternativa.</t>
  </si>
  <si>
    <t>A Dic del 2028, tener el 90% de los adultos mayores con accesibilidad a los servicios de salud atendidos con calidad, permanencia y con acceso a nuevos métodos como la medicina alternativa.</t>
  </si>
  <si>
    <t>Adultos mayores con accesibilidad a los servicios de salud, atendidos con calidad, permanencia y con acceso a nuevos métodos como la medicina alternativa.</t>
  </si>
  <si>
    <t>% de adultos mayores con accesibilidad a los servicios de salud, atendidos con calidad, permanencia y con acceso a nuevos métodos como la medicina alternativa.</t>
  </si>
  <si>
    <t>1.  Crear e implementar una estrategia  de acompañamiento en salud con énfasis en salud mental, acciones de promoción y prevención  para los adultos mayores.</t>
  </si>
  <si>
    <t>La estrategia de acompañamiento en salud, se realizará de acuerdo a la canalización de la vulnerabilidad con énfasis en salud mental, con acciones de promoción y prevención e integrar la IPS de vacunación y evaluar la cobertura anual de influenza.influenza.</t>
  </si>
  <si>
    <t>Población de adultos mayores de los sectores priorizados del Municipio de Pereira.</t>
  </si>
  <si>
    <t>A diciembre de 2019 el 100% de la población adulta mayor de los sectores priorizados por la secretaria de salud Municipal de Pereira beneficiados por la estrategia de acompañamiento en salud con énfasis en salud mental y acciones de promoción y prevención.</t>
  </si>
  <si>
    <t>A diciembre de 2020 el 100% de la población adulta mayor de los sectores priorizados por la secretaria de salud Municipal de Pereira beneficiados por la estrategia de acompañamiento en salud con énfasis en salud mental y acciones de promoción y prevención.</t>
  </si>
  <si>
    <t>A diciembre de 2021 el 100% de la población adulta mayor de los sectores priorizados por la secretaria de salud Municipal de Pereira beneficiados por la estrategia de acompañamiento en salud con énfasis en salud mental y acciones de promoción y prevención.</t>
  </si>
  <si>
    <t>A diciembre de 2022 el 100% de la población adulta mayor de los sectores priorizados por la secretaria de salud Municipal de Pereira beneficiados por la estrategia de acompañamiento en salud con énfasis en salud mental y acciones de promoción y prevención.</t>
  </si>
  <si>
    <t>A diciembre de 2023 el 100% de la población adulta mayor de los sectores priorizados por la secretaria de salud Municipal de Pereira beneficiados por la estrategia de acompañamiento en salud con énfasis en salud mental y acciones de promoción y prevención.</t>
  </si>
  <si>
    <t>A diciembre de 2024 el 100% de la población adulta mayor de los sectores priorizados por la secretaria de salud Municipal de Pereira beneficiados por la estrategia de acompañamiento en salud con énfasis en salud mental y acciones de promoción y prevención.</t>
  </si>
  <si>
    <t>A diciembre de 2025 el 100% de la población adulta mayor de los sectores priorizados por la secretaria de salud Municipal de Pereira beneficiados por la estrategia de acompañamiento en salud con énfasis en salud mental y acciones de promoción y prevención.</t>
  </si>
  <si>
    <t>A diciembre de 2026 el 100% de la población adulta mayor de los sectores priorizados por la secretaria de salud Municipal de Pereira beneficiados por la estrategia de acompañamiento en salud con énfasis en salud mental y acciones de promoción y prevención.</t>
  </si>
  <si>
    <t>A diciembre de 2027 el 100% de la población adulta mayor de los sectores priorizados por la secretaria de salud Municipal de Pereira beneficiados por la estrategia de acompañamiento en salud con énfasis en salud mental y acciones de promoción y prevención.</t>
  </si>
  <si>
    <t>A diciembre de 2028 el 100% de la población adulta mayor de los sectores priorizados por la secretaria de salud Municipal de Pereira beneficiados por la estrategia de acompañamiento en salud con énfasis en salud mental y acciones de promoción y prevención.</t>
  </si>
  <si>
    <t xml:space="preserve">Población general de adulto mayores en la estrategia de acompañamiento en salud. </t>
  </si>
  <si>
    <t>% de adultos mayores de los sectores priorizados por la Secretaria de Salud Municipal beneficiados por la estrategia de acompañamiento en salud.</t>
  </si>
  <si>
    <t>Adultos mayores beneficiados por la estrategia de acompañamiento en salud / Adultos mayores de los sectores priorizados por la secretaria de salud Municipal *100</t>
  </si>
  <si>
    <t>Instituciones de salud( EAPB e IPS del Municipio de Pereira)</t>
  </si>
  <si>
    <t>Deficientes servicios de psciologia en los grupos de adulto mayor.</t>
  </si>
  <si>
    <t>Carencia de ventanilla y línea telefónica preferencial.</t>
  </si>
  <si>
    <t>2. Visitas de asistencia técnica de sensibilización y seguimiento a las EAPB e IPS priorizadas por la secretaria de salud Municipal en el proceso de atención integral en salud del adulto mayor con énfasis en la implementación de TICS y líneas telefónicas.</t>
  </si>
  <si>
    <t>Se realizaran visitas de asistencia técnica de sensibilización y seguimiento a las EAPB e IPS priorizadas por la secretaria de salud Municipal en el proceso de atención integral en salud del adulto mayor, donde se involucraran temas como la importancia de prestar una atención preferencial a los adultos mayores mediante la concesión de citas médicas, odontológicas y de autorizaciones a través de las TICs y líneas telefónicas).</t>
  </si>
  <si>
    <t>EAPB e IPS del Municipio priorizadas por la Secretaria de Salud Pública y Seguridad Social.</t>
  </si>
  <si>
    <t>A diciembre de 2019 el  100%  de las EAPB e  IPS  priorizadas por la secretaria de salud Municipal con visitas de asistencia técnica en la sensibilizacion y seguimiento  del proceso de atencion integral en salud del adulto mayor con enfasis en la implementación de TICS y líneas telefónicas.</t>
  </si>
  <si>
    <t>A diciembre de 2020 el  100%  de las EAPB e  IPS  priorizadas por la secretaria de salud Municipal con visitas de asistencia técnica en la sensibilizacion y seguimiento  del proceso de atencion integral en salud del adulto mayor con enfasis en la implementación de TICS y líneas telefónicas.</t>
  </si>
  <si>
    <t>A diciembre de 2021 el  100%  de las EAPB e  IPS  priorizadas por la secretaria de salud Municipal con visitas de asistencia técnica en la sensibilizacion y seguimiento  del proceso de atencion integral en salud del adulto mayor con enfasis en la implementación de TICS y líneas telefónicas.</t>
  </si>
  <si>
    <t>A diciembre de 2022 el  100%  de las EAPB e  IPS  priorizadas por la secretaria de salud Municipal con visitas de asistencia técnica en la sensibilizacion y seguimiento  del proceso de atencion integral en salud del adulto mayor con enfasis en la implementación de TICS y líneas telefónicas.</t>
  </si>
  <si>
    <t>A diciembre de 2023 el  100%  de las EAPB e  IPS  priorizadas por la secretaria de salud Municipal con visitas de asistencia técnica en la sensibilizacion y seguimiento  del proceso de atencion integral en salud del adulto mayor con enfasis en la implementación de TICS y líneas telefónicas.</t>
  </si>
  <si>
    <t>A diciembre de 2024 el  100%  de las EAPB e  IPS  priorizadas por la secretaria de salud Municipal con visitas de asistencia técnica en la sensibilizacion y seguimiento  del proceso de atencion integral en salud del adulto mayor con enfasis en la implementación de TICS y líneas telefónicas.</t>
  </si>
  <si>
    <t>A diciembre de 2025 el  100%  de las EAPB e  IPS  priorizadas por la secretaria de salud Municipal con visitas de asistencia técnica en la sensibilizacion y seguimiento  del proceso de atencion integral en salud del adulto mayor con enfasis en la implementación de TICS y líneas telefónicas.</t>
  </si>
  <si>
    <t>A diciembre de 2026 el  100%  de las EAPB e  IPS  priorizadas por la secretaria de salud Municipal con visitas de asistencia técnica en la sensibilizacion y seguimiento  del proceso de atencion integral en salud del adulto mayor con enfasis en la implementación de TICS y líneas telefónicas.</t>
  </si>
  <si>
    <t>A diciembre de 2027 el  100%  de las EAPB e  IPS  priorizadas por la secretaria de salud Municipal con visitas de asistencia técnica en la sensibilizacion y seguimiento  del proceso de atencion integral en salud del adulto mayor con enfasis en la implementación de TICS y líneas telefónicas.</t>
  </si>
  <si>
    <t>A diciembre de 2028 el 100% de las EAPB e IPS priorizadas por la secretaria de salud Municipal con visitas de asistencia técnica en la sensibilización y seguimiento del proceso de atención integral en salud del adulto mayor con énfasis en la implementación de TICS y líneas telefónicas.</t>
  </si>
  <si>
    <t>Visitas de asistencia técnica en la sensibilización y seguimiento del proceso de atención integral en salud del adulto mayor con énfasis en la implementación de TICS y líneas telefónicas a las EAPB e  IPS  priorizadas por la secretaria de salud</t>
  </si>
  <si>
    <t>% de las EAPB e IPS priorizadas por la secretaria de salud con visitas de asistencia técnica en la sensibilización y seguimiento del proceso de atención integral en salud del adulto mayor con énfasis en la implementación de TICS y líneas telefónicas.</t>
  </si>
  <si>
    <t xml:space="preserve"> EAPB e IPS   con visitas de asistencia técnica en la sensibilización y seguimiento  del proceso de atención integral en salud del adulto mayor con énfasis en la implementación de TICS y líneas telefónicas/ Total de EAPB e  IPS priorizadas por la secretaria de salud del municipio de Pereira*100</t>
  </si>
  <si>
    <t>Secretaria de Salud Publica y Seguridad Social.</t>
  </si>
  <si>
    <t>No hay descentralización del servicio de salud.</t>
  </si>
  <si>
    <t>3. Realizar jornadas masivas de promoción de la salud y prevención de la enfermedad para la población adulta mayor en las zonas priorizadas por la Secretaria de Salud Pública y Seguridad Social del Municipio de Pereira</t>
  </si>
  <si>
    <t>Se realizaran acciones de promoción de la salud y prevención de la enfermedad en articulación con otros actores para la atención primaria en salud a los adultos mayores en las zonas priorizadas por la secretaria de salud municipal.</t>
  </si>
  <si>
    <t>Población general de adultos mayores de los sectores priorizados por la estrategia entornos saludables del Municipio de Pereira.</t>
  </si>
  <si>
    <t xml:space="preserve">A diciembre de 2019  el 100% de  sectores priorizados por la estrategia entornos saludables de  la Secretaria de Salud Municipal de Pereira se beneficiaran de las jornadas masivas de promoción de la prevención de la enfermedad para la población adulta mayor </t>
  </si>
  <si>
    <t xml:space="preserve">A diciembre de 2020  el 100% de  sectores priorizados por la estrategia entornos saludables de  la Secretaria de Salud Municipal de Pereira se beneficiaran de las jornadas masivas de promoción de la prevención de la enfermedad para la población adulta mayor </t>
  </si>
  <si>
    <t xml:space="preserve">A diciembre de 2021  el 100% de  sectores priorizados por la estrategia entornos saludables de  la Secretaria de Salud Municipal de Pereira se beneficiaran de las jornadas masivas de promoción de la prevención de la enfermedad para la población adulta mayor </t>
  </si>
  <si>
    <t xml:space="preserve">A diciembre de 2022  el 100% de  sectores priorizados por la estrategia entornos saludables de  la Secretaria de Salud Municipal de Pereira se beneficiaran de las jornadas masivas de promoción de la prevención de la enfermedad para la población adulta mayor </t>
  </si>
  <si>
    <t xml:space="preserve">A diciembre de 2023 el 100% de  sectores priorizados por la estrategia entornos saludables de  la Secretaria de Salud Municipal de Pereira se beneficiaran de las jornadas masivas de promoción de la prevención de la enfermedad para la población adulta mayor </t>
  </si>
  <si>
    <t xml:space="preserve">A diciembre de 2024  el 100% de  sectores priorizados por la estrategia entornos saludables de  la Secretaria de Salud Municipal de Pereira se beneficiaran de las jornadas masivas de promoción de la prevención de la enfermedad para la población adulta mayor </t>
  </si>
  <si>
    <t xml:space="preserve">A diciembre de 2025  el 100% de  sectores priorizados por la estrategia entornos saludables de  la Secretaria de Salud Municipal de Pereira se beneficiaran de las jornadas masivas de promoción de la prevención de la enfermedad para la población adulta mayor </t>
  </si>
  <si>
    <t xml:space="preserve">A diciembre de 2026  el 100% de  sectores priorizados por la estrategia entornos saludables de  la Secretaria de Salud Municipal de Pereira se beneficiaran de las jornadas masivas de promoción de la prevención de la enfermedad para la población adulta mayor </t>
  </si>
  <si>
    <t xml:space="preserve">A diciembre de 2027  el 100% de  sectores priorizados por la estrategia entornos saludables de  la Secretaria de Salud Municipal de Pereira se beneficiaran de las jornadas masivas de promoción de la prevención de la enfermedad para la población adulta mayor </t>
  </si>
  <si>
    <t xml:space="preserve">A diciembre de 2028  el 100% de  sectores priorizados por la estrategia entornos saludables de  la Secretaria de Salud Municipal de Pereira se beneficiaran de las jornadas masivas de promoción de la prevención de la enfermedad para la población adulta mayor </t>
  </si>
  <si>
    <t>Adultos mayores  beneficiados por las jornadas de promoción de la salud y prevención de la enfermedad.</t>
  </si>
  <si>
    <t xml:space="preserve">% de  sectores priorizados por la estrategia entornos saludables de  la Secretaria de Salud Municipal de Pereira que se beneficiaron de las jornadas masivas de promoción de la prevención de la enfermedad para la población adulta mayor </t>
  </si>
  <si>
    <t>Sectores que se beneficiaron de las jornadas masivas de promoción de la prevención de la enfermedad para la población adulta mayor / Total de sectores  priorizados por la estrategia entornos saludables de  la Secretaria de Salud Municipal de Pereira *100</t>
  </si>
  <si>
    <t>Demora en autorización de procedimiento y medicamentos.</t>
  </si>
  <si>
    <t>4. Capacitar y sensibilizar al personal de salud de las IPS priorizadas por la Secretaria de Salud Publica y Seguridad Social  en la prestación de un servicio preferencial y humanizado a población adulta mayor.</t>
  </si>
  <si>
    <t>Se realizaran capacitaciones de sensibilización al personal de salud de las  IPS priorizadas por la Secretaría de Salud Pública y Seguridad Social  del Municipio,  frente a la importancia de la prestación de un servicio preferencial y humanizado a la población adulta mayor.</t>
  </si>
  <si>
    <t>IPS del Municipio de Pereira priorizadas por la Secretaria de Salud Pública y Seguridad social.</t>
  </si>
  <si>
    <t>A diciembre de 2019 el 100%  de las   IPS del municipio priorizadas por la secretaria de salud, se han capacitado y sensibilizado en aspectos relacionados con la prestación de un servicio preferencial y humanizado a la población adulta mayor.</t>
  </si>
  <si>
    <t>A diciembre de 2020 el 100%  de las   IPS del municipio priorizadas por la secretaria de salud, se han capacitado y sensibilizado en aspectos relacionados con la prestación de un servicio preferencial y humanizado a la población adulta mayor.</t>
  </si>
  <si>
    <t>A diciembre de 2021 el 100%  de las   IPS del municipio priorizadas por la secretaria de salud, se han capacitado y sensibilizado en aspectos relacionados con la prestación de un servicio preferencial y humanizado a la población adulta mayor.</t>
  </si>
  <si>
    <t>A diciembre de 2022 el 100%  de las   IPS del municipio priorizadas por la secretaria de salud, se han capacitado y sensibilizado en aspectos relacionados con la prestación de un servicio preferencial y humanizado a la población adulta mayor.</t>
  </si>
  <si>
    <t>A diciembre de 2023 el 100%  de las   IPS del municipio priorizadas por la secretaria de salud, se han capacitado y sensibilizado en aspectos relacionados con la prestación de un servicio preferencial y humanizado a la población adulta mayor.</t>
  </si>
  <si>
    <t>A diciembre de 2024 el 100%  de las   IPS del municipio priorizadas por la secretaria de salud, se han capacitado y sensibilizado en aspectos relacionados con la prestación de un servicio preferencial y humanizado a la población adulta mayor.</t>
  </si>
  <si>
    <t>A diciembre de 2025 el 100%  de las   IPS del municipio priorizadas por la secretaria de salud, se han capacitado y sensibilizado en aspectos relacionados con la prestación de un servicio preferencial y humanizado a la población adulta mayor.</t>
  </si>
  <si>
    <t>A diciembre de 2026 el 100%  de las   IPS del municipio priorizadas por la secretaria de salud, se han capacitado y sensibilizado en aspectos relacionados con la prestación de un servicio preferencial y humanizado a la población adulta mayor.</t>
  </si>
  <si>
    <t>A diciembre de 2027 el 100%  de las   IPS del municipio priorizadas por la secretaria de salud, se han capacitado y sensibilizado en aspectos relacionados con la prestación de un servicio preferencial y humanizado a la población adulta mayor.</t>
  </si>
  <si>
    <t>A diciembre de 2028 el 100%  de las   IPS del municipio priorizadas por la secretaria de salud, se han capacitado y sensibilizado en aspectos relacionados con la prestación de un servicio preferencial y humanizado a la población adulta mayor.</t>
  </si>
  <si>
    <t xml:space="preserve"> IPS del Municipio priorizadas por la secretaria de salud  capacitadas y sensibilizadas en aspectos relacionados con la prestación de un servicio preferencial y humanizado a la población adulta mayor.</t>
  </si>
  <si>
    <t>%  de las   IPS del municipio priorizadas por la secretaria de salud, que se  capacitaron y sensibilizaron en aspectos relacionados con la prestación de un servicio preferencial y humanizado a la población adulta mayor.</t>
  </si>
  <si>
    <t>IPS capacitadas y sensibilizadas en aspectos relacionados con la prestación de un servicio preferencial y humanizado a la población adulta mayor / Total de IPS   priorizadas por la secretaria de salud *100</t>
  </si>
  <si>
    <t>Secretaria de Salud Pública y Seguridad Social.</t>
  </si>
  <si>
    <t>Desproteccion de la seguridad social del campesino adulto mayor en la zona rural.</t>
  </si>
  <si>
    <t>5.Jornadas de promoción de la salud y prevención de la enfermedad para la población adulta mayor de los sectores vulnerables de la zona rural del Municipio de Pereira.</t>
  </si>
  <si>
    <t>Se realizaran jornadas masivas con acciones enfocadas  al promocion de la salud y prevencion de la enfermedad a la poblacion adulta mayor de los sectores mas vulberables de la zona rural del Municipio de Pereira.</t>
  </si>
  <si>
    <t>Adultos Mayores en pobreza extrema de la zona rural del Municipio de Pereira.</t>
  </si>
  <si>
    <t>A diciembre de 2019  el 100% de los sectores mas vulnerables de la zona rural del Municipio de Pereira  beneficiados por las jornadas masivas de promocion de la salud y prevencion de la enfermedad para la poblacion adulta mayor.</t>
  </si>
  <si>
    <t>A diciembre de 2020  el 100% de los sectores mas vulnerables de la zona rural del Municipio de Pereira  beneficiados por las jornadas masivas de promocion de la salud y prevencion de la enfermedad para la poblacion adulta mayor.</t>
  </si>
  <si>
    <t>A diciembre de 2021  el 100% de los sectores mas vulnerables de la zona rural del Municipio de Pereira  beneficiados por las jornadas masivas de promocion de la salud y prevencion de la enfermedad para la poblacion adulta mayor.</t>
  </si>
  <si>
    <t>A diciembre de 2022  el 100% de los sectores mas vulnerables de la zona rural del Municipio de Pereira  beneficiados por las jornadas masivas de promocion de la salud y prevencion de la enfermedad para la poblacion adulta mayor.</t>
  </si>
  <si>
    <t>A diciembre de 2023  el 100% de los sectores mas vulnerables de la zona rural del Municipio de Pereira  beneficiados por las jornadas masivas de promocion de la salud y prevencion de la enfermedad para la poblacion adulta mayor.</t>
  </si>
  <si>
    <t>A diciembre de 2024  el 100% de los sectores mas vulnerables de la zona rural del Municipio de Pereira  beneficiados por las jornadas masivas de promocion de la salud y prevencion de la enfermedad para la poblacion adulta mayor.</t>
  </si>
  <si>
    <t>A diciembre de 2025  el 100% de los sectores mas vulnerables de la zona rural del Municipio de Pereira  beneficiados por las jornadas masivas de promocion de la salud y prevencion de la enfermedad para la poblacion adulta mayor.</t>
  </si>
  <si>
    <t>A diciembre de 2026 el 100% de los sectores mas vulnerables de la zona rural del Municipio de Pereira  beneficiados por las jornadas masivas de promocion de la salud y prevencion de la enfermedad para la poblacion adulta mayor.</t>
  </si>
  <si>
    <t>A diciembre de 2027  el 100% de los sectores mas vulnerables de la zona rural del Municipio de Pereira  beneficiados por las jornadas masivas de promocion de la salud y prevencion de la enfermedad para la poblacion adulta mayor.</t>
  </si>
  <si>
    <t>A diciembre de 2028 el 100% de los sectores más vulnerables de la zona rural del Municipio de Pereira estarán beneficiados por las jornadas masivas de promoción de la salud y prevención de la enfermedad para la población adulta mayor.</t>
  </si>
  <si>
    <t>Adultos mayores en pobreza extrema del área rural del municipio de Pereira, beneficiados de las jornadas masivas de promocion de la salud y prevencion de la enfermedad.</t>
  </si>
  <si>
    <t xml:space="preserve">% de  sectores vulnerables de la zona rural Municipal de Pereira que se beneficiaron de las jornadas masivas de promoción de la prevención de la enfermedad para la población adulta mayor </t>
  </si>
  <si>
    <t>sectores vulnerables de la zona rural Municipal de Pereira que se beneficiaron de las jornadas masivas de promoción de la prevención de la enfermedad para la población adulta mayor/Total de sectores vulnerables de la zona rural *100</t>
  </si>
  <si>
    <t>Poco conocimiento de las medicinas alternativas y sus beneficios por parte de los adultos mayores</t>
  </si>
  <si>
    <t>6. Conversatorio de prácticas sobre alternativas en   medicina para atención del adulto mayor.</t>
  </si>
  <si>
    <t>En el conversatorio participaran todos los actores (personal de la salud, la academia, población general de adulto mayor) se desarrollaran temas relacionados con alternativas en medicina para la atención del adulto mayor, teniendo en cuenta la tradicional utilizada desde  la población afro e indígena.</t>
  </si>
  <si>
    <t>Todos los actores ( la academia, instituciones de salud, población en general).</t>
  </si>
  <si>
    <t>A diciembre de 2020  se ha  realizado  1 conversatorio de alternativas en medicina para la atención de la población adulta mayor (Uno cada dos años)</t>
  </si>
  <si>
    <t>A diciembre de 2022 se han  realizado  2  conversatorios de alternativas en medicina para la atención de la población adulta mayor (Uno cada dos años)</t>
  </si>
  <si>
    <t>A diciembre de 2024 se han  realizado  3  conversatorios de alternativas en medicina para la atención de la población adulta mayor (Uno cada dos años)</t>
  </si>
  <si>
    <t>A diciembre de 2026 se han  realizado  4  conversatorios de alternativas en medicina para la atención de la población adulta mayor (Uno cada dos años)</t>
  </si>
  <si>
    <t>A diciembre de 2028 se han  realizado  5  conversatorios de alternativas en medicina para la atención de la población adulta mayor (Uno cada dos años)</t>
  </si>
  <si>
    <t>Conversatorios de alternativas en medicina para la atención de la población adulta mayor</t>
  </si>
  <si>
    <t>Número de conversatorios realizados sobre alternativas en medicina para la atención del adulto mayor.</t>
  </si>
  <si>
    <t>Conversatorios realizados sobre alternativas en medicina  para la atención del adulto mayor.</t>
  </si>
  <si>
    <t>Instituciones de salud( EAPB e IPS del Municipio de Pereira), la academia, población en general.</t>
  </si>
  <si>
    <t>Se estan perdiendo las tradiciones medicinales de los indigenas.</t>
  </si>
  <si>
    <t>Debilidad en la garantia de los derechos de adulto mayor.</t>
  </si>
  <si>
    <t>2. Elaborar y desarrollar una estrategia de comunicación para generar reconocimiento y respeto por los derechos humanos de los adultos mayores en todos sus componentes con enfoque diferencial y de derechos.</t>
  </si>
  <si>
    <t>A diciembre de 2028 tener la estrategia de comunicación formulada y desarrollada en un 100%, generando reconocimiento y respeto por los derechos del adulto mayor en todos sus componentes y enfoques diferenciales</t>
  </si>
  <si>
    <t>La población de Pereira reconoce y respeta los derechos de los adultos mayores en todos sus componentes y enfoques diferenciales</t>
  </si>
  <si>
    <t>% de implementación de la estrategia de comunicación para generar reconocimiento y respeto por los derechos humanos de los adultos mayores en todos sus componentes y enfoques diferenciales</t>
  </si>
  <si>
    <t>7. Acompañamiento en el cumplimiento de la ley 1850/2017: Protección integral al adulto mayor por abandono y maltrato, "Que se cumpla".</t>
  </si>
  <si>
    <t>La Administración Municipal estudia y remite los casos donde los adultos mayores victimas de abandono y maltrato, son transferidos a las entidades competentes (ICBF, Comisarias de Familia , fiscalía, medicina legal, IPS, entre otros), además realiza el seguimiento correspondiente</t>
  </si>
  <si>
    <t>Adultos mayores victimas de abandono y maltrato</t>
  </si>
  <si>
    <t>A diciembre de 2028 el 100% de adultos mayores victimas de abandono y maltrato son remitidos para atención a las entidades competentes (ICBF, Comisarias de Familia, fiscalía, medicina legal, IPS, entre otros), además con seguimiento realizado</t>
  </si>
  <si>
    <t>Adultos mayores victimas de abandono y maltrato remitidos atendidos y con seguimiento por parte de las entidades competentes (ICBF, Comisarias de Familia, fiscalía, medicina legal, IPS, entre otros, proyecto adulto mayor).</t>
  </si>
  <si>
    <t>% de adultos mayores victimas de abandono y maltrato que son remitidos atendidos y con seguimiento por parte de las entidades competentes (ICBF, Comisarias de Familia, fiscalía, medicina legal, IPS, entre otros, proyecto Adulto Mayor).</t>
  </si>
  <si>
    <t>Adultos mayores victimas de abandono y maltrato que son remitidos atendidos y con seguimiento por parte de las entidades competentes (ICBF, Comisarias de Familia, fiscalía, medicina legal, IPS, entre otros, proyecto Adulto Mayor) / Total de adultos mayores victimas de abandono y maltrato reportados *100</t>
  </si>
  <si>
    <t>Discriminación y/o exclusión del adulto mayor pertenciente a algunas etnias  (afrodecendientes e indigenas).</t>
  </si>
  <si>
    <t>Insuficiente capacidad del estado para el restablecimiento de derechos del adulto mayor.</t>
  </si>
  <si>
    <t>Falta de visibilizacion de las mujeres adultas mayores ciudadanas por parte del estado y la familia</t>
  </si>
  <si>
    <t>No hay caracterización de la poblacion adulto mayor inmersa en el marco del acuerdo de paz.</t>
  </si>
  <si>
    <t>8.Diplomado en temas relacionados con derechos humanos y paz, socio económicos y culturales, además que comprenda formación en prevención de conductas delictivas</t>
  </si>
  <si>
    <t>El diplomado implica formación pedagógica en temas relacionados con derechos humanos y paz, económico sociales y culturales y la formación en prevención de conductas delictivas. Se beneficiarán adultos mayores del área urbana y rural del municipio de Pereira</t>
  </si>
  <si>
    <t>Adultos mayores del área urbana y rural del Municipio de Pereira.
(S.L.B)</t>
  </si>
  <si>
    <t>A diciembre de 2019  se realizaran 2 ciclos de formación pedagógica en temas relacionados con derechos humanos, aspectos sociales, culturales y económicos beneficiando 60 adultos mayores</t>
  </si>
  <si>
    <t>A diciembre de 2020  se realizaran 4 ciclos de formación pedagógica en temas relacionados con derechos humanos, aspectos sociales, culturales y económicos beneficiando 120 adultos mayores</t>
  </si>
  <si>
    <t>A diciembre de 2021  se realizaran 6 ciclos de formación pedagógica en temas relacionados con derechos humanos, aspectos sociales, culturales y económicos beneficiando 180 adultos mayores</t>
  </si>
  <si>
    <t>A diciembre de 2022  se realizaran 8 ciclos de formación pedagógica en temas relacionados con derechos humanos, aspectos sociales, culturales y económicos beneficiando 240 adultos mayores</t>
  </si>
  <si>
    <t>A diciembre de 2023  se realizaran 10 ciclos de formación pedagógica en temas relacionados con derechos humanos, aspectos sociales, culturales y económicos beneficiando 300 adultos mayores</t>
  </si>
  <si>
    <t>A diciembre de 2024  se realizaran 12 ciclos de formación pedagógica en temas relacionados con derechos humanos, aspectos sociales, culturales y económicos beneficiando 360 adultos mayores</t>
  </si>
  <si>
    <t>A diciembre de 2025  se realizaran 14 ciclos de formación pedagógica en temas relacionados con derechos humanos, aspectos sociales, culturales y económicos beneficiando 420 adultos mayores</t>
  </si>
  <si>
    <t>A diciembre de 2026  se realizaran 16 ciclos de formación pedagógica en temas relacionados con derechos humanos, aspectos sociales, culturales y económicos beneficiando 480 adultos mayores</t>
  </si>
  <si>
    <t>A diciembre de 2027  se realizaran 18 ciclos de formación pedagógica en temas relacionados con derechos humanos, aspectos sociales, culturales y económicos beneficiando 540 adultos mayores</t>
  </si>
  <si>
    <t>A diciembre de 2028  se realizaran 10 diplomados en temas relacionados con derechos humanos y paz, socio económicos y culturales, además que comprenda formación en prevención de conductas delictivas beneficiando 300 adultos mayores (30 por diplomado)</t>
  </si>
  <si>
    <t>Diplomados realizados sobre derechos humanos y paz, socio económicos y culturales, que incluyeron formación en prevención de conductas delictivas y beneficiaron adultos mayores</t>
  </si>
  <si>
    <t xml:space="preserve">Número de diplomados realizados en temas relacionados con derechos humanos y paz, socio económicos y culturales, que incluyeron formación en prevención de conductas delictivas 
Número de adultos mayores beneficiarios de los diplomados sobre derechos humanos y paz, socio económicos y culturales, que incluyeron formación en prevención de conductas delictivas 
</t>
  </si>
  <si>
    <t xml:space="preserve">Diplomados realizados sobre derechos humanos y paz, socio económicos y culturales, que incluyeron formación en prevención de conductas delictivas 
Adultos mayores beneficiarios de los diplomados sobre derechos humanos y paz, socio económicos y culturales, que incluyeron formación en prevención de conductas delictivas
</t>
  </si>
  <si>
    <t>Oficina de paz y reconciliación y Secretaría de Desarrollo Social y Político</t>
  </si>
  <si>
    <t xml:space="preserve">Comfamiliar, Gobernación de la Risaralda-Dirección de Paz, Organización de Pensionados como Asociación Nacional de Educadores Pensionados y Organización Colombiana de Pensionados-Seccional Risaralda  </t>
  </si>
  <si>
    <t>Falta capacitar los adultos mayores en  derechos humanos y paz</t>
  </si>
  <si>
    <t>Faltan talleres de convivencia y resolucion de conflictos para el adulto mayor.</t>
  </si>
  <si>
    <t xml:space="preserve">9. Campañas pedagógicas de sensibilización a las familias frente al tema de abandono y el maltrato al adulto mayor y sus implicaciones jurídicas. </t>
  </si>
  <si>
    <t xml:space="preserve">Las campañas pedagógicas están dirigidas principalmente a las familias de los adultos mayores con el fin de sensibilizarlas frente a las implicaciones psicosociales y jurídicas del abandono y maltrato al adulto mayor </t>
  </si>
  <si>
    <t>Familias con adultos mayores</t>
  </si>
  <si>
    <t>A diciembre de 2028 realizar 310 campañas pedagógicas de sensibilización a las familias frente a las implicaciones psicosociales y jurídicas del abandono y maltrato al adulto mayor (Anualmente se realizaran 31 una por comuna y corregimiento)</t>
  </si>
  <si>
    <t>Campañas pedagógicas realizadas y Familias de las diferentes comunas y corregimientos sensibilizadas en aspectos relacionados con a las implicaciones psicosociales y jurídicas del abandono y maltrato al Adulto Mayor.</t>
  </si>
  <si>
    <t>Número de campañas pedagógicas realizadas para sensibilizar a las familias frente a las implicaciones psicosociales y jurídicas del abandono y maltrato al Adulto Mayor .</t>
  </si>
  <si>
    <t>Campañas pedagógicas realizadas para sensibilizar a las familias frente a las implicaciones psicosociales y jurídicas del abandono y maltrato al Adulto Mayor .</t>
  </si>
  <si>
    <t>Falta corresponsabilidad entre los actores de la relacion tripartita: Estado, Sociedad, Familia frente a la declaración de abandono y vulnerabilidad del adulto mayor.</t>
  </si>
  <si>
    <t>10. Reforzar la participación de las veedurías ciudadanas para el control  de la gestión pública.</t>
  </si>
  <si>
    <t>Las veedurías ciudadanas serán promovidas y fortalecidas con el fin de ejercer control a las acciones de política pública con el apoyo de la personería municipal</t>
  </si>
  <si>
    <t>Veedores de acciones dirigidas al adulto mayor . (S.L.B)</t>
  </si>
  <si>
    <t xml:space="preserve">A diciembre de 2028 tener un plan de acción actualizado e implementado anualmente para promover y fortalecer las veedurías ciudadanas con el fin de ejercer control a las acciones de política pública </t>
  </si>
  <si>
    <t xml:space="preserve">Plan de acción actualizado e implementado anualmente para promover y fortalecer las veedurías ciudadanas con el fin de ejercer control a las acciones de política pública </t>
  </si>
  <si>
    <t xml:space="preserve">Un Plan de acción actualizado e implementado anualmente para promover y fortalecer las veedurías ciudadanas con el fin de ejercer control a las acciones de política pública </t>
  </si>
  <si>
    <t>Debil atención de las normas por parte del Estado Nacion para el adulto mayor campesino.</t>
  </si>
  <si>
    <t>Un gran número de adultos mayores no cuentan con cuentan con Seguridad  Social</t>
  </si>
  <si>
    <t>11.Visitas empresariales de sensibilización vigilancia y control para el "trabajo decente” (hacer valer los derechos de los trabajadores)</t>
  </si>
  <si>
    <t>A través de las visitas se pretende sensibilizar a los empresarios frente a los derechos de los trabajadores.</t>
  </si>
  <si>
    <t>Empresas del municipio de Pereira</t>
  </si>
  <si>
    <t>A 2019 realizar XX  visitas empresariales de sensiblización para el "trabajo decente"</t>
  </si>
  <si>
    <t>A 2020 realizar XX  visitas empresariales de sensiblización para el "trabajo decente"</t>
  </si>
  <si>
    <t>A 2021 realizar XX  visitas empresariales de sensiblización para el "trabajo decente"</t>
  </si>
  <si>
    <t>A 2022 realizar XX  visitas empresariales de sensiblización para el "trabajo decente"</t>
  </si>
  <si>
    <t>A 2023 realizar XX  visitas empresariales de sensiblización para el "trabajo decente"</t>
  </si>
  <si>
    <t>A 2024 realizar XX  visitas empresariales de sensiblización para el "trabajo decente"</t>
  </si>
  <si>
    <t>A 2025 realizar XX  visitas empresariales de sensiblización para el "trabajo decente"</t>
  </si>
  <si>
    <t>A 2026 realizar XX  visitas empresariales de sensiblización para el "trabajo decente"</t>
  </si>
  <si>
    <t>A 2027 realizar XX  visitas empresariales de sensiblización para el "trabajo decente"</t>
  </si>
  <si>
    <t xml:space="preserve">A 2028 realizar 400  visitas empresariales de sensibilización vigilancia y control para el "trabajo decente” </t>
  </si>
  <si>
    <t xml:space="preserve">Empresas sensibilizadas sobre el trabajo decente </t>
  </si>
  <si>
    <t>Número de visitas empresariales sensibilización vigilancia y control para el "trabajo decente” realizadas</t>
  </si>
  <si>
    <t xml:space="preserve">Visitas empresariales sensibilización vigilancia y control para el "trabajo decente” </t>
  </si>
  <si>
    <t>Secretaría de Desarrollo económico y competitividad</t>
  </si>
  <si>
    <t>Oficina de trabajo, SENA</t>
  </si>
  <si>
    <t>El adulto mayor desconoce sus derechos.</t>
  </si>
  <si>
    <t>12. Divulgacion de la normatividad del adulto mayor.</t>
  </si>
  <si>
    <t>La divulgación de la normatividad vigente se hará a través de talleres de capacitación a los grupos de adulto mayor identificados en el municipio</t>
  </si>
  <si>
    <t xml:space="preserve">Grupos de adulto mayor del municipio de Pereira </t>
  </si>
  <si>
    <t xml:space="preserve">A diciembre de 2028 el 100% de grupos de adulto mayor son beneficiarios de talleres de capacitación sobre normatividad vigente relacionada con el adulto mayor </t>
  </si>
  <si>
    <t xml:space="preserve">Grupos de adulto mayor con conocimiento de la normatividad vigente relacionada con el adulto mayor </t>
  </si>
  <si>
    <t xml:space="preserve">% de grupos de adulto mayor que recibieron talleres de capacitación sobre normatividad vigente relacionada con el adulto mayor </t>
  </si>
  <si>
    <t>Grupos de adulto mayor que recibieron talleres de capacitación sobre normatividad vigente relacionada con el adulto mayor / Total de grupos de adulto mayor del municipio de Pereira*100</t>
  </si>
  <si>
    <t>Abandono de la cultura y costumbres ancestrales.</t>
  </si>
  <si>
    <t xml:space="preserve">3. Brindar a los adultos mayores las oportunidades para acceder a una educación formal, no formal e informal, pertinente y de calidad. </t>
  </si>
  <si>
    <t xml:space="preserve">A diciembre de 2028 tener una estrategia educativa integral implementada que abarque las necesidades del adulto mayor 
</t>
  </si>
  <si>
    <t xml:space="preserve">Adultos mayores con oportunidades para acceder a una educación formal, no formal e informal, pertinente y de calidad
</t>
  </si>
  <si>
    <t>13.Capacitar al adulto mayor en habilidades para la vida,   y para desarrollar destrezas que le permitan utilizar adecuadamente su tiempo libre</t>
  </si>
  <si>
    <t>A través de los procesos de capacitación dirigidos a los adultos mayores se busca  promover destrezas y habilidades para la vida   y la utilización adecuada de su tiempo liebre (educación para adultos 30-11, comunicaicón asertiva, pensamiento crítico, pensamiento creativo, empatía, toma de decisiones, manejo de tensiones y stress entre otros)</t>
  </si>
  <si>
    <t>Grupos de adultos mayores del municipio de Pereira</t>
  </si>
  <si>
    <t xml:space="preserve">A diciembre de  2019 realizar 2  procesos de capacitación dirigidos a los adultos mayores a través de los cuales se busque promover destrezas y habilidades para la vida , la utilización adecuada de tiempo libre y el mejoramiento de sus condiciones socio económicas de los adultos mayores </t>
  </si>
  <si>
    <t xml:space="preserve">A diciembre de  2020  realizar  4 procesos de capacitación dirigidos a los adultos mayores a través de los cuales se busque promover destrezas y habilidades para la vida , la utilización adecuada de tiempo libre y el mejoramiento de sus condiciones socio económicas de los adultos mayores </t>
  </si>
  <si>
    <t xml:space="preserve">A diciembre de  2021  realizar 6 procesos de capacitación dirigidos a los adultos mayores a través de los cuales se busque promover destrezas y habilidades para la vida , la utilización adecuada de tiempo libre y el mejoramiento de sus condiciones socio económicas de los adultos mayores </t>
  </si>
  <si>
    <t xml:space="preserve">A diciembre de  2022  realizar  8  procesos de capacitación dirigidos a los adultos mayores a través de los cuales se busque promover destrezas y habilidades para la vida , la utilización adecuada de tiempo libre y el mejoramiento de sus condiciones socio económicas de los adultos mayores </t>
  </si>
  <si>
    <t xml:space="preserve">A diciembre de  2023  realizar  10  procesos de capacitación dirigidos a los adultos mayores a través de los cuales se busque promover destrezas y habilidades para la vida , la utilización adecuada de tiempo libre y el mejoramiento de sus condiciones socio económicas de los adultos mayores </t>
  </si>
  <si>
    <t xml:space="preserve">A diciembre de  2024  realizar 12  procesos de capacitación dirigidos a los adultos mayores a través de los cuales se busque promover destrezas y habilidades para la vida , la utilización adecuada de tiempo libre y el mejoramiento de sus condiciones socio económicas de los adultos mayores </t>
  </si>
  <si>
    <t xml:space="preserve">A diciembre de  2025  realizar 14  procesos de capacitación dirigidos a los adultos mayores a través de los cuales se busque promover destrezas y habilidades para la vida , la utilización adecuada de tiempo libre y el mejoramiento de sus condiciones socio económicas de los adultos mayores </t>
  </si>
  <si>
    <t xml:space="preserve">A diciembre de  2026  realizar 16  procesos de capacitación dirigidos a los adultos mayores a través de los cuales se busque promover destrezas y habilidades para la vida , la utilización adecuada de tiempo libre y el mejoramiento de sus condiciones socio económicas de los adultos mayores </t>
  </si>
  <si>
    <t xml:space="preserve">A diciembre de  2027  realizar 18  procesos de capacitación dirigidos a los adultos mayores a través de los cuales se busque promover destrezas y habilidades para la vida , la utilización adecuada de tiempo libre y el mejoramiento de sus condiciones socio económicas de los adultos mayores </t>
  </si>
  <si>
    <t>A diciembre de 2028 capacitar el 100% de los grupos de adulto mayor en habilidades para la vida,   y para desarrollar destrezas que le permitan utilizar adecuadamente su tiempo libre</t>
  </si>
  <si>
    <t xml:space="preserve">Adultos mayores formados y capacitados en destrezas y habilidades para la vida , la utilización adecuada de tiempo libre y el mejoramiento de sus condiciones socio económicas de los adultos mayores </t>
  </si>
  <si>
    <t>% de grupos de adulto mayor capacitados en habilidades para la vida,   y para desarrollar destrezas que le permitan utilizar adecuadamente su tiempo libre</t>
  </si>
  <si>
    <t>Grupos de adulto mayor capacitados en habilidades para la vida,   y para desarrollar destrezas que le permitan utilizar adecuadamente su tiempo libre / Total de grupos de adulto mayor del municipio de Pereira *100</t>
  </si>
  <si>
    <t>Secretaría de Desarrollo Social y Político y Secretaría de Educación</t>
  </si>
  <si>
    <t>No hay clases de ingles para el adulto mayor.</t>
  </si>
  <si>
    <t>Falta capacitación en  liderazgo</t>
  </si>
  <si>
    <t>14. Formación en liderazgo a la participación del adulto mayor.</t>
  </si>
  <si>
    <t>Realizar alianzas estrategias con el fin de capacitar a los adultos mayores, en liderazgo y participación</t>
  </si>
  <si>
    <t xml:space="preserve">Líderes representantes de las diferentes comunas y corregimientos  
</t>
  </si>
  <si>
    <t xml:space="preserve">
A diciembre de 2028 realizar 5 diplomados en  liderazgo y participación  que beneficie a 155  líderes representantes de las diferentes comunas y corregimientos del municipio de Pereira (1 cada 2 años con 31 beneficiarios)</t>
  </si>
  <si>
    <t>Diplomados en  liderazgo y participación realizados  
Adultos mayores , líderes de comunas y corregimientos formados en liderazgo y participación</t>
  </si>
  <si>
    <t>Número de diplomados realizados  en  liderazgo y participación )
Número de adultos mayores, líderes representantes de comunas y corregimientos formados en liderazgo y participación.</t>
  </si>
  <si>
    <t>Diplomados realizados  en  liderazgo y participación )
Adultos mayores, líderes representantes de comunas y corregimientos formados en liderazgo y participación.</t>
  </si>
  <si>
    <t>Falta programa de alimentacion con entrega de almuerzos.</t>
  </si>
  <si>
    <t>1. Brindar apoyo y acompañamiento para la satisfacción de necesidades básicas de los adultos mayores en condición de vulnerabilidad</t>
  </si>
  <si>
    <t xml:space="preserve">A Dic del 2028, se brinda apoyo y acompañamiento para la satisfacción de necesidades básicas  al 100% de adultos mayores beneficiarios de los centros vida y Centros de atención integral al adulto mayor </t>
  </si>
  <si>
    <t>Adultos mayores en situación de vulnerabilidad, apoyados y acompañados para la satisfacción de necesidades básicas</t>
  </si>
  <si>
    <t xml:space="preserve">% de adultos mayores beneficiarios de los centros vida y Centros de atención integral al adulto mayor apoyados y acompañados para la satisfacción de necesidades básicas </t>
  </si>
  <si>
    <t>1. Suministrar alimentos con los requerimientos proteico calóricos requeridos a los adultos mayores beneficiarios de los Centros Vida y Centros de Protección Integral al adulto mayor en convenio con el municipio</t>
  </si>
  <si>
    <t>Los alimentos se entregarán a los adultos mayores en condición de vulnerabilidad social, que son beneficiarios de los Centros Vida y Centros de Protección Integral al adulto mayor en convenio con el municipio.</t>
  </si>
  <si>
    <t>Adultos mayores beneficiarios de los Centros Vida y Centros de Protección Integral al adulto mayor en convenio con el municipio</t>
  </si>
  <si>
    <t>A diciembre de 2019 suministrar alimentos con los requerimientos proteico calóricos requeridos al 100% de adultos mayores beneficiarios de los Centros Vida y Centros de Protección Integral al adulto mayor en convenio con el municipio</t>
  </si>
  <si>
    <t>A diciembre de 2020 suministrar alimentos con los requerimientos proteico calóricos requeridos al 100% de adultos mayores beneficiarios de los Centros Vida y Centros de Protección Integral al adulto mayor en convenio con el municipio</t>
  </si>
  <si>
    <t>A diciembre de 2021 suministrar alimentos con los requerimientos proteico calóricos requeridos al 100% de adultos mayores beneficiarios de los Centros Vida y Centros de Protección Integral al adulto mayor en convenio con el municipio</t>
  </si>
  <si>
    <t>A diciembre de 2022 suministrar alimentos con los requerimientos proteico calóricos requeridos al 100% de adultos mayores beneficiarios de los Centros Vida y Centros de Protección Integral al adulto mayor en convenio con el municipio</t>
  </si>
  <si>
    <t>A diciembre de 2023 suministrar alimentos con los requerimientos proteico calóricos requeridos al 100% de adultos mayores beneficiarios de los Centros Vida y Centros de Protección Integral al adulto mayor en convenio con el municipio</t>
  </si>
  <si>
    <t>A diciembre de 2024 suministrar alimentos con los requerimientos proteico calóricos requeridos al 100% de adultos mayores beneficiarios de los Centros Vida y Centros de Protección Integral al adulto mayor en convenio con el municipio</t>
  </si>
  <si>
    <t>A diciembre de 2025 suministrar alimentos con los requerimientos proteico calóricos requeridos al 100% de adultos mayores beneficiarios de los Centros Vida y Centros de Protección Integral al adulto mayor en convenio con el municipio</t>
  </si>
  <si>
    <t>A diciembre de 2026 suministrar alimentos con los requerimientos proteico calóricos requeridos al 100% de adultos mayores beneficiarios de los Centros Vida y Centros de Protección Integral al adulto mayor en convenio con el municipio</t>
  </si>
  <si>
    <t>A diciembre de 2027 suministrar alimentos con los requerimientos proteico calóricos requeridos al 100% de adultos mayores beneficiarios de los Centros Vida y Centros de Protección Integral al adulto mayor en convenio con el municipio</t>
  </si>
  <si>
    <t>A diciembre de 2028 suministrar alimentos con los requerimientos proteico calóricos requeridos al 100% de adultos mayores beneficiarios de los Centros Vida y Centros de Protección Integral al adulto mayor en convenio con el municipio</t>
  </si>
  <si>
    <t>Adultos mayores beneficiarios de los Centros Vida y Centros de Protección Integral al adulto mayor en convenio con el municipio con suministro de alimentos con los requerimientos proteico calóricos requeridos</t>
  </si>
  <si>
    <t>% de adultos mayores beneficiarios de los Centros Vida y Centros de Protección Integral al adulto mayor en convenio con el municipio, con suministro de alimentos con los requerimientos proteico calóricos requeridos</t>
  </si>
  <si>
    <t>Adultos mayores con suministro de alimentos con los requerimientos proteico calóricos requeridos / Total de adultos mayores beneficiarios de los Centros Vida y Centros de Protección Integral al adulto mayor en convenio con el municipio *100</t>
  </si>
  <si>
    <t xml:space="preserve">Centros de Protección Integral para el adulto mayor del municipio de Pereira </t>
  </si>
  <si>
    <t>No se suministra dotación de implementos para discapacitados.</t>
  </si>
  <si>
    <t>2. Dotar de vestuario o implementación para el desarrollo de sus actividades a los grupos de adulto mayor de las comunas y corregimientos</t>
  </si>
  <si>
    <t>Para facilitar el desarrollo de las actividades de los grupos de adulto mayor  que operan en las diferentes comunas y corregimientos del municipio de Pereira, se dotarán de los materiales e insumos requeridos para el desarrollo de sus actividades  (implementos deportivos y sudaderas)</t>
  </si>
  <si>
    <t>Grupos de Adulto Mayor del municipio de Pereira</t>
  </si>
  <si>
    <t>A diciembre de 2019  dotar de vestuario e implementos recreo deportivos al 100% de grupos de Adulto Mayor que lo requieren de conformidad con la estandarización de materiales elaborada.</t>
  </si>
  <si>
    <t>A diciembre de 2020 dotar de vestuario e implementos recreo deportivos al 100% de grupos de Adulto Mayor que lo requieren de conformidad con la estandarización de materiales elaborada.</t>
  </si>
  <si>
    <t>A diciembre de 2021 dotar de vestuario e implementos recreo deportivos al 100% de grupos de Adulto Mayor que lo requieren de conformidad con la estandarización de materiales elaborada.</t>
  </si>
  <si>
    <t>A diciembre de 2022 dotar de vestuario e implementos recreo deportivos al 100% de grupos de Adulto Mayor que lo requieren de conformidad con la estandarización de materiales elaborada.</t>
  </si>
  <si>
    <t>A diciembre de 2023 dotar de vestuario e implementos recreo deportivos al 100% de grupos de Adulto Mayor que lo requieren de conformidad con la estandarización de materiales elaborada.</t>
  </si>
  <si>
    <t>A diciembre de 2024 dotar de vestuario e implementos recreo deportivos al 100% de grupos de Adulto Mayor que lo requieren de conformidad con la estandarización de materiales elaborada.</t>
  </si>
  <si>
    <t>A diciembre de 2025 dotar de vestuario e implementos recreo deportivos al 100% de grupos de Adulto Mayor que lo requieren de conformidad con la estandarización de materiales elaborada.</t>
  </si>
  <si>
    <t>A diciembre de 2026 dotar de vestuario e implementos recreo deportivos al 100% de grupos de Adulto Mayor que lo requieren de conformidad con la estandarización de materiales elaborada.</t>
  </si>
  <si>
    <t>A diciembre de 2027 dotar de vestuario e implementos recreo deportivos al 100% de grupos de Adulto Mayor que lo requieren de conformidad con la estandarización de materiales elaborada.</t>
  </si>
  <si>
    <t>A diciembre de 2028 dotar de vestuario e implementos recreo deportivos al 100% de grupos de Adulto Mayor que lo requieren de conformidad con la estandarización de materiales elaborada.</t>
  </si>
  <si>
    <t>Grupos de Adulto Mayor dotados de vestuario e implementos recreo deportivos</t>
  </si>
  <si>
    <t>% de grupos de Adulto Mayor beneficiarios de vestuario e implementos recreo deportivos de conformidad con la estandarización de materiales elaborada</t>
  </si>
  <si>
    <t>Grupos de Adulto Mayor beneficiarios de vestuario e implementos recreo deportivos / Total de grupos de adulto mayor que requirieron de vestuario e implementos recreo deportivos de conformidad con la estandarización de materiales elaborada*100</t>
  </si>
  <si>
    <t>Ausencia de tarjetas de transporte preferencial para adulto mayor.</t>
  </si>
  <si>
    <t>3. Establecer alianzas estratégicas con empresas prestadoras de servicios para la atención preferencial de los adultos mayores (transporte, parques, entretenimiento, etc).</t>
  </si>
  <si>
    <t>Cada actor comprometido  y según sus competencias, establecerá alianzas estratégicas con empresas prestadoras de servicio para la atención preferencial de los adultos mayores</t>
  </si>
  <si>
    <t xml:space="preserve">Adultos Mayores en del municipio de Pereira
</t>
  </si>
  <si>
    <t xml:space="preserve">A diciembre de 2019  se ha realizado 1 alianza estratégica para la atención preferencial de los adultos mayores. </t>
  </si>
  <si>
    <t xml:space="preserve">A diciembre de 2020 se han realizado 2 alianzas estratégicas para la atención preferencial de los adultos mayores. </t>
  </si>
  <si>
    <t xml:space="preserve">A diciembre de 2021 se han realizado 3 alianzas estratégicas para la atención preferencial de los adultos mayores. </t>
  </si>
  <si>
    <t xml:space="preserve">A diciembre de 2022 se han realizado 4 alianzas estratégicas para la atención preferencial de los adultos mayores. </t>
  </si>
  <si>
    <t xml:space="preserve">A diciembre de 2023 se han realizado 5 alianzas estratégicas para la atención preferencial de los adultos mayores. </t>
  </si>
  <si>
    <t xml:space="preserve">A diciembre de 2024 se han realizado 6 alianzas estratégicas para la atención preferencial de los adultos mayores. </t>
  </si>
  <si>
    <t xml:space="preserve">A diciembre de 2025 se han realizado 7 alianzas estratégicas para la atención preferencial de los adultos mayores. </t>
  </si>
  <si>
    <t xml:space="preserve">A diciembre de 2026 se han realizado 8 alianzas estratégicas para la atención preferencial de los adultos mayores. </t>
  </si>
  <si>
    <t xml:space="preserve">A diciembre de 2027 se han realizado 9 alianzas estratégicas para la atención preferencial de los adultos mayores. </t>
  </si>
  <si>
    <t xml:space="preserve">A diciembre de 2028 se han realizado 10 alianzas estratégicas para la atención preferencial de los adultos mayores. </t>
  </si>
  <si>
    <t xml:space="preserve">Alianzas estratégicas para la atención preferencial de los adultos mayores. </t>
  </si>
  <si>
    <t xml:space="preserve">Número de alianzas estratégicas para la atención preferencial de los adultos mayores. </t>
  </si>
  <si>
    <t>Secretaría de Desarrollo Social y Político, Secretaría de Cultura,,  Secretaría de  Desarrollo económico y competitividad.</t>
  </si>
  <si>
    <t xml:space="preserve">Area Metropolitana </t>
  </si>
  <si>
    <t>Insuficiente dotacion anual a los grupos de adultos mayores en Pereira.</t>
  </si>
  <si>
    <t>No se entrega bienestarina ni leche.</t>
  </si>
  <si>
    <t>Riesgo de caer en la calle por abandono social (Familia - Estado).</t>
  </si>
  <si>
    <t>4.Establecer cada año tarifas especiales para la atención preferencial de los adultos mayores en los grandes escenarios deportivos y culturales.</t>
  </si>
  <si>
    <t>La secretaría Cultura y Recreación y Deportes establecerán unas tarifas especiales cada año para la atención preferencial de los adultos mayores en los grandes escenarios culturales y deportivos.</t>
  </si>
  <si>
    <t>Adultos mayores del municipio de Pereira</t>
  </si>
  <si>
    <t>A diciembre de 2019, se ha emitido una tarifa especial para la atención preferencial de los adultos mayores en los grandes escenarios culturales y deportivos a través de documentos oficiales</t>
  </si>
  <si>
    <t>A diciembre de 2020, se ha emitido una tarifa especial para la atención preferencial de los adultos mayores en los grandes escenarios culturales y deportivos a través de documentos oficiales</t>
  </si>
  <si>
    <t>A diciembre de 2021, se ha emitido una tarifa especial para la atención preferencial de los adultos mayores en los grandes escenarios culturales y deportivos a través de documentos oficiales</t>
  </si>
  <si>
    <t>A diciembre de 2022, se ha emitido una tarifa especial para la atención preferencial de los adultos mayores en los grandes escenarios culturales y deportivos a través de documentos oficiales</t>
  </si>
  <si>
    <t>A diciembre de 2023, se ha emitido una tarifa especial para la atención preferencial de los adultos mayores en los grandes escenarios culturales y deportivos a través de documentos oficiales</t>
  </si>
  <si>
    <t>A diciembre de 2024, se ha emitido una tarifa especial para la atención preferencial de los adultos mayores en los grandes escenarios culturales y deportivos a través de documentos oficiales</t>
  </si>
  <si>
    <t>A diciembre de 2025, se ha emitido una tarifa especial para la atención preferencial de los adultos mayores en los grandes escenarios culturales y deportivos a través de documentos oficiales</t>
  </si>
  <si>
    <t>A diciembre de 2026, se ha emitido una tarifa especial para la atención preferencial de los adultos mayores en los grandes escenarios culturales y deportivos a través de documentos oficiales</t>
  </si>
  <si>
    <t>A diciembre de 2027, se ha emitido una tarifa especial para la atención preferencial de los adultos mayores en los grandes escenarios culturales y deportivos a través de documentos oficiales</t>
  </si>
  <si>
    <t>A diciembre de 2028, se ha emitido anualmente una tarifa especial para la atención preferencial de los adultos mayores en los grandes escenarios culturales y deportivos (a través de documento oficial)</t>
  </si>
  <si>
    <t xml:space="preserve"> Tarifas especiales para la atención preferencial de los adultos mayores en los grandes escenarios culturales y deportivos a través de documentos oficiales</t>
  </si>
  <si>
    <t>Número de Tarifas especiales para la atención preferencial de los adultos mayores en los grandes escenarios culturales y deportivos emitidas a través de documentos oficiales</t>
  </si>
  <si>
    <t>Tarifas especiales para la atención preferencial de los adultos mayores en los grandes escenarios culturales y deportivos emitidas a través de documentos oficiales</t>
  </si>
  <si>
    <t>Secretaría de Cultura y Secretaría Municipal de Deporte y Recreación</t>
  </si>
  <si>
    <t>Hay adultos mayores en los CBA que están en precarias condiciones</t>
  </si>
  <si>
    <t>Falta contar con centros de atencion al adulto mayor con enfoque dierencial según las necesisas de la población.</t>
  </si>
  <si>
    <t xml:space="preserve">5. Construir  6  Centros Vida para los adultos mayores en condición de vulnerabilidad social </t>
  </si>
  <si>
    <t>Los centros Vida estarán ubicados en las comunas de mayor vulnerabilidad social del municipio de Pereira.</t>
  </si>
  <si>
    <t xml:space="preserve">Adultos Mayores en condición de vulnerabilidad social del Municipio de Pereira.
</t>
  </si>
  <si>
    <t xml:space="preserve">A diciembre de 2019  tres  Centros Vida cosntruidos  </t>
  </si>
  <si>
    <t xml:space="preserve">A diciembre de 2020  tres  Centros Vida cosntruidos  </t>
  </si>
  <si>
    <t xml:space="preserve">A diciembre de 2021  seis  Centros Vida cosntruidos  </t>
  </si>
  <si>
    <t xml:space="preserve">A diciembre de 2022  seis  Centros Vida cosntruidos  </t>
  </si>
  <si>
    <t xml:space="preserve">A diciembre de 2023 seis  Centros Vida cosntruidos </t>
  </si>
  <si>
    <t xml:space="preserve">A diciembre de 2024  seis  Centros Vida cosntruidos  </t>
  </si>
  <si>
    <t xml:space="preserve">A diciembre de 2025 seis  Centros Vida cosntruidos  </t>
  </si>
  <si>
    <t xml:space="preserve">A diciembre de 2026  seis  Centros Vida cosntruidos  </t>
  </si>
  <si>
    <t xml:space="preserve">A diciembre de 2027 seis  Centros Vida cosntruidos  </t>
  </si>
  <si>
    <t xml:space="preserve">A diciembre de 2028 seis  Centros Vida construidos </t>
  </si>
  <si>
    <t xml:space="preserve">Centros Vida Construidos </t>
  </si>
  <si>
    <t xml:space="preserve">Números de Centros Vida Construidos </t>
  </si>
  <si>
    <t>Secretaría de Infraestructura y Secretaría de Desarrollo Social y Político</t>
  </si>
  <si>
    <t>6.Colocar en operación 7 Centros Vida</t>
  </si>
  <si>
    <t xml:space="preserve">En los Centros Vida se prestará atención integral a los adultos mayores en condición de vulnerabilidad social, abandono y descuido </t>
  </si>
  <si>
    <t xml:space="preserve">Adultos mayores en condición de vulnerabilidad social, abandono y descuido </t>
  </si>
  <si>
    <t xml:space="preserve">A diciembre de 2019 atender integralmente  600 adultos mayores en condición de vulnerabilidad social, abandono y descuido </t>
  </si>
  <si>
    <t>A diciembre de 2020 atender integralmente 600 adultos mayores en condición de vulnerabilidad social, abandono y descuido (200 por CV).</t>
  </si>
  <si>
    <t xml:space="preserve">A diciembre de 2021 atender integralmente 1400 adultos mayores en condición de vulnerabilidad social, abandono y descuido </t>
  </si>
  <si>
    <t xml:space="preserve">A diciembre de 2022 atender integralmente 1400 adultos mayores en condición de vulnerabilidad social, abandono y descuido </t>
  </si>
  <si>
    <t xml:space="preserve">A diciembre de 2023 atender integralmente 1400 adultos mayores en condición de vulnerabilidad social, abandono y descuido </t>
  </si>
  <si>
    <t xml:space="preserve">A diciembre de 2024 atender integralmente 1400 adultos mayores en condición de vulnerabilidad social, abandono y descuido </t>
  </si>
  <si>
    <t xml:space="preserve">A diciembre de 2025 atender integralmente 1400 adultos mayores en condición de vulnerabilidad social, abandono y descuido </t>
  </si>
  <si>
    <t xml:space="preserve">A diciembre de 2026 atender integralmente 1400 adultos mayores en condición de vulnerabilidad social, abandono y descuido </t>
  </si>
  <si>
    <t xml:space="preserve">A diciembre de 2027 atender integralmente 1400 adultos mayores en condición de vulnerabilidad social, abandono y descuido </t>
  </si>
  <si>
    <t>A diciembre de 2028 atender integralmente 1400 adultos mayores en condición de vulnerabilidad social, abandono y descuido (200 por CV).</t>
  </si>
  <si>
    <t>Adultos mayores en condición de vulnerabilidad social, abandono y descuido atendidos integralmente</t>
  </si>
  <si>
    <t>Número de adultos mayores en condición de vulnerabilidad social, abandono y descuido atendidos integralmente en los centros Vida.</t>
  </si>
  <si>
    <t>Adultos mayores en condición de vulnerabilidad social, abandono y descuido atendidos integralmente en los centros Vida.</t>
  </si>
  <si>
    <t>7.Asistencia técnica y vigilancia y control de los centros de protección social para el adulto mayor y centros vida.</t>
  </si>
  <si>
    <t>Se realizaran visitas de asistencia técnica  y de vigilancia y control a los centros de protección social para el adulto mayor y centros vida con el fin de verificar el cumplimiento de los requisitos mínimos  desde lo establecido en la Ley 1315 de 2009, Resolución 055 de 2018 y  la ley 9 de 1979.</t>
  </si>
  <si>
    <t>Centros de protección social para el adulto mayor y centros vida.</t>
  </si>
  <si>
    <t>A diciembre de 2019 el 100% de los centros de proteccion social para el adulto mayor y centros vida con visitas de asistencia tecnica y vigilancia y control.</t>
  </si>
  <si>
    <t>A diciembre de 2020 el 100% de los centros de proteccion social para el adulto mayor y centros vida con visitas de asistencia tecnica y vigilancia y control.</t>
  </si>
  <si>
    <t>A diciembre de 2021 el 100% de los centros de proteccion social para el adulto mayor y centros vida con visitas de asistencia tecnica y vigilancia y control.</t>
  </si>
  <si>
    <t>A diciembre de 2022 el 100% de los centros de proteccion social para el adulto mayor y centros vida con visitas de asistencia tecnica y vigilancia y control.</t>
  </si>
  <si>
    <t>A diciembre de 2023 el 100% de los centros de proteccion social para el adulto mayor y centros vida con visitas de asistencia tecnica y vigilancia y control.</t>
  </si>
  <si>
    <t>A diciembre de 2024 el 100% de los centros de proteccion social para el adulto mayor y centros vida con visitas de asistencia tecnica y vigilancia y control.</t>
  </si>
  <si>
    <t>A diciembre de 2025 el 100% de los centros de proteccion social para el adulto mayor y centros vida con visitas de asistencia tecnica y vigilancia y control.</t>
  </si>
  <si>
    <t>A diciembre de 2026 el 100% de los centros de proteccion social para el adulto mayor y centros vida con visitas de asistencia tecnica y vigilancia y control.</t>
  </si>
  <si>
    <t>A diciembre de 2027 el 100% de los centros de proteccion social para el adulto mayor y centros vida con visitas de asistencia tecnica y vigilancia y control.</t>
  </si>
  <si>
    <t>A diciembre de 2028 el 100% de los centros de protección social para el adulto mayor y centros vida con visitas de asistencia técnica y vigilancia y control.</t>
  </si>
  <si>
    <t>Centros de protección social para el adulto mayor y centros vida con visitas de asistencia técnica y vigilancia y control.</t>
  </si>
  <si>
    <t>% de los centros de protección social para el adulto mayor y centros vida con visitas de asistencia técnica y vigilancia y control.</t>
  </si>
  <si>
    <t>Centros de protección social para el adulto mayor y centros vida con visitas de asistencia técnica y vigilancia y control / Total de centros de protección social para el adulto mayor y centros vida en el municipio de Pereira * 100</t>
  </si>
  <si>
    <t>Secretaría de Salud  y Secretaría de Desarrollo Social y Político .</t>
  </si>
  <si>
    <t>No hay un centro de bienestar integral para el adulto mayor del municipio de Pereira.</t>
  </si>
  <si>
    <t>8. Crear un centro de Protección Social Integral de emergencia para el adulto mayor.</t>
  </si>
  <si>
    <t>En el Centro de Protección Social Integral de emergencia, se brindará atención y protección provisional al adulto mayor que lo requiera, por encontrarse en situación de abandono y/o maltrato, mientras se ubica con su red familiar o en un centro de Protección Integral donde estará indefinidamente. Para la creación del mismo se deben realizar los estudios técnicos, jurídicos  y socioeconómicos  requeridos</t>
  </si>
  <si>
    <t>Adultos del municipio de Pereira que requieran del servicio por encontrarse en situación de abandono y/o maltrato</t>
  </si>
  <si>
    <t>A diciembre de 2020 un centro de protección social de emergencia integral para el adulto mayor creado y en funcionamiento</t>
  </si>
  <si>
    <t>A diciembre de 2021 un centro de protección social de emergencia integral para el adulto mayor creado y en funcionamiento</t>
  </si>
  <si>
    <t>A diciembre de 2022 un centro de protección social de emergencia integral para el adulto mayor creado y en funcionamiento</t>
  </si>
  <si>
    <t>A diciembre de 2023 un centro de protección social de emergencia integral para el adulto mayor creado y en funcionamiento</t>
  </si>
  <si>
    <t>A diciembre de 2024 un centro de protección social de emergencia integral para el adulto mayor creado y en funcionamiento</t>
  </si>
  <si>
    <t>A diciembre de 2025 un centro de protección social de emergencia integral para el adulto mayor creado y en funcionamiento</t>
  </si>
  <si>
    <t>A diciembre de 2026 un centro de protección social de emergencia integral para el adulto mayor creado y en funcionamiento</t>
  </si>
  <si>
    <t>A diciembre de 2027 un centro de protección social de emergencia integral para el adulto mayor creado y en funcionamiento</t>
  </si>
  <si>
    <t>A diciembre de 2028  un centro de protección social de emergencia integral para el adulto mayor creado y en funcionamiento</t>
  </si>
  <si>
    <t>Centro de protección social de emergencia integral para el adulto mayor creado y en funcionamiento</t>
  </si>
  <si>
    <t>Un centro de protección social de emergencia integral para el adulto mayor creado y en funcionamiento</t>
  </si>
  <si>
    <t>Debil cobertura para atender habitante de calle adulto mayor en los CBA con atención diferenciada a problemas de drogadiccion.</t>
  </si>
  <si>
    <t>9. Brindar protección integral a los adultos mayores que requieren institucionalizarse por estar en situación de descuido y abandono</t>
  </si>
  <si>
    <t>Realizar convenios para la  protección integral a los adultos mayores en situación de descuido y abandono</t>
  </si>
  <si>
    <t>Adultos mayores en situación de vulnerabilidad social, descuido y abandono</t>
  </si>
  <si>
    <t>A diciembre de 2019 realizar como mínimo 6 convenios con Centros de Protección Social al adulto mayor (CPSAM)</t>
  </si>
  <si>
    <t>A diciembre de 2020 realizar como mínimo 6 convenios con Centros de Protección Social al adulto mayor (CPSAM)</t>
  </si>
  <si>
    <t>A diciembre de 2021 realizar como mínimo 6 convenios con Centros de Protección Social al adulto mayor (CPSAM)</t>
  </si>
  <si>
    <t>A diciembre de 2022 realizar como mínimo 6 convenios con Centros de Protección Social al adulto mayor (CPSAM)</t>
  </si>
  <si>
    <t>A diciembre de 2023 realizar como mínimo 6 convenios con Centros de Protección Social al adulto mayor (CPSAM)</t>
  </si>
  <si>
    <t>A diciembre de 2024 realizar como mínimo 6 convenios con Centros de Protección Social al adulto mayor (CPSAM)</t>
  </si>
  <si>
    <t>A diciembre de 2025 realizar como mínimo 6 convenios con Centros de Protección Social al adulto mayor (CPSAM)</t>
  </si>
  <si>
    <t>A diciembre de 2026 realizar como mínimo 6 convenios con Centros de Protección Social al adulto mayor (CPSAM)</t>
  </si>
  <si>
    <t>A diciembre de 2027 realizar como mínimo 6 convenios con Centros de Protección Social al adulto mayor (CPSAM)</t>
  </si>
  <si>
    <t>A diciembre de 2028 realizar como mínimo 6 convenios con Centros de Protección Social al adulto mayor (CPSAM)</t>
  </si>
  <si>
    <t>Convenios realizados con Centros de Protección Social al adulto mayor (CPSAM)</t>
  </si>
  <si>
    <t>Número de convenios realizados con Centros de Protección Social al adulto mayor (CPSAM)</t>
  </si>
  <si>
    <t>Centros de Protección Social al adulto mayor (CPSAM)</t>
  </si>
  <si>
    <t>Debil señalizacion de las vias.</t>
  </si>
  <si>
    <t>2. Desarrollar y adecuar la infraestructura física de la ciudad que sea amigable e incluyente con los adultos mayores en cumplimiento de la normatividad   vigente</t>
  </si>
  <si>
    <t xml:space="preserve">A diciembre de 2028, el 100% de obras civiles públicas y privadas de la ciudad, aprobadas durante el decenio, garantizan la accesibilidad para el adulto mayor de conformidad con la normatividad vigente
A diciembre de 2028 el 60% de la infraestructura existente, adecuada conforme a la ley para garantizar la accesibilidad del adulto mayor de conformidad con la normatividad vigente
</t>
  </si>
  <si>
    <t xml:space="preserve">Ciudad amigable e incluyente con  los adultos mayores </t>
  </si>
  <si>
    <t xml:space="preserve">% de obras civiles públicas y privadas de la ciudad, aprobadas para garantizan la accesibilidad del adulto mayor de conformidad con la normatividad vigente
% de la infraestructura existente, adecuada conforme a la ley para garantizar la accesibilidad del adulto mayor de conformidad con la normatividad vigente
</t>
  </si>
  <si>
    <t xml:space="preserve">10.Conformar una veeduría ciudadana para realizar seguimiento y control al desarrollo de la accesibilidad en obras civiles públicas y privadas de la ciudad 
 </t>
  </si>
  <si>
    <t>Se conformará una veeduría con participación de los adultos mayores para realizar acciones de seguimiento y control al desarrollo de la accesibilidad en obras civiles públicas y privadas de la ciudad</t>
  </si>
  <si>
    <t xml:space="preserve">A diciembre de 2019 se cuenta con una veeduría ciudadana que realiza seguimiento y control al desarrollo de la accesibilidad en obras civiles públicas y privadas de la ciudad </t>
  </si>
  <si>
    <t xml:space="preserve">A diciembre de 2020 se cuenta con una veeduría ciudadana que realiza seguimiento y control al desarrollo de la accesibilidad en obras civiles públicas y privadas de la ciudad </t>
  </si>
  <si>
    <t xml:space="preserve">A diciembre de 2021 se cuenta con una veeduría ciudadana que realiza seguimiento y control al desarrollo de la accesibilidad en obras civiles públicas y privadas de la ciudad </t>
  </si>
  <si>
    <t xml:space="preserve">A diciembre de 2022 se cuenta con una veeduría ciudadana que realiza seguimiento y control al desarrollo de la accesibilidad en obras civiles públicas y privadas de la ciudad </t>
  </si>
  <si>
    <t xml:space="preserve">A diciembre de 2023 se cuenta con una veeduría ciudadana que realiza seguimiento y control al desarrollo de la accesibilidad en obras civiles públicas y privadas de la ciudad </t>
  </si>
  <si>
    <t xml:space="preserve">A diciembre de 2024 se cuenta con una veeduría ciudadana que realiza seguimiento y control al desarrollo de la accesibilidad en obras civiles públicas y privadas de la ciudad </t>
  </si>
  <si>
    <t xml:space="preserve">A diciembre de 2025 se cuenta con una veeduría ciudadana que realiza seguimiento y control al desarrollo de la accesibilidad en obras civiles públicas y privadas de la ciudad </t>
  </si>
  <si>
    <t xml:space="preserve">A diciembre de 2026 se cuenta con una veeduría ciudadana que realiza seguimiento y control al desarrollo de la accesibilidad en obras civiles públicas y privadas de la ciudad </t>
  </si>
  <si>
    <t xml:space="preserve">A diciembre de 2027 se cuenta con una veeduría ciudadana que realiza seguimiento y control al desarrollo de la accesibilidad en obras civiles públicas y privadas de la ciudad </t>
  </si>
  <si>
    <t xml:space="preserve">A diciembre de 2028 se cuenta con una veeduría ciudadana que realiza seguimiento y control al desarrollo de la accesibilidad en obras civiles públicas y privadas de la ciudad </t>
  </si>
  <si>
    <t>Obras públicas y privadas con seguimiento y control para la accesibilidad de los adultos mayores.</t>
  </si>
  <si>
    <t xml:space="preserve">Una veeduría ciudadana que realiza seguimiento y control al desarrollo de la accesibilidad en obras civiles públicas y privadas de la ciudad </t>
  </si>
  <si>
    <t>Veeduría ciudadana que realiza seguimiento y control al desarrollo de la accesibilidad en obras civiles públicas y privadas de la ciudad</t>
  </si>
  <si>
    <t>Faltan espacios deportivos para el adulto mayor de Pereira.</t>
  </si>
  <si>
    <t>Escases de planes de vivienda para la poblacion adulta mayor de la zona urbana y rural.</t>
  </si>
  <si>
    <t>Muchas personas desconocen como tratar al adulto mayor  y no lebrindan el respeto que se merece</t>
  </si>
  <si>
    <t>1. Sensibilizar  a la ciudadanía en general sobre el proceso de envejecimiento y formación de prácticas de autocuidado en la población adulta mayor.</t>
  </si>
  <si>
    <t>A Dic de 2028, tener implementada el 100% de la estrategia de sensibilización a la ciudadanía sobre el proceso de envejecimiento y formación de prácticas de autocuidado en la población adulta mayor estará implementada</t>
  </si>
  <si>
    <t>Ciudadanía sensibilizada frente al proceso de envejecimiento y adultos mayores en prácticas de autocuidado</t>
  </si>
  <si>
    <t>% de implementación de la estrategia de sensibilización a la ciudadanía sobre el proceso de envejecimiento y formación de prácticas de autocuidado en la población adulta mayor</t>
  </si>
  <si>
    <t>1. Actividades pedagógicas de sensibilización ciudadana para mejorar el reconocimiento y respeto social y familiar del adulto mayor</t>
  </si>
  <si>
    <t>En las actividades pedagógicas de sensibilización ciudadana sobre el proceso de envejecimiento, participaran las diferentes Secretarías comprometidas.</t>
  </si>
  <si>
    <t xml:space="preserve">Población de Pereira </t>
  </si>
  <si>
    <t>A diciembre de 2019 realizar 4 actividades pedagógicas de sensibilización ciudadana sobre el proceso de envejecimiento (Una anual por actor comprometido).</t>
  </si>
  <si>
    <t>A diciembre de 2020 realizar 8 actividades pedagógicas de sensibilización ciudadana sobre el proceso de envejecimiento (Una anual por actor comprometido).</t>
  </si>
  <si>
    <t>A diciembre de 2021 realizar 12 actividades pedagógicas de sensibilización ciudadana sobre el proceso de envejecimiento (Una anual por actor comprometido).</t>
  </si>
  <si>
    <t>A diciembre de 2022 realizar 16actividades pedagógicas de sensibilización ciudadana sobre el proceso de envejecimiento (Una anual por actor comprometido).</t>
  </si>
  <si>
    <t>A diciembre de 2023 realizar 20 actividades pedagógicas de sensibilización ciudadana sobre el proceso de envejecimiento (Una anual por actor comprometido).</t>
  </si>
  <si>
    <t>A diciembre de 2024 realizar 24actividades pedagógicas de sensibilización ciudadana sobre el proceso de envejecimiento (Una anual por actor comprometido).</t>
  </si>
  <si>
    <t>A diciembre de 2025 realizar 28 actividades pedagógicas de sensibilización ciudadana sobre el proceso de envejecimiento (Una anual por actor comprometido).</t>
  </si>
  <si>
    <t>A diciembre de 2026  realizar 32 actividades pedagógicas de sensibilización ciudadana sobre el proceso de envejecimiento (Una anual por actor comprometido).</t>
  </si>
  <si>
    <t>A diciembre de 2027 realizar 36 actividades pedagógicas de sensibilización ciudadana sobre el proceso de envejecimiento (Una anual por actor comprometido).</t>
  </si>
  <si>
    <t>A diciembre de 2028 realizar 40 actividades pedagógicas de sensibilización ciudadana sobre el proceso de envejecimiento (Una anual por 4 actores comprometidos).</t>
  </si>
  <si>
    <t>Actividades pedagógicas de sensiblización sobre el proceso de envejecimiento.</t>
  </si>
  <si>
    <t xml:space="preserve">Número de actividades pedagógicas de sensibilización ciudadana sobre el proceso de envejecimiento realizadas </t>
  </si>
  <si>
    <t>Actividades pedagógicas de sensibilización sobre el proceso de envejecimiento.</t>
  </si>
  <si>
    <t>Secretaría de Desarrollo Social y Político, Secretaría de Cultura,   Secretaría de Salud, Secretaría de Educación</t>
  </si>
  <si>
    <t>Hay  muchos accidentes de tránsito en los que se ven afectados los adultos mayores</t>
  </si>
  <si>
    <t>2. Educar a la población adulto mayor en el cumplimiento de las normas de tránsito y a la población en general en el respeto que merece el adulto mayor como peatón</t>
  </si>
  <si>
    <t>Las campañas educativas implican sensibilizar a la población adulta mayor en el cumplimiento de las normas de tránsito y a la población en general en el respeto que merece el adulto mayor como peatón.</t>
  </si>
  <si>
    <t>Adultos mayores y población de las comunas y corregimientos del municipio de Pereira</t>
  </si>
  <si>
    <t>A diciembre de 2019, realizar 1 campaña educativas de sensibilización  a la población adulta mayor en el cumplimiento de las normas de tránsito y a la población en general en el respeto que merece el adulto mayor como peatón.</t>
  </si>
  <si>
    <t>A diciembre de 2020 , realizar  2 campañas educativas de sensibilización  a la población adulta mayor en el cumplimiento de las normas de tránsito y a la población en general en el respeto que merece el adulto mayor como peatón.</t>
  </si>
  <si>
    <t>A diciembre de 2021 , realizar 3  campañas educativas de sensibilización  a la población adulta mayor en el cumplimiento de las normas de tránsito y a la población en general en el respeto que merece el adulto mayor como peatón.</t>
  </si>
  <si>
    <t>A diciembre de 2022 , realizar 4 campañas educativas de sensibilización  a la población adulta mayor en el cumplimiento de las normas de tránsito y a la población en general en el respeto que merece el adulto mayor como peatón.</t>
  </si>
  <si>
    <t>A diciembre de 2023 , realizar 5 campañas educativas de sensibilización  a la población adulta mayor en el cumplimiento de las normas de tránsito y a la población en general en el respeto que merece el adulto mayor como peatón.</t>
  </si>
  <si>
    <t>A diciembre de 2024 , realizar 6 campañas educativas de sensibilización  a la población adulta mayor en el cumplimiento de las normas de tránsito y a la población en general en el respeto que merece el adulto mayor como peatón.</t>
  </si>
  <si>
    <t>A diciembre de 2025 , realizar 7 campañas educativas de sensibilización  a la población adulta mayor en el cumplimiento de las normas de tránsito y a la población en general en el respeto que merece el adulto mayor como peatón.</t>
  </si>
  <si>
    <t>A diciembre de 2026 , realizar 8 campañas educativas de sensibilización  a la población adulta mayor en el cumplimiento de las normas de tránsito y a la población en general en el respeto que merece el adulto mayor como peatón.</t>
  </si>
  <si>
    <t>A diciembre de 2027 , realizar  9 campañas educativas de sensibilización  a la población adulta mayor en el cumplimiento de las normas de tránsito y a la población en general en el respeto que merece el adulto mayor como peatón.</t>
  </si>
  <si>
    <t>A diciembre de 2028, realizar 10 campañas educativas de sensibilización  a la población adulta mayor en el cumplimiento de las normas de tránsito y a la población en general en el respeto que merece el adulto mayor como peatón.</t>
  </si>
  <si>
    <t>Los adultos mayores conocen las normas de tránsito y se respeta a los adultos mayores como peatones con las campañas educativas realizadas</t>
  </si>
  <si>
    <t>Número de campañas educativas de sensibilización a la población adulta mayor en el cumplimiento de las normas de tránsito y a la población en general en el respeto que merece el adulto mayor como peatón.</t>
  </si>
  <si>
    <t>Campañas educativas de sensibilización a la población adulta mayor en el cumplimiento de las normas de tránsito y a la población en general en el respeto que merece el adulto mayor como peatón.</t>
  </si>
  <si>
    <t>Instituto de movilidad</t>
  </si>
  <si>
    <t>Desconocimiento del adulto mayor sobre la forma como se deben enfrentar a los cambios.</t>
  </si>
  <si>
    <t xml:space="preserve">3. Diseñar programa de hábitos saludables para los adultos mayores </t>
  </si>
  <si>
    <t>Se  diseñara un plan de acción para la promoción de hábitos de vida saludables con  la participación de las Secretarías de Desarrollo Social, Cultura, Deportes y salud</t>
  </si>
  <si>
    <t>Adultos Mayores del Municipio de Pereira</t>
  </si>
  <si>
    <t>A diciembre de 2019, Un plan de acción ejecutado  según competencias por cada actor involucrado  ( Desarrollo Social, Cultura, Deportes, salud)</t>
  </si>
  <si>
    <t>A diciembre de 2020, Un plan de acción ejecutado  según competencias por cada actor involucrado  ( Desarrollo Social, Cultura, Deportes, salud)</t>
  </si>
  <si>
    <t>A diciembre de 2021, Un plan de acción ejecutado  según competencias por cada actor involucrado  ( Desarrollo Social, Cultura, Deportes, salud)</t>
  </si>
  <si>
    <t>A diciembre de 2022, Un plan de acción ejecutado  según competencias por cada actor involucrado  ( Desarrollo Social, Cultura, Deportes, salud)</t>
  </si>
  <si>
    <t>A diciembre de 2023, Un plan de acción ejecutado  según competencias por cada actor involucrado  ( Desarrollo Social, Cultura, Deportes, salud)</t>
  </si>
  <si>
    <t>A diciembre de 2024, Un plan de acción ejecutado  según competencias por cada actor involucrado  ( Desarrollo Social, Cultura, Deportes, salud)</t>
  </si>
  <si>
    <t>A diciembre de 2025, Un plan de acción ejecutado  según competencias por cada actor involucrado  ( Desarrollo Social, Cultura, Deportes, salud)</t>
  </si>
  <si>
    <t>A diciembre de 2026, Un plan de acción ejecutado  según competencias por cada actor involucrado  ( Desarrollo Social, Cultura, Deportes, salud)</t>
  </si>
  <si>
    <t>A diciembre de 2027, Un plan de acción ejecutado  según competencias por cada actor involucrado  ( Desarrollo Social, Cultura, Deportes, salud)</t>
  </si>
  <si>
    <t xml:space="preserve">A diciembre de 2028, Un plan de acción ejecutado anualmente según competencias por cada actor involucrado  ( Desarrollo Social, Cultura, Deportes, salud )
</t>
  </si>
  <si>
    <t xml:space="preserve">Conocimiento de hábitos de vida saludables por parte de los adultos mayores a través de la ejecución del plan de acción </t>
  </si>
  <si>
    <t xml:space="preserve">Un plan de acción ejecutado anualmente según competencias por cada actor involucrado  (Desarrollo Social, Cultura, Deportes, salud)
</t>
  </si>
  <si>
    <t xml:space="preserve">Plan de acción ejecutado anualmente según competencias por cada actor involucrado  ( Desarrollo Social, Cultura, Deportes, salud )
</t>
  </si>
  <si>
    <t>Secretaría de Desarrollo Social y Político, Secretaría de Cultura, Secretaría de Deportes y recreación  y  Secretaría de Salud</t>
  </si>
  <si>
    <t>Descuido en la educación sexual.</t>
  </si>
  <si>
    <t>No hay talleres de ejercicios personalizados para el adulto mayor.</t>
  </si>
  <si>
    <t>Carencia de redes de apoyo para el adulto mayor.</t>
  </si>
  <si>
    <t>Los adultos mayores no tiene habilidades ni competencia para  la vida en a vejez</t>
  </si>
  <si>
    <t xml:space="preserve">2. Generar habilidades y competencias para el despliegue de la capacidad productiva del adulto mayor en su entorno socio familiar para una vida activa, autónoma, digna y saludable para la vida en vejez
</t>
  </si>
  <si>
    <t xml:space="preserve">A Dic de 2028, desarrollar 10 procesos de formación para el despliegue de la capacidad productiva del adulto mayor en su entorno socio familiar para una vida activa, autónoma, digna y saludable para la vida en vejez
</t>
  </si>
  <si>
    <t xml:space="preserve">Adultos mayores con habilidades y competencias para el despliegue de la capacidad productiva en su entorno socio familiar para una vida activa, autónoma, digna y saludable para la vida en vejez
</t>
  </si>
  <si>
    <t xml:space="preserve">Número de procesos de formación para el despliegue de la capacidad productiva del adulto mayor en su entorno socio familiar implementados
</t>
  </si>
  <si>
    <t>4. Establecer cursos virtuales y presenciales de formación continua para el trabajo digno de la población adulta mayor.</t>
  </si>
  <si>
    <t>La Secretaría de Desarrollo económico y Competitividad realizará alianzas estratégicas y/o contratos de formación para el trabajo, en temas de emprendimiento y contratación estatal, de forma virtual y/o presencial para la población adulta mayor</t>
  </si>
  <si>
    <t xml:space="preserve">Adultos mayores interesados en formación para el trabajo </t>
  </si>
  <si>
    <t xml:space="preserve">A diciembre de 2019 se cuenta con 1 alianza estratégica de formación para el trabajo y en temas de emprendimiento para los adultos mayores </t>
  </si>
  <si>
    <t xml:space="preserve">A diciembre de 2020 se cuenta con 2  alianzas estratégicas de formación para el trabajo y en temas de emprendimiento para los adultos mayores </t>
  </si>
  <si>
    <t xml:space="preserve">A diciembre de 2021 se cuenta con 3 alianzas estratégicas de formación para el trabajo y en temas de emprendimiento para los adultos mayores </t>
  </si>
  <si>
    <t xml:space="preserve">A diciembre de 2022 se cuenta con 4 alianzas estratégicas de formación para el trabajo y en temas de emprendimiento para los adultos mayores </t>
  </si>
  <si>
    <t xml:space="preserve">A diciembre de 2023 se cuenta con 5 alianzas estratégicas de formación para el trabajo y en temas de emprendimiento para los adultos mayores </t>
  </si>
  <si>
    <t xml:space="preserve">A diciembre de 2024 se cuenta con 6 alianzas estratégicas de formación para el trabajo y en temas de emprendimiento para los adultos mayores </t>
  </si>
  <si>
    <t xml:space="preserve">A diciembre de 2025 se cuenta con 7 alianzas estratégicas de formación para el trabajo y en temas de emprendimiento para los adultos mayores </t>
  </si>
  <si>
    <t xml:space="preserve">A diciembre de 2026 se cuenta con 8 alianzas estratégicas de formación para el trabajo y en temas de emprendimiento para los adultos mayores </t>
  </si>
  <si>
    <t xml:space="preserve">A diciembre de 2027 se cuenta con 9 alianzas estratégicas de formación para el trabajo y en temas de emprendimiento para los adultos mayores </t>
  </si>
  <si>
    <t>A diciembre de 2028 se cuenta con 10 alianzas estratégicas de formación para el trabajo y en temas de emprendimiento para los adultos mayores (una por año).</t>
  </si>
  <si>
    <t>Adultos mayores capacitados y con competencias en formación para el trabajo y emprendimiento a través de las alianzas estratégicas.</t>
  </si>
  <si>
    <t xml:space="preserve">Número de alianzas  realizadas para la formación para el trabajo y en temas de emprendimiento de los adultos mayores </t>
  </si>
  <si>
    <t xml:space="preserve">Alianzas  realizadas para la formación para el trabajo y en temas de emprendimiento de los adultos mayores </t>
  </si>
  <si>
    <t>Secretaría de Desarrollo económico y Competitividad.</t>
  </si>
  <si>
    <t>No hay acompañamiento para el desarrollo de propuestas que fomenten la economía familiar</t>
  </si>
  <si>
    <t>Poca oferta de capacitación para la creación de emprendimientos de economía familiar como huertas caseras, tienda comunitaria, modistería, entre otras</t>
  </si>
  <si>
    <t>Debil asistencia tecnica en nuevas practicas agricolas a los campensinos adulto mayor</t>
  </si>
  <si>
    <t>5.Asistencia técnica agropecuaria a los campesinos adultos mayores</t>
  </si>
  <si>
    <t>Se diseñara e implementara un proyecto de asistencia técnica agropecuaria para los adultos mayores campesinos, en condición de vulnerabilidad social, de los 12 corregimientos del municipio de Pereira.</t>
  </si>
  <si>
    <t>Adultos mayores campesinos en condición de vulnerabilidad de los 12 corregimientos del municipio de Pereira</t>
  </si>
  <si>
    <t>A diciembre de 2019, el proyecto de asistencia técnica agropecuaria para los adultos mayores campesinos en condición de vulnerabilidad social tiene cobertura en los 12  corregimientos del municipio</t>
  </si>
  <si>
    <t>A diciembre de 2020, el proyecto de asistencia técnica agropecuaria para los adultos mayores campesinos en condición de vulnerabilidad social tiene cobertura en los 12  corregimientos del municipio</t>
  </si>
  <si>
    <t>A diciembre de 2021, el proyecto de asistencia técnica agropecuaria para los adultos mayores campesinos en condición de vulnerabilidad social tiene cobertura en los 12  corregimientos del municipio</t>
  </si>
  <si>
    <t>A diciembre de 2022, el proyecto de asistencia técnica agropecuaria para los adultos mayores campesinos en condición de vulnerabilidad social tiene cobertura en los 12  corregimientos del municipio</t>
  </si>
  <si>
    <t>A diciembre de 2023, el proyecto de asistencia técnica agropecuaria para los adultos mayores campesinos en condición de vulnerabilidad social tiene cobertura en los 12  corregimientos del municipio</t>
  </si>
  <si>
    <t>A diciembre de 2024, el proyecto de asistencia técnica agropecuaria para los adultos mayores campesinos en condición de vulnerabilidad social tiene cobertura en los 12  corregimientos del municipio</t>
  </si>
  <si>
    <t>A diciembre de 2025, el proyecto de asistencia técnica agropecuaria para los adultos mayores campesinos en condición de vulnerabilidad social tiene cobertura en los 12  corregimientos del municipio</t>
  </si>
  <si>
    <t>A diciembre de 2026, el proyecto de asistencia técnica agropecuaria para los adultos mayores campesinos en condición de vulnerabilidad social tiene cobertura en los 12  corregimientos del municipio</t>
  </si>
  <si>
    <t>A diciembre de 2027, el proyecto de asistencia técnica agropecuaria para los adultos mayores campesinos en condición de vulnerabilidad social tiene cobertura en los 12  corregimientos del municipio</t>
  </si>
  <si>
    <t>A diciembre de 2028, el proyecto de asistencia técnica agropecuaria para los adultos mayores campesinos en condición de vulnerabilidad social tiene cobertura en los 12  corregimientos del municipio</t>
  </si>
  <si>
    <t>Campesinos adultos mayores con conocimientos,  habilidades y acompañamiento técnico agropecuario.</t>
  </si>
  <si>
    <t>Número de corregimientos donde se desarrolla el proyecto de asistencia técnica agropecuaria para los adultos mayores campesinos en condición de vulnerabilidad social</t>
  </si>
  <si>
    <t>Corregimientos donde se desarrolla el proyecto de asistencia técnica agropecuaria para los adultos mayores campesinos en condición de vulnerabilidad social</t>
  </si>
  <si>
    <t>Falta apoyar la población indigena con capital productivo para potenciar la artesania propia de los embera chami y los embera katio.</t>
  </si>
  <si>
    <t xml:space="preserve">3. Apoyar y/o gestionar la financiación   y comercialización de proyectos de para la población adulta mayor </t>
  </si>
  <si>
    <t>A Dic de 2028, el 100% de adultos mayores que lo requieren cuentan con apoyo y acompañamiento en la formulación  de proyectos y en la  gestión para la financiación y comercialización.</t>
  </si>
  <si>
    <t>Adultos mayores  apoyados y acompañados en  la formulación de proyectos  y en la gestión para su financiación y comercialización</t>
  </si>
  <si>
    <t>% de adultos mayores apoyados y acompañados en la formulación de proyectos y en la  gestión para la financiación y comercialización</t>
  </si>
  <si>
    <t>6. Apoyo y acompañamiento a los adultos mayores en la presentación de proyectos de emprendimiento</t>
  </si>
  <si>
    <t>El apoyo para la presentación de proyectos implica capacitar a los adultos mayores en su formulación y se acompañan en la elaboración de estudios de mercado, de la propuesta, del presupuesto, del plan de acción y en el seguimiento.</t>
  </si>
  <si>
    <t>Adultos mayores interesados en la presentación de proyectos de emprendimiento</t>
  </si>
  <si>
    <t xml:space="preserve">A diciembre de 2019  tener 1 proyecto acompañado en su formulación y gestión para su financiación y comercialización 
</t>
  </si>
  <si>
    <t xml:space="preserve">A diciembre de 2020  tener 2 proyectos acompañados en su formulación y gestión para su financiación y comercialización 
</t>
  </si>
  <si>
    <t xml:space="preserve">A diciembre de 2021  tener 3  proyectos acompañados en su formulación y gestión para su financiación y comercialización 
</t>
  </si>
  <si>
    <t xml:space="preserve">A diciembre de 2022  tener  4 proyectos acompañados en su formulación y gestión para su financiación y comercialización 
</t>
  </si>
  <si>
    <t xml:space="preserve">A diciembre de 2023  tener  5 proyectos acompañados en su formulación y gestión para su financiación y comercialización 
</t>
  </si>
  <si>
    <t xml:space="preserve">A diciembre de 2024  tener  6 proyectos acompañados en su formulación y gestión para su financiación y comercialización 
</t>
  </si>
  <si>
    <t xml:space="preserve">A diciembre de 2025  tener  7 proyectos acompañados en su formulación y gestión para su financiación y comercialización 
</t>
  </si>
  <si>
    <t xml:space="preserve">A diciembre de 2026  tener  8 proyectos acompañados en su formulación y gestión para su financiación y comercialización 
</t>
  </si>
  <si>
    <t xml:space="preserve">A diciembre de 2027  tener  proyectos 9 acompañados en su formulación y gestión para su financiación y comercialización 
</t>
  </si>
  <si>
    <t xml:space="preserve">A diciembre de 2028  tener 10 proyectos acompañados en su formulación y gestión para su financiación y comercialización 
</t>
  </si>
  <si>
    <t xml:space="preserve">
Proyectos apoyados y acompañados en la formulación y gestión para su financiación y comercialización
</t>
  </si>
  <si>
    <t xml:space="preserve">
Número de Proyectos apoyados y acompañados en la formulación y gestión para su financiación y comercialización
</t>
  </si>
  <si>
    <t>Proyectos apoyados y acompañados en la formulación y gestión para su financiación y comercialización</t>
  </si>
  <si>
    <t>Secretaría de Planeación, Secretaría de Desarrollo Económico y Competitividad y Secretaría de Desarrollo Social y Político.</t>
  </si>
  <si>
    <t>Banca, entidades de cooperación</t>
  </si>
  <si>
    <t>No se comercializan productos elaborados por adultos mayores.</t>
  </si>
  <si>
    <t>Falta promover una rueda de negocios para venta de productos.</t>
  </si>
  <si>
    <t>Poca cobertura de recreación y deportes para adulto mayor.</t>
  </si>
  <si>
    <t>4. Promover la actividad física, recreativa y lúdica para vivir una vida digna, autónoma y uso del tiempo libre saludable en la población adulta mayor</t>
  </si>
  <si>
    <t>A Dic del 2028, sostener y ampliar las cobertura del 100% de los programas existentes en materia de actividad física, recreativa y lúdica para los adultos mayores</t>
  </si>
  <si>
    <t xml:space="preserve">Adultos mayores haciendo uso saludable de su tiempo libre en actividades, físicas, recreativas y lúdicas </t>
  </si>
  <si>
    <t>% de programas en materia de actividad física, recreativa y lúdica para los  adultos mayores  que se sostuvieron  con ampliación de coberturas</t>
  </si>
  <si>
    <t>7. Llevar la oferta institucional en deporte y recreación a los grupos de adultos mayores del municipio de Pereira</t>
  </si>
  <si>
    <t>La oferta en deporte y recreación para los adultos mayores se descentralizara hacia los grupos de adultos mayores del municipio de Pereira</t>
  </si>
  <si>
    <t xml:space="preserve">Grupos de adultos mayores de las diferentes comunas y corregimientos del municipio de Pereira </t>
  </si>
  <si>
    <t>A diciembre de 2019 beneficiar el 100% de los grupos de adulto mayor del municipio de Pereira de la oferta en deporte y recreación</t>
  </si>
  <si>
    <t>A diciembre de 2020 beneficiar el 100% de los grupos de adulto mayor del municipio de Pereira de la oferta en deporte y recreación</t>
  </si>
  <si>
    <t>A diciembre de 2021 beneficiar el 100% de los grupos de adulto mayor del municipio de Pereira de la oferta en deporte y recreación</t>
  </si>
  <si>
    <t>A diciembre de 2022 beneficiar el 100% de los grupos de adulto mayor del municipio de Pereira de la oferta en deporte y recreación</t>
  </si>
  <si>
    <t>A diciembre de 2023 beneficiar el 100% de los grupos de adulto mayor del municipio de Pereira de la oferta en deporte y recreación</t>
  </si>
  <si>
    <t>A diciembre de 2024 beneficiar el 100% de los grupos de adulto mayor del municipio de Pereira de la oferta en deporte y recreación</t>
  </si>
  <si>
    <t>A diciembre de 2025 beneficiar el 100% de los grupos de adulto mayor del municipio de Pereira de la oferta en deporte y recreación</t>
  </si>
  <si>
    <t>A diciembre de 2026 beneficiar el 100% de los grupos de adulto mayor del municipio de Pereira de la oferta en deporte y recreación</t>
  </si>
  <si>
    <t>A diciembre de 2027 beneficiar el 100% de los grupos de adulto mayor del municipio de Pereira de la oferta en deporte y recreación</t>
  </si>
  <si>
    <t>A diciembre de 2028 beneficiar el 100% de los grupos de adulto mayor del municipio de Pereira de la oferta en deporte y recreación</t>
  </si>
  <si>
    <t xml:space="preserve">Grupos de adultos mayores del municipio de Pereira beneficiarios de la oferta en deporte y recreación. </t>
  </si>
  <si>
    <t>% de  grupos de adulto mayor del municipio de Pereira beneficiados de la oferta en deporte y recreación</t>
  </si>
  <si>
    <t>Grupos de adulto mayor beneficiados de la oferta en deporte y recreación / Total de grupos de adulto mayor del municipio de Pereira *100</t>
  </si>
  <si>
    <t>Secretaría de Deportes y Recreación y  Secretaría de Desarrollo Social y Político</t>
  </si>
  <si>
    <t>Debil apoyo en recreación para adultos mayores.</t>
  </si>
  <si>
    <t>No hay acceso preferencial para actividades culturales y sitios de recreacion para el adulto mayor.</t>
  </si>
  <si>
    <t>5. Fomentar y cualificar la dimensión cultural en los adultos mayores</t>
  </si>
  <si>
    <t>A Dic del 2028, tener el 80% de los adultos mayores en situación de vulnerabilidad de las diferentes comunas y corregimientos del municipio de Pereira, cubierto con atención preferencial en la dimensión cultural</t>
  </si>
  <si>
    <t>Adultos mayores en situación de vulnerabilidad en comunas y corregimientos del municipio de Pereira, con atención preferencial en la dimensión cultural</t>
  </si>
  <si>
    <t>% de los adultos mayores en situación de vulnerabilidad de las diferentes comunas y corregimientos del municipio de Pereira, cubiertos con atención preferencial en la dimensión cultural</t>
  </si>
  <si>
    <t>8. Llevar la oferta institucional en cultura a los Centros de Protección Social  y Centros Vida para el adulto mayor del municipio de Pereira .</t>
  </si>
  <si>
    <t>La oferta cultural para los adultos mayores se descentralizara a los Centros de Protección Social  y Centros Vida para el adulto mayor del municipio de Pereira .</t>
  </si>
  <si>
    <t>Grupos de adultos mayores de los Centros de Protección Social  y Centros Vida para el adulto mayor del municipio de Pereira .</t>
  </si>
  <si>
    <t>A diciembre de 2019 beneficiar el 100%  de los Centros de Atencion para Adultos Mayores, del municipio de Pereira con la oferta  cultural  (CV y CBA). .</t>
  </si>
  <si>
    <t>A diciembre de 2020 beneficiar el 100%  de los Centros de Atencion para Adultos Mayores, del municipio de Pereira con la oferta  cultural  (CV y CBA). .</t>
  </si>
  <si>
    <t>A diciembre de 2021 beneficiar el 100%  de los Centros de Atencion para Adultos Mayores, del municipio de Pereira con la oferta  cultural  (CV y CBA). .</t>
  </si>
  <si>
    <t>A diciembre de 2022 beneficiar el 100%  de los Centros de Atencion para Adultos Mayores, del municipio de Pereira con la oferta  cultural  (CV y CBA). .</t>
  </si>
  <si>
    <t>A diciembre de 2023 beneficiar el 100%  de los Centros de Atencion para Adultos Mayores, del municipio de Pereira con la oferta  cultural  (CV y CBA). .</t>
  </si>
  <si>
    <t>A diciembre de 2024 beneficiar el 100%  de los Centros de Atencion para Adultos Mayores, del municipio de Pereira con la oferta  cultural  (CV y CBA). .</t>
  </si>
  <si>
    <t>A diciembre de 2025 beneficiar el 100%  de los Centros de Atencion para Adultos Mayores, del municipio de Pereira con la oferta  cultural  (CV y CBA). .</t>
  </si>
  <si>
    <t>A diciembre de 2026 beneficiar el 100%  de los Centros de Atencion para Adultos Mayores, del municipio de Pereira con la oferta  cultural  (CV y CBA). .</t>
  </si>
  <si>
    <t>A diciembre de 2027 beneficiar el 100%  de los Centros de Atencion para Adultos Mayores, del municipio de Pereira con la oferta  cultural  (CV y CBA). .</t>
  </si>
  <si>
    <t>A diciembre de 2028 beneficiar el 100%  de los Centros de Protección para Adultos Mayores del municipio de Pereira con la oferta  cultural.  (CV y CBA).</t>
  </si>
  <si>
    <t xml:space="preserve">Adultos Mayores de los Centros de Protección Social  y Centros Vida beneficiarios de la oferta institucional en Cultura </t>
  </si>
  <si>
    <t xml:space="preserve">% de Adultos Mayores de los Centros de Protección Social  y Centros Vida beneficiarios de la oferta institucional en Cultura </t>
  </si>
  <si>
    <t>Adultos Mayores de los Centros de Protección Social  y Centros Vida beneficiarios de la oferta institucional en Cultura / Total de adultos mayores beneficiarios de los CPSAM Y de los CV *100</t>
  </si>
  <si>
    <t>Deficientes programas ludicos (musica, teatro, danzas, etc), para adulto mayor.</t>
  </si>
  <si>
    <t>9. Implementar el programa de beneficios de pensión vitalicia o ahorro programado, para los gestores y creadores culturales del municipio de Pereira, con los recursos del 10% de la Estampilla Pro-Cultura.</t>
  </si>
  <si>
    <t xml:space="preserve">Los adultos mayores gestores y creadores culturales del municipio de Pereira, tendrán la oportunidad de vincularse a un fondo de ahorro y así obtener un subsidio para su vejez </t>
  </si>
  <si>
    <t>Adultos mayores gestores y creadores culturales del municipio de Pereira en condición de vulnerabilidad social</t>
  </si>
  <si>
    <t>A 2019 se atenderán 64 adultos mayores gestores y creadores culturales del municipio de Pereira en condición de vulnerabilidad, beneficiados del fondo de ahorro con subsidio para su vejez.</t>
  </si>
  <si>
    <t>A 2020 se atenderán 64 adultos mayores gestores y creadores culturales del municipio de Pereira en condición de vulnerabilidad, beneficiados del fondo de ahorro con subsidio para su vejez.</t>
  </si>
  <si>
    <t>A 2021 se atenderán 64 adultos mayores gestores y creadores culturales del municipio de Pereira en condición de vulnerabilidad, beneficiados del fondo de ahorro con subsidio para su vejez.</t>
  </si>
  <si>
    <t>A 2022 se atenderán 64 adultos mayores gestores y creadores culturales del municipio de Pereira en condición de vulnerabilidad, beneficiados del fondo de ahorro con subsidio para su vejez.</t>
  </si>
  <si>
    <t>A 2023 se atenderán 64 adultos mayores gestores y creadores culturales del municipio de Pereira en condición de vulnerabilidad, beneficiados del fondo de ahorro con subsidio para su vejez.</t>
  </si>
  <si>
    <t>A 2024 se atenderán 64 adultos mayores gestores y creadores culturales del municipio de Pereira en condición de vulnerabilidad, beneficiados del fondo de ahorro con subsidio para su vejez.</t>
  </si>
  <si>
    <t>A 2025 se atenderán 64 adultos mayores gestores y creadores culturales del municipio de Pereira en condición de vulnerabilidad, beneficiados del fondo de ahorro con subsidio para su vejez.</t>
  </si>
  <si>
    <t>A 2026 se atenderán 64 adultos mayores gestores y creadores culturales del municipio de Pereira en condición de vulnerabilidad, beneficiados del fondo de ahorro con subsidio para su vejez.</t>
  </si>
  <si>
    <t>A 2027 se atenderán 64 adultos mayores gestores y creadores culturales del municipio de Pereira en condición de vulnerabilidad, beneficiados del fondo de ahorro con subsidio para su vejez.</t>
  </si>
  <si>
    <t>A 2028 se atenderán 64 adultos mayores gestores y creadores culturales del municipio de Pereira en condición de vulnerabilidad, beneficiados del fondo de ahorro con subsidio para su vejez.</t>
  </si>
  <si>
    <t>Adultos mayores gestores y creadores culturales del municipio de Pereira beneficiados del fondo de ahorro con subsidio para su vejez.</t>
  </si>
  <si>
    <t xml:space="preserve">Número de adultos mayores gestores y creadores culturales del municipio de Pereira en condición de vulnerabilidad, beneficiados del fondo de ahorro con subsidio para su vejez. </t>
  </si>
  <si>
    <t xml:space="preserve">Adultos mayores gestores y creadores culturales del municipio de Pereira en condición de vulnerabilidad, beneficiados del fondo de ahorro con subsidio para su vejez. </t>
  </si>
  <si>
    <t>Perdida de la identidad cultural ancentral al emigrar a las zonas urbanas. Desplazamiento de las etnias a la ciudad, civilización: Estan perdiendo su soberania no solo alimentaria sino sus caracteristicas en su forma de vestir. Se solicita formación en soberania alimentaria y en confección de su ropa caracteristica.</t>
  </si>
  <si>
    <t>10. Formular diagnóstico sobre expresiones culturales de los adultos mayores del municipio de Pereira.</t>
  </si>
  <si>
    <t>La  secretaría de Cultura a través de instrumento de reelección de información previamente  validado; lo aplica a los adultos  mayores del municipio de Pereira con el fin de realizar diagnóstico sobre expresiones culturales</t>
  </si>
  <si>
    <t xml:space="preserve">A diciembre de 2020, Un diagnóstico elaborado sobre expresiones culturales de los adultos mayores del municipio de Pereira elaborado </t>
  </si>
  <si>
    <t xml:space="preserve">A diciembre de 2022,  un diagnóstico actualizado sobre expresiones culturales de los adultos mayores del municipio de Pereira actualizado </t>
  </si>
  <si>
    <t xml:space="preserve">A diciembre de 2024, Un diagnóstico  actualizado sobre expresiones culturales de los adultos mayores del municipio de Pereira actualizado </t>
  </si>
  <si>
    <t xml:space="preserve">A diciembre de 2026, Un diagnóstico  actualizado sobre expresiones culturales de los adultos mayores del municipio de Pereira actualizado </t>
  </si>
  <si>
    <t xml:space="preserve">A diciembre de 2028, Un diagnóstico elaborado y actualizado sobre expresiones culturales de los adultos mayores del municipio de Pereira </t>
  </si>
  <si>
    <t>Diagnóstico sobre expresiones culturales de los adultos mayores del municipio de Pereira.</t>
  </si>
  <si>
    <t>Un diagnóstico sobre expresiones culturales de los adultos mayores del municipio de Pereira.</t>
  </si>
  <si>
    <t xml:space="preserve">Falta liderazgo de miembros de la comunidad indigena, afros  y en condición de discapacidad para promover la participación en actividades relacionadas con el adulto mayopr </t>
  </si>
  <si>
    <t>6. Promover la organización y  participación de los grupos de adulto mayor teniendo en cuenta enfoque diferencial y de género</t>
  </si>
  <si>
    <t>A diciembre de 2028  se ha Promovido la organización y  participación del 100% de   grupos de adulto mayor del municipio de Pereira,  teniendo en cuenta enfoque diferencial y de género</t>
  </si>
  <si>
    <t>Grupos de adulto mayor con promoción hacia la organización y participación</t>
  </si>
  <si>
    <t>% de   grupos de adulto mayor del municipio de Pereira</t>
  </si>
  <si>
    <t>11. Promover  la organización de grupos de adulto mayor con enfoque diferencial y de género</t>
  </si>
  <si>
    <t>En los grupos de adulto mayor del municipio, se promoverá su organización y participación, teniendo en cuenta enfoque diferencial y de género</t>
  </si>
  <si>
    <t>Grupos de Adulto  Mayor del Municipio de Pereira</t>
  </si>
  <si>
    <t xml:space="preserve">
A diciembre de 2019 se ha promovido la organización y participación con enfoque diferencial y de género en los 168 grupos de adultos mayores del municipio de Pereira</t>
  </si>
  <si>
    <t xml:space="preserve">
A diciembre de 2020 se ha promovido la organización y participación con enfoque diferencial y de género en los 168 grupos de adultos mayores del municipio de Pereira</t>
  </si>
  <si>
    <t xml:space="preserve">
A diciembre de 2021 se ha promovido la organización y participación con enfoque diferencial y de género en los 168 grupos de adultos mayores del municipio de Pereira</t>
  </si>
  <si>
    <t xml:space="preserve">
A diciembre de 2022 se ha promovido la organización y participación con enfoque diferencial y de género en los 168 grupos de adultos mayores del municipio de Pereira</t>
  </si>
  <si>
    <t xml:space="preserve">
A diciembre de 2023 se ha promovido la organización y participación con enfoque diferencial y de género en los 168 grupos de adultos mayores del municipio de Pereira</t>
  </si>
  <si>
    <t xml:space="preserve">
A diciembre de 2024 se ha promovido la organización y participación con enfoque diferencial y de género en los 168 grupos de adultos mayores del municipio de Pereira</t>
  </si>
  <si>
    <t xml:space="preserve">
A diciembre de 2025 se ha promovido la organización y participación con enfoque diferencial y de género en los 168 grupos de adultos mayores del municipio de Pereira</t>
  </si>
  <si>
    <t xml:space="preserve">
A diciembre de 2026 se ha promovido la organización y participación con enfoque diferencial y de género en los 168 grupos de adultos mayores del municipio de Pereira</t>
  </si>
  <si>
    <t xml:space="preserve">
A diciembre de 2027 se ha promovido la organización y participación con enfoque diferencial y de género en los 168 grupos de adultos mayores del municipio de Pereira</t>
  </si>
  <si>
    <t xml:space="preserve">
A diciembre de 2028 se ha promovido la organización y participación con enfoque diferencial y de género en los 168 grupos de adultos mayores del municipio de Pereira</t>
  </si>
  <si>
    <t xml:space="preserve">
Grupos de Adulto  Mayor con promoción de su organización y participación, teniendo en cuenta enfoque diferencial y de género</t>
  </si>
  <si>
    <t xml:space="preserve">
Número de Grupos de Adulto  Mayor en los que se ha  promovido su  organización y participación, teniendo en cuenta enfoque diferencial y de género</t>
  </si>
  <si>
    <t>Grupos de Adulto  Mayor en los que se ha  promovido su  organización y participación, teniendo en cuenta enfoque diferencial y de género</t>
  </si>
  <si>
    <t>No existen espacios de preparación para el transito a la vida de adulto mayor.</t>
  </si>
  <si>
    <t>1.Fortalecer la investigación, la transferencia de conocimiento y capacidad sobre los procesos multidimensionales que involucran al adulto mayor</t>
  </si>
  <si>
    <t>A Diciembre de  2028, tener 10 investigaciones con transferencia de conocimientos sobre los procesos multidimensionales relacionados con la población adulta mayor</t>
  </si>
  <si>
    <t>Procesos investigativos y de transferencia de conocimientos realizados, considerando aspectos multidimensionales relacionados con la población adulta mayor</t>
  </si>
  <si>
    <t>Número de investigaciones con transferencia de conocimientos relacionados con la población adulta mayor</t>
  </si>
  <si>
    <t>1.  Fomentar procesos investigativos  en torno al adulto mayor.</t>
  </si>
  <si>
    <t xml:space="preserve">El municipio de Pereira establecerá alianzas estratégicas con Instituciones de Educación superior  para el fomento de la invetigación en torno al adulto mayor considerando entre otros aspectos la medina ancestral </t>
  </si>
  <si>
    <t>A diciembre de 2019  se ha realizado 1 alianza estratégicas con Instituciones de Educación superior  para el fomento de la investigación en torno al adulto mayor</t>
  </si>
  <si>
    <t xml:space="preserve">A diciembre de 2020 se han realizado 2 alianzas estratégicas con Instituciones de Educación superior  para el fomento de la investigación  en torno al adulto mayor </t>
  </si>
  <si>
    <t xml:space="preserve">A diciembre de 2021 se han 3 realizado  alianzas estratégicas con Instituciones de Educación superior  para el fomento de la investigación en torno al adulto mayor </t>
  </si>
  <si>
    <t xml:space="preserve">A diciembre de 2022 se han realizado 4 alianzas estratégicas con Instituciones de Educación superior  para el fomento de la investigación en torno al adulto mayor </t>
  </si>
  <si>
    <t xml:space="preserve">A diciembre de 2023 se han realizado 5 alianzas estratégicas con Instituciones de Educación superior  para el fomento de la investigación en torno al adulto mayor </t>
  </si>
  <si>
    <t xml:space="preserve">A diciembre de 2024 se han 6 realizado  alianzas estratégicas con Instituciones de Educación superior  para el fomento de la investigación en torno al adulto mayor </t>
  </si>
  <si>
    <t xml:space="preserve">A diciembre de 2025 se han realizado 7 alianzas estratégicas con Instituciones de Educación superior  para el fomento de la investigación en torno al adulto mayor </t>
  </si>
  <si>
    <t xml:space="preserve">A diciembre de 2026 se han realizado 8 alianzas estratégicas con Instituciones de Educación superior  para el fomento de la investigación en torno al adulto mayor </t>
  </si>
  <si>
    <t xml:space="preserve">A diciembre de 2027 se han realizado 9 alianzas estratégicas con Instituciones de Educación superior  para el fomento de la investigación en torno al adulto mayor </t>
  </si>
  <si>
    <t>A diciembre de 2028 se han realizado 10 alianzas estratégicas con Instituciones de Educación superior  para el fomento de la investigación en torno al adulto mayor</t>
  </si>
  <si>
    <t xml:space="preserve">Investigación en torno al adulto mayor realizada a través de alianzas estratégicas con Instituciones de Educación superior  </t>
  </si>
  <si>
    <t>Número de alianzas estratégicas realizadas con Instituciones de Educación superior  para el fomento de la investigación en torno al adulto mayor</t>
  </si>
  <si>
    <t>Alianzas estratégicas realizadas con Instituciones de Educación superior  para el fomento de la investigación en torno al adulto mayor</t>
  </si>
  <si>
    <t>No hay transferencia de conocimiento de procesos.</t>
  </si>
  <si>
    <t>2. Crear programas postgraduales especializados en atención integral al adulto mayor.</t>
  </si>
  <si>
    <t>Las instituciones de educación superior crearan programas de post grado para la atención integral al adulto mayor</t>
  </si>
  <si>
    <t>Población interesada en post grados relacionada con el adulto mayor</t>
  </si>
  <si>
    <t>A diciembre de 2024 Como mínimo un programa de post grado en atención integral al adulto mayor ejecutado</t>
  </si>
  <si>
    <t>A diciembre de 2025 Como mínimo un programa de post grado en atención integral al adulto mayor ejecutado</t>
  </si>
  <si>
    <t>A diciembre de 2026 Como mínimo un programa de post grado en atención integral al adulto mayor ejecutado</t>
  </si>
  <si>
    <t>A diciembre de 2027 Como mínimo un programa de post grado en atención integral al adulto mayor ejecutado</t>
  </si>
  <si>
    <t>A diciembre de 2028 Como mínimo un programa de post grado en atención integral al adulto mayor ejecutado</t>
  </si>
  <si>
    <t xml:space="preserve">Programa de post grado en atención integral al adulto mayor </t>
  </si>
  <si>
    <t>Un programa de post grado en atención integral al adulto mayor</t>
  </si>
  <si>
    <t xml:space="preserve"> Programa de post grado en atención integral al adulto mayor</t>
  </si>
  <si>
    <t>3. Incluir en la formación de primaria y secundaria secuencias pedagógicas relacionados con la política pública adulto mayor.</t>
  </si>
  <si>
    <t>Mediante circular remitida por la secretaría de educación se solicitará  a  las instituciones educativas de primaria y secundaria la inclusión de secuencias pedagógicas relacionados con la política pública de adulto mayor.</t>
  </si>
  <si>
    <t>Población escolarizada de primaria y secundaría</t>
  </si>
  <si>
    <t>A diciembre de 2019  el 100% de instituciones educativas de primaria y secundaria han  desarrollado secuencias pedagógicas relacionados con la política pública de adulto mayor.</t>
  </si>
  <si>
    <t>A diciembre de 2020 el 100% de instituciones educativas de primaria y secundaria han  desarrollado secuencias pedagógicas relacionados con la política pública de adulto mayor.</t>
  </si>
  <si>
    <t>A diciembre de 2021 el 100% de instituciones educativas de primaria y secundaria han  desarrollado secuencias pedagógicas relacionados con la política pública de adulto mayor.</t>
  </si>
  <si>
    <t>A diciembre de 2022 el 100% de instituciones educativas de primaria y secundaria han  desarrollado secuencias pedagógicas relacionados con la política pública de adulto mayor.</t>
  </si>
  <si>
    <t>A diciembre de 2023 el 100% de instituciones educativas de primaria y secundaria han  desarrollado secuencias pedagógicas relacionados con la política pública de adulto mayor.</t>
  </si>
  <si>
    <t>A diciembre de 2024 el 100% de instituciones educativas de primaria y secundaria han  desarrollado secuencias pedagógicas relacionados con la política pública de adulto mayor.</t>
  </si>
  <si>
    <t>A diciembre de 2025 el 100% de instituciones educativas de primaria y secundaria han  desarrollado secuencias pedagógicas relacionados con la política pública de adulto mayor.</t>
  </si>
  <si>
    <t>A diciembre de 2026 el 100% de instituciones educativas de primaria y secundaria han  desarrollado secuencias pedagógicas relacionados con la política pública de adulto mayor.</t>
  </si>
  <si>
    <t>A diciembre de 2027 el 100% de instituciones educativas de primaria y secundaria han  desarrollado secuencias pedagógicas relacionados con la política pública de adulto mayor.</t>
  </si>
  <si>
    <t>A diciembre de 2028 el 100% de instituciones educativas de primaria y secundaria han  desarrollado secuencias pedagógicas relacionadas con la política pública de adulto mayor.</t>
  </si>
  <si>
    <t xml:space="preserve">Secuencias pedagógicas relacionadas con la política pública de adulto mayor realizadas en las IE de primaria y secundaria. </t>
  </si>
  <si>
    <t>% de instituciones educativas de primaria y secundaria que han desarrollado secuencias pedagógicas relacionadas con la política pública de adulto mayor.</t>
  </si>
  <si>
    <t>Instituciones educativas de primaria y secundaria que han desarrollado secuencias pedagógicas relacionados con la política pública de adulto mayor  / Total de  Instituciones Educativas de primaria y secundaria*100.</t>
  </si>
  <si>
    <t>4. Diseñar programas sobre estilos de vida saludables, estimulación cognitiva, preparación para el retiro laboral, acompañamiento al adulto mayor en casa.</t>
  </si>
  <si>
    <t>Las instituciones de educación superior crearan programas de formación bien sea cursos, talleres o diplomados relacionados con estilos de vida saludables, estimulación cognitiva, preparación para el retiro laboral, acompañamiento al adulto mayor en casa.</t>
  </si>
  <si>
    <t>Población interesada en temática relacionada con el adulto mayor</t>
  </si>
  <si>
    <t>A diciembre de 2019 como mínimo 1 programa de formación sobre estilos de vida saludables, estimulación cognitiva, preparación para el retiro laboral y acompañamiento al adulto mayor en casa (uno por vigencia)</t>
  </si>
  <si>
    <t>A diciembre de 2020 como mínimo 2 programas de formación sobre estilos de vida saludables, estimulación cognitiva, preparación para el retiro laboral y acompañamiento al adulto mayor en casa (uno por vigencia)</t>
  </si>
  <si>
    <t>A diciembre de 2021 como mínimo 3 programas de formación sobre estilos de vida saludables, estimulación cognitiva, preparación para el retiro laboral y acompañamiento al adulto mayor en casa (uno por vigencia)</t>
  </si>
  <si>
    <t>A diciembre de 2022 como mínimo 4 programas de formación sobre estilos de vida saludables, estimulación cognitiva, preparación para el retiro laboral y acompañamiento al adulto mayor en casa (uno por vigencia)</t>
  </si>
  <si>
    <t>A diciembre de 2023 como mínimo 5 programas de formación sobre estilos de vida saludables, estimulación cognitiva, preparación para el retiro laboral y acompañamiento al adulto mayor en casa (uno por vigencia)</t>
  </si>
  <si>
    <t>A diciembre de 2024 como mínimo 6 programas de formación sobre estilos de vida saludables, estimulación cognitiva, preparación para el retiro laboral y acompañamiento al adulto mayor en casa (uno por vigencia)</t>
  </si>
  <si>
    <t>A diciembre de 2025 como mínimo 7 programas de formación sobre estilos de vida saludables, estimulación cognitiva, preparación para el retiro laboral y acompañamiento al adulto mayor en casa (uno por vigencia)</t>
  </si>
  <si>
    <t>A diciembre de 2026 como mínimo 8 programas de formación sobre estilos de vida saludables, estimulación cognitiva, preparación para el retiro laboral y acompañamiento al adulto mayor en casa (uno por vigencia)</t>
  </si>
  <si>
    <t>A diciembre de 2027 como mínimo 9 programas de formación sobre estilos de vida saludables, estimulación cognitiva, preparación para el retiro laboral y acompañamiento al adulto mayor en casa (uno por vigencia)</t>
  </si>
  <si>
    <t>A diciembre de 2028 como mínimo 10 programas de formación sobre estilos de vida saludables, estimulación cognitiva, preparación para el retiro laboral y acompañamiento al adulto mayor en casa (uno por vigencia)</t>
  </si>
  <si>
    <t>Programa de formación sobre estilos de vida saludables, estimulación cognitiva, preparación para el retiro laboral y acompañamiento al adulto mayor.</t>
  </si>
  <si>
    <t xml:space="preserve">Número de programas de formación sobre estilos de vida saludables, estimulación cognitiva, preparación para el retiro laboral y acompañamiento al adulto mayor en casa </t>
  </si>
  <si>
    <t xml:space="preserve"> Programas de formación sobre estilos de vida saludables, estimulación cognitiva, preparación para el retiro laboral y acompañamiento al adulto mayor en casa </t>
  </si>
  <si>
    <t>Falta fortalecer las convergencias institucionales entre estudios de epidemiologia del adulto mayor con las instituciones de atención integral.</t>
  </si>
  <si>
    <t>5. Institucionalizar un congreso anual de transferencia de conocimientos de las investigaciones sobre adulto mayor y temas afines.</t>
  </si>
  <si>
    <t>Las instituciones de educación superior y la administración municipal realizarán un congreso anual de transferencia de conocimientos de las investigaciones sobre adulto mayor y temas afines</t>
  </si>
  <si>
    <t>Población en general interesada en temas relacionados con el adulto mayor</t>
  </si>
  <si>
    <t xml:space="preserve">A diciembre de 2019 realizar 1 congreso de transferencia de conocimientos de las investigaciones sobre adulto mayor y temas afines. </t>
  </si>
  <si>
    <t xml:space="preserve">A diciembre de 2020 realizar 2 congresos de transferencia de conocimientos de las investigaciones sobre adulto mayor y temas afines. </t>
  </si>
  <si>
    <t xml:space="preserve">A diciembre de 2021 realizar 3 congresos de transferencia de conocimientos de las investigaciones sobre adulto mayor y temas afines. </t>
  </si>
  <si>
    <t xml:space="preserve">A diciembre de 2022 realizar 4 congresos de transferencia de conocimientos de las investigaciones sobre adulto mayor y temas afines. </t>
  </si>
  <si>
    <t xml:space="preserve">A diciembre de 2023 realizar 5 congresos de transferencia de conocimientos de las investigaciones sobre adulto mayor y temas afines. </t>
  </si>
  <si>
    <t xml:space="preserve">A diciembre de 2024 realizar 6 congresos de transferencia de conocimientos de las investigaciones sobre adulto mayor y temas afines. </t>
  </si>
  <si>
    <t xml:space="preserve">A diciembre de 2025 realizar 7 congresos de transferencia de conocimientos de las investigaciones sobre adulto mayor y temas afines. </t>
  </si>
  <si>
    <t xml:space="preserve">A diciembre de 2026 realizar 8 congresos de transferencia de conocimientos de las investigaciones sobre adulto mayor y temas afines. </t>
  </si>
  <si>
    <t xml:space="preserve">A diciembre de 2027 realizar 9 congresos de transferencia de conocimientos de las investigaciones sobre adulto mayor y temas afines. </t>
  </si>
  <si>
    <t>A diciembre de 2028 realizar 10 congresos de transferencia de conocimientos de las investigaciones sobre adulto mayor y temas afines. (Uno por vigencia)</t>
  </si>
  <si>
    <t>Transferencia de conocimientos a la población interesada en la temática del adulto mayor</t>
  </si>
  <si>
    <t>Número de congresos realizados de transferencia de conocimientos de las investigaciones sobre adulto mayor y temas afines</t>
  </si>
  <si>
    <t xml:space="preserve"> Congresos realizados de transferencia de conocimientos de las investigaciones sobre adulto mayor y temas afines</t>
  </si>
  <si>
    <t>Falta vincular en los circulos de las instituciones educativas el componente del proyecto de vida.</t>
  </si>
  <si>
    <t>Debilidad en la implementación del programa de formación al adulto mayor por EJ: SENA.</t>
  </si>
  <si>
    <t xml:space="preserve">2. Promover procesos de formacion formal y no formal en envejecimiento humano y vejez dirigidos a los  cuidadores y personas que tienen interacción con el adulto mayor </t>
  </si>
  <si>
    <t xml:space="preserve">A Dic del 2028, tener 10 procesos de formación formal o no formal en envejecimiento humano y vejez dirigidos a los  cuidadores y personas que tienen interacción con el adulto mayor </t>
  </si>
  <si>
    <t xml:space="preserve">Cuidadores y personas que tienen interacción con adultos mayores,  capacitados en conocimientos, herramientas y métodos relacionados con el proceso  de envejecimiento humano y vejez </t>
  </si>
  <si>
    <t xml:space="preserve">Número de  procesos de formación formal o no formal en envejecimiento humano y vejez dirigidos a los  cuidadores y personas que tienen interacción con el adulto mayor </t>
  </si>
  <si>
    <t>6. Diseñar y socializar una metodología de enseñanza a los adultos mayores.</t>
  </si>
  <si>
    <t>La Secretaría de Educación conjuntamente con las universidades diseñara y socializara una metodología para realizar procesos de formación dirigidos a la población adulta mayor.</t>
  </si>
  <si>
    <t>Cuidadores y personas que tienen interacción con adultos mayores</t>
  </si>
  <si>
    <t xml:space="preserve">A diciembre de 2019 se ha diseñado y realizado 1 proceso de socialización de la metodología de enseñanza a los adultos mayores  </t>
  </si>
  <si>
    <t>A diciembre de 2020  se han realizado 2  procesos de socialización de la metodología de enseñanza a los adultos mayores  (uno por vigencia)</t>
  </si>
  <si>
    <t>A diciembre de 2021  se han  realizado 3 procesos de socialización de la metodología de enseñanza a los adultos mayores  (uno por vigencia)</t>
  </si>
  <si>
    <t>A diciembre de 2022  se han  realizado 4 procesos de socialización de la metodología de enseñanza a los adultos mayores  (uno por vigencia)</t>
  </si>
  <si>
    <t>A diciembre de 2023  se han  realizado 5 procesos de socialización de la metodología de enseñanza a los adultos mayores  (uno por vigencia)</t>
  </si>
  <si>
    <t>A diciembre de 2024  se han  realizado 6 procesos de socialización de la metodología de enseñanza a los adultos mayores  (uno por vigencia)</t>
  </si>
  <si>
    <t>A diciembre de 2025  se han  realizado 7 procesos de socialización de la metodología de enseñanza a los adultos mayores  (uno por vigencia)</t>
  </si>
  <si>
    <t>A diciembre de 2026  se han realizado 8 procesos de socialización de la metodología de enseñanza a los adultos mayores  (uno por vigencia)</t>
  </si>
  <si>
    <t>A diciembre de 2027  se han  realizado 9 procesos de socialización de la metodología de enseñanza a los adultos mayores  (uno por vigencia)</t>
  </si>
  <si>
    <t>A diciembre de 2028  diseñar y realizar 10 procesos de socialización de la metodología de enseñanza a los adultos mayores  (uno por vigencia)</t>
  </si>
  <si>
    <t>Metodología de enseñanza a los adultos mayores diseñada y socializada anualmente</t>
  </si>
  <si>
    <t xml:space="preserve">Número de procesos de socialización realizados de la metodología diseñada para la enseñanza a los adultos mayores  </t>
  </si>
  <si>
    <t>Procesos de socialización realizados de la metodología diseñada para la enseñanza a los adultos mayores  .</t>
  </si>
  <si>
    <t>Carencia de formación en atención al adulto mayor.</t>
  </si>
  <si>
    <t>Falta de capacitación en los monitores de los grupos de adulto mayor.</t>
  </si>
  <si>
    <t>7. Capacitar y certificar a los monitores,  cuidadores y personas que tienen interacción con el adulto mayor en envejecimiento humano y vejez, organización, participación y administración de grupos de adultos mayores.</t>
  </si>
  <si>
    <t>Se gestionara capacitación y certificación relacionada con los procesos de envejecimiento humano y vejez, organización, participación y administración de grupos de adultos mayores con una institución educativa reconocida (SENA,  COMFAMILIAR o ESAP entre otras).</t>
  </si>
  <si>
    <t>Monitores, cuidadores y personas que tienen interacción con el adulto mayor.</t>
  </si>
  <si>
    <t>A diciembre de 2019 se ha realizaco 1 diplomado sobre temática relacionada con el adulto mayor, dirigido a  los monitores, cuidadores y personas que tienen interacción con el adulto mayor, concediendo las respectivas certificaciones</t>
  </si>
  <si>
    <t>A diciembre de 2020 se han realizado 2 diplomados sobre temática relacionada con el adulto mayor, dirigido a  los monitores, cuidadores y personas que tienen interacción con el adulto mayor, concediendo las respectivas certificaciones</t>
  </si>
  <si>
    <t>A diciembre de 2021 se han  realizado 3 diplomados sobre temática relacionada con el adulto mayor, dirigido a  los monitores, cuidadores y personas que tienen interacción con el adulto mayor, concediendo las respectivas certificaciones</t>
  </si>
  <si>
    <t>A diciembre de 2022 se han realizado 4 diplomados sobre temática relacionada con el adulto mayor, dirigido a  los monitores, cuidadores y personas que tienen interacción con el adulto mayor, concediendo las respectivas certificaciones</t>
  </si>
  <si>
    <t>A diciembre de 2023 se han realizado 5 diplomados sobre temática relacionada con el adulto mayor, dirigido a  los monitores, cuidadores y personas que tienen interacción con el adulto mayor, concediendo las respectivas certificaciones</t>
  </si>
  <si>
    <t>A diciembre de 2024  se han realizado 6 diplomados sobre temática relacionada con el adulto mayor, dirigido a  los monitores, cuidadores y personas que tienen interacción con el adulto mayor, concediendo las respectivas certificaciones</t>
  </si>
  <si>
    <t>A diciembre de 2025 se han realizado 7 diplomados sobre temática relacionada con el adulto mayor, dirigido a  los monitores, cuidadores y personas que tienen interacción con el adulto mayor, concediendo las respectivas certificaciones</t>
  </si>
  <si>
    <t>A diciembre de 2026  se han realizado 8 diplomados sobre temática relacionada con el adulto mayor, dirigido a  los monitores, cuidadores y personas que tienen interacción con el adulto mayor, concediendo las respectivas certificaciones</t>
  </si>
  <si>
    <t>A diciembre de 2027 se han realizado 9 diplomados sobre temática relacionada con el adulto mayor, dirigido a  los monitores, cuidadores y personas que tienen interacción con el adulto mayor, concediendo las respectivas certificaciones</t>
  </si>
  <si>
    <t>A diciembre de 2028 se han realizado 10 diplomados sobre temática relacionada con el adulto mayor, dirigido a  los monitores, cuidadores y personas que tienen interacción con el adulto mayor, concediendo las respectivas certificaciones (uno por vigencia)</t>
  </si>
  <si>
    <t>Monitores,  cuidadores y personas que tienen interacción con el adulto mayor con conocimientos técnicos y metodológicos relacionados con envejecimiento humano y vejez,  organización, participación y administración de grupos de adultos mayores</t>
  </si>
  <si>
    <t>Número de diplomados realizados sobre temática relacionada con el adulto mayor, dirigido a  los monitores, cuidadores y personas que tienen interacción con el adulto mayor, concediendo las respectivas certificaciones</t>
  </si>
  <si>
    <t>Diplomados realizados sobre temática relacionada con el adulto mayor, dirigido a  los monitores, cuidadores y personas que tienen interacción con el adulto mayor, concediendo las respectivas certificaciones</t>
  </si>
  <si>
    <t>No existen espacios de formación que permitan y faciliten el dialogo intergeneracional de saberes.</t>
  </si>
  <si>
    <t xml:space="preserve">8.Realizar 1 vez al año un encuentro intergeneracional con la población adulta mayor  con  perspectiva diferencial y de género en las instituciones educativas.  </t>
  </si>
  <si>
    <t xml:space="preserve">Bajo el liderazgo de la Secretaria de Educación y la Secretaría de Desarrollo Social, se realizará anualmente con todos los actores involucrados en la política un encuentro intergeneracional con la población adulta mayor  con  perspectiva diferencial y de género </t>
  </si>
  <si>
    <t>Adultos mayores y población estudiantil de primaria y secundaría</t>
  </si>
  <si>
    <t>A diciembre de 2019 se han realizado 2 encuentros intergeneracionales mayor  con  perspectiva diferencial y de género entre estudiantes de las instituciones educativas y adultos mayores  (1 en la zona urbano y 1 en la zona rural)</t>
  </si>
  <si>
    <t>A diciembre de 2020 se han realizado 4 encuentros intergeneracionales mayor  con  perspectiva diferencial y de género entre estudiantes de las instituciones educativas y adultos mayores  (2 en la zona urbano y 2 en la zona rural)</t>
  </si>
  <si>
    <t>A diciembre de 2021 se han realizado 6 encuentros intergeneracionales mayor  con  perspectiva diferencial y de género entre estudiantes de las instituciones educativas y adultos mayores  (3 en la zona urbano y 3 en la zona rural)</t>
  </si>
  <si>
    <t>A diciembre de 2022 se han realizado 8 encuentros intergeneracionales mayor  con  perspectiva diferencial y de género entre estudiantes de las instituciones educativas y adultos mayores  (4 en la zona urbano y 4 en la zona rural)</t>
  </si>
  <si>
    <t>A diciembre de 2023 se han realizado 10 encuentros intergeneracionales mayor  con  perspectiva diferencial y de género entre estudiantes de las instituciones educativas y adultos mayores  (5 en la zona urbano y 5 en la zona rural)</t>
  </si>
  <si>
    <t>A diciembre de 2024 se han realizado 12 encuentros intergeneracionales mayor  con  perspectiva diferencial y de género entre estudiantes de las instituciones educativas y adultos mayores  (6 en la zona urbano y 6 en la zona rural)</t>
  </si>
  <si>
    <t>A diciembre de 2025 se han realizado 14 encuentros intergeneracionales mayor  con  perspectiva diferencial y de género entre estudiantes de las instituciones educativas y adultos mayores  (7 en la zona urbano y 7 en la zona rural)</t>
  </si>
  <si>
    <t>A diciembre de 2026 se han realizado 16 encuentros intergeneracionales mayor  con  perspectiva diferencial y de género entre estudiantes de las instituciones educativas y adultos mayores  (8 en la zona urbano y 8 en la zona rural)</t>
  </si>
  <si>
    <t>A diciembre de 2027  se han realizado 18 encuentros intergeneracionales mayor  con  perspectiva diferencial y de género entre estudiantes de las instituciones educativas y adultos mayores  (9 en la zona urbano y 9 en la zona rural)</t>
  </si>
  <si>
    <t>A diciembre de 2028  se han realizado 20 encuentros intergeneracionales mayor  con  perspectiva diferencial y de género entre estudiantes de las instituciones educativas y adultos mayores (10 en la zona urbano y 10 en la zona rural)</t>
  </si>
  <si>
    <t xml:space="preserve">Adultos mayores y estudiantes de las instituciones educativas con intercambio de conocimientos y experiencias intergeneracionales </t>
  </si>
  <si>
    <t>Número de encuentros intergeneracionales  con  perspectiva diferencial y de género realizados entre estudiantes de las instituciones educativas y adultos mayores</t>
  </si>
  <si>
    <t>Encuentros intergeneracionales con perspectiva diferencial y de género realizados entre estudiantes de las instituciones educativas y adultos mayores</t>
  </si>
  <si>
    <t>Secretaría de Desarrollo Social y Político, Secretaría de Cultura, Secretaría de  Deportes,  Secretaría de Salud,  Secretaría de  Desarrollo económico y competitividad,  Secretaría de  Desarrollo Rural,  Secretaría de Gobierno,   Secretaría de  Educación, Instituto de movilidad, Ese Salud Pereira.</t>
  </si>
  <si>
    <t>Grupos de adulto mayor  y Universidades</t>
  </si>
  <si>
    <t>No se reconoce, ni estimula  la labor del los adutos mayores</t>
  </si>
  <si>
    <t>3. Resaltar la labor realizada por  adultos mayores a nivel territorial  y por organizaciones en favor de este grupo poblacional</t>
  </si>
  <si>
    <t>A diciembre de 2028  se han realizado 10 eventos para  resaltar la labor realizada por  adultos mayores a nivel territorial  y por organizaciones en favor de este grupo poblacional</t>
  </si>
  <si>
    <t>Adultos mayores y organizaciones a quienes se les resalta  la labor realizada  a nivel territorial  y  en favor de este grupo poblacional</t>
  </si>
  <si>
    <t>Número de eventos realizados  para  resaltar la labor realizada por  adultos mayores a nivel territorial  y por organizaciones en favor de este grupo poblacional</t>
  </si>
  <si>
    <t>9. Reconocimiento a adultos mayores destacados  y a organizaciones por la labor realizada en favor de este grupo poblacional</t>
  </si>
  <si>
    <t>Anualmente se organizara un evento en el que se realizara un reconocimiento público mediante  acto administrativo a adultos mayores destacados por su labor a nivel territorial  y a organizaciones por la labor realizada en favor de este grupo poblacional</t>
  </si>
  <si>
    <t>Adultos mayores y organizaciones que realizan labores en favor de este grupo poblacional</t>
  </si>
  <si>
    <t>A diciembre de 2019 se ha realizado 1 evento de reconocimiento público  a adultos mayores destacados por su labor a nivel territorial  y a organizaciones por la labor realizada en favor de este grupo poblacional</t>
  </si>
  <si>
    <t>A diciembre de 2020 se han realizado 2 eventos de reconocimiento público  a adultos mayores destacados por su labor a nivel territorial  y a organizaciones por la labor realizada en favor de este grupo poblacional</t>
  </si>
  <si>
    <t>A diciembre de 2021 se han realizado 3 eventos de reconocimiento público  a adultos mayores destacados por su labor a nivel territorial  y a organizaciones por la labor realizada en favor de este grupo poblacional</t>
  </si>
  <si>
    <t>A diciembre de 2022 se han realizado 4 eventos de reconocimiento público  a adultos mayores destacados por su labor a nivel territorial  y a organizaciones por la labor realizada en favor de este grupo poblacional</t>
  </si>
  <si>
    <t>A diciembre de 2023 se han realizado 5 eventos de reconocimiento público  a adultos mayores destacados por su labor a nivel territorial  y a organizaciones por la labor realizada en favor de este grupo poblacional</t>
  </si>
  <si>
    <t>A diciembre de 2024 se han realizado 6 eventos de reconocimiento público  a adultos mayores destacados por su labor a nivel territorial  y a organizaciones por la labor realizada en favor de este grupo poblacional</t>
  </si>
  <si>
    <t>A diciembre de 2025 se han realizado 7 eventos de reconocimiento público  a adultos mayores destacados por su labor a nivel territorial  y a organizaciones por la labor realizada en favor de este grupo poblacional</t>
  </si>
  <si>
    <t>A diciembre de 2026 se han realizado 8 eventos de reconocimiento público  a adultos mayores destacados por su labor a nivel territorial  y a organizaciones por la labor realizada en favor de este grupo poblacional</t>
  </si>
  <si>
    <t>A diciembre de 2027 se han realizado 9 eventos de reconocimiento público  a adultos mayores destacados por su labor a nivel territorial  y a organizaciones por la labor realizada en favor de este grupo poblacional</t>
  </si>
  <si>
    <t>A diciembre de 2028 se han realizado 10 eventos de reconocimiento público  a adultos mayores destacados por su labor a nivel territorial  y a organizaciones por la labor realizada en favor de este grupo poblacional (uno por vigencia)</t>
  </si>
  <si>
    <t xml:space="preserve">Reconocimiento adultos mayores destacados por su labor a nivel territorial  y a organizaciones por la labor realizada en favor de este grupo poblacional </t>
  </si>
  <si>
    <t>Número de eventos de reconocimiento público realizados  a adultos mayores destacados por su labor a nivel territorial  y a organizaciones por la labor realizada en favor de este grupo poblacional.</t>
  </si>
  <si>
    <t>Eventos de reconocimiento público realizados  a adultos mayores destacados por su labor a nivel territorial  y a organizaciones por la labor realizada en favor de este grupo poblacional.</t>
  </si>
  <si>
    <t>Secretaría de Desarrollo Social y Político y Secretaría de Desarrollo Administrativo</t>
  </si>
  <si>
    <t>Ausencia de obervatorio de adulto mayor</t>
  </si>
  <si>
    <t>4. Generar información rigurosa, actualizada y pertinente que permita caracterizar, georeferenciar, planear, hacer seguimiento  y dar a conocer la situación de la población adulta mayor del municipio de Pereira</t>
  </si>
  <si>
    <t>A Dic del 2028, tener un sistema de información y comunicación que permita caracterizar, georeferenciar, planear,  hacer seguimiento a la política pública  y  dar  a conocer la situación de la población adulta mayor del municipio de Pereira</t>
  </si>
  <si>
    <t>Tener un conocimiento riguroso, actualizado y pertinente que permite  caracterizar, georeferenciar  planear,  hacer seguimiento a la política pública  y dar a conocer la situación de la población adulta mayor del municipio de Pereira.</t>
  </si>
  <si>
    <t>Sistema de información y comunicación que permite caracterizar, georeferenciar, planear,  hacer seguimiento a la política pública  y  dar  a conocer la situación de la población adulta mayor del municipio de Pereira</t>
  </si>
  <si>
    <t xml:space="preserve">10. Implementar un sistema de  seguimiento y control  a la politica publica del adulto mayor,  con el soporte y seguridad requerido </t>
  </si>
  <si>
    <t xml:space="preserve">A través del sistema de seguimiento y control , se pretende  registrar,  consolidar y analizar la información relacionada con el adulto mayor beneficiario de la política pública.   </t>
  </si>
  <si>
    <t>A diiciembre de 2019  se ha diseñado y  se encuentra en ejecución el sistema de seguimiento a la politica pública para el adulto mayor</t>
  </si>
  <si>
    <t>A diciembre de 2020  se ha  actualizado y se encuentra en ejecución el sistema de seguimiento a la politica pública para el adulto mayor</t>
  </si>
  <si>
    <t>A diciembre de 2021  se ha  actualizado y se encuentra en ejecución el sistema de seguimiento a la politica pública para el adulto mayor</t>
  </si>
  <si>
    <t>A diciembre de 2022  se ha  actualizado y se encuentra en ejecución el sistema de seguimiento a la politica pública para el adulto mayor</t>
  </si>
  <si>
    <t>A diciembre de 2023  se ha  actualizado y se encuentra en ejecución el sistema de seguimiento a la politica pública para el adulto mayor</t>
  </si>
  <si>
    <t>A diciembre de 2024  se ha  actualizado y se encuentra en ejecución el sistema de seguimiento a la politica pública para el adulto mayor</t>
  </si>
  <si>
    <t>A diciembre de 2025  se ha  actualizado y se encuentra en ejecución el sistema de seguimiento a la politica pública para el adulto mayor</t>
  </si>
  <si>
    <t>A diciembre de 2026  se ha  actualizado y se encuentra en ejecución el sistema de seguimiento a la politica pública para el adulto mayor</t>
  </si>
  <si>
    <t>A diciembre de 2027  se ha  actualizado y se encuentra en ejecución el sistema de seguimiento a la politica pública para el adulto mayor</t>
  </si>
  <si>
    <t>A diciembre de 2028  se ha diseñado, actualizado anualmente y se encuentra en ejecución el sistema de seguimiento a la política pública para el adulto mayor.</t>
  </si>
  <si>
    <t>Sistema de seguimiento a la politica pública para el adulto mayor</t>
  </si>
  <si>
    <t>Un sistema de seguimiento a la política pública para el adulto mayor diseñado y actualizado anualmente</t>
  </si>
  <si>
    <t xml:space="preserve"> Sistema de seguimiento a la politica pública para el adulto mayor diseñado y actualizado anualmente</t>
  </si>
  <si>
    <t>Planeación Municipal Observatorio de Políticas Públicas</t>
  </si>
  <si>
    <t>Secretarías y Organizaciones comprometidas con la política pública para el adulto mayor</t>
  </si>
  <si>
    <t>Falta de difusión de las investigaciones que se hacen en las universidades.</t>
  </si>
  <si>
    <t>11. Incorporar en el plan de comunicaciones de la alcaldía, estrategias para divulgar los deberes y derechos del adulto mayor, rutas de atención y acciones de la política pública.</t>
  </si>
  <si>
    <t>En el plan de comunicaciones de la alcaldía se deben considerar diferentes estrategias para difundir temas relacionados con el adulto mayor, rutas de atención y acciones de la política pública a través de los diferentes medios masivos de información</t>
  </si>
  <si>
    <t>Población de Pereira</t>
  </si>
  <si>
    <t xml:space="preserve">A diciembre de 2019 a través de las diferentes estrategias contenidas en  plan de comunicaciones de la alcaldía, difundir al 8% de la población de Pereira temas relacionados con el adulto mayor, rutas de atención y acciones de la política pública. </t>
  </si>
  <si>
    <t xml:space="preserve">A diciembre de 2020 a través de las diferentes estrategias contenidas en  plan de comunicaciones de la alcaldía, difundir al 16% de la población de Pereira temas relacionados con el adulto mayor, rutas de atención y acciones de la política pública. </t>
  </si>
  <si>
    <t xml:space="preserve">A diciembre de 2021 a través de las diferentes estrategias contenidas en  plan de comunicaciones de la alcaldía, difundir al 24% de la población de Pereira temas relacionados con el adulto mayor, rutas de atención y acciones de la política pública. </t>
  </si>
  <si>
    <t xml:space="preserve">A diciembre de 2022 a través de las diferentes estrategias contenidas en  plan de comunicaciones de la alcaldía, difundir al 32% de la población de Pereira temas relacionados con el adulto mayor, rutas de atención y acciones de la política pública. </t>
  </si>
  <si>
    <t xml:space="preserve">A diciembre de 2023 a través de las diferentes estrategias contenidas en  plan de comunicaciones de la alcaldía, difundir al 40% de la población de Pereira temas relacionados con el adulto mayor, rutas de atención y acciones de la política pública. </t>
  </si>
  <si>
    <t xml:space="preserve">A diciembre de 2024 a través de las diferentes estrategias contenidas en  plan de comunicaciones de la alcaldía, difundir al 48 % de la población de Pereira temas relacionados con el adulto mayor, rutas de atención y acciones de la política pública. </t>
  </si>
  <si>
    <t xml:space="preserve">A diciembre de 2025 a través de las diferentes estrategias contenidas en  plan de comunicaciones de la alcaldía, difundir al 56 % de la población de Pereira temas relacionados con el adulto mayor, rutas de atención y acciones de la política pública. </t>
  </si>
  <si>
    <t xml:space="preserve">A diciembre de 2026 a través de las diferentes estrategias contenidas en  plan de comunicaciones de la alcaldía, difundir al 64% de la población de Pereira temas relacionados con el adulto mayor, rutas de atención y acciones de la política pública. </t>
  </si>
  <si>
    <t xml:space="preserve">A diciembre de 2027 a través de las diferentes estrategias contenidas en  plan de comunicaciones de la alcaldía, difundir al 72% de la población de Pereira temas relacionados con el adulto mayor, rutas de atención y acciones de la política pública. </t>
  </si>
  <si>
    <t xml:space="preserve">A diciembre de 2028 a través de las diferentes estrategias contenidas en  plan de comunicaciones de la alcaldía, difundir al 80% de la población de Pereira temas relacionados con el adulto mayor, rutas de atención y acciones de la política pública. </t>
  </si>
  <si>
    <t xml:space="preserve">La población de Pereira conoce temas relacionados con el adulto mayor, rutas de atención y acciones de la política pública. </t>
  </si>
  <si>
    <t>% de población de Pereira a la que se le difundió a través de las diferentes estrategias contenidas en  plan de comunicaciones de la alcaldía, temas relacionados con el adulto mayor rutas de atención y acciones de la política pública.</t>
  </si>
  <si>
    <t>Población de Pereira a la que se le difundió a través de las diferentes estrategias contenidas en  plan de comunicaciones de la alcaldía, temas relacionados con el adulto mayor rutas de atención y acciones de la política pública / Total de población del municipio de Pereira*100</t>
  </si>
  <si>
    <t>Oficina de comunicaciones de la Alcaldía de Pereira.</t>
  </si>
  <si>
    <t>En las veredas no hay telefonos publicos y salas de internet gratis.</t>
  </si>
  <si>
    <t>12. Crear una APP (Aplicación) para dar a conocer a los adultos mayores temas relacionados con la política Pública, que les  permita socializar entre ellos y acceder a rutas de atención.</t>
  </si>
  <si>
    <t>La Secretaría de las TICS diseñara una APP, de fácil manejo para los  adultos mayores,  a través de la cual  se les dé a conocer a los adultos mayores temas relacionados con la política Pública, que les  permita socializar entre ellos y acceder a rutas de atención.</t>
  </si>
  <si>
    <t xml:space="preserve">Adultos mayores  del municipio de Pereira. </t>
  </si>
  <si>
    <t>A diciembre de 2019 Una APP diseñada y en funcionamiento, disponible para dar a conocer a los adultos mayores temas relacionados con la política Pública, para que socialicen entre ellos y accedan a rutas de atención.</t>
  </si>
  <si>
    <t>A diciembre de 2020  una APP  actualizada y en funcionamiento, disponible para dar a conocer a los adultos mayores temas relacionados con la política Pública, para que socialicen entre ellos y accedan a rutas de atención.</t>
  </si>
  <si>
    <t>A diciembre de 2021  una APP  actualizada y en funcionamiento, disponible para dar a conocer a los adultos mayores temas relacionados con la política Pública, para que socialicen entre ellos y accedan a rutas de atención.</t>
  </si>
  <si>
    <t>A diciembre de 2022  una APP  actualizada y en funcionamiento, disponible para dar a conocer a los adultos mayores temas relacionados con la política Pública, para que socialicen entre ellos y accedan a rutas de atención.</t>
  </si>
  <si>
    <t>A diciembre de 2023  una APP  actualizada y en funcionamiento, disponible para dar a conocer a los adultos mayores temas relacionados con la política Pública, para que socialicen entre ellos y accedan a rutas de atención.</t>
  </si>
  <si>
    <t>A diciembre de 2024  una APP  actualizada y en funcionamiento, disponible para dar a conocer a los adultos mayores temas relacionados con la política Pública, para que socialicen entre ellos y accedan a rutas de atención.</t>
  </si>
  <si>
    <t>A diciembre de 2025  una APP  actualizada y en funcionamiento, disponible para dar a conocer a los adultos mayores temas relacionados con la política Pública, para que socialicen entre ellos y accedan a rutas de atención.</t>
  </si>
  <si>
    <t>A diciembre de 2026  una APP  actualizada y en funcionamiento, disponible para dar a conocer a los adultos mayores temas relacionados con la política Pública, para que socialicen entre ellos y accedan a rutas de atención.</t>
  </si>
  <si>
    <t>A diciembre de 2027  una APP  actualizada y en funcionamiento, disponible para dar a conocer a los adultos mayores temas relacionados con la política Pública, para que socialicen entre ellos y accedan a rutas de atención.</t>
  </si>
  <si>
    <t>A diciembre de 2028 Una APP diseñada, actualizada anualmente y en funcionamiento, disponible para dar a conocer a los adultos mayores temas relacionados con la política Pública, para que socialicen entre ellos y accedan a rutas de atención.</t>
  </si>
  <si>
    <t>Los adultos mayores en condición de vulnerabilidad conocen aspectos relacionados con la Política Pública, interactúan entre si y acceden a rutas de atención a través de la APP</t>
  </si>
  <si>
    <t>Una APP diseñada actualizada anualmente y en funcionamiento, disponible para dar a conocer a los adultos mayores temas relacionados con la política Pública, para que socialicen entre ellos y accedan a rutas de atención.</t>
  </si>
  <si>
    <t>APP diseñada actualizada anualmente y en funcionamiento, disponible para dar a conocer a los adultos mayores temas relacionados con la política Pública, para que socialicen entre ellos y accedan a rutas de atención.</t>
  </si>
  <si>
    <t>Secretaría de las TICS.</t>
  </si>
  <si>
    <t>Debilidad en la articulación entre: - Acadamia - Investifación - Instituciones que atienden al adulto mayor.</t>
  </si>
  <si>
    <t xml:space="preserve">13. Creación del Comité Municipal de la Política Pública para la población adulta mayor del municipio de Pereira </t>
  </si>
  <si>
    <t>Mediante acto administrativo se creará Comité Municipal de la Política Pública para la población adulta mayor del municipio de Pereira, lo conformarán representantes de las organizaciones gubernamentales y no gubernamentales que tienen injerencia en la política pública. Es el organismo encargado de apoyar en el seguimiento y evaluación de la política Pública, de actualizar las rutas de atención y de promover la elaboración de planes operativos anuales de la Política pública para el adulto mayor por parte de los diferentes actores de la misma.</t>
  </si>
  <si>
    <t xml:space="preserve">Adultos mayores del municipio de Pereira </t>
  </si>
  <si>
    <t>A diciembre de 2019 un Comité Municipal de la Política Pública para la población adulta mayor del municipio de Pereira  conformado y operando.</t>
  </si>
  <si>
    <t>A diciembre de 2020  un Comité Municipal de la Política Pública para la población adulta mayor del municipio de Pereira  conformado y operando.</t>
  </si>
  <si>
    <t>A diciembre de 2021  un Comité Municipal de la Política Pública para la población adulta mayor del municipio de Pereira  conformado y operando.</t>
  </si>
  <si>
    <t>A diciembre de 2022  un Comité Municipal de la Política Pública para la población adulta mayor del municipio de Pereira  conformado y operando.</t>
  </si>
  <si>
    <t>A diciembre de 2023  un Comité Municipal de la Política Pública para la población adulta mayor del municipio de Pereira  conformado y operando.</t>
  </si>
  <si>
    <t>A diciembre de 2024  un Comité Municipal de la Política Pública para la población adulta mayor del municipio de Pereira  conformado y operando.</t>
  </si>
  <si>
    <t>A diciembre de 2025  un Comité Municipal de la Política Pública para la población adulta mayor del municipio de Pereira  conformado y operando.</t>
  </si>
  <si>
    <t>A diciembre de 2026  un Comité Municipal de la Política Pública para la población adulta mayor del municipio de Pereira  conformado y operando.</t>
  </si>
  <si>
    <t>A diciembre de 2027  un Comité Municipal de la Política Pública para la población adulta mayor del municipio de Pereira  conformado y operando.</t>
  </si>
  <si>
    <t>A diciembre de 2028 un Comité Municipal de la Política Pública para la población adulta mayor del municipio de Pereira  conformado y operando.</t>
  </si>
  <si>
    <t>Apoyo en el la actualización de las rutas de atención, seguimiento y evaluación de la política Pública por parte del Comité Municipal de la Política Pública para la población adulta mayor del municipio de Pereira.</t>
  </si>
  <si>
    <t>Comité Municipal de la Política Pública para la población adulta mayor del municipio de Pereira  conformado y operando.</t>
  </si>
  <si>
    <t>Integrantes del Comité Municipal de la Política Pública para la población adulta mayor del municipio de Pereira.</t>
  </si>
  <si>
    <t xml:space="preserve">Falta de articulación y seguimiento en las acciones relacionadas con el adulto mayor </t>
  </si>
  <si>
    <t>14. Garantizar una fuente de financiación para permitir la ejecución y seguimiento de la política pública para el adulto mayor del municipio de Pereira.</t>
  </si>
  <si>
    <t>Se creará un rubro presupuestal, con los recursos requeridos para que las diferentes secretarías de despacho implementen las acciones que les competen relacionadas con la política pública para el adulto mayor del municipio de Pereira.</t>
  </si>
  <si>
    <t>A diciembre de 2019  rubro presupuestal creado, con recursos suficientes para asignar anualmente a las secretarías de despacho el 100% de presupuesto requerido en la ejecución de las acciones de política pública para el adulto mayor de su competencia.</t>
  </si>
  <si>
    <t>A diciembre de 2020  rubro presupuestal  con recursos suficientes para asignar anualmente a las secretarías de despacho el 100% de presupuesto requerido en la ejecución de las acciones de política pública para el adulto mayor de su competencia.</t>
  </si>
  <si>
    <t>A diciembre de 2021 rubro presupuestal  con recursos suficientes para asignar anualmente a las secretarías de despacho el 100% de presupuesto requerido en la ejecución de las acciones de política pública para el adulto mayor de su competencia.</t>
  </si>
  <si>
    <t>A diciembre de 2022  rubro presupuestal  con recursos suficientes para asignar anualmente a las secretarías de despacho el 100% de presupuesto requerido en la ejecución de las acciones de política pública para el adulto mayor de su competencia.</t>
  </si>
  <si>
    <t>A diciembre de 2023  rubro presupuestal  con recursos suficientes para asignar anualmente a las secretarías de despacho el 100% de presupuesto requerido en la ejecución de las acciones de política pública para el adulto mayor de su competencia.</t>
  </si>
  <si>
    <t>A diciembre de 2024  rubro presupuestal  con recursos suficientes para asignar anualmente a las secretarías de despacho el 100% de presupuesto requerido en la ejecución de las acciones de política pública para el adulto mayor de su competencia.</t>
  </si>
  <si>
    <t>A diciembre de 2025  rubro presupuestal  con recursos suficientes para asignar anualmente a las secretarías de despacho el 100% de presupuesto requerido en la ejecución de las acciones de política pública para el adulto mayor de su competencia.</t>
  </si>
  <si>
    <t>A diciembre de 2026  rubro presupuestal  con recursos suficientes para asignar anualmente a las secretarías de despacho el 100% de presupuesto requerido en la ejecución de las acciones de política pública para el adulto mayor de su competencia.</t>
  </si>
  <si>
    <t>A diciembre de 2027  rubro presupuestal  con recursos suficientes para asignar anualmente a las secretarías de despacho el 100% de presupuesto requerido en la ejecución de las acciones de política pública para el adulto mayor de su competencia.</t>
  </si>
  <si>
    <t>A diciembre de 2028  rubro presupuestal creado, con recursos suficientes para asignar anualmente a las secretarías de despacho el 100% de presupuesto requerido en la ejecución de las acciones de política pública para el adulto mayor de su competencia.</t>
  </si>
  <si>
    <t>Las acciones de la política pública para el adulto mayor del municipio de Pereira cuentan con recursos para ser realizadas</t>
  </si>
  <si>
    <t xml:space="preserve">Un Rubro presupuestal creado 
 % de presupuesto asignado según requerimiento a las Secretarías de Despacho, para la ejecución de las acciones de política pública para el adulto mayor de su competencia.
</t>
  </si>
  <si>
    <t xml:space="preserve">Rubro presupuestal creado
Presupuesto asignado presupuesto asignado a las Secretarías de Despacho, para la ejecución de las acciones de política pública para el adulto mayor de su competencia / Presupuesto requerido por las Secretarías de Despacho, para la ejecución de las acciones de política pública para el adulto mayor de su competencia
</t>
  </si>
  <si>
    <t xml:space="preserve">Secretaría de Hacienda </t>
  </si>
  <si>
    <t>Ejes</t>
  </si>
  <si>
    <t xml:space="preserve">1. PROTECCIÓN DE LOS DH </t>
  </si>
  <si>
    <t>2. PROTECCIÓN SOCIAL INTEGRAL</t>
  </si>
  <si>
    <t>3.ENV. ACTIVO, SATISFA Y SALUDA</t>
  </si>
  <si>
    <t>4. FORMAC TALENTO HUM E INVESTI</t>
  </si>
  <si>
    <t xml:space="preserve">POLÍTICA PÚBLICA EQUIDAD DE GÉNERO PARA LA MUJER - EJE VIDA </t>
  </si>
  <si>
    <t>OBJETIVO: Generar mujeres empoderadas, formadas en diferentes áreas, participando en espacios sociales y políticos con la garantía plena de sus derechos, especilamente los relacionados con una vida sana y libre de violencias</t>
  </si>
  <si>
    <t xml:space="preserve">PROBLEMÁTICAS </t>
  </si>
  <si>
    <t>META IMPACTO 2208</t>
  </si>
  <si>
    <t>INDICADOR IMPACTO</t>
  </si>
  <si>
    <t>META A 2019</t>
  </si>
  <si>
    <t>META A 2020</t>
  </si>
  <si>
    <t>META A 2021</t>
  </si>
  <si>
    <t>META A 2022</t>
  </si>
  <si>
    <t>META A 2023</t>
  </si>
  <si>
    <t>META A 2024</t>
  </si>
  <si>
    <t>META A 2025</t>
  </si>
  <si>
    <t>META A 2026</t>
  </si>
  <si>
    <t>META A 2027</t>
  </si>
  <si>
    <t>META A 2028</t>
  </si>
  <si>
    <t>FÓRMULA DEL INDICADOR</t>
  </si>
  <si>
    <t>Altas tasas de problemáticas de salud física y mental en las mujeres y prácticas inadecuadas para asumirlas.</t>
  </si>
  <si>
    <t xml:space="preserve">1. Promover la prevención y atención integral de la salud orientada a las problemáticas más relevantes en las mujeres, con enfoque de género y diferencial. </t>
  </si>
  <si>
    <t>Reducir la tasa de violencia contra la pareja cuando la víctima es mujer a 41,16 x 100.000 Habitantes (80%)</t>
  </si>
  <si>
    <t>Tasa de violencia contra la pareja cuando la víctima es mujer.</t>
  </si>
  <si>
    <t>Instituto Nacional de Medicina Legal y Ciencias Forenses</t>
  </si>
  <si>
    <t>En el 2028 el 100% de los programas de salud garantizan la atención a  las mujeres  con enfoque de género y diferencial.</t>
  </si>
  <si>
    <t>Mujeres atendidas por los programas de salud con enfoque de género y diferencial.</t>
  </si>
  <si>
    <t>Porcentaje de mujeres atendidas a través de los programas de salud teniendo en cuenta el enfoque de género y diferencial</t>
  </si>
  <si>
    <t>1. Estrategia de educación y comunicación articulación  entre instituciones para la prevención y atención de enfermedades y afecciones en las mujeres del municipio.</t>
  </si>
  <si>
    <t xml:space="preserve">Se realizara una estrategia Información Educación y Comunicación (IEC), la cual se  articulara con los   procesos de asistencia técnica y vigilancia epidemiológica de los eventos de mujer encaminada a promover procesos de comunicación y articulación interinstitucional entre las EPS, para prevenir y atender las enfermedades y afecciones propias de la población femenina. la formulación debe hacerse en el primer trimestre de 2019 y se empezará a implementar a partir de ese momento.
</t>
  </si>
  <si>
    <t xml:space="preserve">A diciembre de 2019 se ha formulado e implementado en un 100% la estrategía de  Información Educación y Comunicación (IEC), en articulación con los procesos de asistencia técnica y vigilancia epidemiológica de los eventos de mujer, con el fin de prevenir y atender las enfermedades y afecciones propias de la población femenina </t>
  </si>
  <si>
    <t xml:space="preserve">A diciembre de 2020 se ha actualizado e implementado en un 100% la estrategía de  Información Educación y Comunicación (IEC), en articulación con los procesos de asistencia técnica y vigilancia epidemiológica de los eventos de mujer, con el fin de prevenir y atender las enfermedades y afecciones propias de la población femenina </t>
  </si>
  <si>
    <t xml:space="preserve">A diciembre de 2021 se ha actualizado e implementado en un 100% la estrategía de Información Educación y Comunicación (IEC),  en articulación con los procesos de asistencia técnica y vigilancia epidemiológica de los eventos de mujer, con el fin de prevenir y atender las enfermedades y afecciones propias de la población femenina </t>
  </si>
  <si>
    <t xml:space="preserve">A diciembre de 2022 se ha actualizado e implementado en un 100% la estrategía de  Información Educación y Comunicación (IEC),  en articulación con los procesos de asistencia técnica y vigilancia epidemiológica de los eventos de mujer, con el fin de prevenir y atender las enfermedades y afecciones propias de la población femenina </t>
  </si>
  <si>
    <t xml:space="preserve">A diciembre de 2023 se ha actualizado e implementado en un 100%  la estrategía  de Información Educación y Comunicación (IEC), en articulación con los procesos de asistencia técnica y vigilancia epidemiológica de los eventos de mujer, con el fin de prevenir y atender las enfermedades y afecciones propias de la población femenina </t>
  </si>
  <si>
    <t xml:space="preserve">A diciembre de 2024 se ha actualizado e implementado en un 100%  la estrategía  de  Información Educación y Comunicación (IEC),   en articulación con los procesos de asistencia técnica y vigilancia epidemiológica de los eventos de mujer, con el fin de prevenir y atender las enfermedades y afecciones propias de la población femenina </t>
  </si>
  <si>
    <t xml:space="preserve">A diciembre de 2025 se ha actualizado e implementado en un 100% la estrategía de  Información Educación y Comunicación (IEC), en articulación con los procesos de asistencia técnica y vigilancia epidemiológica de los eventos de mujer, con el fin de prevenir y atender las enfermedades y afecciones propias de la población femenina </t>
  </si>
  <si>
    <t xml:space="preserve">A diciembre de 2026 se ha actualizado e implementado en un 100% la estrategía de Información Educación y Comunicación (IEC),   en articulación con los procesos de asistencia técnica y vigilancia epidemiológica de los eventos de mujer, con el fin de prevenir y atender las enfermedades y afecciones propias de la población femenina </t>
  </si>
  <si>
    <t xml:space="preserve">A diciembre de 2027 se ha actualizado e implementado en un 100% la estrategía  de  Información Educación y Comunicación (IEC),   en articulación con los procesos de asistencia técnica y vigilancia epidemiológica de los eventos de mujer, con el fin de prevenir y atender las enfermedades y afecciones propias de la población femenina </t>
  </si>
  <si>
    <t xml:space="preserve">A diciembre de 2028 se ha actualizado e implementado en un 100%  la estrategia  de  Información Educación y Comunicación (IEC) en articulación con los procesos de asistencia técnica y vigilancia epidemiológica de los eventos de mujer, con el fin de prevenir y atender las enfermedades y afecciones propias de la población femenina
</t>
  </si>
  <si>
    <t xml:space="preserve">Prevención y atención de enfermedades y afecciones propias de la población femenina , a través la implementación de la estrategia  de  Información Educación y Comunicación (IEC)  en articulación con los procesos de asistencia técnica y vigilancia epidemiológica de los eventos de mujer., </t>
  </si>
  <si>
    <t>Porcentaje de implementación de la estrategia  de  Información Educación y Comunicación (IEC) en articulación con los procesos de asistencia técnica y vigilancia epidemiológica de los eventos de mujer, con el fin de prevenir y atender las enfermedades y afecciones propias de la población femenina</t>
  </si>
  <si>
    <t>,</t>
  </si>
  <si>
    <t>Permanencia de las actitudes patriarcales y de dominación cultural, perpetuados por los medios y alguna institucionalidad.</t>
  </si>
  <si>
    <t xml:space="preserve">2. Crear un programa de formación en educación sexual y emocional con enfoque de género dirigido a población escolarizada </t>
  </si>
  <si>
    <t xml:space="preserve">Se cumplirá con la acción dando continuidad a las estrategias sexualidad con sentido, complementándola con unidad didáctica con enfoque de género,   tiene por objeto contribuir a la adopción de buenas prácticas en salud sexual y hábitos de vida saludables con enfoque de género y diferencial.
La secretará de Educación garantizará la convocatoria y asistencia de los delegados del proyecto de educación para la sexualidad y construcción de ciudadanía.
</t>
  </si>
  <si>
    <t xml:space="preserve">A diciembre de 2019 el 4,1% de Instituciones educativas  de primaria y secundaria son beneficiarias de un programa de educación continuada a través de  la estrategia sexualidad con sentido, complementandola con una unidad didactica con enfoque de genero.  </t>
  </si>
  <si>
    <t xml:space="preserve">A diciembre de 2020 el  8,2 % de Instituciones educativas  de primaria y secundaria son beneficiarias de un programa de educación continuada a través de  la estrategia sexualidad con sentido, complementandola con una unidad didactica con enfoque de genero.  </t>
  </si>
  <si>
    <t xml:space="preserve">A diciembre de 2021 el 12,3 % de Instituciones educativas  de primaria y secundaria son beneficiarias de un programa de educación continuada a través de  la estrategia sexualidad con sentido, complementandola con una unidad didactica con enfoque de genero.  </t>
  </si>
  <si>
    <t xml:space="preserve">A diciembre de 2022 el 16,4 % de Instituciones educativas  de primaria y secundaria son beneficiarias de un programa de educación continuada a través de  la estrategia sexualidad con sentido, complementandola con una unidad didactica con enfoque de genero.  </t>
  </si>
  <si>
    <t xml:space="preserve">A diciembre de 2023 el 20,5 % de Instituciones educativas  de primaria y secundaria son beneficiarias de un programa de educación continuada a través de  la estrategia sexualidad con sentido, complementandola con una unidad didactica con enfoque de genero.  </t>
  </si>
  <si>
    <t xml:space="preserve">A diciembre de 2024 el  24,6% de Instituciones educativas  de primaria y secundaria son beneficiarias de un programa de educación continuada a través de  la estrategia sexualidad con sentido, complementandola con una unidad didactica con enfoque de genero.  </t>
  </si>
  <si>
    <t xml:space="preserve">A diciembre de 2025 el 28,7 % de Instituciones educativas  de primaria y secundaria son beneficiarias de un programa de educación continuada a través de  la estrategia sexualidad con sentido, complementandola con una unidad didactica con enfoque de genero.  </t>
  </si>
  <si>
    <t xml:space="preserve">A diciembre de 2026 el  32,8% de Instituciones educativas  de primaria y secundaria son beneficiarias de un programa de educación continuada a través de  la estrategia sexualidad con sentido, complementandola con una unidad didactica con enfoque de genero.  </t>
  </si>
  <si>
    <t xml:space="preserve">A diciembre de 2027 el  36,9% de Instituciones educativas  de primaria y secundaria son beneficiarias de un programa de educación continuada a través de  la estrategia sexualidad con sentido, complementandola con una unidad didactica con enfoque de genero.  </t>
  </si>
  <si>
    <t xml:space="preserve">A diciembre de 2028 el 41% de Instituciones educativas  de primaria y secundaria son beneficiarias de un programa de educación continuada a través de  la estrategia sexualidad con sentido, complementándola con una unidad didáctica con enfoque de género.  </t>
  </si>
  <si>
    <t xml:space="preserve">Instituciones educativas  de primaria y secundaria beneficiarias de un programa de educación continuada de la estrategia sexualidad con sentido, complementando con unidad didáctica con enfoque de género.  </t>
  </si>
  <si>
    <t>Porcentaje de estudiantes de establecimientos educativos de primaria y secundaria que son beneficiarios de un programa de educación sexual y emocional con enfoque profesional y de género, dirigido a población escolarizada.</t>
  </si>
  <si>
    <t>Estudiantes de establecimientos educativos de primaria y secundaria que son beneficiarios de un programa de educación sexual y emocional con enfoque profesional y de género, dirigido a población escolarizada / Total de  establecimientos educativos de primaria y secundaria *100</t>
  </si>
  <si>
    <t xml:space="preserve"> Secretaría de Salud y Secretaría de Educación </t>
  </si>
  <si>
    <t>IE de primaria y secundaria</t>
  </si>
  <si>
    <t>Debilidad en los programas de la Alcaldía para reducir las conductas suicidas en mujeres jóvenes.</t>
  </si>
  <si>
    <t xml:space="preserve">Insuficiente educación en la temática de equidad de género en colegios. </t>
  </si>
  <si>
    <t xml:space="preserve">3. Brindar asesoría y orientación psico social a las mujeres que lo requieran </t>
  </si>
  <si>
    <t>Se brindará asesoría y orientación psicológica a las mujeres que requieran del servicio en las comisarías de familia y en el punto de atención del subprograma equidad de género para las mujeres (violencia intrafamiliar, de pareja, conflictos familiares y otros).</t>
  </si>
  <si>
    <t>A diciembre de 2019 brindar asesoría y orientación psico social al 100% de mujeres que  requirieran del servicio</t>
  </si>
  <si>
    <t>A diciembre de 2020 brindar asesoría y orientación psico social al 100% de mujeres que  requirieran del servicio</t>
  </si>
  <si>
    <t>A diciembre de 2021 brindar asesoría y orientación psico social al 100% de mujeres que  requirieran del servicio</t>
  </si>
  <si>
    <t>A diciembre de 2022 brindar asesoría y orientación psico social al 100% de mujeres que  requirieran del servicio</t>
  </si>
  <si>
    <t>A diciembre de 2023 brindar asesoría y orientación psico social al 100% de mujeres que  requirieran del servicio</t>
  </si>
  <si>
    <t>A diciembre de 2024 brindar asesoría y orientación psico social al 100% de mujeres que  requirieran del servicio</t>
  </si>
  <si>
    <t>A diciembre de 2025 brindar asesoría y orientación psico social al 100% de mujeres que  requirieran del servicio</t>
  </si>
  <si>
    <t>A diciembre de 2026 brindar asesoría y orientación psico social al 100% de mujeres que  requirieran del servicio</t>
  </si>
  <si>
    <t>A diciembre de 2027 brindar asesoría y orientación psico social al 100% de mujeres que  requirieran del servicio</t>
  </si>
  <si>
    <t xml:space="preserve">A diciembre de 2028 brindar asesoría y orientación psico social al 100% de mujeres que  requirieran del servicio </t>
  </si>
  <si>
    <t>Mujeres que lo requirieron con asesoría y orientación psico social.</t>
  </si>
  <si>
    <t>Porcentaje  de mujeres que  requirieron del servicio de orientación psico social</t>
  </si>
  <si>
    <t>Mujeres con orientación psico social / Total de mujeres que  requirieron del servicio de orientación psico social *100</t>
  </si>
  <si>
    <t>Secretaría de Desarrollo Social  y Político
Comisarías de Familia y subprograma equidad de género para la mujer</t>
  </si>
  <si>
    <t>4. Promover procesos de sensibilización de auto cuidado en salud a las mujeres en ejercicio de la prostitución, habitantes de calle y recicladoras.</t>
  </si>
  <si>
    <t>Los procesos de sensibilización se realizaran con personal psico social, con el fin promover auto cuidado en salud y habilidades para a vida en la población de mujeres en ejercicio de la prostitución, habitantes de calle y recicladoras.</t>
  </si>
  <si>
    <t>A diciembre de 2019 se realizarán 6 actividades pedagógicas para promover procesos de sensibilización de auto cuidado en salud, procesos de organización y participación de las mujeres en ejercicio de la prostitución, habitantes de calle y recicladoras.</t>
  </si>
  <si>
    <t>A diciembre de 2020 se han realizado 12 actividades pedagógicas para promover procesos de sensibilización de auto cuidado en salud, procesos de organización y participación de las mujeres en ejercicio de la prostitución, habitantes de calle y recicladoras.</t>
  </si>
  <si>
    <t>A diciembre de 2021 se han realizado 18 actividades pedagógicas para promover procesos de sensibilización de auto cuidado en salud, procesos de organización y participación de las mujeres en ejercicio de la prostitución, habitantes de calle y recicladoras.</t>
  </si>
  <si>
    <t>A diciembre de 2022 se han realizado 24 actividades pedagógicas para promover procesos de sensibilización de auto cuidado en salud, procesos de organización y participación de las mujeres en ejercicio de la prostitución, habitantes de calle y recicladoras.</t>
  </si>
  <si>
    <t>A diciembre de 2023 se han realizado 30 actividades pedagógicas para promover procesos de sensibilización de auto cuidado en salud, procesos de organización y participación de las mujeres en ejercicio de la prostitución, habitantes de calle y recicladoras.</t>
  </si>
  <si>
    <t>A diciembre de 2024 se han realizado 36 actividades pedagógicas para promover procesos de sensibilización de auto cuidado en salud, procesos de organización y participación de las mujeres en ejercicio de la prostitución, habitantes de calle y recicladoras.</t>
  </si>
  <si>
    <t>A diciembre de 2026 se han realizado 42 actividades pedagógicas para promover procesos de sensibilización de auto cuidado en salud, procesos de organización y participación de las mujeres en ejercicio de la prostitución, habitantes de calle y recicladoras.</t>
  </si>
  <si>
    <t>A diciembre de 2026 se han realizado 48 actividades pedagógicas para promover procesos de sensibilización de auto cuidado en salud, procesos de organización y participación de las mujeres en ejercicio de la prostitución, habitantes de calle y recicladoras.</t>
  </si>
  <si>
    <t>A diciembre de 2028 se han realizado 54 actividades pedagógicas para promover procesos de sensibilización de auto cuidado en salud, procesos de organización y participación de las mujeres en ejercicio de la prostitución, habitantes de calle y recicladoras.</t>
  </si>
  <si>
    <t>A diciembre de 2028 se han realizado 60 actividades pedagógicas para promover procesos de sensibilización de auto cuidado en salud, procesos de organización y participación de las mujeres en ejercicio de la prostitución, habitantes de calle y recicladoras.</t>
  </si>
  <si>
    <t xml:space="preserve">Mujeres en ejercicio de la prostitución, habitantes de calle y recicladoras con procesos de sensibilización en auto cuidado en salud </t>
  </si>
  <si>
    <t>Número de actividades pedagógicas para promover procesos de sensibilización de auto cuidado en salud, procesos de organización y participación de las mujeres en ejercicio de la prostitución, habitantes de calle y recicladoras.</t>
  </si>
  <si>
    <t>Actividades pedagógicas para promover procesos de sensibilización de auto cuidado en salud, procesos de organización y participación de las mujeres en ejercicio de la prostitución, habitantes de calle y recicladoras.</t>
  </si>
  <si>
    <t>Poco personal en las comisarías y fiscalía para atender a las víctimas de violencia de género.</t>
  </si>
  <si>
    <t xml:space="preserve">2. Garantizar los derechos humanos y una vida libre de violencias a las mujeres en el municipio de Pereira </t>
  </si>
  <si>
    <t>A diciembre de 2028, brindar acompañamiento integral  al 100% de mujeres que denuncian casos por violación a los derechos humanos y violencia.</t>
  </si>
  <si>
    <t>Mujeres con acompoñamiento integral y derechos reestablecidos</t>
  </si>
  <si>
    <t>Porcentaje de mujeres que reciben compañamiento integral por denuncias sobre casos por violación a los derechos humanos y violencia.</t>
  </si>
  <si>
    <t xml:space="preserve">5. Fortalecer los procesos de atención y seguimiento a las mujeres víctimas de violencia a través del comité interinstitucional de prevención de la discriminación y violencia contra la mujer en el municipio de Pereira </t>
  </si>
  <si>
    <t>El comité interinstitucional de prevención a la discriminación y violencia contra las mujeres realizara labores de articulación y seguimiento a la ruta de atención con el fin de garantizar a las mujeres una vida libre de violencias y de fortalecer los procedimientos de atención.
Desde Se. De Gobierno se activará la ruta de protección con inclusión del enfoque de género al 100% de las mujeres víctimas del conflicto, en proceso de reintegración y lideres de toda índole que requieran salvaguardar su vida e integridad personal</t>
  </si>
  <si>
    <t>A diciembre de 2019, tener el 100% de la ruta de atención a las mujeres víctimas de violencia ajustada,  estandarizada, socializada y con acompañamiento permanente, por parte de  los diferentes actores involucradoss.</t>
  </si>
  <si>
    <t>A diciembre de 2020, tener el 100% de la ruta de atención a las mujeres víctimas de violencia ajustada,  estandarizada, socializada y con acompañamiento permanente, por parte de  los diferentes actores involucradoss.</t>
  </si>
  <si>
    <t>A diciembre de 2021, tener el 100% de la ruta de atención a las mujeres víctimas de violencia ajustada,  estandarizada, socializada y con acompañamiento permanente, por parte de  los diferentes actores involucradoss.</t>
  </si>
  <si>
    <t>A diciembre de 2022, tener el 100% de la ruta de atención a las mujeres víctimas de violencia ajustada,  estandarizada, socializada y con acompañamiento permanente, por parte de  los diferentes actores involucradoss.</t>
  </si>
  <si>
    <t>A diciembre de 2023, tener el 100% de la ruta de atención a las mujeres víctimas de violencia ajustada,  estandarizada, socializada y con acompañamiento permanente, por parte de  los diferentes actores involucradoss.</t>
  </si>
  <si>
    <t>A diciembre de 2024, tener el 100% de la ruta de atención a las mujeres víctimas de violencia ajustada,  estandarizada, socializada y con acompañamiento permanente, por parte de  los diferentes actores involucradoss.</t>
  </si>
  <si>
    <t>A diciembre de 2025, tener el 100% de la ruta de atención a las mujeres víctimas de violencia ajustada,  estandarizada, socializada y con acompañamiento permanente, por parte de  los diferentes actores involucradoss.</t>
  </si>
  <si>
    <t>A diciembre de 2026, tener el 100% de la ruta de atención a las mujeres víctimas de violencia ajustada,  estandarizada, socializada y con acompañamiento permanente, por parte de  los diferentes actores involucradoss.</t>
  </si>
  <si>
    <t>A diciembre de 2027, tener el 100% de la ruta de atención a las mujeres víctimas de violencia ajustada,  estandarizada, socializada y con acompañamiento permanente, por parte de  los diferentes actores involucradoss.</t>
  </si>
  <si>
    <t>A diciembre de 2028, tener el 100% de la ruta de atención a las mujeres víctimas de violencia ajustada,  estandarizada, socializada y con acompañamiento permanente, por parte de  los diferentes actores involucradoss.</t>
  </si>
  <si>
    <t xml:space="preserve"> Procesos de la ruta de atención de violencia intrafamiliar ajustados, estandarizados, socializados y con acompañamiento permanente.</t>
  </si>
  <si>
    <t>Porcentaje de procesos en la ruta de atención de violencia intrafamiliar que se ajustaron, estandarizaron, socializaron  y tuvieron acompañamiento permanente / Total de procesos de atención de violencia intrafamiliar existentes *100</t>
  </si>
  <si>
    <t>pprocesos de la ruta de atención que se ajustaron, estandarizaron, socializaron  y tuvieron acompañamiento permanente  / Total de procesos existentes *100</t>
  </si>
  <si>
    <t>Integrantes del comité interinstitucional de prevención de la discriminación y violencia contra la mujer en el municipio de Pereira</t>
  </si>
  <si>
    <t>Evasión de la responsabilidad de las EPS para disponer de un albergue a las víctimas para su protección.</t>
  </si>
  <si>
    <t>6. Atención a las mujeres y sus familias víctimas de violencia con alimentación y habitación suministradas por las empresas promotoras de salud y las administradoras del régimen subsidiado de conformidad con la normatividad vigente</t>
  </si>
  <si>
    <t>Cosiste en la  capacitación y sensibilización a lasw empresas promotoras de Salud  para que garanticen la habitación y alimentación al las mujeres víctimas de violencia en situación especial de riesgo,  y sus familias de conformidad con la normatividad vigente.</t>
  </si>
  <si>
    <t xml:space="preserve">A diciembre de 2019 se han realizado 2 reuniones intersectoriales con las EAPB para socializarles la normatividad vigente relacionada con la atención a las mujeres víctimas de violencia, realizando seguimiento al cumplimiento en la ruta de atención.
A diciembre de 2019 el 100%de las mujeres víctimas de violencia en situación especial de riesgo y sus familias son atendidas de conformidad con la normatividad vigente </t>
  </si>
  <si>
    <t xml:space="preserve">A diciembre de 2020  se han realizado 4 reuniones intersectoriales con las EAPB para socializarles la normatividad vigente relacionada con la atención a las mujeres víctimas de violencia, realizando seguimiento al cumplimiento en la ruta de atención.
A diciembre de 2020 el 100%de las mujeres víctimas de violencia en situación especial de riesgo y sus familias son atendidas de conformidad con la normatividad vigente 
</t>
  </si>
  <si>
    <t xml:space="preserve">A diciembre de 2021  se han realizado 6 reuniones intersectoriales con las EAPB para socializarles la normatividad vigente relacionada con la atención a las mujeres víctimas de violencia, realizando seguimiento al cumplimiento en la ruta de atención.
A diciembre de 2021 el 100% de las mujeres víctimas de violencia en situación especial de riesgo y sus familias son atendidas de conformidad con la normatividad vigente 
</t>
  </si>
  <si>
    <t xml:space="preserve">A diciembre de 2022  se han realizado 8  reuniones intersectoriales con las EAPB para socializarles la normatividad vigente relacionada con la atención a las mujeres víctimas de violencia, realizando seguimiento al cumplimiento en la ruta de atención.
A diciembre de 2022 el 100%de las mujeres víctimas de violencia en situación especial de riesgo y sus familias son atendidas de conformidad con la normatividad vigente </t>
  </si>
  <si>
    <t xml:space="preserve">A diciembre de 2023  se han realizado  10 reuniones intersectoriales con las EAPB para socializarles la normatividad vigente relacionada con la atención a las mujeres víctimas de violencia, realizando seguimiento al cumplimiento en la ruta de atención.
A diciembre de 2023 el 100%de las mujeres víctimas de violencia en situación especial de riesgo y sus familias son atendidas de conformidad con la normatividad vigente 
</t>
  </si>
  <si>
    <t xml:space="preserve">A diciembre de 2024  se han realizado  12 reuniones intersectoriales con las EAPB para socializarles la normatividad vigente relacionada con la atención a las mujeres víctimas de violencia, realizando seguimiento al cumplimiento en la ruta de atención.
A diciembre de 2024 el 100%de las mujeres víctimas de violencia en situación especial de riesgo y sus familias son atendidas de conformidad con la normatividad vigente 
</t>
  </si>
  <si>
    <t xml:space="preserve">A diciembre de 2025  se han realizado  14 reuniones intersectoriales con las EAPB para socializarles la normatividad vigente relacionada con la atención a las mujeres víctimas de violencia, realizando seguimiento al cumplimiento en la ruta de atención.
A diciembre de 2025 el 100%de las mujeres víctimas de violencia en situación especial de riesgo y sus familias son atendidas de conformidad con la normatividad vigente 
</t>
  </si>
  <si>
    <t xml:space="preserve">A diciembre de 2026  se han realizado  16 reuniones intersectoriales con las EAPB para socializarles la normatividad vigente relacionada con la atención a las mujeres víctimas de violencia, realizando seguimiento al cumplimiento en la ruta de atención.
A diciembre de 2026 el 100%de las mujeres víctimas de violencia en situación especial de riesgo y sus familias son atendidas de conformidad con la normatividad vigente 
</t>
  </si>
  <si>
    <t xml:space="preserve">A diciembre de 2027  se han realizado 18  reuniones intersectoriales con las EAPB para socializarles la normatividad vigente relacionada con la atención a las mujeres víctimas de violencia, realizando seguimiento al cumplimiento en la ruta de atención.
A diciembre de 2027 el 100%de las mujeres víctimas de violencia en situación especial de riesgo y sus familias son atendidas de conformidad con la normatividad vigente </t>
  </si>
  <si>
    <t xml:space="preserve">A diciembre de 2028 se han realizado 20 reuniones intersectoriales con las EAPB para socializarles la normatividad vigente relacionada con la atención a las mujeres víctimas de violencia, realizando seguimiento al cumplimiento en la ruta de atención.
A diciembre de 2028 el 100%de las mujeres víctimas de violencia en situación especial de riesgo y sus familias son atendidas de conformidad con la normatividad vigente </t>
  </si>
  <si>
    <t>Mujeres y sus familias víctimas de violencia en situación especial de riesgo con habitación y alimentación de conformidad con la ley 1257.</t>
  </si>
  <si>
    <t xml:space="preserve">Número de reuniones intersectoriales realizadas con las EAPB para socializarles la normatividad vigente relacionada con la atención a las mujeres víctimas de violencia, realizando seguimiento al cumplimiento en la ruta de atención.
% mujeres víctimas de violencia en situación especial de riesgo y sus familias son atendidas de conformidad con la normatividad vigente contarán con el servicio de alimentación
</t>
  </si>
  <si>
    <t xml:space="preserve">Reuniones intersectoriales realizadas con las EAPB para socializarles la normatividad vigente relacionada con la atención a las mujeres víctimas de violencia, realizando seguimiento al cumplimiento en la ruta de atención.
Mujeres víctimas de violencia en situación especial de riesgo y sus familias que fueron  atendidas de conformidad con la normatividad vigente contarán con el servicio de alimentación / Total de Mujeres víctimas de violencia en situación especial de riesgo y sus familias que requirieron del servicio
</t>
  </si>
  <si>
    <t>Secretaría de Salud y Secretaría de Desarrollo Social y Político (Comisarías de Familia)</t>
  </si>
  <si>
    <t>Fiscalía</t>
  </si>
  <si>
    <t>7. Hacer seguimiento a la prestación del servicio de habitación y alimentación de conformidad con la ley 1257 y de hogares de paso para las mujeres y sus familias víctimas de la violencia con medida de atención que lo requieran por estar en situación de riesgo.</t>
  </si>
  <si>
    <t>El seguimiento a la prestación del servicio de hogares de paso para las mujeres y sus familias víctimas de la violencia que lo requieran, lo realizará la Secretaría de Desarrollo Social y Político quien verificará con el acompañamiento del ministerio público el cumplimento de la medida en los casos procesados.</t>
  </si>
  <si>
    <t>A diciembre de 2019 , el 100%  de los casos de mujeres y sus familias víctimas de violencia a los que se les emitió medida de atención por estar en situación de riesgo, tienen el seguimiento correspondiente por parte de la Secretaría de Desarrollo Social y Político con el acompañamiento del Ministerio Público.</t>
  </si>
  <si>
    <t>A diciembre de 2020, el 100%  de los casos de mujeres y sus familias víctimas de violencia a los que se les emitió medida de atención por estar en situación de riesgo, tienen el seguimiento correspondiente por parte de la Secretaría de Desarrollo Social y Político con el acompañamiento del Ministerio Público.</t>
  </si>
  <si>
    <t>A diciembre de 2021, el 100%  de los casos de mujeres y sus familias víctimas de violencia a los que se les emitió medida de atención por estar en situación de riesgo, tienen el seguimiento correspondiente por parte de la Secretaría de Desarrollo Social y Político con el acompañamiento del Ministerio Público.</t>
  </si>
  <si>
    <t>A diciembre de 2022, el 100%  de los casos de mujeres y sus familias víctimas de violencia a los que se les emitió medida de atención por estar en situación de riesgo, tienen el seguimiento correspondiente por parte de la Secretaría de Desarrollo Social y Político con el acompañamiento del Ministerio Público.</t>
  </si>
  <si>
    <t>A diciembre de 2023, el 100%  de los casos de mujeres y sus familias víctimas de violencia a los que se les emitió medida de atención por estar en situación de riesgo, tienen el seguimiento correspondiente por parte de la Secretaría de Desarrollo Social y Político con el acompañamiento del Ministerio Público.</t>
  </si>
  <si>
    <t>A diciembre de 2024, el 100%  de los casos de mujeres y sus familias víctimas de violencia a los que se les emitió medida de atención por estar en situación de riesgo, tienen el seguimiento correspondiente por parte de la Secretaría de Desarrollo Social y Político con el acompañamiento del Ministerio Público.</t>
  </si>
  <si>
    <t>A diciembre de 2025, el 100%  de los casos de mujeres y sus familias víctimas de violencia a los que se les emitió medida de atención por estar en situación de riesgo, tienen el seguimiento correspondiente por parte de la Secretaría de Desarrollo Social y Político con el acompañamiento del Ministerio Público.</t>
  </si>
  <si>
    <t>A diciembre de 2026, el 100%  de los casos de mujeres y sus familias víctimas de violencia a los que se les emitió medida de atención por estar en situación de riesgo, tienen el seguimiento correspondiente por parte de la Secretaría de Desarrollo Social y Político con el acompañamiento del Ministerio Público.</t>
  </si>
  <si>
    <t>A diciembre de 2027, el 100%  de los casos de mujeres y sus familias víctimas de violencia a los que se les emitió medida de atención por estar en situación de riesgo, tienen el seguimiento correspondiente por parte de la Secretaría de Desarrollo Social y Político con el acompañamiento del Ministerio Público.</t>
  </si>
  <si>
    <t>A diciembre de 2028, el 100%  de los casos de mujeres y sus familias víctimas de violencia a los que se les emitió medida de atención por estar en situación de riesgo, tienen el seguimiento correspondiente por parte de la Secretaría de Desarrollo Social y Político con el acompañamiento del Ministerio Público.</t>
  </si>
  <si>
    <t xml:space="preserve">Las mujeres y sus familias víctimas de violencia cuentan con medida de atención oportuna y adecuada. </t>
  </si>
  <si>
    <t>Porcentaje  de los casos de mujeres y sus familias víctimas de violencia a los que se les emitió medida de atención por estar en situación de riesgo, con el seguimiento correspondiente por parte de la Secretaría de Desarrollo Social y Político con el acompañamiento del Ministerio Público.</t>
  </si>
  <si>
    <t>Casos de mujeres y sus familias víctimas de violencia a los que se les emitió medida de atención por estar en situación de riesgo, con el seguimiento correspondiente por parte de la Secretaría de Desarrollo Social y Político con el acompañamiento del Ministerio Público  /Total de  casos de mujeres y sus familias víctimas de violencia a los que se les emitió medida de atención por estar en situación de riesgo *100</t>
  </si>
  <si>
    <t>Secretaría de Desarrollo Social (comisarías de familia) y Político con el acompañamiento del Ministerio Público</t>
  </si>
  <si>
    <t xml:space="preserve">Poca sensibilización frente a la prevención de violencia de género y abuso sexual.  </t>
  </si>
  <si>
    <t>8. Fortalecer las comisarías de familia, inspecciones de policía y corregidurías con personal que cumpla con la idoneidad, experticia y experiencia requerida para la atención a mujeres víctimas</t>
  </si>
  <si>
    <t>Por parte de la administración municipal se debe contratar personal profesional y técnicos con el perfil, idoneidad y experiencia requeridos para apoyar las labores preventivas y de atención a las mujeres víctimas de violencia.</t>
  </si>
  <si>
    <t>A diciembre de 2019  se cuenta con el 100% de personal con el perfil, idoneidad y experiencia requeridos en las comisarías de  familia, inspecciones de polícia y corregidurías  para apoyar las labores preventivas y de atención a las mujeres víctimas de violencia.</t>
  </si>
  <si>
    <t>A diciembre de 2020 se cuenta con el 100% de personal con el perfil, idoneidad y experiencia requeridos en las comisarías de  familia, inspecciones de polícia y corregidurías para apoyar las labores preventivas y de atención a las mujeres víctimas de violencia.</t>
  </si>
  <si>
    <t>A diciembre de 2021 se cuenta con el 100% de personal con el perfil, idoneidad y experiencia requeridos en las comisarías de  familia, inspecciones de polícia y corregidurías  para apoyar las labores preventivas y de atención a las mujeres víctimas de violencia.</t>
  </si>
  <si>
    <t>A diciembre de 2022 se cuenta con el 100% de personal con el perfil, idoneidad y experiencia requeridos en las comisarías de  familia, inspecciones de polícia y corregidurías  para apoyar las labores preventivas y de atención a las mujeres víctimas de violencia.</t>
  </si>
  <si>
    <t>A diciembre de 2023 se cuenta con el 100% de personal con el perfil, idoneidad y experiencia requeridos en las comisarías de  familia, inspecciones de polícia y corregidurías  para apoyar las labores preventivas y de atención a las mujeres víctimas de violencia.</t>
  </si>
  <si>
    <t>A diciembre de 2024 se cuenta con el 100% de personal con el perfil, idoneidad y experiencia requeridos en las comisarías de  familia, inspecciones de polícia y corregidurías para apoyar las labores preventivas y de atención a las mujeres víctimas de violencia.</t>
  </si>
  <si>
    <t>A diciembre de 2025 se cuenta con el 100% de personal con el perfil, idoneidad y experiencia requeridos en las comisarías de  familia, inspecciones de polícia y corregidurías para apoyar las labores preventivas y de atención a las mujeres víctimas de violencia.</t>
  </si>
  <si>
    <t>A diciembre de 2026 se cuenta con el 100% de personal con el perfil, idoneidad y experiencia requeridos en las comisarías de  familia, inspecciones de polícia y corregidurías para apoyar las labores preventivas y de atención a las mujeres víctimas de violencia.</t>
  </si>
  <si>
    <t>A diciembre de 2027 se cuenta con el 100% de personal con el perfil, idoneidad y experiencia requeridos en las comisarías de  familia, inspecciones de polícia y corregidurías  para apoyar las labores preventivas y de atención a las mujeres víctimas de violencia.</t>
  </si>
  <si>
    <t>A diciembre de 2028 se cuenta con el 100% de personal con el perfil, idoneidad y experiencia requeridos en las comisarías de  familia, inspecciones de polícia y corregidurías para apoyar las labores preventivas y de atención a las mujeres víctimas de violencia.</t>
  </si>
  <si>
    <t>Comisarías de familia, inspecciones de policía y corregidurías fortalecidas con personal con el perfil, idoneidad y experiencia requeridos</t>
  </si>
  <si>
    <t>Porcentaje de personal contratado en las comisarías de  familia, inspecciones de polícia y corregidurías con el perfil, idoneidad y experiencia requeridos para apoyar las labores preventivas y de atención a las mujeres víctimas de violencia</t>
  </si>
  <si>
    <t>Personal contratado en las comisarías de  familia, inspecciones de polícia y corregidurías con el perfil, idoneidad y experiencia requeridos para apoyar las labores preventivas y de atención a las mujeres víctimas de violencia / Total de personal de apoyo requerido en las comisarías de  familia, inspecciones de polícia y corregidurías *100</t>
  </si>
  <si>
    <t>Secretaría de Desarrollo Social y Político y Secretaría de Gobierno Municipal</t>
  </si>
  <si>
    <t>Personal que no evidencia capacitación en enfoque de género para la atención a víctimas. Comisarias, policía y fiscalía</t>
  </si>
  <si>
    <t>9. Implementar una estrategia masiva y permanente de prevención de violencia contra las mujeres y de respeto por sus derechos humanos, dirigida a la población del municipio de Pereira</t>
  </si>
  <si>
    <t>La estrategia implica sensibilizaciones en torno a los derechos humanos, la comprensión y acción entorno a la violencia, deconstrucción de la violencia como forma de vida, de relación y de resolución de conflictos.
Desde Sec. De Gobierno se implementará una estrategia educativa en derechos humanos, perdón y resolución de conflictos para prevenir los distintos tipos de violencia de género.
Desde la Secretaría de Salud  se  diseñara  una estrategia IEC (Información, Educación y comunicación), la cual será articulada con los  procesos de asistencia técnica y vigilancia epidemiológica de los eventos de mujer dirigida a las poblaciones beneficiaria de los programas comunitarios de salud pública.</t>
  </si>
  <si>
    <t>A diciembre de 2019 tener el 100% de las actividades de la estrategía  de prevención de violencia contra las mujeres y de respeto por sus derechos humanos implementadas
A diciembre de 2019  el 7% de la población de Pereira ha recibido sensibilizaciones relacionadas con el  respeto a las mujeres y sus derechos humanos, a la comprensión  y deconstrucción de la violencia como forma de vida, de relación y de resolución de conflictos.</t>
  </si>
  <si>
    <t>A diciembre de 2020 tener el 100% de las actividades de la estrategía  de prevención de violencia contra las mujeres y de respeto por sus derechos humanos implementadas 
A diciembre de 2020 el 14% de la población de Pereira ha recibido sensibilizaciones relacionadas con el  respeto a las mujeres y sus derechos humanos, a la comprensión  y deconstrucción de la violencia como forma de vida, de relación y de resolución de conflictos.</t>
  </si>
  <si>
    <t>A diciembre de 2021 tener el 100% de las actividades de la estrategía de prevención de violencia contra las mujeres y de respeto por sus derechos humanos  implementadas 
A diciembre de 2021 el  21% de la población de Pereira ha recibido sensibilizaciones relacionadas con el  respeto a las mujeres y sus derechos humanos, a la comprensión  y deconstrucción de la violencia como forma de vida, de relación y de resolución de conflictos.</t>
  </si>
  <si>
    <t>A diciembre de 2022 tener el 100% de las actividades de la estrategía de prevención de violencia contra las mujeres y de respeto por sus derechos humanos  implementadas 
A diciembre de 2022 el  28% de la población de Pereira ha recibido sensibilizaciones relacionadas con el  respeto a las mujeres y sus derechos humanos, a la comprensión  y deconstrucción de la violencia como forma de vida, de relación y de resolución de conflictos.</t>
  </si>
  <si>
    <t>A diciembre de 2023 tener el 100% de las actividades de la estrategía de prevención de violencia contra las mujeres y de respeto por sus derechos humanos  implementadas 
A diciembre de 2023 el 35% de la población de Pereira ha recibido sensibilizaciones relacionadas con el  respeto a las mujeres y sus derechos humanos, a la comprensión  y deconstrucción de la violencia como forma de vida, de relación y de resolución de conflictos.</t>
  </si>
  <si>
    <t>A diciembre de 2024 tener el 100% de las actividades de la estrategía de prevención de violencia contra las mujeres y de respeto por sus derechos humanos  implementadas 
A diciembre de 2024 42% de la población de Pereira ha recibido sensibilizaciones relacionadas con el  respeto a las mujeres y sus derechos humanos, a la comprensión  y deconstrucción de la violencia como forma de vida, de relación y de resolución de conflictos.</t>
  </si>
  <si>
    <t>A diciembre de 2025 tener el 100% de las actividades de la estrategía de prevención de violencia contra las mujeres y de respeto por sus derechos humanos  implementadas 
A diciembre de 2025 el 49% de la población de Pereira ha recibido sensibilizaciones relacionadas con el  respeto a las mujeres y sus derechos humanos, a la comprensión  y deconstrucción de la violencia como forma de vida, de relación y de resolución de conflictos.</t>
  </si>
  <si>
    <t>A diciembre de 2026 tener el 100% de las actividades de la estrategía de prevención de violencia contra las mujeres y de respeto por sus derechos humanos  implementadas 
A diciembre de 2026 el 56% de la población de Pereira ha recibido sensibilizaciones relacionadas con el  respeto a las mujeres y sus derechos humanos, a la comprensión  y deconstrucción de la violencia como forma de vida, de relación y de resolución de conflictos.</t>
  </si>
  <si>
    <t>A diciembre de 2027 tener el 100% de las actividades de la estrategía de prevención de violencia contra las mujeres y de respeto por sus derechos humanos  implementadas 
A diciembre de 2027 el  63%  de la población de Pereira ha recibido sensibilizaciones relacionadas con el  respeto a las mujeres y sus derechos humanos, a la comprensión  y deconstrucción de la violencia como forma de vida, de relación y de resolución de conflictos.</t>
  </si>
  <si>
    <t>A diciembre de 2028 tener el 100% de las actividades de la estrategía de prevención de violencia contra las mujeres y de respeto por sus derechos humanos  implementadas 
A diciembre de 2028  el  70%  de la población de Pereira ha recibido sensibilizaciones relacionadas con el  respeto a las mujeres y sus derechos humanos, a la comprensión  y deconstrucción de la violencia como forma de vida, de relación y de resolución de conflictos.</t>
  </si>
  <si>
    <t xml:space="preserve"> Estrategía de prevención de violencia contra las mujeres y de respeto por los  derechos humanos  implementada.
Población de Pereira  sensibilizada frente al respeto por las mujeres y sus derechos hyumanos tiene comprensión y acción entorno a la violencia </t>
  </si>
  <si>
    <t>Porcentaje de actividades realizadas de la estrategía de prevención de violencia contra las mujeres y de respeto por sus derechos humanos  
Porcentaje  de  población de Pereira que  ha recibido sensibilizaciones relacionadas con el  respeto a las mujeres y sus derechos humanos, a la comprensión  y deconstrucción de la violencia como forma de vida, de relación y de resolución de conflictos.</t>
  </si>
  <si>
    <t>Actividades realizadas de la estrategía de prevención de violencia contra las mujeres y de respeto por sus derechos humanos  /  Total de actividades de la estrategía de prevención de violencia contra las mujeres y de respeto por sus derechos humanos  *100
Población de Pereira que  ha recibido sensibilizaciones relacionadas con el  respeto a las mujeres y sus derechos humanos, a la comprensión  y deconstrucción de la violencia como forma de vida, de relación y de resolución de conflictos/ Total de población de Pereira</t>
  </si>
  <si>
    <t>Integrantes del comité interinstitucional de prevención de la discriminación y violencia contra la mujer en el municipio de Pereira y Oficina de paz y reconciliación</t>
  </si>
  <si>
    <t>Discriminación racial y falta de una ruta para su atención.</t>
  </si>
  <si>
    <t>Hay pocos espacios para mejorar condiciones de convivencia, así como se carece de talleres sobre relaciones humanas y cultura ciudadana.</t>
  </si>
  <si>
    <t xml:space="preserve">10. Estrategias pedagógicas orientadas a fortalecer la convivencia pacífica  en los etornos familiar, educativo y social </t>
  </si>
  <si>
    <t xml:space="preserve">Las estrategias pedagógicas están enfocadas al fortalecimiento de las relaciones sociales, familiares y a resaltar el rol de la mujer en los diferentes espacios. Esta labor se realizara en las diferentes comunas y corregimientos de la ciudad de Pereira.
Desde Sec. De Gobierno, para cumplir con esta acción se implementará una estrategia pedagógica - comunicativa, con enfoque comunitario que resalte el valor de la mujer en los diferentes espacios 
Por parte de la Secretaría de salud para cumplir con esta acción, se dará continuidad al programa familias fuertes amor y límites  y habilidades para la vida </t>
  </si>
  <si>
    <t>A diciembre de 2019, las 19 comunas y 12 corregimientos se han beneficiado de 31 estrategias pedagógicas (una por comuna y corregimiento)</t>
  </si>
  <si>
    <t>A diciembre de 2020 , las 19 comunas y 12 corregimientos se han beneficiado de 31 estrategias pedagógicas (una por comuna y corregimiento)</t>
  </si>
  <si>
    <t>A diciembre de 2021 , las 19 comunas y 12 corregimientos se han beneficiado de 31 estrategias pedagógicas (una por comuna y corregimiento)</t>
  </si>
  <si>
    <t>A diciembre de 2022 , las 19 comunas y 12 corregimientos se han beneficiado de 31 estrategias pedagógicas (una por comuna y corregimiento)</t>
  </si>
  <si>
    <t>A diciembre de 2023 , las 19 comunas y 12 corregimientos se han beneficiado de 31 estrategias pedagógicas (una por comuna y corregimiento)</t>
  </si>
  <si>
    <t>A diciembre de 2024 , las 19 comunas y 12 corregimientos se han beneficiado de 31 estrategias pedagógicas (una por comuna y corregimiento)</t>
  </si>
  <si>
    <t>A diciembre de 2025 , las 19 comunas y 12 corregimientos se han beneficiado de 31 estrategias pedagógicas (una por comuna y corregimiento)</t>
  </si>
  <si>
    <t>A diciembre de 2026 , las 19 comunas y 12 corregimientos se han beneficiado de 31 estrategias pedagógicas (una por comuna y corregimiento)</t>
  </si>
  <si>
    <t>A diciembre de 2027 , las 19 comunas y 12 corregimientos se han beneficiado de 31 estrategias pedagógicas (una por comuna y corregimiento)</t>
  </si>
  <si>
    <t>A diciembre de 2028, las 19 comunas y 12 corregimientos se han beneficiado de 310 estrategias pedagógicas (una por año en cada comuna y corregimiento)</t>
  </si>
  <si>
    <t xml:space="preserve">Estrategias pedagógicas desarrolladas. </t>
  </si>
  <si>
    <t>Número de comunas y corregimientos beneficiarios de las 31 estrategias pedagógicas orientadas a fortalecer la convivencia pacífica de la mujer en torno a la familia y la sociedad.</t>
  </si>
  <si>
    <t>Comunas y corregimientos beneficiarios de las 31 estrategias pedagógicas orientadas a fortalecer la convivencia pacífica de la mujer en torno a la familia y la sociedad.</t>
  </si>
  <si>
    <t xml:space="preserve">Secretaría de Desarrollo Social y Político, Secretaría de Gobierno, Secretaría de salud, Secretaría de Cultura y Secretaría de Educación </t>
  </si>
  <si>
    <t xml:space="preserve">En el municipio de Pereira no se cuenta con un  hogar para brindar protección provisional a las mujeres victimas de violencia </t>
  </si>
  <si>
    <t>3. Garantizar el funcionamiento del hogar de paso para las mujeres víctimas de violencia del municipio de Pereira.</t>
  </si>
  <si>
    <t>La Alcaldía de Pereira, a través de la Secretaría de Desarrollo Social y Político, creará y pondrá en funcionamiento el hogar de paso para la mujeres y sus familias víctimas de violencia, a las que se les emitió medida de atención por estar en situación de riesgo, con el fin de brindarles protección provisional hasta por 6 días, mientras las empresas promotoras de salud y las administradoras del régimen subsidiado asumen su responsabilidad.</t>
  </si>
  <si>
    <t>A diciembre de 2019 se cuenta con un hogar de paso para la protección provisional hasta por 6 días del 100% de  las mujeres y sus familias víctimas de violencia intrafamiliar con medida de atención que lo requieran por estar en situación especial de riesgo, mientrás reciben el servicio por parte de las empresas promotoras de salud y las administradoras del regimén subsidiado de conformidad con la ley 1257</t>
  </si>
  <si>
    <t>A diciembre de 2020  se cuenta con un hogar de paso para la protección provisional hasta por 6 días del 100% de  las mujeres y sus familias víctimas de violencia intrafamiliar con medida de atención que lo requieran por estar en situación especial de riesgo, mientrás reciben el servicio por parte de las empresas promotoras de salud y las administradoras del regimén subsidiado de conformidad con la ley 1257</t>
  </si>
  <si>
    <t>A diciembre de 2021  se cuenta con un hogar de paso para la protección provisional hasta por 6 días del 100% de  las mujeres y sus familias víctimas de violencia intrafamiliar con medida de atención que lo requieran por estar en situación especial de riesgo, mientrás reciben el servicio por parte de las empresas promotoras de salud y las administradoras del regimén subsidiado de conformidad con la ley 1257</t>
  </si>
  <si>
    <t>A diciembre de 2022  se cuenta con un hogar de paso para la protección provisional hasta por 6 días del 100% de  las mujeres y sus familias víctimas de violencia intrafamiliar con medida de atención que lo requieran por estar en situación especial de riesgo, mientrás reciben el servicio por parte de las empresas promotoras de salud y las administradoras del regimén subsidiado de conformidad con la ley 1257</t>
  </si>
  <si>
    <t>A diciembre de 2023  se cuenta con un hogar de paso para la protección provisional hasta por 6 días del 100% de  las mujeres y sus familias víctimas de violencia intrafamiliar con medida de atención que lo requieran por estar en situación especial de riesgo, mientrás reciben el servicio por parte de las empresas promotoras de salud y las administradoras del regimén subsidiado de conformidad con la ley 1257</t>
  </si>
  <si>
    <t>A diciembre de 2024  se cuenta con un hogar de paso para la protección provisional hasta por 6 días del 100% de  las mujeres y sus familias víctimas de violencia intrafamiliar con medida de atención que lo requieran por estar en situación especial de riesgo, mientrás reciben el servicio por parte de las empresas promotoras de salud y las administradoras del regimén subsidiado de conformidad con la ley 1257</t>
  </si>
  <si>
    <t>A diciembre de 2025  se cuenta con un hogar de paso para la protección provisional hasta por 6 días del 100% de  las mujeres y sus familias víctimas de violencia intrafamiliar con medida de atención que lo requieran por estar en situación especial de riesgo, mientrás reciben el servicio por parte de las empresas promotoras de salud y las administradoras del regimén subsidiado de conformidad con la ley 1257</t>
  </si>
  <si>
    <t>A diciembre de 2026  se cuenta con un hogar de paso para la protección provisional hasta por 6 días del 100% de  las mujeres y sus familias víctimas de violencia intrafamiliar con medida de atención que lo requieran por estar en situación especial de riesgo, mientrás reciben el servicio por parte de las empresas promotoras de salud y las administradoras del regimén subsidiado de conformidad con la ley 1257</t>
  </si>
  <si>
    <t>A diciembre de 2027  se cuenta con un hogar de paso para la protección provisional hasta por 6 días del 100% de  las mujeres y sus familias víctimas de violencia intrafamiliar con medida de atención que lo requieran por estar en situación especial de riesgo, mientrás reciben el servicio por parte de las empresas promotoras de salud y las administradoras del regimén subsidiado de conformidad con la ley 1257</t>
  </si>
  <si>
    <t>A diciembre de 2028  se cuenta con un hogar de paso para la protección provisional hasta por 6 días del 100% de  las mujeres y sus familias víctimas de violencia intrafamiliar con medida de atención que lo requieran por estar en situación especial de riesgo, mientrás reciben el servicio por parte de las empresas promotoras de salud y las administradoras del regimén subsidiado de conformidad con la ley 1257</t>
  </si>
  <si>
    <t xml:space="preserve">Las mujeres y sus familias víctimas de violencia intrafamiliar  cuentan con protección provisional oportuna y adecuada </t>
  </si>
  <si>
    <t>Mujeres y sus familias víctimas de violencia intrafamiliar a quienes se les brindó atención provisional hasta por 6 días en hogar de paso / Total de mujeres y sus familias víctimas de violencia intrafamiliar con medida de atención  por estar en situación especial de riesgo que requirieron del servicio *100</t>
  </si>
  <si>
    <t>Secretaría de Desarrollo Social y Político.</t>
  </si>
  <si>
    <t>Poca formación política, de liderazgo y promoción de organizaciones sociales para las mujeres.</t>
  </si>
  <si>
    <t>1. Promover la participación social y política de las mujeres en las instituciones y organizaciones sociales y políticas en Pereira.</t>
  </si>
  <si>
    <t>Incrementar en un 30% la participación social y política de la mujer pereirana</t>
  </si>
  <si>
    <t>Porcentaje de participación  social y política de la mujer en el municipio de Pereira.</t>
  </si>
  <si>
    <t xml:space="preserve"> A diciembre de 2028,  Hay  participación,  liderazgo y empoderamiento de la mujer en el 100% de  espacios de decisión  política, social y económica del municipio de Pereira</t>
  </si>
  <si>
    <t>Mujeres participando en los espacios de decisión política,  social y económica del municipio de Pereira</t>
  </si>
  <si>
    <t>Porcentaje de espacios de decisión política,  social y económica del municipio de Pereira en los que  participan mujeres.</t>
  </si>
  <si>
    <t>1. Desarrollo de un programa de liderazgo y empoderamiento dirigido a las mujeres de partidos políticos y organizaciones de base.</t>
  </si>
  <si>
    <t>Con el programa de liderazgo y empoderamiento, se pretende que las mujeres asuman posturas críticas en torno al liderazgo y motivarlas a que participen activamente en los diferentes espacios.  Este se desarrollará en convenio entre instituciones públicas y privadas de la ciudad.</t>
  </si>
  <si>
    <t>Mujeres líderes sociales, gremiales, representantes de sectores académicos, estudiantes y mujeres de los organismos comunales.</t>
  </si>
  <si>
    <t>A diciembre de 2019 realizar 1 diplomados  en  liderazgo y empoderamiento femenino, que beneficie como mínimo a 30 mujeres (Dos procesos por año c/u con 30 beneficiarias).</t>
  </si>
  <si>
    <t>A diciembre de 2020 se han  realizado 2 diplomados  en  liderazgo y empoderamiento femenino, que beneficie como mínimo a 60 mujeres (Un procesos por año c/u con 30 beneficiarias).</t>
  </si>
  <si>
    <t>A diciembre de 2021 se han  realizado 3 diplomados  en  liderazgo y empoderamiento femenino, que beneficie como mínimo a 90 mujeres (Un procesos por año c/u con 30 beneficiarias).</t>
  </si>
  <si>
    <t>A diciembre de 2022 se han  realizado 4 diplomados  en  liderazgo y empoderamiento femenino, que beneficie como mínimo a 120 mujeres (Un procesos por año c/u con 30 beneficiarias).</t>
  </si>
  <si>
    <t>A diciembre de 2023 se han  realizado 5 diplomados  en  liderazgo y empoderamiento femenino, que beneficie como mínimo a 150 mujeres (Un procesos por año c/u con 30 beneficiarias).</t>
  </si>
  <si>
    <t>A diciembre de 2024 se han  realizado 6 diplomados  en  liderazgo y empoderamiento femenino, que beneficie como mínimo a 180 mujeres (Un procesos por año c/u con 30 beneficiarias).</t>
  </si>
  <si>
    <t>A diciembre de 2025 se han  realizado 7 diplomados  en  liderazgo y empoderamiento femenino, que beneficie como mínimo a 210 mujeres (Un procesos por año c/u con 30 beneficiarias).</t>
  </si>
  <si>
    <t>A diciembre de 2026 se han  realizado 8 diplomados  en  liderazgo y empoderamiento femenino, que beneficie como mínimo a 240 mujeres (Un procesos por año c/u con 30 beneficiarias).</t>
  </si>
  <si>
    <t>A diciembre de 2027 se han  realizado 9 diplomados  en  liderazgo y empoderamiento femenino, que beneficie como mínimo a 270 mujeres (Un procesos por año c/u con 30 beneficiarias).</t>
  </si>
  <si>
    <t>A diciembre de 2028 se han realizado 10 diplomados  en  liderazgo y empoderamiento femenino, que beneficie como mínimo a 300 mujeres (un diplomado por año c/u con 30 beneficiarias).</t>
  </si>
  <si>
    <t>Mujeres beneficiarias de los diplomados en liderazgo y empoderamiento femenino.</t>
  </si>
  <si>
    <t>Número de mujeres beneficiarias de los diplomados en liderazgo y empoderamiento femenino.</t>
  </si>
  <si>
    <t>Participación insuficiente y poco efectiva de las mujeres en los puestos de toma de decisión y en escenarios de representación política.</t>
  </si>
  <si>
    <t>Escasos programas para la mujer en formación y fortalecimiento de liderazgo y en la búsqueda de solución a las problemáticas existentes.</t>
  </si>
  <si>
    <t>No hay legitimización ni articulación de las organizaciones de mujeres.</t>
  </si>
  <si>
    <t xml:space="preserve">2. Caracterizar las organizaciones de mujeres y promover su articulación </t>
  </si>
  <si>
    <t xml:space="preserve">Una vez se hayan caracterizado las organizaciones se promoverá su articulación y participación a través de la plataforma y de encuentros periódicos. </t>
  </si>
  <si>
    <t>Organizaciones  sociales conformadas por mujeres</t>
  </si>
  <si>
    <t>A diciembre de 2019  caracterizar  las organizaciones de mujeres  y realizar el primer encuentro para promover  su articulación y participación.</t>
  </si>
  <si>
    <t>A diciembre de 2020  se han actualizado la  caracterización de  las organizaciones de mujeres  y realizado 2 encuentros para promover su articulación y participación.</t>
  </si>
  <si>
    <t>A diciembre de 2021  se han actualizado la  caracterización de  las organizaciones de mujeres  y realizado 3 encuentros para promover su articulación y participación.</t>
  </si>
  <si>
    <t>A diciembre de 2022  se han actualizado la  caracterización de  las organizaciones de mujeres  y realizado 4 encuentros para promover su articulación y participación.</t>
  </si>
  <si>
    <t>A diciembre de 2023  se han actualizado la  caracterización de  las organizaciones de mujeres  y realizado 5 encuentros para promover su articulación y participación.</t>
  </si>
  <si>
    <t>A diciembre de 2024  se han actualizado la  caracterización de  las organizaciones de mujeres  y realizado 6 encuentros para promover su articulación y participación.</t>
  </si>
  <si>
    <t>A diciembre de 2025  se han actualizado la  caracterización de  las organizaciones de mujeres  y realizado 7 encuentros para promover su articulación y participación.</t>
  </si>
  <si>
    <t>A diciembre de 2026  se han actualizado la  caracterización de  las organizaciones de mujeres  y realizado 8 encuentros para promover su articulación y participación.</t>
  </si>
  <si>
    <t>A diciembre de 2027  se han actualizado la  caracterización de  las organizaciones de mujeres  y realizado 9 encuentros para promover su articulación y participación.</t>
  </si>
  <si>
    <t>A diciembre de 2028 se han caracterizado las organizaciones de mujeres  y se han realizado 10 encuentros para promover su articulación y participación.</t>
  </si>
  <si>
    <t>Organizaciones de mujeres caracterizadas, que  participan y trabajan de forma articulada.</t>
  </si>
  <si>
    <t>Número de encuentros de organizaciones de mujeres caracterizadas, realizados para promover su articulación y participación</t>
  </si>
  <si>
    <t xml:space="preserve"> Encuentros de organizaciones de mujeres caracterizadas, realizados para promover su articulación y participación</t>
  </si>
  <si>
    <t>Organizaciones de Mujeres</t>
  </si>
  <si>
    <t>Poca participación de las mujeres que hacen parte de los distintos partidos políticos. Especialmente, aun no se visibiliza la participación de las mujeres del partido FARC.</t>
  </si>
  <si>
    <t>3. Realizar Talleres  de sensibilización con los partidos políticos con el fin de resaltar la importancia de la participación real y efectiva de las mujeres en al interior de los mismos.</t>
  </si>
  <si>
    <t>Los procesos de sensibilización a los líderes de los diferentes partidos y movimientos políticos, se realizaran con el fin reflexionar sobre la importancia de la participación real y efectiva de las mujeres en al interior de los mismos (empoderamiento de la participación política de la mujer y marketing político).</t>
  </si>
  <si>
    <t>Líderes de los diferentes partidos y movimientos políticos</t>
  </si>
  <si>
    <t>A diciembre de 2019  realizar 1 taller de sensibilización a los líderes de los diferentes partidos y movimientos políticos con el fin reflexionar sobre la importancia de la participación real y efectiva de las mujeres en al interior de los mismos.</t>
  </si>
  <si>
    <t xml:space="preserve">A diciembre de 2020 se han realizado 2  talleres de sensibilización a los líderes de los diferentes partidos y movimientos políticos con el fin reflexionar sobre la importancia de la participación real y efectiva de las mujeres en al interior de los mismos </t>
  </si>
  <si>
    <t xml:space="preserve">A diciembre de 2021 se han realizado 3 talleres de sensibilización a los líderes de los diferentes partidos y movimientos políticos con el fin reflexionar sobre la importancia de la participación real y efectiva de las mujeres en al interior de los mismos </t>
  </si>
  <si>
    <t xml:space="preserve">A diciembre de 2022 se han realizado 4  talleres de sensibilización a los líderes de los diferentes partidos y movimientos políticos con el fin reflexionar sobre la importancia de la participación real y efectiva de las mujeres en al interior de los mismos </t>
  </si>
  <si>
    <t>A diciembre de 2023 se han realizado 5  talleres de sensibilización a los líderes de los diferentes partidos y movimientos políticos con el fin reflexionar sobre la importancia de la participación real y efectiva de las mujeres en al interior de los mismos .</t>
  </si>
  <si>
    <t>A diciembre de 2024 se han realizado 6  talleres de sensibilización a los líderes de los diferentes partidos y movimientos políticos con el fin reflexionar sobre la importancia de la participación real y efectiva de las mujeres en al interior de los mismos .</t>
  </si>
  <si>
    <t>A diciembre de 2025 se han realizado 7  talleres de sensibilización a los líderes de los diferentes partidos y movimientos políticos con el fin reflexionar sobre la importancia de la participación real y efectiva de las mujeres en al interior de los mismos .</t>
  </si>
  <si>
    <t>A diciembre de 2026 se han realizado 8  talleres de sensibilización a los líderes de los diferentes partidos y movimientos políticos con el fin reflexionar sobre la importancia de la participación real y efectiva de las mujeres en al interior de los mismos .</t>
  </si>
  <si>
    <t>A diciembre de 2027 se han realizado 9 talleres de sensibilización a los líderes de los diferentes partidos y movimientos políticos con el fin reflexionar sobre la importancia de la participación real y efectiva de las mujeres en al interior de los mismos .</t>
  </si>
  <si>
    <t>A diciembre de 2028 se han realizado 10 talleres de sensibilización a los líderes de los diferentes partidos y movimientos políticos con el fin reflexionar sobre la importancia de la participación real y efectiva de las mujeres en al interior de los mismos (uno anual)</t>
  </si>
  <si>
    <t>Líderes de los partidos y movimientos políticos sensibilizados sobre la importancia de la participación real y efectiva de las mujeres en al interior de los mismos</t>
  </si>
  <si>
    <t>Número de talleres de sensibilización realizados a los líderes de los diferentes partidos y movimientos políticos con el fin reflexionar sobre la importancia de la participación real y efectiva de las mujeres en al interior de los mismos.</t>
  </si>
  <si>
    <t>Talleres de sensibilización realizados a los líderes de los diferentes partidos y movimientos políticos con el fin reflexionar sobre la importancia de la participación real y efectiva de las mujeres en al interior de los mismos.</t>
  </si>
  <si>
    <t>Invisibilización  de la participación y voz de las mujeres en ejercicio de la prostitución, habitantes de calle, recicladoras y población vulnerable.</t>
  </si>
  <si>
    <t>4. Identificar, caracterizar y promover procesos de organización y participación social con mujeres en ejercicio de la prostitución habitantes de calle y recicladoras.</t>
  </si>
  <si>
    <t>Con personal psico social, se realizarán acercamientos con el fin de Identificar y caracterizar las mujeres en ejercicio de la prostitución, habitantes de calle y recicladoras, para posteriormente promover su organización y participación a través de actividades pedagógicas de sensibilización.</t>
  </si>
  <si>
    <t>Mujeres en ejercicio de la prostitución, habitantes de calle y recicladoras.</t>
  </si>
  <si>
    <t>A diciembre de 2019 se realizarán 12 actividades pedagógicas de sensibilización para promover la organización y participación a las mujeres en ejercicio de la prostitución, habitantes de calle y recicladoras que se identificaron y caracterizaron.</t>
  </si>
  <si>
    <t>A diciembre de 2020 se han realizado 24 actividades pedagógicas de sensibilización para promover la organización y participación a las mujeres en ejercicio de la prostitución, habitantes de calle y recicladoras que se identificaron y caracterizaron.</t>
  </si>
  <si>
    <t>A diciembre de 2021 se han realizado 36 actividades pedagógicas de sensibilización para promover la organización y participación a las mujeres en ejercicio de la prostitución, habitantes de calle y recicladoras que se identificaron y caracterizaron.</t>
  </si>
  <si>
    <t>A diciembre de 2022 se han realizado  actividades 48 pedagógicas de sensibilización para promover la organización y participación a las mujeres en ejercicio de la prostitución, habitantes de calle y recicladoras que se identificaron y caracterizaron.</t>
  </si>
  <si>
    <t>A diciembre de 2023 se han realizado 60 actividades pedagógicas de sensibilización para promover la organización y participación a las mujeres en ejercicio de la prostitución, habitantes de calle y recicladoras que se identificaron y caracterizaron.</t>
  </si>
  <si>
    <t>A diciembre de 2024 se han realizado  actividades 72 pedagógicas de sensibilización para promover la organización y participación a las mujeres en ejercicio de la prostitución, habitantes de calle y recicladoras que se identificaron y caracterizaron.</t>
  </si>
  <si>
    <t>A diciembre de 2025 se han realizado 84  actividades pedagógicas de sensibilización para promover la organización y participación a las mujeres en ejercicio de la prostitución, habitantes de calle y recicladoras que se identificaron y caracterizaron.</t>
  </si>
  <si>
    <t>A diciembre de 2026 se han realizado  actividades 96 pedagógicas de sensibilización para promover la organización y participación a las mujeres en ejercicio de la prostitución, habitantes de calle y recicladoras que se identificaron y caracterizaron.</t>
  </si>
  <si>
    <t>A diciembre de 2027 se han realizado 108 actividades pedagógicas de sensibilización para promover la organización y participación a las mujeres en ejercicio de la prostitución, habitantes de calle y recicladoras que se identificaron y caracterizaron.</t>
  </si>
  <si>
    <t>A diciembre de 2028 se realizarán 120 actividades pedagógicas de sensibilización para promover la organización y participación a las mujeres en ejercicio de la prostitución, habitantes de calle y recicladoras que se identificaron y caracterizaron.</t>
  </si>
  <si>
    <t>Mujeres en ejercicio de la prostitución, habitantes de calle y recicladoras beneficiadas de procesos pedagógicos para promover la organización y participación</t>
  </si>
  <si>
    <t>Número de actividades pedagógicas realizadas de sensibilización para promover la organización y participación a las mujeres en ejercicio de la prostitución, habitantes de calle y recicladoras que se identificaron y caracterizaron.</t>
  </si>
  <si>
    <t>Actividades pedagógicas realizadas de sensibilización para promover la organización y participación a las mujeres en ejercicio de la prostitución, habitantes de calle y recicladoras que se identificaron y caracterizaron.</t>
  </si>
  <si>
    <t>Secretaría de Desarrollo Social Político,  Secretaría de Salud y Secretaría de Cultura</t>
  </si>
  <si>
    <t>AMCO.</t>
  </si>
  <si>
    <t xml:space="preserve">Falta comité para la articulación de articulación y seguimiento a las acciones instituionales dirigidas a la mujer </t>
  </si>
  <si>
    <t xml:space="preserve">5. Creación del comité municipal de política pública para la mujer.
</t>
  </si>
  <si>
    <t>El comité municipal de política pública para la mujer se creará mediante decreto municipal, tiene la responsabilidad de apoyar el seguimiento de la política pública dos veces al año. Estará conformado por representantes de los diferentes actores de la Política.</t>
  </si>
  <si>
    <t>Representantes de los diferentes actores de la Política Pública y mujeres del municipio de Pereira</t>
  </si>
  <si>
    <t>A diciembre de 2019, se realizarán2 comites municipales de política pública para para el seguimiento a la política pública (2 por año).</t>
  </si>
  <si>
    <t>A diciembre de 2020, se realizarán4 comites municipales de política pública para para el seguimiento a la política pública (2 por año).</t>
  </si>
  <si>
    <t>A diciembre de 2021, se realizarán6 comites municipales de política pública para para el seguimiento a la política pública (2 por año).</t>
  </si>
  <si>
    <t>A diciembre de 2022, se realizarán8 comites municipales de política pública para para el seguimiento a la política pública (2 por año).</t>
  </si>
  <si>
    <t>A diciembre de 2023, se realizarán10 comites municipales de política pública para para el seguimiento a la política pública (2 por año).</t>
  </si>
  <si>
    <t>A diciembre de 2024, se realizarán12 comites municipales de política pública para para el seguimiento a la política pública (2 por año).</t>
  </si>
  <si>
    <t>A diciembre de 2025, se realizarán14 comites municipales de política pública para para el seguimiento a la política pública (2 por año).</t>
  </si>
  <si>
    <t>A diciembre de 2026, se realizarán16 comites municipales de política pública para para el seguimiento a la política pública (2 por año).</t>
  </si>
  <si>
    <t>A diciembre de 2027, se realizarán18 comites municipales de política pública para para el seguimiento a la política pública (2 por año).</t>
  </si>
  <si>
    <t>A diciembre de 2028, se realizarán 20 comités municipales de política pública para para el seguimiento a la política pública (2 por año).</t>
  </si>
  <si>
    <t>Comité municipal de política pública para la mujer creado y operando.</t>
  </si>
  <si>
    <t>Un comité municipal de política pública para la mujer creado y operando.</t>
  </si>
  <si>
    <t>Representantes de los actores de la Política Pública.</t>
  </si>
  <si>
    <t>Invisibilizacion hacia la mayor implementación de los programas y proyectos para el postconflicto.</t>
  </si>
  <si>
    <t>2. Articular la oferta institucional del sector público y organizaciones sociales para un mayor conocimiento del proceso de paz e implementación de los acuerdos para la reivindicación de memoria histórica y reconciliación con las mujeres víctimas del conflicto armado.</t>
  </si>
  <si>
    <t xml:space="preserve"> A diciembre de 2028, desarrollar una estrategia para la implementación del proceso de paz y la reivindicación de la memoria histórica y reconciliación que beneficie al 100% de mujeres víctima del conflicto armado en el municipio de Pereira.</t>
  </si>
  <si>
    <t>Estrategia implementada en beneficio de las mujeres víctimas del conflicto armado en el municipio de Pereira.</t>
  </si>
  <si>
    <t xml:space="preserve">Porcentaje  de mujeres víctimas del conflicto  armado interno en el municipio de Pereira, beneficiarias de la estrategia para la implementación del proceso de paz y la reivindicación de la memoria histórica y reconciliación </t>
  </si>
  <si>
    <t>6. Identificación, caracterización y reivindicación de la memoria histórica y reconciliación con las mujeres víctimas del conflicto armado interno y reincorporadas.</t>
  </si>
  <si>
    <t>Se hace necesario el proceso de articulación con la política de paz y derechos humanos, para darle integralidad a las acciones, evitar reprocesos y concertar las intervenciones para lograr una mayor cobertura, eficiencia e impacto.</t>
  </si>
  <si>
    <t>Mujeres víctimas del conflicto armado interno y mujeres reincorporadas.</t>
  </si>
  <si>
    <t xml:space="preserve">A diciembre de 2019 tener el 100% de mujeres víctimas del conflicto armado interno caracterizadas, georeferenciadas y reinvindicadas. </t>
  </si>
  <si>
    <t xml:space="preserve">A diciembre de 2020 Tener el 100% de mujeres víctimas del conflicto armado interno caracterizadas, georeferenciadas y reinvindicadas. </t>
  </si>
  <si>
    <t xml:space="preserve">A diciembre de 2021 tener el 100% de mujeres víctimas del conflicto armado interno caracterizadas, georeferenciadas y reinvindicadas. </t>
  </si>
  <si>
    <t xml:space="preserve">A diciembre de 2022 tener el 100% de mujeres víctimas del conflicto armado interno caracterizadas, georeferenciadas y reinvindicadas. </t>
  </si>
  <si>
    <t xml:space="preserve">A diciembre de 2023 tener el 100% de mujeres víctimas del conflicto armado interno caracterizadas, georeferenciadas y reinvindicadas. </t>
  </si>
  <si>
    <t xml:space="preserve">A diciembre de 2024 tener el 100% de mujeres víctimas del conflicto armado interno caracterizadas, georeferenciadas y reinvindicadas. </t>
  </si>
  <si>
    <t xml:space="preserve">A diciembre de 2025 tener el 100% de mujeres víctimas del conflicto armado interno caracterizadas, georeferenciadas y reinvindicadas. </t>
  </si>
  <si>
    <t xml:space="preserve">A diciembre de 2026 tener el 100% de mujeres víctimas del conflicto armado interno caracterizadas, georeferenciadas y reinvindicadas. </t>
  </si>
  <si>
    <t xml:space="preserve">A diciembre de 2027 tener el 100% de mujeres víctimas del conflicto armado interno caracterizadas, georeferenciadas y reinvindicadas. </t>
  </si>
  <si>
    <t>A diciembre de 2028 tener el 100% de mujeres víctimas del conflicto armado interno caracterizadas, georeferenciadas y reivindicadas.</t>
  </si>
  <si>
    <t xml:space="preserve">Mujeres víctimas del conflicto armado interno identificadas, caracterizadas y georeferenciadas y reinvindicadas. </t>
  </si>
  <si>
    <t>Porcentaje de mujeres víctimas del conflicto armado interno caracterizadas, georeferenciadas y reivindicadas.</t>
  </si>
  <si>
    <t>Mujeres víctimas del conflicto armado interno caracterizadas, georeferenciadas y reivindicadas / Total de mujeres víctimas del conflicto armado interno identificadas *100</t>
  </si>
  <si>
    <t>Oficina de paz y reconciliación,  y Secretaría de Desarrollo Social y Político.</t>
  </si>
  <si>
    <t xml:space="preserve">Ruta Pacífica de las Mujeres-Regional Eje Cafetero
Mesa Municipal de Víctimas 
Reiniciar 
UARIV 
Fundación Juan David Pine
</t>
  </si>
  <si>
    <t>Poca asesoría y acompañamiento en el ejercicio y goce en el derecho de las mujeres víctimas.</t>
  </si>
  <si>
    <t>Insuficiente seguimiento y entendimiento de los procesos de paz y post conflicto.</t>
  </si>
  <si>
    <t>7. Incorporación de la perspectiva de género para evidenciar y resaltar los diferentes roles de la mujer en los procesos de memoria histórica y reconciliación.</t>
  </si>
  <si>
    <t>Incluir la perspectiva de género para las mujeres en el marco de la Creación del Centro Municipal de Memoria Histórica y Reconciliación y la resignificación de lugares públicos, parques e instituciones educativas en clave de memoria histórica y reconciliación, en concertación con el consejo de paz</t>
  </si>
  <si>
    <t>A diciembre de 2019 tener un documento con lineamientos y criterios que deben incluirse para garantizar la perspectiva de género en los procesos de memoria histórica y reconciliación.</t>
  </si>
  <si>
    <t>A diciembre de 2022 se habrá actualizado el documento con lineamientos y criterios que deben incluirse para garantizar la perspectiva de género en los procesos de memoria histórica y reconciliación.</t>
  </si>
  <si>
    <t>A diciembre de 2025 se habrá actualizado el documento con lineamientos y criterios que deben incluirse para garantizar la perspectiva de género en los procesos de memoria histórica y reconciliación.</t>
  </si>
  <si>
    <t>A diciembre de 2028 tener un documento con lineamientos y criterios que deben incluirse para garantizar la perspectiva de género en los procesos de memoria histórica y reconciliación.</t>
  </si>
  <si>
    <t>Lineamientos y criterios con perspectiva de género.</t>
  </si>
  <si>
    <t>Un documento con lineamientos y criterios que garantizan la perspectiva de género en los procesos de memoria histórica y reconciliación.</t>
  </si>
  <si>
    <t>Documento con lineamientos y criterios que garantizan la perspectiva de género en los procesos de memoria histórica y reconciliación.</t>
  </si>
  <si>
    <t xml:space="preserve">Oficina de paz y reconciliación, Secretaría de Gobierno </t>
  </si>
  <si>
    <t>Inexistencia de programas o acciones de memoria histórica de mujeres víctimas del conflicto armado, así como de acciones de reconciliación.</t>
  </si>
  <si>
    <t>Practicas sexistas y actitudes machistas en las relaciones entre hombres y mujeres, al interior de las universidades</t>
  </si>
  <si>
    <t>3. Promover un cambio estructural de la cultura patriarcal hacia formas de reconocimiento y respeto en igualdad de derechos entre hombres y mujeres bajo la perspectiva diferencial.</t>
  </si>
  <si>
    <t xml:space="preserve">A diciembre de 2020 construir línea base que permita medir el reconocimiento, respeto e inclusión en condiciones de igualdad de las mujeres pereiranas bajo el enfoque diferencial
A diciembre de 2028, tener desarrollado el 100% de la estrategia para generar una cultura de reconocimiento, respeto e inclusión en condiciones de igualdad de las mujeres pereiranas bajo el enfoque diferencial
</t>
  </si>
  <si>
    <t xml:space="preserve">Línea base que permite medir el reconocimiento, respeto e inclusión en condiciones de igualdad de las mujeres pereiranas bajo el enfoque diferencial
Población de Pereira formada en prácticas de reconocimiento y respeto en igualdad de derechos entre hombres y mujeres bajo la perspectiva diferencial.
</t>
  </si>
  <si>
    <t xml:space="preserve">Una línea base generada que permite medir el reconocimiento, respeto e inclusión en condiciones de igualdad de las mujeres pereiranas bajo el enfoque diferencial
Porcentaje de implementación de la estrategia para generar una cultura de reconocimiento, respeto e inclusión en condiciones de igualdad de las mujeres pereiranas bajo el enfoque diferencial
</t>
  </si>
  <si>
    <t xml:space="preserve">8. Realizar un estudio para generar una línea base que permita medir el reconocimiento, respeto e inclusión en condiciones de igualdad de las mujeres pereiranas bajo el enfoque diferencial
</t>
  </si>
  <si>
    <t xml:space="preserve">Se hace necesario generar una línea base que sirva de referente para medir el reconocimiento, respeto e inclusión en condiciones de igualdad de las mujeres pereiranas bajo el enfoque diferencial
</t>
  </si>
  <si>
    <t>Mujeres del  municipio de Pereira</t>
  </si>
  <si>
    <t>A diciembre de 2020 un estudio realizado para generar una linea base que permita medir el reconocimiento, respeto e inclusión en condiciones de igualdad de las mujeres pereiranas bajo el enfoque diferencial</t>
  </si>
  <si>
    <t>Un estudio realizado desde la vigencia 2020 que  genero una linea base para medir el reconocimiento, respeto e inclusión en condiciones de igualdad de las mujeres pereiranas bajo el enfoque diferencial</t>
  </si>
  <si>
    <t>Línea base generada para  medir el reconocimiento, respeto e inclusión en condiciones de igualdad de las mujeres pereiranas bajo el enfoque diferencial</t>
  </si>
  <si>
    <t>Un estudio realizado para generar una línea base que permita medir el reconocimiento, respeto e inclusión en condiciones de igualdad de las mujeres pereiranas bajo el enfoque diferencial</t>
  </si>
  <si>
    <t xml:space="preserve"> Estudio realizado para generar una línea base que permita medir el reconocimiento, respeto e inclusión en condiciones de igualdad de las mujeres pereiranas bajo el enfoque diferencial.</t>
  </si>
  <si>
    <t>Academia</t>
  </si>
  <si>
    <t xml:space="preserve">9. Diseñar e implementar un plan de información, educación y comunicación con perspectiva de género para fomentar actitudes y prácticas que contribuyan a una cultura de reconocimiento, respeto e inclusión de las mujeres pereiranas en condiciones de igualdad </t>
  </si>
  <si>
    <t>El plan de información, educación y comunicación, contendrá estrategias de sensibilización, campañas de difusión,  materiales y pautas comunicativas para apoyar los procesos de sensibilización y formación a grupos específicos del municipio (centros educativos de todos los niveles, centros de reclusión, centros de reeducación, centros vida, organismos comunales y organizaciones sociales entre otros) para generar actitudes y prácticas que contribuyan al respeto y exaltación de la imagen de la mujer Pereirana. 
Desde Sec. De gobierno se realizará una campaña comunicativa para contribuir al respeto y exaltación de la imagen de la mujer pereirana (Pereira la veo bien)</t>
  </si>
  <si>
    <t>Grupos específicos del municipio (centros educativos, centros de reclusión, centros de reeducación, centros vida, organismos comunales,  organizaciones sociales y Centros Culturalres entre otros)</t>
  </si>
  <si>
    <t xml:space="preserve">A diciembre de 2019 , se diseñara e implementará el 100 % del plan de información, educación y comunicación con perspectiva de género para fomentar actitudes y prácticas que contribuyan a una cultura de reconocimiento, respeto e inclusión de las mujeres pereiranas en condiciones de igualdad </t>
  </si>
  <si>
    <t xml:space="preserve">A diciembre de 2020 , se actualizará e implementará el 100 % del plan de información, educación y comunicación con perspectiva de género para fomentar actitudes y prácticas que contribuyan a una cultura de reconocimiento, respeto e inclusión de las mujeres pereiranas en condiciones de igualdad </t>
  </si>
  <si>
    <t xml:space="preserve">A diciembre de 2021 ,  se actualizará e implementará el 100 % del plan de información, educación y comunicación con perspectiva de género para fomentar actitudes y prácticas que contribuyan a una cultura de reconocimiento, respeto e inclusión de las mujeres pereiranas en condiciones de igualdad </t>
  </si>
  <si>
    <t xml:space="preserve">A diciembre de 2022 ,  se actualizará e implementará el 100 % del plan de información, educación y comunicación con perspectiva de género para fomentar actitudes y prácticas que contribuyan a una cultura de reconocimiento, respeto e inclusión de las mujeres pereiranas en condiciones de igualdad </t>
  </si>
  <si>
    <t xml:space="preserve">A diciembre de 2023 ,  se actualizará e implementaráel 100 % del plan de información, educación y comunicación con perspectiva de género para fomentar actitudes y prácticas que contribuyan a una cultura de reconocimiento, respeto e inclusión de las mujeres pereiranas en condiciones de igualdad </t>
  </si>
  <si>
    <t xml:space="preserve">A diciembre de 2024 ,  se actualizará e implementaráel 100 % del plan de información, educación y comunicación con perspectiva de género para fomentar actitudes y prácticas que contribuyan a una cultura de reconocimiento, respeto e inclusión de las mujeres pereiranas en condiciones de igualdad </t>
  </si>
  <si>
    <t xml:space="preserve">A diciembre de 2025 ,  se actualizará e implementará el 100 % del plan de información, educación y comunicación con perspectiva de género para fomentar actitudes y prácticas que contribuyan a una cultura de reconocimiento, respeto e inclusión de las mujeres pereiranas en condiciones de igualdad </t>
  </si>
  <si>
    <t xml:space="preserve">A diciembre de 2026 ,  se actualizará e implementará el 100 % del plan de información, educación y comunicación con perspectiva de género para fomentar actitudes y prácticas que contribuyan a una cultura de reconocimiento, respeto e inclusión de las mujeres pereiranas en condiciones de igualdad </t>
  </si>
  <si>
    <t xml:space="preserve">A diciembre de 2027 ,  se actualizará e implementará el 100 % del plan de información, educación y comunicación con perspectiva de género para fomentar actitudes y prácticas que contribuyan a una cultura de reconocimiento, respeto e inclusión de las mujeres pereiranas en condiciones de igualdad </t>
  </si>
  <si>
    <t xml:space="preserve">A diciembre de 2028, se ha diseñado, actualizado e implementado anualmente el 100 % del plan de información, educación y comunicación con perspectiva de género para fomentar actitudes y prácticas que contribuyan a una cultura de reconocimiento, respeto e inclusión de las mujeres pereiranas en condiciones de igualdad </t>
  </si>
  <si>
    <t>Plan de información, educación y comunicación con perspectiva de género diseñado, actualizado e implementado anualmente</t>
  </si>
  <si>
    <t xml:space="preserve">Porcentaje de implementación del  plan de información, educación y comunicación con perspectiva de género para fomentar actitudes y prácticas que contribuyan a una cultura de reconocimiento, respeto e inclusión de las mujeres pereiranas en condiciones de igualdad </t>
  </si>
  <si>
    <t>Acciones realizadas del plan / Total de acciones programadas en el  plan de información, educación y comunicación con perspectiva de género para fomentar actitudes y prácticas que contribuyan a una cultura de reconocimiento, respeto e inclusión de las mujeres pereiranas en condiciones de igualdad *100</t>
  </si>
  <si>
    <t xml:space="preserve">Oficina de comunicaciones, Secretaría de Desarrollo Social y Político, Secretaría de Educación, Secretaría de Cultura y Secretaría de Gobierno </t>
  </si>
  <si>
    <t xml:space="preserve">Existe una estigmatización de la mujer Pereirana como proclive a la prostitución divulgado a nivel local, nacional e internacional. </t>
  </si>
  <si>
    <t>No hay actividades visibles para discriminar las conductas machistas incluyendo las zonas rurales.</t>
  </si>
  <si>
    <t xml:space="preserve">10. Trabajo pedagógico de sensibilización y capacitación con enfoque de género en los programas académicos de formación superior relacionada con las ciencias sociales y humanas, de la educación y la salud </t>
  </si>
  <si>
    <t>Con el trabajo pedagógico de sensibilización en los programas académicos de formación superior relacionada con las ciencias sociales y humanas, de la educación y la salud  y los medios de comunicación se pretende que en dichos espacios se genere enfoque de género en el desarrollo de su labor.</t>
  </si>
  <si>
    <t>Docentes de los programas académicos de formación superior relacionada con las ciencias sociales y humanas, de la educación y la salud  del municipio de Pereira</t>
  </si>
  <si>
    <t>A diciembre de 2019 el 70% de los docentes de planta de los programas académicos de formación superior relacionada con las ciencias sociales y humanas, de la educación y la salud se han sensibilizado y capacitado para aplicar en el desarrollo de sus labores el enfoque de género.</t>
  </si>
  <si>
    <t>A diciembre de 2020 el 70% de los docentes de planta de los programas académicos de formación superior relacionada con las ciencias sociales y humanas, de la educación y la salud se han sensibilizado y capacitado para aplicar en el desarrollo de sus labores el enfoque de género.</t>
  </si>
  <si>
    <t>A diciembre de 2021 el 70% de los docentes de planta de los programas académicos de formación superior relacionada con las ciencias sociales y humanas, de la educación y la salud se han sensibilizado y capacitado para aplicar en el desarrollo de sus labores el enfoque de género.</t>
  </si>
  <si>
    <t>A diciembre de 2022 el 70% de los docentes de planta de los programas académicos de formación superior relacionada con las ciencias sociales y humanas, de la educación y la salud se han sensibilizado y capacitado para aplicar en el desarrollo de sus labores el enfoque de género.</t>
  </si>
  <si>
    <t>A diciembre de 2023 el 70% de los docentes de planta de los programas académicos de formación superior relacionada con las ciencias sociales y humanas, de la educación y la salud se han sensibilizado y capacitado para aplicar en el desarrollo de sus labores el enfoque de género.</t>
  </si>
  <si>
    <t>A diciembre de 2024 el 70% de los docentes de planta de los programas académicos de formación superior relacionada con las ciencias sociales y humanas, de la educación y la salud se han sensibilizado y capacitado para aplicar en el desarrollo de sus labores el enfoque de género.</t>
  </si>
  <si>
    <t>A diciembre de 2025 el 70% de los docentes de planta de los programas académicos de formación superior relacionada con las ciencias sociales y humanas, de la educación y la salud se han sensibilizado y capacitado para aplicar en el desarrollo de sus labores el enfoque de género.</t>
  </si>
  <si>
    <t>A diciembre de 2026  el 70% de los docentes de planta de los programas académicos de formación superior relacionada con las ciencias sociales y humanas, de la educación y la salud se han sensibilizado y capacitado para aplicar en el desarrollo de sus labores el enfoque de género.</t>
  </si>
  <si>
    <t>A diciembre de 2027 el 70% de los docentes de planta de los programas académicos de formación superior relacionada con las ciencias sociales y humanas, de la educación y la salud se han sensibilizado y capacitado para aplicar en el desarrollo de sus labores el enfoque de género.</t>
  </si>
  <si>
    <t>A diciembre de 2028 el 70% de los docentes de planta de los programas académicos de formación superior relacionada con las ciencias sociales y humanas, de la educación y la salud se han sensibilizado y capacitado para aplicar en el desarrollo de sus labores el enfoque de género.</t>
  </si>
  <si>
    <t>Docentes de planta de los programas académicos de formación superior relacionada con las ciencias sociales y humanas, de la educación y la salud sensibilizados y capacitados para aplicar en el desarrollo de sus labores el enfoque de género.</t>
  </si>
  <si>
    <t>Porcentaje de los docentes de planta de los programas académicos de formación superior relacionada con las ciencias sociales y humanas, de la educación y la salud que se han sensibilizado y capacitado para aplicar en el desarrollo de sus labores el enfoque de género.</t>
  </si>
  <si>
    <t>Docentes de planta capacitados para aplicar en el desarrollo de sus labores el enfoque de género. / Total de docentes de planta de los programas académicos de formación superior relacionada con las ciencias sociales y humanas, de la educación y la salud del municipio de Pereira * 100</t>
  </si>
  <si>
    <t>Débil e inadecuada formación para la transformación cultural del hombre para la equidad de género.</t>
  </si>
  <si>
    <t>11. Apoyo a las Instituciones de Educación Superior en el desarrollo de iniciativas que promuevan la equidad de género para las mujeres</t>
  </si>
  <si>
    <t xml:space="preserve">Acompañar  las actividades académicas encaminadas a impulsar los procesos de trabajo en red de los grupos de docentes y estudiantes que promueven la equidad de género al interior de las IES. </t>
  </si>
  <si>
    <t>Grupos de docentes y estudiantes que impulsan procesos de equidad de género al interior de las IES.</t>
  </si>
  <si>
    <t>A diciembre de 2019 al menos 1 proceso apoyado, de iniciativa de los grupos de docentes y estudiantes que promueven la equidad de género al interior de las IES. (Uno por vigencia como mínimo)</t>
  </si>
  <si>
    <t>A diciembre de 2020 al menos 2 procesos apoyados, de iniciativa de los grupos de docentes y estudiantes que promueven la equidad de género al interior de las IES. (Uno por vigencia como mínimo)</t>
  </si>
  <si>
    <t>A diciembre de 2021 al menos 3 procesos apoyados, de iniciativa de los grupos de docentes y estudiantes que promueven la equidad de género al interior de las IES. (Uno por vigencia como mínimo)</t>
  </si>
  <si>
    <t>A diciembre de 2022 al menos 4 procesos apoyados, de iniciativa de los grupos de docentes y estudiantes que promueven la equidad de género al interior de las IES. (Uno por vigencia como mínimo)</t>
  </si>
  <si>
    <t>A diciembre de 2023 al menos 5 procesos apoyados, de iniciativa de los grupos de docentes y estudiantes que promueven la equidad de género al interior de las IES. (Uno por vigencia como mínimo)</t>
  </si>
  <si>
    <t>A diciembre de 2024 al menos 6 procesos apoyados, de iniciativa de los grupos de docentes y estudiantes que promueven la equidad de género al interior de las IES. (Uno por vigencia como mínimo)</t>
  </si>
  <si>
    <t>A diciembre de 2025 al menos 7 procesos apoyados, de iniciativa de los grupos de docentes y estudiantes que promueven la equidad de género al interior de las IES. (Uno por vigencia como mínimo)</t>
  </si>
  <si>
    <t>A diciembre de 2026 al menos 8 procesos apoyados, de iniciativa de los grupos de docentes y estudiantes que promueven la equidad de género al interior de las IES. (Uno por vigencia como mínimo)</t>
  </si>
  <si>
    <t>A diciembre de 2027 al menos 9 procesos apoyados, de iniciativa de los grupos de docentes y estudiantes que promueven la equidad de género al interior de las IES. (Uno por vigencia como mínimo)</t>
  </si>
  <si>
    <t>A diciembre de 2028 al menos 10 procesos apoyados, de iniciativa de los grupos de docentes y estudiantes que promueven la equidad de género al interior de las IES. (Uno por vigencia como mínimo)</t>
  </si>
  <si>
    <t>Procesos de apoyo a Iniciativas que promueven la equidad de género para las mujeres acompañadas</t>
  </si>
  <si>
    <t>Número de procesos apoyados, de iniciativa de los grupos de docentes y estudiantes que promueven la equidad de género al interior de las IES. (Uno por vigencia como mínimo)</t>
  </si>
  <si>
    <t>Procesos apoyados, de iniciativa de los grupos de docentes y estudiantes que promueven la equidad de género al interior de las IES. (Uno por vigencia como mínimo)</t>
  </si>
  <si>
    <t>Academía</t>
  </si>
  <si>
    <t>No se cuenta con medidas que tenga enfoque de género a favor de los grupos indígenas, afrodescendientes de mujeres, población con discapacidad y habitantes de calle entre otros</t>
  </si>
  <si>
    <t>12. Transversalizar el enfoque de género en las Políticas Públicas para los diferentes grupos poblacionales y/o sectoriales.</t>
  </si>
  <si>
    <t>Se desarrollará un instrumento de convergencia que permita identificar y articular las acciones específicas de cada política pública con el enfoque de género.</t>
  </si>
  <si>
    <t>Políticas Públicas formuladas y adoptadas en el municipio de Pereira.</t>
  </si>
  <si>
    <t>Al 2019 tener transverzalizado el enfoque de género en el 100% de las políticas formuladas y adoptadas.</t>
  </si>
  <si>
    <t>Al 2020 tener transverzalizado el enfoque de género en el 100% de las políticas formuladas y adoptadas.</t>
  </si>
  <si>
    <t>Al 2021 tener transverzalizado el enfoque de género en el 100% de las políticas formuladas y adoptadas.</t>
  </si>
  <si>
    <t>Al 2022 tener transverzalizado el enfoque de género en el 100% de las políticas formuladas y adoptadas.</t>
  </si>
  <si>
    <t>Al 2023 tener transverzalizado el enfoque de género en el 100% de las políticas formuladas y adoptadas.</t>
  </si>
  <si>
    <t>Al 2024 tener transverzalizado el enfoque de género en el 100% de las políticas formuladas y adoptadas.</t>
  </si>
  <si>
    <t>Al 2025 tener transverzalizado el enfoque de género en el 100% de las políticas formuladas y adoptadas.</t>
  </si>
  <si>
    <t>Al 2026 tener transverzalizado el enfoque de género en el 100% de las políticas formuladas y adoptadas.</t>
  </si>
  <si>
    <t>Al 2027 tener transverzalizado el enfoque de género en el 100% de las políticas formuladas y adoptadas.</t>
  </si>
  <si>
    <t>Al 2028 tener transverzalizado el enfoque de género en el 100% de las políticas formuladas y adoptadas.</t>
  </si>
  <si>
    <t>Políticas formuladas y adoptadas en el municipio de Pereira con el enfoque de género transverzalizado.</t>
  </si>
  <si>
    <t xml:space="preserve">Porcentaje de las políticas públicas con enfoque de género transverzalizado.  </t>
  </si>
  <si>
    <t>Políticas públicas con enfoque de género transverzalizado / Total de políticas públicas del municipio de Pereira *100</t>
  </si>
  <si>
    <t>Secretaría de Planeación Municipal.</t>
  </si>
  <si>
    <t>Vulneración de los derechos de la mujer desde las mismas instituciones publicas</t>
  </si>
  <si>
    <t>13. Sensibilizar y capacitar a servidores públicos y organismos comunales respecto a la equidad de género.</t>
  </si>
  <si>
    <t>Esta acción implica realizar  talleres de sensibilización y de formación a los servidores públicos y organismos comunales respecto a la equidad de género.</t>
  </si>
  <si>
    <t>Servidores públicos y organismos comunales</t>
  </si>
  <si>
    <t xml:space="preserve">A diciembre de 2019,se han realizado 10 talleres de sensibilización y formación en equidad de género a servidores públicos y organismos comunales a través de los cuales se beneficien como mínimo 150 personas  </t>
  </si>
  <si>
    <t>A diciembre de 2020 se han realizado 20 talleres de sensibilización y formación en equidad de género a servidores públicos y organismos comunales a través de los cuales se beneficien como mínimo 300 personas.</t>
  </si>
  <si>
    <t>A diciembre de 2021 se han realizado  talleres de sensibilización y formación en equidad de género a servidores públicos y organismos comunales a través de los cuales se beneficien como mínimo 450 personas.</t>
  </si>
  <si>
    <t>A diciembre de 2022 se han realizado  talleres de sensibilización y formación en equidad de género a servidores públicos y organismos comunales a través de los cuales se beneficien como mínimo 600 personas.</t>
  </si>
  <si>
    <t>A diciembre de 2023 se han realizado  talleres de sensibilización y formación en equidad de género a servidores públicos y organismos comunales a través de los cuales se beneficien como mínimo 750 personas.</t>
  </si>
  <si>
    <t>A diciembre de 2024 se han realizado  talleres de sensibilización y formación en equidad de género a servidores públicos y organismos comunales a través de los cuales se beneficien como mínimo 900 personas.</t>
  </si>
  <si>
    <t>A diciembre de 2025 se han realizado  talleres de sensibilización y formación en equidad de género a servidores públicos y organismos comunales a través de los cuales se beneficien como mínimo 1050 personas.</t>
  </si>
  <si>
    <t>A diciembre de 2026 se han realizado  talleres de sensibilización y formación en equidad de género a servidores públicos y organismos comunales a través de los cuales se beneficien como mínimo 1200 personas.</t>
  </si>
  <si>
    <t>A diciembre de 2027 se han realizado  talleres de sensibilización y formación en equidad de género a servidores públicos y organismos comunales a través de los cuales se beneficien como mínimo 1350 personas.</t>
  </si>
  <si>
    <t>A diciembre de 2028, se han realizado 100 talleres de sensibilización y formación en equidad de género a servidores públicos y organismos comunales a través de los cuales se beneficien como mínimo 1500 personas  (10 talleres por vigencia que benefician como mínimo a 150 personas).</t>
  </si>
  <si>
    <t>Servidores públicos y organismos comunales sensibilizados y capacitados respecto a la equidad de género.</t>
  </si>
  <si>
    <t>Número de talleres de sensibilización y formación en equidad de género  realizados a servidores públicos y organismos comunales</t>
  </si>
  <si>
    <t>Talleres de sensibilización y formación en equidad de género  realizados a servidores públicos y organismos comunales</t>
  </si>
  <si>
    <t>No hay indicadores cuantificables, que reflejen las brechas de género incluyendo principalmente la variable “sexo”, acompañado de, “clase”, “edad”, “residencia”, para evidenciar las desigualdades en el género y monitorear las actividades.</t>
  </si>
  <si>
    <t>4. Generar información rigurosa, actualizada y pertinente que permita caracterizar, georreferenciar, hacer seguimiento y dar a conocer la situación de las mujeres en el municipio de Pereira.</t>
  </si>
  <si>
    <t>A diciembre de 2028, tener un sistema de información y comunicación para caracterizar, georreferenciar y dar a conocer la situación de la mujer en el municipio de Pereira</t>
  </si>
  <si>
    <t>Contexto de la mujer de la mujer en el municipio de Pereira caracterizado y georreferenciado.</t>
  </si>
  <si>
    <t>Porcentaje de construcción e implementación del Sistema de información y comunicación para la caracterización</t>
  </si>
  <si>
    <t>14. Crear un sistema de información, seguimiento y evaluación  a través del cual se consolide y genere información relacionada con la Política Pública de la mujer en el municipio de Pereira.</t>
  </si>
  <si>
    <t xml:space="preserve">A través del sistema de información se consolidaran los datos generados por los diferentes actores involucrados en la política pública, los cuales servirán de fuente para elaborar informes relacionados con la mujer y para visibilizar las problemáticas que se deben mitigar.
El sistema se debe alimentar con información sobre la participación de las mujeres en los espacios políticos, sociales y económicos;  así como también  determinar  el avance  en los procesos de inclusión de las mujeres en el marco de la equidad de género.
Cada actor debe involucrar partidas para la investigación  y la generación del sistema
</t>
  </si>
  <si>
    <t>Mujeres del municipio de Pereira</t>
  </si>
  <si>
    <t xml:space="preserve">A diciembre de 2019  enoperaciónun sistema de  información, seguimiento y evaluación a través del cual se consolida información relacionada con la mujer, generada por los diferentes actores de la política pública  </t>
  </si>
  <si>
    <t xml:space="preserve">A diciembre de 2020 enoperaciónun sistema de  información, seguimiento y evaluación a través del cual se consolida información relacionada con la mujer, generada por los diferentes actores de la política pública  </t>
  </si>
  <si>
    <t xml:space="preserve">A diciembre de 2021 enoperaciónun sistema de  información, seguimiento y evaluación a través del cual se consolida información relacionada con la mujer, generada por los diferentes actores de la política pública  </t>
  </si>
  <si>
    <t xml:space="preserve">A diciembre de 2022 enoperaciónun sistema de  información, seguimiento y evaluación a través del cual se consolida información relacionada con la mujer, generada por los diferentes actores de la política pública  </t>
  </si>
  <si>
    <t xml:space="preserve">A diciembre de 2023 enoperaciónun sistema de  información, seguimiento y evaluación a través del cual se consolida información relacionada con la mujer, generada por los diferentes actores de la política pública  </t>
  </si>
  <si>
    <t xml:space="preserve">A diciembre de 2024 enoperaciónun sistema de  información, seguimiento y evaluación a través del cual se consolida información relacionada con la mujer, generada por los diferentes actores de la política pública  </t>
  </si>
  <si>
    <t xml:space="preserve">A diciembre de 2025 enoperaciónun sistema de  información, seguimiento y evaluación a través del cual se consolida información relacionada con la mujer, generada por los diferentes actores de la política pública  </t>
  </si>
  <si>
    <t xml:space="preserve">A diciembre de 2026 enoperaciónun sistema de  información, seguimiento y evaluación a través del cual se consolida información relacionada con la mujer, generada por los diferentes actores de la política pública  </t>
  </si>
  <si>
    <t xml:space="preserve">A diciembre de 2027 enoperaciónun sistema de  información, seguimiento y evaluación a través del cual se consolida información relacionada con la mujer, generada por los diferentes actores de la política pública  </t>
  </si>
  <si>
    <t xml:space="preserve">A diciembre de 2028  en operación un sistema de  información, seguimiento y evaluación a través del cual se consolida información relacionada con la mujer, generada por los diferentes actores de la política pública  </t>
  </si>
  <si>
    <t>Consolidación de  información relacionada con la mujer, generada por los diferentes actores de la política pública  a través del sistema de  información, seguimiento y evaluación</t>
  </si>
  <si>
    <t xml:space="preserve">Un sistema de  información, seguimiento y evaluación a través del cual se consolida información relacionada con la mujer, generada por los diferentes actores de la política pública  </t>
  </si>
  <si>
    <t xml:space="preserve"> Sistema de  información, seguimiento y evaluación a través del cual se consolida información relacionada con la mujer, generada por los diferentes actores de la política pública  </t>
  </si>
  <si>
    <t>Secretaría de Planeación, con la participación de los actores involucrados en la política Pública.</t>
  </si>
  <si>
    <t>Inexistencia de indicadores con enfoque de género estadístico, viable, verificable y sistematizado.</t>
  </si>
  <si>
    <t>Inadecuada apropiación y uso de las tecnologías de la información y las comunicaciones, por parte de las mujeres, para potencia sus usos en función de su bienestar.</t>
  </si>
  <si>
    <t>1. Promover la formación de las mujeres en el municipio de Pereira, de conformidad con las competencias laborales y el desarrollo económico de la ciudad.</t>
  </si>
  <si>
    <t>Cualificar y vincular en el sector productivo público y privado del municipio de Pereira como mínimo a 1260 mujeres</t>
  </si>
  <si>
    <t xml:space="preserve">Número de mujeres cualificadas y vinculadas en el sector productivo público y privado del municipio de Pereira </t>
  </si>
  <si>
    <t>A diciembre de 2028, formular e implementar un programa de formación y asistencia técnica en ciencia, tecnología e innovación enfocado a la mujer</t>
  </si>
  <si>
    <t xml:space="preserve"> Programa de formación y asistencia técnica en ciencia, tecnología e innovación enfocado a la mujer implementado</t>
  </si>
  <si>
    <t>Porcentaje de implementación  del programa de formación y asistencia técnica en ciencia, tecnología e innovación enfocado a la mujer</t>
  </si>
  <si>
    <t>1. Capacitar a las mujeres  en  ciencia,  tecnología e innovación.</t>
  </si>
  <si>
    <t>Se generaran procesos  de capacitación en ciencia, tecnología, agroindustria e innovación para facilitar el acceso a plataformas digitales y acceso laboral a través del Centro de empleo.</t>
  </si>
  <si>
    <t>Mujeres del municipio de Pereira interesadas en cualificarse en ciencia, tecnología e innovación</t>
  </si>
  <si>
    <t>A diciembre de 2019 se han realizado 4 procesos de capacitación en ciencia, tecnología  e innovación que beneficien como mínimo a 60 mujeres,  para facilitar el acceso a plataformas digitales y acceso laboral a través del Centro de empleo.</t>
  </si>
  <si>
    <t>A diciembre de 2020 se han realizado 8 procesos de capacitación en ciencia, tecnología  e innovación que beneficien como mínimo a 120 mujeres,  para facilitar el acceso a plataformas digitales y acceso laboral a través del Centro de empleo.</t>
  </si>
  <si>
    <t xml:space="preserve">A diciembre de 2021 se han realizado 12 procesos de capacitación a 180 mujeres en ciencia, tecnología  e innovación para facilitar el acceso a plataformas digitales y acceso laboral a través del Centro de empleo, </t>
  </si>
  <si>
    <t xml:space="preserve">A diciembre de 2022 se han realizado 16 procesos de capacitación a 240 mujeres en ciencia, tecnología  e innovación para facilitar el acceso a plataformas digitales y acceso laboral a través del Centro de empleo, </t>
  </si>
  <si>
    <t xml:space="preserve">A diciembre de 2023 se han realizado 20 procesos de capacitación a 300  mujeres en ciencia, tecnología  e innovación para facilitar el acceso a plataformas digitales y acceso laboral a través del Centro de empleo, </t>
  </si>
  <si>
    <t xml:space="preserve">A diciembre de 2024 se han realizado 24 procesos de capacitación a 360 mujeres en ciencia, tecnología  e innovación para facilitar el acceso a plataformas digitales y acceso laboral a través del Centro de empleo, </t>
  </si>
  <si>
    <t xml:space="preserve">A diciembre de 2025 se han realizado 28 procesos de capacitación a 420 mujeres en ciencia, tecnología  e innovación para facilitar el acceso a plataformas digitales y acceso laboral a través del Centro de empleo, </t>
  </si>
  <si>
    <t xml:space="preserve">A diciembre de 2026 se han realizado 32 procesos de capacitación a 480 mujeres en ciencia, tecnología  e innovación para facilitar el acceso a plataformas digitales y acceso laboral a través del Centro de empleo, </t>
  </si>
  <si>
    <t xml:space="preserve">A diciembre de 2027 se han realizado 36 procesos de capacitación a 540 mujeres en ciencia, tecnología  e innovación para facilitar el acceso a plataformas digitales y acceso laboral a través del Centro de empleo, </t>
  </si>
  <si>
    <t>A diciembre de 2028 se han realizado 40 procesos de capacitación en ciencia, tecnología  e innovación que beneficien como mínimo a 600 mujeres para facilitar el acceso a plataformas digitales y acceso laboral a través del Centro de empleo, teniendo en cuenta realizar 4 por año, una cada trimestre).</t>
  </si>
  <si>
    <t>Mujeres capacitadas en ciencia, tecnología  e innovación.</t>
  </si>
  <si>
    <t>Número de mujeres beneficiarias de los 40  procesos de capacitación  en ciencia, tecnología e innovación para facilitar el acceso a plataformas digitales y acceso laboral a través del Centro de empleo.</t>
  </si>
  <si>
    <t>Mujeres beneficiarias de los 40  procesos de capacitación  en ciencia, tecnología e innovación para facilitar el acceso a plataformas digitales y acceso laboral a través del Centro de empleo.</t>
  </si>
  <si>
    <t>Secretaría de las TICS y Secretaría de Desarrollo Económico y Competitividad.</t>
  </si>
  <si>
    <t>No hay un buen nivel de formación en emprendimiento de las mujeres indígenas</t>
  </si>
  <si>
    <t>2. Ofertar cursos de formación  en artes y oficios para cualificar y dotar las mujeres de habilidades para la generación de ingresos.</t>
  </si>
  <si>
    <t xml:space="preserve">Los Cursos de capacitación en artes y oficios serán dirigidos hacia actividades económicas con una proyección de sostenibilidad económica </t>
  </si>
  <si>
    <t>A diciembre de 2019 se han realizado 4 procesos de capacitación en artes y oficios para cualificarlas y dotarlas de habilidades para la generación de ingresos</t>
  </si>
  <si>
    <t>A diciembre de 2020 se han realizado 8 procesos de capacitación en artes y oficios para cualificarlas y dotarlas de habilidades para la generación de ingresos</t>
  </si>
  <si>
    <t>A diciembre de 2021 se han realizado 12 procesos de capacitación a 180 mujeres en artes y oficios para cualificarlas y dotarlas de habilidades para la generación de ingresos</t>
  </si>
  <si>
    <t>A diciembre de 2022 se han realizado 16 procesos de capacitación a 240 mujeres en artes y oficios para cualificarlas y dotarlas de habilidades para la generación de ingresos</t>
  </si>
  <si>
    <t>A diciembre de 2023 se han realizado 20 procesos de capacitación a 300  mujeres en artes y oficios para cualificarlas y dotarlas de habilidades para la generación de ingresos</t>
  </si>
  <si>
    <t>A diciembre de 2024 se han realizado 24 procesos de capacitación a 360 mujeres en artes y oficios para cualificarlas y dotarlas de habilidades para la generación de ingresos</t>
  </si>
  <si>
    <t>A diciembre de 2025 se han realizado 28 procesos de capacitación a 420 mujeres en artes y oficios para cualificarlas y dotarlas de habilidades para la generación de ingresos</t>
  </si>
  <si>
    <t>A diciembre de 2026 se han realizado 32 procesos de capacitación a 480 mujeres en artes y oficios para cualificarlas y dotarlas de habilidades para la generación de ingresos</t>
  </si>
  <si>
    <t>A diciembre de 2027 se han realizado 36 procesos de capacitación a 540 mujeres en artes y oficios para cualificarlas y dotarlas de habilidades para la generación de ingresos</t>
  </si>
  <si>
    <t>A diciembre de 2028 se han realizado 40 procesos de capacitación en artes y oficios a 600 mujeres para cualificarlas y dotarlas de habilidades para la generación de ingresos, teniendo en cuenta realizar 4 por año, una cada trimestre).</t>
  </si>
  <si>
    <t>Mujeres capacitadas y cualificadas en artes y oficios</t>
  </si>
  <si>
    <t>Número de mujeres beneficiarias de los 40  procesos de capacitación  en artes y oficios para cualificarlas y dotarlas de habilidades para la generación de ingresos.</t>
  </si>
  <si>
    <t>Mujeres beneficiarias de los 40  procesos de capacitación  en artes y oficios para cualificarlas y dotarlas de habilidades para la generación de ingresos</t>
  </si>
  <si>
    <t>Insuficientes programas en el SENA que beneficien a las mujeres.</t>
  </si>
  <si>
    <t>Poca oferta de actividades de manualidades, maquina plana, peluquería, croché.</t>
  </si>
  <si>
    <t>No se tienen programas que tengan en cuenta el aumento de mujeres cabeza de hogar.</t>
  </si>
  <si>
    <t>2. Incentivar el emprendimiento como estrategia de cualificación de la mujer Pereirana.</t>
  </si>
  <si>
    <t xml:space="preserve">A diciembre de 2028, formular e implementado una estrategia para incentivar la generación de ingresos de la mujer pereirana </t>
  </si>
  <si>
    <t xml:space="preserve">Mujeres que generan ingresos a través de proyectos de emprendimiento  </t>
  </si>
  <si>
    <t xml:space="preserve">Porcentaje de implementación de la estrategia para incentivar la generación de ingresos de la mujer pereirana </t>
  </si>
  <si>
    <t xml:space="preserve">3. Impulsar y apoyar proyectos de emprendimiento para las mujeres.  </t>
  </si>
  <si>
    <t>Con esta acción se pretende brindar apoyo y acompañamiento a las mujeres en la formulación y gestión de proyectos de emprendimiento y productividad con planes de negocio viables .
Así mismo se impulsaran con la participación en ferias empresariales, ruedas de negocios y encuentro entre otras</t>
  </si>
  <si>
    <t>Mujeres del municipio de Pereira.</t>
  </si>
  <si>
    <t>A diciembre de 2019 se ha brindado apoyo y acompañamiento a 4 proyectos de emprendimiento, con planes de negocio viables presentados por las mujeres</t>
  </si>
  <si>
    <t>A diciembre de 2020 se ha brindado apoyo y acompañamiento a 8 proyectos de emprendimiento, con planes de negocio viables presentados por las mujeres</t>
  </si>
  <si>
    <t>A diciembre de 2021 se ha brindado apoyo y acompañamiento a12 proyectos de emprendimiento, con planes de negocio viables presentados por las mujeres</t>
  </si>
  <si>
    <t>A diciembre de 2022 se ha brindado apoyo y acompañamiento a 16 proyectos de emprendimiento, con planes de negocio viables presentados por las mujeres</t>
  </si>
  <si>
    <t>A diciembre de 2023 se ha brindado apoyo y acompañamiento a20 proyectos de emprendimiento, con planes de negocio viables presentados por las mujeres</t>
  </si>
  <si>
    <t>A diciembre de 2024 se ha brindado apoyo y acompañamiento a 24 proyectos de emprendimiento, con planes de negocio viables presentados por las mujeres</t>
  </si>
  <si>
    <t>A diciembre de 2025 se ha brindado apoyo y acompañamiento a 28 proyectos de emprendimiento, con planes de negocio viables presentados por las mujeres</t>
  </si>
  <si>
    <t>A diciembre de 2026 se ha brindado apoyo y acompañamiento a 32 proyectos de emprendimiento, con planes de negocio viables presentados por las mujeres</t>
  </si>
  <si>
    <t>A diciembre de 2027 se ha brindado apoyo y acompañamiento a 36 proyectos de emprendimiento, con planes de negocio viables presentados por las mujeres</t>
  </si>
  <si>
    <t>A diciembre de 2028 se ha brindado apoyo y acompañamiento a 40 proyectos de emprendimiento, con planes de negocio viables presentados por las mujeres, teniendo en cuenta realizar 4 por vigencia.</t>
  </si>
  <si>
    <t>Proyectos de emprendimiento impulsados y apoyados</t>
  </si>
  <si>
    <t xml:space="preserve">Número de proyectos de emprendimiento y productividad con planes de negocio viables presentados por las mujeres que fueron apoyados y acompañados </t>
  </si>
  <si>
    <t xml:space="preserve">Proyectos de emprendimiento y productividad con planes de negocio viables presentados por las mujeres que fueron apoyados y acompañados </t>
  </si>
  <si>
    <t>Secretaría de Desarrollo Económico y competitividad, Secretaría de Desarrollo Social y Político y Secretaría de Planeación Municipal (Presupuesto participativo).</t>
  </si>
  <si>
    <t>Pocos programas de emprendimiento para mujeres cabeza de hogar.</t>
  </si>
  <si>
    <t>Existen barreras para acceder a la oferta de programas productivos para mujeres cabeza de hogar para la carga del cuidado familiar.</t>
  </si>
  <si>
    <t>Insuficientes mecanismos de acceso a los recursos financieras para estimular la propiedad en mujer.</t>
  </si>
  <si>
    <t xml:space="preserve">4. Establecer alianzas estratégicas para el apoyo financiero a proyectos de emprendimiento con planes de negocio viables </t>
  </si>
  <si>
    <t xml:space="preserve">
Se gestionarán alianzas estratégicas con el sector financiero, productivo, con agencias de cooperación y grupos de mujeres para el apoyo financiero a proyectos de emprendimiento de las mujeres que tengan planes de negocio viables.</t>
  </si>
  <si>
    <t>Sector financiero, productivo y/o agencias de cooperación</t>
  </si>
  <si>
    <t>A  diciembre de 2019 se ha establecido como mínimo 1 alianza estratégica para el apoyo financiero a proyectos de emprendimiento de las mujeres con planes de negocio viables  (una por vigencia)</t>
  </si>
  <si>
    <t>A  diciembre de 2020 se han establecido como mínimo 2 alianzas estratégicas para el apoyo financiero a proyectos de emprendimiento de las mujeres con planes de negocio viables  (una por vigencia)</t>
  </si>
  <si>
    <t>A  diciembre de 2021 se han establecido como mínimo 3 alianzas estratégicas para el apoyo financiero a proyectos de emprendimiento de las mujeres con planes de negocio viables  (una por vigencia)</t>
  </si>
  <si>
    <t>A  diciembre de 2022 se han establecido como mínimo 4 alianzas estratégicas para el apoyo financiero a proyectos de emprendimiento de las mujeres con planes de negocio viables  (una por vigencia)</t>
  </si>
  <si>
    <t>A  diciembre de 2023 se han establecido como mínimo 5 alianzas estratégicas para el apoyo financiero a proyectos de emprendimiento de las mujeres con planes de negocio viables  (una por vigencia)</t>
  </si>
  <si>
    <t>A  diciembre de 2024 se han establecido como mínimo 6 alianzas estratégicas para el apoyo financiero a proyectos de emprendimiento de las mujeres con planes de negocio viables  (una por vigencia)</t>
  </si>
  <si>
    <t>A  diciembre de 2025 se han establecido como mínimo 7 alianzas estratégicas para el apoyo financiero a proyectos de emprendimiento de las mujeres con planes de negocio viables  (una por vigencia)</t>
  </si>
  <si>
    <t>A  diciembre de 2026 se han establecido como mínimo 8 alianzas estratégicas para el apoyo financiero a proyectos de emprendimiento de las mujeres con planes de negocio viables  (una por vigencia)</t>
  </si>
  <si>
    <t>A  diciembre de 2027 se han establecido como mínimo 9 alianzas estratégicas para el apoyo financiero a proyectos de emprendimiento de las mujeres con planes de negocio viables  (una por vigencia)</t>
  </si>
  <si>
    <t>A  diciembre de 2028 se han establecido como mínimo 10 alianzas estratégicas para el apoyo financiero a proyectos de emprendimiento de las mujeres con planes de negocio viables  (una por vigencia)</t>
  </si>
  <si>
    <t>Alianzas estratégicas para el apoyo financiero a proyectos de emprendimiento de las mujeres</t>
  </si>
  <si>
    <t>Número de alianzas estratégicas realizadas para el apoyo financiero a proyectos de emprendimiento de las mujeres.</t>
  </si>
  <si>
    <t>Alianzas estratégicas realizadas para el apoyo financiero a proyectos de emprendimiento de las mujeres.</t>
  </si>
  <si>
    <t>Secretaría de Desarrollo Económico y competitividad</t>
  </si>
  <si>
    <t>Sector financiero, productivo, con agencias de cooperación y grupos de mujeres</t>
  </si>
  <si>
    <t>Excesivos requisitos para el acceso al empleo y formación laboral que se ajustan a la realidad local.</t>
  </si>
  <si>
    <t>3. Promover la vinculación laboral de las mujeres del municipio de Pereira en el sector empresarial público y privado.</t>
  </si>
  <si>
    <t>A diciembre de 2028, diseñar e implementar una estrategia para promover la vinculación laboral de las mujeres del municipio de Pereira en el sector empresarial público y privado.</t>
  </si>
  <si>
    <t>Mujeres vinculadas laboralmente e n el sector empresarial público y privado</t>
  </si>
  <si>
    <t>Porcentaje de implementación de la estrategia para promover la vinculación laboral de las mujeres del municipio de Pereira en el sector empresarial público y privado.</t>
  </si>
  <si>
    <t>5. Diseñar un programa de estímulos para los empresarios de la región que generen empleos dignos para las mujeres, teniendo en cuenta su situación y/o condición</t>
  </si>
  <si>
    <t>Establecer alianzas estratégicas con el sector empresarial para generar incentivos laborales a los empresarios que generen empleos dignos para las mujeres, teniendo en cuenta su situación y/o condición</t>
  </si>
  <si>
    <t>Mujeres con situación y/o condición especial.</t>
  </si>
  <si>
    <t>A 2019 se han realizado 1 alianza estratégica con el sector empresarial, para generar incentivos laborales  a los empresarios que generen empleos dignos para las mujeres, teniendo en cuenta su situación y/o condición.</t>
  </si>
  <si>
    <t>A 2020 se han realizado 2 alianzas estratégicas con el sector empresarial, para generar incentivos laborales  a los empresarios que generen empleos dignos para las mujeres, teniendo en cuenta su situación y/o condición.</t>
  </si>
  <si>
    <t>A 2021 se han realizado 3 alianzas estratégicas con el sector empresarial, para generar incentivos laborales  a los empresarios que generen empleos dignos para las mujeres, teniendo en cuenta su situación y/o condición.</t>
  </si>
  <si>
    <t>A 2022 se han realizado 4 alianzas estratégicas con el sector empresarial, para generar incentivos laborales  a los empresarios que generen empleos dignos para las mujeres, teniendo en cuenta su situación y/o condición.</t>
  </si>
  <si>
    <t>A 2023 se han realizado 5 alianzas estratégicas con el sector empresarial, para generar incentivos laborales  a los empresarios que generen empleos dignos para las mujeres, teniendo en cuenta su situación y/o condición.</t>
  </si>
  <si>
    <t>A 2024 se han realizado 6 alianzas estratégicas con el sector empresarial, para generar incentivos laborales  a los empresarios que generen empleos dignos para las mujeres, teniendo en cuenta su situación y/o condición.</t>
  </si>
  <si>
    <t>A 2025 se han realizado 7 alianzas estratégicas con el sector empresarial, para generar incentivos laborales  a los empresarios que generen empleos dignos para las mujeres, teniendo en cuenta su situación y/o condición.</t>
  </si>
  <si>
    <t>A 2026 se han realizado 8 alianzas estratégicas con el sector empresarial, para generar incentivos laborales  a los empresarios que generen empleos dignos para las mujeres, teniendo en cuenta su situación y/o condición.</t>
  </si>
  <si>
    <t>A 2027 se han realizado 9 alianzas estratégicas con el sector empresarial, para generar incentivos laborales  a los empresarios que generen empleos dignos para las mujeres, teniendo en cuenta su situación y/o condición.</t>
  </si>
  <si>
    <t>A 2028 se han realizado 10 alianzas estratégicas con el sector empresarial,  una por año, para generar incentivos laborales  a los empresarios que generen empleos dignos para las mujeres, teniendo en cuenta su situación y/o condición.</t>
  </si>
  <si>
    <t>Alianzas estratégicas para generar empleo digno  para las mujeres.</t>
  </si>
  <si>
    <t>Número de alianzas estratégicas realizadas con el sector empresarial para generar incentivos laborales a los empresarios que generen empleos dignos para las mujeres, teniendo en cuenta su situación y/o condición.</t>
  </si>
  <si>
    <t>Alianzas estratégicas realizadas con el sector empresarial para generar incentivos laborales a los empresarios que generen empleos dignos para las mujeres, teniendo en cuenta su situación y/o condición.</t>
  </si>
  <si>
    <t>Secretaría de Desarrollo Económico y Competitividad.</t>
  </si>
  <si>
    <t>Sector empresarial</t>
  </si>
  <si>
    <t>Desconocimiento de la ruta de atención de la agencia pública de empleo del SENA, que comprende formación, empleo y emprendimiento.</t>
  </si>
  <si>
    <t xml:space="preserve">6. Promover la vinculación laboral de las mujeres a través del centro de empleo </t>
  </si>
  <si>
    <t xml:space="preserve">Se promoverá la vinculación laboral de las mujeres realizando ferias de empleo dirigidas a las mujeres, con la participación de empresas oferentes </t>
  </si>
  <si>
    <t xml:space="preserve">Mujeres del municipio de Pereira en búsqueda de empleo </t>
  </si>
  <si>
    <t xml:space="preserve">A diciembre de 2019 se realizará 1 feria de empleo para promover la vinculación laboral de las mujeres, con la participación de empresas oferentes, realizando 1 al año). </t>
  </si>
  <si>
    <t>A diciembre de 2028 se han realizado 2 ferias de empleo para promover la vinculación laboral de las mujeres, con la participación de empresas oferentes.</t>
  </si>
  <si>
    <t>A diciembre de 2028 se han realizado 3 ferias de empleo para promover la vinculación laboral de las mujeres, con la participación de empresas oferentes.</t>
  </si>
  <si>
    <t>A diciembre de 2028 se han realizado 4 ferias de empleo para promover la vinculación laboral de las mujeres, con la participación de empresas oferentes.</t>
  </si>
  <si>
    <t>A diciembre de 2028 se han realizado 5 ferias de empleo para promover la vinculación laboral de las mujeres, con la participación de empresas oferentes.</t>
  </si>
  <si>
    <t>A diciembre de 2028 se han realizado 6 ferias de empleo para promover la vinculación laboral de las mujeres, con la participación de empresas oferentes.</t>
  </si>
  <si>
    <t>A diciembre de 2028 se han realizado 7 ferias de empleo para promover la vinculación laboral de las mujeres, con la participación de empresas oferentes.</t>
  </si>
  <si>
    <t>A diciembre de 2028 se han realizado 8 ferias de empleo para promover la vinculación laboral de las mujeres, con la participación de empresas oferentes.</t>
  </si>
  <si>
    <t>A diciembre de 2028 se han 9 realizado ferias de empleo para promover la vinculación laboral de las mujeres, con la participación de empresas oferentes.</t>
  </si>
  <si>
    <t xml:space="preserve">A diciembre de 2028 se han realizado 10 ferias de empleo para promover la vinculación laboral de las mujeres, con la participación de empresas oferentes, realizando 1 al año). </t>
  </si>
  <si>
    <t>Ferias de empleo para promover la vinculación laboral de las mujeres.</t>
  </si>
  <si>
    <t xml:space="preserve">Número de ferias de empleo realizadas para promover la vinculación laboral de las mujeres, con la participación de empresas oferentes. </t>
  </si>
  <si>
    <t xml:space="preserve"> Ferias de empleo realizadas para promover la vinculación laboral de las mujeres, con la participación de empresas oferentes. </t>
  </si>
  <si>
    <t>Secretaría de Desarrollo Económico y competitividad (Centro de empleo)</t>
  </si>
  <si>
    <t>Pocas garantías para las mujeres rurales en el cumplimiento de sus derechos laborales.</t>
  </si>
  <si>
    <t>7. Estrategia de sensibilización al sector empresarial para el cumplimiento de los derechos laborales de las mujeres.</t>
  </si>
  <si>
    <t>Las actividades de sensibilización se dirigirán al personal directivo de las empresas con el fin de promover el cumplimiento de los derechos laborales de las mujeres.</t>
  </si>
  <si>
    <t>Directivos empresariales</t>
  </si>
  <si>
    <t>A diciembre de 2019 se ha diseñado e implementado en un 100% la estrategia sensibilización al sector empresarial para el cumplimiento de los derechos laborales de las mujeres.</t>
  </si>
  <si>
    <t>A diciembre de 2020 se ha actualizado e implementado en un 100% la estrategia sensibilización al sector empresarial para el cumplimiento de los derechos laborales de las mujeres.</t>
  </si>
  <si>
    <t>A diciembre de 2021 se ha actualizado e implementado en un 100% la estrategia sensibilización al sector empresarial para el cumplimiento de los derechos laborales de las mujeres.</t>
  </si>
  <si>
    <t>A diciembre de 2022 se ha actualizado e implementado en un 100% la estrategia sensibilización al sector empresarial para el cumplimiento de los derechos laborales de las mujeres.</t>
  </si>
  <si>
    <t>A diciembre de 2023 se ha actualizado e implementado en un 100% la estrategia sensibilización al sector empresarial para el cumplimiento de los derechos laborales de las mujeres.</t>
  </si>
  <si>
    <t>A diciembre de 2024 se ha actualizado e implementado en un 100% la estrategia sensibilización al sector empresarial para el cumplimiento de los derechos laborales de las mujeres.</t>
  </si>
  <si>
    <t>A diciembre de 2025 se ha actualizado e implementado en un 100% la estrategia sensibilización al sector empresarial para el cumplimiento de los derechos laborales de las mujeres.</t>
  </si>
  <si>
    <t>A diciembre de 2026 se ha actualizado e implementado en un 100% la estrategia sensibilización al sector empresarial para el cumplimiento de los derechos laborales de las mujeres.</t>
  </si>
  <si>
    <t>A diciembre de 2027 se ha actualizado e implementado en un 100% la estrategia sensibilización al sector empresarial para el cumplimiento de los derechos laborales de las mujeres.</t>
  </si>
  <si>
    <t>A diciembre de 2028 se ha diseñado, actualizado e implementado anualmente en un 100% la estrategia sensibilización al sector empresarial para el cumplimiento de los derechos laborales de las mujeres.</t>
  </si>
  <si>
    <t>Directivos empresariales sensibilizados respecto al cumplimiento de los derechos laborales de las mujeres a través de la estrategia implementada</t>
  </si>
  <si>
    <t>Porcentaje de ejecución de la estrategia sensibilización al sector empresarial para el cumplimiento de los derechos laborales de las mujeres</t>
  </si>
  <si>
    <t>Acciones realizadas de la estrategia de sensibilización al sector empresarial / Acciones programadas de la estrategia de sensibilización al sector empresarial para el cumplimiento de los derechos laborales de las mujeres  *100</t>
  </si>
  <si>
    <t xml:space="preserve">Secretaría de Desarrollo Económico y Competitividad. </t>
  </si>
  <si>
    <t>No hay un estudio de deserción de la mujer en educación superior.</t>
  </si>
  <si>
    <t>4. Reducir las barreras para el  acceso de las mujeres a la educación superior, por niveles y disciplinas de formación</t>
  </si>
  <si>
    <t xml:space="preserve">A diciembre de 2028,  desarrollar en un 100% una estrategia integral para el fomento  de la equidad de género y el acceso a la Educación Superior, en todos los niveles  y disciplinas </t>
  </si>
  <si>
    <t xml:space="preserve">Mujeres con acceso a educación superior en   todos los niveles y disciplinas </t>
  </si>
  <si>
    <t>Porcentaje  de implementación de la estrategia integral para el fomento  de la equidad de género en la Educación Superior, en todos los niveles  y disciplinas.</t>
  </si>
  <si>
    <t>8. Realizar  estudio para  identificar las  problemáticas y barreras de acceso de las mujeres en la educación superior, con el diseño de un plan de trabajo para intervenirlas</t>
  </si>
  <si>
    <t>El estudio y plan de trabajo debe ser realizado por la academia y de conformidad con lo estipulado en el decreto 4798 de 2011</t>
  </si>
  <si>
    <t>Mujeres interesadas en la educación superior</t>
  </si>
  <si>
    <t>A dic 2019 tener el estudio elaborado sobre problemáticas y barreras de acceso de las mujeres en la educación superior, con el diseño de un plan de trabajo para intervenirlas en la vigencia, de conformidad con lo estipulado en el decreto 4798 de 2011</t>
  </si>
  <si>
    <t>A dic 2020  tener el estudio actualizado sobre problemáticas y barreras de acceso de las mujeres en la educación superior, con el diseño de un plan de trabajo para intervenirlas en la vigencia, de conformidad con lo estipulado en el decreto 4798 de 2011</t>
  </si>
  <si>
    <t xml:space="preserve">A dic 2021  tener el estudio actualizado sobre problemáticas y barreras de acceso de las mujeres en la educación superior, con el diseño de un plan de trabajo para intervenirlas en la vigencia, de conformidad con lo estipulado en el decreto 4798 de 2011 </t>
  </si>
  <si>
    <t xml:space="preserve">A dic 2022  tener el estudio actualizado sobre problemáticas y barreras de acceso de las mujeres en la educación superior, con el diseño de un plan de trabajo para intervenirlas en la vigencia, de conformidad con lo estipulado en el decreto 4798 de 2011 </t>
  </si>
  <si>
    <t xml:space="preserve">A dic 2023  tener el estudio actualizado sobre problemáticas y barreras de acceso de las mujeres en la educación superior, con el diseño de un plan de trabajo para intervenirlas en la vigencia, de conformidad con lo estipulado en el decreto 4798 de 2011 </t>
  </si>
  <si>
    <t xml:space="preserve">A dic 2024  tener el estudio actualizado sobre problemáticas y barreras de acceso de las mujeres en la educación superior, con el diseño de un plan de trabajo para intervenirlas en la vigencia, de conformidad con lo estipulado en el decreto 4798 de 2011 </t>
  </si>
  <si>
    <t xml:space="preserve">A dic 2025  tener el estudio actualizado sobre problemáticas y barreras de acceso de las mujeres en la educación superior, con el diseño de un plan de trabajo para intervenirlas en la vigencia, de conformidad con lo estipulado en el decreto 4798 de 2011 </t>
  </si>
  <si>
    <t xml:space="preserve">A dic 2026  tener el estudio actualizado sobre problemáticas y barreras de acceso de las mujeres en la educación superior, con el diseño de un plan de trabajo para intervenirlas en la vigencia, de conformidad con lo estipulado en el decreto 4798 de 2011 </t>
  </si>
  <si>
    <t xml:space="preserve">A dic 2027  tener el estudio actualizado sobre problemáticas y barreras de acceso de las mujeres en la educación superior, con el diseño de un plan de trabajo para intervenirlas en la vigencia, de conformidad con lo estipulado en el decreto 4798 de 2011 </t>
  </si>
  <si>
    <t>A diciembre de 2028 tener un estudio y plan de trabajo aplicado, sobre las problemáticas y barreras de acceso de las mujeres en la educación superior , de conformidad con lo estipulado en el decreto 4798 de 2011</t>
  </si>
  <si>
    <t xml:space="preserve">Estudio y plan de trabajo aplicado, sobre las problemáticas y barreras de acceso de las mujeres en la educación superior </t>
  </si>
  <si>
    <t xml:space="preserve">Un estudio y plan de trabajo aplicado, sobre las problemáticas y barreras de acceso de las mujeres en la educación superior </t>
  </si>
  <si>
    <t>Academia.</t>
  </si>
  <si>
    <t>No se ha identificado la magnitud y características de la brecha educativa para el acceso de las mujeres a la educación pos gradual en los niveles de maestría y doctorado, en el municipio de Pereira.</t>
  </si>
  <si>
    <t>9. Conceder becas a las mujeres para el ingreso a la educación superior</t>
  </si>
  <si>
    <t xml:space="preserve">Mujeres de estratos 1 y 2  y en condición de vulnerabilidad  </t>
  </si>
  <si>
    <t>A diciembre de 2019 conceder el 100% de becas solitadas que cumplan con los requisitos estipulados en la normatividad vigente.</t>
  </si>
  <si>
    <t>A diciembre de 2020 conceder el 100% de becas solitadas que cumplan con los requisitos estipulados en la normatividad vigente.</t>
  </si>
  <si>
    <t>A diciembre de 2021 conceder el 100% de becas solitadas que cumplan con los requisitos estipulados en la normatividad vigente.</t>
  </si>
  <si>
    <t>A diciembre de 2022 conceder el 100% de becas solitadas que cumplan con los requisitos estipulados en la normatividad vigente.</t>
  </si>
  <si>
    <t>A diciembre de 2023 conceder el 100% de becas solitadas que cumplan con los requisitos estipulados en la  normatividad vigente.</t>
  </si>
  <si>
    <t>A diciembre de 2024 conceder el 100% de becas solitadas que cumplan con los requisitos estipulados en la normatividad vigente.</t>
  </si>
  <si>
    <t>A diciembre de 2025 conceder el 100% de becas solitadas que cumplan con los requisitos estipulados en la  normatividad vigente.</t>
  </si>
  <si>
    <t>A diciembre de 2026 conceder el 100% de becas solitadas que cumplan con los requisitos estipulados en la  normatividad vigente.</t>
  </si>
  <si>
    <t>A diciembre de 2027 conceder el 100% de becas solitadas que cumplan con los requisitos estipulados en la normatividad vigente.</t>
  </si>
  <si>
    <t>A diciembre de 2028 conceder el 100% de becas solicitadas que cumplan con los requisitos estipulados en la  normatividad vigente.</t>
  </si>
  <si>
    <t xml:space="preserve">Becas de educación superior  concedidas a mujeres </t>
  </si>
  <si>
    <t>Porcentaje de becas  concedidas a mujeres que cumplen con los requisitos estipulados en la normatividad vigente.</t>
  </si>
  <si>
    <t>Becas  concedidas a mujeres que cumplieron con los requisitos estipulados en la normatividad vigente. / Total de becas de educación superior  solicitadas por las mujeres que cumplieron con los requisitos estipulados en la normatividad vigente</t>
  </si>
  <si>
    <t>Universidad Católica de Pereira (UCP)  - CIAF - Universidad Tecnológica de Pereira  UTP</t>
  </si>
  <si>
    <t>10. Apoyar  el trabajo en red de las IES, para fomentar la  apropiación de los lineamientos de Política de Educación Superior Inclusiva, con enfoque de género, en las universidades del municipio</t>
  </si>
  <si>
    <t>Apoyar al menos una iniciativa por año, emanada de la Red de las IES para el fomento de la equidad de género</t>
  </si>
  <si>
    <t>IES Públicas y privadas del Municipio de Pereira, que integren la alianza interinstitucional</t>
  </si>
  <si>
    <t>A diciembre del 2019 apoyar  1 iniciativa  por la Equidad de Género, emanada de la RED de IES</t>
  </si>
  <si>
    <t>A diciembre del 2020 apoyar 2 iniciativas  por la Equidad de Género, emanadas de la RED de IES</t>
  </si>
  <si>
    <t>A diciembre del 2021 apoyar 3  iniciativas  por la Equidad de Género, emanadas de la RED de IES</t>
  </si>
  <si>
    <t>A diciembre del 2022 apoyar 4 iniciativas  por la Equidad de Género, emanadas de la RED de IES</t>
  </si>
  <si>
    <t>A diciembre del 2023  apoyar 5 iniciativas  por la Equidad de Género, emanadas de la RED de IES</t>
  </si>
  <si>
    <t>A diciembre del 2024 apoyar 6 iniciativas  por la Equidad de Género, emanadas de la RED de IES</t>
  </si>
  <si>
    <t>A diciembre del 2025 apoyar 7 iniciativas  por la Equidad de Género, emanadas de la RED de IES</t>
  </si>
  <si>
    <t>A diciembre del 2026  apoyar 8 iniciativas  por la Equidad de Género, emanadas de la RED de IES</t>
  </si>
  <si>
    <t>A diciembre del 2027 apoyar 9 iniciativas  por la Equidad de Género, emanadas de la RED de IES</t>
  </si>
  <si>
    <t>A diciembre del 2028 apoyar 10 iniciativas  por la Equidad de Género, emanadas de la RED de IES</t>
  </si>
  <si>
    <t>Iniciativas  por la Equidad de Género apoyadas</t>
  </si>
  <si>
    <t>Número de iniciativas apoyadas por la Equidad de Género, emanadas de la RED de IES.</t>
  </si>
  <si>
    <t>Secretaría de Educación y Secretaría de Desarrollo Social y Político</t>
  </si>
  <si>
    <t>Instituciones de educación superior</t>
  </si>
  <si>
    <t>Dificultades en el acceso a la educación postgradual  para las mujeres.</t>
  </si>
  <si>
    <t>11. Diseñar e implementar un proyecto pedagógico de coeducación en los establecimientos educativos del municipio</t>
  </si>
  <si>
    <t xml:space="preserve">Diseñar los lineamientos y materiales pedagógicos del Proyecto de coeducación y capacitar a docentes y directivos docentes para su incorporación dentro del PEI </t>
  </si>
  <si>
    <t>Instituciones públicas de Educación básica del Municipio.</t>
  </si>
  <si>
    <t xml:space="preserve">A diciembre de 2019 tener  un proyecto pedagógico de coeducación diseñado e implementado  en  el 100% de los establecimientos educativos del municipio, </t>
  </si>
  <si>
    <t xml:space="preserve">A diciembre de 2020  tener  un proyecto pedagógico de coeducación diseñado e implementado  en  el 100% de los establecimientos educativos del municipio, </t>
  </si>
  <si>
    <t xml:space="preserve">A diciembre de 2021  tener  un proyecto pedagógico de coeducación diseñado e implementado  en  el 100% de los establecimientos educativos del municipio, </t>
  </si>
  <si>
    <t xml:space="preserve">A diciembre de 2022  tener  un proyecto pedagógico de coeducación diseñado e implementado  en  el 100% de los establecimientos educativos del municipio, </t>
  </si>
  <si>
    <t xml:space="preserve">A diciembre de 2023  tener  un proyecto pedagógico de coeducación diseñado e implementado  en  el 100% de los establecimientos educativos del municipio, </t>
  </si>
  <si>
    <t xml:space="preserve">A diciembre de 2024  tener  un proyecto pedagógico de coeducación diseñado e implementado  en  el 100% de los establecimientos educativos del municipio, </t>
  </si>
  <si>
    <t xml:space="preserve">A diciembre de 2025  tener  un proyecto pedagógico de coeducación diseñado e implementado  en  el 100% de los establecimientos educativos del municipio, </t>
  </si>
  <si>
    <t xml:space="preserve">A diciembre de 2026  tener  un proyecto pedagógico de coeducación diseñado e implementado  en  el 100% de los establecimientos educativos del municipio, </t>
  </si>
  <si>
    <t xml:space="preserve">A diciembre de 2027  tener  un proyecto pedagógico de coeducación diseñado e implementado  en  el 100% de los establecimientos educativos del municipio, </t>
  </si>
  <si>
    <t>A diciembre de 2028  tener  un proyecto pedagógico de coeducación diseñado e implementado  en  el 100% de los establecimientos educativos del municipio.</t>
  </si>
  <si>
    <t>Instituciones públicas de educación básica del municipio de Pereira, con materiales y docentes capacitados implementando el proyecto de Coeducación.</t>
  </si>
  <si>
    <t>Número de instituciones públicas de educación básica, con proyecto de Coeducación implementado y funcionando</t>
  </si>
  <si>
    <t>Instituciones públicas de educación básica, con proyecto de Coeducación implementado y funcionando.</t>
  </si>
  <si>
    <t>Poca participación de la mujer en los escenarios culturales y artísticos.</t>
  </si>
  <si>
    <t xml:space="preserve">5. Promover el bienestar social integral, de las mujeres en  contextos de riesgo y vulnerabilidad de las zonas urbana y rural.
</t>
  </si>
  <si>
    <t>A diciembre de 2028, implementar en un 100% un programa integral de bienestar social para las mujeres en contextos de riesgo y vulnerabilidad, de las zonas urbana y rural.</t>
  </si>
  <si>
    <t>Mujeres en  contextos de riesgo y vulnerabilidad de las zonas urbana y rural, protegidas con un programa integral de bienestar social</t>
  </si>
  <si>
    <t>Porcentaje de implementación del programa integral de bienestar social para las mujeres en contextos de riesgo y vulnerabilidad, de las zonas urbana y rural</t>
  </si>
  <si>
    <t>12. Espacios de encuentro y visibilización anual de artistas pereiranas.</t>
  </si>
  <si>
    <t>Llevar a cabo anualmente, un espacio de encuentro y  visibilización  social de las expresiones artisticas de las mujeres pereiranas, donde se difundan sus obras, en las diferentes manifestaciones artrtisticas</t>
  </si>
  <si>
    <t>Mujeres artistas del municipio de Pereira.</t>
  </si>
  <si>
    <t>A diciembre de 2019 tener realizado como mínimo 1 espacio de visibilización  de mujeres artistas para resaltar sus trabajos y difundir sus obras</t>
  </si>
  <si>
    <t>A diciembre de 2020 tener realizados como mínimo 2 espacios de visibilización de mujeres artistas para resaltar sus trabajos y difundir sus obras</t>
  </si>
  <si>
    <t>A diciembre de 2021 tener realizados como mínimo 3 espacios de visibilización de mujeres artistas para resaltar sus trabajos y difundir sus obras</t>
  </si>
  <si>
    <t>A diciembre de 2022 tener realizados como mínimo 4 espacios de visibilización de mujeres artistas para resaltar sus trabajos y difundir sus obras</t>
  </si>
  <si>
    <t>A diciembre de 2023 tener realizados como mínimo 5 espacios de visibilización de mujeres artistas para resaltar sus trabajos y difundir sus obras</t>
  </si>
  <si>
    <t>A diciembre de 2024 tener realizados como mínimo 6 espacios de visibilización de mujeres artistas para resaltar sus trabajos y difundir sus obras</t>
  </si>
  <si>
    <t>A diciembre de 2025 tener realizados como mínimo 7 espacios de visibilización de mujeres artistas para resaltar sus trabajos y difundir sus obras</t>
  </si>
  <si>
    <t>A diciembre de 2026 tener realizados como mínimo 8 espacios de visibilización de mujeres artistas para resaltar sus trabajos y difundir sus obras</t>
  </si>
  <si>
    <t>A diciembre de 2027 tener realizados como mínimo 9 espacios de visibilización de mujeres artistas para resaltar sus trabajos y difundir sus obras</t>
  </si>
  <si>
    <t xml:space="preserve">A diciembre de 2028 tener realizados como mínimo 10 espacios de visibilización de  mujeres artistas para resaltar sus trabajos y difundir sus obras (uno por año). </t>
  </si>
  <si>
    <t>Espacios anuales de visibilización de las mujeres artistas pereiranas para resaltar sus trabajos y difundir sus obras</t>
  </si>
  <si>
    <t>Número de  espacios de visibilización de las mujeres artistas realizados para resaltar sus trabajos y difundir sus obras</t>
  </si>
  <si>
    <t>Espacios anuales  de visibilización de las mujeres artistas pereiranas para resaltar sus trabajos y difundir sus obras</t>
  </si>
  <si>
    <t xml:space="preserve"> Secretaría de Cultura</t>
  </si>
  <si>
    <t>Museo de Arte de Pereira, Comfamiliar Risaralda y ONG´s</t>
  </si>
  <si>
    <t>Falta protección a la mujer privada de la libertad para cuando sale y se reincorpora a la sociedad.</t>
  </si>
  <si>
    <t>13. Establecer convenios con empresas prestadoras de servicios culturales, recreativos, deportivos y de asistencia social, para la atención preferencial de las mujeres cabeza de hogar y en contextos de riesgo y vulnerabilidad, zonas urbana y rural</t>
  </si>
  <si>
    <t>Cada agente institucional involucrado en la política pública y según sus competencias sectoriales, establecerá convenios  con empresas prestadoras de servicios culturales, recreativos, deportivos y de asistencia social, para la atención preferencial a las mujeres cabeza de hogar y  en contextos de riesgo y vulnerabilidad de la zona urbana y rural del municipio (Desarrollo Social, Cultura,  Deportes  Desarrollo económico y competitividad.</t>
  </si>
  <si>
    <t xml:space="preserve">Mujeres cabeza de hogar y en contexto de riesgo y vulnerabilidad, de la zona urbana y rural del municipio de Pereira </t>
  </si>
  <si>
    <t xml:space="preserve">A diciembre de 2019  tener 4 convenios establecidos para la atención preferencial de las mujeres cabeza de hogar y en contextos de riesgo y vulnerabilidad, de las zona urbana y rural  (Uno por actor: Desarrollo Social, Cultura,  Deportes  y Desarrollo económico y competitividad). </t>
  </si>
  <si>
    <t xml:space="preserve">A diciembre de 2020  tener 8 convenios establecidos para la atención preferencial de las mujeres cabeza de hogar y  en contextos de riesgo y vulnerabilidad, de las zona urbana y rural  (2 por actor: Desarrollo Social, Cultura, Deportes y Desarrollo económico y competitividad). </t>
  </si>
  <si>
    <t xml:space="preserve">A diciembre de 2021  tener  12  convenios establecidos para la atención preferencial de las mujeres cabeza de hogar y en contextos de riesgo y vulnerabilidad, de las zona urbana y rural  (3 por actor: Desarrollo Social, Cultura,  Deportes,  Desarrollo económico y competitividad). </t>
  </si>
  <si>
    <t xml:space="preserve">A diciembre de 2022  tener 16 convenios establecidos para la atención preferencial de las mujeres cabeza de hogar y  en contextos de riesgo y vulnerabilidad, de las zona urbana y rural  (4 por actor: Desarrollo Social, Cultura,  Deportes,  Desarrollo económico y competitividad). </t>
  </si>
  <si>
    <t xml:space="preserve">A diciembre de 2023  tener 20 convenios establecidos para la atención preferencial de las mujeres cabeza de hogar y  en contextos de riesgo y vulnerabilidad, de las zona urbana y rural  (5 por actor: Desarrollo Social, Cultura,  Deportes, Desarrollo económico y competitividad). </t>
  </si>
  <si>
    <t xml:space="preserve">A diciembre de 2024  tener 24 convenios establecidos para la atención preferencial de las mujeres cabeza de hogar y en contextos de riesgo y vulnerabilidad, de las zona urbana y rural  (6 por actor: Desarrollo Social, Cultura,   Deportes, Desarrollo económico y competitividad). </t>
  </si>
  <si>
    <t xml:space="preserve">A diciembre de 2025  tener 28  convenios establecidos para la atención preferencial de las mujeres cabeza de hogar y en contextos de riesgo y vulnerabilidad, de las zona urbana y rural  (7 por actor: Desarrollo Social, Cultura,  Deportes, Desarrollo económico y competitividad). </t>
  </si>
  <si>
    <t xml:space="preserve">A diciembre de 2026  tener 32 convenios establecidos para la atención preferencial de las mujeres cabeza de hogar y  en contextos de riesgo y vulnerabilidad, de las zona urbana y rural  (8 por actor: Desarrollo Social, Cultura,  Deportes,  Desarrollo económico y competitividad). </t>
  </si>
  <si>
    <t xml:space="preserve">A diciembre de 2027  tener 36  convenios establecidos para la atención preferencial de las mujeres cabeza de hogar y en contextos de riesgo y vulnerabilidad, de las zona urbana y rural  (9 por actor: Desarrollo Social, Cultura,   Deportes, Desarrollo económico y competitividad). </t>
  </si>
  <si>
    <t>A diciembre de 2028 tener 40 convenios establecidos para la atención preferencial de las mujeres cabeza de hogar y en contextos de riesgo y vulnerabilidad, de la zona urbana y rural  (10  por actor: Desarrollo Social, Cultura,  Deportes,  Desarrollo económico y competitividad).</t>
  </si>
  <si>
    <t>Convenios  establecidos para la atención preferencial de las mujeres cabeza de hogar y en contexto de riesgo y vulnerabilidad, de las zonas urbana y rural</t>
  </si>
  <si>
    <t>Número de convenios  establecidos para la atención preferencial de las mujeres cabeza de hogar y  en contextos de riesgo y vulnerabilidad, en zonas urbana y rural</t>
  </si>
  <si>
    <t>Convenios  establecidos para la atención preferencial de las mujeres cabeza de hogar y en contextos de riesgo y vulnerabilidad</t>
  </si>
  <si>
    <t xml:space="preserve">Secretaría de Desarrollo Social y Político, Secretaría de Cultura, Secretaría de Recreación y  Deportes, Secretaría de  Desarrollo económico y competitividad </t>
  </si>
  <si>
    <t>No están en funcionamiento los jardines infantiles para los hijos de las funcionarias de la alcaldía.</t>
  </si>
  <si>
    <t>Falta de oportunidades desde el gobierno para las mujeres migrantes que llegan a la ciudad sin documentos de identidad y sin recursos económicos.</t>
  </si>
  <si>
    <t>No hay programas de bienestar social para las mujeres.</t>
  </si>
  <si>
    <t>14. Establecer convenios con  gremios pecuarios y agrícolas que beneficien las mujeres de la zona rural</t>
  </si>
  <si>
    <t xml:space="preserve">Con esta acción se pretende beneficiar las mujeres de la zona rural dedicadas a practicas agropecuarias </t>
  </si>
  <si>
    <t xml:space="preserve">Mujeres de la zona  rural dedicadas a practicas agropecuarias </t>
  </si>
  <si>
    <t xml:space="preserve">A diciembre  2019 se realizara como mínimo 1 convenio con gremios pecuarios y/o agricolas que beneficien a mujeres de la zona rural dedicadas a actividades agropecuarias </t>
  </si>
  <si>
    <t xml:space="preserve">A diciembre  2020 se han realizado como mínimo 2 convenios con gremios pecuarios y/o agricolas que beneficien a mujeres de la zona rural dedicadas a actividades agropecuarias </t>
  </si>
  <si>
    <t xml:space="preserve">A diciembre  2021 se han realizado como mínimo 3 convenios con gremios pecuarios y/o agricolas que beneficien a mujeres de la zona rural dedicadas a actividades agropecuarias </t>
  </si>
  <si>
    <t xml:space="preserve">A diciembre  2022 se han realizado como mínimo 4 convenios con gremios pecuarios y/o agricolas que beneficien a mujeres de la zona rural dedicadas a actividades agropecuarias </t>
  </si>
  <si>
    <t xml:space="preserve">A diciembre  2023 se han realizado como 5 mínimo  convenios con gremios pecuarios y/o agricolas que beneficien a mujeres de la zona rural dedicadas a actividades agropecuarias </t>
  </si>
  <si>
    <t xml:space="preserve">A diciembre  2024 se han realizado como mínimo 6  convenios con gremios pecuarios y/o agricolas que beneficien a mujeres de la zona rural dedicadas a actividades agropecuarias </t>
  </si>
  <si>
    <t xml:space="preserve">A diciembre  2025 se han realizado como mínimo 7  convenios con gremios pecuarios y/o agricolas que beneficien a mujeres de la zona rural dedicadas a actividades agropecuarias </t>
  </si>
  <si>
    <t xml:space="preserve">A diciembre  2026 se han realizado como mínimo 8 convenios con gremios pecuarios y/o agricolas que beneficien a mujeres de la zona rural dedicadas a actividades agropecuarias </t>
  </si>
  <si>
    <t xml:space="preserve">A diciembre  2027 se han realizado como mínimo 9  convenios con gremios pecuarios y/o agricolas que beneficien a mujeres de la zona rural dedicadas a actividades agropecuarias </t>
  </si>
  <si>
    <t>A diciembre  2028 se han realizado como mínimo 10 convenios con gremios pecuarios y/o agrícolas que beneficien a mujeres de la zona rural dedicadas a actividades agropecuarias (como mínimo uno por año).</t>
  </si>
  <si>
    <t>Convenios realizados que benefician las mujeres dedicadas a prácticas agropecuarias.</t>
  </si>
  <si>
    <t>Número de convenios realizados con gremios pecuarios y/o agrícolas en beneficio  de las mujeres de la zona rural dedicadas a actividades agropecuarias.</t>
  </si>
  <si>
    <t>Convenios realizados con gremios pecuarios y/o agrícolas en beneficio  de las mujeres de la zona rural dedicadas a actividades agropecuarias</t>
  </si>
  <si>
    <t xml:space="preserve"> Secretaría de  Desarrollo Rural.</t>
  </si>
  <si>
    <t>Gremios</t>
  </si>
  <si>
    <t xml:space="preserve">POLÍTICA PÚBLICA DERECHOS HUMANOS </t>
  </si>
  <si>
    <t>META</t>
  </si>
  <si>
    <t>FORMULA</t>
  </si>
  <si>
    <t>METAS</t>
  </si>
  <si>
    <t>TOTAL</t>
  </si>
  <si>
    <t>METAS </t>
  </si>
  <si>
    <t>PRESUPUESTO ESTIMADO 2019</t>
  </si>
  <si>
    <t>Número de personas que mejoran su percepción frente al goce efectivo de derechos, la paz y la reconciliación/Total de la población del municipio*100</t>
  </si>
  <si>
    <t>IMPACTO</t>
  </si>
  <si>
    <t>0%*</t>
  </si>
  <si>
    <t>Encuestas de percepción sobre goce efectivo de derechos en la población, documento de análisis de resultados</t>
  </si>
  <si>
    <t>IGUALDAD, NO DISCRIMINACIÓN Y RESPETO POR LAS IDENTIDADES</t>
  </si>
  <si>
    <t>Percepción de discriminación en grupos poblacionales</t>
  </si>
  <si>
    <t>Disminuir en 50% la percepción de discriminación por identidad en las personas atendidas bajo las acciones de la línea estratégica.</t>
  </si>
  <si>
    <t>No de personas que manifiestan discriminación por su identidad/ Total de personas atendidas por año bajo las acciones de la línea estratégica*100</t>
  </si>
  <si>
    <t>Encuestas de percepción, documento de análisis de encuestas</t>
  </si>
  <si>
    <t>Capacitación a los miembros de la Policía Nacional y a la comunidad  para la prevención de conductas discriminatorias y de violación a los derechos humanos</t>
  </si>
  <si>
    <t xml:space="preserve">Nº de capacitaciones realizadas a la Policía Nacional y a la comunidad  </t>
  </si>
  <si>
    <t xml:space="preserve">MANTENIMIENTO </t>
  </si>
  <si>
    <t>Listados de asistencia, registro fotográfico</t>
  </si>
  <si>
    <t>Entidad Responsable: Secretaría de Gobierno</t>
  </si>
  <si>
    <t xml:space="preserve"> $                                    300.000 </t>
  </si>
  <si>
    <t xml:space="preserve"> $                              -   </t>
  </si>
  <si>
    <t xml:space="preserve"> $                                   -   </t>
  </si>
  <si>
    <t xml:space="preserve"> $                                  -   </t>
  </si>
  <si>
    <t xml:space="preserve"> $                                        300.000 </t>
  </si>
  <si>
    <t>Entidad Concurrente: Policía Nacional</t>
  </si>
  <si>
    <t>Activación de las rutas para personas con experiencia migratoria</t>
  </si>
  <si>
    <t>Porcentaje de solicitudes atendidas y con la ruta activada</t>
  </si>
  <si>
    <t>MANTENIMIENTO</t>
  </si>
  <si>
    <t>Encuesta, listados de asistencia y registro fotográfico</t>
  </si>
  <si>
    <t xml:space="preserve">Entidad Responsable: Secretaría de Desarrollo Social y Político </t>
  </si>
  <si>
    <t xml:space="preserve"> $                                                -   </t>
  </si>
  <si>
    <t xml:space="preserve"> $                 20.000.000 </t>
  </si>
  <si>
    <t xml:space="preserve"> $                                  20.000.000 </t>
  </si>
  <si>
    <t>Diseñar e implementar una estrategia comunicativa en derechos humanos, paz y reconciliación con énfasis en la prevención de la discriminación y que promueva el respeto por las identidades, con enfoque diferencial</t>
  </si>
  <si>
    <t>Nº de estrategias comunicativas diseñadas r implementadas</t>
  </si>
  <si>
    <t xml:space="preserve">INCREMENTO </t>
  </si>
  <si>
    <t>Entidades Responsables: Secretaría de Gobierno</t>
  </si>
  <si>
    <t xml:space="preserve"> $                           136.548.000 </t>
  </si>
  <si>
    <t xml:space="preserve"> $              7.452.000 </t>
  </si>
  <si>
    <t xml:space="preserve"> $                               144.000.000 </t>
  </si>
  <si>
    <t>Percepción en el goce efectivo de derechos humanos, paz y reconciliación</t>
  </si>
  <si>
    <t>Diseño e implementación de una estrategia educativa en derechos humanos, paz y reconciliación con énfasis en la prevención de la discriminación y que promueva el respeto por las identidades con enfoque diferencial</t>
  </si>
  <si>
    <t>No de estrategias educativas implementadas</t>
  </si>
  <si>
    <t>Documento de la estrategia, listados de asistencia, evidencia fotográfica</t>
  </si>
  <si>
    <t>Entidades Responsables: Secretaría de gobierno, oficina de paz, Secretaría de Desarrollo Social y Político, Secretaría de Cultura, Secretaría de Educación</t>
  </si>
  <si>
    <t xml:space="preserve"> $                                    40.000.000 </t>
  </si>
  <si>
    <t>Campañas que permitan sensibilizar a  la población acerca de la reintegración y la reincorporación</t>
  </si>
  <si>
    <t>Número de campañas desarrolladas</t>
  </si>
  <si>
    <t>Listados de asistencia y registro fotográfico</t>
  </si>
  <si>
    <t xml:space="preserve"> $                                    10.000.000</t>
  </si>
  <si>
    <t xml:space="preserve"> $                                        10.000.000</t>
  </si>
  <si>
    <t>Implementar un programa de formación para el fortalecimiento, recuperación y difusión de lengua, historia y cultura de los grupos étnicos de la ciudad de Pereira</t>
  </si>
  <si>
    <t>No de personas en procesos de formación enfocados a la cultura de los grupos étnicos de Pereira</t>
  </si>
  <si>
    <t>Inscripciones. Listas de asistencia. Muestras de los procesos de la Escuela de Formación.</t>
  </si>
  <si>
    <t>Entidad Responsable: Secretaría de Cultura</t>
  </si>
  <si>
    <t>$17.200.000</t>
  </si>
  <si>
    <t>No de programas de formación enfocados a la cultura de los grupos étnicos de Pereira</t>
  </si>
  <si>
    <t>Formadores contratados con programas enfocados en poblaciones étnicas. Muestras de los procesos de la Escuela de Formación.</t>
  </si>
  <si>
    <t>$6.000.000</t>
  </si>
  <si>
    <t>EDUCACIÒN Y CULTURA DE PAZ</t>
  </si>
  <si>
    <t>Nivel de apropiación en Derechos Humanos, Paz y Reconciliación</t>
  </si>
  <si>
    <t>Incrementar en 50% el nivel de apropiación en Derechos Humanos, paz y Reconciliación en las personas que participaron de los proceso educativos de la línea estratégica</t>
  </si>
  <si>
    <t>Número de personas que apropiaron los conceptos de derechos humanos y paz/Total de personas por año que participaron de los procesos educativos de la línea estratégica*100</t>
  </si>
  <si>
    <t>Evaluaciones de apropiación de conceptos</t>
  </si>
  <si>
    <t>Capacitación en Derechos Humanos, Derecho Internacional Humanitario, e implementación del acuerdo final y construcción de paz a la Fuerza Pública</t>
  </si>
  <si>
    <t>Nº de capacitaciones en derechos humanos a la fuerza pública</t>
  </si>
  <si>
    <t>Actas de reunión, registro fotográfico</t>
  </si>
  <si>
    <t xml:space="preserve"> $                  5.072000 </t>
  </si>
  <si>
    <t xml:space="preserve"> $                     -   </t>
  </si>
  <si>
    <t xml:space="preserve"> $                             -   </t>
  </si>
  <si>
    <t xml:space="preserve"> $                                    -   </t>
  </si>
  <si>
    <t xml:space="preserve"> $           5.072.000 </t>
  </si>
  <si>
    <t>Entidades Concurrentes: Defensoría del Pueblo, Oficina de Paz, Policía Nacional</t>
  </si>
  <si>
    <t xml:space="preserve">Número de efectivos capacitados </t>
  </si>
  <si>
    <t xml:space="preserve"> $                  1.053.600 </t>
  </si>
  <si>
    <t xml:space="preserve"> $           1.053.600 </t>
  </si>
  <si>
    <t>Entidad Concurrente: Ejército Nacional Distrito No 22,</t>
  </si>
  <si>
    <t xml:space="preserve">Diseño e implementación de una estrategia pedagógica en derechos humanos DIH con enfoque diferencial </t>
  </si>
  <si>
    <t xml:space="preserve">Porcentaje de la estrategia pedagógica diseñada e implementada en derechos humanos DIH con enfoque diferencial </t>
  </si>
  <si>
    <t xml:space="preserve"> $                  40.000.000</t>
  </si>
  <si>
    <t xml:space="preserve"> $           40.000.000</t>
  </si>
  <si>
    <t>Entidades Responsables: Secretaría de Gobierno, Secretaría de Educación, Secretaría de Cultura, Secretaría de Desarrollo Social y Político, Oficina de Paz, Secretaría de Salud</t>
  </si>
  <si>
    <t>Diseñar e implementar un proceso formativo en derechos humanos y construcción de paz, con enfoque diferencial y evaluación de resultados en el ámbito escolar</t>
  </si>
  <si>
    <t>Número de procesos formativos en el ámbito escolar diseñados e implementados</t>
  </si>
  <si>
    <t>Listados de asistencia, evidencia fotográfica, actas, documento de los módulos formativos diseñados</t>
  </si>
  <si>
    <t>Entidad Responsable: Secretaría de Educación</t>
  </si>
  <si>
    <t>$40.000.000</t>
  </si>
  <si>
    <t>Procesos formativos para fortalecer las capacidades de la población  en la resolución pacífica de conflictoscon criterios de priorización previamente establecidos</t>
  </si>
  <si>
    <t>Nº de procesos formativosque fortalezcan las capacidades de la población para la resolución pacífica de conflictos</t>
  </si>
  <si>
    <t>Entidades Responsables: Secretaría de Desarrollo Social y Político, Secretaría de Gobierno, Oficina de Paz, Secretaría de Cultura</t>
  </si>
  <si>
    <t xml:space="preserve"> $                25.240.000 </t>
  </si>
  <si>
    <t xml:space="preserve"> $        25.240.000 </t>
  </si>
  <si>
    <t xml:space="preserve">Diseño e implementación de una estrategia comunicativa en derechos humanos, DIH, con enfoque diferencial </t>
  </si>
  <si>
    <t xml:space="preserve">Porcentaje de la estrategia comunicativa diseñada e implementada en derechos humanos, DIH, con enfoque diferencial </t>
  </si>
  <si>
    <t>Desarrollar un foro municipal en derechos políticos, paz, igualdad y derechos sociales</t>
  </si>
  <si>
    <t>No de foros desarrollados</t>
  </si>
  <si>
    <t xml:space="preserve"> $                      3.000.000 </t>
  </si>
  <si>
    <t xml:space="preserve"> $              3.000.000 </t>
  </si>
  <si>
    <t>Capacitación en las instituciones educativas del municipio a estudiantes de grados 10 y 11 en temas de: Derechos Humanos, civismo, cultura ciudadana, emprendimiento social y educación experiencial</t>
  </si>
  <si>
    <t>No de estudiantes capacitados de 10 y 11 en temas de Derechos Humanos, civismo, cultura ciudadana, emprendimiento social y educación experiencial</t>
  </si>
  <si>
    <t>Listados de asistencia,registro fotográfico</t>
  </si>
  <si>
    <t xml:space="preserve"> $                      500.000 </t>
  </si>
  <si>
    <t xml:space="preserve"> $              500.000 </t>
  </si>
  <si>
    <t>Procesos de formación en derechos humanos y paz  para funcionarios públicos</t>
  </si>
  <si>
    <t xml:space="preserve">No de procesos de formación a funcionarios públicos </t>
  </si>
  <si>
    <t>Actas, listados de asistencia, registro fotográfico</t>
  </si>
  <si>
    <t>Entidad Responsable: Oficina de paz</t>
  </si>
  <si>
    <t xml:space="preserve"> $                  5.072.000 </t>
  </si>
  <si>
    <t xml:space="preserve"> $           5.072000 </t>
  </si>
  <si>
    <t>Entidad Concurrente: Universidades</t>
  </si>
  <si>
    <t xml:space="preserve">Talleres  de derechos y deberes con personas en proceso de reincorporación y a sus familias </t>
  </si>
  <si>
    <t xml:space="preserve">Nº Talleres de derechos y deberes con personas en proceso de reincorporación y a sus familias </t>
  </si>
  <si>
    <t>Listados de asistencia, registro fotográfico, actas</t>
  </si>
  <si>
    <t xml:space="preserve"> $                      3.000.000</t>
  </si>
  <si>
    <t xml:space="preserve"> $              3.000.000</t>
  </si>
  <si>
    <t>Procesos de capacitación en formación experiencia para la construcción de paz y reconciliación en el municipio</t>
  </si>
  <si>
    <t>No de procesos de capacitación desarrollados</t>
  </si>
  <si>
    <t>Entidad Responsable: Oficina de Paz</t>
  </si>
  <si>
    <t xml:space="preserve"> $                      300.000 </t>
  </si>
  <si>
    <t xml:space="preserve"> $              300.000 </t>
  </si>
  <si>
    <t>Entidad Concurrente: Organizaciones sociales</t>
  </si>
  <si>
    <t>Formación de formadores para la capacitación de la sociedad civil en temas paz, post conflicto y justicia transicional</t>
  </si>
  <si>
    <t>No de personas formadas</t>
  </si>
  <si>
    <t>Listados de asistencia, actas</t>
  </si>
  <si>
    <t>Entidad responsable: Oficina de Paz</t>
  </si>
  <si>
    <t>Entidad concurrente: Organizaciones sociales</t>
  </si>
  <si>
    <t xml:space="preserve">Capacitación acerca del acuerdo final y su implementación a la sociedad civil y organizaciones sociales </t>
  </si>
  <si>
    <t xml:space="preserve">Nº de personas capacitadas </t>
  </si>
  <si>
    <t xml:space="preserve">Entidad responsable: Oficina de Paz, </t>
  </si>
  <si>
    <t xml:space="preserve"> $                  3.000.000 </t>
  </si>
  <si>
    <t xml:space="preserve"> $           3.000.000 </t>
  </si>
  <si>
    <t>Talleres de construcción de paz en Instituciones Educativas</t>
  </si>
  <si>
    <t xml:space="preserve">Nº de talleres realizados de construcción de paz en las IE. </t>
  </si>
  <si>
    <t>Listados de asistencia, evidencia fotográfica</t>
  </si>
  <si>
    <t xml:space="preserve"> $                      800.000 </t>
  </si>
  <si>
    <t xml:space="preserve"> $              800.000 </t>
  </si>
  <si>
    <t>Formación a adolescentes, consejos estudiantiles y personeros de los colegios en la implementación de los acuerdos y cultura de paz</t>
  </si>
  <si>
    <t>Nº de adolescentes formados en la implementación de los acuerdos y cultura de paz</t>
  </si>
  <si>
    <t>Entidad responsable: Oficina de Paz, Reconciliación y Posconflicto</t>
  </si>
  <si>
    <t xml:space="preserve"> $                  4.072.000 </t>
  </si>
  <si>
    <t xml:space="preserve"> $           4.072.000 </t>
  </si>
  <si>
    <t>DERECHOS ECONOMICOS, SOCIALES, CULTURALES Y AMBIENTALES</t>
  </si>
  <si>
    <t>Percepción del goce efectivo de derechos económicos, sociales, culturales y ambientales</t>
  </si>
  <si>
    <t>Incrementar en 50% la percepción positiva frente al goce efectivo de derechos económicos, sociales, culturales y ambientales en las personas beneficiadas bajo las acciones de la línea estratégica</t>
  </si>
  <si>
    <t>Número de personas que mejoran su percepción frente al goce efectivo de derechos económicos, sociales, culturales y ambientales/Total de personas beneficiadas por año bajo las acciones de la línea estratégica *100</t>
  </si>
  <si>
    <t>Estrategia comunicativa para los derechos humanos, la paz y la reconciliación, para promover los derechos económicos, sociales, culturales y ambientales</t>
  </si>
  <si>
    <t>Número de estrategias comunicativas implementadas</t>
  </si>
  <si>
    <t>Documento de la estrategia, actas, listados de asi9stencia, evidencia fotográfica, piezas comunicativas</t>
  </si>
  <si>
    <t xml:space="preserve">Entidades Responsables: Oficina de Comunicaciones, Secretaría de Cultura, Secretaría de Educación, Secretaría de Desarrollo Rural, Secretaría de Deporte, Secretaría de Salud, Secretaría de Desarrollo Social y Político, Secretaría de Desarrollo Económico y competitividad, Secretaría de Gobierno, Oficina de Paz </t>
  </si>
  <si>
    <t>$20.000.000</t>
  </si>
  <si>
    <t>Estrategia pedagógica en derechos humanos, paz y reconciliación para promover los derechos económicos, sociales, culturales y ambientales</t>
  </si>
  <si>
    <t>Número de estrategias pedagógica implementadas</t>
  </si>
  <si>
    <t>No de proyectos implementados</t>
  </si>
  <si>
    <t>Documentos soporte del proyecto, oficios, listados de asistencia, evidencia fotográfica, actas de reunión</t>
  </si>
  <si>
    <t>Entidad Responsable: Sec. De Desarrollo Rural</t>
  </si>
  <si>
    <t xml:space="preserve"> $                                               -   </t>
  </si>
  <si>
    <t xml:space="preserve"> $                                              -   </t>
  </si>
  <si>
    <t xml:space="preserve"> $                                                      -   </t>
  </si>
  <si>
    <t xml:space="preserve"> $                                             -   </t>
  </si>
  <si>
    <t xml:space="preserve"> $                                                           -   </t>
  </si>
  <si>
    <t>Otorgar becas a estudiantes para ingreso en la educación superior</t>
  </si>
  <si>
    <t>Nº de becas entregadas para el acceso a la educación superior</t>
  </si>
  <si>
    <t>Documentos de admitidos (lista)</t>
  </si>
  <si>
    <t xml:space="preserve"> $                           400.000.000 </t>
  </si>
  <si>
    <t>Regalías</t>
  </si>
  <si>
    <t xml:space="preserve"> $                                       400.000.000 </t>
  </si>
  <si>
    <t>Gestión de proyectos orientados al establecimiento y consolidación de cadenas de valor para la producción sostenible de productos del municipio, mediante el uso sostenible de la biodiversidad</t>
  </si>
  <si>
    <t xml:space="preserve">Nº de proyectos gestionados para establecimiento y consolidación de cadenas de valor para la producción sostenible  </t>
  </si>
  <si>
    <t xml:space="preserve"> $                             34.000.000 </t>
  </si>
  <si>
    <t xml:space="preserve"> $                                         34.000.000 </t>
  </si>
  <si>
    <t>Entidad Responsable: Secretaría de Desarrollo Rural</t>
  </si>
  <si>
    <t xml:space="preserve">Garantizar el funcionamiento permanente de los hogares de protección y centros de emergencia para los niños(as) y adolescentes en proceso de restablecimiento de derechos </t>
  </si>
  <si>
    <t>Número de meses de funcionamiento de los hogares de protección y centros de emergencia</t>
  </si>
  <si>
    <t>Convenios, contratos, actas, listados de asistencia, evidencia fotográfica</t>
  </si>
  <si>
    <t xml:space="preserve"> $                           157.237.000 </t>
  </si>
  <si>
    <t xml:space="preserve"> $                                       157.237.000 </t>
  </si>
  <si>
    <t>Diseño e implementación de una ruta para la generación de ingresos (emprendimiento, fortalecimiento empresarial y empleo)</t>
  </si>
  <si>
    <t>Porcentaje de la ruta para el generación de ingresos diseñada e implementada</t>
  </si>
  <si>
    <t>Entidad Responsable: Secretaría de Desarrollo económico y Competitividad</t>
  </si>
  <si>
    <t>Implementar una estrategia para formar  a los creadores  sobre los procesos de registro, representación y manejo de  los derechos de autor y los derechos ligados a la propiedad intelectual</t>
  </si>
  <si>
    <t>Audios de cuñas, campañas, programas radiales,  capacitaciones realizadas</t>
  </si>
  <si>
    <t>$3.000.000</t>
  </si>
  <si>
    <t>Formular e implementardiagnósticos, planes de manejo y salvaguarda del patrimonio cultural, material e inmaterial</t>
  </si>
  <si>
    <t>Porcentaje del plan formulado e implementado</t>
  </si>
  <si>
    <t>Plan formulado, listados de asistencia, actas, evidencia fotográfica</t>
  </si>
  <si>
    <t>Entidades Responsables: Secretaría de Cultura, Secretaría de Planeación</t>
  </si>
  <si>
    <t>$50.000.000</t>
  </si>
  <si>
    <t>Diseño e implementación de la ruta para el acceso a la vivienda</t>
  </si>
  <si>
    <t>Porcentaje de la ruta diseñada e implementada</t>
  </si>
  <si>
    <t>Documento de la ruta, actas, listados de asistencia, evidencia fotográfica</t>
  </si>
  <si>
    <t>Entidad Responsable: Secretaría de Vivienda Social</t>
  </si>
  <si>
    <t>DERECHOS CIVILES Y POLÌTICOS</t>
  </si>
  <si>
    <t>Percepción de libertad y garantías para ejercer los derechos civiles y políticos</t>
  </si>
  <si>
    <t>Incrementar en 50% la percepción positiva frente a la libertad y garantías para ejercer los derechos civiles y políticos en las personas atendidas bajo las acciones de la línea estratégica</t>
  </si>
  <si>
    <t>No de personas que mejoran su percepción frente a la libertad y garantías para ejercer los derechos civiles y políticos/ Total de personas atendidas por año bajo las acciones de la línea estratégica*100</t>
  </si>
  <si>
    <t xml:space="preserve">FINALIDAD: </t>
  </si>
  <si>
    <t>PROBLEMAS IDENTIFICADOS</t>
  </si>
  <si>
    <t>LINEA ESTRATÉGICA</t>
  </si>
  <si>
    <t>IMPACTO PP</t>
  </si>
  <si>
    <t>META DE IMPACTO PP</t>
  </si>
  <si>
    <t>INDICADOR DE IMPACTO PP</t>
  </si>
  <si>
    <t>META 
(Año final de la PP)</t>
  </si>
  <si>
    <t>LINEA BASE</t>
  </si>
  <si>
    <t>RESPONSABLE MEDIR RESULTADO</t>
  </si>
  <si>
    <t>META ACCIÓN FINAL</t>
  </si>
  <si>
    <t xml:space="preserve">LÍNEA BASE </t>
  </si>
  <si>
    <t xml:space="preserve">METAS DE PRODUCTO  ANUALIZADAS </t>
  </si>
  <si>
    <t>PROYECCIÓN ECONÓMICA ANUAL ($)</t>
  </si>
  <si>
    <t>AÑO 2020</t>
  </si>
  <si>
    <t>RP</t>
  </si>
  <si>
    <t>NC</t>
  </si>
  <si>
    <t>DPTO</t>
  </si>
  <si>
    <t>COOP</t>
  </si>
  <si>
    <t>Poca priorización para la prestación de los servicios integrales en salud para el habitante de calle</t>
  </si>
  <si>
    <t>ATENCION INTEGRAL EN SALUD</t>
  </si>
  <si>
    <t xml:space="preserve">Resocialización integral para el habitante de calle y en calle de la ciudad de Pereira
Población   con mayor riego de calle, sensibilizada  para prevenir el inicio de vida en calle </t>
  </si>
  <si>
    <t>8%  de habitantes de calle resocializados por la PP habitante de calle.
Prevenir el inico de vida en calle en el  99% de la población identificada con mayor riego, durante las vigencias 2020-2030.</t>
  </si>
  <si>
    <t xml:space="preserve">
Porcentaje  de habitantes de calle resocializados por la PP habitante de calle
Porcentaje de población con mayor riego en la que se previno el inicio de vida  en calle, durante las vigencias 2020-2030.
(Se toma como línea base la población  identificada con mayor riesgo: Adolescentes en consumo de sustancias psico activas, adultos mayores víctimas de violencia intrafamiliar y niños, niñas y adolescentes en trabajo infantil ) </t>
  </si>
  <si>
    <t>1. Brindar atención integral en salud física y mental al habitante de calle y en calle.</t>
  </si>
  <si>
    <t>100% de habitantes de calle y en riesgo de calle integrados al servicio de salud</t>
  </si>
  <si>
    <t>Habitantes de calle atendidos en un sistema de atención en salud básico</t>
  </si>
  <si>
    <t>Porcentaje de habitantes de calle integrados al servicio de salud</t>
  </si>
  <si>
    <t xml:space="preserve">1.  Diseñar e Implemetar un protocolo de atencion en servicio de urgencias con enfoque diferencial para el habitante de calle) </t>
  </si>
  <si>
    <t xml:space="preserve">Desde el sistema de emergencias médicas de la secretaria de salud publica y seguridad social se emitirá el protocolo general para atención de habitante de calle en el servicio de urgencias y se requerirá que se implemente en todas las IPS que tengan servicio de urgencias habilitado.
En la implementación del protocolo estan inmersas las actividades de sensibilización para el manejo de los habitantes de calle y en calle </t>
  </si>
  <si>
    <t>Habitantes de calle y en calle</t>
  </si>
  <si>
    <t xml:space="preserve">Un protocolo de atención en servicio de urgencias con enfoque diferencial para el habitante de calle </t>
  </si>
  <si>
    <t>Protocolo diseñado e implementado</t>
  </si>
  <si>
    <t>Secretaría de Salud Pública y Seguridad Social</t>
  </si>
  <si>
    <t>IPS de atencion y Secretaria de desarrollo social</t>
  </si>
  <si>
    <t>Falta de capacitación al personal de salud para atención del habitante de calle, priorización y atención diferencial.</t>
  </si>
  <si>
    <t xml:space="preserve">2. Visitas de seguimiento a la atencion prestada al habitante de calle y en calle </t>
  </si>
  <si>
    <t xml:space="preserve">Se realizara desde el área de prestación de servicios con el fin de evaluar la atención prestada a los habitantes de calle y en calle y el cumplimiento del protocolo </t>
  </si>
  <si>
    <t>Número de visitas seguimiento a la atencion prestada al habitante de calle y en calle realizadas</t>
  </si>
  <si>
    <t>Visitas seguimiento a la atención prestada al habitante de calle y en calle</t>
  </si>
  <si>
    <t>Baja cobertura en el sistema de salud para el habitante de calle. (Baja demanda de servicios de salud por parte de la población habitante de calle).</t>
  </si>
  <si>
    <t>3. Promover en las instituciones de salud la atencion de Habitante de Calle a través de acciones de demanda inducida a los servicios de salud</t>
  </si>
  <si>
    <t>Desde la secretaría de Desarrollo Social y Político, se remitirán y/o  acompañaran para la atención en salud a los habitantes de calle y en calle que requieran del servicio</t>
  </si>
  <si>
    <t xml:space="preserve">Porcentaje de población habitante de calle y en calle remitidos y/o acompañados en los casos requeridos para atención en salud </t>
  </si>
  <si>
    <t>Total de habitantes de calle y en calle remitidos y/o acompañados en los casos requeridos para atención en salud / Total de habitantes de calle y en calle que requirieron del servicio * 100%</t>
  </si>
  <si>
    <t>Deficiente atención básica e integral para personas habitantes de calle y en calle con problemas de salud y asociados con salud mental y al consumo de sustancias psicoactivas.</t>
  </si>
  <si>
    <t>4. Asegurar la afiliación en salud a los Habitantes de Calle.</t>
  </si>
  <si>
    <t xml:space="preserve">Desde la Secretaría de Desarrollo Social y Político se realizan acciones previas requeridas para el aseguramiento o la afiliación en salud como son la emisión de certificado de habitante de calle para cedulación a quienes no poseen documento de identidad, la verificación en las plataformas de Administración de Recursos del Sistema General de Seguridad Social en Saluid (ADRES)  para identificar si tienen afiliación en salud en otra entidad territorial y la realización del listado censal, el cual se remite a salud para la aprobación de la afiliación al sistema de salud subsidiada. 
Una vez se recibe la aprobación de la Secretaría de Salud, en la Secretaría de Desarrollo Social y Político a través del proyecto de habitante de calle se hace la afiliación en la EPS asignada.
</t>
  </si>
  <si>
    <t>Porcentaje de habitantes y en calle afiliados a salud</t>
  </si>
  <si>
    <t>Total de habitantes de calle y en calle afiliados a  salud / Total de habitantes de calle y en calle identificados y caracterizados * 100%</t>
  </si>
  <si>
    <t>Secretaría de Salud Pública y Seguridad Social y Secretaría de Desarrollo Social y Político</t>
  </si>
  <si>
    <t>Desaseo y problemas de sanidad.</t>
  </si>
  <si>
    <t>5. Realizar visitas de Inspección, Vigilancia y Control sanitario al Centro de atención Integral a los habitantes de calle y en calle y a los albergues para este grupo poblacional</t>
  </si>
  <si>
    <t>Las visitas se realizaran desde el programa de salud ambiental</t>
  </si>
  <si>
    <t xml:space="preserve"> Habitantes de calle y en calle</t>
  </si>
  <si>
    <t>Número de visitas de Inspección Vigilancia y Control realizadas a los albergues</t>
  </si>
  <si>
    <t>Visitas de Inspección Vigilancia y Control</t>
  </si>
  <si>
    <t>Falta de asignación de presupuesto adecuado a salud mental.</t>
  </si>
  <si>
    <t>6. Atención psicológica y socio familiar</t>
  </si>
  <si>
    <t>Desde la secretaría de Desarrollo Social y Político se brindará atención mediante valoración psicológica, intervención breve y direccionamiento a las entidades prestadoras del servicio de salud con su respectivo seguimiento</t>
  </si>
  <si>
    <t>Porcentaje de habitantes de calle y en calle beneficiarios de atenciones psicológicas y socio familiares</t>
  </si>
  <si>
    <t>Total habitantes de calle y en calle beneficiarios de atenciones psicológicas y/o socio familiares / Total de habitantes de calle y en calle que requirieron del servicio de atención psicológica y/o socio familiar*100%</t>
  </si>
  <si>
    <t>IPS de atencion</t>
  </si>
  <si>
    <t>Presencia de embarazos en mujeres habitantes de calle.</t>
  </si>
  <si>
    <t>7. Desarrollar y activar la ruta de atención en planificación familiar para habitantes de calle y en calle</t>
  </si>
  <si>
    <t>El desarrollo y activación de la ruta de atención, lo realizara la Secretaría de Salud pública y Seguridad Social, desde el programa de Salud sexual y reproductiva</t>
  </si>
  <si>
    <t xml:space="preserve">Habitantes de calle y en calle </t>
  </si>
  <si>
    <t>Porcentaje de mujeres habitantes de calle y en calle en edad fértil con métodos de planificación efectivos</t>
  </si>
  <si>
    <t>Total de mujeres habitantes de calle y en calle en edad fértil con métodos de planificación efectivos / Total de mujeres habitantes de calle y en calle identificadas y caracterizadas*100%</t>
  </si>
  <si>
    <t>Alta presencia de adicciones y síndrome de abstinencia.</t>
  </si>
  <si>
    <t xml:space="preserve">2. Promover una atencion integral y humanizada al habitante de calle y en calle que cosume sustancias psico activas </t>
  </si>
  <si>
    <t>8. Socializar y hacer efectivas las rutas de atención de SPA.</t>
  </si>
  <si>
    <t>La socialización de las rutas de SPA estará bajo responsabilidad de salud mental: (está incluida en la PP de Salud Mental).</t>
  </si>
  <si>
    <t>Población en general</t>
  </si>
  <si>
    <t xml:space="preserve">Número  de socializaciones de las rutas de SPA realizadas </t>
  </si>
  <si>
    <t>Socializaciones de las rutas de SPA</t>
  </si>
  <si>
    <t>Alto consumo de sustancia psicoactivas</t>
  </si>
  <si>
    <t xml:space="preserve">9. Proceso de intervención comunitaria de mitigación del daño por consumo de sustancias psicoactivas </t>
  </si>
  <si>
    <t>El proceso de intervención comunitaria de mitigación del daño por consumo de sustancias psicoactivas será realizado a través de la estrategia denominada zona de escucha y grupos terapéuticos</t>
  </si>
  <si>
    <t xml:space="preserve">Número de habitantes de calle y en calle beneficiarios del proceso de intervención comunitaria de mitigación del daño por consumo de sustancias psicoactivas </t>
  </si>
  <si>
    <t xml:space="preserve">Habitantes de calle y en calle beneficiarios del proceso de intervención comunitaria de mitigación del daño por consumo de sustancias psicoactivas </t>
  </si>
  <si>
    <t>Secretaría de Desarrollo Social y Político y Secretaría de Salud Pública y Seguridad Social</t>
  </si>
  <si>
    <t>10. Seguimiento a casos de usuarios habitantes de calle y en calle remitidos para tratamiento de adicciones</t>
  </si>
  <si>
    <t>Seguimiento inter programático entre las Secretarías de Salud y Desarrollo Social y Político a casos de usuarios habitantes de calle para tratamiento de adicciones</t>
  </si>
  <si>
    <t xml:space="preserve">Porcentaje de usuarios habitantes de calle y en calle remitidos para tratamiento de adicciones con seguimiento en la atención.    </t>
  </si>
  <si>
    <t>Total de habitantes de calle y en calle s con seguimiento en la atención para el tratamiento de adicciones / Total habitantes de calle y en calle remitidos para tratamiento de adicciones * 100%</t>
  </si>
  <si>
    <t>Secretaría de Salud Pública y Seguridad Social  y Secretaría de Desarrollo Social y Político</t>
  </si>
  <si>
    <t>Falta de centros de rehabilitación y baja oferta de programas de rehabilitación.</t>
  </si>
  <si>
    <t xml:space="preserve">11. Realizar seguimiento a la red de servicios ofertada por las Empresas Administradoras de Planes de Beneficio (EAPB) en los procesos de rehabilitación por Sustancias Psico activas (SPA). </t>
  </si>
  <si>
    <t>El seguimiento a la red de servicios ofertada por las EAPB en los procesos de rehabilitación por SPA, es una acción de la PP de salud mental).</t>
  </si>
  <si>
    <t xml:space="preserve"> EAPB  </t>
  </si>
  <si>
    <t>Número de visitas de seguimiento realizadas a la red de servicios ofertada por las EAPB en los procesos de rehabilitación por SPA.</t>
  </si>
  <si>
    <t xml:space="preserve">Visitas realizadas </t>
  </si>
  <si>
    <t xml:space="preserve">Indiferencia del Estado </t>
  </si>
  <si>
    <t>DESARROLLO HUMANO INTEGRAL</t>
  </si>
  <si>
    <t xml:space="preserve">1. Fortalecer la Capacidad de gestión interinstitucional público y/o privada para el cumplimiento de la política pública del habitante de calle  y en calle del Municipio de Pereira  </t>
  </si>
  <si>
    <t>70% de Habitantes de calle con proceso exitoso de atención en el centro de atención integral para el habitante de calle.</t>
  </si>
  <si>
    <t>Habitantes de calle con atención integral</t>
  </si>
  <si>
    <t>Porcentaje de Habitantes de calle con proceso exitoso de atención en el centro de atención integral para el habitante de calle.</t>
  </si>
  <si>
    <t xml:space="preserve">1. Creación y puesta en marcha del comité Municipal de Política Pública para el habitante de calle y en calle </t>
  </si>
  <si>
    <t>El comité Municipal de Política Pública estará conformado por representantes de los diferentes actores de la Política, tendrá bajo su responsabilidad la implementación el seguimiento y evaluación de la Política Pública.</t>
  </si>
  <si>
    <t>Entidades involucradas en la PP.</t>
  </si>
  <si>
    <t xml:space="preserve">Un Comité Municipal de Política Pública para el habitante de calle y en calle operando </t>
  </si>
  <si>
    <t xml:space="preserve">Comité Municipal de Política Pública para el habitante de calle y en calle operando </t>
  </si>
  <si>
    <t xml:space="preserve">Actores de la Política Püblica </t>
  </si>
  <si>
    <t xml:space="preserve">Discontinuidad en las políticas y programas de calle que rompe los procesos </t>
  </si>
  <si>
    <t xml:space="preserve">2. Formular un modelo único de atención para la población habitante de calle </t>
  </si>
  <si>
    <t>La formulación del modelo de atención integral al habitante de calle será liderado por la Secretaría de desarrollo Social y Político y se actualizará anualmente el primer trimestre de cada año</t>
  </si>
  <si>
    <t xml:space="preserve">Formular y actualizar anualmente un modelo único de atención para la población habitante de calle </t>
  </si>
  <si>
    <t xml:space="preserve">Modelo único de atención para la población habitante de calle </t>
  </si>
  <si>
    <t xml:space="preserve">Comité Municipal de Política Pública </t>
  </si>
  <si>
    <t>Deficiencia en el funcionamiento de la ruta de atención al habitante de calle</t>
  </si>
  <si>
    <t xml:space="preserve">3. Construir una ruta de atención integral del habitante de calle y en calle </t>
  </si>
  <si>
    <t>A través del comité municipal de Política Pública se formularan y validarán las diferentes rutas de atención para el habitante de calle y en calle : En salud,  en seguridad y convivencia, en recreación y deportes, en cultura, en educación, en  prevención  y atención por consumo de sustancias psico activas, a nivel psico socia, familiar y espiritual.</t>
  </si>
  <si>
    <t>Formular y actualizar anualmente una ruta de atención integral para el habitante de calle y en calle</t>
  </si>
  <si>
    <t>Ruta de atención integral para el habitante de calle y en calle formulada y actualizada anualmente</t>
  </si>
  <si>
    <t xml:space="preserve">Baja demanda de los servicios institucionales y los programas de control por parte del habitante de calle </t>
  </si>
  <si>
    <t>4. Difusión de la oferta institucional y rutas de atención</t>
  </si>
  <si>
    <t>Se difundirá la oferta institucional y rutas de atención a través de diferentes estrategias pedagógicas</t>
  </si>
  <si>
    <t>Porcentaje de habitantes de calle y en calle del municipio de Pereira con oferta institucional difundida</t>
  </si>
  <si>
    <t>Habitantes de calle y en calle a quienes se les difundió la oferta institucional y rutas de atención / Total de habitantes de calle y en calle que se identificaron durante el año en curso * 100%.</t>
  </si>
  <si>
    <t>Falta censo y caracterización ocupacional del habitante de calle</t>
  </si>
  <si>
    <t>5. Caracterizar la población habitante de calle y sus núcleos familiares en caso de que sean identificados.</t>
  </si>
  <si>
    <t xml:space="preserve">La Secretaría de Desarrollo Social y Político caracterizará los habitantes de calle y en calle que identifique </t>
  </si>
  <si>
    <t>Porcentaje de habitantes de calle y en calle identificados y caracterizados en el municipio de Pereira</t>
  </si>
  <si>
    <t>Habitantes de calle y en calle caracterizados durante la vigencia / Total de habitantes de calle y en calle identificados durante la vigencia *100%</t>
  </si>
  <si>
    <t xml:space="preserve">
La Secretaría de Desarrollo Social y Político realizará la georreferenciación y actualización anual de la población habitante de calle y en calle</t>
  </si>
  <si>
    <t>Porcentaje de población habitante de calle y en calle georeferenciada anualmente</t>
  </si>
  <si>
    <t>Número de habitantes de calle georreferenciados durante el año vigente / Total de población habitante de calle y en calle identificada durante el año vigente * 100%.</t>
  </si>
  <si>
    <t xml:space="preserve">Insuficiente control   y vigilancia a las fundaciones que atienden población habitante de calle y en calle </t>
  </si>
  <si>
    <t>7. Ejercer Control por parte de la administración a las organizaciones de habitantes de calle</t>
  </si>
  <si>
    <t xml:space="preserve">La Secretaría de Gobierno realizará visitas técnicas de control y vigilancia a las organizaciones que trabajan para y con los habitantes de calle y en calle.
La Secretaría de salud realizará inspección, vigilancia y control sanitario. El Ministerio de trabajo verificará el trabajo digno.
</t>
  </si>
  <si>
    <t xml:space="preserve">Organizaciones que trabajan para y con Habitantes de calle y en calle </t>
  </si>
  <si>
    <t>Porcentaje de organizaciones que trabajan para y con habitantes de calle y en calle cubiertas con acciones de control y vigilancia</t>
  </si>
  <si>
    <t>Organizaciones que trabajan para y con habitantes de calle y en calle cubiertas con acciones de control y vigilancia / Total de organizaciones que trabajan para y con habitantes de calle y en calle identificadas</t>
  </si>
  <si>
    <t>Secretaría de Salud y Seguridad Social y Secretaría de Gobierno.</t>
  </si>
  <si>
    <t xml:space="preserve">Ministerio del trabajo </t>
  </si>
  <si>
    <t xml:space="preserve">Insatisfacción de necesidades básicas </t>
  </si>
  <si>
    <t>2. Garantizar la protección, el restablecimiento de derechos y la resocialización de las personas en condición de calle.</t>
  </si>
  <si>
    <t xml:space="preserve">8. Creación y operación de Centro de atención integral para el habitante de calle </t>
  </si>
  <si>
    <r>
      <t>A través del Centro de Atención Integral para el habitante de calle, se busca además de la atención a necesidades básicas de hospedaje, alimentación y vestuario, la resocialización e incorporación a proyectos productivos que dignifiquen la condición del habitante de calle.
Así mismo en dicho Centro de atención, se debe habilitar sitio para prestarla atención pos hospitalaria, posquirúrgica y para enfermedades Infectocontagiosas. 
Su funcionamiento se prestará a través de un operador externo.</t>
    </r>
    <r>
      <rPr>
        <sz val="11"/>
        <color rgb="FFFF0000"/>
        <rFont val="Calibri"/>
        <family val="2"/>
        <scheme val="minor"/>
      </rPr>
      <t xml:space="preserve">
</t>
    </r>
  </si>
  <si>
    <t xml:space="preserve">Habitantes de calle del municipio de Pereira </t>
  </si>
  <si>
    <t xml:space="preserve">Número de Centros de atención integral para el habitante de calle operando </t>
  </si>
  <si>
    <t xml:space="preserve">Centro de atención integral para el habitante de calle operando </t>
  </si>
  <si>
    <t>Secretaría de Hacienda y Ministerio Público</t>
  </si>
  <si>
    <t xml:space="preserve">Baja cobertura en programas de atención para habitante de calle y en calle. </t>
  </si>
  <si>
    <t>La población habitante de calle presenta alta exclusión social que vulnera sus derechos sociales, económicos, políticos y culturales</t>
  </si>
  <si>
    <t>9. Crear redes de apoyo en comunas y corregimientos para la activación de rutas de atención Integral al Habitante de Calle y en Calle</t>
  </si>
  <si>
    <t>Se crearán grupos de apoyo para activación de rutas de atención en las comunas y corregimientos del municipio, los cuales recibirán capacitación apoyo y acompañamiento por parte de las Secretarías de Desarrollo Social y Político y de Gobierno.</t>
  </si>
  <si>
    <t>Número de grupos de apoyo creados y apoyados para la activación de rutas de atención al habitante de calle y en calle en las comunas y corregimientos del municipio</t>
  </si>
  <si>
    <t>Grupos de apoyo creados y apoyados para la activación de rutas de atención al habitante de calle y en calle en las comunas y corregimientos del municipio</t>
  </si>
  <si>
    <t xml:space="preserve">Secretaría de Desarrollo Social y Político y Secretaría de Gobierno </t>
  </si>
  <si>
    <t>Facilidad para acceder a sustancias psicoactivas, por periodos de cosechas se paga con drogas</t>
  </si>
  <si>
    <t>No existe una red comunitaria constituida que movilice acciones de apoyo social para el habitante de calle.</t>
  </si>
  <si>
    <t>Falta control en la parte rural en donde se explota el trabajo que realizan los habitantes de calle y en calle.</t>
  </si>
  <si>
    <t>Baja cobertura en programas de formación para los habitantes de calle</t>
  </si>
  <si>
    <t>3. Mejorar los procesos de atención y resocialización del habitante de calle, fortaleciendo sus capacidades para un desarrollo humano integral</t>
  </si>
  <si>
    <t xml:space="preserve">10. Promover la vinculación del habitante de calle a los programas de educación para adultos </t>
  </si>
  <si>
    <t>A través del decreto 3011 de 1994 se oferta Educación para adultos, con gratuidad en la educación.  Promedio 10 personas por año</t>
  </si>
  <si>
    <t xml:space="preserve">Porcentaje de habitantes de calle vinculados a programas de educación para adultos </t>
  </si>
  <si>
    <t>Habitantes de calle y en calle con educación formal / Total de Habitantes de calle y en calle que solicitaron la prestación del servicio + 100%.</t>
  </si>
  <si>
    <t>Ministerio de Educación Nacional (MEN)</t>
  </si>
  <si>
    <t>Escasa oferta cultural para la población habitante de calle.</t>
  </si>
  <si>
    <t>11. Desarrollar jornadas culturales para los habitantes de calle y en calle.</t>
  </si>
  <si>
    <t>Diseñar y realizar las jornadas culturales y artísticas dirigidas a la población habitante de calle y en calle</t>
  </si>
  <si>
    <t xml:space="preserve">Número de jornadas culturales realizadas </t>
  </si>
  <si>
    <t xml:space="preserve"> Jornadas culturales realizadas </t>
  </si>
  <si>
    <t>Secretaria de Cultura</t>
  </si>
  <si>
    <t>No se tienen estrategias que motiven a la población a vincularse a la educación para adultos.</t>
  </si>
  <si>
    <t>12. Promover   el reconocimiento, el respeto y el afecto social por la diferencia, a través de actividades lúdicas y artísticas.</t>
  </si>
  <si>
    <t>Con el fin de promover el reconocimiento, el respeto y el afecto social por la diferencia, la Secretaría de Cultura, desarrollará procesos de formación artística a través de talleres de creación artística en artes plásticas, danza, música, artes visuales y literatura.</t>
  </si>
  <si>
    <t>Habitantes de calle beneficiarios del   Centro de Atención Integral para el habitante de calle y de otras sedes de atención (Hogar Santa Martha).</t>
  </si>
  <si>
    <t>Número de talleres de creación artística en artes plásticas, danza, música, artes visuales y literatura realizados con el fin de promover el reconocimiento, el respeto y el afecto social por la diferencia</t>
  </si>
  <si>
    <t>Talleres de creación artística en artes plásticas, danza, música, artes visuales y literatura</t>
  </si>
  <si>
    <t>Secretaría de Cultura.</t>
  </si>
  <si>
    <t>13. Posibilitar el acceso del habitante de calle y en calle a los escenarios culturales y artísticos del Municipio de Pereira.</t>
  </si>
  <si>
    <t>Sensibilizar al habitante de calle y en calle, frente comportamiento que deben adoptar al interior de los escenarios culturales y artísticos.</t>
  </si>
  <si>
    <t>Habitantes de Calle y en Calle</t>
  </si>
  <si>
    <t>Número de sensibilizaciones realizadas a los habitantes de calle y en calle sobre el comportamiento que deben adoptar al interior de los escenarios culturales y artísticos.</t>
  </si>
  <si>
    <t>Sensibilizaciones a los habitantes de calle y en calle sobre el comportamiento que deben adoptar al interior de los escenarios culturales y artísticos.</t>
  </si>
  <si>
    <t>Sensibilizar a través de capacitaciones  al talento humano de la Secretaría de Cultura, vigilantes,  y en general  a los usuarios de los servicios culturales, sobre los derechos del habitante de calle y en calle, con el fin de minimizar la prevención hacia esta población.</t>
  </si>
  <si>
    <t>Número de capacitaciones realizadas al talento humano de la Secretaría de Cultura  y   a los usuarios de los servicios culturales, sobre los derechos del habitante de calle y en calle, con el fin de minimizar la prevención hacia esta población.</t>
  </si>
  <si>
    <t>Capacitaciones sobre los derechos del habitante de calle y en calle, con el fin de minimizar la prevención hacia esta población.</t>
  </si>
  <si>
    <t xml:space="preserve">Escasa oferta deportiva para la población habitante de calle </t>
  </si>
  <si>
    <t xml:space="preserve">Número de actividades recreativas y deportivas  realizadas en puntos críticos dirigidas a los habitantes de calle y en calle </t>
  </si>
  <si>
    <t>Habitante de calle y en calle beneficiarios de actividades recreativas y deportivas realizadas en puntos críticos</t>
  </si>
  <si>
    <t>15. Posibilitar el acceso del habitante de calle y en calle a los escenarios deportivos y recreativos del Municipio de Pereira.</t>
  </si>
  <si>
    <t>La Secretaría de Recreación y Deportes realizará alianzas estratégicas para posibilitar el acceso preferencial de los habitantes de calle y en calle a los escenarios deportivos y recreativos. Además brindará acompañamiento para posibilitar el ingreso</t>
  </si>
  <si>
    <t>Numero de alianzas estratégicas realizadas para posibilitar el acceso preferencial de los habitantes de calle y en calle a los escenarios deportivos y recreativos, en las que se brindó acompañamiento para posibilitar el ingreso</t>
  </si>
  <si>
    <t>Alianzas estratégicas con acompañamiento para posibilitar el acceso preferencial de los habitantes de calle y en calle a los escenarios deportivos y recreativos</t>
  </si>
  <si>
    <t xml:space="preserve">Violencia física, sexual femenina y masculina hacia los habitantes de calle y en calle </t>
  </si>
  <si>
    <t xml:space="preserve">16. Estrategia para mitigar la violencia física y sexual en los habitantes de calle </t>
  </si>
  <si>
    <t xml:space="preserve">Desde la Secretaría de Desarrollo Social y Político se realizarán actividades de sensibilización tendientes a mitigar la violencia física y sexual del habitante de calle y en calle </t>
  </si>
  <si>
    <t xml:space="preserve">Habitante de calle y en Calle </t>
  </si>
  <si>
    <t>Número de actividades de sensibilización realizadas para mitigar la violencia física y sexual en los habitantes de calle</t>
  </si>
  <si>
    <t xml:space="preserve">Actividades de sensibilización realizadas para mitigar la violencia física y sexual en los habitantes de calle </t>
  </si>
  <si>
    <t xml:space="preserve">La población LGTBI habitante de calle, no se aborda en la atención </t>
  </si>
  <si>
    <t>17. Estrategía de inclusión social para la población habitante de calle LGTBI</t>
  </si>
  <si>
    <t xml:space="preserve">La Secretaría de Desarrollo Social y Político formulará e implementará la Estrategia para la inclusión social de la población habitante de calle LGTBI. 
La Secretaría de Gobierno realizará capacitaciones en igualdad y no discriminación hacia la población LGTBI y habitante de calle, en torno a los derechos humanos y convivencia pacífica.  
</t>
  </si>
  <si>
    <t>Población LGTBI  habitante de calle</t>
  </si>
  <si>
    <t xml:space="preserve">Número de Estrategias formuladas, actualizadas e implementadas anualmente para la inclusión social de la población habitante de calle LGTBI. </t>
  </si>
  <si>
    <t xml:space="preserve">Estrategia formulada, actualizada e implementada anualmente para la inclusión social de la población habitante de calle LGTBI. </t>
  </si>
  <si>
    <t xml:space="preserve">En algunos casos hay abandono familiar </t>
  </si>
  <si>
    <t xml:space="preserve">4. Fortalecer y/o recuperar el vínculo familiar de los habitantes de calle y en calle  </t>
  </si>
  <si>
    <t xml:space="preserve">18. Propiciar la reintegración familiar y social de los habitantes de calle y en calle </t>
  </si>
  <si>
    <t>Desde la Secretaría de Desarrollo Social y Político se generarán espacios de orientación familiar y comunitaria para posibilitar la reintegración familiar y social del habitante de calle y en calle, generando procesos de sanación interior y perdón.</t>
  </si>
  <si>
    <t>Habitantes de Calle y en calle del municipio de Pereira</t>
  </si>
  <si>
    <t>Porcentaje de habitantes de calle y en calle beneficiarios de los espacios de orientación familiar y comunitaria para posibilitar la reintegración familiar y social, generando procesos de sanación interior y perdón.</t>
  </si>
  <si>
    <t xml:space="preserve">Habitantes de calle y en calle beneficiarios de los espacios de orientación familiar y comunitaria para posibilitar la reintegración familiar y social, con procesos de sanación interior y perdón. / Total de habitantes de calle y en calle identificados*100%. </t>
  </si>
  <si>
    <t>Deficiencias en la red de apoyo a nivel socio familiar</t>
  </si>
  <si>
    <t>19. Talleres de reflexión en temas relacionados con la espiritualidad que contribuyan a fortalecer la reintegración familiar y social de los habitantes de calle y en calle.</t>
  </si>
  <si>
    <t>La Secretaría de Desarrollo Social y Político,  de  conformidad con las características particulares de los grupos de habitantes de calle y en calle  implementara talleres participativos de reflexión  en temas relacionados con la espiritualidad que contribuyan a  fortalecer la  reintegración familiar y social de los habitantes de calle y en calle.</t>
  </si>
  <si>
    <t>Número de talleres de reflexión realizados en temas relacionados con la espiritualidad que contribuyan a  fortalecer la  reintegración familiar y social de los habitantes de calle y en calle</t>
  </si>
  <si>
    <t>Talleres de reflexión realizados en temas relacionados con la espiritualidad que contribuyan a  fortalecer la  reintegración familiar y social de los habitantes de calle y en calle</t>
  </si>
  <si>
    <t>Faltan políticas de inclusión laboral enfocadas a ex habitantes de calle y en calle.</t>
  </si>
  <si>
    <t>RESPONSABILIDAD SOCIAL EMPRESARIAL, FORMACIÓN PARA EL TRABAJO Y LA GENERACIÓN DE INGRESOS.</t>
  </si>
  <si>
    <t xml:space="preserve">1. Promover la vinculación laboral y /o productiva de los habitantes de calle y en calle </t>
  </si>
  <si>
    <t>10% de habitantes de calle y en calle  con alguna
habilidad o conocimiento que pueda ser remunerada</t>
  </si>
  <si>
    <t>Promover el autosostenimiento económico del habitante de calle del municipio de Pereira.</t>
  </si>
  <si>
    <t>Porcentaje de habitantes de calle y en calle con alguna habilidad o conocimiento que pueda ser remunerada</t>
  </si>
  <si>
    <t xml:space="preserve">1. Crear una ruta de inclusión laboral para los habitantes de calle resocializados.
</t>
  </si>
  <si>
    <t>La Secretaría de Desarrollo Económico y  Competitividad brindará atención a la población habitante de calle y en calle, a través de la ruta de empleabilidad, no implica garantizar la vinculación laboral.</t>
  </si>
  <si>
    <t>Habitantes de calle y en calle en proceso de resocialización</t>
  </si>
  <si>
    <t>Porcentaje de población habitante de calle y en calle en proceso de resocialización con ruta de empleabilidad realizada.</t>
  </si>
  <si>
    <t>Población habitante de calle y/o en calle en proceso de resocialización con ruta de empleabilidad realizada / Total de población habitante de calle y/o en calle en proceso de resocialización que solicitaron del servicio y cumplieron con los protocolos *100%.</t>
  </si>
  <si>
    <t xml:space="preserve">Escasa o nula oferta laboral y precarias condiciones de las mismas </t>
  </si>
  <si>
    <t xml:space="preserve">2. Generar procesos de articulación con el sector empresarial y grandes superficies para promover la empleabilidad de habitante de calle del  Municipio </t>
  </si>
  <si>
    <t xml:space="preserve">Desde la Secretaría de Desarrollo Económico y Competitividad se realizarán visitas empresariales para promover la empleabilidad de los habitantes de calle </t>
  </si>
  <si>
    <t xml:space="preserve">Empresas del municipio de Pereira </t>
  </si>
  <si>
    <t xml:space="preserve">Número de visitas empresariales realizadas </t>
  </si>
  <si>
    <t>Visitas empresariales realizadas</t>
  </si>
  <si>
    <t xml:space="preserve">Débiles procesos de formalización de los recicladores de oficio </t>
  </si>
  <si>
    <t xml:space="preserve">3. Formalizar y/o fortalecer las organizaciones de recicladores de oficio con participación de población habitante de calle y en calle </t>
  </si>
  <si>
    <t>Habitantes de calle y en calle recilcadores</t>
  </si>
  <si>
    <t>Porcentaje de organizaciones de recicladores de oficio con participación de población habitantes de calle y en calle beneficiarias de procesos de formalización y/o fortalecimiento.</t>
  </si>
  <si>
    <t>Total de organizaciones de recicladores de oficio con participación de población de habitantes de calle y en calle beneficiarias de procesos de formalización y/o fortalecimiento / Total de organizaciones de recicladores con participación de población habitante de calle y en calle identificadas * 100%.</t>
  </si>
  <si>
    <t xml:space="preserve">Secretaría de Desarrollo Rural y Secretaría de Desarrollo Social y Político </t>
  </si>
  <si>
    <t>Plan de Gestión Integral de Residuos Sólidos (PGIRS) y Empresa de aseo</t>
  </si>
  <si>
    <t xml:space="preserve">Escasa formación para el trabajo de la población habitante de calle </t>
  </si>
  <si>
    <t xml:space="preserve">2. Promover la formulación de proyectos productivos en la población habitante de calle y en calle </t>
  </si>
  <si>
    <t xml:space="preserve">4. Fomentar y capacitar en economías alternas a los habitantes de calle y en calle </t>
  </si>
  <si>
    <t>La Secretaría de Desarrollo económico y Competitividad realizará capacitaciones en economías alternas a los habitantes de calle y en calle como: animación en 3D, promover  el desarrollo de grabaciones a través del estudio de grabación..</t>
  </si>
  <si>
    <t>Porcentaje de habitantes de calle y en calle en proceso de resocialización que solicitaron del servicio de capacitación en economías alternas.</t>
  </si>
  <si>
    <t>Habitantes de calle y en calle en proceso de resocialización beneficiados de capacitación en economías alternas.  / Total de habitantes de calle y en calle en proceso de resocialización que solicitaron del servicio de capacitación en economías alternas y cumplieron con el protocolo*100%.</t>
  </si>
  <si>
    <t>Secretaría de Desarrollo Económico y Competitividad y Secretaría de las TICS</t>
  </si>
  <si>
    <t xml:space="preserve">Débil formación en liderazgo y pedagogía en los directivos de las organizaciones que manejan personas habitantes de y en la calle </t>
  </si>
  <si>
    <t>5. Apoyar proyectos productivos que surjan dentro de los procesos de caracterización de las necesidades e intereses identificados en los habitantes de calle.</t>
  </si>
  <si>
    <t xml:space="preserve">La secretaría de Desarrollo económico y competitividad brindará apoyo y acompañamiento en los procesos de emprendimiento identificados con capacitación y con la asignación de capital semilla.
La Secretarías involucradas en la Política Pública aportando recursos financieros para apoyo a unidades productivas y de emprendimiento.
</t>
  </si>
  <si>
    <t>Porcentaje de procesos de emprendimiento que cumplieron con el protocolo fortalecidos con capacitación y/o asignación de capital semilla.</t>
  </si>
  <si>
    <t>Procesos de emprendimiento fortalecidos con capacitación y/o asignación de capital semilla /Procesos de emprendimiento identificados que cumplen con protocolos*100%</t>
  </si>
  <si>
    <t>Secretaría de Desarrollo Económico y Competitividad y Secretarías involucradas en la Política</t>
  </si>
  <si>
    <t>PGIRS</t>
  </si>
  <si>
    <t>Pobreza extrema, informalidad en la generación de ingresos</t>
  </si>
  <si>
    <t>3. Vicular  los productos elaborados por los habitantes de calle a programa de fomento de la marca Pereira</t>
  </si>
  <si>
    <t>6. Incorporar los productos elaborados por los habitantes de calle y en calle que cumplan con los requisitos a programas que fomenten la marca "Pereira”.</t>
  </si>
  <si>
    <t>Los productos seleccionados para la vinculación al programa de  marca "Pereira"  , entraran a hacer parte de la inclusión en los procesos comerciales, generando estrategías de promoción y divulgación.</t>
  </si>
  <si>
    <t>Habitantes de calle y en calle con productos incluidos en la marca "Pereira"</t>
  </si>
  <si>
    <t>Porcentaje de productos de habitantes de calle y/o en calle caracterizados y diagnosticados que entraron a hacer parte de la inclusión en los procesos comercialesPorcentaje de productos de habitantes de calle y/o en calle caracterizados y diagnosticados que entraron a hacer parte de la inclusión en los procesos comerciales</t>
  </si>
  <si>
    <t>Total de productos elaborados por los habitantes de calle y en calle que entraron a hacer parte de la inclusión en los procesos comerciales de la marca "Pereira” / Total de productos caracterizados y diagnosticados *100%</t>
  </si>
  <si>
    <t>Las organizaciones que trabajan con el habitante de calle sienten falta de respaldo de la administración Municipal y por el contrario si tienen muchas exigencias.</t>
  </si>
  <si>
    <t xml:space="preserve">4. Fortalecer las  organizaciones productivas  y/o asociativas de habitantes de calle y en calle  </t>
  </si>
  <si>
    <t xml:space="preserve">7. Brindar acompañamiento a nivel empresarial y/o  productivo </t>
  </si>
  <si>
    <t>Por parte de la Secretaría de Desarrollo Económico y Competitividad, se realizarán procesos de fortalecimiento y seguimiento empresarial a través de procesos de capacitación en emprendimiento, administración, contabilidad y mercadeo</t>
  </si>
  <si>
    <t>Empresas de Habitantes de calle y en calle</t>
  </si>
  <si>
    <t xml:space="preserve">Porcentaje de empresas de habitantes de calle y en calle con acompañamiento a nivel empresarial y productivo </t>
  </si>
  <si>
    <t>Total de empresas de habitantes de calle y en calle con acompañamiento a nivel empresarial y productivo / Total de empresas de habitantes de calle y en calle identificadas que requirieron del servicio</t>
  </si>
  <si>
    <t>8. Brindar acompañamiento a nivel organizacional</t>
  </si>
  <si>
    <t xml:space="preserve">Desde la Secretaría de Desarrollo Social y Político se brindará asistencia técnica para la conformación y legalización de los grupos interesados en asociarse que lo soliciten
Desde la Secretaría de Desarrollo y Competitividad se brindara apoyo en formación para el trabajo y procesos de capacitación para el emprendimiento en la parte administrativa, comercial y contable.
</t>
  </si>
  <si>
    <t>Habitantes de calle y en calle asociados o interesados en asociarse</t>
  </si>
  <si>
    <t>Porcentaje de grupos y organizaciones productivas de habitantes de calle y en calle que solicitaron del servicio a quienes se les brindó apoyo y acompañamiento para la creación y/o fortalecimiento</t>
  </si>
  <si>
    <t>Grupos y organizaciones productivas de habitantes de calle y en calle con apoyo y acompañamiento para la creación y/o fortalecimiento / Total de grupos y organizaciones productivas de habitantes de calle y en calle que solicitaron el servicio *100%</t>
  </si>
  <si>
    <t>Falta de concientización de las empresas privadas en las posibles exenciones por responsabilidades sociales</t>
  </si>
  <si>
    <t>5. Fomento a procesos de responsabilidad social empresarial en beneficio de los habitantes de calle y en calle</t>
  </si>
  <si>
    <t>9. Promover a nivel empresarial el desarrollo de acciones responsables en beneficio de los habitantes de calle y en y en calle.</t>
  </si>
  <si>
    <t>Se realizaran visitas empresariales para promover procesos de responsabilidad social empresarial en favor de los habitantes de calle y en calle</t>
  </si>
  <si>
    <t>Número de visitas empresariales realizadas para promover procesos de responsabilidad social empresarial en favor de los habitantes de calle y en calle</t>
  </si>
  <si>
    <t xml:space="preserve"> Visitas empresariales realizadas para promover procesos de responsabilidad social empresarial en favor de los habitantes de calle y en calle</t>
  </si>
  <si>
    <t>Secretaría de Desarrollo Social y Político Y Secretaría de Desarrollo Económico y Competitividad</t>
  </si>
  <si>
    <t xml:space="preserve">La población habitante de calle, muchos de ellos realizan trabajo informal </t>
  </si>
  <si>
    <t>6. Generar la participación ciudadana de los habitantes de calle en  proyectos ajustados a sus habilidades y destrezas.</t>
  </si>
  <si>
    <t xml:space="preserve">10. Capacitar a los habitantes de calle en la formulación de proyectos. </t>
  </si>
  <si>
    <t xml:space="preserve">Se realizaran capacitaciones en la formulación de proyectos que se ajusten a las habilidades y destrezas que posean. </t>
  </si>
  <si>
    <t xml:space="preserve">Porcentaje de habitantes de calle y en calle beneficiarios de las capacitaciones en formulación de proyectos que se ajustan a sus habilidades y destrezas. </t>
  </si>
  <si>
    <t xml:space="preserve">El 1% de habitantes de calle y en calle capacitados en elaboración de proyectos / Sobre el 10% del total de habitantes de calle y en calle identificados. </t>
  </si>
  <si>
    <t>Debilidad de los programas de formación para el trabajo porque no hay oportunidades de emplearse en lo que se estudió.</t>
  </si>
  <si>
    <t>7.Realizar procesos de formación para el trabajo y la generación de ingresos de los habitantes  de calle y en calle</t>
  </si>
  <si>
    <t>11. Articular a través de los CEDES la formación del habitante de calle para su productividad a nivel empresarial.</t>
  </si>
  <si>
    <t xml:space="preserve">A través de los CEDES se ofrece oferta de formación para el trabajo según necesidades identificadas por los empresarios o por los grupos poblacionales </t>
  </si>
  <si>
    <t>Habitantes de calle y en calle en procesos de resocialización</t>
  </si>
  <si>
    <t>Porcentaje de población habitante de calle y en calle  que requirieron del servicio de formación para el trabajo</t>
  </si>
  <si>
    <t>Total de habitantes de calle y en calle beneficiarios de formación para el trabajo / Total de población habitante de calle y en calle que requirió del servicio*100</t>
  </si>
  <si>
    <t>Faltan oportunidades a los habitantes de calle según el perfil académico y sus habilidades.</t>
  </si>
  <si>
    <t>12. Procesos de certificación en competencias para los habitantes de calle</t>
  </si>
  <si>
    <t xml:space="preserve">A través de convenio con el SENA Se certificara el total de habitantes de calle y en calle que cumplan más del 85% de asistencia a las capacitaciones </t>
  </si>
  <si>
    <t>Porcentaje de habitante de calle y en calle inscritos en procesos de formación certificados en competencias laborales</t>
  </si>
  <si>
    <t xml:space="preserve">Porcentaje de habitante de calle y en calle certificados en competencias laborales / Total habitantes de calle y en calle inscritos en procesos de formación </t>
  </si>
  <si>
    <t>Servicio Nacional de Aprendizaje SENA e Instituciones de Educación Superior IES.</t>
  </si>
  <si>
    <t>Rechazo entre la misma población Habitante de calle.</t>
  </si>
  <si>
    <t>CONVIVENCIA CIUDADNA</t>
  </si>
  <si>
    <t xml:space="preserve">1. Fortalecer los procesos de interacción entre los habitantes de calle y con  la ciudadanía en general </t>
  </si>
  <si>
    <t>60% de Habitantes de calle participando en procesos sociales y construcción de ciudadanía</t>
  </si>
  <si>
    <t xml:space="preserve">Personas resocializadas, con sentido de participación ciudadana, que hacen uso de sus deberes y derechos como ciudadanos del municipio de Pereira </t>
  </si>
  <si>
    <t>Porcentaje de Habitantes de calle participando en procesos sociales y de construcción de ciudadanía</t>
  </si>
  <si>
    <t>Secretarías de Gobierno y  de Desarrollo Social y Político</t>
  </si>
  <si>
    <t xml:space="preserve">1. Realizar un proceso de formación sobre sana convivencia al Habitante de calle en los albergues 
</t>
  </si>
  <si>
    <t xml:space="preserve">La Secretaría de Desarrollo Social y Político realizará actividades pedagógicas para promover la sana convivencia en el albergue y otros espacios de atención al habitante de calle.
La Secretaría de Gobierno realizarán actividades pedagógicas para promover la sana convivencia en el marco de la cultura de la legalidad, fomentando el respeto por el otro.se realizará en el albergue y otros espacios de atención al habitante de calle.
</t>
  </si>
  <si>
    <t>Habitantes de calle beneficiarios de albergues y otros espacios de atención</t>
  </si>
  <si>
    <t xml:space="preserve">Número de actividades pedagógicas realizadas para promover la sana convivencia </t>
  </si>
  <si>
    <t xml:space="preserve">Actividades pedagógicas realizadas </t>
  </si>
  <si>
    <t>Secretaría de Desarrollo Social y Político  y Secretaría de Gobierno</t>
  </si>
  <si>
    <t>Falta de educación y sensibilización al ciudadano frente a la problemática del habitante de calle.</t>
  </si>
  <si>
    <t>2. Actividades pedagógicas de sensibilización a la ciudadanía para prevenir el estigma y discriminación del habitante de calle</t>
  </si>
  <si>
    <t xml:space="preserve">Las Secretarías de Desarrollo Social y Político y de Gobierno implementaran campaña pedagogicaa a través de medios masivos </t>
  </si>
  <si>
    <t xml:space="preserve">Población del municipio de Pereira </t>
  </si>
  <si>
    <t xml:space="preserve">Una Campaña pedagogica formulada, actualizada e implementada anualmente para sensibilizar a la ciudadanía en la  prevención del estigma y la discriminación hacia el habitante de calle 
</t>
  </si>
  <si>
    <t>Campaña pedagógica formulada, actualizada e implementada anualmente para sensibilizar a la ciudadanía en la  prevención del estigma y la discriminación hacia el habitante de calle</t>
  </si>
  <si>
    <t xml:space="preserve">3. Capacitar a Funcionarios públicos entorno al abordaje y manejo de la población Habitante de calle.
</t>
  </si>
  <si>
    <t xml:space="preserve">Se realizaran talleres de capacitación en las Secretarías involucradas en la Política Pública para cualificar los funcionarios en la atención y manejo de la población habitante de calle </t>
  </si>
  <si>
    <t>Funcionarios públicos de las diferentes Secretarías responsables de la atención y manejo de la población habitante de calle.</t>
  </si>
  <si>
    <t>Porcentaje de  Secretarías involucradas en la Política Pública Capacitadas en atención y manejo al habitantes de calle y en calle</t>
  </si>
  <si>
    <t>Secretarías de Despacho capacitadas en atención y manejo al habitantes de calle y en calle / Total de secretarías involucradas en la PP *100%</t>
  </si>
  <si>
    <t xml:space="preserve">4. Desarrollar procesos de capacitación dirigidos a Habitantes de calle sobre deberes y derechos ciudadanos.
</t>
  </si>
  <si>
    <t>En el marco de los derechos humanos se realizarán capacitaciones sobre deberes y derechos ciudadanos a habitantes de calle y en condición de calle</t>
  </si>
  <si>
    <t>Habitantes de Calle del municipio de Pereira</t>
  </si>
  <si>
    <t xml:space="preserve">Número de capacitaciones sobre deberes y derechos ciudadanos realizadas </t>
  </si>
  <si>
    <t>Capacitaciones sobre deberes y derechos ciudadanos realizadas</t>
  </si>
  <si>
    <t>Personería Municipal  y Defensoría del Pueblo</t>
  </si>
  <si>
    <t xml:space="preserve">Faltan acciones tendientes a prevenir el inicio de vida en calle </t>
  </si>
  <si>
    <t>5. Realizar acciones de sensibilización ciudadana para prevenir el inicio de vida en calle en la población de mayor riesgo</t>
  </si>
  <si>
    <t>La Secretaría de Desarrollo Social y Político realizará actividades pedagógicas de sensibilización para prevenir el inicio de vida en calle, teniendo como población objetivo la identificada con mayor riesgo: Adolescentes en consumo de sustancias psico activas, adultos mayores víctimas de violencia intrafamiliar y niños, niñas y adolescentes en trabajo infantil.</t>
  </si>
  <si>
    <t xml:space="preserve">Población identificada con mayor riesgo </t>
  </si>
  <si>
    <t>Número de actividades pedagógicas de sensibilización realizadas para prevenir el inicio de vida en calle.</t>
  </si>
  <si>
    <t>Actividades pedagógicas de sensibilización para prevenir el inicio de vida en calle</t>
  </si>
  <si>
    <t>Los establecimientos comerciales sacan las basuras en horarios no adecuados, situación que genera la presencia de  habitantes de calle para buscar reciclaje en momentos de alto flujo de clientes</t>
  </si>
  <si>
    <t>6. Sensibilizar a los empresarios frente al manejo que deben dar a las basuras para su recolección</t>
  </si>
  <si>
    <t>La Secretaría de Desarrollo Rural y Gestión Ambiental con la participación de los diferentes actores del Pegir coordinara la realización de los procesos de sensibilización a los empresarios frente al manejo que deben dar a los residuos sólidos</t>
  </si>
  <si>
    <t xml:space="preserve">Empresarios y comerciantes </t>
  </si>
  <si>
    <t>Número de procesos de sensibilización sobre manejo de residuos sólidos realizados a los empresarios</t>
  </si>
  <si>
    <t xml:space="preserve">Procesos de sensibilización a los empresarios sobre manejo de residuos sólidos   </t>
  </si>
  <si>
    <t>Secretaría de Desarrollo Rural - PEGIR</t>
  </si>
  <si>
    <t>Empresas de aseo  y asociaciones y empresarios</t>
  </si>
  <si>
    <t xml:space="preserve">Estigmatización y discriminación.
</t>
  </si>
  <si>
    <t xml:space="preserve">7. Promover veedurías ciudadanas frente al cumplimiento de las acciones de la política pública para el habitante de calle y en calle </t>
  </si>
  <si>
    <t>Se promoverá la conformación y fortalecimiento de una veeduría ciudadana con participación de población habitante de calle y en calle.</t>
  </si>
  <si>
    <t xml:space="preserve">Población habitante de calle y en calle </t>
  </si>
  <si>
    <t xml:space="preserve">Número de veedurías conformadas y /o fortalecidas para hacer seguimiento al cumplimiento de las acciones de la política pública para el habitante de calle y en calle </t>
  </si>
  <si>
    <t xml:space="preserve">Veedurías conformadas y /o fortalecidas para hacer seguimiento al cumplimiento de las acciones de la política pública para el habitante de calle y en calle </t>
  </si>
  <si>
    <t>Percepción de inseguridad.</t>
  </si>
  <si>
    <t>8. Realizar diagnóstico de la incidencia de los habitantes de calle y en calle en los niveles de inseguridad del municipio de Pereira.</t>
  </si>
  <si>
    <t>La Secretaría de Gobierno a través de la Sub Secretaría de seguridad y convivencia   ciudadana realizará acompañamiento a la Policía Metropolitana para identificar el índice de inseguridad en el municipio de Pereira, en el cual están relacionados los habitantes de calle y en calle</t>
  </si>
  <si>
    <t>Diagnóstico de la incidencia de los habitantes de calle y en calle en los niveles de inseguridad del municipio de Pereira formulado y actualizado anualmente.</t>
  </si>
  <si>
    <t>Diagnóstico de la incidencia de los habitantes de calle y en calle en los niveles de inseguridad del municipio de Pereira.</t>
  </si>
  <si>
    <t xml:space="preserve"> Secretaría de Gobierno </t>
  </si>
  <si>
    <t>Alto nivel de Hurtos.</t>
  </si>
  <si>
    <t>Alta influencia de grupos al margen de la ley.</t>
  </si>
  <si>
    <t>Abuso de autoridad.</t>
  </si>
  <si>
    <t>2. Disminuir los abusos de las diferentes autoridades con las personas Habitantes de Calle.</t>
  </si>
  <si>
    <t xml:space="preserve">9. Sensibilizaciones para prevenir el abuso de autoridad hacia la población habitante de calle y en calle </t>
  </si>
  <si>
    <t>Se realizarán talleres de sensibilización a la policía metropolitana entorno al manejo de las personas en condición de calle, todo esto en el marco de los derechos humanos.</t>
  </si>
  <si>
    <t>Polícia Metropolitana</t>
  </si>
  <si>
    <t>Número de talleres de sensibilización realizados a la policía para prevenir el abuso de autoridad hacia la población habitante de calle y en calle</t>
  </si>
  <si>
    <t>Talleres de sensibilización realizados a la policía para prevenir el abuso de autoridad hacia la población habitante de calle y en calle</t>
  </si>
  <si>
    <t>Cultura de dar limosna.</t>
  </si>
  <si>
    <t>3. Disminuir  la mendicidad y el pernoctar en las calles  en el municipio de Pereira.</t>
  </si>
  <si>
    <t>10. Promover campañas de desestimulación de la limosna a los habitantes de calle, acompañadas de la oferta institucional para este grupo poblacional</t>
  </si>
  <si>
    <t xml:space="preserve">Desde la oficina de Comunicaciones y con la participación de las Secretarías y demás actores involucrados en la PP se desarrollarán campañas de desestimulación de la limosna a los habitantes de calle a través de medios de comunicación radiales e impresos, de pantallas, volantes, afiches, videos, vallas y redes sociales. Este proceso de comunicación incluirá la oferta institucional para este grupo poblacional.
Los videos se proyectaran en los establecimientos de comercio diurnos y nocturnos afectados por la presencia de este grupo poblacional.
</t>
  </si>
  <si>
    <t>Población en General del Municipio de Pereira</t>
  </si>
  <si>
    <t>Número de campañas de desestimulación de la limosna, acompañadas de la oferta institucional realizadas</t>
  </si>
  <si>
    <t>Campañas de desestimulación de la limosna, acompañadas de la oferta institucional.</t>
  </si>
  <si>
    <t>Oficina de comunicaciones y Secretarías involucradas en la Política Pública</t>
  </si>
  <si>
    <t>Asociaciones, empresarios y establecimientos comerciales</t>
  </si>
  <si>
    <t>Inconformidad de clientes en locales comerciales.</t>
  </si>
  <si>
    <t>11. Realizar estrategia de trabajo extramural a partir de operativos y/o recorridos de calle requeridos  para controlar la mendicidad estacionaria y el pernoctar en las calles de la ciudad.</t>
  </si>
  <si>
    <t xml:space="preserve">Desde la Secretaría de Desarrollo Social y Político se realizaran recorridos diarios para controlar mendicidad y el pernoctar en las calle. En articulación con la Secretaría de Gobierno </t>
  </si>
  <si>
    <t xml:space="preserve">Habitantes de calle </t>
  </si>
  <si>
    <t>Número de operativos y/o recorridos realizados para controlar mendicidad y el pernoctar en las calle.</t>
  </si>
  <si>
    <t>Operativos y/o recorridos   para controlar mendicidad y el pernoctar en las calle</t>
  </si>
  <si>
    <t>Secretaría de Desarrollo Social y Político y Secretaría de Gobierno</t>
  </si>
  <si>
    <t>Desaseo y problemas de sanidad en los habitantes de calle y en calle.</t>
  </si>
  <si>
    <t xml:space="preserve">Poca presencia de los habitantes de calle del Municipio de Pereira en las organizaciones sociales </t>
  </si>
  <si>
    <t xml:space="preserve">4. Fortalecer la participación social del habitante de calle y en calle  </t>
  </si>
  <si>
    <t xml:space="preserve">12. Generar procesos de organización y participación de los habitantes de calle </t>
  </si>
  <si>
    <t xml:space="preserve">Desde la Secretaría de Desarrollo Social y Político se promovera y fortalecerá la organización y participación de los habitantes de calle y en calle </t>
  </si>
  <si>
    <t xml:space="preserve">Porcentaje de organizaciones y/o grupos de habitantes de calle y en calle en los que se promovió y fortaleció la organización y participación </t>
  </si>
  <si>
    <t>Número de Organizaciones y/o grupos de habitantes de calle y en calle en los que se promovió y fortaleció la organización y participación / Total de organizaciones y/o grupos de habitantes de calle y en calle identificados</t>
  </si>
  <si>
    <t xml:space="preserve">Caracterizar las organizaciones y colectivos sociales que trabajen por la construcción de paz y los DD.HH en el territorio </t>
  </si>
  <si>
    <t xml:space="preserve">Nº de organizaciones caracterizadas  </t>
  </si>
  <si>
    <t>Documento de caracterización, acta, fotografías</t>
  </si>
  <si>
    <t>Entidad Responsable: Oficina de Paz, Reconciliación y Posconflicto</t>
  </si>
  <si>
    <t xml:space="preserve"> $                            4.072.000 </t>
  </si>
  <si>
    <t xml:space="preserve"> $            -   </t>
  </si>
  <si>
    <t xml:space="preserve"> $                                        -   </t>
  </si>
  <si>
    <t xml:space="preserve"> $                                -   </t>
  </si>
  <si>
    <t xml:space="preserve"> $                 4.072.000 </t>
  </si>
  <si>
    <t>Conformación e implementación y continuidad de la red de organizaciones que trabajen por los derechos humanos y la paz del municipio</t>
  </si>
  <si>
    <t>Porcentaje Conformación e implementación y continuidad de la red de organizaciones que trabajen por los derechos humanos y la paz del municipio</t>
  </si>
  <si>
    <t xml:space="preserve">Entidades Responsables: Secretaría de Gobierno y Oficina de Paz, Reconciliación y Post conflicto </t>
  </si>
  <si>
    <t xml:space="preserve"> $                            5.072.000 </t>
  </si>
  <si>
    <t xml:space="preserve"> $                 5.072.000 </t>
  </si>
  <si>
    <t>Acompañar, apoyar y promover las personerías, consejos estudiantiles y grupos juveniles</t>
  </si>
  <si>
    <t>Porcentaje de personerías, consejos y grupos juveniles acompañados</t>
  </si>
  <si>
    <t>Actas de reunión, registro fotográfico, listados de asistencia</t>
  </si>
  <si>
    <t xml:space="preserve"> $                        146.000.000 </t>
  </si>
  <si>
    <t xml:space="preserve"> $            146.000.000 </t>
  </si>
  <si>
    <t>Estudios de percepción en temas de seguridad y cultura ciudadana - Observatorio de Seguridad y Convivencia Ciudadana</t>
  </si>
  <si>
    <t>Número de estudios de percepción realizados</t>
  </si>
  <si>
    <t>Documento del estudio realizado</t>
  </si>
  <si>
    <t xml:space="preserve"> $                          10.714.285 </t>
  </si>
  <si>
    <t xml:space="preserve"> $               10.714.285 </t>
  </si>
  <si>
    <t xml:space="preserve">Talleres con población en proceso de reincorporación y reintegración sobre rutas de atención, instituciones de apoyo y prácticas de seguridad </t>
  </si>
  <si>
    <t xml:space="preserve">Nº de talleres </t>
  </si>
  <si>
    <t xml:space="preserve"> $                                  2.000.000</t>
  </si>
  <si>
    <t xml:space="preserve"> $                       2.000.000</t>
  </si>
  <si>
    <t>AsesoríaJurídica  a prisioneros políticos</t>
  </si>
  <si>
    <t>Porcentaje de los casos asesorados</t>
  </si>
  <si>
    <t xml:space="preserve"> $                          24.000.000 </t>
  </si>
  <si>
    <t xml:space="preserve"> $               24.000.000 </t>
  </si>
  <si>
    <t>Implementación de estrategia digital para la recepción de denuncias para las violaciones de derechos humanos</t>
  </si>
  <si>
    <t>Entidad Responsable: Secretaría TICS</t>
  </si>
  <si>
    <t xml:space="preserve"> $                                            -   </t>
  </si>
  <si>
    <t xml:space="preserve"> $                                 -   </t>
  </si>
  <si>
    <t>Capacitacióna población vulnerable con enfoque diferencial en mecanismos de participación ciudadana</t>
  </si>
  <si>
    <t>Nº de personas pertenecientes a la población vulnerable en mecanismos de participación</t>
  </si>
  <si>
    <t>Espacios pedagógicos con recorridos presenciales por diferentes sectores e instituciones para aumentar el nivel de conocimiento de la ciudad en cuanto a la oferta programática y oportunidades de participación de niños, niñas y adolescentes</t>
  </si>
  <si>
    <t xml:space="preserve">No de niños(as) y adolescentes  que asisten a los recorridos pedagógicos </t>
  </si>
  <si>
    <t>INCREMENT0</t>
  </si>
  <si>
    <t>CONSTRUCCIÓN DE PAZ</t>
  </si>
  <si>
    <t>Percepción de  construcción de escenarios de paz y reconciliación</t>
  </si>
  <si>
    <t>Incrementar en 50% la percepción positiva frente a la construcción de escenarios de paz y reconciliación en las personas atendidas bajo las acciones de la línea estratégica</t>
  </si>
  <si>
    <t>No de personas que mejoran su percepción en la construcción de escenarios de paz y reconciliación/ Total de personas atendidas por año bajo las acciones de la línea estratégica*100</t>
  </si>
  <si>
    <t xml:space="preserve"> -Día Nacional  de Los Derechos Humanos (septiembre 09)</t>
  </si>
  <si>
    <t xml:space="preserve"> -Día Internacional de la No Violencia (Octubre 2)</t>
  </si>
  <si>
    <t xml:space="preserve"> -Día Internacional  de Los Derechos Humanos (Diciembre 10)</t>
  </si>
  <si>
    <t>-Día contra la trata de personas (30 de julio)</t>
  </si>
  <si>
    <t>-Día Internacional de la desaparición forzosa (mayo)</t>
  </si>
  <si>
    <t>-Día internacional de las victimas contra desaparición forzosa (30 agosto)</t>
  </si>
  <si>
    <t>Día Internacional de prevención contra el reclutamiento infantil contra la guerra (12 de febrero)</t>
  </si>
  <si>
    <t>Nº de conmemoraciones realizadas</t>
  </si>
  <si>
    <t>Entidades Responsables: Secretaría de Gobierno – Oficina de Paz, Secretaría de Desarrollo Social y Político, Secretaría de Cultura</t>
  </si>
  <si>
    <t xml:space="preserve"> $                                     40.000.000 </t>
  </si>
  <si>
    <t xml:space="preserve"> $                   -   </t>
  </si>
  <si>
    <t xml:space="preserve"> $                  -   </t>
  </si>
  <si>
    <t>Conmemoración de la firma del acuerdo de paz (24 de Nov)</t>
  </si>
  <si>
    <t>Número de conmemoraciones de la firma del acuerdo de paz realizadas</t>
  </si>
  <si>
    <t xml:space="preserve"> $                                       5.552.800 </t>
  </si>
  <si>
    <t>Conmemoración de la semana por la paz (Primera Semana de Sept.)</t>
  </si>
  <si>
    <t>Número de conmemoraciones de la semana por la paz realizadas</t>
  </si>
  <si>
    <t xml:space="preserve">Entidad Responsable: Oficina de Paz, Reconciliación y Posconflicto, </t>
  </si>
  <si>
    <t xml:space="preserve"> $                                       4.072.000 </t>
  </si>
  <si>
    <t>Implementación de la ruta para la prevención del reclutamiento de menores</t>
  </si>
  <si>
    <t>Listados de asistencia, actas de reunión, evidencia fotográfica, Documento técnico y Matriz de Plan de Acción</t>
  </si>
  <si>
    <t xml:space="preserve"> $                                     18.131.000 </t>
  </si>
  <si>
    <t>Gestión para la implementación de proyectos de reconciliación con enfoque diferencial frente entidades nacionales e internacionales</t>
  </si>
  <si>
    <t xml:space="preserve">No de proyectos gestionados </t>
  </si>
  <si>
    <t xml:space="preserve">Entidades Responsables: Sec. De Gobierno - Oficina de Paz, Reconciliación  y Posconflicto </t>
  </si>
  <si>
    <t>Entidad Concurrente: ARN</t>
  </si>
  <si>
    <t xml:space="preserve"> $                                       7.072.000 </t>
  </si>
  <si>
    <t>Acciones simbólicas para reivindicar la memoria histórica con perspectiva de género</t>
  </si>
  <si>
    <t xml:space="preserve">Nº de acciones simbólicas realizadas </t>
  </si>
  <si>
    <t>Evidencia fotográfica, listados de asistencia</t>
  </si>
  <si>
    <t>Entidad Responsable: Oficina de Paz, Entidades Concurrentes: Organizaciones sociales</t>
  </si>
  <si>
    <t xml:space="preserve"> $                                           800.000 </t>
  </si>
  <si>
    <t>Diseño e implementación de la Ruta de atención de las personas en proceso de reintegración y reincorporación</t>
  </si>
  <si>
    <t>Porcentaje de la ruta de atención diseñada e implementada</t>
  </si>
  <si>
    <t>Documento de la ruta de atención, actas, listados de asistencia, evidencia fotográfica</t>
  </si>
  <si>
    <t xml:space="preserve">Entidad Concurrente: ARN - </t>
  </si>
  <si>
    <t xml:space="preserve"> $                                       4.283.000 </t>
  </si>
  <si>
    <t xml:space="preserve"> $                                       4.283.400 </t>
  </si>
  <si>
    <t xml:space="preserve">Creación y puesta en marcha del centro municipal de memoria histórica, de sobrevivientes y víctimas del conflicto armado interno que residen en Pereira </t>
  </si>
  <si>
    <t xml:space="preserve">Porcentaje  de creación y puesta en marcha del centro municipal de memoria histórica, de sobrevivientes y víctimas del conflicto armado interno que residen en Pereira </t>
  </si>
  <si>
    <t xml:space="preserve">IINCREMENTO </t>
  </si>
  <si>
    <t>Listados de asistencia, actas, fotografías, videos</t>
  </si>
  <si>
    <t xml:space="preserve">Entidad Responsable: Oficina de Paz, Reconciliación y Post conflicto </t>
  </si>
  <si>
    <t xml:space="preserve">Conformación del archivo de DDHH de sobrevivientes y víctimas del conflicto armado residentes en Pereira </t>
  </si>
  <si>
    <t xml:space="preserve">Porcentaje dela formación del archivo de DDHH de sobrevivientes y víctimas del conflicto armado residentes en Pereira  </t>
  </si>
  <si>
    <t>Listados de asistencia, actas, fotografías, videos, Archivo, Bases de Datos</t>
  </si>
  <si>
    <t>Entidades Responsables: Oficina de Paz, Reconciliación y Posconflicto, Archivo Municipal</t>
  </si>
  <si>
    <t>Generar procesos de articulación con el centro de memoria histórica nacional y experiencias similares territoriales e institucionales.</t>
  </si>
  <si>
    <t xml:space="preserve">Porcentaje de procesos de articulación con el centro de memoria histórica nacional y experiencias similares territoriales e institucional </t>
  </si>
  <si>
    <t>Listados de asistencia, actas, fotografía</t>
  </si>
  <si>
    <t xml:space="preserve">Entidad Responsable: Oficina de Paz, Reconciliación y Posconflicto </t>
  </si>
  <si>
    <t xml:space="preserve">Desarrollar alianzas con los medios locales de comunicación para la promoción de los derechos humanos, la cultura de paz, reconciliación y convivencia </t>
  </si>
  <si>
    <t>Nº de alianzas con los medios locales de comunicación para la promoción de los derechos humanos, la cultura de paz, reconciliación y convivencia</t>
  </si>
  <si>
    <t>Entidades Responsables: Oficina de Paz, Reconciliación y Post conflicto, Oficina de Comunicaciones</t>
  </si>
  <si>
    <t>Realizar un  acto público anual (septiembre) de reconocimiento a personas naturales o jurídicas que se haya destacado por sus aportes en construcción de paz y reconciliación en el municipio de Pereira.</t>
  </si>
  <si>
    <t xml:space="preserve">Nº de reconocimiento </t>
  </si>
  <si>
    <t>Pactos ciudadanos por la defensa de los derechos de las poblaciones vulnerables con enfoque comunitario, en el marco de la seguridad y convivencia ciudadana</t>
  </si>
  <si>
    <t>Número de pactos realizados</t>
  </si>
  <si>
    <t>Entidades Responsables: Secretaría de Gobierno – Oficina de Paz, Reconciliación y Posconflicto</t>
  </si>
  <si>
    <t xml:space="preserve"> $                                       6.000.000 </t>
  </si>
  <si>
    <t>Promover pacto empresarial para la defensa de los derechos Humanos y la Construcción de Paz</t>
  </si>
  <si>
    <t>Pacto firmado</t>
  </si>
  <si>
    <t>Foro, conversatorios o escenarios de diálogo social, académico e institucional con el fin de debatir temas relacionados con el conflicto social, armado, la paz y la memoria histórica.</t>
  </si>
  <si>
    <t>Nº conversatorios o escenarios de diálogo social, académico e institucional con el fin de debatir temas relacionados con el conflicto social, armado, la paz y la memoria histórica</t>
  </si>
  <si>
    <t xml:space="preserve">Entidades Responsables: Secretaria de Gobiernoy Oficina de Paz, Reconciliación y Posconflicto </t>
  </si>
  <si>
    <t>Entidades Concurrentes: Organizaciones sociales</t>
  </si>
  <si>
    <t xml:space="preserve"> $                                       2.907.200 </t>
  </si>
  <si>
    <t>Socialización de la Política de Reintegración y reincorporación y de los avances de su implementación, dirigida a la superación de la estigmatización de las personas en proceso de reintegración, reincorporación y sus grupos familiares.</t>
  </si>
  <si>
    <t>No de socializaciones desarrolladas</t>
  </si>
  <si>
    <t xml:space="preserve"> N.D </t>
  </si>
  <si>
    <t xml:space="preserve">Entidad Concurrente: ARN </t>
  </si>
  <si>
    <t xml:space="preserve"> $                                           389.400 </t>
  </si>
  <si>
    <t>Estrategia comunicativa para la promoción delos derechos humanos, la paz y la reconciliación, con énfasis en la construcción de paz</t>
  </si>
  <si>
    <t>Porcentaje de la estrategia comunicativa implementada</t>
  </si>
  <si>
    <t xml:space="preserve"> $                                       20.000.000 </t>
  </si>
  <si>
    <t>Realizar jornadas descentralizadas por la verdad, justicia y garantía de no repetición en la población víctima del conflicto armado</t>
  </si>
  <si>
    <t>N° de jornadas descentralizadas realizadas</t>
  </si>
  <si>
    <t xml:space="preserve">Entidad Concurrente: Personería Municipal de Pereira </t>
  </si>
  <si>
    <t>FORTALECIMIENTO INSTITUCIONAL PARA LOS DDHH, PAZ Y RECONCILIACIÓN</t>
  </si>
  <si>
    <t>Servidores públicos con capacidades para la adecuada atención y/o orientación  de la población en temasde derechos humanos, paz y reconciliación</t>
  </si>
  <si>
    <t>Incrementar en 50% las capacidades de servidores públicos para la atención de la población en temas de derechos humanos, paz y reconciliación</t>
  </si>
  <si>
    <t>Número de funcionarios y/o servidores públicos formados en derechos humanos y paz/Total de personas por año que participaron de los procesos de la línea estratégica*100</t>
  </si>
  <si>
    <t>Implementar el Observatorio de DDHH  y Paz del Municipio</t>
  </si>
  <si>
    <t>Porcentaje del observatorio de derechos humanos implementado</t>
  </si>
  <si>
    <t>Decreto de legalización, boletines elaborados</t>
  </si>
  <si>
    <t xml:space="preserve"> $             4.283.000 </t>
  </si>
  <si>
    <t xml:space="preserve"> $           4.283.400 </t>
  </si>
  <si>
    <t>Realizar sesiones descentralizadas del Comité Municipal de Derechos Humanos seleccionados estratégicamente para asegurar la convergencia de actores representativos de franjas poblaciones históricamente discriminadas</t>
  </si>
  <si>
    <t xml:space="preserve">No de sesiones descentralizadas realizadas </t>
  </si>
  <si>
    <t xml:space="preserve"> $1,000,000 </t>
  </si>
  <si>
    <t xml:space="preserve">Verificación de acciones tendientes a la promoción de los derechos humanos, la paz en los planes de acciónde las políticas públicas </t>
  </si>
  <si>
    <t>100% de los planes revisados, verificados y retroalimentados</t>
  </si>
  <si>
    <t>Actas, listados de asistencia, planes de acción, oficios</t>
  </si>
  <si>
    <t>Entidades Responsables: Oficina de Paz, Secretaría de Gobierno</t>
  </si>
  <si>
    <t xml:space="preserve">Fortalecimiento de la infraestructura física, tecnológica, operativa y financiera, así como las capacidades del talento  humano de la Oficina de Paz, Reconciliación y Pos-conflicto </t>
  </si>
  <si>
    <t>Porcentaje de Recursos asignados</t>
  </si>
  <si>
    <t>Presupuesto final asignado</t>
  </si>
  <si>
    <t>Entidades Responsables: Secretaría de Hacienda, Planeación</t>
  </si>
  <si>
    <t xml:space="preserve">Rendición de cuentas de la implementación de la política pública integral de DDHH, paz y reconciliación </t>
  </si>
  <si>
    <t>Nº de rendiciones e cuentas de la implementación de la política pública integral de DDHH, paz y reconciliación</t>
  </si>
  <si>
    <t>Entidades Responsables: Secretaría de Gobierno y Oficina de Paz, Reconciliación y Posconflicto</t>
  </si>
  <si>
    <t xml:space="preserve"> $           44.077.200 </t>
  </si>
  <si>
    <t xml:space="preserve"> $         44.077.200 </t>
  </si>
  <si>
    <t>Seguimiento a la implementación territorial del acuerdo de Paz</t>
  </si>
  <si>
    <t xml:space="preserve"> $             4.072.000 </t>
  </si>
  <si>
    <t>Implementación de proyectos de construcción de paz que vincule a personas en proceso de reintegración y víctimas del conflicto</t>
  </si>
  <si>
    <t>Número de proyectos implementados</t>
  </si>
  <si>
    <t>Entidad Responsable: Secretaría de Desarrollo Social y Político, Oficina de Paz, Secretaría de Gobierno</t>
  </si>
  <si>
    <t>Entidad Concurrentes: Organizaciones sociales y/o entidades estatales del orden nacional</t>
  </si>
  <si>
    <t xml:space="preserve"> $                           -   </t>
  </si>
  <si>
    <t>Implementación de la Estrategia Comunicativa de resultados del proceso de implementación de la política pública de D.H y Paz</t>
  </si>
  <si>
    <t>Número de publicaciones realizadas</t>
  </si>
  <si>
    <t>Publicación</t>
  </si>
  <si>
    <t>Consolidación del Informe de Seguimiento Anual de la Política Pública Integral de derechos Humanos y Paz</t>
  </si>
  <si>
    <t>Número de informes realizados</t>
  </si>
  <si>
    <t>Informe de seguimiento consolidado</t>
  </si>
  <si>
    <t>Entidad Responsable: Secretaría de Planeación</t>
  </si>
  <si>
    <t xml:space="preserve"> $           45.600.000 </t>
  </si>
  <si>
    <t xml:space="preserve"> $         45.600.000 </t>
  </si>
  <si>
    <t>Evaluación de la Política Pública Integral de Derechos Humanos y Paz</t>
  </si>
  <si>
    <t>Número de evaluaciones realizadas</t>
  </si>
  <si>
    <t>Documento de la Política evaluado</t>
  </si>
  <si>
    <t>Ajuste de la Política Pública Integral de derechos humanos y paz</t>
  </si>
  <si>
    <t>Porcentaje del ajuste de la Política Pública realizado</t>
  </si>
  <si>
    <t>Documento de la Política ajustado</t>
  </si>
  <si>
    <t>Entidades Responsables: Secretaría de Gobierno, Oficina de Paz, Reconciliación y Posconflicto, Secretaría de Planeación</t>
  </si>
  <si>
    <t>Seguimiento del plan integral de prevención y protección en derechos humanos, vida, libertad, integridad, seguridad personal e infracciones al derecho internacional humanitario, ley 1448 de 2011</t>
  </si>
  <si>
    <t>Número de seguimientos al Plan de Prevención realizados</t>
  </si>
  <si>
    <t xml:space="preserve"> $             5.500.000 </t>
  </si>
  <si>
    <t xml:space="preserve"> $           5.500.000 </t>
  </si>
  <si>
    <t>Estrategia comunicativa para la promoción de los derechos humanos, la paz y la reconciliación, con énfasis en el fortalecimiento institucional</t>
  </si>
  <si>
    <t>Documento de la estrategia, piezas comunicativas diseñadas, evidencia fotográfica, listados de asistencia</t>
  </si>
  <si>
    <t>Entidades Responsables: Oficina de comunicaciones, Secretaría Administrativa, Oficina de Paz</t>
  </si>
  <si>
    <t>Estrategia pedagógica de aprendizajevirtual para la promoción de los derechos humanos, la paz y la reconciliación, con énfasis en el fortalecimiento institucional</t>
  </si>
  <si>
    <t>Porcentaje de la estrategia pedagógica implementada</t>
  </si>
  <si>
    <t>EntidadesResponsables: Oficina de comunicaciones, Secretaría Administrativa, Oficina de Paz</t>
  </si>
  <si>
    <t>Mejorar la percepción en un20% frente al goce efectivo de derechos, la paz y la reconciliación</t>
  </si>
  <si>
    <t>CLA-LE1-A1</t>
  </si>
  <si>
    <t>CLA-LE1-A2</t>
  </si>
  <si>
    <t>CLA-LE1-A3</t>
  </si>
  <si>
    <t>CLA-LE1-A4</t>
  </si>
  <si>
    <t>CLA-LE1-A5</t>
  </si>
  <si>
    <t>CLA-LE1-A6</t>
  </si>
  <si>
    <t>CLA-LE2-A1</t>
  </si>
  <si>
    <t>CLA-LE2-A2</t>
  </si>
  <si>
    <t>CLA-LE2-A3</t>
  </si>
  <si>
    <t>CLA-LE2-A4</t>
  </si>
  <si>
    <t>CLA-LE2-A5</t>
  </si>
  <si>
    <t>CLA-LE2-A6</t>
  </si>
  <si>
    <t>CLA-LE3-A1</t>
  </si>
  <si>
    <t>CLA-LE3-A2</t>
  </si>
  <si>
    <t>CLA-LE3-A3</t>
  </si>
  <si>
    <t>CLA-LE3-A4</t>
  </si>
  <si>
    <t>CLA-LE3-A5</t>
  </si>
  <si>
    <t>CLA-LE3-A6</t>
  </si>
  <si>
    <t>CLA-LE3-A7</t>
  </si>
  <si>
    <t>CLA-LE3-A8</t>
  </si>
  <si>
    <t>CLA-LE3-A9</t>
  </si>
  <si>
    <t>CLA-LE3-A10</t>
  </si>
  <si>
    <t>CLA-LE3-A11</t>
  </si>
  <si>
    <t>CLA-LE3-A12</t>
  </si>
  <si>
    <t>CLA-LE3-A13</t>
  </si>
  <si>
    <t>CLA-LE3-A14</t>
  </si>
  <si>
    <t>CLA-LE3-A15</t>
  </si>
  <si>
    <t>CLA-LE3-A16</t>
  </si>
  <si>
    <t>CLA-LE3-A17</t>
  </si>
  <si>
    <t>CLA-LE3-A18</t>
  </si>
  <si>
    <t>PI-CA1-A1</t>
  </si>
  <si>
    <t>PI-CA1-A2</t>
  </si>
  <si>
    <t>PI-CA1-A3</t>
  </si>
  <si>
    <t>PI-CA1-A4</t>
  </si>
  <si>
    <t>PI-CA1-A5</t>
  </si>
  <si>
    <t>PI-CA1-A6</t>
  </si>
  <si>
    <t>PI-CA1-A7</t>
  </si>
  <si>
    <t>PI-CA1-A8</t>
  </si>
  <si>
    <t>PI-CA1-A9</t>
  </si>
  <si>
    <t>PI-CA1-A10</t>
  </si>
  <si>
    <t>PI-CA1-A11</t>
  </si>
  <si>
    <t>PI-CA2-A1</t>
  </si>
  <si>
    <t>PI-CA2-A2</t>
  </si>
  <si>
    <t>PI-CA2-A3</t>
  </si>
  <si>
    <t>PI-CA2-A4</t>
  </si>
  <si>
    <t>PI-CA2-A5</t>
  </si>
  <si>
    <t>PI-CA2-A6</t>
  </si>
  <si>
    <t>PI-CA2-A7</t>
  </si>
  <si>
    <t>PI-CA2-A8</t>
  </si>
  <si>
    <t>PI-CA2-A9</t>
  </si>
  <si>
    <t>PI-CA2-A10</t>
  </si>
  <si>
    <t>PI-CA2-A11</t>
  </si>
  <si>
    <t>PI-CA2-A12</t>
  </si>
  <si>
    <t>PI-CA2-A13</t>
  </si>
  <si>
    <t>PI-CA2-A14</t>
  </si>
  <si>
    <t>PI-CA2-A15</t>
  </si>
  <si>
    <t>PI-CA3-A1</t>
  </si>
  <si>
    <t>PI-CA3-A2</t>
  </si>
  <si>
    <t>PI-CA4-A1</t>
  </si>
  <si>
    <t>PI-CA4-A2</t>
  </si>
  <si>
    <t>PI-CA4-A3</t>
  </si>
  <si>
    <t>PI-CA4-A4</t>
  </si>
  <si>
    <t>PI-CA4-A5</t>
  </si>
  <si>
    <t>PI-CA4-A6</t>
  </si>
  <si>
    <t>PI-CA4-A7</t>
  </si>
  <si>
    <t>PI-CA4-A8</t>
  </si>
  <si>
    <t>PI-CA5-A1</t>
  </si>
  <si>
    <t>PV-CO1-A1</t>
  </si>
  <si>
    <t>PV-CO1-A2</t>
  </si>
  <si>
    <t>PV-CO1-A3</t>
  </si>
  <si>
    <t>PV-CO1-A4</t>
  </si>
  <si>
    <t>PV-CO1-A5</t>
  </si>
  <si>
    <t>PV-CO1-A6</t>
  </si>
  <si>
    <t>PV-CO1-A7</t>
  </si>
  <si>
    <t>PV-CO2-A1</t>
  </si>
  <si>
    <t>PV-CO3-A1</t>
  </si>
  <si>
    <t>PV-CO3-A2</t>
  </si>
  <si>
    <t>PV-CO3-A3</t>
  </si>
  <si>
    <t>PV-CO3-A4</t>
  </si>
  <si>
    <t>PV-CO3-A5</t>
  </si>
  <si>
    <t>PV-CO3-A6</t>
  </si>
  <si>
    <t>PV-CO3-A7</t>
  </si>
  <si>
    <t>PV-CO3-A8</t>
  </si>
  <si>
    <t>PV-CO3-A9</t>
  </si>
  <si>
    <t>PV-CO3-A10</t>
  </si>
  <si>
    <t>PV-CO3-A11</t>
  </si>
  <si>
    <t>PV-CO3-A12</t>
  </si>
  <si>
    <t>PV-CO3-A13</t>
  </si>
  <si>
    <t>PV-CO3-A14</t>
  </si>
  <si>
    <t>PV-CO3-A15</t>
  </si>
  <si>
    <t>PV-CO3-A16</t>
  </si>
  <si>
    <t>PV-CO3-A17</t>
  </si>
  <si>
    <t>PV-CO3-A18</t>
  </si>
  <si>
    <t>PV-CO3-A19</t>
  </si>
  <si>
    <t>PV-CO3-A20</t>
  </si>
  <si>
    <t>PV-CO3-A21</t>
  </si>
  <si>
    <t>PV-CO3-A22</t>
  </si>
  <si>
    <t>PV-CO3-A23</t>
  </si>
  <si>
    <t>PV-CO3-A24</t>
  </si>
  <si>
    <t>PV-CO3-A25</t>
  </si>
  <si>
    <t>PV-CO3-A26</t>
  </si>
  <si>
    <t>PV-CO3-A27</t>
  </si>
  <si>
    <t>PV-CO3-A28</t>
  </si>
  <si>
    <t>PV-CO3-A29</t>
  </si>
  <si>
    <t>PV-CO3-A30</t>
  </si>
  <si>
    <t>PV-CO3-A31</t>
  </si>
  <si>
    <t>PV-CO3-A32</t>
  </si>
  <si>
    <t>PV-CO3-A33</t>
  </si>
  <si>
    <t>PV-CO3-A34</t>
  </si>
  <si>
    <t>PV-CO3-A35</t>
  </si>
  <si>
    <t>PV-CO3-A36</t>
  </si>
  <si>
    <t>PV-CO3-A37</t>
  </si>
  <si>
    <t>PV-CO3-A38</t>
  </si>
  <si>
    <t>PV-CO3-A39</t>
  </si>
  <si>
    <t>PV-CO3-A40</t>
  </si>
  <si>
    <t>PV-CO3-A41</t>
  </si>
  <si>
    <t>PV-CO3-A42</t>
  </si>
  <si>
    <t>PV-CO3-A43</t>
  </si>
  <si>
    <t>PV-CO3-A44</t>
  </si>
  <si>
    <t>PV-CO3-A45</t>
  </si>
  <si>
    <t>PV-CO4-A1</t>
  </si>
  <si>
    <t>PV-CO5-A1</t>
  </si>
  <si>
    <t>PV-CO5-A2</t>
  </si>
  <si>
    <t>PV-CO5-A3</t>
  </si>
  <si>
    <t>PV-CO5-A4</t>
  </si>
  <si>
    <t>PV-CO5-A5</t>
  </si>
  <si>
    <t>PV-CO5-A6</t>
  </si>
  <si>
    <t>PV-CO5-A7</t>
  </si>
  <si>
    <t>PV-CO5-A8</t>
  </si>
  <si>
    <t>PV-CO5-A9</t>
  </si>
  <si>
    <t>PV-CO5-A10</t>
  </si>
  <si>
    <t>PV-CO5-A11</t>
  </si>
  <si>
    <t>PV-CO5-A12</t>
  </si>
  <si>
    <t>PV-CO5-A13</t>
  </si>
  <si>
    <t>PV-CO5-A14</t>
  </si>
  <si>
    <t>PV-CO5-A15</t>
  </si>
  <si>
    <t>PV-CO5-A16</t>
  </si>
  <si>
    <t>PV-CO6-A1</t>
  </si>
  <si>
    <t>PV-CO6-A2</t>
  </si>
  <si>
    <t>PV-CO6-A3</t>
  </si>
  <si>
    <t>PV-CO6-A4</t>
  </si>
  <si>
    <t>PV-CO6-A5</t>
  </si>
  <si>
    <t>PV-CO6-A6</t>
  </si>
  <si>
    <t>PV-CO6-A7</t>
  </si>
  <si>
    <t>PV-CO6-A8</t>
  </si>
  <si>
    <t>PV-CO6-A9</t>
  </si>
  <si>
    <t>PV-CO6-A10</t>
  </si>
  <si>
    <t>PV-CO6-A11</t>
  </si>
  <si>
    <t>PV-CO6-A12</t>
  </si>
  <si>
    <t>PV-CO6-A13</t>
  </si>
  <si>
    <t>SS-LI1-A1</t>
  </si>
  <si>
    <t>SS-LI1-A2</t>
  </si>
  <si>
    <t>SS-LI1-A3</t>
  </si>
  <si>
    <t>SS-LI1-A4</t>
  </si>
  <si>
    <t>SS-LI1-A5</t>
  </si>
  <si>
    <t>SS-LI1-A6</t>
  </si>
  <si>
    <t>SS-LI1-A7</t>
  </si>
  <si>
    <t>SS-LI1-A8</t>
  </si>
  <si>
    <t>SS-LI1-A9</t>
  </si>
  <si>
    <t>SS-LI1-A10</t>
  </si>
  <si>
    <t>SS-LI1-A11</t>
  </si>
  <si>
    <t>SS-LI1-A12</t>
  </si>
  <si>
    <t>SS-LI1-A13</t>
  </si>
  <si>
    <t>SS-LI1-A14</t>
  </si>
  <si>
    <t>SS-LI1-A15</t>
  </si>
  <si>
    <t>SS-LI1-A16</t>
  </si>
  <si>
    <t>SS-LI1-A17</t>
  </si>
  <si>
    <t>SS-LI1-A18</t>
  </si>
  <si>
    <t>SS-LI1-A19</t>
  </si>
  <si>
    <t>SS-LI1-A20</t>
  </si>
  <si>
    <t>SS-LI1-A21</t>
  </si>
  <si>
    <t>SS-LI2-A1</t>
  </si>
  <si>
    <t>SS-LI2-A2</t>
  </si>
  <si>
    <t>SS-LI2-A3</t>
  </si>
  <si>
    <t>SS-LI2-A4</t>
  </si>
  <si>
    <t>SS-LI2-A5</t>
  </si>
  <si>
    <t>SS-LI2-A6</t>
  </si>
  <si>
    <t>SS-LI2-A7</t>
  </si>
  <si>
    <t>SS-LI2-A8</t>
  </si>
  <si>
    <t>SS-LI2-A9</t>
  </si>
  <si>
    <t>SS-LI2-A10</t>
  </si>
  <si>
    <t>SS-LI2-A11</t>
  </si>
  <si>
    <t>SS-LI2-A12</t>
  </si>
  <si>
    <t>SS-LI2-A13</t>
  </si>
  <si>
    <t>SS-LI2-A14</t>
  </si>
  <si>
    <t>SS-LI3-A1</t>
  </si>
  <si>
    <t>SS-LI3-A2</t>
  </si>
  <si>
    <t>SS-LI3-A3</t>
  </si>
  <si>
    <t>SS-LI3-A4</t>
  </si>
  <si>
    <t>SS-LI3-A5</t>
  </si>
  <si>
    <t>SS-LI3-A6</t>
  </si>
  <si>
    <t>SS-LI3-A7</t>
  </si>
  <si>
    <t>SS-LI3-A8</t>
  </si>
  <si>
    <t>SS-LI3-A9</t>
  </si>
  <si>
    <t>SS-LI3-A10</t>
  </si>
  <si>
    <t>SS-LI3-A11</t>
  </si>
  <si>
    <t>SS-LI3-A12</t>
  </si>
  <si>
    <t>SS-LI3-A13</t>
  </si>
  <si>
    <t>SS-LI4-A1</t>
  </si>
  <si>
    <t>SS-LI4-A2</t>
  </si>
  <si>
    <t>SS-LI4-A3</t>
  </si>
  <si>
    <t>SS-LI4-A4</t>
  </si>
  <si>
    <t>SS-LI4-A5</t>
  </si>
  <si>
    <t>SS-LI4-A6</t>
  </si>
  <si>
    <t>SS-LI4-A7</t>
  </si>
  <si>
    <t>SS-LI4-A8</t>
  </si>
  <si>
    <t>SS-LI4-A9</t>
  </si>
  <si>
    <t>SS-LI4-A10</t>
  </si>
  <si>
    <t>SS-LI4-A11</t>
  </si>
  <si>
    <t>SS-LI5-A1</t>
  </si>
  <si>
    <t>SS-LI5-A2</t>
  </si>
  <si>
    <t>SS-LI5-A3</t>
  </si>
  <si>
    <t>SS-LI5-A4</t>
  </si>
  <si>
    <t>SS-LI5-A5</t>
  </si>
  <si>
    <t>SS-LI5-A6</t>
  </si>
  <si>
    <t>SS-LI5-A7</t>
  </si>
  <si>
    <t>SS-LI5-A8</t>
  </si>
  <si>
    <t>SS-LI5-A9</t>
  </si>
  <si>
    <t>SS-LI5-A10</t>
  </si>
  <si>
    <t>SS-LI5-A11</t>
  </si>
  <si>
    <t>SS-LI5-A12</t>
  </si>
  <si>
    <t>SS-LI5-A13</t>
  </si>
  <si>
    <t>SS-LI5-A14</t>
  </si>
  <si>
    <t>SS-LI5-A15</t>
  </si>
  <si>
    <t>SS-LI5-A16</t>
  </si>
  <si>
    <t>SS-LI5-A17</t>
  </si>
  <si>
    <t>SS-LI6-A1</t>
  </si>
  <si>
    <t>SS-LI6-A2</t>
  </si>
  <si>
    <t>SS-LI6-A3</t>
  </si>
  <si>
    <t>SS-LI6-A4</t>
  </si>
  <si>
    <t>SS-LI6-A5</t>
  </si>
  <si>
    <t>SS-LI6-A6</t>
  </si>
  <si>
    <t>SS-LI6-A7</t>
  </si>
  <si>
    <t>SS-LI6-A8</t>
  </si>
  <si>
    <t>SS-LI6-A9</t>
  </si>
  <si>
    <t>SS-LI6-A10</t>
  </si>
  <si>
    <t>SS-LI6-A11</t>
  </si>
  <si>
    <t>SS-LI6-A12</t>
  </si>
  <si>
    <t>SS-LI6-A13</t>
  </si>
  <si>
    <t>SS-LI6-A14</t>
  </si>
  <si>
    <t>SS-LI6-A15</t>
  </si>
  <si>
    <t>SS-LI7-A1</t>
  </si>
  <si>
    <t>SS-LI7-A2</t>
  </si>
  <si>
    <t>SS-LI7-A3</t>
  </si>
  <si>
    <t>SS-LI7-A4</t>
  </si>
  <si>
    <t>SS-LI7-A5</t>
  </si>
  <si>
    <t>SS-LI7-A6</t>
  </si>
  <si>
    <t>SS-LI7-A7</t>
  </si>
  <si>
    <t>JU-OB1-A1</t>
  </si>
  <si>
    <t>JU-OB1-A2</t>
  </si>
  <si>
    <t>JU-OB1-A3</t>
  </si>
  <si>
    <t>JU-OB1-A4</t>
  </si>
  <si>
    <t>JU-OB1-A5</t>
  </si>
  <si>
    <t>JU-OB1-A6</t>
  </si>
  <si>
    <t>JU-OB1-A7</t>
  </si>
  <si>
    <t>JU-OB1-A8</t>
  </si>
  <si>
    <t>JU-OB1-A9</t>
  </si>
  <si>
    <t>JU-OB1-A10</t>
  </si>
  <si>
    <t>JU-OB1-A11</t>
  </si>
  <si>
    <t>JU-OB1-A12</t>
  </si>
  <si>
    <t>JU-OB1-A13</t>
  </si>
  <si>
    <t>JU-OB1-A14</t>
  </si>
  <si>
    <t>JU-OB1-A15</t>
  </si>
  <si>
    <t>JU-OB1-A16</t>
  </si>
  <si>
    <t>JU-OB1-A17</t>
  </si>
  <si>
    <t>JU-OB1-A18</t>
  </si>
  <si>
    <t>JU-OB2-A1</t>
  </si>
  <si>
    <t>JU-OB2-A2</t>
  </si>
  <si>
    <t>JU-OB2-A3</t>
  </si>
  <si>
    <t>JU-OB2-A4</t>
  </si>
  <si>
    <t>JU-OB2-A5</t>
  </si>
  <si>
    <t>JU-OB2-A6</t>
  </si>
  <si>
    <t>JU-OB2-A7</t>
  </si>
  <si>
    <t>JU-OB2-A8</t>
  </si>
  <si>
    <t>JU-OB2-A9</t>
  </si>
  <si>
    <t>JU-OB2-A10</t>
  </si>
  <si>
    <t>JU-OB2-A11</t>
  </si>
  <si>
    <t>JU-OB2-A12</t>
  </si>
  <si>
    <t>JU-OB2-A13</t>
  </si>
  <si>
    <t>JU-OB2-A14</t>
  </si>
  <si>
    <t>JU-OB2-A15</t>
  </si>
  <si>
    <t>JU-OB2-A16</t>
  </si>
  <si>
    <t>JU-OB2-A17</t>
  </si>
  <si>
    <t>JU-OB2-A18</t>
  </si>
  <si>
    <t>JU-OB2-A19</t>
  </si>
  <si>
    <t>JU-OB2-A20</t>
  </si>
  <si>
    <t>JU-OB2-A21</t>
  </si>
  <si>
    <t>JU-OB2-A22</t>
  </si>
  <si>
    <t>JU-OB2-A23</t>
  </si>
  <si>
    <t>JU-OB2-A24</t>
  </si>
  <si>
    <t>JU-OB2-A25</t>
  </si>
  <si>
    <t>JU-OB2-A26</t>
  </si>
  <si>
    <t>JU-OB2-A27</t>
  </si>
  <si>
    <t>JU-OB2-A28</t>
  </si>
  <si>
    <t>JU-OB3-A1</t>
  </si>
  <si>
    <t>JU-OB3-A2</t>
  </si>
  <si>
    <t>JU-OB3-A3</t>
  </si>
  <si>
    <t>JU-OB3-A4</t>
  </si>
  <si>
    <t>JU-OB3-A5</t>
  </si>
  <si>
    <t>JU-OB3-A6</t>
  </si>
  <si>
    <t>JU-OB3-A7</t>
  </si>
  <si>
    <t>JU-OB3-A8</t>
  </si>
  <si>
    <t>JU-OB3-A9</t>
  </si>
  <si>
    <t>JU-OB3-A10</t>
  </si>
  <si>
    <t>JU-OB4-A1</t>
  </si>
  <si>
    <t>JU-OB4-A2</t>
  </si>
  <si>
    <t>JU-OB4-A3</t>
  </si>
  <si>
    <t>IN-OB1-A1</t>
  </si>
  <si>
    <t>IN-OB1-A2</t>
  </si>
  <si>
    <t>IN-OB1-A3</t>
  </si>
  <si>
    <t>IN-OB2-A1</t>
  </si>
  <si>
    <t>IN-OB2-A2</t>
  </si>
  <si>
    <t>IN-OB2-A3</t>
  </si>
  <si>
    <t>IN-OB2-A4</t>
  </si>
  <si>
    <t>IN-OB2-A5</t>
  </si>
  <si>
    <t>IN-OB3-A1</t>
  </si>
  <si>
    <t>IN-OB3-A2</t>
  </si>
  <si>
    <t>IN-OB3-A3</t>
  </si>
  <si>
    <t>IN-OB3-A4</t>
  </si>
  <si>
    <t>IN-OB3-A5</t>
  </si>
  <si>
    <t>IN-OB3-A6</t>
  </si>
  <si>
    <t>IN-OB3-A7</t>
  </si>
  <si>
    <t>IN-OB3-A8</t>
  </si>
  <si>
    <t>IN-OB4-A1</t>
  </si>
  <si>
    <t>IN-OB4-A2</t>
  </si>
  <si>
    <t>IN-OB4-A3</t>
  </si>
  <si>
    <t>IN-OB4-A4</t>
  </si>
  <si>
    <t>IN-OB4-A5</t>
  </si>
  <si>
    <t>IN-OB4-A6</t>
  </si>
  <si>
    <t>IN-OB4-A7</t>
  </si>
  <si>
    <t>IN-OB4-A8</t>
  </si>
  <si>
    <t>IN-OB4-A9</t>
  </si>
  <si>
    <t>IN-OB4-A10</t>
  </si>
  <si>
    <t>IN-OB5-A1</t>
  </si>
  <si>
    <t>IN-OB5-A2</t>
  </si>
  <si>
    <t>IN-OB5-A3</t>
  </si>
  <si>
    <t>IN-OB5-A4</t>
  </si>
  <si>
    <t>IN-OB5-A5</t>
  </si>
  <si>
    <t>IN-OB5-A6</t>
  </si>
  <si>
    <t>IN-OB5-A7</t>
  </si>
  <si>
    <t>IN-OB5-A8</t>
  </si>
  <si>
    <t>IN-OB5-A9</t>
  </si>
  <si>
    <t>IN-OB5-A10</t>
  </si>
  <si>
    <t>IN-OB6-A1</t>
  </si>
  <si>
    <t>IN-OB6-A2</t>
  </si>
  <si>
    <t>IN-OB6-A3</t>
  </si>
  <si>
    <t>IN-OB6-A4</t>
  </si>
  <si>
    <t>IN-OB7-A1</t>
  </si>
  <si>
    <t>IN-OB7-A2</t>
  </si>
  <si>
    <t>IN-OB7-A3</t>
  </si>
  <si>
    <t>IN-OB7-A4</t>
  </si>
  <si>
    <t>IN-OB7-A5</t>
  </si>
  <si>
    <t>IN-OB7-A6</t>
  </si>
  <si>
    <t>IN-OB7-A7</t>
  </si>
  <si>
    <t>IN-OB7-A8</t>
  </si>
  <si>
    <t>IN-OB7-A9</t>
  </si>
  <si>
    <t>IN-OB7-A10</t>
  </si>
  <si>
    <t>IN-OB7-A11</t>
  </si>
  <si>
    <t>IN-OB7-A12</t>
  </si>
  <si>
    <t>IN-OB7-A13</t>
  </si>
  <si>
    <t>IN-OB7-A14</t>
  </si>
  <si>
    <t>IN-OB7-A15</t>
  </si>
  <si>
    <t>IN-OB7-A16</t>
  </si>
  <si>
    <t>IN-OB7-A17</t>
  </si>
  <si>
    <t>IN-OB7-A18</t>
  </si>
  <si>
    <t>IN-OB7-A19</t>
  </si>
  <si>
    <t>IN-OB7-A20</t>
  </si>
  <si>
    <t>IN-OB8-A1</t>
  </si>
  <si>
    <t>IN-OB8-A2</t>
  </si>
  <si>
    <t>IN-OB8-A3</t>
  </si>
  <si>
    <t>IN-OB8-A4</t>
  </si>
  <si>
    <t>IN-OB8-A5</t>
  </si>
  <si>
    <t>IN-OB8-A6</t>
  </si>
  <si>
    <t>IN-OB8-A7</t>
  </si>
  <si>
    <t>IN-OB8-A8</t>
  </si>
  <si>
    <t>IN-OB9-A1</t>
  </si>
  <si>
    <t>IN-OB9-A2</t>
  </si>
  <si>
    <t>DI-CA1-A1</t>
  </si>
  <si>
    <t>DI-CA1-A2</t>
  </si>
  <si>
    <t>DI-CA1-A3</t>
  </si>
  <si>
    <t>DI-CA1-A4</t>
  </si>
  <si>
    <t>DI-CA1-A5</t>
  </si>
  <si>
    <t>DI-CA1-A6</t>
  </si>
  <si>
    <t>DI-CA1-A7</t>
  </si>
  <si>
    <t>DI-CA1-A8</t>
  </si>
  <si>
    <t>DI-CA1-A9</t>
  </si>
  <si>
    <t>DI-CA1-A10</t>
  </si>
  <si>
    <t>DI-CA1-A11</t>
  </si>
  <si>
    <t>DI-CA1-A12</t>
  </si>
  <si>
    <t>DI-CA1-A13</t>
  </si>
  <si>
    <t>DI-CA1-A14</t>
  </si>
  <si>
    <t>DI-CA1-A15</t>
  </si>
  <si>
    <t>DI-CA1-A16</t>
  </si>
  <si>
    <t>DI-CA1-A17</t>
  </si>
  <si>
    <t>DI-CA2-A1</t>
  </si>
  <si>
    <t>DI-CA2-A2</t>
  </si>
  <si>
    <t>DI-CA2-A3</t>
  </si>
  <si>
    <t>DI-CA2-A4</t>
  </si>
  <si>
    <t>DI-CA2-A5</t>
  </si>
  <si>
    <t>DI-CA2-A6</t>
  </si>
  <si>
    <t>DI-CA2-A7</t>
  </si>
  <si>
    <t>DI-CA2-A8</t>
  </si>
  <si>
    <t>DI-CA2-A9</t>
  </si>
  <si>
    <t>DI-CA2-A10</t>
  </si>
  <si>
    <t>DI-CA2-A11</t>
  </si>
  <si>
    <t>DI-CA2-A12</t>
  </si>
  <si>
    <t>DI-CA2-A13</t>
  </si>
  <si>
    <t>DI-CA2-A14</t>
  </si>
  <si>
    <t>DI-CA2-A15</t>
  </si>
  <si>
    <t>DI-CA2-A16</t>
  </si>
  <si>
    <t>DI-CA2-A17</t>
  </si>
  <si>
    <t>DI-CA2-A18</t>
  </si>
  <si>
    <t>DI-CA2-A19</t>
  </si>
  <si>
    <t>DI-CA2-A20</t>
  </si>
  <si>
    <t>DI-CA2-A21</t>
  </si>
  <si>
    <t>DI-CA2-A22</t>
  </si>
  <si>
    <t>DI-CA2-A23</t>
  </si>
  <si>
    <t>DI-CA2-A24</t>
  </si>
  <si>
    <t>DI-CA3-A1</t>
  </si>
  <si>
    <t>DI-CA3-A2</t>
  </si>
  <si>
    <t>DI-CA3-A3</t>
  </si>
  <si>
    <t>DI-CA3-A4</t>
  </si>
  <si>
    <t>DI-CA3-A5</t>
  </si>
  <si>
    <t>DI-CA3-A6</t>
  </si>
  <si>
    <t>DI-CA3-A7</t>
  </si>
  <si>
    <t>DI-CA3-A8</t>
  </si>
  <si>
    <t>DI-CA3-A9</t>
  </si>
  <si>
    <t>DI-CA3-A10</t>
  </si>
  <si>
    <t>DI-CA3-A11</t>
  </si>
  <si>
    <t>DI-CA3-A12</t>
  </si>
  <si>
    <t>DI-CA3-A13</t>
  </si>
  <si>
    <t>DI-CA3-A14</t>
  </si>
  <si>
    <t>DI-CA3-A15</t>
  </si>
  <si>
    <t>DI-CA3-A16</t>
  </si>
  <si>
    <t>DI-CA3-A17</t>
  </si>
  <si>
    <t>DI-CA4-A1</t>
  </si>
  <si>
    <t>DI-CA4-A2</t>
  </si>
  <si>
    <t>DI-CA4-A3</t>
  </si>
  <si>
    <t>DI-CA4-A4</t>
  </si>
  <si>
    <t>DI-CA4-A5</t>
  </si>
  <si>
    <t>DI-CA4-A6</t>
  </si>
  <si>
    <t>DI-CA4-A7</t>
  </si>
  <si>
    <t>DI-CA4-A8</t>
  </si>
  <si>
    <t>DI-CA4-A9</t>
  </si>
  <si>
    <t>DI-CA5-A1</t>
  </si>
  <si>
    <t>DI-CA5-A2</t>
  </si>
  <si>
    <t>DI-CA5-A3</t>
  </si>
  <si>
    <t>DI-CA5-A4</t>
  </si>
  <si>
    <t>DI-CA5-A5</t>
  </si>
  <si>
    <t>DI-CA6-A1</t>
  </si>
  <si>
    <t>DI-CA6-A2</t>
  </si>
  <si>
    <t>DI-CA6-A3</t>
  </si>
  <si>
    <t>DI-CA6-A4</t>
  </si>
  <si>
    <t>DI-CA6-A5</t>
  </si>
  <si>
    <t>DI-CA6-A6</t>
  </si>
  <si>
    <t>DI-CA6-A7</t>
  </si>
  <si>
    <t>DI-CA6-A8</t>
  </si>
  <si>
    <t>DI-CA6-A9</t>
  </si>
  <si>
    <t>DI-CA6-A10</t>
  </si>
  <si>
    <t>DI-CA6-A11</t>
  </si>
  <si>
    <t>DI-CA6-A12</t>
  </si>
  <si>
    <t>DI-CA6-A13</t>
  </si>
  <si>
    <t>DI-CA6-A14</t>
  </si>
  <si>
    <t>DI-CA6-A15</t>
  </si>
  <si>
    <t>DI-CA7-A1</t>
  </si>
  <si>
    <t>DI-CA7-A2</t>
  </si>
  <si>
    <t>DI-CA7-A3</t>
  </si>
  <si>
    <t>DI-CA7-A4</t>
  </si>
  <si>
    <t>DI-CA7-A5</t>
  </si>
  <si>
    <t>DI-CA7-A6</t>
  </si>
  <si>
    <t>DI-CA7-A7</t>
  </si>
  <si>
    <t>DI-CA7-A8</t>
  </si>
  <si>
    <t>DI-CA7-A9</t>
  </si>
  <si>
    <t>DI-CA7-A10</t>
  </si>
  <si>
    <t>DI-CA7-A11</t>
  </si>
  <si>
    <t>DI-CA7-A12</t>
  </si>
  <si>
    <t>DI-CA7-A13</t>
  </si>
  <si>
    <t>DI-CA7-A14</t>
  </si>
  <si>
    <t>DI-CA7-A15</t>
  </si>
  <si>
    <t>DI-CA7-A16</t>
  </si>
  <si>
    <t>DI-CA7-A17</t>
  </si>
  <si>
    <t>DI-CA8-A1</t>
  </si>
  <si>
    <t>DI-CA8-A2</t>
  </si>
  <si>
    <t>DI-CA8-A3</t>
  </si>
  <si>
    <t>DI-CA8-A4</t>
  </si>
  <si>
    <t>DI-CA8-A5</t>
  </si>
  <si>
    <t>DI-CA8-A6</t>
  </si>
  <si>
    <t>DI-CA8-A7</t>
  </si>
  <si>
    <t>DI-CA8-A8</t>
  </si>
  <si>
    <t>DI-CA8-A9</t>
  </si>
  <si>
    <t>DI-CA8-A10</t>
  </si>
  <si>
    <t>DI-CA8-A11</t>
  </si>
  <si>
    <t>DI-CA8-A12</t>
  </si>
  <si>
    <t>DR-OE1-A1</t>
  </si>
  <si>
    <t>DR-OE1-A2</t>
  </si>
  <si>
    <t>DR-OE2-A1</t>
  </si>
  <si>
    <t>DR-OE2-A2</t>
  </si>
  <si>
    <t>DR-OE2-A3</t>
  </si>
  <si>
    <t>DR-OE2-A4</t>
  </si>
  <si>
    <t>DR-OE3-A1</t>
  </si>
  <si>
    <t>DR-OE3-A2</t>
  </si>
  <si>
    <t>DR-OE3-A3</t>
  </si>
  <si>
    <t>DR-OE3-A4</t>
  </si>
  <si>
    <t>DR-OE4-A1</t>
  </si>
  <si>
    <t>DR-OE4-A2</t>
  </si>
  <si>
    <t>DR-OE4-A3</t>
  </si>
  <si>
    <t>DR-OE4-A4</t>
  </si>
  <si>
    <t>DR-OE4-A5</t>
  </si>
  <si>
    <t>DR-OE5-A1</t>
  </si>
  <si>
    <t>DR-OE5-A2</t>
  </si>
  <si>
    <t>DR-OE6-A1</t>
  </si>
  <si>
    <t>DR-OE6-A2</t>
  </si>
  <si>
    <t>DR-OE6-A3</t>
  </si>
  <si>
    <t>DR-OE7-A1</t>
  </si>
  <si>
    <t>DR-OE7-A2</t>
  </si>
  <si>
    <t>DR-OE7-A3</t>
  </si>
  <si>
    <t>DR-OE8-A1</t>
  </si>
  <si>
    <t>DR-OE8-A2</t>
  </si>
  <si>
    <t>DR-OE8-A3</t>
  </si>
  <si>
    <t>DR-OE9-A1</t>
  </si>
  <si>
    <t>DR-OE9-A2</t>
  </si>
  <si>
    <t>DR-OE9-A3</t>
  </si>
  <si>
    <t>DR-OE9-A4</t>
  </si>
  <si>
    <t>DR-OE9-A5</t>
  </si>
  <si>
    <t>DR-OE9-A6</t>
  </si>
  <si>
    <t>DR-OE9-A7</t>
  </si>
  <si>
    <t>DR-OE9-A8</t>
  </si>
  <si>
    <t>DR-OE9-A9</t>
  </si>
  <si>
    <t>DR-OE9-A10</t>
  </si>
  <si>
    <t>DR-OE10-A1</t>
  </si>
  <si>
    <t>DR-OE10-A2</t>
  </si>
  <si>
    <t>DR-OE10-A3</t>
  </si>
  <si>
    <t>DR-OE11-A1</t>
  </si>
  <si>
    <t>DR-OE11-A2</t>
  </si>
  <si>
    <t>DR-OE11-A3</t>
  </si>
  <si>
    <t>DR-OE11-A4</t>
  </si>
  <si>
    <t>DR-OE11-A5</t>
  </si>
  <si>
    <t>DR-OE11-A6</t>
  </si>
  <si>
    <t>DR-OE12-A1</t>
  </si>
  <si>
    <t>DR-OE12-A2</t>
  </si>
  <si>
    <t>DR-OE12-A3</t>
  </si>
  <si>
    <t>DR-OE13-A1</t>
  </si>
  <si>
    <t>DR-OE14-A1</t>
  </si>
  <si>
    <t>DR-OE14-A2</t>
  </si>
  <si>
    <t>DR-OE14-A3</t>
  </si>
  <si>
    <t>DR-OE14-A4</t>
  </si>
  <si>
    <t>DR-OE15-A1</t>
  </si>
  <si>
    <t>DR-OE15-A2</t>
  </si>
  <si>
    <t>DR-OE15-A3</t>
  </si>
  <si>
    <t>DR-OE16-A1</t>
  </si>
  <si>
    <t>DR-OE16-A2</t>
  </si>
  <si>
    <t>DR-OE16-A3</t>
  </si>
  <si>
    <t>DR-OE16-A4</t>
  </si>
  <si>
    <t>DR-OE16-A5</t>
  </si>
  <si>
    <t>DR-OE16-A6</t>
  </si>
  <si>
    <t>DR-OE16-A7</t>
  </si>
  <si>
    <t>DR-OE17-A1</t>
  </si>
  <si>
    <t>DR-OE17-A2</t>
  </si>
  <si>
    <t>DR-OE17-A3</t>
  </si>
  <si>
    <t>DR-OE18-A1</t>
  </si>
  <si>
    <t>DR-OE18-A2</t>
  </si>
  <si>
    <t>DR-OE18-A3</t>
  </si>
  <si>
    <t>DR-OE18-A4</t>
  </si>
  <si>
    <t>DR-OE18-A5</t>
  </si>
  <si>
    <t>DR-OE18-A6</t>
  </si>
  <si>
    <t>DR-OE18-A7</t>
  </si>
  <si>
    <t>DR-OE18-A8</t>
  </si>
  <si>
    <t>DR-OE19-A1</t>
  </si>
  <si>
    <t>DR-OE19-A2</t>
  </si>
  <si>
    <t>DR-OE19-A3</t>
  </si>
  <si>
    <t>DR-OE19-A4</t>
  </si>
  <si>
    <t>DR-OE19-A5</t>
  </si>
  <si>
    <t>DR-OE19-A6</t>
  </si>
  <si>
    <t>DR-OE19-A7</t>
  </si>
  <si>
    <t>DR-OE19-A8</t>
  </si>
  <si>
    <t>DR-OE20-A1</t>
  </si>
  <si>
    <t>DR-OE20-A2</t>
  </si>
  <si>
    <t>DR-OE20-A3</t>
  </si>
  <si>
    <t>DR-OE20-A4</t>
  </si>
  <si>
    <t>DR-OE20-A5</t>
  </si>
  <si>
    <t>DR-OE20-A6</t>
  </si>
  <si>
    <t>DR-OE20-A7</t>
  </si>
  <si>
    <t>DR-OE20-A8</t>
  </si>
  <si>
    <t>DR-OE20-A9</t>
  </si>
  <si>
    <t>DR-OE20-A10</t>
  </si>
  <si>
    <t>DR-OE20-A11</t>
  </si>
  <si>
    <t>DR-OE20-A12</t>
  </si>
  <si>
    <t>DR-OE21-A1</t>
  </si>
  <si>
    <t>DR-OE21-A2</t>
  </si>
  <si>
    <t>DR-OE21-A3</t>
  </si>
  <si>
    <t>DR-OE21-A4</t>
  </si>
  <si>
    <t>DR-OE21-A5</t>
  </si>
  <si>
    <t>DR-OE21-A6</t>
  </si>
  <si>
    <t>DR-OE22-A1</t>
  </si>
  <si>
    <t>DR-OE22-A2</t>
  </si>
  <si>
    <t>DR-OE22-A3</t>
  </si>
  <si>
    <t>DR-OE22-A4</t>
  </si>
  <si>
    <t>DR-OE22-A5</t>
  </si>
  <si>
    <t>DR-OE22-A6</t>
  </si>
  <si>
    <t>DR-OE22-A7</t>
  </si>
  <si>
    <t>DR-OE22-A8</t>
  </si>
  <si>
    <t>DR-OE22-A9</t>
  </si>
  <si>
    <t>DR-OE22-A10</t>
  </si>
  <si>
    <t>DR-OE22-A11</t>
  </si>
  <si>
    <t>DR-OE22-A12</t>
  </si>
  <si>
    <t>DR-OE22-A13</t>
  </si>
  <si>
    <t>JA-OE1-A1</t>
  </si>
  <si>
    <t>JA-OE2-A2</t>
  </si>
  <si>
    <t>JA-OE2-A3</t>
  </si>
  <si>
    <t>JA-OE1-A2</t>
  </si>
  <si>
    <t>JA-OE1-A4</t>
  </si>
  <si>
    <t>JA-OE1-A5</t>
  </si>
  <si>
    <t>JA-OE1-A6</t>
  </si>
  <si>
    <t>JA-OE1-A7</t>
  </si>
  <si>
    <t>JA-OE1-A8</t>
  </si>
  <si>
    <t>JA-OE1-A9</t>
  </si>
  <si>
    <t>JA-OE1-A10</t>
  </si>
  <si>
    <t>JA-OE1-A11</t>
  </si>
  <si>
    <t>JA-OE1-A12</t>
  </si>
  <si>
    <t>JA-OE1-A13</t>
  </si>
  <si>
    <t>JA-OE1-A14</t>
  </si>
  <si>
    <t>JA-OE1-A15</t>
  </si>
  <si>
    <t>JA-OE1-A16</t>
  </si>
  <si>
    <t>JA-OE1-A17</t>
  </si>
  <si>
    <t>JA-OE1-A18</t>
  </si>
  <si>
    <t>JA-OE1-A19</t>
  </si>
  <si>
    <t>JA-OE1-A20</t>
  </si>
  <si>
    <t>JA-OE1-A21</t>
  </si>
  <si>
    <t>JA-OE1-A22</t>
  </si>
  <si>
    <t>JA-OE1-A23</t>
  </si>
  <si>
    <t>JA-OE1-A24</t>
  </si>
  <si>
    <t>JA-OE1-A25</t>
  </si>
  <si>
    <t>JA-OE2-A1</t>
  </si>
  <si>
    <t>JA-OE2-A4</t>
  </si>
  <si>
    <t>JA-OE2-A5</t>
  </si>
  <si>
    <t>JA-OE2-A6</t>
  </si>
  <si>
    <t>JA-OE3-A1</t>
  </si>
  <si>
    <t>JA-OE3-A2</t>
  </si>
  <si>
    <t>JA-OE3-A3</t>
  </si>
  <si>
    <t>JA-OE3-A4</t>
  </si>
  <si>
    <t>JA-OE3-A5</t>
  </si>
  <si>
    <t>JA-OE3-A6</t>
  </si>
  <si>
    <t>JA-OE3-A7</t>
  </si>
  <si>
    <t>JA-OE3-A8</t>
  </si>
  <si>
    <t>JA-OE3-A9</t>
  </si>
  <si>
    <t>JA-OE3-A10</t>
  </si>
  <si>
    <t>JA-OE3-A11</t>
  </si>
  <si>
    <t>JA-OE3-A12</t>
  </si>
  <si>
    <t>JA-OE3-A13</t>
  </si>
  <si>
    <t>JA-OE3-A14</t>
  </si>
  <si>
    <t>JA-OE3-A15</t>
  </si>
  <si>
    <t>JA-OE3-A16</t>
  </si>
  <si>
    <t>JA-OE3-A17</t>
  </si>
  <si>
    <t>JA-OE3-A18</t>
  </si>
  <si>
    <t>JA-OE3-A19</t>
  </si>
  <si>
    <t>JA-OE3-A20</t>
  </si>
  <si>
    <t>JA-OE3-A21</t>
  </si>
  <si>
    <t>JA-OE3-A22</t>
  </si>
  <si>
    <t>JA-OE3-A23</t>
  </si>
  <si>
    <t>JA-OE3-A24</t>
  </si>
  <si>
    <t>JA-OE3-A25</t>
  </si>
  <si>
    <t>JA-OE3-A26</t>
  </si>
  <si>
    <t>JA-OE3-A27</t>
  </si>
  <si>
    <t>JA-OE3-A28</t>
  </si>
  <si>
    <t>JA-OE3-A29</t>
  </si>
  <si>
    <t>JA-OE3-A30</t>
  </si>
  <si>
    <t>JA-OE3-A31</t>
  </si>
  <si>
    <t>JA-OE3-A32</t>
  </si>
  <si>
    <t>JA-OE3-A33</t>
  </si>
  <si>
    <t>JA-OE3-A34</t>
  </si>
  <si>
    <t>JA-OE3-A35</t>
  </si>
  <si>
    <t>JA-OE3-A36</t>
  </si>
  <si>
    <t>JA-OE3-A37</t>
  </si>
  <si>
    <t>JA-OE3-A38</t>
  </si>
  <si>
    <t>JA-OE3-A39</t>
  </si>
  <si>
    <t>JA-OE3-A40</t>
  </si>
  <si>
    <t>JA-OE3-A41</t>
  </si>
  <si>
    <t>SM-CO1-A1</t>
  </si>
  <si>
    <t>SM-CO1-A2</t>
  </si>
  <si>
    <t>SM-CO1-A3</t>
  </si>
  <si>
    <t>SM-CO1-A4</t>
  </si>
  <si>
    <t>SM-CO1-A5</t>
  </si>
  <si>
    <t>SM-CO1-A6</t>
  </si>
  <si>
    <t>SM-CO1-A7</t>
  </si>
  <si>
    <t>SM-CO2-A1</t>
  </si>
  <si>
    <t>SM-CO2-A2</t>
  </si>
  <si>
    <t>SM-CO2-A3</t>
  </si>
  <si>
    <t>SM-CO3-A1</t>
  </si>
  <si>
    <t>SM-CO3-A2</t>
  </si>
  <si>
    <t>SM-CO3-A3</t>
  </si>
  <si>
    <t>SM-CO3-A4</t>
  </si>
  <si>
    <t>SM-CO3-A5</t>
  </si>
  <si>
    <t>SM-CO3-A6</t>
  </si>
  <si>
    <t>SM-CO3-A7</t>
  </si>
  <si>
    <t>SM-CO3-A8</t>
  </si>
  <si>
    <t>SM-CO4-A1</t>
  </si>
  <si>
    <t>SM-CO4-A2</t>
  </si>
  <si>
    <t>SM-CO4-A3</t>
  </si>
  <si>
    <t>SM-CO4-A4</t>
  </si>
  <si>
    <t>SM-CO4-A5</t>
  </si>
  <si>
    <t>SM-CO4-A6</t>
  </si>
  <si>
    <t>SM-CO4-A7</t>
  </si>
  <si>
    <t>SM-CO4-A8</t>
  </si>
  <si>
    <t>SM-CO4-A9</t>
  </si>
  <si>
    <t>SM-CO4-A10</t>
  </si>
  <si>
    <t>SM-CO4-A11</t>
  </si>
  <si>
    <t>AM-EE1-A1</t>
  </si>
  <si>
    <t>AM-EE1-A2</t>
  </si>
  <si>
    <t>AM-EE1-A3</t>
  </si>
  <si>
    <t>AM-EE1-A4</t>
  </si>
  <si>
    <t>AM-EE1-A5</t>
  </si>
  <si>
    <t>AM-EE1-A6</t>
  </si>
  <si>
    <t>AM-EE1-A7</t>
  </si>
  <si>
    <t>AM-EE1-A8</t>
  </si>
  <si>
    <t>AM-EE1-A9</t>
  </si>
  <si>
    <t>AM-EE1-A10</t>
  </si>
  <si>
    <t>AM-EE1-A11</t>
  </si>
  <si>
    <t>AM-EE1-A12</t>
  </si>
  <si>
    <t>AM-EE1-A13</t>
  </si>
  <si>
    <t>AM-EE1-A14</t>
  </si>
  <si>
    <t>AM-EE2-A1</t>
  </si>
  <si>
    <t>AM-EE2-A2</t>
  </si>
  <si>
    <t>AM-EE2-A3</t>
  </si>
  <si>
    <t>AM-EE2-A4</t>
  </si>
  <si>
    <t>AM-EE2-A5</t>
  </si>
  <si>
    <t>AM-EE2-A6</t>
  </si>
  <si>
    <t>AM-EE2-A7</t>
  </si>
  <si>
    <t>AM-EE2-A8</t>
  </si>
  <si>
    <t>AM-EE2-A9</t>
  </si>
  <si>
    <t>AM-EE2-A10</t>
  </si>
  <si>
    <t>AM-EE3-A1</t>
  </si>
  <si>
    <t>AM-EE3-A2</t>
  </si>
  <si>
    <t>AM-EE3-A3</t>
  </si>
  <si>
    <t>AM-EE3-A4</t>
  </si>
  <si>
    <t>AM-EE3-A5</t>
  </si>
  <si>
    <t>AM-EE3-A6</t>
  </si>
  <si>
    <t>AM-EE3-A7</t>
  </si>
  <si>
    <t>AM-EE3-A8</t>
  </si>
  <si>
    <t>AM-EE3-A9</t>
  </si>
  <si>
    <t>AM-EE3-A10</t>
  </si>
  <si>
    <t>AM-EE3-A11</t>
  </si>
  <si>
    <t>AM-EE4-A1</t>
  </si>
  <si>
    <t>AM-EE4-A2</t>
  </si>
  <si>
    <t>AM-EE4-A3</t>
  </si>
  <si>
    <t>AM-EE4-A4</t>
  </si>
  <si>
    <t>AM-EE4-A5</t>
  </si>
  <si>
    <t>AM-EE4-A6</t>
  </si>
  <si>
    <t>AM-EE4-A7</t>
  </si>
  <si>
    <t>AM-EE4-A8</t>
  </si>
  <si>
    <t>AM-EE4-A9</t>
  </si>
  <si>
    <t>AM-EE4-A10</t>
  </si>
  <si>
    <t>AM-EE4-A11</t>
  </si>
  <si>
    <t>AM-EE4-A12</t>
  </si>
  <si>
    <t>AM-EE4-A13</t>
  </si>
  <si>
    <t>AM-EE4-A14</t>
  </si>
  <si>
    <t>EG-OE1-A1</t>
  </si>
  <si>
    <t>EG-OE1-A2</t>
  </si>
  <si>
    <t>EG-OE1-A3</t>
  </si>
  <si>
    <t>EG-OE1-A4</t>
  </si>
  <si>
    <t>EG-OE2-A1</t>
  </si>
  <si>
    <t>EG-OE2-A2</t>
  </si>
  <si>
    <t>EG-OE2-A3</t>
  </si>
  <si>
    <t>EG-OE2-A4</t>
  </si>
  <si>
    <t>EG-OE2-A5</t>
  </si>
  <si>
    <t>EG-OE2-A6</t>
  </si>
  <si>
    <t>EG-OE3-A1</t>
  </si>
  <si>
    <t>EG-OE4-A1</t>
  </si>
  <si>
    <t>EG-OE4-A2</t>
  </si>
  <si>
    <t>EG-OE4-A3</t>
  </si>
  <si>
    <t>EG-OE4-A4</t>
  </si>
  <si>
    <t>EG-OE4-A5</t>
  </si>
  <si>
    <t>EG-OE5-A1</t>
  </si>
  <si>
    <t>EG-OE5-A2</t>
  </si>
  <si>
    <t>EG-OE6-A1</t>
  </si>
  <si>
    <t>EG-OE6-A2</t>
  </si>
  <si>
    <t>EG-OE6-A3</t>
  </si>
  <si>
    <t>EG-OE6-A4</t>
  </si>
  <si>
    <t>EG-OE6-A5</t>
  </si>
  <si>
    <t>EG-OE6-A6</t>
  </si>
  <si>
    <t>EG-OE7-A1</t>
  </si>
  <si>
    <t>EG-OE8-A1</t>
  </si>
  <si>
    <t>EG-OE8-A2</t>
  </si>
  <si>
    <t>EG-OE9-A1</t>
  </si>
  <si>
    <t>EG-OE10-A1</t>
  </si>
  <si>
    <t>EG-OE10-A2</t>
  </si>
  <si>
    <t>EG-OE10-A3</t>
  </si>
  <si>
    <t>EG-OE11-A1</t>
  </si>
  <si>
    <t>EG-OE11-A2</t>
  </si>
  <si>
    <t>EG-OE11-A3</t>
  </si>
  <si>
    <t>EG-OE11-A4</t>
  </si>
  <si>
    <t>EG-OE12-A1</t>
  </si>
  <si>
    <t>EG-OE12-A2</t>
  </si>
  <si>
    <t>EG-OE12-A3</t>
  </si>
  <si>
    <t>DH-LE1-A1</t>
  </si>
  <si>
    <t>DH-LE1-A2</t>
  </si>
  <si>
    <t>DH-LE1-A3</t>
  </si>
  <si>
    <t>DH-LE1-A4</t>
  </si>
  <si>
    <t>DH-LE1-A5</t>
  </si>
  <si>
    <t>DH-LE1-A6</t>
  </si>
  <si>
    <t>DH-LE2-A1</t>
  </si>
  <si>
    <t>DH-LE2-A2</t>
  </si>
  <si>
    <t>DH-LE2-A3</t>
  </si>
  <si>
    <t>DH-LE2-A4</t>
  </si>
  <si>
    <t>DH-LE2-A5</t>
  </si>
  <si>
    <t>DH-LE2-A6</t>
  </si>
  <si>
    <t>DH-LE2-A7</t>
  </si>
  <si>
    <t>DH-LE2-A8</t>
  </si>
  <si>
    <t>DH-LE2-A9</t>
  </si>
  <si>
    <t>DH-LE2-A10</t>
  </si>
  <si>
    <t>DH-LE2-A11</t>
  </si>
  <si>
    <t>DH-LE2-A12</t>
  </si>
  <si>
    <t>DH-LE2-A13</t>
  </si>
  <si>
    <t>DH-LE2-A14</t>
  </si>
  <si>
    <t>DH-LE3-A1</t>
  </si>
  <si>
    <t>DH-LE3-A2</t>
  </si>
  <si>
    <t>DH-LE3-A3</t>
  </si>
  <si>
    <t>DH-LE3-A4</t>
  </si>
  <si>
    <t>DH-LE3-A5</t>
  </si>
  <si>
    <t>DH-LE3-A6</t>
  </si>
  <si>
    <t>DH-LE3-A7</t>
  </si>
  <si>
    <t>DH-LE3-A8</t>
  </si>
  <si>
    <t>DH-LE3-A9</t>
  </si>
  <si>
    <t>DH-LE4-A1</t>
  </si>
  <si>
    <t>DH-LE4-A2</t>
  </si>
  <si>
    <t>DH-LE4-A3</t>
  </si>
  <si>
    <t>DH-LE4-A4</t>
  </si>
  <si>
    <t>DH-LE4-A5</t>
  </si>
  <si>
    <t>DH-LE4-A6</t>
  </si>
  <si>
    <t>DH-LE4-A7</t>
  </si>
  <si>
    <t>DH-LE4-A8</t>
  </si>
  <si>
    <t>DH-LE4-A9</t>
  </si>
  <si>
    <t>DH-LE5-A1</t>
  </si>
  <si>
    <t>DH-LE5-A2</t>
  </si>
  <si>
    <t>DH-LE5-A3</t>
  </si>
  <si>
    <t>DH-LE5-A4</t>
  </si>
  <si>
    <t>DH-LE5-A5</t>
  </si>
  <si>
    <t>DH-LE5-A6</t>
  </si>
  <si>
    <t>DH-LE5-A7</t>
  </si>
  <si>
    <t>DH-LE5-A8</t>
  </si>
  <si>
    <t>DH-LE5-A9</t>
  </si>
  <si>
    <t>DH-LE5-A10</t>
  </si>
  <si>
    <t>DH-LE4-A11</t>
  </si>
  <si>
    <t>DH-LE4-A12</t>
  </si>
  <si>
    <t>DH-LE4-A13</t>
  </si>
  <si>
    <t>DH-LE4-A14</t>
  </si>
  <si>
    <t>DH-LE4-A15</t>
  </si>
  <si>
    <t>DH-LE4-A16</t>
  </si>
  <si>
    <t>DH-LE4-A17</t>
  </si>
  <si>
    <t>DH-LE4-A18</t>
  </si>
  <si>
    <t>DH-LE4-A19</t>
  </si>
  <si>
    <t>DH-LE4-A20</t>
  </si>
  <si>
    <t>DH-LE4-A21</t>
  </si>
  <si>
    <t>DH-LE4-A22</t>
  </si>
  <si>
    <t>DH-LE4-A23</t>
  </si>
  <si>
    <t>DH-LE4-A24</t>
  </si>
  <si>
    <t>DH-LE5-A11</t>
  </si>
  <si>
    <t>DH-LE5-A12</t>
  </si>
  <si>
    <t>DH-LE5-A13</t>
  </si>
  <si>
    <t>DH-LE5-A14</t>
  </si>
  <si>
    <t xml:space="preserve">
6. Realizar un inventario de  las zonas álgidas de la ciudad de Pereira para optimizar la oferta institucional
</t>
  </si>
  <si>
    <t>HC-LE1-A1</t>
  </si>
  <si>
    <t>HC-LE1-A2</t>
  </si>
  <si>
    <t>HC-LE1-A3</t>
  </si>
  <si>
    <t>HC-LE1-A4</t>
  </si>
  <si>
    <t>HC-LE1-A5</t>
  </si>
  <si>
    <t>HC-LE1-A6</t>
  </si>
  <si>
    <t>HC-LE1-A7</t>
  </si>
  <si>
    <t>HC-LE1-A8</t>
  </si>
  <si>
    <t>HC-LE1-A9</t>
  </si>
  <si>
    <t>HC-LE1-A10</t>
  </si>
  <si>
    <t>HC-LE1-A11</t>
  </si>
  <si>
    <t>HC-LE2-A1</t>
  </si>
  <si>
    <t>HC-LE2-A2</t>
  </si>
  <si>
    <t>HC-LE2-A3</t>
  </si>
  <si>
    <t>HC-LE2-A4</t>
  </si>
  <si>
    <t>HC-LE2-A5</t>
  </si>
  <si>
    <t>HC-LE2-A6</t>
  </si>
  <si>
    <t>HC-LE2-A7</t>
  </si>
  <si>
    <t>HC-LE2-A8</t>
  </si>
  <si>
    <t>HC-LE2-A9</t>
  </si>
  <si>
    <t>HC-LE2-A10</t>
  </si>
  <si>
    <t>HC-LE2-A11</t>
  </si>
  <si>
    <t>HC-LE2-A12</t>
  </si>
  <si>
    <t>HC-LE2-A13</t>
  </si>
  <si>
    <t>HC-LE2-A14</t>
  </si>
  <si>
    <t>HC-LE2-A15</t>
  </si>
  <si>
    <t>HC-LE2-A16</t>
  </si>
  <si>
    <t>HC-LE2-A17</t>
  </si>
  <si>
    <t>HC-LE2-A18</t>
  </si>
  <si>
    <t>HC-LE2-A19</t>
  </si>
  <si>
    <t>HC-LE3-A1</t>
  </si>
  <si>
    <t>HC-LE3-A2</t>
  </si>
  <si>
    <t>HC-LE3-A3</t>
  </si>
  <si>
    <t>HC-LE3-A4</t>
  </si>
  <si>
    <t>HC-LE3-A5</t>
  </si>
  <si>
    <t>HC-LE3-A6</t>
  </si>
  <si>
    <t>HC-LE3-A7</t>
  </si>
  <si>
    <t>HC-LE3-A8</t>
  </si>
  <si>
    <t>HC-LE3-A9</t>
  </si>
  <si>
    <t>HC-LE3-A10</t>
  </si>
  <si>
    <t>HC-LE3-A11</t>
  </si>
  <si>
    <t>HC-LE3-A12</t>
  </si>
  <si>
    <t>HC-LE4-A1</t>
  </si>
  <si>
    <t>HC-LE4-A2</t>
  </si>
  <si>
    <t>HC-LE4-A3</t>
  </si>
  <si>
    <t>HC-LE4-A4</t>
  </si>
  <si>
    <t>HC-LE4-A5</t>
  </si>
  <si>
    <t>HC-LE4-A6</t>
  </si>
  <si>
    <t>HC-LE4-A7</t>
  </si>
  <si>
    <t>HC-LE4-A8</t>
  </si>
  <si>
    <t>HC-LE4-A9</t>
  </si>
  <si>
    <t>HC-LE4-A10</t>
  </si>
  <si>
    <t>HC-LE4-A11</t>
  </si>
  <si>
    <t>HC-LE4-A12</t>
  </si>
  <si>
    <t>14.Desarrollar actividades recreativas y deportivas dirigidas a los habitantes de calle y en calle.</t>
  </si>
  <si>
    <r>
      <t xml:space="preserve">*Conformación de equipos básicos extramurales de carácter interdisciplinario e intersectorial con continuidad y permanencia, que actúen desde los lineamientos de la estrategia de atención primaria, capaces de llevar a las comunidades las estrategias de información, educación y acciones comunicativas articuladas entre los diferentes programas.                                                                                                                                                                                                                                                                                                                                                                                                                                                                                                                                                             </t>
    </r>
    <r>
      <rPr>
        <sz val="11"/>
        <color theme="1"/>
        <rFont val="Calibri"/>
        <family val="2"/>
        <scheme val="minor"/>
      </rPr>
      <t xml:space="preserve">                                                                                                               </t>
    </r>
  </si>
  <si>
    <r>
      <t>* Fortelecer los procesos de atención integral a los niños, niñas y adolescentes en situación de inobservacia, amenaza o vulneración * Implementar un programa para la prevención de la explotación sexual comercial en NNA .</t>
    </r>
    <r>
      <rPr>
        <sz val="11"/>
        <color rgb="FF800080"/>
        <rFont val="Calibri"/>
        <family val="2"/>
        <scheme val="minor"/>
      </rPr>
      <t xml:space="preserve">                                                                                                                                                                                                                                                                                                                                                                                                                                                                                                                             </t>
    </r>
  </si>
  <si>
    <t>educacion</t>
  </si>
  <si>
    <t>inclusion social</t>
  </si>
  <si>
    <t>relaciones de trabajo</t>
  </si>
  <si>
    <t>participacion de la mujer</t>
  </si>
  <si>
    <t>economia social y solidaria</t>
  </si>
  <si>
    <t>DESARROLLO SOCIAL Y HUMANO</t>
  </si>
  <si>
    <t>DESARROLLO INSTITUCIONAL Y CULTURAL</t>
  </si>
  <si>
    <t>Movilizacion y participación ciudadana</t>
  </si>
  <si>
    <t>fortalecimeinto gobierno local</t>
  </si>
  <si>
    <t>coordinacion instituciones públicas</t>
  </si>
  <si>
    <t>cooperación público - privada</t>
  </si>
  <si>
    <t>redes y capital social territorial</t>
  </si>
  <si>
    <t>cultura creativa y solidaria</t>
  </si>
  <si>
    <t>DESARROLLO SUSTENTABLE</t>
  </si>
  <si>
    <t>patrimonio natural y cultural</t>
  </si>
  <si>
    <t>energias renovables</t>
  </si>
  <si>
    <t>recursos de agua, energia y materiale</t>
  </si>
  <si>
    <t>produccion ecològica y ecoeficiente</t>
  </si>
  <si>
    <t>fomento produccion local y consumo sostrenible</t>
  </si>
  <si>
    <t>DESARROLLO ECONOMICO</t>
  </si>
  <si>
    <t>Diversificacion productiva</t>
  </si>
  <si>
    <t>infraestructura basica para desarrollo terriorial</t>
  </si>
  <si>
    <t>apoyo MiPymes y cooperativas locales</t>
  </si>
  <si>
    <t>sector financiero</t>
  </si>
  <si>
    <t>sistema fiscal y marco juridico</t>
  </si>
  <si>
    <t>sistemas territoriales de innovación</t>
  </si>
  <si>
    <t>Promoción y fortalecimiento de Banco de Talentos (Becarios para educación
superior y de posgrados).</t>
  </si>
  <si>
    <t>lmplementar proyectos de agricultura específica por sitio en el sector agrícola con el fin de aumentar la productividad con base en el uso potencial del suelo y variables ambientales.</t>
  </si>
  <si>
    <t>Posicionar el módulo de gestantes en la EPS.</t>
  </si>
  <si>
    <r>
      <t>Implementación de un proyecto orientado a la resiliencia de las comunidades y de los ecosistemas,</t>
    </r>
    <r>
      <rPr>
        <sz val="11"/>
        <color theme="1"/>
        <rFont val="Calibri"/>
        <family val="2"/>
        <scheme val="minor"/>
      </rPr>
      <t xml:space="preserve">frente </t>
    </r>
    <r>
      <rPr>
        <sz val="11"/>
        <color rgb="FF000000"/>
        <rFont val="Calibri"/>
        <family val="2"/>
        <scheme val="minor"/>
      </rPr>
      <t>al cambio climático</t>
    </r>
  </si>
  <si>
    <t>DH-LE3-A10</t>
  </si>
  <si>
    <t>Conmemoración de: -Día Nacional  de Los Derechos Humanos (septiembre 09)</t>
  </si>
  <si>
    <t xml:space="preserve"> -Día Nacional  de Los Derechos Humanos (septiembre 09) -Día Internacional de la No Violencia (Octubre 2)</t>
  </si>
  <si>
    <t xml:space="preserve"> -Día Internacional de la No Violencia (Octubre 2) -Día Internacional  de Los Derechos Humanos (Diciembre 10)</t>
  </si>
  <si>
    <t xml:space="preserve"> -Día Internacional  de Los Derechos Humanos (Diciembre 10)-Día contra la trata de personas (30 de julio)</t>
  </si>
  <si>
    <t>-Día contra la trata de personas (30 de julio)-Día Internacional de la desaparición forzosa (mayo)</t>
  </si>
  <si>
    <t>-Día Internacional de la desaparición forzosa (mayo)-Día internacional de las victimas contra desaparición forzosa (30 agosto)</t>
  </si>
  <si>
    <t>-Día internacional de las victimas contra desaparición forzosa (30 agosto)Día Internacional de prevención contra el reclutamiento infantil contra la guerra (12 de febrero)</t>
  </si>
  <si>
    <t>Día Internacional de prevención contra el reclutamiento infantil contra la guerra (12 de febrero)Conmemoración de la firma del acuerdo de paz (24 de Nov)</t>
  </si>
  <si>
    <t>Conmemoración de la firma del acuerdo de paz (24 de Nov)Conmemoración de la semana por la paz (Primera Semana de Sept.)</t>
  </si>
  <si>
    <t xml:space="preserve">6. Realizar un inventario de  las zonas álgidas de la ciudad de Pereira para optimizar la oferta institucional
</t>
  </si>
  <si>
    <t>SA-OB8-I2</t>
  </si>
  <si>
    <t>EG-OE9-A2</t>
  </si>
  <si>
    <t>REPORTE EJECUCIÓN DEL 2019</t>
  </si>
  <si>
    <t>DESCRIBA LAS ACTIVIDADES DESARROLLADAS EN EL AÑO 2019</t>
  </si>
  <si>
    <t>EVIDENCIAS 2019</t>
  </si>
  <si>
    <t>INFORME DE SEGUIMIENTO 2019</t>
  </si>
  <si>
    <t>META DE LA POLÍTICA 2019</t>
  </si>
  <si>
    <t>META 2019 DE LA ACCIÓN</t>
  </si>
  <si>
    <t>POLÍTICA PÚBLICA HABITANTE DE CALLE</t>
  </si>
  <si>
    <t>INFORME DE SEGUIMIENTO 2020</t>
  </si>
  <si>
    <t>REPORTE EJECUCIÓN DEL 2020</t>
  </si>
  <si>
    <t>DESCRIBA LAS ACTIVIDADES DESARROLLADAS EN EL AÑO 2020</t>
  </si>
  <si>
    <t>EVIDENCIAS 2020</t>
  </si>
  <si>
    <t>MATRIZ DE PLANIFICACIÓN POLÍTICA PÚBLICA CULTURA DE LA LEGALIDAD Y CONVIVENCIA CIUDADANA</t>
  </si>
  <si>
    <t>OBJETIVO GENERAL DE LA POLÍTICA PÚBLICA:  Promover el goce efectivo del derecho a la salud mental como bien colectivo y como prioridad en salud pública, reduciendo la vulnerabilidad psicosocial y asegurando el acceso a la atención integral oportuna, continua y de calidad en los ámbitos institucionales y comunitarios del municipi de Pereira para el periodo 2017-2027</t>
  </si>
  <si>
    <t>FORMATO PARA RENDICIÓN INFORME DE AVANCE PERIODO 2019 DE LA POLÍTICA PÚBLICA DE SALUD MENTAL Y SUSTANCIAS PSICOACTIVAS</t>
  </si>
  <si>
    <t xml:space="preserve">POLÍTICA PÚBLICA: PROMOCIÓN, PROTECCIÓN Y ATENCIÓN INTEGRAL DE LA SALUD MENTAL Y SUSTANCIAS PSICOACTIVAS </t>
  </si>
  <si>
    <t>CÁNCER DE CÉRVIX, PRÓSTATA Y SENO</t>
  </si>
  <si>
    <t>NÚMERO ACCIONES X POLÍTICA</t>
  </si>
  <si>
    <t>TOTAL RESPONSABLES DE ACCIONES EN LA POLÍTICA</t>
  </si>
  <si>
    <t>* % de mujeres gestantes con sífilis que han sido diagnosticadas y tratadas antes de la semana 17. 2010: 30,5</t>
  </si>
  <si>
    <t xml:space="preserve">IN - LE2 </t>
  </si>
  <si>
    <t xml:space="preserve">* Tasa de sífilis congénita. 2010: 4,0       </t>
  </si>
  <si>
    <t xml:space="preserve">* Reducir la tasa de sífilis congénita por debajo de 2,5.    </t>
  </si>
  <si>
    <t xml:space="preserve"> * Reducir la tasa de sífilis congénita por debajo de 0,6.</t>
  </si>
  <si>
    <t>*  Tasa de morbilidad por EDA ( Enfermedad Diarreica Aguda ) en menores de 5 años. 2010: 2,9</t>
  </si>
  <si>
    <t xml:space="preserve">Disminuir  la Tasa de morbilidad por EDA 2.1   </t>
  </si>
  <si>
    <t xml:space="preserve">Disminuir  laTasa de morbilidad por EDA   1.8       </t>
  </si>
  <si>
    <t>Disminuir  laTasa de morbilidad por ERA 2,2</t>
  </si>
  <si>
    <t xml:space="preserve">Disminuir  laTasa de morbilidad por ERA  a  1,9 </t>
  </si>
  <si>
    <t>* % de niños (as) entre 0 y 10 años que asisten a controles de crecimiento y desarrollo. 2010: SD</t>
  </si>
  <si>
    <t xml:space="preserve"> *  50% de niños y niñas menores de 10 años con asistencia al programa de control de crecimiento y desarrollo. </t>
  </si>
  <si>
    <t xml:space="preserve">    *  80% de niños y niñas menores de 10 años con asistencia al programa de control de crecimiento y desarrollo.</t>
  </si>
  <si>
    <t>* Cobertura de saneamiento básico: 2010: 92,52%</t>
  </si>
  <si>
    <t>Cobertura de saneamiento básico:   95%</t>
  </si>
  <si>
    <t xml:space="preserve">Cobertura de saneamiento básico:   98%   </t>
  </si>
  <si>
    <t>AGUAS Y AGUAS</t>
  </si>
  <si>
    <t>* Cobertura con agua potable.  2010: 105,97%</t>
  </si>
  <si>
    <t>* Cobertura con agua potable.  105,97%</t>
  </si>
  <si>
    <t xml:space="preserve">   * Cobertura con agua potable.  105,97%</t>
  </si>
  <si>
    <t>Cobertura de agua. 2010: 100%</t>
  </si>
  <si>
    <t xml:space="preserve">*Cobertura de agua.  100% </t>
  </si>
  <si>
    <t xml:space="preserve">Cobertura de agua.  100% </t>
  </si>
  <si>
    <t>Puntaje promedio pruebas SABER- 9 grado: 2009: 319</t>
  </si>
  <si>
    <t>Aumentar el promedio de las pruebas SABER- 9 grado a 350</t>
  </si>
  <si>
    <t>Aumentar el promedio de las pruebas SABER- 9 grado a 380</t>
  </si>
  <si>
    <t>IN - LE7</t>
  </si>
  <si>
    <t>Puntaje promedio en las pruebas ICFES: 2010: 44.8%</t>
  </si>
  <si>
    <t>Aumentar el puntaje promedio en 54.8% de las pruebas ICFES</t>
  </si>
  <si>
    <t>Aumentar el puntaje promedio en 74.8% de las pruebas ICFES</t>
  </si>
  <si>
    <t>Número de niños y niñas de grado cero a quinto atendidos por la cultura vial: 2010:30.130</t>
  </si>
  <si>
    <t xml:space="preserve">Aumentar a 30. 500 las  niñas y niños de grado cero a quinto atendidos por la cultura vial </t>
  </si>
  <si>
    <t xml:space="preserve">Aumentar a 31.000 las  niñas y niños de grado cero a quinto atendidos por la cultura vial </t>
  </si>
  <si>
    <t>Número de estudiantes de grado 6 a 11 educados en tránsito. 2010: 31.255.</t>
  </si>
  <si>
    <t>Aumentar a 31.600 estudiantes de grado 6 a 11 educados en tránsito.</t>
  </si>
  <si>
    <t>Aumentar a 32.000 estudiantes de grado 6 a 11 educados en tránsito.</t>
  </si>
  <si>
    <t xml:space="preserve">IN - LE8 </t>
  </si>
  <si>
    <t>% de gobiernos escolares operando en las instituciones.  2010: 85%</t>
  </si>
  <si>
    <t>Porcentaje de consejos de política social (Departamental  y Municipales) en los que participan niños, niñas y adolescentes: SD</t>
  </si>
  <si>
    <t>Consejos de Juventud Municipales conformados. 2010: 1</t>
  </si>
  <si>
    <t>TODOS REGISTRADOS</t>
  </si>
  <si>
    <t>Proporción de niños y niñas menores de 1 año registrados según lugar de nacimiento.2010: SD</t>
  </si>
  <si>
    <t xml:space="preserve">100% de los niños y niñas recien nacido vivos  registrados en el area urbana y rural del Municipio de Pereira
</t>
  </si>
  <si>
    <t xml:space="preserve"> FORTALECIMIENTO INSTITUCIONAL</t>
  </si>
  <si>
    <t>Sostenibilidad de la catedra de primera infancia funcionando en las instituciones educativas del Municipio.</t>
  </si>
  <si>
    <t>Crear tres nuevas comisarias ( parque industrial, caimalito y puerto caldas).</t>
  </si>
  <si>
    <t>Fortalecimiento operativo y logistico de las comisarias de familia del municipio</t>
  </si>
  <si>
    <t xml:space="preserve">Estructuración de sistemas estratégicos de organización, gestión conjunta y posicionamiento del emprendimiento de base tecnológica
</t>
  </si>
  <si>
    <t>Número de emprendimiento de base tecnológica acompañados</t>
  </si>
  <si>
    <t>Formulación y evaluación de proyectos</t>
  </si>
  <si>
    <t>Estructuración y ejecución de sistemas, redes y observatorios de información</t>
  </si>
  <si>
    <t>Formulación del proyecto del Centro de Pensamiento y su ejecución en su primera fase</t>
  </si>
  <si>
    <t>Promoción de Grupos de Investigación en desarrollo de actividades de innovación inherentes a los sectores estratégicos priorizados.</t>
  </si>
  <si>
    <t xml:space="preserve">Número de grupos de investigación participantes en actividades de CT&amp;I </t>
  </si>
  <si>
    <t xml:space="preserve">Promoción y fortalecimiento de Banco de Talentos (Becarios para educación
superior y de posgrados)
</t>
  </si>
  <si>
    <t>Diseño de un programa Banco de Talentos</t>
  </si>
  <si>
    <t>Diseño, estructuración y puesta en marcha del Centro de Innovación y Desarrollo Tecnológico como Nodo Central de la Red</t>
  </si>
  <si>
    <t>Porcentaje de implementación según estado de avance</t>
  </si>
  <si>
    <t>Estructuración del Sistema de Gerencia de la Red de Nodos de Innovación, Ciencia y Tecnología</t>
  </si>
  <si>
    <t>Existencia de un Sistema de Gerencia de la Red de Nodos</t>
  </si>
  <si>
    <t>Definición de Modelos Administrativos, Organizacionales y de Gestión para cada uno de los nodos de la red</t>
  </si>
  <si>
    <t>Existencia de un Modelo Administrativo de la Red de Nodos</t>
  </si>
  <si>
    <t>Diseño, estructuración y puesta en marcha de los nodos sectoriales</t>
  </si>
  <si>
    <t>Porcentaje de implementación según estado de avance del Nodo TIC</t>
  </si>
  <si>
    <t>Porcentaje de implementación según estado de avance del Nodo de Biotecnologia</t>
  </si>
  <si>
    <t>Articulación de cada nodo de la red con la comunidad de base a través de los Centros de Emprendimiento y Desarrollo Empresarial</t>
  </si>
  <si>
    <t>Número de talleres de sensibilización</t>
  </si>
  <si>
    <t>HACIENDA</t>
  </si>
  <si>
    <t>Currículo orientado al emprendimiento y a la innovación</t>
  </si>
  <si>
    <t>Innovación para el desarrollo social (Actividad nueva año 2012)</t>
  </si>
  <si>
    <t>Laboratorios y talleres de emprendimiento e innovación</t>
  </si>
  <si>
    <t>Material didáctico en emprendimiento e innovación</t>
  </si>
  <si>
    <t>Semilleros de emprendimiento y de innovación</t>
  </si>
  <si>
    <t>Talleres, laboratorios y semilleros de emprendimiento e innovación con énfasis en nuevas tecnologías (TIC)</t>
  </si>
  <si>
    <t xml:space="preserve">Asistencia Técnica, asesoría y acompañamiento en la generación de ideas de negocios y desarrollo empresarial
</t>
  </si>
  <si>
    <t>Ferias para promover cultura de emprendimiento e innovación y generar ideas de negocios</t>
  </si>
  <si>
    <t>Talleres para fomentar creatividad, liderazgo, trabajo en equipo, capacidad de investigación, organización, habilidad en la toma de decisiones y la comunicación</t>
  </si>
  <si>
    <t xml:space="preserve">Concursos de ideas de emprendimiento e innovación
</t>
  </si>
  <si>
    <t>Fomentar el microcrédito y servicios financieros en alianza entre el sector público y privado que conlleve al fortalecimiento y emprendimiento de las
microempresas, de acuerdo a las necesidades y al perfil de los microempresarios que no tienen acceso al sector financiero tradicional.</t>
  </si>
  <si>
    <t>Capacitar asesorar y realizar seguimiento a los microempresarios beneficiarios del proyecto Banco de las Oportunidades en los siguientes temas: gestión
empresarial, desarrollo comercial, construcción de planes de negocio que conlleven a generar actividades productivas y rentables para población de bajos ingresos, fomentando la generación de ingresos, de empleo y el autoempleo.</t>
  </si>
  <si>
    <t>Fomentar el emprendimiento y/o fortalecimiento empresarial, en grupos vulnerables que lo requieran (población en situación de desplazamiento, carreros, vendedores informales, madres cabeza de familia, personas de los estratos 1 y 2, afectadas por fenómenos naturales), a través de una línea de capital semilla el cual debe estar condicionado a un aporte del propio
beneficiario, con el fin de contribuir en la disminución de los índices de desempleo que registra la ciudad de Pereira.</t>
  </si>
  <si>
    <t xml:space="preserve">METAS DE LA POLÍTICA PÚBLICA </t>
  </si>
  <si>
    <t>Actas de reunión                         Registros de asistencia</t>
  </si>
  <si>
    <t>Fotos, circular de la Sem, asistencias</t>
  </si>
  <si>
    <t xml:space="preserve">se realizaron de tamizajes a poblacion que requiera la atencio. A traves de la Sala Carlos Drews Arango, el Curado James Llanos da programas de formación en colegios e instituciones privadas y publicas sobre la paz, amor, reconciliación con elementos reciclados (pinturas, papel, colores entre otros) los nios, adolescente y jovenes hacen sus propias creaciones artisticas como resultado de los talleres.    </t>
  </si>
  <si>
    <t>Tamizajes SRQ e intervencion breve, registro fofografico</t>
  </si>
  <si>
    <t xml:space="preserve">Intervenciones Breves, Tamizajes (SRQ). Registro fotografico, en la discriminacion tootal de personas atendias, no coincide ya que no se tiene todos los datos </t>
  </si>
  <si>
    <t>se realiza procesos de acercamiento a comisarias de familia con el fin de identificar la necesidad de construir una ruta de atención municipal para los casos de gestantes consumidoras de sustancias psicoactivas.     Desde el proyecto Fortalecimiento de los procesos de atención a la población con experiencia migratoria del municipio de Pereira, siguiendo su ruta de atención se realizaron visitas domiciliarias de atención Psicosocial, y de igual manera se realizaron talleres de proyecto de vida y relaciones intrafamiliares, para el año 2019,  Desde el proyecto  Implementación de acciones enfocadas al bienestar y desarrollo de la población afrodescendiente del municipio de Pereira  se reportan y re direccionan a la eps de cada persona atendida, de ser requerida una intervención o terapia desde el área psicológica, A través del proyecto “Implementación de estrategias para la promoción de la equidad de género para las mujeres en el municipio de Pereira” se realizan las siguientes campañas de prevención de violencia contra la mujer:
Sensibilización en ley 1257.
Socialización de la ruta de atención.
Taller de Prevención de violencias</t>
  </si>
  <si>
    <t xml:space="preserve">Construcción de rutas de atención articuladas con las EAPB e IPS del Municipio en los casos asociados a  violencia intrafamiliar.            </t>
  </si>
  <si>
    <t xml:space="preserve">Se desarrolla el comité municipal de SPA que se encuentra asociado al comité de políica pública de atención integral a la salud mental, con el fin de atender las necesidades asociadas a la salud mental y llevar a cabo procesos de articulación con las diferentes entidades </t>
  </si>
  <si>
    <t>Se realizan capacitaciones a docentes orientadoras del municipio en lo que concierne a: construcción de rutas de atención en salud mental y estrategias de intervención (Intervención Breve)</t>
  </si>
  <si>
    <t xml:space="preserve">Se realizan desde el componente de VIH y Sustancias psicoactivas 34 Asistencias técnicas, mientras que en el tema de salud mental se realizan 64 asistencias técnicas </t>
  </si>
  <si>
    <t xml:space="preserve">se realiza asistencia tecnica a CAPS no habilitados  información a cerca de la importancia de llevar a cabo procesos de capacitación con la secretaría de salud departamental para informarse a cerca de los procesos de habilitación. </t>
  </si>
  <si>
    <t>se realizaron 16 puntos de atencion en zonas de escucha que funcionaron en los sectores priorizados por el municipio y que posibilitaron la intervención breve de población vulnerable que requería atención en el componente de salud mental.</t>
  </si>
  <si>
    <t xml:space="preserve">Se activan las 16 zonas de escuha a nivel comunitario en los sectores priorizados por el municipio. </t>
  </si>
  <si>
    <t xml:space="preserve">se desarrollaron asistencias técnicas con la finalidad de ralizar seguimiento a los procesos de atención integra en el componente de salud mental </t>
  </si>
  <si>
    <t>Se caracteriza a  la población consumidora de drogas por via inyectada y se realizan acciones de autocuidado, mitigación de riesgos y daños y psicoeducación,  desde secretaria de educacion Activación de las rutas y formulación de las mismas desde la escuela.</t>
  </si>
  <si>
    <t>Acta de reunion, Informes de los Docentes orientadores</t>
  </si>
  <si>
    <t>Articulación con instituciones, fundaciones y secretarías de despacho que trabajan con población que tiene problemáticas asociadas a la salud mental              1.educacion: Los Docentes orientadores no caracterizan, derivan de acuerdo al caso y activan la ruta de atención integral para la convivencia escolar</t>
  </si>
  <si>
    <t xml:space="preserve">se realiza evaluacion y revisión de la ruta de atención en salud mental para las Instituciones Educativas del Municipio, </t>
  </si>
  <si>
    <t xml:space="preserve">se realiza revisión y ajuste de la ruta de atención en salud mental para las Instituciones Educativas del Municipio,  Se logró que las rutas de atención en convivencia escolar entre ellas la de SPA quedara mediante el Acuerdo Municipal  03 de obligatorio cumplimiento para instituciones educativas públicas y privadas. </t>
  </si>
  <si>
    <t>en el comité de spa se realiza labor para definir e implementar las guias nacionales de spa</t>
  </si>
  <si>
    <t>socializacion de guias</t>
  </si>
  <si>
    <t>capacitacion  a profesioanles de las IPS en humanizacion de la salud, atencion integral en salud mental</t>
  </si>
  <si>
    <t>se realizo grupo de familias que usuarios que padecen enfermedades mentales</t>
  </si>
  <si>
    <t>se conformo con representantes de las EABP</t>
  </si>
  <si>
    <t>Se logró realizar gestión con la EAPB para atención por psiquiatría para los usuarios que lo requirieron y/o gestión del riesgo en salud mental.</t>
  </si>
  <si>
    <t xml:space="preserve">capacitaciones a docentes orientadoras del municipio en lo que concierne a: construcción de rutas de atención en salud mental y estrategias de intervención (Intervención Breve)            2. cultura: se capacito a padres de familia y docentes sobre la importancia del buen trato, del respeto y las rutas en violencia y en prevención de la conducta suicida ( la ruta de salud mental), como mecanismo de ayuda ante las eventuales problemáticas personales, de familia o detección desde la institución (rol docente)                              </t>
  </si>
  <si>
    <t>spp,   infome                                       Evidencias fotográficas, asistencias, circular de la SEM</t>
  </si>
  <si>
    <t>se realizan actividades pedagogicas en empresa publico y privadas en consumo de spa, violencia e intento de suicidio.</t>
  </si>
  <si>
    <t>se realizan actividades pedagogicas en empresa publico y privadas</t>
  </si>
  <si>
    <t xml:space="preserve">Se realizaron  jornadas masivas de sensibilización en las diferentes dependencias de la Administración municipal en el marco de las conmemoraciones de salud mental y conducta suicida,    desde cultura: Docentes capacitados en la Escuela de Formacion de Música de Cultura, buen trato, del respeto y las rutas en violencia y en prevención de la conducta suicida   </t>
  </si>
  <si>
    <t xml:space="preserve">spp, videncia fotografica </t>
  </si>
  <si>
    <t>Se inicia este proceso con 45 reuniónes de socialización de matriz de seguimiento de política con planeación municipal y las entidades afines</t>
  </si>
  <si>
    <t xml:space="preserve"> Se logró la habilitación de servicio de psicología en la ESE Salud Pereira, La Secretaria de Cultura para la presente vigencia contrató 1 psicologo para atender la escuela de formacion (niños, niñas, adolescents y jovenes, padres de familia y docentes) a traves de charlas, atenciones personales y recomendaciones acordes a su capacidad medica y alcances del contrato.</t>
  </si>
  <si>
    <t xml:space="preserve">Acta de reunion,  registros fotograficos </t>
  </si>
  <si>
    <t>jovenes intervenidos en talleres de formacion en mecanismo de resolucion de conflictos.                               1. cultura: contratación de cinco (5) profesionales en áreas de teatro, artes plásticas, danza urbana música y artes vivas y artes visuales. Un curador de la Sala Carlos Drews ( taller de sensibilización y comprensión de la Obra Lucy Tejada «Soñando a través de la Obra de Lucy Tejada»
Participación de la Estrategia Nacional MAMBRPU NO VA A LA GUERRA: Actividades de: canto, técnica vocal, danza, poesia, Conociendo las diferentes culturas de la ciudad, danza urbana: sedes: CREEME, Fe y Esperanza, Femenino Arco Iris, Vientos de Cambio, Génesis, Pensando futuros, Son Black, Sociedad Real</t>
  </si>
  <si>
    <t>spp, informe</t>
  </si>
  <si>
    <t>Actividades Pedagogicas En Derechos Humanos, Paz Y Reconciliacion.      1. cultura: actas de reunion y registros fotograficos que reposan en el contrato de la profesional  (ESTA POBLACION NO SE PUEDE CARACTERIZAR POR TEMAS DE SEGURIDAD, NO SE PERMITEN REGISTROS FOTOGRÁFICOS) SITUACION APROBADA EN EL COMITÉ DEPARTAMENTAL DEL SISTEMA DE RESPONSABILIDAD PENAL EN ADOLESCENTES.</t>
  </si>
  <si>
    <t xml:space="preserve">Se dio continuidad al comité municipal de prevención y mitigación de sustancias psicoactivas a través de siete encuentros al año donde se planearon y realizaron acciones conjuntas de prevención al consumo (día internacional de prevención, jornadas masivas, entre otras).      *desarrollo social </t>
  </si>
  <si>
    <t xml:space="preserve">Se han realizado jornadas y acompañamientos complementarios permanentes a través de profesionales en enfermería y psicología que han apoyado el trabajo en campo con PIDS, de igual forma se aseguró la compra de kits de inyección a través de PIC </t>
  </si>
  <si>
    <t xml:space="preserve"> Comisarias de Familia, Caivas, Cavifs</t>
  </si>
  <si>
    <t>visitas de asistencia tecnica para articular acciones de seguimiento y cumplimiento de la normatividad</t>
  </si>
  <si>
    <t>comité municipal de SPA</t>
  </si>
  <si>
    <t>el comité de drogas se encarga de la realizacion de implementacion de la ruta de spa y sus modificaciones</t>
  </si>
  <si>
    <t>NR</t>
  </si>
  <si>
    <t>EAPB y IPS del municipio de pereira</t>
  </si>
  <si>
    <t>CADS HABILITADOS Y NO HABILITADOS Y POBLACION PIDS</t>
  </si>
  <si>
    <t>CARACTERIZACION DE LA POBLACION A LOS CENTROS DE DROGAS Y LA POBLACION PIDS</t>
  </si>
  <si>
    <t>8 CADS Y 1 PROGRAMA PIDS</t>
  </si>
  <si>
    <t>Revisión y ajuste de las rutas de atención en salud mental y consumo</t>
  </si>
  <si>
    <t xml:space="preserve">Definir e implementar  una guía de atención integral en salud mental </t>
  </si>
  <si>
    <t>este alcance se trabaja en el comité ya que es gestion del CREEME la contratacion del personal especialista o en su defecto la articulacion con los EAPB</t>
  </si>
  <si>
    <t>ICBF, dependencias de la alcaldia municiapl</t>
  </si>
  <si>
    <t xml:space="preserve"> socialización de matriz de seguimiento de política con planeación municipal y las entidades afines</t>
  </si>
  <si>
    <t xml:space="preserve">recolección de información de campo e informe anual de análisis de programa </t>
  </si>
  <si>
    <t>ESE SALUD</t>
  </si>
  <si>
    <t>Habilitacion del servicio de psicologia</t>
  </si>
  <si>
    <t>FONADE</t>
  </si>
  <si>
    <t>implementacion del programa PIDS</t>
  </si>
  <si>
    <t>secretaria de educacion y personaeria</t>
  </si>
  <si>
    <t>se implementa el acuerdo de convivencia escolar</t>
  </si>
  <si>
    <t xml:space="preserve">identificación  y mitigación del  consumo  de sustancias psicoactivas </t>
  </si>
  <si>
    <t>dinamizacion de la poblacion diferencial</t>
  </si>
  <si>
    <t>DIRECTOS</t>
  </si>
  <si>
    <t>INDIRECTOS</t>
  </si>
  <si>
    <t>Cantidad de ferias de emprendimiento acompañadas</t>
  </si>
  <si>
    <t>META CUMPLIDA EN EL AÑO 2015</t>
  </si>
  <si>
    <t>_</t>
  </si>
  <si>
    <t xml:space="preserve">Se formularon dos  proyectos  con el apoyo de 3 contratistas y el acompanamiento de Fontur:
1. Certificación de la Cuenca alta del Rio Otún.
2.  Promoción de Destino de la ciudad de Pereira.
</t>
  </si>
  <si>
    <t xml:space="preserve">Contratos de prestación de servicios de la dirección de turismo
Contrato No.1894  Rodrigo Munoz
Contrato No.4447  Laura Oviedo
Contrato No.2823 Nature Trips </t>
  </si>
  <si>
    <t>_Se consolido el programa Hecho en Pereira mediante el cronograma de impuslo y mercadeo, se asistieron a 40 empresarios categoria oro del programa ,  los cuales se codificaron  en grandes superficies, hoteles, lineas institucionales, minimercados, tiendas y otros. 
_Clúster textil y de confección,  capacitación, sencibilización y formalización de talleres de confección del municipio (20), registro de marca Hecho en Pereira (10) sector moda, maratón de empleo para el sector de la confección,.</t>
  </si>
  <si>
    <t>_Contrato No. 2868 con HQ Import</t>
  </si>
  <si>
    <t>Actividades dirigidas a  unidades econónomicas, proyectos e ideas nuevas</t>
  </si>
  <si>
    <t>_Comercio al por mayor a cambio de una retribución o por contrata</t>
  </si>
  <si>
    <t>_40</t>
  </si>
  <si>
    <t>NO REGISTRA</t>
  </si>
  <si>
    <t>Contrato No. 4335 Editores Ramirez y Ramirez ltda</t>
  </si>
  <si>
    <t>Convenio de vigencias futuras Becas pa Pepas</t>
  </si>
  <si>
    <t>Responsables
ALVARO ROMERO
romerito1944@hotmail.com
MARCELO VADES 
marcelovaldescano@gmail.com</t>
  </si>
  <si>
    <t>META CUMPLIDA EN EL AÑO 2012</t>
  </si>
  <si>
    <t>El beneficio no fue solicitado a la secretaría de Hacienda</t>
  </si>
  <si>
    <t>* Matriz del Plan de Accion Aplicado a cada uno de los colegios.
* Cronograma de actividades Emprendimiento e intervencion en las IE oficiales sobre temas de interes en Tecnologias de la información.
* Resultados por intitucion educativa.
* Acta de recibido de cada intitucion educativa.
* Presentacion de Resultados obtenidos (12 IE).</t>
  </si>
  <si>
    <t>Responsable
TATIANA MURILLO
tatimurillo294@gmail.com
DARIO LONDOÑO
joslon1974@gmail.com 
CONTRATO UNIVERSIDAD ANDINA</t>
  </si>
  <si>
    <t xml:space="preserve">Se adjudico el 30 de julio de 2019 para realizar la fase dos de la Escuela para el Emprendimiento con 20 jovenes de las diferentes IE del municipio.  Escuela para el emprendimiento es un proyecto de aula en competencias financieras y emprendedoras, que busca formar a los estudiantes para que esten en capacidad de formular alternativas viables y sostenibles que generen crecimiento economico en la region y que a su vez conduzca a la posibilidad de formar ciudadanos con competencias emprendedoras, financieras y otra serie de habilidades que permiten la construccion de una mejor sociedad.
DATOS GENERALES DE IMPLEMENTACION PEREIRA: 
AÑO DE INICIO DE IMPLEMENTACION: 2016
AÑO DE FINALIZACION DE IMPLEMENTACION: 2019
INSTITUCIONES VINCULADAS: 3
MUNICIPIOS IMPACTADOS: 1
ESTUDIANTES IMPACTADOS 2019: 1.295 (Grado octavo: 392, Grado noveno: 279, grado decimo: 330, grado once: 294)
DOCENTES VINCULADOS 2019: (noveno: 1, decimo: 1, once:3)
</t>
  </si>
  <si>
    <t xml:space="preserve">TATIANA MURILLO
tatimurillo294@gmail.com
DARIO LONDOÑO
joslon1974@gmail.com </t>
  </si>
  <si>
    <t>Se realizaron 21 actividades  de innovación con empresarios, emprendedores y/o comunidad en el laboratorio de ideación del municipio de Pereira
1.	Empresa Constructora Fortun.
2.	Estudiantes Unisarc.
3.	Coordinadores Cedes.
4.	Grupo Cívico Juvenil Policía Nacional.
5.	Iglesia adventista 7 día.
6.	Grupo de Emprendedores (Cede Comuna del Café).
7.	Estudiantes Técnico en Comercialización de Alimentos (Sena).
8.	Empresarios de Dosquebradas.
9.	Estudiantes del ABS.
10.	Grupo de Emprendedores (Cede Comuna del Café).
11.	Grupo de Emprendedores (Cede Comuna del Café).
12.	Grupo de Emprendedores (Expocamello).
13.	Grupo de Emprendedores (Expocamello).
14.	Grupo de Emprendedores (Expocamello).
15.	Grupo de Emprendedores (Cede Comuna del Café).
16.	Grupo de Emprendedores (Expocamello).
17.	Grupo administrativo universidad Cooperativa
18.	Grupo de Emprendedores (Expocamello).
19.	Grupo de Emprendedores (Expocamello).
20.	Grupo de estudiantes de la UniLibre.
21.	Grupo de Cámara de Comercio de Pereira</t>
  </si>
  <si>
    <t>_Informes
_Registros de asistencia
_Registro fotografico</t>
  </si>
  <si>
    <t xml:space="preserve">Esta acción se impacto de manera conjunta con la actividad de la Fila No.30 "Talleres, laboratorios y semilleros de emprendimiento e innovación con énfasis en nuevas tecnologías (TIC)" No se reporta presupuesto ya que este esta implicito dentro de los alcances de los contratistas que operan los CEDES.  </t>
  </si>
  <si>
    <t>1.	Listado Empresa Fortun con 10 asistentes.
2.	Listado Unisarc con 9 asistentes. 
3.	Listado comunidad con 5 asistentes.
4.	Listado asistente 12 personas Grupo Cívico Juvenil Policía Nacional.
5.	Listado asistentes 10 personas Iglesia adventista 7 día.
6.	Listado asistente 16 personas Grupo de Emprendedores (Cede Comuna del Café).
7.	Listado asistentes 16 personas Estudiantes Técnico en Comercialización de Alimentos (Sena).
8.	Listado asistentes 6 personas Empresarios de Dosquebradas.
9.	Listado asistente 4 del ABS.
10.	Listado asistentes 7 personas Grupo de Emprendedores (Cede Comuna del Café).
11.	Listado asistentes 14 personas Grupo de Emprendedores (Cede Comuna del Café).
12.	Listado asistentes 9 Grupo de Emprendedores (Expocamello).
13.	Listado asistentes 12 Grupo de Emprendedores (Expocamello).
14.	Listado asistentes 8 Grupo de Emprendedores (Expocamello).
15.	Listado asistentes 10 personas Grupo de Emprendedores (Cede Comuna del Café).
16.	Listado asistentes 4 Grupo de Emprendedores (Expocamello).
17.	Asistentes 6 Grupo administrativo universidad Cooperativa.
18.	Listado asistentes 10 personas Grupo de Emprendedores (Expocamello).
19.	Listado asistentes 7 personas Grupo de Emprendedores (Expocamello).
20.	Listado asistentes 10 personas Grupo de grupo de estudiantes UniLibre.
21.	Listado asistentes 10 personas Grupo de Cámara de Comercio de Pereira.</t>
  </si>
  <si>
    <t>EMPRENDEDORES Y EMPRESARIOS	103
_AGROINDUSTRIA		77
_MODA		                  5
_SERVICIOS		5
_CONSTRUCCION		4
_INDUSTRIA		3
_COMERCIO		8</t>
  </si>
  <si>
    <t>Parque Industrial sector A</t>
  </si>
  <si>
    <t>Comuna del Café</t>
  </si>
  <si>
    <t xml:space="preserve">Escuela para el emprendimiento BBVA - Manejo del dinero. 
Periodo Febrero a mayo de 2019.
- Actitudes para el ahorro. Cómo decidir una inversión, cómo usar crédito, mediante la experiencia.
- Creación y lectura de presupuestos, planes de ahorro, comparación entre alternativas de inversión.
- Decisiones financieras dentro y fuera de la idea de negocio, administrar sus recursos y planear su negocio y ahorro familiar.
4 Docentes
2 Instituciones Educativas Alfredo García y Carlos Castro Saavedra </t>
  </si>
  <si>
    <t>FOTOS, VIDEOS, LISTAS DE ASISTENCIA</t>
  </si>
  <si>
    <t xml:space="preserve">$766.057.000
</t>
  </si>
  <si>
    <t>4.712 personas inscritas en formación para el trabajo,  a traves de la oferta permanente que se tienen en los  CEDES, que van desde formación tecnológica, técnica  hasta cursos basicos  en multiples areas de conocimientos como  artes, oficios  y areas administrativas.</t>
  </si>
  <si>
    <t>_Informes
_SPP
_Registros de asistencia
_Registro fotografico</t>
  </si>
  <si>
    <t>Actividad que abarca la operación y funcionamiento de los CEDES, por tal razón no se relaciona presupuesto, para no tener duplicidad del mismo.</t>
  </si>
  <si>
    <t>Para este  periodo estuvieron en funciomiento 6 CEDES (San Nicolas, Del Café, Ormaza, Remanso,  Perla del Otún, el Dorado y en proceso  de adecuación el CEDE Kenedy.</t>
  </si>
  <si>
    <t>_Contratos de prestación de servcios de 6 coordinadores y 6 técnicos que operan los CEDES, _Informes</t>
  </si>
  <si>
    <t>Para  dar cumplimento a esta acción se contrataron en total 12 pesonas. 
Se debe dejar claro que esta actividad abarca la operación y funcionamiento de los CEDES</t>
  </si>
  <si>
    <t>Se realizarón obras de mejoramiento y adeacuación  para la posterior puesta en marcha de los  CEDES  Kenedy   y  Consotá.  Con esto se busca llegar a la comunidad  base,  con las estrategias que se tienen en este programa.</t>
  </si>
  <si>
    <t>_Contrato No. Heberth Quintero Pineda
_Contrato No. Consorcio Proyectos A3</t>
  </si>
  <si>
    <t>Actividad que aplica a la construcción de nuevos CEDES.</t>
  </si>
  <si>
    <t>Para dar cumplimento a esta acción se realizaron dos actividades:               
a)   a través de ViveLab ubicado en el CEDE San Nicolas  se apoyo con asistencia tecnica el proceso de grabación a emprendedores de economía naranja del municipio de Pereira,  con esta linea de emprendedores musicales se  pudo desarrollar :
_Diagnostico,
_Asesoría 
_Grabación
_Edición
_Masterización
_Y producción
El total de los emprendimiento musicales que realizaron todo el proceso fue de 76
b) En esta mismo sentido se formaron 211 personas en:
Diseño audiovisual
Animación 3D
Diseño Aplicaciones móviles
Diseño web
Multimedia</t>
  </si>
  <si>
    <t>_Contrato No.2963 Frank Edwin Valencia
_Contrato No.3482  Virtual Tours
_Informes
_Registro fotografico</t>
  </si>
  <si>
    <t>Mediante gestión comercial se lograron 148 codificaciones en 19 supermercados de la ciudad y 30 codificaciones en líneas institucionales como Hoteles, Restaurantes, Tiendas saludables de la ciudad y droguerías (éstas codificaciones pertenecen a productos agrícolas y agroindustriales de 46 microempresas pertenecientes al programa Hecho en Pereira, Categoría ORO).</t>
  </si>
  <si>
    <t>Como evidencia se tienen fotografías de las labores de impulso de las marcas codificadas en los supermercados, cartas emitidas por los jefes de compra de supermercados, Base de datos de codificaciones.</t>
  </si>
  <si>
    <t>Mediante el desarrollo de ésta estrategia se han impactado 46 microempresarios que han sido previamente diagnosticados y han obtenido el reconocimieno como empresarios ORO del programa Hecho en Pereira. Éste grupo de empresas esta integrada por personas naturales y jurídicas.</t>
  </si>
  <si>
    <t xml:space="preserve">Mediante la estrategia CEDES se realizaron 412 asistencias tecnicas a emprendedores y micro empresarios del municipio </t>
  </si>
  <si>
    <t>_Contratos de prestación de servcios de 6 coordinadores y 6 técnicos que operan los CEDES
_Informes</t>
  </si>
  <si>
    <t>No se relaciona presupuesto,  ya que dentro de los alcances de los contratistas, que operaron los CEDES, se dio cumplimento a esta actividad.</t>
  </si>
  <si>
    <t xml:space="preserve">A traves del Centro de Empleo del Municipio de Pereira se generaron espacios de cierre de brecha laboral con la realizacion de las siguientes actividades:
2 maratones de empleo 
12  mini maratones
2 mini maratones descentralizadas
</t>
  </si>
  <si>
    <t>_Contratos de prestación de servicios de  9 profesionales que atienden el Centro de empleo</t>
  </si>
  <si>
    <t>En el año 2019 se gestionaron 5127 vacantes las cuales ofertadas en estas ferias de empleo y en la plataforma del Servicio Público de Empleo 
El  valor del presupuesto que se relaciona corresponde a los contratos de las personas que operan el Centro de Empleo</t>
  </si>
  <si>
    <t xml:space="preserve">El total de participantes para esta actividad  fueron 699, entre ellos podemos destacar emprendedores, pymes  de la ciudad adscritos a los diferentes programas de la secretaria de DEYC.  </t>
  </si>
  <si>
    <t>_Centros de Emprendimiento __Publica
_Camara de Comercio D/das Eje Moda__Privada
_Contrato No.3445 Simple Eventos  y Relaciones S.A.S
_Contrato No.2774 Simple Eventos y Relaciones S.A.S
_Contrato No.2867 Camara de Comercio de Pereira.
_Contrato No.3480 Acopi.
_Contrato No.5463-533 GPS grupo Profesional</t>
  </si>
  <si>
    <t>_Formacion y atención a empresarios
_Actividades de asociaciones empresariales y de empleadores.
_Realización de eventos públicos, gestión de artistas y organizacón  de seminarios.
_Realización de eventos públicos, gestión de artistas y organizacón  de seminarios.
_Actividades de asociaciones empresariales y de empleadores
_Actividades de asociaciones empresariales y de empleadores
_Organización de convenciones y eventos comerciales</t>
  </si>
  <si>
    <t>_Barrio 2500 lotes
_Barrio San Nicolas
_Barrio Ormaza
_Barrio Parque Indutrial
_Barrio el Dorado
_Barrio Kenedy
_Barrio el Remanso
_Barrio San Jose</t>
  </si>
  <si>
    <t>_Comuna Centro
_Comuna del Café
_Comuna Consota
_Comuna Oriente
_Comuna Villa Santana</t>
  </si>
  <si>
    <t>_Registros de asistencia.
_Registro fotograficos
_Correos electronicos
_Informes</t>
  </si>
  <si>
    <t>Se realizo el concurso la Capital del Eje Canta, dirigido a solistas o agrupaciones del cualquier genero, y desarrollado en el ViveLab del Cede San Nicolas se logro acoger 94 propuestas musicales, de las cuales  7 fueron ganadoras  y premiadas  de la siguiente manera:
1 proyecto musical consolidado ganador, con grabación, mezcla y master de 1 álbum de 9 canciones o 45 minutos.
1 proyecto ganador, con grabación, mezcla y master de 3 canciones.
5 proyectos ganadores, con grabación, mezcla y master de 1 sencillo</t>
  </si>
  <si>
    <t xml:space="preserve">No se relaciona presupuesto,  ya que dentro de los alcances de los contratistas, que operaron los CEDES, se dio cumplimento a esta actividad. </t>
  </si>
  <si>
    <t xml:space="preserve">Se estructuro el modelo de capital de riesgo a través del alcance de un profesional especializado de la Secretaría de competitividad. </t>
  </si>
  <si>
    <t>Armando Moncada
_Contrato No.1316
_Contrato No.4219</t>
  </si>
  <si>
    <t>Cabe resaltar que este  presupuesto es un estimado  y equivale al valor de un alcance sobre el del valor  total de los contrato.</t>
  </si>
  <si>
    <t>META CUMPLIDA EN EL AÑO 2013</t>
  </si>
  <si>
    <t>En 2019 el último año de la administración, Mediante los contratos vigentes con bancoldex e INFIDER se han beneficiado a la fecha un total 56 empresarios con otorgamientos de crédito y se han desembolsado un total de $987.135.908 pesos así:
			✓	Contrato interadministrativo 4477 de 2017 suscrito con INFIDER: 35 microempresas beneficiadas $ 160.065.000 de pesos.
			✓	Convenio interadministrativo 4475 de 2017 suscrito con Bancoldex: 21 CREDITOS DESEMBOLSADOS (10 MICRO – 11 PEQUEÑAS) y $ 827.070.908 de pesos.</t>
  </si>
  <si>
    <t xml:space="preserve">_Contrato Nº 4475 convenio interadministrativo con bancoldex
_Contrato interadmnistrativo No.4477 INFIDER
</t>
  </si>
  <si>
    <t xml:space="preserve">56   microempresas beneficiadas, con estos recursos.
Por habeas data la informacion del sistema financiero no fue aportado.
</t>
  </si>
  <si>
    <t>Por habeas data la informacion del sistema financiero no fue aportado.</t>
  </si>
  <si>
    <t xml:space="preserve">Para dar cumplimiento a  esta acción se realizo la ejecución de actividades de fortalecimiento empresarial y transferencia de conocimientos  frente a las capacidades financieras de los empredendores y empresarios del programa Banca para todos  del municipio de Pereira.
</t>
  </si>
  <si>
    <t>Olivierio Teusa
_Contrato No.1692 
_Contrato No.4985</t>
  </si>
  <si>
    <t>Para esta vigencia no se desarrollaron actividades que impactaran esta acción puestoque  desde la  SDEYC,   no se exigio aporte propio a los benefiiarios, en este orden de ideas se debe tener en cuenta la información suministrada en la fila 42 "Colocación de recursos no reembolsables para crédito".</t>
  </si>
  <si>
    <t>Puesta en marcha del programa Banca para todos a través de la estrategia capital semilla, que tuvo como fin promover la productividad a traves del apoyo al empresario y a los emprendedores de la ciudad,   estos recursos fueron no reembolsables en especie (maquinaria, equipos, materia prima entre otros)
_$460.000.000 en capital semilla(no reembosable)(Fuente:  Banca para todos). en convenio con infider, 62 mujeres y 51 hombres.</t>
  </si>
  <si>
    <t>_Convenio Nº 1064  INFIDER</t>
  </si>
  <si>
    <t xml:space="preserve">Se asignaron  recursos no reembolsables para asistencias tecnicas  a 24 empresas,  igualmente se realizaron  actividades de fortalecimiento empresariay transferencia de conocimiento en el marco del programa de apoyo al desarrollo empresarial  PADE </t>
  </si>
  <si>
    <t>_Contrato No.2966 Acopi
_Contrato No.3382  INFIDER</t>
  </si>
  <si>
    <t>Para dar cumplimiento a esta actividad , la SDEYC a traves de sus programas de PADE Y Capital Semilla aprobó 137 proyectos  los cuales estan especificiados en las lineas 42 y 43.</t>
  </si>
  <si>
    <t>_Contratos
_Informes</t>
  </si>
  <si>
    <t>No se reporta  prespuesto, ni caracterización  por que esta acción hace parte  del otras  acciones.</t>
  </si>
  <si>
    <t xml:space="preserve">Se desarrollo el sistema de información socioeconómica de la ciudad y también se desarrollo la _Plataforma tecnológicade emprendimiento EMPECé, en la cual se realizo acercamiento con emprendores, para adaptar una plataforma de acuerdo a la necesidad de cada uno, se realizo la capacitación de  plataforma tecnológica de y se entrego como herramiento ecomerce.
_Se realizo el mantenimiento y consolidacion del sistema de información de la secretaria de DEYC , para el manejo de indicadores socioeconomicos y la metodologia de bienestar de los Pereiranos. </t>
  </si>
  <si>
    <t>_Contrato No.3562 INNOVATIONS INGENIERIA SAS
_Contrato Nº ESTUDIOS Y CONSULTORIAS SOCIO ECONOMICAS ECSE SAS</t>
  </si>
  <si>
    <t>La implementación del programa de indicadores no compromete población</t>
  </si>
  <si>
    <t xml:space="preserve">_Contrato Nº 3562 Innovation ingenieria S.A.
</t>
  </si>
  <si>
    <t>_Actividades de desarrollo de sistemas informático</t>
  </si>
  <si>
    <t>_15</t>
  </si>
  <si>
    <t xml:space="preserve">Realizar visitas de vigilancia epidemiologica para verificacion del cumplmiento de la normatividad para Violencia Sexual y </t>
  </si>
  <si>
    <t>Visitas a 15,081 familiar de la estrategia APS</t>
  </si>
  <si>
    <t>15,081 familias visitadas, encuestadas y acompañadas en la promocion de la SSR</t>
  </si>
  <si>
    <t>En el año 2019 se presentaron 2 muertes maternas directas por causas evitables</t>
  </si>
  <si>
    <t>Tasa de mortalidad perinatal 2,7 por cada 1000 nacidos vivos</t>
  </si>
  <si>
    <t xml:space="preserve">Se realizaron 20 visitas </t>
  </si>
  <si>
    <t>8 casos de sifilis congénita</t>
  </si>
  <si>
    <r>
      <rPr>
        <sz val="11"/>
        <rFont val="Calibri"/>
        <family val="2"/>
        <scheme val="minor"/>
      </rPr>
      <t>Se logró reducir a</t>
    </r>
    <r>
      <rPr>
        <sz val="11"/>
        <color rgb="FFFF0000"/>
        <rFont val="Calibri"/>
        <family val="2"/>
        <scheme val="minor"/>
      </rPr>
      <t xml:space="preserve"> 1,5 x 1000 </t>
    </r>
    <r>
      <rPr>
        <sz val="11"/>
        <rFont val="Calibri"/>
        <family val="2"/>
        <scheme val="minor"/>
      </rPr>
      <t>nacidos vivos la tasa de sífilis congénita, que significa 8  casos ocurridos en el municipio de Pereira en el 2019</t>
    </r>
  </si>
  <si>
    <t xml:space="preserve">META 2019 </t>
  </si>
  <si>
    <t>Estretegia IEC paraa promovernuevas masculinidades</t>
  </si>
  <si>
    <t xml:space="preserve">Prestacion de aencion en urgencias </t>
  </si>
  <si>
    <t>15 predios</t>
  </si>
  <si>
    <t>207,300,000</t>
  </si>
  <si>
    <t>Se realizan actividades de implementación Buenas prácticas agrícolas y pecuarias.
Se llevan 135,5 ha reforestadas.
Asistencia técnica agropecuaria.
Aplicación del acuerdo 042 sobre incentivos tributarios.</t>
  </si>
  <si>
    <t>El año 2019, cierra con 81 predios implementando y con diferentes grados de avance en el porcentaje de ejecución de BPA. Para un total acumulado de 508 predios.
Para la implementación de las buenas prácticas agropecuarias se realizan capacitaciones, acompañamiento y asistencia técnica para el manejo de residuos líquidos y sólidos, bienestar de trabajadores, calidad y manejo del agua, manejo integrado del cultivo, equipos, utensilios y herramientas adecuadas y áreas e instalaciones requeridas para producir alimentos con calidad e inocuidad.</t>
  </si>
  <si>
    <t>Se realiza convenio para la financiación de proyectos de producción, comercialización o Agroindustria a través de operaciones de redescuento entre el municipio de Pereira y el Fondo para el financiamiento de sector agropecuario Finagro y el Banco Agrario de Colombia S.A</t>
  </si>
  <si>
    <t>la implementacion de  buen aparacticas agricolas</t>
  </si>
  <si>
    <t>Al iniciar la administración en el año 2016 se atendían 10 Asociaciones con 393 Asociados; hoy estamos atendiendo 17 asociaciones con un total 583 asociados, lo que nos da un incremento de 48,34% en número de asociados. Se realiza el mercado campesino que apoya la comercialización de productos agrícolas y apoyo desde la SDRGA con Camión para todas asociaciones</t>
  </si>
  <si>
    <t>Encuesta en campo Difgitalizacion de mapas Digitalizacion de encuestas de infomracion alfanumerica realizacion de encuestas en sitio</t>
  </si>
  <si>
    <t>registros de siembra de plantulacion, informes mensuales, registro fotografico.</t>
  </si>
  <si>
    <t xml:space="preserve">Esta información se recolecta de forma anual para la vigencia vencida mediante las evaluaciones agropecuarias que se realizan en el primer trimestre de 2020  </t>
  </si>
  <si>
    <t>diarios de labor, informes mensuales y registros fotograficos y registros de actas de aasistencia a transferencias de tecnologia</t>
  </si>
  <si>
    <t xml:space="preserve">Esta meta no se cumple puesto que la producción organica es decisión de cada productor </t>
  </si>
  <si>
    <t xml:space="preserve">Esta información se recolecta de forma anual para la vigencia vencida </t>
  </si>
  <si>
    <t>falta de compromisos de los usuarios, por ausencia de beneficios y/o incentivo. La sdryga solo realiza proceso de implementacion, ya que la entidad que certifica es el ica</t>
  </si>
  <si>
    <t>Esta actividad se realiza por demanda, se realiza la asistencia a quien lo solicite</t>
  </si>
  <si>
    <t>Esta actividad no es competencia de la Secretaría de Desarrollo Rural y Gestión Ambiental, sin embargo, se redireccionan las solicitudes a la Secretaría de Infraestructura.</t>
  </si>
  <si>
    <t>usarios con  problema  en datacreditos</t>
  </si>
  <si>
    <t>asistencia tecnica</t>
  </si>
  <si>
    <t>la poca credibilidad derl usuario.</t>
  </si>
  <si>
    <t>Las prácticas de autoabastecimiento no son generalizadas en el municipio, estas prácticas son realizadas por actores específicos como lo son escuelas educativas.
Los productos cultivados y producidos en los corregimientos son comercializados en la zona urbana, por lo cual no se tiene un programa de autoabastecimiento urbano y rural</t>
  </si>
  <si>
    <t>Se visitaron 32 Instituciones educativas y se conformaron 22 patrullas escolares las cuales apoyan al IMP en flujo vehicular y peatonal a las salidas de las jornadas escolares,</t>
  </si>
  <si>
    <t xml:space="preserve">En el marco del Plan Municipal de prevención del reclutamiento de adolescentes y jóvenes, desde la Secretaría de Desarrollo t Político se desarrollaron las siguientes acciones:
• Se actualizó la estrategia de prevención del delito en adolescentes y jóvenes del municipio de Pereira, con un plan de acción definido.
• Se desarrolló e hizo seguimiento a las actividades formuladas en el Plan de acción de la estrategia de prevención del delito en adolescentes y jóvenes del municipio de Pereira (individual). 
En estas actividades se atendieron 872 jóvenes (501 hombres y 371mujeres).
Se aportan como evidencias estrategia actualizada a 2019, base de datos filtrada, registros SPP escaneados y fotográficos.
</t>
  </si>
  <si>
    <t xml:space="preserve">estrategia actualizada a 2019,  base de datos filtrada. registros SPP  escaneados y fotográficos </t>
  </si>
  <si>
    <t>No se mide el indicador porque este es de competencia directa de la Secretaría de Gobierno Municipal.</t>
  </si>
  <si>
    <t>Se dictaron 84 talleres en derechos humanos, resolución pacífica de conflictos, paz y reconciliación, impactando una población total 768 adolescentes y jóvenes de 12 instituciones educativas, población afrodescendiente, población de la mesa municipal de víctimas,desplazados, Ciudadela Salamnca, Portal del campo y 2 cabildos indigénas ubicados en Villasantana, entre otros(se adjunta cuadro)</t>
  </si>
  <si>
    <t>Evidencias reposan en los registros del sistema de políticas públicas, videos, registros fotográficos, asistencias</t>
  </si>
  <si>
    <t>El valor de $100.960.000, fueron los recursos ejecutados en la contratación de talento humanos, para la realización de todas las acciones que en esta política pública le correspondió a la Secretaría de Gobierno</t>
  </si>
  <si>
    <t xml:space="preserve">Para cumplir con esta acción se planearon e Implementaron talleres de capacitación en conciliación y resolución pacífica de conflictos, de los cuales se beneficiaron 872 jóvenes (501 hombres y 371 mujeres).
Adicionalmente se hizo una actividad masiva con 65 participantes.
En total se atendieron 937 jóvenes (541 hombres y 396 mujeres).
</t>
  </si>
  <si>
    <t xml:space="preserve">Desde la SDSYP, se aporta al cumplimiento de la meta a través de la estrategía habilidades para la vida a través de la cual se realizan sensibilizaciones para prevenir el uso y abuso de sustancias psicoactivas. 
Desde la SDSYP, se aporta al cumplimiento de la meta a través de la estrategía habilidades para la vida a través de la cual se realizan sensibilizaciones para prevenir el uso y abuso de sustancias psicoactivas. 
Se brindó apoyo y acompañamiento para el desarrollo de 4 iniciativas  juveniles,  donde se realizó prevención, educación e información del uso y  abuso de drogas las cuales se describen a continuación:
Chicos Kpoop (Grupo de Baile)
Parchando por la Vida  (Prevención del suicidio)
I grupo juvenil en ciudad jardín (Deportiva)
I el grupo juvenil de la vereda Laguneta (Deportiva
Se beneficiaron 2367 jóvenes (1.179 hombres y 1.188  mujeres).
</t>
  </si>
  <si>
    <t>Implementación estrategia  de sexualidad con sentido en 35 Instituciones educativas. Cada institucion educativa tiene un grupo focal de adoelscentes que participan en un procesos de formación  continua  para realizar posteriormente transferencia práctica de conocimientos.  En el ámbito escolar se realiza asistencia técnica a maestros para el proyecto de educación para sexualidad y construcción de ciudadanía con 5 encuentros realizados). Se conformaron cuatro veedurias juveniles (Pablo emilio cardona, kennedy, villa santana, ciudadela cuba). mantenimiento de la pagina virtual  jpvenes con sentido la cual tiene 1803 seguidores. Visitas a IPS (31) para asistencia técnica en atención al adolescente.</t>
  </si>
  <si>
    <t>spp, acta de visita,listas de chequeo</t>
  </si>
  <si>
    <t>696 ncidos vivos de madres adolescentes</t>
  </si>
  <si>
    <t>Es un programa transversal a todas las areas del conocimiento,  de conformidad al Art 1 4de la ley 115 del 1994.
Esta incluido en los manuales de convivencia, con perspectiva de genero y ciudadania de todas las IE oficiles y privadas del municipio de Pereira
PEI con perpectiva de genero y ciudadania.
Unidades didactivas elaboradas como herramientas pedagogica de la secretaria de Educacion  en concurrencia con la secretaria de Salud, para apoyar las instituciones en implementacion del programa.</t>
  </si>
  <si>
    <t>Actas
Fotografias
Asistencias</t>
  </si>
  <si>
    <t xml:space="preserve">asistencia técnica en servicios amigables para adolescentes con enfoque integral. </t>
  </si>
  <si>
    <t>listas de chequeo, actas de reunión</t>
  </si>
  <si>
    <t>la ciudad tiene IPS con atención diferencia. No existe centro  para servicios amigables</t>
  </si>
  <si>
    <t xml:space="preserve">la ciudad tiene IPS con atención diferencia en el 56% de las Instituciones. No existe centro  para servicios amigables. </t>
  </si>
  <si>
    <t>Desde el proyecto de “Asistencia alimentaria y nutricional dirigida a la población en condición de vulnerabilidad social del municipio de  Pereira”, se atendieron 366  jóvenes (54 hombres y 312 mujeres)</t>
  </si>
  <si>
    <t>Se aportan como evidencias Base de datos filtrada</t>
  </si>
  <si>
    <t>Según investigación realizada en el año 2018, los resultados son los siguientes: Obesidad 19,2%, Sobrepeso 18,8%, Delgadez 4,7%.</t>
  </si>
  <si>
    <t>Investigación sobre el estado nutricional en población menor de 28 años en el Municipio de Pereira, año 2018</t>
  </si>
  <si>
    <t>La hora saludable implementada en todas las IE del Municipio.
En IE privadas la secretaria de Salud hace el seguimiento y control a traves de los certificados de salubridad a las instituciones.</t>
  </si>
  <si>
    <t>Durante la vigencia 2019, se realizaron las siguientes acciones para dar cumplimiento al indicador: 
• Se brindó apoyo y acompañamiento para el desarrollo de 3 iniciativas  el juveniles, las cuales se describen a continuación:
 Tecno clases  colegio Mejía Robledo.
 Dibujo de ANIME en el barrio Cuba.
I Grupos juveniles deportivos del JARDIN
• 15 Asesoría y acompañamiento en el proceso de creación y legalización de organizaciones de los siguientes grupos de jóvenes interesados en asociarse.
En total se atendieron 1672  jóvenes (865 hombres y 807 mujeres)</t>
  </si>
  <si>
    <t xml:space="preserve">Para cumplir con esta acción de política durante la vigencia 2019, se apoyaron 3 iniciativas de grupos de jóvenes cabeza de hogar: 
 grupo pereiranisimos (colectivo política social).
 Huellas de amor (Protección animal).
 Club de literatura en el Banco de la República (colectivo de estudio)
En total se atendieron 913 jóvenes con sus familias, (429 hombres y 484 mujeres).
</t>
  </si>
  <si>
    <t>Durante el año 2019 se realizó: 1) 68 Planes de Mejoramiento de los informes de barreras entregados teniendo en cuenta las observaciones y las acciones de mejora propuestas por el equipo de docentes directivos de las 68 Instituciones Educativas del Municipio de Pereira; 2) Se realizó 67 procesos de inserción y revisión de los aspectos del Proyecto Educativo en las Instituciones atendidas en el Municipio de Pereira 3) Se realizó el acompañamiento en la construcción de 2.314 PIAR en las 68 Instituciones Educativas del Municipio de Pereira. 4) Se realizó el diseño y la puesta en marcha del Programa Intersectorial de asistencia a familias en las 68 Instituciones Educativas de los 8 núcleos del Municipio de Pereira.  Se entrega un consolidado final de 2.564 padres de familia capacitados 5) en las 68 Instituciones Educativas del Municipio de Pereira se realizaron 1469 Valoraciones Pedagógicas y 1113 Pre caracterizaciones de los estudiantes 6) Se realizaron 62 visitas tecnicas a IE para implementación del decreto 091</t>
  </si>
  <si>
    <t>Anexo Contrato 2959 de 2019. Progresa</t>
  </si>
  <si>
    <t xml:space="preserve">A través del contrato 2959 de 2019 con la Fundación Progresa se realizó la contratacion de un total de 75 profesionales a través de la modalidad de prestación de servicios. Así como la contratación directa de 7 profesionales en la SEM para orientar este proceso. 
</t>
  </si>
  <si>
    <t>A través de resoluciones de ampliación de licencia, se aprobaron un total de 16 licencias para establecimientos educativos que ofertan metodologías flexibles durante el año 2019, esto para los modelos aceleración del aprendizaje, caminar en secundaria, grupos juveniles creativos y secundaria activa</t>
  </si>
  <si>
    <t xml:space="preserve">Observando las tablas estadísticas presentadas por el ICFES; se puede apreciar un mejoramiento de desempeño en el nivel A- en un 3% en cuanto a la ET entre el año 2018 y el 2019, para los establecimientos educativos rurales y urbanos de la ciudad; lo cual indica que estudiantes que no estaban  dentro de los niveles estipulados por el MCER; durante el año 2019 mejoran su nivel de 0 a A-.
En cuanto a los privados; se puede observar un mejoramiento en los niveles A- y A2. </t>
  </si>
  <si>
    <t xml:space="preserve">Los datos de la vigencia 2019 reportados por parte de ICFES.                                                                  Cabe resaltar que en las pruebas saber, el nivel de inglés más alto es A1, seguida de A-, A2, B1 y B+ siendo esta la calificación más baja.
ET - PEREIRA
B+ : Colombia 2%  Pereira 2%.
B1 :  Colombia 7% Pereira 11%
A2:  Colombia 17% Pereira 24%
A1 :  Colombia 30% Pereira 35%
A- :  Colombia 44% Pereira 28%
</t>
  </si>
  <si>
    <t>Convenio Universidad Catolica 2682
CIAF Convenio 2686. Convenio Universidad Catolica 2682
CIAF Convenio 2686</t>
  </si>
  <si>
    <t>No manejamos datos de educacion superior. Solo de programas emblematicos,  los cuales han dado cubirimiento al 100% de la demanda.</t>
  </si>
  <si>
    <t>De las 73 I.E Publicas , se atendieron un total de 18 I.E articulación con la secretaría de educación. El deporte es una de las areas fundamentales 73 IE oficiales y las privadas art 23 según de la ley 115.</t>
  </si>
  <si>
    <t>La  secretaría de Educacion realizó el acompañamiento a las actividades de la secretaría de Deportes en las 18 Instituciones Educativas.</t>
  </si>
  <si>
    <t>La  Secretaria de Educación  solicita ajustar el responsable de esta acción. Ya que solo hacemos el acompañamiento en las Instituciones Educativas, abriendo los espacios Educativos y gestionando los permisos para realizar las actividades físicas al interior de las Instituciones</t>
  </si>
  <si>
    <t>- 31 Instituciones educativas beneficiadas con el programa comprometiendo juventudes (COLEGIO DE COMBIA, COLEGIO SAMARIA, I.E LA PALABRA,  ALFREDO GARCIA,  JESUS MARIA ORMAZA, I.E SALAMANCA, CUIDAD BOQUIA, INSTITUTO TECNICO SUPERIOR,  HECTOR ANGEL ARCIAL, COLEGIO VILLA SANTANA, MANOS UNIDAS SAN VICENTE, MANOS UNIDAS DANUBIO, COLEGIO COMPARTIR LAS BRISAS, AQUILINO BEDOYA, INSTITUTO KENNEDY, LESTONAC, CUIDADELA CUBA, I.E EL PITAL, SUR ORIENTAL, I.E LA BELLA, JORGE ELIECER GAITAN, HERNANDO VELEZ , I.E 30 DE AGOSTO CLEI, I.E LA JULITA, I.E CARLOTA SANCHEZ, IE GONZALO MEJIA ECHEVERRI,  IE REMIGIO ANTONIO CAÑARTE, I.E PUERTO CALDAS, I.E MUNDO NUEVO.) conformacion de grupos juveniles y fortalecimiento de habilidades para la vida a traves de la recreacion y la educacion experiencial y realizacion de eventos deportivos, culturales, ambientales, etc coordinados por los mismos grupos.
- Programa de inclusion social en comunas y en corregimientos : En el área de inclusión se cuenta con 5 instructores que han hecho intervención en los grupos juveniles de 5 instituciones desde el 22 de febrero de 2019. Las cuales son: I.E Alfredo García, I.E Ciudad Boquía, I.E Ormasa, I.E, Pablo Emilio Cardona e I.E America Mixta; también se ha intervenido en grupos de discapacidad tales como Cindes, Ludes, Arte y saber, Sueños con fé, Sinapsis, Llinas, Las brisas, Pinta tus sueños, Corpovision, Boccia, Liga deportiva de sordos de Risaralda y la fundación Mundo sin drogas. 
- Programa gimnasios comunitarios se cuenta con 6 instructores en Galicia, Parque del café, Bairon Gaviria, en las fundaciones creando vida, Remanso, Reeducar, Vientos de Cambio y Arco Iris. 
-  En el área de Deportes con el programa escuelas de formación deportiva se llegó a  23 instituciones rurales y urbanas en deportes individuales y de conjunto los cuales corresponden a: I.E Combia, I.E Deogracias Cardona, I.E Mundo Nuevo, I. E Gonzalo Mejía Echeverry I.E Hugo Ángel Jaramillo I.E Ciudad Boquia  I. E Kennedy  I. E Augusto Zuluaga, I.E Hernando Vélez Marulanda, I.E San Francisco de Asís,  I.E san Antonio de Padua, I.E Aquilino Bedoya, I.E Ciudadela Cuba, I.E Remigio Antonio,  I.E  El Retiro, I.E Carlos Castro Saavedra, I.E Jaime Salazar Robledo, I.E Inem Felipe, I.E Suroriental,  I.E Sofía Hernández, I.E Salamanca. 
- Habitos y estilos de vida saludable: realizo procesos de  asesoria a 11 instituciones educativas de la cuidad.  Adicioonalmenre se atendio con un instructor de Acroyoga Revolutión a la institucion Rodrigo Arenas Betancur
- Juegos supérate Intercolegiados: Se realizaron estos juegos con la participacion de 98 instituciones educativas publicas y privadas del municipio y un total de 4297 estudiantes participantes.</t>
  </si>
  <si>
    <t xml:space="preserve">Registro fotografico
Regristro eventos SSPP
Contrato minima   skatting board </t>
  </si>
  <si>
    <t>* 84 grupos juveniles (institucionales, comunitarios y con necesidades educativas especiales) conformados a traves del programa comprometiendo juventudes. 
* Realizacion de 255 actividades comunitarias de tipo deportivo, ambiental, social, etc lideradas por los grupos juveniles del programa comprometiendo juventudes dentro de su comunidad.
* A trves de los diferentes programas de lasecretaria se  le brinda oportunidades a los jovenes para que accedan al derecho al DRAEF, como lo expresamos a continuación:
Comprometiendo Juventudes 1990, Comunidades Activas Y Saludables 375, Escuelas Del Juego Y La Motricidad 2,Escuelas Deportivas 1820, Escuelas Recreativas 87, Gimnasios Comunitarios 554, Habitos Y Estilos De Vida Saludable (Hevs)	623, Inclusion Social A Traves Del Deporte Y La Recreacion 325</t>
  </si>
  <si>
    <t xml:space="preserve">Reportes SPP
</t>
  </si>
  <si>
    <t>Se realizaron 2150 apoyos a traves de pasajes terrestres a deportitas del municipio a traves de convenio con el terminal de transportes. Entre los cuales se destaca el apoyo a los participantes de los Juegos supérate Intercolegiados: Convenio con las instituciones para fortalecer las disciplinas deportivas en :  -Futbol: se presentaron apoyos de transporte para 470 niños de instituciones públicas, las cuales constan de 14 instituciones educativas en zonas rurales que corresponden a: I.E La Carbonera e I.E Gabriel Trujillo ubicadas en el corregimiento de Caimalito, I.E Héctor Ángel Arcila ubicada en el corregimiento la Florida, I.E Betulia baja ubicada en el corregimiento de Arabia, I.E Carlos Castro Saavedra Ubicada en el sector Puerto Caldas, I.E Combia  ubicada en el sector de Combia Baja, I.E El pital e I.E  Guillermo Hoyos Salazar ubicada en el sector de Combia Alta, I.E Comunitario Cerritos ubicado en el sector de Cerritos,  I.E. Gonzalo Mejía Echeverry ubicada en el corregimiento de Altagracia, I. E Jose Antonio Galán ubicado en el corregimiento de Tribunas,  I.E La Bella e I.E Mundo Nuevo ubicada en el  corregimiento La bella. I.E San Francisco de Asís ubicada en el corregimiento de Arabia y 1 institución Educativa en zona urbana que corresponde a: I.E. Aquilino Bedoya ubicado en la zona Ferrocarril.</t>
  </si>
  <si>
    <t xml:space="preserve">- Realizacion de un campamento juvenil con 120 adoslescentes y jovenes del programa comprometiendo juventudes en el parque metropolitano del cafe.
- Desde el programa de Comunidades Activas y Saludables se desarrollo un evento de reto juvenil en el Parque del Café.
- Realizacion del torneo de banquitas con 24 equipos juveniles en el marco del dia del deporte pereirano.
- Se fomenta el Skating Board en 3 principales comunas que son: villa olímpica, UTP y Oriente. Este deporte cuenta con un contratista con una cobertura de 32 personas.
</t>
  </si>
  <si>
    <t>se llevo una nueva tendiencia a comunas del municipio de pereira por el auge que toma esta nueva tendencia skatting board de proporcionando en los jovenes concentraciòn n, disciplina y valores.</t>
  </si>
  <si>
    <t>3 Escuelas Depórtivas de Skateboar con el cumplimiento del 55.5% en fomento de actividades innovadoras Deportivas en el municipio de Pereira.</t>
  </si>
  <si>
    <t>18 clases realizadas en 3 comunas ( Oriente, Universidad y Olimpica) 33 Jóvenes impactados en el programa en el año 2019.</t>
  </si>
  <si>
    <t>La información suministrada se consultó del Observatorio DRAEF, ya que esa oferta es propia de la secretará de Deportes en las comunas de pereira y no de la secretará de Educación.</t>
  </si>
  <si>
    <t>No se desarrollaron acciones al respecto</t>
  </si>
  <si>
    <t>- Se actualiza a través de las redes sociales de la Secretaria de Deporte y Recreacion la programación de los eventos de comunas y corregimientos.
- Se crea en la fanpage en facebook del programa comprometiendo juventudes para difusion de actividades de los grupos.</t>
  </si>
  <si>
    <t>comunicados de prensa y registros fotográficos</t>
  </si>
  <si>
    <t>Esta acción es propia de la secretaría de Deportes y por lo tanto es necesario asignar un responsable.                     No se evidenció información de Difusión en el observatorio DRAE correspondiente al año 2019.</t>
  </si>
  <si>
    <t>De las 73 I.E Publicas , se atendieron un total de 10 Institucione Educativas en articulación con la secretaría de educación,  además el arte es una de las areas fundamentales art 23 según de la ley 115.</t>
  </si>
  <si>
    <t>La  secretaría de Educacion realizó el acompañamiento a las actividades de Danza y Teatro en 10 Instituciones Educativas. Impactando a 7.597 jóvenes</t>
  </si>
  <si>
    <t>La secretaría de Educación hace acompañamiento a esta accion de la secretaría de Cultura en 10 I.E de Pereira.</t>
  </si>
  <si>
    <t>Listados en Medios Magnéticos en la Secretaría de Cultura.</t>
  </si>
  <si>
    <t>Incenivar iniciativas en el campo Cultural y de Artes.</t>
  </si>
  <si>
    <t>En el año 2019 la Secretaría de Cultura realizó 3 festivales en 3 Instituciones Educativas denominados promocion de las prácticas Culturales.</t>
  </si>
  <si>
    <t>Se impacto un total de 3.145 estudiantes en los festivales realizados en el 2019.</t>
  </si>
  <si>
    <t xml:space="preserve">Esta acción es propia de la secretaría de Cultura y por lo tanto es necesario asignar un responsable de esta información.  </t>
  </si>
  <si>
    <t>Las actividades artísiticas y culturales son difundidas por la emisora Remigio Antonio Cañarte perteneciente a la secretaría de Cultura de Pereira y por la Red social de Facebook.</t>
  </si>
  <si>
    <t>La difusion se realiza de manera constante y masiva de todas las actividades programadas.</t>
  </si>
  <si>
    <t xml:space="preserve">Es importante aclarar que desde la PP de  juventud se apunta a la estrategia, considerando acciones que apuntan a prevenir las peores formas de trabajo, a su vez desde la PP de infancia se realizan acciones tendientes a prevenir el trabajo infantil  
La SDSYP a través del proyecto juventud, durante la vigencia 2019 realizó las siguientes acciones:
Capacitaciones en proyecto de vida
Sensibilizaciones en derechos de los jóvenes
Asesorías en deberes, derechos y obligaciones
Reuniones y acompañamiento en los operativos programados por el CETI
Jornadas de prevención del trabajo infantil con empresarios de la ciudad
En total se atendieron 1.464 jóvenes (868 hombres y 596 mujeres).
</t>
  </si>
  <si>
    <t>El valor relacionado es un  estimado del costo de atención de un usuario, y este   equivale  al  valor total de los contratos que tienen dentro de su naturaleza la atención a población/ la cantidad total de población atendida en la SDEYC para la vigencia.</t>
  </si>
  <si>
    <t xml:space="preserve">En el marco de la campaña se realizaron 21 visitas a sectores productivos para difundir la ley de primer empleo. 
Así mismo se efectuaron talleres de capacitación para difundir la ley del primer empleo en organizaciones juveniles e instituciones educativas, de los cuales se beneficiaron 619 jóvenes (293 hombres y 322 mujeres). 
Durante el horizonte de la PP hay un acumulado de 8 campañas realizadas (1 por vigencia)
</t>
  </si>
  <si>
    <t>No se aporta a esta meta, ya que no es de competencia de la SDSYP, sino de la Secretaría de Desarrollo Económico  y Competitividad.</t>
  </si>
  <si>
    <t xml:space="preserve">50 Jovenes  apoyados en iniciativas productivas, en los programas de CEDES,  y hecho en Pereira; de los cuales 
5 son empresarios Categoria  Oro  1  Empresario Categoria Plata
30 Empresarios Categoria Inicial </t>
  </si>
  <si>
    <t>Registro de Asistencia Tecnica, Actas de reunión, Registros Fotograficos</t>
  </si>
  <si>
    <t>En las visitas tecnicas, estrategia de desembarque, se realiza seguimiento a la existencia e importancia de los consejos estudiantiles en las IE Oficiales . Es un tema que lidera la Secretaria de Desarrollo Social.</t>
  </si>
  <si>
    <t xml:space="preserve">Se realizó la semana de la juventud en el mes de diciembre donde se desarrollaron actividades de tipo cultural, deportivo, político y de premiación de los jóvenes destacados en cada uno de los diferentes campos.
Aproximadamente se atendieron 3500 jóvenes </t>
  </si>
  <si>
    <t>En la vigencia 2019 se ejerció control social juvenil a través  de la red conformada por : 
La plataforma juvenil
EL Consejo Municipal de política social
El Consejo municipal de políticas públicas de las comunidades Afro.
La participación en el Comité de PP Plan de vida Indígena
La Mesa Departamental de Juventud
Las JAC - Juntas de Acción Comuna
En total se atendieron 2.887 jóvenes y sus familias  (1.625 hombres y 1.262 mujeres).</t>
  </si>
  <si>
    <t>Según el estatuto de ciudadanía juvenil, se unificaron las fechas de elecciones de la alcaldía y el consejo juvenil.  Las cuales se realizaran el proximo 9 de noviembre del 2020
es por esto que se realizo capacitacon a los jovenes de como se van a realizar las elecciones.</t>
  </si>
  <si>
    <t>Se aportan como evidencias Ley 1622 de 2013 y ley 1885 de 2018, resolucion 1074 de la registraduria</t>
  </si>
  <si>
    <t>Ya se cuplio la meta.</t>
  </si>
  <si>
    <t xml:space="preserve">N.A </t>
  </si>
  <si>
    <t xml:space="preserve">Porcentaje de JAC con participación de jóvenes en las JAC: El XX%  de JAC tienen Jóvenes como dignatarios así 
En XX  JAC hay participación de jóvenes / 413 JAC existentes*100%= XX%
En el 2019 el 6.36% de los dignatarios de las JAC son jóvenes así: 374 jóvenes registrados de 5.885 participantes.
374/5885*100%= 6,36%
Para motivar la participación de los jóvenes en las JAC se realizaron las siguientes actividades:
Capacitaciones en participación social y Política, de las cuales se beneficiaron 699 jóvenes y sus familias (334 hombres y 365 mujeres).
</t>
  </si>
  <si>
    <r>
      <t xml:space="preserve">Desde la SDSYP para  fortalecer el CAIVAS y CAVIF  a través del proyecto de juventud se formuló e  Implementó  la estrategia para contribuir en la prevención de la violencia intrafamiliar y de pareja con jóvenes entre los 18 a 28 años y se apoyó la implementación y seguimiento a  las actividades formuladas en el Plan de acción de la estrategia de prevención de la explotación sexual, 
En total se realizaron 38 actividades, de las cuales,  se beneficiaron  4.634  jóvenes (2086 mujeres y 2.610 hombres )
Así mismo desde el proyecto Fortalecimiento de la convivencia social y familiar en el municipio de Pereira, se actualizó e Implementó el modelo pedagógico de convivencia social y familiar, a través del cual se realizaron xx talleres con xx beneficiarios (xx hombres y xx mujeres)
</t>
    </r>
    <r>
      <rPr>
        <sz val="11"/>
        <color rgb="FFFF0000"/>
        <rFont val="Calibri"/>
        <family val="2"/>
        <scheme val="minor"/>
      </rPr>
      <t xml:space="preserve">
</t>
    </r>
  </si>
  <si>
    <r>
      <t>Se aportan como evidencias base de datos filtrada,  salidas de campo registros SPP y fotográfico.</t>
    </r>
    <r>
      <rPr>
        <sz val="11"/>
        <color rgb="FFFF0000"/>
        <rFont val="Calibri"/>
        <family val="2"/>
        <scheme val="minor"/>
      </rPr>
      <t xml:space="preserve"> Acta de seguimiento Plan de acción del proyecto Convivencia social y familiar punto 1. </t>
    </r>
  </si>
  <si>
    <t xml:space="preserve">SSe Implementó la estrategia para contribuir en la prevención de la violencia intrafamiliar y de pareja con jóvenes entre los 18 a 28 años, realizando 29 actividades, de las cuales, se beneficiaron 1.918 jóvenes (824 mujeres y 1.094 hombres).
Se apoyó la implementación y seguimiento a las actividades formuladas en el plan de acción de la Estrategia de prevención de la explotación sexual realizando 9 actividades, de las cuales se beneficiaron 769 jóvenes (294 mujeres y 485 hombres).
El total de beneficiarios es de 2697 (1.118 mujeres y 1579 hombres) 
</t>
  </si>
  <si>
    <t>Para el cumplimiento de este indicador se  realizaron Talleres de capacitaciones de la ley 1622 donde están consignados los derechos y deberes de los jóvenes; así como también se efectuaron sensibilizaciones para prevenir el estigma y la discriminación, actividades  que fueron desarrolladas en instituciones educativas, fundaciones y grupos juveniles,    se beneficiaron   1685  jóvenes, de los cuales fueron  ( 858 mujeres y  827 hombres) .</t>
  </si>
  <si>
    <t>Instituciones educativas publicas y privadas</t>
  </si>
  <si>
    <t xml:space="preserve">la educaciòn. </t>
  </si>
  <si>
    <t>Se visitaron los corregimientos de Tribunas, Cerritos, Altagracia, Morelia,Combia, La Florida, Vda La Estrella, y 16comunas en educacion en transito y en 9 comunas estan constituidas las patrullas escolares,</t>
  </si>
  <si>
    <t>Instituciones Educativas-Mesa de Vícitimas- Comité Afrocolombianos, Cabildos Indígenas</t>
  </si>
  <si>
    <t>Tokio, LasBrisas, Guatabal, Monserrate, Las Margaritas, Salamanca</t>
  </si>
  <si>
    <t>Villasantana, Centro, San Joaquin, Del Café, Cuba,Perla del Otún, Boston, Ferrocarril, Corregimientos de  Caimalito, Cerritos y Puerto Caldas.</t>
  </si>
  <si>
    <t>Instituciones Educativas:Villasantana, Compartir Las Brisas, Jaime Salazar Robledo, Diego Calle Samaria, Málaga, Ciudad Boquía, Salamanca, San Joaquín, Hans Drews, Sofía Hernández, Leningrado, La Julita,Marco Fidel Suarez, Santander, Kénedy, Jesús MaríaOrmaza, Luis Carlos Gonzalez, Carlota Sánchez, Alfredo García,Jesús de la Buena Esperanza, entre otros</t>
  </si>
  <si>
    <t>toda la juriscción urbana y 4 corregimientos</t>
  </si>
  <si>
    <t>EAPB E IPS de atencion primaria</t>
  </si>
  <si>
    <t>12 EAPB 35 IPS</t>
  </si>
  <si>
    <t>56% Cumplimiento en coberturas</t>
  </si>
  <si>
    <t xml:space="preserve">0                    198                  74                     72                     21                     4                      16                     23                     564                   23                             </t>
  </si>
  <si>
    <t xml:space="preserve">0                        68                     2                        16                     43                    65                     83                    92                    12                    88                    </t>
  </si>
  <si>
    <t xml:space="preserve">0                       45                     0                        0                        5                        28                     28                    35                     8                      73                    </t>
  </si>
  <si>
    <t xml:space="preserve">0                        0                       0                       0                        0                         3                       9                      9                      0                      39                    </t>
  </si>
  <si>
    <t xml:space="preserve">0                      0                        0                       0                        0                       0                           0                      0                       0                         0             </t>
  </si>
  <si>
    <t xml:space="preserve">325                   394                   107                   126                   60                    100                   131                   160                   809                  217                  </t>
  </si>
  <si>
    <t xml:space="preserve">1                        16                     9                       2                        3                      1                       1                      0                       2                      0                      </t>
  </si>
  <si>
    <t xml:space="preserve">14                    0                        7                       4                        4                      0                        4                      0                       74                    7                       </t>
  </si>
  <si>
    <t xml:space="preserve">1                      0                          0                       0                        1                      0                       0                       0                      0                      0                       </t>
  </si>
  <si>
    <t xml:space="preserve">0                        0                       0                        0                        0                      0                      0                       0                       0                       0                      </t>
  </si>
  <si>
    <t xml:space="preserve">0                      0                        0                       0                        0                      0                       0                       0                        0                      0                      </t>
  </si>
  <si>
    <t xml:space="preserve">0                       0                       0                       0                       0                      0                      0                       0                       0                      0                      </t>
  </si>
  <si>
    <t xml:space="preserve">7                         0                       1                       0                        1                        0                        0                      0                       2                      0                       </t>
  </si>
  <si>
    <t xml:space="preserve">335                  396                    124                   119                   69                    100                  130                  155                  638                  219                  </t>
  </si>
  <si>
    <t xml:space="preserve">11                     13                    0                        12                     0                      1                      4                      4                       154                  5                       </t>
  </si>
  <si>
    <t xml:space="preserve">2                      1                        0                        1                        0                      0                       2                      1                      95                    0                      </t>
  </si>
  <si>
    <t xml:space="preserve">0                      0                       0                        0                       0                      0                      0                      0                      0                       0                       </t>
  </si>
  <si>
    <t xml:space="preserve">0                       0                        0                        0                       0                       0                      0                       0                      0                      0                       </t>
  </si>
  <si>
    <t xml:space="preserve">0                        0                        0                        0                       0                      0                       0                      0                       0                      0                      </t>
  </si>
  <si>
    <t>Colegios Públicos,Jardines Escolares y Teatros de la Ciudad</t>
  </si>
  <si>
    <t>Capacitacíón a la Primera Infancia,Infancia, jovenes y formación en temas de Cultura y Artes</t>
  </si>
  <si>
    <t xml:space="preserve">348                             410                              124                              132                             69                           101                             136                            160                             887                             224                            </t>
  </si>
  <si>
    <t>Los 2500 Lotes, Alfonso Lopéz,Berlín,Corosto, Codina,elOso,Alamos, Centro,Cañarte,el Rio,  Ferrocarril,Frailes,Olímpico.</t>
  </si>
  <si>
    <t>Altagracia,Arabia, Canceles,Cerritos, Combia,Consotá,Galicia,Guacari,Jordán,LaBella ,Morelia,Tribunas, Ferrocarril,Olímpica,    San Joaquín,Cuba,         Del Café,El Oso, Oriente,Boston</t>
  </si>
  <si>
    <t>47                               623                             432                              711                             96                                889</t>
  </si>
  <si>
    <t>Los 2500 Lotes, Alfonso Lopéz,Berlín,Corosto, Codina,elOso,Alamos, Centro,Cañarte,el Rio,  Ferrocarril,Frailes,Olímpico</t>
  </si>
  <si>
    <t>Altagracia,Arabia, Canceles,Cerritos, Combia,Consotá,Galicia,Guacari,Jordán,LaBella, Morelia,Tribunas, Ferrocarril,Olímpica,    San Joaquín,Cuba,         Del Café,El Oso, Oriente,Boston</t>
  </si>
  <si>
    <t xml:space="preserve">Total Acciones copartidas </t>
  </si>
  <si>
    <t>Total ACCIONES</t>
  </si>
  <si>
    <t>La secretaria de deportes tiene 4 programas donde se intervienen en las comunidades del municipio de pereira, Escuelas de Formacion, Inclusion Social, Escuelas de Juego y Motricidad, Comunidades Activas y Saludables y Habitos y estilos de vida saludable programas que atienden de forma continua los niños, jovenes y adultos de todo el municipio de Pereira (las brisas, tokio, remanso, yarumito, rosal, salamanca, caimalito, puerto caldas (san isidro).</t>
  </si>
  <si>
    <t>Caimalito - carbonera,tribunas, puerto caldas (san isidro)</t>
  </si>
  <si>
    <t>Villasantana, consota, san nicolas, comuna del café, jardin, san joaquin (salamanca)</t>
  </si>
  <si>
    <t>Se llevaron acabo los juegos autoctonos de la poblacion indigena en el municipio de pereira ( tiro de cerbatana 10 personas, tiro de arco 10 personas, presentacion de danzas 10 personas, vara de premio 6 personas, carrera de guatin 6 personas ), llevo a cabo un tornedo de futbol con la participacion de 4 equipos</t>
  </si>
  <si>
    <t>Durante el 2019 se llevo a cabo diferentes eventos en sectores de espacio publico y privado con el fin de dar a conocer la cultura indigena que habita la ciudad. 
 La tradicional Feria Barai donde la comunidad Indigena mostro a la ciudad, su cultura indigena a través de artesanias, gastronomia y danza tradicional,
 Muestra de Danza , gastroomia y artesanias en el Centtro Comercial Pereira y Plaza.
 Demostración artistica en el Centro Cultural Lucy Tejada y Santiago Londoño.
 Participacion en Parques de la ciudad durante la semana de Interculturalidad.</t>
  </si>
  <si>
    <t>Se tiene previsto desarrollar extrategias para el 2020 que le apunten a esta acción recomendada</t>
  </si>
  <si>
    <t>En 2017 se cumplio con esta meta</t>
  </si>
  <si>
    <t>Se trabaja constantemente en abrir formacion para el trabajo con Certificación, cabe resaltar que esta oferta va siempre enlazada a la demanda laboral actual de la región para generar un canal de vinculación. Formación para el trabajo de acuerdo a la necesidad del mercado laboral. Dentro de cada CEDE se maneja una variada lista de formaciones, para cualificar el perfil ocupacional de estas personas. A traves de la operación de 5 Centros de emprendimiento y dasarrollo empresarial. 
 Personal profesional capacitdo. 
 Articulación con entidades de apoyo.</t>
  </si>
  <si>
    <t>1 Persona Indigena inscrita en la Ruta del programa Hecho en Pereira se lleva a las grandes superficies los emprendedores, micro empresarios y empresarios de la ciudad para la comercialización de los productos.</t>
  </si>
  <si>
    <t>Bases de datos, Registros Fotograficos, fichas de caracterización</t>
  </si>
  <si>
    <t xml:space="preserve">El el 2017 se cumplió con esta meta </t>
  </si>
  <si>
    <t>Para la adecuación de la casa indígena se realizaron las actividades: Las autoridades mayores indígenas pintaron internamente toda la casa, adquirieron e instalaron las puertas metálicas para la primer planta: Salón, cocineta y baño; en la segunda planta sobre el nivel de la calle, organizaron las instalaciones eléctricas, hidráulicas y sanitarias. La Casa se doto con 2 mesas y 50 sillas Rimax a través de gestión realizada por la autoridad mayor. Se culmina la vigencia con la casa en perfecto estado de funcionamiento y bajo la administración permanente de las autoridades indígenas.</t>
  </si>
  <si>
    <t>Se aportan como evidencias actas de reunión, registros fotográficos y de campo.</t>
  </si>
  <si>
    <t>Durante la vigencia 2019 se realizaron 3 asambleas del cabildo donde se capacitó sobre JEI y derecho mayor. Se llevaron a cabo en la casa indígena. En dichas asambleas se realizaron sensibilizaciones relacionadas con los derechos de los pueblos indígenas y el derecho internacional humanitario. En total se beneficiaron 349 indígenas (83 hombres y 266 mujeres).</t>
  </si>
  <si>
    <t>El municipio de Pereira NO cuenta con hogares infantiles Indígenas; razón por la cual a traves de los CDIs se brinda una atención integral de calidad, cubriendo todos los NNA de primera infancia indigenas.</t>
  </si>
  <si>
    <t>En el ajuste de la politica publica Indigena, se acordo ajustar o cambiar esta accion, por no tener gestion en ninguna vigencia.</t>
  </si>
  <si>
    <t>Se diseño un curriculo propio modelo para estudiantes indigenas. El cual no ha sido aprobado por la SEM.</t>
  </si>
  <si>
    <t xml:space="preserve">ALIMENTACION ESCOLAR-ALMUERZO:  EMBERA CHAMI: 486 estudiantes indigenas, EMBERA KATIO 21 estudiantes indigenas, otros 29 estudiantes indigenas.  TRANSPORTE ESCOLAR-VALES PARA PAGO DE TRANSPORTE PÚBLICO: EMBERA CHAMI: 107 estudiantes indigenas, EMBERA KATIO 5 estudiantes indigenas, otros 5estudiantes indigenas.
</t>
  </si>
  <si>
    <t>No se realizo ninguna alianza en esta vigencia.</t>
  </si>
  <si>
    <t>No hubo incentivos para poblacion indigena en esta vigencia.</t>
  </si>
  <si>
    <t>No se construyo materiales didacticos en esta vigencia.</t>
  </si>
  <si>
    <t>Se realizaron visitas tecnicas a instituciones educativas privadas y oficiales ( Calazancs, Aquilino bedoya, mega colegio de Samaria, Comunitario ceritos, Colegio Alexander es privado, San fernando en cuba, Ciudadela Cuba, la palmilla, Caimalito, Suroriental, el colegio de San nicolas, Inem, Colegio la palabra, El colegio de Tokyo, La francisco de paula en la comuna Villavicencio, Manos unidos, El Hormaza, La convención) Bajo la estrategia DESEMBARQUE.</t>
  </si>
  <si>
    <t>Conmemoración masivas y por I.E del Día Mundial Contra el Racismo y Semana de la interculturalidad.</t>
  </si>
  <si>
    <t>Fotografías, Asistencias, Actas</t>
  </si>
  <si>
    <t>Realizados sin recursos y con aportes en especies de las organizaciones de bases</t>
  </si>
  <si>
    <t>No se generaron incentivos en esta vigencia.</t>
  </si>
  <si>
    <t>Resolucion y Digital</t>
  </si>
  <si>
    <t>Remanso guayabal: 5 lotes con servicios por valor de $7.368.000 cada uno.</t>
  </si>
  <si>
    <t>Se entregaron 24 mejoramientos de vivienda para la comunidad indigena</t>
  </si>
  <si>
    <t>Se entregaron 24 mejoramientos de vivienda para la población Indígena; De igual manera 6 solicitudes adicionales de mejoramientos de vivienda no cumplieron con los requisitos exigidos.</t>
  </si>
  <si>
    <t>Las 2 estrategias implementadas son: Casa Sana, que incluye la promoción de los derechos sexuales y reproductivos y la Estrategia AIEPI Embera.</t>
  </si>
  <si>
    <t>* LANZAMIENTO DEL PROGRAMA DE EDUCACION INCLUSIVA en el Club de Comercio 252 docentes beneficiados (comunidad educativa en general).
 * 80 talleres de formacion a docentes en DUA (Diseño Universal del Aprendizaje) 1965 docentes de IE oficiales.
 * 39 talleres PIAR (Plan Integral de Ajustes razonables) para 497 docentes. De los cuales 284 mujeres y 213 hombres.
 *13 talleres PIAR 83 participantes 26 hombres y 57 mujeres 
 * Taller en reconocimiento de oferta en general segun decreto 1421 a 68 participantes directivos de los cuales son 30 mujeres y 38hombres .
 * Asesoria y formacion a IE privadas en temas de Inclusion 55 docentes 39 m y 16 h.</t>
  </si>
  <si>
    <t>2.865 Docentes formados en el tema de Educacion inclusiva, basados en listas de asistencias , registro fotografico.</t>
  </si>
  <si>
    <t>*75 profesionales contrato 2959 PROGRESSA. Para atender 4.589 estudiantes con discapacidad. *Se realiza contratación directa de equipo técnico de inclusión de 8 profesionales. *Se realiza contratación directa de equipo técnico de talentos de 10 profesionales.</t>
  </si>
  <si>
    <t>Contratos de proceso</t>
  </si>
  <si>
    <t>La estrategia es un evento de experiencias significativas de investigación donde 12 I.E oficiales socializan sus experiencias de investigación en prácticas inclusivas en discapacidad o talentos</t>
  </si>
  <si>
    <t>12 presentaciones de Experiencias significativas y regisros de asistencia al evento</t>
  </si>
  <si>
    <t>9 metodologias flexibles implementadas.</t>
  </si>
  <si>
    <t>Se establecen 8 resoluciones para legalizar las metodlogias flexibles en el muncipio de Pereira</t>
  </si>
  <si>
    <t xml:space="preserve">*Se realiza revisión  y recomendaciones a 68 Instituciones educativas para la re significación de PEI en el marco de la educación Inclusiva. *Se realiza revisión y recomendaciones a 44 Instituciones educativas para la re significación de PEI en el marco de la educación Inclusiva para talentos y capacidades excepcionales
</t>
  </si>
  <si>
    <t>68 IE OFICIALES con formatos de recomendaciones para ajustes de modelos flexibles y PEI incluyentes y Reflexiones y recomendaciones a</t>
  </si>
  <si>
    <t>Se caracterizó 72 NNA con discapacidad en los grados de preescolar de 69 IE oficiales
 Se sensibilizó a los agentes educativos y docentes de preescolar en el tema de educación inclusiva a través de 2 talleres</t>
  </si>
  <si>
    <t>Registro SIMAT con estudiantes reportados en el sistema y evidencias de talleres realizados a docentes y agentes educativos</t>
  </si>
  <si>
    <t>se realizan a través de las visitas técnicas del grupo de poblaciones sensibilizando las I.E oficiales y privadas en el tema de inclusión y la no discriminación. Se ejecutaron campañas de sensibilIzación en las I.E por parte de equipo de profesionales de apoyo en las 69 I.E oficales del Muncipio</t>
  </si>
  <si>
    <t>Registro de actas de visitas a instituciones edcuativas con soporte de matriz.</t>
  </si>
  <si>
    <t>60 NNA (3 a 5 años edad) CON DISCAPACIDAD</t>
  </si>
  <si>
    <t>Registro SIMAT.</t>
  </si>
  <si>
    <t>3.439 NNA (6 a 14 años edad) CON DISCAPACIDAD</t>
  </si>
  <si>
    <t>1.134 NNA (15 a 17 años edad) CON DISCAPACIDAD</t>
  </si>
  <si>
    <t>No contamos con la caracterizacion de la poblacion Tecnica</t>
  </si>
  <si>
    <t>El programa de formación a padres de familia en manejo de la discapacidad,  un total de 110 talleres a 2564 padres, formación a 130 de padres de talentos excepcionales en detección  y potenciación de talentos</t>
  </si>
  <si>
    <t>Registro de asistencia de asistencia a padres.</t>
  </si>
  <si>
    <t>Se está realizando un diagnóstico de implementación progresiva en las I.E.   oficiales, para el análisis  de la articulación de instituciones educativas incluyentes., a la fecha un total de 68 diagnósticos.</t>
  </si>
  <si>
    <t>Soporte de diagnósticos intitucionales</t>
  </si>
  <si>
    <t>Transferencias a 7 instituciones preferentes en talentos y capacidades excepcionales para compra de materiales</t>
  </si>
  <si>
    <t>Formatos de resoluciones de transferencias</t>
  </si>
  <si>
    <t>10 programas de habilidades para la vida y vocacional para NNA y jóvenes con discapacidad, alianza con secretaria de cultura, secretaría de salud y la UTP.</t>
  </si>
  <si>
    <t>informe ejecutivo del programa</t>
  </si>
  <si>
    <t>Se cuenta con 6 I.E.  oficiales que han realizado los procesos de articulación con el SENA y universidades para un  total de 6 I.E.  oficiales</t>
  </si>
  <si>
    <t>Soportes de diagnósticos  institucionales, que reportan instituciones con vinculación al SENA</t>
  </si>
  <si>
    <t>No existe información.</t>
  </si>
  <si>
    <t>Se realizó evaluación y diagnóstico de barreras en el diseño e infraestructura de 68 I.E. oficiales del municipio para accesibilidad de los estudiantes con discapacidad.</t>
  </si>
  <si>
    <t>Diagnóstico</t>
  </si>
  <si>
    <t xml:space="preserve">$ 17.000.000
</t>
  </si>
  <si>
    <t>Se diseñó el plan de mejoramiento para la implementación de accesibilidad universal el cual será incluido en el plan de equipamiento. se diseña diagnóstico de implementación del decreto 1421 el cual es aplicado en 68 I.E.</t>
  </si>
  <si>
    <t>Continuidad de la implementacion de la estrategia RBC la cual cuenta con 10 nodos comunitarios distribuidos en diferentes zonas del Municipio de Pereira La rehabilitación basada en la comunidad (RBC) es una estrategia integral, la cual realiza actividades de intervención dirigida a personas con discapacidad, sus cuidadores y el entorno de los mismos, y se manejan temas enfocados en la deteccion temprana de riesgos de adquirir una discapacidad.</t>
  </si>
  <si>
    <t>las acciones van dirigidas a la comunidad con discapacidad y sus cidadores</t>
  </si>
  <si>
    <t>Dicha accion se desarrollo con el proceso de asistencia tecnica en salud donde se hace seguimiento a los programas de gestacion, parto y crecimiento y desarrollo, enfermedades cronicas como HTA, DM, ERC, cancer, segun la normatividad vigente teniendo en cuenta las RUTAS de atencion en salud el MIAS, la visitas de asistencia tecnica se realizan por un referente de la Secretaria de Salud Publica y Seguridad Social de Pereira que se encarga de velar por la atención de esta población y desde la linea de trabajo de discapacidad se construyeron las listas de chequeo de paralisis infantil para generar estrategias conjuntas con EAPB e IPS para una atención integral a las condiciones y necesidades de estos menores, Con la estrategia CASA SANA se realizan vistas integrales casa a casa en las zonas mas vulnerables del Municipio de Pereira que han sido priorizadas por la secretaria de salud donde se hace identificaion de factores de riesgos y determinantes de la salud y se tiene en cuenta ala poblacion en condicion de discapacidad. ademas se hace el analisis de disminucion en casa del origen origen de la discapacidad con la poblacion caractrerizada a corte de diciembre de 2019</t>
  </si>
  <si>
    <t>visitas de asistencia tecnica a las 11 EAPB E 31 IPS publicas y provadas del municipio de pereira</t>
  </si>
  <si>
    <t>Por medio de la estrategia colegios saludables en el programa escuela activa, la estrategia CARMEN con la intervencion en los 16 nodos comunitarios y la incorporación de la actividad física en los nodos RBC se da respuesta al indicador, estas estrategias promueven y favorecen la adquisision de hábitos y estilos de vida saludables, promoviendo la salud física, psicológica y social en los ambitos escolares.</t>
  </si>
  <si>
    <t>las acciones van dirigidas a la comunidad en general , con discapacidad y sus cuidadores</t>
  </si>
  <si>
    <t>A dicho indicador se le da respuesta por medio de la estrategia CARMEN: conjunto de acciones para la reduccion multifactorial de las enfermedades crónicas no transmisilbles , la cual promueve y favorece la adquisision de hábitos y estilos de vida saludables, promoviendo la salud física, psicológica y social en la comunidad en general. este programa desarrollo acciones en 16 puntos de encuentro comunitarios.</t>
  </si>
  <si>
    <t>Estrategia CARMEN</t>
  </si>
  <si>
    <t>las acciones van dirigidas a la comunidad en general</t>
  </si>
  <si>
    <t>a vigencia del 2019 se registraron en el RLCPCD 2.000 personas en condicion de discapacidad la cual se encuentran afiliados al regimen contributivo y subsidiado según corresponde.</t>
  </si>
  <si>
    <t>spp, registro para el seguimiento de politicas publicas</t>
  </si>
  <si>
    <t>###</t>
  </si>
  <si>
    <t>Registro fotografico y salidas de campo</t>
  </si>
  <si>
    <t>No se discriminan la población por edad ya que se capacitan es contratiostas de la administración municipal</t>
  </si>
  <si>
    <t>entidad descentralizada SISBEN</t>
  </si>
  <si>
    <t>Se realiza capacitacion al personal de las EAPB/IPS, en el manejo y atencion de las personas en condicion de discapacidad, RLCPD con el proceso de asistencia tecnica donde se intervino las siguientes instituiciones: 2 EAPB(Salud Total, Nueva EPS) y 7 IPS (Clínica del Dolor, Virrey Solis, Kinetica, ESE Unidad Intermedia Centro, ESE Unidad Intermedia Cuba, ESE Unidad Intermedia Kennedy, Corporación IPS) del Municipio.</t>
  </si>
  <si>
    <t>atencion en salud</t>
  </si>
  <si>
    <t>Indicador que se desarrolla por medio de las acciones de asistencia tecnica a EAPB e IPS, total 31 instituciones involucradas en los procesos de fortalecimiento haciendo enfasis en la prevencion y en el manejo de la PCD</t>
  </si>
  <si>
    <t>Se Realiza Capacitación y Sensibilización en: Que es Discapacidad, Tipos de Discapacidad. Normatividad (Derechos y Deberes de personas con Discapacidad) – Ley 1618 de 2013, Registro de Localización y Caracterización de Personas con Discapacidad a 4 Instituciones de educacion superior: Universidad Andina: 15 de mayo con 10 participantes. Universidad Tecnológica: 7 de octubre con 14 participantes. Universidad católica: 21 de noviembre con 28 participantes. Cindes: 25 de noviembre con 8 participantes.</t>
  </si>
  <si>
    <t>Formacion academica</t>
  </si>
  <si>
    <t>Docentes</t>
  </si>
  <si>
    <t>las americas, belmonte, centro,</t>
  </si>
  <si>
    <t>indicador que se desarrolla por medio del proceso de asistencia tecnica, se ha desarrollado el fortalecimiento de los procesos de vigilancia y control a las Entidades Promotoras de Salud EPS, sobre su red prestadora de servicios en la atención a la población con discapacidad y promocion del RLCPD. 12 EPS: (Medimas Contributivo, Medimas Subsidiado, Sanitas, Coomeva, Cosmitet, Sanidad Policía, Sanidad Militar, Salud Total, SOS, Sura, Nueva EPS, Asmetsalud)</t>
  </si>
  <si>
    <t>Se visitan con el proceso de asistencia tecnica 11 EPS y 31 IPS ealizando seguimiento sobre su red prestadora de servicios de rehabilitacion.  se realizan visitas las insituciones de salud la cual no te atiente poblacion directamente sino personal de la salud.</t>
  </si>
  <si>
    <t>Las acciones para la atencion integral de los niños, niñas con discapacidad, se desarrollaron en el marco del seguimiento a la veeduria trabajada con madres de niños con discapacidad, participación en unidad de analaisis de defectos congenitos de niños y niñas con sindrome de down y paralisis cerebral y en la estrategia RBC con su componente de acompañamiento en las actividades de asesoria y participacion comunitaria y acceso al registro de localizacion y caracterizacion de la poblacion con discapacidad.</t>
  </si>
  <si>
    <t>se realizan 6 encuentros con la vveduria que vela por la atencion d elos niños y niñas con discapacidad</t>
  </si>
  <si>
    <t>Se desarrolla en el programa de atención integral al adulto mayor la implementacion de medidas de atencion para la poblacion adulta mayor y discapacidad perteneciente a estas instituciones (centros de proteccion social para el adulto mayor)</t>
  </si>
  <si>
    <t>Se aporta como evidencias actas de entrega y registro fotográfico</t>
  </si>
  <si>
    <t>estrategia rbc</t>
  </si>
  <si>
    <t>Se aportan como evidencias base de datos, registros SPP y fotográficos.</t>
  </si>
  <si>
    <t>Se realiza al diagnóstico RBC en los 10 nodos que se establecieron para el año 2019.</t>
  </si>
  <si>
    <t>actas de reunion, registro fotografico, registro de actividades para el seguieinto de politicas publicas</t>
  </si>
  <si>
    <t>Este indicador se desarrolla con las acciones implementadas desde la estrategia casa sana,</t>
  </si>
  <si>
    <t>registro de actividades para el seguimiento de politicas publicas, spp.</t>
  </si>
  <si>
    <t>estrategia casa sana</t>
  </si>
  <si>
    <t>Con la estrategia RBC se realizo en la vigencvia del 2019 se desarrollaron actividades enfocadas las personas con discapacidad y cuidadores en la cual se ejecutaron actividades ludico- recreativas de fortalecimiento promoviendo Habitos saludables, procesos de rehabilitación, planes caseros, nutrición saludable, deberes y derechos de las PCD, promoción de la salud y prevención de la enfermedad, autocuidado, y fortaleciendo la inclusión social de la discapacidad desde un enfoque diferencial.</t>
  </si>
  <si>
    <t>Por medio de la estrategia RBC antes de inciar la ejeccion de las actividades se hace un acercamiento con los lideres comunitarios de las zonas que fueron priorizadas en este casa comunas con el fin de explicarles en que consiste el proceso y socializar todo el plan de tabajo que se tiene proyectado desarrollar conla poblacion en condicion de discapacidad y sus cuidadores teniendo en cuenta el proceso de fortalecimiento, formación, empoderamiento y acompañamiento empoderamiento de derechos y deberes de PCD, mecanismos de acceso, rutas de atencion por tan se realiza acercamiento con 10 lideres comunitarios.</t>
  </si>
  <si>
    <t>se realizó la conformación de 10 nodos comunitarios de RBC, la cual se realizaron 235 acciones enfocadas en encuentros con líderes comunitarios y presidentes de junta de acción comunal, en donde se les citó previamente por contacto telefónico para que estos fueran el puente para la activación de la estrategia Rehabilitación Basada en Comunidad (RBC). Dando como resultado la concertación de dichos encuentros. Los encuentros se llevaron a cabo en las residencias de los líderes y/o casetas comunales, sus lugares de trabajo y/o en las instituciones en los cuales se realizan las sesiones de trabajo.
 El resultado de estos encuentros fue La activación efectiva de los siguientes 10 nodos RBC:
 1. Nodo 1 Jorge Eliecer Gaitán –Comuna Oriente.
 2. Nodo PADI comuna centro.
 3. Nodo Bella Sardi comuna cuba.
 4. Nodo Samaria 1- Comuna el Poblado.
 5. Nodo Cindes –comuna olímpica 
 6. Nodo Metroparque del Café
 7. Nodo Poblado 2- comúna el poblado.
 8. Nodo claretianos- comuna centro 
 9. Nodo Fundación LUDES comuna Boston
 10. Nodo Poblado 1.
  Proceso de formacion que se desarrolla en el marco de la estrategia RBC, espacios en los cuales se promueve el empoderamiento el derechos y deberes de PCD, mecanismos de acceso, rutas de atencion y la estrategia RBC.</t>
  </si>
  <si>
    <t>Lenguaje de braile en la Sala conectando sentidos, con Mestizando se adelanto procesos de formación en baile y música</t>
  </si>
  <si>
    <t xml:space="preserve">No reporta </t>
  </si>
  <si>
    <t>En temas como: teatro, musica, danza, clases de arte visual, clases de audiovisuales a niños CD, clases de braile a niños y adolescentes, clases de literatura, clases de pintura, estimulacion literatura para personas con discapacidad, talleres metodologia orff niños con discapacidad, manualidades niños con discapacidad,</t>
  </si>
  <si>
    <t xml:space="preserve">No registra </t>
  </si>
  <si>
    <t>Personas con discapacidad contratadas para dictar procesos de formación a personas con discapacidad sin destrezas artísticas. lenguaje de señas y brailie en la Bibliteca Pública de Pereira y formación en musica para poblacion con discpacidad</t>
  </si>
  <si>
    <t>Adjunta dos fotografias sin descripción de las mimas.</t>
  </si>
  <si>
    <t>Todos los Procesos formativos en danza, teatro, musica, lectura, titeres, entre otras actividades de los programas de concertación y estimulos.</t>
  </si>
  <si>
    <t>PERSONAS QUE ACOMPAÑAN A SUS HIJOS, A LOS DIFERENTES PROGRAMAS, SE LES ENSEÑA EL ARTE DE LENGUAJE DE SEÑAS, BRAILIE, CONECTANDO SENTIDOS PARA QUE ADELANTEN LOS PROCESOS EN SUS HOGARES.</t>
  </si>
  <si>
    <t>las Areas de desarrollo artistico, en Música, Teatro, Danza, y artes plásticas Estimulación temprada musical, estimulación sensorial y del desarrollo, tradicion oral, literatura, formas de comunicación (lengua de señas colombiana, brailie, cine).</t>
  </si>
  <si>
    <t>El programa YO CUENTO, adelanto varios programas radiales en la Emisora RAC</t>
  </si>
  <si>
    <t>Crear y poner en marcha talleres de Danza , música, pintura Integrada en los que participan activamente niños, niñas y jovenes de las instituciones con el fin de estimular procesos artisticos que a su vez sirva como proceso terapeutico.</t>
  </si>
  <si>
    <t>Se facilita el espacio radial, los equipos, se orientan en el desarrollo del programa radial, Desarrollo Social define la temática a tratar con las personas con discapacidad.
 El evento masivo se trnasmite por redes sociales en vivo.</t>
  </si>
  <si>
    <t>Grabaciones que reposan en la Emisora RAC.</t>
  </si>
  <si>
    <t>Musica, teatro, danza, estimulación musical, estimulacion sensorial, literatura, formas de comunicación.</t>
  </si>
  <si>
    <t>Contratistas que dictan sus procesos de formación en danza, teatro, musica, lectura, brailie, lenguaje de señas, entre otros, sus grupos incluyen niños, adolescentes, jovenes y adultos con discapacidad.</t>
  </si>
  <si>
    <t>SPP, registro fotografico,</t>
  </si>
  <si>
    <t>acta de reunion CMD</t>
  </si>
  <si>
    <t>Registro SPP, registro fotografico y salidas de campo</t>
  </si>
  <si>
    <t>capacitacion a los cuidadores que asisten al programa miercoles de inclusion para que conozcan sobre la actividad fisica</t>
  </si>
  <si>
    <t>registro de asistencia</t>
  </si>
  <si>
    <t>En articulacion con la secretaria de salud se ejecutaron las capacitaciones a los cuidadores</t>
  </si>
  <si>
    <t>No se cuenta con un programa de capacitacion directa a los entes paralimpicos</t>
  </si>
  <si>
    <t>INSTITUCIONES PARA PERSONAS EN SITUACION DE DISCAPACIDAD</t>
  </si>
  <si>
    <t>EDUCACION Y ACOMPAÑAMIENTO A PERSONAS EN SITUACION DE DISCAPACIDAD</t>
  </si>
  <si>
    <t>Es una meta que no podemos realizar como secretaria</t>
  </si>
  <si>
    <t>Realizacion de la actividad denominada viernes terahpeutico</t>
  </si>
  <si>
    <t>convenio universidad tecnologica de pereira</t>
  </si>
  <si>
    <t>Implmentacion a entidades de discapacidad auditiva</t>
  </si>
  <si>
    <t>Apoyo con transporte terrestre a los integrantes de la liga de discapacidad visual</t>
  </si>
  <si>
    <t>Reigstro fotografico</t>
  </si>
  <si>
    <t>El programa conto con 5 contratistas los cuales estaban asignados a cada una de los diferentes tipos de discapacidad</t>
  </si>
  <si>
    <t>contratos monitores, formatos de prestacion de servicios, registro fotografico</t>
  </si>
  <si>
    <t>Se implementaron los programas de natacion y atletismo paralimpico los dias miercoles en el parque del café</t>
  </si>
  <si>
    <t>Para este periodo no se crearon las escuelas pero se logro avanzar en la esctrutura para la confromacion</t>
  </si>
  <si>
    <t>Se tiene planificados para la segunda semana del mes de noviembre</t>
  </si>
  <si>
    <t>No se realizaron entrega de estimulos a los deportistas paralimpicos</t>
  </si>
  <si>
    <t>Se cuenta con el programa de inclusión el cual realiza intervención en procesos continuos dos veces por semana en las instituciones de personas en situacion de discapacidad</t>
  </si>
  <si>
    <t>reporte del spp de los contratistas, registro fotografico y formato de prestacion de servicios</t>
  </si>
  <si>
    <t>intervenciones en procesos continuos en las instituciones educativas: pablo Emilio Cardona, América mixta, ormaza, carlos castro saeverdra y Alfredo García</t>
  </si>
  <si>
    <t>reporte del spp de los contratistas registro fotografico planes de accion y planes clase</t>
  </si>
  <si>
    <t>Convenio con la universidad tecnológica de Pereira donde se cuenta con: practicantes de recreación específica, medicina deportiva y práctica del programa de medicina comunitaria.
 Participación ciudadana donde se cuenta con la presencia de los jóvenes del servicios social de los diferentes colegios de la ciudad.
 Convenio con la empresa de transporte Covicharalda. Practicantes de las instituciones cede norte y el sena</t>
  </si>
  <si>
    <t>convenios firmados</t>
  </si>
  <si>
    <t>en la vigencia de 2019 se realizan 2,181 registros de localizacion y caracterizacion de personas con discapaciadd.</t>
  </si>
  <si>
    <t>Registro fotografico y SPP</t>
  </si>
  <si>
    <t>Demarcacion vial de las 52 zonas especiales para las personas con movilidad reducida</t>
  </si>
  <si>
    <t>se anexa el cuadro con las direcciones donde se realizó la señalización</t>
  </si>
  <si>
    <t>Mantenimiento a 52 Zonas existentes demarcadas con el logo internacional de discapacidad y demarcación de veinte (20) nuevas zonas . Así como el mantenimiento a las 20 Señales SI-25 verticales instaladas</t>
  </si>
  <si>
    <t>Desde la secretaria de vivienda se desarrolla este 2019 la convocatoria publica con enfoque diferencial con presencia de desarrollo social para la entrega de 3 Lotes con servicios en el Remanso Guayabal para la poblacion discapacitada.</t>
  </si>
  <si>
    <t>Se entregaron 6 mejoramientos de vivienda de recursos propios para la población discapacitada</t>
  </si>
  <si>
    <t>Resolucion Y Digital</t>
  </si>
  <si>
    <t>Se creo una cinta de opciones para personas con discapacidades visulaes y auditivas donde se puede configirar el sitio para que pueda usar utilizado por ellos, de la misma manera contiene el link para descragar la herramienta CONVERTIC</t>
  </si>
  <si>
    <t>www.pereira.gov.co
 Fila superior color gris, se debe desplegar el mas en color morado</t>
  </si>
  <si>
    <t>El sitio web aun no se encuentra con herramientas auditivas al 100%, de la misma manera la web del municipio se entrego de manera gratuita por Bancolombia a la Alcaldia de Pereira. Ademas cabe informar que la pagina no cuenta con ninguna opcion para identificar las condiciones detalladas de las personas que ingresan a la pagina.</t>
  </si>
  <si>
    <t>En todos los puntos vive digital se impactaron 1810 personas, en el punto vive digital de el Inem encontramos una impresora braile, ademas de que los computadores cuentan con programas especiales para la atencion de las diferentes personas discapacitadas que visitan los puntos vive digital como programas para las personas con discapacidad auditiva entre otros.</t>
  </si>
  <si>
    <t>acta de reunion, registro fotografico</t>
  </si>
  <si>
    <t>El Programa Centro de Empleo del Municipio realiza la sencibilización empresarial, y esta es desarrollada por la Gestora empresarial , quien realiza visitas a las las empresas y divulga la Ley Estatutaria 1618 de 2013, promoviendo la vilculación laboral de las personas con discapacidad. En el año 2019 se realizaron 260 visitas empresariales</t>
  </si>
  <si>
    <t>Programa SISE 2019 Ministerio del Trabajo, Informe final de indicadores Centro de Empleo</t>
  </si>
  <si>
    <t>Para esta vigencia se reporta una (1) persona en condición de discapacidad inlcuida en el sector productivo, de las 181 personas atendidas y orientadas.</t>
  </si>
  <si>
    <t>Los Centros de Emprendimiento en su oferta de formación para el trabajo en convenio con e SENA como ente capacitador y certificador mantiene una oferta permanente de cursos cortos (40 y 60 horas), formación tecnica y tecnologica</t>
  </si>
  <si>
    <t>Sistema de Información Politica Publica, Listado de Asisencia y Fichas de Matricula</t>
  </si>
  <si>
    <t>Se Formaron para el trabajo 55 personas en condición de discapacidad a traves de los CEDES.</t>
  </si>
  <si>
    <t>Registro de Visita Empresarial</t>
  </si>
  <si>
    <t>Se visitaron 311 empresas del sector productivo a las que se les realizo proceso de sencibilización en contratación a la poblacion vulnerable.</t>
  </si>
  <si>
    <t>El Centro de Empleo en su infraestructura fue adaptado como un espacio incluyente y dentro de la Ruta de Empleabilidad funciona como centro de información y asesoría para el empleo</t>
  </si>
  <si>
    <t>Sistema de Información Politica Publica</t>
  </si>
  <si>
    <t>En el año 2019 se realizon 181 atenciones a personas en condicion de discapacidad</t>
  </si>
  <si>
    <t>El programa Banca Para todos a traves del Contrato No,5154 de 2018 con Accionar Se logro beneficiar a 120 micro empresarios de los cuales 4 pertenecian a población en condición de discapacidad.</t>
  </si>
  <si>
    <t>4 Personas en condición de discapacidad fueron beneficiadas con capital semilla</t>
  </si>
  <si>
    <t>Recurso  otorgado:  Bancoldex $ 2,480,000 64 beneficiaros,   Infider $792,000 172 Personas beneficiadas. Sin embargo no se tiene la información caracterizada, ya que el proceso se entrego  a  operadores financieros.</t>
  </si>
  <si>
    <t>Se entregaron 4 subsidios para vivienda para la poblacion AFRO en el Remanso Guayabal.</t>
  </si>
  <si>
    <t>Remanso guayabal: 4 lotes con servicios por valor de $7.368.000 cada uno.</t>
  </si>
  <si>
    <t>Se caracterizaron 19 personas de las comunidades Afros para: Vivienda Nueva, Mejoramientos de vivienda y Titulacion.</t>
  </si>
  <si>
    <t>Se entregaron 10 mejoramientos de vivienda para la poblacion Afro.</t>
  </si>
  <si>
    <t>Desde la secretaría de salud, se realizaron las siguientes actividades: Veedurías Juveniles, Hora Saludable, a través de Casa Sana Unidad didáctica de prevención de cáncer y VIH y Unidad didáctica prevención de violencia sexual</t>
  </si>
  <si>
    <t>Desde la secretaría de Salud, a través de la estrategia casa sana se realiza un diagnòstico general con la información obtenida en la caracterización familiar, en la cual se incluye la población afro que atendió la visita familiar.</t>
  </si>
  <si>
    <t>Dispositivo para ejecutar la política pública etnoeducativa</t>
  </si>
  <si>
    <t>Resolución</t>
  </si>
  <si>
    <t>Aún no se expide la resolución de creación de la coordinación
 Caracterizacion Afro en el municipio de Pereira</t>
  </si>
  <si>
    <t>Fotografías y actas de asistencias técnicas y desembarques</t>
  </si>
  <si>
    <t>Este proceso se desarrolló con directivos docentes y docentes de las IE</t>
  </si>
  <si>
    <t>$ 0</t>
  </si>
  <si>
    <t>Ejecución del instrumento de seguimiento.
 Al momento se ha ejecutado el formato en 35 IE.</t>
  </si>
  <si>
    <t>Formatos soporte y seguimiento de las visitas</t>
  </si>
  <si>
    <t>Se presentó una propuesta de diplomado que no fue negada ni aceptada. La propuesta no fue estudiada sin ningún tipo de respusta de la SEM Pereira.</t>
  </si>
  <si>
    <t>No se realizo convocatorias de maestrias y doctorados en esta vigencia.</t>
  </si>
  <si>
    <t xml:space="preserve">En la vigencia 2019, bajo la estrategia de alimentacion se impactaron 1060 NNA estudiantes Afro en el Municipio de Pereira.  En la vigencia 2019, bajo la estrategia de subsidio de transporte escolar se impactaron 245 NNA estudiantes Afro en el Municipio de Pereira.  TRASPORTE RURAL: $99.844.800
TRANSPORTE URBANO:                         $ 96.272.400
</t>
  </si>
  <si>
    <t xml:space="preserve">PAE. Informe Area Cobertura
</t>
  </si>
  <si>
    <t>Conmemoración masivas y por I.E del Día Mundial Contra el Racismo, Mes de la Herencia Africana y Semana de la interculturalidad.</t>
  </si>
  <si>
    <t>Caracterización 50 NNA primera infancia Afro en todas las IE oficiales del municipio de Pereira.
 El icbf no entrega caracterizacion de los CDIS</t>
  </si>
  <si>
    <t>Alimentacion, transporte, conectividad, seguro estudiantil, jornada unica,</t>
  </si>
  <si>
    <t>Cuentan con todos los beneficios y estrategias de calidad educativa en las IE oficiales del muncipio de Pereira.</t>
  </si>
  <si>
    <t>El icbf no entrega caracterizacion de los CDIS</t>
  </si>
  <si>
    <t>No se realizaron alianzas o convenios con instituciones de educacion tecnica o superior, donde la SEM haya entregado recursos.</t>
  </si>
  <si>
    <t>Se desarrolla el programa de formación cultural en danza afrocolombiana en el Lucy Tejada y el Lucy Tejada y visitas guiadas al interior del Centro Cultura Lucy Tejada donde los estudiantes pueden compartir otros aprendizajes en la biblioteca, emisora cultura, banda sinfónica.</t>
  </si>
  <si>
    <t>La Secretaría de Cultura tienen un programa específico para estas comunidades afrodescendientes, los cuales no requiren de firmar ningun tipo de convenio ya que todos los programas de formación de la Secretaria de Cultura, son gratuitos tanto en el Lucy Tejada incluyendo la Biblioteca y sus satélites.</t>
  </si>
  <si>
    <t>En la Biblioteca satélite de San Joaquin se tiene dos bibliotecarios espacio que cuenta con 2440 libros, esta dotada con 10 portátieles a servicio de la comunidad del sector que en su mayoria son afrodescendientes, tiene una sala infantil con capacidad para 10 niños</t>
  </si>
  <si>
    <t>exposicion del colegio la carbonera denominada Soñando a traves de la Obra de Lucy Tejada, en conmemoracion de la afrocolombianidad.</t>
  </si>
  <si>
    <t>A través de la Emisora Cultural Remigio Antonio Cañarte se visualizan las tradiciones afro, ademas de publicitar los diferentes eventos interculturales que se adelantan en la ciudad como ferias. Se realizó la Feria BARAI donde se muestran artesanías de población Afro. a traves del programa de estimulos</t>
  </si>
  <si>
    <t>grabaciones que reposan en la emisora RAC. Youtobe,</t>
  </si>
  <si>
    <t>12 programas de visualizacion a traves de Musica Recomendada, invitados especiales afrodescendientes,</t>
  </si>
  <si>
    <t>Presentaciones en plazas, parques de la ciudad y barrios como salamanca, el Plumón, San Nicolas y Villasantana.</t>
  </si>
  <si>
    <t>universidad tecnologica de pereira practicantes participacion comunitaria 10- pedagogia infantil 18 practicantes,club deportivo boca juniors comuna ferrocaril plumon alto 5 practicantes</t>
  </si>
  <si>
    <t>cada practicante en el mes tiene 4 intervencion de 3 horas 12 horas al mes pagadas a 100.000 cada hora</t>
  </si>
  <si>
    <t>1.corporacion impacto juvenil-tokio 2.juntas de accion comunal tokio 1-2-3 3. junta de accion comunal barrio intermedio 4.remanso junta de accion comunal sector2 5. las brisas sector A</t>
  </si>
  <si>
    <t>10 monitores</t>
  </si>
  <si>
    <t>realizacion de los juegos afros parque metropolitano del café 17 de noviembre del 2019</t>
  </si>
  <si>
    <t>se realizaron los juegos en el festival raices pacificas tokio mania villasantana festival de juegos tradicionales y torneo de micro futbol los dias 11 ,12 ,13 de octubre se beneficiaron 280 personas se entrego premiacion, trofeos medallas masculino y femenino para cada participante</t>
  </si>
  <si>
    <t>Se brinda atencion a 455 personas afrodescendientes a traves de los programas regulares de la secretaria de Deporte y Recreaciòn; Tales como Comunidades Activas y Saludables, Habitos y estilos de Vida saludable, Jovenes Por pereira, Recreaciòn para la niñez, escuelas deportivas, gimnasios comunitarios, inclusio n social</t>
  </si>
  <si>
    <t>17 monitores de deporte y actividas fisica</t>
  </si>
  <si>
    <t>Se brindo atencion a adultos mayores, jóvenes, adolescentes y niñ@s , afrodescendientes , tanto en el sector urbano como en el sector rural, en los diferentes asentamientos: tokio, villasantana, remanso, salamanca, caracol la curva, caimalito, plumon. a traves de los programas regulares de la secretaria de Deporte y Recreaciòn; Tales como
 1- PROGRAMA COMPROMETIENDO JUVENTUDES SE EJECUTARON EN LOS ASENTAMIENTOS DE PLUMON ALTO (INVASION)-SALAMANCA-TOKIO-VILLA SANTANA (INTERMEDIO)- con un total de 117 usuario 2-PROGRAMA ESCUELAS RECREATIVAS SE EJECUTO EN EL ASENTAMIENTOS DE SALAMANCA con un total de 87 usuario 3-PROGRAMA DE ESCUELAS DE JUEGO Y MOTRICIDAD SE EJECUTARON EN LOS ASENTAMIENTOS DE SALAMANCA-TOKIO con un total de 88 usuario 4-PROGRAMA ESCUELAS DEPORTIVAS SE EJECUTARON EN LOS ASENTAMIENTOS DE EL PLUMON -PLUMON BAJO (INVASION)-REMANSO-VEREDA CAIMALITO- con un total de 214 usuario 5-PROGRAMA COMUNIDADES ACTIVAS Y SALUDABLES SE EJECUTARON EN LOS ASENTAMIENTOS DE EL PLUMON-VILLA SANTANA (INTERMEDIO)- con un total de 39 usuario 6-PROGRAMA GIMNASIOS COMUNITARIOS SE EJECUTARON EN LOS ASENTAMIENTOS DE SALAMANCA-TOKIO-VILLA SANTANA -con un total de 47 usuario 7-PROGRAMA HABITOS Y ESTILOS DE VIDA SALUDABLE (HEVS) SE EJECUTARON EN LOS ASENTAMIENTOS DE CARACOL LA CURVA -PLUMON ALTO (INVASION)-REMANSO-SALAMANCA-VEREDA CAIMALITO-VILLA SANTANA (INTERMEDIO)- con un total de 244 usuario 8-PROGRAMA DE INCLUSION SOCIAL A TRAVES DEL DEPORTE Y LA RECREACION SE EJECUTARON EN LOS ASENTAMIENTOS DE PLUMON ALTO (INVASION)-SALAMANCA-TOKIO- con un total de 184 usuario 9- PROGRAMA DE ESCUELAS ACTIVAS Y SALUDABLES SE EJECUTO EN EL ASENTAMIENTO DE VILLA SANTANA (INTERMEDIO) con un total de 66 usuario Se brinda atencion a la comunidad con un total de 283 personas afrodescendientes a traves de los programas regulares de recreacion</t>
  </si>
  <si>
    <t>6 monitores de recreacion</t>
  </si>
  <si>
    <t>Se tuvieron implementadas escuelas deportivas con un total de 108 niñ@s beneficidos en las disciplinas : atletismo,futbol, rugby, natacion, taekwondo en los asentamientos de:PLUMON BAJO (INVASION) FUTBOL 28 niñ@s beneficiados NATACION 15 niñ@s beneficiados , REMANSO FUTBOL 47niñ@s beneficiados , VEREDA CAIMALITO FUTBOL 25 niñ@s beneficiados RUGBY 22 niñ@s beneficiados , TOKIO FUTBOL 30 niñ@s beneficiados TAEKONDO 15 niñ@s beneficiados Y ATLETISMO 10 niñ@s beneficiados , VILLA SANTANA (INTERMEDIO) FUTBOL 22 niñ@s beneficiados</t>
  </si>
  <si>
    <t>7 monitores de escuelas escuelas</t>
  </si>
  <si>
    <t>Esta accion corresponde a la secretaria departamental</t>
  </si>
  <si>
    <t>En esta vigencia no hubo demanda para establecer dichos semilleros</t>
  </si>
  <si>
    <t>Se viene solicitando dentro del ajuste de la política modificar esta acción ya NO ES DE LA GOBERNABILIDAD de la Secretaria de Desarrollo Económico y Competitividad</t>
  </si>
  <si>
    <t>Los Centros de Emprendimiento dentro de sus multiples facetas son los encargados, de brindar asistencia tecnica y acompañamiento a los Emprendedores</t>
  </si>
  <si>
    <t>SPP, Fichas de Caracterización Empresarial</t>
  </si>
  <si>
    <t>En el 2019 se realizaron en este proceso 11 atenciones a iniciativas empresariales</t>
  </si>
  <si>
    <t>Se tiene el Sistema de Información SISE donde se registran las hojas de vida de los usuarios buscadores del Centro de Empleo como banco de datos</t>
  </si>
  <si>
    <t>Sistema de Información SISE operado por el Centro de Empleo</t>
  </si>
  <si>
    <t>62 Personas afro fueon vinculadas laboralmente a traves del Centro de Empleo</t>
  </si>
  <si>
    <t>Se implemento el mecanisco de cualifiacion ocupacional PERFORMANCE.</t>
  </si>
  <si>
    <t>163 Personas formadas para el empleo, en los CEDES y Centro de Empleo</t>
  </si>
  <si>
    <t>No se cumple con esta acción "A pesar de que se gestiono a traves del SENA para que se pudiera establecer la escuela de forma gratuita para la población y que se pudiera certificar, se tuvo una respuesta negativa ya que los ambientes de estudio para tal fin, requieren unas condiciones que los CEDES no cumplen"</t>
  </si>
  <si>
    <t>Mediante el programa Hecho en Pereira se lleva a las grandes superficies los emprendedores, micro empresarios y empresarios de la ciudad para la comercialización de los productos.</t>
  </si>
  <si>
    <t>Desde la estrategia casa sana se visitaron 15080 familiasMediante las visitas familiares de la estrategia casa sana se verifica asistencia a control prental y educaion en signos de alarma.Realizar unidades de análisis al 100% casos de  mortalidad perinatal y sífilis congénita
Se Realizaron  visitas de vigilancia epidemiológica al 100% de mortalidad materna y mortalidad perinatal 
Realizaron 76  visitas a IPS  para verificar el cumplimiento de la normatividad frente al programa  de deteccion temprana de alteraciones del embarazo</t>
  </si>
  <si>
    <t>Listas de chequeo
Informe ejecutivo de visitas
Actas de unidades de analálisis
Seguimiento a planes de mejoramiento</t>
  </si>
  <si>
    <t xml:space="preserve">Se presentaron 2 muertes maternas </t>
  </si>
  <si>
    <t>Se realizaron actividades como asistencia tecnica a la red publica y privada del municipio sobre salud materno perinatal y crecimiento y desarrollo (32 IPS cImplementación de la estrategia Casa sana através de la cual se visitaron 15080   familias que recibieron educación en la prevención morbimortalidad infantil. Implementación de la estrategia vecinos y amigos de la infancia, con conformación de 10 grupos en lols cuales se orientan temáticas relacionadas con la salud infantil, Implementación de la estrategia AIEPI para lo cual se realizó una capacitación de AIEPI clinico con cinco sesiones  para el personal de salud ( 28 asistentes)  y 8 cursos de AIEPI comunitario (245 asistentes). Se llevó cabo un curso de actualizacion en vacunación para profeisonales de la salud con 91  asistentes. Dado el riesgo que representa las comunidades indigenas por su alta vulerablidad se realizaron 47 encuentros educativos con indigenas en el corregimiento de caimalito y 55 visitas familiares . asi mismo se llevo a cabo un encuentro con jaibanas indigenas para intercambio de saberes en cuanto a la morbimortalidad prevenible en menores de cinco años.</t>
  </si>
  <si>
    <t>Con corte 30 de noviembre se han aplicado 4446 de 3ras dosis de pentavalente, se realizaron 86 visitas de asistencia tecnica a las IPS para la verificaicon del programa del Programa Ampliado de inmunizaciones. 37 visitas de la estrategia AIEPI (cumplimientno 100%), se realizaron 23 visitas de calidad del dato en sistema de informacion para el programa de vacunacion (cumplimiento 96%), se realizaron el recorrido en 192 barrios priorizados del municipio, en las comunas Villasantana, El Roció, Rio Otún, Del café, Consota, El Oso, Perla del Otún, Ferrocarril, San Joaquín, Puerto Caldas, Caimalito, Altagracia, Arabia, La Florida, Galicia.  se vacunaron: menores de 5 años  1069, VPH en niñas de 9 y 17 años 211, mujeres en edad fertil 3690, gestantes 11, adultos mayoresd e 6o años y cronicos 3796.(cumplimiento del 100%). Se realizaron 4 jornadas nacionales de vacunacion en enero, abril, julio y octubre (cumplimiento del 100%), se realizaron 4 comites de vacunacion con las IPS del municipio (cumplimiento 100%). Se cuenta con 15 unidades AIEPI comunitarias, a cada una se le realizo 4 vistas, se han educado 146 padres y cuidadores (total 60 visitas cumplimiento del 100%), El 15 de cotubre se realizo actualizacion de PAI por parte del ministerio de salud con 91 asistentes, se han realizado 8 cursos AIEPI comunitarios con 300 asistentes entre actores de la universidad andina, ICBF fundalimentos, madres comunitarias, normalistas y personal de salud de la ESE salud (cumplimiento del 100%), se realizo curso clinico de AIEPI con 5 encuentros 30 agosto, 06, 20 y 27 de septiembre y 2 octubre, se certifican 28 profesionales de la IPS.</t>
  </si>
  <si>
    <t>Informes mensuales de vacunacion</t>
  </si>
  <si>
    <t>95% de gestantes con prueba de VIH</t>
  </si>
  <si>
    <t>Se Realizaron 76  visitas a las  IPS  para verificar el cumplimiento de la normatividad frente al programa  de deteccion temprana de alteraciones del embarazo, donde se garantiza la aplicación dela estrategia mundial para la reduccion de la transmision vertical de VIH</t>
  </si>
  <si>
    <t>Actas de visita, Listas de chequeo</t>
  </si>
  <si>
    <t xml:space="preserve">Revision semanal de los sistemas de información para verificar la notificación del evento de transmision materno infantil de VIH, Seguimiento caso a caso a usuarias gestantes con diagnóstico de VIH para garantizar su atencion integral                                                                 Visitas institucionales para verificar la calidad del control prenatal y la aplicacion de guias de manejo actualizadas
seguimiento en campo a usuarias con alto riesgo </t>
  </si>
  <si>
    <t>De 5 mujeres con VIH en periodo de gestación, se presentó un caso de transmision materno infantil de VIH</t>
  </si>
  <si>
    <t xml:space="preserve">Seguimiento caso a caso de la notificacion se sífilis gestacional para evitar la sifilis congenita
Garantizando tratamiento adecuado y de inmediato al momento del diagnostico
Seguimiento a la gestante y su pareja para realizacion de tratamiento
Articulacion con EAPB, IPS y Secretaria Departamental para los seguimientos respectivos
</t>
  </si>
  <si>
    <t>Actas de reunion
Informes de seguimiento</t>
  </si>
  <si>
    <t>En total se han reportado 87 casos de mujeres gestantes con sífilis, 28 casos tratados antes de la semana 17</t>
  </si>
  <si>
    <t xml:space="preserve">Seguimiento caso a caso de la notificacion se sífilis gestacional para evitar la sifilis congenita
Garantizando tratamiento adecuado y de inmediato al momento del diagnostico
Seguimiento a la gestante y su pareja para realizacion de tratamiento
Unidades de análisis de los casos de sifilis congenita
</t>
  </si>
  <si>
    <t>Actas de reunion
Informes de seguimiento
Acta de unidad de análisis</t>
  </si>
  <si>
    <t>No hubo mortalidad por enfermedad diarreica aguda</t>
  </si>
  <si>
    <t>Ante caso de mortalidad por ERA o IRA se realiza unidad de análisis con partcipación de la red prestadora de servicios de salud y EAPB para identificar aspectos de mejora.Asi mismo se desarrollan acciones dedse la promoción de la salud y prevención de la enfermedad. A través de la estrategia casa sana se identifican factores de riesgo para la infancia y se realizan visitas de educación familiar. Son 15.080 familias caracterizadas y se han realizado 14729 sesiones educativas a familias en temas relacionados con la salud materno infantil.Se realizaron actividades como asistencia tecnica a la red pública y privada del municipio sobre salud materno perinatal y crecimiento y desarrollo (32 IPS . Implementación de la estrategia vecinos y amigos de la infancia, con conformación de 10 grupos en lls cuales se orientan temáticas relacionadas con la salud infantil, Implementación de la estrategia AIEPI para lo cual se realizó una capacitación de AIEPI clinico con cinco sesiones  para el personal de salud (28 asistentes)  y 8 cursos de AIEPI comunitario (asistentes 245). Se llevoa cabo un curso de actualizacion en vacunación para profeisonales de la salud con 91  asistentes. Dado el riesgo que representa las comunidades indigenas por su alta vulerablidad se realizaron 47 encuentros educativos con indigenas en el corregimiento de caimalito y 55 visitas familiares . asi mismo se llevo a cabo un encuentro con jaibanas indigenas para intercambio de saberes en cuanto a la morbimortalidad prevenible en menores de cinco años.</t>
  </si>
  <si>
    <t>3,0 x 1000 menores de 5 años</t>
  </si>
  <si>
    <t>Acta de unidad de análisis</t>
  </si>
  <si>
    <t>Un caso notificado la niña llevaba en pereira 3 meses procedente de Aguila Valle llegó desnutrición severa.</t>
  </si>
  <si>
    <t xml:space="preserve">Se realizan visitas a IPS para asistencia técnica en atencion a la primera nfancia e infancia. </t>
  </si>
  <si>
    <t>listas de chequeo , informes ejecutivos a IPS</t>
  </si>
  <si>
    <t xml:space="preserve">Se realizaron 58  actividades cde consejeria en lactancia materna para la promoción, protección y apoyo de esta práctica saludable  . Asi mismo,  se realizaron 694 actividades  de educación  en plato saludable y salud nutricional con mayor énfasis en el ámbito escolar. Fueron 15080   familias beneficiadas con educación en plato saludable a través de la estrategia inspirada en ateción primaria en salud denominada Casa Sana..
Se priorizaron 51 Instituciones educativas del municipio para lograr tienda escolar saludable.. Se realizó busaueda activa comunitaria de desnutricion  a 20394  menores de edad , de tal forma que se permita realizar mediciones  parciales  del estado nutricional de la población mas vulnerable. Se firmaron  convenios entre  ICBF,  Alcaldia,  comfamiliar para recuperación nutricional de niños identificados en los ejercicios comunitarios. Jornadas de actualización en normatividad vigente en protocolo de atencion  la desnutricion   con profesionales  de la salud ( 5 encuentros educativos con 68 asistentes). Vigilancia eidemiologica al 100% de casos notrificados con bajo peso al nacer  (153 casos notificados)  </t>
  </si>
  <si>
    <t>registros de valoraicon nutricional.  Busqueda activa</t>
  </si>
  <si>
    <t>valoraciones que se realizan a través del programa salud nutricional y la estrategia casa sana</t>
  </si>
  <si>
    <t xml:space="preserve">Cambio de indicador por 2465 de 14 de junio de 2014.  </t>
  </si>
  <si>
    <t>Informe investigación 2018</t>
  </si>
  <si>
    <t xml:space="preserve">Desde el programa de salud nutricional se realizan 36 visitas a iE publicas y 15 IE privadas para asistencia técnica de la oferta alimentaria en las tiendas escolares acurdeo 43 de 205Se realizaron 58  actividades cde consejeria en lactancia materna para la promoción, protección y apoyo de esta práctica saludable  . Asi mismo,  se realizaron 694 actividades  de educación  en plato saludable y salud nutricional con mayor énfasis en el ámbito escolar. Fueron 15080   familias beneficiadas con educación en plato saludable a través de la estrategia inspirada en ateción primaria en salud denominada Casa Sana..
Se priorizaron 51 Instituciones educativas del municipio para lograr tienda escolar saludable.. Se realizó busaueda activa comunitaria de desnutricion  a 20394  menores de edad , de tal forma que se permita realizar mediciones  parciales  del estado nutricional de la población mas vulnerable. Se firmaron  convenios entre  ICBF,  Alcaldia,  comfamiliar para recuperación nutricional de niños identificados en los ejercicios comunitarios. Jornadas de actualización en normatividad vigente en protocolo de atencion  la desnutricion   con profesionales  de la salud ( 5 encuentros educativos con 68 asistentes). Vigilancia eidemiologica al 100% de casos notrificados con bajo peso al nacer  (153 casos notificados)  </t>
  </si>
  <si>
    <t>Formato de semaforización cafeterías escolares</t>
  </si>
  <si>
    <t xml:space="preserve">Desde el programa de salud nutricional se realizan actividades como: Promoción de la lactancia materna, para lo cual se realizaron 58 cursos de consejería dirigidos a comunidad y profesionales de la salud, visitas a 62 empresas para la promoción de las salas amigas de la lactancia. </t>
  </si>
  <si>
    <t>Subió dos puntos la media de lactancia. Para el año 2015 estaba en 2.</t>
  </si>
  <si>
    <t>seguimiento al 100% de casos notificados</t>
  </si>
  <si>
    <t>se hace vigilancia en salud pública</t>
  </si>
  <si>
    <t>71 personas atendidas</t>
  </si>
  <si>
    <t>50 personas</t>
  </si>
  <si>
    <t>Para mover los indicadores de situación de calle y trabajo infantil, desde la Secretaría de Desarrollo Social y Político se realizaron las siguientes acciones: 
• Se realizaron 57 Recorridos de calle para identificar niños, niñas y adolescentes en situación de calle y trabajo infantil.
A través de los cuales se realizaron 164  sensibilizaciones.
• Visitas domiciliarias para caracterización socio familiar de NNA identificados en situación de calle y con trabajo infantil.                                                                                                         
• 7 operativos así: un operativo en apoyo al programa de indígenas sobre Mendicidad indígena,  uno programado desde el CIETI, uno con apoyo al programa EMPI de ICBF, uno de apoyo al programa de habitante de calle y uno de apoyo a la secretaria de Gobierno municipal. No se identificaron NNA en riesgo de calle.
•109 talleres pedagógicos en prevención de trabajo infantil de los cuales se beneficiaron 707 personas                                       
•Conmemoración del día internacional de Erradicación del Trabajo Infantil a través de: actividad lúdica en el barrio el Plumón, Conversatorio sobre el ETI y operativo de sensibilización en semáforos.
• Se participó en actividades de trabajo extramural en acompañamiento al proyecto habitante de calle y en riesgo de calle. se identificaron 3 NNA en riesgo de calle.</t>
  </si>
  <si>
    <t>Se aporta como evidencias informe ICBF, salidas de campo, Registros SPP y fotográficos</t>
  </si>
  <si>
    <t xml:space="preserve">Se aporta el número total de NNA en situación de calle menores de 18 años reportados por el ICBF y que se encuentran en proceso de restablecimiento de derechos.  Es importante aclarar que el ICBF no aportó el dato discriminado ni por sexo, ni  por ciclos de edades </t>
  </si>
  <si>
    <t>$ 78.955.165</t>
  </si>
  <si>
    <t>$ 68.556.292</t>
  </si>
  <si>
    <t>$ 10.398.873</t>
  </si>
  <si>
    <t>Por parte de la Secretaría de desarrollo Social y Político, durante la vigencia 2019, se implementaron las siguientes actividades de  prevención, que contribuyeron al cumplimiento de los indicadores de maltrato, abuso sexual y consumo de sustancias psicoactivas
• 136 asesorías psicológicas para seguimiento  y activación de las rutas de atención en los casos requeridos y para asesorar en prevención y atención del consumo SPA.
• 98 asesorías pedagógicas, seguimiento  y activación de las rutas de atención en los casos requeridos
• 52 asesorías Familiares.
• 18 visitas domiciliarias de orientación  socio familiar en los casos identificados de vulneración de derechos de los NNA
• 296 Talleres de prevención de maltrato, 43 en prevención de consumo de SPA y 69 talleres en prevención de abuso sexual
• Participación en el comité municipal de prevención de SPA
Durante la vigencia 2019 en total hubo 4275 atenciones</t>
  </si>
  <si>
    <t>Se aportan como evidencias: reporte ICBF a septiembre 30 de 2019. Datos SIM
Base de datos, reportes SPP y registro fotográfico</t>
  </si>
  <si>
    <t>$ 155.141.872</t>
  </si>
  <si>
    <t>$ 53.868.130</t>
  </si>
  <si>
    <t>$ 101.273.742</t>
  </si>
  <si>
    <t>Se aportan como evidencias: reporte ICBF a septiembre 30 de 2019. Datos SIM</t>
  </si>
  <si>
    <t>Para mover los indicadores de situación de calle y trabajo infantil, desde la Secretaría de Desarrollo Social y Político se realizaron las siguientes acciones: 
• Se realizaron 57 Recorridos de calle para identificar niños, niñas y adolescentes en situación de calle y trabajo infantil.
A través de los cuales se realizaron 164 sensibilizaciones.
• Visitas domiciliarias para caracterización socio familiar de NNA identificados en situación de calle y con trabajo infantil.                                                                                                             
• 7 operativos así: un operativo en apoyo al programa de indígenas sobre Mendicidad indígena,  uno programado desde el CIETI, uno con apoyo al programa EMPI de ICBF, uno de apoyo al programa de habitante de calle y uno de apoyo a la secretaria de Gobierno municipal. No se identificaron NNA en riesgo de calle.
•109 talleres pedagógicos en prevención de trabajo infantil de los cuales se beneficiaron 744 personas                                       
•Conmemoración del día internacional de Erradicación del Trabajo Infantil a través de: actividad lúdica en el barrio el Plumón, Conversatorio sobre el ETI y operativo de sensibilización en semáforos. (actividad masiva)
• Se participó en actividades de trabajo extramural en acompañamiento al proyecto habitante de calle y en riesgo de calle. No se identificaron NNA en riesgo de calle.
En total se realizaron 908  atenciones durante la vigencia 2019</t>
  </si>
  <si>
    <t>$ 138.171.538</t>
  </si>
  <si>
    <t>$ 119.973.511</t>
  </si>
  <si>
    <t>$ 18.198.027</t>
  </si>
  <si>
    <t>Se deja constancia que se presenta el reporte 2018, ya que se está a la espera de la actualización de los datos según censo DANE 2019.  
La tasa de NNA en trabajo infantil se sacó de la siguiente manera:
9.000 NNA en trabajo infantil identificados en el área metropolitana  de 122.491 NNA del municipio de Pereira según proyección censo DANE a 2018 
Tasa : 9000/122941*100.000 habitantes= 7347,48</t>
  </si>
  <si>
    <t xml:space="preserve">Se deja constancia que se presenta el reporte 2018, ya que se está a la espera de la actualización de los datos según censo DANE 2019.  </t>
  </si>
  <si>
    <t>No se reportan atenciones es la medición de una tasa</t>
  </si>
  <si>
    <t>Desde La Secretaria de Desarrollo Social y Político se tiene   contrato de prestación de servicios con Hogares Claret para la operación del CREEME, a través del cual se implementa el modelo pedagógico y terapéutico para la atención y restauración de los jóvenes que están con medida de privación de la libertad y demás modalidades del sistema de responsabilidad penal para adolescentes.</t>
  </si>
  <si>
    <t>Se anexa como evidencia copia de oficio enviado  y respuesta al mismo</t>
  </si>
  <si>
    <t>$ 341.736.474</t>
  </si>
  <si>
    <t>$ 91.736.474</t>
  </si>
  <si>
    <t>$ 250.000.000</t>
  </si>
  <si>
    <t>$ 1.858.854</t>
  </si>
  <si>
    <t>11379 Estudiantes de primera infancia en las IE Oficiales del Municipio de Pereira</t>
  </si>
  <si>
    <t>Lineamientos para la resignificación de los sistemas institucionales de evaluación, promoción y permanencia de estudiantes y de los pactos de convivencia.</t>
  </si>
  <si>
    <t xml:space="preserve">Implementación y ejecución del PLAN DE PERMANENCIA ESCOLAR. Busqueda activa NNA. Auditorias de matricula a los establecimientos educativos oficiales. Estrategias de acceso y permanencia (Pequeños Sabios Circulo Virtuoso). </t>
  </si>
  <si>
    <t>Es una plataforma que administra y maneja el MEN y esta en mantenimiento desde el año 2017.</t>
  </si>
  <si>
    <t xml:space="preserve">Número de plantas físicas educativas oficiales nuevas, reconstruidas o con ampliación de aulas: $ 6.721 millones en nuevas IE.
</t>
  </si>
  <si>
    <t xml:space="preserve">$ 6.721 millones en nuevas IE.
</t>
  </si>
  <si>
    <t>A traves de recursos Conpes  se destinan $101.485.950 para la ejecución en el CDI Salamanca de: instalación suelo sintético en zona de juegos y, para el CDI Puerto Caldas: Cerramiento de 6 aulas y construcción de sendero peatonal. CDP 6002. Contrato No. 5408 del 2019.</t>
  </si>
  <si>
    <t>CONTRATO
RECURSOS CONPES</t>
  </si>
  <si>
    <t>$101.485.950</t>
  </si>
  <si>
    <t>El ICFES NO aplico prueba para grados 3-5-9 en la vigencia 2018</t>
  </si>
  <si>
    <t>Asistencia a la Biblioteca Ramón Correa Mejia : Primera  Infancia ( 0 - 6 Años ) : 1603</t>
  </si>
  <si>
    <t>Sistema de informacion de Politicas Publicas - SPP, registros administrativos secretaria de Deporte y Recreación, proyeccion poblacional DANE.</t>
  </si>
  <si>
    <t>Se conformó un promedio de 60 grupos recreativos comunitarios, con una asistencia de 900 participantes de forma regular. Se conformaron escuelas deportivas en 15 disciplinas deportivas. Se implementaron diferentes grupos de habitos y estilos de vida saludable.</t>
  </si>
  <si>
    <t>° Dotación en las dos salas que se organizarón en la Biblioteca : salas la madriguera y el yarumo           se construyerón para niños de 0 a 6 años.</t>
  </si>
  <si>
    <t>Se hicieron los talleres de Promoción de Cultura .</t>
  </si>
  <si>
    <t>Asistencia a la Biblioteca Ramón Correa Mejia : Infancia (7 - 12 Años) :   3723</t>
  </si>
  <si>
    <t xml:space="preserve">Se desarrollarón acivdades en las areas de :                                                                                                                 ARTES VISUALES                                                                                                                                                                                TEATRO                                                                                                                                                                                                            DANZA                                                                                                                                                                                                 MÚSICA </t>
  </si>
  <si>
    <t>ARTES VISUALES : 630                              TEATRO : 95                                         DANZA : 270                                            MÚSICA : 728                                                  TOTAL  :   1723</t>
  </si>
  <si>
    <t>implementacion de la estrategia sexualidad con sentido en 35 I.Educativas</t>
  </si>
  <si>
    <t>spp actas de reunion fan page jovenes con sentido</t>
  </si>
  <si>
    <t>inlcuye asistencia técnic a IPS, pagina virtual, confoemaicon y mantenimiento veedurias, conformacion grupos focales</t>
  </si>
  <si>
    <t>Existe gobierno escolar en todas las intituciones educativas oficiales y privadas</t>
  </si>
  <si>
    <t>La medición de este indicador es de responsabilidad de Secretaría de Desarrollo Administrativo, que tiene bajo su responsabilidad la capacitación de los funcionarios públicos.</t>
  </si>
  <si>
    <t xml:space="preserve">Desde la Secretaría de Desarrollo Social y Político, se aporta al indicador a través de la Mesa de primera infancia, infancia y adolescencia, liderando la secretaría técnica  que implica la convocatoria y dinamización de su Plan de acción, mediante el cual los funcionarios involucrados se capacitan y retroalimentan sus conocimientos en los temas relacionados con la infancia y adolescencia así:
• Acuerdo 42
• Erradicación de trabajo infantil
• Comprever
• Política Pública (seguimiento, evaluación y ajustes).
• Comité técnico de CPS.                                                                              
• RPC ante Procuraduría
Así mismo las 21 personas contratadas desde el proyecto “Fortalecimiento de la garantía de derechos de la  infancia  y adolescencia del municipio de Pereira” realizan quincenalmente procesos de capacitación y retroalimentación relacionados con la temática de infancia y adolescencia en las reuniones de equipo.
</t>
  </si>
  <si>
    <t>$ 35.022.752</t>
  </si>
  <si>
    <t>$ 24.422.419</t>
  </si>
  <si>
    <t>$ 10.600.33</t>
  </si>
  <si>
    <t xml:space="preserve">Durante varios años en Pereira se ha desarrollado en Pereira la cátedra de Infancia gracias a los aprendizajes y orientaciones acompañados por el dr. Carlos Enrique Tejeiro, de la Universidad de Externado de Colombia, en el marco del proceso de construcción de la ley 1098, en aras de crear una cultura garante de los derechos de la niñez.
La Alianza con la Niñez de Risaralda, la Fundación Cultural Germinando, la ACJ, la UTP, la Universidad Católica, la Universidad Autónoma de las Américas y muchos otros, han generado una serie de Cátedras de Niñez, unas itinerantes y otras situadas como es el caso de la Cátedra de Niñez desarrollada por la Universidad Libre.
En el periodo transcurrido desde entre 2016 al 2019 se realizaron los siguientes encuentros que son homologados a Cátedra de Infancia como son: Territorios de paz,  Entornos protectores y educativos, Ambientes educativos y protectores, Diplomado Conozcamos a nuestros niños y niñas. Calidad de la educación inicial: intercambios pedagógicos Francia-Colombia, Referentes técnicos de la educación inicial, Diplomado: Cuerpo sonoro, lenguajes artísticos en la primera infancia, Bases Curriculares de la educación inicial y preescolar, Herramientas científicas en la primera infancia, Procesos para la cualificación de la educación inicial, El valor de la poética y de la narrativa en la educación inicialPromoción del desarrollo infantil, Garantía de derechos, ley 1804, Psicogénesis del lenguaje escrito, 10 Seminarios-taller en educación inicial.  Alianza macro entre ICBF, Comfamiliar y Secretaria de Educacion.
Alianzas con la academia y el sector político-privado para el diseño e implementación de la Cátedra de primera infancia. Institucionalización de la cátedra de primera infancia en las universidades del Municipio de Pereira. Durante el año 2019, se realizaron sesiones de Cátedra de Infancia con la participación de agentes educativos, docentes, profesionales y directivos docentes y coordinadores de unidades de servicio de la educación inicial. Las sesiones de Cátedra han girado en torno a: - Los derechos culturales de la primera infancia, a cargo de Ana María Arenas Mejía, 31 de julio; la segunda sesión trató el tema de la Prevención del abuso sexual de la primera infancia a partir de la estrategia lúdica, este evento  contó con la orientación del Mg. Carlos Iván Ríos y el equipo de experiencias constructoras de paz en la primera infancia. (agosto 28); el tercer encuentro trató sobre Atención y prevención de la discapacidad en la primera infancia, a cargo de la dra. Angela María Valencia;  la cuarto sesión de Cátedra versó sobre la Construcción de la ciudadanía desde la primera infancia y la Pereiranidad, a cargo de la dra. Leonor Mary Marmolejo.  La Cátedra del mes de noviembre será dictada por Jhon Hadison Aguirre, sobre los procesos de formación en educación en salud para agentes formadores de la primera infancia. </t>
  </si>
  <si>
    <t xml:space="preserve">No se registran personas ya que se trata del fortalecimiento de las comisarias e familia </t>
  </si>
  <si>
    <t>La Secretaría de Gobierno en cabeza de la Subsecretaría de Seguridad y Convivencia Ciudadana, realizó capacitación en la política pública de cultura de la legalidad a las dependencias de: Secretaría de Vivienda, Secretaría de Salud, Secretaría de Hacienda y Secretaría Privada.</t>
  </si>
  <si>
    <t>Registros fotograficos, listados de asistencia.</t>
  </si>
  <si>
    <t>Alcaldía de Pereira</t>
  </si>
  <si>
    <t>La Secretaría Municipal de Gobierno apoyó  en la realización de 3 capacitaciones, y/o actividades pedagógicas o artísticas sobre las políticas públicas en el apoyo a la semana de participación iniciada entre el 5 de agosto y el 10 de Agosto</t>
  </si>
  <si>
    <t>19</t>
  </si>
  <si>
    <t>La Secretaría de Gobierno realizó 19 talleres en cultura de la legalidad en los sigueintes lugares: IE. SURORIENTAL, IE. INEM FELIPE PEREZ, IE. DIEGO MAYA SALAZAR, IE GUILLERMO HOYOS SALAZAR. JAC COLINAS DEL TRIUNFO. ESTUDIANTES SECRETARIA DE CULTURA, IE. LA BOYACA. IE CARLOTA SANCHEZ, IE. ALFREDO GARCIA, IE. AUGUSTO ZULUAGA, IE. INEM, IE. CIUDAD BOQUIA, IE, SURORIENTAL.</t>
  </si>
  <si>
    <t>Se llevó a cabo 1 espacio de articulación para la ejecución de las acciones de la Política Pública Cultura de la Legalidad por parte de todas las entidades que tienen competencia en ella</t>
  </si>
  <si>
    <t>La Secretaría de Gobierno junto con la Polícia Nacional realizó socialización a 1320 contraventroes en el Codigo Nacional de Polícia para la vigencia 2019.</t>
  </si>
  <si>
    <t>La socialización fue realizada por la Secretaría de Gobierno: 5 abogados y 10 psicologas y trabajadoras sociales</t>
  </si>
  <si>
    <t>Aprox $400.000.000</t>
  </si>
  <si>
    <t>Capacitaciones y sensibilizaciones</t>
  </si>
  <si>
    <t>Registros fotográficos y listados de asistencia de vendedores informales capacitados y sensibilizados</t>
  </si>
  <si>
    <t>En el 2019 no se implementaron acciones del plan padrino por parte de la Secretaria de Gobierno</t>
  </si>
  <si>
    <t xml:space="preserve">1. Desde la SMP, se diseñaron más de 50 piezas gráficas de difusión promoviendo mensajes de respeto a la ciudad, a los parques y al buen uso del amoblamiento urbano enmarcado en la campaña de ciudad Pereira La Veo Bien. 
2. Como administradores de los parques de la Av. Circunvalar y como propietarios del Parque El Vergel, se han instalado varios carteles con mensajes de cultura ciudadana y respeto a los monumentos.
3. La SMP ha realizado 3 campañas pedagógicas con el Instituto de Movilidad. 
4. En conjunto con diferentes colectivos ciudadanos se han realizado campañas para que las personas cuiden el espacio público, principalmente los parques.
5. Se desarrolló la campaña Yo Cuido A Pereira la cual buscaba impactar a Pereira sobre el rol ciudadano frente al cuidado de la ciudad. Logrando en 1 semana unir a más de 12 entidades gestoras, recoger cerca de 4.000 cartas de personas manifestando su amor y cuidado hacia la perla del otún y desarrollas un evento con más de 400 personas demostrando su amor en un entorno de arte, cultura y música.
6. En conjunto con la Policía Nacional, los Carabineros y la Policía Civica se han desarrollado recorridos en los parques de la Avenida Circunvalar promoviendo la cultura ciudadana y respeto hacia los espacios públicos.
7. En las actividades culturales desarrolladas en los parques de la Avenida Circunvalar, Parque El Lago y Parque El Vergel, siempre se difunden mensajes de promoción al respeto por los edificios públicos, las señales de tránsito, las calles y las fuentes hídricas en el municipio de Pereira. </t>
  </si>
  <si>
    <t>Registro Fotográfico</t>
  </si>
  <si>
    <t>$30.000.000
Estimación</t>
  </si>
  <si>
    <t>Propios de SMP y Donaciones del sector Privado y de Cuidadanos</t>
  </si>
  <si>
    <t>2.000
Estimación</t>
  </si>
  <si>
    <t>La Secretaría de Gobierno invitó a todos los pereiranos al conversatorio ·Que tal si hablamos de civismo" con el historiador Victor Zuluaga Gómez. Dicho evento fue realizado el 11 de Junio del 2019 en el Banco de la República.
Adicionalmente,  invitó a todos los pereiranos a la conferencia "La Naturaleza de Amar: Una reflexión sobre la Reserva "Bosque Cauquitá" con la conferencista Johanna Drews Jaramillo, educadora y gestora ambientalista. El evento fue realizado el 18 de Julio de 2019 en el Banco de la República.</t>
  </si>
  <si>
    <t>Durante el año 2019 se reallizaron visitas de verificación a establecimientos de comercio, referente art 87 Ley 1801 de 2016,  en el cual se determinan los requisitos legales que se deben tramitar para el adecuado funcionamiento de estos.</t>
  </si>
  <si>
    <t>Actas de Visita y registro fotografico</t>
  </si>
  <si>
    <t>Las visitas tecnicas se realizan de acuerdo a solicitudes que se realizan por la comunidad a traves de aplicativo electronico y/o denuncia directa. Tambien se realiza la programación de operativos o actividades de acuerdo ala actividad economica para la respectiva verificación, se llevan a cabo a su vez capacitaciones a la comunidad en genereal donde se informa sobre la tematica de la legalidad de los establecimientos para su funcionamiento. Se desarrollan con area de comunicaciones plegables y demas materiales publicitarios</t>
  </si>
  <si>
    <t xml:space="preserve">Establecimientos de comercio </t>
  </si>
  <si>
    <t xml:space="preserve">632 Actividades con padres de familia con relaciòn a pautas y normas de crianza, fortalecmiento en valores. </t>
  </si>
  <si>
    <t>Reporte de los docentes orientadores de las instituciones educativas</t>
  </si>
  <si>
    <t xml:space="preserve">Se adjunta consolidado en excel. </t>
  </si>
  <si>
    <t>Se realizaron tres campañas, SOY UN MOTOCICLISTA EJEMPLAR EN LA VIA, CAPITAL DEL EJE SE MOVILIZA EN BICI Y SOY UN PEATON SEGURO EN LA VIA, donde se realizaron sensibilizacion en normas de transito y comportamiento vial a acada uno de los actores viales</t>
  </si>
  <si>
    <t xml:space="preserve">15 Comunas </t>
  </si>
  <si>
    <t>3 Corregimientos</t>
  </si>
  <si>
    <t>Asistencia técnica, talleres, capacitaciones a la comunidad educativa en general: Acuerdo 03  rutas de convivencia escolar, Acuerdo 02 y el sistema Informativo de convivencia escolar SIUCE</t>
  </si>
  <si>
    <t>Actas, evidencias fotograficas, asistencias.</t>
  </si>
  <si>
    <t>Se adjunta presentacion en power point</t>
  </si>
  <si>
    <t>Mediante el Convenio de Asociación No.3151  Con la Camara de Comercio de Pereira. Cuyo objeto fue,  aunar esfuerzos tecnicos, administrativos y financieros para el fortalecimiento de la oferta exportable y la promoción de Pereira como destino atractivo de inversión y turismo de eventos y reuniones. Dentro del cual se han generado espacios y actividades como:
1.  Presentar la propuesta de valor de inversión de ciudad a empresarios potenciales.
2. Gestionar y realizar seguimiento a  empresarios potenciales para la instalación de actividades productivas y/o de prestación de servicios en el Municipio de Pereira.
3. Recibir en el municipio  empresas y/o entidades potenciales para la inversión en el territorio, con el fin de enseñarles todas las bondades que brinda el municipio a la inversión, incluyendo la visita a empresas locales que se identifican como proveedores o aliados potenciales.
4. Promocionar la oferta exportable de empresas pereiranas en agendas nacionales e internacionales
5. Promocionar a Pereira como destino turístico de reuniones a través de la participación en  escenarios potenciales de promoción.
6.Gestionar la realización de eventos en la ciudad de Pereira, a realizarse en el 2019.
7. Promoción de la oferta exportable del municipio de Pereira a nivel internacional, por medio del apoyo de la participación de  empresas en eventos de promoción comercial, priorizando las cadenas productivas indicadas, según la pertinencia en mercados como Europa, Asia y América, en alianza con Procolombia.
Entre otras...</t>
  </si>
  <si>
    <t xml:space="preserve">Boletines y publicaciones producto de estas actividades. </t>
  </si>
  <si>
    <t>No Aplica.</t>
  </si>
  <si>
    <t>1,26%</t>
  </si>
  <si>
    <t xml:space="preserve">Promoción: Se fortaleció el Sistema de Bicicletas Públicas, ampliando su cobertura a la zona sur oriental de la ciudad con tres (3) estaciones mas.
Infraestructura: Se siguó consolidando la red de ciclorrutas de la ciudad, llegando a 16 Km. Construidos. 
</t>
  </si>
  <si>
    <t xml:space="preserve">Promoción: Sistema bicicletas públicas funcionando con 7 estaciones.
Infrestructura: Red de ciclorrutas construidas.
Documento técnico, formatos de aplicaión encuestas, registro asistencia
</t>
  </si>
  <si>
    <t>Presupuesto: 
Promoción:
Sistema de Bicicletas Publicas: $ 15.000.000 (Estaciones).
$130.000.000 (Operación del SBP)
Infraestructura:
La red de ciclorrutas se ha construido con presupuesto de la Sec. De Infraetsructura.
Como resultado de todas las acciones emprendidas en la vigencia se logró incrementar el número promedio de pasajes vendidos en el sistema del 6,33%. Así mismo, como aciertos la verificación de la operación y el comportamiento de la demanda actual en los diferntes sistemas de transporte masivo, colectivo y mixto,la articulación interinstitucional para el control a la informalidad, creación de la mesa de la legalidad en la que participan los organismos de transito, la policia nacional y la industria transportadora con los representantaes de las empresas y asociaciones de conductores, el terminal de transporte, el Ministerio de Transporte y la Personería,
Como necesidad la construcción de estrategias que permitan una mayor apropiación del sistema de transporte masivo por parte de los usuarios y divulgación de la cobertura del SITP, así como  la suscripción de los convenios entre Megabus y el TPC para el desarrollo de la fase II.</t>
  </si>
  <si>
    <t>Inscripciones SBP; 1.629
Viajes en SBP: 28.418</t>
  </si>
  <si>
    <t xml:space="preserve">
Se realizó estudios de actualización y comportamiento de la demanda a través de toma de información de campo en aforos de frecuencia y ocupación visual, rotación de demanda, visita a las comunidades, planes de mejoramiento, consolidación de la información en documento del desarrollo de la fase II del SITP, actualización de la estructura de la tarifa, se realiza articulación para la celebración de la semana de la seguridad vial, la semana de la movilidad y el día sin carro y sin moto, mesa de la legalidad.</t>
  </si>
  <si>
    <t xml:space="preserve">
Documento técnico, formatos de aplicaión encuestas, registro asistencia</t>
  </si>
  <si>
    <t>Como resultado de todas las acciones emprendidas en la vigencia se logró incrementar el número promedio de pasajes vendidos en el sistema del 6,33%. Así mismo, como aciertos la verificación de la operación y el comportamiento de la demanda actual en los diferntes sistemas de transporte masivo, colectivo y mixto,la articulación interinstitucional para el control a la informalidad, creación de la mesa de la legalidad en la que participan los organismos de transito, la policia nacional y la industria transportadora con los representantaes de las empresas y asociaciones de conductores, el terminal de transporte, el Ministerio de Transporte y la Personería,
Como necesidad la construcción de estrategias que permitan una mayor apropiación del sistema de transporte masivo por parte de los usuarios y divulgación de la cobertura del SITP, así como  la suscripción de los convenios entre Megabus y el TPC para el desarrollo de la fase II.</t>
  </si>
  <si>
    <t>La Secretaría de Desarrollo Rural realizó tranferencias de tecnología tanto a estudiantes de la zona de rural como a productores. En el de una asistencia tecnica integral que contengan tanto caracteristicas de productividad y conversacion de los recursos naturales, disposicion de los residuos y mitigacion y preparcion al cambio climatico. En las istituciones educativas se imparte el plan piloto de educacion ambiental. Total personas: 1282
La Empresa de Aseo Se sensibilizó a la ciudadania en gestion de residuos y cultura ambiental ciudadadana asi 2016=23.561; 2017=76.793; 2018=113.688; a septiembre 2019=90.681 para un total de 304.723 personas sensibilizadas.</t>
  </si>
  <si>
    <t>Formatos de tranferencia de tecnologia
Base de datos del sistema de informacion.
Informes Vigias ambientales y Contratistas</t>
  </si>
  <si>
    <t xml:space="preserve">Se anexan la base de datos excel de todos los participantes en las capacitaciones </t>
  </si>
  <si>
    <t>Registros en IPS vetgerinarias y en Ukumari.</t>
  </si>
  <si>
    <t>Es necesario ampliar cobertura</t>
  </si>
  <si>
    <t>5121 animales (caninos y felinos)</t>
  </si>
  <si>
    <t>n.a</t>
  </si>
  <si>
    <t>toda la zona urbana y rural</t>
  </si>
  <si>
    <t>Registros de vacunación en le programa zoonosis</t>
  </si>
  <si>
    <t>Se continua es misional</t>
  </si>
  <si>
    <t>51604 animales (caninos y felinos)</t>
  </si>
  <si>
    <t>50 187 tenedores de animales</t>
  </si>
  <si>
    <t>A cargo de la Policia</t>
  </si>
  <si>
    <t>Esta actividad y reporte esta a cargo de la Policia</t>
  </si>
  <si>
    <t xml:space="preserve">A) Cinco (5) reuniones con el sector trasporte.
B) 35 socializaciones con establecimientos públicos.
</t>
  </si>
  <si>
    <t xml:space="preserve">Informes y actas </t>
  </si>
  <si>
    <t>Para el 2019 se programaron 3, según plan de Acción y se hicieron 5</t>
  </si>
  <si>
    <t>si</t>
  </si>
  <si>
    <t xml:space="preserve">A) Se apoyo y participo en cuatro (4) capacitaciones con inspectores y corregidores y personería (LEY 1801) 
B) Apoyo continuo a las inspecciones 
</t>
  </si>
  <si>
    <t xml:space="preserve">Informes y Actas </t>
  </si>
  <si>
    <t xml:space="preserve">Para el 2019 se programaron 2, según plan de Acción y se hicieron 4 </t>
  </si>
  <si>
    <t xml:space="preserve">A) Diseño de pagina para el registro - cedula canina.
B) Se tienen 1747 caninos con registro.
</t>
  </si>
  <si>
    <t xml:space="preserve">reporte desde la pagina </t>
  </si>
  <si>
    <t>se puede hacer el registro a través de la página de la alcaldía de Pereira http://sondeox.pereira.gov.co/regcanino</t>
  </si>
  <si>
    <t>Plataforma SAIA</t>
  </si>
  <si>
    <t>Se tiene operando   la línea atención 123.</t>
  </si>
  <si>
    <t xml:space="preserve">
A) 60 tramites de quejas y procesos en Inspecciones y Corregidurias incluida las respuestas desde la oficina de control y viogilancia y la subsecretaria de seguridad y convivencia</t>
  </si>
  <si>
    <t>Consolidado en la Oficina de Control y Vigilancia</t>
  </si>
  <si>
    <t xml:space="preserve">Según Plan de Acción, se programaron 4 por año. Se incrementó el listado a través  de inspecciones que los manejaron </t>
  </si>
  <si>
    <t xml:space="preserve">A) Actividad en proceso de contratación para el año 2020.
</t>
  </si>
  <si>
    <t>No Aplica</t>
  </si>
  <si>
    <t>proceso licitatorio en trámite  y según el plan de acción se debe empezar para el año 2020</t>
  </si>
  <si>
    <t>A) Se tramitaron dos (2) eventos culturales que utilizan  animales 
(el gallo ornamental</t>
  </si>
  <si>
    <t>Información en archivos de la Oficina de Control y Vigilancia</t>
  </si>
  <si>
    <t>Según plan de acción, se deben tener protocolos para las personas responsables de espectáculos públicos con animales. (se tiene protocolo con caninos de trabajo)</t>
  </si>
  <si>
    <t>A) Cinco  (5) operativos de control.</t>
  </si>
  <si>
    <t>se atendieron los operativos que se presentaron durante la vigencia</t>
  </si>
  <si>
    <t>A) Se tiene en proceso con la inspección 15, dos (2)  denuncias.
(LA MINORISTA Y TIENDA VETERINARIA</t>
  </si>
  <si>
    <t>Información enla inspección 15</t>
  </si>
  <si>
    <t xml:space="preserve">Se está en proceso de cierre de una venta de aves de corral </t>
  </si>
  <si>
    <t xml:space="preserve">A) 25 procesos administrativos para casos de maltrato animal, LEY 1801 DE 2016. con las inspecciones de policía. 
</t>
  </si>
  <si>
    <t xml:space="preserve">se deja un listado por el número de inspecciones que los manejaron </t>
  </si>
  <si>
    <t>META 2018</t>
  </si>
  <si>
    <t>META 2020</t>
  </si>
  <si>
    <t>META 2022</t>
  </si>
  <si>
    <t>META 2023</t>
  </si>
  <si>
    <t>META 2024</t>
  </si>
  <si>
    <t>META 2025</t>
  </si>
  <si>
    <t>META 2026</t>
  </si>
  <si>
    <t>META 2027</t>
  </si>
  <si>
    <t>META 2028</t>
  </si>
  <si>
    <t>Se realizaron en el primer semestre del año 4 comites COMEDA. Se capacito 130 docentes coordinadores de PRAES en Politica Ambiental Animal y sobre estrategias de proyectos. Se implento la incorporacion de la Politica de Proteccion Animal en los PRAES de las IE.</t>
  </si>
  <si>
    <t xml:space="preserve">DECRETO 1743 DE 94 </t>
  </si>
  <si>
    <t xml:space="preserve"> Se capacito 130 docentes coordinadores de PRAES en Politica Ambiental Animal y sobre estrategias de proyectos. Se implento la incorporacion de la Politica de Proteccion Animal en los PRAES de las IE.                                                                                       </t>
  </si>
  <si>
    <t>PRAU: Se ha reunido 4 veces en el Comité Municipal de Educacion Ambiental.
PROCEDAS: Lo lidera la CARDER.</t>
  </si>
  <si>
    <t>LOS RECURSOS LOS ADMINISTRA UKUMARI. LIDERA EL PROGRAMA Y LA SEM SOLO ES DE APOYO</t>
  </si>
  <si>
    <t xml:space="preserve"> Boletines de prensa, Ruedas de prensa, videos y publicaciones en redes sociales, avisos en medios de comunicación </t>
  </si>
  <si>
    <t>1- BIOPARQUE UKUMARI, EL PUNTO PARA OBSERVACIÓN DE AVES ESTE SÁBADO 2- LA SECRETARÍA DE GOBIERNO PROMUEVE EL BIENESTAR ANIMAL 3- EL DOMINGO, ADOPTA UN AMIGO PARA TODA LA VIDA 4- BIOPARQUE UKUMARI REGISTRÓ 47 ESPECIES DE AVES EN EL GLOBAL BIG DAY 5- UKUMARÍ EDUCA: CHARLAS INFORMATIVAS SOBRE BIENESTAR ANIMAL EN CENTROS DE EDUCACIÓN PARA LA EDUCACIÓN Y PROTECCIÓN AMBIENTAL Y SILVESTRE 6- UKUMARÍ Y ALCALDÍA DE PEREIRA AYUDAN A LOS ANIMALES DE COMPAÑÍA AFECTADOS POR EL INVIERNO 7- AUMENTA EL NÚMERO DE CÉDULAS CANINAS 8- LA SECRETARÍA DE GOBIERNO PROMUEVE EL BIENESTAR AMBIENTAL 9-JORNADA DE BIENESTAR Y ADOPCIÓN ANIMAL 10-LA BELLA RESPONDIÓ POSITIVAMENTE A JORNADA DE ESTERILIZACIÓN DE ANIMALES DE COMPAÑÍA 11-SECRETARÍA DE SALUD DE PEREIRA FIRME CON LOS ANIMALES DE COMPAÑÍA DE LA CAPITAL DEL EJE</t>
  </si>
  <si>
    <t>No se tiene un total especifico de personas atendidas ya que las acciones que se promueven para la protección y el bienestar animal  y los mecanismos dependen directamente del responsable de cada proyecto.</t>
  </si>
  <si>
    <t>prestacion  servicios de salud</t>
  </si>
  <si>
    <t>Secretaria de Gobierno</t>
  </si>
  <si>
    <t>Mediante el programa de los CEDES (Centro de Emprendimiento y Desarrollo Empresarial) se ha mantenidopara esta vigencia  una oferta abierta y permanente en Formación para el trabajo, y entre las lineas de formación esta la de  "emprendimiento e innovación"  en la cual a luego del cruce de información se logro establecer que de los 13.238 atenciones realizadas en las Secretaria de Competitividad,  24 corresponden a Lideres Comunles.</t>
  </si>
  <si>
    <t>Registro en el Sistema de Información del Observatorio del Politicas Publicas, Listados de Asistencia y fichas de matricula.</t>
  </si>
  <si>
    <t>Se realizaron asesorias en campo de 38 iniciativas empresariales, buscando identificar las necesidades primordiales.</t>
  </si>
  <si>
    <t>Mediante los diferentes programas (CEDES, Hecho en Pereira y PADE) se ha realizado la caracterizacion de Emprendedores y su  vinculación a programas de la secretaria.</t>
  </si>
  <si>
    <t>Fichas de caracterización, listado de asistencia.</t>
  </si>
  <si>
    <t>El presupuesto invertido corresponde a la atención de que reailizan los contratistas a la población  en cada uno de los programas</t>
  </si>
  <si>
    <t xml:space="preserve">Listas de Asistencias </t>
  </si>
  <si>
    <t>Las evidencias reposan en el archivo de la DIGER</t>
  </si>
  <si>
    <t>Comunidad en General</t>
  </si>
  <si>
    <t>Articulacion de la media con el ecosistema de la universidad para Cuba. Se presenta el programa emblematico a las instituciones, para la modernizacion de la media y la posibilidad de vincular a las mismas con la universidad para Cuba.</t>
  </si>
  <si>
    <t>La Secretaria de Educacion da gestion a esta accion como articulador e intermediario entre las instituciones educativas y entidades de concurrencia.</t>
  </si>
  <si>
    <t>Se contrato el personal para la realziación la actualización de los Diagnósticos de Comunas y Corregimientos.</t>
  </si>
  <si>
    <t>31 Documentos</t>
  </si>
  <si>
    <t>Estos diagnosticos son elaborados para ser utilizados como insumo en la construcción del  plan de desarrollo municipal.</t>
  </si>
  <si>
    <t>En cumplimiento a la escuela de formación de participación ciudadana según Acuerdo 29 de 2014, articulo 20 ; se realizaron varios oficios y visitas en acercamientos con la escuela superior de administración pública ESAP, cabe aclarar que a pesar de los acercamientos no se pudo llegar a un feliz termino con la Esap.</t>
  </si>
  <si>
    <t>Actas de Reunion y Oficios.</t>
  </si>
  <si>
    <t>La escuela de formación comunal es una estrategia de formación que se realiza desde la secretaria de desarrollo social y politico, es por esta razón que sugerimos que en una revisión de la Política Pública se reasigne el responsable de  para el seguimiento de política pública. Desde la secretaria de planeación y soportados en el acuerdo 29 de 2014, articulo 20 se ha venido trabajando en la conformación de la escuela de participación ciudadana haciendo unos acercamientos con la ESAP, para llevar acabo esta escuela de formacón ciudadana.</t>
  </si>
  <si>
    <t>Se realizaron reuniones y elecciones en la comuna rio  otun con la Junta de Acción Comunal Infantil JACI de este sector.</t>
  </si>
  <si>
    <t>Acta y planillas de votación</t>
  </si>
  <si>
    <t>Se realizó elecciones de las Juntas de Acción Comunal Infantil JACI en el programa de Presupuesto Participativo en la comuna del Rio, en conjunto con la gobernación de risaralda.</t>
  </si>
  <si>
    <t>Se realizan reuniones con los líderes sociales y dignatarios de las Juntas de Acción Comunal, en las cuales se priorizan los perfiles de proyectos a ser votados.</t>
  </si>
  <si>
    <t>En esta acción contabilizamos la participación de las personas en las eleccioones de los proyectos depresupuesto participativo de la vigencia 2019.</t>
  </si>
  <si>
    <t>Se realizan reuniones con los líderes sociales y dignatarios de las Juntas de Acción Comunal, en las cuales se asesora en la formulación de los perfiles de proyectos a ser votados.</t>
  </si>
  <si>
    <t xml:space="preserve">En esta acción  de asesorias contabilizamos la participación en las reuniones previas con los líderes sociales y dignatarios de las Juntas de Acción Comunal, para luego realizar las respectivas votaciones, </t>
  </si>
  <si>
    <t>Sistema de Información para el seguimiento y evaluación de la Política Pública para los Organismos de Acción Comunal implementado</t>
  </si>
  <si>
    <t>Plan de Acción parametrizado</t>
  </si>
  <si>
    <t>Evaluación de Impacto del Programa de Presupuesto Participativo</t>
  </si>
  <si>
    <t xml:space="preserve">Documento Técnico </t>
  </si>
  <si>
    <t>Con el apoyo de la Personeria municipal de Pereira se logro la incripción para  la vigencia 2019  de una veeduria ciudadana; Teniendo activas con esta un total de 6 veedurias activas para el año 2019.</t>
  </si>
  <si>
    <t>Resoluciones de la personeria municipal: Resolución No 122 de 2017, Resolución No 135 de 2017, Resolución No 145 de 2017, Resolución No 38 de 2018, Resolución N° 182 de 2018, Resolución No 009 de 2019.</t>
  </si>
  <si>
    <t>Para la vigencia 2019 se tienen seis (6) veedurias ciudadanas inscritas para realizar el seguimiento a proyectos del presupuesto participativo.</t>
  </si>
  <si>
    <t>Revisados y viabilizados proyectos para la ejecución de proyectos mediante Presupuesto Participativo (11 proyectos ejecutados 2019)</t>
  </si>
  <si>
    <t xml:space="preserve">En cuanto a presupuesto participativo en el año 2019  se viavilizaron XX  proyectos, cabe aclarar que ninguno de estos proyectos se realizo bajo la modalidad de convenio puesto a las dificultades que tienen estos para elaborarse. La modalidad usada para la ejecución de estos proyectos viabilizados fue Licitación. </t>
  </si>
  <si>
    <t xml:space="preserve">Implementación y seguimiento </t>
  </si>
  <si>
    <t>Alcances de los contratos 571 y 3390 de 2019.</t>
  </si>
  <si>
    <t>Se realizá seguimiento a las acciónes propuestas en el comité técnico de acción comunal para la vigencia 2019.</t>
  </si>
  <si>
    <t>Ajuste Documento Técnico, reuniones de concertación con Ediles y Presidentes de JAC  de Comunas y Corregimientos, propuesta Cartográfica.</t>
  </si>
  <si>
    <t>Documento técnico en formato PDF,  Actas de Reuniòn, propuesta cartografica de Comunas y Corregimientos en PDF.</t>
  </si>
  <si>
    <t>Según los resultados y recomendaciones del estudio. En la vigencia 2019 se realizó  talleres de concertación y socialización con los actores involucrados.</t>
  </si>
  <si>
    <t>~Caminata y Transporte Público
- Jornadas descentralizadas
-Grupos focales
-Mesas de legalidad</t>
  </si>
  <si>
    <t>~Imágenes fotográficas
- Asistencias
- Actas</t>
  </si>
  <si>
    <t xml:space="preserve">Sensibilización sobre Plan Familiar para la Gestión del Riesgo. Capacitaciones presenciales en la comunidad </t>
  </si>
  <si>
    <t>PRESUPUESTO 2019</t>
  </si>
  <si>
    <t>Registro de politicas Publicas</t>
  </si>
  <si>
    <t>Con corte a I semestre se realizaron 6 actividades</t>
  </si>
  <si>
    <t>Se realizaron 10 Campañas de Promoción de la estrategia APS, concertadas con los lideres comunitarios mediante jornadas masivas o festivales de la salud ( Comuna Ferrocarril,  El Oso, Cuba, Villavicencio, Puerto Caldas). En las jornadas se realizan actividades educativas en salud, toma de presión arterial,  actividad física.</t>
  </si>
  <si>
    <t>Registro SPP y Registro fotográfico</t>
  </si>
  <si>
    <t>Con corte a I semestre se realizaron 10 actividades</t>
  </si>
  <si>
    <t>Se crearon 8  redes de apoyo para la prevención del dengue y una reunión</t>
  </si>
  <si>
    <t>Con corte a I semestre se realizaron  9 actividades</t>
  </si>
  <si>
    <t>vacunacion antirrabica canina y felina a 44922 animales</t>
  </si>
  <si>
    <t>Controles de Vacunacion antirrabica y matrices</t>
  </si>
  <si>
    <t>con corte al 30 denoviembre  realizaron 757 jornadas en el municipio</t>
  </si>
  <si>
    <t>Con corte a I semestre se realizaron 4  actividades</t>
  </si>
  <si>
    <t>NO APLICA</t>
  </si>
  <si>
    <r>
      <t xml:space="preserve">OBJETIVO GENERAL DE LA POLÍTICA PÚBLICA: </t>
    </r>
    <r>
      <rPr>
        <sz val="11"/>
        <color rgb="FF000000"/>
        <rFont val="Calibri"/>
        <family val="2"/>
        <scheme val="minor"/>
      </rPr>
      <t>Fortalecer los organismos comunales en la ciudad de Pereira, por medio de estrategias y acciones que permitan mejorar su gestión, estructura, sostenibilidad y reconocimiento durante el período 2018-2028</t>
    </r>
  </si>
  <si>
    <t xml:space="preserve">La Escuela de liderazgo implica los procesos de formación a los NNA para motivar su participación social y política en los temas de la ciudad.
Durante la vigencia 2019  se realizaron 475 talleres de capacitación en: 
• Habilidades para la vida.
• Liderazgo.
• Participación
• Se realizó encuentro de las JACI en Diciembre.
• Representación de las 50 JACI n en la rendición Pública de cuentas de la PP de primera infancia, infancia y adolescencia por parte del SR Alcalde.
• Encuentro entre JACI e integrantes de la mesa de participación 
</t>
  </si>
  <si>
    <t>Se aportan como evidencias registros SP, fotográficos y reporte base de datos.</t>
  </si>
  <si>
    <t xml:space="preserve">De los talleres de capacitación se beneficiaron  2720  NNA . Y del totalde actividades se beneficiaron  4243 NNA </t>
  </si>
  <si>
    <t xml:space="preserve">En el 2019 desde el proyecto juventud se actualizo la Estrategia para motivar la participación de los jóvenes en las JAC y en otros espacios de participación.
</t>
  </si>
  <si>
    <t>Estrategía de Participación Social y Política  formulada en medio digital,</t>
  </si>
  <si>
    <t>No se registran persdonas porque es una estrategía formulada</t>
  </si>
  <si>
    <t xml:space="preserve">En el 2019 desde el proyecto juventud se actualizo la Estrategia para motivar la participación de los jóvenes en las JAC y en otros espacios de participación. 
En el marco de la estrategia se realizaron las siguientes actividades:
Para motivar la participación de los jóvenes en las JAC se realizaron las siguientes actividades:
Capacitaciones en participación social y Política, de las cuales se beneficiaron 699 jóvenes y sus familias (334 hombres y 365 mujeres).
Se aportan como evidencias salidas de campo, actas de reunión, registros SPP y fotográficos.
En la base de datos de dignatarios de las JAC, se encuentran registrados 328 jóvenes de 5.428,   correspondiente al 6.042% de los participantes.
328/5428*100%= 6,042%
</t>
  </si>
  <si>
    <t>Se aportan como evidencias , salidas de campo, actas de reunión, registros SPP y fotográficos.</t>
  </si>
  <si>
    <t xml:space="preserve">Durante la vigencia 2019 se actualizó la estrategia de participación social y política de las mujeres, la cual consta de los aspectos: 
• Participación en movimientos políticos
• Participación en organizaciones de la sociedad civil
• Participación comunitaria
• Reconocimiento a la mujer Pereirana
</t>
  </si>
  <si>
    <t xml:space="preserve">En total se beneficiaron 1.375 personas atendidas: Mujeres 1220  Hombres 155 </t>
  </si>
  <si>
    <t xml:space="preserve">Estrategia para fortalecer el sector comunal en el municipio de Pereira (JAC, , Asojuntas, Federación, Fedecomunal y oficina de Gestión Comunal)
Esta acción de Política pública es transversal para la Secretaría de Desarrollo Social y Político, ya que con el desarrollo de todas las acciones de Política de competencia de este Despacho se está fortaleciendo el sector comunal. La estrategia abarca el desarrollo de 3 proyectos inscritos en el banco de proyectos de inversión municipal, cada uno con asignación presupuestal y plan de acción anualizado con los cuales se da cumplimiento a las metas de Política Pública: 
• Nº 16910008 - Fortalecimiento de los procesos de organización y participación de la acción comunal en el municipio de Pereira.
Presupuesto asignado 2019: $ 381.890.000
Presupuesto ejecutado 2019: $ 325.089.067
• Nº 1610004 - Fortalecimiento de las juntas administradores locales del municipio de Pereira.
Presupuesto asignado 2019: $ 103.308.000
Presupuesto ejecutado 2019: $ 96.098.400
• Nº 16710086 - Implementación del fondo de inversión para el desarrollo comunitario en el municipio de Pereira
Presupuesto asignado 2019: $ 1.651.284.106
Presupuesto ejecutado 2019: $ 177.799.071
SE DEJA CONSTANCIA Que la información presupuestal es con corte a septiembre 30 de 2019. Este dato se debe actualizar una vez termine la vigencia 
</t>
  </si>
  <si>
    <t xml:space="preserve">PDF de seguimiento plan de acción  2019, de los 3 proyectos mencionados </t>
  </si>
  <si>
    <t xml:space="preserve">Durante la vigencia 2019 se realizaron las siguientes visitas de inspección, control y vigilancia a los organismos comunales: 
• 580 visitas de Inspección y control a los dignatarios de los organismos comunales de las Comunas y/o Corregimientos asignados.
Se deja constancia que los promotores responsables de registrar las visitas de Inspección Control y Vigilancia, no registraron la información a la base de datos de la SDSYP, a pesar de lo tienen en sus alcances contractuales. Por esta razón se carece de información respecto al número de población beneficiaria, zona geográfica, edad, situación o condición y etnia.
Este ítem se presenta con corte a noviembre 30
</t>
  </si>
  <si>
    <t xml:space="preserve">Se aporta como evidencias actas de visita de inspeccion de libros e inventarios. </t>
  </si>
  <si>
    <t xml:space="preserve">Se aporta como evidencias estrategía formulada en medio digital , actas de visita de asesoría </t>
  </si>
  <si>
    <t xml:space="preserve">No se registran personas porque se trata de una estrategía </t>
  </si>
  <si>
    <t xml:space="preserve">Para el desarrollo de esta estrategia se realizaron las siguientes acciones:
• 351 visitas de asesoría a los diferentes organismos comunales para brindarles el apoyo y acompañamiento requerido, se sensibilizaron 3 dignatarios por visita; es decir 1053 personas.
• 941 sensibilizaciones en funciones y roles.
Número de integrantes de los organismos comunales sensibilizados en funciones y Roles:
En total  se sensibilizaron 1994 dignatarios
</t>
  </si>
  <si>
    <t>Se aporta como evidencias actas de visita de asesoría, registros SPP y fotográficos</t>
  </si>
  <si>
    <t xml:space="preserve">20 horas </t>
  </si>
  <si>
    <t xml:space="preserve">Con esta acción de política se cumplió desde el mes de junio de 2017. De conformidad con la norma estas capacitaciones deben hacerse un año después de haberse elegido los dignatarios de las JAC. Se beneficiaron en total 438 dignatarios   de 20 horas de capacitación.
Esta acción se cumple de acuerdo al decreto 2350 de 2003 por el cual se reglamenta la ley 743 de 2002 Art 32 Parágrafo 2°" Una vez implementada la estrategia de formación comunal, será como requisito para ser dignatario de un organismo comunal acreditar dentro del año siguiente a su nombramiento una formación académica de 20 horas las cuales deben ser certificadas por el organismo de grado inmediatamente superior o, si el no existiere, por la entidad de inspección, control y vigilancia".
</t>
  </si>
  <si>
    <t>Estas capacitaciones se realizaron en el mes junio del año 2017</t>
  </si>
  <si>
    <t xml:space="preserve">El proceso eleccionario de las JAC, se realiza de forma ordinaria cada 4 años y a nivel extraordinario cada que se requiere bien sea por reactivación de Juntas o creación de nuevas.
El proceso ordinario debe realizarse en el mes de abril de la vigencia 2020, como lo estipula la ley 743 de Acción Comunal.
A nivel extraordinario se brindó apoyo y acompañamiento en los procesos eleccionarios barajas y mirador de llano grande, villa del carmen, san felipe, Guadalcanal y naranjal.  
Barajas, mirador de llano grande, villa del Carmen, urbanización guadalcanal (4) JAC a nivel de creación.  
Naranjal (1) JAC a nivel de reactivación 
Desde la oficina de Gestión comunitaria se brinda apoyo y acompañamiento relacionado con solicitud de personería jurídica, radio de acción, elaboración y aprobación de estatutos.
Se aportan como evidencias actas de visita y actos administrativos de reconocimiento de dignatarios.
</t>
  </si>
  <si>
    <t xml:space="preserve">Actas de visita y actos administrativos de reconocimiento de dignatarios,  ley 743 .
 ley 743 </t>
  </si>
  <si>
    <t xml:space="preserve">Con respecto a ASOJAC: A nivel extraordinario no se reportaron solicitudes de reactivación o creación de Asociaciones. 
</t>
  </si>
  <si>
    <t xml:space="preserve">Actas de acompañamiento barajas y mirador de llano grande </t>
  </si>
  <si>
    <t xml:space="preserve">A nivel de federación el proceso eleccionario se realiza cada cuatro años en el mes de septiembre el último domingo, el próximo se efectuará en la vigencia 2020 </t>
  </si>
  <si>
    <t xml:space="preserve">Se aportan como evidencias ley 743 </t>
  </si>
  <si>
    <t xml:space="preserve">A nivel de JACI el proceso eleccionario se realiza cada 4 años, se culminó con 51 JACI conformadas.
</t>
  </si>
  <si>
    <t xml:space="preserve">Durante la vigencia 2019 se brindaron el 100% de asesorías requeridas para la formulación de proyectos a través del FIC. Cinco JALS requirieron del servicio: de la comuna ferrocarril, el jardín, el poblado, el corregimiento la bella Morelia y la laguna del corregimiento la florida;  Se asesoraron 11 personas (8 hombres y 3 mujeres) en la formulación de proyectos.
</t>
  </si>
  <si>
    <t xml:space="preserve">Se aportan las actas de visitas y consolidado FIC 2019  </t>
  </si>
  <si>
    <t xml:space="preserve">En total se beneficiaron 28 comunas y corregimientos: Los proyectos aprobados pertenecen a 17 comunas y 11 corregimientos a saber: 
Comunas: Boston, centro, consota, del café, el oso, el poblado, el rocio, ferrocarril, jardín, olímpica, oriente, perla otun, rio otun, san joaquin, san nicolas, universidad, Villavicencio. 
Corregimiento:  arabia, altagracia, cerritos, combia alta, combia baja, estrella la palmilla, la bella, la florida, puerto caldas, morelia, tribunas. 
Comunas:
Boston, centro, consota, cuba, olímpica, perla del otún, rio otún, san nicolas, universidad, villa santa, Villavicencio, el café, el jardín, el oso, el poblado, el rocio,  ferrocarril, 
Corregimientos:
Altagracia, arabia, caimalito, cerritos, combia alta, puerto caldas, tribunas, estrella la          palmilla, la bella, la florida, Morelia. 
Corregimientos:
</t>
  </si>
  <si>
    <t xml:space="preserve">Se realiza la recepción 214 proyectos (68 proyectos recibidos por Corregimientos y 146 proyectos recibidos por comunas), los cuales fueron revisados respecto a su documentación y devueltos para hacer los ajustes pertinentes según acuerdo 043 de 2014. 
Un total de 22 proyectos fueron devueltos para hacer ajustes pertinentes, estos fueron: Altagracia, Combia Alta, El oso, Arabia, bella, el jardín, san nicolas, consota, perla del otún, universidad, villa santana, centro, poblado, estrella la palmilla, Villavicencio, rocio, rio otun, olímpica, cerritos, ferrocarril, cuba. 
Una vez realizados los respectivos ajustes se aprobaron 214 proyectos. 
</t>
  </si>
  <si>
    <t xml:space="preserve">Se promovió la rendición de cuentas en 16 JAC.
Rindieron cuentas 16 JAC / de 413 JAC radicadas durante la vigencia 2019* 100%= 4%
Durante la vigencia el año 2019 presentaron rendición de cuentas las Juntas de Acción Comunal que se relacionan a continuación: Venecia, la paz, poblado I, poblado II, samaria II S.B, samaria II S.C, cachipay, villa del prado alto IX y X, Villavicencio, el chocho, las delicias, 20 de julio, la carbonera, primero de mayo.  
Se recomienda que en el 2.020 se implemente acción de mejoramiento para el cumplimiento de esta meta ya que en la vigencia 2019, no se cumplió con lo programado.
En total se registran 48 atenciones (18 hombres y 30 mujeres) 
</t>
  </si>
  <si>
    <t xml:space="preserve">Se aporta como evidencia Informes presentados por la Junta directiva de las JAC en la Asamblea General de afiliados.
</t>
  </si>
  <si>
    <t xml:space="preserve">
Se beneficiaron de equipo biomédico 5 JAC que lo solicitaron así:
Buenos aires y cañaveral del corregimiento de Altagracia, las gaviotas de la comuna Boston, pueblo escondido del corregimiento de combia alta, corocito de Villavicencio
Para un total de cinco (5) JAC beneficiadas con elementos como: camillas, sillas de ruedas, muletas, cama hospitalaria entre otros. 
Desde el proyecto discapacidad se realizaron sensibilizaciones en las JAC de Las Brisas y San Luis para motivarlos a presentar propuestas ante el FIC que beneficien a personas con discapacidad: 
</t>
  </si>
  <si>
    <t xml:space="preserve">Se  caracterizaron 5.756 dignatarios de los organismos comunales / de  5885  registrados * 100 % =  97,81%
A 2018, se  caracterizaron 5.756 dignatarios de los organismos comunales / de  5885  registrados * 100 % =  97,81%
</t>
  </si>
  <si>
    <t xml:space="preserve">El programa de Gestión Comunitaria y Democrática, realizo contacto con la ESAP, se esta la espera de confirmar la fecha de inicio del diplomado.
Como evidencia se reporta formato de convocatoria.
</t>
  </si>
  <si>
    <t>No se presenta avance en esta meta, el diplomado se llevará a cabo en la vigencia 2020</t>
  </si>
  <si>
    <t xml:space="preserve">Desde el proyecto “implementación de estrategias para la promoción de los derechos de la población diversa por orientación sexual del municipio de Pereira” no se adelantaron acciones en este sentido en la vigencia 2019
En la vigencia 2020 se deben prestar especial cuidado con esta meta, ya que  no ha tenido avance  
</t>
  </si>
  <si>
    <t xml:space="preserve">Para fomentar la participación social y política de los sectores LGTBI se formuló e implementó la Estrategia ciudadanía formada y en acción; en el marco de la cual se utilizaron folletos de difusión relacionados con los mecanismos de participación. 
En la vigencia 2019 se contó con la participación de una mujer trans en el consejo consultivo de mujer y de otra chica trans en el comité departamental de diversidad sexual.  
</t>
  </si>
  <si>
    <t xml:space="preserve">Se levantaron y actualizaron inventarios en 263 JAC de 413 existentes *100% =
Es decir se hizo control al 63,68% de los inventarios.
Desde la oficina de Gestión comunitaria los promotores comunales realizaron las visitas de inspección control y vigilancia a inventarios; como paso a seguir se reportaron anomalías encontradas en las JAC de: Hernando Vélez Marulanda, Alfonso López, Mejía Robledo, Boston, Palermo y Gaviotas, se realiza la visita de seguimiento a los bienes e insumos entregados pendiente de reportar a los entes de control. 
</t>
  </si>
  <si>
    <t xml:space="preserve">Se realizan 2 sesiones de la mesa así:
 11 de Octubre y 12 de Noviembre.
 Acercamientos de Asesoría de funcionamiento de la mesa.
</t>
  </si>
  <si>
    <t xml:space="preserve">A diciembre de 2019, se culminó con 51 JACI, las cuales fueron beneficiadas de las acciones planteadas en el punto 1, relacionado con la escuela de liderazgo.  </t>
  </si>
  <si>
    <t xml:space="preserve">En cumplimiento del Acuerdo Municipal 43 de 2016 que adopto la ley 1757 de 2015, la Secretaria de Desarrollo Social y Político a través del programa de Gestión Comunitaria y Democrática llevo a cabo la Semana de la Participación del 05 al 10 de agosto del año en curso se anexan copia del acuerdo y el decreto.
Se desarrollaron entre otras las siguientes actividades: 
• Concurso de oratoria en el Concejo Municipal.
• Cabalgata infantil en caballos de palo.
• Plenaria del concejo con los organismos comunales.
• Ornadas cívico sociales con habitantes de calle 
</t>
  </si>
  <si>
    <t>Se aportan como evidencias acta de reunión, programación de la semana y Registros fotográficos.</t>
  </si>
  <si>
    <t>La Conmemoración del día de la acción comunal se realizó el día 15 de diciembre de 2019 en Limoncito con Ron, vía Combia del Municipio de Pereira, en total se beneficiaron 150 dignatarios (65 hombres y 85 mujeres), en el desarrollo de esta actividad se llevó a cabo una capacitación en la Ley 743 de Organismos Comunales, se realizaron actividades lúdicas y recreativas entre otros.</t>
  </si>
  <si>
    <t xml:space="preserve">Registros fotográfico, asistencia  </t>
  </si>
  <si>
    <t>Se realiza atención y capacitación a mienbros de las JAC en puntos vive digital, en temas como gobierno en linea, entretenimiento entre otros  .</t>
  </si>
  <si>
    <t xml:space="preserve">Resoluciones:                          6109 de 2019                              7045 de 2019
6014 de 2019
6532 de 2019                              6855 de 2019                            14594 de 2019              
                </t>
  </si>
  <si>
    <t>Se entregaron 3 mejoramientos rurales con recursos propios; De presupuesto participativo se entregaron 13 en Altagracia, 46 en Combia Alta y 28 en Morelia. El valor de reporte de ejecucion 2019 incluye $2.700.000 de recursos propios y $92.068.140 de presupuesto participativo</t>
  </si>
  <si>
    <t xml:space="preserve">Resoluciones:                          7045 de 2019
6014 de 2019
6532 de 2019                              6855 de 2019
                </t>
  </si>
  <si>
    <t>acta de reunion, fotográfico</t>
  </si>
  <si>
    <t>Se realizó comite del sector recreacion para la organizacion del mes de la niñez en abril con la participacion de entidades publicas y privadas. (ICBF, UTP, CULTURA, GOBIERNO, SALUD, YMCA RISARALDA, ETC)</t>
  </si>
  <si>
    <t xml:space="preserve">Se participo en la mesa del acuerdo 042 para la primera infancia. Se participo en la mesa de política pública para la primera infancia, infancia y adolescencia. </t>
  </si>
  <si>
    <t>Se realizaron 2 categorizaciones de los clubes deportivos en el año, una actualizacion con corte a 30 de junio con la participacion de 125 clubes y una categorizacion final con corte a 30 diciembre con participacion de 136 clubes. Se elaboro resoluciones para la distribucion oficial a los clubes y areas de interes.</t>
  </si>
  <si>
    <t>RESOLUCIONES</t>
  </si>
  <si>
    <t>RES. 7133 del 15 de Julio de 2019 - RES. 1287 del 9 marzo de 2020</t>
  </si>
  <si>
    <t>No se desarrollaron actividades con respecto a esta actividad</t>
  </si>
  <si>
    <t>No se cuenta con una plataforma web municipal para el registro de organismos DRAEF, sin embargo se tienen identificadas las organizaciónes que prestan servicios DRAEF en el municipio como clubes, gimnasios, centros recreacionales, instituciones educativas, entre otras.</t>
  </si>
  <si>
    <t>No se cuenta con un software municipal para el registro de organismos DRAEF, sin embargo se tienen identificadas las organizaciónes que prestan servicios DRAEF en el municipio como clubes, gimnasios, centros recreacionales, instituciones educativas, entre otras.</t>
  </si>
  <si>
    <t>Se realizó la asistencia técnica a los clubes deportivos para la cracion, actualizacion y renovacion del reconocimento deportivo</t>
  </si>
  <si>
    <t>actas, registros de asesorias resoluciones</t>
  </si>
  <si>
    <t xml:space="preserve">No se cuenta en la ciudad de pereira con clubes comunales, no hay interes y es dificil su creacion. </t>
  </si>
  <si>
    <t>No se tiene evidencia de redes comunitarias por parte de los cogestores</t>
  </si>
  <si>
    <t>se asignaron 19 cogestores a comunas y a corregimientos del municipio de pereira cabe resaltar que hubo cogestores que les tocaba dos zonas comuna y corregimiento</t>
  </si>
  <si>
    <t>contratos de prestacion de servicios.</t>
  </si>
  <si>
    <t xml:space="preserve">son 19 comunas y 12 corregimientos para 19 cogestores : se tuvieron dos zonas con un solo cogestor </t>
  </si>
  <si>
    <t>No se adelantaron acciones durante el 2019</t>
  </si>
  <si>
    <t>na</t>
  </si>
  <si>
    <t>No se cuenta con la mesa intersectorial conformada, por ende no se pudieron articular acciones entre observatorio y mesa.</t>
  </si>
  <si>
    <t xml:space="preserve">en el año 2014, se adelanto gestión ante secretaria juridica para adelantar el cumplimiento de esta acción y no le dieron viabilidad. </t>
  </si>
  <si>
    <t>UTP- SENA y CEDENORTE</t>
  </si>
  <si>
    <t>Convenios firmados con entidades reposan en el drive/fortalecimiento/Ricardo2019/Practicas profesionales/convenios utp y cedenorte</t>
  </si>
  <si>
    <t>El observatorio se encuentra vinculado a la red de observatorios de SUEJE, Rafapana y semilleros de investigación del programa Ciencias del Deporte y la Recreación.</t>
  </si>
  <si>
    <t>Acta de reunión</t>
  </si>
  <si>
    <t>Durante el 2019 se contrataron 4 profesionales para desarrollar las actividades relacionadas con el observatorio, adelantar procesos de mediciòn de la efectividad de los programas de la secretaria, asi como la creación de indicadores institucionales. LA UTP a traves del programa Ciencias del Deporte y la Recreación tambien cuenta con un observatorio en la misma materia, operado por estudiantes y practicantes del programa.</t>
  </si>
  <si>
    <t>Contratos de prestación de servicios</t>
  </si>
  <si>
    <t>Se requiere ampliar el numero de profesionales, en disiciplinas como la psicologia y la sociologia para mejorar el analisis de datos de una forma integral de acuerdo al comportamiento humano.</t>
  </si>
  <si>
    <t>Es dificil cumplir con ello, debido a que los otros actores como recreacion y actividad fisica adolecen de leyes que permitan la regulacion, la inspeccion, vigilancia y control de sus organizaciones.</t>
  </si>
  <si>
    <t>Mesa intersectorial, secretaria de recreacion y deporte</t>
  </si>
  <si>
    <t>En la asistencia tecnica se busca brindar asesorias para que los clubes se fortalezcan como una empresa deportiva, brindandoles herramientas en la parte tecnica y adminstrativa la cual se debe ver reflejada en la categorizacion. La persona que esta encargada de esta area ademas debe realizar asesorias, revisar documentos y elaborara la resolucion de reconocimiento deportivo en la constitucion, actualizacion , renovacion y cancelacion de clubes deportivos. Debe realizar tambien visitas en campo.</t>
  </si>
  <si>
    <t>Contratos de prestacion de servicios</t>
  </si>
  <si>
    <t xml:space="preserve">Se viene disminuyendo los profesionales en esta area, es preocupante, se inicio con 6 personas en 2012 (abogado, contador publico y 4 asesores tecnicos) en el año 2015 pasamos a 3 personas, año 2017 pasamos a 2 y año 2019 pasamos a una persona. </t>
  </si>
  <si>
    <t>Se cuenta con una pagina web desde el observatorio DRAEF con la información de la oferta institucional de la secretaría de Deporte y Recreación.</t>
  </si>
  <si>
    <t>Pagina web</t>
  </si>
  <si>
    <t>Alianza con la emisora de la universidad tecnologica de Pereira, pagina semillero deportivo, prensa escrita y digital el diario, el qhubo</t>
  </si>
  <si>
    <t>desde el progrmaa HEVS, se ha implementado. En los programas se desarrollaron talleres con los monitores e instructores a cargo del Talento humano de HEVS. En el area de Recreacion se implemento la estrategia en las celebraciones conmemorativas mes de la niñez y la recreacion, mes de la recreacion y el disfraz, vacaciones de mitad y fin de año, con diseño de imagenes, piezas audiovisuales, realizacion de talleres en IEC, entre otras.</t>
  </si>
  <si>
    <t>Contratos de prestación de servicios, informes , spp, Estadisticas del Observatorio</t>
  </si>
  <si>
    <t xml:space="preserve">En la Emisora Cutural, Remigio Antonio Cañarte estubo el Secretario de Deportes en varias ocasiones  hablando en el boletín informativo hacerca de :                     ° La Vía Activa.                                          ° La Cicloruta.                                            En las Fiestas Cosecha :                       ° Carrera 5K Y 10K.                                  ° Otún.                                     </t>
  </si>
  <si>
    <t>No se desarrollaron acciones durante el 2019</t>
  </si>
  <si>
    <t>Decreto de modernización</t>
  </si>
  <si>
    <t>La modernización de la Alcaldía no creo cargos de carrera administrativa, creo solo dos de libre nombramiento y remoción. Se requiere mas personal de planta asignados a la secretaria de Deporte y Recreación.</t>
  </si>
  <si>
    <t>Se realizó pintura de las instalaciones del parque del café.</t>
  </si>
  <si>
    <t>fotos</t>
  </si>
  <si>
    <t>se debe mejorar la bodega especificametne en el techo.</t>
  </si>
  <si>
    <t>no se desarrollo la gestion</t>
  </si>
  <si>
    <t>SE crearon e implementaron desde el 2018, adicional se crearon indicadores relacionados con el desempeño de los usarios en los programas continuos que ofrece la secretaria de deporte a los ciudadanos</t>
  </si>
  <si>
    <t>Datastudio de indicadores</t>
  </si>
  <si>
    <t>Se desarrollo un contrato interadministrativo entre la secretaría de deporte y recreación  y la UTP para desarrollar dos investigaciones.</t>
  </si>
  <si>
    <t>Contrato interadministrativo</t>
  </si>
  <si>
    <t>Esta accion era para los años 2013 y 2014. Se cuenta con el mapa de toda la oferta deportiva de la Secretaría de Deporte y Recreación.</t>
  </si>
  <si>
    <t>Enlace de my maps con la oferta deportiva</t>
  </si>
  <si>
    <t>Desde el 2017 se cuenta con la muestra maestra para realizar investigaciones en Pereira en la zona urbana con población de 18 a 65 años</t>
  </si>
  <si>
    <t>n/a</t>
  </si>
  <si>
    <t>Esta fue realizada en el año 2017</t>
  </si>
  <si>
    <t>Se desarrollo un contrato interadministrativo entre la secretaría de deporte y recreación  y la UTP para desarrollar dos investigaciones. Relacionadas con la carcterización de la aptitud fisica y el perfil antropometrico de los escolares de Pereira de 6 a 17 años.</t>
  </si>
  <si>
    <t>Se realizaron 2 cohortes: diplomado a gestoras educativas, madres comunitarias y profesionales que intervienen en los procesos educativos de los centros de desarrollo infantil en juego, lúdica y recreación para la primera infancia del 
municipio de Pereira”</t>
  </si>
  <si>
    <t>Contratos desarrollados</t>
  </si>
  <si>
    <t>NO SE IMPLEMENTO</t>
  </si>
  <si>
    <t>Esta acciones hacen parte de los programas de la secretaría de Desarrollo social y Político, quien es la encargada de hacer programas con los lideres comunitarios. Estas acciones no hacen parte de la Secretaría de Educación como tal.</t>
  </si>
  <si>
    <t>Esta acción es propia de la secretaria de Deportes y Recreación.</t>
  </si>
  <si>
    <t xml:space="preserve">Se brindaron 2 capacitacioones en el año, una en constitucion de clubes deportivos y al otra en las obligaciones tributarias dictada por la dian. </t>
  </si>
  <si>
    <t>Regsitro Fotografico. Formatos de asistencias.</t>
  </si>
  <si>
    <t>Se busca fortalecer los organismos deportivos, la realizacion del curso de 40 horas de administracion deportiva como requisito para pertenecer a los organos de administracion de los clubes pero no se contaba con los recursos economicos para realizar el evento</t>
  </si>
  <si>
    <t>Estas acciones hacen parte de los programas de la secretaría de Desarrollo social y Político, quien es la encargada de hacer programas con los lideres comunitarios. Estas acciones no hacen parte de la Secretaría de Educación como tal.</t>
  </si>
  <si>
    <t>RICARDO COMPLEMNETAR Se realizaron veedurias ciudadanas a traves de llamadas telefonicas a los diferentes usuariso registrados en los diferetnes programas de la secretaria de deporte y recreación</t>
  </si>
  <si>
    <t>Registro de llamadas realizadas a los usuarios, informe de resultados obtenidos de las veedurias a traves de llamadas telefonicas Drive/Fortalecimiento</t>
  </si>
  <si>
    <t xml:space="preserve">Se realizaron rendiciones de cuentas en las diferentes comunas y corregimientos del municipio </t>
  </si>
  <si>
    <t>Las actas las tienen Carlos Garcia Coogestroes</t>
  </si>
  <si>
    <t>Se realizo el foro de Gobernanza en el Deporte evento realizado en la UTP, con la participación de diferentes instituciones, se firmo un manifiesto para segui realizando el foro con presencia del secretario de Deporte y Recreación y las organizaciones civiles.</t>
  </si>
  <si>
    <t>cargadas en el dirve/fortalecimiento/Ricardo 2019/ la asistencia le tiene Dani</t>
  </si>
  <si>
    <t>Articulacion con la universidad tecnologica, fundacion sanar, instituto de movilidad y transito, sec de infraestructura, sec dello social, Corpasar, Scouts, ACJ's-Y )JUNTAS DE ACCION COMUNAL. POLICIA METROPOLITANA DE PEREIRA ,INSTITUCIONES EDUCATIVAS DE PEREIRA ,CON LOS CEDE DEL MUNICIPIO DE PEREIRA ,SECRETARIA DE SALUD CON EL PROGRAMA CASA SANA ,</t>
  </si>
  <si>
    <t>A ESTRATEGIA .COMUNIDADES ACTIVAS SALUDABLES NOS ENTREGARON DOS C.I.C PARA ADMINISTRARLOS EN PUERTO CALDAS Y EN HACIENDA CUBA A LLI LLEGARON LOS PROGRAMAS DEL AREA DEPORTES ,ACTIVIDAD FISICA DE LA SMDYR .Y SE ADMINISTRABA LOS ESPACIOS PARA LA COMUNIDAD ,SECTOR PUBLICO.</t>
  </si>
  <si>
    <t xml:space="preserve">se adelantó,  a traves de los juegos Nacionales, las reuniones con los actores relacionados, Secretaria Departamental de Deporte y Cultura, Secretaria Municipal de Deporte y Recreación, Secretaria Departamental de Infraestructura, Secretaria Municipal de Infraestructura, con el fin de revisar todos los escenarios existentes para realizar la planeaión de las remodelaciones y construcción de escenarios nuevos, el cual quedará un  producto final en el año 2020. </t>
  </si>
  <si>
    <t>NO SE DESARROLLO</t>
  </si>
  <si>
    <t xml:space="preserve">DISCAPACIDAD 12 de 15
AFRODE 6 de 8 Se beneficiaron en los ascentamientos afros grupos de actividad fisica e inclusion en este rago de edad 
INDIGENA - La secretaria de deportes tiene 4 programas  donde se intervienen en las comunidades del municipio de pereira, Escuelas de Formacion, Inclusion Social, Escuelas de Juego y Motricidad, Comunidades Activas y Saludables  y Habitos y estilos de vida saludable programas que atienden de forma continua los niños, jovenes y adultos de todo el municipio de Pereira (las brisas, tokio, remanso, yarumito, rosal </t>
  </si>
  <si>
    <t>NO SE DESARROLLÖ</t>
  </si>
  <si>
    <t>NO HAY VIABILIDAD, debido a indagaciones a nivel gubernamental y concejo muniicpal</t>
  </si>
  <si>
    <t>NO SE HA DESARROLLADO</t>
  </si>
  <si>
    <t>NO SE DESARROLLÓ</t>
  </si>
  <si>
    <t>Se recibió apoyo por parte de la fundación World Visión los días 22 y 25 de junio para el desarrollo de las vacaciones recreativas del mes de junio.</t>
  </si>
  <si>
    <t>actas de reunón</t>
  </si>
  <si>
    <t xml:space="preserve">Contratación de un Arquitecto por parte de la Secretaria Municipal de Deporte y Recreación con el fin de articularce con los arquitectos e Ingenieros de Infraestructura para poder consolidar el Plan Maestro de Equipamentos Deportivos y Recreativos. </t>
  </si>
  <si>
    <t xml:space="preserve"> informes , spp, Estadisticas del Observatorio</t>
  </si>
  <si>
    <t>Se consolidó El Plan Maestro donde se incluyen los grandes escenarios, escenarios Barriales y comodatos de canchas sinteticas.</t>
  </si>
  <si>
    <t>Documento plan Maestro</t>
  </si>
  <si>
    <t>sensiblización de los actores relacionados: Ligas y clubes, indicando el proceso que se iba a desarrollar, se realiza notificación de manera personal y mediante circular establecida desde la Jefatura de Escenarios Deportivos donde se informa el procedimiento a realizar y los documentos requeridos para desarrollar el mismo,se realizó un inventarios de los escenarios, se recolectaron todos los documentos, se construyó la minuta del contrato, el acta de inicio, la resolución, se realizarón carpetas para cada interesado, se realizó un levantamiento arquitectonico de la mano del Arquitecto Rodolfo Arenas, se realizó visitas a los diferentes escenarios para establecer los mts cuadrados  que se iban a entregar, se realizó una visita para establecer el gasto de agua y de energia de cada escenario deportivo, con toda esta información recolectada se procede a montar los contratos: 17 de la villa olimpica proyectados.</t>
  </si>
  <si>
    <t>notificaciones por medio de circulares, 38 comodatos en todos los escenarios y 11 canchas sinteticas.</t>
  </si>
  <si>
    <t>se adelantaron varias reuniones de los actores relacionados para la realización de los CIC Centros de Integración Ciudadana, El Remanso, Puerto Caldas, Hacienda Cuba.</t>
  </si>
  <si>
    <t>se realizaron mantenimiento y adecuación de 70  escenarios deportivos en el Municipio de Pereira.</t>
  </si>
  <si>
    <t>registros fotograficos y oficios de solicitud, cronogramas.</t>
  </si>
  <si>
    <t>Reuniones con los  gestión inmobiliaria y secretarias de infraestructura, secretaria y planeación, para constituir un equipo que permitiera realizar articulaciones para la generación de esapacios, la construcción y mantenimiento de instalaciones DRAEF de acuerdo a la normatividad.</t>
  </si>
  <si>
    <t>compra de elementos deportivos para realizar adecuaciones y actualizar   intalaciones de la liga de gimnasia y clavados con el fin de dotarlas con equipos que permitan a los deportistas mejorar el desempeño.</t>
  </si>
  <si>
    <t>elementos deportivos en los escenarios, contratos e inventarios.</t>
  </si>
  <si>
    <t xml:space="preserve">Se conformaron escuelas de formacion deportivas en 15 disciplinas. Se conformaron 84 grupos juveniles con una participacion de 900 asistentes de forma regular. En el programa escuela recreación vida y convivencia conformó 68 grupos de infancia con 1561 usuarios.  </t>
  </si>
  <si>
    <t>Se realizo la Fase municipal de los Juegos Superate Intercolegiados, en los que se logro la participacion de 98 Institucionees Educativas y 4299 deportistas en las categorias juvenil (15 a 17 años) prejuvenil (13 y 14 años) e infantil (11 y 12 años), por temas de recursos no se realizaron las demas categorias. Es importante destacar que las IE del area rural que asi lo solicitaron, se les brindo transporte para asistir a las competencias</t>
  </si>
  <si>
    <t>Se realizo 2 asesoria para constituir club en colegios y una mas para renovar un reconociiento ya vencido.</t>
  </si>
  <si>
    <t>Registro de asesorias. Sipp.</t>
  </si>
  <si>
    <t xml:space="preserve">La instituciones asesoradas para constitucion fueron, Lestonac y Jose antonio Galan. Para la renovacion fue el gimnasio pereira. Solo se entrego renonocimiento a JAG en voleibol pero lo hicieron como personas naturales ya que no tuvieron el respaldo del rector. </t>
  </si>
  <si>
    <t>Se aseguro a traves de la promocion en la plataforma oficial, la inscrpcion y recoleccion de documentacion necesaria, la participacion de los 391 deportistas del municipio que clasificaron a la final departamental, tanto de deportes de conjunto como individuales. A estos deportistas le fueron brindados los uniformes tanto de presentacion como de competencia para la participacion. Tambien se les brindo la poliza todo riesgo que los cubria si existia algun contratiempo. Ademas a los participantes de los deportes de conjunto que debieron participar en el zonal departamental se les brindo el transporte y alimentacion cuando nos tuvimos que desplazar al municipio de marsella y los clasificados a la final departamental de los deportes de conjunto que se desarrollo en La Celia, se les brindo el desayuno y el amuerzo del primer dia, ya que la organizacion no los cubria y tuvieron inconvenientes con el operador de esta fase. Finalmente a las IE de los equipos representantes en la final departamental de los deportes de conjunto se les realizara la entrega de implementacion deportiva que consiste en balones, petos, uniformes, conos, chapetas, bandas elasticas, balones medicinales, mallas, chalecos, superficies inestables, colchonetas, infladores, pesas y otros</t>
  </si>
  <si>
    <t>Reporte de promocion, registro fotografico</t>
  </si>
  <si>
    <t>Se realizo una asesoria en renovacion de reconocimiento deportivo a la UTP</t>
  </si>
  <si>
    <t>Es dificil cumplir con esta accion, se brinda asesorias a los que lo requieran pero la iniciativa y el llevarlo a cabo en estas instituciones no es una prioridad ni es importante para ellos aun hablandoles sobre los beneficios de pertenecer al sistema nacional del deporte. En este ultimo son incredulos ya que el estado no se fija en el deporte universitario.</t>
  </si>
  <si>
    <t>NO S EDESARROLLO</t>
  </si>
  <si>
    <t>Articulación con el programa de Discapacidad, en la Institución Educativa Jorge Eliecer Gaitan se trabajó la estrategia "habilidades para la vida" se realizarón 121 talleres, se beneficiarón del programa 20 jóvenes con discapacidad y se contratarón 7 profesionales, una alianza con la secretará de Deportes, Educación, Cultura y Salud.</t>
  </si>
  <si>
    <t xml:space="preserve">Se atendiò a la primera infancia a traves de todos los 7 CDIs y 3 Hogares infantiles, 1235 niños y niñas. Se atendieron 28 instituciones educativas a traves de la Recreacion y el Juego con un promedio de 2115 niños y niñas en infancia,  - En la PP de juventud se desarrollaron las acciones de Promoción de iniciativas juveniles en actividad física, deporte y recreación y Fomento de actividades deportivas y recreativas innovadoras (skatingboard, porrismo, etc. 
- En la PP de discapacidad de cumplieron las acciones misionales de atencion a la comunidad en materia de recreacion y actividad fisica. IMPLEMENTACIÓN DE PROGRAMAS DE ACTIVIDAD FÍSICA, RECREACIÓN Y DEPORTE PARA PERSONAS CON DISCAPACIDAD Y SUS CUIDADORES CERCA A LOS LUGARES DE RESIDENCIA.  a traves del programa de inclusión el cual realiza intervención en procesos continuos dos veces por semana en las instituciones, además de la realización del programa miércoles de inclusión.
</t>
  </si>
  <si>
    <t>Sistema de informacion de Politicas Publicas - SPP, registros administrativos, observatorio DRAEF, secretaria de Deporte y Recreación.</t>
  </si>
  <si>
    <t>Durante la vigencia 2018 la Secretaría de Desarrollo Social y Político, a través del proyecto discapacidad, realizaron talleres de sensibilización en los que se implementó "el juego de la inclusión", a través del cual las  personas sin discapacidad  realizan intercambio de roles de personas con discapacidad: personas ciegas, sordas y con discapacidad física .
En total se beneficiaron 133 personas, no se discriminan ni por sexo, ni por edad ya que se registro como actividad masiva</t>
  </si>
  <si>
    <t>involucrados d ela politicas publicas y secretaria de recreacion y deporte</t>
  </si>
  <si>
    <t>Se implementarón 4 programas desde la secretaria a Traves del area de Recreación:  Escuelas de juego y motricidad, escuelas de recreacion para convivencia, comprometiendo juventudes y atención a la comunidad.
- Adicionalmente en el programa escuales de juego la motrcidad Se esta trabajando en esucelas de padres y con las gestoras educativas de los CDIS para promover  una cultura de la convivencia.
- El programa comprometiendo juventudes tiene como enfoque la convivencia y se intervien los grupos caminar de las instituciones educativas, fundaciones y grupos comunitarios.</t>
  </si>
  <si>
    <t>Estas acciones hacen parte de los programas de la secretaría de Desarrollo social y Político, quien es la encargada de hacer programas  comunitarios. Estas acciones no hacen parte de la Secretaría de Educación como tal.</t>
  </si>
  <si>
    <t>En diciembre de  2018 la Secretaría de Desarrollo Social y Político, a través del proyecto discapacidad realizó actividad recreativay la celebración del día de la discpacidad  en el Parque Ukumary . Actividad de la cual se beneficiaron 65  personas ----  10.000.000  ------ Durante la vigencia 2018, el proyecto de indigenas de La Secretaría de Desarrollo Social y Político en coordinación con la Secretaría de Deportes realizaron actividades recreativas en descentralizado efectuado en la vereda Yarumito.
En total hubo 40 beneficiarios, no se discriminan ni por sexo, ni poredad ya que las consideraron como actividades masivas -----1.114.137</t>
  </si>
  <si>
    <t>secretaria de recreacion y deporte.</t>
  </si>
  <si>
    <t>Se realizarón jornadas de Sensibilización en el manejo de la Inclusión Educativa en 44 Instituciones educativas y en el mes de diciembre se realizó el dia de la Inclusión en el parque Consotá.</t>
  </si>
  <si>
    <t>La Secretaría de Cultura de Pereira estuvo acompañando las Festividades del Día de los Niños el 31 de Octubre en la Comuna Villa Santana , Av Rio (Galán)  y el Parque Guadalupe Zapata en los cuales se hicierón actividades Artísticas en : Música , Danza , Titeres y Artes Plasticas.</t>
  </si>
  <si>
    <t>Se coordinaron y ejecutaron los siguientes  eventos:
- Mes de la niñez y la recreación  en Abril 
- Celebracion dia  del disfraz en Octubre (Promoviendo la convivencia)
- Encuentros navideños 
- Vacaciones recreativas 
- Campamento juvenil programa comprometiendo juventudes.
con lo cual se realizaron  228878 servicios</t>
  </si>
  <si>
    <t>No se desarrollaron acciones con relacion a esta actividad</t>
  </si>
  <si>
    <t>Acompañamiento a 7 Instituciones Educativas de básica primariacon el prograna "circulo virtuoso" para el fortalecimiento de habilidades y destrezas de los niños de la primera Infancia.</t>
  </si>
  <si>
    <t>Se desarrollan 3 programas continuos de recreacion que fomentan la inclusion y la convivencia.
- Escuelas de juego y motricidad (0-5 Años)
- Escuelas de recreacion para convivencia (6 a 12 años)
- Comprometiendo juventudes (13 a 28 años)</t>
  </si>
  <si>
    <t>La secretaría de Educación apoya la inscripción de los deportistas y prepara los equipos para la competencia.</t>
  </si>
  <si>
    <t xml:space="preserve">31 Instituciones educativas beneficiadas con el programa comprometiendo juventudes (COLEGIO DE COMBIA, COLEGIO SAMARIA, I.E LA PALABRA,  ALFREDO GARCIA,  JESUS MARIA ORMAZA, I.E SALAMANCA, CUIDAD BOQUIA, INSTITUTO TECNICO SUPERIOR,  HECTOR ANGEL ARCIAL, COLEGIO VILLA SANTANA, MANOS UNIDAS SAN VICENTE, MANOS UNIDAS DANUBIO, COLEGIO COMPARTIR LAS BRISAS, AQUILINO BEDOYA, INSTITUTO KENNEDY, LESTONAC, CUIDADELA CUBA, I.E EL PITAL, SUR ORIENTAL, I.E LA BELLA, JORGE ELIECER GAITAN, HERNANDO VELEZ , I.E 30 DE AGOSTO CLEI, I.E LA JULITA, I.E CARLOTA SANCHEZ, IE GONZALO MEJIA ECHEVERRI,  IE REMIGIO ANTONIO CAÑARTE, I.E PUERTO CALDAS, I.E MUNDO NUEVO.) conformacion de grupos juveniles y fortalecimiento de habilidades para la vida a traves de la recreacion y la educacion experiencial y realizacion de eventos deportivos, culturales, ambientales, etc coordinados por los mismos grupos. En el programa escuela recreación vida y convivencia atendió en 18 instituciones educativas con grupos institucionales y extraescolar (Altagracia: IE Cañaveral y IE Gonzalo Mejía Echeverry), (Cerritos: IE Comunitario y IE Treinta Agosto), (San Joaquín: IE Salamanca y IE Perla del Sur), (Comuna Café: IE Boquía- 4 grupo comunitario), (Rocío Alto: IE Rocío Alto, IE sede Huertas y IE Remigio Antonio Cañarte sede Samaria), (Ferrocarril: IE Matecaña- Grupo comunitarios: Gilberto Peláez-Plumón), (Caimalito:  IE Azufral-Puerto Caldas: IE Enrique Millán Rubio, grupo comunitario La Unidad comuna Boston), (comuna Oriente: IE Lestonnac, Comuna Poblado: IE Remigio Antonio Cañarte sede el Poblado), (San Nicolás: IE san Nicolás) y (Combia: IE Combia y Pital), en cuanto a la cobertura cerró con 1561 niños y niñas atendidos (niñas 762 y niños 799). </t>
  </si>
  <si>
    <t>La secretaría de Educación abre espacios al interior de las Instituciones Educativas y no en las Instituciones de nivel superior.</t>
  </si>
  <si>
    <t>Se llevaron a cabo jornadas de promoción en hábitos y estilos de vida saludable a estudiantes, empleados y personal administrativo de Instituciones de Educación Superior del municipio, como son Universidad Tecnologica de Pereira, Fundación Universitaria del Área del Andina, Universidad Libre Pereira, Universidad Catolica, Universidad  Cooperativa</t>
  </si>
  <si>
    <t>Pública - Privada</t>
  </si>
  <si>
    <t>Alamos, Avenida de las Américas, Belmonte, Centro</t>
  </si>
  <si>
    <t xml:space="preserve">Realización de las vias activas y saludables </t>
  </si>
  <si>
    <t>dia mundial de la actividad fisica-camita 5k y carrera 10k-evento de cierre HEVS</t>
  </si>
  <si>
    <t xml:space="preserve">La Secretaría de Desarrollo Social y Político, a través del proyecto juventud, realizó durante una semana del mes de mayo de 2018 una socialización de servicios (entre ellos aspectos relacionados con hábitos de vida saludables)  a soldados del  Batallón San Mateo. Como actividad de cierre se  hizo una rumboterapia.  9.434.050,25 personas 200 ----- En la vigencia 2018 La Secretaría de Desarrollo Social y Político estableció  contrato 3141 con la Fundación Frisby para implementar un
proceso de formación en habilidades para la vida  y hábitos de vida saludables, bajo el modelo de enseñanza tiempo de juego; dirigido a líderes adolescentes y jóvenes del municipio de Pereira . 
En total se beneficiaron 110 personas con 1.532 atenciones. Las evidencias de la intervención de Frisby reposan en el archivo central de la Secretaría. 
En total se beneficiaron 200 soldados 50.000.000 personas 110
 </t>
  </si>
  <si>
    <t>Se realizaron 115 talleres de promoción en hábitos y estilos de vida saludable a contratistas, empleados y directivos de 13 empresas de transporte público, entidades y del gremio de la construcción. Durante los talleres en hábitos y estilos de vida saludable, realizados en las empresas. 1. Obra en construcción Tirrenia. 2. COLDECON, 3. INSERIM S.A.. 4. Gerenciar, 5. Instituto de Movilidad. 6. COOVICHARALDA. 7. Trans. Perla, 8. Operadora Otún, 9. Ukumary, 10. LECTECK, FRIGOTUN, se implemento la estrategia IEC (INFORMACIÓN, EDUCACIÓN, COMUNICACIÓN),durante los mismos se trataron temas como las enfermedades crónicas no transmisibles, importancia de prevenirlas, hábitos saludables y rutinas básicas de jercicio en casa y promoción, tamizaje de cáncer de próstata, generando así espacios saludables tanto a los beneficiados directamente con dicho taller, así como sus familias.</t>
  </si>
  <si>
    <t>Primero de febrero, La Victoria, Buenos Aires, Portal de San Joaquín, Polideportivo San Joaquón, San Marcos, Villa Verde, Rocio Alto, Club de la Salud Claretiano, Centro, Calretiano Lago, Villa Santana, Independientes, Galan, San Nicolas, Guacarí</t>
  </si>
  <si>
    <t>Ferrocarril, Olímpica, San Joaquín, Cuba, Del Café, El Oso, Perla del Otún, Consotá, El Rocío, El Poblado, El Jardín, San Nicolás, Centro, Río Otún, Boston, Universidad, Villavicencio, Oriente y Villasantana</t>
  </si>
  <si>
    <t xml:space="preserve">Se genero espacio para la practica de atividad fisica autodirigida en el parque del cafe </t>
  </si>
  <si>
    <t>se implementaron proogramas de actividad fisica en : Parque olaya herrera - villa olimpica en el marco de la via activa,  grupos regulares de actividad fisica - coliseo mayor-coliseo-coliseo de cuba- parque del oso MAURICIO- ARCILA LILIANA MIRAR LAS ESTADISTICAS DE LOS ESCENARIOS DEPORTIVOS DE LOS GRUPOS</t>
  </si>
  <si>
    <t>Se implemento por parte de comunidades activas saludables cogestores el torneo intramural de futbol de salon en masculino y femenino en cada comuna y corregimiento del municipio de pereira sacando los campeones de cada zona  con premiacion y al paso ala fase final..,se desarrollaron vias activas en algunas comunas : comuna el oso con su via activa la cuchilla de los castros ,comuna cuba (2500 lotes).comuna el rio otun  via activa san jorge , corregimiento la bella via activa .</t>
  </si>
  <si>
    <t>En cuanto a instituciones prestadoras de servicios de salud se realizó talleres para la promoción de hábitos y estilos de vida saludable, y actividad física. Estos talleres consistieron en la implementación de la unidad didactiva de lineamientos en ejecicio físico, en las instituciones: EABP (Salud Total, ASMETSALUD) MEDIMAS, IDIME, ESE salud Pereira, unidad intermedia Cuba y Kenedy, Sanidad Policia, Sanidad Militar). Esta unidad didáctica consiste en conocer los saberes que posse las personas acerca de los elementos o secciones que conllevan la adecuada realización de una sesión de ejercicio y el tipo de ejecicios adecuados según  su condición (hipertenso, diabético u Obeso).</t>
  </si>
  <si>
    <t>Privada</t>
  </si>
  <si>
    <t>Cuba, Kenedy, Centro, 30 de agosto</t>
  </si>
  <si>
    <t>se tiene  el programa HEVS en asocio con el Ministerio del Deporte</t>
  </si>
  <si>
    <t>Este proyecto tien un valro más alto debido a que El ministerio aporta cerca del 70% del valor total, aquí sólo se referencia el valor ejecutado por pereira</t>
  </si>
  <si>
    <t>primera jornada de movilización masiva para sensibilización de estilos de vida saludable y promoción de actividad f´sica que se realizo con la población beneficiada por la estrategia CARMEN, día del deporte pereirado donde se realizaron actividades para la promoción de hábitos y estilos de vida saludable y actividad física</t>
  </si>
  <si>
    <t>realizacion de los juegos municipales de la discapacidad y la inclusion.</t>
  </si>
  <si>
    <t>La secretaría de Educación aclara que en esta acción, hace acompañamiento a Comfamiliar y a la secreataría de Deportes, con el fin de abrir espacios en las Instituciones Educativas, para focalizar los estudiantes beneficiarios del Sisben.</t>
  </si>
  <si>
    <t>La secretaría de Educación prestó el aula máxima del Instituto Técnico Superior y dió los refrigerios para la capacitacion de Docentes de educación Física realizada en el mes de Noviembre del 2019 por la Secretaría de Deportes.</t>
  </si>
  <si>
    <t>Esta actividad la desarrolla directamenta el ministerio de Educación en la estrategia " pruebas superate"con los intercolegiados en el nivel académico y deportivo.</t>
  </si>
  <si>
    <t>Se realizo el modelo del proyecto de acuerdo muncipal, se realizaron revisiones juridicas y se esta a la espera de las correcciones</t>
  </si>
  <si>
    <t>Actas de Reunion</t>
  </si>
  <si>
    <t>Se busca pasar de la categorizacion que se viene realizando desde el 2012 a una clasificacion buscando hacer una division de 4 clases asi: Altos logros, competitivo, fomento deportivo y social comunitario.</t>
  </si>
  <si>
    <t>Se realizo apoyo economico y contratacion con clubes que se encuentran en la categorizacion, se les brindo tambien apoyo con implementacion deportiva, con el prestamo de escenarios, con auxilios de transporte, con apoyo logistico y con asistencia tecnica.</t>
  </si>
  <si>
    <t>Registro Fotografico. Formato de entrega. Libro radicador</t>
  </si>
  <si>
    <t>se realizo entrega a 5 clubes según la categorizacion de 2018, no se realizo a los otros 15 como lo dice la ley debido a que no se hizo inversion en implementacion deportiva</t>
  </si>
  <si>
    <t xml:space="preserve">Se logro identificar los clubes paralimpicos que tienen reconocimiento deportivo en el municipio pereira, actualmente  4 clubes cuentan con dicho reconocimiento deportivo </t>
  </si>
  <si>
    <t xml:space="preserve">NO SE HA DESARROLLADO </t>
  </si>
  <si>
    <t>Secretaria Desarrollo social</t>
  </si>
  <si>
    <t>Secretaria de Deportes</t>
  </si>
  <si>
    <t>Secretaria de Salud</t>
  </si>
  <si>
    <t>Secretaria de Desarrollo Social</t>
  </si>
  <si>
    <t>secretaria de    educación</t>
  </si>
  <si>
    <t>Atender al 100% de personas víctimas del conflicto para la prevenciòn y/o protección de sus derechos con enfoque diferencial que acudan a la Unidad permanente de proteccion a la vida (UPPV)</t>
  </si>
  <si>
    <t>Formular e implementar el PICS (Plan Integral de Seguridad y Convivencia Ciudadana) acorde con el enfoque diferencial y con la inclusión del capítulo de prevención del delito en adolescentes y víctimas del conflicto</t>
  </si>
  <si>
    <t>Aumentar la cobertura de la estrategia colegios seguros al 100% de IE del sector oficial y la protección de los derechos de los NNA víctimas del conflicto acorde con el enfoque diferencial</t>
  </si>
  <si>
    <t>Atender al 100% de las solicitudes gestionadas para la Protección de los derechos de personas, grupos y comunidades víctimas del conflicto</t>
  </si>
  <si>
    <t>Atender y gestionar en un 100% las solicitudes realizadas para la protección de Bienes patrimoniales, tierras y territorios de población víctima.</t>
  </si>
  <si>
    <t xml:space="preserve">Garantizar total e integralmente durante los 12 meses del año la atención y orientación a las víctimas del conflicto que acudan al punto de atención </t>
  </si>
  <si>
    <t>Garantizar la atencion humanitaria inmediata al 100% de población víctima del conflicto.</t>
  </si>
  <si>
    <t xml:space="preserve">100% de la población víctima que lo solicite, orientada para el trámite de la ayuda humanitaria de emergencia en el punto de atencion </t>
  </si>
  <si>
    <t>Implementar en un 100% un programa de vivienda rural</t>
  </si>
  <si>
    <t>Realizar las mejoras de vivienda urbana al 100 por ciento de la poblacion victima que lo demande con el cumplimiento de los requicitos</t>
  </si>
  <si>
    <t>Se ejecutaran los recursos gestionados del ministerio de agricultura de la resolucion ciento stenta y ocho del diecinueve de abril del dosmil dieciocho correspondiente a 11 mejoramientos de vivienda y a siete viviendas nuevas</t>
  </si>
  <si>
    <t xml:space="preserve">Legalizar 1 asentamiento del santiago trujillo (corregimiento de alta gracia) de haber poblacion victima en tal asentamiento sera sujeto de legalizacion </t>
  </si>
  <si>
    <t>Titular el 100 % de los predios que la poblacion victima postule y que cumpla con los requicitos en los sectores caracterizados: Catalan, barrio nuevo, carbonera, cofre, independencia, azufral, galicia y estacion villegas</t>
  </si>
  <si>
    <t>Garantizar el aumento de la atención primaria en salud APS a las familias victimas del conflicto con enfoque diferencial</t>
  </si>
  <si>
    <t>Sostener y aumentar el porcentaje de la cobertura neta e inegral de los niños y niñas identificados como víctimas del conflicto</t>
  </si>
  <si>
    <t>Sostener y aumentar el porcentaje de la cobertura neta en básica primaria de los NNA identificados como víctimas del conflicto</t>
  </si>
  <si>
    <t>Sostener y aumentar el porcentaje de cobertura neta de los NNA identificados como víctimas del conflicto en básica secundaria</t>
  </si>
  <si>
    <t>Sostener y aumentar el porcentaje de cobertura neta de los NNA identificados como víctimas del conflicto en educación media</t>
  </si>
  <si>
    <t>Diseñar, implementar, realizar seguimiento y evaluación de una estrategia para garantizar el servicio educativo a víctimas del conflicto armado</t>
  </si>
  <si>
    <t>Mantener, hacer seguimiento y evaluacion a las 4 estrategias de canasta educativa, para la permanencia, en el sistema educativo oficial: alimentación, transporte, dotación escolar y seguro estudiantil para NNA identificados como víctimas del conflicto</t>
  </si>
  <si>
    <t>garantizar la vinculacion de todas las solicitudes que cumplan los requicitos para Incrementar el número de becarios víctimas del conflicto subsidiados para ingreso y permanencia en la educación superior</t>
  </si>
  <si>
    <t>Incrementar y mantener 9 estrategias y procesos transversales para una educación de calidad: (1) educación para la sexualidad; (2) equidad y diversidad de género; (3) cátedra de la paz;  con énfasis en el respeto por los NNA identificados como víctimas del conflicto (4) pedagogía de los derechos humanos; (5) proyectos educativos ambientales (PRAES); (6) plan de lectura y escritura; (7) Cátedra de la pereiranidad; (8) Escuelas saludables; y (9) construcción de ciudadanía (incluye convivencia escolar, ética y valores); dirigido a la poblacion victima de acuerdo al enfoque diferencial.</t>
  </si>
  <si>
    <t>Construir y operar un Centro de Desarrollo Integral para la primera infancia (CDI) en el sector de Guayabal (Villa Santana), como parte del Plan de retornos y reubicaciones</t>
  </si>
  <si>
    <t>Desarrollar programas en materia de actividad fisica, recreacion y deporte con enfoque diferencial para la poblacion victima</t>
  </si>
  <si>
    <t>Conformación de 1 escuela de iniciación de formación deportiva con inclusión de las víctimas del conflicto de acuerdo al enfoque diferencial</t>
  </si>
  <si>
    <t>Realizar 4 actividades comunitarias a través de deporte y recreación para población víctima por año</t>
  </si>
  <si>
    <t>Realizar 4 vías activas comunitarias por año en comunas con asentamientos de víctimas</t>
  </si>
  <si>
    <t>Mantener 4 líneas productivas para la implementación de proyectos productivos a la población víctima del conflicto, de comun acuerdo con la MMVC</t>
  </si>
  <si>
    <t>Crear y ejecutar 10 proyectos para generar un sistema que fortalezca las iniciativas de los emprendedores que se identifiquen como víctimas del conflicto</t>
  </si>
  <si>
    <t>realizar la implementacion, el seguimiento, la evaluacion y de las PP de competitividad, innovacion y empleo</t>
  </si>
  <si>
    <t>Apoyar a 200 Beneficiarios víctimas del conflicto sobre las iniciativas de desarrollo de contenidos digitales y Apps</t>
  </si>
  <si>
    <t xml:space="preserve">Apoyar a 30 personas víctimas del conflicto para capacitaciones y formación especializada en temas de TIC </t>
  </si>
  <si>
    <t>Apoyar a 40  Personas víctimas del conflicto para capacitaciones en herramientas de apoyo a la industria creativa, en los Vive Labs y Puntos Vive Digital Plus.</t>
  </si>
  <si>
    <t>Incrementar en el periodo 2016- 2019 en 3.200 el número de personas  victimas atendidas con alimentación y nutrición</t>
  </si>
  <si>
    <t>Apoyo y articulación institucional para la reunificación familiar de las víctimas del conflicto</t>
  </si>
  <si>
    <t>Incrementar en 500 el número de empleos para población víctima a partir del fortalecimiento de capacidades locales</t>
  </si>
  <si>
    <t>Garantizar la vinculación al mercado de trabajo de jóvenes y mujeres víctimas del conflicto sin experiencia laboral</t>
  </si>
  <si>
    <t>Formular e implementar el Plan de retornos y reubicaciones a las victimas del conflicto</t>
  </si>
  <si>
    <t>Realizar permanentemente atencion psicosocial a la poblacion victima del conflicto en el centro regional, albergue de victimas y hogar de paso, centros educativos y en cada hogar que lo soliciten.</t>
  </si>
  <si>
    <t>Garantizar el funcionamiento permanente de la mesa de participación efectiva de victimas conforme a la ley 1448</t>
  </si>
  <si>
    <t>Asesorar y Crear un banco de proyectos interinstitucional con DPS, UARIV,Camara de comercio y MMVC</t>
  </si>
  <si>
    <t>/%</t>
  </si>
  <si>
    <r>
      <t>Desde la Sec de Vivienda se gestiono ante el ministerio de agricultura y desarrollo rural  la construccion de vivienda nueva a traves de las resoluciones: En el 2018 a traves de la resolucion 000178 del 19 de Abril.</t>
    </r>
    <r>
      <rPr>
        <b/>
        <sz val="11"/>
        <color theme="1"/>
        <rFont val="Calibri  "/>
      </rPr>
      <t xml:space="preserve">                                  En la urbanizacion Santa Clara se entregaron 52 apartamentos y en Remanso Guayabal 44 viviendas.                           </t>
    </r>
  </si>
  <si>
    <r>
      <rPr>
        <sz val="11"/>
        <rFont val="Calibri  "/>
      </rPr>
      <t xml:space="preserve">Base de datos reposada en la pagina de
</t>
    </r>
    <r>
      <rPr>
        <u/>
        <sz val="11"/>
        <color theme="10"/>
        <rFont val="Calibri  "/>
      </rPr>
      <t xml:space="preserve">
http://denuncia.pereira.gov.co/ </t>
    </r>
  </si>
  <si>
    <r>
      <t xml:space="preserve">Esta sujeto a la viabilidad de los Empredimientos.
</t>
    </r>
    <r>
      <rPr>
        <b/>
        <sz val="11"/>
        <rFont val="Calibri  "/>
      </rPr>
      <t>Nota: La Secretria de Competitivadad no cuenta con un presupuesto para la atencion a Victimas, se parte del principio de atenciòn univeral a la poblaciòn, con atencion diferencial para cada tipo de poblaciòn.</t>
    </r>
    <r>
      <rPr>
        <sz val="11"/>
        <rFont val="Calibri  "/>
      </rPr>
      <t xml:space="preserve">
</t>
    </r>
  </si>
  <si>
    <r>
      <t xml:space="preserve">
</t>
    </r>
    <r>
      <rPr>
        <b/>
        <sz val="11"/>
        <rFont val="Calibri  "/>
      </rPr>
      <t>Nota: La Secretria de Competitivadad no cuenta con un presupuesto para la atencion a Victimas, se parte del principio de atenciòn univeral a la poblaciòn, con atencion diferencial para cada tipo de poblaciòn.</t>
    </r>
    <r>
      <rPr>
        <sz val="11"/>
        <rFont val="Calibri  "/>
      </rPr>
      <t xml:space="preserve">
</t>
    </r>
  </si>
  <si>
    <r>
      <t xml:space="preserve">Formación para el trabajo de acuerdo a la necesidad del mercado laboral. Dentro de cada CEDE se maneja una variada lista de formaciones, para cualificar el perfil ocupacional de estas personas. 
</t>
    </r>
    <r>
      <rPr>
        <b/>
        <sz val="11"/>
        <rFont val="Calibri  "/>
      </rPr>
      <t>Nota: La Secretria de Competitivadad no cuenta con un presupuesto para la atencion a Victimas, se parte del principio de atenciòn univeral a la poblaciòn, con atencion diferencial para cada tipo de poblaciòn.</t>
    </r>
  </si>
  <si>
    <r>
      <t xml:space="preserve">S
</t>
    </r>
    <r>
      <rPr>
        <b/>
        <sz val="11"/>
        <rFont val="Calibri  "/>
      </rPr>
      <t>Nota: La Secretria de Competitivadad no cuenta con un presupuesto para la atencion a Victimas, se parte del principio de atenciòn univeral a la poblaciòn, con atencion diferencial para cada tipo de poblaciòn.</t>
    </r>
  </si>
  <si>
    <r>
      <t xml:space="preserve">
</t>
    </r>
    <r>
      <rPr>
        <b/>
        <sz val="11"/>
        <rFont val="Calibri  "/>
      </rPr>
      <t>Nota: La Secretria de Competitivadad no cuenta con un presupuesto para la atencion a Victimas, se parte del principio de atenciòn univeral a la poblaciòn, con atencion diferencial para cada tipo de poblaciòn.</t>
    </r>
  </si>
  <si>
    <r>
      <t xml:space="preserve">
</t>
    </r>
    <r>
      <rPr>
        <b/>
        <sz val="11"/>
        <rFont val="Calibri  "/>
      </rPr>
      <t xml:space="preserve">
Nota: La Secretaria de Competitivadad no cuenta con un presupuesto para la atencion a Victimas, se parte del principio de atenciòn univeral a la poblaciòn, con atencion diferencial para cada tipo de poblaciòn.</t>
    </r>
  </si>
  <si>
    <r>
      <t xml:space="preserve">
</t>
    </r>
    <r>
      <rPr>
        <b/>
        <sz val="11"/>
        <rFont val="Calibri  "/>
      </rPr>
      <t>Nota: La Secretria de Competitivadad no cuenta con un presupuesto para la atencion a Victimas, se parte del principio de atenciòn univeral a la poblaciòn, con atencion diferencial para cada tipo de poblaciòn</t>
    </r>
    <r>
      <rPr>
        <sz val="11"/>
        <rFont val="Calibri  "/>
      </rPr>
      <t>.</t>
    </r>
  </si>
  <si>
    <r>
      <rPr>
        <b/>
        <sz val="11"/>
        <rFont val="Calibri"/>
        <family val="2"/>
        <scheme val="minor"/>
      </rPr>
      <t xml:space="preserve">el area de recreacion atraves de los programas comprometiendo juventudes y escuelas recreativas saludables </t>
    </r>
    <r>
      <rPr>
        <sz val="11"/>
        <color rgb="FF000000"/>
        <rFont val="Calibri"/>
        <family val="2"/>
        <scheme val="minor"/>
      </rPr>
      <t>se realizaron eventos con las sugerencia e inicitivas de los jovenes  en actividad fisica , deportes y recreacion apoyadas por los  coordinadores y instructores : escuelas activas 69  y comprometiendo juventudes 46</t>
    </r>
  </si>
  <si>
    <r>
      <t xml:space="preserve">Se implementaron los programas  de sensibilización contra la discriminación racial en el marco de las competencias ciudadana- también se realizaron actividades conmemorativas la discriminación racial, la afrocolombianidad, y la interculturalidad siguientes establecimientos educativos: 
</t>
    </r>
    <r>
      <rPr>
        <b/>
        <sz val="11"/>
        <color rgb="FF000000"/>
        <rFont val="Calibri"/>
        <family val="2"/>
        <scheme val="minor"/>
      </rPr>
      <t>NORMAL SUPERIOR DEL RISARALDA, RAFAEL URIBE URIBE, CARLOS EDUARDO VASCO
IENM "FELIPE PEREZ", CIUDADELA CUBA, GIMNASIO RISARALDA JAIME SALAZAR ROBLEDO, INSTITUTO TECNICO SUPERIOR, SAN VICENTE HOGAR, MARIA DOLOROSA LUIS CARLOS GONZALEZ, HANS DREWS ARANGO.</t>
    </r>
    <r>
      <rPr>
        <sz val="11"/>
        <color rgb="FF000000"/>
        <rFont val="Calibri"/>
        <family val="2"/>
        <scheme val="minor"/>
      </rPr>
      <t xml:space="preserve">
En el mes de octubre de conmemoro el día de la interculturalidad en el Lucy Tejada.</t>
    </r>
  </si>
  <si>
    <r>
      <t xml:space="preserve">Se  capacitaron </t>
    </r>
    <r>
      <rPr>
        <b/>
        <sz val="11"/>
        <color rgb="FF000000"/>
        <rFont val="Calibri"/>
        <family val="2"/>
        <scheme val="minor"/>
      </rPr>
      <t>16</t>
    </r>
    <r>
      <rPr>
        <sz val="11"/>
        <color rgb="FF000000"/>
        <rFont val="Calibri"/>
        <family val="2"/>
        <scheme val="minor"/>
      </rPr>
      <t xml:space="preserve"> personas de la comunidad del Barrio el Plumón y las Colinas a través del Proyecto la Casa Pintada, y Tela Pintada.</t>
    </r>
  </si>
  <si>
    <t xml:space="preserve">La inversión de la Secretaría de Educación en BECAS PA PEPAS y Universidad para Cuba es de $5.005.406.550,00 discriminada así:
1. BECAS PA PEPAS
BENEFICIARIAS: 304 mujeres
VALOR CARRERA /MUJER: $13.000.000,00
VALOR TOTAL DE LA INVERSIÓN: $ 3.952.000.000,00
2. UNIVERSIDAD PARA CUBA – CATÓLICA
BENEFICIARIAS: 50 mujeres
VALOR SEMESTRE: $1.780.000,00
VALOR TECNOLOGÍA /MUJER: $10.680.000,00  (6 semestres)
VALOR TOTAL DE LA INVERSIÓN: $534.000.000,00
3. UNIVERSIDAD PARA CUBA – CIAF
BENEFICIARIAS: 65 mujeres
VALOR SEMESTRE: $1.598.174,00
VALOR TECNOLOGÍA /MUJER: $7.990.870  (5  semestres)
VALOR TOTAL DE LA INVERSIÓN: $519.406.550,00
Es importante aclarar que en el programa emblemático BECAS PA PEPAS se cuenta con  compromiso de vigencias futuras a 2.023 por valor de $ 7.213. 554.507, destinado  para 1.100 estudiantes tanto de sexo masculino como femenino. El Programa Universidad para  Cuba, no cuenta con vigencias futuras. La fuente de financiación para ambos son los recursos propios.
</t>
  </si>
  <si>
    <r>
      <t>Finalidad:</t>
    </r>
    <r>
      <rPr>
        <sz val="11"/>
        <color theme="1"/>
        <rFont val="Calibri"/>
        <family val="2"/>
        <scheme val="minor"/>
      </rPr>
      <t>Promover el goce efectivo de los derechos humanos y la construcción de paz, en condiciones de igualdad, una vida digna y sin ninguna discriminación, estableciendo los parámetros básicos para la promoción, protección y defensa de los mismos; además, de una gestión pública integral y transparente, con observancia del Derecho Internacional de los Derechos Humanos, el Derecho Internacional Humanitario y la normatividad derivada de los Acuerdos de Paz, en el Municipio de Pereira para el período 2019 – 2028</t>
    </r>
  </si>
  <si>
    <r>
      <t>Implementación de un proyecto orientado a laresiliencia de las comunidades y de los ecosistemas,</t>
    </r>
    <r>
      <rPr>
        <sz val="11"/>
        <color theme="1"/>
        <rFont val="Calibri"/>
        <family val="2"/>
        <scheme val="minor"/>
      </rPr>
      <t xml:space="preserve">frente </t>
    </r>
    <r>
      <rPr>
        <sz val="11"/>
        <color rgb="FF000000"/>
        <rFont val="Calibri"/>
        <family val="2"/>
        <scheme val="minor"/>
      </rPr>
      <t>al cambio climático</t>
    </r>
  </si>
  <si>
    <t>Entidad Responsable: Secretaría de Desarrollo Social y Político</t>
  </si>
  <si>
    <t>Las actividades recreativas y deportivas dirigidas a la población habitante de calle y en  calle se realizarán de forma permanente  en los escenarios deportivos asignados en puntos criticos para garantizar  el acceso al deporte y la recreación.</t>
  </si>
  <si>
    <t>Las Secretarías involucradas realizaran acciones y acompañamiento en la implementación  del Plan de Gestión de Residuos Sólidos.</t>
  </si>
  <si>
    <t>Se mantuvo por debajo de 18,5 la razón de mortalidad materna por cada 100.000 nacidos vivos</t>
  </si>
  <si>
    <t>Se logró Reducir la Tasa de mortalidad neonatal a 2,7 x 1000. N.V</t>
  </si>
  <si>
    <t>Logro 30,5%</t>
  </si>
  <si>
    <t>Se realizaron 20 visitas</t>
  </si>
  <si>
    <t>38 IPS visitadas (se visitan 2 veces cada una)</t>
  </si>
  <si>
    <t>3 Redes fortalecidas</t>
  </si>
  <si>
    <t>31,766  personas intervenidas</t>
  </si>
  <si>
    <t>31,766 personas intervenidas</t>
  </si>
  <si>
    <t>4 Encuentros PESCC</t>
  </si>
  <si>
    <t>Tasa de Embarazo adolescente de 17,3 x 1000 Nacidos Vivos</t>
  </si>
  <si>
    <t>1 universidad acompañada en la implementacion del PESCC</t>
  </si>
  <si>
    <t>3,768 personas en edades entre los 10 y 17 años, intervenidos en sus hogares con educacion en prevencion de embarazo adolescente</t>
  </si>
  <si>
    <t>16 grupos conformados</t>
  </si>
  <si>
    <t>16 grupos fortalecidos</t>
  </si>
  <si>
    <t xml:space="preserve">15,081 familias visitadas </t>
  </si>
  <si>
    <t xml:space="preserve"> 76 visitas a IPS para verificar normatividad frente a la operación del programa de  cáncer de mama y cérvix</t>
  </si>
  <si>
    <t>4 encuentros PESCC</t>
  </si>
  <si>
    <t>273 personas intervenidas</t>
  </si>
  <si>
    <t>ACTIVACION RUTA: * 86 atenciones * 17 activaciones de ruta. ACTIVIDADES PEDAGÓGICAS: * 74 * 2.038 personas intervenidas. ESTRATEGIA PARTICIPACIÓN SOCIAL Y POLÍTICA: 1  estrategia implementada, Conmemoración de la semana de la diversidad sexual, apertura de espacios de participación en sectores de Deporte, Cultura, migraciones, Consejo Municipal de Paz, Consejo Territorial de Planeación . ATENCIÓN PSICOLÓGICA: 128 atenciones. CAMPAÑA DERECHOS: 1 estrategia implementada con 7.627 personas intervenidas en actividades individuales, grupales y masivas.</t>
  </si>
  <si>
    <t>REPORTE DE EJECUCIÓN 2019</t>
  </si>
  <si>
    <t>PROMEDIO POR COMPONENTE 2019</t>
  </si>
  <si>
    <t>% DE AVANCE DEL PRODUCTO 2019</t>
  </si>
  <si>
    <t>NO ENTREGÓ</t>
  </si>
  <si>
    <t xml:space="preserve">Oficina de Comunicaciones </t>
  </si>
  <si>
    <t xml:space="preserve">Secretaría de Cultura </t>
  </si>
  <si>
    <t>Se formuló la Estrategia de capacitación en funciones y roles</t>
  </si>
  <si>
    <t>No se registran personas porque se hace referencia a actas de visita y actos administrativos de reconocimiento de dignatarios. 
No se registran atenciones ya que se trata de apoyo y acompañamiento en proceso eleccionario</t>
  </si>
  <si>
    <t xml:space="preserve">No se registra presupuesto ya  que  ste item abarca todo el presupuesto discriminado en todas las metas (jac, jal y fic).
Se anexan como evidencias PDF de seguimiento planes de acción a diciembre de 2019, de los 3 proyectos mencionados.
Las personas atendidas en el marco del fortalecimiento, se encuentran registradas en las diferentes acciones descritas en la PP  
</t>
  </si>
  <si>
    <t>Actividad pedagogica en habilidades para la vida, prevenciÃ³n de suicidio, violencias evitables, rutas de atenciÃ³n,  identidad masculina y femenina para prevenir la violencia en el ambito barrial.</t>
  </si>
  <si>
    <t>1) Se desarrollaron 17 talleres en prevención de consumo de SPA, direccionando en la ruta de atención en salud aquellos casos más criticos.
2) De manera articulada con la Policía Nacional se desarrollaron 39 operativos dentro de la estrategia Plan Colegio Seguro, donde benefiaron 56.000 estudiantes pertenecientes a 32 instituciones educativas del área urbana y rural del municipio de Pereira.En talleres preventivos del consumo SPA 768 
En colegios seguros 56.000 
En atenciones Psicosociales por SPA 550
3) Se brindó atención y acompañamiento psicpsocial a 550 Jóvenes y adolescentes, que solicitaron cita ante la Unidad Permamente de Atención a la Vida, Las Casas de Justicia de Cuba y Villasantana.</t>
  </si>
  <si>
    <t>actividades pedagogicas en mitigacion del consumo de spa y SIDIES16 zonas de escucha</t>
  </si>
  <si>
    <t xml:space="preserve">°Cursos de Inmersión 1-2  °Fundamentos Danza          °Fundamentos Teatro         °Proyección Danza               °Proyección Teatro             °Laboratorio Escrituras Híbridas °Laboratorio Ciclo 2                        °Talleres Ciclo 2                                  °Grupos SubSedes                           °Talleres Ciclo 1   .   Cursos de Inmersión 1-2 : 348  Fundamentación Danza : 410   Fundamentación Teatro : 124  Proyección Danza : 132               Proyección Teatro : 69               Laboratorio Escrituras Híbridas : 101  Laboratorio Ciclo 2 : 136                        Talleres Ciclo 2 : 160                                Grupos SubSedes : 887                           Talleres Ciclo 1 : 224                                                          </t>
  </si>
  <si>
    <t>A traves de las 7 areas de la Escuela de artes y talento de la secretaría cuenta las cuales son: Artes vivas, artes visuales, coros, bandas musicales, bandas musicomarciales, cuerdas tipicas o pulsadas, y cuerdas sinfónicas, todos estos procesos se forman y apoyan los procesos artisticos y culturales de manera grautita, considerandose becas de formación.</t>
  </si>
  <si>
    <t>Escuela para el emprendimiento BBVA - Manejo del dinero. 
Periodo Febrero a mayo de 2019.
ESTRATEGIA VIVE LA UNIVERSIDAD: Programa de formación en competencias de ciencia básica, que permitira  la integración de las Instituciones de Educación media de los municipios de Pereira y de Dosquebradas con el Departamento de Ciencias Básicas de la Universidad Católica de Pereira, promoviendo acciones que permitan lograr mayores niveles de interpretación, formulación, ejecución y argumentación de las Ciencias Básicas. ALCANCE: Brindar a 40 estudiantes de grados 10 y 11, vivir una experiencia universitaria por dos semestres académicos dirigidos por el Departamento de Ciencias Básicas de la Universidad Católica de Pereira. El cual certificara 36 horas por cada semestre en formación en competencias para las matemáticas, lógica y razonamiento cuantitativo.
ESTRATEGIA ARTICULADA CON LA UNIVERSIDAD ANDINA: BOOTCAMP INNOVACIÓN: ESTUDIANTES &amp; MAESTROS. TRANSFORMADORES DEL MUNDO DEMODAY: EL RETO. QUE LOGRAMOS: Aprendizaje experiencial, Creatividad y habilidades blandas, Emprendimiento para la Industria del Conocimiento.
MAESTROS EMPREDEDORES: Herramientas creativas para el uso en su proceso de formación
Apropiación de habilidades Blandas para emprender.
ESTUDIANTES EMPREDEDORES: Conexión de su contexto con los ODS Procesos de ideación y
prototipado. Apropiación de habilidades Blandas para emprender.
Incluido en el Plan Nacional de Desarrollo como “Ciudadela Tecnológica de Cuba.
Pilotaje para el fortalecimiento de la educación media, a través de formación de capacidades básicas en habilidades blandas de emprendimiento para la industria del conocimiento, en las IE de Cuba.
Formulación de planes de acción para la articulación de los PEI de 12 IE, buscando la modernización de la media enfocada a la industria del conocimiento.
5.844 estudiantes en formación con el SENA: centro comercio y servicios, centro agropecuario y centro de diseño.
- Actitudes para el ahorro. Cómo decidir una inversión, cómo usar crédito, mediante la experiencia.
- Creación y lectura de presupuestos, planes de ahorro, comparación entre alternativas de inversión.
- Decisiones financieras dentro y fuera de la idea de negocio, administrar sus recursos y planear su negocio y ahorro familiar.
4 Docentes
2 Instituciones Educativas Alfredo García y Carlos Castro Saavedra --- PLAN DE ACCION PEI: Se adjudico contrato el 30 de julio de 2019con la  Universidad Andina  para hacer intervencion de los PEI  de 12 IE ( Aquilino Bedoya, Byron Gaviria, Ciudadela Cuba, El dorado, Hans Drews Arango, Jesus Maria Ormaza, Juan XXIII, Leningrado, Matecaña, Rodrigo Arenas, San Fernando, Sofia Hernandez) de la comuna Cuba en aras de realizar articulacion con la estrategia emblematica de universidad para cuba.
OBJETO DEL CONTRATO: PRESTACIÓN DE SERVICIOS PARA LA IMPLEMENTACIÓN DE EXPERIENCIAS CON DOCENTES A NIVEL INSTITUCIONAL, BASADOS EN LA CREATIVIDAD Y EL APRENDIZAJE EXPERIENCIAL, PARA EL FORTALECIMIENTO DE LA EDUCACIÓN MEDIA EN LAS INSTITUCIONES EDUCATIVAS PARTICIPANTES, A TRAVÉS OT LA FORMACIÓN DE CAPACIDADES BÁSICAS EN HABILIDADES BLANDAS EN EMPRENDIMIENTO PARA LA INDUSTRIA DEL CONOCIMIENTO, EN LOS JÓVENES DEL SISTEMA EDUCATIVO OFICIAL DE LA COMUNA CUBA DEL MUNICIPIO DE PEREIRA, EN EL MARCO DEL SUB PROGRAMA EDUCACIÓN PARA TODOS.
ALCANCE :Incorporar el emprendimiento y el emprendimiento digital en el  PEI de la institución por medio de la identificación de sus fortalezas, sus planes, proyectos y programas y la identificación del ecosistema de emprendimiento de la ciudad, que les permita a sus estudiantes la generación de imaginarios colectivos, la Interpretación de  los valores, creencias, historias y comportamientos que existen con relación a los temas de emprendimiento,  para  fortalecer sus competencias emprendedoras y contribuyan a ser agentes de transformación de su comunidad.    $766.057.000 - 58.000.000 - 5.000.000</t>
  </si>
  <si>
    <t>% DE AVANCE POR CATEGORÍA 2019</t>
  </si>
  <si>
    <t>SE HACE CAPACITACIÓN A LOS LIDERES DE LA COMUNIDAD DEL SECTOR DEPORTE</t>
  </si>
  <si>
    <t>SE HACE ASIGANCIÓN PRESUPUESTAL DE LOS RECURSOS QUE CADA AÑO VAN DIRIGIDOS AL SECTOR DEPORTE</t>
  </si>
  <si>
    <t>se cuenta con 3 veedurias en los sectores de canceles,Galicia Baja y Ferrocaril</t>
  </si>
  <si>
    <t xml:space="preserve">A través del proyecto “Implementación de estrategias para la promoción de la equidad de género para las mujeres en el municipio de Pereira” se realizan las siguientes campañas de prevención de violencia contra la mujer:
Sensibilización en ley 1257.
Socialización de la ruta de atención.
Taller de Prevención de violencias
Así mismo se realiza acompañamiento psicológico individual y grupal a mujeres.
Durante la vigencia 2019 se realizaron 452 atencion sobre la ley 1257 y  95 atenciones psicologicas para un total de 547 atenciones (162 hombres y 385 mujeres)
</t>
  </si>
  <si>
    <t xml:space="preserve">Se aportan como evidencias base de datos. </t>
  </si>
  <si>
    <t>Durante la vigencia 2018 no se realizo concurso de etnoeducadores (esta actividad es realizada por el ministerio de educación nacional). Solo se reporta cuncurso conexo a la política publica el registrado en la vigencia del año 2014.</t>
  </si>
  <si>
    <t>Contrato escaneado 2019  y registro fotográfico.</t>
  </si>
  <si>
    <t xml:space="preserve">No se registran personas discriminando por edad,sexo y situación o ocndición porque es una actividad masiva </t>
  </si>
  <si>
    <t>En el primer piso de la alcaldía municipal, se encuentra la oficina de asunto étnicos, la cual se encuentra debidamente dotada y operando; en este espacio los profesionales del área de psico social, jurídica y de emprendimiento realizan acciones tendientes al fortalecimiento de las organizaciones como son asesoría y acompañamiento en temas de emprendimiento y asociatividad, asesoría jurídica para legalización de organizaciones y acompañamiento psico social.
En total se brindaron 913 atenciones (327 hombres y  586 mujeres)</t>
  </si>
  <si>
    <t>BASE DE  DATOS</t>
  </si>
  <si>
    <t xml:space="preserve">La oficina de asunto étnicos, se encuentra debidamente dotada y operando, durante la vigencia 2019 conto con un total de 9 personas para la atención y/o direccionamiento de la población afrodescendiente así:
• Un articulador del proyecto afrodescendientes: Abogado titulado y con responsabilidad en tema de derechos humanos
• Un profesional responsable del apoyo y acompañamiento en temas de Política Pública y de emprendimiento. 
• Un profesional responsable de acompañamiento a formas asociativas liderazgo.
• Una psicóloga responsable del programa psicológico y de elaboración de perfiles vocacionales.
• Una trabajadora social responsable del programa de atención socio familiar
• Una abogada responsable de asesorías jurídicas y legales en conformación de formas asociativas.
• Un técnico de apoyo y acompañamiento a las actividades con la comunidad y que sensibiliza en temas de derechos humanos.
• Un técnico de apoyo a los procesos de articulación con la Secretaría de cultura para promocionar actividades culturales propias de la población afro.
• Un técnico encargado de la sistematización del proyecto. 
Durante la vigencia 2019 en total se realizaron 238 atenciones (69 hombres y  169 mujeres) </t>
  </si>
  <si>
    <t xml:space="preserve">Durante la vigencia 2019 en el marco del programa  de elaboración y gestión de proyectos se realizaron las siguientes acciones:
• Actividades de fortalecimiento y/o seguimiento realizados a proyectos relacionados con procesos de emprendimiento identificados
• Visitas a entidades con el fin de identificar oferta de servicios o realizar articulación de acciones para vincular los proyectos de emprendimiento
• Socializar la oferta de servicios y acciones convenidas a la población afrodescendiente
• Identificar perfiles ocupacionales y vocacionales de la población afrodescendiente que lo requiera 
En el  2019 en total se realizaron 408 atenciones (123 hombres y  285 mujeres) relacionadas con elaboración y gestión de proyectos. 
</t>
  </si>
  <si>
    <t xml:space="preserve">Programa de elaboración y gestión de proyectos  formulado para la vigencia 2019, registro fotográfico, registros SPP  y actas </t>
  </si>
  <si>
    <t xml:space="preserve">Para dar cumplimiento al indicador, se realizaron las siguientes acciones:
• Se actualizó e implementó propuesta para promover procesos de organización y participación en las comunidades afrodescendientes  
• Se realizaron capacitaciones sobre liderazgo a la población.
• Se promovió la participación de  la población afro en las JAC y otros organismos de participación
En esta acción hubo 255 atenciones (68 hombres y 187 mujeres).
</t>
  </si>
  <si>
    <t xml:space="preserve">La SDSYP, aporta para el cumplimiento de esta acción de PP con la realizaron de talleres de capacitación y sensibilización sobre los derechos humanos.
En total se beneficiaron 217 personas (53 hombres y 164 mujeres). 
Se aportan como evidencias estrategia para promocionar los derechos de la población afrodescendiente, base de datos filtrada, registros SPP y fotográficos.
</t>
  </si>
  <si>
    <t>Se aportan como evidencias base de datos filtrada, registros SPP y fotográficos.</t>
  </si>
  <si>
    <t xml:space="preserve">Se realizaron talleres sobre conciliación y resolución pacífica de conflictos dirigidos a la población afrodescendiente que reside en el municipio de Pereira, de los cuales se beneficiaron 144 personas (60 hombres y 84 mujeres). 
Se aportan como evidencias base de datos filtrada, registros SPP y fotográficos.
</t>
  </si>
  <si>
    <t xml:space="preserve">Desde la Secretaría de Desarrollo Social y Político se promovieron formas asociativas, asesoraron y acompañaron en su   constitución legal  a población afrodescendiente interesada en asociarse. 
Durante la vigencia 2019 se crearon y/o fortalecieron 11 asociaciones.
En total se beneficiaron 241 personas (64hombres y 177 mujeres). 
Así mismo se actualizó e implementó propuesta para promover procesos de organización y participación en las comunidades afrodescendientes  
</t>
  </si>
  <si>
    <t xml:space="preserve">Este meta se mide con el numero de asentamientos atendidos </t>
  </si>
  <si>
    <t>ESTA METTA FUE CUMPLIDA DURANTE LA VIGENCIA 2018</t>
  </si>
  <si>
    <t>ESTA META SE CUMPLIO EN EL AÑO 2016 CON UN ESTUDIO DE IDENTIFICACION DE MERCADOS POTENCIALES PARA LA COMERCIALIZACION DE ARTESANIAS, DE ACUERDO A LA PP EL PROXIMO ESTUDIO DEBE REALIZARCE EN EL AÑO 2021</t>
  </si>
  <si>
    <t xml:space="preserve">La secretaría de Desarrollo Social y Político posee la Secretaría técnica del comité y por tanto realiza las convocatorias al mismo. Durante la vigencia 2019 se realizaron 6  CPPI, en los cuales se planificaron acciones bimensualmente para dar cumplimiento a la PP y para hacer seguimiento a la misma.
En los CPP se realizaron sensibilizaciones a sus integrantes sobre la importancia de este espacio de participación dentro de la Política Pública y de se vinculen activamente al mismo. En las diferentes secciones se presenta informe de los avances que ha tenido la PP.
</t>
  </si>
  <si>
    <t>Durante la vigencia 2019, en el marco de las capacitaciones relacionadas con elaboración y gestión de proyectos, se capacitaron 46 líderes de las autoridades mayores indígenas en las diferentes etapas de la formulación de proyectos.Se aportan como evidencias en medio digital el Proyecto para el fortalecimiento de la cultura indígena y base de datos filtrada con  capacitaciones a líderes indígenas, en elaboración de proyectos.  En total se realizaron 7 capacitaciones a las autoridades mayores y se beneficiaron 27 indígenas.</t>
  </si>
  <si>
    <t>A lo largo de la vigencia 2019 se realizaron 34 capacitaciones en gestión, control y evaluación de planes programas y proyectos  y en mecanismos de participación. Se capacitaron  las comunidades indígenas asentadas en Caimalito, Cerritos, San Joaquin, Combia Baja, Tribunas Corcega, Villasantana, Con un total de 442 personas beneficiarias En total se beneficiaron 442 personas (118 hombres y  324 mujeres).</t>
  </si>
  <si>
    <t>Se realizaron actividades pedagógicas relacionadas con los derechos humanos de los niños, niñas y adolescentes; de las cuales se beneficiaron 574 personas.Así mismo se capacitaron en derechos humanos 574 personas En total se beneficiaron 574  indígenas ( 205 hombres y 369 mujeres)</t>
  </si>
  <si>
    <t>Para dar cumplimiento a esta acción de política, durante la vigencia 2019 Se realizaron 39 capacitaciones en prevención de la violencia intrafamiliar con 518  indígenas beneficiarios En los casos de vulneración de derechos identificados se aplicó la ruta de atención interinstitucional según situación identificada. Se activaron las ruta en 1 caso.</t>
  </si>
  <si>
    <t xml:space="preserve">Se Promovió la resolución pacífica de conflictos en las comunidades indígenas asentadas en el municipio de Pereira, a través de talleres de capacitación Así mismo se realizaron capacitaciones en la casa indígena y casas de justicia sobre jurisdicción especial indígena y resolución de conflictos en la cultura indígena. De estas actividades se beneficiaron 309 personas (70 hombres y  239 mujeres).
</t>
  </si>
  <si>
    <t xml:space="preserve">Durante la vigencia 2019 se realizaron 3 asambleas del cabildo donde se compartieron saberes y cultura con las diferentes etnias. Los encuentros se realizaron en El Parque del Café, en salamanca y en la casa indígena. En total se beneficiaron 442  indígenas (118 hombres y 324 mujeres).
</t>
  </si>
  <si>
    <t xml:space="preserve">Se debe tener en cuenta que el municipio de Pereira NO cuenta con hogares infantiles  Indígenas; razón por la cual, los hogares CDI reciben a todo tipo de población. El objetivo de todos los hogares es brindar una atención integral de calidad. la atencion se realiza en los cdi de salamanca, puerto caldas y tokio
Cabe resaltar que el énfasis de la lengua de origen no se realiza, se focaliza en los CDI el español y el inglés.
</t>
  </si>
  <si>
    <t>Se ha realizado reuniones entre la secretaria de Educación, e infraestructura, esta situación es difícil de cumplirse ya que la población indígena se encuentra en todo el municipio de Pereira, sin embargo los EE realizan la cobertura de la población como oferta institucional para que los mismos accedan. para pereira noaplica las ie con educación indigena ya que en el municipio no existe.</t>
  </si>
  <si>
    <t>Se entregaron 5 subsidios para vivienda para la poblacion Indigena en el Remanso Guayabal, de un total de 324</t>
  </si>
  <si>
    <t>Se caracterizaron 36 personas de las comunidades Indigenas para: Vivienda Nueva, Mejoramientos de vivienda y Titulacion.</t>
  </si>
  <si>
    <t>Meta Cumplida en el 2018</t>
  </si>
  <si>
    <t>en el año 2019 no se reaizaron eventos, cumplimiento de la meta coreesponde la del año 2016</t>
  </si>
  <si>
    <t>igual que la fila 62</t>
  </si>
  <si>
    <t>NO REPORTA</t>
  </si>
  <si>
    <t xml:space="preserve">No se ha realizado ninguna acción al respecto porque se considera no es una meta de competencia de la SDSYP, las obras son de competencia de la Secretaría de infraestructura. 
Desde la Secretaría de desarrollo Social y Político, se ha priorizado la recuperación de la casa indígena, donde se hacen los rituales tradicionales, entre ellos los relacionados con sanación y reflexión 
</t>
  </si>
  <si>
    <t xml:space="preserve">Desde la vigencia 2017 se realizó el estudio, y se logró la aprobación de compra de tierras.
</t>
  </si>
  <si>
    <t xml:space="preserve">Se aportan como evidencias Estudio en medio digital  realizado en la vigencia 2017 y actas de la Agencia nacional de Tierras.
</t>
  </si>
  <si>
    <t xml:space="preserve">• Se adquirió a través de la Agencia Nacional de Tierras un predio denominado El Talibán II, ubicado en jurisdicción de la vereda Guayabal del municipio de Marsella. Tiene una extensión de 13 hectáreas. 
• En dicho predio se instalaran 25 familias pertenecientes a las diferentes etnias que componen el cabildo Curumado.
• La posesión real y material del bien se hizo el pasado 12 de diciembre de 2019. La entrego la Agencia Nacional de Tierras a las autoridades mayores del cabildo Curumado.
</t>
  </si>
  <si>
    <t>Se aportan como evidencias acta de entrega de la agencia nacional de tierras, registros de campo y fotográficos</t>
  </si>
  <si>
    <r>
      <t xml:space="preserve">se lleva a cabo la semana de la Afrocolombianidad con 15 presentaciones y la semana de la interculturalidad con 11 presentaciones en el Santiago Londonño y el Lucy Tejada
 Estos eventos son tradición en Periera, se promociono la cultura afro en diferentes escenarios publicos de la ciudad y privados, para un total de 25 presentaciones de cultura afro en toda la ciudad. </t>
    </r>
    <r>
      <rPr>
        <b/>
        <sz val="11"/>
        <color rgb="FF000000"/>
        <rFont val="Calibri"/>
        <family val="2"/>
        <scheme val="minor"/>
      </rPr>
      <t>por parte de desarrollo social</t>
    </r>
    <r>
      <rPr>
        <sz val="11"/>
        <color rgb="FF000000"/>
        <rFont val="Calibri"/>
        <family val="2"/>
        <scheme val="minor"/>
      </rPr>
      <t xml:space="preserve"> :  "Desde la Secretaria de Desarrollo Social y Político, se celebró la conmemoración del mes de la herencia africana, las actividades se realizaron a través de un contrato de invitación pública que incluyo las siguientes actividades:
• Desfile de la afrocolombianidad.
• Misas africanas.
• Conferencias y talleres alusivos a la conmemoración de la herencia africana.
• Eventos culturales: danzas, peinados, festival gastronómico.
• Evento de cierre con Interpretación cultural y musical 
Se aportan como evidencias: Contrato escaneado y registro fotográfico.
En forma acumulada desde la adopción de la PP se han realizado 8 conmemoraciones, una por vigencia 
"
</t>
    </r>
  </si>
  <si>
    <t>Se entregaron  23 mejoramientos urbanos con recursos propios de la secretaria de vivienda; 20 de presupuesto participativo se han entregado en la comuna oriente. El valor del reporte de ejecucion 2019 incluye $20.678.950 de recursos propios y $24.788.860 de presupuesto participativo</t>
  </si>
  <si>
    <t>5221                    caninos y felinos  (1.128 con Dllo Rural y 4093 en la IPS Veterinarias)
Seguimiento a los reportes de esterilizaciones tanto oficialescomoy particulares</t>
  </si>
  <si>
    <t>51604 caninos y felinos.
Vacunacion permanente en barrios y veredas.</t>
  </si>
  <si>
    <t>META DE LAA POLÍTICA 2018</t>
  </si>
  <si>
    <r>
      <t xml:space="preserve">Se realizó la construcción de la separata ciencia para todos  donde se divulgo  los actos y programas de gobierno que adelanto la secretaria de desarrollo económico y competitividad en las áreas de empleo, ciencia, tecnología e innovación, allí  participaron en la redacción de artículos científicos, </t>
    </r>
    <r>
      <rPr>
        <b/>
        <sz val="11"/>
        <color theme="1"/>
        <rFont val="Calibri  "/>
      </rPr>
      <t>"12 grupos de investigación"</t>
    </r>
    <r>
      <rPr>
        <sz val="11"/>
        <color theme="1"/>
        <rFont val="Calibri  "/>
      </rPr>
      <t>.</t>
    </r>
  </si>
  <si>
    <r>
      <t xml:space="preserve">Se dio cobertura a </t>
    </r>
    <r>
      <rPr>
        <b/>
        <sz val="11"/>
        <color theme="1"/>
        <rFont val="Calibri  "/>
      </rPr>
      <t>613</t>
    </r>
    <r>
      <rPr>
        <sz val="11"/>
        <color theme="1"/>
        <rFont val="Calibri  "/>
      </rPr>
      <t xml:space="preserve"> Estudiantes de educacion superior a traves del Proyecto Emblematico BECA PA PEPAS vigencia 2019.
Los beneficios entregados fueron: Matricula, Alimentacion (almuerzo), transportes (2 por dia),  seguro estudiantil.
PROGRAMAS: Todos los programas de la Universidad Tecnologica. </t>
    </r>
  </si>
  <si>
    <r>
      <rPr>
        <b/>
        <sz val="11"/>
        <color rgb="FF000000"/>
        <rFont val="Calibri  "/>
      </rPr>
      <t>PLAN DE ACCION PEI:</t>
    </r>
    <r>
      <rPr>
        <sz val="11"/>
        <color rgb="FF000000"/>
        <rFont val="Calibri  "/>
      </rPr>
      <t xml:space="preserve"> Se adjudico contrato el 30 de julio de 2019con la  Universidad Andina  para hacer intervencion de los PEI  de 12 IE ( Aquilino Bedoya, Byron Gaviria, Ciudadela Cuba, El dorado, Hans Drews Arango, Jesus Maria Ormaza, Juan XXIII, Leningrado, Matecaña, Rodrigo Arenas, San Fernando, Sofia Hernandez) de la comuna Cuba en aras de realizar articulacion con la estrategia emblematica de universidad para cuba.
</t>
    </r>
    <r>
      <rPr>
        <b/>
        <u/>
        <sz val="11"/>
        <color rgb="FF000000"/>
        <rFont val="Calibri  "/>
      </rPr>
      <t>OBJETO DEL CONTRATO:</t>
    </r>
    <r>
      <rPr>
        <sz val="11"/>
        <color rgb="FF000000"/>
        <rFont val="Calibri  "/>
      </rPr>
      <t xml:space="preserve"> PRESTACIÓN DE SERVICIOS PARA LA IMPLEMENTACIÓN DE EXPERIENCIAS CON DOCENTES A NIVEL INSTITUCIONAL, BASADOS EN LA CREATIVIDAD Y EL APRENDIZAJE EXPERIENCIAL, PARA EL FORTALECIMIENTO DE LA EDUCACIÓN MEDIA EN LAS INSTITUCIONES EDUCATIVAS PARTICIPANTES, A TRAVÉS OT LA FORMACIÓN DE CAPACIDADES BÁSICAS EN HABILIDADES BLANDAS EN EMPRENDIMIENTO PARA LA INDUSTRIA DEL CONOCIMIENTO, EN LOS JÓVENES DEL SISTEMA EDUCATIVO OFICIAL DE LA COMUNA CUBA DEL MUNICIPIO DE PEREIRA, EN EL MARCO DEL SUB PROGRAMA EDUCACIÓN PARA TODOS.
</t>
    </r>
    <r>
      <rPr>
        <b/>
        <u/>
        <sz val="11"/>
        <color rgb="FF000000"/>
        <rFont val="Calibri  "/>
      </rPr>
      <t>ALCANCE :</t>
    </r>
    <r>
      <rPr>
        <sz val="11"/>
        <color rgb="FF000000"/>
        <rFont val="Calibri  "/>
      </rPr>
      <t xml:space="preserve">Incorporar el emprendimiento y el emprendimiento digital en el  PEI de la institución por medio de la identificación de sus fortalezas, sus planes, proyectos y programas y la identificación del ecosistema de emprendimiento de la ciudad, que les permita a sus estudiantes la generación de imaginarios colectivos, la Interpretación de  los valores, creencias, historias y comportamientos que existen con relación a los temas de emprendimiento,  para  fortalecer sus competencias emprendedoras y contribuyan a ser agentes de transformación de su comunidad. </t>
    </r>
    <r>
      <rPr>
        <b/>
        <sz val="11"/>
        <color rgb="FF000000"/>
        <rFont val="Calibri"/>
        <family val="2"/>
      </rPr>
      <t/>
    </r>
  </si>
  <si>
    <r>
      <rPr>
        <b/>
        <sz val="11"/>
        <color rgb="FF000000"/>
        <rFont val="Calibri  "/>
      </rPr>
      <t>INFORME CON IDEAS DE NEGOCIO GENERADAS:</t>
    </r>
    <r>
      <rPr>
        <sz val="11"/>
        <color rgb="FF000000"/>
        <rFont val="Calibri  "/>
      </rPr>
      <t xml:space="preserve">
Grado Octavo: 78
Grado Noveno: 56
Grado Decimo: 66
Grado Once: 59
TOTAL: 259</t>
    </r>
  </si>
  <si>
    <r>
      <rPr>
        <b/>
        <sz val="11"/>
        <color rgb="FF000000"/>
        <rFont val="Calibri  "/>
      </rPr>
      <t>CARTILLAS ENTREGADAS:</t>
    </r>
    <r>
      <rPr>
        <sz val="11"/>
        <color rgb="FF000000"/>
        <rFont val="Calibri  "/>
      </rPr>
      <t xml:space="preserve">
EMPRENDIMIENTO Y FINANZAS PERSONALES
Cartilla digital estudiante 
EMPRENDIMIENTO Y FINANZAS PERSONALES
Cartilla digital estudiante 
Segundo Año</t>
    </r>
  </si>
  <si>
    <r>
      <rPr>
        <b/>
        <u/>
        <sz val="11"/>
        <color rgb="FF000000"/>
        <rFont val="Calibri  "/>
      </rPr>
      <t xml:space="preserve">ESTRATEGIA VIVE LA UNIVERSIDAD: </t>
    </r>
    <r>
      <rPr>
        <sz val="11"/>
        <color rgb="FF000000"/>
        <rFont val="Calibri  "/>
      </rPr>
      <t xml:space="preserve">Programa de formación en competencias de ciencia básica, que permitira  la integración de las Instituciones de Educación media de los municipios de Pereira y de Dosquebradas con el Departamento de Ciencias Básicas de la Universidad Católica de Pereira, promoviendo acciones que permitan lograr mayores niveles de interpretación, formulación, ejecución y argumentación de las Ciencias Básicas. </t>
    </r>
    <r>
      <rPr>
        <b/>
        <sz val="11"/>
        <color rgb="FF000000"/>
        <rFont val="Calibri  "/>
      </rPr>
      <t xml:space="preserve">ALCANCE: </t>
    </r>
    <r>
      <rPr>
        <sz val="11"/>
        <color rgb="FF000000"/>
        <rFont val="Calibri  "/>
      </rPr>
      <t xml:space="preserve">Brindar a 40 estudiantes de grados 10 y 11, vivir una experiencia universitaria por dos semestres académicos dirigidos por el Departamento de Ciencias Básicas de la Universidad Católica de Pereira. El cual certificara 36 horas por cada semestre en formación en competencias para las matemáticas, lógica y razonamiento cuantitativo.
</t>
    </r>
    <r>
      <rPr>
        <u/>
        <sz val="11"/>
        <color rgb="FF000000"/>
        <rFont val="Calibri  "/>
      </rPr>
      <t>ESTRATEGIA ARTICULADA CON LA UNIVERSIDAD ANDINA</t>
    </r>
    <r>
      <rPr>
        <sz val="11"/>
        <color rgb="FF000000"/>
        <rFont val="Calibri  "/>
      </rPr>
      <t xml:space="preserve">: </t>
    </r>
    <r>
      <rPr>
        <b/>
        <sz val="11"/>
        <color rgb="FF000000"/>
        <rFont val="Calibri  "/>
      </rPr>
      <t>BOOTCAMP INNOVACIÓN: ESTUDIANTES &amp; MAESTROS. TRANSFORMADORES DEL MUNDO</t>
    </r>
    <r>
      <rPr>
        <sz val="11"/>
        <color rgb="FF000000"/>
        <rFont val="Calibri  "/>
      </rPr>
      <t xml:space="preserve"> </t>
    </r>
    <r>
      <rPr>
        <b/>
        <sz val="11"/>
        <color rgb="FF000000"/>
        <rFont val="Calibri  "/>
      </rPr>
      <t>DEMODA</t>
    </r>
    <r>
      <rPr>
        <sz val="11"/>
        <color rgb="FF000000"/>
        <rFont val="Calibri  "/>
      </rPr>
      <t xml:space="preserve">Y: EL RETO. QUE LOGRAMOS: Aprendizaje experiencial, Creatividad y habilidades blandas, Emprendimiento para la Industria del Conocimiento.
MAESTROS EMPREDEDORES: Herramientas creativas para el uso en su proceso de formación
Apropiación de habilidades Blandas para emprender.
ESTUDIANTES EMPREDEDORES: Conexión de su contexto con los ODS Procesos de ideación y
prototipado. Apropiación de habilidades Blandas para emprender.
Incluido en el Plan Nacional de Desarrollo como “Ciudadela Tecnológica de Cuba.
Pilotaje para el fortalecimiento de la educación media, a través de formación de capacidades básicas en habilidades blandas de emprendimiento para la industria del conocimiento, en las IE de Cuba.
Formulación de planes de acción para la articulación de los PEI de 12 IE, buscando la modernización de la media enfocada a la industria del conocimiento.
5.844 estudiantes en formación con el SENA: centro comercio y servicios, centro agropecuario y centro de diseño.
</t>
    </r>
  </si>
  <si>
    <r>
      <t xml:space="preserve">Para dar cumplimiento a esta actividad se  programaron y realizaron 11 Ferias que se relacionan a continuacion:
6 ferias una en cada CEDE 
Ejemoda
</t>
    </r>
    <r>
      <rPr>
        <sz val="11"/>
        <rFont val="Calibri  "/>
      </rPr>
      <t xml:space="preserve">Expocamello </t>
    </r>
    <r>
      <rPr>
        <sz val="11"/>
        <color rgb="FFFF0000"/>
        <rFont val="Calibri  "/>
      </rPr>
      <t xml:space="preserve">
</t>
    </r>
    <r>
      <rPr>
        <sz val="11"/>
        <rFont val="Calibri  "/>
      </rPr>
      <t>Pereira fashion Project</t>
    </r>
    <r>
      <rPr>
        <sz val="11"/>
        <color rgb="FFFF0000"/>
        <rFont val="Calibri  "/>
      </rPr>
      <t xml:space="preserve">
</t>
    </r>
    <r>
      <rPr>
        <sz val="11"/>
        <color theme="1"/>
        <rFont val="Calibri  "/>
      </rPr>
      <t xml:space="preserve">Festival Gastronomico </t>
    </r>
    <r>
      <rPr>
        <sz val="11"/>
        <color rgb="FFFF0000"/>
        <rFont val="Calibri  "/>
      </rPr>
      <t xml:space="preserve">
</t>
    </r>
    <r>
      <rPr>
        <sz val="11"/>
        <color theme="1"/>
        <rFont val="Calibri  "/>
      </rPr>
      <t>Pereira capital descuentos
Eje exporta
Todas estas actividades se realizaron como  vitrinas para dar a conocer los productos de los emprendedores, micro y pequeños empresarios y  empresas, que han realizado procesos de crecimientos y fortalecimiento en los programas de la secretaria.</t>
    </r>
  </si>
  <si>
    <r>
      <t>_Contratos de prestación de servcios de 6 coordinadores y 6 técnicos que operan los CEDES.
_Contrato No.2773 Camara de Comercio de Dosquebradas.
_Contrato No.3445 Simple Eventos  y Relaciones S.A.S
_Contrato No.2774 Simple Eventos y Relaciones S.A.S
_Contrato No.2867 Camara de Comercio de Pereira.
_Contrato No.3480 Acopi.
_</t>
    </r>
    <r>
      <rPr>
        <sz val="11"/>
        <rFont val="Calibri  "/>
      </rPr>
      <t>Contrato No.5463-533 GPS grupo Profesional</t>
    </r>
    <r>
      <rPr>
        <sz val="11"/>
        <color theme="1"/>
        <rFont val="Calibri  "/>
      </rPr>
      <t xml:space="preserve">
</t>
    </r>
  </si>
  <si>
    <t>_412
_20
_10
_27
_80
_50
_100</t>
  </si>
  <si>
    <t>32 IPS con asistencia técnica 67 visitas en total</t>
  </si>
  <si>
    <t>3,8% desnutricion global menores de cinco años</t>
  </si>
  <si>
    <t>694 actividades educativas</t>
  </si>
  <si>
    <t>IRCA rural (inviable sanitariamente 5 sistemas; riesgo alto 2 sistemas; riesgo medio 4 sistemas). IRCA urbano sin riesgo</t>
  </si>
  <si>
    <t>aguas y aguas responsable del dato</t>
  </si>
  <si>
    <t>3620 (50%)</t>
  </si>
  <si>
    <t>72 (1%)</t>
  </si>
  <si>
    <t>3534 (48%)</t>
  </si>
  <si>
    <t xml:space="preserve">Durante la vigencia 2019, 7 instituciones realizaron labores de articulación y seguimiento de la PP, a través de mesas de trabajo. 
Alcaldía de Pereira, 
ICBF
Gobernación de Risaralda
 Banco de alimentos Caritas
Comfamiliar 
Sena
Universidad Libre
La Alcaldía de Pereira a través de las Secretarías de Educación, de Desarrollo Social y Político y  de Salud, de Desarrollo Rural hacen parte de los proyectos adelantados para garantizar la asistencia alimentaria y nutricional  de la primera infancia, infancia y adolescencia, adultos mayores, migrantes, madres gestantes y lactantes en condición de vulnerabilidad social.
Desde la Secretaría de Desarrollo Social y  Político a través del proyecto “Asistencia alimentaria y nutricional dirigida a la población en condición de vulnerabilidad social del municipio de  Pereira”,  se realizaron las siguientes acciones en cumplimiento del indicador:
• Se realizaron 03 visitas de evaluación técnica requeridas, para identificar puntos de servido. (en este periodo no se realizaron servidos pero si visitas técnicas a los puntos de entrega).
• No se realizaron visitas de seguimiento y control en los puntos de atención que se requieran, para identificar calidad, cantidad e inocuidad de los complementos entregados a los beneficiarios, debido a que en este año no se realizaron servidos.
• Se realizaron 05 reuniones  de fortalecimiento   y articulación institucional para el cumplimiento y seguimiento a la política pública de seguridad y soberanía alimentaria
• Así mismo se realizaron labores de apoyo y acompañamiento para   el adecuado desarrollo  del proyecto  y  la implementación del sistema de información
</t>
  </si>
  <si>
    <t xml:space="preserve">
Se aportan como evidencias actas del comité municipal de Seguridad y Soberanía Alimentaria y Nutricional en el municipio de Pereira, actas de articulación interinstitucional, actas de visitas de evaluación técnica, actas de seguimiento y control y registro fotográfico.
</t>
  </si>
  <si>
    <t xml:space="preserve">Desde la Secretaría de Desarrollo Social y  Político a través del proyecto “Asistencia alimentaria y nutricional dirigida a la población en condición de vulnerabilidad social del municipio de  Pereira”,  se beneficiaron las siguientes personas:
• 136 beneficiarios de complementos nutricionales líquidos (98 niños(as) menores de 5 años y 38 adultos mayores). En total se entregaron 12.240 dosis (8.820 a niños(as) y 3420 a adultos mayores)
• 1096 beneficiarios de complementos nutricionales no procesados (en total se entregaron 1.096 mercados).
• 389 beneficiarios niños y niñas con diagnóstico riego de desnutrición.
 Adicionalmente se realizaron las siguientes actividades relacionada con Estilos de vida saludables:
• 31 talleres nutricionales sobre buenos hábitos alimenticios, de los cuales se beneficiaron 420 personas. Dichas actividades educativas se realizaron con metodología C3, para fomentar estilos de vida saludables, buenos hábitos de alimentación e higiene.
• 385 valoraciones nutricionales: con toma de medidas antropométricas.
• 1.964 atenciones al público
• 253 visitas de seguimiento control a la población beneficiada de los complementos líquidos.
Es decir en total por la SDSYP se beneficiaron 4.643 personas. 
Para evaluar el cumplimiento del indicador se tiene la siguiente formula:
% de cubrimiento con la oferta de programas de asistencia alimentaria de la alcaldía=No de personas de la población prioritaria que son asistidas/total de la población Pereira)*100
Proyección a 2019 de la Población de Pereira, según censo DANE 2015 = 478.892 habitantes 
Población prioritaria atendida:
2016: 15.877 (PAE).
2017: 16.853.
2018: 22.301.
2019: 21.478
TOTAL:76.478
76.478 / 478.892*100= 15,96 %
</t>
  </si>
  <si>
    <t xml:space="preserve">registro fotografico, spp firmado, copia de documento y de formato de entrega  de cada beneficiario. </t>
  </si>
  <si>
    <t>se realizan visitas a 32 IPS sobre controles de crecimiento y desarrollo, atención intergal a la primera infancia entre ello salud nutricional, valoración antropométrica</t>
  </si>
  <si>
    <t>la cobertura control prenatal se presenta un dato partical corte 15 de noviembre</t>
  </si>
  <si>
    <t xml:space="preserve">registros de valoración nutricional. </t>
  </si>
  <si>
    <t xml:space="preserve">Desde el programa de salud nutricional se realizan actividades como: Promoción de la lactancia materna, para lo cual se realizaron 58 cursos de consejería dirigidos a comunidad y profesionales de la salud, visitas a 62 empresas para la promoción de las salas amigas de la lactancia. implementacion de 13 salas amigas de lactancia materna en la ciudad. </t>
  </si>
  <si>
    <t>Con corte 30 de noviembre se han aplicado 4446 de 3ras dosis de pentavalente, se realizaron 86 visitas de asistencia tecnica a las IPS para la verificación del programa del Programa Ampliado de inmunizaciones. 37 visitas de la estrategia AIEPI (cumplimientno 100%).</t>
  </si>
  <si>
    <t>Ha mejorado la cobertura de vacunación en el municipio este último año, comparativamente hablando con los dos años anteriores</t>
  </si>
  <si>
    <t>la secretaria de salud no tiene esta competencia.</t>
  </si>
  <si>
    <t>Desde el programa de salud nutricional se realizan actividades como: Promoción de la lactancia materna, para lo cual se realizaron 58 cursos de consejería dirigidos a comunidad y profesionales de la salud, visitas a 62 empresas para la promoción de las salas amigas de la lactancia. El municipio cuenta con 13  salas amigas de lalactancia operando. Vigilancia epidemiologica comunitaria, valorandose   20394  niños, niñas y adolescentes. Se realizaron 694 actividades educativas sobre alimentación saludable, Se visitaron 36 instituciones educativas publicas y 15 instituciones educativas privadas para la promoción de tienda escolar saludable.</t>
  </si>
  <si>
    <t xml:space="preserve">otros indicadores: Desnutricion aguda menores de cinco años 5,0%
desnutricion crónica menores de cinco años 8,85%
sobrepeso y obesidad menores de cinco año: 16,92%.
</t>
  </si>
  <si>
    <t>Se realizaron 40 toma de muestras para análisis microbiológicos al agua para consumo humano en la zona Rural. Se realizaron 268 toma de muestras para análisis microbiológicos y fisicoquimicos al agua para consumo humano en la zona Urbana del municipio</t>
  </si>
  <si>
    <t>Se realizan visitas de Inspección, Vigilancia y Control. Mediante actas lista de chequeo donde se verifica el cumplimiento de las normas sanitarias vigentes Resolucion 2674 de 2013.</t>
  </si>
  <si>
    <t xml:space="preserve">contrato de prestacion de servicioss a profesionales contratados </t>
  </si>
  <si>
    <t>91,656,000</t>
  </si>
  <si>
    <t>altagracia, arabia, combias y la bella</t>
  </si>
  <si>
    <t xml:space="preserve">asociaciones </t>
  </si>
  <si>
    <t xml:space="preserve">producion y comercializacion </t>
  </si>
  <si>
    <t xml:space="preserve">zona rural </t>
  </si>
  <si>
    <t>propios</t>
  </si>
  <si>
    <t>zona rural</t>
  </si>
  <si>
    <t>18-60</t>
  </si>
  <si>
    <t>campesinos</t>
  </si>
  <si>
    <t>sisaa</t>
  </si>
  <si>
    <t>horfrubella, asoperagro, asofruras, entre verdes, asocolap</t>
  </si>
  <si>
    <t xml:space="preserve">implementacion de buenas practicas </t>
  </si>
  <si>
    <t xml:space="preserve">10 camaras termicas </t>
  </si>
  <si>
    <t>propio</t>
  </si>
  <si>
    <t>25-60</t>
  </si>
  <si>
    <t xml:space="preserve">credito individual </t>
  </si>
  <si>
    <t>usuraios campesinos</t>
  </si>
  <si>
    <t>corregimientos</t>
  </si>
  <si>
    <t>Usuarios sector rural</t>
  </si>
  <si>
    <t>No se registranbeneficiarios atenidos porque este item se refiere a reeuniones de articulación interinstitucional</t>
  </si>
  <si>
    <t>N7A</t>
  </si>
  <si>
    <t>70.253 
(TOTAL ESTUDIANTES IE OFICIALES CORTE 1 NOV DE 2019)</t>
  </si>
  <si>
    <t>210 productores capacitados de 260 productores vulnerables</t>
  </si>
  <si>
    <t>210 productores de 1220</t>
  </si>
  <si>
    <t>Todas las IE tienen en sus proyectos transversales la formacion en temas asociados a salud publica, habitos de vida saludable y el componente nutricional. En Articulacion con la Secretaria de Salud, contamos con 56 IE con el programa de Escuela Saludable.
Adicionalmente desde el programa de alimentacion PAE se hace un acompañamiento de carácter psicosocial a estudiantes, docentes y padres de familia en habitos de consumo, habitos de vida saludable y en la importancia de la adecuada contribucion nutricional en los distintos alimentos del dia.</t>
  </si>
  <si>
    <t>462 actividades educativas</t>
  </si>
  <si>
    <t>153.444 usuarios suscriptores de acueducto. No se tiene el total de hogares urbanos</t>
  </si>
  <si>
    <t>IRCA  urbano (o,o sin riesgo para el consumo)</t>
  </si>
  <si>
    <t xml:space="preserve"> IRCA rural (0,52 riesgo bajo para el consumo humano)</t>
  </si>
  <si>
    <t>2 plantas</t>
  </si>
  <si>
    <t>META  REAL 2019</t>
  </si>
  <si>
    <t>REPORTE EJECUCIÓN 2018</t>
  </si>
  <si>
    <t>LOGRO 2018</t>
  </si>
  <si>
    <t>REPORTE REAL  2019</t>
  </si>
  <si>
    <t>LOGRO</t>
  </si>
  <si>
    <t>NO ENTREGÓI</t>
  </si>
  <si>
    <t>A) Apoyo atención a la línea 123.
B) Se dio Respuestas a través del aplicativo - SAIA,   a 80 quejas y comparendos</t>
  </si>
  <si>
    <r>
      <rPr>
        <sz val="11"/>
        <color theme="8"/>
        <rFont val="Calibri"/>
        <family val="2"/>
        <scheme val="minor"/>
      </rPr>
      <t>Se realizaron  13  Boletines de prensa</t>
    </r>
    <r>
      <rPr>
        <sz val="11"/>
        <color theme="1"/>
        <rFont val="Calibri"/>
        <family val="2"/>
        <scheme val="minor"/>
      </rPr>
      <t xml:space="preserve">
 "EN LA CASETA COMUNAL DEL BARRIO CUBA HABRÁ FERIA DE MUJERES EMPRENDEDORAS ESTE VIERNES"                            "PADRES DE LOS NIÑOS DE LAS JUNTAS DE ACCIÓN COMUNAL INFANTILES FIRMARÁN EL PACTO POR LA TERNURA"    "LA SECRETARÍA DE DESARROLLO SOCIAL Y POLÍTICO DE PEREIRA REALIZÓ JORNADA DE RECREACIÓN PARA NIÑOS DE LAS JACI"     " LA SECRETARÍA DE DESARROLLO SOCIAL Y POLÍTICO LES PRESENTÓ SU OFERTA DE SERVICIOS A LOS HABITANTES DE LA HABANA"   "APOYO A LAS ELECCIONES DE PRESUPUESTO PARTICIPATIVO EN COMUNAS Y CORREGIMIENTOS DEL MUNICIPIO DE PEREIRA DEL 22/05/2019 AL 05/09/2019" .        -La información relacionada con la Secretaría de Desarrollo Social y Político a la que pertenece el proyecto de las Juntas de Acción Comunal, depende directamente de las acciones que promueva  el responsable del proyecto, para este caso la relación entre estas JAC y la Secretaría de Desarrollo Social y Político, generan escasa información que sea susceptible de publicar  a través de los boletines de prensa.</t>
    </r>
  </si>
  <si>
    <t>Portal Cautivo Zonas WIFI.                                                                   APP Denuncia Ciudadna</t>
  </si>
  <si>
    <t>Se espera que para la implementación de la estrategia comunicativa de convivencia y cultura ciudadana, se tenga el apoyo de la oficina de Asesoría de Comunicaciones y de la secretaría encargada que nos facilitá los mensajes a ser difundidos para fomentar y promover la Cultura de la Legalidad, responsabilidad individual; de ayudar a construir y mantener una sociedad con un Estado Social de derecho.                                                          Siendo así, nosotros la Secretaría TIC los responsables de los canales, aplicativos y medios de difusión.</t>
  </si>
  <si>
    <t>Las capacitaciones las debe liderar la Secretaría de Educación y debe ir orientada a toda la comunidad educativa del municipio de Pereira.</t>
  </si>
  <si>
    <r>
      <rPr>
        <b/>
        <sz val="11"/>
        <color theme="1"/>
        <rFont val="Calibri"/>
        <family val="2"/>
        <scheme val="minor"/>
      </rPr>
      <t>FINALIDAD:</t>
    </r>
    <r>
      <rPr>
        <sz val="11"/>
        <color theme="1"/>
        <rFont val="Calibri"/>
        <family val="2"/>
        <scheme val="minor"/>
      </rPr>
      <t xml:space="preserve">  Generar habitantes conscientes, respetuosos, desde una óptica ciudadana cívica con un sentido de pertenencia por la ciudad</t>
    </r>
  </si>
  <si>
    <r>
      <t xml:space="preserve">Durante la vigencia 2019 la Secretaría de Tecnologías de la Información y Comunicaciones TIC, comenzó el estudio para la implementeción de las estrategias comunicativas y de difusión en el </t>
    </r>
    <r>
      <rPr>
        <b/>
        <sz val="11"/>
        <color theme="1"/>
        <rFont val="Calibri"/>
        <family val="2"/>
        <scheme val="minor"/>
      </rPr>
      <t xml:space="preserve">Portal Cautivo de Zonas WIFI </t>
    </r>
    <r>
      <rPr>
        <sz val="11"/>
        <color theme="1"/>
        <rFont val="Calibri"/>
        <family val="2"/>
        <scheme val="minor"/>
      </rPr>
      <t>y en la</t>
    </r>
    <r>
      <rPr>
        <b/>
        <sz val="11"/>
        <color theme="1"/>
        <rFont val="Calibri"/>
        <family val="2"/>
        <scheme val="minor"/>
      </rPr>
      <t xml:space="preserve"> APP Denuncia Ciudadana.</t>
    </r>
    <r>
      <rPr>
        <sz val="11"/>
        <color theme="1"/>
        <rFont val="Calibri"/>
        <family val="2"/>
        <scheme val="minor"/>
      </rPr>
      <t xml:space="preserve">                                                                                                                                                                Aclarando que actualmente el Municipio de pereira cuenta con </t>
    </r>
    <r>
      <rPr>
        <b/>
        <sz val="11"/>
        <color theme="1"/>
        <rFont val="Calibri"/>
        <family val="2"/>
        <scheme val="minor"/>
      </rPr>
      <t>124</t>
    </r>
    <r>
      <rPr>
        <sz val="11"/>
        <color theme="1"/>
        <rFont val="Calibri"/>
        <family val="2"/>
        <scheme val="minor"/>
      </rPr>
      <t xml:space="preserve"> zonas  wifi instaladas en diferentes puntos estratégicos de la zona urbana como rural. Así mismo, realizamos un análisis del portal cautivo de las zonas wifi,  donde se obtuvo un aproximado </t>
    </r>
    <r>
      <rPr>
        <b/>
        <sz val="11"/>
        <color theme="1"/>
        <rFont val="Calibri"/>
        <family val="2"/>
        <scheme val="minor"/>
      </rPr>
      <t xml:space="preserve">300.000  </t>
    </r>
    <r>
      <rPr>
        <sz val="11"/>
        <color theme="1"/>
        <rFont val="Calibri"/>
        <family val="2"/>
        <scheme val="minor"/>
      </rPr>
      <t xml:space="preserve">inicio de sesiones por mes en dicha vigencia. Donde extraemos que de un </t>
    </r>
    <r>
      <rPr>
        <b/>
        <sz val="11"/>
        <color theme="1"/>
        <rFont val="Calibri"/>
        <family val="2"/>
        <scheme val="minor"/>
      </rPr>
      <t>100%</t>
    </r>
    <r>
      <rPr>
        <sz val="11"/>
        <color theme="1"/>
        <rFont val="Calibri"/>
        <family val="2"/>
        <scheme val="minor"/>
      </rPr>
      <t xml:space="preserve"> de usuarios, la población femenina representó un </t>
    </r>
    <r>
      <rPr>
        <b/>
        <sz val="11"/>
        <color theme="1"/>
        <rFont val="Calibri"/>
        <family val="2"/>
        <scheme val="minor"/>
      </rPr>
      <t xml:space="preserve">43.19%, </t>
    </r>
    <r>
      <rPr>
        <sz val="11"/>
        <color theme="1"/>
        <rFont val="Calibri"/>
        <family val="2"/>
        <scheme val="minor"/>
      </rPr>
      <t xml:space="preserve">la población masculina representó un </t>
    </r>
    <r>
      <rPr>
        <b/>
        <sz val="11"/>
        <color theme="1"/>
        <rFont val="Calibri"/>
        <family val="2"/>
        <scheme val="minor"/>
      </rPr>
      <t>55.18%</t>
    </r>
    <r>
      <rPr>
        <sz val="11"/>
        <color theme="1"/>
        <rFont val="Calibri"/>
        <family val="2"/>
        <scheme val="minor"/>
      </rPr>
      <t xml:space="preserve"> y la población caracterizada como otros representó un </t>
    </r>
    <r>
      <rPr>
        <b/>
        <sz val="11"/>
        <color theme="1"/>
        <rFont val="Calibri"/>
        <family val="2"/>
        <scheme val="minor"/>
      </rPr>
      <t xml:space="preserve">0.12%.                                                                                                                             </t>
    </r>
    <r>
      <rPr>
        <sz val="11"/>
        <color theme="1"/>
        <rFont val="Calibri"/>
        <family val="2"/>
        <scheme val="minor"/>
      </rPr>
      <t xml:space="preserve">                                                                                                                                        Y en el aplicativo </t>
    </r>
    <r>
      <rPr>
        <b/>
        <sz val="11"/>
        <color theme="1"/>
        <rFont val="Calibri"/>
        <family val="2"/>
        <scheme val="minor"/>
      </rPr>
      <t xml:space="preserve">Denuncia Ciudadana, </t>
    </r>
    <r>
      <rPr>
        <sz val="11"/>
        <color theme="1"/>
        <rFont val="Calibri"/>
        <family val="2"/>
        <scheme val="minor"/>
      </rPr>
      <t xml:space="preserve">durante la vigencia de 1 de enero al 31 de diciembre de 2019, se realizaron un total de </t>
    </r>
    <r>
      <rPr>
        <b/>
        <sz val="11"/>
        <color theme="1"/>
        <rFont val="Calibri"/>
        <family val="2"/>
        <scheme val="minor"/>
      </rPr>
      <t xml:space="preserve">741 </t>
    </r>
    <r>
      <rPr>
        <sz val="11"/>
        <color theme="1"/>
        <rFont val="Calibri"/>
        <family val="2"/>
        <scheme val="minor"/>
      </rPr>
      <t>usurios registrados. Es de aclarar que no todos los usuarios realizan el registro para instaurar la denuncia, está la posibilidad de realizar la denuncia de manera Anónima.</t>
    </r>
  </si>
  <si>
    <r>
      <t xml:space="preserve">A diciembre 31 de 2023 ,desarrollar </t>
    </r>
    <r>
      <rPr>
        <sz val="11"/>
        <rFont val="Calibri"/>
        <family val="2"/>
        <scheme val="minor"/>
      </rPr>
      <t xml:space="preserve">30 </t>
    </r>
    <r>
      <rPr>
        <sz val="11"/>
        <color theme="1"/>
        <rFont val="Calibri"/>
        <family val="2"/>
        <scheme val="minor"/>
      </rPr>
      <t>actividades descentralizadas (6 por año)  donde se aborde la temática de Cultura de la Legalidad.</t>
    </r>
  </si>
  <si>
    <t xml:space="preserve">NO HAY INFPRMACION </t>
  </si>
  <si>
    <t>NO HHY INFORMACIÓN</t>
  </si>
  <si>
    <t>ESTA META SE CUMPLIÓ EN EL AÑO 2015</t>
  </si>
  <si>
    <t xml:space="preserve">NO HAY REPORTE </t>
  </si>
  <si>
    <r>
      <t xml:space="preserve">Cabe resalltar que en las pruebas saber, el nivel de ingles mas </t>
    </r>
    <r>
      <rPr>
        <b/>
        <sz val="11"/>
        <color theme="1"/>
        <rFont val="Calibri"/>
        <family val="2"/>
        <scheme val="minor"/>
      </rPr>
      <t>alto</t>
    </r>
    <r>
      <rPr>
        <sz val="11"/>
        <color theme="1"/>
        <rFont val="Calibri"/>
        <family val="2"/>
        <scheme val="minor"/>
      </rPr>
      <t xml:space="preserve"> es B+, seguida de B1, A2, A1  y A- siendo esta la calificacion mas baja.
Para las IE publicas es favorable el resultado teniendo e cuenta que en Colombia el promedio fue de 19% y en Pereira fue 24%. en el nivel basico ingles (A2).
B+ : Colombia 2%  Pereira 4%.
B1 :  Colombia 8% Pereira 11%
A2:  Colombia 19% Pereira 24%
A1 :  Colombia 34% Pereira 36%
A- :  Colombia 37% Pereira 25%
Para las IE privadas Pereira estuvo por encima de la nacional  en las calificaciones mas altas de ingles (B+, B1).
B+ : Colombia 37%  Pereira 46%.
B1 :  Colombia 26% Pereira 49%
A2 : Colombia  19%. Pereira 4%
A1 :  Colombia  13%  Pereira 1%.
A-:   Colombia 6%  Pereira 0%</t>
    </r>
  </si>
  <si>
    <r>
      <t xml:space="preserve">Cabe resalltar que en las pruebas saber, el nivel de ingles mas </t>
    </r>
    <r>
      <rPr>
        <b/>
        <sz val="11"/>
        <color indexed="8"/>
        <rFont val="Calibri"/>
        <family val="2"/>
        <scheme val="minor"/>
      </rPr>
      <t>alto</t>
    </r>
    <r>
      <rPr>
        <sz val="11"/>
        <color rgb="FF000000"/>
        <rFont val="Calibri"/>
        <family val="2"/>
        <scheme val="minor"/>
      </rPr>
      <t xml:space="preserve"> es B+, seguida de B1, A2, A1  y A- siendo esta la calificacion mas baja.
Para las IE publicas es favorable el resultado teniendo e cuenta que en Colombia el promedio fue de 19% y en Pereira fue 24%. en el nivel basico ingles (A2).
B+ : Colombia 2%  Pereira 4%.
B1 :  Colombia 8% Pereira 11%
A2:  Colombia 19% Pereira 24%
A1 :  Colombia 34% Pereira 36%
A- :  Colombia 37% Pereira 25%
Para las IE privadas Pereira estuvo por encima de la nacional  en las calificaciones mas altas de ingles (B+, B1).
B+ : Colombia 37%  Pereira 46%.
B1 :  Colombia 26% Pereira 49%
A2 : Colombia  19%. Pereira 4%
A1 :  Colombia  13%  Pereira 1%.
A-:   Colombia 6%  Pereira 0%</t>
    </r>
  </si>
  <si>
    <r>
      <t xml:space="preserve">Se dio cobertura a </t>
    </r>
    <r>
      <rPr>
        <b/>
        <sz val="11"/>
        <color theme="1"/>
        <rFont val="Calibri"/>
        <family val="2"/>
        <scheme val="minor"/>
      </rPr>
      <t>613</t>
    </r>
    <r>
      <rPr>
        <sz val="11"/>
        <color theme="1"/>
        <rFont val="Calibri"/>
        <family val="2"/>
        <scheme val="minor"/>
      </rPr>
      <t xml:space="preserve"> Estudiantes de educacion superior a traves del Proyecto Emblematico BECA PA PEPAS vigencia 2019.
Los beneficios entregados fueron: Matricula, Alimentacion (almuerzo), transportes (2 por dia),  seguro estudiantil. 613
PROGRAMAS: Todos los programas de la Universidad Tecnologica.   Se entregaron 556 Becas subsidiadas para los estratos del sisben 1 y 2 de todos los colegios oficiales de Pereira, a traves del Proyecto Emblematico Universidad para Cuba.
En convenio con Universidad Catolica se entregaron 162 becas ( en el programa de Tecnologia en desarrollo de software). En  el Ciaf se entregaron 288 becas (en programas de Tecnico en programacion de software y Tecnico en aplicaciones moviles).  En Universidad Tecnologica se entregaron 106 becas  (en los programas de Ingenieria en Sistemas y Tecnologia industrial) . 556</t>
    </r>
  </si>
  <si>
    <r>
      <rPr>
        <b/>
        <sz val="11"/>
        <color rgb="FF000000"/>
        <rFont val="Calibri"/>
        <family val="2"/>
        <scheme val="minor"/>
      </rPr>
      <t>INFORME CON IDEAS DE NEGOCIO GENERADAS:</t>
    </r>
    <r>
      <rPr>
        <sz val="11"/>
        <color rgb="FF000000"/>
        <rFont val="Calibri"/>
        <family val="2"/>
        <scheme val="minor"/>
      </rPr>
      <t xml:space="preserve">
Grado Octavo: 78
Grado Noveno: 56
Grado Decimo: 66
Grado Once: 59
TOTAL: 259----- CARTILLAS ENTREGADAS: 5.000.000
EMPRENDIMIENTO Y FINANZAS PERSONALES
Cartilla digital estudiante 
EMPRENDIMIENTO Y FINANZAS PERSONALES
Cartilla digital estudiante 
Segundo Año --- 58.000.000</t>
    </r>
  </si>
  <si>
    <t>DR-OE17A2</t>
  </si>
  <si>
    <t xml:space="preserve">Implementar el programa ludotecas en las comunas y corregimientos. ESTE CODIGO SE REPIPE </t>
  </si>
  <si>
    <t xml:space="preserve">DESARROLLO SOCIAL Y POLÍTICO </t>
  </si>
  <si>
    <t>84.5%</t>
  </si>
  <si>
    <t>Por medio de realizaron 115 talleres de promoción en hábitos y estilos de vida saludable a contratistas, empleados y directivos de 13 empresas de transporte público, entidades y del gremio de la construcción. Durante los talleres en hábitos y estilos de vida saludable, realizados en las empresas. 1. Obra en construcción Tirrenia. 2. COLDECON, 3. INSERIM S.A.. 4. Gerenciar, 5. Instituto de Movilidad. 6. COOVICHARALDA. 7. Trans. Perla, 8. Operadora Otún, 9. Ukumary, 10. LECTECK, FRIGOTUN, se implemento la estrategia IEC (INFORMACIÓN, EDUCACIÓN, COMUNICACIÓN),durante los mismos se trataron temas como las enfermedades crónicas no transmisibles, importancia de prevenirlas, hábitos saludables y rutinas básicas de jercicio en casa y promoción, tamizaje de cáncer de próstata, generando así espacios saludables tanto a los beneficiados directamente con dicho taller, así como sus familias.</t>
  </si>
  <si>
    <t>AVANCE POR CATEGORÍA/OBJETIVO</t>
  </si>
  <si>
    <r>
      <t>Desarrollar estrategias comunes para la contruccion, mantenimiento y/o adecuacion de escenarios deportivos en especial del deport</t>
    </r>
    <r>
      <rPr>
        <b/>
        <sz val="11"/>
        <rFont val="Calibri  "/>
      </rPr>
      <t>e convencional y paralimpico</t>
    </r>
  </si>
  <si>
    <r>
      <t>Durante la vigencia 2019 se contrataron 12</t>
    </r>
    <r>
      <rPr>
        <sz val="11"/>
        <color rgb="FFFF0000"/>
        <rFont val="Calibri  "/>
      </rPr>
      <t xml:space="preserve"> </t>
    </r>
    <r>
      <rPr>
        <sz val="11"/>
        <rFont val="Calibri  "/>
      </rPr>
      <t>instructores para realizar servicios descentralizados de recreación y deportes a los grupos de adultos mayores.  
Así mismo se contrato un instructor de baile y un salva vidas. 
Quienes brindaron asistencia técnica , actividades físicas de recreación, deporte y cultura (bailes) en</t>
    </r>
    <r>
      <rPr>
        <sz val="11"/>
        <color rgb="FFFF0000"/>
        <rFont val="Calibri  "/>
      </rPr>
      <t xml:space="preserve"> </t>
    </r>
    <r>
      <rPr>
        <sz val="11"/>
        <rFont val="Calibri  "/>
      </rPr>
      <t xml:space="preserve">grupos de adultos mayores de las diferentes comunas y corregimientos.
En total se se reportaron 10.046 atenciones de esta meta así: 
Actividades en reportes individuales: 2.529
Actividades en reportes masivos: 7.517
</t>
    </r>
  </si>
  <si>
    <t>META 2013</t>
  </si>
  <si>
    <t>META 2012</t>
  </si>
  <si>
    <t>META 2014</t>
  </si>
  <si>
    <t>META 2016</t>
  </si>
  <si>
    <t xml:space="preserve">INFORME DE SEGUIMIENTO 2019 </t>
  </si>
  <si>
    <t xml:space="preserve"> INFORME DE SEGUIMIENTO 2018</t>
  </si>
  <si>
    <r>
      <t>% de comunas de pereira que tienen programas y practicas de autoabastecimiento alimentario=((</t>
    </r>
    <r>
      <rPr>
        <sz val="11"/>
        <color theme="1"/>
        <rFont val="Calibri"/>
        <family val="2"/>
        <scheme val="minor"/>
      </rPr>
      <t>∑de comunas que tienen programas y/o practicas de autoabastecimiento alimentario/total de comunas del municipio)*100)</t>
    </r>
  </si>
  <si>
    <r>
      <t>%de corregimientos de pereiraque tienen programas y practicas de autoabastecimientoalimentario=(</t>
    </r>
    <r>
      <rPr>
        <sz val="11"/>
        <color theme="1"/>
        <rFont val="Calibri"/>
        <family val="2"/>
        <scheme val="minor"/>
      </rPr>
      <t>∑de corregimientos que tienen programas y/o practicas de autoabastecimiento alimentario/total de corregimientos del municipio)*100</t>
    </r>
  </si>
  <si>
    <r>
      <t>N.o de instituciones que brindan programas de asistencia alimentaria=</t>
    </r>
    <r>
      <rPr>
        <sz val="11"/>
        <color theme="1"/>
        <rFont val="Calibri"/>
        <family val="2"/>
        <scheme val="minor"/>
      </rPr>
      <t>∑de instituciones</t>
    </r>
  </si>
  <si>
    <r>
      <t xml:space="preserve">prestacion  servicios </t>
    </r>
    <r>
      <rPr>
        <sz val="11"/>
        <color theme="1"/>
        <rFont val="Calibri"/>
        <family val="2"/>
        <scheme val="minor"/>
      </rPr>
      <t>de salud</t>
    </r>
  </si>
  <si>
    <t>Codificación</t>
  </si>
  <si>
    <t>OTRAS FUENTES ( PRIVADAS ETC)</t>
  </si>
  <si>
    <t>30,5 x 100.000 N.V(100%)</t>
  </si>
  <si>
    <t>4,4 x 1000 N.V (100%)</t>
  </si>
  <si>
    <t>1,0 x 1000 Menores de cinco años (100%)</t>
  </si>
  <si>
    <t>reporta medicina legal N.R</t>
  </si>
  <si>
    <t>N.R</t>
  </si>
  <si>
    <t>158% (100%)</t>
  </si>
  <si>
    <t>159% (100%)</t>
  </si>
  <si>
    <t>0,15 (100%)</t>
  </si>
  <si>
    <t>16,8% (80%)</t>
  </si>
  <si>
    <t>32% (100%)</t>
  </si>
  <si>
    <t>0,91 x 1000 N.V (70%)</t>
  </si>
  <si>
    <t>0 (100%)</t>
  </si>
  <si>
    <t>* Tasa de morbilidad  por ERA (Enfermedad Respiratoria Aguda) en menores de5 años. 2010:  2,9</t>
  </si>
  <si>
    <t>3,85% (100%)</t>
  </si>
  <si>
    <t>8,85% (100%)</t>
  </si>
  <si>
    <t>9% (100%)</t>
  </si>
  <si>
    <t>4 (100%)</t>
  </si>
  <si>
    <t>3,4 (100%)</t>
  </si>
  <si>
    <t>60165 (100%)</t>
  </si>
  <si>
    <r>
      <t xml:space="preserve">*Conformación de equipos básicos extramurales de carácter interdisciplinario e intersectorial con continuidad y permanencia, que actúen desde los lineamientos de la estrategia de atención primaria, capaces de llevar a las comunidades las estrategias de información, educación y acciones comunicativas articuladas entre los diferentes programas.                                                                                                                                                                                                                                                                                                                                                                                                                                                                                                                                                             </t>
    </r>
    <r>
      <rPr>
        <sz val="11"/>
        <color theme="1"/>
        <rFont val="Calibri  "/>
      </rPr>
      <t xml:space="preserve">                                                                                                               </t>
    </r>
  </si>
  <si>
    <r>
      <t>* Fortelecer los procesos de atención integral a los niños, niñas y adolescentes en situación de inobservacia, amenaza o vulneración * Implementar un programa para la prevención de la explotación sexual comercial en NNA .</t>
    </r>
    <r>
      <rPr>
        <sz val="11"/>
        <color rgb="FF800080"/>
        <rFont val="Calibri  "/>
      </rPr>
      <t xml:space="preserve">                                                                                                                                                                                                                                                                                                                                                                                                                                                                                                                             </t>
    </r>
  </si>
  <si>
    <r>
      <t xml:space="preserve"> </t>
    </r>
    <r>
      <rPr>
        <sz val="11"/>
        <color theme="1"/>
        <rFont val="Calibri  "/>
      </rPr>
      <t xml:space="preserve">* Reducir el porcentaje de embarazos en mujeres adolescentes   23 %.          *  </t>
    </r>
    <r>
      <rPr>
        <sz val="11"/>
        <color rgb="FFFF0000"/>
        <rFont val="Calibri  "/>
      </rPr>
      <t xml:space="preserve">                       </t>
    </r>
  </si>
  <si>
    <r>
      <t xml:space="preserve">*Reducir el porcentaje de  embarazos en mujeres adolescentes:    14%.         *     </t>
    </r>
    <r>
      <rPr>
        <sz val="11"/>
        <color rgb="FFFF0000"/>
        <rFont val="Calibri  "/>
      </rPr>
      <t xml:space="preserve">                </t>
    </r>
  </si>
  <si>
    <t xml:space="preserve">*Fortelecimeinto del sistema de evaluación de las instituciones educativas -públicas y privadas- del municipio. </t>
  </si>
  <si>
    <t xml:space="preserve">17 
</t>
  </si>
  <si>
    <t>Se prestó asistencia técnica agricola a 2600 productores en la zona rural del municipio en temas de buenas prácticas agricolas (BPA) con el fin de mejorar su productividad y generar potencializar el suelo.</t>
  </si>
  <si>
    <t>Se redactaron los documentos técnicos para ser presentados en el Comité Interinstitucional de Protección y Bienestar Animal para su aprobacion por parte de la plenaria del comité.</t>
  </si>
  <si>
    <t>Documentos técnicos y de soporte revisados para la creación del documento de socialización</t>
  </si>
  <si>
    <t xml:space="preserve">Se requiere la aprobación del documento por los miembros del comité </t>
  </si>
  <si>
    <t xml:space="preserve">Se ejecutaron los planes de comunicación en función a la estrategia adoptada </t>
  </si>
  <si>
    <t>Actas y Registro fotografico</t>
  </si>
  <si>
    <t>Acciones ejecutadas en el marco del contrato interadministrativo con el Bioparque Ukumari para la vigencia 2019</t>
  </si>
  <si>
    <t xml:space="preserve">Diario de Labores, registro fotográfico, conceptos veterinarios y Saia.  </t>
  </si>
  <si>
    <t>Se tiene pendiente la aprobación de la estrategia municial por parte del comité interinstitucional según el quorum del mismo, el cual no ha sido posible después de realizar dos comités sin poder realizar la aprobación</t>
  </si>
  <si>
    <t>Urbana y Rural de Pereira</t>
  </si>
  <si>
    <t>Acompañamiento de implementación y se realizó el in de gestión correspondiente al infrme de implementación</t>
  </si>
  <si>
    <t>No se aplicó por que está en revisión el POT y allí se considera.</t>
  </si>
  <si>
    <t>$1.006.650</t>
  </si>
  <si>
    <t>Se dejaron establecidos protocolos para esterilizaciones, adopciones y se tiene pendiente la aprobación del protocolo para la eutanasia. Se espera ser presentando en el Comité para su aprobación.</t>
  </si>
  <si>
    <t>Documentos anexos informe Ukumari, Registro fotografico</t>
  </si>
  <si>
    <t>Todos los documentos fueron usados en el marco del contrato interadministrativo con el bioparque a modo de prueba y se requiere aprobación por parte del comité de los mismos</t>
  </si>
  <si>
    <t>El censo lo realizó la secretaria de Salud.</t>
  </si>
  <si>
    <t>Se creó e implementó una campaña denominada "Un amigo para toda la vida" donde se establecío el primer domingo de cada mes como jornada constante de adoción de animales con la vinculación de ongs animalistas participantes. Despues de 10 jornadas realizadas en la vigencia 2019 se finalizó la campaña con mas de 290 adopciones responsables. Igualmente se fomentan las adopciones como parte de la estrategia de comunicación en redes sociales y desde el bioparque se realizan procesos de adopcion complementarios en el marco de manejo del CBA.</t>
  </si>
  <si>
    <t>Registros fotográficos, diseño de invitación mensual para difusión por redes.</t>
  </si>
  <si>
    <t>En las jornadas masivas se tenian invitadas asociaciones y fundaciones animalistas como socios estratégicos del proceso. También participa secretaría de salud con el programa de vacunación antirábica.</t>
  </si>
  <si>
    <t xml:space="preserve">Campañas de sensibilización y recolección del caracol africano. Visitas Técnicos para revisar afectación de la mosca casera. . Participación de la mesa técnica para el control de la mosca casera. </t>
  </si>
  <si>
    <t xml:space="preserve">Diario de Labores, actas de reunión, control de asistencia y registro fotográfico. </t>
  </si>
  <si>
    <t xml:space="preserve">El presupuesto de este contrato no sale de bienestar animal. Es de Estatus sanitario del municipio. </t>
  </si>
  <si>
    <t>El programa de identificación de animales de compañía es realizado por la secretaría de Gobierno a traves de la cedulación de animales por página web. El marcaje con microchip se realiza en ukumari a todos los animales que llegan al CBA y son entregados en adopción.</t>
  </si>
  <si>
    <t>Soportes de informe de contrato de Ukumai con la SDRGA</t>
  </si>
  <si>
    <t xml:space="preserve">Se ha realizado marcaje a los animales adoptados de Ukumarí, se cobra dentro del convenio, sin embargo es un programa de la secretaria de gobierno. </t>
  </si>
  <si>
    <t xml:space="preserve">Esta accion esta a cargo de la CARDER y la Policia Naciioanl </t>
  </si>
  <si>
    <t>Se realizó atención veterinaria incluyendo tratamiento  a animales de compañía politramatizados en accidentes de transito ( y otras causas) o en estado de abandono, se realizaron esterilizaciones tanto en el área rural como urbana, se le brindo, estadia y hospitalización a por lo menos 51 animales en el Centro de bienestar animal.</t>
  </si>
  <si>
    <t xml:space="preserve">Informes entregados por El Parque Ukumari, quien mediante un convenio tiene a cargo el Centro de Bienestar Aniamal. </t>
  </si>
  <si>
    <t>Se cumplió el 100% de las actividades del convenio.</t>
  </si>
  <si>
    <t>Se realiza seguimiento desde el año 2015. En la vigencia 2019 se han hecho seguimientos a aproximadamente 40 equinos vinculados al programa.</t>
  </si>
  <si>
    <t xml:space="preserve">Diario de labores y registro fotográfico. </t>
  </si>
  <si>
    <t xml:space="preserve">Este presupuesto no sale bienestar animal, ya que se enmarca dentro del programa control a la degradación ambiental. </t>
  </si>
  <si>
    <t>La SDRGA participa del comité CIFRI el cual es dirigido por CARDER, entidad competente para esta labor</t>
  </si>
  <si>
    <t>Se realiza de manera constante procesos de formación y sensibilización en el marco de las actividades de certificacion en buenas prácticas pecuarias.</t>
  </si>
  <si>
    <t>Certificaciones en BPA</t>
  </si>
  <si>
    <t>Proceso misional de la SDRGA</t>
  </si>
  <si>
    <t>Se tiene los soportes correspondientes y se esta finalizando el proceso de adecuacion de la plataforma spp a la SDRGA</t>
  </si>
  <si>
    <t xml:space="preserve">Registro de actividades para politicas públicas. </t>
  </si>
  <si>
    <t xml:space="preserve">No se ha subido a la plataforma, porque planeación no habilitó la plataforma, toda la información se encuentra digitada. </t>
  </si>
  <si>
    <t>REPORTE ACUMULADO AL AÑO 2019</t>
  </si>
  <si>
    <r>
      <t>durante la vigenc</t>
    </r>
    <r>
      <rPr>
        <sz val="11"/>
        <color theme="1"/>
        <rFont val="Calibri"/>
        <family val="2"/>
        <scheme val="minor"/>
      </rPr>
      <t xml:space="preserve">ia 2018 </t>
    </r>
    <r>
      <rPr>
        <sz val="11"/>
        <color rgb="FF000000"/>
        <rFont val="Calibri"/>
        <family val="2"/>
        <scheme val="minor"/>
      </rPr>
      <t>no se firmaron convenios o alianzas</t>
    </r>
  </si>
  <si>
    <t>No Reporta</t>
  </si>
  <si>
    <t xml:space="preserve">Se realizaron  talleres de sensibilización a encuestadores y la parte administrativa para que tuvieran en cuenta la forma de abordar y registrar las personas que tienen alguna discapacidad 
En total se capacitaron 65 encuestadores / de 80 encuestadores contratados * 100 = 100%.=81%
</t>
  </si>
  <si>
    <t xml:space="preserve">Durante lo transcurrido del horizonte de la PP con corte a diciembre de 2019 se han entregado 272  ayudas técnicas  de 369 solicitudes realizadas así:
• 2016: 114 solicitudes de ayudas técnicas, no se entregaron
• 2017: 166 solicitudes ayudas técnicas, 120 entregas ayudas técnicas
• 2018: 89 solicitudes ayudas técnicas, 82 entregas ayudas técnicas.
• 2019: 138 solicitudes ayudas técnicas, 70 entregas ayudas técnicas.
% de personas que acceden a ayudas técnicas: Ayudas otorgadas/solicitudes*100%
272 /507*100% =54%
Las entregas se realizan a la población con dicacidad en condición de vulnerabilidad y después de realizarse visitas de verificación de condiciones socio económico por parte de los profesionales del área psico social del proyecto. 
</t>
  </si>
  <si>
    <t xml:space="preserve">La Secretaría de Desarrollo Social y Político, aporta al cumplimiento de la meta, a través del proyecto Implementación de estrategias para el bienestar y desarrollo de la población con discapacidad del municipio de Pereira, el cual comprende atención y direccionamiento a la población para el restablecimiento de derechos, asesoría y acompañamiento psico social, asesoría jurídica y servicio de interpretación en lengua de señas Colombiana.
En estos componentes en total se realizaron 831 atenciones (379 hombres y 390 mujeres).
</t>
  </si>
  <si>
    <t xml:space="preserve">El plan de igualdad de oportunidades se actualiza e implementa anualmente. En el Plan de acción para la vigencia 2019 considera las siguientes actividades:
• Acompañar a las mujeres, colectivos, asociaciones, fundaciones ONG dedicadas a defender y promover los derechos vulnerados de la mujer con discapacidad del municipio de Pereira 
• Orientar y brindar acompañamiento mujeres con discapacidad y cuidadoras que lo requieran en condición de discapacidad del Municipio 
• Difundir campañas para exaltar el rol de la mujer en la sociedad Pereira de las mujeres con discapacidad 
• Realizar Charlas y/o talleres sobre la importancia de la igualdad de oportunidades para las mujeres con discapacidad
En total se atendieron 115 personas. 
</t>
  </si>
  <si>
    <t xml:space="preserve">se realizaron 6 Comites Municipal de Discapacidad  donde la Secretaria Tecnica presto todo suu apoyo para el buen funcionamiento del mismo </t>
  </si>
  <si>
    <t>No se discriminan la población ya que se trata de reuniones de Comité municpalde discapacidad</t>
  </si>
  <si>
    <t xml:space="preserve">
Se han realizado acciones de articulación para el posicionamiento del comité con a 7 dependencias entre secretarias y entidades descentralizadas de 17 (Alcalde Juan Pablo Gallo, (2) Megabus, Megacable, Secretaria de Infraestructura, Secretaria de Educación, Secretaria de Salud el Instituto Municipal de Tránsito y transportes).
</t>
  </si>
  <si>
    <t>No se discriminan la población ya que se trata de reuniones de articulaciónde acciones</t>
  </si>
  <si>
    <t xml:space="preserve">la estrateria de formacion de formadores cuenta con las siguientes  acciones:                                      • Grabación en emisora Remigio Antonio Cañarte programa "Yo cuento"
• Talleres de  formación en liderazgo dirigido a organizaciones para y/o personas con discapacidad
 - se grabaron 8 programas en la emisora Remigio Antonio </t>
  </si>
  <si>
    <t xml:space="preserve">Con el fin de disminuir barreras que dificultan el acceso a la participación de las personas con discapacidad, desde la SDSYP se realizaron las siguientes acciones en la vigencia 2019: 
• Asesorar y acompañar  en su constitución legal grupos en condición de discapacidad interesados en asociarse.                                
• Sensibilización sobre participación a organizaciones de y para personas con discapacidad.
• Promover  la inclusión de  personas en condición de discapacidad en diferentes espacios de participación (Comités de Política Pública  y JAC              acompañamiento en la presentación de proyectos participativos ante el FIC en beneficio de la población con discapacidad.
</t>
  </si>
  <si>
    <t xml:space="preserve">Registro fotografico, SPP y actas de reunion </t>
  </si>
  <si>
    <t xml:space="preserve">Durante la vigencia 2019, la estrategia de superación de mitos y creencias erróneas sobre la discapacidad considero las siguientes acciones:
• Grabación en emisora Remigio Antonio Cañarte programa "Yo cuento”.
• Charlas de sensibilización a nivel comunitario y en organizaciones de población con discapacidad relacionadas con la discapacidad.
En total se grabaron y transmitieron 8 programas y se  atendieron de forma directa en los talleres de formación 367 personas (178 hombres y 189 mujeres) 
</t>
  </si>
  <si>
    <t>Se Desarrollo el Seguimento a la PP año 2018-2019 la cual fue presentado en el Concejo, de igual forma se elaboro la evaluación de la PP de discpacidad bajo la metodologia dispuesta por el SMPP</t>
  </si>
  <si>
    <t xml:space="preserve">se realizaron 16 talleres continuos sensibilizando a los conduntores sobre discapacidad, de igual forfma  se les realizo  el juego de la inclusion y asi entender un poco la situacion de las PCD los talleres se realizaron en las siguientes empresas: COVICHARALDA, LUXOS, CONDUCTORES AMCO  E INFRACTORES DEL INSTITUTO DE TRANSITO Y MOVILIDAD donde se atendieron  486 personas </t>
  </si>
  <si>
    <t>La Secretaria de Desarrollo Social desde el proyecto de discpaciad ha venido realizando un trabajo en las empresas sobre la RSE para las personas con discapacidad u organizaciones, se han presentado proyecto de emprendimiento a empresas como AUDIFARMA y se han visitado las siguientes 26 empresas     - C.c Pereira plaza -C.c Bolivar plaza -SURA -Classe cafe -Ortopedia san carlo -Lucerna SAS -pinturas cafe -drogueria francesa -TIGO -Carulla -las cayanas -Alberto V5 -Bancolombia -Caplipso -Textiles del otun -Muebles y colchones -Energyt -fonda antioqueña -AUDIFARMA - dolarcity -Clinica odontologia -Telemark -Hasdetell -U. libre - UNE</t>
  </si>
  <si>
    <t xml:space="preserve">No se resgistran personas ya que se trata de actas de reunión </t>
  </si>
  <si>
    <t>El Programa Centro de Empleo del Municipio realiza la sencibilización empresarial, y esta es desarrollada por la Gestora empresarial , quien realiza visitas a las empresas e impulsa la RSE dentro del sector productivo, como contribución al desarrollo de la región.
La Secretaria de Desarrollo Social desde el proyecto de discpaciad ha venido realizando un trabajo en las empresas sobre la RSE para las personas con discapacidad u organizaciones, se han presentado proyecto de emprendimiento a empresas como AUDIFARMA y se han visitado las siguientes 26 empresas     - C.c Pereira plaza -C.c Bolivar plaza -SURA -Classe cafe -Ortopedia san carlo -Lucerna SAS -pinturas cafe -drogueria francesa -TIGO -Carulla -las cayanas -Alberto V5 -Bancolombia -Caplipso -Textiles del otun -Muebles y colchones -Energyt -fonda antioqueña -AUDIFARMA - dolarcity -Clinica odontologia -Telemark -Hasdetell -U. libre - UNE</t>
  </si>
  <si>
    <t>El Centro de empleo cuenta con un sistema de informacion llamado Transformer, que permite mediante un test evaluar las actititudes y aptitudes de los usuarios que aplican a vacantes.
La Secretaría de Desarrollo Social y Político contribuye al cumplimiento de esta meta mediante la elaboración de perfiles ocupacionales de las personas con discapacidad que requieren del servicio  y están  en busca de una oportunidad laboral, después de realizado el perfil este es enviado a las agencias de empleo del SENA y de Comfamiliar. se realizaron 46 perfiles ocupacionales</t>
  </si>
  <si>
    <t>Archivos de Orientacion Laboral - ficha de perfil laboral</t>
  </si>
  <si>
    <t>Los Centros de Emprendimiento dentro de sus multiples facetas son los encargados, de brindar asistencia tecnica y acompañamiento a los Emprendedores.
la SDSYP a traves del proyecto de discapacidad contribuyo al cumplimiento de la meta durante la vigencia 2019 con el apoyo y acompañamiento a 11 procesos de emprendimiento asi: -calzado Wilson -Taller automotriz -tren tertulia-fonda la querendona -Bordados -Sombreros paisaje culturtal cafetero -Taler de repuestos -Grupode mujeres con hijos en condicion con discapacidad -escuela musical -manillas.                                                                                                                                                                                                                                      adicionalemente se realizaron capacitacones relacionadas con emprendimiento, de las que se beneficiarios 72 personas.                                                                                                                                                                                                                                                                                                            en total se presentaron  118 atenciones (40 hombre yn75 mujeres)</t>
  </si>
  <si>
    <t>Se realizaron 11 acompañamientos y seguimientos a iniciativas empresariales</t>
  </si>
  <si>
    <r>
      <t>El municipio de Pereira  cuenta con</t>
    </r>
    <r>
      <rPr>
        <b/>
        <sz val="11"/>
        <color indexed="8"/>
        <rFont val="Calibri"/>
        <family val="2"/>
        <scheme val="minor"/>
      </rPr>
      <t xml:space="preserve"> 4 Instituciones Educativas Preferentes (Escuela de la Palabra, Pablo Emilio Cardona, Jesus Maria Ormaza y Gimnasio Risaralda</t>
    </r>
    <r>
      <rPr>
        <sz val="11"/>
        <color theme="1"/>
        <rFont val="Calibri"/>
        <family val="2"/>
        <scheme val="minor"/>
      </rPr>
      <t>) dentro de las cuales se ha implementado un diseño de propuestas de metodologías y didácticas de enseñanza y aprendizaje, flexibilización curricular e implementación de adecuaciones pertinentes, evaluación de logros y promoción que sean avaladas por el concejo académico como guía para los docentes de grado y de área. De igual forma en las otras 59 Establecimientos Educativos se viene trabajando en un modelo de formación inclusiva desde la metodología de Diseño Úniversal de Aprendizaje</t>
    </r>
  </si>
  <si>
    <t>SEGUIMIENTO EJECUCIÓN DEL 2020</t>
  </si>
  <si>
    <r>
      <t xml:space="preserve">Ante caso de mortalidad por ERA o IRA se realiza unidad de análisis con partcipación de la red prestadora de servicios de salud y EAPB para identificar aspectos de mejora.Asi mismo se desarrollan acciones dedse la promoción de la salud y prevención de la enfermedad. A través de la estrategia casa sana se identifican factores de riesgo para la infancia y se realizan visitas de educación familiar. Son 15.080 familias caracterizadas y se han realizado </t>
    </r>
    <r>
      <rPr>
        <sz val="11"/>
        <color rgb="FFFF0000"/>
        <rFont val="Calibri"/>
        <family val="2"/>
        <scheme val="minor"/>
      </rPr>
      <t>14729</t>
    </r>
    <r>
      <rPr>
        <sz val="11"/>
        <color theme="1"/>
        <rFont val="Calibri"/>
        <family val="2"/>
        <scheme val="minor"/>
      </rPr>
      <t xml:space="preserve"> sesiones educativas a familias en temas relacionados con la salud materno infantil.Se realizaron actividades como asistencia tecnica a la red pública y privada del municipio sobre salud materno perinatal y crecimiento y desarrollo (32 IPS . Implementación de la estrategia vecinos y amigos de la infancia, con conformación de 10 grupos en lls cuales se orientan temáticas relacionadas con la salud infantil, Implementación de la estrategia AIEPI para lo cual se realizó una capacitación de AIEPI clinico con cinco sesiones  para el personal de salud (28 asistentes)  y 8 cursos de AIEPI comunitario (asistentes 245). Se llevoa cabo un curso de actualizacion en vacunación para profeisonales de la salud con 91  asistentes. Dado el riesgo que representa las comunidades indigenas por su alta vulerablidad se realizaron 47 encuentros educativos con indigenas en el corregimiento de caimalito y 55 visitas familiares . asi mismo se llevo a cabo un encuentro con jaibanas indigenas para intercambio de saberes en cuanto a la morbimortalidad prevenible en menores de cinco años.</t>
    </r>
  </si>
  <si>
    <r>
      <t xml:space="preserve">Vinculación total NNA PRIMERA INFANCIA vigencia 2019 con corte al 1 de noviembre: 11.379
</t>
    </r>
    <r>
      <rPr>
        <b/>
        <sz val="11"/>
        <color theme="1"/>
        <rFont val="Calibri"/>
        <family val="2"/>
        <scheme val="minor"/>
      </rPr>
      <t>PREESCOLAR INTEGRAL:</t>
    </r>
    <r>
      <rPr>
        <sz val="11"/>
        <color theme="1"/>
        <rFont val="Calibri"/>
        <family val="2"/>
        <scheme val="minor"/>
      </rPr>
      <t xml:space="preserve">
1.200 Estudiantes beneficiados
14 IE Beneficiadas
60 Aulas de Preescolar </t>
    </r>
  </si>
  <si>
    <r>
      <rPr>
        <b/>
        <sz val="11"/>
        <color theme="1"/>
        <rFont val="Calibri"/>
        <family val="2"/>
        <scheme val="minor"/>
      </rPr>
      <t>PLAN DE LECTURA Y ESCRITURA:</t>
    </r>
    <r>
      <rPr>
        <sz val="11"/>
        <color theme="1"/>
        <rFont val="Calibri"/>
        <family val="2"/>
        <scheme val="minor"/>
      </rPr>
      <t xml:space="preserve">
Creación de espacios para la participación, socialización y visibilización de prácticas y experiencias educativas al interior del aula (Concurso de Oratoria, Concurso de Megacable, Noche de encuentro con la literatura, Feria del Libro) 
Festival del Cómic: estrategia para el desarrollo de competencias lectoras, escritoras y ciudadanas
Alianzas con entidades estratégicas para la implementación del Plan de lectura: Banco República, Biblioteca Publica, Red de Lenguaje, SENA, DIVIDENDO, Club Borges, UCC, UTP, MEN, Librería Roma. Conformación equipo de formadores.
Fortalecimiento de la biblioteca escolar: Programa “Pásate a la BE”, Programa “Vive tu Biblioteca Escolar”.</t>
    </r>
  </si>
  <si>
    <t>° Préstamo Externo.                                                                                                                                                                    °   °Referencia.                                                                                                                                                                                                        ° Actividades y Formación en lectura y Escritura.                                                                                                                       ° Acceso a Internet.                                                                                                                                                                                       ° Formación de Usuarios.                                                                                                                                                                          ° Actividades y Formación Cultural.                                                                                                                                                      ° Consulta en Sala.</t>
  </si>
  <si>
    <t>° Préstamo Externo.                                                                                                                                                                                       ° Referencia.                                                                                                                                                                                                      ° Actividades y Formación en lectura y Escritura.                                                                                                                        ° Actividades y formación Comunitaria y para el desarrollo social.                                                                                 ° Acceso a Internet.                                                                                                                                                                                       ° Formación de Usuarios , alfabetización informacional                                                                                                        ° Actividades y Formación Cultural.                                                                                                                                                     ° Consulta en Sala.</t>
  </si>
  <si>
    <t>° Dotación en las dos salas que se organizarón en la Biblioteca :  salas la madriguera y el yarumo           se construyerón para niños de 0 a 6 años.</t>
  </si>
  <si>
    <t>Se atendieron en procesos continuos 28 instituciones educativas atendidas a traves de la Recreacion y el Juego con un promedio de 2115 niños y niñas participantes regulares, 129 grupos intervenidos, a traves de 15 modalidades deportivas en las escuelas de formacion deportiva, Con presencia en 37 barrios y veredas del municipio.</t>
  </si>
  <si>
    <t>Durante la vigencia 2019 se realizaron 4   secciones  ordinarias del CPS, en las que hubo participación un adolescente.
4 sesiones del CPS con delegado de NNA / 4 sesiones CPS realizadas *100 = 100%</t>
  </si>
  <si>
    <t xml:space="preserve">En la vigencia 2019 nacieron vivos 3.566 NNA según datos aportados por la Secretaría de salud 
En la vigencia 2019 fueron registrados 4.591 NNA según datos de la Registraduría y las notarías.
4.591 registrados / 3.566 nacidos vivos *100% = 96.55%
</t>
  </si>
  <si>
    <t>Las Comisarías se fortalecieron a través del proyecto Fortalecimiento de la convivencia social y familiar en el municipio de Pereira, con la contratación de personal profesional del área legal y psico social, de técnicos y auxiliares a través del proyecto así:
17 abogados
10 psicólogas6 de 
05 Trabajadoras Sociales 
04 técnicos 
04 auxiliares administrativos.
Para un total de 40 personas contratadas en el proceso de fortalecimiento de las Comisarías de Familia.
Además se creó la Comisaría nocturna.
El personal total de las comisarías es de 77 personas así:
DESCRIPCIÓN PLANTA  CONTRATISTAS  TOTAL
6  Comisarios: 6 de planta y 0 contratistas 
21 Abogados: 4  de planta y  17 contratistas 
15 Psicólogas: 5 de planta y 10 contratistas 
9 Trabajadoras Sociales o Prof. Dllo Fliar: 4 de planta y 5 contratistas 
10 Técnicos: 6  planta y  4 contratistas 
16 Auxiliares administrativos: 12 de Planta y 4 contratistas 
TOTAL: 77
Durante la vigencia 2019 se brindaron XX atenciones (XX hombres, XX mujeres y 280 sin identificar).</t>
  </si>
  <si>
    <t>Acciones 
2018</t>
  </si>
  <si>
    <t>MAPA DE POLÍTICA PÚBLICA PARA LA  ATENCIÓN Y REPARACIÓN A VÍCTIMAS</t>
  </si>
  <si>
    <t>Metas de Producto del Cuatrienio</t>
  </si>
  <si>
    <t xml:space="preserve">Acciones 
</t>
  </si>
  <si>
    <t>Meta por Año</t>
  </si>
  <si>
    <t>Meta 2016</t>
  </si>
  <si>
    <t>Meta 2017</t>
  </si>
  <si>
    <t>Meta 2020</t>
  </si>
  <si>
    <t>SEGUIMIENTO 2019 REPORTE</t>
  </si>
  <si>
    <t>SEGUIMIENTO 2019 %</t>
  </si>
  <si>
    <t>SEGUIMIENTO COMPONENTE 2020</t>
  </si>
  <si>
    <t>No DE INDICADORES POR COMPONENTE</t>
  </si>
  <si>
    <t>PROMEDIO AVANCE POR CATEGORIA</t>
  </si>
  <si>
    <t xml:space="preserve">45 Talleres – 675 víctimas del conflicto armado capacitadas en estos temas, efectuados en: Salamanca, Villa Santana, Centro Regional de Víctimas la mayor parte de ellas.
Presupuesto Ejecutado $ 3.220.000 </t>
  </si>
  <si>
    <t>el compromiso era actualizarlo, lo cual se realizó el 17 de junio de 2019, el cual se somete en este subcomité a aprobación y es aprobado por unanimidad
2. Activación ruta de protección: 30 personas atendidas (8) personas en proceso de Reintegración y Reincorpporación (4) funcionarios públicos (10) líderes sociales (8) Víctimas del conflicto
3. Articulación de la ruta interinstitucional (permanente) UNP – Policía Metropolitana De Pereira – Fiscalía – Inspecciones de Policía.
Secretaría de Gobierno: Logística, Refrigerios y acompañamiento profesional, fortalecimiento económico de las iniciativas (insumos) por valor de $20.000.000 está ultima programada para la clausura del programa (DICIEMBRE)
ARN: Transferencia metodológica, acompañamiento profesional, aportes publicitarios
INVERSIÓN A LA FECHA.
ALCALDIA $16.040.596
ARN $21.263.000
VALOR TOTAL ESTRATEGIA.
ALCALDÍA. $36.040.596
ARN. $21.263.000</t>
  </si>
  <si>
    <t xml:space="preserve">En cuanto a prevención de reclutamiento de menores, en el mes de abril se hizo un trabajo articulado con la agencia en un colegio de cuba, atendiendo el llamado del rector pues se estaban dando muchas características que llevaban a pensar que los niños estaban siendo reclutados para actividades ilegales, por lo cual se hizo una jornada lúdica y psicopedagógica para los niños y se atendieron cerca de 50 niños en este proceso. </t>
  </si>
  <si>
    <t xml:space="preserve">1. Actualizar 1 plan de contingencia  para la atención a la  población victima (en caso de llegada de población  con desplazamiento masivo) 
Durante la vigencia 2019, se actualizó el Plan de Contingencia con los lineamientos enviados por el Dr Uriel García de la Unidad de Víctimas, el 23 de Septiembre del presente año se presentó un desplazamiento de 332 indígenas (141 hombres y   191 mujeres) que llegaban del alto andagueda del Departamento del Choco, donde se activó el plan y cada una de las entidades hicieron presencia, de igual manera se amplió el presupuesto del contrato con el operador hasta 99.000.000 millones de Pesos.
</t>
  </si>
  <si>
    <t>Implementación de la Estrategia “Mambrú no va a la guerra, esto es otro cuento” entre la Secretaría de Gobierno – ARN:
Secretaría de Gobierno: Logística, Refrigerios y acompañamiento profesional, fortalecimiento económico de las iniciativas (insumos) por valor de $20.000.000 está ultima programada para la clausura del programa (DICIEMBRE)
ARN: Transferencia metodológica, acompañamiento profesional, aportes publicitarios
INVERSIÓN A LA FECHA.
ALCALDIA $16.040.596
ARN $21.263.000
VALOR TOTAL ESTRATEGIA.
ALCALDÍA. $36.040.596
ARN. $21.263.000</t>
  </si>
  <si>
    <t xml:space="preserve">Durante la vigencia 2019 (a noviembre 30), la  SDSYP a través del proyecto  Asistencia a la población víctima del conflicto armado interno residente en el municipio de Pereira,  brindó atención, orientación y direccionamiento a la población víctima en el punto de atención y en el Centro Regional de Atención a Víctimas (CRAV) así: 
• Orientaciones y remisiones según necesidades particulares de la población (SENA, SALUD, EDUCACION, REGISTRADURIA…).
• Acompañamiento jurídico (atención, derechos de petición, tutelas, recursos)
• Atención psicosocial: visitas domiciliarias, valoraciones psicológicas a nivel individual y  grupal y valoraciones socio familiares para determinar condiciones socio económicas.  
• Talleres de capacitación en derechos humanos y derecho internacional humanitario.
• Atenciones y direccionamientos en temas de emprendimiento y empleabilidad.
• Asignación de citas para la toma de declaraciones.
A noviembre 30, acudieron al sitio al Centro regional 7.868 personas a quienes se les realizaron 18021 atenciones. De las personas atendidas 4558 fueron víctimas y recibieron 8.813 atenciones (2990 hombres y 5823 mujeres)
</t>
  </si>
  <si>
    <t xml:space="preserve">Durante la vigencia 2019  se  activó la ruta de ayuda humanitaria inmediata a 6 personas que se acercaron al punto y al CRAV a solicitarla y aquellas que fueron notificadas por el ministerio público 
1.328 atenciones de ayuda humanitaria inmediata a víctimas de otros hechos victimizantes /  1.328 atenciones solicitadas directamente  por victimas de otros hechos victimizantes  que requirieron el servicio directamente y/o fueron notificas por Ministerio Público *100% (487 hombres y 841 mujeres).
Se les brindó atención humanitaria representada en:
• Albergue con alimentación (desayuno- media mañana- almuerzo-refrigerio en la tarde y cena) y kit de aseo, acompañamiento psicosocial  entrega de kit de aseo, kit de vestuario( siempre y cuando se requiera), 
• Mercado
• Pañales y leche
• Acompañamiento psicosocial y capacitación en emprendimiento.
• Acompañamiento institucional por parte de la Secretaría de Salud, del ICBF y del SENA.
</t>
  </si>
  <si>
    <t xml:space="preserve">Durante la vigencia se brindaron 3403 atenciones humanitarias inmediatas a personas víctimas (por desplazamiento forzado) / de 3.403 solicitudes (1124 hombres y 2279 mujeres)*100%.  Las atenciones se dieron mediante:
• Albergue con alimentación (desayuno- media mañana- almuerzo-refrigerio en la tarde y cena) y kit de aseo, acompañamiento psicosocial  entrega de kit de aseo, kit de vestuario( siempre y cuando se requiera), 
• Mercado
• Pañales y leche
• Acompañamiento psicosocial y capacitación en emprendimiento.
• Acompañamiento institucional por parte de la Secretaría de Salud, del ICBF y del SENA.
</t>
  </si>
  <si>
    <t>UARIV - ENTRE EL PRIMERO DE ENERO Y EL 30 DE OCTUBRE DE 2019 LA UNIDAD PARA LAS VICTIMAS HA GIRADO  A 2,994 HOGARES POR VALOR DE $ 2,443,000,000. LA FICHA ESTADISTICA AL 30/10/2019. ALLEGADA DE LA OFICINA ASESORA DE PLANEACION.</t>
  </si>
  <si>
    <t xml:space="preserve">La UARIV es quien da lineamientos y selecciona las personas víctimas sujetos de la ayuda humanitaria de transición y para la vigencia 2019 estableció un monto de $13.547.133 para un total de 57 familias ($237.669 por familia). 
Durante la vigencia se efectuaron 38 pagos a las familias por valor de $9.031.422
</t>
  </si>
  <si>
    <t>Desde la secretaria de vivienda se gestiono ante el ministerio de agricultura y desarrollo rura, la construccion de vivienda nueva a traves de la resolucion 000178 del 19 de abril de 2018. los seleccionados estan a la espera de escogencia de la entidad operadora por parte del ministerio de agricultura para la entrega del subsidio este 2019. de igual manera se continua con el proceso de la convocatoria publica con enfoque diferencial para victimas.</t>
  </si>
  <si>
    <t>se entregaron 31 mejoramientos urbanos de recursos propios y 3 de presupuesto participativo.</t>
  </si>
  <si>
    <t xml:space="preserve">Se entregaron 6 mejoramientos rurales de recursos propios y 3 de presupuesto participativo  </t>
  </si>
  <si>
    <t>En cumplimiento a la meta del Plan de Desarrollo se realizará el proceso de legalización en el asentamiento del Rosal.</t>
  </si>
  <si>
    <t>Ya se han realizado 15 Titulaciones a Julio de 2019,  De las cuales hay 1 Victima.</t>
  </si>
  <si>
    <t xml:space="preserve">En la vigencia 2019 se realizaron 6 jornadas de descentralización convocados por la SDSYP y 1 por el Centro de empleo:
Abril 6 Colegio de Villa Santana: 125 Personas.
Colegio Gabriel Trujillo Caimalito: 67 Personas.
Julio 12 Corregidurías Puerto Caldas: 35 Personas
13 de Noviembre Sede Remanso: 15 Personas
Convocadas por el Centro de Empleo: 116 personas Victimas colocadas en jornadas de maratón.
Convocadas por la Personería Municipal el 10 de octubre en el Barrio el Dorado con un total de 442 (120 Hombres y 122 Mujeres)
</t>
  </si>
  <si>
    <t>Se cumple con el cien por ciento de la cobertura en el sistema educativo de los niños en transición(población tota 129) identificados como vicitmas del conflicto armado en el municipio de Pereira</t>
  </si>
  <si>
    <t>Se cumple con el cien por cientode la cobertura en el sistema educativo  que se encuentran en la educacación básica primaria  , basica primaria aceleración y educación para adultos ciclo 2 (población total de 1071) identificados como victimas del conflicto armado en el municipio de Pereira.</t>
  </si>
  <si>
    <t>Se cumple con el cien por cientode la cobertura en el sistema educativo  que se encuentran en la educacción básica secundaria y basica secunadaria jovenes y adultos  (población total de 1193) identificados como vicitmas del conflicto armado en el municipio de Pereira.</t>
  </si>
  <si>
    <t>Se cumple con el cien por cientode la cobertura en el sistema educativo  que se encuentran en la educacción básica media, básica media jovenes y adultos  y normalistas (población total de 431) identificados como vicitmas del conflicto armado en el municipio de Pereira.</t>
  </si>
  <si>
    <t>Durante este primer semestre. el programa de circulo virtuoso no se  ha niciado. Ese encuentra en la etapa de pliegos y cuando inicie su ejecución en los estableciientos educativos, se desagregara la información respectiva</t>
  </si>
  <si>
    <t xml:space="preserve">Se realiza una identificación y fortalecimiento  de la población con necessidades educativas especiales vinculadas en el sector educativos (población total 190)victimas del conflicto armado interno </t>
  </si>
  <si>
    <t>Se esta realizando la estrategia de permanencias a la población vicitma del conflicto armado interno al cien por ciento  en los establecimientos educativos, se ha realizado actividades de reparación simbolica,  dia de la desaparición forzada, visitas tecnicas.</t>
  </si>
  <si>
    <t>En la vigencia 2019 se mantiene la canasta educativa de la siguiente manera:
poliza estudiantil y dotacion escolar  para los 2832 studiantes vinculados al sistema educativo
alimentación escolar para un total de 963 estudiantes
transporte escolar:228 estudiantes</t>
  </si>
  <si>
    <t>Vinculacion en programas de educación superior durante el primer semestre de25 personas  vicitmas del conflicto armado interno durante el primer semestre en licenciaturas de artes visuales, musica, ingenieria electria, industrial, administración, ingeeniera en fisica, tecnologia mecanica, quimica,industrial en gestión de turismo</t>
  </si>
  <si>
    <t>La Secretaria de Educación ha desarrollado las nueve estrategias que beneficien a la población victima que se encuentra vinculada en las IE</t>
  </si>
  <si>
    <t>0Durante la vigencia 2019, se ha realizado un 70% en los avances en la formulación del Plan de educación rural (t En las instituciones educativas ubicadas en el Sector rural</t>
  </si>
  <si>
    <t>Se Realizan diferentes festivales escolares, juegos supérate e impactan en Tokio, Málaga, san José y otros, también Apoya A  6 CDI. En la actualidad se estanbeneficiando las instituciones a través de la actividad física, recreación y deporte:                   - Carlos Eduardo Vasco Salamanca (Primaria)
- CDI Salamanca
- IE Hans Drews Arango</t>
  </si>
  <si>
    <t>Se han conformado 5 escuelas de inciación de formación Deportiva con la inclusión de las victimas del conflicto armado interno en los sisguientes puntos:  - Corregimiento de Puerto Caldas 
- Caimalito
- Urbanización Salamanca
- Comuna Villa Santana
- Barrio el Plumón</t>
  </si>
  <si>
    <t>Se han conformado 26 grupos de  escuelas de inciación de formación Deportiva 
con la inclusión de las victimas del conflicto armado interno en los sisguientes puntos:  - Corregimiento de Puerto, salamanca, tojio, villasantana,  puerto caldas, dorado plumon, la unidad</t>
  </si>
  <si>
    <t>La secretaria deportes realiza atenciones de acuerdo a las zonas de georeferenciacion que tienen su necesidad o que sean identificadas previamente con población víctima. Con actividades como:  - Comunidades activas y saludables en cada una de las comunas 
- Caminata 5K (1 vez año)
- Vías activas Comunitarias (1 Vez mensual) 
- Ciclo Paseos en las diferentes comunas y corregimientos.</t>
  </si>
  <si>
    <t>se han beneficiado 14 grupo de escuelas de recreativas y 14 de comprometiendo juventudes beneficiado aaprx 600 niños y adolescentes</t>
  </si>
  <si>
    <t xml:space="preserve">Por medio de solicitudes se hace la gestión para poner en marcha la operación del club, se brinda la asesoría y su constitución. Se viene brindando asesoria para la conformación y operación del Club Deportivo Asociación Jaipono, el cual esta conformado por víctimas del conflicto armado interno 
</t>
  </si>
  <si>
    <t>A la fecha no se ha solicitado asesoria</t>
  </si>
  <si>
    <t xml:space="preserve">La secretaria realiza vìas activas en las zonas de Caimalito
- Comuna Villa Santana
- Comuna del Café
- Comuna de San Joaquín
</t>
  </si>
  <si>
    <t xml:space="preserve">La secretaria realiza vìas activas en las zonas de Caimalito
- Comuna del Café
- Comuna de San Joaquín
</t>
  </si>
  <si>
    <t xml:space="preserve">Dentro de las actividades se pretende atender, direccionar y  relaizar las asesorias  pertinentes para impulsar los emprendimiento que pueden ser viables.
Además se cuenta con ciclo empresarial el cual consta de 4 modulos que ayudan a visibilizar estas unidades productivas. A traves  de la  operación de 5 Centros de emprendimiento y dasarrollo empresarial. 
Personal profesional capacitdo. 
Articulación con entidades de apoyo. </t>
  </si>
  <si>
    <t>5 proyectos</t>
  </si>
  <si>
    <t>Buscar Aliados estratégicos para desarrollar la oprtunidad de el encadenamiento productivo. A traves  de la infraestructura, tecnología recurso humano: técnico, profesional y espacialistas en la atención y direccinamiento de los encadenamientos productivos.  La gestión de encademanientos productivos  la realizar los contratisas de CEDES</t>
  </si>
  <si>
    <t>4 encadenamientos productivos</t>
  </si>
  <si>
    <t>La Secretaria de Competitividad  con los  programas de CEDES, Centro de Empleo y Banca para Todos Busca poder generar el fortalecimiento de los emprendedores desde su proceso de formaciòn, hasta direccionar la consecucion de credito siempre y cuando se cumpla con los requisitos</t>
  </si>
  <si>
    <t>A través de asistencia tecnica y actividades como bancarizacion, se prepararan para presentar su proyecto a un operador fianciero, direccionados por Bancoldex o Infider. Con el apoyo de la oficina banca para todos con dos profesionales para presolicitudes y operadores financieros para la articulacion del programa.</t>
  </si>
  <si>
    <t xml:space="preserve">5 emprendimientos </t>
  </si>
  <si>
    <t>Se trabaja constantemente en abrir formacion para el trabajo con Certificación, cabe resaltar que esta oferta va siempre enlazada a la demanda laboral actual de la región para generar un canal de vinculación. Formación para el trabajo de acuerdo a la necesidad del mercado laboral. Dentro de cada CEDE se maneja una variada lista de formaciones, para cualificar el perfil ocupacional de estas personas. A traves de la operación de 5 Centros de emprendimiento y dasarrollo empresarial. 
Personal profesional capacitdo. 
Articulación con entidades de apoyo.</t>
  </si>
  <si>
    <t>Mediante la Ruta de empleabilidad (Hoja de vida, Marketing Laboral y Proyecto Laboral, Tips entrevista), Maratones (14), Minimaratones (9), Atencion individualizada, Intermediación laboral,  formación para el trabajo y gestión empresarial.</t>
  </si>
  <si>
    <t>El Municipio cuenta con un aplicativo llamado Denuncia Ciudadana, en este aplicativo se pueden hacer todo tipo de denuncias. (basuras, agresiones, etc.), es de fácil acceso y puede ser descargado desde cualquier plataforma.</t>
  </si>
  <si>
    <t>40 personas vinculadas a procesos de apropiación social del conocimiento</t>
  </si>
  <si>
    <t>Se ofertan por medio de redes sociales y directamente con la comunidad cursos de capacitación en temas como Excel, Word e informática.</t>
  </si>
  <si>
    <t>69 personas capacitadas en temas TIC en los puntos vive digital.</t>
  </si>
  <si>
    <t>Oferta de curso de producción de audiovisuales para la comunidad estudiantil donde se encuentran ubicados los Puntos Vive Digital Plus.</t>
  </si>
  <si>
    <t>3 personas capacitadas en industria creativa en el punto vive digital plus  INEM y tecnico</t>
  </si>
  <si>
    <t xml:space="preserve">Durante la vigencia 2019 a través del proyecto Asistencia alimentaria y nutricional dirigida a la población en condición de vulnerabilidad social del municipio de Pereira se beneficiaron de raciones alimenticias para preparar a 295 personas víctimas de conflicto armado interno. </t>
  </si>
  <si>
    <t>Para dar cumplimiento al indicador se realizaron sensibilizaciones sobre la ruta de atención para la reubicación familiar y requisitos: En la vigencia 2019 no se prestaron solicitudes de reubicación.</t>
  </si>
  <si>
    <t xml:space="preserve">1. Brindar asistencia funeraria al 100% de la población víctima del conflicto armado interno que lo requiera de conformidad con el artículo 50 de la ley 1448 de 2011.
En la vigencia 2019 se beneficiaron 4 personas con asistencia funeraria/ de 4 que solicitaron del servicio *100%. 2 de ellas con velación, preparación del cuerpo, ataúd, entierro y traslado; 1 persona con transporte, ataúd, entierro, y la otra persona con velación y ataúd.   
</t>
  </si>
  <si>
    <t xml:space="preserve">Para la conmemoración de este día, se realizaron 3 actividades a saber: 
El 09 de Mayo del presente año en las instalaciones del Parque Metropolitano del Café (Kiosco), se realizó la Conmemoración del día Nacional de la Memoria y Solidaridad con las víctimas, en donde se contó con la Participación de 120 personas y la vinculación de varias entidades como: Comfamiliar, Batallón San Mateo, Policía, Defensoría, Personería, Mesa Municipal de Victimas, Secretarias de: Vivienda, Gobierno, Salud y Cultura y Sena. Se realizaron varias actividades culturales, danza y teatro. 
El 13 de mayo en el Centro regional se continuó con la celebración a 150 personas en donde se hizo una pequeña sensibilización y refrigerios.  
El 24 de mayo se realizó evento conmemorativo a mujeres víctimas violentadas sexualmente (50 mujeres).
El presupuesto asignado de $10.000.000, se socializó con la MMV quienes aprobaron los requerimientos (tarima, sillas, mesas, refrigerios, almuerzos, sonido, estación de agua y estación de café). 
</t>
  </si>
  <si>
    <t>Protección y preservación de la memoria histórica</t>
  </si>
  <si>
    <t>Difusión y apropiación colectiva de la verdad y la memoria</t>
  </si>
  <si>
    <t>Acceso a información judicial sobre el esclarecimiento de los hechos</t>
  </si>
  <si>
    <t>Restitución Tierras</t>
  </si>
  <si>
    <t>Restitución Vivienda rural y urbana</t>
  </si>
  <si>
    <t>Empleo rural y urbano</t>
  </si>
  <si>
    <t>Mediante la Ruta de empleabilidad (Hoja de vida, Marketing Laboral y Proyecto Laboral, Tips entrevista), Maratones (14), Minimaratones (9), Atencion individualizada, Intermediación laboral y formación para el trabajo. Con el apoyo de un  Equipo Interdisciplinario Centro de Empleo (9 Contratistas)</t>
  </si>
  <si>
    <t>20 empleos generados</t>
  </si>
  <si>
    <t>Mediante la Ruta de empleabilidad (Hoja de vida, Marketing Laboral y Proyecto Laboral, Tips entrevista), Maratones (14), Minimaratones (9), Atencion individualizada, Intermediación laboral y formación para el trabajo. Con el apoyo de un  Equipo Interdisciplinario Centro de Empleo (10 Contratistas)</t>
  </si>
  <si>
    <t>por demanda</t>
  </si>
  <si>
    <t>12.5</t>
  </si>
  <si>
    <t>A traves de la  Oferta de formación para el trabajo en bilingüismo. Con el apoyo de un  Equipo Interdisciplinario Centro de Empleo (10 Contratistas)</t>
  </si>
  <si>
    <t xml:space="preserve">Acceso a créditos </t>
  </si>
  <si>
    <t>Alivio de pasivos</t>
  </si>
  <si>
    <t xml:space="preserve">El Plan de retorno y reubicación fue actualizado en la vigencia 2019 y aprobado en el Comité de Justicia transicional el pasado 5 de diciembre.
En su implementación cada entidad realiza las acciones de su competencia.
A la SDSYP le correspondió en esta vigencia acompañar el proceso de actualización de la matriz diagnóstico de las necesidades de la población realizado en la ciudadela  Salamanca, para ello previamente hizo recolección de información. 
Se aporta como evidencias la matriz de seguimiento 2019 del Plan de retorno y reubicación. 
</t>
  </si>
  <si>
    <t>Rehabilitación Física y Mental</t>
  </si>
  <si>
    <t>Rehabilitación Psicosocial</t>
  </si>
  <si>
    <t>Rehabilitación Social y Comunitaria</t>
  </si>
  <si>
    <t>Satisfacción medidas dirigidas a la sociedad civil: foros, conversatorios, cátedras. Festivales, etc.</t>
  </si>
  <si>
    <t>GESTIÓN PARA LA APROBACIÓN DE LA POLÍTICA PÚBLICA
(7) sesiones de trabajo con el Comité Técnico de Política Social
Aprobación de la Política pública en el Consejo de Política Social
Radicación de la Política Pública en la Secretaría Jurídica (Proyecto de acuerdo, Documento Técnico) – Oficina de Paz
Socialización de la Política pública en sesión plenaria del Concejo Municipal
Acompañamiento de Comisión Tercera del Concejo Municipal, donde se dio primer debate y aprobó la política público
PRESUPUESTO EJECUTADO $ $4.326.667
Modificación del decreto proyectado para incluir a la paz, en el objeto del documento
Boletín: Rostros de la Paz (Secretaría de Gobierno - Agencia para la Reincorporación - ARN)
Sesión de trabajo con el Proyecto Víctimas del Conflicto - Sec. Desarrollo Social, para generar boletín en cuanto a la participación de las víctimas del conflicto en Pereira</t>
  </si>
  <si>
    <t>Satisfacción medidas institucional: (i)  Exención de la Prestación del Servicio Militar, (ii) Aceptación pública de hechos y solitudes de perdón público y (iii) Acompañamiento en la entrega de restos óseos</t>
  </si>
  <si>
    <t>Satisfacción - medidas para preservar y honrar la memoria de las víctimas (actos de homenaje y dignificación, conmemoración de fechas)</t>
  </si>
  <si>
    <t>El avance de esta meta se reporta en la fila 62 : mismas actividades y valores</t>
  </si>
  <si>
    <t>Indemnización (Acompañamiento para la Inversión adecuada de los recursos)</t>
  </si>
  <si>
    <t xml:space="preserve">A través del proyecto “Implementación de estrategias para la promoción de la equidad de género para las mujeres en el municipio de Pereira” se realizaron las siguientes campañas de prevención de violencia contra la mujer:
Taller sobre auto concepto y autovaloración en el barrio el plumón donde participaron 86 mujeres y 4 declararon ser víctimas en el registro de asistencia.
Taller de Psicología participaron 13 mujeres.                                                                                                                                 
Rutas de atención, prevención de violencia contra la mujer y equidad de género: Se                                            Socializaron rutas de atención de violencia contra la mujer a 24 mujeres víctimas
</t>
  </si>
  <si>
    <t xml:space="preserve">Durante el 2019 se apoyaron 11 mesas de participación efectiva de victimas (en diferentes escenarios): 
Plenarios Ordinarios: 
1. (19, 20 y 21 de febrero)
2. (23 y 24 de abril) 
3. (26 y 27 de junio) 
4. (21 y 22 de agosto) 
5. (24 y 25 de octubre)
Plenarios Extraordinarios:  
1. (4 de marzo) 
2. (16 de mayo).
Comités Ejecutivos: 
1. (29 de marzo) 
2. (31 de mayo) 
3. (24 de septiembre)
4. (14 de noviembre)
Adicionalmente, el día 3 de septiembre se apoya la elección de la nueva mesa de participación efectiva de las víctimas en el Centro Cultural Lucy Tejada, con la entrega de almuerzos y refrigerios, necesidades logísticas (computadores, papelería, video beam, computadores)
</t>
  </si>
  <si>
    <t xml:space="preserve">No se registran personas porque son reuniones institucionales  y con representantes de víctimas </t>
  </si>
  <si>
    <t xml:space="preserve">En apoyo al desarrollo de las actividades de la Personería Municipal relacionadas con la población Víctima, la SDSYP contrato 5 personas:
• 1 Profesional especializado.
• 3 técnicos.
• 1 auxiliar.
Estas personas realizaron actividades relacionadas con toma de declaraciones, acompañamiento jurídico, charlas en derechos humanos, secretaría técnica de la mesa de participación de víctimas.
Durante la vigencia 2019 hubo 370 atenciones por parte de la personería (150 hombres y 220mujeres). 
Se aportan como evidencias Registros SPP y base de datos filtrada con atenciones personería.
</t>
  </si>
  <si>
    <t>En la vigencia 2019 participó una niña Víctima del conflicto armado interna en las 4 mesas municipales de participación de NNA realizadas, quien asistió en compañía desu mamá.</t>
  </si>
  <si>
    <t xml:space="preserve">Durante la vigencia 2019 hay participación de población víctima que es joven en XX  espacios de participación: 
• JAC: XX jóvenes víctimas.
• Plataforma juvenil:  XX jóvenes víctimas
• Concejo Municipal:  XX jóvenes víctimas
• Asamblea Departamental: XX jóvenes víctimas
De los 4 espacios, hay participación de jóvenes víctimas en 3 de ellos.
Para motivar la participación de los  jóvenes desde el proyecto fortalecimiento de la garantía de derechos de la juventud del municipio de Pereira se realizaron las siguientes actividades:
Capacitaciones en participación social y Política. Del total de jóvenes capacitados (7.841), 508 son Víctimas del conflicto armado interno (225 hombres y 283 mujeres).
</t>
  </si>
  <si>
    <t>Dentro del plan de prevención de violencia contra la mujer, se incluyó el capítulo especial para mujeres víctima del conflicto armado, el cual abarca una ruta diferencial de atención que se articula con el proyecto “Implementación de estrategias para la promoción de la equidad de género para las mujeres en el municipio de Pereira”. Esta ruta se socializó y aprobó en el Comité de Justicia Transicional del 12 de noviembre.</t>
  </si>
  <si>
    <t xml:space="preserve">No se registran personas porque consiste en la elaboración de un plan a través de reuniones interinstituionales </t>
  </si>
  <si>
    <t xml:space="preserve">En el Centro Vida se prestó atención integral a los adultos mayores en condición de vulnerabilidad social, abandono y descuido. La oferta de servicios del Centro vida está representada en:
• Orientación psicosocial 
• Atención primaria en salud 
• Aseguramiento en salud 
• Alimentación 
• Actividades productivas 
• Deporte cultura y recreación 
• Constitución de redes de apoyo 
• Uso de las tic
• Auxilio ezequial 
• Promoción del trabajo asociativo 
• Encuentros intergeneracionales
De un total de 18.928 atenciones en el Centro Vida,  991 fueron atenciones a adultos mayores víctimas del conflicto armado interno (296 hombres y 695 mujeres). 
Se atendieron el 100% adulto mayores víctimas del conflicto que solicitaron del servicio. 
</t>
  </si>
  <si>
    <t xml:space="preserve">Durante la vigencia 2019 a través del proyecto “Apoyo y acompañamiento  a familias en vulnerabilidad manifiesta y pobreza extrema   del municipio de Pereira”, se beneficiaron las siguientes personas  víctimas del conflicto armado interno:
En total se atendieron 3.129 atenciones (367hombres y 2762 mujeres).
A través de los programas presidenciales se atendió el 100% de población que solicito de los servicios.  3129/3129*100%=100%
</t>
  </si>
  <si>
    <t xml:space="preserve">Durante la vigencia 2019 se sensibilizaron en ley de victimas 675 personas en Villa Santana, Salamanca y Centro Regional 
Esta actividad fue desarrollada por los contratistas de la SDSYP que prestan apoyo a la personería Municipal.
</t>
  </si>
  <si>
    <t xml:space="preserve">Durante la vigencia 2019 se sensibilizaron en ley de victimas 675 personas en Villa Snatana, Salamanca y Centro Regional *100% = 100%
Esta actividad fue desarrollada por los contratistas de la SDSYP que prestan apoyo a la  personería Municipal .
</t>
  </si>
  <si>
    <t xml:space="preserve">Para hacer seguimiento al PAT, en la SDSYP se contrataron 2 personas quienes realizan visitas institucionales para verificar el cumplimiento de los compromisos adquiridos por las entidades encargadas de las acciones del PAT.
Durante la vigencia 2019 se actualizó el al PAT e hizo seguimiento al 100% de acciones del mismo.
</t>
  </si>
  <si>
    <t xml:space="preserve">Se consideran las metas del PAT para su articulación con la elaboración del Plan de Desarrollo </t>
  </si>
  <si>
    <t>El Municipio de Pereira realiza la caracterización de  la población , a través de un herramienta propia ( Sistema de Políticas Públicas - SPP) con 21.336 atenciones, correspondientes a  9.005 personas (5.756 Mujeres y 3.249 Hombres) a Octubre de 2019.</t>
  </si>
  <si>
    <t>xx</t>
  </si>
  <si>
    <t>Se siguen cumpliendo los compromisos adquiridos en la matriz POSI, por parte del Municipio se realiza el envío mensual de las atenciones realizadas y las personas caracterizadas en el sistema de políticas públicas SPP, por parte de la RNI se hacen los cruces de bases de datos cuando son solicitados por las diferentes Secretarías del Municipio.</t>
  </si>
  <si>
    <t>No se registran personas. Consiste en una matriz POSI</t>
  </si>
  <si>
    <t>Julio 25 – 8:30 a.m</t>
  </si>
  <si>
    <t>Seguimiento y la evaluación de las diferentes Políticas Públicas, a cargo de la Dirección Operativa de Planeación Estratégica e Integración Regional, adscrita a la Secretaría de Planeación del municipio de Pereira</t>
  </si>
  <si>
    <t>Julio 27 – 8:30 a.m.</t>
  </si>
  <si>
    <t>Julio 28 – 8:30 a.m.</t>
  </si>
  <si>
    <t>Julio 29 – 8:30 a.m.</t>
  </si>
  <si>
    <t>Julio 30 – 8:30 a.m.</t>
  </si>
  <si>
    <t>semana</t>
  </si>
  <si>
    <t>% Metas</t>
  </si>
  <si>
    <t>Julio 31 – 8:30 a.m.</t>
  </si>
  <si>
    <t>Marisol Muńoz Pineda</t>
  </si>
  <si>
    <t>sempoliticaspublicas@pereira.gov.co</t>
  </si>
  <si>
    <t>se realizaron lso juegos comunitarios</t>
  </si>
  <si>
    <t>A traves de solicitudes hechas directamente en la Alcaldia y por intermedio de los cogestores se realizaron 60 reparaciones de instalaciones deprotivas comunitarias en los barrios y verdas del municpio, a saber: ALTAGRACIA 1,ARABIA 1,BOSTON 1,CAIMALITO 2,CONSOTA2,CENTRO 6,CUBA 18,DEL CAFÉ 3,MUNDO NUEVO 1,DEL RIO 3,JARDIN 3,FERROCARRIL2,LA FLORIDA 2,MORELIA 1,OLIMPICA 7,ORIENTE 2,TRIBUNAS 1,SAN JOAQUIN 2.</t>
  </si>
  <si>
    <t>SE realizaron un agran cantidad de eventos solicitados por las juntas de acción comunal,a traves de los cogestores DRAEF y tambien por solicitudes qeu llegaron al area de recreación. Entre los eventos tenemos:
*Atención a la comunidad para la mitigación de problemas sociales.
*Atención a solicitudes de actividad recreativas para la comunidad.
*Celebración de fechas especiales y eventos masivos 
* Realización de eventos ver a nivel comunitario 
*Realización de eventos que provee los hábitos y estilos de vida saludable 
*Realizar torneos y festivales reproductivos a nivel comunitario y educativo.</t>
  </si>
  <si>
    <t>MARIA ANDREA RENGIFO VELEZ correo mandrearengifo@gmail.com</t>
  </si>
  <si>
    <t>ALVARO SALAZAR GIL</t>
  </si>
  <si>
    <t>salazar2015pereira@gmail.com</t>
  </si>
  <si>
    <t>MARIA ORFINDEY RIOS TORO, CC 42.084.385- Teléfono 3207595764-correo : laca816@gamil.com</t>
  </si>
  <si>
    <t xml:space="preserve">La secretaria de cultura tiene dentro de sus funciones,  misionales la formacion a formadores culturales, la cual es realizada a traves de festivales didacticos y pedagógico, realizado por formadores jovenes para jovenes y poblacion en general. Se realizo el primer encuentro de creación y pedagogias emergente en el contexto latinoamericano en artes visuales.  </t>
  </si>
  <si>
    <t>Festivales didacticos en Cuerdas Tìpicas del Tiple ,  la Guitarra y la Bandola. Conciertos didacticos agrupaciones y solistas mexicanos y colombianos, realizado del 17 al 20 de septiembre en Pereira, invitado pais de México.
Se realizaron 06 laboratorios y 06 actividades académicas (ponencias y conferencias) banco de la república, museo de arte y lucy tejada. Se realizo diseño y montaje museográfico, 01 laboratorio con padres y estudiantes (procesos formativos)</t>
  </si>
  <si>
    <t xml:space="preserve">programas radiales en la Emisora Cultural Remigio Antonio Cañarte, sin vitación al Foro de Prevencipon del Abuso Sexual en niños, niñas y jovenes que se realizo en articulación con Salud el 24 de octubre.
Programa para la prevencion del VIH SIDA, realizado durante la semana del 26 al 29 de noviembre.
Programas de navidad villancicos del mundo
Concurso nacional del bambuco
</t>
  </si>
  <si>
    <t>Dos programas de Radio Juveníles atravéz de la Emisora Cultural. Así mismo  se han entrevistado diferentes actores sociales y culturales tanto de la Secretaría de Cultura, informando sobre los procesos y eventos que se adelantan, como a representantes de otros despachos, colectivos culturales y de entidades al servicio de los ciudadanos.</t>
  </si>
  <si>
    <t>revisar salud 11</t>
  </si>
  <si>
    <t>revisar salud   33</t>
  </si>
  <si>
    <t>SIN CARACTERIZAR</t>
  </si>
  <si>
    <t>Corresponsable</t>
  </si>
  <si>
    <t>Se diseñaron piezas publicitarias y mensajes de difusión los cuales fueron divulgados a través de medios de comunicación como la Emisora de Interés Público Pereira al Aire, además de publiación de videos y entrevistas en las redes sociales institcuionales informando las acciones emprendidas desde la Adminsitración para el cuidado el bienestar animal tales como: jornadas de esterilización y/o vacunación y adoptatón</t>
  </si>
  <si>
    <t>Acciones</t>
  </si>
  <si>
    <t>RYC</t>
  </si>
  <si>
    <t>COMUNICACIONES</t>
  </si>
  <si>
    <t>Oficina de Comunicaciones</t>
  </si>
  <si>
    <t>Secretaría Gobierno</t>
  </si>
  <si>
    <t>Secretaría  de Gobierno</t>
  </si>
  <si>
    <t xml:space="preserve"> Instituto de Movilidad de Pereira</t>
  </si>
  <si>
    <t>Secretaría de Planeación (Presupuesto Participativo)</t>
  </si>
  <si>
    <t>SOCIAL</t>
  </si>
  <si>
    <t xml:space="preserve"> Secretaría de Gestión Administrativa</t>
  </si>
  <si>
    <t>Policía Nacional (Policía Metropolitana de Pereira)</t>
  </si>
  <si>
    <t>GOBIERNO</t>
  </si>
  <si>
    <t>DEPORTES</t>
  </si>
  <si>
    <t>COMPETITIVIDAD, SOCIAL</t>
  </si>
  <si>
    <t>SOCIAL, GOBIERNO</t>
  </si>
  <si>
    <t>PLANEACION</t>
  </si>
  <si>
    <t xml:space="preserve">Secretaria de Gobierno  </t>
  </si>
  <si>
    <t>DEPORTE</t>
  </si>
  <si>
    <t>SALUD, DEPORTE</t>
  </si>
  <si>
    <t>GOBIERNO, SOCIAL</t>
  </si>
  <si>
    <t>COMUNICACIÓN</t>
  </si>
  <si>
    <t>IINFRAESTRUCTURA, SOCIAL</t>
  </si>
  <si>
    <t>Ministerio de la protección social (Risaralda)</t>
  </si>
  <si>
    <t>CULTURA, INFRAESTRUCTURA</t>
  </si>
  <si>
    <t xml:space="preserve">Secretaria deSecretaria de recreación y deporte
</t>
  </si>
  <si>
    <t xml:space="preserve">Secretaria de recreación y deporte, academia, entidades públicas y privadas
</t>
  </si>
  <si>
    <t xml:space="preserve">Secretaria de recreación y deporte,
observatorio
</t>
  </si>
  <si>
    <t>Secretaria de recreación y deporte, Mesa intersectorial</t>
  </si>
  <si>
    <t xml:space="preserve"> responsables des políticas publicas de discapacidad, etnodesarrollo, comunidades indígenas, desplazados,
niñez y juventud</t>
  </si>
  <si>
    <t>, responsables des políticas publicas de discapacidad, etnodesarrollo, comunidades indígenas, desplazados,
niñez y juventud</t>
  </si>
  <si>
    <t>Empresa privada</t>
  </si>
  <si>
    <t xml:space="preserve"> secretaria de recreación y deporte</t>
  </si>
  <si>
    <t>Cooperativas</t>
  </si>
  <si>
    <t>DEPORTE, EDUCACION, SALUD</t>
  </si>
  <si>
    <t>SECRETARIA DE DESARROLLO ECONOMICO Y COMPETITIVIDAD</t>
  </si>
  <si>
    <t>SOCIAL, ICBF</t>
  </si>
  <si>
    <t>CORESPONSABLE</t>
  </si>
  <si>
    <t>INFRAESTRUCTURA</t>
  </si>
  <si>
    <t xml:space="preserve">Secretaria Privada </t>
  </si>
  <si>
    <t xml:space="preserve">secretaría de Gobierno </t>
  </si>
  <si>
    <t>PAZ</t>
  </si>
  <si>
    <t>Coresponsable</t>
  </si>
  <si>
    <t>Sec. De Planeación</t>
  </si>
  <si>
    <t>Línea Estratégica</t>
  </si>
  <si>
    <t>Componente</t>
  </si>
  <si>
    <t>Estrategias</t>
  </si>
  <si>
    <t>PP-LE1-A1</t>
  </si>
  <si>
    <t>PP-LE1-A2</t>
  </si>
  <si>
    <t>PP-LE1-A3</t>
  </si>
  <si>
    <t>LE1</t>
  </si>
  <si>
    <t>CA1</t>
  </si>
  <si>
    <t>CO1</t>
  </si>
  <si>
    <t>ES1</t>
  </si>
  <si>
    <t>PP-LE1-An</t>
  </si>
  <si>
    <t>LE2</t>
  </si>
  <si>
    <t>CA2</t>
  </si>
  <si>
    <t>CO2</t>
  </si>
  <si>
    <t>ES2</t>
  </si>
  <si>
    <t>PP-LE2-A1</t>
  </si>
  <si>
    <t>PP-LE2-A2</t>
  </si>
  <si>
    <t>PP-LE2-A3</t>
  </si>
  <si>
    <t>PP-LE2-An</t>
  </si>
  <si>
    <t>PP-LE3-A1</t>
  </si>
  <si>
    <t>PP-LE3-A2</t>
  </si>
  <si>
    <t>PP-LE3-A3</t>
  </si>
  <si>
    <t>PP-LE3-An</t>
  </si>
  <si>
    <t>Len</t>
  </si>
  <si>
    <t>Can</t>
  </si>
  <si>
    <t>Con</t>
  </si>
  <si>
    <t>Esn</t>
  </si>
  <si>
    <t>Reporte 2019</t>
  </si>
  <si>
    <t>Social</t>
  </si>
  <si>
    <t>Planeación</t>
  </si>
  <si>
    <t>Rural</t>
  </si>
  <si>
    <t>Competitividad</t>
  </si>
  <si>
    <t>Escala de Valoración</t>
  </si>
  <si>
    <t>Seguimiento por Categoría 2019</t>
  </si>
  <si>
    <t>Seguimiento por Acción 2019</t>
  </si>
  <si>
    <t>ETNODESARROLLO</t>
  </si>
  <si>
    <t xml:space="preserve">BIENESTAR ANIMAL </t>
  </si>
  <si>
    <t>Implementación</t>
  </si>
  <si>
    <t>RECURSOS</t>
  </si>
  <si>
    <t>BENEFICIADOS</t>
  </si>
  <si>
    <t>Salud Sexual-Natalia Echeverry</t>
  </si>
  <si>
    <t>Salud Mental-Natalia Echeverry</t>
  </si>
  <si>
    <t>Bienestar Animal-Natalia Echeverry</t>
  </si>
  <si>
    <t>d.</t>
  </si>
  <si>
    <t>Seguridad Alimentaria-María Fernanda Tula</t>
  </si>
  <si>
    <t>e.</t>
  </si>
  <si>
    <t>DRAEF-Adrián Montalvo</t>
  </si>
  <si>
    <t>f.</t>
  </si>
  <si>
    <t>Juventud-Adrián Montalvo</t>
  </si>
  <si>
    <t>Víctimas-Adrián Montalvo</t>
  </si>
  <si>
    <t>Pereira Innova-Juan David Gutiérrez</t>
  </si>
  <si>
    <t>Cultura de la legalidad- Juan Guillermo Mosquera</t>
  </si>
  <si>
    <t>Acción Comunal-Natalia Echeverry</t>
  </si>
  <si>
    <t>EVALUACION  Afros-Julián Andrés Cardona</t>
  </si>
  <si>
    <t>EVALUACION Indígenas-Julián Andrés Cardona</t>
  </si>
  <si>
    <t>EVALUACION Cultura de la Legalidad-Juan Guillermo Mosquera</t>
  </si>
  <si>
    <t>victimas: ajuste al PAT</t>
  </si>
  <si>
    <t>DRAEF: en proceso de evaluación</t>
  </si>
  <si>
    <t>Juventud proceso final de ajuste</t>
  </si>
  <si>
    <t>fallas estructurales</t>
  </si>
  <si>
    <t>caros mario gil</t>
  </si>
  <si>
    <t>Responsables</t>
  </si>
  <si>
    <t>Corresponsables</t>
  </si>
  <si>
    <t>Total 
Acciones</t>
  </si>
  <si>
    <t>S. Desarrollo Económico y Competitividad</t>
  </si>
  <si>
    <t>S. Desarrollo Rural y Gestión Ambiental</t>
  </si>
  <si>
    <t>Secretaría  de las TICS</t>
  </si>
  <si>
    <t>Secretaría Planeación (Seguimiento Plan de Desarrollo)</t>
  </si>
  <si>
    <t>Despacho del Alcalde</t>
  </si>
  <si>
    <t xml:space="preserve">Sociedad de Mejoras de Pereira </t>
  </si>
  <si>
    <t>Sociedad de Mejoras de Pereira</t>
  </si>
  <si>
    <t>Secretaría de Gobierno (UPPV)</t>
  </si>
  <si>
    <t xml:space="preserve">Secretaría Privada </t>
  </si>
  <si>
    <t>Megabus</t>
  </si>
  <si>
    <t>Secretaria de deporte y recreacion</t>
  </si>
  <si>
    <t xml:space="preserve"> Megabus</t>
  </si>
  <si>
    <t>Empresa de Aseo</t>
  </si>
  <si>
    <t>Aguas y Aguas</t>
  </si>
  <si>
    <t>Sociedad de Mejoras</t>
  </si>
  <si>
    <t>ASEO</t>
  </si>
  <si>
    <t>POLICIA AMBIENTA</t>
  </si>
  <si>
    <t>EL AMCO</t>
  </si>
  <si>
    <t>Polcia ambiental</t>
  </si>
  <si>
    <t>ADMINISTATIVA</t>
  </si>
  <si>
    <t>DESPACHO</t>
  </si>
  <si>
    <t>PRIVADA</t>
  </si>
  <si>
    <t>MEJORAS</t>
  </si>
  <si>
    <t>CAMARA</t>
  </si>
  <si>
    <t>POLICIA</t>
  </si>
  <si>
    <t>MEGABUS</t>
  </si>
  <si>
    <t>AGUAS</t>
  </si>
  <si>
    <t>% DE AVANCE DEL PRODUCTO 2020</t>
  </si>
  <si>
    <t>PROMEDIO POR COMPONENTE 2020</t>
  </si>
  <si>
    <t>FEDEGAN</t>
  </si>
  <si>
    <t>Secretaría de Educación Municipal</t>
  </si>
  <si>
    <t>Ministerio de Educación Nacional, ICETEX, Administración Municipal, SENA</t>
  </si>
  <si>
    <t>UNIVERSIDADES</t>
  </si>
  <si>
    <t>ICETEX, SENA</t>
  </si>
  <si>
    <t>Para esta vigencia se brindo una oferta permante tanto para cualificación  como para vinculación laboral, en la siguientes actividades.
Formación para el trabajo con énfasis en emprendimiento e innovación 
Formación para el empleo a partir de competencias laborales atendiendo las necesidades propias de la comunidad. 
Ferias para promover competencias laborales y oportunidades de empleo.
Se atendieron 260 empresas, se ofertaron los servicios de intemediación laboral, y se abordaron los temas de Responsabilidad Social Empresarial, Beneficios fiscales por contratación a población diferencial y se realizo la sencibilización sobre trabajo decente.</t>
  </si>
  <si>
    <t>Informes de ejecución, Listados de asistencia y Registro Fotografico
Registro de Visita empresaial y documento de  socialización de beneficios para  los empresarios. Informes de ejecución, Listados de asistencia y Registro Fotografico</t>
  </si>
  <si>
    <t>El valor relacionado es un  estimado del costo de atención de un usuario, y este   equivale  al  valor total de los contratos que tienen dentro de su naturaleza la atención a población/ la cantidad total de población atendida en la SDEYC para la vigencia.
El presupuesto relacionado equivale al valor del 50% del valor del contrato de la Gestora empresarial de Centro de Empleo. Se visitaron 290 empreas</t>
  </si>
  <si>
    <t>PERSONERIA</t>
  </si>
  <si>
    <t>CONTRALORIA</t>
  </si>
  <si>
    <t>COMPREVER</t>
  </si>
  <si>
    <t>Secretaría de Desarrollo Político y Social</t>
  </si>
  <si>
    <t xml:space="preserve"> Cabildo indígena</t>
  </si>
  <si>
    <t>CABILDO</t>
  </si>
  <si>
    <t xml:space="preserve">
</t>
  </si>
  <si>
    <t>EMPRESARIOS</t>
  </si>
  <si>
    <t>Empresarios, organizaciones de base</t>
  </si>
  <si>
    <t xml:space="preserve"> universidades  e institutos de formación</t>
  </si>
  <si>
    <t xml:space="preserve"> Secretaria de Desarrollo Social y Político</t>
  </si>
  <si>
    <t>Universidades, Acción social y agencias de cooperación internacional</t>
  </si>
  <si>
    <t>Secretaría de Gobierno  Político</t>
  </si>
  <si>
    <t>Defensoría del Pueblo</t>
  </si>
  <si>
    <t>DEFENSORIA</t>
  </si>
  <si>
    <t xml:space="preserve"> Personería</t>
  </si>
  <si>
    <t>Procuraduría</t>
  </si>
  <si>
    <t>PROCURADURIA</t>
  </si>
  <si>
    <t xml:space="preserve"> Universidad Libre</t>
  </si>
  <si>
    <t>Personería</t>
  </si>
  <si>
    <t>Gobernacion</t>
  </si>
  <si>
    <t>GOBERNACION</t>
  </si>
  <si>
    <t>Alcaldía de Pereira, CARDER</t>
  </si>
  <si>
    <t>Cabildo indígena, médicos tradicionales de la comunidad</t>
  </si>
  <si>
    <t>Personería municipal</t>
  </si>
  <si>
    <t xml:space="preserve"> Cabildo Indígena</t>
  </si>
  <si>
    <t>PROFAMILIA, Personería municipal</t>
  </si>
  <si>
    <t>Cabildo Indígena</t>
  </si>
  <si>
    <t>Secretaría de Vivienda social</t>
  </si>
  <si>
    <t xml:space="preserve">Secretaría de desarrollo social </t>
  </si>
  <si>
    <t xml:space="preserve"> Secretaría de Educación</t>
  </si>
  <si>
    <t>Secretaría de Hacienda</t>
  </si>
  <si>
    <t>Ese Salud Pereira</t>
  </si>
  <si>
    <t>Secretaría de desarrollo social y político -Comité municipal de discapacidad - ONGs</t>
  </si>
  <si>
    <t>Contraloría</t>
  </si>
  <si>
    <t>Comité municipal de discapacidad - Secretaría de Movilidad</t>
  </si>
  <si>
    <t xml:space="preserve"> Megabus – Gremios</t>
  </si>
  <si>
    <t>Secretaría de recreación y deporte</t>
  </si>
  <si>
    <t xml:space="preserve">Secretaría de infraestructura </t>
  </si>
  <si>
    <t>ADMINISTRATIVA</t>
  </si>
  <si>
    <t>secretaría de desarrollo social</t>
  </si>
  <si>
    <t>secretaría de desarrollo social y político</t>
  </si>
  <si>
    <t xml:space="preserve"> Cámara de Comercio de Pereira</t>
  </si>
  <si>
    <t>salud</t>
  </si>
  <si>
    <t xml:space="preserve"> educación</t>
  </si>
  <si>
    <t>desarrollo social</t>
  </si>
  <si>
    <t>planeación</t>
  </si>
  <si>
    <t>infraestructura</t>
  </si>
  <si>
    <t>secretaria jurídica</t>
  </si>
  <si>
    <t>secretaria de infraestructura</t>
  </si>
  <si>
    <t xml:space="preserve"> concejo municipal</t>
  </si>
  <si>
    <t>academia</t>
  </si>
  <si>
    <t>CONCEJO</t>
  </si>
  <si>
    <t>concejo municipal</t>
  </si>
  <si>
    <t>academia,</t>
  </si>
  <si>
    <t>secretaria hacienda</t>
  </si>
  <si>
    <t xml:space="preserve"> secretaria de educación</t>
  </si>
  <si>
    <t>Sec de gestión inmobiliari a,  Secretaría de infraestruc tura.</t>
  </si>
  <si>
    <t xml:space="preserve">Sec de gestióninm obiliaria, Secretaría de   infraestructura </t>
  </si>
  <si>
    <t>sec de desarrollo social</t>
  </si>
  <si>
    <t>secretaria de educación, instituciones educativas</t>
  </si>
  <si>
    <t>, sec. De gobierno</t>
  </si>
  <si>
    <t>9. FORTALECER LA CAPACIDAD DE GESTIÓN DE LOS ORGANISMOS DEL DRAEF</t>
  </si>
  <si>
    <t>15. APROVECHAR LA COOPERACIÓN, MUNICIPAL, DEPARTAMENTAL, NACIONAL E INTERNACIONAL PARA EL INTERCAMBIO Y LA PROMOCIÓN DE OPORTUNIDADES.</t>
  </si>
  <si>
    <t>20. PROMOVER LA UNIVERSALIZACIÓN DE LA ACTIVIDAD FISICA EN EL MUNICIPIO, CON CRITERIOS DE INCLUSIÓN.</t>
  </si>
  <si>
    <t>SECRETARIA DE DESARROLLO SOCIAL Y POLITICO</t>
  </si>
  <si>
    <t xml:space="preserve">DEMAS ENTIDADES CORRESPONSABLES DEL SNBF </t>
  </si>
  <si>
    <t>promedio de las pruebas SABER- 9 grado a 380</t>
  </si>
  <si>
    <t>puntaje promedio en 74.8% de las pruebas ICFES</t>
  </si>
  <si>
    <t xml:space="preserve">niñas y niños de grado cero a quinto atendidos por la cultura vial </t>
  </si>
  <si>
    <t>estudiantes de grado 6 a 11 educados en tránsito.</t>
  </si>
  <si>
    <t xml:space="preserve"> adolescentes entre 13 y 17 años inscritos o matriculados en programas artísticos, lúdicos o culturales. </t>
  </si>
  <si>
    <t xml:space="preserve"> Comisaría de familia, Fiscalía, </t>
  </si>
  <si>
    <t>medicina legal, ICBF,organizaciones de base</t>
  </si>
  <si>
    <t>COMISARIA</t>
  </si>
  <si>
    <t>universidades  e institutos de formación</t>
  </si>
  <si>
    <t>universidades</t>
  </si>
  <si>
    <t>MENTAL</t>
  </si>
  <si>
    <t>UKUMARI</t>
  </si>
  <si>
    <t xml:space="preserve">Secretaria de Desarrollo Rural, </t>
  </si>
  <si>
    <t>Secretaria de Desarrollo rural</t>
  </si>
  <si>
    <t xml:space="preserve"> Gestión Ambiental</t>
  </si>
  <si>
    <t>AMBIENTAL</t>
  </si>
  <si>
    <t xml:space="preserve"> Policia Nacional</t>
  </si>
  <si>
    <t xml:space="preserve">2.1.1.10. Contar con un Hogar de Paso para fauna silvestre de animales provenientes del control al tráfico ilegal. 
</t>
  </si>
  <si>
    <t>Secretaria de  salud</t>
  </si>
  <si>
    <t xml:space="preserve">Secretaría de Desarrollo Rural y Gestión Ambiental, ICA y </t>
  </si>
  <si>
    <t xml:space="preserve">Secretaría de Salud,  </t>
  </si>
  <si>
    <t xml:space="preserve">ESE Salud Pereira, Instituciones de salud( EAPB e IPS del Municipio de Pereira) </t>
  </si>
  <si>
    <t xml:space="preserve"> ESE Salud Pereira</t>
  </si>
  <si>
    <t xml:space="preserve">Policía Nacional </t>
  </si>
  <si>
    <t>OFIC-PAZ</t>
  </si>
  <si>
    <t>Estrategia educativa integral implementada</t>
  </si>
  <si>
    <t>SENA - ONGs</t>
  </si>
  <si>
    <t xml:space="preserve">Personería, Defensoría del Pueblo, Bomberos, </t>
  </si>
  <si>
    <t xml:space="preserve">Diger, </t>
  </si>
  <si>
    <t>Comisarias de Familia</t>
  </si>
  <si>
    <t xml:space="preserve">Consejo Municipal del adulto mayor </t>
  </si>
  <si>
    <t>CONFAMILIAR</t>
  </si>
  <si>
    <t xml:space="preserve">Universidades, </t>
  </si>
  <si>
    <t xml:space="preserve">SENA,  </t>
  </si>
  <si>
    <t>COMFAMILIAR,  entre otras</t>
  </si>
  <si>
    <t>FISCALIA</t>
  </si>
  <si>
    <t>OFIC.PAZ</t>
  </si>
  <si>
    <t xml:space="preserve"> -COMFAMILIAR-Academía</t>
  </si>
  <si>
    <t>COMFAMILIAR</t>
  </si>
  <si>
    <t>ENTIDADES  CONCURRENTES</t>
  </si>
  <si>
    <t>CULTURASecretaría de Cultura, Secretaría de Educación</t>
  </si>
  <si>
    <t xml:space="preserve">Entidades Responsables: Secretaría de Gobierno, Oficina de Paz </t>
  </si>
  <si>
    <t>Entidad Concurrente: Agencia para la Reincorporación y la Normalización (ARN)</t>
  </si>
  <si>
    <t>ARN</t>
  </si>
  <si>
    <t>EJERCITO</t>
  </si>
  <si>
    <t>EDUCACION,</t>
  </si>
  <si>
    <t xml:space="preserve">Entidades Responsables: Oficina de Paz, Secretaría de Gobierno, </t>
  </si>
  <si>
    <t>Entidad concurrente: Universidades</t>
  </si>
  <si>
    <t>Entidad Responsable: Secretaría de Educación,</t>
  </si>
  <si>
    <t xml:space="preserve"> Entidad Concurrente: Organizaciones sociales</t>
  </si>
  <si>
    <t xml:space="preserve">Entidades responsables: Oficina de Paz, Secretaría de Gobierno, </t>
  </si>
  <si>
    <t>Entidad Concurrente: Agencia para la Reincorporación y la Normalización</t>
  </si>
  <si>
    <t>Entidades responsables: Secretaría de Educación, Oficina de Paz,</t>
  </si>
  <si>
    <t xml:space="preserve"> Entidades concurrentes: Organizaciones sociales</t>
  </si>
  <si>
    <t xml:space="preserve">COMUNICACIONESde Desarrollo Económico y competitividad, Secretaría de Gobierno, Oficina de Paz </t>
  </si>
  <si>
    <t xml:space="preserve">Entidad Responsable: Secretaría de Educación, </t>
  </si>
  <si>
    <t>Entidad Concurrente: Personería Municipal</t>
  </si>
  <si>
    <t>Entidades Responsables: Secretaría de Gobierno, Secretaría de Salud, Secretaría de Educación, Oficina de Paz,</t>
  </si>
  <si>
    <t xml:space="preserve"> Entidad Concurrente: Agencia para la Reincorporación y la Normalización</t>
  </si>
  <si>
    <t xml:space="preserve">Entidad Responsable: Secretaría de  Gobierno </t>
  </si>
  <si>
    <t>–Entidad Concurrente: Agencia de Reincorporación y Normalización (ARN)</t>
  </si>
  <si>
    <t xml:space="preserve">Entidad Responsable: Oficina de Paz </t>
  </si>
  <si>
    <t>Entidad Responsable: Oficina de Paz, Reconciliación y Posconflicto,</t>
  </si>
  <si>
    <t xml:space="preserve"> Entidad Concurrente: ARN</t>
  </si>
  <si>
    <t>MINTRABAJO</t>
  </si>
  <si>
    <t xml:space="preserve">Ministerio de trabajo,  </t>
  </si>
  <si>
    <t>Policia Nacional, personería municipal y</t>
  </si>
  <si>
    <t xml:space="preserve"> Defensoría del Pueblo </t>
  </si>
  <si>
    <t>Policia</t>
  </si>
  <si>
    <t>OB}JETIVOS</t>
  </si>
  <si>
    <t>id</t>
  </si>
  <si>
    <t>PP</t>
  </si>
  <si>
    <t>CULTURA LEGALIDAD</t>
  </si>
  <si>
    <t>PEREIRA INNOVA</t>
  </si>
  <si>
    <t>SEGURIDAD ALIMENTARIA</t>
  </si>
  <si>
    <t>SALUD SEXUAL</t>
  </si>
  <si>
    <t>AFRO</t>
  </si>
  <si>
    <t>SALUD MENTAL</t>
  </si>
  <si>
    <t>ACCION COMUNAL</t>
  </si>
  <si>
    <t>BIENESTAR ANIMAL</t>
  </si>
  <si>
    <t>ADULTO MAYOR</t>
  </si>
  <si>
    <t>EQUIDAD GENERO</t>
  </si>
  <si>
    <t>DERECHOS HUMANOS</t>
  </si>
  <si>
    <t>HABITANTE CALLE</t>
  </si>
  <si>
    <t xml:space="preserve">Número de Proyectos apoyados y acompañados en la formulación y gestión para su financiación y comercialización
</t>
  </si>
  <si>
    <t>Número de Grupos de Adulto  Mayor en los que se ha  promovido su  organización y participación, teniendo en cuenta enfoque diferencial y de género</t>
  </si>
  <si>
    <t>VICTIMAS</t>
  </si>
  <si>
    <t xml:space="preserve">Implementación de procesos de rehabilitación basados en la comunidad, asegurando la presencia de equipos multidisciplinarios de APS en salud mental.
</t>
  </si>
  <si>
    <t xml:space="preserve">1.1.2.1. Diseño e implementación y difusión de una estrategia de medios de comunicación,  acorde a los lineamientos de la Política Pública de Protección y Bienestar Animal.
</t>
  </si>
  <si>
    <r>
      <t>% de comunas de pereira que tienen programas y practicas de autoabastecimiento alimentario=((</t>
    </r>
    <r>
      <rPr>
        <sz val="11"/>
        <color theme="1"/>
        <rFont val="Calibri"/>
        <family val="2"/>
        <scheme val="minor"/>
      </rPr>
      <t>∑de comunas que tienen programas y/o practicas de autoabastecimiento alimentario/total de comunas del municipio)*100)</t>
    </r>
  </si>
  <si>
    <r>
      <t>%de corregimientos de pereiraque tienen programas y practicas de autoabastecimientoalimentario=(</t>
    </r>
    <r>
      <rPr>
        <sz val="11"/>
        <color theme="1"/>
        <rFont val="Calibri"/>
        <family val="2"/>
        <scheme val="minor"/>
      </rPr>
      <t>∑de corregimientos que tienen programas y/o practicas de autoabastecimiento alimentario/total de corregimientos del municipio)*100</t>
    </r>
  </si>
  <si>
    <r>
      <t>N.o de instituciones que brindan programas de asistencia alimentaria=</t>
    </r>
    <r>
      <rPr>
        <sz val="11"/>
        <color theme="1"/>
        <rFont val="Calibri"/>
        <family val="2"/>
        <scheme val="minor"/>
      </rPr>
      <t>∑de instituciones</t>
    </r>
  </si>
  <si>
    <r>
      <t>Desarrollar estrategias comunes para la contruccion, mantenimiento y/o adecuacion de escenarios deportivos en especial del deport</t>
    </r>
    <r>
      <rPr>
        <b/>
        <sz val="11"/>
        <rFont val="Calibri"/>
        <family val="2"/>
        <scheme val="minor"/>
      </rPr>
      <t>e convencional y paralimpico</t>
    </r>
  </si>
  <si>
    <r>
      <t xml:space="preserve">*Reducir el porcentaje de  embarazos en mujeres adolescentes:    14%.         *     </t>
    </r>
    <r>
      <rPr>
        <sz val="11"/>
        <color rgb="FFFF0000"/>
        <rFont val="Calibri"/>
        <family val="2"/>
        <scheme val="minor"/>
      </rPr>
      <t xml:space="preserve">                </t>
    </r>
  </si>
  <si>
    <r>
      <t>Implementación de un proyecto orientado a laresiliencia de las comunidades y de los ecosistemas,</t>
    </r>
    <r>
      <rPr>
        <sz val="11"/>
        <color theme="1"/>
        <rFont val="Calibri"/>
        <family val="2"/>
        <scheme val="minor"/>
      </rPr>
      <t xml:space="preserve">frente </t>
    </r>
    <r>
      <rPr>
        <sz val="11"/>
        <color rgb="FF000000"/>
        <rFont val="Calibri"/>
        <family val="2"/>
        <scheme val="minor"/>
      </rPr>
      <t>al cambio climático</t>
    </r>
  </si>
  <si>
    <t>5. Creación del comité municipal de política pública para la mujer.</t>
  </si>
  <si>
    <t>Entidad Responsable</t>
  </si>
  <si>
    <t>Línea estratégica</t>
  </si>
  <si>
    <t>Indicador de bienestar</t>
  </si>
  <si>
    <t>Entidad Responsable vinculación</t>
  </si>
  <si>
    <t>Indicador de producto</t>
  </si>
  <si>
    <t>ARTICULACIÓN PEREIRA, GOBIERNO DE LA CIUDAD</t>
  </si>
  <si>
    <t>Numero del Producto</t>
  </si>
  <si>
    <t>Entidad</t>
  </si>
  <si>
    <t>Políticas Públicas</t>
  </si>
  <si>
    <t>En el 2020 no se realizo la estrategia zonas de escucha, por la contingencia COVID</t>
  </si>
  <si>
    <t>Se reportan 10 festivales de la salud, los cuales son campañas de promoción de la estrategia de APS</t>
  </si>
  <si>
    <t>festivales a nivel comunitario</t>
  </si>
  <si>
    <t>Conformación de redes de apoyo comunitario para la prevención del dengue fomentando el autocuidado para el control del zancudo transmisor y la eliminación de objetos inservibles que puedan acumular aguas y convertirse en criaderos del vector, las redes conformadas fueron en:
La Carbonera, Ormaza, Gaviotas, María Auxiliadora, El Rocío alto, El Cardal, Olaya Herrera.</t>
  </si>
  <si>
    <t>En el transcurso de este año  se atendio la solicitud del presidente de junta del barrio Galan, la cual se apoyo con vacunacion antirrabica en la cual se vacunaron 114 animales de compañía.</t>
  </si>
  <si>
    <t>Registros de vacunacion antirraca con los siguientes consecutivos: (AMQ-62, AMQ-65, JH-59 Y JH-61)</t>
  </si>
  <si>
    <t>La jornada se realizo puerta a puerta en el barrio Galan con el acompañamiento del presidente y aplicando los protocolos de bioseguridad.</t>
  </si>
  <si>
    <t>Actividad pedagógica en habilidades para la vida, prevención de suicidio, violencias evitables, rutas de atención, identidad masculina y femenina para prevenir la violencia y pautas de crianza</t>
  </si>
  <si>
    <t>Se realizan actividades de promocion y prevencion de la sana convivencia</t>
  </si>
  <si>
    <t xml:space="preserve">2893 esterilizaciones realizadas por las IPS Veterinarias </t>
  </si>
  <si>
    <t>El programa de esterilizacion hace parte de la secretaria de desarrollo rural, por tal motivo nuestro programa solo reporta las esterilizaciones realizadas por las IPS Veterinarias.</t>
  </si>
  <si>
    <t xml:space="preserve">matriz con la informacion reportada y  consolidada por mes </t>
  </si>
  <si>
    <t>Durante la vigencia del 2020 se logro una cobertura de 51,644 animales de compañía vacunados, de los cuales 44,477 vacunados por el programa zoonosis y 7,167 por parte de  las IPS veterinarias.</t>
  </si>
  <si>
    <t>Del programa zoonosis se encuentran los registros de vacunacion de cada una de las jornadas realizadas y por parte de las IPS se encuentra l amatriz diligenciada con la informacion enviada por ellos.</t>
  </si>
  <si>
    <t>0</t>
  </si>
  <si>
    <t>Actividad pedagógica en habilidades para la vida, prevencion de suicidio, violencias evitables, rutas de atención, identidad masculina y femenina para prevenir la violencia en el ámbito barrial.</t>
  </si>
  <si>
    <t>La estratregia zonas de escucha no se realizaro en el 2020 por COVID, por que la estrategia requiere organizacion comunitaria.</t>
  </si>
  <si>
    <t>3</t>
  </si>
  <si>
    <t xml:space="preserve">Aplicativo SISAP (APS), registros virtuales </t>
  </si>
  <si>
    <t>FALTA</t>
  </si>
  <si>
    <t>FALTA/alteraciones del desarrollo en jóvenes</t>
  </si>
  <si>
    <t>44</t>
  </si>
  <si>
    <t xml:space="preserve">Registros virtuales </t>
  </si>
  <si>
    <t>50%</t>
  </si>
  <si>
    <t>100</t>
  </si>
  <si>
    <t>La secretaria de salud no tiene competencia para realizar esta actividad</t>
  </si>
  <si>
    <t>Maria Andrea Rengifo</t>
  </si>
  <si>
    <t>Actividades pedagogicas en deberes y derechos</t>
  </si>
  <si>
    <t>Se realizó la gestión ante el cabildo Kurmado, para que en asamblea elijan la veeduría en salud. Adicionalmente se han establecido referentes con el cabildo para trámites en salud direccionados por la Secretaría.</t>
  </si>
  <si>
    <t>Oficio Proyectado con la solicitud respectivo.</t>
  </si>
  <si>
    <t>Se tienen programadas estas actividades para el mes de noviembre de 2020</t>
  </si>
  <si>
    <t>Desde la estrategia casa Sana, se realizaron actividades tipo brigadas de salud, las cuales denominamos Festivales de la Salud</t>
  </si>
  <si>
    <t>Registros de asistencia SPP</t>
  </si>
  <si>
    <t>De manera mensual se consolida las dosis aplicadas en cada una de las IPS del municipio</t>
  </si>
  <si>
    <t>Informe mensual de vacuancion</t>
  </si>
  <si>
    <t>Se inteviene la poblacion ojeto de vacunacion, con la oferta y aplicacion de los biologico contemplado en el PAI</t>
  </si>
  <si>
    <t>Logra cobertural de vacuancion en el 96% de la poblacion objeto de vacunacion</t>
  </si>
  <si>
    <t>111 barrios (6comunas y 3 corregimientos)</t>
  </si>
  <si>
    <t>se debe coordinadar directamente con las EAPB del usuario</t>
  </si>
  <si>
    <t>La secretaria de salud no tiene competencia para realizar esta actividad ya que son las EAPB de los usuarios los encargados de los controles de crecimiento y desarrollo.</t>
  </si>
  <si>
    <t>salud sexual</t>
  </si>
  <si>
    <t>18</t>
  </si>
  <si>
    <t>Desde la estrategia Casa Sana, se realizan visitas de caracterización lo que permite realizar un diagnóstico de la población beneficiada</t>
  </si>
  <si>
    <t>Aplicativo SISAP (APS Pereira)</t>
  </si>
  <si>
    <t>No es competencia de la secretarioa de salud</t>
  </si>
  <si>
    <t>100%</t>
  </si>
  <si>
    <t>Actualmente se cuenta con 220 grupos de veedurías en salud, con la participación población Afro de las comunas y corregimientos del Municipio.</t>
  </si>
  <si>
    <t>Informes de Gestion y registro fotográfico</t>
  </si>
  <si>
    <t>No es posible realizar una sola veeduría de pobalción Afro toda vez que el asentamiento de la población se encuenta a lo largo y ancho de la distribución del Municipio y las acciones van enfocadas al fortalecimiento institucional en el acceso  al sistema de salud y la prestación de servicios de los mismos.</t>
  </si>
  <si>
    <t xml:space="preserve">Se realizaron 8 capacitaciones y 216 Acciones de fortalecimiento y empoderamiento en temas de salud de las cuales participaron 482 personas. </t>
  </si>
  <si>
    <t>15</t>
  </si>
  <si>
    <t xml:space="preserve">Desde la estrategia Casa sana, se reportan 15 brigadas de salud, denominadas festivales de la salud, las cuales se realizaron con actividades educativas </t>
  </si>
  <si>
    <t xml:space="preserve">Registros de asistencia (SPP) y registros virtuales </t>
  </si>
  <si>
    <t>El comité municipal de SPA que se encuentra asociado al comité de políica pública de atención integral a la salud mental, con el fin de atender las necesaidades asociadas a la salud mental y llevar a cabo procesos de articulación con las diferentes entidades</t>
  </si>
  <si>
    <t>PUBLICA</t>
  </si>
  <si>
    <t>INSTITUCIONES DEL SECTOR PUBLICO Y PRIVADO</t>
  </si>
  <si>
    <t>En el 2020 se realizaron capacitaciones a docentes orientadoras del municipio en lo que concierne a: construcción de rutas de atención en salud mental y estrategias de promocion y prevencion del suicidio</t>
  </si>
  <si>
    <t>Se realizan en el 2020 asitencia Tecnica a las EAPB del municipio de Pereira en los componente de Salud Mental, Sustancias Psicoactivas</t>
  </si>
  <si>
    <t>INSTITUCIONES PRESTADORAS DE SALUD</t>
  </si>
  <si>
    <t>19 EAPB</t>
  </si>
  <si>
    <t>se realiza asistencia tecnica a CADS no habilitados brindando información a cerca de la importancia de llevar a cabo procesos de capacitación con la secretaría de salud departamental para informarse a cerca de los procesos de habilitación.</t>
  </si>
  <si>
    <t>CENTRO DE ATENCION A DROGAS NO HABILITADOS</t>
  </si>
  <si>
    <t>16 CADS</t>
  </si>
  <si>
    <t>se desarrollaron asistencias técnicas con la finalidad de ralizar seguimiento a los procesos de atención integra en el componente de salud mental</t>
  </si>
  <si>
    <t>6,00</t>
  </si>
  <si>
    <t>se realiza evaluacion y revisión de la ruta de atención en salud mental para las Instituciones Educativas del Municipio es importante a clarar que esta actividad se realiza solo una vez o si el ministerio realiza nuevas actualizaciones a la ruta</t>
  </si>
  <si>
    <t>SECRETARIAS DEL MUNICIPIO DE PEREIRA</t>
  </si>
  <si>
    <t>El Comité de salud mental y drogas realiza labor para definir e implementar las guias nacionales de spa</t>
  </si>
  <si>
    <t>Se desarrollan capacitaciones a empresas del sector, profesionales del municipio con el fin de minimizar el estigma y la discriminación en los temas asociados a la salud mental</t>
  </si>
  <si>
    <t>se realizo seguimiento al grupo de familias que usuarios que padecen enfermedades mentales</t>
  </si>
  <si>
    <t>No es competencia de la secretaria de salud gestionar esta contratacion sin embargo se realiza acompañamiento en la gestion.</t>
  </si>
  <si>
    <t>se realizan actividades pedagogicas</t>
  </si>
  <si>
    <t>se realiza reuniónes de socialización de matriz de seguimiento de política con planeación municipal y las entidades afines</t>
  </si>
  <si>
    <t>Se realiza recolección de información de campo e informe anual de análisis de programa</t>
  </si>
  <si>
    <t>80,00%</t>
  </si>
  <si>
    <t>El comité de convivencia escolar del municipio en las rutas de atención en sustancias psicoactivas y conducta suicida.</t>
  </si>
  <si>
    <t>40,00%</t>
  </si>
  <si>
    <t>Se dio continuidad al comité municipal de prevención y mitigación de sustancias psicoactivas a través de siete encuentros al año donde se planearon y realizaron acciones conjuntas de prevención al consumo (día internacional de prevención, jornadas masivas, entre otras). *desarrollo social</t>
  </si>
  <si>
    <t>Se han realizado jornadas y acompañamientos complementarios permanentes a través de profesionales en enfermería y psicología que han apoyado el trabajo en campo con PIDS</t>
  </si>
  <si>
    <t>14,00</t>
  </si>
  <si>
    <t>No realizada</t>
  </si>
  <si>
    <t>Esta actividad es de la líena de Salud Mental</t>
  </si>
  <si>
    <t>Se realizan 2 visitas de asistencia técnica a EAPB y 12 visitas a IPS durante la vigencia 2020</t>
  </si>
  <si>
    <t>Acta de visita, registro fotografíco, listado de asistencia</t>
  </si>
  <si>
    <t>Sin observación</t>
  </si>
  <si>
    <t>EAPB - IPS</t>
  </si>
  <si>
    <t>Empresa prestadora de servicios de salud e Institución Prestadora de Servicios de Salud</t>
  </si>
  <si>
    <t>Centro, Cuba, Circunvalar</t>
  </si>
  <si>
    <t>No se realiza jornadas masivas durante la actual vigencia, por contingencia actual por Coronavirus SARS 2 COVID 19</t>
  </si>
  <si>
    <t>No se realizaron visitas con enfasis en TICS, se atendieron durante el año Circular Supersalud – 004 de marzo 20 de 2015 «Instrucciones para la Prestación de los Servicios de Salud de los Adultos Mayores» para EAPB – IPS – Entidades Territoriales</t>
  </si>
  <si>
    <t>No se realizaron actividades de PyP en áreas rurales durante la vigencia 2020</t>
  </si>
  <si>
    <t>Se realiza actividad masiva a diferentes actores, EAPB, IPS, Lideres barriales y comunidad en general</t>
  </si>
  <si>
    <t>Listado de asistencia</t>
  </si>
  <si>
    <t>al encuentro asisten 38 personas relacionados en la asitencia</t>
  </si>
  <si>
    <t>Visitas de asistencia técnica a los 30 CPSAM del municipio de Pereira</t>
  </si>
  <si>
    <t>Acta de visita, registro fotografico, listado de asistencia</t>
  </si>
  <si>
    <t>Cabe resaltar que esta actividad se puede realizar en más de una ocasión a un mismo CPSAM</t>
  </si>
  <si>
    <t>Director Técnico, representante legal, cuidadores</t>
  </si>
  <si>
    <t>Centro de protección Social para el Adulto Mayor</t>
  </si>
  <si>
    <t>Altagracia, Morelia, Tribunas, Cerritos, la Florida, Mundo Nuevo, Combia, Centro, Av 30 de agosto, Ferrocarril, Pinares</t>
  </si>
  <si>
    <t>Cuba, Altagracia, Centro, Morelia, Mundo Nuevo, Combia, Circunvalar</t>
  </si>
  <si>
    <t>Se realiza actividades de promoción y Prevención en diferentes comunidades del municipio de Pereira</t>
  </si>
  <si>
    <t>Sin observaciones</t>
  </si>
  <si>
    <t>Líderes grupos adulto mayor</t>
  </si>
  <si>
    <t>Líderes</t>
  </si>
  <si>
    <t>comuna centro, Avenida 30 de agosto, Avenida del Rio, Ferrocarril, Tokio</t>
  </si>
  <si>
    <t>Combia, Morelia, Nueva siria, Mundo Nuevo, Tribunas, KM 5 vía Armenia</t>
  </si>
  <si>
    <t>Se realiza actividades de educación en habitos saludables en 22 Centros de Protección Social para el Adulto Mayor, incluyendo COVID-19</t>
  </si>
  <si>
    <t>Acta de visita, regstro fotografico, listado de asitencia</t>
  </si>
  <si>
    <t>Centro de ProtecciónSocial para el Adulto Mayor</t>
  </si>
  <si>
    <t>Centro de Protección de Larga Estancia</t>
  </si>
  <si>
    <t>comuna centro, Avenida 30 de agosto, Avenida del Rio, Ferrocarril, circunavalar, pinares, 2500 lotes</t>
  </si>
  <si>
    <t>comuna centro, Avenida 30 de agosto, Avenida del Rio, Ferrocarril, circunavalar, pinares, 2500 lotes, combia, morelia, cerritos</t>
  </si>
  <si>
    <t>No se realiza actividad, teniendo como presedente la actual emergencia sanitaria por COVID-19, la mayor límitante fue la educación virtual y la poco o nula aceptación de esta actividad por parte de secretaría de educación y la poca disposición de las universidades</t>
  </si>
  <si>
    <t>SE PARTICIPO EN REUNION VIRTUAL DE LA MESA DRAEF</t>
  </si>
  <si>
    <t>ACTA-PANTALLAZO DE REUNION</t>
  </si>
  <si>
    <t>A TRAVES DE LA LINEA DE TRABAJO HEVS Y LA ESTRATEGIA CARMEN SE REALIZARON JORNADAS DE ACTIVIDAD FISICA EN EMPRESAS DEL MUNICIPIO</t>
  </si>
  <si>
    <t>SPP-REGISTRO FOTOGRAFICO</t>
  </si>
  <si>
    <t>SE REALIZARON ACCIONES DE SENSIBILIZACION Y EDUCACION EN TEMAS RELACIONADOS A LA PEVENCION DE ENFERMEDADES CRONICAS-PREVENCION DEL SEDENTARISMO-ACTIVIDAD FISICA CON LAS IPS-EAPB</t>
  </si>
  <si>
    <t>ACTAS-REGISTRO FOTOGRAFICO-SPP</t>
  </si>
  <si>
    <t>NO SE REALIZARON EVENTOS MASIVOS DEBIDO A LA CONTINGENCIA POR EL COVID-19, LAS FECHAS ESPECIALES SE CONMEMORARON A TRAVES DE REDES SOCIALES</t>
  </si>
  <si>
    <t>Para la vigencia 2020 se afiliaron en total 151 personas qu requirieron afiliación al sistema de salua al régimen subsidiado</t>
  </si>
  <si>
    <t xml:space="preserve">Desde la estrategia casa sana, se realizaron visitas de caracterización en los barrios priorizados, encontrando 250 familias, que se identifican como victimas del conflicto o desplazadas. </t>
  </si>
  <si>
    <t>Aplicativo SISAP(APS)</t>
  </si>
  <si>
    <t>Visitas de apoyo psicosocial, aplicación de tamizajes en salud mental (SRQ, APGAR)</t>
  </si>
  <si>
    <t>Aplicación de prueba en PRE Y POS en deberes y derechos en salud.</t>
  </si>
  <si>
    <t>Capacitacion grupo de jovenes gestores comuitarios en temas de salud y salud mental.</t>
  </si>
  <si>
    <t>estrategía de  Información Educación y Comunicación (IEC), en articulación con los procesos de asistencia técnica y vigilancia epidemiológica de los eventos de mujer, con el fin de prevenir y atender las enfermedades y afecciones propias de la población femenina</t>
  </si>
  <si>
    <t xml:space="preserve">sexualidad con sentido, complementandola con una unidad didactica con enfoque de genero.  </t>
  </si>
  <si>
    <t xml:space="preserve">No es competencia de la secretaria de salud  </t>
  </si>
  <si>
    <t>organización y participación de las mujeres en ejercicio de la prostitución, habitantes de calle y recicladoras.</t>
  </si>
  <si>
    <t>1</t>
  </si>
  <si>
    <t>se realizan reunion con las EAPB para socializarles la normatividad vigente relacionada con la atención a las mujeres víctimas de violencia con base en la ley 1257 del 2008  y el decreto 1630 del 2020.</t>
  </si>
  <si>
    <t>INSTITUCIONES PRESTADORAS DE SERVICIOS</t>
  </si>
  <si>
    <t>21</t>
  </si>
  <si>
    <t>Revisión del proceso de atención por historia clínica</t>
  </si>
  <si>
    <t>ACTA DE REUNION</t>
  </si>
  <si>
    <t>IPS pública</t>
  </si>
  <si>
    <t>Prestación de servicios de salud</t>
  </si>
  <si>
    <t>Centro</t>
  </si>
  <si>
    <t>Para la vigencia 2020 se logró la afiliación de 170 personas habitanes de calle y en condición de calle del Municipio de Pereira</t>
  </si>
  <si>
    <t>Base de Datos Única de Afiliados BDUA del Sistema General de Seguridad Social en Salud BDUA-SGSSS - Adress</t>
  </si>
  <si>
    <t>CONTROL SANITARIO</t>
  </si>
  <si>
    <t>12</t>
  </si>
  <si>
    <t>Asistencias téncicas a EAPB e IPS del Municipio</t>
  </si>
  <si>
    <t xml:space="preserve">Desde la estrategia Casa Sana en las visitas familiares realizadas se tiene en cuenta la canalizaciòn y la educaciòn en la asistencia a los diferentes programas como Crecimiento y Desarrollo y Vacunaciòn según la normatividad.
</t>
  </si>
  <si>
    <t>Aplicativo SISAP que contiene la información de las personas caracterizadas</t>
  </si>
  <si>
    <t>En articulación con la ESE Salud Pereira, se entregaron 4493 dosis de desparasitantes, que corresponde a 2247 niños y niñas de las zonas de la estrategia Casa Sana</t>
  </si>
  <si>
    <t>Desprendible de desparasitación</t>
  </si>
  <si>
    <t>Actividad ejecutada por profesionales de enfermería de la ESE Salud Pereira</t>
  </si>
  <si>
    <t>Desde la estrategia Casa Sana, escuelas saludables y sexualidad con sentido se realizaron acciones  educativas mediante unidad didáctica de plato saludable</t>
  </si>
  <si>
    <t xml:space="preserve">Registro de actividades SPP y registros virtuales </t>
  </si>
  <si>
    <t>Acciones educativas desde casa sana con las 116 gestantes identificadas</t>
  </si>
  <si>
    <t>Aplicativo SISAP (APS)</t>
  </si>
  <si>
    <t xml:space="preserve">50 Instituciones educativas </t>
  </si>
  <si>
    <t>Asistencia tecnica en el proyecto de educación para la sexualidad y contrucción de ciudadania en 50 instituciones educativas con 688 docentes participantes en 9 encuentros colectivas.</t>
  </si>
  <si>
    <t>Registros virtuales : paantallazos, informe y asistencia virtual</t>
  </si>
  <si>
    <t xml:space="preserve">Desde la estrategia casa sana, se caracterizaron  9253 personas en edad fértil,por medio de un instrumento (Ficha Familiar) que determina algunos  factores en salud. Se realiza demanda inducida a las instituciones prestadoras de servicios de salud para programas de detección temprana y protección específica, incluido planificación familiar.
 </t>
  </si>
  <si>
    <t xml:space="preserve">Desde la estrategia casa sana, se caracterizaron 5940 mujeres en edad fértil,por medio de un instrumento (Ficha Familiar) que determina algunos  factores en salud. Se realiza demanda inducida a las instituciones prestadoras de servicios de salud para programas de detección temprana y protección específica, incluido planificación familiar.
 </t>
  </si>
  <si>
    <t>Desde la estrategia sexualidad con sentido, se beneficiaron 2703 jovenes en encuantros relaiocnados con proyecto de vida, salud sexual y reproductiva,  entre otros.</t>
  </si>
  <si>
    <t>Registros virtuales: pantallazos</t>
  </si>
  <si>
    <t>Asistencia tecnica en el proyecto de educación para la sexualidad y contrucción de ciudadania en 50 instituciones educativas con 688 docentes que participaron en 9 encuentros colectivos</t>
  </si>
  <si>
    <t xml:space="preserve">Registros virtuales: pantallazos, registro asistencia, </t>
  </si>
  <si>
    <t>adolescentes y jovenes caracterizados desde la estrategia Casa Sana mediante el aplicativo SISAP</t>
  </si>
  <si>
    <t>Desde la estrategia sexualidad con sentido se intervinieron 250 grupos con 2703 jovenes beneficiados</t>
  </si>
  <si>
    <t>Registros virtuales</t>
  </si>
  <si>
    <t>Desde la estrategia casa sana, se caracterizaron 10959 personas entre hombres y mujeres ( Hombres de 50 a 75 años, Mujeres entre 25 y 65)</t>
  </si>
  <si>
    <t>no se ha desarrollado este tema especifico</t>
  </si>
  <si>
    <t>Desde la estrategia casa sana se realizaron 993 visitas educativas  mediante unidad didactica de prevención de cáncer y VIH</t>
  </si>
  <si>
    <t xml:space="preserve">50 Instituciones educativas con 688 docentes </t>
  </si>
  <si>
    <t>Desde la estrategia sexualidad con sentido, se realizaron encuentros sobre el proyecto de educación sexual y construcción de ciudadania  con 688 docentes a traves de 9 encuentros colectivos</t>
  </si>
  <si>
    <t>Desde la estrategia sexualidad con sentido, se conformaron 4 veedurías juveniles en kennedy, alfonso jaramillo, la palabra y remigio antonio cañarte</t>
  </si>
  <si>
    <t>actividades educativas realizadas en el ambito comunitario y escolar principalmete, en cuanto a prevencion y denuncia del delito sexual</t>
  </si>
  <si>
    <t>spp, registros virtuales</t>
  </si>
  <si>
    <t xml:space="preserve">50 instituciones educativas con 688 docentes </t>
  </si>
  <si>
    <t>Desde la estrategia sexualidad con sentido, se realizaron encuentros sobre el proyecto de educación sexual y construcción de ciudadania  con 688 docentes</t>
  </si>
  <si>
    <t xml:space="preserve">Desde la secretaría de salud pública y seguridad social se tiene un profesional en psicología que apoya en el CAIVAS </t>
  </si>
  <si>
    <t xml:space="preserve">Desde la estrategia casa sana se realizaron visitas educativas con unidades didácticas de Prevención de violencia sexual y trata de personas </t>
  </si>
  <si>
    <t>Desde la estrategia casa sana, a través de los nodos de trabajo social y psicología, se fortalecen los temas de prevención de violencia, con 508 beneficiarios</t>
  </si>
  <si>
    <t xml:space="preserve">Actas de conformación de nodo </t>
  </si>
  <si>
    <t>3304 búsquedas activas (toma de datos antropométricos</t>
  </si>
  <si>
    <t>Desde el programa salud nutricional se realizaron 1879 búsquedas activas mediante toma de datos antropométricos en diferentes barrios. Desde la estrategia Casa Sana se realizaron 1425 tomas de medidas antropométricas en las visitas de caracterización realizadas en los sectores priorizados</t>
  </si>
  <si>
    <t>Formatos de registro/ Platforma SISAP</t>
  </si>
  <si>
    <t xml:space="preserve">Resultados de la vigilancia de la calidad del agua a los sistemas de suministro del municipio. El nivel de riesgo corresponde a riesgo bajo. </t>
  </si>
  <si>
    <t>Resultados analisis de agua</t>
  </si>
  <si>
    <t xml:space="preserve">50% de los establecimientos </t>
  </si>
  <si>
    <t>se realizan acciones de inspeccion vigilancia y constrol a establecimientos de prepracion, expendio y consumo de alimentos mediantes listas de chequeo en cumplimiento de las normas sanitarias vigentes. Estas actas o listas de chequeo evaluan el cumplimiento de la norma de manera cuantitativa emitiendo el concepto sanitario en base al cumplimiento de esta. las actividades fueron desarrolladas en la zona rural y urbana del municipio de Pereira.</t>
  </si>
  <si>
    <t>reportes generados por el SISAP - Vigilancia y Control.</t>
  </si>
  <si>
    <t>46% de conceptos favorables</t>
  </si>
  <si>
    <t xml:space="preserve">52% favorables con requerimientos </t>
  </si>
  <si>
    <t>1% conceptos desfavorables</t>
  </si>
  <si>
    <t xml:space="preserve">67 visitas  de asistencia técnica en Ips y 22 a EAPB   frente  programa de primera infancia, infancia y adolescencia. </t>
  </si>
  <si>
    <t xml:space="preserve">Se realizaron procesos de capacitación y cualificación del talento humano frente a la implementación de la RIA Res 3280 de 2018. </t>
  </si>
  <si>
    <t xml:space="preserve">Actas de visita </t>
  </si>
  <si>
    <t xml:space="preserve">Ips- EAPB </t>
  </si>
  <si>
    <t xml:space="preserve">34 Ips- 12 EAPB </t>
  </si>
  <si>
    <t xml:space="preserve">67 cursos de consejeria en lactancia materna </t>
  </si>
  <si>
    <t xml:space="preserve">Se realizan curos de consejeria en lactancia materna </t>
  </si>
  <si>
    <t>Registro de actividades para el seguimiento a las politicas publicas. Y formato de educacion en lactancia materna via telefonica</t>
  </si>
  <si>
    <t xml:space="preserve">50 acciones de educación </t>
  </si>
  <si>
    <t xml:space="preserve">Asistencia tècnica en cuanto oferta nutricional en tiendas escolares   en el 100% de las I.Educativas  en el marco del acuerdo 43 de 2015 </t>
  </si>
  <si>
    <t>Encuesta de percepción y acta de reunión aceurdo 43 de 2015</t>
  </si>
  <si>
    <t>Se realiza asistencia tecnica a 63 instituciones educativas sobe orientación e implementacion del acuerdo 43 de 2015.</t>
  </si>
  <si>
    <t xml:space="preserve"> Instituciones educativas </t>
  </si>
  <si>
    <t>10</t>
  </si>
  <si>
    <t>250</t>
  </si>
  <si>
    <t>30,7</t>
  </si>
  <si>
    <t>La secretaria de salud no tiene competencia para realizar esta actividad ya que son las EAPB de los usuarios los encargados</t>
  </si>
  <si>
    <t xml:space="preserve">Actividad a cargo de EAPB a traves de su red de prestadores. Actividad restringida en su cobertura a razon de restricion por pandemia COVID-19 </t>
  </si>
  <si>
    <t>Desde el programa de salud nutricional se realizan actividades como: Promoción de la lactancia materna, para lo cual se realizaron 67 consejería dirigidos a comunidad y profesionales de la salud, 62 visitas a empresas para la promoción de las salas amigas de la lactancia. implementacion de 13 salas amigas de lactancia materna en la ciudad. actividades tipo virtual por efectos de la restriccion por pandemia COVID-19</t>
  </si>
  <si>
    <t>Actividad restringida por pandemia COVID-19</t>
  </si>
  <si>
    <t>Responsable Aguas y Aguas de Pereira</t>
  </si>
  <si>
    <t xml:space="preserve">Actividades pedagogicas de habiidades para la vida </t>
  </si>
  <si>
    <t>Actividades de promocion y prevencion en conducta suicida en instituciones educativas y comunidad del Municipio de Pereira</t>
  </si>
  <si>
    <t xml:space="preserve">Programas o estrategias donde se promueven los derechos sexuales y reproductivos: Sexualidad con Sentido y Escuelas y Colegios Saludables </t>
  </si>
  <si>
    <t>Actividad a cargo de IPS. Actividad restringida en su cobertura a razon de restricion por pandemia COVID-19</t>
  </si>
  <si>
    <t>Actividad realizada a traves de asistencia tecnica restringida por COVID-19</t>
  </si>
  <si>
    <t>Oficio proyectado con la solicitud respectiva</t>
  </si>
  <si>
    <t>638</t>
  </si>
  <si>
    <t>De manera mensual se consolida las dosis aplicadas en cada una de las IPS del Municipio</t>
  </si>
  <si>
    <t xml:space="preserve">Informe mensual de vacunacion </t>
  </si>
  <si>
    <t>Compentencia de las EAPB</t>
  </si>
  <si>
    <t>No es posible realizar una sola veeduría de pobalción Afro toda vez que el asentamiento de la población se encuenta a lo largo y ancho de la distribución del Municipio y las acciones van enfocadas al fortalecimiento institucional en el acceso  al sistema de salud y la prestación de servicios de los mismos</t>
  </si>
  <si>
    <t>Desde la estrategia Casa Sana, se reportan 15 brigadas de salud, denominadas festivales de la salud, las cuales se realizaron con actividades educativas</t>
  </si>
  <si>
    <t>Registros de asistencia (SPP) y registros virtuales</t>
  </si>
  <si>
    <t>Actividad restringida por COVID 19</t>
  </si>
  <si>
    <t>118</t>
  </si>
  <si>
    <t>4</t>
  </si>
  <si>
    <t>17</t>
  </si>
  <si>
    <t>6</t>
  </si>
  <si>
    <t>2</t>
  </si>
  <si>
    <t>27</t>
  </si>
  <si>
    <t>13</t>
  </si>
  <si>
    <t>Se realizan actividades pedagogicas</t>
  </si>
  <si>
    <t xml:space="preserve">Estrategia sexualidad con sentido, enfocada a la prevención de embarazo a temprana edad, dirigida a población escolarizada </t>
  </si>
  <si>
    <t>No es competencia de la Secretaria de Salud</t>
  </si>
  <si>
    <t xml:space="preserve">No es competencia de la Secretaria de Salud </t>
  </si>
  <si>
    <t xml:space="preserve">Acta de reunion </t>
  </si>
  <si>
    <t>Se realizaron 4 visitas a albergues de habitante de calle, dos en zona urbana y dos en zona rural. Las inspecciones a los lugares se hace mediante acta de visita para el tipo de sujeto de interés, dando como resultado concepto sanitario de cada uno.</t>
  </si>
  <si>
    <t>Las actas de inspeccion fueron YRL196-20 y YRL199-20, MAC445-21 y MAC446-20</t>
  </si>
  <si>
    <t>Las inspecciones arrojaron concepto sanitario de Favorable con requerimientos</t>
  </si>
  <si>
    <t>consulta ADRES</t>
  </si>
  <si>
    <t xml:space="preserve">Se realiza inspeccion sanitaria a los hogares de victimas del conflicto,  y se revisan las condiciones sanitarias de instalaciones tales como localización y diseño, condiciones de pisos y paredes, techos iluminación y ventilación, instalaciones sanitarias y programa de mantenimiento de las instalaciones, dormitorios, manejo de residuos solidos, abastecimiento de agua. </t>
  </si>
  <si>
    <t>Las actas quedaron con concepto sanitario favorable con requerimientos</t>
  </si>
  <si>
    <t>280</t>
  </si>
  <si>
    <t>72</t>
  </si>
  <si>
    <t>5%</t>
  </si>
  <si>
    <r>
      <t xml:space="preserve">*Conformación de equipos básicos extramurales de carácter interdisciplinario e intersectorial con continuidad y permanencia, que actúen desde los lineamientos de la estrategia de atención primaria, capaces de llevar a las comunidades las estrategias de información, educación y acciones comunicativas articuladas entre los diferentes programas.                                                                                                                                                                                                                                                                                                                                                                                                                                                                                                                                                             </t>
    </r>
    <r>
      <rPr>
        <sz val="11"/>
        <color theme="1"/>
        <rFont val="Calibri"/>
        <family val="2"/>
        <scheme val="minor"/>
      </rPr>
      <t xml:space="preserve">                                                                                                               </t>
    </r>
  </si>
  <si>
    <t>Se realizan acciones de estimulacion integral en el marco del Acuerdo 042 de 2015 en 8 CDI y Hogar infantil Risaralda</t>
  </si>
  <si>
    <t>SPP y formato seguimiento telefónico.</t>
  </si>
  <si>
    <t>67</t>
  </si>
  <si>
    <t>Se realizaron 67 cursos de consejeria de lactancia materna</t>
  </si>
  <si>
    <t xml:space="preserve">SPP formato de educacion en lactancia materna via telefonica y alimentacion saludable </t>
  </si>
  <si>
    <t>Durante el año 2020, se conformaron 5 equipos extramurales de carácter interdisciplinarios, los cuales contaban con: Profesionales en enfermería, Psicòlogos, Trabajadoras sociales, Tècnicos en salud pùblica y 3 profesionales del deporte</t>
  </si>
  <si>
    <t xml:space="preserve">Estrategia  escuelas y colegios saludables </t>
  </si>
  <si>
    <t xml:space="preserve">Acciones educativas  para fomentar estilos de vida saludables en instituciones educativas  </t>
  </si>
  <si>
    <t xml:space="preserve">Politica se encuentra en actualizacion, se ha participado en las mesas de construccion </t>
  </si>
  <si>
    <t>Investigacion esta programada a realizarse en 2022</t>
  </si>
  <si>
    <t xml:space="preserve">Cursos AIEPI comunitarios (Atencion Integral a las Enfermedades Prevalentes de la Infancia) </t>
  </si>
  <si>
    <t>Herramienta lúdico pedagógica denominada cartilla salud es una escuela saludable, a traves de la cual se fomentan estilos de vida saludable de manera transversal con areas academicas básicas como matematicas, español, ciencias naturales y sociales</t>
  </si>
  <si>
    <t>Actividad responsabilidad de IPS, actividad restringida por pandemia COVID-19</t>
  </si>
  <si>
    <t>componente desarrollado a traves de la estrategia casa sana</t>
  </si>
  <si>
    <t>actividad restringida por pandemia COVID-19</t>
  </si>
  <si>
    <t>informe area epidemiologia SSPYySS</t>
  </si>
  <si>
    <t>Programas a cargo de otras entidades</t>
  </si>
  <si>
    <t xml:space="preserve">No se cuenta con estos programas </t>
  </si>
  <si>
    <t xml:space="preserve">Se lidera desde la Politica de Salud mental </t>
  </si>
  <si>
    <t xml:space="preserve">Se realiza vigilancia epidemiologica al 100% de los eventos reportados en SIVIGILA. </t>
  </si>
  <si>
    <t>Se espera informe definitivo INS 2020</t>
  </si>
  <si>
    <t>Indicador menor de 5 años. Se espera informe definitivo INS 2020</t>
  </si>
  <si>
    <t>Pendiente de confirmacion de indicador por parte de la Sec de Salud Dptal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</si>
</sst>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 #,##0;\-&quot;$&quot;\ #,##0"/>
    <numFmt numFmtId="6" formatCode="&quot;$&quot;\ #,##0;[Red]\-&quot;$&quot;\ #,##0"/>
    <numFmt numFmtId="42" formatCode="_-&quot;$&quot;\ * #,##0_-;\-&quot;$&quot;\ * #,##0_-;_-&quot;$&quot;\ * &quot;-&quot;_-;_-@_-"/>
    <numFmt numFmtId="41" formatCode="_-* #,##0_-;\-* #,##0_-;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 #,##0_);[Red]\(&quot;$&quot;\ #,##0\)"/>
    <numFmt numFmtId="169" formatCode="_(&quot;$&quot;\ * #,##0_);_(&quot;$&quot;\ * \(#,##0\);_(&quot;$&quot;\ * &quot;-&quot;_);_(@_)"/>
    <numFmt numFmtId="170" formatCode="_(&quot;$&quot;\ * #,##0.00_);_(&quot;$&quot;\ * \(#,##0.00\);_(&quot;$&quot;\ * &quot;-&quot;??_);_(@_)"/>
    <numFmt numFmtId="171" formatCode="_(* #,##0.00_);_(* \(#,##0.00\);_(* &quot;-&quot;??_);_(@_)"/>
    <numFmt numFmtId="172" formatCode="_([$$-240A]\ * #,##0_);_([$$-240A]\ * \(#,##0\);_([$$-240A]\ * &quot;-&quot;??_);_(@_)"/>
    <numFmt numFmtId="173" formatCode="0.0%"/>
    <numFmt numFmtId="174" formatCode="_(&quot;$&quot;\ * #,##0_);_(&quot;$&quot;\ * \(#,##0\);_(&quot;$&quot;\ * &quot;-&quot;??_);_(@_)"/>
    <numFmt numFmtId="175" formatCode="_-* #,##0_-;\-* #,##0_-;_-* &quot;-&quot;_-;_-@"/>
    <numFmt numFmtId="176" formatCode="_([$$-240A]\ * #,##0.00_);_([$$-240A]\ * \(#,##0.00\);_([$$-240A]\ * &quot;-&quot;??_);_(@_)"/>
    <numFmt numFmtId="177" formatCode="_-* #,##0_-;\-* #,##0_-;_-* &quot;-&quot;??_-;_-@_-"/>
    <numFmt numFmtId="178" formatCode="0.0"/>
    <numFmt numFmtId="179" formatCode="0.000%"/>
    <numFmt numFmtId="180" formatCode="0.000"/>
    <numFmt numFmtId="181" formatCode="&quot;$&quot;\ #,##0"/>
    <numFmt numFmtId="182" formatCode="_-[$XDR-580A]* #,##0_-;\-[$XDR-580A]* #,##0_-;_-[$XDR-580A]* &quot;-&quot;??_-;_-@_-"/>
    <numFmt numFmtId="183" formatCode="_-[$$-240A]\ * #,##0_-;\-[$$-240A]\ * #,##0_-;_-[$$-240A]\ * &quot;-&quot;??_-;_-@_-"/>
    <numFmt numFmtId="184" formatCode="[$$-240A]\ #,##0"/>
    <numFmt numFmtId="185" formatCode="_(* #,##0_);_(* \(#,##0\);_(* &quot;-&quot;??_);_(@_)"/>
    <numFmt numFmtId="186" formatCode="&quot;$&quot;#,##0.00"/>
    <numFmt numFmtId="187" formatCode="&quot;$&quot;#,##0"/>
    <numFmt numFmtId="188" formatCode="[$$-240A]\ #,##0.00_);\([$$-240A]\ #,##0.00\)"/>
    <numFmt numFmtId="189" formatCode="_-[$$-240A]* #,##0_-;\-[$$-240A]* #,##0_-;_-[$$-240A]* &quot;-&quot;??_-;_-@_-"/>
    <numFmt numFmtId="190" formatCode="_-[$$-240A]\ * #,##0.00_-;\-[$$-240A]\ * #,##0.00_-;_-[$$-240A]\ * &quot;-&quot;??_-;_-@_-"/>
    <numFmt numFmtId="191" formatCode="_-* #,##0\ _€_-;\-* #,##0\ _€_-;_-* &quot;-&quot;??\ _€_-;_-@_-"/>
    <numFmt numFmtId="192" formatCode="_-* #,##0.0\ _€_-;\-* #,##0.0\ _€_-;_-* &quot;-&quot;??\ _€_-;_-@_-"/>
    <numFmt numFmtId="193" formatCode="_-[$$-2C0A]\ * #,##0_-;\-[$$-2C0A]\ * #,##0_-;_-[$$-2C0A]\ * &quot;-&quot;??_-;_-@_-"/>
    <numFmt numFmtId="194" formatCode="&quot;$&quot;#,##0;[Red]&quot;$&quot;#,##0"/>
    <numFmt numFmtId="195" formatCode="_-[$$-240A]* #,##0.00_-;\-[$$-240A]* #,##0.00_-;_-[$$-240A]* &quot;-&quot;??_-;_-@_-"/>
    <numFmt numFmtId="196" formatCode="_-&quot;$&quot;* #,##0_-;\-&quot;$&quot;* #,##0_-;_-&quot;$&quot;* &quot;-&quot;??_-;_-@_-"/>
    <numFmt numFmtId="197" formatCode="_-&quot;$&quot;* #,##0.00_-;\-&quot;$&quot;* #,##0.00_-;_-&quot;$&quot;* &quot;-&quot;_-;_-@_-"/>
    <numFmt numFmtId="198" formatCode="_-* #,##0.00_-;\-* #,##0.00_-;_-* &quot;-&quot;_-;_-@_-"/>
    <numFmt numFmtId="199" formatCode="0.00_);\(0.00\)"/>
    <numFmt numFmtId="200" formatCode="\$#,##0"/>
    <numFmt numFmtId="201" formatCode="_-&quot;$&quot;\ * #,##0_-;\-&quot;$&quot;\ * #,##0_-;_-&quot;$&quot;\ * &quot;-&quot;??_-;_-@_-"/>
    <numFmt numFmtId="202" formatCode="_-* #,##0\ _€_-;\-* #,##0\ _€_-;_-* &quot;-&quot;??\ _€_-;_-@"/>
  </numFmts>
  <fonts count="9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b/>
      <sz val="12"/>
      <color indexed="81"/>
      <name val="Tahoma"/>
      <family val="2"/>
    </font>
    <font>
      <b/>
      <sz val="9"/>
      <color indexed="81"/>
      <name val="Tahoma"/>
      <family val="2"/>
    </font>
    <font>
      <sz val="11"/>
      <color rgb="FFFF0000"/>
      <name val="Calibri"/>
      <family val="2"/>
      <scheme val="minor"/>
    </font>
    <font>
      <b/>
      <sz val="11"/>
      <color rgb="FF000000"/>
      <name val="Calibri"/>
      <family val="2"/>
      <scheme val="minor"/>
    </font>
    <font>
      <b/>
      <sz val="11"/>
      <name val="Calibri"/>
      <family val="2"/>
      <scheme val="minor"/>
    </font>
    <font>
      <sz val="11"/>
      <name val="Calibri"/>
      <family val="2"/>
      <scheme val="minor"/>
    </font>
    <font>
      <sz val="11"/>
      <color rgb="FF000000"/>
      <name val="Calibri"/>
      <family val="2"/>
      <scheme val="minor"/>
    </font>
    <font>
      <b/>
      <sz val="11"/>
      <color indexed="10"/>
      <name val="Calibri"/>
      <family val="2"/>
      <scheme val="minor"/>
    </font>
    <font>
      <sz val="11"/>
      <color indexed="62"/>
      <name val="Calibri"/>
      <family val="2"/>
      <scheme val="minor"/>
    </font>
    <font>
      <sz val="11"/>
      <color theme="1" tint="4.9989318521683403E-2"/>
      <name val="Calibri"/>
      <family val="2"/>
      <scheme val="minor"/>
    </font>
    <font>
      <sz val="11"/>
      <color indexed="8"/>
      <name val="Calibri"/>
      <family val="2"/>
      <scheme val="minor"/>
    </font>
    <font>
      <b/>
      <sz val="11"/>
      <color indexed="8"/>
      <name val="Calibri"/>
      <family val="2"/>
      <scheme val="minor"/>
    </font>
    <font>
      <sz val="11"/>
      <color rgb="FF000000"/>
      <name val="Calibri"/>
      <family val="2"/>
    </font>
    <font>
      <b/>
      <sz val="11"/>
      <color rgb="FF000000"/>
      <name val="Calibri"/>
      <family val="2"/>
    </font>
    <font>
      <sz val="11"/>
      <color indexed="8"/>
      <name val="Calibri"/>
      <family val="2"/>
    </font>
    <font>
      <sz val="10"/>
      <color theme="1"/>
      <name val="Arial"/>
      <family val="2"/>
    </font>
    <font>
      <sz val="10"/>
      <color rgb="FF000000"/>
      <name val="Arial"/>
      <family val="2"/>
    </font>
    <font>
      <b/>
      <sz val="11"/>
      <color rgb="FF000000"/>
      <name val="Times New Roman"/>
      <family val="1"/>
    </font>
    <font>
      <sz val="11"/>
      <color rgb="FF000000"/>
      <name val="Times New Roman"/>
      <family val="1"/>
    </font>
    <font>
      <sz val="11"/>
      <color theme="1"/>
      <name val="Times New Roman"/>
      <family val="1"/>
    </font>
    <font>
      <sz val="11"/>
      <color theme="1"/>
      <name val="Arial"/>
      <family val="2"/>
    </font>
    <font>
      <sz val="12"/>
      <color theme="1"/>
      <name val="Arial"/>
      <family val="2"/>
    </font>
    <font>
      <sz val="10"/>
      <color theme="1"/>
      <name val="Calibri"/>
      <family val="2"/>
      <scheme val="minor"/>
    </font>
    <font>
      <sz val="9"/>
      <color indexed="81"/>
      <name val="Tahoma"/>
      <family val="2"/>
    </font>
    <font>
      <b/>
      <sz val="10"/>
      <color indexed="81"/>
      <name val="Tahoma"/>
      <family val="2"/>
    </font>
    <font>
      <sz val="12"/>
      <color rgb="FF000000"/>
      <name val="Calibri"/>
      <family val="2"/>
    </font>
    <font>
      <b/>
      <sz val="9"/>
      <color indexed="81"/>
      <name val="Calibri"/>
      <family val="2"/>
    </font>
    <font>
      <sz val="9"/>
      <color indexed="81"/>
      <name val="Calibri"/>
      <family val="2"/>
    </font>
    <font>
      <u/>
      <sz val="8.8000000000000007"/>
      <color theme="10"/>
      <name val="Calibri"/>
      <family val="2"/>
    </font>
    <font>
      <i/>
      <sz val="11"/>
      <color rgb="FFFF0000"/>
      <name val="Calibri"/>
      <family val="2"/>
      <scheme val="minor"/>
    </font>
    <font>
      <sz val="12"/>
      <color indexed="81"/>
      <name val="Arial"/>
      <family val="2"/>
    </font>
    <font>
      <sz val="11"/>
      <color rgb="FF3E545F"/>
      <name val="Arial"/>
      <family val="2"/>
    </font>
    <font>
      <b/>
      <sz val="14"/>
      <color theme="1"/>
      <name val="Calibri"/>
      <family val="2"/>
      <scheme val="minor"/>
    </font>
    <font>
      <sz val="11"/>
      <color rgb="FF0808B8"/>
      <name val="Calibri"/>
      <family val="2"/>
      <scheme val="minor"/>
    </font>
    <font>
      <sz val="11"/>
      <color rgb="FF002060"/>
      <name val="Calibri"/>
      <family val="2"/>
      <scheme val="minor"/>
    </font>
    <font>
      <b/>
      <sz val="11"/>
      <color rgb="FFFF0000"/>
      <name val="Calibri"/>
      <family val="2"/>
      <scheme val="minor"/>
    </font>
    <font>
      <sz val="11"/>
      <color rgb="FF800080"/>
      <name val="Calibri"/>
      <family val="2"/>
      <scheme val="minor"/>
    </font>
    <font>
      <sz val="14"/>
      <color indexed="81"/>
      <name val="Tahoma"/>
      <family val="2"/>
    </font>
    <font>
      <i/>
      <sz val="11"/>
      <color rgb="FF7F7F7F"/>
      <name val="Calibri"/>
      <family val="2"/>
      <scheme val="minor"/>
    </font>
    <font>
      <sz val="12"/>
      <color indexed="81"/>
      <name val="Tahoma"/>
      <family val="2"/>
    </font>
    <font>
      <sz val="11"/>
      <color rgb="FF434343"/>
      <name val="Calibri"/>
      <family val="2"/>
      <scheme val="minor"/>
    </font>
    <font>
      <u/>
      <sz val="11"/>
      <color rgb="FF434343"/>
      <name val="Calibri"/>
      <family val="2"/>
      <scheme val="minor"/>
    </font>
    <font>
      <u/>
      <sz val="11"/>
      <color theme="10"/>
      <name val="Calibri"/>
      <family val="2"/>
      <scheme val="minor"/>
    </font>
    <font>
      <b/>
      <sz val="11"/>
      <color rgb="FF000000"/>
      <name val="Calibri  "/>
    </font>
    <font>
      <sz val="11"/>
      <color rgb="FF000000"/>
      <name val="Calibri  "/>
    </font>
    <font>
      <b/>
      <sz val="11"/>
      <color theme="1"/>
      <name val="Calibri  "/>
    </font>
    <font>
      <sz val="11"/>
      <color theme="1"/>
      <name val="Calibri  "/>
    </font>
    <font>
      <sz val="11"/>
      <name val="Calibri  "/>
    </font>
    <font>
      <sz val="11"/>
      <color rgb="FFFF0000"/>
      <name val="Calibri  "/>
    </font>
    <font>
      <u/>
      <sz val="11"/>
      <color theme="10"/>
      <name val="Calibri  "/>
    </font>
    <font>
      <b/>
      <sz val="11"/>
      <name val="Calibri  "/>
    </font>
    <font>
      <sz val="11"/>
      <color rgb="FF222222"/>
      <name val="Calibri"/>
      <family val="2"/>
      <scheme val="minor"/>
    </font>
    <font>
      <sz val="11"/>
      <color theme="8"/>
      <name val="Calibri"/>
      <family val="2"/>
      <scheme val="minor"/>
    </font>
    <font>
      <sz val="11"/>
      <color rgb="FF000000"/>
      <name val="Calibri"/>
      <family val="2"/>
    </font>
    <font>
      <b/>
      <u/>
      <sz val="11"/>
      <color rgb="FF000000"/>
      <name val="Calibri  "/>
    </font>
    <font>
      <u/>
      <sz val="11"/>
      <color rgb="FF000000"/>
      <name val="Calibri  "/>
    </font>
    <font>
      <b/>
      <u/>
      <sz val="11"/>
      <color rgb="FFFF0000"/>
      <name val="Calibri  "/>
    </font>
    <font>
      <b/>
      <sz val="12"/>
      <color rgb="FF000000"/>
      <name val="Tahoma"/>
      <family val="2"/>
    </font>
    <font>
      <sz val="11"/>
      <color rgb="FF800080"/>
      <name val="Calibri  "/>
    </font>
    <font>
      <sz val="11"/>
      <color indexed="8"/>
      <name val="Calibri  "/>
    </font>
    <font>
      <b/>
      <sz val="11"/>
      <color indexed="8"/>
      <name val="Calibri  "/>
    </font>
    <font>
      <b/>
      <sz val="12"/>
      <color rgb="FF000000"/>
      <name val="Arial"/>
      <family val="2"/>
    </font>
    <font>
      <sz val="12"/>
      <color rgb="FF000000"/>
      <name val="Arial"/>
      <family val="2"/>
    </font>
    <font>
      <sz val="8"/>
      <name val="Calibri"/>
      <family val="2"/>
      <scheme val="minor"/>
    </font>
    <font>
      <b/>
      <sz val="10"/>
      <color rgb="FF000000"/>
      <name val="Tahoma"/>
      <family val="2"/>
    </font>
    <font>
      <sz val="10"/>
      <color rgb="FF000000"/>
      <name val="Tahoma"/>
      <family val="2"/>
    </font>
    <font>
      <sz val="11"/>
      <name val="Arial"/>
      <family val="2"/>
    </font>
    <font>
      <sz val="11"/>
      <color rgb="FF000000"/>
      <name val="Arial"/>
      <family val="2"/>
      <charset val="1"/>
    </font>
    <font>
      <b/>
      <sz val="10"/>
      <color rgb="FF000000"/>
      <name val="Arial"/>
      <family val="2"/>
    </font>
    <font>
      <b/>
      <sz val="10"/>
      <color theme="1"/>
      <name val="Arial"/>
      <family val="2"/>
    </font>
    <font>
      <b/>
      <sz val="10"/>
      <color rgb="FFFF0000"/>
      <name val="Arial"/>
      <family val="2"/>
    </font>
    <font>
      <sz val="14"/>
      <name val="Calibri"/>
      <family val="2"/>
      <scheme val="minor"/>
    </font>
    <font>
      <b/>
      <sz val="14"/>
      <name val="Calibri"/>
      <family val="2"/>
      <scheme val="minor"/>
    </font>
    <font>
      <sz val="14"/>
      <color theme="1"/>
      <name val="Calibri"/>
      <family val="2"/>
      <scheme val="minor"/>
    </font>
    <font>
      <b/>
      <sz val="20"/>
      <color rgb="FF000000"/>
      <name val="Calibri"/>
      <family val="2"/>
      <scheme val="minor"/>
    </font>
    <font>
      <b/>
      <sz val="14"/>
      <color rgb="FF000000"/>
      <name val="Calibri"/>
      <family val="2"/>
      <scheme val="minor"/>
    </font>
    <font>
      <sz val="10"/>
      <color rgb="FFFF0000"/>
      <name val="Arial"/>
      <family val="2"/>
    </font>
    <font>
      <b/>
      <sz val="11"/>
      <color rgb="FFFF0000"/>
      <name val="Calibri  "/>
    </font>
    <font>
      <sz val="11"/>
      <color theme="0"/>
      <name val="Calibri"/>
      <family val="2"/>
      <scheme val="minor"/>
    </font>
    <font>
      <sz val="11"/>
      <color theme="1"/>
      <name val="Calibri"/>
      <family val="2"/>
    </font>
    <font>
      <sz val="11"/>
      <name val="Arial"/>
      <family val="2"/>
    </font>
    <font>
      <sz val="11"/>
      <color rgb="FF000000"/>
      <name val="Arial"/>
      <family val="2"/>
    </font>
    <font>
      <b/>
      <sz val="11"/>
      <color theme="1"/>
      <name val="Arial"/>
      <family val="2"/>
    </font>
    <font>
      <sz val="14"/>
      <color rgb="FFFF0000"/>
      <name val="Arial"/>
      <family val="2"/>
    </font>
    <font>
      <sz val="11"/>
      <color rgb="FFFF0000"/>
      <name val="Arial"/>
      <family val="2"/>
    </font>
    <font>
      <sz val="11"/>
      <color rgb="FF000000"/>
      <name val="Calibri"/>
      <family val="2"/>
    </font>
    <font>
      <b/>
      <sz val="11"/>
      <color rgb="FF000000"/>
      <name val="Calibri"/>
      <family val="2"/>
    </font>
    <font>
      <sz val="12"/>
      <color rgb="FFFF0000"/>
      <name val="Arial"/>
      <family val="2"/>
    </font>
    <font>
      <sz val="11"/>
      <color rgb="FFFF0000"/>
      <name val="Calibri"/>
      <family val="2"/>
    </font>
    <font>
      <sz val="11"/>
      <color theme="1"/>
      <name val="Calibri"/>
      <family val="2"/>
    </font>
    <font>
      <sz val="11"/>
      <color rgb="FF000000"/>
      <name val="Roboto"/>
    </font>
    <font>
      <sz val="10"/>
      <color rgb="FF000000"/>
      <name val="Calibri"/>
      <family val="2"/>
      <scheme val="minor"/>
    </font>
  </fonts>
  <fills count="141">
    <fill>
      <patternFill patternType="none"/>
    </fill>
    <fill>
      <patternFill patternType="gray125"/>
    </fill>
    <fill>
      <patternFill patternType="solid">
        <fgColor rgb="FFA5A5A5"/>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4" tint="0.59999389629810485"/>
        <bgColor rgb="FF000000"/>
      </patternFill>
    </fill>
    <fill>
      <patternFill patternType="solid">
        <fgColor theme="4" tint="0.59999389629810485"/>
        <bgColor indexed="64"/>
      </patternFill>
    </fill>
    <fill>
      <patternFill patternType="solid">
        <fgColor theme="0" tint="-0.249977111117893"/>
        <bgColor rgb="FF000000"/>
      </patternFill>
    </fill>
    <fill>
      <patternFill patternType="solid">
        <fgColor theme="0" tint="-4.9989318521683403E-2"/>
        <bgColor rgb="FF000000"/>
      </patternFill>
    </fill>
    <fill>
      <patternFill patternType="solid">
        <fgColor rgb="FFF2F2F2"/>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rgb="FF000000"/>
      </patternFill>
    </fill>
    <fill>
      <patternFill patternType="solid">
        <fgColor theme="0" tint="-0.34998626667073579"/>
        <bgColor rgb="FF000000"/>
      </patternFill>
    </fill>
    <fill>
      <patternFill patternType="solid">
        <fgColor rgb="FFFFC000"/>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4B083"/>
        <bgColor rgb="FFF4B083"/>
      </patternFill>
    </fill>
    <fill>
      <patternFill patternType="solid">
        <fgColor theme="4" tint="0.39997558519241921"/>
        <bgColor rgb="FFF4B083"/>
      </patternFill>
    </fill>
    <fill>
      <patternFill patternType="solid">
        <fgColor rgb="FFFFC000"/>
        <bgColor rgb="FFF4B083"/>
      </patternFill>
    </fill>
    <fill>
      <patternFill patternType="solid">
        <fgColor theme="2" tint="-9.9978637043366805E-2"/>
        <bgColor indexed="64"/>
      </patternFill>
    </fill>
    <fill>
      <patternFill patternType="solid">
        <fgColor theme="4" tint="0.39997558519241921"/>
        <bgColor rgb="FF000000"/>
      </patternFill>
    </fill>
    <fill>
      <patternFill patternType="solid">
        <fgColor rgb="FFFFC000"/>
        <bgColor rgb="FF000000"/>
      </patternFill>
    </fill>
    <fill>
      <patternFill patternType="solid">
        <fgColor theme="0" tint="-0.14999847407452621"/>
        <bgColor rgb="FFF4B083"/>
      </patternFill>
    </fill>
    <fill>
      <patternFill patternType="solid">
        <fgColor theme="0" tint="-0.14999847407452621"/>
        <bgColor rgb="FFA5A5A5"/>
      </patternFill>
    </fill>
    <fill>
      <patternFill patternType="solid">
        <fgColor theme="0" tint="-0.14999847407452621"/>
        <bgColor rgb="FF5B9BD5"/>
      </patternFill>
    </fill>
    <fill>
      <patternFill patternType="solid">
        <fgColor theme="5" tint="0.3999755851924192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FFFFFF"/>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92D050"/>
        <bgColor rgb="FF000000"/>
      </patternFill>
    </fill>
    <fill>
      <patternFill patternType="solid">
        <fgColor rgb="FFFFFF00"/>
        <bgColor rgb="FF000000"/>
      </patternFill>
    </fill>
    <fill>
      <patternFill patternType="solid">
        <fgColor theme="9"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bgColor indexed="64"/>
      </patternFill>
    </fill>
    <fill>
      <patternFill patternType="solid">
        <fgColor rgb="FFD9D9D9"/>
        <bgColor indexed="64"/>
      </patternFill>
    </fill>
    <fill>
      <patternFill patternType="solid">
        <fgColor rgb="FFC6E0B4"/>
        <bgColor indexed="64"/>
      </patternFill>
    </fill>
    <fill>
      <patternFill patternType="solid">
        <fgColor rgb="FFFFF2CC"/>
        <bgColor indexed="64"/>
      </patternFill>
    </fill>
    <fill>
      <patternFill patternType="solid">
        <fgColor rgb="FFF8CBAD"/>
        <bgColor indexed="64"/>
      </patternFill>
    </fill>
    <fill>
      <patternFill patternType="solid">
        <fgColor rgb="FFFCCCF3"/>
        <bgColor indexed="64"/>
      </patternFill>
    </fill>
    <fill>
      <patternFill patternType="solid">
        <fgColor theme="7" tint="0.59999389629810485"/>
        <bgColor indexed="64"/>
      </patternFill>
    </fill>
    <fill>
      <patternFill patternType="solid">
        <fgColor rgb="FFBDD7EE"/>
        <bgColor indexed="64"/>
      </patternFill>
    </fill>
    <fill>
      <patternFill patternType="solid">
        <fgColor rgb="FFFFCCCC"/>
        <bgColor indexed="64"/>
      </patternFill>
    </fill>
    <fill>
      <patternFill patternType="solid">
        <fgColor rgb="FFE6D5F3"/>
        <bgColor indexed="64"/>
      </patternFill>
    </fill>
    <fill>
      <patternFill patternType="solid">
        <fgColor rgb="FFF4B084"/>
        <bgColor indexed="64"/>
      </patternFill>
    </fill>
    <fill>
      <patternFill patternType="solid">
        <fgColor rgb="FFA6A6A6"/>
        <bgColor indexed="64"/>
      </patternFill>
    </fill>
    <fill>
      <patternFill patternType="solid">
        <fgColor rgb="FF5B9BD5"/>
        <bgColor indexed="64"/>
      </patternFill>
    </fill>
    <fill>
      <patternFill patternType="solid">
        <fgColor rgb="FF548235"/>
        <bgColor indexed="64"/>
      </patternFill>
    </fill>
    <fill>
      <patternFill patternType="solid">
        <fgColor rgb="FFA9D18D"/>
        <bgColor rgb="FF000000"/>
      </patternFill>
    </fill>
    <fill>
      <patternFill patternType="solid">
        <fgColor rgb="FFD8E4BC"/>
        <bgColor indexed="64"/>
      </patternFill>
    </fill>
    <fill>
      <patternFill patternType="solid">
        <fgColor rgb="FFFFFF8F"/>
        <bgColor indexed="64"/>
      </patternFill>
    </fill>
    <fill>
      <patternFill patternType="solid">
        <fgColor rgb="FFC5FFFF"/>
        <bgColor indexed="64"/>
      </patternFill>
    </fill>
    <fill>
      <patternFill patternType="solid">
        <fgColor rgb="FFD6CDE1"/>
        <bgColor indexed="64"/>
      </patternFill>
    </fill>
    <fill>
      <patternFill patternType="solid">
        <fgColor rgb="FFE2ADAC"/>
        <bgColor indexed="64"/>
      </patternFill>
    </fill>
    <fill>
      <patternFill patternType="solid">
        <fgColor theme="6" tint="0.59999389629810485"/>
        <bgColor rgb="FF000000"/>
      </patternFill>
    </fill>
    <fill>
      <patternFill patternType="solid">
        <fgColor theme="6" tint="0.39997558519241921"/>
        <bgColor indexed="64"/>
      </patternFill>
    </fill>
    <fill>
      <patternFill patternType="solid">
        <fgColor theme="6" tint="0.39997558519241921"/>
        <bgColor rgb="FF000000"/>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79998168889431442"/>
        <bgColor indexed="64"/>
      </patternFill>
    </fill>
    <fill>
      <patternFill patternType="solid">
        <fgColor theme="0"/>
        <bgColor rgb="FF000000"/>
      </patternFill>
    </fill>
    <fill>
      <patternFill patternType="solid">
        <fgColor theme="5" tint="0.59999389629810485"/>
        <bgColor rgb="FF000000"/>
      </patternFill>
    </fill>
    <fill>
      <patternFill patternType="solid">
        <fgColor rgb="FFFFFF00"/>
        <bgColor rgb="FFFFC000"/>
      </patternFill>
    </fill>
    <fill>
      <patternFill patternType="solid">
        <fgColor theme="0" tint="-4.9989318521683403E-2"/>
        <bgColor rgb="FF9BBB59"/>
      </patternFill>
    </fill>
    <fill>
      <patternFill patternType="solid">
        <fgColor theme="8" tint="-0.499984740745262"/>
        <bgColor indexed="64"/>
      </patternFill>
    </fill>
    <fill>
      <patternFill patternType="solid">
        <fgColor rgb="FFFFD966"/>
        <bgColor indexed="64"/>
      </patternFill>
    </fill>
    <fill>
      <patternFill patternType="solid">
        <fgColor theme="6" tint="0.79998168889431442"/>
        <bgColor rgb="FF000000"/>
      </patternFill>
    </fill>
    <fill>
      <patternFill patternType="solid">
        <fgColor theme="5" tint="0.59999389629810485"/>
        <bgColor theme="0"/>
      </patternFill>
    </fill>
    <fill>
      <patternFill patternType="solid">
        <fgColor theme="8" tint="0.59999389629810485"/>
        <bgColor rgb="FFFFFFFF"/>
      </patternFill>
    </fill>
    <fill>
      <patternFill patternType="solid">
        <fgColor theme="9" tint="0.59999389629810485"/>
        <bgColor rgb="FFFFFFFF"/>
      </patternFill>
    </fill>
    <fill>
      <patternFill patternType="solid">
        <fgColor theme="7" tint="0.79998168889431442"/>
        <bgColor theme="0"/>
      </patternFill>
    </fill>
    <fill>
      <patternFill patternType="solid">
        <fgColor theme="4" tint="0.59999389629810485"/>
        <bgColor rgb="FFFFFFFF"/>
      </patternFill>
    </fill>
    <fill>
      <patternFill patternType="solid">
        <fgColor theme="4" tint="0.59999389629810485"/>
        <bgColor rgb="FFD9E1F2"/>
      </patternFill>
    </fill>
    <fill>
      <patternFill patternType="solid">
        <fgColor theme="4" tint="0.59999389629810485"/>
        <bgColor theme="0"/>
      </patternFill>
    </fill>
    <fill>
      <patternFill patternType="solid">
        <fgColor theme="9" tint="0.59999389629810485"/>
        <bgColor theme="0"/>
      </patternFill>
    </fill>
    <fill>
      <patternFill patternType="solid">
        <fgColor theme="8" tint="0.79998168889431442"/>
        <bgColor theme="0"/>
      </patternFill>
    </fill>
    <fill>
      <patternFill patternType="solid">
        <fgColor theme="7" tint="0.79998168889431442"/>
        <bgColor rgb="FFFFFFFF"/>
      </patternFill>
    </fill>
    <fill>
      <patternFill patternType="solid">
        <fgColor theme="7" tint="0.79998168889431442"/>
        <bgColor rgb="FFFFF2CC"/>
      </patternFill>
    </fill>
    <fill>
      <patternFill patternType="solid">
        <fgColor theme="9" tint="0.79998168889431442"/>
        <bgColor theme="0"/>
      </patternFill>
    </fill>
    <fill>
      <patternFill patternType="solid">
        <fgColor theme="4" tint="0.79998168889431442"/>
        <bgColor rgb="FFFFFF00"/>
      </patternFill>
    </fill>
    <fill>
      <patternFill patternType="solid">
        <fgColor theme="7" tint="0.79998168889431442"/>
        <bgColor rgb="FFFFFF00"/>
      </patternFill>
    </fill>
    <fill>
      <patternFill patternType="solid">
        <fgColor theme="4" tint="0.59999389629810485"/>
        <bgColor rgb="FF9CC2E5"/>
      </patternFill>
    </fill>
    <fill>
      <patternFill patternType="solid">
        <fgColor theme="7" tint="0.59999389629810485"/>
        <bgColor rgb="FF9CC2E5"/>
      </patternFill>
    </fill>
    <fill>
      <patternFill patternType="solid">
        <fgColor theme="7" tint="0.59999389629810485"/>
        <bgColor rgb="FFFFFF00"/>
      </patternFill>
    </fill>
    <fill>
      <patternFill patternType="solid">
        <fgColor theme="7" tint="0.79998168889431442"/>
        <bgColor rgb="FF00FFFF"/>
      </patternFill>
    </fill>
    <fill>
      <patternFill patternType="solid">
        <fgColor theme="4" tint="0.59999389629810485"/>
        <bgColor rgb="FFFFFF00"/>
      </patternFill>
    </fill>
    <fill>
      <patternFill patternType="solid">
        <fgColor theme="9" tint="0.79998168889431442"/>
        <bgColor rgb="FF9BBB59"/>
      </patternFill>
    </fill>
    <fill>
      <patternFill patternType="solid">
        <fgColor theme="7" tint="0.79998168889431442"/>
        <bgColor rgb="FFF2F2F2"/>
      </patternFill>
    </fill>
    <fill>
      <patternFill patternType="solid">
        <fgColor theme="7" tint="0.59999389629810485"/>
        <bgColor rgb="FFFFF2CC"/>
      </patternFill>
    </fill>
    <fill>
      <patternFill patternType="solid">
        <fgColor theme="7" tint="0.59999389629810485"/>
        <bgColor theme="0"/>
      </patternFill>
    </fill>
    <fill>
      <patternFill patternType="solid">
        <fgColor theme="8" tint="0.39997558519241921"/>
        <bgColor indexed="64"/>
      </patternFill>
    </fill>
    <fill>
      <patternFill patternType="solid">
        <fgColor theme="2" tint="-0.249977111117893"/>
        <bgColor indexed="64"/>
      </patternFill>
    </fill>
    <fill>
      <patternFill patternType="solid">
        <fgColor rgb="FF0070C0"/>
        <bgColor indexed="64"/>
      </patternFill>
    </fill>
    <fill>
      <patternFill patternType="solid">
        <fgColor theme="0" tint="-0.14999847407452621"/>
        <bgColor rgb="FF000000"/>
      </patternFill>
    </fill>
    <fill>
      <patternFill patternType="solid">
        <fgColor theme="7" tint="0.79998168889431442"/>
        <bgColor rgb="FFEFEFEF"/>
      </patternFill>
    </fill>
    <fill>
      <patternFill patternType="solid">
        <fgColor theme="4" tint="0.59999389629810485"/>
        <bgColor rgb="FFEFEFEF"/>
      </patternFill>
    </fill>
    <fill>
      <patternFill patternType="solid">
        <fgColor theme="5" tint="0.59999389629810485"/>
        <bgColor rgb="FFFFFF00"/>
      </patternFill>
    </fill>
    <fill>
      <patternFill patternType="solid">
        <fgColor theme="9" tint="0.59999389629810485"/>
        <bgColor rgb="FF00FFFF"/>
      </patternFill>
    </fill>
    <fill>
      <patternFill patternType="solid">
        <fgColor theme="9" tint="0.59999389629810485"/>
        <bgColor rgb="FFFFFF00"/>
      </patternFill>
    </fill>
    <fill>
      <patternFill patternType="solid">
        <fgColor theme="8" tint="0.59999389629810485"/>
        <bgColor rgb="FF00FFFF"/>
      </patternFill>
    </fill>
    <fill>
      <patternFill patternType="solid">
        <fgColor theme="8" tint="0.59999389629810485"/>
        <bgColor theme="0"/>
      </patternFill>
    </fill>
    <fill>
      <patternFill patternType="solid">
        <fgColor theme="3" tint="0.79998168889431442"/>
        <bgColor rgb="FFFFFF00"/>
      </patternFill>
    </fill>
    <fill>
      <patternFill patternType="solid">
        <fgColor theme="9" tint="-0.499984740745262"/>
        <bgColor indexed="64"/>
      </patternFill>
    </fill>
    <fill>
      <patternFill patternType="solid">
        <fgColor theme="3" tint="0.59999389629810485"/>
        <bgColor indexed="64"/>
      </patternFill>
    </fill>
    <fill>
      <patternFill patternType="solid">
        <fgColor theme="0"/>
        <bgColor rgb="FFF4B083"/>
      </patternFill>
    </fill>
    <fill>
      <patternFill patternType="solid">
        <fgColor theme="7" tint="0.59999389629810485"/>
        <bgColor rgb="FF000000"/>
      </patternFill>
    </fill>
    <fill>
      <patternFill patternType="solid">
        <fgColor rgb="FF522B57"/>
        <bgColor indexed="64"/>
      </patternFill>
    </fill>
    <fill>
      <gradientFill degree="90">
        <stop position="0">
          <color theme="8" tint="0.40000610370189521"/>
        </stop>
        <stop position="0.5">
          <color rgb="FFFF0000"/>
        </stop>
        <stop position="1">
          <color theme="8" tint="0.40000610370189521"/>
        </stop>
      </gradientFill>
    </fill>
    <fill>
      <patternFill patternType="solid">
        <fgColor rgb="FFC5E0B3"/>
        <bgColor rgb="FFC5E0B3"/>
      </patternFill>
    </fill>
    <fill>
      <patternFill patternType="solid">
        <fgColor theme="7" tint="0.79998168889431442"/>
        <bgColor rgb="FFC5E0B3"/>
      </patternFill>
    </fill>
    <fill>
      <patternFill patternType="solid">
        <fgColor rgb="FFFFF3CB"/>
        <bgColor rgb="FFFFF3CB"/>
      </patternFill>
    </fill>
    <fill>
      <patternFill patternType="solid">
        <fgColor rgb="FFFEF2CB"/>
        <bgColor rgb="FFFEF2CB"/>
      </patternFill>
    </fill>
    <fill>
      <patternFill patternType="solid">
        <fgColor rgb="FFFFF2CC"/>
        <bgColor rgb="FFFFF2CC"/>
      </patternFill>
    </fill>
    <fill>
      <patternFill patternType="solid">
        <fgColor rgb="FFB4C6E7"/>
        <bgColor rgb="FFB4C6E7"/>
      </patternFill>
    </fill>
    <fill>
      <patternFill patternType="solid">
        <fgColor rgb="FFE2EFD9"/>
        <bgColor rgb="FFE2EFD9"/>
      </patternFill>
    </fill>
    <fill>
      <patternFill patternType="solid">
        <fgColor rgb="FFFFE599"/>
        <bgColor rgb="FFFFE599"/>
      </patternFill>
    </fill>
    <fill>
      <patternFill patternType="solid">
        <fgColor rgb="FFB6D7A8"/>
        <bgColor rgb="FFB6D7A8"/>
      </patternFill>
    </fill>
    <fill>
      <patternFill patternType="solid">
        <fgColor rgb="FF9FC5E8"/>
        <bgColor rgb="FF9FC5E8"/>
      </patternFill>
    </fill>
    <fill>
      <patternFill patternType="solid">
        <fgColor theme="9" tint="0.59999389629810485"/>
        <bgColor rgb="FF9FC5E8"/>
      </patternFill>
    </fill>
    <fill>
      <patternFill patternType="solid">
        <fgColor theme="7" tint="0.59999389629810485"/>
        <bgColor rgb="FFB6D7A8"/>
      </patternFill>
    </fill>
    <fill>
      <patternFill patternType="solid">
        <fgColor rgb="FFDBDBDB"/>
        <bgColor rgb="FF000000"/>
      </patternFill>
    </fill>
    <fill>
      <patternFill patternType="solid">
        <fgColor rgb="FFBDD7EE"/>
        <bgColor rgb="FF000000"/>
      </patternFill>
    </fill>
    <fill>
      <patternFill patternType="solid">
        <fgColor rgb="FFFFF2CC"/>
        <bgColor rgb="FF000000"/>
      </patternFill>
    </fill>
    <fill>
      <patternFill patternType="solid">
        <fgColor rgb="FF8EAADB"/>
        <bgColor rgb="FF8EAADB"/>
      </patternFill>
    </fill>
    <fill>
      <patternFill patternType="solid">
        <fgColor rgb="FFFFE598"/>
        <bgColor rgb="FFFFE598"/>
      </patternFill>
    </fill>
    <fill>
      <patternFill patternType="solid">
        <fgColor theme="9" tint="0.59999389629810485"/>
        <bgColor rgb="FFFFE598"/>
      </patternFill>
    </fill>
    <fill>
      <patternFill patternType="solid">
        <fgColor theme="9" tint="0.59999389629810485"/>
        <bgColor rgb="FFC5E0B3"/>
      </patternFill>
    </fill>
    <fill>
      <patternFill patternType="solid">
        <fgColor theme="9" tint="0.79998168889431442"/>
        <bgColor rgb="FFFFE599"/>
      </patternFill>
    </fill>
  </fills>
  <borders count="205">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rgb="FF000000"/>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auto="1"/>
      </right>
      <top style="thin">
        <color indexed="64"/>
      </top>
      <bottom/>
      <diagonal/>
    </border>
    <border>
      <left style="thin">
        <color auto="1"/>
      </left>
      <right/>
      <top style="thin">
        <color auto="1"/>
      </top>
      <bottom style="thin">
        <color auto="1"/>
      </bottom>
      <diagonal/>
    </border>
    <border>
      <left style="thin">
        <color auto="1"/>
      </left>
      <right style="medium">
        <color auto="1"/>
      </right>
      <top style="thin">
        <color auto="1"/>
      </top>
      <bottom/>
      <diagonal/>
    </border>
    <border>
      <left/>
      <right/>
      <top style="thin">
        <color auto="1"/>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indexed="8"/>
      </top>
      <bottom style="thin">
        <color indexed="8"/>
      </bottom>
      <diagonal/>
    </border>
    <border>
      <left style="medium">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auto="1"/>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rgb="FFECECEC"/>
      </left>
      <right style="medium">
        <color rgb="FFECECEC"/>
      </right>
      <top style="medium">
        <color rgb="FFECECEC"/>
      </top>
      <bottom style="medium">
        <color rgb="FFECECEC"/>
      </bottom>
      <diagonal/>
    </border>
    <border>
      <left style="medium">
        <color indexed="64"/>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right/>
      <top style="medium">
        <color indexed="64"/>
      </top>
      <bottom style="thin">
        <color rgb="FF000000"/>
      </bottom>
      <diagonal/>
    </border>
    <border>
      <left style="thin">
        <color auto="1"/>
      </left>
      <right style="thin">
        <color indexed="64"/>
      </right>
      <top style="thin">
        <color rgb="FF000000"/>
      </top>
      <bottom style="thin">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rgb="FF000000"/>
      </top>
      <bottom style="medium">
        <color indexed="64"/>
      </bottom>
      <diagonal/>
    </border>
    <border>
      <left/>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s>
  <cellStyleXfs count="25">
    <xf numFmtId="0" fontId="0" fillId="0" borderId="0"/>
    <xf numFmtId="0" fontId="2" fillId="2" borderId="1" applyNumberFormat="0" applyAlignment="0" applyProtection="0"/>
    <xf numFmtId="0" fontId="4"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70" fontId="1" fillId="0" borderId="0" applyFont="0" applyFill="0" applyBorder="0" applyAlignment="0" applyProtection="0"/>
    <xf numFmtId="167" fontId="1" fillId="0" borderId="0" applyFont="0" applyFill="0" applyBorder="0" applyAlignment="0" applyProtection="0"/>
    <xf numFmtId="0" fontId="19" fillId="0" borderId="0"/>
    <xf numFmtId="170" fontId="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7" fillId="0" borderId="0"/>
    <xf numFmtId="0" fontId="17" fillId="0" borderId="0"/>
    <xf numFmtId="171" fontId="1" fillId="0" borderId="0" applyFont="0" applyFill="0" applyBorder="0" applyAlignment="0" applyProtection="0"/>
    <xf numFmtId="42" fontId="1" fillId="0" borderId="0" applyFont="0" applyFill="0" applyBorder="0" applyAlignment="0" applyProtection="0"/>
    <xf numFmtId="0" fontId="19" fillId="0" borderId="0"/>
    <xf numFmtId="0" fontId="19" fillId="0" borderId="0"/>
    <xf numFmtId="0" fontId="33" fillId="0" borderId="0" applyNumberFormat="0" applyFill="0" applyBorder="0" applyAlignment="0" applyProtection="0">
      <alignment vertical="top"/>
      <protection locked="0"/>
    </xf>
    <xf numFmtId="0" fontId="43" fillId="0" borderId="0" applyNumberFormat="0" applyFill="0" applyBorder="0" applyAlignment="0" applyProtection="0"/>
    <xf numFmtId="0" fontId="58" fillId="0" borderId="0"/>
    <xf numFmtId="0" fontId="2" fillId="119" borderId="186">
      <alignment horizontal="center" vertical="center" wrapText="1"/>
    </xf>
  </cellStyleXfs>
  <cellXfs count="17130">
    <xf numFmtId="0" fontId="0" fillId="0" borderId="0" xfId="0"/>
    <xf numFmtId="0" fontId="3" fillId="0" borderId="0" xfId="0" applyFont="1" applyBorder="1" applyAlignment="1">
      <alignment horizontal="center" vertical="center" wrapText="1"/>
    </xf>
    <xf numFmtId="0" fontId="0" fillId="0" borderId="0" xfId="0" applyFont="1"/>
    <xf numFmtId="0" fontId="0" fillId="0" borderId="0" xfId="0" applyFont="1" applyAlignment="1">
      <alignment vertical="center"/>
    </xf>
    <xf numFmtId="0" fontId="0" fillId="0" borderId="0" xfId="0" applyFont="1" applyProtection="1"/>
    <xf numFmtId="0" fontId="0" fillId="0" borderId="0" xfId="0" applyFont="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xf>
    <xf numFmtId="0" fontId="0" fillId="0" borderId="0" xfId="0" applyFont="1" applyProtection="1">
      <protection locked="0"/>
    </xf>
    <xf numFmtId="0" fontId="3" fillId="4" borderId="20" xfId="0" applyFont="1" applyFill="1" applyBorder="1" applyAlignment="1" applyProtection="1">
      <alignment horizontal="center" vertical="center" wrapText="1"/>
      <protection locked="0"/>
    </xf>
    <xf numFmtId="0" fontId="8" fillId="10" borderId="18" xfId="0" applyFont="1" applyFill="1" applyBorder="1" applyAlignment="1" applyProtection="1">
      <alignment horizontal="center" vertical="center"/>
      <protection locked="0"/>
    </xf>
    <xf numFmtId="0" fontId="8" fillId="10" borderId="4" xfId="0" applyFont="1" applyFill="1" applyBorder="1" applyAlignment="1" applyProtection="1">
      <alignment horizontal="center" vertical="center"/>
      <protection locked="0"/>
    </xf>
    <xf numFmtId="0" fontId="3" fillId="4" borderId="9" xfId="0" applyFont="1" applyFill="1" applyBorder="1" applyAlignment="1" applyProtection="1">
      <alignment horizontal="center"/>
      <protection locked="0"/>
    </xf>
    <xf numFmtId="0" fontId="0" fillId="4" borderId="22" xfId="0" applyFont="1" applyFill="1" applyBorder="1" applyAlignment="1" applyProtection="1">
      <alignment horizontal="center" vertical="center" textRotation="90" wrapText="1"/>
      <protection locked="0"/>
    </xf>
    <xf numFmtId="0" fontId="0" fillId="4" borderId="23" xfId="0" applyFont="1" applyFill="1" applyBorder="1" applyAlignment="1" applyProtection="1">
      <alignment horizontal="center" vertical="center" textRotation="90" wrapText="1"/>
      <protection locked="0"/>
    </xf>
    <xf numFmtId="0" fontId="0" fillId="4" borderId="22" xfId="0" applyFont="1" applyFill="1" applyBorder="1" applyAlignment="1" applyProtection="1">
      <alignment vertical="center" textRotation="90" wrapText="1"/>
      <protection locked="0"/>
    </xf>
    <xf numFmtId="16" fontId="0" fillId="4" borderId="20" xfId="0" applyNumberFormat="1" applyFont="1" applyFill="1" applyBorder="1" applyAlignment="1" applyProtection="1">
      <alignment vertical="center" textRotation="90" wrapText="1"/>
      <protection locked="0"/>
    </xf>
    <xf numFmtId="0" fontId="0" fillId="4" borderId="20" xfId="0" applyFont="1" applyFill="1" applyBorder="1" applyAlignment="1" applyProtection="1">
      <alignment vertical="center" textRotation="90" wrapText="1"/>
      <protection locked="0"/>
    </xf>
    <xf numFmtId="0" fontId="0" fillId="4" borderId="23" xfId="0" applyFont="1" applyFill="1" applyBorder="1" applyAlignment="1" applyProtection="1">
      <alignment vertical="center" textRotation="90" wrapText="1"/>
      <protection locked="0"/>
    </xf>
    <xf numFmtId="0" fontId="0" fillId="4" borderId="28" xfId="0" applyFont="1" applyFill="1" applyBorder="1" applyAlignment="1" applyProtection="1">
      <alignment vertical="center" textRotation="90" wrapText="1"/>
      <protection locked="0"/>
    </xf>
    <xf numFmtId="0" fontId="0" fillId="4" borderId="21" xfId="0" applyFont="1" applyFill="1" applyBorder="1" applyAlignment="1" applyProtection="1">
      <alignment vertical="center" textRotation="90" wrapText="1"/>
      <protection locked="0"/>
    </xf>
    <xf numFmtId="0" fontId="8" fillId="10" borderId="0" xfId="0" applyFont="1" applyFill="1" applyBorder="1" applyAlignment="1" applyProtection="1">
      <alignment horizontal="center" vertical="center" wrapText="1"/>
      <protection locked="0"/>
    </xf>
    <xf numFmtId="0" fontId="8" fillId="4" borderId="23" xfId="0" applyFont="1" applyFill="1" applyBorder="1" applyAlignment="1" applyProtection="1">
      <alignment horizontal="center" vertical="center" wrapText="1"/>
      <protection locked="0"/>
    </xf>
    <xf numFmtId="0" fontId="0" fillId="0" borderId="32" xfId="0" applyFont="1" applyFill="1" applyBorder="1" applyAlignment="1">
      <alignment horizontal="center" vertical="center" wrapText="1"/>
    </xf>
    <xf numFmtId="0" fontId="0" fillId="0" borderId="0" xfId="0" applyFont="1" applyAlignment="1">
      <alignment horizontal="center" vertical="center" wrapText="1"/>
    </xf>
    <xf numFmtId="0" fontId="10" fillId="12" borderId="3" xfId="0" applyFont="1" applyFill="1" applyBorder="1" applyAlignment="1">
      <alignment horizontal="justify" vertical="center"/>
    </xf>
    <xf numFmtId="0" fontId="0" fillId="12" borderId="3" xfId="0" applyFont="1" applyFill="1" applyBorder="1" applyAlignment="1">
      <alignment horizontal="justify" vertical="center"/>
    </xf>
    <xf numFmtId="0" fontId="0" fillId="12" borderId="32" xfId="0" applyFont="1" applyFill="1" applyBorder="1" applyAlignment="1">
      <alignment horizontal="justify" vertical="center" wrapText="1"/>
    </xf>
    <xf numFmtId="0" fontId="0" fillId="12" borderId="3" xfId="0" applyFont="1" applyFill="1" applyBorder="1" applyAlignment="1">
      <alignment horizontal="justify" vertical="center" wrapText="1"/>
    </xf>
    <xf numFmtId="0" fontId="0" fillId="12" borderId="3" xfId="0" applyFont="1" applyFill="1" applyBorder="1" applyAlignment="1">
      <alignment vertical="center" wrapText="1"/>
    </xf>
    <xf numFmtId="0" fontId="10" fillId="12" borderId="8" xfId="0" applyFont="1" applyFill="1" applyBorder="1" applyAlignment="1">
      <alignment horizontal="justify" vertical="center"/>
    </xf>
    <xf numFmtId="0" fontId="0" fillId="0" borderId="30" xfId="0" applyFont="1" applyFill="1" applyBorder="1" applyAlignment="1">
      <alignment horizontal="center" vertical="center" wrapText="1"/>
    </xf>
    <xf numFmtId="0" fontId="11" fillId="0" borderId="0" xfId="0" applyFont="1" applyFill="1" applyBorder="1"/>
    <xf numFmtId="0" fontId="11" fillId="0" borderId="0" xfId="0" applyFont="1" applyFill="1" applyBorder="1" applyProtection="1">
      <protection hidden="1"/>
    </xf>
    <xf numFmtId="0" fontId="0" fillId="0" borderId="3" xfId="6" applyFont="1" applyBorder="1" applyAlignment="1">
      <alignment horizontal="center" vertical="center" wrapText="1"/>
    </xf>
    <xf numFmtId="173" fontId="11" fillId="0" borderId="3" xfId="0" applyNumberFormat="1" applyFont="1" applyFill="1" applyBorder="1" applyAlignment="1">
      <alignment horizontal="center" vertical="center" wrapText="1"/>
    </xf>
    <xf numFmtId="0" fontId="0" fillId="0" borderId="0" xfId="0" applyFont="1" applyBorder="1" applyAlignment="1">
      <alignment horizontal="center" vertical="center" wrapText="1"/>
    </xf>
    <xf numFmtId="173" fontId="11" fillId="0" borderId="3" xfId="5" applyNumberFormat="1" applyFont="1" applyFill="1" applyBorder="1" applyAlignment="1">
      <alignment horizontal="center" vertical="center"/>
    </xf>
    <xf numFmtId="173" fontId="11" fillId="0" borderId="3" xfId="0" applyNumberFormat="1" applyFont="1" applyFill="1" applyBorder="1" applyAlignment="1">
      <alignment horizontal="center" vertical="center"/>
    </xf>
    <xf numFmtId="0" fontId="8" fillId="3" borderId="0" xfId="0" applyFont="1" applyFill="1" applyBorder="1" applyAlignment="1">
      <alignment vertical="center"/>
    </xf>
    <xf numFmtId="0" fontId="8" fillId="10" borderId="13" xfId="0" applyFont="1" applyFill="1" applyBorder="1" applyAlignment="1" applyProtection="1">
      <alignment horizontal="center" vertical="center" wrapText="1"/>
      <protection locked="0"/>
    </xf>
    <xf numFmtId="0" fontId="0" fillId="12" borderId="3" xfId="6" applyFont="1" applyFill="1" applyBorder="1" applyAlignment="1">
      <alignment vertical="center" wrapText="1"/>
    </xf>
    <xf numFmtId="9" fontId="11" fillId="12" borderId="3" xfId="0" applyNumberFormat="1" applyFont="1" applyFill="1" applyBorder="1" applyAlignment="1" applyProtection="1">
      <alignment horizontal="center" vertical="center" wrapText="1"/>
      <protection locked="0"/>
    </xf>
    <xf numFmtId="173" fontId="11" fillId="12" borderId="3" xfId="0" applyNumberFormat="1" applyFont="1" applyFill="1" applyBorder="1" applyAlignment="1">
      <alignment horizontal="center" vertical="center" wrapText="1"/>
    </xf>
    <xf numFmtId="0" fontId="0" fillId="12" borderId="3" xfId="0" applyFont="1" applyFill="1" applyBorder="1" applyAlignment="1">
      <alignment horizontal="left" vertical="center" wrapText="1"/>
    </xf>
    <xf numFmtId="0" fontId="14" fillId="12" borderId="3" xfId="0" applyFont="1" applyFill="1" applyBorder="1" applyAlignment="1">
      <alignment vertical="center" wrapText="1"/>
    </xf>
    <xf numFmtId="0" fontId="15" fillId="12" borderId="3" xfId="0" applyFont="1" applyFill="1" applyBorder="1" applyAlignment="1">
      <alignment horizontal="left" vertical="center" wrapText="1"/>
    </xf>
    <xf numFmtId="0" fontId="0" fillId="12" borderId="32" xfId="0" applyFont="1" applyFill="1" applyBorder="1" applyAlignment="1">
      <alignment horizontal="left" vertical="center" wrapText="1"/>
    </xf>
    <xf numFmtId="0" fontId="0" fillId="12" borderId="32" xfId="0" applyFont="1" applyFill="1" applyBorder="1" applyAlignment="1">
      <alignment vertical="center" wrapText="1"/>
    </xf>
    <xf numFmtId="9" fontId="11" fillId="12" borderId="32" xfId="0" applyNumberFormat="1" applyFont="1" applyFill="1" applyBorder="1" applyAlignment="1" applyProtection="1">
      <alignment horizontal="center" vertical="center" wrapText="1"/>
      <protection locked="0"/>
    </xf>
    <xf numFmtId="173" fontId="11" fillId="12" borderId="32" xfId="0" applyNumberFormat="1" applyFont="1" applyFill="1" applyBorder="1" applyAlignment="1">
      <alignment horizontal="center" vertical="center" wrapText="1"/>
    </xf>
    <xf numFmtId="173" fontId="11" fillId="0" borderId="32" xfId="0" applyNumberFormat="1" applyFont="1" applyFill="1" applyBorder="1" applyAlignment="1">
      <alignment horizontal="center" vertical="center" wrapText="1"/>
    </xf>
    <xf numFmtId="0" fontId="0" fillId="0" borderId="32" xfId="6" applyFont="1" applyBorder="1" applyAlignment="1">
      <alignment horizontal="center" vertical="center" wrapText="1"/>
    </xf>
    <xf numFmtId="0" fontId="0" fillId="0" borderId="3" xfId="0" applyBorder="1"/>
    <xf numFmtId="0" fontId="0" fillId="0" borderId="3" xfId="0" applyFont="1" applyBorder="1" applyAlignment="1">
      <alignment horizontal="left" vertical="center" wrapText="1"/>
    </xf>
    <xf numFmtId="0" fontId="0" fillId="0" borderId="8" xfId="0" applyFont="1" applyBorder="1" applyAlignment="1">
      <alignment horizontal="left" vertical="center" wrapText="1"/>
    </xf>
    <xf numFmtId="0" fontId="0" fillId="12" borderId="8" xfId="6" applyFont="1" applyFill="1" applyBorder="1" applyAlignment="1">
      <alignment vertical="center" wrapText="1"/>
    </xf>
    <xf numFmtId="0" fontId="0" fillId="12" borderId="8" xfId="0" applyFont="1" applyFill="1" applyBorder="1" applyAlignment="1">
      <alignment vertical="center" wrapText="1"/>
    </xf>
    <xf numFmtId="9" fontId="11" fillId="12" borderId="8" xfId="0" applyNumberFormat="1" applyFont="1" applyFill="1" applyBorder="1" applyAlignment="1" applyProtection="1">
      <alignment horizontal="center" vertical="center" wrapText="1"/>
      <protection locked="0"/>
    </xf>
    <xf numFmtId="173" fontId="11" fillId="12" borderId="8" xfId="0" applyNumberFormat="1" applyFont="1" applyFill="1" applyBorder="1" applyAlignment="1">
      <alignment horizontal="center" vertical="center" wrapText="1"/>
    </xf>
    <xf numFmtId="173" fontId="11" fillId="0" borderId="8" xfId="0" applyNumberFormat="1" applyFont="1" applyFill="1" applyBorder="1" applyAlignment="1">
      <alignment horizontal="center" vertical="center" wrapText="1"/>
    </xf>
    <xf numFmtId="0" fontId="0" fillId="0" borderId="8" xfId="6" applyFont="1" applyBorder="1" applyAlignment="1">
      <alignment horizontal="center" vertical="center" wrapText="1"/>
    </xf>
    <xf numFmtId="0" fontId="0" fillId="0" borderId="8" xfId="0" applyBorder="1"/>
    <xf numFmtId="0" fontId="0" fillId="0" borderId="9" xfId="0" applyBorder="1"/>
    <xf numFmtId="0" fontId="0" fillId="0" borderId="12" xfId="0" applyBorder="1"/>
    <xf numFmtId="0" fontId="0" fillId="0" borderId="30" xfId="0" applyFont="1" applyBorder="1" applyAlignment="1">
      <alignment horizontal="left" vertical="center" wrapText="1"/>
    </xf>
    <xf numFmtId="0" fontId="0" fillId="12" borderId="30" xfId="6" applyFont="1" applyFill="1" applyBorder="1" applyAlignment="1">
      <alignment vertical="center" wrapText="1"/>
    </xf>
    <xf numFmtId="0" fontId="0" fillId="12" borderId="30" xfId="0" applyFont="1" applyFill="1" applyBorder="1" applyAlignment="1">
      <alignment vertical="center" wrapText="1"/>
    </xf>
    <xf numFmtId="9" fontId="11" fillId="12" borderId="30" xfId="0" applyNumberFormat="1" applyFont="1" applyFill="1" applyBorder="1" applyAlignment="1" applyProtection="1">
      <alignment horizontal="center" vertical="center" wrapText="1"/>
      <protection locked="0"/>
    </xf>
    <xf numFmtId="173" fontId="11" fillId="12" borderId="30" xfId="0" applyNumberFormat="1" applyFont="1" applyFill="1" applyBorder="1" applyAlignment="1">
      <alignment horizontal="center" vertical="center" wrapText="1"/>
    </xf>
    <xf numFmtId="173" fontId="11" fillId="0" borderId="30" xfId="0" applyNumberFormat="1" applyFont="1" applyFill="1" applyBorder="1" applyAlignment="1">
      <alignment horizontal="center" vertical="center" wrapText="1"/>
    </xf>
    <xf numFmtId="0" fontId="0" fillId="0" borderId="30" xfId="6" applyFont="1" applyBorder="1" applyAlignment="1">
      <alignment horizontal="center" vertical="center" wrapText="1"/>
    </xf>
    <xf numFmtId="0" fontId="0" fillId="0" borderId="30" xfId="0" applyBorder="1"/>
    <xf numFmtId="0" fontId="0" fillId="0" borderId="31" xfId="0" applyBorder="1"/>
    <xf numFmtId="0" fontId="9" fillId="4" borderId="20" xfId="1" applyFont="1" applyFill="1" applyBorder="1" applyAlignment="1">
      <alignment horizontal="center" vertical="center" wrapText="1"/>
    </xf>
    <xf numFmtId="0" fontId="8" fillId="4" borderId="3" xfId="0" applyFont="1" applyFill="1" applyBorder="1" applyAlignment="1">
      <alignment vertical="center" wrapText="1"/>
    </xf>
    <xf numFmtId="0" fontId="8" fillId="4" borderId="41" xfId="0" applyFont="1" applyFill="1" applyBorder="1" applyAlignment="1">
      <alignment vertical="center" wrapText="1"/>
    </xf>
    <xf numFmtId="0" fontId="3" fillId="4" borderId="20" xfId="0" applyFont="1" applyFill="1" applyBorder="1" applyAlignment="1">
      <alignment vertical="center" wrapText="1"/>
    </xf>
    <xf numFmtId="0" fontId="8" fillId="4" borderId="44" xfId="0" applyFont="1" applyFill="1" applyBorder="1" applyAlignment="1">
      <alignment vertical="center" wrapText="1"/>
    </xf>
    <xf numFmtId="0" fontId="0" fillId="0" borderId="8" xfId="0" applyFont="1" applyBorder="1" applyAlignment="1">
      <alignment horizontal="center" vertical="center" wrapText="1"/>
    </xf>
    <xf numFmtId="0" fontId="0" fillId="0" borderId="30" xfId="0" applyFont="1" applyBorder="1" applyAlignment="1">
      <alignment horizontal="center" vertical="center" wrapText="1"/>
    </xf>
    <xf numFmtId="0" fontId="0" fillId="0" borderId="0" xfId="0" applyFont="1" applyBorder="1" applyAlignment="1">
      <alignment vertical="center"/>
    </xf>
    <xf numFmtId="0" fontId="8" fillId="4" borderId="39" xfId="0" applyFont="1" applyFill="1" applyBorder="1" applyAlignment="1">
      <alignment vertical="center" wrapText="1"/>
    </xf>
    <xf numFmtId="0" fontId="11" fillId="12" borderId="8" xfId="0" applyFont="1" applyFill="1" applyBorder="1" applyAlignment="1">
      <alignment horizontal="center" vertical="center" wrapText="1"/>
    </xf>
    <xf numFmtId="0" fontId="10" fillId="12" borderId="20" xfId="0" applyFont="1" applyFill="1" applyBorder="1" applyAlignment="1">
      <alignment horizontal="justify" vertical="center" wrapText="1"/>
    </xf>
    <xf numFmtId="0" fontId="0" fillId="12" borderId="8" xfId="0" applyFont="1" applyFill="1" applyBorder="1" applyAlignment="1">
      <alignment horizontal="justify" vertical="center" wrapText="1"/>
    </xf>
    <xf numFmtId="0" fontId="0" fillId="12" borderId="30" xfId="0" applyFont="1" applyFill="1" applyBorder="1" applyAlignment="1">
      <alignment horizontal="justify" vertical="center" wrapText="1"/>
    </xf>
    <xf numFmtId="0" fontId="15" fillId="12" borderId="32" xfId="0" applyFont="1" applyFill="1" applyBorder="1" applyAlignment="1">
      <alignment horizontal="left" vertical="center" wrapText="1"/>
    </xf>
    <xf numFmtId="0" fontId="0" fillId="0" borderId="32" xfId="0" applyBorder="1"/>
    <xf numFmtId="0" fontId="0" fillId="0" borderId="52" xfId="0" applyBorder="1"/>
    <xf numFmtId="0" fontId="14" fillId="12" borderId="30" xfId="0" applyFont="1" applyFill="1" applyBorder="1" applyAlignment="1">
      <alignment vertical="center" wrapText="1"/>
    </xf>
    <xf numFmtId="0" fontId="15" fillId="12" borderId="30" xfId="0" applyFont="1" applyFill="1" applyBorder="1" applyAlignment="1">
      <alignment horizontal="left" vertical="center" wrapText="1"/>
    </xf>
    <xf numFmtId="0" fontId="14" fillId="12" borderId="32" xfId="0" applyFont="1" applyFill="1" applyBorder="1" applyAlignment="1">
      <alignment vertical="center" wrapText="1"/>
    </xf>
    <xf numFmtId="173" fontId="11" fillId="0" borderId="32" xfId="5" applyNumberFormat="1" applyFont="1" applyFill="1" applyBorder="1" applyAlignment="1">
      <alignment horizontal="center" vertical="center"/>
    </xf>
    <xf numFmtId="0" fontId="0" fillId="12" borderId="30" xfId="0" applyFont="1" applyFill="1" applyBorder="1" applyAlignment="1">
      <alignment horizontal="left" vertical="center" wrapText="1"/>
    </xf>
    <xf numFmtId="173" fontId="11" fillId="0" borderId="30" xfId="5" applyNumberFormat="1" applyFont="1" applyFill="1" applyBorder="1" applyAlignment="1">
      <alignment horizontal="center" vertical="center"/>
    </xf>
    <xf numFmtId="0" fontId="10" fillId="12" borderId="3" xfId="0" applyFont="1" applyFill="1" applyBorder="1" applyAlignment="1">
      <alignment horizontal="center" vertical="center" wrapText="1"/>
    </xf>
    <xf numFmtId="0" fontId="10" fillId="12" borderId="3" xfId="0" applyFont="1" applyFill="1" applyBorder="1" applyAlignment="1">
      <alignment vertical="center" wrapText="1"/>
    </xf>
    <xf numFmtId="0" fontId="10" fillId="12" borderId="8" xfId="0" applyFont="1" applyFill="1" applyBorder="1" applyAlignment="1">
      <alignment horizontal="center" vertical="center" wrapText="1"/>
    </xf>
    <xf numFmtId="0" fontId="10" fillId="12" borderId="30" xfId="0" applyFont="1" applyFill="1" applyBorder="1" applyAlignment="1">
      <alignment vertical="center" wrapText="1"/>
    </xf>
    <xf numFmtId="0" fontId="10" fillId="12" borderId="30" xfId="0" applyFont="1" applyFill="1" applyBorder="1" applyAlignment="1">
      <alignment horizontal="center" vertical="center" wrapText="1"/>
    </xf>
    <xf numFmtId="0" fontId="10" fillId="12" borderId="32" xfId="0" applyFont="1" applyFill="1" applyBorder="1" applyAlignment="1">
      <alignment vertical="center" wrapText="1"/>
    </xf>
    <xf numFmtId="0" fontId="10" fillId="0" borderId="56" xfId="0" applyFont="1" applyBorder="1" applyAlignment="1">
      <alignment horizontal="center" vertical="center" wrapText="1"/>
    </xf>
    <xf numFmtId="0" fontId="10" fillId="12" borderId="56" xfId="0" applyFont="1" applyFill="1" applyBorder="1" applyAlignment="1">
      <alignment horizontal="center" vertical="center" wrapText="1"/>
    </xf>
    <xf numFmtId="0" fontId="8" fillId="3" borderId="2" xfId="0" applyFont="1" applyFill="1" applyBorder="1" applyAlignment="1">
      <alignment vertical="center"/>
    </xf>
    <xf numFmtId="0" fontId="8" fillId="0" borderId="0" xfId="0" applyFont="1" applyFill="1" applyBorder="1" applyAlignment="1" applyProtection="1">
      <alignment vertical="center" wrapText="1"/>
      <protection locked="0"/>
    </xf>
    <xf numFmtId="0" fontId="8" fillId="0" borderId="20" xfId="0" applyFont="1" applyFill="1" applyBorder="1" applyAlignment="1" applyProtection="1">
      <alignment vertical="center" wrapText="1"/>
      <protection locked="0"/>
    </xf>
    <xf numFmtId="0" fontId="8" fillId="4" borderId="33" xfId="0" applyFont="1" applyFill="1" applyBorder="1" applyAlignment="1">
      <alignment vertical="center" wrapText="1"/>
    </xf>
    <xf numFmtId="0" fontId="8" fillId="4" borderId="28" xfId="0" applyFont="1" applyFill="1" applyBorder="1" applyAlignment="1">
      <alignment vertical="center" wrapText="1"/>
    </xf>
    <xf numFmtId="0" fontId="8" fillId="4" borderId="54" xfId="0" applyFont="1" applyFill="1" applyBorder="1" applyAlignment="1">
      <alignment vertical="center" wrapText="1"/>
    </xf>
    <xf numFmtId="0" fontId="11" fillId="12" borderId="3" xfId="8" applyFont="1" applyFill="1" applyBorder="1" applyAlignment="1">
      <alignment horizontal="left" vertical="center" wrapText="1"/>
    </xf>
    <xf numFmtId="0" fontId="11" fillId="12" borderId="8" xfId="8" applyFont="1" applyFill="1" applyBorder="1" applyAlignment="1">
      <alignment horizontal="left" vertical="center" wrapText="1"/>
    </xf>
    <xf numFmtId="0" fontId="11" fillId="12" borderId="30" xfId="8" applyFont="1" applyFill="1" applyBorder="1" applyAlignment="1">
      <alignment horizontal="left" vertical="center" wrapText="1"/>
    </xf>
    <xf numFmtId="0" fontId="11" fillId="12" borderId="32" xfId="8" applyFont="1" applyFill="1" applyBorder="1" applyAlignment="1">
      <alignment horizontal="left" vertical="center" wrapText="1"/>
    </xf>
    <xf numFmtId="0" fontId="8" fillId="13" borderId="26" xfId="0" applyFont="1" applyFill="1" applyBorder="1" applyAlignment="1">
      <alignment horizontal="center" vertical="center" wrapText="1"/>
    </xf>
    <xf numFmtId="0" fontId="8" fillId="13" borderId="26" xfId="0" applyFont="1" applyFill="1" applyBorder="1" applyAlignment="1">
      <alignment vertical="center" wrapText="1"/>
    </xf>
    <xf numFmtId="0" fontId="8" fillId="13" borderId="2" xfId="0" applyFont="1" applyFill="1" applyBorder="1" applyAlignment="1">
      <alignment vertical="center" wrapText="1"/>
    </xf>
    <xf numFmtId="0" fontId="11" fillId="12" borderId="32" xfId="0" applyFont="1" applyFill="1" applyBorder="1" applyAlignment="1">
      <alignment horizontal="center" vertical="center" wrapText="1"/>
    </xf>
    <xf numFmtId="0" fontId="8" fillId="4" borderId="58" xfId="0" applyFont="1" applyFill="1" applyBorder="1" applyAlignment="1">
      <alignment vertical="center" wrapText="1"/>
    </xf>
    <xf numFmtId="0" fontId="0" fillId="0" borderId="0" xfId="0" applyFont="1" applyBorder="1" applyAlignment="1">
      <alignment horizontal="center" vertical="center"/>
    </xf>
    <xf numFmtId="0" fontId="8" fillId="13" borderId="35" xfId="0" applyFont="1" applyFill="1" applyBorder="1" applyAlignment="1">
      <alignment horizontal="center" vertical="center" wrapText="1"/>
    </xf>
    <xf numFmtId="0" fontId="10" fillId="12" borderId="8" xfId="0" applyFont="1" applyFill="1" applyBorder="1" applyAlignment="1">
      <alignment horizontal="justify" vertical="center" wrapText="1"/>
    </xf>
    <xf numFmtId="0" fontId="10" fillId="0" borderId="0" xfId="0" applyFont="1" applyFill="1"/>
    <xf numFmtId="0" fontId="10" fillId="0" borderId="0" xfId="0" applyFont="1"/>
    <xf numFmtId="0" fontId="10" fillId="0" borderId="0" xfId="0" applyFont="1" applyAlignment="1">
      <alignment horizontal="center" vertical="center" wrapText="1"/>
    </xf>
    <xf numFmtId="0" fontId="0" fillId="0" borderId="3" xfId="0" applyBorder="1" applyAlignment="1">
      <alignment horizontal="center" vertical="center"/>
    </xf>
    <xf numFmtId="0" fontId="0" fillId="0" borderId="3" xfId="0" applyBorder="1" applyAlignment="1">
      <alignment vertical="center" wrapText="1"/>
    </xf>
    <xf numFmtId="0" fontId="8" fillId="15" borderId="20" xfId="0" applyFont="1" applyFill="1" applyBorder="1" applyAlignment="1">
      <alignment horizontal="center" vertical="center" wrapText="1"/>
    </xf>
    <xf numFmtId="0" fontId="8" fillId="22" borderId="2" xfId="0" applyFont="1" applyFill="1" applyBorder="1" applyAlignment="1">
      <alignment horizontal="center" vertical="center" wrapText="1"/>
    </xf>
    <xf numFmtId="0" fontId="8" fillId="23" borderId="26" xfId="0" applyFont="1" applyFill="1" applyBorder="1" applyAlignment="1">
      <alignment horizontal="center" vertical="center" wrapText="1"/>
    </xf>
    <xf numFmtId="0" fontId="0" fillId="0" borderId="32" xfId="0" applyFont="1" applyBorder="1" applyProtection="1"/>
    <xf numFmtId="0" fontId="0" fillId="12" borderId="3" xfId="0" applyFont="1" applyFill="1" applyBorder="1" applyAlignment="1">
      <alignment horizontal="center" vertical="center" wrapText="1"/>
    </xf>
    <xf numFmtId="0" fontId="10" fillId="0" borderId="0" xfId="0" applyFont="1" applyAlignment="1">
      <alignment horizontal="center"/>
    </xf>
    <xf numFmtId="0" fontId="0" fillId="0" borderId="0" xfId="0" applyFont="1" applyFill="1"/>
    <xf numFmtId="0" fontId="0" fillId="0" borderId="0" xfId="0" applyFont="1" applyBorder="1" applyProtection="1"/>
    <xf numFmtId="0" fontId="0" fillId="0" borderId="30" xfId="0" applyFont="1" applyFill="1" applyBorder="1" applyAlignment="1">
      <alignment horizontal="left" vertical="center" wrapText="1"/>
    </xf>
    <xf numFmtId="0" fontId="0" fillId="0" borderId="0" xfId="0" applyFont="1" applyAlignment="1">
      <alignment horizontal="center"/>
    </xf>
    <xf numFmtId="0" fontId="11" fillId="0" borderId="0" xfId="0" applyFont="1" applyAlignment="1">
      <alignment horizontal="center" vertical="center" wrapText="1"/>
    </xf>
    <xf numFmtId="0" fontId="10" fillId="11" borderId="8" xfId="0" applyFont="1" applyFill="1" applyBorder="1" applyAlignment="1">
      <alignment horizontal="center" vertical="center"/>
    </xf>
    <xf numFmtId="0" fontId="10" fillId="11" borderId="3" xfId="0" applyFont="1" applyFill="1" applyBorder="1" applyAlignment="1">
      <alignment horizontal="center" vertical="center"/>
    </xf>
    <xf numFmtId="0" fontId="21" fillId="11" borderId="3" xfId="0" applyFont="1" applyFill="1" applyBorder="1" applyAlignment="1">
      <alignment horizontal="center" vertical="center" wrapText="1"/>
    </xf>
    <xf numFmtId="0" fontId="0" fillId="11" borderId="3" xfId="0" applyFill="1" applyBorder="1" applyAlignment="1">
      <alignment vertical="top" wrapText="1"/>
    </xf>
    <xf numFmtId="0" fontId="0" fillId="11" borderId="3" xfId="0" applyFill="1" applyBorder="1" applyAlignment="1">
      <alignment vertical="center" wrapText="1"/>
    </xf>
    <xf numFmtId="0" fontId="0" fillId="11" borderId="3" xfId="0" applyFill="1" applyBorder="1"/>
    <xf numFmtId="0" fontId="0" fillId="11" borderId="0" xfId="0" applyFont="1" applyFill="1"/>
    <xf numFmtId="0" fontId="0" fillId="11" borderId="3" xfId="0" applyFill="1" applyBorder="1" applyAlignment="1">
      <alignment vertical="center"/>
    </xf>
    <xf numFmtId="9" fontId="0" fillId="16" borderId="3" xfId="5" applyFont="1" applyFill="1" applyBorder="1" applyAlignment="1">
      <alignment horizontal="center" vertical="center"/>
    </xf>
    <xf numFmtId="0" fontId="0" fillId="11" borderId="3" xfId="0" applyFill="1" applyBorder="1" applyAlignment="1">
      <alignment horizontal="center" vertical="center"/>
    </xf>
    <xf numFmtId="170" fontId="0" fillId="11" borderId="3" xfId="0" applyNumberFormat="1" applyFill="1" applyBorder="1" applyAlignment="1">
      <alignment vertical="center"/>
    </xf>
    <xf numFmtId="170" fontId="0" fillId="11" borderId="3" xfId="9" applyFont="1" applyFill="1" applyBorder="1" applyAlignment="1">
      <alignment vertical="center"/>
    </xf>
    <xf numFmtId="0" fontId="0" fillId="11" borderId="12" xfId="0" applyFill="1" applyBorder="1"/>
    <xf numFmtId="0" fontId="0" fillId="11" borderId="3" xfId="0" applyFill="1" applyBorder="1" applyAlignment="1">
      <alignment wrapText="1"/>
    </xf>
    <xf numFmtId="3" fontId="10" fillId="11" borderId="3" xfId="0" applyNumberFormat="1" applyFont="1" applyFill="1" applyBorder="1" applyAlignment="1">
      <alignment horizontal="center" vertical="center"/>
    </xf>
    <xf numFmtId="0" fontId="0" fillId="11" borderId="12" xfId="0" applyFill="1" applyBorder="1" applyAlignment="1">
      <alignment vertical="center"/>
    </xf>
    <xf numFmtId="0" fontId="0" fillId="11" borderId="30" xfId="0" applyFill="1" applyBorder="1" applyAlignment="1">
      <alignment vertical="center" wrapText="1"/>
    </xf>
    <xf numFmtId="170" fontId="0" fillId="11" borderId="30" xfId="9" applyFont="1" applyFill="1" applyBorder="1" applyAlignment="1">
      <alignment vertical="center"/>
    </xf>
    <xf numFmtId="0" fontId="10" fillId="11" borderId="30" xfId="0" applyFont="1" applyFill="1" applyBorder="1" applyAlignment="1">
      <alignment horizontal="center" vertical="center"/>
    </xf>
    <xf numFmtId="0" fontId="0" fillId="11" borderId="30" xfId="0" applyFill="1" applyBorder="1" applyAlignment="1">
      <alignment horizontal="center" vertical="center"/>
    </xf>
    <xf numFmtId="0" fontId="27" fillId="11" borderId="30" xfId="0" applyFont="1" applyFill="1" applyBorder="1" applyAlignment="1">
      <alignment horizontal="center" vertical="center"/>
    </xf>
    <xf numFmtId="0" fontId="0" fillId="11" borderId="30" xfId="0" applyFill="1" applyBorder="1"/>
    <xf numFmtId="0" fontId="0" fillId="11" borderId="31" xfId="0" applyFill="1" applyBorder="1"/>
    <xf numFmtId="9" fontId="0" fillId="16" borderId="30" xfId="5" applyFont="1" applyFill="1" applyBorder="1" applyAlignment="1">
      <alignment horizontal="center" vertical="center"/>
    </xf>
    <xf numFmtId="9" fontId="0" fillId="15" borderId="3" xfId="0" applyNumberFormat="1" applyFill="1" applyBorder="1" applyAlignment="1">
      <alignment horizontal="center" vertical="center"/>
    </xf>
    <xf numFmtId="9" fontId="10" fillId="16" borderId="3" xfId="0" applyNumberFormat="1" applyFont="1" applyFill="1" applyBorder="1" applyAlignment="1">
      <alignment horizontal="center" vertical="center" wrapText="1"/>
    </xf>
    <xf numFmtId="0" fontId="7" fillId="0" borderId="3" xfId="0" applyFont="1" applyBorder="1"/>
    <xf numFmtId="0" fontId="7" fillId="0" borderId="3" xfId="0" applyFont="1" applyBorder="1" applyAlignment="1">
      <alignment wrapText="1"/>
    </xf>
    <xf numFmtId="9" fontId="0" fillId="16" borderId="3" xfId="0" applyNumberFormat="1" applyFill="1" applyBorder="1"/>
    <xf numFmtId="0" fontId="0" fillId="0" borderId="3" xfId="0" applyBorder="1" applyAlignment="1">
      <alignment wrapText="1"/>
    </xf>
    <xf numFmtId="0" fontId="0" fillId="0" borderId="3" xfId="0" applyBorder="1" applyAlignment="1">
      <alignment vertical="top" wrapText="1"/>
    </xf>
    <xf numFmtId="0" fontId="3" fillId="0" borderId="0" xfId="0" applyFont="1" applyAlignment="1">
      <alignment horizontal="center" vertical="center" wrapText="1"/>
    </xf>
    <xf numFmtId="0" fontId="26" fillId="0" borderId="32" xfId="0" applyFont="1" applyBorder="1" applyAlignment="1">
      <alignment horizontal="center" vertical="center" wrapText="1"/>
    </xf>
    <xf numFmtId="0" fontId="10" fillId="11" borderId="9" xfId="0" applyFont="1" applyFill="1" applyBorder="1" applyAlignment="1">
      <alignment horizontal="center" vertical="center"/>
    </xf>
    <xf numFmtId="9" fontId="0" fillId="16" borderId="3" xfId="0" applyNumberFormat="1" applyFill="1" applyBorder="1" applyAlignment="1">
      <alignment horizontal="center" vertical="center"/>
    </xf>
    <xf numFmtId="0" fontId="0" fillId="11" borderId="32" xfId="0" applyFill="1" applyBorder="1"/>
    <xf numFmtId="9" fontId="10" fillId="16" borderId="3" xfId="5" applyFont="1" applyFill="1" applyBorder="1" applyAlignment="1">
      <alignment horizontal="center" vertical="center" wrapText="1"/>
    </xf>
    <xf numFmtId="0" fontId="9" fillId="28" borderId="8" xfId="0" applyFont="1" applyFill="1" applyBorder="1" applyAlignment="1">
      <alignment vertical="center"/>
    </xf>
    <xf numFmtId="0" fontId="9" fillId="28" borderId="8" xfId="0" applyFont="1" applyFill="1" applyBorder="1" applyAlignment="1">
      <alignment horizontal="center" vertical="center"/>
    </xf>
    <xf numFmtId="0" fontId="9" fillId="28" borderId="20" xfId="0" applyFont="1" applyFill="1" applyBorder="1" applyAlignment="1">
      <alignment vertical="center"/>
    </xf>
    <xf numFmtId="0" fontId="9" fillId="28" borderId="20" xfId="0" applyFont="1" applyFill="1" applyBorder="1" applyAlignment="1">
      <alignment horizontal="left" vertical="center"/>
    </xf>
    <xf numFmtId="0" fontId="9" fillId="10" borderId="18" xfId="0" applyFont="1" applyFill="1" applyBorder="1" applyAlignment="1" applyProtection="1">
      <alignment horizontal="center" vertical="center"/>
      <protection locked="0"/>
    </xf>
    <xf numFmtId="0" fontId="9" fillId="10" borderId="4" xfId="0" applyFont="1" applyFill="1" applyBorder="1" applyAlignment="1" applyProtection="1">
      <alignment horizontal="center" vertical="center"/>
      <protection locked="0"/>
    </xf>
    <xf numFmtId="0" fontId="10" fillId="4" borderId="22" xfId="0" applyFont="1" applyFill="1" applyBorder="1" applyAlignment="1" applyProtection="1">
      <alignment horizontal="center" vertical="center" textRotation="90" wrapText="1"/>
      <protection locked="0"/>
    </xf>
    <xf numFmtId="0" fontId="10" fillId="4" borderId="23" xfId="0" applyFont="1" applyFill="1" applyBorder="1" applyAlignment="1" applyProtection="1">
      <alignment horizontal="center" vertical="center" textRotation="90" wrapText="1"/>
      <protection locked="0"/>
    </xf>
    <xf numFmtId="0" fontId="10" fillId="4" borderId="22" xfId="0" applyFont="1" applyFill="1" applyBorder="1" applyAlignment="1" applyProtection="1">
      <alignment vertical="center" textRotation="90" wrapText="1"/>
      <protection locked="0"/>
    </xf>
    <xf numFmtId="16" fontId="10" fillId="4" borderId="20" xfId="0" applyNumberFormat="1" applyFont="1" applyFill="1" applyBorder="1" applyAlignment="1" applyProtection="1">
      <alignment vertical="center" textRotation="90" wrapText="1"/>
      <protection locked="0"/>
    </xf>
    <xf numFmtId="0" fontId="10" fillId="4" borderId="20" xfId="0" applyFont="1" applyFill="1" applyBorder="1" applyAlignment="1" applyProtection="1">
      <alignment vertical="center" textRotation="90" wrapText="1"/>
      <protection locked="0"/>
    </xf>
    <xf numFmtId="0" fontId="10" fillId="4" borderId="23" xfId="0" applyFont="1" applyFill="1" applyBorder="1" applyAlignment="1" applyProtection="1">
      <alignment vertical="center" textRotation="90" wrapText="1"/>
      <protection locked="0"/>
    </xf>
    <xf numFmtId="0" fontId="10" fillId="4" borderId="28" xfId="0" applyFont="1" applyFill="1" applyBorder="1" applyAlignment="1" applyProtection="1">
      <alignment vertical="center" textRotation="90" wrapText="1"/>
      <protection locked="0"/>
    </xf>
    <xf numFmtId="0" fontId="10" fillId="4" borderId="21" xfId="0" applyFont="1" applyFill="1" applyBorder="1" applyAlignment="1" applyProtection="1">
      <alignment vertical="center" textRotation="90" wrapText="1"/>
      <protection locked="0"/>
    </xf>
    <xf numFmtId="0" fontId="9" fillId="10" borderId="0" xfId="0" applyFont="1" applyFill="1" applyBorder="1" applyAlignment="1" applyProtection="1">
      <alignment horizontal="center" vertical="center" wrapText="1"/>
      <protection locked="0"/>
    </xf>
    <xf numFmtId="0" fontId="9" fillId="4" borderId="20" xfId="0" applyFont="1" applyFill="1" applyBorder="1" applyAlignment="1" applyProtection="1">
      <alignment horizontal="center" vertical="center" wrapText="1"/>
      <protection locked="0"/>
    </xf>
    <xf numFmtId="0" fontId="10" fillId="0" borderId="0" xfId="0" applyFont="1" applyAlignment="1">
      <alignment horizontal="center" vertical="center"/>
    </xf>
    <xf numFmtId="9" fontId="10" fillId="0" borderId="0" xfId="5" applyFont="1"/>
    <xf numFmtId="9" fontId="0" fillId="16" borderId="3" xfId="5" applyFont="1" applyFill="1" applyBorder="1"/>
    <xf numFmtId="190" fontId="0" fillId="0" borderId="3" xfId="7" applyNumberFormat="1" applyFont="1" applyBorder="1" applyAlignment="1">
      <alignment vertical="center"/>
    </xf>
    <xf numFmtId="0" fontId="0" fillId="0" borderId="12" xfId="0" applyBorder="1" applyAlignment="1">
      <alignment vertical="center"/>
    </xf>
    <xf numFmtId="0" fontId="0" fillId="0" borderId="3" xfId="0" applyBorder="1" applyAlignment="1">
      <alignment horizontal="left" wrapText="1"/>
    </xf>
    <xf numFmtId="190" fontId="0" fillId="0" borderId="3" xfId="7" applyNumberFormat="1" applyFont="1" applyBorder="1" applyAlignment="1">
      <alignment horizontal="center" vertical="center"/>
    </xf>
    <xf numFmtId="0" fontId="0" fillId="0" borderId="12" xfId="0" applyBorder="1" applyAlignment="1">
      <alignment vertical="center" wrapText="1"/>
    </xf>
    <xf numFmtId="0" fontId="0" fillId="0" borderId="3" xfId="0" applyBorder="1" applyAlignment="1">
      <alignment horizontal="center" vertical="center"/>
    </xf>
    <xf numFmtId="0" fontId="0" fillId="0" borderId="30" xfId="0" applyBorder="1" applyAlignment="1">
      <alignment horizontal="justify" vertical="center" wrapText="1"/>
    </xf>
    <xf numFmtId="0" fontId="0" fillId="0" borderId="30" xfId="0" applyBorder="1" applyAlignment="1">
      <alignment horizontal="center" vertical="center" wrapText="1"/>
    </xf>
    <xf numFmtId="0" fontId="0" fillId="0" borderId="30" xfId="0" quotePrefix="1" applyBorder="1" applyAlignment="1">
      <alignment horizontal="justify" vertical="center" wrapText="1"/>
    </xf>
    <xf numFmtId="0" fontId="0" fillId="0" borderId="30" xfId="0" applyBorder="1" applyAlignment="1">
      <alignment vertical="center"/>
    </xf>
    <xf numFmtId="3" fontId="0" fillId="0" borderId="30" xfId="0" applyNumberFormat="1" applyBorder="1" applyAlignment="1">
      <alignment vertical="center"/>
    </xf>
    <xf numFmtId="0" fontId="0" fillId="0" borderId="30" xfId="0" applyBorder="1" applyAlignment="1">
      <alignment horizontal="center" vertical="center"/>
    </xf>
    <xf numFmtId="0" fontId="0" fillId="0" borderId="31" xfId="0" applyBorder="1" applyAlignment="1">
      <alignment horizontal="center" vertical="center"/>
    </xf>
    <xf numFmtId="191" fontId="0" fillId="0" borderId="30" xfId="10" applyNumberFormat="1" applyFont="1" applyBorder="1" applyAlignment="1">
      <alignment vertical="center" wrapText="1"/>
    </xf>
    <xf numFmtId="191" fontId="0" fillId="0" borderId="30" xfId="10" applyNumberFormat="1" applyFont="1" applyBorder="1" applyAlignment="1">
      <alignment vertical="center"/>
    </xf>
    <xf numFmtId="190" fontId="0" fillId="0" borderId="3" xfId="4" applyNumberFormat="1" applyFont="1" applyBorder="1"/>
    <xf numFmtId="3" fontId="0" fillId="0" borderId="3" xfId="0" applyNumberFormat="1" applyBorder="1"/>
    <xf numFmtId="9" fontId="0" fillId="15" borderId="3" xfId="0" applyNumberFormat="1" applyFill="1" applyBorder="1"/>
    <xf numFmtId="0" fontId="0" fillId="0" borderId="32" xfId="0" applyBorder="1" applyAlignment="1">
      <alignment horizontal="center" vertical="center" wrapText="1"/>
    </xf>
    <xf numFmtId="0" fontId="4" fillId="11" borderId="3" xfId="0" applyFont="1" applyFill="1" applyBorder="1" applyAlignment="1">
      <alignment horizontal="center" vertical="center" wrapText="1"/>
    </xf>
    <xf numFmtId="10" fontId="21" fillId="11" borderId="3" xfId="0" applyNumberFormat="1" applyFont="1" applyFill="1" applyBorder="1" applyAlignment="1">
      <alignment horizontal="center" vertical="center" wrapText="1"/>
    </xf>
    <xf numFmtId="0" fontId="20" fillId="11" borderId="3" xfId="0" applyFont="1" applyFill="1" applyBorder="1" applyAlignment="1">
      <alignment horizontal="center" vertical="center" wrapText="1"/>
    </xf>
    <xf numFmtId="9" fontId="9" fillId="15" borderId="32" xfId="0" applyNumberFormat="1" applyFont="1" applyFill="1" applyBorder="1" applyAlignment="1">
      <alignment horizontal="center" vertical="center" wrapText="1"/>
    </xf>
    <xf numFmtId="0" fontId="9" fillId="15" borderId="3" xfId="0" applyFont="1" applyFill="1" applyBorder="1" applyAlignment="1">
      <alignment horizontal="center" vertical="center" wrapText="1"/>
    </xf>
    <xf numFmtId="9" fontId="9" fillId="16" borderId="3" xfId="0" applyNumberFormat="1" applyFont="1" applyFill="1" applyBorder="1" applyAlignment="1">
      <alignment horizontal="center" vertical="center" wrapText="1"/>
    </xf>
    <xf numFmtId="0" fontId="11" fillId="11" borderId="69" xfId="0" applyFont="1" applyFill="1" applyBorder="1" applyAlignment="1">
      <alignment horizontal="center" vertical="center" wrapText="1"/>
    </xf>
    <xf numFmtId="0" fontId="26" fillId="0" borderId="69" xfId="0" applyFont="1" applyBorder="1" applyAlignment="1">
      <alignment horizontal="left" vertical="center" wrapText="1"/>
    </xf>
    <xf numFmtId="0" fontId="0" fillId="0" borderId="69" xfId="0" applyBorder="1"/>
    <xf numFmtId="0" fontId="0" fillId="0" borderId="69" xfId="0" applyBorder="1" applyAlignment="1">
      <alignment horizontal="center" vertical="center"/>
    </xf>
    <xf numFmtId="0" fontId="26" fillId="0" borderId="30" xfId="0" applyFont="1" applyBorder="1" applyAlignment="1">
      <alignment horizontal="left" vertical="center" wrapText="1"/>
    </xf>
    <xf numFmtId="0" fontId="26" fillId="0" borderId="69" xfId="0" applyFont="1" applyBorder="1" applyAlignment="1">
      <alignment horizontal="center" vertical="center" wrapText="1"/>
    </xf>
    <xf numFmtId="0" fontId="26" fillId="0" borderId="32" xfId="0" applyFont="1" applyBorder="1" applyAlignment="1">
      <alignment horizontal="left" vertical="center" wrapText="1"/>
    </xf>
    <xf numFmtId="9" fontId="0" fillId="16" borderId="69" xfId="0" applyNumberFormat="1" applyFill="1" applyBorder="1"/>
    <xf numFmtId="0" fontId="22" fillId="0" borderId="83" xfId="0" applyFont="1" applyBorder="1" applyAlignment="1">
      <alignment horizontal="center" wrapText="1"/>
    </xf>
    <xf numFmtId="0" fontId="22" fillId="0" borderId="83" xfId="0" applyFont="1" applyBorder="1"/>
    <xf numFmtId="0" fontId="22" fillId="0" borderId="84" xfId="0" applyFont="1" applyBorder="1"/>
    <xf numFmtId="0" fontId="23" fillId="0" borderId="0" xfId="0" applyFont="1" applyAlignment="1">
      <alignment horizontal="center" wrapText="1"/>
    </xf>
    <xf numFmtId="0" fontId="23" fillId="0" borderId="85" xfId="0" applyFont="1" applyBorder="1" applyAlignment="1">
      <alignment horizontal="center" wrapText="1"/>
    </xf>
    <xf numFmtId="14" fontId="23" fillId="0" borderId="85" xfId="0" applyNumberFormat="1" applyFont="1" applyBorder="1"/>
    <xf numFmtId="0" fontId="23" fillId="0" borderId="85" xfId="0" applyFont="1" applyBorder="1" applyAlignment="1">
      <alignment vertical="center"/>
    </xf>
    <xf numFmtId="0" fontId="23" fillId="0" borderId="85" xfId="0" applyFont="1" applyBorder="1" applyAlignment="1">
      <alignment horizontal="justify"/>
    </xf>
    <xf numFmtId="0" fontId="23" fillId="0" borderId="85" xfId="0" applyFont="1" applyBorder="1" applyAlignment="1">
      <alignment wrapText="1"/>
    </xf>
    <xf numFmtId="0" fontId="23" fillId="0" borderId="86" xfId="0" applyFont="1" applyBorder="1" applyAlignment="1">
      <alignment wrapText="1"/>
    </xf>
    <xf numFmtId="0" fontId="23" fillId="0" borderId="3" xfId="0" applyFont="1" applyBorder="1" applyAlignment="1">
      <alignment horizontal="justify"/>
    </xf>
    <xf numFmtId="0" fontId="23" fillId="0" borderId="64" xfId="0" applyFont="1" applyBorder="1" applyAlignment="1">
      <alignment horizontal="center" wrapText="1"/>
    </xf>
    <xf numFmtId="14" fontId="23" fillId="0" borderId="64" xfId="0" applyNumberFormat="1" applyFont="1" applyBorder="1"/>
    <xf numFmtId="0" fontId="23" fillId="0" borderId="64" xfId="0" applyFont="1" applyBorder="1" applyAlignment="1">
      <alignment vertical="center"/>
    </xf>
    <xf numFmtId="0" fontId="23" fillId="0" borderId="64" xfId="0" applyFont="1" applyBorder="1" applyAlignment="1">
      <alignment horizontal="justify"/>
    </xf>
    <xf numFmtId="0" fontId="23" fillId="0" borderId="64" xfId="0" applyFont="1" applyBorder="1" applyAlignment="1">
      <alignment wrapText="1"/>
    </xf>
    <xf numFmtId="0" fontId="23" fillId="0" borderId="37" xfId="0" applyFont="1" applyBorder="1"/>
    <xf numFmtId="0" fontId="23" fillId="0" borderId="37" xfId="0" applyFont="1" applyBorder="1" applyAlignment="1">
      <alignment wrapText="1"/>
    </xf>
    <xf numFmtId="0" fontId="23" fillId="0" borderId="64" xfId="0" applyFont="1" applyBorder="1"/>
    <xf numFmtId="0" fontId="24" fillId="0" borderId="64" xfId="0" applyFont="1" applyBorder="1" applyAlignment="1">
      <alignment horizontal="center" wrapText="1"/>
    </xf>
    <xf numFmtId="14" fontId="24" fillId="0" borderId="64" xfId="0" applyNumberFormat="1" applyFont="1" applyBorder="1"/>
    <xf numFmtId="0" fontId="24" fillId="0" borderId="64" xfId="0" applyFont="1" applyBorder="1" applyAlignment="1">
      <alignment vertical="center"/>
    </xf>
    <xf numFmtId="0" fontId="24" fillId="0" borderId="64" xfId="0" applyFont="1" applyBorder="1" applyAlignment="1">
      <alignment horizontal="justify"/>
    </xf>
    <xf numFmtId="0" fontId="24" fillId="0" borderId="64" xfId="0" applyFont="1" applyBorder="1"/>
    <xf numFmtId="0" fontId="24" fillId="0" borderId="37" xfId="0" applyFont="1" applyBorder="1" applyAlignment="1">
      <alignment wrapText="1"/>
    </xf>
    <xf numFmtId="0" fontId="24" fillId="0" borderId="3" xfId="0" applyFont="1" applyBorder="1" applyAlignment="1">
      <alignment horizontal="justify"/>
    </xf>
    <xf numFmtId="0" fontId="24" fillId="0" borderId="64" xfId="0" applyFont="1" applyBorder="1" applyAlignment="1">
      <alignment wrapText="1"/>
    </xf>
    <xf numFmtId="0" fontId="23" fillId="0" borderId="0" xfId="0" applyFont="1" applyFill="1" applyBorder="1"/>
    <xf numFmtId="0" fontId="23" fillId="0" borderId="87" xfId="0" applyFont="1" applyBorder="1" applyAlignment="1">
      <alignment horizontal="center" wrapText="1"/>
    </xf>
    <xf numFmtId="14" fontId="23" fillId="0" borderId="87" xfId="0" applyNumberFormat="1" applyFont="1" applyBorder="1"/>
    <xf numFmtId="0" fontId="23" fillId="0" borderId="87" xfId="0" applyFont="1" applyBorder="1" applyAlignment="1">
      <alignment vertical="center"/>
    </xf>
    <xf numFmtId="0" fontId="36" fillId="0" borderId="87" xfId="0" applyFont="1" applyBorder="1" applyAlignment="1">
      <alignment horizontal="justify"/>
    </xf>
    <xf numFmtId="0" fontId="23" fillId="0" borderId="87" xfId="0" applyFont="1" applyBorder="1"/>
    <xf numFmtId="0" fontId="23" fillId="0" borderId="88" xfId="0" applyFont="1" applyBorder="1" applyAlignment="1">
      <alignment wrapText="1"/>
    </xf>
    <xf numFmtId="0" fontId="33" fillId="0" borderId="0" xfId="21" applyAlignment="1" applyProtection="1"/>
    <xf numFmtId="0" fontId="3" fillId="3" borderId="18" xfId="0" applyFont="1" applyFill="1" applyBorder="1" applyAlignment="1">
      <alignment horizontal="center" vertical="center"/>
    </xf>
    <xf numFmtId="0" fontId="9" fillId="11" borderId="89"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7" xfId="0" applyFont="1" applyFill="1" applyBorder="1" applyAlignment="1">
      <alignment wrapText="1"/>
    </xf>
    <xf numFmtId="0" fontId="9" fillId="11" borderId="11" xfId="0" applyFont="1" applyFill="1" applyBorder="1" applyAlignment="1">
      <alignment wrapText="1"/>
    </xf>
    <xf numFmtId="0" fontId="9" fillId="11" borderId="11" xfId="0" applyFont="1" applyFill="1" applyBorder="1" applyAlignment="1">
      <alignment vertical="top" wrapText="1"/>
    </xf>
    <xf numFmtId="0" fontId="3" fillId="0" borderId="0" xfId="0" applyFont="1" applyAlignment="1">
      <alignment horizontal="center" vertical="center"/>
    </xf>
    <xf numFmtId="0" fontId="11" fillId="0" borderId="0" xfId="0" applyFont="1"/>
    <xf numFmtId="0" fontId="0" fillId="0" borderId="93" xfId="0" applyFont="1" applyFill="1" applyBorder="1" applyAlignment="1">
      <alignment horizontal="center" vertical="center"/>
    </xf>
    <xf numFmtId="0" fontId="0" fillId="0" borderId="93" xfId="0" applyFont="1" applyFill="1" applyBorder="1" applyAlignment="1">
      <alignment horizontal="center" vertical="center" wrapText="1"/>
    </xf>
    <xf numFmtId="0" fontId="0" fillId="41" borderId="93" xfId="0" applyFont="1" applyFill="1" applyBorder="1" applyAlignment="1">
      <alignment horizontal="center" vertical="center" wrapText="1"/>
    </xf>
    <xf numFmtId="0" fontId="10" fillId="0" borderId="69" xfId="0" applyFont="1" applyBorder="1" applyAlignment="1">
      <alignment horizontal="center" vertical="center" wrapText="1"/>
    </xf>
    <xf numFmtId="175" fontId="9" fillId="18" borderId="81" xfId="0" applyNumberFormat="1" applyFont="1" applyFill="1" applyBorder="1" applyAlignment="1">
      <alignment horizontal="center" vertical="center" wrapText="1"/>
    </xf>
    <xf numFmtId="0" fontId="0" fillId="0" borderId="93" xfId="0" applyFont="1" applyFill="1" applyBorder="1" applyAlignment="1">
      <alignment horizontal="left" vertical="center" wrapText="1"/>
    </xf>
    <xf numFmtId="0" fontId="0" fillId="0" borderId="32" xfId="0" applyFont="1" applyBorder="1" applyAlignment="1">
      <alignment horizontal="center" vertical="center" wrapText="1"/>
    </xf>
    <xf numFmtId="0" fontId="10" fillId="0" borderId="32" xfId="0" applyFont="1" applyBorder="1" applyAlignment="1">
      <alignment horizontal="center" vertical="center" wrapText="1"/>
    </xf>
    <xf numFmtId="0" fontId="10" fillId="11" borderId="32" xfId="0" applyFont="1" applyFill="1" applyBorder="1" applyAlignment="1">
      <alignment horizontal="center" vertical="center" wrapText="1"/>
    </xf>
    <xf numFmtId="0" fontId="10" fillId="12" borderId="3" xfId="0" applyFont="1" applyFill="1" applyBorder="1" applyAlignment="1">
      <alignment horizontal="justify" vertical="center" wrapText="1"/>
    </xf>
    <xf numFmtId="0" fontId="10" fillId="12" borderId="30" xfId="0" applyFont="1" applyFill="1" applyBorder="1" applyAlignment="1">
      <alignment horizontal="justify" vertical="center" wrapText="1"/>
    </xf>
    <xf numFmtId="0" fontId="10" fillId="12" borderId="32" xfId="0" applyFont="1" applyFill="1" applyBorder="1" applyAlignment="1">
      <alignment horizontal="justify" vertical="center" wrapText="1"/>
    </xf>
    <xf numFmtId="0" fontId="10" fillId="0" borderId="32"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2" borderId="3" xfId="0" applyFont="1" applyFill="1" applyBorder="1" applyAlignment="1">
      <alignment horizontal="center" vertical="center" wrapText="1"/>
    </xf>
    <xf numFmtId="0" fontId="11" fillId="12" borderId="30" xfId="0" applyFont="1" applyFill="1" applyBorder="1" applyAlignment="1">
      <alignment horizontal="center" vertical="center" wrapText="1"/>
    </xf>
    <xf numFmtId="0" fontId="10" fillId="12" borderId="32"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0" xfId="0" applyFont="1" applyAlignment="1">
      <alignment wrapText="1"/>
    </xf>
    <xf numFmtId="0" fontId="10" fillId="30" borderId="93" xfId="0" applyFont="1" applyFill="1" applyBorder="1" applyAlignment="1">
      <alignment vertical="center" wrapText="1"/>
    </xf>
    <xf numFmtId="0" fontId="7" fillId="30" borderId="93" xfId="0" applyFont="1" applyFill="1" applyBorder="1" applyAlignment="1">
      <alignment vertical="top" wrapText="1"/>
    </xf>
    <xf numFmtId="0" fontId="10" fillId="47" borderId="93" xfId="0" applyFont="1" applyFill="1" applyBorder="1" applyAlignment="1">
      <alignment vertical="center" wrapText="1"/>
    </xf>
    <xf numFmtId="0" fontId="38" fillId="15" borderId="93" xfId="0" applyFont="1" applyFill="1" applyBorder="1" applyAlignment="1">
      <alignment vertical="center" wrapText="1"/>
    </xf>
    <xf numFmtId="0" fontId="38" fillId="34" borderId="93" xfId="0" applyFont="1" applyFill="1" applyBorder="1" applyAlignment="1">
      <alignment horizontal="left" vertical="center" wrapText="1"/>
    </xf>
    <xf numFmtId="0" fontId="7" fillId="54" borderId="93" xfId="0" applyFont="1" applyFill="1" applyBorder="1" applyAlignment="1">
      <alignment vertical="center" wrapText="1"/>
    </xf>
    <xf numFmtId="0" fontId="10" fillId="62" borderId="93" xfId="0" applyFont="1" applyFill="1" applyBorder="1" applyAlignment="1">
      <alignment horizontal="left" vertical="top" wrapText="1"/>
    </xf>
    <xf numFmtId="0" fontId="7" fillId="5" borderId="68" xfId="0" applyFont="1" applyFill="1" applyBorder="1" applyAlignment="1">
      <alignment vertical="top" wrapText="1"/>
    </xf>
    <xf numFmtId="0" fontId="7" fillId="5" borderId="68" xfId="0" applyFont="1" applyFill="1" applyBorder="1" applyAlignment="1">
      <alignment vertical="center" wrapText="1"/>
    </xf>
    <xf numFmtId="0" fontId="11" fillId="12" borderId="3" xfId="0" applyFont="1" applyFill="1" applyBorder="1" applyAlignment="1">
      <alignment vertical="center" wrapText="1"/>
    </xf>
    <xf numFmtId="0" fontId="38" fillId="12" borderId="79" xfId="0" applyFont="1" applyFill="1" applyBorder="1" applyAlignment="1">
      <alignment vertical="top" wrapText="1"/>
    </xf>
    <xf numFmtId="0" fontId="38" fillId="12" borderId="68" xfId="0" applyFont="1" applyFill="1" applyBorder="1" applyAlignment="1">
      <alignment vertical="center" wrapText="1"/>
    </xf>
    <xf numFmtId="0" fontId="38" fillId="53" borderId="93" xfId="0" applyFont="1" applyFill="1" applyBorder="1" applyAlignment="1">
      <alignment vertical="center" wrapText="1"/>
    </xf>
    <xf numFmtId="0" fontId="7" fillId="47" borderId="93" xfId="0" applyFont="1" applyFill="1" applyBorder="1" applyAlignment="1">
      <alignment vertical="center" wrapText="1"/>
    </xf>
    <xf numFmtId="0" fontId="0" fillId="33" borderId="93" xfId="0" applyFont="1" applyFill="1" applyBorder="1" applyAlignment="1">
      <alignment horizontal="center" vertical="center" wrapText="1"/>
    </xf>
    <xf numFmtId="0" fontId="0" fillId="38" borderId="19" xfId="0" applyFont="1" applyFill="1" applyBorder="1" applyAlignment="1">
      <alignment vertical="top" wrapText="1"/>
    </xf>
    <xf numFmtId="0" fontId="10" fillId="47" borderId="98" xfId="0" applyFont="1" applyFill="1" applyBorder="1" applyAlignment="1">
      <alignment vertical="center" wrapText="1"/>
    </xf>
    <xf numFmtId="0" fontId="0" fillId="38" borderId="69" xfId="0" applyFont="1" applyFill="1" applyBorder="1" applyAlignment="1">
      <alignment vertical="top" wrapText="1"/>
    </xf>
    <xf numFmtId="0" fontId="0" fillId="40" borderId="93" xfId="0" applyFont="1" applyFill="1" applyBorder="1" applyAlignment="1">
      <alignment horizontal="center" vertical="center" wrapText="1"/>
    </xf>
    <xf numFmtId="0" fontId="0" fillId="38" borderId="69" xfId="0" applyFont="1" applyFill="1" applyBorder="1" applyAlignment="1">
      <alignment wrapText="1"/>
    </xf>
    <xf numFmtId="0" fontId="0" fillId="0" borderId="93" xfId="0" applyFont="1" applyFill="1" applyBorder="1" applyAlignment="1">
      <alignment horizontal="justify" vertical="center" wrapText="1"/>
    </xf>
    <xf numFmtId="0" fontId="0" fillId="0" borderId="93" xfId="0" applyFont="1" applyBorder="1" applyAlignment="1">
      <alignment horizontal="center" vertical="center" wrapText="1"/>
    </xf>
    <xf numFmtId="0" fontId="0" fillId="38" borderId="69" xfId="0" applyFont="1" applyFill="1" applyBorder="1" applyAlignment="1">
      <alignment horizontal="left" vertical="top" wrapText="1"/>
    </xf>
    <xf numFmtId="0" fontId="0" fillId="42" borderId="93" xfId="0" applyFont="1" applyFill="1" applyBorder="1" applyAlignment="1">
      <alignment horizontal="center" vertical="center" wrapText="1"/>
    </xf>
    <xf numFmtId="0" fontId="0" fillId="38" borderId="30" xfId="0" applyFont="1" applyFill="1" applyBorder="1" applyAlignment="1">
      <alignment vertical="top" wrapText="1"/>
    </xf>
    <xf numFmtId="0" fontId="0" fillId="28" borderId="32" xfId="0" applyFont="1" applyFill="1" applyBorder="1" applyAlignment="1">
      <alignment vertical="top" wrapText="1"/>
    </xf>
    <xf numFmtId="0" fontId="10" fillId="48" borderId="98" xfId="0" applyFont="1" applyFill="1" applyBorder="1" applyAlignment="1">
      <alignment vertical="center" wrapText="1"/>
    </xf>
    <xf numFmtId="0" fontId="10" fillId="30" borderId="98" xfId="0" applyFont="1" applyFill="1" applyBorder="1" applyAlignment="1">
      <alignment vertical="center" wrapText="1"/>
    </xf>
    <xf numFmtId="0" fontId="0" fillId="28" borderId="69" xfId="0" applyFont="1" applyFill="1" applyBorder="1" applyAlignment="1">
      <alignment vertical="top" wrapText="1"/>
    </xf>
    <xf numFmtId="0" fontId="10" fillId="48" borderId="26" xfId="0" applyFont="1" applyFill="1" applyBorder="1" applyAlignment="1">
      <alignment vertical="center" wrapText="1"/>
    </xf>
    <xf numFmtId="0" fontId="0" fillId="0" borderId="93" xfId="0" applyFont="1" applyBorder="1" applyAlignment="1">
      <alignment vertical="center" wrapText="1"/>
    </xf>
    <xf numFmtId="0" fontId="0" fillId="28" borderId="69" xfId="0" applyFont="1" applyFill="1" applyBorder="1" applyAlignment="1">
      <alignment wrapText="1"/>
    </xf>
    <xf numFmtId="0" fontId="0" fillId="0" borderId="98" xfId="0" applyFont="1" applyBorder="1" applyAlignment="1">
      <alignment vertical="center" wrapText="1"/>
    </xf>
    <xf numFmtId="0" fontId="0" fillId="28" borderId="69" xfId="0" applyFont="1" applyFill="1" applyBorder="1" applyAlignment="1">
      <alignment vertical="center" wrapText="1"/>
    </xf>
    <xf numFmtId="0" fontId="10" fillId="30" borderId="93" xfId="0" applyFont="1" applyFill="1" applyBorder="1" applyAlignment="1">
      <alignment horizontal="left" vertical="center" wrapText="1"/>
    </xf>
    <xf numFmtId="0" fontId="0" fillId="28" borderId="30" xfId="0" applyFont="1" applyFill="1" applyBorder="1" applyAlignment="1">
      <alignment wrapText="1"/>
    </xf>
    <xf numFmtId="0" fontId="0" fillId="29" borderId="32" xfId="0" applyFont="1" applyFill="1" applyBorder="1" applyAlignment="1">
      <alignment vertical="top" wrapText="1"/>
    </xf>
    <xf numFmtId="0" fontId="10" fillId="49" borderId="98" xfId="0" applyFont="1" applyFill="1" applyBorder="1" applyAlignment="1">
      <alignment vertical="center" wrapText="1"/>
    </xf>
    <xf numFmtId="0" fontId="0" fillId="29" borderId="69" xfId="0" applyFont="1" applyFill="1" applyBorder="1" applyAlignment="1">
      <alignment vertical="top" wrapText="1"/>
    </xf>
    <xf numFmtId="0" fontId="0" fillId="29" borderId="69" xfId="0" applyFont="1" applyFill="1" applyBorder="1" applyAlignment="1">
      <alignment wrapText="1"/>
    </xf>
    <xf numFmtId="0" fontId="0" fillId="7" borderId="93" xfId="0" applyFont="1" applyFill="1" applyBorder="1" applyAlignment="1">
      <alignment horizontal="center" vertical="center" wrapText="1"/>
    </xf>
    <xf numFmtId="0" fontId="0" fillId="40" borderId="69" xfId="0" applyFont="1" applyFill="1" applyBorder="1" applyAlignment="1">
      <alignment vertical="top" wrapText="1"/>
    </xf>
    <xf numFmtId="0" fontId="0" fillId="17" borderId="93" xfId="0" applyFont="1" applyFill="1" applyBorder="1" applyAlignment="1">
      <alignment horizontal="center" vertical="center" wrapText="1"/>
    </xf>
    <xf numFmtId="0" fontId="0" fillId="48" borderId="98" xfId="0" applyFont="1" applyFill="1" applyBorder="1" applyAlignment="1">
      <alignment vertical="center" wrapText="1"/>
    </xf>
    <xf numFmtId="0" fontId="0" fillId="48" borderId="93" xfId="0" applyFont="1" applyFill="1" applyBorder="1" applyAlignment="1">
      <alignment vertical="center" wrapText="1"/>
    </xf>
    <xf numFmtId="0" fontId="0" fillId="38" borderId="69" xfId="0" applyFont="1" applyFill="1" applyBorder="1" applyAlignment="1">
      <alignment horizontal="left" vertical="center" wrapText="1"/>
    </xf>
    <xf numFmtId="0" fontId="0" fillId="21" borderId="69" xfId="0" applyFont="1" applyFill="1" applyBorder="1" applyAlignment="1">
      <alignment vertical="top" wrapText="1"/>
    </xf>
    <xf numFmtId="0" fontId="0" fillId="21" borderId="69" xfId="0" applyFont="1" applyFill="1" applyBorder="1" applyAlignment="1">
      <alignment wrapText="1"/>
    </xf>
    <xf numFmtId="0" fontId="0" fillId="49" borderId="98" xfId="0" applyFont="1" applyFill="1" applyBorder="1" applyAlignment="1">
      <alignment vertical="center" wrapText="1"/>
    </xf>
    <xf numFmtId="0" fontId="0" fillId="49" borderId="93" xfId="0" applyFont="1" applyFill="1" applyBorder="1" applyAlignment="1">
      <alignment vertical="center" wrapText="1"/>
    </xf>
    <xf numFmtId="0" fontId="0" fillId="50" borderId="98" xfId="0" applyFont="1" applyFill="1" applyBorder="1" applyAlignment="1">
      <alignment vertical="center" wrapText="1"/>
    </xf>
    <xf numFmtId="0" fontId="10" fillId="50" borderId="93" xfId="0" applyFont="1" applyFill="1" applyBorder="1" applyAlignment="1">
      <alignment vertical="center" wrapText="1"/>
    </xf>
    <xf numFmtId="0" fontId="0" fillId="39" borderId="98" xfId="0" applyFont="1" applyFill="1" applyBorder="1" applyAlignment="1">
      <alignment vertical="center" wrapText="1"/>
    </xf>
    <xf numFmtId="0" fontId="0" fillId="39" borderId="93" xfId="0" applyFont="1" applyFill="1" applyBorder="1" applyAlignment="1">
      <alignment vertical="center" wrapText="1"/>
    </xf>
    <xf numFmtId="0" fontId="0" fillId="39" borderId="93" xfId="0" applyFont="1" applyFill="1" applyBorder="1" applyAlignment="1">
      <alignment horizontal="center" vertical="center" wrapText="1"/>
    </xf>
    <xf numFmtId="0" fontId="0" fillId="39" borderId="93" xfId="0" applyFont="1" applyFill="1" applyBorder="1" applyAlignment="1">
      <alignment horizontal="left" vertical="center" wrapText="1"/>
    </xf>
    <xf numFmtId="0" fontId="10" fillId="39" borderId="93" xfId="0" applyFont="1" applyFill="1" applyBorder="1" applyAlignment="1">
      <alignment horizontal="left" vertical="center" wrapText="1"/>
    </xf>
    <xf numFmtId="0" fontId="0" fillId="44" borderId="93" xfId="0" applyFont="1" applyFill="1" applyBorder="1" applyAlignment="1">
      <alignment vertical="center" wrapText="1"/>
    </xf>
    <xf numFmtId="0" fontId="0" fillId="47" borderId="98" xfId="0" applyFont="1" applyFill="1" applyBorder="1" applyAlignment="1">
      <alignment vertical="center" wrapText="1"/>
    </xf>
    <xf numFmtId="0" fontId="10" fillId="38" borderId="98" xfId="0" applyFont="1" applyFill="1" applyBorder="1" applyAlignment="1">
      <alignment vertical="center" wrapText="1"/>
    </xf>
    <xf numFmtId="0" fontId="0" fillId="42" borderId="69" xfId="0" applyFont="1" applyFill="1" applyBorder="1" applyAlignment="1">
      <alignment horizontal="center" vertical="center" wrapText="1"/>
    </xf>
    <xf numFmtId="0" fontId="11" fillId="0" borderId="93" xfId="0" applyFont="1" applyBorder="1" applyAlignment="1">
      <alignment horizontal="center" vertical="center" wrapText="1"/>
    </xf>
    <xf numFmtId="0" fontId="11" fillId="0" borderId="93" xfId="0" applyFont="1" applyFill="1" applyBorder="1" applyAlignment="1">
      <alignment horizontal="center" vertical="center" wrapText="1"/>
    </xf>
    <xf numFmtId="0" fontId="11" fillId="0" borderId="93" xfId="0" applyFont="1" applyFill="1" applyBorder="1" applyAlignment="1">
      <alignment horizontal="justify" vertical="center" wrapText="1"/>
    </xf>
    <xf numFmtId="175" fontId="10" fillId="12" borderId="8" xfId="0" applyNumberFormat="1" applyFont="1" applyFill="1" applyBorder="1" applyAlignment="1">
      <alignment horizontal="left" vertical="center" wrapText="1"/>
    </xf>
    <xf numFmtId="3" fontId="0" fillId="40" borderId="93" xfId="0" applyNumberFormat="1" applyFont="1" applyFill="1" applyBorder="1" applyAlignment="1">
      <alignment horizontal="center" vertical="center" wrapText="1"/>
    </xf>
    <xf numFmtId="0" fontId="0" fillId="7" borderId="93" xfId="0" applyFont="1" applyFill="1" applyBorder="1" applyAlignment="1">
      <alignment vertical="center" wrapText="1"/>
    </xf>
    <xf numFmtId="0" fontId="0" fillId="39" borderId="69" xfId="0" applyFont="1" applyFill="1" applyBorder="1" applyAlignment="1">
      <alignment horizontal="center" vertical="center" wrapText="1"/>
    </xf>
    <xf numFmtId="0" fontId="11" fillId="0" borderId="93" xfId="0" applyFont="1" applyFill="1" applyBorder="1" applyAlignment="1">
      <alignment vertical="center" wrapText="1"/>
    </xf>
    <xf numFmtId="0" fontId="10" fillId="12" borderId="3" xfId="0" applyFont="1" applyFill="1" applyBorder="1" applyAlignment="1">
      <alignment horizontal="left" vertical="center" wrapText="1"/>
    </xf>
    <xf numFmtId="0" fontId="0" fillId="44" borderId="69" xfId="0" applyFont="1" applyFill="1" applyBorder="1" applyAlignment="1">
      <alignment horizontal="center" vertical="center" wrapText="1"/>
    </xf>
    <xf numFmtId="0" fontId="15" fillId="42" borderId="93" xfId="2" applyFont="1" applyFill="1" applyBorder="1" applyAlignment="1">
      <alignment horizontal="center" vertical="center" wrapText="1"/>
    </xf>
    <xf numFmtId="175" fontId="10" fillId="12" borderId="3" xfId="0" applyNumberFormat="1" applyFont="1" applyFill="1" applyBorder="1" applyAlignment="1">
      <alignment horizontal="left" vertical="center" wrapText="1"/>
    </xf>
    <xf numFmtId="1" fontId="10" fillId="12" borderId="3" xfId="0" applyNumberFormat="1" applyFont="1" applyFill="1" applyBorder="1" applyAlignment="1">
      <alignment horizontal="left" vertical="center" wrapText="1"/>
    </xf>
    <xf numFmtId="175" fontId="10" fillId="12" borderId="30" xfId="0" applyNumberFormat="1" applyFont="1" applyFill="1" applyBorder="1" applyAlignment="1">
      <alignment horizontal="left" vertical="center" wrapText="1"/>
    </xf>
    <xf numFmtId="1" fontId="10" fillId="12" borderId="32" xfId="0" applyNumberFormat="1" applyFont="1" applyFill="1" applyBorder="1" applyAlignment="1">
      <alignment horizontal="left" vertical="center" wrapText="1"/>
    </xf>
    <xf numFmtId="1" fontId="10" fillId="12" borderId="30" xfId="0" applyNumberFormat="1" applyFont="1" applyFill="1" applyBorder="1" applyAlignment="1">
      <alignment horizontal="left" vertical="center" wrapText="1"/>
    </xf>
    <xf numFmtId="175" fontId="10" fillId="12" borderId="32" xfId="0" applyNumberFormat="1" applyFont="1" applyFill="1" applyBorder="1" applyAlignment="1">
      <alignment horizontal="left" vertical="center" wrapText="1"/>
    </xf>
    <xf numFmtId="0" fontId="0" fillId="44" borderId="93" xfId="0" applyFont="1" applyFill="1" applyBorder="1" applyAlignment="1">
      <alignment horizontal="center" vertical="center" wrapText="1"/>
    </xf>
    <xf numFmtId="0" fontId="11" fillId="0" borderId="93" xfId="0" applyFont="1" applyBorder="1" applyAlignment="1">
      <alignment horizontal="left" vertical="center" wrapText="1"/>
    </xf>
    <xf numFmtId="0" fontId="0" fillId="0" borderId="93" xfId="0" applyFont="1" applyFill="1" applyBorder="1" applyAlignment="1">
      <alignment vertical="center" wrapText="1"/>
    </xf>
    <xf numFmtId="9" fontId="0" fillId="44" borderId="93" xfId="0" applyNumberFormat="1" applyFont="1" applyFill="1" applyBorder="1" applyAlignment="1">
      <alignment horizontal="center" vertical="center" wrapText="1"/>
    </xf>
    <xf numFmtId="0" fontId="0" fillId="0" borderId="98" xfId="0" applyFont="1" applyFill="1" applyBorder="1" applyAlignment="1">
      <alignment vertical="center" wrapText="1"/>
    </xf>
    <xf numFmtId="0" fontId="11" fillId="17" borderId="93" xfId="0" applyFont="1" applyFill="1" applyBorder="1" applyAlignment="1" applyProtection="1">
      <alignment horizontal="center" vertical="center" wrapText="1"/>
      <protection locked="0"/>
    </xf>
    <xf numFmtId="0" fontId="0" fillId="43" borderId="69" xfId="0" applyFont="1" applyFill="1" applyBorder="1" applyAlignment="1">
      <alignment vertical="center" wrapText="1"/>
    </xf>
    <xf numFmtId="0" fontId="0" fillId="43" borderId="93" xfId="0" applyFont="1" applyFill="1" applyBorder="1" applyAlignment="1">
      <alignment vertical="center" wrapText="1"/>
    </xf>
    <xf numFmtId="0" fontId="0" fillId="7" borderId="69" xfId="0" applyFont="1" applyFill="1" applyBorder="1" applyAlignment="1">
      <alignment horizontal="center" vertical="center" wrapText="1"/>
    </xf>
    <xf numFmtId="0" fontId="0" fillId="0" borderId="93" xfId="0" applyFont="1" applyFill="1" applyBorder="1" applyAlignment="1">
      <alignment horizontal="justify" vertical="top" wrapText="1"/>
    </xf>
    <xf numFmtId="0" fontId="11" fillId="32" borderId="93" xfId="0" applyFont="1" applyFill="1" applyBorder="1" applyAlignment="1">
      <alignment vertical="center" wrapText="1"/>
    </xf>
    <xf numFmtId="0" fontId="0" fillId="0" borderId="93" xfId="0" applyFont="1" applyFill="1" applyBorder="1" applyAlignment="1">
      <alignment horizontal="justify" vertical="center"/>
    </xf>
    <xf numFmtId="0" fontId="11" fillId="0" borderId="95" xfId="0" applyFont="1" applyFill="1" applyBorder="1" applyAlignment="1">
      <alignment horizontal="center" vertical="center" wrapText="1"/>
    </xf>
    <xf numFmtId="0" fontId="0" fillId="0" borderId="98" xfId="0" applyFont="1" applyFill="1" applyBorder="1" applyAlignment="1">
      <alignment vertical="top" wrapText="1"/>
    </xf>
    <xf numFmtId="0" fontId="0" fillId="42" borderId="30" xfId="0" applyFont="1" applyFill="1" applyBorder="1" applyAlignment="1">
      <alignment horizontal="center" vertical="center" wrapText="1"/>
    </xf>
    <xf numFmtId="0" fontId="0" fillId="38" borderId="19" xfId="0" applyFont="1" applyFill="1" applyBorder="1" applyAlignment="1">
      <alignment horizontal="center" vertical="center" wrapText="1"/>
    </xf>
    <xf numFmtId="0" fontId="11" fillId="7" borderId="93" xfId="0" applyFont="1" applyFill="1" applyBorder="1" applyAlignment="1">
      <alignment horizontal="center" vertical="center" wrapText="1"/>
    </xf>
    <xf numFmtId="0" fontId="10" fillId="44" borderId="8" xfId="0" applyFont="1" applyFill="1" applyBorder="1" applyAlignment="1">
      <alignment horizontal="center" vertical="center" wrapText="1"/>
    </xf>
    <xf numFmtId="0" fontId="10" fillId="44" borderId="10" xfId="0" applyFont="1" applyFill="1" applyBorder="1" applyAlignment="1">
      <alignment vertical="center" wrapText="1"/>
    </xf>
    <xf numFmtId="0" fontId="0" fillId="7" borderId="98" xfId="0" applyFont="1" applyFill="1" applyBorder="1" applyAlignment="1">
      <alignment vertical="center" wrapText="1"/>
    </xf>
    <xf numFmtId="0" fontId="11" fillId="12" borderId="10" xfId="0" applyFont="1" applyFill="1" applyBorder="1" applyAlignment="1">
      <alignment vertical="center" wrapText="1"/>
    </xf>
    <xf numFmtId="0" fontId="0" fillId="28" borderId="32" xfId="0" applyFont="1" applyFill="1" applyBorder="1" applyAlignment="1">
      <alignment horizontal="center" vertical="center" wrapText="1"/>
    </xf>
    <xf numFmtId="0" fontId="11" fillId="51" borderId="93" xfId="0" applyFont="1" applyFill="1" applyBorder="1" applyAlignment="1">
      <alignment horizontal="center" vertical="center" wrapText="1"/>
    </xf>
    <xf numFmtId="0" fontId="0" fillId="29" borderId="93" xfId="0" applyFont="1" applyFill="1" applyBorder="1" applyAlignment="1" applyProtection="1">
      <alignment horizontal="center" vertical="center" wrapText="1"/>
      <protection locked="0"/>
    </xf>
    <xf numFmtId="0" fontId="10" fillId="39" borderId="32" xfId="0" applyFont="1" applyFill="1" applyBorder="1" applyAlignment="1">
      <alignment horizontal="center" vertical="center" wrapText="1"/>
    </xf>
    <xf numFmtId="0" fontId="0" fillId="29" borderId="32" xfId="0" applyFont="1" applyFill="1" applyBorder="1" applyAlignment="1">
      <alignment horizontal="center" vertical="center" wrapText="1"/>
    </xf>
    <xf numFmtId="0" fontId="10" fillId="38" borderId="32" xfId="0" applyFont="1" applyFill="1" applyBorder="1" applyAlignment="1">
      <alignment horizontal="center" vertical="center" wrapText="1"/>
    </xf>
    <xf numFmtId="0" fontId="11" fillId="28" borderId="93" xfId="0" applyFont="1" applyFill="1" applyBorder="1" applyAlignment="1">
      <alignment horizontal="center" vertical="center" wrapText="1"/>
    </xf>
    <xf numFmtId="0" fontId="0" fillId="40" borderId="69" xfId="0" applyFont="1" applyFill="1" applyBorder="1" applyAlignment="1">
      <alignment horizontal="center" vertical="center" wrapText="1"/>
    </xf>
    <xf numFmtId="0" fontId="0" fillId="38" borderId="69" xfId="0" applyFont="1" applyFill="1" applyBorder="1" applyAlignment="1">
      <alignment horizontal="center" vertical="center" wrapText="1"/>
    </xf>
    <xf numFmtId="0" fontId="11" fillId="39" borderId="93" xfId="0" applyFont="1" applyFill="1" applyBorder="1" applyAlignment="1">
      <alignment horizontal="center" vertical="center" wrapText="1"/>
    </xf>
    <xf numFmtId="0" fontId="0" fillId="21" borderId="69" xfId="0" applyFont="1" applyFill="1" applyBorder="1" applyAlignment="1">
      <alignment horizontal="center" vertical="center" wrapText="1"/>
    </xf>
    <xf numFmtId="0" fontId="11" fillId="38" borderId="93" xfId="0" applyFont="1" applyFill="1" applyBorder="1" applyAlignment="1">
      <alignment horizontal="center" vertical="center" wrapText="1"/>
    </xf>
    <xf numFmtId="0" fontId="11" fillId="44" borderId="93" xfId="0" applyFont="1" applyFill="1" applyBorder="1" applyAlignment="1">
      <alignment horizontal="center" vertical="center" wrapText="1"/>
    </xf>
    <xf numFmtId="0" fontId="0" fillId="38" borderId="8" xfId="0" applyFont="1" applyFill="1" applyBorder="1" applyAlignment="1">
      <alignment horizontal="left" vertical="center" wrapText="1"/>
    </xf>
    <xf numFmtId="0" fontId="1" fillId="38" borderId="3" xfId="6" applyFont="1" applyFill="1" applyBorder="1" applyAlignment="1">
      <alignment vertical="center" wrapText="1"/>
    </xf>
    <xf numFmtId="0" fontId="0" fillId="38" borderId="32" xfId="0" applyFont="1" applyFill="1" applyBorder="1" applyAlignment="1">
      <alignment horizontal="left" vertical="center" wrapText="1"/>
    </xf>
    <xf numFmtId="0" fontId="0" fillId="38" borderId="3" xfId="0" applyFont="1" applyFill="1" applyBorder="1" applyAlignment="1">
      <alignment horizontal="left" vertical="center" wrapText="1"/>
    </xf>
    <xf numFmtId="0" fontId="0" fillId="38" borderId="30" xfId="0" applyFont="1" applyFill="1" applyBorder="1" applyAlignment="1">
      <alignment horizontal="left" vertical="center" wrapText="1"/>
    </xf>
    <xf numFmtId="0" fontId="0" fillId="38" borderId="32" xfId="0" applyFont="1" applyFill="1" applyBorder="1" applyAlignment="1">
      <alignment vertical="center" wrapText="1"/>
    </xf>
    <xf numFmtId="0" fontId="0" fillId="38" borderId="3" xfId="0" applyFont="1" applyFill="1" applyBorder="1" applyAlignment="1">
      <alignment vertical="center" wrapText="1"/>
    </xf>
    <xf numFmtId="0" fontId="0" fillId="38" borderId="30" xfId="0" applyFont="1" applyFill="1" applyBorder="1" applyAlignment="1">
      <alignment vertical="center" wrapText="1"/>
    </xf>
    <xf numFmtId="0" fontId="14" fillId="38" borderId="32" xfId="0" applyFont="1" applyFill="1" applyBorder="1" applyAlignment="1">
      <alignment vertical="center" wrapText="1"/>
    </xf>
    <xf numFmtId="0" fontId="14" fillId="38" borderId="3" xfId="0" applyFont="1" applyFill="1" applyBorder="1" applyAlignment="1">
      <alignment vertical="center" wrapText="1"/>
    </xf>
    <xf numFmtId="0" fontId="14" fillId="38" borderId="30" xfId="0" applyFont="1" applyFill="1" applyBorder="1" applyAlignment="1">
      <alignment vertical="center" wrapText="1"/>
    </xf>
    <xf numFmtId="0" fontId="0" fillId="0" borderId="62" xfId="0" applyBorder="1"/>
    <xf numFmtId="0" fontId="0" fillId="0" borderId="40" xfId="0" applyBorder="1"/>
    <xf numFmtId="0" fontId="0" fillId="38" borderId="30" xfId="6" applyFont="1" applyFill="1" applyBorder="1" applyAlignment="1">
      <alignment vertical="center" wrapText="1"/>
    </xf>
    <xf numFmtId="0" fontId="0" fillId="39" borderId="93" xfId="0" applyFont="1" applyFill="1" applyBorder="1" applyAlignment="1">
      <alignment horizontal="justify" vertical="center" wrapText="1"/>
    </xf>
    <xf numFmtId="0" fontId="0" fillId="29" borderId="93" xfId="0" applyFont="1" applyFill="1" applyBorder="1" applyAlignment="1" applyProtection="1">
      <alignment horizontal="center" vertical="top" wrapText="1"/>
      <protection locked="0"/>
    </xf>
    <xf numFmtId="0" fontId="0" fillId="29" borderId="93" xfId="0" applyFont="1" applyFill="1" applyBorder="1" applyAlignment="1" applyProtection="1">
      <alignment horizontal="left" vertical="center" wrapText="1"/>
      <protection locked="0"/>
    </xf>
    <xf numFmtId="0" fontId="0" fillId="29" borderId="93" xfId="0" applyFont="1" applyFill="1" applyBorder="1" applyAlignment="1">
      <alignment vertical="center" wrapText="1"/>
    </xf>
    <xf numFmtId="0" fontId="0" fillId="29" borderId="98" xfId="0" applyFont="1" applyFill="1" applyBorder="1" applyAlignment="1" applyProtection="1">
      <alignment vertical="center" wrapText="1"/>
      <protection locked="0"/>
    </xf>
    <xf numFmtId="0" fontId="0" fillId="29" borderId="93" xfId="0" applyFont="1" applyFill="1" applyBorder="1" applyAlignment="1" applyProtection="1">
      <alignment vertical="center" wrapText="1"/>
      <protection locked="0"/>
    </xf>
    <xf numFmtId="0" fontId="0" fillId="29" borderId="3" xfId="0" applyFont="1" applyFill="1" applyBorder="1" applyAlignment="1" applyProtection="1">
      <alignment horizontal="center" vertical="center" wrapText="1"/>
      <protection locked="0"/>
    </xf>
    <xf numFmtId="0" fontId="0" fillId="0" borderId="0" xfId="0" applyBorder="1"/>
    <xf numFmtId="0" fontId="10" fillId="47" borderId="93" xfId="0" applyFont="1" applyFill="1" applyBorder="1" applyAlignment="1">
      <alignment horizontal="center" vertical="center" wrapText="1"/>
    </xf>
    <xf numFmtId="0" fontId="10" fillId="47" borderId="93" xfId="0" applyFont="1" applyFill="1" applyBorder="1" applyAlignment="1">
      <alignment horizontal="left" vertical="center" wrapText="1"/>
    </xf>
    <xf numFmtId="0" fontId="10" fillId="38" borderId="93" xfId="0" applyFont="1" applyFill="1" applyBorder="1" applyAlignment="1">
      <alignment vertical="center" wrapText="1"/>
    </xf>
    <xf numFmtId="0" fontId="10" fillId="49" borderId="93" xfId="0" applyFont="1" applyFill="1" applyBorder="1" applyAlignment="1">
      <alignment horizontal="left" vertical="center" wrapText="1"/>
    </xf>
    <xf numFmtId="0" fontId="10" fillId="29" borderId="93" xfId="0" applyFont="1" applyFill="1" applyBorder="1" applyAlignment="1">
      <alignment vertical="center" wrapText="1"/>
    </xf>
    <xf numFmtId="0" fontId="10" fillId="48" borderId="93" xfId="0" applyFont="1" applyFill="1" applyBorder="1" applyAlignment="1">
      <alignment vertical="center" wrapText="1"/>
    </xf>
    <xf numFmtId="0" fontId="10" fillId="48" borderId="93" xfId="0" applyFont="1" applyFill="1" applyBorder="1" applyAlignment="1">
      <alignment horizontal="left" vertical="center" wrapText="1"/>
    </xf>
    <xf numFmtId="0" fontId="7" fillId="54" borderId="93" xfId="0" applyFont="1" applyFill="1" applyBorder="1" applyAlignment="1">
      <alignment horizontal="left" vertical="center" wrapText="1"/>
    </xf>
    <xf numFmtId="0" fontId="7" fillId="47" borderId="93" xfId="0" applyFont="1" applyFill="1" applyBorder="1" applyAlignment="1">
      <alignment horizontal="left" vertical="center" wrapText="1"/>
    </xf>
    <xf numFmtId="0" fontId="38" fillId="15" borderId="93" xfId="0" applyFont="1" applyFill="1" applyBorder="1" applyAlignment="1">
      <alignment horizontal="left" vertical="center" wrapText="1"/>
    </xf>
    <xf numFmtId="0" fontId="7" fillId="30" borderId="93" xfId="0" applyFont="1" applyFill="1" applyBorder="1" applyAlignment="1">
      <alignment vertical="center" wrapText="1"/>
    </xf>
    <xf numFmtId="0" fontId="38" fillId="5" borderId="93" xfId="0" applyFont="1" applyFill="1" applyBorder="1" applyAlignment="1">
      <alignment vertical="center" wrapText="1"/>
    </xf>
    <xf numFmtId="0" fontId="38" fillId="12" borderId="68" xfId="0" applyFont="1" applyFill="1" applyBorder="1" applyAlignment="1">
      <alignment horizontal="left" vertical="center" wrapText="1"/>
    </xf>
    <xf numFmtId="0" fontId="7" fillId="5" borderId="68" xfId="0" applyFont="1" applyFill="1" applyBorder="1" applyAlignment="1">
      <alignment horizontal="left" vertical="center" wrapText="1"/>
    </xf>
    <xf numFmtId="0" fontId="10" fillId="64" borderId="93" xfId="0" applyFont="1" applyFill="1" applyBorder="1" applyAlignment="1">
      <alignment horizontal="left" vertical="center" wrapText="1"/>
    </xf>
    <xf numFmtId="0" fontId="10" fillId="63" borderId="93" xfId="0" applyFont="1" applyFill="1" applyBorder="1" applyAlignment="1">
      <alignment horizontal="left" vertical="center" wrapText="1"/>
    </xf>
    <xf numFmtId="0" fontId="10" fillId="62" borderId="93" xfId="0" applyFont="1" applyFill="1" applyBorder="1" applyAlignment="1">
      <alignment horizontal="left" vertical="center" wrapText="1"/>
    </xf>
    <xf numFmtId="0" fontId="10" fillId="60" borderId="93" xfId="0" applyFont="1" applyFill="1" applyBorder="1" applyAlignment="1">
      <alignment horizontal="left" vertical="center" wrapText="1"/>
    </xf>
    <xf numFmtId="0" fontId="10" fillId="48" borderId="26" xfId="0" applyFont="1" applyFill="1" applyBorder="1" applyAlignment="1">
      <alignment horizontal="left" vertical="center" wrapText="1"/>
    </xf>
    <xf numFmtId="0" fontId="10" fillId="47" borderId="98" xfId="0" applyFont="1" applyFill="1" applyBorder="1" applyAlignment="1">
      <alignment horizontal="left" vertical="center" wrapText="1"/>
    </xf>
    <xf numFmtId="0" fontId="10" fillId="30" borderId="98" xfId="0" applyFont="1" applyFill="1" applyBorder="1" applyAlignment="1">
      <alignment horizontal="left" vertical="center" wrapText="1"/>
    </xf>
    <xf numFmtId="0" fontId="0" fillId="48" borderId="98" xfId="0" applyFont="1" applyFill="1" applyBorder="1" applyAlignment="1">
      <alignment horizontal="left" vertical="center" wrapText="1"/>
    </xf>
    <xf numFmtId="0" fontId="10" fillId="44" borderId="98" xfId="0" applyFont="1" applyFill="1" applyBorder="1" applyAlignment="1">
      <alignment horizontal="left" vertical="center" wrapText="1"/>
    </xf>
    <xf numFmtId="0" fontId="0" fillId="47" borderId="93" xfId="0" applyFont="1" applyFill="1" applyBorder="1" applyAlignment="1">
      <alignment horizontal="left" vertical="center" wrapText="1"/>
    </xf>
    <xf numFmtId="0" fontId="0" fillId="50" borderId="93" xfId="0" applyFont="1" applyFill="1" applyBorder="1" applyAlignment="1">
      <alignment horizontal="left" vertical="center" wrapText="1"/>
    </xf>
    <xf numFmtId="0" fontId="10" fillId="38" borderId="101" xfId="0" applyFont="1" applyFill="1" applyBorder="1" applyAlignment="1">
      <alignment horizontal="left" vertical="center" wrapText="1"/>
    </xf>
    <xf numFmtId="0" fontId="10" fillId="38" borderId="68" xfId="0" applyFont="1" applyFill="1" applyBorder="1" applyAlignment="1">
      <alignment horizontal="left" vertical="center" wrapText="1"/>
    </xf>
    <xf numFmtId="0" fontId="10" fillId="60" borderId="93" xfId="6" applyFont="1" applyFill="1" applyBorder="1" applyAlignment="1">
      <alignment horizontal="left" vertical="center" wrapText="1"/>
    </xf>
    <xf numFmtId="0" fontId="10" fillId="60" borderId="101" xfId="6" applyFont="1" applyFill="1" applyBorder="1" applyAlignment="1">
      <alignment horizontal="left" vertical="center" wrapText="1"/>
    </xf>
    <xf numFmtId="0" fontId="10" fillId="28" borderId="93" xfId="0" applyFont="1" applyFill="1" applyBorder="1" applyAlignment="1">
      <alignment horizontal="left" vertical="center" wrapText="1"/>
    </xf>
    <xf numFmtId="0" fontId="10" fillId="60" borderId="98" xfId="6" applyFont="1" applyFill="1" applyBorder="1" applyAlignment="1">
      <alignment horizontal="left" vertical="center" wrapText="1"/>
    </xf>
    <xf numFmtId="0" fontId="0" fillId="32" borderId="93" xfId="0" applyFont="1" applyFill="1" applyBorder="1" applyAlignment="1">
      <alignment vertical="center" wrapText="1"/>
    </xf>
    <xf numFmtId="0" fontId="11" fillId="0" borderId="93" xfId="0" applyFont="1" applyBorder="1" applyAlignment="1">
      <alignment vertical="center" wrapText="1"/>
    </xf>
    <xf numFmtId="0" fontId="11" fillId="32" borderId="103" xfId="0" applyFont="1" applyFill="1" applyBorder="1" applyAlignment="1">
      <alignment horizontal="left" vertical="center" wrapText="1"/>
    </xf>
    <xf numFmtId="0" fontId="11" fillId="32" borderId="95" xfId="0" applyFont="1" applyFill="1" applyBorder="1" applyAlignment="1">
      <alignment horizontal="left" vertical="center" wrapText="1"/>
    </xf>
    <xf numFmtId="0" fontId="11" fillId="0" borderId="103" xfId="0" applyFont="1" applyBorder="1" applyAlignment="1">
      <alignment horizontal="left" vertical="center" wrapText="1"/>
    </xf>
    <xf numFmtId="0" fontId="11" fillId="0" borderId="95" xfId="0" applyFont="1" applyBorder="1" applyAlignment="1">
      <alignment horizontal="left" vertical="center" wrapText="1"/>
    </xf>
    <xf numFmtId="0" fontId="11" fillId="32" borderId="38" xfId="0" applyFont="1" applyFill="1" applyBorder="1" applyAlignment="1">
      <alignment horizontal="left" vertical="center" wrapText="1"/>
    </xf>
    <xf numFmtId="0" fontId="10" fillId="62" borderId="93" xfId="0" applyFont="1" applyFill="1" applyBorder="1" applyAlignment="1">
      <alignment horizontal="center" wrapText="1"/>
    </xf>
    <xf numFmtId="0" fontId="1" fillId="38" borderId="32" xfId="6" applyFont="1" applyFill="1" applyBorder="1" applyAlignment="1">
      <alignment vertical="center" wrapText="1"/>
    </xf>
    <xf numFmtId="0" fontId="8" fillId="10" borderId="13" xfId="0" applyFont="1" applyFill="1" applyBorder="1" applyAlignment="1" applyProtection="1">
      <alignment horizontal="center" vertical="center" wrapText="1"/>
      <protection locked="0"/>
    </xf>
    <xf numFmtId="0" fontId="0" fillId="0" borderId="32" xfId="0" applyBorder="1" applyAlignment="1">
      <alignment horizontal="center" vertical="center" wrapText="1"/>
    </xf>
    <xf numFmtId="0" fontId="0" fillId="0" borderId="4" xfId="0" applyBorder="1"/>
    <xf numFmtId="0" fontId="37" fillId="0" borderId="6" xfId="0" applyFont="1" applyBorder="1" applyAlignment="1">
      <alignment horizontal="center"/>
    </xf>
    <xf numFmtId="0" fontId="37" fillId="0" borderId="4" xfId="0" applyFont="1" applyBorder="1" applyAlignment="1">
      <alignment horizontal="center"/>
    </xf>
    <xf numFmtId="0" fontId="0" fillId="11" borderId="8" xfId="0" applyFill="1" applyBorder="1"/>
    <xf numFmtId="9" fontId="0" fillId="11" borderId="69" xfId="0" applyNumberFormat="1" applyFill="1" applyBorder="1"/>
    <xf numFmtId="9" fontId="0" fillId="11" borderId="3" xfId="0" applyNumberFormat="1" applyFill="1" applyBorder="1" applyAlignment="1">
      <alignment horizontal="center" vertical="center"/>
    </xf>
    <xf numFmtId="9" fontId="9" fillId="11" borderId="32" xfId="0" applyNumberFormat="1" applyFont="1" applyFill="1" applyBorder="1" applyAlignment="1">
      <alignment horizontal="center" vertical="center" wrapText="1"/>
    </xf>
    <xf numFmtId="0" fontId="9" fillId="11" borderId="3" xfId="0" applyFont="1" applyFill="1" applyBorder="1" applyAlignment="1">
      <alignment horizontal="center" vertical="center" wrapText="1"/>
    </xf>
    <xf numFmtId="9" fontId="10" fillId="11" borderId="3" xfId="0" applyNumberFormat="1" applyFont="1" applyFill="1" applyBorder="1" applyAlignment="1">
      <alignment horizontal="center" vertical="center" wrapText="1"/>
    </xf>
    <xf numFmtId="9" fontId="9" fillId="11" borderId="3" xfId="0" applyNumberFormat="1" applyFont="1" applyFill="1" applyBorder="1" applyAlignment="1">
      <alignment horizontal="center" vertical="center" wrapText="1"/>
    </xf>
    <xf numFmtId="9" fontId="10" fillId="11" borderId="3" xfId="5" applyFont="1" applyFill="1" applyBorder="1" applyAlignment="1">
      <alignment horizontal="center" vertical="center" wrapText="1"/>
    </xf>
    <xf numFmtId="9" fontId="0" fillId="11" borderId="3" xfId="5" applyFont="1" applyFill="1" applyBorder="1"/>
    <xf numFmtId="9" fontId="0" fillId="11" borderId="3" xfId="0" applyNumberFormat="1" applyFill="1" applyBorder="1"/>
    <xf numFmtId="9" fontId="0" fillId="11" borderId="30" xfId="5" applyFont="1" applyFill="1" applyBorder="1" applyAlignment="1">
      <alignment horizontal="center" vertical="center"/>
    </xf>
    <xf numFmtId="9" fontId="0" fillId="11" borderId="3" xfId="5" applyFont="1" applyFill="1" applyBorder="1" applyAlignment="1">
      <alignment horizontal="center" vertical="center"/>
    </xf>
    <xf numFmtId="0" fontId="3" fillId="17" borderId="93" xfId="0" applyFont="1" applyFill="1" applyBorder="1" applyAlignment="1">
      <alignment horizontal="center" vertical="center" wrapText="1"/>
    </xf>
    <xf numFmtId="0" fontId="10" fillId="11" borderId="0" xfId="0" applyFont="1" applyFill="1"/>
    <xf numFmtId="0" fontId="10" fillId="11" borderId="94" xfId="0" applyFont="1" applyFill="1" applyBorder="1" applyAlignment="1">
      <alignment horizontal="center" vertical="center"/>
    </xf>
    <xf numFmtId="0" fontId="3" fillId="11" borderId="0" xfId="0" applyFont="1" applyFill="1" applyAlignment="1">
      <alignment horizontal="center" vertical="center"/>
    </xf>
    <xf numFmtId="0" fontId="3" fillId="0" borderId="0" xfId="0" applyFont="1" applyBorder="1" applyAlignment="1">
      <alignment horizontal="center" vertical="center"/>
    </xf>
    <xf numFmtId="191" fontId="0" fillId="0" borderId="0" xfId="0" applyNumberFormat="1" applyFont="1" applyBorder="1" applyAlignment="1">
      <alignment vertical="center"/>
    </xf>
    <xf numFmtId="0" fontId="0" fillId="0" borderId="0" xfId="0" applyFont="1" applyBorder="1" applyAlignment="1">
      <alignment vertical="center" wrapText="1"/>
    </xf>
    <xf numFmtId="0" fontId="0" fillId="0" borderId="0" xfId="0" applyFont="1" applyBorder="1" applyAlignment="1">
      <alignment horizontal="justify" vertical="center"/>
    </xf>
    <xf numFmtId="0" fontId="0" fillId="11" borderId="0" xfId="0" applyFont="1" applyFill="1" applyAlignment="1">
      <alignment horizontal="center" vertical="center"/>
    </xf>
    <xf numFmtId="0" fontId="8" fillId="10" borderId="4" xfId="0" applyFont="1" applyFill="1" applyBorder="1" applyAlignment="1" applyProtection="1">
      <alignment horizontal="center" vertical="center"/>
      <protection locked="0"/>
    </xf>
    <xf numFmtId="3" fontId="0" fillId="0" borderId="0" xfId="0" applyNumberFormat="1" applyFont="1"/>
    <xf numFmtId="0" fontId="0" fillId="30" borderId="0" xfId="0" applyFont="1" applyFill="1" applyAlignment="1">
      <alignment horizontal="center" vertical="center"/>
    </xf>
    <xf numFmtId="191" fontId="0" fillId="0" borderId="102" xfId="10" applyNumberFormat="1" applyFont="1" applyBorder="1" applyAlignment="1">
      <alignment horizontal="center" vertical="center"/>
    </xf>
    <xf numFmtId="0" fontId="0" fillId="0" borderId="0" xfId="0" applyFont="1" applyAlignment="1">
      <alignment horizontal="center" vertical="center"/>
    </xf>
    <xf numFmtId="0" fontId="9" fillId="11" borderId="0" xfId="0" applyFont="1" applyFill="1" applyBorder="1" applyAlignment="1">
      <alignment horizontal="center" vertical="center" wrapText="1"/>
    </xf>
    <xf numFmtId="191" fontId="0" fillId="0" borderId="0" xfId="10" applyNumberFormat="1" applyFont="1" applyBorder="1" applyAlignment="1">
      <alignment horizontal="center" vertical="center"/>
    </xf>
    <xf numFmtId="3" fontId="0" fillId="0" borderId="0" xfId="0" applyNumberFormat="1" applyFont="1" applyAlignment="1">
      <alignment horizontal="center" vertical="center"/>
    </xf>
    <xf numFmtId="3" fontId="0" fillId="0" borderId="0" xfId="0" applyNumberFormat="1" applyFont="1" applyAlignment="1" applyProtection="1">
      <alignment horizontal="center"/>
      <protection locked="0"/>
    </xf>
    <xf numFmtId="0" fontId="0" fillId="0" borderId="0" xfId="0" applyFont="1" applyAlignment="1" applyProtection="1">
      <alignment horizontal="center"/>
      <protection locked="0"/>
    </xf>
    <xf numFmtId="3" fontId="8" fillId="10" borderId="18" xfId="0" applyNumberFormat="1" applyFont="1" applyFill="1" applyBorder="1" applyAlignment="1" applyProtection="1">
      <alignment horizontal="center" vertical="center"/>
      <protection locked="0"/>
    </xf>
    <xf numFmtId="3" fontId="3" fillId="4" borderId="9" xfId="0" applyNumberFormat="1" applyFont="1" applyFill="1" applyBorder="1" applyAlignment="1" applyProtection="1">
      <alignment horizontal="center"/>
      <protection locked="0"/>
    </xf>
    <xf numFmtId="3" fontId="0" fillId="4" borderId="22" xfId="0" applyNumberFormat="1" applyFont="1" applyFill="1" applyBorder="1" applyAlignment="1" applyProtection="1">
      <alignment horizontal="center" vertical="center" textRotation="90" wrapText="1"/>
      <protection locked="0"/>
    </xf>
    <xf numFmtId="3" fontId="0" fillId="4" borderId="23" xfId="0" applyNumberFormat="1" applyFont="1" applyFill="1" applyBorder="1" applyAlignment="1" applyProtection="1">
      <alignment horizontal="center" vertical="center" textRotation="90" wrapText="1"/>
      <protection locked="0"/>
    </xf>
    <xf numFmtId="3" fontId="8" fillId="10" borderId="0" xfId="0" applyNumberFormat="1" applyFont="1" applyFill="1" applyBorder="1" applyAlignment="1" applyProtection="1">
      <alignment horizontal="center" vertical="center" wrapText="1"/>
      <protection locked="0"/>
    </xf>
    <xf numFmtId="3" fontId="3" fillId="4" borderId="20" xfId="0" applyNumberFormat="1" applyFont="1" applyFill="1" applyBorder="1" applyAlignment="1" applyProtection="1">
      <alignment horizontal="center" vertical="center" wrapText="1"/>
      <protection locked="0"/>
    </xf>
    <xf numFmtId="3" fontId="8" fillId="4" borderId="23" xfId="0" applyNumberFormat="1" applyFont="1" applyFill="1" applyBorder="1" applyAlignment="1" applyProtection="1">
      <alignment horizontal="center" vertical="center" wrapText="1"/>
      <protection locked="0"/>
    </xf>
    <xf numFmtId="3" fontId="0" fillId="0" borderId="0" xfId="0" applyNumberFormat="1" applyFont="1" applyFill="1"/>
    <xf numFmtId="0" fontId="0" fillId="44" borderId="102" xfId="0" applyFont="1" applyFill="1" applyBorder="1" applyAlignment="1">
      <alignment vertical="center" wrapText="1"/>
    </xf>
    <xf numFmtId="0" fontId="0" fillId="0" borderId="0" xfId="0" applyFont="1" applyAlignment="1">
      <alignment horizontal="left" vertical="center"/>
    </xf>
    <xf numFmtId="3" fontId="11" fillId="0" borderId="0" xfId="0" applyNumberFormat="1" applyFont="1" applyAlignment="1">
      <alignment horizontal="center" vertical="center" wrapText="1"/>
    </xf>
    <xf numFmtId="3" fontId="3" fillId="4" borderId="38" xfId="0" applyNumberFormat="1" applyFont="1" applyFill="1" applyBorder="1" applyAlignment="1" applyProtection="1">
      <alignment horizontal="center"/>
      <protection locked="0"/>
    </xf>
    <xf numFmtId="3" fontId="0" fillId="0" borderId="0" xfId="0" applyNumberFormat="1" applyFont="1" applyAlignment="1">
      <alignment horizontal="center"/>
    </xf>
    <xf numFmtId="0" fontId="48" fillId="10" borderId="69" xfId="0" applyFont="1" applyFill="1" applyBorder="1" applyAlignment="1" applyProtection="1">
      <alignment horizontal="center" vertical="center"/>
      <protection locked="0"/>
    </xf>
    <xf numFmtId="0" fontId="50" fillId="4" borderId="70" xfId="0" applyFont="1" applyFill="1" applyBorder="1" applyAlignment="1" applyProtection="1">
      <alignment horizontal="center"/>
      <protection locked="0"/>
    </xf>
    <xf numFmtId="9" fontId="51" fillId="16" borderId="7" xfId="0" applyNumberFormat="1" applyFont="1" applyFill="1" applyBorder="1" applyAlignment="1">
      <alignment horizontal="center" vertical="center"/>
    </xf>
    <xf numFmtId="0" fontId="51" fillId="0" borderId="8" xfId="0" applyFont="1" applyFill="1" applyBorder="1" applyAlignment="1">
      <alignment horizontal="center" vertical="center" wrapText="1"/>
    </xf>
    <xf numFmtId="0" fontId="51" fillId="0" borderId="8" xfId="0" applyFont="1" applyFill="1" applyBorder="1" applyAlignment="1">
      <alignment horizontal="center" vertical="center"/>
    </xf>
    <xf numFmtId="189" fontId="51" fillId="0" borderId="8" xfId="0" applyNumberFormat="1" applyFont="1" applyFill="1" applyBorder="1" applyAlignment="1">
      <alignment horizontal="center" vertical="center"/>
    </xf>
    <xf numFmtId="0" fontId="51" fillId="0" borderId="9" xfId="0" applyFont="1" applyFill="1" applyBorder="1" applyAlignment="1">
      <alignment horizontal="center" vertical="center"/>
    </xf>
    <xf numFmtId="9" fontId="51" fillId="16" borderId="11" xfId="0" applyNumberFormat="1" applyFont="1" applyFill="1" applyBorder="1" applyAlignment="1">
      <alignment horizontal="center" vertical="center"/>
    </xf>
    <xf numFmtId="0" fontId="51" fillId="0" borderId="69" xfId="0" applyFont="1" applyFill="1" applyBorder="1" applyAlignment="1">
      <alignment horizontal="center" vertical="center" wrapText="1"/>
    </xf>
    <xf numFmtId="189" fontId="51" fillId="0" borderId="69" xfId="4" applyNumberFormat="1" applyFont="1" applyFill="1" applyBorder="1" applyAlignment="1">
      <alignment horizontal="center" vertical="center"/>
    </xf>
    <xf numFmtId="0" fontId="51" fillId="0" borderId="69" xfId="0" applyFont="1" applyFill="1" applyBorder="1" applyAlignment="1">
      <alignment horizontal="center" vertical="center"/>
    </xf>
    <xf numFmtId="0" fontId="51" fillId="0" borderId="70" xfId="0" applyFont="1" applyFill="1" applyBorder="1" applyAlignment="1">
      <alignment horizontal="center" vertical="center"/>
    </xf>
    <xf numFmtId="9" fontId="51" fillId="16" borderId="11" xfId="5" applyFont="1" applyFill="1" applyBorder="1" applyAlignment="1">
      <alignment horizontal="center" vertical="center"/>
    </xf>
    <xf numFmtId="0" fontId="51" fillId="11" borderId="69" xfId="0" applyFont="1" applyFill="1" applyBorder="1" applyAlignment="1">
      <alignment horizontal="left" vertical="center" wrapText="1"/>
    </xf>
    <xf numFmtId="0" fontId="51" fillId="11" borderId="69" xfId="0" applyFont="1" applyFill="1" applyBorder="1" applyAlignment="1">
      <alignment horizontal="center" vertical="center" wrapText="1"/>
    </xf>
    <xf numFmtId="170" fontId="51" fillId="11" borderId="69" xfId="9" applyFont="1" applyFill="1" applyBorder="1" applyAlignment="1">
      <alignment horizontal="center" vertical="center"/>
    </xf>
    <xf numFmtId="0" fontId="51" fillId="11" borderId="69" xfId="0" applyFont="1" applyFill="1" applyBorder="1" applyAlignment="1">
      <alignment horizontal="center" vertical="center"/>
    </xf>
    <xf numFmtId="0" fontId="51" fillId="11" borderId="70" xfId="0" applyFont="1" applyFill="1" applyBorder="1" applyAlignment="1">
      <alignment horizontal="center" vertical="center"/>
    </xf>
    <xf numFmtId="9" fontId="51" fillId="0" borderId="11" xfId="5" applyFont="1" applyFill="1" applyBorder="1" applyAlignment="1">
      <alignment horizontal="center" vertical="center"/>
    </xf>
    <xf numFmtId="0" fontId="51" fillId="0" borderId="69" xfId="0" applyFont="1" applyFill="1" applyBorder="1" applyAlignment="1">
      <alignment horizontal="left" vertical="center" wrapText="1"/>
    </xf>
    <xf numFmtId="0" fontId="51" fillId="11" borderId="69" xfId="0" applyFont="1" applyFill="1" applyBorder="1" applyAlignment="1">
      <alignment horizontal="left" vertical="top" wrapText="1"/>
    </xf>
    <xf numFmtId="0" fontId="51" fillId="11" borderId="69" xfId="0" applyFont="1" applyFill="1" applyBorder="1" applyAlignment="1">
      <alignment horizontal="center" vertical="top" wrapText="1"/>
    </xf>
    <xf numFmtId="9" fontId="51" fillId="16" borderId="80" xfId="0" applyNumberFormat="1" applyFont="1" applyFill="1" applyBorder="1" applyAlignment="1">
      <alignment horizontal="center" vertical="center"/>
    </xf>
    <xf numFmtId="9" fontId="51" fillId="0" borderId="80" xfId="0" applyNumberFormat="1" applyFont="1" applyFill="1" applyBorder="1" applyAlignment="1">
      <alignment horizontal="center" vertical="center"/>
    </xf>
    <xf numFmtId="174" fontId="52" fillId="0" borderId="70" xfId="0" applyNumberFormat="1" applyFont="1" applyFill="1" applyBorder="1" applyAlignment="1">
      <alignment horizontal="center" vertical="center" wrapText="1"/>
    </xf>
    <xf numFmtId="0" fontId="52" fillId="11" borderId="69" xfId="20" applyFont="1" applyFill="1" applyBorder="1" applyAlignment="1">
      <alignment horizontal="left" vertical="center" wrapText="1"/>
    </xf>
    <xf numFmtId="9" fontId="51" fillId="15" borderId="11" xfId="0" applyNumberFormat="1" applyFont="1" applyFill="1" applyBorder="1" applyAlignment="1">
      <alignment horizontal="center" vertical="center"/>
    </xf>
    <xf numFmtId="0" fontId="52" fillId="11" borderId="69" xfId="20" applyFont="1" applyFill="1" applyBorder="1" applyAlignment="1">
      <alignment vertical="center" wrapText="1"/>
    </xf>
    <xf numFmtId="0" fontId="49" fillId="0" borderId="0" xfId="0" applyFont="1"/>
    <xf numFmtId="0" fontId="49" fillId="0" borderId="64" xfId="0" applyFont="1" applyBorder="1" applyAlignment="1">
      <alignment horizontal="center" vertical="center"/>
    </xf>
    <xf numFmtId="181" fontId="51" fillId="0" borderId="69" xfId="4" applyNumberFormat="1" applyFont="1" applyFill="1" applyBorder="1" applyAlignment="1">
      <alignment horizontal="center" vertical="center"/>
    </xf>
    <xf numFmtId="0" fontId="51" fillId="31" borderId="69" xfId="0" applyFont="1" applyFill="1" applyBorder="1" applyAlignment="1">
      <alignment horizontal="center" vertical="center"/>
    </xf>
    <xf numFmtId="181" fontId="51" fillId="0" borderId="69" xfId="0" applyNumberFormat="1" applyFont="1" applyFill="1" applyBorder="1" applyAlignment="1">
      <alignment horizontal="center" vertical="center"/>
    </xf>
    <xf numFmtId="9" fontId="51" fillId="16" borderId="11" xfId="0" applyNumberFormat="1" applyFont="1" applyFill="1" applyBorder="1" applyAlignment="1">
      <alignment horizontal="center" vertical="center" wrapText="1"/>
    </xf>
    <xf numFmtId="9" fontId="52" fillId="15" borderId="11" xfId="0" applyNumberFormat="1" applyFont="1" applyFill="1" applyBorder="1" applyAlignment="1">
      <alignment horizontal="center" vertical="center"/>
    </xf>
    <xf numFmtId="0" fontId="52" fillId="11" borderId="69" xfId="0" applyFont="1" applyFill="1" applyBorder="1" applyAlignment="1">
      <alignment horizontal="center" vertical="center" wrapText="1"/>
    </xf>
    <xf numFmtId="0" fontId="53" fillId="0" borderId="69" xfId="0" applyFont="1" applyFill="1" applyBorder="1" applyAlignment="1">
      <alignment horizontal="center" vertical="center"/>
    </xf>
    <xf numFmtId="0" fontId="53" fillId="0" borderId="69" xfId="0" applyFont="1" applyFill="1" applyBorder="1" applyAlignment="1">
      <alignment horizontal="center" vertical="center" wrapText="1"/>
    </xf>
    <xf numFmtId="181" fontId="53" fillId="0" borderId="69" xfId="0" applyNumberFormat="1" applyFont="1" applyFill="1" applyBorder="1" applyAlignment="1">
      <alignment horizontal="center" vertical="center"/>
    </xf>
    <xf numFmtId="0" fontId="53" fillId="0" borderId="70" xfId="0" applyFont="1" applyFill="1" applyBorder="1" applyAlignment="1">
      <alignment horizontal="center" vertical="center"/>
    </xf>
    <xf numFmtId="9" fontId="51" fillId="16" borderId="69" xfId="0" applyNumberFormat="1" applyFont="1" applyFill="1" applyBorder="1" applyAlignment="1">
      <alignment horizontal="center" vertical="center"/>
    </xf>
    <xf numFmtId="0" fontId="49" fillId="0" borderId="69" xfId="0" applyFont="1" applyBorder="1" applyAlignment="1">
      <alignment vertical="center" wrapText="1"/>
    </xf>
    <xf numFmtId="9" fontId="51" fillId="0" borderId="69" xfId="0" applyNumberFormat="1" applyFont="1" applyFill="1" applyBorder="1" applyAlignment="1">
      <alignment horizontal="center" vertical="center"/>
    </xf>
    <xf numFmtId="0" fontId="51" fillId="0" borderId="0" xfId="0" applyFont="1" applyFill="1" applyAlignment="1">
      <alignment horizontal="center" vertical="center" wrapText="1"/>
    </xf>
    <xf numFmtId="196" fontId="51" fillId="0" borderId="69" xfId="0" applyNumberFormat="1" applyFont="1" applyFill="1" applyBorder="1" applyAlignment="1">
      <alignment horizontal="center" vertical="center"/>
    </xf>
    <xf numFmtId="196" fontId="51" fillId="0" borderId="93" xfId="0" applyNumberFormat="1" applyFont="1" applyFill="1" applyBorder="1" applyAlignment="1">
      <alignment horizontal="center" vertical="center"/>
    </xf>
    <xf numFmtId="0" fontId="51" fillId="0" borderId="93" xfId="0" applyFont="1" applyFill="1" applyBorder="1" applyAlignment="1">
      <alignment horizontal="center" vertical="center"/>
    </xf>
    <xf numFmtId="0" fontId="51" fillId="0" borderId="94" xfId="0" applyFont="1" applyFill="1" applyBorder="1" applyAlignment="1">
      <alignment horizontal="center" vertical="center"/>
    </xf>
    <xf numFmtId="0" fontId="51" fillId="0" borderId="93" xfId="0" applyFont="1" applyFill="1" applyBorder="1" applyAlignment="1">
      <alignment horizontal="center" vertical="center" wrapText="1"/>
    </xf>
    <xf numFmtId="0" fontId="52" fillId="0" borderId="0" xfId="21" applyFont="1" applyAlignment="1" applyProtection="1">
      <alignment wrapText="1"/>
    </xf>
    <xf numFmtId="0" fontId="54" fillId="0" borderId="93" xfId="21" applyFont="1" applyBorder="1" applyAlignment="1" applyProtection="1">
      <alignment wrapText="1"/>
    </xf>
    <xf numFmtId="6" fontId="51" fillId="0" borderId="93" xfId="0" applyNumberFormat="1" applyFont="1" applyFill="1" applyBorder="1" applyAlignment="1">
      <alignment horizontal="center" vertical="center"/>
    </xf>
    <xf numFmtId="0" fontId="51" fillId="0" borderId="93" xfId="0" applyFont="1" applyFill="1" applyBorder="1" applyAlignment="1">
      <alignment wrapText="1"/>
    </xf>
    <xf numFmtId="0" fontId="51" fillId="0" borderId="93" xfId="0" applyFont="1" applyFill="1" applyBorder="1" applyAlignment="1">
      <alignment horizontal="center"/>
    </xf>
    <xf numFmtId="3" fontId="51" fillId="0" borderId="93" xfId="0" applyNumberFormat="1" applyFont="1" applyFill="1" applyBorder="1" applyAlignment="1">
      <alignment horizontal="center" vertical="center"/>
    </xf>
    <xf numFmtId="9" fontId="51" fillId="15" borderId="11" xfId="5" applyFont="1" applyFill="1" applyBorder="1" applyAlignment="1">
      <alignment horizontal="center" vertical="center"/>
    </xf>
    <xf numFmtId="0" fontId="51" fillId="11" borderId="93" xfId="0" applyFont="1" applyFill="1" applyBorder="1" applyAlignment="1">
      <alignment horizontal="left" vertical="center" wrapText="1"/>
    </xf>
    <xf numFmtId="0" fontId="51" fillId="11" borderId="93" xfId="0" applyFont="1" applyFill="1" applyBorder="1" applyAlignment="1">
      <alignment horizontal="center" vertical="center"/>
    </xf>
    <xf numFmtId="170" fontId="51" fillId="11" borderId="93" xfId="9" applyFont="1" applyFill="1" applyBorder="1" applyAlignment="1">
      <alignment horizontal="center" vertical="center"/>
    </xf>
    <xf numFmtId="0" fontId="51" fillId="11" borderId="94" xfId="0" applyFont="1" applyFill="1" applyBorder="1" applyAlignment="1">
      <alignment horizontal="center" vertical="center"/>
    </xf>
    <xf numFmtId="0" fontId="51" fillId="11" borderId="0" xfId="0" applyFont="1" applyFill="1" applyAlignment="1">
      <alignment horizontal="left" vertical="center" wrapText="1"/>
    </xf>
    <xf numFmtId="0" fontId="51" fillId="11" borderId="93" xfId="0" applyFont="1" applyFill="1" applyBorder="1" applyAlignment="1">
      <alignment horizontal="center" vertical="center" wrapText="1"/>
    </xf>
    <xf numFmtId="0" fontId="51" fillId="31" borderId="11" xfId="0" applyFont="1" applyFill="1" applyBorder="1" applyAlignment="1">
      <alignment horizontal="center" vertical="center"/>
    </xf>
    <xf numFmtId="0" fontId="51" fillId="0" borderId="11" xfId="0" applyFont="1" applyFill="1" applyBorder="1" applyAlignment="1">
      <alignment horizontal="center" vertical="center"/>
    </xf>
    <xf numFmtId="189" fontId="51" fillId="0" borderId="93" xfId="0" applyNumberFormat="1" applyFont="1" applyFill="1" applyBorder="1" applyAlignment="1">
      <alignment horizontal="center" vertical="center"/>
    </xf>
    <xf numFmtId="189" fontId="51" fillId="0" borderId="93" xfId="4" applyNumberFormat="1" applyFont="1" applyFill="1" applyBorder="1" applyAlignment="1">
      <alignment horizontal="center" vertical="center"/>
    </xf>
    <xf numFmtId="0" fontId="51" fillId="11" borderId="93" xfId="0" applyFont="1" applyFill="1" applyBorder="1" applyAlignment="1">
      <alignment horizontal="center" vertical="top" wrapText="1"/>
    </xf>
    <xf numFmtId="0" fontId="51" fillId="11" borderId="93" xfId="0" applyFont="1" applyFill="1" applyBorder="1" applyAlignment="1">
      <alignment horizontal="left" vertical="top" wrapText="1"/>
    </xf>
    <xf numFmtId="0" fontId="51" fillId="41" borderId="93" xfId="0" applyFont="1" applyFill="1" applyBorder="1" applyAlignment="1">
      <alignment horizontal="left" vertical="top" wrapText="1"/>
    </xf>
    <xf numFmtId="0" fontId="51" fillId="41" borderId="93" xfId="0" applyFont="1" applyFill="1" applyBorder="1" applyAlignment="1">
      <alignment horizontal="center" vertical="center" wrapText="1"/>
    </xf>
    <xf numFmtId="170" fontId="51" fillId="41" borderId="93" xfId="9" applyFont="1" applyFill="1" applyBorder="1" applyAlignment="1">
      <alignment horizontal="center" vertical="center"/>
    </xf>
    <xf numFmtId="0" fontId="51" fillId="41" borderId="93" xfId="0" applyFont="1" applyFill="1" applyBorder="1" applyAlignment="1">
      <alignment horizontal="center" vertical="center"/>
    </xf>
    <xf numFmtId="0" fontId="51" fillId="11" borderId="93" xfId="0" applyFont="1" applyFill="1" applyBorder="1" applyAlignment="1">
      <alignment horizontal="center" vertical="top"/>
    </xf>
    <xf numFmtId="9" fontId="51" fillId="16" borderId="95" xfId="5" applyFont="1" applyFill="1" applyBorder="1" applyAlignment="1">
      <alignment horizontal="center" vertical="center" wrapText="1"/>
    </xf>
    <xf numFmtId="9" fontId="51" fillId="0" borderId="95" xfId="5" applyFont="1" applyFill="1" applyBorder="1" applyAlignment="1">
      <alignment horizontal="center" vertical="center" wrapText="1"/>
    </xf>
    <xf numFmtId="9" fontId="51" fillId="15" borderId="93" xfId="0" applyNumberFormat="1" applyFont="1" applyFill="1" applyBorder="1" applyAlignment="1">
      <alignment horizontal="center" vertical="center"/>
    </xf>
    <xf numFmtId="170" fontId="51" fillId="11" borderId="30" xfId="9" applyFont="1" applyFill="1" applyBorder="1" applyAlignment="1">
      <alignment horizontal="center" vertical="center"/>
    </xf>
    <xf numFmtId="0" fontId="51" fillId="11" borderId="30" xfId="0" applyFont="1" applyFill="1" applyBorder="1" applyAlignment="1">
      <alignment horizontal="center" vertical="center"/>
    </xf>
    <xf numFmtId="0" fontId="51" fillId="11" borderId="31" xfId="0" applyFont="1" applyFill="1" applyBorder="1" applyAlignment="1">
      <alignment horizontal="center" vertical="center"/>
    </xf>
    <xf numFmtId="9" fontId="51" fillId="0" borderId="93" xfId="0" applyNumberFormat="1" applyFont="1" applyFill="1" applyBorder="1" applyAlignment="1">
      <alignment horizontal="center" vertical="center"/>
    </xf>
    <xf numFmtId="0" fontId="51" fillId="0" borderId="0" xfId="0" applyFont="1" applyAlignment="1">
      <alignment horizontal="center" vertical="center"/>
    </xf>
    <xf numFmtId="0" fontId="50" fillId="0" borderId="102" xfId="0" applyFont="1" applyFill="1" applyBorder="1" applyAlignment="1">
      <alignment horizontal="center" vertical="center" wrapText="1"/>
    </xf>
    <xf numFmtId="0" fontId="50" fillId="17" borderId="104" xfId="0" applyFont="1" applyFill="1" applyBorder="1" applyAlignment="1">
      <alignment horizontal="center" vertical="center" wrapText="1"/>
    </xf>
    <xf numFmtId="0" fontId="49" fillId="0" borderId="11" xfId="0" applyFont="1" applyFill="1" applyBorder="1" applyAlignment="1">
      <alignment vertical="center"/>
    </xf>
    <xf numFmtId="0" fontId="49" fillId="42" borderId="69" xfId="0" applyFont="1" applyFill="1" applyBorder="1" applyAlignment="1">
      <alignment vertical="center" wrapText="1"/>
    </xf>
    <xf numFmtId="0" fontId="51" fillId="42" borderId="69" xfId="0" applyFont="1" applyFill="1" applyBorder="1" applyAlignment="1">
      <alignment horizontal="center" vertical="center" wrapText="1"/>
    </xf>
    <xf numFmtId="9" fontId="51" fillId="42" borderId="69" xfId="0" applyNumberFormat="1" applyFont="1" applyFill="1" applyBorder="1" applyAlignment="1">
      <alignment horizontal="center" vertical="center" wrapText="1"/>
    </xf>
    <xf numFmtId="0" fontId="52" fillId="11" borderId="68" xfId="0" applyFont="1" applyFill="1" applyBorder="1" applyAlignment="1">
      <alignment horizontal="justify" vertical="center" wrapText="1"/>
    </xf>
    <xf numFmtId="0" fontId="51" fillId="68" borderId="93" xfId="0" applyFont="1" applyFill="1" applyBorder="1" applyAlignment="1">
      <alignment horizontal="justify" vertical="center" wrapText="1"/>
    </xf>
    <xf numFmtId="9" fontId="51" fillId="0" borderId="93" xfId="0" applyNumberFormat="1" applyFont="1" applyFill="1" applyBorder="1" applyAlignment="1">
      <alignment horizontal="justify" vertical="center"/>
    </xf>
    <xf numFmtId="0" fontId="51" fillId="0" borderId="0" xfId="0" applyFont="1" applyFill="1" applyAlignment="1">
      <alignment horizontal="center" vertical="center"/>
    </xf>
    <xf numFmtId="10" fontId="51" fillId="42" borderId="69" xfId="0" applyNumberFormat="1" applyFont="1" applyFill="1" applyBorder="1" applyAlignment="1">
      <alignment horizontal="center" vertical="center"/>
    </xf>
    <xf numFmtId="9" fontId="51" fillId="0" borderId="93" xfId="0" applyNumberFormat="1" applyFont="1" applyBorder="1" applyAlignment="1">
      <alignment horizontal="justify" vertical="center"/>
    </xf>
    <xf numFmtId="0" fontId="49" fillId="42" borderId="69" xfId="0" applyFont="1" applyFill="1" applyBorder="1" applyAlignment="1">
      <alignment horizontal="center" vertical="center" wrapText="1"/>
    </xf>
    <xf numFmtId="9" fontId="51" fillId="0" borderId="69" xfId="5" applyFont="1" applyFill="1" applyBorder="1" applyAlignment="1">
      <alignment horizontal="center" vertical="center"/>
    </xf>
    <xf numFmtId="0" fontId="49" fillId="0" borderId="11" xfId="0" applyFont="1" applyFill="1" applyBorder="1" applyAlignment="1">
      <alignment horizontal="center" vertical="center"/>
    </xf>
    <xf numFmtId="9" fontId="51" fillId="0" borderId="69" xfId="0" applyNumberFormat="1" applyFont="1" applyFill="1" applyBorder="1" applyAlignment="1">
      <alignment horizontal="center" vertical="center" wrapText="1"/>
    </xf>
    <xf numFmtId="0" fontId="51" fillId="0" borderId="80" xfId="0" applyFont="1" applyFill="1" applyBorder="1" applyAlignment="1">
      <alignment horizontal="center" vertical="center" wrapText="1"/>
    </xf>
    <xf numFmtId="0" fontId="51" fillId="0" borderId="93" xfId="0" applyFont="1" applyFill="1" applyBorder="1" applyAlignment="1">
      <alignment horizontal="justify" vertical="center" wrapText="1"/>
    </xf>
    <xf numFmtId="0" fontId="51" fillId="42" borderId="69" xfId="0" applyFont="1" applyFill="1" applyBorder="1" applyAlignment="1">
      <alignment vertical="center" wrapText="1"/>
    </xf>
    <xf numFmtId="9" fontId="51" fillId="42" borderId="69" xfId="0" applyNumberFormat="1" applyFont="1" applyFill="1" applyBorder="1" applyAlignment="1">
      <alignment vertical="center" wrapText="1"/>
    </xf>
    <xf numFmtId="9" fontId="51" fillId="0" borderId="80" xfId="0" applyNumberFormat="1" applyFont="1" applyFill="1" applyBorder="1" applyAlignment="1">
      <alignment horizontal="center" vertical="center" wrapText="1"/>
    </xf>
    <xf numFmtId="9" fontId="51" fillId="0" borderId="93" xfId="0" applyNumberFormat="1" applyFont="1" applyFill="1" applyBorder="1" applyAlignment="1">
      <alignment horizontal="justify" vertical="center" wrapText="1"/>
    </xf>
    <xf numFmtId="0" fontId="49" fillId="0" borderId="11" xfId="0" applyFont="1" applyFill="1" applyBorder="1" applyAlignment="1">
      <alignment horizontal="center" vertical="center" wrapText="1"/>
    </xf>
    <xf numFmtId="0" fontId="52" fillId="68" borderId="93" xfId="0" applyFont="1" applyFill="1" applyBorder="1" applyAlignment="1">
      <alignment horizontal="justify" vertical="center" wrapText="1"/>
    </xf>
    <xf numFmtId="0" fontId="49" fillId="39" borderId="69" xfId="0" applyFont="1" applyFill="1" applyBorder="1" applyAlignment="1">
      <alignment horizontal="center" vertical="center" wrapText="1"/>
    </xf>
    <xf numFmtId="0" fontId="49" fillId="39" borderId="69" xfId="0" applyFont="1" applyFill="1" applyBorder="1" applyAlignment="1">
      <alignment vertical="center"/>
    </xf>
    <xf numFmtId="0" fontId="51" fillId="39" borderId="69" xfId="0" applyFont="1" applyFill="1" applyBorder="1" applyAlignment="1">
      <alignment horizontal="center" vertical="center" wrapText="1"/>
    </xf>
    <xf numFmtId="9" fontId="51" fillId="39" borderId="69" xfId="0" applyNumberFormat="1" applyFont="1" applyFill="1" applyBorder="1" applyAlignment="1">
      <alignment horizontal="center" vertical="center" wrapText="1"/>
    </xf>
    <xf numFmtId="0" fontId="49" fillId="0" borderId="11" xfId="0" applyFont="1" applyFill="1" applyBorder="1" applyAlignment="1">
      <alignment vertical="center" wrapText="1"/>
    </xf>
    <xf numFmtId="0" fontId="49" fillId="44" borderId="69" xfId="0" applyFont="1" applyFill="1" applyBorder="1" applyAlignment="1">
      <alignment vertical="center"/>
    </xf>
    <xf numFmtId="0" fontId="51" fillId="44" borderId="69" xfId="0" applyFont="1" applyFill="1" applyBorder="1" applyAlignment="1">
      <alignment horizontal="center" vertical="center" wrapText="1"/>
    </xf>
    <xf numFmtId="9" fontId="51" fillId="44" borderId="69" xfId="0" applyNumberFormat="1" applyFont="1" applyFill="1" applyBorder="1" applyAlignment="1">
      <alignment horizontal="center" vertical="center" wrapText="1"/>
    </xf>
    <xf numFmtId="1" fontId="51" fillId="0" borderId="93" xfId="0" applyNumberFormat="1" applyFont="1" applyFill="1" applyBorder="1" applyAlignment="1">
      <alignment horizontal="justify" vertical="center"/>
    </xf>
    <xf numFmtId="0" fontId="51" fillId="0" borderId="68" xfId="0" applyFont="1" applyBorder="1" applyAlignment="1">
      <alignment horizontal="center" vertical="center" wrapText="1"/>
    </xf>
    <xf numFmtId="1" fontId="51" fillId="0" borderId="69" xfId="0" applyNumberFormat="1" applyFont="1" applyFill="1" applyBorder="1" applyAlignment="1">
      <alignment horizontal="center" vertical="center"/>
    </xf>
    <xf numFmtId="1" fontId="51" fillId="0" borderId="80" xfId="0" applyNumberFormat="1" applyFont="1" applyFill="1" applyBorder="1" applyAlignment="1">
      <alignment horizontal="center" vertical="center"/>
    </xf>
    <xf numFmtId="0" fontId="51" fillId="0" borderId="93" xfId="0" applyNumberFormat="1" applyFont="1" applyFill="1" applyBorder="1" applyAlignment="1">
      <alignment horizontal="justify" vertical="center"/>
    </xf>
    <xf numFmtId="0" fontId="51" fillId="0" borderId="93" xfId="0" applyFont="1" applyFill="1" applyBorder="1" applyAlignment="1">
      <alignment horizontal="justify" vertical="center"/>
    </xf>
    <xf numFmtId="0" fontId="52" fillId="68" borderId="93" xfId="0" applyFont="1" applyFill="1" applyBorder="1" applyAlignment="1">
      <alignment horizontal="justify" vertical="center"/>
    </xf>
    <xf numFmtId="0" fontId="51" fillId="0" borderId="80" xfId="0" applyFont="1" applyFill="1" applyBorder="1" applyAlignment="1">
      <alignment horizontal="center" vertical="center"/>
    </xf>
    <xf numFmtId="9" fontId="51" fillId="15" borderId="69" xfId="5" applyFont="1" applyFill="1" applyBorder="1" applyAlignment="1">
      <alignment horizontal="center" vertical="center"/>
    </xf>
    <xf numFmtId="195" fontId="51" fillId="0" borderId="69" xfId="9" applyNumberFormat="1" applyFont="1" applyBorder="1" applyAlignment="1">
      <alignment horizontal="center" vertical="center"/>
    </xf>
    <xf numFmtId="0" fontId="51" fillId="0" borderId="69" xfId="0" applyFont="1" applyBorder="1" applyAlignment="1">
      <alignment horizontal="center" vertical="center"/>
    </xf>
    <xf numFmtId="191" fontId="51" fillId="0" borderId="69" xfId="10" applyNumberFormat="1" applyFont="1" applyBorder="1" applyAlignment="1">
      <alignment horizontal="center" vertical="center"/>
    </xf>
    <xf numFmtId="0" fontId="51" fillId="0" borderId="70" xfId="0" applyFont="1" applyBorder="1" applyAlignment="1">
      <alignment horizontal="center" vertical="center"/>
    </xf>
    <xf numFmtId="10" fontId="51" fillId="44" borderId="69" xfId="0" applyNumberFormat="1" applyFont="1" applyFill="1" applyBorder="1" applyAlignment="1">
      <alignment horizontal="center" vertical="center"/>
    </xf>
    <xf numFmtId="0" fontId="51" fillId="68" borderId="93" xfId="0" applyFont="1" applyFill="1" applyBorder="1" applyAlignment="1">
      <alignment horizontal="justify" vertical="center"/>
    </xf>
    <xf numFmtId="0" fontId="51" fillId="0" borderId="69" xfId="0" applyFont="1" applyBorder="1" applyAlignment="1">
      <alignment horizontal="center" vertical="center" wrapText="1"/>
    </xf>
    <xf numFmtId="189" fontId="51" fillId="0" borderId="69" xfId="9" applyNumberFormat="1" applyFont="1" applyBorder="1" applyAlignment="1">
      <alignment horizontal="center" vertical="center"/>
    </xf>
    <xf numFmtId="0" fontId="51" fillId="44" borderId="69" xfId="0" applyFont="1" applyFill="1" applyBorder="1" applyAlignment="1">
      <alignment horizontal="center" vertical="center"/>
    </xf>
    <xf numFmtId="1" fontId="51" fillId="44" borderId="69" xfId="0" applyNumberFormat="1" applyFont="1" applyFill="1" applyBorder="1" applyAlignment="1">
      <alignment horizontal="center" vertical="center" wrapText="1"/>
    </xf>
    <xf numFmtId="191" fontId="51" fillId="11" borderId="69" xfId="10" applyNumberFormat="1" applyFont="1" applyFill="1" applyBorder="1" applyAlignment="1">
      <alignment horizontal="center" vertical="center"/>
    </xf>
    <xf numFmtId="178" fontId="51" fillId="44" borderId="69" xfId="0" applyNumberFormat="1" applyFont="1" applyFill="1" applyBorder="1" applyAlignment="1">
      <alignment horizontal="center" vertical="center" wrapText="1"/>
    </xf>
    <xf numFmtId="10" fontId="51" fillId="0" borderId="69" xfId="0" applyNumberFormat="1" applyFont="1" applyFill="1" applyBorder="1" applyAlignment="1">
      <alignment horizontal="center" vertical="center"/>
    </xf>
    <xf numFmtId="9" fontId="51" fillId="0" borderId="69" xfId="5" applyFont="1" applyFill="1" applyBorder="1" applyAlignment="1">
      <alignment horizontal="center" vertical="center" wrapText="1"/>
    </xf>
    <xf numFmtId="0" fontId="51" fillId="0" borderId="93" xfId="0" applyFont="1" applyBorder="1" applyAlignment="1">
      <alignment horizontal="justify" vertical="center"/>
    </xf>
    <xf numFmtId="0" fontId="51" fillId="0" borderId="93" xfId="0" applyFont="1" applyBorder="1" applyAlignment="1">
      <alignment horizontal="justify" vertical="center" wrapText="1"/>
    </xf>
    <xf numFmtId="1" fontId="51" fillId="0" borderId="80" xfId="0" applyNumberFormat="1" applyFont="1" applyFill="1" applyBorder="1" applyAlignment="1">
      <alignment horizontal="center" vertical="center" wrapText="1"/>
    </xf>
    <xf numFmtId="0" fontId="51" fillId="0" borderId="68" xfId="0" applyFont="1" applyBorder="1" applyAlignment="1">
      <alignment horizontal="left" vertical="center" wrapText="1"/>
    </xf>
    <xf numFmtId="3" fontId="51" fillId="0" borderId="69" xfId="0" applyNumberFormat="1" applyFont="1" applyBorder="1" applyAlignment="1">
      <alignment horizontal="center" vertical="center"/>
    </xf>
    <xf numFmtId="3" fontId="51" fillId="0" borderId="69" xfId="0" applyNumberFormat="1" applyFont="1" applyFill="1" applyBorder="1" applyAlignment="1">
      <alignment horizontal="center" vertical="center"/>
    </xf>
    <xf numFmtId="0" fontId="51" fillId="0" borderId="69" xfId="0" applyFont="1" applyBorder="1" applyAlignment="1">
      <alignment horizontal="left" vertical="center" wrapText="1" readingOrder="1"/>
    </xf>
    <xf numFmtId="0" fontId="51" fillId="0" borderId="93" xfId="0" applyNumberFormat="1" applyFont="1" applyBorder="1" applyAlignment="1">
      <alignment horizontal="justify" vertical="center"/>
    </xf>
    <xf numFmtId="0" fontId="51" fillId="0" borderId="80" xfId="0" applyNumberFormat="1" applyFont="1" applyFill="1" applyBorder="1" applyAlignment="1">
      <alignment horizontal="center" vertical="center"/>
    </xf>
    <xf numFmtId="179" fontId="51" fillId="0" borderId="93" xfId="0" applyNumberFormat="1" applyFont="1" applyBorder="1" applyAlignment="1">
      <alignment horizontal="justify" vertical="center"/>
    </xf>
    <xf numFmtId="196" fontId="52" fillId="31" borderId="91" xfId="7" applyNumberFormat="1" applyFont="1" applyFill="1" applyBorder="1" applyAlignment="1">
      <alignment horizontal="center" vertical="center" wrapText="1"/>
    </xf>
    <xf numFmtId="0" fontId="52" fillId="0" borderId="91" xfId="20" applyFont="1" applyFill="1" applyBorder="1" applyAlignment="1">
      <alignment horizontal="center" vertical="center" wrapText="1"/>
    </xf>
    <xf numFmtId="9" fontId="51" fillId="44" borderId="69" xfId="0" applyNumberFormat="1" applyFont="1" applyFill="1" applyBorder="1" applyAlignment="1">
      <alignment horizontal="center" vertical="center"/>
    </xf>
    <xf numFmtId="179" fontId="51" fillId="0" borderId="80" xfId="0" applyNumberFormat="1" applyFont="1" applyFill="1" applyBorder="1" applyAlignment="1">
      <alignment horizontal="center" vertical="center"/>
    </xf>
    <xf numFmtId="0" fontId="55" fillId="0" borderId="92" xfId="20" applyFont="1" applyFill="1" applyBorder="1" applyAlignment="1">
      <alignment horizontal="center" vertical="center" wrapText="1"/>
    </xf>
    <xf numFmtId="0" fontId="49" fillId="44" borderId="93" xfId="0" applyFont="1" applyFill="1" applyBorder="1" applyAlignment="1">
      <alignment vertical="center"/>
    </xf>
    <xf numFmtId="0" fontId="51" fillId="44" borderId="93" xfId="0" applyFont="1" applyFill="1" applyBorder="1" applyAlignment="1">
      <alignment horizontal="center" vertical="center" wrapText="1"/>
    </xf>
    <xf numFmtId="0" fontId="51" fillId="44" borderId="93" xfId="0" applyFont="1" applyFill="1" applyBorder="1" applyAlignment="1">
      <alignment horizontal="center" vertical="center"/>
    </xf>
    <xf numFmtId="0" fontId="51" fillId="0" borderId="95" xfId="0" applyFont="1" applyFill="1" applyBorder="1" applyAlignment="1">
      <alignment horizontal="center" vertical="center"/>
    </xf>
    <xf numFmtId="3" fontId="51" fillId="0" borderId="93" xfId="0" applyNumberFormat="1" applyFont="1" applyBorder="1" applyAlignment="1">
      <alignment horizontal="justify" vertical="center"/>
    </xf>
    <xf numFmtId="196" fontId="52" fillId="31" borderId="96" xfId="7" applyNumberFormat="1" applyFont="1" applyFill="1" applyBorder="1" applyAlignment="1">
      <alignment horizontal="center" vertical="center" wrapText="1"/>
    </xf>
    <xf numFmtId="0" fontId="52" fillId="0" borderId="97" xfId="20" applyFont="1" applyFill="1" applyBorder="1" applyAlignment="1">
      <alignment horizontal="center" vertical="center" wrapText="1"/>
    </xf>
    <xf numFmtId="0" fontId="52" fillId="0" borderId="92" xfId="20" applyFont="1" applyFill="1" applyBorder="1" applyAlignment="1">
      <alignment horizontal="center" vertical="center" wrapText="1"/>
    </xf>
    <xf numFmtId="9" fontId="51" fillId="44" borderId="93" xfId="0" applyNumberFormat="1" applyFont="1" applyFill="1" applyBorder="1" applyAlignment="1">
      <alignment horizontal="center" vertical="center"/>
    </xf>
    <xf numFmtId="3" fontId="51" fillId="0" borderId="93" xfId="0" applyNumberFormat="1" applyFont="1" applyFill="1" applyBorder="1" applyAlignment="1">
      <alignment horizontal="center" vertical="center" wrapText="1"/>
    </xf>
    <xf numFmtId="3" fontId="51" fillId="0" borderId="95" xfId="0" applyNumberFormat="1" applyFont="1" applyFill="1" applyBorder="1" applyAlignment="1">
      <alignment horizontal="center" vertical="center"/>
    </xf>
    <xf numFmtId="179" fontId="51" fillId="0" borderId="93" xfId="5" applyNumberFormat="1" applyFont="1" applyBorder="1" applyAlignment="1">
      <alignment horizontal="justify" vertical="center"/>
    </xf>
    <xf numFmtId="0" fontId="52" fillId="0" borderId="96" xfId="20" applyFont="1" applyFill="1" applyBorder="1" applyAlignment="1">
      <alignment horizontal="center" vertical="center" wrapText="1"/>
    </xf>
    <xf numFmtId="173" fontId="51" fillId="0" borderId="93" xfId="0" applyNumberFormat="1" applyFont="1" applyFill="1" applyBorder="1" applyAlignment="1">
      <alignment horizontal="center" vertical="center"/>
    </xf>
    <xf numFmtId="179" fontId="51" fillId="0" borderId="95" xfId="5" applyNumberFormat="1" applyFont="1" applyFill="1" applyBorder="1" applyAlignment="1">
      <alignment horizontal="center" vertical="center"/>
    </xf>
    <xf numFmtId="180" fontId="51" fillId="44" borderId="93" xfId="0" applyNumberFormat="1" applyFont="1" applyFill="1" applyBorder="1" applyAlignment="1">
      <alignment horizontal="center" vertical="center"/>
    </xf>
    <xf numFmtId="9" fontId="51" fillId="16" borderId="93" xfId="0" applyNumberFormat="1" applyFont="1" applyFill="1" applyBorder="1" applyAlignment="1">
      <alignment horizontal="center" vertical="center" wrapText="1"/>
    </xf>
    <xf numFmtId="6" fontId="51" fillId="0" borderId="93" xfId="0" applyNumberFormat="1" applyFont="1" applyBorder="1" applyAlignment="1">
      <alignment horizontal="center" vertical="center" textRotation="90" wrapText="1"/>
    </xf>
    <xf numFmtId="0" fontId="51" fillId="0" borderId="93" xfId="0" applyFont="1" applyBorder="1" applyAlignment="1">
      <alignment horizontal="center" vertical="center"/>
    </xf>
    <xf numFmtId="9" fontId="51" fillId="0" borderId="93" xfId="0" applyNumberFormat="1" applyFont="1" applyFill="1" applyBorder="1" applyAlignment="1">
      <alignment horizontal="center" vertical="center" wrapText="1"/>
    </xf>
    <xf numFmtId="3" fontId="51" fillId="44" borderId="93" xfId="0" applyNumberFormat="1" applyFont="1" applyFill="1" applyBorder="1" applyAlignment="1">
      <alignment horizontal="center" vertical="center"/>
    </xf>
    <xf numFmtId="3" fontId="51" fillId="0" borderId="93" xfId="0" applyNumberFormat="1" applyFont="1" applyBorder="1" applyAlignment="1">
      <alignment horizontal="center" vertical="center" textRotation="90" wrapText="1"/>
    </xf>
    <xf numFmtId="3" fontId="51" fillId="0" borderId="93" xfId="0" applyNumberFormat="1" applyFont="1" applyFill="1" applyBorder="1" applyAlignment="1">
      <alignment horizontal="justify" vertical="center"/>
    </xf>
    <xf numFmtId="10" fontId="51" fillId="44" borderId="93" xfId="0" applyNumberFormat="1" applyFont="1" applyFill="1" applyBorder="1" applyAlignment="1">
      <alignment horizontal="center" vertical="center" wrapText="1"/>
    </xf>
    <xf numFmtId="9" fontId="52" fillId="11" borderId="68" xfId="0" applyNumberFormat="1" applyFont="1" applyFill="1" applyBorder="1" applyAlignment="1">
      <alignment horizontal="justify" vertical="center" wrapText="1"/>
    </xf>
    <xf numFmtId="9" fontId="51" fillId="44" borderId="93" xfId="0" applyNumberFormat="1" applyFont="1" applyFill="1" applyBorder="1" applyAlignment="1">
      <alignment horizontal="center" vertical="center" wrapText="1"/>
    </xf>
    <xf numFmtId="9" fontId="51" fillId="0" borderId="95" xfId="0" applyNumberFormat="1" applyFont="1" applyFill="1" applyBorder="1" applyAlignment="1">
      <alignment horizontal="center" vertical="center"/>
    </xf>
    <xf numFmtId="176" fontId="52" fillId="11" borderId="93" xfId="0" applyNumberFormat="1" applyFont="1" applyFill="1" applyBorder="1" applyAlignment="1" applyProtection="1">
      <alignment horizontal="left" vertical="center" wrapText="1"/>
      <protection locked="0"/>
    </xf>
    <xf numFmtId="9" fontId="51" fillId="0" borderId="95" xfId="0" applyNumberFormat="1" applyFont="1" applyFill="1" applyBorder="1" applyAlignment="1">
      <alignment horizontal="center" vertical="center" wrapText="1"/>
    </xf>
    <xf numFmtId="0" fontId="49" fillId="43" borderId="93" xfId="0" applyFont="1" applyFill="1" applyBorder="1" applyAlignment="1">
      <alignment vertical="center" wrapText="1"/>
    </xf>
    <xf numFmtId="0" fontId="49" fillId="43" borderId="93" xfId="0" applyFont="1" applyFill="1" applyBorder="1" applyAlignment="1">
      <alignment vertical="center"/>
    </xf>
    <xf numFmtId="0" fontId="51" fillId="43" borderId="93" xfId="0" applyFont="1" applyFill="1" applyBorder="1" applyAlignment="1">
      <alignment vertical="center" wrapText="1"/>
    </xf>
    <xf numFmtId="9" fontId="51" fillId="43" borderId="93" xfId="0" applyNumberFormat="1" applyFont="1" applyFill="1" applyBorder="1" applyAlignment="1">
      <alignment vertical="center" wrapText="1"/>
    </xf>
    <xf numFmtId="0" fontId="51" fillId="43" borderId="69" xfId="0" applyFont="1" applyFill="1" applyBorder="1" applyAlignment="1">
      <alignment vertical="center" wrapText="1"/>
    </xf>
    <xf numFmtId="0" fontId="51" fillId="0" borderId="93" xfId="0" applyFont="1" applyFill="1" applyBorder="1" applyAlignment="1">
      <alignment vertical="center"/>
    </xf>
    <xf numFmtId="0" fontId="51" fillId="0" borderId="93" xfId="0" applyFont="1" applyFill="1" applyBorder="1" applyAlignment="1">
      <alignment vertical="center" wrapText="1"/>
    </xf>
    <xf numFmtId="0" fontId="51" fillId="0" borderId="95" xfId="0" applyFont="1" applyFill="1" applyBorder="1" applyAlignment="1">
      <alignment vertical="center"/>
    </xf>
    <xf numFmtId="0" fontId="49" fillId="7" borderId="93" xfId="0" applyFont="1" applyFill="1" applyBorder="1" applyAlignment="1">
      <alignment vertical="center" wrapText="1"/>
    </xf>
    <xf numFmtId="0" fontId="51" fillId="7" borderId="93" xfId="0" applyFont="1" applyFill="1" applyBorder="1" applyAlignment="1">
      <alignment vertical="center" wrapText="1"/>
    </xf>
    <xf numFmtId="0" fontId="51" fillId="7" borderId="93" xfId="0" applyFont="1" applyFill="1" applyBorder="1" applyAlignment="1">
      <alignment horizontal="center" vertical="center" wrapText="1"/>
    </xf>
    <xf numFmtId="9" fontId="51" fillId="7" borderId="93" xfId="0" applyNumberFormat="1" applyFont="1" applyFill="1" applyBorder="1" applyAlignment="1">
      <alignment horizontal="center" vertical="center" wrapText="1"/>
    </xf>
    <xf numFmtId="0" fontId="51" fillId="7" borderId="69" xfId="0" applyFont="1" applyFill="1" applyBorder="1" applyAlignment="1">
      <alignment horizontal="center" vertical="center" wrapText="1"/>
    </xf>
    <xf numFmtId="9" fontId="51" fillId="16" borderId="93" xfId="0" applyNumberFormat="1" applyFont="1" applyFill="1" applyBorder="1" applyAlignment="1">
      <alignment horizontal="center" vertical="center"/>
    </xf>
    <xf numFmtId="0" fontId="51" fillId="0" borderId="93" xfId="0" applyFont="1" applyBorder="1"/>
    <xf numFmtId="0" fontId="51" fillId="0" borderId="93" xfId="0" applyFont="1" applyBorder="1" applyAlignment="1">
      <alignment wrapText="1"/>
    </xf>
    <xf numFmtId="0" fontId="51" fillId="7" borderId="93" xfId="0" applyFont="1" applyFill="1" applyBorder="1" applyAlignment="1">
      <alignment horizontal="center" vertical="center"/>
    </xf>
    <xf numFmtId="2" fontId="51" fillId="0" borderId="95" xfId="0" applyNumberFormat="1" applyFont="1" applyFill="1" applyBorder="1" applyAlignment="1">
      <alignment horizontal="center" vertical="center"/>
    </xf>
    <xf numFmtId="49" fontId="51" fillId="0" borderId="95" xfId="0" applyNumberFormat="1" applyFont="1" applyFill="1" applyBorder="1" applyAlignment="1">
      <alignment horizontal="center" vertical="center"/>
    </xf>
    <xf numFmtId="2" fontId="51" fillId="0" borderId="93" xfId="0" applyNumberFormat="1" applyFont="1" applyBorder="1" applyAlignment="1">
      <alignment horizontal="justify" vertical="center"/>
    </xf>
    <xf numFmtId="0" fontId="51" fillId="0" borderId="93" xfId="0" applyFont="1" applyBorder="1" applyAlignment="1">
      <alignment horizontal="center" vertical="center" wrapText="1"/>
    </xf>
    <xf numFmtId="3" fontId="51" fillId="0" borderId="93" xfId="0" applyNumberFormat="1" applyFont="1" applyBorder="1" applyAlignment="1">
      <alignment horizontal="center" vertical="center"/>
    </xf>
    <xf numFmtId="0" fontId="51" fillId="0" borderId="94" xfId="0" applyFont="1" applyBorder="1" applyAlignment="1">
      <alignment horizontal="center" vertical="center"/>
    </xf>
    <xf numFmtId="0" fontId="49" fillId="7" borderId="93" xfId="0" applyFont="1" applyFill="1" applyBorder="1" applyAlignment="1">
      <alignment vertical="center"/>
    </xf>
    <xf numFmtId="9" fontId="51" fillId="0" borderId="95" xfId="0" applyNumberFormat="1" applyFont="1" applyBorder="1" applyAlignment="1">
      <alignment horizontal="center" vertical="center"/>
    </xf>
    <xf numFmtId="191" fontId="51" fillId="0" borderId="93" xfId="10" applyNumberFormat="1" applyFont="1" applyBorder="1" applyAlignment="1">
      <alignment horizontal="center" vertical="center"/>
    </xf>
    <xf numFmtId="0" fontId="49" fillId="7" borderId="93" xfId="0" applyFont="1" applyFill="1" applyBorder="1" applyAlignment="1">
      <alignment horizontal="center" vertical="center" wrapText="1"/>
    </xf>
    <xf numFmtId="0" fontId="49" fillId="42" borderId="93" xfId="0" applyFont="1" applyFill="1" applyBorder="1" applyAlignment="1">
      <alignment vertical="center"/>
    </xf>
    <xf numFmtId="0" fontId="51" fillId="42" borderId="93" xfId="0" applyFont="1" applyFill="1" applyBorder="1" applyAlignment="1">
      <alignment horizontal="center" vertical="center" wrapText="1"/>
    </xf>
    <xf numFmtId="9" fontId="51" fillId="42" borderId="93" xfId="0" applyNumberFormat="1" applyFont="1" applyFill="1" applyBorder="1" applyAlignment="1">
      <alignment horizontal="center" vertical="center" wrapText="1"/>
    </xf>
    <xf numFmtId="1" fontId="51" fillId="0" borderId="93" xfId="0" applyNumberFormat="1" applyFont="1" applyFill="1" applyBorder="1" applyAlignment="1">
      <alignment horizontal="center" vertical="center" wrapText="1"/>
    </xf>
    <xf numFmtId="1" fontId="51" fillId="0" borderId="95" xfId="5" applyNumberFormat="1" applyFont="1" applyFill="1" applyBorder="1" applyAlignment="1">
      <alignment horizontal="center" vertical="center" wrapText="1"/>
    </xf>
    <xf numFmtId="9" fontId="51" fillId="68" borderId="93" xfId="0" applyNumberFormat="1" applyFont="1" applyFill="1" applyBorder="1" applyAlignment="1">
      <alignment horizontal="justify" vertical="center" wrapText="1"/>
    </xf>
    <xf numFmtId="1" fontId="51" fillId="0" borderId="93" xfId="5" applyNumberFormat="1" applyFont="1" applyFill="1" applyBorder="1" applyAlignment="1">
      <alignment horizontal="justify" vertical="center" wrapText="1"/>
    </xf>
    <xf numFmtId="10" fontId="51" fillId="42" borderId="93" xfId="0" applyNumberFormat="1" applyFont="1" applyFill="1" applyBorder="1" applyAlignment="1">
      <alignment horizontal="center" vertical="center"/>
    </xf>
    <xf numFmtId="0" fontId="51" fillId="0" borderId="93" xfId="0" applyNumberFormat="1" applyFont="1" applyFill="1" applyBorder="1" applyAlignment="1">
      <alignment horizontal="center" vertical="center" wrapText="1"/>
    </xf>
    <xf numFmtId="1" fontId="51" fillId="0" borderId="95" xfId="0" applyNumberFormat="1" applyFont="1" applyFill="1" applyBorder="1" applyAlignment="1">
      <alignment horizontal="center" vertical="center" wrapText="1"/>
    </xf>
    <xf numFmtId="9" fontId="51" fillId="0" borderId="93" xfId="5" applyFont="1" applyFill="1" applyBorder="1" applyAlignment="1">
      <alignment horizontal="justify" vertical="center" wrapText="1"/>
    </xf>
    <xf numFmtId="0" fontId="51" fillId="0" borderId="0" xfId="0" applyFont="1" applyFill="1" applyBorder="1" applyAlignment="1">
      <alignment horizontal="center" vertical="center"/>
    </xf>
    <xf numFmtId="1" fontId="51" fillId="0" borderId="93" xfId="0" applyNumberFormat="1" applyFont="1" applyFill="1" applyBorder="1" applyAlignment="1">
      <alignment horizontal="justify" vertical="center" wrapText="1"/>
    </xf>
    <xf numFmtId="0" fontId="51" fillId="42" borderId="93" xfId="0" applyNumberFormat="1" applyFont="1" applyFill="1" applyBorder="1" applyAlignment="1">
      <alignment horizontal="center" vertical="center" wrapText="1"/>
    </xf>
    <xf numFmtId="0" fontId="51" fillId="0" borderId="93" xfId="5" applyNumberFormat="1" applyFont="1" applyFill="1" applyBorder="1" applyAlignment="1">
      <alignment horizontal="center" vertical="center" wrapText="1"/>
    </xf>
    <xf numFmtId="0" fontId="51" fillId="0" borderId="95" xfId="0" applyNumberFormat="1" applyFont="1" applyFill="1" applyBorder="1" applyAlignment="1">
      <alignment horizontal="center" vertical="center" wrapText="1"/>
    </xf>
    <xf numFmtId="10" fontId="51" fillId="42" borderId="93" xfId="0" applyNumberFormat="1" applyFont="1" applyFill="1" applyBorder="1" applyAlignment="1">
      <alignment horizontal="center" vertical="center" wrapText="1"/>
    </xf>
    <xf numFmtId="10" fontId="51" fillId="0" borderId="93" xfId="0" applyNumberFormat="1" applyFont="1" applyFill="1" applyBorder="1" applyAlignment="1">
      <alignment horizontal="center" vertical="center" wrapText="1"/>
    </xf>
    <xf numFmtId="9" fontId="51" fillId="0" borderId="95" xfId="5" applyFont="1" applyFill="1" applyBorder="1" applyAlignment="1">
      <alignment horizontal="center" vertical="center"/>
    </xf>
    <xf numFmtId="0" fontId="51" fillId="0" borderId="93" xfId="0" applyNumberFormat="1" applyFont="1" applyFill="1" applyBorder="1" applyAlignment="1">
      <alignment horizontal="justify" vertical="center" wrapText="1"/>
    </xf>
    <xf numFmtId="10" fontId="51" fillId="0" borderId="95" xfId="0" applyNumberFormat="1" applyFont="1" applyFill="1" applyBorder="1" applyAlignment="1">
      <alignment horizontal="center" vertical="center" wrapText="1"/>
    </xf>
    <xf numFmtId="9" fontId="51" fillId="0" borderId="93" xfId="5" applyFont="1" applyBorder="1" applyAlignment="1">
      <alignment horizontal="justify" vertical="center"/>
    </xf>
    <xf numFmtId="10" fontId="51" fillId="0" borderId="93" xfId="0" applyNumberFormat="1" applyFont="1" applyFill="1" applyBorder="1" applyAlignment="1">
      <alignment horizontal="justify" vertical="center" wrapText="1"/>
    </xf>
    <xf numFmtId="9" fontId="51" fillId="0" borderId="93" xfId="5" applyFont="1" applyFill="1" applyBorder="1" applyAlignment="1">
      <alignment horizontal="center" vertical="center" wrapText="1"/>
    </xf>
    <xf numFmtId="0" fontId="49" fillId="0" borderId="29" xfId="0" applyFont="1" applyFill="1" applyBorder="1" applyAlignment="1">
      <alignment vertical="center" wrapText="1"/>
    </xf>
    <xf numFmtId="0" fontId="49" fillId="42" borderId="30" xfId="0" applyFont="1" applyFill="1" applyBorder="1" applyAlignment="1">
      <alignment vertical="center"/>
    </xf>
    <xf numFmtId="0" fontId="51" fillId="42" borderId="30" xfId="0" applyFont="1" applyFill="1" applyBorder="1" applyAlignment="1">
      <alignment horizontal="center" vertical="center" wrapText="1"/>
    </xf>
    <xf numFmtId="0" fontId="51" fillId="0" borderId="30" xfId="0" applyFont="1" applyFill="1" applyBorder="1" applyAlignment="1">
      <alignment horizontal="center" vertical="center" wrapText="1"/>
    </xf>
    <xf numFmtId="9" fontId="51" fillId="0" borderId="30" xfId="5" applyFont="1" applyFill="1" applyBorder="1" applyAlignment="1">
      <alignment horizontal="center" vertical="center" wrapText="1"/>
    </xf>
    <xf numFmtId="1" fontId="51" fillId="0" borderId="30" xfId="0" applyNumberFormat="1" applyFont="1" applyFill="1" applyBorder="1" applyAlignment="1">
      <alignment horizontal="center" vertical="center" wrapText="1"/>
    </xf>
    <xf numFmtId="1" fontId="51" fillId="0" borderId="66" xfId="0" applyNumberFormat="1" applyFont="1" applyFill="1" applyBorder="1" applyAlignment="1">
      <alignment horizontal="center" vertical="center" wrapText="1"/>
    </xf>
    <xf numFmtId="0" fontId="51" fillId="0" borderId="0" xfId="0" applyFont="1" applyAlignment="1">
      <alignment horizontal="center" vertical="center" wrapText="1"/>
    </xf>
    <xf numFmtId="0" fontId="51" fillId="0" borderId="0" xfId="0" applyFont="1" applyBorder="1" applyAlignment="1">
      <alignment horizontal="center" vertical="center" wrapText="1"/>
    </xf>
    <xf numFmtId="0" fontId="11" fillId="0" borderId="0" xfId="0" applyFont="1" applyProtection="1">
      <protection hidden="1"/>
    </xf>
    <xf numFmtId="0" fontId="3" fillId="4" borderId="94" xfId="0" applyFont="1" applyFill="1" applyBorder="1" applyAlignment="1">
      <alignment horizontal="center" vertical="center"/>
    </xf>
    <xf numFmtId="9" fontId="10" fillId="0" borderId="71" xfId="0" applyNumberFormat="1" applyFont="1" applyBorder="1" applyAlignment="1">
      <alignment vertical="center"/>
    </xf>
    <xf numFmtId="9" fontId="10" fillId="0" borderId="71" xfId="0" applyNumberFormat="1" applyFont="1" applyBorder="1" applyAlignment="1">
      <alignment vertical="center" wrapText="1"/>
    </xf>
    <xf numFmtId="0" fontId="3" fillId="0" borderId="0" xfId="0" applyFont="1" applyBorder="1" applyAlignment="1">
      <alignment horizontal="left" vertical="center" wrapText="1"/>
    </xf>
    <xf numFmtId="0" fontId="8" fillId="58" borderId="5" xfId="0" applyFont="1" applyFill="1" applyBorder="1" applyAlignment="1">
      <alignment horizontal="center" vertical="center" wrapText="1"/>
    </xf>
    <xf numFmtId="0" fontId="8" fillId="57" borderId="40" xfId="0" applyFont="1" applyFill="1" applyBorder="1" applyAlignment="1">
      <alignment horizontal="center" vertical="center" wrapText="1"/>
    </xf>
    <xf numFmtId="0" fontId="10" fillId="0" borderId="0" xfId="6" applyFont="1" applyFill="1" applyBorder="1"/>
    <xf numFmtId="174" fontId="9" fillId="0" borderId="0" xfId="0" applyNumberFormat="1" applyFont="1" applyFill="1"/>
    <xf numFmtId="191" fontId="0" fillId="0" borderId="0" xfId="0" applyNumberFormat="1" applyFont="1" applyAlignment="1">
      <alignment horizontal="center" vertical="center"/>
    </xf>
    <xf numFmtId="0" fontId="0" fillId="69" borderId="102" xfId="0" applyFont="1" applyFill="1" applyBorder="1" applyAlignment="1">
      <alignment horizontal="center" vertical="center"/>
    </xf>
    <xf numFmtId="0" fontId="0" fillId="69" borderId="0" xfId="0" applyFont="1" applyFill="1" applyAlignment="1">
      <alignment horizontal="center" vertical="center"/>
    </xf>
    <xf numFmtId="0" fontId="0" fillId="0" borderId="0" xfId="0" applyFont="1" applyAlignment="1">
      <alignment horizontal="justify"/>
    </xf>
    <xf numFmtId="0" fontId="3" fillId="29" borderId="32" xfId="0" applyFont="1" applyFill="1" applyBorder="1" applyAlignment="1">
      <alignment horizontal="center" vertical="center" wrapText="1"/>
    </xf>
    <xf numFmtId="9" fontId="0" fillId="11" borderId="0" xfId="5" applyFont="1" applyFill="1" applyAlignment="1">
      <alignment horizontal="center" vertical="center"/>
    </xf>
    <xf numFmtId="9" fontId="0" fillId="0" borderId="0" xfId="5" applyFont="1" applyAlignment="1">
      <alignment horizontal="center" vertical="center"/>
    </xf>
    <xf numFmtId="0" fontId="9" fillId="19" borderId="20" xfId="0" applyNumberFormat="1" applyFont="1" applyFill="1" applyBorder="1" applyAlignment="1">
      <alignment horizontal="center" vertical="center" wrapText="1"/>
    </xf>
    <xf numFmtId="0" fontId="9" fillId="38" borderId="32" xfId="0" applyFont="1" applyFill="1" applyBorder="1" applyAlignment="1">
      <alignment horizontal="center" vertical="center" wrapText="1"/>
    </xf>
    <xf numFmtId="0" fontId="9" fillId="39" borderId="32" xfId="0" applyFont="1" applyFill="1" applyBorder="1" applyAlignment="1">
      <alignment horizontal="center" vertical="center" wrapText="1"/>
    </xf>
    <xf numFmtId="9" fontId="0" fillId="0" borderId="0" xfId="5" applyFont="1"/>
    <xf numFmtId="0" fontId="3" fillId="38" borderId="8" xfId="0" applyFont="1" applyFill="1" applyBorder="1" applyAlignment="1">
      <alignment horizontal="center" vertical="center" wrapText="1"/>
    </xf>
    <xf numFmtId="0" fontId="3" fillId="29" borderId="8" xfId="0" applyFont="1" applyFill="1" applyBorder="1" applyAlignment="1">
      <alignment horizontal="center" vertical="center" wrapText="1"/>
    </xf>
    <xf numFmtId="0" fontId="3" fillId="29" borderId="56" xfId="0" applyFont="1" applyFill="1" applyBorder="1" applyAlignment="1">
      <alignment horizontal="center" vertical="center" wrapText="1"/>
    </xf>
    <xf numFmtId="0" fontId="0" fillId="29" borderId="30" xfId="0" applyFont="1" applyFill="1" applyBorder="1" applyAlignment="1">
      <alignment vertical="top" wrapText="1"/>
    </xf>
    <xf numFmtId="0" fontId="0" fillId="4" borderId="106" xfId="0" applyFont="1" applyFill="1" applyBorder="1" applyAlignment="1" applyProtection="1">
      <alignment horizontal="center" vertical="center" textRotation="90" wrapText="1"/>
      <protection locked="0"/>
    </xf>
    <xf numFmtId="0" fontId="0" fillId="4" borderId="115" xfId="0" applyFont="1" applyFill="1" applyBorder="1" applyAlignment="1" applyProtection="1">
      <alignment horizontal="center" vertical="center" textRotation="90" wrapText="1"/>
      <protection locked="0"/>
    </xf>
    <xf numFmtId="0" fontId="0" fillId="4" borderId="106" xfId="0" applyFont="1" applyFill="1" applyBorder="1" applyAlignment="1" applyProtection="1">
      <alignment vertical="center" textRotation="90" wrapText="1"/>
      <protection locked="0"/>
    </xf>
    <xf numFmtId="16" fontId="0" fillId="4" borderId="108" xfId="0" applyNumberFormat="1" applyFont="1" applyFill="1" applyBorder="1" applyAlignment="1" applyProtection="1">
      <alignment vertical="center" textRotation="90" wrapText="1"/>
      <protection locked="0"/>
    </xf>
    <xf numFmtId="0" fontId="0" fillId="4" borderId="108" xfId="0" applyFont="1" applyFill="1" applyBorder="1" applyAlignment="1" applyProtection="1">
      <alignment vertical="center" textRotation="90" wrapText="1"/>
      <protection locked="0"/>
    </xf>
    <xf numFmtId="0" fontId="0" fillId="4" borderId="115" xfId="0" applyFont="1" applyFill="1" applyBorder="1" applyAlignment="1" applyProtection="1">
      <alignment vertical="center" textRotation="90" wrapText="1"/>
      <protection locked="0"/>
    </xf>
    <xf numFmtId="0" fontId="0" fillId="4" borderId="110" xfId="0" applyFont="1" applyFill="1" applyBorder="1" applyAlignment="1" applyProtection="1">
      <alignment vertical="center" textRotation="90" wrapText="1"/>
      <protection locked="0"/>
    </xf>
    <xf numFmtId="0" fontId="0" fillId="4" borderId="109" xfId="0" applyFont="1" applyFill="1" applyBorder="1" applyAlignment="1" applyProtection="1">
      <alignment vertical="center" textRotation="90" wrapText="1"/>
      <protection locked="0"/>
    </xf>
    <xf numFmtId="0" fontId="3" fillId="4" borderId="108" xfId="0" applyFont="1" applyFill="1" applyBorder="1" applyAlignment="1" applyProtection="1">
      <alignment horizontal="center" vertical="center" wrapText="1"/>
      <protection locked="0"/>
    </xf>
    <xf numFmtId="9" fontId="0" fillId="0" borderId="0" xfId="5" applyFont="1" applyAlignment="1">
      <alignment horizontal="center"/>
    </xf>
    <xf numFmtId="0" fontId="51" fillId="0" borderId="0" xfId="0" applyFont="1"/>
    <xf numFmtId="0" fontId="48" fillId="7" borderId="58" xfId="0" applyFont="1" applyFill="1" applyBorder="1" applyAlignment="1" applyProtection="1">
      <alignment horizontal="center" vertical="center"/>
      <protection locked="0"/>
    </xf>
    <xf numFmtId="0" fontId="48" fillId="10" borderId="18" xfId="0" applyFont="1" applyFill="1" applyBorder="1" applyAlignment="1" applyProtection="1">
      <alignment horizontal="center" vertical="center"/>
      <protection locked="0"/>
    </xf>
    <xf numFmtId="0" fontId="48" fillId="10" borderId="4" xfId="0" applyFont="1" applyFill="1" applyBorder="1" applyAlignment="1" applyProtection="1">
      <alignment horizontal="center" vertical="center"/>
      <protection locked="0"/>
    </xf>
    <xf numFmtId="0" fontId="50" fillId="4" borderId="9" xfId="0" applyFont="1" applyFill="1" applyBorder="1" applyAlignment="1" applyProtection="1">
      <alignment horizontal="center"/>
      <protection locked="0"/>
    </xf>
    <xf numFmtId="0" fontId="50" fillId="4" borderId="0" xfId="0" applyFont="1" applyFill="1" applyBorder="1" applyAlignment="1" applyProtection="1">
      <alignment horizontal="center"/>
      <protection locked="0"/>
    </xf>
    <xf numFmtId="0" fontId="48" fillId="9" borderId="62" xfId="0" applyFont="1" applyFill="1" applyBorder="1" applyAlignment="1" applyProtection="1">
      <alignment horizontal="center" vertical="center" wrapText="1"/>
      <protection locked="0"/>
    </xf>
    <xf numFmtId="0" fontId="48" fillId="9" borderId="4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wrapText="1"/>
      <protection locked="0"/>
    </xf>
    <xf numFmtId="0" fontId="50" fillId="4" borderId="62" xfId="0" applyFont="1" applyFill="1" applyBorder="1" applyAlignment="1" applyProtection="1">
      <alignment horizontal="center" vertical="center"/>
      <protection locked="0"/>
    </xf>
    <xf numFmtId="0" fontId="50" fillId="4" borderId="0" xfId="0" applyFont="1" applyFill="1" applyBorder="1" applyAlignment="1" applyProtection="1">
      <alignment horizontal="center" vertical="center"/>
      <protection locked="0"/>
    </xf>
    <xf numFmtId="0" fontId="50" fillId="4" borderId="40" xfId="0" applyFont="1" applyFill="1" applyBorder="1" applyAlignment="1" applyProtection="1">
      <alignment horizontal="center" vertical="center"/>
      <protection locked="0"/>
    </xf>
    <xf numFmtId="0" fontId="48" fillId="10" borderId="0" xfId="0" applyFont="1" applyFill="1" applyBorder="1" applyAlignment="1" applyProtection="1">
      <alignment horizontal="center" vertical="center"/>
      <protection locked="0"/>
    </xf>
    <xf numFmtId="0" fontId="50" fillId="4" borderId="2" xfId="0" applyFont="1" applyFill="1" applyBorder="1" applyAlignment="1" applyProtection="1">
      <alignment horizontal="center"/>
      <protection locked="0"/>
    </xf>
    <xf numFmtId="0" fontId="50" fillId="4" borderId="25" xfId="0" applyFont="1" applyFill="1" applyBorder="1" applyAlignment="1" applyProtection="1">
      <alignment horizontal="center"/>
      <protection locked="0"/>
    </xf>
    <xf numFmtId="0" fontId="50" fillId="4" borderId="27" xfId="0" applyFont="1" applyFill="1" applyBorder="1" applyAlignment="1" applyProtection="1">
      <alignment horizontal="center"/>
      <protection locked="0"/>
    </xf>
    <xf numFmtId="0" fontId="48" fillId="10" borderId="0" xfId="0" applyFont="1" applyFill="1" applyBorder="1" applyAlignment="1" applyProtection="1">
      <alignment horizontal="center" vertical="center" wrapText="1"/>
      <protection locked="0"/>
    </xf>
    <xf numFmtId="0" fontId="49" fillId="0" borderId="0" xfId="0" applyFont="1" applyBorder="1" applyAlignment="1">
      <alignment horizontal="center" vertical="center"/>
    </xf>
    <xf numFmtId="9" fontId="49" fillId="0" borderId="0" xfId="0" applyNumberFormat="1" applyFont="1" applyBorder="1" applyAlignment="1">
      <alignment horizontal="center" vertical="center"/>
    </xf>
    <xf numFmtId="0" fontId="48" fillId="0" borderId="0" xfId="0" applyFont="1" applyFill="1" applyBorder="1" applyAlignment="1" applyProtection="1">
      <alignment vertical="center" wrapText="1"/>
      <protection locked="0"/>
    </xf>
    <xf numFmtId="0" fontId="50" fillId="0" borderId="0" xfId="0" applyFont="1" applyBorder="1" applyAlignment="1">
      <alignment vertical="center" wrapText="1"/>
    </xf>
    <xf numFmtId="0" fontId="49" fillId="0" borderId="0" xfId="0" applyFont="1" applyBorder="1" applyAlignment="1">
      <alignment horizontal="center" vertical="center" wrapText="1"/>
    </xf>
    <xf numFmtId="3" fontId="51" fillId="0" borderId="0" xfId="0" applyNumberFormat="1" applyFont="1"/>
    <xf numFmtId="0" fontId="48" fillId="0" borderId="0" xfId="0" applyFont="1" applyFill="1" applyBorder="1" applyAlignment="1">
      <alignment vertical="center" wrapText="1"/>
    </xf>
    <xf numFmtId="9" fontId="49" fillId="0" borderId="0" xfId="0" applyNumberFormat="1" applyFont="1" applyBorder="1" applyAlignment="1">
      <alignment horizontal="center" vertical="center" wrapText="1"/>
    </xf>
    <xf numFmtId="0" fontId="49" fillId="0" borderId="0" xfId="0" applyFont="1" applyBorder="1" applyAlignment="1">
      <alignment vertical="center" wrapText="1"/>
    </xf>
    <xf numFmtId="0" fontId="51" fillId="0" borderId="0" xfId="0" applyFont="1" applyBorder="1" applyAlignment="1">
      <alignment horizontal="center" vertical="center"/>
    </xf>
    <xf numFmtId="9" fontId="51" fillId="0" borderId="0" xfId="0" applyNumberFormat="1" applyFont="1" applyBorder="1" applyAlignment="1">
      <alignment horizontal="center" vertical="center" wrapText="1"/>
    </xf>
    <xf numFmtId="0" fontId="51" fillId="0" borderId="0" xfId="0" applyFont="1" applyBorder="1"/>
    <xf numFmtId="0" fontId="51" fillId="0" borderId="0" xfId="0" applyFont="1" applyBorder="1" applyAlignment="1">
      <alignment vertical="center"/>
    </xf>
    <xf numFmtId="0" fontId="51" fillId="0" borderId="0" xfId="0" applyFont="1" applyAlignment="1">
      <alignment vertical="center"/>
    </xf>
    <xf numFmtId="3" fontId="9" fillId="10" borderId="18" xfId="0" applyNumberFormat="1" applyFont="1" applyFill="1" applyBorder="1" applyAlignment="1" applyProtection="1">
      <alignment horizontal="center" vertical="center"/>
      <protection locked="0"/>
    </xf>
    <xf numFmtId="3" fontId="9" fillId="10" borderId="4" xfId="0" applyNumberFormat="1" applyFont="1" applyFill="1" applyBorder="1" applyAlignment="1" applyProtection="1">
      <alignment horizontal="center" vertical="center"/>
      <protection locked="0"/>
    </xf>
    <xf numFmtId="3" fontId="9" fillId="10" borderId="0" xfId="0" applyNumberFormat="1" applyFont="1" applyFill="1" applyBorder="1" applyAlignment="1" applyProtection="1">
      <alignment horizontal="center" vertical="center" wrapText="1"/>
      <protection locked="0"/>
    </xf>
    <xf numFmtId="3" fontId="9" fillId="4" borderId="20" xfId="0" applyNumberFormat="1" applyFont="1" applyFill="1" applyBorder="1" applyAlignment="1" applyProtection="1">
      <alignment horizontal="center" vertical="center" wrapText="1"/>
      <protection locked="0"/>
    </xf>
    <xf numFmtId="9" fontId="0" fillId="42" borderId="30" xfId="0" applyNumberFormat="1" applyFont="1" applyFill="1" applyBorder="1" applyAlignment="1">
      <alignment horizontal="center" vertical="center" wrapText="1"/>
    </xf>
    <xf numFmtId="0" fontId="9" fillId="4" borderId="109" xfId="0" applyFont="1" applyFill="1" applyBorder="1" applyAlignment="1" applyProtection="1">
      <alignment horizontal="center" vertical="center" wrapText="1"/>
      <protection locked="0"/>
    </xf>
    <xf numFmtId="0" fontId="8" fillId="4" borderId="115" xfId="0" applyFont="1" applyFill="1" applyBorder="1" applyAlignment="1" applyProtection="1">
      <alignment horizontal="center" vertical="center" wrapText="1"/>
      <protection locked="0"/>
    </xf>
    <xf numFmtId="0" fontId="9" fillId="11" borderId="58" xfId="0" applyFont="1" applyFill="1" applyBorder="1" applyAlignment="1" applyProtection="1">
      <alignment horizontal="center" vertical="center"/>
      <protection locked="0"/>
    </xf>
    <xf numFmtId="3" fontId="10" fillId="11" borderId="22" xfId="0" applyNumberFormat="1" applyFont="1" applyFill="1" applyBorder="1" applyAlignment="1" applyProtection="1">
      <alignment horizontal="center" vertical="center" textRotation="90" wrapText="1"/>
      <protection locked="0"/>
    </xf>
    <xf numFmtId="3" fontId="10" fillId="11" borderId="23" xfId="0" applyNumberFormat="1" applyFont="1" applyFill="1" applyBorder="1" applyAlignment="1" applyProtection="1">
      <alignment horizontal="center" vertical="center" textRotation="90" wrapText="1"/>
      <protection locked="0"/>
    </xf>
    <xf numFmtId="3" fontId="10" fillId="11" borderId="0" xfId="0" applyNumberFormat="1" applyFont="1" applyFill="1" applyAlignment="1">
      <alignment horizontal="center"/>
    </xf>
    <xf numFmtId="0" fontId="8" fillId="10" borderId="13"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center" vertical="center"/>
      <protection locked="0"/>
    </xf>
    <xf numFmtId="0" fontId="48" fillId="10" borderId="13" xfId="0" applyFont="1" applyFill="1" applyBorder="1" applyAlignment="1" applyProtection="1">
      <alignment horizontal="center" vertical="center" wrapText="1"/>
      <protection locked="0"/>
    </xf>
    <xf numFmtId="0" fontId="48" fillId="4" borderId="38" xfId="0" applyFont="1" applyFill="1" applyBorder="1" applyAlignment="1">
      <alignment horizontal="center" vertical="center" wrapText="1"/>
    </xf>
    <xf numFmtId="0" fontId="48" fillId="4" borderId="39" xfId="0" applyFont="1" applyFill="1" applyBorder="1" applyAlignment="1">
      <alignment horizontal="center" vertical="center" wrapText="1"/>
    </xf>
    <xf numFmtId="0" fontId="3" fillId="17" borderId="93" xfId="0" applyFont="1" applyFill="1" applyBorder="1" applyAlignment="1">
      <alignment horizontal="center" vertical="center"/>
    </xf>
    <xf numFmtId="3" fontId="8" fillId="3" borderId="2" xfId="0" applyNumberFormat="1" applyFont="1" applyFill="1" applyBorder="1" applyAlignment="1">
      <alignment vertical="center"/>
    </xf>
    <xf numFmtId="3" fontId="3" fillId="4" borderId="9" xfId="0" applyNumberFormat="1" applyFont="1" applyFill="1" applyBorder="1" applyAlignment="1" applyProtection="1">
      <alignment horizontal="center" vertical="center"/>
      <protection locked="0"/>
    </xf>
    <xf numFmtId="3" fontId="0" fillId="4" borderId="20" xfId="0" applyNumberFormat="1" applyFont="1" applyFill="1" applyBorder="1" applyAlignment="1" applyProtection="1">
      <alignment horizontal="center" vertical="center" textRotation="90" wrapText="1"/>
      <protection locked="0"/>
    </xf>
    <xf numFmtId="3" fontId="0" fillId="4" borderId="28" xfId="0" applyNumberFormat="1" applyFont="1" applyFill="1" applyBorder="1" applyAlignment="1" applyProtection="1">
      <alignment horizontal="center" vertical="center" textRotation="90" wrapText="1"/>
      <protection locked="0"/>
    </xf>
    <xf numFmtId="3" fontId="0" fillId="4" borderId="21" xfId="0" applyNumberFormat="1" applyFont="1" applyFill="1" applyBorder="1" applyAlignment="1" applyProtection="1">
      <alignment horizontal="center" vertical="center" textRotation="90" wrapText="1"/>
      <protection locked="0"/>
    </xf>
    <xf numFmtId="3" fontId="11" fillId="0" borderId="0" xfId="0" applyNumberFormat="1" applyFont="1" applyFill="1" applyBorder="1"/>
    <xf numFmtId="0" fontId="8" fillId="10" borderId="13" xfId="0" applyFont="1" applyFill="1" applyBorder="1" applyAlignment="1" applyProtection="1">
      <alignment horizontal="center" vertical="center" wrapText="1"/>
      <protection locked="0"/>
    </xf>
    <xf numFmtId="3" fontId="8" fillId="10" borderId="13" xfId="0" applyNumberFormat="1" applyFont="1" applyFill="1" applyBorder="1" applyAlignment="1" applyProtection="1">
      <alignment horizontal="center" vertical="center" wrapText="1"/>
      <protection locked="0"/>
    </xf>
    <xf numFmtId="3" fontId="8" fillId="10" borderId="4" xfId="0" applyNumberFormat="1" applyFont="1" applyFill="1" applyBorder="1" applyAlignment="1" applyProtection="1">
      <alignment horizontal="center" vertical="center"/>
      <protection locked="0"/>
    </xf>
    <xf numFmtId="3" fontId="0" fillId="51" borderId="102" xfId="0" applyNumberFormat="1" applyFont="1" applyFill="1" applyBorder="1" applyAlignment="1">
      <alignment horizontal="center" vertical="center"/>
    </xf>
    <xf numFmtId="9" fontId="0" fillId="0" borderId="0" xfId="5" applyFont="1" applyFill="1"/>
    <xf numFmtId="0" fontId="3" fillId="17" borderId="108" xfId="0" applyFont="1" applyFill="1" applyBorder="1" applyAlignment="1">
      <alignment horizontal="center" vertical="center"/>
    </xf>
    <xf numFmtId="0" fontId="3" fillId="45" borderId="108" xfId="0" applyFont="1" applyFill="1" applyBorder="1" applyAlignment="1">
      <alignment horizontal="center" vertical="center"/>
    </xf>
    <xf numFmtId="0" fontId="3" fillId="17" borderId="108" xfId="0" applyFont="1" applyFill="1" applyBorder="1" applyAlignment="1">
      <alignment horizontal="center" vertical="center" wrapText="1"/>
    </xf>
    <xf numFmtId="3" fontId="48" fillId="10" borderId="18" xfId="0" applyNumberFormat="1" applyFont="1" applyFill="1" applyBorder="1" applyAlignment="1" applyProtection="1">
      <alignment horizontal="center" vertical="center"/>
      <protection locked="0"/>
    </xf>
    <xf numFmtId="3" fontId="48" fillId="10" borderId="4" xfId="0" applyNumberFormat="1" applyFont="1" applyFill="1" applyBorder="1" applyAlignment="1" applyProtection="1">
      <alignment horizontal="center" vertical="center"/>
      <protection locked="0"/>
    </xf>
    <xf numFmtId="3" fontId="50" fillId="4" borderId="9" xfId="0" applyNumberFormat="1" applyFont="1" applyFill="1" applyBorder="1" applyAlignment="1" applyProtection="1">
      <alignment horizontal="center"/>
      <protection locked="0"/>
    </xf>
    <xf numFmtId="3" fontId="48" fillId="9" borderId="62" xfId="0" applyNumberFormat="1" applyFont="1" applyFill="1" applyBorder="1" applyAlignment="1" applyProtection="1">
      <alignment horizontal="center" vertical="center" wrapText="1"/>
      <protection locked="0"/>
    </xf>
    <xf numFmtId="3" fontId="48" fillId="9" borderId="40" xfId="0" applyNumberFormat="1" applyFont="1" applyFill="1" applyBorder="1" applyAlignment="1" applyProtection="1">
      <alignment horizontal="center" vertical="center" wrapText="1"/>
      <protection locked="0"/>
    </xf>
    <xf numFmtId="3" fontId="48" fillId="9" borderId="0" xfId="0" applyNumberFormat="1" applyFont="1" applyFill="1" applyBorder="1" applyAlignment="1" applyProtection="1">
      <alignment horizontal="center" vertical="center" wrapText="1"/>
      <protection locked="0"/>
    </xf>
    <xf numFmtId="3" fontId="50" fillId="4" borderId="62" xfId="0" applyNumberFormat="1" applyFont="1" applyFill="1" applyBorder="1" applyAlignment="1" applyProtection="1">
      <alignment horizontal="center" vertical="center"/>
      <protection locked="0"/>
    </xf>
    <xf numFmtId="3" fontId="50" fillId="4" borderId="0" xfId="0" applyNumberFormat="1" applyFont="1" applyFill="1" applyBorder="1" applyAlignment="1" applyProtection="1">
      <alignment horizontal="center" vertical="center"/>
      <protection locked="0"/>
    </xf>
    <xf numFmtId="3" fontId="50" fillId="4" borderId="40" xfId="0" applyNumberFormat="1" applyFont="1" applyFill="1" applyBorder="1" applyAlignment="1" applyProtection="1">
      <alignment horizontal="center" vertical="center"/>
      <protection locked="0"/>
    </xf>
    <xf numFmtId="3" fontId="48" fillId="10" borderId="0" xfId="0" applyNumberFormat="1" applyFont="1" applyFill="1" applyBorder="1" applyAlignment="1" applyProtection="1">
      <alignment horizontal="center" vertical="center"/>
      <protection locked="0"/>
    </xf>
    <xf numFmtId="3" fontId="50" fillId="4" borderId="2" xfId="0" applyNumberFormat="1" applyFont="1" applyFill="1" applyBorder="1" applyAlignment="1" applyProtection="1">
      <alignment horizontal="center"/>
      <protection locked="0"/>
    </xf>
    <xf numFmtId="3" fontId="50" fillId="4" borderId="0" xfId="0" applyNumberFormat="1" applyFont="1" applyFill="1" applyBorder="1" applyAlignment="1" applyProtection="1">
      <alignment horizontal="center"/>
      <protection locked="0"/>
    </xf>
    <xf numFmtId="3" fontId="50" fillId="4" borderId="25" xfId="0" applyNumberFormat="1" applyFont="1" applyFill="1" applyBorder="1" applyAlignment="1" applyProtection="1">
      <alignment horizontal="center"/>
      <protection locked="0"/>
    </xf>
    <xf numFmtId="3" fontId="50" fillId="4" borderId="27" xfId="0" applyNumberFormat="1" applyFont="1" applyFill="1" applyBorder="1" applyAlignment="1" applyProtection="1">
      <alignment horizontal="center"/>
      <protection locked="0"/>
    </xf>
    <xf numFmtId="3" fontId="48" fillId="10" borderId="13" xfId="0" applyNumberFormat="1" applyFont="1" applyFill="1" applyBorder="1" applyAlignment="1" applyProtection="1">
      <alignment horizontal="center" vertical="center" wrapText="1"/>
      <protection locked="0"/>
    </xf>
    <xf numFmtId="3" fontId="48" fillId="10" borderId="0" xfId="0" applyNumberFormat="1" applyFont="1" applyFill="1" applyBorder="1" applyAlignment="1" applyProtection="1">
      <alignment horizontal="center" vertical="center" wrapText="1"/>
      <protection locked="0"/>
    </xf>
    <xf numFmtId="0" fontId="3" fillId="3" borderId="108" xfId="0" applyFont="1" applyFill="1" applyBorder="1" applyAlignment="1">
      <alignment horizontal="center" vertical="center" wrapText="1"/>
    </xf>
    <xf numFmtId="0" fontId="0" fillId="0" borderId="0" xfId="0" applyFont="1" applyFill="1" applyBorder="1" applyAlignment="1">
      <alignment vertical="center" wrapText="1"/>
    </xf>
    <xf numFmtId="0" fontId="0" fillId="0" borderId="0" xfId="0" applyFont="1" applyAlignment="1">
      <alignment horizontal="justify" vertical="center" wrapText="1"/>
    </xf>
    <xf numFmtId="187" fontId="3" fillId="0" borderId="0" xfId="0" applyNumberFormat="1" applyFont="1" applyAlignment="1">
      <alignment horizontal="center" vertical="center"/>
    </xf>
    <xf numFmtId="0" fontId="48" fillId="13" borderId="108" xfId="0" applyFont="1" applyFill="1" applyBorder="1" applyAlignment="1">
      <alignment horizontal="center" vertical="center" wrapText="1"/>
    </xf>
    <xf numFmtId="0" fontId="51" fillId="4" borderId="106" xfId="0" applyFont="1" applyFill="1" applyBorder="1" applyAlignment="1" applyProtection="1">
      <alignment horizontal="center" vertical="center" textRotation="90" wrapText="1"/>
      <protection locked="0"/>
    </xf>
    <xf numFmtId="0" fontId="51" fillId="4" borderId="115" xfId="0" applyFont="1" applyFill="1" applyBorder="1" applyAlignment="1" applyProtection="1">
      <alignment horizontal="center" vertical="center" textRotation="90" wrapText="1"/>
      <protection locked="0"/>
    </xf>
    <xf numFmtId="0" fontId="51" fillId="4" borderId="106" xfId="0" applyFont="1" applyFill="1" applyBorder="1" applyAlignment="1" applyProtection="1">
      <alignment vertical="center" textRotation="90" wrapText="1"/>
      <protection locked="0"/>
    </xf>
    <xf numFmtId="16" fontId="51" fillId="4" borderId="108" xfId="0" applyNumberFormat="1" applyFont="1" applyFill="1" applyBorder="1" applyAlignment="1" applyProtection="1">
      <alignment vertical="center" textRotation="90" wrapText="1"/>
      <protection locked="0"/>
    </xf>
    <xf numFmtId="0" fontId="51" fillId="4" borderId="108" xfId="0" applyFont="1" applyFill="1" applyBorder="1" applyAlignment="1" applyProtection="1">
      <alignment vertical="center" textRotation="90" wrapText="1"/>
      <protection locked="0"/>
    </xf>
    <xf numFmtId="0" fontId="51" fillId="4" borderId="115" xfId="0" applyFont="1" applyFill="1" applyBorder="1" applyAlignment="1" applyProtection="1">
      <alignment vertical="center" textRotation="90" wrapText="1"/>
      <protection locked="0"/>
    </xf>
    <xf numFmtId="0" fontId="51" fillId="4" borderId="110" xfId="0" applyFont="1" applyFill="1" applyBorder="1" applyAlignment="1" applyProtection="1">
      <alignment vertical="center" textRotation="90" wrapText="1"/>
      <protection locked="0"/>
    </xf>
    <xf numFmtId="0" fontId="51" fillId="4" borderId="109" xfId="0" applyFont="1" applyFill="1" applyBorder="1" applyAlignment="1" applyProtection="1">
      <alignment vertical="center" textRotation="90" wrapText="1"/>
      <protection locked="0"/>
    </xf>
    <xf numFmtId="0" fontId="50" fillId="4" borderId="108" xfId="0" applyFont="1" applyFill="1" applyBorder="1" applyAlignment="1" applyProtection="1">
      <alignment horizontal="center" vertical="center" wrapText="1"/>
      <protection locked="0"/>
    </xf>
    <xf numFmtId="0" fontId="48" fillId="4" borderId="115" xfId="0" applyFont="1" applyFill="1" applyBorder="1" applyAlignment="1" applyProtection="1">
      <alignment horizontal="center" vertical="center" wrapText="1"/>
      <protection locked="0"/>
    </xf>
    <xf numFmtId="3" fontId="51" fillId="4" borderId="106" xfId="0" applyNumberFormat="1" applyFont="1" applyFill="1" applyBorder="1" applyAlignment="1" applyProtection="1">
      <alignment horizontal="center" vertical="center" textRotation="90" wrapText="1"/>
      <protection locked="0"/>
    </xf>
    <xf numFmtId="3" fontId="51" fillId="4" borderId="115" xfId="0" applyNumberFormat="1" applyFont="1" applyFill="1" applyBorder="1" applyAlignment="1" applyProtection="1">
      <alignment horizontal="center" vertical="center" textRotation="90" wrapText="1"/>
      <protection locked="0"/>
    </xf>
    <xf numFmtId="3" fontId="51" fillId="4" borderId="106" xfId="0" applyNumberFormat="1" applyFont="1" applyFill="1" applyBorder="1" applyAlignment="1" applyProtection="1">
      <alignment vertical="center" textRotation="90" wrapText="1"/>
      <protection locked="0"/>
    </xf>
    <xf numFmtId="3" fontId="51" fillId="4" borderId="108" xfId="0" applyNumberFormat="1" applyFont="1" applyFill="1" applyBorder="1" applyAlignment="1" applyProtection="1">
      <alignment vertical="center" textRotation="90" wrapText="1"/>
      <protection locked="0"/>
    </xf>
    <xf numFmtId="3" fontId="51" fillId="4" borderId="115" xfId="0" applyNumberFormat="1" applyFont="1" applyFill="1" applyBorder="1" applyAlignment="1" applyProtection="1">
      <alignment vertical="center" textRotation="90" wrapText="1"/>
      <protection locked="0"/>
    </xf>
    <xf numFmtId="3" fontId="51" fillId="4" borderId="110" xfId="0" applyNumberFormat="1" applyFont="1" applyFill="1" applyBorder="1" applyAlignment="1" applyProtection="1">
      <alignment vertical="center" textRotation="90" wrapText="1"/>
      <protection locked="0"/>
    </xf>
    <xf numFmtId="3" fontId="51" fillId="4" borderId="109" xfId="0" applyNumberFormat="1" applyFont="1" applyFill="1" applyBorder="1" applyAlignment="1" applyProtection="1">
      <alignment vertical="center" textRotation="90" wrapText="1"/>
      <protection locked="0"/>
    </xf>
    <xf numFmtId="3" fontId="50" fillId="4" borderId="108" xfId="0" applyNumberFormat="1" applyFont="1" applyFill="1" applyBorder="1" applyAlignment="1" applyProtection="1">
      <alignment horizontal="center" vertical="center" wrapText="1"/>
      <protection locked="0"/>
    </xf>
    <xf numFmtId="3" fontId="48" fillId="4" borderId="115" xfId="0" applyNumberFormat="1" applyFont="1" applyFill="1" applyBorder="1" applyAlignment="1" applyProtection="1">
      <alignment horizontal="center" vertical="center" wrapText="1"/>
      <protection locked="0"/>
    </xf>
    <xf numFmtId="0" fontId="49" fillId="51" borderId="102" xfId="0" applyFont="1" applyFill="1" applyBorder="1" applyAlignment="1" applyProtection="1">
      <alignment horizontal="center" vertical="top" wrapText="1"/>
      <protection locked="0"/>
    </xf>
    <xf numFmtId="0" fontId="49" fillId="51" borderId="30" xfId="0" applyFont="1" applyFill="1" applyBorder="1" applyAlignment="1" applyProtection="1">
      <alignment horizontal="center" vertical="center" wrapText="1"/>
      <protection locked="0"/>
    </xf>
    <xf numFmtId="0" fontId="49" fillId="51" borderId="32" xfId="0" applyFont="1" applyFill="1" applyBorder="1" applyAlignment="1" applyProtection="1">
      <alignment horizontal="center" vertical="top" wrapText="1"/>
      <protection locked="0"/>
    </xf>
    <xf numFmtId="0" fontId="0" fillId="51" borderId="102" xfId="0" applyFont="1" applyFill="1" applyBorder="1" applyAlignment="1">
      <alignment horizontal="center" vertical="center"/>
    </xf>
    <xf numFmtId="0" fontId="0" fillId="41" borderId="102" xfId="0" applyFont="1" applyFill="1" applyBorder="1" applyAlignment="1">
      <alignment horizontal="center" vertical="center"/>
    </xf>
    <xf numFmtId="3" fontId="9" fillId="4" borderId="9" xfId="0" applyNumberFormat="1" applyFont="1" applyFill="1" applyBorder="1" applyAlignment="1" applyProtection="1">
      <alignment horizontal="center"/>
      <protection locked="0"/>
    </xf>
    <xf numFmtId="3" fontId="9" fillId="4" borderId="23" xfId="0" applyNumberFormat="1" applyFont="1" applyFill="1" applyBorder="1" applyAlignment="1" applyProtection="1">
      <alignment horizontal="center" vertical="center" wrapText="1"/>
      <protection locked="0"/>
    </xf>
    <xf numFmtId="3" fontId="10" fillId="11" borderId="20" xfId="0" applyNumberFormat="1" applyFont="1" applyFill="1" applyBorder="1" applyAlignment="1" applyProtection="1">
      <alignment horizontal="center" vertical="center" textRotation="90" wrapText="1"/>
      <protection locked="0"/>
    </xf>
    <xf numFmtId="3" fontId="10" fillId="11" borderId="28" xfId="0" applyNumberFormat="1" applyFont="1" applyFill="1" applyBorder="1" applyAlignment="1" applyProtection="1">
      <alignment horizontal="center" vertical="center" textRotation="90" wrapText="1"/>
      <protection locked="0"/>
    </xf>
    <xf numFmtId="3" fontId="10" fillId="4" borderId="20" xfId="0" applyNumberFormat="1" applyFont="1" applyFill="1" applyBorder="1" applyAlignment="1" applyProtection="1">
      <alignment horizontal="center" vertical="center" textRotation="90" wrapText="1"/>
      <protection locked="0"/>
    </xf>
    <xf numFmtId="3" fontId="10" fillId="4" borderId="21" xfId="0" applyNumberFormat="1" applyFont="1" applyFill="1" applyBorder="1" applyAlignment="1" applyProtection="1">
      <alignment horizontal="center" vertical="center" textRotation="90" wrapText="1"/>
      <protection locked="0"/>
    </xf>
    <xf numFmtId="3" fontId="10" fillId="0" borderId="0" xfId="0" applyNumberFormat="1" applyFont="1" applyAlignment="1">
      <alignment horizontal="center"/>
    </xf>
    <xf numFmtId="0" fontId="9" fillId="5" borderId="58" xfId="0" applyFont="1" applyFill="1" applyBorder="1" applyAlignment="1" applyProtection="1">
      <alignment horizontal="center" vertical="center"/>
      <protection locked="0"/>
    </xf>
    <xf numFmtId="3" fontId="9" fillId="10" borderId="13" xfId="0" applyNumberFormat="1" applyFont="1" applyFill="1" applyBorder="1" applyAlignment="1" applyProtection="1">
      <alignment horizontal="center" vertical="center" wrapText="1"/>
      <protection locked="0"/>
    </xf>
    <xf numFmtId="0" fontId="9" fillId="4" borderId="36" xfId="0" applyFont="1" applyFill="1" applyBorder="1" applyAlignment="1" applyProtection="1">
      <alignment horizontal="center"/>
      <protection locked="0"/>
    </xf>
    <xf numFmtId="0" fontId="9" fillId="10" borderId="13" xfId="0" applyFont="1" applyFill="1" applyBorder="1" applyAlignment="1" applyProtection="1">
      <alignment horizontal="center" vertical="center" wrapText="1"/>
      <protection locked="0"/>
    </xf>
    <xf numFmtId="0" fontId="52" fillId="0" borderId="0" xfId="0" applyFont="1" applyBorder="1" applyAlignment="1">
      <alignment horizontal="center" vertical="center" wrapText="1"/>
    </xf>
    <xf numFmtId="0" fontId="52" fillId="0" borderId="0" xfId="0" applyFont="1" applyBorder="1" applyAlignment="1">
      <alignment vertical="center" wrapText="1"/>
    </xf>
    <xf numFmtId="0" fontId="51" fillId="0" borderId="0" xfId="6" applyFont="1" applyBorder="1" applyAlignment="1">
      <alignment horizontal="center" vertical="center" wrapText="1"/>
    </xf>
    <xf numFmtId="0" fontId="50" fillId="4" borderId="9" xfId="0" applyFont="1" applyFill="1" applyBorder="1" applyAlignment="1" applyProtection="1">
      <alignment horizontal="center" vertical="center"/>
      <protection locked="0"/>
    </xf>
    <xf numFmtId="3" fontId="50" fillId="4" borderId="9" xfId="0" applyNumberFormat="1" applyFont="1" applyFill="1" applyBorder="1" applyAlignment="1" applyProtection="1">
      <alignment horizontal="center" vertical="center"/>
      <protection locked="0"/>
    </xf>
    <xf numFmtId="9" fontId="50" fillId="0" borderId="0" xfId="0" applyNumberFormat="1" applyFont="1" applyAlignment="1">
      <alignment vertical="center"/>
    </xf>
    <xf numFmtId="3" fontId="51" fillId="0" borderId="0" xfId="0" applyNumberFormat="1" applyFont="1" applyAlignment="1">
      <alignment vertical="center"/>
    </xf>
    <xf numFmtId="0" fontId="50" fillId="4" borderId="94" xfId="0" applyFont="1" applyFill="1" applyBorder="1" applyAlignment="1" applyProtection="1">
      <alignment horizontal="center"/>
      <protection locked="0"/>
    </xf>
    <xf numFmtId="0" fontId="51" fillId="44" borderId="30" xfId="0" applyFont="1" applyFill="1" applyBorder="1" applyAlignment="1">
      <alignment horizontal="center" vertical="center" wrapText="1"/>
    </xf>
    <xf numFmtId="0" fontId="51" fillId="0" borderId="0" xfId="0" applyFont="1" applyFill="1" applyAlignment="1">
      <alignment horizontal="center"/>
    </xf>
    <xf numFmtId="0" fontId="51" fillId="0" borderId="0" xfId="0" applyFont="1" applyAlignment="1">
      <alignment horizontal="center"/>
    </xf>
    <xf numFmtId="0" fontId="51" fillId="0" borderId="0" xfId="0" applyFont="1" applyFill="1"/>
    <xf numFmtId="0" fontId="49" fillId="0" borderId="0" xfId="0" applyFont="1" applyFill="1" applyBorder="1"/>
    <xf numFmtId="0" fontId="49" fillId="0" borderId="0" xfId="0" applyFont="1" applyFill="1" applyBorder="1" applyProtection="1">
      <protection hidden="1"/>
    </xf>
    <xf numFmtId="0" fontId="51" fillId="0" borderId="0" xfId="0" applyFont="1" applyAlignment="1">
      <alignment wrapText="1"/>
    </xf>
    <xf numFmtId="0" fontId="8" fillId="10" borderId="13" xfId="0" applyFont="1" applyFill="1" applyBorder="1" applyAlignment="1" applyProtection="1">
      <alignment horizontal="center" vertical="center" wrapText="1"/>
      <protection locked="0"/>
    </xf>
    <xf numFmtId="0" fontId="3" fillId="15" borderId="20" xfId="0" applyFont="1" applyFill="1" applyBorder="1" applyAlignment="1">
      <alignment horizontal="center" vertical="center" wrapText="1"/>
    </xf>
    <xf numFmtId="175" fontId="9" fillId="18" borderId="22" xfId="0" applyNumberFormat="1" applyFont="1" applyFill="1" applyBorder="1" applyAlignment="1">
      <alignment horizontal="center" vertical="center" wrapText="1"/>
    </xf>
    <xf numFmtId="3" fontId="8" fillId="10" borderId="13" xfId="0" applyNumberFormat="1" applyFont="1" applyFill="1" applyBorder="1" applyAlignment="1" applyProtection="1">
      <alignment horizontal="center" vertical="center" wrapText="1"/>
      <protection locked="0"/>
    </xf>
    <xf numFmtId="3" fontId="8" fillId="10" borderId="4" xfId="0" applyNumberFormat="1" applyFont="1" applyFill="1" applyBorder="1" applyAlignment="1" applyProtection="1">
      <alignment horizontal="center" vertical="center"/>
      <protection locked="0"/>
    </xf>
    <xf numFmtId="0" fontId="8" fillId="10" borderId="13" xfId="0" applyFont="1" applyFill="1" applyBorder="1" applyAlignment="1" applyProtection="1">
      <alignment horizontal="center" vertical="center" wrapText="1"/>
      <protection locked="0"/>
    </xf>
    <xf numFmtId="3" fontId="8" fillId="10" borderId="13" xfId="0" applyNumberFormat="1" applyFont="1" applyFill="1" applyBorder="1" applyAlignment="1" applyProtection="1">
      <alignment horizontal="center" vertical="center" wrapText="1"/>
      <protection locked="0"/>
    </xf>
    <xf numFmtId="0" fontId="8" fillId="4" borderId="3" xfId="0" applyFont="1" applyFill="1" applyBorder="1" applyAlignment="1">
      <alignment horizontal="center" vertical="center" wrapText="1"/>
    </xf>
    <xf numFmtId="3" fontId="8" fillId="10" borderId="4" xfId="0" applyNumberFormat="1" applyFont="1" applyFill="1" applyBorder="1" applyAlignment="1" applyProtection="1">
      <alignment horizontal="center" vertical="center"/>
      <protection locked="0"/>
    </xf>
    <xf numFmtId="0" fontId="11" fillId="0" borderId="0" xfId="0" applyFont="1" applyFill="1" applyBorder="1" applyAlignment="1">
      <alignment vertical="top"/>
    </xf>
    <xf numFmtId="3" fontId="11" fillId="0" borderId="0" xfId="0" applyNumberFormat="1" applyFont="1" applyFill="1" applyBorder="1" applyAlignment="1">
      <alignment horizontal="center" vertical="center"/>
    </xf>
    <xf numFmtId="3" fontId="11" fillId="0" borderId="0" xfId="17" applyNumberFormat="1" applyFont="1" applyFill="1" applyBorder="1" applyAlignment="1">
      <alignment horizontal="center" vertical="center"/>
    </xf>
    <xf numFmtId="0" fontId="8" fillId="10" borderId="13" xfId="0" applyFont="1" applyFill="1" applyBorder="1" applyAlignment="1" applyProtection="1">
      <alignment horizontal="center" vertical="center" wrapText="1"/>
      <protection locked="0"/>
    </xf>
    <xf numFmtId="0" fontId="0" fillId="38" borderId="102" xfId="0" applyFont="1" applyFill="1" applyBorder="1" applyAlignment="1">
      <alignment horizontal="center" vertical="center"/>
    </xf>
    <xf numFmtId="0" fontId="49" fillId="51" borderId="102" xfId="0" applyFont="1" applyFill="1" applyBorder="1" applyAlignment="1" applyProtection="1">
      <alignment horizontal="center" vertical="center" wrapText="1"/>
      <protection locked="0"/>
    </xf>
    <xf numFmtId="0" fontId="0" fillId="43" borderId="30" xfId="0" applyFont="1" applyFill="1" applyBorder="1" applyAlignment="1">
      <alignment horizontal="center" vertical="center" wrapText="1"/>
    </xf>
    <xf numFmtId="0" fontId="51" fillId="0" borderId="0" xfId="0" applyFont="1" applyBorder="1" applyAlignment="1">
      <alignment horizontal="center" vertical="center" wrapText="1"/>
    </xf>
    <xf numFmtId="0" fontId="51" fillId="44" borderId="26" xfId="0" applyFont="1" applyFill="1" applyBorder="1" applyAlignment="1">
      <alignment horizontal="center" vertical="center" wrapText="1"/>
    </xf>
    <xf numFmtId="0" fontId="51" fillId="44" borderId="32" xfId="0" applyFont="1" applyFill="1" applyBorder="1" applyAlignment="1">
      <alignment horizontal="center" vertical="center" wrapText="1"/>
    </xf>
    <xf numFmtId="0" fontId="52" fillId="11" borderId="127" xfId="0" applyFont="1" applyFill="1" applyBorder="1" applyAlignment="1">
      <alignment horizontal="justify" vertical="center" wrapText="1"/>
    </xf>
    <xf numFmtId="0" fontId="51" fillId="77" borderId="0" xfId="0" applyFont="1" applyFill="1" applyAlignment="1">
      <alignment horizontal="center" vertical="center"/>
    </xf>
    <xf numFmtId="0" fontId="51" fillId="77" borderId="0" xfId="0" applyFont="1" applyFill="1" applyBorder="1" applyAlignment="1">
      <alignment horizontal="center" vertical="center"/>
    </xf>
    <xf numFmtId="0" fontId="74" fillId="68" borderId="0" xfId="0" applyFont="1" applyFill="1" applyAlignment="1">
      <alignment horizontal="center" vertical="center" wrapText="1"/>
    </xf>
    <xf numFmtId="0" fontId="20" fillId="0" borderId="0" xfId="0" applyFont="1" applyAlignment="1">
      <alignment horizontal="center" vertical="center"/>
    </xf>
    <xf numFmtId="0" fontId="74" fillId="68" borderId="26" xfId="0" applyFont="1" applyFill="1" applyBorder="1" applyAlignment="1">
      <alignment horizontal="center" vertical="center" wrapText="1"/>
    </xf>
    <xf numFmtId="0" fontId="74" fillId="68" borderId="32" xfId="0" applyFont="1" applyFill="1" applyBorder="1" applyAlignment="1">
      <alignment horizontal="center" vertical="center" wrapText="1"/>
    </xf>
    <xf numFmtId="0" fontId="0" fillId="4" borderId="134" xfId="0" applyFill="1" applyBorder="1" applyAlignment="1" applyProtection="1">
      <alignment horizontal="center" vertical="center" textRotation="90" wrapText="1"/>
      <protection locked="0"/>
    </xf>
    <xf numFmtId="0" fontId="0" fillId="4" borderId="132" xfId="0" applyFill="1" applyBorder="1" applyAlignment="1" applyProtection="1">
      <alignment horizontal="center" vertical="center" textRotation="90" wrapText="1"/>
      <protection locked="0"/>
    </xf>
    <xf numFmtId="0" fontId="0" fillId="4" borderId="134" xfId="0" applyFill="1" applyBorder="1" applyAlignment="1" applyProtection="1">
      <alignment vertical="center" textRotation="90" wrapText="1"/>
      <protection locked="0"/>
    </xf>
    <xf numFmtId="16" fontId="0" fillId="4" borderId="130" xfId="0" applyNumberFormat="1" applyFill="1" applyBorder="1" applyAlignment="1" applyProtection="1">
      <alignment vertical="center" textRotation="90" wrapText="1"/>
      <protection locked="0"/>
    </xf>
    <xf numFmtId="0" fontId="0" fillId="4" borderId="130" xfId="0" applyFill="1" applyBorder="1" applyAlignment="1" applyProtection="1">
      <alignment vertical="center" textRotation="90" wrapText="1"/>
      <protection locked="0"/>
    </xf>
    <xf numFmtId="0" fontId="0" fillId="4" borderId="132" xfId="0" applyFill="1" applyBorder="1" applyAlignment="1" applyProtection="1">
      <alignment vertical="center" textRotation="90" wrapText="1"/>
      <protection locked="0"/>
    </xf>
    <xf numFmtId="0" fontId="0" fillId="4" borderId="128" xfId="0" applyFill="1" applyBorder="1" applyAlignment="1" applyProtection="1">
      <alignment vertical="center" textRotation="90" wrapText="1"/>
      <protection locked="0"/>
    </xf>
    <xf numFmtId="0" fontId="0" fillId="4" borderId="135" xfId="0" applyFill="1" applyBorder="1" applyAlignment="1" applyProtection="1">
      <alignment vertical="center" textRotation="90" wrapText="1"/>
      <protection locked="0"/>
    </xf>
    <xf numFmtId="0" fontId="8" fillId="10" borderId="0" xfId="0" applyFont="1" applyFill="1" applyAlignment="1" applyProtection="1">
      <alignment horizontal="center" vertical="center" wrapText="1"/>
      <protection locked="0"/>
    </xf>
    <xf numFmtId="0" fontId="20" fillId="42" borderId="134" xfId="0" applyFont="1" applyFill="1" applyBorder="1" applyAlignment="1">
      <alignment horizontal="center" vertical="center" wrapText="1"/>
    </xf>
    <xf numFmtId="9" fontId="20" fillId="42" borderId="135" xfId="0" applyNumberFormat="1" applyFont="1" applyFill="1" applyBorder="1" applyAlignment="1">
      <alignment horizontal="center" vertical="center" wrapText="1"/>
    </xf>
    <xf numFmtId="0" fontId="20" fillId="42" borderId="127" xfId="0" applyFont="1" applyFill="1" applyBorder="1" applyAlignment="1">
      <alignment horizontal="center" vertical="center" wrapText="1"/>
    </xf>
    <xf numFmtId="9" fontId="20" fillId="42" borderId="26" xfId="0" applyNumberFormat="1" applyFont="1" applyFill="1" applyBorder="1" applyAlignment="1">
      <alignment horizontal="center" vertical="center" wrapText="1"/>
    </xf>
    <xf numFmtId="0" fontId="20" fillId="12" borderId="127" xfId="0" applyFont="1" applyFill="1" applyBorder="1" applyAlignment="1">
      <alignment horizontal="center" vertical="center" wrapText="1"/>
    </xf>
    <xf numFmtId="1" fontId="20" fillId="12" borderId="32" xfId="0" applyNumberFormat="1" applyFont="1" applyFill="1" applyBorder="1" applyAlignment="1">
      <alignment vertical="center"/>
    </xf>
    <xf numFmtId="9" fontId="20" fillId="12" borderId="32" xfId="0" applyNumberFormat="1" applyFont="1" applyFill="1" applyBorder="1" applyAlignment="1">
      <alignment vertical="center"/>
    </xf>
    <xf numFmtId="9" fontId="20" fillId="12" borderId="32" xfId="0" applyNumberFormat="1" applyFont="1" applyFill="1" applyBorder="1" applyAlignment="1">
      <alignment horizontal="justify" vertical="center"/>
    </xf>
    <xf numFmtId="0" fontId="20" fillId="44" borderId="127" xfId="0" applyFont="1" applyFill="1" applyBorder="1" applyAlignment="1">
      <alignment horizontal="center" vertical="center" wrapText="1"/>
    </xf>
    <xf numFmtId="9" fontId="20" fillId="44" borderId="128" xfId="5" applyFont="1" applyFill="1" applyBorder="1" applyAlignment="1">
      <alignment horizontal="justify" vertical="center"/>
    </xf>
    <xf numFmtId="191" fontId="20" fillId="44" borderId="127" xfId="10" applyNumberFormat="1" applyFont="1" applyFill="1" applyBorder="1" applyAlignment="1">
      <alignment horizontal="center" vertical="center" wrapText="1"/>
    </xf>
    <xf numFmtId="9" fontId="20" fillId="44" borderId="25" xfId="5" applyFont="1" applyFill="1" applyBorder="1" applyAlignment="1">
      <alignment horizontal="justify" vertical="center" wrapText="1"/>
    </xf>
    <xf numFmtId="9" fontId="20" fillId="44" borderId="25" xfId="5" applyFont="1" applyFill="1" applyBorder="1" applyAlignment="1">
      <alignment horizontal="justify" vertical="center"/>
    </xf>
    <xf numFmtId="9" fontId="20" fillId="44" borderId="26" xfId="5" applyFont="1" applyFill="1" applyBorder="1" applyAlignment="1">
      <alignment horizontal="justify" vertical="center"/>
    </xf>
    <xf numFmtId="0" fontId="20" fillId="44" borderId="0" xfId="0" applyFont="1" applyFill="1" applyAlignment="1">
      <alignment horizontal="center" vertical="center" wrapText="1"/>
    </xf>
    <xf numFmtId="191" fontId="20" fillId="44" borderId="0" xfId="10" applyNumberFormat="1" applyFont="1" applyFill="1" applyAlignment="1">
      <alignment horizontal="center" vertical="center" wrapText="1"/>
    </xf>
    <xf numFmtId="0" fontId="20" fillId="44" borderId="130" xfId="0" applyFont="1" applyFill="1" applyBorder="1" applyAlignment="1">
      <alignment horizontal="center" vertical="center" wrapText="1"/>
    </xf>
    <xf numFmtId="0" fontId="20" fillId="44" borderId="135" xfId="0" applyFont="1" applyFill="1" applyBorder="1" applyAlignment="1">
      <alignment horizontal="center" vertical="center" wrapText="1"/>
    </xf>
    <xf numFmtId="0" fontId="20" fillId="44" borderId="0" xfId="0" applyFont="1" applyFill="1" applyAlignment="1">
      <alignment horizontal="center" vertical="center"/>
    </xf>
    <xf numFmtId="9" fontId="20" fillId="44" borderId="127" xfId="0" applyNumberFormat="1" applyFont="1" applyFill="1" applyBorder="1" applyAlignment="1">
      <alignment horizontal="center" vertical="center" wrapText="1"/>
    </xf>
    <xf numFmtId="191" fontId="20" fillId="44" borderId="0" xfId="10" applyNumberFormat="1" applyFont="1" applyFill="1" applyBorder="1" applyAlignment="1">
      <alignment horizontal="center" vertical="center" wrapText="1"/>
    </xf>
    <xf numFmtId="9" fontId="20" fillId="17" borderId="130" xfId="5" applyFont="1" applyFill="1" applyBorder="1" applyAlignment="1">
      <alignment horizontal="center" vertical="center" wrapText="1"/>
    </xf>
    <xf numFmtId="191" fontId="20" fillId="17" borderId="0" xfId="10" applyNumberFormat="1" applyFont="1" applyFill="1" applyBorder="1" applyAlignment="1">
      <alignment horizontal="center" vertical="center" wrapText="1"/>
    </xf>
    <xf numFmtId="0" fontId="20" fillId="17" borderId="0" xfId="0" applyFont="1" applyFill="1" applyAlignment="1">
      <alignment horizontal="center" vertical="center" wrapText="1"/>
    </xf>
    <xf numFmtId="0" fontId="20" fillId="17" borderId="0" xfId="0" applyFont="1" applyFill="1" applyAlignment="1">
      <alignment horizontal="center" vertical="center"/>
    </xf>
    <xf numFmtId="9" fontId="20" fillId="17" borderId="26" xfId="5" applyFont="1" applyFill="1" applyBorder="1" applyAlignment="1">
      <alignment horizontal="center" vertical="center" wrapText="1"/>
    </xf>
    <xf numFmtId="0" fontId="20" fillId="17" borderId="26" xfId="0" applyFont="1" applyFill="1" applyBorder="1" applyAlignment="1">
      <alignment horizontal="left" vertical="center" wrapText="1"/>
    </xf>
    <xf numFmtId="191" fontId="20" fillId="17" borderId="26" xfId="10" applyNumberFormat="1" applyFont="1" applyFill="1" applyBorder="1" applyAlignment="1">
      <alignment horizontal="left" vertical="center" wrapText="1"/>
    </xf>
    <xf numFmtId="9" fontId="20" fillId="17" borderId="32" xfId="5" applyFont="1" applyFill="1" applyBorder="1" applyAlignment="1">
      <alignment horizontal="center" vertical="center" wrapText="1"/>
    </xf>
    <xf numFmtId="0" fontId="20" fillId="17" borderId="32" xfId="0" applyFont="1" applyFill="1" applyBorder="1" applyAlignment="1">
      <alignment horizontal="left" vertical="center" wrapText="1"/>
    </xf>
    <xf numFmtId="191" fontId="20" fillId="17" borderId="32" xfId="10" applyNumberFormat="1" applyFont="1" applyFill="1" applyBorder="1" applyAlignment="1">
      <alignment horizontal="left" vertical="center" wrapText="1"/>
    </xf>
    <xf numFmtId="9" fontId="20" fillId="39" borderId="130" xfId="5" applyFont="1" applyFill="1" applyBorder="1" applyAlignment="1">
      <alignment horizontal="center" vertical="center"/>
    </xf>
    <xf numFmtId="9" fontId="20" fillId="39" borderId="26" xfId="5" applyFont="1" applyFill="1" applyBorder="1" applyAlignment="1">
      <alignment horizontal="center" vertical="center"/>
    </xf>
    <xf numFmtId="0" fontId="20" fillId="39" borderId="127" xfId="0" applyFont="1" applyFill="1" applyBorder="1" applyAlignment="1">
      <alignment horizontal="center" vertical="center" wrapText="1"/>
    </xf>
    <xf numFmtId="9" fontId="20" fillId="39" borderId="0" xfId="5" applyFont="1" applyFill="1" applyBorder="1" applyAlignment="1">
      <alignment horizontal="justify" vertical="center"/>
    </xf>
    <xf numFmtId="0" fontId="4" fillId="39" borderId="0" xfId="20" applyFont="1" applyFill="1" applyAlignment="1">
      <alignment horizontal="center" vertical="center" wrapText="1"/>
    </xf>
    <xf numFmtId="0" fontId="20" fillId="39" borderId="134" xfId="0" applyFont="1" applyFill="1" applyBorder="1" applyAlignment="1">
      <alignment horizontal="center" vertical="center" wrapText="1"/>
    </xf>
    <xf numFmtId="9" fontId="20" fillId="39" borderId="135" xfId="0" applyNumberFormat="1" applyFont="1" applyFill="1" applyBorder="1" applyAlignment="1">
      <alignment horizontal="center" vertical="center" wrapText="1"/>
    </xf>
    <xf numFmtId="0" fontId="20" fillId="39" borderId="130" xfId="0" applyFont="1" applyFill="1" applyBorder="1" applyAlignment="1">
      <alignment horizontal="center" vertical="center" wrapText="1"/>
    </xf>
    <xf numFmtId="9" fontId="20" fillId="39" borderId="26" xfId="5" applyFont="1" applyFill="1" applyBorder="1" applyAlignment="1">
      <alignment horizontal="center" vertical="center" wrapText="1"/>
    </xf>
    <xf numFmtId="9" fontId="20" fillId="39" borderId="26" xfId="5" applyFont="1" applyFill="1" applyBorder="1" applyAlignment="1">
      <alignment horizontal="justify" vertical="center"/>
    </xf>
    <xf numFmtId="0" fontId="20" fillId="42" borderId="130" xfId="0" applyFont="1" applyFill="1" applyBorder="1" applyAlignment="1">
      <alignment horizontal="center" vertical="center" wrapText="1"/>
    </xf>
    <xf numFmtId="9" fontId="20" fillId="42" borderId="130" xfId="5" applyFont="1" applyFill="1" applyBorder="1" applyAlignment="1">
      <alignment horizontal="justify" vertical="center"/>
    </xf>
    <xf numFmtId="9" fontId="20" fillId="42" borderId="26" xfId="5" applyFont="1" applyFill="1" applyBorder="1" applyAlignment="1">
      <alignment horizontal="justify" vertical="center"/>
    </xf>
    <xf numFmtId="10" fontId="20" fillId="42" borderId="38" xfId="0" applyNumberFormat="1" applyFont="1" applyFill="1" applyBorder="1" applyAlignment="1">
      <alignment horizontal="center" vertical="center"/>
    </xf>
    <xf numFmtId="0" fontId="20" fillId="42" borderId="135" xfId="0" applyFont="1" applyFill="1" applyBorder="1" applyAlignment="1">
      <alignment horizontal="center" vertical="center" wrapText="1"/>
    </xf>
    <xf numFmtId="9" fontId="20" fillId="42" borderId="32" xfId="5" applyFont="1" applyFill="1" applyBorder="1" applyAlignment="1">
      <alignment horizontal="justify" vertical="center"/>
    </xf>
    <xf numFmtId="0" fontId="20" fillId="0" borderId="0" xfId="0" applyFont="1" applyAlignment="1">
      <alignment horizontal="center" vertical="center" wrapText="1"/>
    </xf>
    <xf numFmtId="0" fontId="20" fillId="0" borderId="127" xfId="0" applyFont="1" applyBorder="1" applyAlignment="1">
      <alignment horizontal="center" vertical="center" wrapText="1"/>
    </xf>
    <xf numFmtId="10" fontId="20" fillId="0" borderId="0" xfId="0" applyNumberFormat="1" applyFont="1" applyAlignment="1">
      <alignment horizontal="center" vertical="center"/>
    </xf>
    <xf numFmtId="9" fontId="20" fillId="0" borderId="0" xfId="0" applyNumberFormat="1" applyFont="1" applyAlignment="1">
      <alignment horizontal="center" vertical="center"/>
    </xf>
    <xf numFmtId="173" fontId="20" fillId="0" borderId="0" xfId="0" applyNumberFormat="1" applyFont="1" applyAlignment="1">
      <alignment horizontal="center" vertical="center"/>
    </xf>
    <xf numFmtId="0" fontId="20" fillId="44" borderId="11" xfId="0" applyFont="1" applyFill="1" applyBorder="1" applyAlignment="1">
      <alignment horizontal="center" vertical="center" wrapText="1"/>
    </xf>
    <xf numFmtId="0" fontId="49" fillId="43" borderId="130" xfId="0" applyFont="1" applyFill="1" applyBorder="1" applyAlignment="1">
      <alignment vertical="center" wrapText="1"/>
    </xf>
    <xf numFmtId="0" fontId="49" fillId="43" borderId="126" xfId="0" applyFont="1" applyFill="1" applyBorder="1" applyAlignment="1">
      <alignment vertical="center"/>
    </xf>
    <xf numFmtId="0" fontId="51" fillId="43" borderId="126" xfId="0" applyFont="1" applyFill="1" applyBorder="1" applyAlignment="1">
      <alignment vertical="center" wrapText="1"/>
    </xf>
    <xf numFmtId="9" fontId="51" fillId="43" borderId="126" xfId="0" applyNumberFormat="1" applyFont="1" applyFill="1" applyBorder="1" applyAlignment="1">
      <alignment vertical="center" wrapText="1"/>
    </xf>
    <xf numFmtId="0" fontId="51" fillId="0" borderId="126" xfId="0" applyFont="1" applyFill="1" applyBorder="1" applyAlignment="1">
      <alignment vertical="center"/>
    </xf>
    <xf numFmtId="0" fontId="51" fillId="0" borderId="126" xfId="0" applyFont="1" applyFill="1" applyBorder="1" applyAlignment="1">
      <alignment vertical="center" wrapText="1"/>
    </xf>
    <xf numFmtId="0" fontId="51" fillId="0" borderId="131" xfId="0" applyFont="1" applyFill="1" applyBorder="1" applyAlignment="1">
      <alignment vertical="center"/>
    </xf>
    <xf numFmtId="9" fontId="51" fillId="16" borderId="127" xfId="5" applyFont="1" applyFill="1" applyBorder="1" applyAlignment="1">
      <alignment horizontal="center" vertical="center"/>
    </xf>
    <xf numFmtId="0" fontId="51" fillId="11" borderId="126" xfId="0" applyFont="1" applyFill="1" applyBorder="1" applyAlignment="1">
      <alignment horizontal="left" vertical="center" wrapText="1"/>
    </xf>
    <xf numFmtId="0" fontId="51" fillId="11" borderId="126" xfId="0" applyFont="1" applyFill="1" applyBorder="1" applyAlignment="1">
      <alignment horizontal="center" vertical="center" wrapText="1"/>
    </xf>
    <xf numFmtId="0" fontId="51" fillId="11" borderId="126" xfId="0" applyFont="1" applyFill="1" applyBorder="1" applyAlignment="1">
      <alignment horizontal="center" vertical="center"/>
    </xf>
    <xf numFmtId="170" fontId="51" fillId="11" borderId="126" xfId="9" applyFont="1" applyFill="1" applyBorder="1" applyAlignment="1">
      <alignment horizontal="center" vertical="center"/>
    </xf>
    <xf numFmtId="0" fontId="51" fillId="0" borderId="126" xfId="0" applyFont="1" applyFill="1" applyBorder="1" applyAlignment="1">
      <alignment horizontal="center" vertical="center"/>
    </xf>
    <xf numFmtId="0" fontId="51" fillId="0" borderId="131" xfId="0" applyFont="1" applyFill="1" applyBorder="1" applyAlignment="1">
      <alignment horizontal="center" vertical="center"/>
    </xf>
    <xf numFmtId="0" fontId="20" fillId="39" borderId="138" xfId="0" applyFont="1" applyFill="1" applyBorder="1" applyAlignment="1">
      <alignment horizontal="center" vertical="center" wrapText="1"/>
    </xf>
    <xf numFmtId="0" fontId="20" fillId="39" borderId="138" xfId="0" applyFont="1" applyFill="1" applyBorder="1" applyAlignment="1">
      <alignment horizontal="center" vertical="center"/>
    </xf>
    <xf numFmtId="0" fontId="20" fillId="39" borderId="139" xfId="0" applyFont="1" applyFill="1" applyBorder="1" applyAlignment="1">
      <alignment horizontal="center" vertical="center"/>
    </xf>
    <xf numFmtId="0" fontId="20" fillId="39" borderId="139" xfId="0" applyFont="1" applyFill="1" applyBorder="1" applyAlignment="1">
      <alignment horizontal="center" vertical="center" wrapText="1"/>
    </xf>
    <xf numFmtId="9" fontId="20" fillId="39" borderId="138" xfId="0" applyNumberFormat="1" applyFont="1" applyFill="1" applyBorder="1" applyAlignment="1">
      <alignment horizontal="center" vertical="center"/>
    </xf>
    <xf numFmtId="0" fontId="4" fillId="39" borderId="140" xfId="20" applyFont="1" applyFill="1" applyBorder="1" applyAlignment="1">
      <alignment horizontal="center" vertical="center" wrapText="1"/>
    </xf>
    <xf numFmtId="0" fontId="21" fillId="39" borderId="139" xfId="0" applyFont="1" applyFill="1" applyBorder="1" applyAlignment="1">
      <alignment horizontal="center" vertical="center"/>
    </xf>
    <xf numFmtId="191" fontId="20" fillId="39" borderId="138" xfId="10" applyNumberFormat="1" applyFont="1" applyFill="1" applyBorder="1" applyAlignment="1">
      <alignment horizontal="center" vertical="center"/>
    </xf>
    <xf numFmtId="9" fontId="20" fillId="39" borderId="138" xfId="0" applyNumberFormat="1" applyFont="1" applyFill="1" applyBorder="1" applyAlignment="1">
      <alignment horizontal="center" vertical="center" wrapText="1"/>
    </xf>
    <xf numFmtId="191" fontId="20" fillId="39" borderId="138" xfId="10" applyNumberFormat="1" applyFont="1" applyFill="1" applyBorder="1" applyAlignment="1">
      <alignment horizontal="center" vertical="center" wrapText="1"/>
    </xf>
    <xf numFmtId="9" fontId="20" fillId="42" borderId="138" xfId="0" applyNumberFormat="1" applyFont="1" applyFill="1" applyBorder="1" applyAlignment="1">
      <alignment horizontal="center" vertical="center" wrapText="1"/>
    </xf>
    <xf numFmtId="0" fontId="20" fillId="42" borderId="138" xfId="0" applyFont="1" applyFill="1" applyBorder="1" applyAlignment="1">
      <alignment horizontal="center" vertical="center" wrapText="1"/>
    </xf>
    <xf numFmtId="0" fontId="20" fillId="42" borderId="139" xfId="0" applyFont="1" applyFill="1" applyBorder="1" applyAlignment="1">
      <alignment horizontal="center" vertical="center" wrapText="1"/>
    </xf>
    <xf numFmtId="9" fontId="20" fillId="42" borderId="138" xfId="0" applyNumberFormat="1" applyFont="1" applyFill="1" applyBorder="1" applyAlignment="1">
      <alignment horizontal="center" vertical="center"/>
    </xf>
    <xf numFmtId="191" fontId="20" fillId="42" borderId="138" xfId="10" applyNumberFormat="1" applyFont="1" applyFill="1" applyBorder="1" applyAlignment="1">
      <alignment horizontal="center" vertical="center" wrapText="1"/>
    </xf>
    <xf numFmtId="0" fontId="20" fillId="42" borderId="138" xfId="0" applyFont="1" applyFill="1" applyBorder="1" applyAlignment="1">
      <alignment horizontal="center" vertical="center"/>
    </xf>
    <xf numFmtId="10" fontId="20" fillId="42" borderId="138" xfId="0" applyNumberFormat="1" applyFont="1" applyFill="1" applyBorder="1" applyAlignment="1">
      <alignment horizontal="center" vertical="center"/>
    </xf>
    <xf numFmtId="9" fontId="20" fillId="42" borderId="138" xfId="5" applyFont="1" applyFill="1" applyBorder="1" applyAlignment="1">
      <alignment horizontal="center" vertical="center"/>
    </xf>
    <xf numFmtId="9" fontId="20" fillId="42" borderId="139" xfId="0" applyNumberFormat="1" applyFont="1" applyFill="1" applyBorder="1" applyAlignment="1">
      <alignment horizontal="center" vertical="center" wrapText="1"/>
    </xf>
    <xf numFmtId="0" fontId="49" fillId="7" borderId="138" xfId="0" applyFont="1" applyFill="1" applyBorder="1" applyAlignment="1">
      <alignment vertical="center"/>
    </xf>
    <xf numFmtId="0" fontId="51" fillId="7" borderId="138" xfId="0" applyFont="1" applyFill="1" applyBorder="1" applyAlignment="1">
      <alignment horizontal="center" vertical="center" wrapText="1"/>
    </xf>
    <xf numFmtId="9" fontId="51" fillId="7" borderId="138" xfId="0" applyNumberFormat="1" applyFont="1" applyFill="1" applyBorder="1" applyAlignment="1">
      <alignment horizontal="center" vertical="center" wrapText="1"/>
    </xf>
    <xf numFmtId="0" fontId="51" fillId="0" borderId="138" xfId="0" applyFont="1" applyFill="1" applyBorder="1" applyAlignment="1">
      <alignment horizontal="justify" vertical="center" wrapText="1"/>
    </xf>
    <xf numFmtId="0" fontId="51" fillId="0" borderId="138" xfId="0" applyFont="1" applyFill="1" applyBorder="1" applyAlignment="1">
      <alignment horizontal="center" vertical="center"/>
    </xf>
    <xf numFmtId="0" fontId="51" fillId="0" borderId="138" xfId="0" applyFont="1" applyFill="1" applyBorder="1" applyAlignment="1">
      <alignment horizontal="center" vertical="center" wrapText="1"/>
    </xf>
    <xf numFmtId="0" fontId="51" fillId="0" borderId="139" xfId="0" applyFont="1" applyFill="1" applyBorder="1" applyAlignment="1">
      <alignment horizontal="center" vertical="center"/>
    </xf>
    <xf numFmtId="9" fontId="51" fillId="0" borderId="138" xfId="0" applyNumberFormat="1" applyFont="1" applyFill="1" applyBorder="1" applyAlignment="1">
      <alignment horizontal="justify" vertical="center"/>
    </xf>
    <xf numFmtId="0" fontId="51" fillId="11" borderId="138" xfId="0" applyFont="1" applyFill="1" applyBorder="1" applyAlignment="1">
      <alignment horizontal="left" vertical="top" wrapText="1"/>
    </xf>
    <xf numFmtId="0" fontId="51" fillId="11" borderId="138" xfId="0" applyFont="1" applyFill="1" applyBorder="1" applyAlignment="1">
      <alignment horizontal="center" vertical="center" wrapText="1"/>
    </xf>
    <xf numFmtId="0" fontId="51" fillId="11" borderId="138" xfId="0" applyFont="1" applyFill="1" applyBorder="1" applyAlignment="1">
      <alignment horizontal="center" vertical="center"/>
    </xf>
    <xf numFmtId="170" fontId="51" fillId="11" borderId="138" xfId="9" applyFont="1" applyFill="1" applyBorder="1" applyAlignment="1">
      <alignment horizontal="center" vertical="center"/>
    </xf>
    <xf numFmtId="0" fontId="21" fillId="42" borderId="138" xfId="0" applyFont="1" applyFill="1" applyBorder="1" applyAlignment="1">
      <alignment horizontal="center" vertical="center" wrapText="1"/>
    </xf>
    <xf numFmtId="0" fontId="21" fillId="12" borderId="138" xfId="0" applyFont="1" applyFill="1" applyBorder="1" applyAlignment="1">
      <alignment horizontal="center" vertical="center" wrapText="1"/>
    </xf>
    <xf numFmtId="0" fontId="74" fillId="68" borderId="138" xfId="0" applyFont="1" applyFill="1" applyBorder="1" applyAlignment="1">
      <alignment horizontal="center" vertical="center" wrapText="1"/>
    </xf>
    <xf numFmtId="0" fontId="20" fillId="0" borderId="138" xfId="0" applyFont="1" applyBorder="1" applyAlignment="1">
      <alignment horizontal="center" vertical="center"/>
    </xf>
    <xf numFmtId="9" fontId="20" fillId="42" borderId="138" xfId="0" applyNumberFormat="1" applyFont="1" applyFill="1" applyBorder="1" applyAlignment="1">
      <alignment horizontal="justify" vertical="center" wrapText="1"/>
    </xf>
    <xf numFmtId="0" fontId="21" fillId="42" borderId="138" xfId="0" applyFont="1" applyFill="1" applyBorder="1" applyAlignment="1">
      <alignment horizontal="center" vertical="center"/>
    </xf>
    <xf numFmtId="0" fontId="4" fillId="42" borderId="138" xfId="0" applyFont="1" applyFill="1" applyBorder="1" applyAlignment="1">
      <alignment horizontal="center" vertical="center" wrapText="1"/>
    </xf>
    <xf numFmtId="0" fontId="21" fillId="12" borderId="138" xfId="0" applyFont="1" applyFill="1" applyBorder="1" applyAlignment="1">
      <alignment horizontal="center" vertical="center"/>
    </xf>
    <xf numFmtId="0" fontId="20" fillId="12" borderId="138" xfId="0" applyFont="1" applyFill="1" applyBorder="1" applyAlignment="1">
      <alignment horizontal="center" vertical="center" wrapText="1"/>
    </xf>
    <xf numFmtId="9" fontId="20" fillId="12" borderId="139" xfId="0" applyNumberFormat="1" applyFont="1" applyFill="1" applyBorder="1" applyAlignment="1">
      <alignment horizontal="center" vertical="center" wrapText="1"/>
    </xf>
    <xf numFmtId="9" fontId="20" fillId="12" borderId="138" xfId="0" applyNumberFormat="1" applyFont="1" applyFill="1" applyBorder="1" applyAlignment="1">
      <alignment horizontal="center" vertical="center" wrapText="1"/>
    </xf>
    <xf numFmtId="0" fontId="20" fillId="12" borderId="139" xfId="0" applyFont="1" applyFill="1" applyBorder="1" applyAlignment="1">
      <alignment horizontal="center" vertical="center" wrapText="1"/>
    </xf>
    <xf numFmtId="9" fontId="20" fillId="12" borderId="138" xfId="0" applyNumberFormat="1" applyFont="1" applyFill="1" applyBorder="1" applyAlignment="1">
      <alignment horizontal="center" vertical="center"/>
    </xf>
    <xf numFmtId="0" fontId="20" fillId="12" borderId="138" xfId="0" applyFont="1" applyFill="1" applyBorder="1" applyAlignment="1">
      <alignment horizontal="center" vertical="center"/>
    </xf>
    <xf numFmtId="191" fontId="20" fillId="12" borderId="138" xfId="10" applyNumberFormat="1" applyFont="1" applyFill="1" applyBorder="1" applyAlignment="1">
      <alignment horizontal="center" vertical="center" wrapText="1"/>
    </xf>
    <xf numFmtId="0" fontId="20" fillId="44" borderId="138" xfId="0" applyFont="1" applyFill="1" applyBorder="1" applyAlignment="1">
      <alignment horizontal="center" vertical="center" wrapText="1"/>
    </xf>
    <xf numFmtId="9" fontId="20" fillId="44" borderId="139" xfId="0" applyNumberFormat="1" applyFont="1" applyFill="1" applyBorder="1" applyAlignment="1">
      <alignment horizontal="center" vertical="center" wrapText="1"/>
    </xf>
    <xf numFmtId="9" fontId="20" fillId="44" borderId="138" xfId="0" applyNumberFormat="1" applyFont="1" applyFill="1" applyBorder="1" applyAlignment="1">
      <alignment horizontal="center" vertical="center" wrapText="1"/>
    </xf>
    <xf numFmtId="0" fontId="20" fillId="44" borderId="139" xfId="0" applyFont="1" applyFill="1" applyBorder="1" applyAlignment="1">
      <alignment horizontal="center" vertical="center" wrapText="1"/>
    </xf>
    <xf numFmtId="9" fontId="20" fillId="44" borderId="138" xfId="0" applyNumberFormat="1" applyFont="1" applyFill="1" applyBorder="1" applyAlignment="1">
      <alignment horizontal="center" vertical="center"/>
    </xf>
    <xf numFmtId="0" fontId="20" fillId="44" borderId="138" xfId="0" applyFont="1" applyFill="1" applyBorder="1" applyAlignment="1">
      <alignment horizontal="center" vertical="center"/>
    </xf>
    <xf numFmtId="1" fontId="20" fillId="44" borderId="138" xfId="0" applyNumberFormat="1" applyFont="1" applyFill="1" applyBorder="1" applyAlignment="1">
      <alignment horizontal="center" vertical="center" wrapText="1"/>
    </xf>
    <xf numFmtId="3" fontId="20" fillId="44" borderId="138" xfId="0" applyNumberFormat="1" applyFont="1" applyFill="1" applyBorder="1" applyAlignment="1">
      <alignment horizontal="center" vertical="center" wrapText="1"/>
    </xf>
    <xf numFmtId="0" fontId="4" fillId="44" borderId="138" xfId="0" applyFont="1" applyFill="1" applyBorder="1" applyAlignment="1">
      <alignment horizontal="center" vertical="center" wrapText="1"/>
    </xf>
    <xf numFmtId="0" fontId="21" fillId="44" borderId="138" xfId="0" applyFont="1" applyFill="1" applyBorder="1" applyAlignment="1">
      <alignment horizontal="center" vertical="center"/>
    </xf>
    <xf numFmtId="9" fontId="20" fillId="44" borderId="138" xfId="5" applyFont="1" applyFill="1" applyBorder="1" applyAlignment="1">
      <alignment horizontal="center" vertical="center"/>
    </xf>
    <xf numFmtId="1" fontId="20" fillId="44" borderId="138" xfId="0" applyNumberFormat="1" applyFont="1" applyFill="1" applyBorder="1" applyAlignment="1">
      <alignment horizontal="center" vertical="center"/>
    </xf>
    <xf numFmtId="0" fontId="4" fillId="44" borderId="138" xfId="20" applyFont="1" applyFill="1" applyBorder="1" applyAlignment="1">
      <alignment horizontal="center" vertical="center" wrapText="1"/>
    </xf>
    <xf numFmtId="191" fontId="4" fillId="44" borderId="138" xfId="10" applyNumberFormat="1" applyFont="1" applyFill="1" applyBorder="1" applyAlignment="1">
      <alignment horizontal="center" vertical="center" wrapText="1"/>
    </xf>
    <xf numFmtId="0" fontId="26" fillId="44" borderId="138" xfId="0" applyFont="1" applyFill="1" applyBorder="1" applyAlignment="1">
      <alignment wrapText="1"/>
    </xf>
    <xf numFmtId="0" fontId="26" fillId="44" borderId="138" xfId="0" applyFont="1" applyFill="1" applyBorder="1" applyAlignment="1">
      <alignment horizontal="justify" vertical="center"/>
    </xf>
    <xf numFmtId="10" fontId="20" fillId="44" borderId="139" xfId="0" applyNumberFormat="1" applyFont="1" applyFill="1" applyBorder="1" applyAlignment="1">
      <alignment horizontal="center" vertical="center"/>
    </xf>
    <xf numFmtId="10" fontId="20" fillId="44" borderId="138" xfId="0" applyNumberFormat="1" applyFont="1" applyFill="1" applyBorder="1" applyAlignment="1">
      <alignment horizontal="center" vertical="center"/>
    </xf>
    <xf numFmtId="0" fontId="20" fillId="44" borderId="139" xfId="0" applyFont="1" applyFill="1" applyBorder="1" applyAlignment="1">
      <alignment horizontal="center" vertical="center"/>
    </xf>
    <xf numFmtId="178" fontId="20" fillId="44" borderId="138" xfId="0" applyNumberFormat="1" applyFont="1" applyFill="1" applyBorder="1" applyAlignment="1">
      <alignment horizontal="center" vertical="center" wrapText="1"/>
    </xf>
    <xf numFmtId="9" fontId="20" fillId="44" borderId="138" xfId="5" applyFont="1" applyFill="1" applyBorder="1" applyAlignment="1">
      <alignment horizontal="center" vertical="center" wrapText="1"/>
    </xf>
    <xf numFmtId="0" fontId="20" fillId="44" borderId="138" xfId="7" applyNumberFormat="1" applyFont="1" applyFill="1" applyBorder="1" applyAlignment="1">
      <alignment horizontal="center" vertical="center"/>
    </xf>
    <xf numFmtId="0" fontId="20" fillId="44" borderId="138" xfId="0" applyFont="1" applyFill="1" applyBorder="1" applyAlignment="1">
      <alignment horizontal="center" vertical="center" wrapText="1" readingOrder="1"/>
    </xf>
    <xf numFmtId="179" fontId="20" fillId="44" borderId="138" xfId="0" applyNumberFormat="1" applyFont="1" applyFill="1" applyBorder="1" applyAlignment="1">
      <alignment horizontal="center" vertical="center"/>
    </xf>
    <xf numFmtId="3" fontId="20" fillId="44" borderId="138" xfId="0" applyNumberFormat="1" applyFont="1" applyFill="1" applyBorder="1" applyAlignment="1">
      <alignment horizontal="center" vertical="center"/>
    </xf>
    <xf numFmtId="173" fontId="20" fillId="44" borderId="138" xfId="0" applyNumberFormat="1" applyFont="1" applyFill="1" applyBorder="1" applyAlignment="1">
      <alignment horizontal="center" vertical="center"/>
    </xf>
    <xf numFmtId="1" fontId="20" fillId="44" borderId="138" xfId="5" applyNumberFormat="1" applyFont="1" applyFill="1" applyBorder="1" applyAlignment="1">
      <alignment horizontal="center" vertical="center" wrapText="1"/>
    </xf>
    <xf numFmtId="179" fontId="20" fillId="44" borderId="138" xfId="5" applyNumberFormat="1" applyFont="1" applyFill="1" applyBorder="1" applyAlignment="1">
      <alignment horizontal="center" vertical="center"/>
    </xf>
    <xf numFmtId="180" fontId="20" fillId="44" borderId="138" xfId="0" applyNumberFormat="1" applyFont="1" applyFill="1" applyBorder="1" applyAlignment="1">
      <alignment horizontal="center" vertical="center"/>
    </xf>
    <xf numFmtId="10" fontId="20" fillId="44" borderId="139" xfId="0" applyNumberFormat="1" applyFont="1" applyFill="1" applyBorder="1" applyAlignment="1">
      <alignment horizontal="center" vertical="center" wrapText="1"/>
    </xf>
    <xf numFmtId="10" fontId="20" fillId="44" borderId="138" xfId="0" applyNumberFormat="1" applyFont="1" applyFill="1" applyBorder="1" applyAlignment="1">
      <alignment horizontal="center" vertical="center" wrapText="1"/>
    </xf>
    <xf numFmtId="167" fontId="20" fillId="44" borderId="138" xfId="10" applyFont="1" applyFill="1" applyBorder="1" applyAlignment="1">
      <alignment horizontal="center" vertical="center"/>
    </xf>
    <xf numFmtId="9" fontId="20" fillId="44" borderId="139" xfId="0" applyNumberFormat="1" applyFont="1" applyFill="1" applyBorder="1" applyAlignment="1">
      <alignment horizontal="center" vertical="center"/>
    </xf>
    <xf numFmtId="0" fontId="20" fillId="17" borderId="138" xfId="0" applyFont="1" applyFill="1" applyBorder="1" applyAlignment="1">
      <alignment horizontal="center" vertical="center" wrapText="1"/>
    </xf>
    <xf numFmtId="0" fontId="20" fillId="17" borderId="138" xfId="0" applyFont="1" applyFill="1" applyBorder="1" applyAlignment="1">
      <alignment horizontal="center" vertical="center"/>
    </xf>
    <xf numFmtId="3" fontId="20" fillId="39" borderId="138" xfId="0" applyNumberFormat="1" applyFont="1" applyFill="1" applyBorder="1" applyAlignment="1">
      <alignment horizontal="center" vertical="center"/>
    </xf>
    <xf numFmtId="0" fontId="20" fillId="39" borderId="142" xfId="0" applyFont="1" applyFill="1" applyBorder="1" applyAlignment="1">
      <alignment horizontal="center" vertical="center" wrapText="1"/>
    </xf>
    <xf numFmtId="0" fontId="20" fillId="39" borderId="142" xfId="0" applyFont="1" applyFill="1" applyBorder="1" applyAlignment="1">
      <alignment horizontal="center" vertical="center"/>
    </xf>
    <xf numFmtId="0" fontId="20" fillId="39" borderId="143" xfId="0" applyFont="1" applyFill="1" applyBorder="1" applyAlignment="1">
      <alignment horizontal="center" vertical="center"/>
    </xf>
    <xf numFmtId="0" fontId="20" fillId="39" borderId="143" xfId="0" applyFont="1" applyFill="1" applyBorder="1" applyAlignment="1">
      <alignment horizontal="center" vertical="center" wrapText="1"/>
    </xf>
    <xf numFmtId="0" fontId="20" fillId="39" borderId="144" xfId="0" applyFont="1" applyFill="1" applyBorder="1" applyAlignment="1">
      <alignment horizontal="center" vertical="center" wrapText="1"/>
    </xf>
    <xf numFmtId="9" fontId="20" fillId="39" borderId="142" xfId="0" applyNumberFormat="1" applyFont="1" applyFill="1" applyBorder="1" applyAlignment="1">
      <alignment horizontal="center" vertical="center"/>
    </xf>
    <xf numFmtId="9" fontId="20" fillId="39" borderId="142" xfId="5" applyFont="1" applyFill="1" applyBorder="1" applyAlignment="1">
      <alignment horizontal="center" vertical="center"/>
    </xf>
    <xf numFmtId="2" fontId="20" fillId="39" borderId="142" xfId="0" applyNumberFormat="1" applyFont="1" applyFill="1" applyBorder="1" applyAlignment="1">
      <alignment horizontal="center" vertical="center"/>
    </xf>
    <xf numFmtId="0" fontId="4" fillId="39" borderId="145" xfId="20" applyFont="1" applyFill="1" applyBorder="1" applyAlignment="1">
      <alignment horizontal="center" vertical="center" wrapText="1"/>
    </xf>
    <xf numFmtId="0" fontId="21" fillId="39" borderId="143" xfId="0" applyFont="1" applyFill="1" applyBorder="1" applyAlignment="1">
      <alignment horizontal="center" vertical="center"/>
    </xf>
    <xf numFmtId="49" fontId="20" fillId="39" borderId="142" xfId="0" applyNumberFormat="1" applyFont="1" applyFill="1" applyBorder="1" applyAlignment="1">
      <alignment horizontal="center" vertical="center"/>
    </xf>
    <xf numFmtId="191" fontId="20" fillId="39" borderId="142" xfId="10" applyNumberFormat="1" applyFont="1" applyFill="1" applyBorder="1" applyAlignment="1">
      <alignment horizontal="center" vertical="center"/>
    </xf>
    <xf numFmtId="9" fontId="20" fillId="39" borderId="142" xfId="0" applyNumberFormat="1" applyFont="1" applyFill="1" applyBorder="1" applyAlignment="1">
      <alignment horizontal="center" vertical="center" wrapText="1"/>
    </xf>
    <xf numFmtId="191" fontId="20" fillId="39" borderId="142" xfId="10" applyNumberFormat="1" applyFont="1" applyFill="1" applyBorder="1" applyAlignment="1">
      <alignment horizontal="center" vertical="center" wrapText="1"/>
    </xf>
    <xf numFmtId="0" fontId="21" fillId="39" borderId="142" xfId="0" applyFont="1" applyFill="1" applyBorder="1" applyAlignment="1">
      <alignment horizontal="center" vertical="center"/>
    </xf>
    <xf numFmtId="0" fontId="21" fillId="39" borderId="143" xfId="0" applyFont="1" applyFill="1" applyBorder="1" applyAlignment="1">
      <alignment horizontal="center" vertical="center" wrapText="1"/>
    </xf>
    <xf numFmtId="0" fontId="21" fillId="39" borderId="142" xfId="0" applyFont="1" applyFill="1" applyBorder="1" applyAlignment="1">
      <alignment horizontal="center" vertical="center" wrapText="1"/>
    </xf>
    <xf numFmtId="9" fontId="20" fillId="42" borderId="142" xfId="0" applyNumberFormat="1" applyFont="1" applyFill="1" applyBorder="1" applyAlignment="1">
      <alignment horizontal="center" vertical="center" wrapText="1"/>
    </xf>
    <xf numFmtId="0" fontId="20" fillId="42" borderId="142" xfId="0" applyFont="1" applyFill="1" applyBorder="1" applyAlignment="1">
      <alignment horizontal="center" vertical="center" wrapText="1"/>
    </xf>
    <xf numFmtId="0" fontId="20" fillId="42" borderId="143" xfId="0" applyFont="1" applyFill="1" applyBorder="1" applyAlignment="1">
      <alignment horizontal="center" vertical="center" wrapText="1"/>
    </xf>
    <xf numFmtId="1" fontId="20" fillId="42" borderId="142" xfId="0" applyNumberFormat="1" applyFont="1" applyFill="1" applyBorder="1" applyAlignment="1">
      <alignment horizontal="center" vertical="center" wrapText="1"/>
    </xf>
    <xf numFmtId="1" fontId="20" fillId="42" borderId="142" xfId="5" applyNumberFormat="1" applyFont="1" applyFill="1" applyBorder="1" applyAlignment="1">
      <alignment horizontal="center" vertical="center" wrapText="1"/>
    </xf>
    <xf numFmtId="191" fontId="20" fillId="42" borderId="142" xfId="10" applyNumberFormat="1" applyFont="1" applyFill="1" applyBorder="1" applyAlignment="1">
      <alignment horizontal="center" vertical="center"/>
    </xf>
    <xf numFmtId="9" fontId="20" fillId="42" borderId="142" xfId="0" applyNumberFormat="1" applyFont="1" applyFill="1" applyBorder="1" applyAlignment="1">
      <alignment horizontal="center" vertical="center"/>
    </xf>
    <xf numFmtId="191" fontId="20" fillId="42" borderId="142" xfId="10" applyNumberFormat="1" applyFont="1" applyFill="1" applyBorder="1" applyAlignment="1">
      <alignment horizontal="center" vertical="center" wrapText="1"/>
    </xf>
    <xf numFmtId="0" fontId="20" fillId="42" borderId="142" xfId="0" applyFont="1" applyFill="1" applyBorder="1" applyAlignment="1">
      <alignment horizontal="center" vertical="center"/>
    </xf>
    <xf numFmtId="9" fontId="20" fillId="42" borderId="142" xfId="5" applyFont="1" applyFill="1" applyBorder="1" applyAlignment="1">
      <alignment horizontal="center" vertical="center" wrapText="1"/>
    </xf>
    <xf numFmtId="10" fontId="20" fillId="42" borderId="143" xfId="0" applyNumberFormat="1" applyFont="1" applyFill="1" applyBorder="1" applyAlignment="1">
      <alignment horizontal="center" vertical="center"/>
    </xf>
    <xf numFmtId="10" fontId="20" fillId="42" borderId="142" xfId="0" applyNumberFormat="1" applyFont="1" applyFill="1" applyBorder="1" applyAlignment="1">
      <alignment horizontal="center" vertical="center"/>
    </xf>
    <xf numFmtId="0" fontId="20" fillId="42" borderId="142" xfId="5" applyNumberFormat="1" applyFont="1" applyFill="1" applyBorder="1" applyAlignment="1">
      <alignment horizontal="center" vertical="center" wrapText="1"/>
    </xf>
    <xf numFmtId="10" fontId="20" fillId="42" borderId="143" xfId="0" applyNumberFormat="1" applyFont="1" applyFill="1" applyBorder="1" applyAlignment="1">
      <alignment horizontal="center" vertical="center" wrapText="1"/>
    </xf>
    <xf numFmtId="10" fontId="20" fillId="42" borderId="142" xfId="0" applyNumberFormat="1" applyFont="1" applyFill="1" applyBorder="1" applyAlignment="1">
      <alignment horizontal="center" vertical="center" wrapText="1"/>
    </xf>
    <xf numFmtId="9" fontId="20" fillId="42" borderId="142" xfId="5" applyFont="1" applyFill="1" applyBorder="1" applyAlignment="1">
      <alignment horizontal="center" vertical="center"/>
    </xf>
    <xf numFmtId="9" fontId="20" fillId="42" borderId="143" xfId="0" applyNumberFormat="1" applyFont="1" applyFill="1" applyBorder="1" applyAlignment="1">
      <alignment horizontal="center" vertical="center" wrapText="1"/>
    </xf>
    <xf numFmtId="0" fontId="50" fillId="40" borderId="8" xfId="0" applyFont="1" applyFill="1" applyBorder="1" applyAlignment="1" applyProtection="1">
      <alignment horizontal="center" vertical="center" wrapText="1"/>
      <protection locked="0"/>
    </xf>
    <xf numFmtId="0" fontId="49" fillId="40" borderId="8" xfId="0" applyFont="1" applyFill="1" applyBorder="1" applyAlignment="1" applyProtection="1">
      <alignment horizontal="left" vertical="top" wrapText="1"/>
      <protection locked="0"/>
    </xf>
    <xf numFmtId="0" fontId="49" fillId="40" borderId="8" xfId="0" applyFont="1" applyFill="1" applyBorder="1" applyAlignment="1" applyProtection="1">
      <alignment horizontal="center" vertical="center" wrapText="1"/>
      <protection locked="0"/>
    </xf>
    <xf numFmtId="0" fontId="51" fillId="40" borderId="8" xfId="0" applyFont="1" applyFill="1" applyBorder="1" applyAlignment="1">
      <alignment horizontal="center" vertical="center" wrapText="1"/>
    </xf>
    <xf numFmtId="0" fontId="51" fillId="40" borderId="36" xfId="0" applyFont="1" applyFill="1" applyBorder="1" applyAlignment="1">
      <alignment horizontal="center" vertical="center" wrapText="1"/>
    </xf>
    <xf numFmtId="9" fontId="51" fillId="40" borderId="8" xfId="0" applyNumberFormat="1" applyFont="1" applyFill="1" applyBorder="1" applyAlignment="1">
      <alignment horizontal="center" vertical="center" wrapText="1"/>
    </xf>
    <xf numFmtId="0" fontId="51" fillId="40" borderId="8" xfId="0" applyFont="1" applyFill="1" applyBorder="1"/>
    <xf numFmtId="189" fontId="51" fillId="40" borderId="8" xfId="4" applyNumberFormat="1" applyFont="1" applyFill="1" applyBorder="1" applyAlignment="1">
      <alignment horizontal="center" vertical="center"/>
    </xf>
    <xf numFmtId="0" fontId="51" fillId="40" borderId="8" xfId="0" applyFont="1" applyFill="1" applyBorder="1" applyAlignment="1">
      <alignment horizontal="center" vertical="center"/>
    </xf>
    <xf numFmtId="0" fontId="51" fillId="40" borderId="9" xfId="0" applyFont="1" applyFill="1" applyBorder="1"/>
    <xf numFmtId="9" fontId="52" fillId="40" borderId="8" xfId="0" applyNumberFormat="1" applyFont="1" applyFill="1" applyBorder="1" applyAlignment="1">
      <alignment horizontal="center" vertical="center" wrapText="1"/>
    </xf>
    <xf numFmtId="3" fontId="51" fillId="40" borderId="8" xfId="0" applyNumberFormat="1" applyFont="1" applyFill="1" applyBorder="1" applyAlignment="1">
      <alignment horizontal="center" vertical="center" wrapText="1"/>
    </xf>
    <xf numFmtId="3" fontId="51" fillId="40" borderId="8" xfId="4" applyNumberFormat="1" applyFont="1" applyFill="1" applyBorder="1" applyAlignment="1">
      <alignment horizontal="center" vertical="center"/>
    </xf>
    <xf numFmtId="3" fontId="51" fillId="40" borderId="8" xfId="0" applyNumberFormat="1" applyFont="1" applyFill="1" applyBorder="1"/>
    <xf numFmtId="3" fontId="51" fillId="40" borderId="8" xfId="0" applyNumberFormat="1" applyFont="1" applyFill="1" applyBorder="1" applyAlignment="1">
      <alignment horizontal="center" vertical="center"/>
    </xf>
    <xf numFmtId="3" fontId="51" fillId="40" borderId="9" xfId="0" applyNumberFormat="1" applyFont="1" applyFill="1" applyBorder="1"/>
    <xf numFmtId="0" fontId="51" fillId="40" borderId="0" xfId="0" applyFont="1" applyFill="1"/>
    <xf numFmtId="0" fontId="50" fillId="40" borderId="102" xfId="0" applyFont="1" applyFill="1" applyBorder="1" applyAlignment="1" applyProtection="1">
      <alignment horizontal="center" vertical="center" wrapText="1"/>
      <protection locked="0"/>
    </xf>
    <xf numFmtId="0" fontId="49" fillId="40" borderId="102" xfId="0" applyFont="1" applyFill="1" applyBorder="1" applyAlignment="1" applyProtection="1">
      <alignment horizontal="left" vertical="center" wrapText="1"/>
      <protection locked="0"/>
    </xf>
    <xf numFmtId="0" fontId="52" fillId="40" borderId="102" xfId="0" applyFont="1" applyFill="1" applyBorder="1" applyAlignment="1" applyProtection="1">
      <alignment horizontal="center" vertical="center" wrapText="1"/>
      <protection locked="0"/>
    </xf>
    <xf numFmtId="0" fontId="49" fillId="40" borderId="102" xfId="0" applyFont="1" applyFill="1" applyBorder="1" applyAlignment="1" applyProtection="1">
      <alignment horizontal="center" vertical="center" wrapText="1"/>
      <protection locked="0"/>
    </xf>
    <xf numFmtId="0" fontId="51" fillId="40" borderId="102" xfId="0" applyFont="1" applyFill="1" applyBorder="1" applyAlignment="1">
      <alignment horizontal="center" vertical="center"/>
    </xf>
    <xf numFmtId="0" fontId="51" fillId="40" borderId="102" xfId="0" applyFont="1" applyFill="1" applyBorder="1" applyAlignment="1" applyProtection="1">
      <alignment horizontal="center" vertical="center" wrapText="1"/>
      <protection locked="0"/>
    </xf>
    <xf numFmtId="0" fontId="51" fillId="40" borderId="105" xfId="0" applyFont="1" applyFill="1" applyBorder="1" applyAlignment="1">
      <alignment horizontal="center" vertical="center" wrapText="1"/>
    </xf>
    <xf numFmtId="9" fontId="51" fillId="40" borderId="102" xfId="0" applyNumberFormat="1" applyFont="1" applyFill="1" applyBorder="1" applyAlignment="1">
      <alignment horizontal="center" vertical="center"/>
    </xf>
    <xf numFmtId="0" fontId="51" fillId="40" borderId="102" xfId="0" applyFont="1" applyFill="1" applyBorder="1" applyAlignment="1">
      <alignment horizontal="center" vertical="center" wrapText="1"/>
    </xf>
    <xf numFmtId="0" fontId="51" fillId="40" borderId="102" xfId="0" applyFont="1" applyFill="1" applyBorder="1"/>
    <xf numFmtId="189" fontId="51" fillId="40" borderId="102" xfId="4" applyNumberFormat="1" applyFont="1" applyFill="1" applyBorder="1" applyAlignment="1">
      <alignment horizontal="center" vertical="center"/>
    </xf>
    <xf numFmtId="0" fontId="51" fillId="40" borderId="94" xfId="0" applyFont="1" applyFill="1" applyBorder="1"/>
    <xf numFmtId="9" fontId="51" fillId="40" borderId="102" xfId="0" applyNumberFormat="1" applyFont="1" applyFill="1" applyBorder="1" applyAlignment="1">
      <alignment horizontal="center" vertical="center" wrapText="1"/>
    </xf>
    <xf numFmtId="9" fontId="52" fillId="40" borderId="102" xfId="0" applyNumberFormat="1" applyFont="1" applyFill="1" applyBorder="1" applyAlignment="1">
      <alignment horizontal="center" vertical="center" wrapText="1"/>
    </xf>
    <xf numFmtId="0" fontId="51" fillId="40" borderId="102" xfId="0" applyFont="1" applyFill="1" applyBorder="1" applyAlignment="1">
      <alignment horizontal="left" vertical="top" wrapText="1"/>
    </xf>
    <xf numFmtId="0" fontId="51" fillId="40" borderId="102" xfId="0" applyFont="1" applyFill="1" applyBorder="1" applyAlignment="1">
      <alignment vertical="top"/>
    </xf>
    <xf numFmtId="3" fontId="51" fillId="40" borderId="102" xfId="4" applyNumberFormat="1" applyFont="1" applyFill="1" applyBorder="1" applyAlignment="1">
      <alignment horizontal="center" vertical="center"/>
    </xf>
    <xf numFmtId="3" fontId="51" fillId="40" borderId="102" xfId="0" applyNumberFormat="1" applyFont="1" applyFill="1" applyBorder="1"/>
    <xf numFmtId="3" fontId="51" fillId="40" borderId="102" xfId="0" applyNumberFormat="1" applyFont="1" applyFill="1" applyBorder="1" applyAlignment="1">
      <alignment horizontal="center" vertical="center"/>
    </xf>
    <xf numFmtId="3" fontId="51" fillId="40" borderId="94" xfId="0" applyNumberFormat="1" applyFont="1" applyFill="1" applyBorder="1"/>
    <xf numFmtId="0" fontId="51" fillId="40" borderId="102" xfId="0" applyFont="1" applyFill="1" applyBorder="1" applyAlignment="1" applyProtection="1">
      <alignment horizontal="center" vertical="center" wrapText="1"/>
    </xf>
    <xf numFmtId="9" fontId="51" fillId="40" borderId="102" xfId="5" applyFont="1" applyFill="1" applyBorder="1" applyAlignment="1">
      <alignment horizontal="center" vertical="center"/>
    </xf>
    <xf numFmtId="0" fontId="51" fillId="40" borderId="102" xfId="0" applyFont="1" applyFill="1" applyBorder="1" applyAlignment="1">
      <alignment horizontal="left" vertical="center" wrapText="1"/>
    </xf>
    <xf numFmtId="3" fontId="51" fillId="40" borderId="102" xfId="0" applyNumberFormat="1" applyFont="1" applyFill="1" applyBorder="1" applyAlignment="1">
      <alignment horizontal="left" vertical="center" wrapText="1"/>
    </xf>
    <xf numFmtId="3" fontId="51" fillId="40" borderId="102" xfId="0" applyNumberFormat="1" applyFont="1" applyFill="1" applyBorder="1" applyAlignment="1">
      <alignment horizontal="center" vertical="center" wrapText="1"/>
    </xf>
    <xf numFmtId="0" fontId="49" fillId="40" borderId="102" xfId="0" applyFont="1" applyFill="1" applyBorder="1" applyAlignment="1" applyProtection="1">
      <alignment horizontal="left" vertical="top" wrapText="1"/>
      <protection locked="0"/>
    </xf>
    <xf numFmtId="0" fontId="51" fillId="40" borderId="32" xfId="0" applyFont="1" applyFill="1" applyBorder="1" applyAlignment="1">
      <alignment horizontal="center" vertical="center" wrapText="1"/>
    </xf>
    <xf numFmtId="168" fontId="51" fillId="40" borderId="102" xfId="0" applyNumberFormat="1" applyFont="1" applyFill="1" applyBorder="1" applyAlignment="1">
      <alignment horizontal="center" vertical="center" wrapText="1"/>
    </xf>
    <xf numFmtId="0" fontId="50" fillId="40" borderId="102" xfId="0" applyFont="1" applyFill="1" applyBorder="1" applyAlignment="1">
      <alignment horizontal="center" vertical="center" wrapText="1"/>
    </xf>
    <xf numFmtId="3" fontId="51" fillId="40" borderId="94" xfId="0" applyNumberFormat="1" applyFont="1" applyFill="1" applyBorder="1" applyAlignment="1">
      <alignment horizontal="center" vertical="center" wrapText="1"/>
    </xf>
    <xf numFmtId="0" fontId="49" fillId="40" borderId="102" xfId="0" applyFont="1" applyFill="1" applyBorder="1" applyAlignment="1">
      <alignment horizontal="center" vertical="center" wrapText="1"/>
    </xf>
    <xf numFmtId="3" fontId="51" fillId="40" borderId="26" xfId="0" applyNumberFormat="1" applyFont="1" applyFill="1" applyBorder="1" applyAlignment="1">
      <alignment horizontal="center" vertical="center" wrapText="1"/>
    </xf>
    <xf numFmtId="3" fontId="51" fillId="40" borderId="26" xfId="0" applyNumberFormat="1" applyFont="1" applyFill="1" applyBorder="1" applyAlignment="1">
      <alignment vertical="center" wrapText="1"/>
    </xf>
    <xf numFmtId="3" fontId="51" fillId="40" borderId="32" xfId="0" applyNumberFormat="1" applyFont="1" applyFill="1" applyBorder="1" applyAlignment="1">
      <alignment vertical="center" wrapText="1"/>
    </xf>
    <xf numFmtId="3" fontId="51" fillId="40" borderId="32" xfId="0" applyNumberFormat="1" applyFont="1" applyFill="1" applyBorder="1" applyAlignment="1">
      <alignment horizontal="center" vertical="center" wrapText="1"/>
    </xf>
    <xf numFmtId="3" fontId="51" fillId="40" borderId="52" xfId="0" applyNumberFormat="1" applyFont="1" applyFill="1" applyBorder="1" applyAlignment="1">
      <alignment vertical="center" wrapText="1"/>
    </xf>
    <xf numFmtId="9" fontId="51" fillId="40" borderId="30" xfId="0" applyNumberFormat="1" applyFont="1" applyFill="1" applyBorder="1" applyAlignment="1">
      <alignment horizontal="center" vertical="center"/>
    </xf>
    <xf numFmtId="0" fontId="51" fillId="40" borderId="30" xfId="0" applyFont="1" applyFill="1" applyBorder="1" applyAlignment="1">
      <alignment horizontal="center" vertical="center" wrapText="1"/>
    </xf>
    <xf numFmtId="0" fontId="51" fillId="40" borderId="30" xfId="0" applyFont="1" applyFill="1" applyBorder="1"/>
    <xf numFmtId="189" fontId="51" fillId="40" borderId="30" xfId="4" applyNumberFormat="1" applyFont="1" applyFill="1" applyBorder="1" applyAlignment="1">
      <alignment horizontal="center" vertical="center"/>
    </xf>
    <xf numFmtId="0" fontId="51" fillId="40" borderId="30" xfId="0" applyFont="1" applyFill="1" applyBorder="1" applyAlignment="1">
      <alignment horizontal="center" vertical="center"/>
    </xf>
    <xf numFmtId="0" fontId="51" fillId="40" borderId="31" xfId="0" applyFont="1" applyFill="1" applyBorder="1"/>
    <xf numFmtId="9" fontId="49" fillId="40" borderId="8" xfId="0" applyNumberFormat="1" applyFont="1" applyFill="1" applyBorder="1" applyAlignment="1">
      <alignment horizontal="center" vertical="center" wrapText="1"/>
    </xf>
    <xf numFmtId="0" fontId="51" fillId="40" borderId="102" xfId="0" applyFont="1" applyFill="1" applyBorder="1" applyAlignment="1">
      <alignment vertical="center"/>
    </xf>
    <xf numFmtId="3" fontId="51" fillId="40" borderId="108" xfId="9" applyNumberFormat="1" applyFont="1" applyFill="1" applyBorder="1" applyAlignment="1">
      <alignment horizontal="center" vertical="center" wrapText="1"/>
    </xf>
    <xf numFmtId="3" fontId="51" fillId="40" borderId="115" xfId="9" applyNumberFormat="1" applyFont="1" applyFill="1" applyBorder="1" applyAlignment="1">
      <alignment horizontal="center" vertical="center" wrapText="1"/>
    </xf>
    <xf numFmtId="9" fontId="51" fillId="40" borderId="102" xfId="5" applyFont="1" applyFill="1" applyBorder="1" applyAlignment="1">
      <alignment horizontal="center" vertical="center" wrapText="1"/>
    </xf>
    <xf numFmtId="181" fontId="51" fillId="40" borderId="102" xfId="4" applyNumberFormat="1" applyFont="1" applyFill="1" applyBorder="1" applyAlignment="1">
      <alignment horizontal="center" vertical="center" wrapText="1"/>
    </xf>
    <xf numFmtId="3" fontId="51" fillId="40" borderId="102" xfId="4" applyNumberFormat="1" applyFont="1" applyFill="1" applyBorder="1" applyAlignment="1">
      <alignment horizontal="center" vertical="top" wrapText="1"/>
    </xf>
    <xf numFmtId="0" fontId="48" fillId="40" borderId="108" xfId="0" applyFont="1" applyFill="1" applyBorder="1" applyAlignment="1" applyProtection="1">
      <alignment horizontal="center" vertical="center" wrapText="1"/>
      <protection locked="0"/>
    </xf>
    <xf numFmtId="0" fontId="51" fillId="40" borderId="108" xfId="0" applyFont="1" applyFill="1" applyBorder="1" applyAlignment="1">
      <alignment horizontal="center" vertical="center" wrapText="1"/>
    </xf>
    <xf numFmtId="9" fontId="51" fillId="40" borderId="108" xfId="0" applyNumberFormat="1" applyFont="1" applyFill="1" applyBorder="1" applyAlignment="1" applyProtection="1">
      <alignment horizontal="center" vertical="center" wrapText="1"/>
      <protection locked="0"/>
    </xf>
    <xf numFmtId="0" fontId="51" fillId="40" borderId="109" xfId="0" applyFont="1" applyFill="1" applyBorder="1" applyAlignment="1">
      <alignment horizontal="center" vertical="center" wrapText="1"/>
    </xf>
    <xf numFmtId="9" fontId="51" fillId="40" borderId="108" xfId="0" applyNumberFormat="1" applyFont="1" applyFill="1" applyBorder="1" applyAlignment="1">
      <alignment horizontal="center" vertical="center" wrapText="1"/>
    </xf>
    <xf numFmtId="0" fontId="51" fillId="40" borderId="108" xfId="0" applyFont="1" applyFill="1" applyBorder="1" applyAlignment="1">
      <alignment horizontal="left" vertical="center" wrapText="1"/>
    </xf>
    <xf numFmtId="9" fontId="52" fillId="40" borderId="108" xfId="0" applyNumberFormat="1" applyFont="1" applyFill="1" applyBorder="1" applyAlignment="1">
      <alignment horizontal="center" vertical="center" wrapText="1"/>
    </xf>
    <xf numFmtId="3" fontId="51" fillId="40" borderId="108" xfId="0" applyNumberFormat="1" applyFont="1" applyFill="1" applyBorder="1" applyAlignment="1">
      <alignment horizontal="center" vertical="center" wrapText="1"/>
    </xf>
    <xf numFmtId="3" fontId="51" fillId="40" borderId="115" xfId="0" applyNumberFormat="1" applyFont="1" applyFill="1" applyBorder="1" applyAlignment="1">
      <alignment horizontal="center" vertical="center" wrapText="1"/>
    </xf>
    <xf numFmtId="0" fontId="50" fillId="44" borderId="8" xfId="0" applyFont="1" applyFill="1" applyBorder="1" applyAlignment="1" applyProtection="1">
      <alignment horizontal="center" vertical="center" wrapText="1"/>
      <protection locked="0"/>
    </xf>
    <xf numFmtId="0" fontId="52" fillId="44" borderId="58" xfId="0" applyFont="1" applyFill="1" applyBorder="1" applyAlignment="1">
      <alignment vertical="center" wrapText="1"/>
    </xf>
    <xf numFmtId="0" fontId="51" fillId="44" borderId="8" xfId="0" applyFont="1" applyFill="1" applyBorder="1" applyAlignment="1">
      <alignment horizontal="center" vertical="center" wrapText="1"/>
    </xf>
    <xf numFmtId="0" fontId="49" fillId="44" borderId="8" xfId="0" applyFont="1" applyFill="1" applyBorder="1" applyAlignment="1" applyProtection="1">
      <alignment horizontal="center" vertical="center" wrapText="1"/>
      <protection locked="0"/>
    </xf>
    <xf numFmtId="0" fontId="51" fillId="44" borderId="8" xfId="0" applyFont="1" applyFill="1" applyBorder="1" applyAlignment="1">
      <alignment horizontal="center" vertical="center"/>
    </xf>
    <xf numFmtId="0" fontId="51" fillId="44" borderId="36" xfId="0" applyFont="1" applyFill="1" applyBorder="1" applyAlignment="1">
      <alignment horizontal="center" vertical="center" wrapText="1"/>
    </xf>
    <xf numFmtId="9" fontId="51" fillId="44" borderId="8" xfId="5" applyFont="1" applyFill="1" applyBorder="1" applyAlignment="1">
      <alignment horizontal="center"/>
    </xf>
    <xf numFmtId="0" fontId="61" fillId="44" borderId="8" xfId="0" applyFont="1" applyFill="1" applyBorder="1" applyAlignment="1">
      <alignment horizontal="center" vertical="center"/>
    </xf>
    <xf numFmtId="189" fontId="51" fillId="44" borderId="8" xfId="4" applyNumberFormat="1" applyFont="1" applyFill="1" applyBorder="1" applyAlignment="1">
      <alignment horizontal="center" vertical="center"/>
    </xf>
    <xf numFmtId="0" fontId="51" fillId="44" borderId="8" xfId="0" applyFont="1" applyFill="1" applyBorder="1"/>
    <xf numFmtId="0" fontId="51" fillId="44" borderId="9" xfId="0" applyFont="1" applyFill="1" applyBorder="1"/>
    <xf numFmtId="9" fontId="51" fillId="44" borderId="8" xfId="0" applyNumberFormat="1" applyFont="1" applyFill="1" applyBorder="1" applyAlignment="1">
      <alignment horizontal="center" vertical="center" wrapText="1"/>
    </xf>
    <xf numFmtId="9" fontId="52" fillId="44" borderId="8" xfId="0" applyNumberFormat="1" applyFont="1" applyFill="1" applyBorder="1" applyAlignment="1">
      <alignment horizontal="center" vertical="center" wrapText="1"/>
    </xf>
    <xf numFmtId="0" fontId="49" fillId="44" borderId="119" xfId="0" applyFont="1" applyFill="1" applyBorder="1" applyAlignment="1">
      <alignment horizontal="left" vertical="center" wrapText="1"/>
    </xf>
    <xf numFmtId="0" fontId="49" fillId="44" borderId="8" xfId="0" applyFont="1" applyFill="1" applyBorder="1" applyAlignment="1">
      <alignment horizontal="left" vertical="top" wrapText="1"/>
    </xf>
    <xf numFmtId="3" fontId="51" fillId="44" borderId="120" xfId="0" applyNumberFormat="1" applyFont="1" applyFill="1" applyBorder="1" applyAlignment="1">
      <alignment horizontal="center" vertical="center" wrapText="1"/>
    </xf>
    <xf numFmtId="3" fontId="51" fillId="44" borderId="119" xfId="0" applyNumberFormat="1" applyFont="1" applyFill="1" applyBorder="1" applyAlignment="1">
      <alignment horizontal="center" vertical="center" wrapText="1"/>
    </xf>
    <xf numFmtId="3" fontId="51" fillId="44" borderId="117" xfId="0" applyNumberFormat="1" applyFont="1" applyFill="1" applyBorder="1" applyAlignment="1">
      <alignment horizontal="center" vertical="center" wrapText="1"/>
    </xf>
    <xf numFmtId="3" fontId="51" fillId="44" borderId="118" xfId="0" applyNumberFormat="1" applyFont="1" applyFill="1" applyBorder="1" applyAlignment="1">
      <alignment horizontal="center" vertical="center" wrapText="1"/>
    </xf>
    <xf numFmtId="0" fontId="51" fillId="44" borderId="0" xfId="0" applyFont="1" applyFill="1"/>
    <xf numFmtId="0" fontId="50" fillId="44" borderId="102" xfId="0" applyFont="1" applyFill="1" applyBorder="1" applyAlignment="1" applyProtection="1">
      <alignment horizontal="center" vertical="center" wrapText="1"/>
      <protection locked="0"/>
    </xf>
    <xf numFmtId="0" fontId="52" fillId="44" borderId="102" xfId="0" applyFont="1" applyFill="1" applyBorder="1" applyAlignment="1">
      <alignment vertical="center" wrapText="1"/>
    </xf>
    <xf numFmtId="0" fontId="51" fillId="44" borderId="102" xfId="0" applyFont="1" applyFill="1" applyBorder="1" applyAlignment="1">
      <alignment horizontal="center" vertical="center" wrapText="1"/>
    </xf>
    <xf numFmtId="0" fontId="49" fillId="44" borderId="102" xfId="0" applyFont="1" applyFill="1" applyBorder="1" applyAlignment="1" applyProtection="1">
      <alignment horizontal="center" vertical="center" wrapText="1"/>
      <protection locked="0"/>
    </xf>
    <xf numFmtId="9" fontId="51" fillId="44" borderId="102" xfId="0" applyNumberFormat="1" applyFont="1" applyFill="1" applyBorder="1" applyAlignment="1">
      <alignment horizontal="center" vertical="center"/>
    </xf>
    <xf numFmtId="0" fontId="51" fillId="44" borderId="102" xfId="0" applyFont="1" applyFill="1" applyBorder="1" applyAlignment="1" applyProtection="1">
      <alignment horizontal="center" vertical="center" wrapText="1"/>
      <protection locked="0"/>
    </xf>
    <xf numFmtId="0" fontId="51" fillId="44" borderId="105" xfId="0" applyFont="1" applyFill="1" applyBorder="1" applyAlignment="1">
      <alignment horizontal="center" vertical="center" wrapText="1"/>
    </xf>
    <xf numFmtId="9" fontId="51" fillId="44" borderId="102" xfId="5" applyFont="1" applyFill="1" applyBorder="1" applyAlignment="1">
      <alignment horizontal="center" vertical="center" wrapText="1"/>
    </xf>
    <xf numFmtId="0" fontId="51" fillId="44" borderId="102" xfId="0" applyFont="1" applyFill="1" applyBorder="1" applyAlignment="1">
      <alignment horizontal="left" vertical="center" wrapText="1"/>
    </xf>
    <xf numFmtId="181" fontId="51" fillId="44" borderId="102" xfId="4" applyNumberFormat="1" applyFont="1" applyFill="1" applyBorder="1" applyAlignment="1">
      <alignment horizontal="center" vertical="center" wrapText="1"/>
    </xf>
    <xf numFmtId="9" fontId="51" fillId="44" borderId="71" xfId="0" applyNumberFormat="1" applyFont="1" applyFill="1" applyBorder="1" applyAlignment="1">
      <alignment horizontal="center" vertical="center" wrapText="1"/>
    </xf>
    <xf numFmtId="9" fontId="52" fillId="44" borderId="102" xfId="0" applyNumberFormat="1" applyFont="1" applyFill="1" applyBorder="1" applyAlignment="1">
      <alignment horizontal="center" vertical="center" wrapText="1"/>
    </xf>
    <xf numFmtId="0" fontId="49" fillId="44" borderId="75" xfId="0" applyFont="1" applyFill="1" applyBorder="1" applyAlignment="1">
      <alignment horizontal="left" vertical="top" wrapText="1"/>
    </xf>
    <xf numFmtId="0" fontId="49" fillId="44" borderId="102" xfId="0" applyFont="1" applyFill="1" applyBorder="1" applyAlignment="1">
      <alignment horizontal="left" vertical="center" wrapText="1"/>
    </xf>
    <xf numFmtId="0" fontId="49" fillId="44" borderId="71" xfId="0" applyFont="1" applyFill="1" applyBorder="1" applyAlignment="1">
      <alignment horizontal="center" vertical="center" wrapText="1"/>
    </xf>
    <xf numFmtId="3" fontId="51" fillId="44" borderId="72" xfId="4" applyNumberFormat="1" applyFont="1" applyFill="1" applyBorder="1" applyAlignment="1">
      <alignment horizontal="center" vertical="center" wrapText="1"/>
    </xf>
    <xf numFmtId="3" fontId="51" fillId="44" borderId="75" xfId="0" applyNumberFormat="1" applyFont="1" applyFill="1" applyBorder="1" applyAlignment="1">
      <alignment horizontal="center" vertical="center" wrapText="1"/>
    </xf>
    <xf numFmtId="3" fontId="51" fillId="44" borderId="71" xfId="0" applyNumberFormat="1" applyFont="1" applyFill="1" applyBorder="1" applyAlignment="1">
      <alignment horizontal="center" vertical="center" wrapText="1"/>
    </xf>
    <xf numFmtId="3" fontId="51" fillId="44" borderId="116" xfId="0" applyNumberFormat="1" applyFont="1" applyFill="1" applyBorder="1" applyAlignment="1">
      <alignment horizontal="center" vertical="center" wrapText="1"/>
    </xf>
    <xf numFmtId="193" fontId="51" fillId="44" borderId="102" xfId="7" applyNumberFormat="1" applyFont="1" applyFill="1" applyBorder="1" applyAlignment="1">
      <alignment horizontal="center" vertical="center" wrapText="1"/>
    </xf>
    <xf numFmtId="1" fontId="51" fillId="44" borderId="102" xfId="7" applyNumberFormat="1" applyFont="1" applyFill="1" applyBorder="1" applyAlignment="1">
      <alignment horizontal="center" vertical="center" wrapText="1"/>
    </xf>
    <xf numFmtId="9" fontId="51" fillId="44" borderId="102" xfId="0" applyNumberFormat="1" applyFont="1" applyFill="1" applyBorder="1" applyAlignment="1">
      <alignment horizontal="center" vertical="center" wrapText="1"/>
    </xf>
    <xf numFmtId="0" fontId="51" fillId="44" borderId="111" xfId="0" applyFont="1" applyFill="1" applyBorder="1" applyAlignment="1">
      <alignment horizontal="left" vertical="top" wrapText="1"/>
    </xf>
    <xf numFmtId="0" fontId="51" fillId="44" borderId="102" xfId="0" applyFont="1" applyFill="1" applyBorder="1" applyAlignment="1">
      <alignment horizontal="left" vertical="top" wrapText="1"/>
    </xf>
    <xf numFmtId="3" fontId="51" fillId="44" borderId="105" xfId="0" applyNumberFormat="1" applyFont="1" applyFill="1" applyBorder="1" applyAlignment="1">
      <alignment horizontal="center" vertical="top" wrapText="1"/>
    </xf>
    <xf numFmtId="3" fontId="51" fillId="44" borderId="111" xfId="0" applyNumberFormat="1" applyFont="1" applyFill="1" applyBorder="1" applyAlignment="1">
      <alignment horizontal="center" vertical="top"/>
    </xf>
    <xf numFmtId="3" fontId="51" fillId="44" borderId="102" xfId="0" applyNumberFormat="1" applyFont="1" applyFill="1" applyBorder="1" applyAlignment="1">
      <alignment horizontal="center" vertical="top"/>
    </xf>
    <xf numFmtId="3" fontId="51" fillId="44" borderId="102" xfId="0" applyNumberFormat="1" applyFont="1" applyFill="1" applyBorder="1" applyAlignment="1">
      <alignment vertical="top"/>
    </xf>
    <xf numFmtId="3" fontId="51" fillId="44" borderId="102" xfId="0" applyNumberFormat="1" applyFont="1" applyFill="1" applyBorder="1" applyAlignment="1">
      <alignment vertical="top" wrapText="1"/>
    </xf>
    <xf numFmtId="3" fontId="51" fillId="44" borderId="102" xfId="0" applyNumberFormat="1" applyFont="1" applyFill="1" applyBorder="1" applyAlignment="1">
      <alignment horizontal="center" vertical="top" wrapText="1"/>
    </xf>
    <xf numFmtId="3" fontId="51" fillId="44" borderId="94" xfId="0" applyNumberFormat="1" applyFont="1" applyFill="1" applyBorder="1" applyAlignment="1">
      <alignment vertical="top"/>
    </xf>
    <xf numFmtId="0" fontId="51" fillId="44" borderId="102" xfId="0" applyFont="1" applyFill="1" applyBorder="1" applyAlignment="1">
      <alignment horizontal="center" vertical="center"/>
    </xf>
    <xf numFmtId="0" fontId="51" fillId="44" borderId="102" xfId="0" applyFont="1" applyFill="1" applyBorder="1"/>
    <xf numFmtId="189" fontId="51" fillId="44" borderId="102" xfId="4" applyNumberFormat="1" applyFont="1" applyFill="1" applyBorder="1" applyAlignment="1">
      <alignment horizontal="center" vertical="center"/>
    </xf>
    <xf numFmtId="0" fontId="51" fillId="44" borderId="102" xfId="0" applyFont="1" applyFill="1" applyBorder="1" applyAlignment="1">
      <alignment vertical="center"/>
    </xf>
    <xf numFmtId="0" fontId="51" fillId="44" borderId="94" xfId="0" applyFont="1" applyFill="1" applyBorder="1"/>
    <xf numFmtId="0" fontId="49" fillId="44" borderId="102" xfId="0" applyFont="1" applyFill="1" applyBorder="1" applyAlignment="1">
      <alignment horizontal="left" vertical="top" wrapText="1"/>
    </xf>
    <xf numFmtId="0" fontId="51" fillId="44" borderId="108" xfId="0" applyFont="1" applyFill="1" applyBorder="1" applyAlignment="1">
      <alignment horizontal="center" vertical="center"/>
    </xf>
    <xf numFmtId="0" fontId="52" fillId="44" borderId="0" xfId="0" applyFont="1" applyFill="1" applyBorder="1" applyAlignment="1">
      <alignment vertical="top" wrapText="1"/>
    </xf>
    <xf numFmtId="0" fontId="49" fillId="44" borderId="102" xfId="0" applyFont="1" applyFill="1" applyBorder="1" applyAlignment="1" applyProtection="1">
      <alignment horizontal="center" vertical="top" wrapText="1"/>
      <protection locked="0"/>
    </xf>
    <xf numFmtId="0" fontId="51" fillId="44" borderId="0" xfId="0" applyFont="1" applyFill="1" applyBorder="1" applyAlignment="1">
      <alignment horizontal="center" vertical="center" wrapText="1"/>
    </xf>
    <xf numFmtId="3" fontId="51" fillId="44" borderId="111" xfId="4" applyNumberFormat="1" applyFont="1" applyFill="1" applyBorder="1" applyAlignment="1">
      <alignment horizontal="center" vertical="top"/>
    </xf>
    <xf numFmtId="3" fontId="51" fillId="44" borderId="94" xfId="0" applyNumberFormat="1" applyFont="1" applyFill="1" applyBorder="1" applyAlignment="1">
      <alignment horizontal="center" vertical="top"/>
    </xf>
    <xf numFmtId="3" fontId="49" fillId="44" borderId="104" xfId="0" applyNumberFormat="1" applyFont="1" applyFill="1" applyBorder="1" applyAlignment="1">
      <alignment horizontal="center" vertical="top"/>
    </xf>
    <xf numFmtId="3" fontId="49" fillId="44" borderId="111" xfId="0" applyNumberFormat="1" applyFont="1" applyFill="1" applyBorder="1" applyAlignment="1">
      <alignment horizontal="center" vertical="top"/>
    </xf>
    <xf numFmtId="3" fontId="51" fillId="44" borderId="102" xfId="0" applyNumberFormat="1" applyFont="1" applyFill="1" applyBorder="1" applyAlignment="1">
      <alignment horizontal="left" vertical="top" wrapText="1"/>
    </xf>
    <xf numFmtId="0" fontId="49" fillId="44" borderId="111" xfId="0" applyFont="1" applyFill="1" applyBorder="1" applyAlignment="1">
      <alignment horizontal="left" vertical="top" wrapText="1"/>
    </xf>
    <xf numFmtId="3" fontId="51" fillId="44" borderId="94" xfId="0" applyNumberFormat="1" applyFont="1" applyFill="1" applyBorder="1" applyAlignment="1">
      <alignment vertical="top" wrapText="1"/>
    </xf>
    <xf numFmtId="0" fontId="51" fillId="44" borderId="102" xfId="0" applyFont="1" applyFill="1" applyBorder="1" applyAlignment="1">
      <alignment horizontal="center" vertical="top"/>
    </xf>
    <xf numFmtId="1" fontId="51" fillId="44" borderId="102" xfId="4" applyNumberFormat="1" applyFont="1" applyFill="1" applyBorder="1" applyAlignment="1">
      <alignment horizontal="center" vertical="center"/>
    </xf>
    <xf numFmtId="9" fontId="51" fillId="44" borderId="102" xfId="0" applyNumberFormat="1" applyFont="1" applyFill="1" applyBorder="1" applyAlignment="1">
      <alignment horizontal="center" vertical="top" wrapText="1"/>
    </xf>
    <xf numFmtId="0" fontId="51" fillId="44" borderId="0" xfId="0" applyFont="1" applyFill="1" applyBorder="1"/>
    <xf numFmtId="3" fontId="51" fillId="44" borderId="32" xfId="0" applyNumberFormat="1" applyFont="1" applyFill="1" applyBorder="1" applyAlignment="1">
      <alignment horizontal="center" vertical="top"/>
    </xf>
    <xf numFmtId="9" fontId="51" fillId="44" borderId="102" xfId="0" applyNumberFormat="1" applyFont="1" applyFill="1" applyBorder="1"/>
    <xf numFmtId="0" fontId="51" fillId="44" borderId="102" xfId="0" applyFont="1" applyFill="1" applyBorder="1" applyAlignment="1">
      <alignment wrapText="1"/>
    </xf>
    <xf numFmtId="9" fontId="51" fillId="44" borderId="111" xfId="0" applyNumberFormat="1" applyFont="1" applyFill="1" applyBorder="1" applyAlignment="1">
      <alignment horizontal="left" vertical="top" wrapText="1"/>
    </xf>
    <xf numFmtId="3" fontId="49" fillId="44" borderId="104" xfId="0" applyNumberFormat="1" applyFont="1" applyFill="1" applyBorder="1" applyAlignment="1">
      <alignment horizontal="center" vertical="center"/>
    </xf>
    <xf numFmtId="3" fontId="49" fillId="44" borderId="111" xfId="0" applyNumberFormat="1" applyFont="1" applyFill="1" applyBorder="1" applyAlignment="1">
      <alignment horizontal="center" vertical="center"/>
    </xf>
    <xf numFmtId="3" fontId="51" fillId="44" borderId="102" xfId="4" applyNumberFormat="1" applyFont="1" applyFill="1" applyBorder="1" applyAlignment="1">
      <alignment horizontal="center" vertical="top"/>
    </xf>
    <xf numFmtId="9" fontId="51" fillId="44" borderId="30" xfId="5" applyFont="1" applyFill="1" applyBorder="1" applyAlignment="1">
      <alignment horizontal="center" vertical="center"/>
    </xf>
    <xf numFmtId="0" fontId="51" fillId="44" borderId="30" xfId="0" applyFont="1" applyFill="1" applyBorder="1" applyAlignment="1">
      <alignment horizontal="center" vertical="center"/>
    </xf>
    <xf numFmtId="0" fontId="51" fillId="44" borderId="30" xfId="0" applyFont="1" applyFill="1" applyBorder="1"/>
    <xf numFmtId="0" fontId="51" fillId="44" borderId="31" xfId="0" applyFont="1" applyFill="1" applyBorder="1"/>
    <xf numFmtId="3" fontId="51" fillId="44" borderId="102" xfId="0" applyNumberFormat="1" applyFont="1" applyFill="1" applyBorder="1" applyAlignment="1">
      <alignment horizontal="center" vertical="center"/>
    </xf>
    <xf numFmtId="3" fontId="51" fillId="44" borderId="102" xfId="0" applyNumberFormat="1" applyFont="1" applyFill="1" applyBorder="1" applyAlignment="1">
      <alignment wrapText="1"/>
    </xf>
    <xf numFmtId="3" fontId="51" fillId="44" borderId="94" xfId="0" applyNumberFormat="1" applyFont="1" applyFill="1" applyBorder="1" applyAlignment="1">
      <alignment wrapText="1"/>
    </xf>
    <xf numFmtId="10" fontId="49" fillId="44" borderId="102" xfId="0" applyNumberFormat="1" applyFont="1" applyFill="1" applyBorder="1" applyAlignment="1" applyProtection="1">
      <alignment horizontal="center" vertical="center" wrapText="1"/>
      <protection locked="0"/>
    </xf>
    <xf numFmtId="0" fontId="51" fillId="44" borderId="10" xfId="0" applyFont="1" applyFill="1" applyBorder="1" applyAlignment="1">
      <alignment horizontal="center" vertical="center" wrapText="1"/>
    </xf>
    <xf numFmtId="0" fontId="51" fillId="44" borderId="32" xfId="0" applyFont="1" applyFill="1" applyBorder="1" applyAlignment="1">
      <alignment horizontal="center" vertical="center"/>
    </xf>
    <xf numFmtId="0" fontId="51" fillId="44" borderId="32" xfId="0" applyFont="1" applyFill="1" applyBorder="1"/>
    <xf numFmtId="0" fontId="51" fillId="44" borderId="52" xfId="0" applyFont="1" applyFill="1" applyBorder="1"/>
    <xf numFmtId="0" fontId="50" fillId="44" borderId="30" xfId="0" applyFont="1" applyFill="1" applyBorder="1" applyAlignment="1" applyProtection="1">
      <alignment horizontal="center" vertical="center" wrapText="1"/>
      <protection locked="0"/>
    </xf>
    <xf numFmtId="0" fontId="49" fillId="44" borderId="30" xfId="0" applyFont="1" applyFill="1" applyBorder="1" applyAlignment="1" applyProtection="1">
      <alignment horizontal="center" vertical="center" wrapText="1"/>
      <protection locked="0"/>
    </xf>
    <xf numFmtId="0" fontId="51" fillId="44" borderId="112" xfId="0" applyFont="1" applyFill="1" applyBorder="1" applyAlignment="1">
      <alignment horizontal="center" vertical="center" wrapText="1"/>
    </xf>
    <xf numFmtId="0" fontId="51" fillId="44" borderId="66" xfId="0" applyFont="1" applyFill="1" applyBorder="1" applyAlignment="1">
      <alignment horizontal="center" vertical="center" wrapText="1"/>
    </xf>
    <xf numFmtId="9" fontId="51" fillId="44" borderId="30" xfId="0" applyNumberFormat="1" applyFont="1" applyFill="1" applyBorder="1" applyAlignment="1">
      <alignment horizontal="center" vertical="center" wrapText="1"/>
    </xf>
    <xf numFmtId="9" fontId="52" fillId="44" borderId="30" xfId="0" applyNumberFormat="1" applyFont="1" applyFill="1" applyBorder="1" applyAlignment="1">
      <alignment horizontal="center" vertical="center" wrapText="1"/>
    </xf>
    <xf numFmtId="0" fontId="51" fillId="44" borderId="53" xfId="0" applyFont="1" applyFill="1" applyBorder="1" applyAlignment="1">
      <alignment horizontal="left" vertical="top" wrapText="1"/>
    </xf>
    <xf numFmtId="0" fontId="51" fillId="44" borderId="30" xfId="0" applyFont="1" applyFill="1" applyBorder="1" applyAlignment="1">
      <alignment horizontal="left" vertical="center" wrapText="1"/>
    </xf>
    <xf numFmtId="3" fontId="51" fillId="44" borderId="66" xfId="0" applyNumberFormat="1" applyFont="1" applyFill="1" applyBorder="1" applyAlignment="1">
      <alignment horizontal="center" vertical="center"/>
    </xf>
    <xf numFmtId="3" fontId="51" fillId="44" borderId="53" xfId="0" applyNumberFormat="1" applyFont="1" applyFill="1" applyBorder="1" applyAlignment="1">
      <alignment horizontal="center" vertical="center"/>
    </xf>
    <xf numFmtId="3" fontId="51" fillId="44" borderId="30" xfId="0" applyNumberFormat="1" applyFont="1" applyFill="1" applyBorder="1" applyAlignment="1">
      <alignment horizontal="center" vertical="center"/>
    </xf>
    <xf numFmtId="3" fontId="51" fillId="44" borderId="30" xfId="0" applyNumberFormat="1" applyFont="1" applyFill="1" applyBorder="1"/>
    <xf numFmtId="3" fontId="51" fillId="44" borderId="31" xfId="0" applyNumberFormat="1" applyFont="1" applyFill="1" applyBorder="1" applyAlignment="1">
      <alignment horizontal="center" vertical="center"/>
    </xf>
    <xf numFmtId="0" fontId="48" fillId="7" borderId="8" xfId="0" applyFont="1" applyFill="1" applyBorder="1" applyAlignment="1" applyProtection="1">
      <alignment horizontal="center" vertical="center" wrapText="1"/>
      <protection locked="0"/>
    </xf>
    <xf numFmtId="0" fontId="50" fillId="7" borderId="8" xfId="0" applyFont="1" applyFill="1" applyBorder="1" applyAlignment="1" applyProtection="1">
      <alignment horizontal="center" vertical="center" wrapText="1"/>
      <protection locked="0"/>
    </xf>
    <xf numFmtId="0" fontId="49" fillId="7" borderId="8" xfId="0" applyFont="1" applyFill="1" applyBorder="1" applyAlignment="1" applyProtection="1">
      <alignment horizontal="center" vertical="center" wrapText="1"/>
      <protection locked="0"/>
    </xf>
    <xf numFmtId="0" fontId="51" fillId="7" borderId="8" xfId="0" applyFont="1" applyFill="1" applyBorder="1" applyAlignment="1">
      <alignment horizontal="center" vertical="center" wrapText="1"/>
    </xf>
    <xf numFmtId="0" fontId="51" fillId="7" borderId="36" xfId="0" applyFont="1" applyFill="1" applyBorder="1" applyAlignment="1">
      <alignment horizontal="center" vertical="center" wrapText="1"/>
    </xf>
    <xf numFmtId="9" fontId="51" fillId="7" borderId="8" xfId="0" applyNumberFormat="1" applyFont="1" applyFill="1" applyBorder="1" applyAlignment="1">
      <alignment horizontal="center" vertical="center"/>
    </xf>
    <xf numFmtId="0" fontId="51" fillId="7" borderId="8" xfId="0" applyFont="1" applyFill="1" applyBorder="1"/>
    <xf numFmtId="189" fontId="51" fillId="7" borderId="8" xfId="4" applyNumberFormat="1" applyFont="1" applyFill="1" applyBorder="1" applyAlignment="1">
      <alignment horizontal="center" vertical="center"/>
    </xf>
    <xf numFmtId="0" fontId="51" fillId="7" borderId="8" xfId="0" applyFont="1" applyFill="1" applyBorder="1" applyAlignment="1">
      <alignment horizontal="center" vertical="center"/>
    </xf>
    <xf numFmtId="0" fontId="51" fillId="7" borderId="9" xfId="0" applyFont="1" applyFill="1" applyBorder="1"/>
    <xf numFmtId="9" fontId="51" fillId="7" borderId="8" xfId="0" applyNumberFormat="1" applyFont="1" applyFill="1" applyBorder="1" applyAlignment="1">
      <alignment horizontal="center" vertical="center" wrapText="1"/>
    </xf>
    <xf numFmtId="9" fontId="52" fillId="7" borderId="8" xfId="0" applyNumberFormat="1" applyFont="1" applyFill="1" applyBorder="1" applyAlignment="1">
      <alignment horizontal="center" vertical="center" wrapText="1"/>
    </xf>
    <xf numFmtId="0" fontId="51" fillId="7" borderId="8" xfId="0" applyFont="1" applyFill="1" applyBorder="1" applyAlignment="1">
      <alignment horizontal="left" vertical="top" wrapText="1"/>
    </xf>
    <xf numFmtId="189" fontId="49" fillId="7" borderId="19" xfId="0" applyNumberFormat="1" applyFont="1" applyFill="1" applyBorder="1" applyAlignment="1">
      <alignment vertical="top" wrapText="1"/>
    </xf>
    <xf numFmtId="3" fontId="49" fillId="7" borderId="19" xfId="0" applyNumberFormat="1" applyFont="1" applyFill="1" applyBorder="1" applyAlignment="1">
      <alignment horizontal="center" vertical="top"/>
    </xf>
    <xf numFmtId="3" fontId="51" fillId="7" borderId="8" xfId="0" applyNumberFormat="1" applyFont="1" applyFill="1" applyBorder="1" applyAlignment="1">
      <alignment horizontal="center" vertical="top"/>
    </xf>
    <xf numFmtId="3" fontId="51" fillId="7" borderId="8" xfId="0" applyNumberFormat="1" applyFont="1" applyFill="1" applyBorder="1" applyAlignment="1">
      <alignment vertical="top" wrapText="1"/>
    </xf>
    <xf numFmtId="3" fontId="51" fillId="7" borderId="8" xfId="0" applyNumberFormat="1" applyFont="1" applyFill="1" applyBorder="1" applyAlignment="1">
      <alignment vertical="top"/>
    </xf>
    <xf numFmtId="3" fontId="51" fillId="7" borderId="9" xfId="0" applyNumberFormat="1" applyFont="1" applyFill="1" applyBorder="1" applyAlignment="1">
      <alignment vertical="top" wrapText="1"/>
    </xf>
    <xf numFmtId="0" fontId="51" fillId="7" borderId="0" xfId="0" applyFont="1" applyFill="1"/>
    <xf numFmtId="0" fontId="48" fillId="7" borderId="30" xfId="0" applyFont="1" applyFill="1" applyBorder="1" applyAlignment="1" applyProtection="1">
      <alignment horizontal="center" vertical="center" wrapText="1"/>
      <protection locked="0"/>
    </xf>
    <xf numFmtId="0" fontId="50" fillId="7" borderId="30" xfId="0" applyFont="1" applyFill="1" applyBorder="1" applyAlignment="1" applyProtection="1">
      <alignment horizontal="center" vertical="center" wrapText="1"/>
      <protection locked="0"/>
    </xf>
    <xf numFmtId="0" fontId="49" fillId="7" borderId="30" xfId="0" applyFont="1" applyFill="1" applyBorder="1" applyAlignment="1" applyProtection="1">
      <alignment horizontal="center" vertical="center" wrapText="1"/>
      <protection locked="0"/>
    </xf>
    <xf numFmtId="0" fontId="51" fillId="7" borderId="56" xfId="0" applyFont="1" applyFill="1" applyBorder="1" applyAlignment="1">
      <alignment horizontal="center" vertical="center" wrapText="1"/>
    </xf>
    <xf numFmtId="0" fontId="51" fillId="7" borderId="30" xfId="0" applyFont="1" applyFill="1" applyBorder="1" applyAlignment="1">
      <alignment horizontal="center" vertical="center" wrapText="1"/>
    </xf>
    <xf numFmtId="0" fontId="51" fillId="7" borderId="66" xfId="0" applyFont="1" applyFill="1" applyBorder="1" applyAlignment="1">
      <alignment horizontal="center" vertical="center" wrapText="1"/>
    </xf>
    <xf numFmtId="9" fontId="51" fillId="7" borderId="30" xfId="0" applyNumberFormat="1" applyFont="1" applyFill="1" applyBorder="1" applyAlignment="1">
      <alignment horizontal="center" vertical="center"/>
    </xf>
    <xf numFmtId="0" fontId="51" fillId="7" borderId="37" xfId="0" applyFont="1" applyFill="1" applyBorder="1" applyAlignment="1">
      <alignment horizontal="center" vertical="center" wrapText="1"/>
    </xf>
    <xf numFmtId="0" fontId="51" fillId="7" borderId="30" xfId="0" applyFont="1" applyFill="1" applyBorder="1"/>
    <xf numFmtId="189" fontId="51" fillId="7" borderId="30" xfId="4" applyNumberFormat="1" applyFont="1" applyFill="1" applyBorder="1" applyAlignment="1">
      <alignment horizontal="center" vertical="center"/>
    </xf>
    <xf numFmtId="0" fontId="51" fillId="7" borderId="31" xfId="0" applyFont="1" applyFill="1" applyBorder="1"/>
    <xf numFmtId="9" fontId="51" fillId="7" borderId="30" xfId="0" applyNumberFormat="1" applyFont="1" applyFill="1" applyBorder="1" applyAlignment="1">
      <alignment horizontal="center" vertical="center" wrapText="1"/>
    </xf>
    <xf numFmtId="9" fontId="52" fillId="7" borderId="30" xfId="0" applyNumberFormat="1" applyFont="1" applyFill="1" applyBorder="1" applyAlignment="1">
      <alignment horizontal="center" vertical="center" wrapText="1"/>
    </xf>
    <xf numFmtId="0" fontId="51" fillId="7" borderId="30" xfId="0" applyFont="1" applyFill="1" applyBorder="1" applyAlignment="1">
      <alignment horizontal="left" vertical="center" wrapText="1"/>
    </xf>
    <xf numFmtId="0" fontId="51" fillId="7" borderId="30" xfId="0" applyFont="1" applyFill="1" applyBorder="1" applyAlignment="1">
      <alignment wrapText="1"/>
    </xf>
    <xf numFmtId="3" fontId="51" fillId="7" borderId="30" xfId="0" applyNumberFormat="1" applyFont="1" applyFill="1" applyBorder="1" applyAlignment="1">
      <alignment wrapText="1"/>
    </xf>
    <xf numFmtId="3" fontId="51" fillId="7" borderId="31" xfId="0" applyNumberFormat="1" applyFont="1" applyFill="1" applyBorder="1" applyAlignment="1">
      <alignment wrapText="1"/>
    </xf>
    <xf numFmtId="0" fontId="50" fillId="51" borderId="32" xfId="0" applyFont="1" applyFill="1" applyBorder="1" applyAlignment="1" applyProtection="1">
      <alignment horizontal="center" vertical="center" wrapText="1"/>
      <protection locked="0"/>
    </xf>
    <xf numFmtId="0" fontId="49" fillId="51" borderId="32" xfId="0" applyFont="1" applyFill="1" applyBorder="1" applyAlignment="1" applyProtection="1">
      <alignment horizontal="center" vertical="center" wrapText="1"/>
      <protection locked="0"/>
    </xf>
    <xf numFmtId="0" fontId="51" fillId="51" borderId="32" xfId="0" applyFont="1" applyFill="1" applyBorder="1" applyAlignment="1">
      <alignment horizontal="center" vertical="center" wrapText="1"/>
    </xf>
    <xf numFmtId="0" fontId="51" fillId="51" borderId="38" xfId="0" applyFont="1" applyFill="1" applyBorder="1" applyAlignment="1">
      <alignment horizontal="center" vertical="center" wrapText="1"/>
    </xf>
    <xf numFmtId="9" fontId="51" fillId="51" borderId="32" xfId="0" applyNumberFormat="1" applyFont="1" applyFill="1" applyBorder="1" applyAlignment="1">
      <alignment horizontal="center" vertical="center"/>
    </xf>
    <xf numFmtId="0" fontId="51" fillId="51" borderId="32" xfId="0" applyFont="1" applyFill="1" applyBorder="1"/>
    <xf numFmtId="189" fontId="51" fillId="51" borderId="32" xfId="4" applyNumberFormat="1" applyFont="1" applyFill="1" applyBorder="1" applyAlignment="1">
      <alignment horizontal="center" vertical="center"/>
    </xf>
    <xf numFmtId="0" fontId="51" fillId="51" borderId="52" xfId="0" applyFont="1" applyFill="1" applyBorder="1"/>
    <xf numFmtId="9" fontId="51" fillId="51" borderId="32" xfId="0" applyNumberFormat="1" applyFont="1" applyFill="1" applyBorder="1" applyAlignment="1">
      <alignment horizontal="center" vertical="center" wrapText="1"/>
    </xf>
    <xf numFmtId="9" fontId="52" fillId="51" borderId="32" xfId="0" applyNumberFormat="1" applyFont="1" applyFill="1" applyBorder="1" applyAlignment="1">
      <alignment horizontal="center" vertical="center" wrapText="1"/>
    </xf>
    <xf numFmtId="0" fontId="51" fillId="51" borderId="32" xfId="0" applyFont="1" applyFill="1" applyBorder="1" applyAlignment="1">
      <alignment horizontal="left" wrapText="1"/>
    </xf>
    <xf numFmtId="3" fontId="49" fillId="51" borderId="54" xfId="0" applyNumberFormat="1" applyFont="1" applyFill="1" applyBorder="1" applyAlignment="1">
      <alignment horizontal="center" vertical="center"/>
    </xf>
    <xf numFmtId="3" fontId="51" fillId="51" borderId="32" xfId="0" applyNumberFormat="1" applyFont="1" applyFill="1" applyBorder="1" applyAlignment="1">
      <alignment horizontal="center" vertical="top"/>
    </xf>
    <xf numFmtId="3" fontId="49" fillId="51" borderId="54" xfId="0" applyNumberFormat="1" applyFont="1" applyFill="1" applyBorder="1" applyAlignment="1">
      <alignment horizontal="center" vertical="center" wrapText="1"/>
    </xf>
    <xf numFmtId="3" fontId="51" fillId="51" borderId="32" xfId="0" applyNumberFormat="1" applyFont="1" applyFill="1" applyBorder="1" applyAlignment="1">
      <alignment horizontal="center" vertical="top" wrapText="1"/>
    </xf>
    <xf numFmtId="3" fontId="51" fillId="51" borderId="32" xfId="0" applyNumberFormat="1" applyFont="1" applyFill="1" applyBorder="1" applyAlignment="1">
      <alignment horizontal="center" vertical="center"/>
    </xf>
    <xf numFmtId="3" fontId="51" fillId="51" borderId="32" xfId="0" applyNumberFormat="1" applyFont="1" applyFill="1" applyBorder="1"/>
    <xf numFmtId="3" fontId="51" fillId="51" borderId="32" xfId="0" applyNumberFormat="1" applyFont="1" applyFill="1" applyBorder="1" applyAlignment="1">
      <alignment wrapText="1"/>
    </xf>
    <xf numFmtId="3" fontId="51" fillId="51" borderId="52" xfId="0" applyNumberFormat="1" applyFont="1" applyFill="1" applyBorder="1" applyAlignment="1">
      <alignment horizontal="center" vertical="center"/>
    </xf>
    <xf numFmtId="0" fontId="51" fillId="51" borderId="0" xfId="0" applyFont="1" applyFill="1"/>
    <xf numFmtId="0" fontId="50" fillId="51" borderId="102" xfId="0" applyFont="1" applyFill="1" applyBorder="1" applyAlignment="1" applyProtection="1">
      <alignment horizontal="center" vertical="center" wrapText="1"/>
      <protection locked="0"/>
    </xf>
    <xf numFmtId="0" fontId="52" fillId="51" borderId="102" xfId="0" applyFont="1" applyFill="1" applyBorder="1" applyAlignment="1" applyProtection="1">
      <alignment horizontal="center" vertical="center" wrapText="1"/>
      <protection locked="0"/>
    </xf>
    <xf numFmtId="10" fontId="51" fillId="51" borderId="102" xfId="0" applyNumberFormat="1" applyFont="1" applyFill="1" applyBorder="1" applyAlignment="1" applyProtection="1">
      <alignment horizontal="center" vertical="center" wrapText="1"/>
      <protection locked="0"/>
    </xf>
    <xf numFmtId="0" fontId="51" fillId="51" borderId="102" xfId="0" applyFont="1" applyFill="1" applyBorder="1" applyAlignment="1">
      <alignment horizontal="center" vertical="center" wrapText="1"/>
    </xf>
    <xf numFmtId="0" fontId="51" fillId="51" borderId="105" xfId="0" applyFont="1" applyFill="1" applyBorder="1" applyAlignment="1">
      <alignment horizontal="center" vertical="center" wrapText="1"/>
    </xf>
    <xf numFmtId="9" fontId="51" fillId="51" borderId="102" xfId="5" applyFont="1" applyFill="1" applyBorder="1" applyAlignment="1">
      <alignment horizontal="center" vertical="center"/>
    </xf>
    <xf numFmtId="0" fontId="51" fillId="51" borderId="102" xfId="0" applyFont="1" applyFill="1" applyBorder="1" applyAlignment="1">
      <alignment horizontal="center" vertical="center"/>
    </xf>
    <xf numFmtId="0" fontId="61" fillId="51" borderId="102" xfId="0" applyFont="1" applyFill="1" applyBorder="1" applyAlignment="1">
      <alignment horizontal="center" vertical="center"/>
    </xf>
    <xf numFmtId="189" fontId="51" fillId="51" borderId="102" xfId="4" applyNumberFormat="1" applyFont="1" applyFill="1" applyBorder="1" applyAlignment="1">
      <alignment horizontal="center" vertical="center"/>
    </xf>
    <xf numFmtId="0" fontId="51" fillId="51" borderId="102" xfId="0" applyFont="1" applyFill="1" applyBorder="1"/>
    <xf numFmtId="0" fontId="51" fillId="51" borderId="94" xfId="0" applyFont="1" applyFill="1" applyBorder="1"/>
    <xf numFmtId="9" fontId="51" fillId="51" borderId="102" xfId="0" applyNumberFormat="1" applyFont="1" applyFill="1" applyBorder="1" applyAlignment="1">
      <alignment horizontal="center" vertical="center" wrapText="1"/>
    </xf>
    <xf numFmtId="9" fontId="52" fillId="51" borderId="102" xfId="0" applyNumberFormat="1" applyFont="1" applyFill="1" applyBorder="1" applyAlignment="1">
      <alignment horizontal="center" vertical="center" wrapText="1"/>
    </xf>
    <xf numFmtId="0" fontId="51" fillId="51" borderId="102" xfId="0" applyFont="1" applyFill="1" applyBorder="1" applyAlignment="1">
      <alignment horizontal="left" vertical="top" wrapText="1"/>
    </xf>
    <xf numFmtId="189" fontId="49" fillId="51" borderId="111" xfId="0" applyNumberFormat="1" applyFont="1" applyFill="1" applyBorder="1" applyAlignment="1">
      <alignment vertical="top" wrapText="1"/>
    </xf>
    <xf numFmtId="3" fontId="49" fillId="51" borderId="111" xfId="0" applyNumberFormat="1" applyFont="1" applyFill="1" applyBorder="1" applyAlignment="1">
      <alignment horizontal="center" vertical="center"/>
    </xf>
    <xf numFmtId="3" fontId="51" fillId="51" borderId="102" xfId="0" applyNumberFormat="1" applyFont="1" applyFill="1" applyBorder="1" applyAlignment="1">
      <alignment wrapText="1"/>
    </xf>
    <xf numFmtId="3" fontId="51" fillId="51" borderId="0" xfId="0" applyNumberFormat="1" applyFont="1" applyFill="1" applyBorder="1" applyAlignment="1">
      <alignment wrapText="1"/>
    </xf>
    <xf numFmtId="3" fontId="51" fillId="51" borderId="102" xfId="0" applyNumberFormat="1" applyFont="1" applyFill="1" applyBorder="1" applyAlignment="1">
      <alignment horizontal="center" vertical="center"/>
    </xf>
    <xf numFmtId="3" fontId="51" fillId="51" borderId="102" xfId="0" applyNumberFormat="1" applyFont="1" applyFill="1" applyBorder="1"/>
    <xf numFmtId="3" fontId="51" fillId="51" borderId="94" xfId="0" applyNumberFormat="1" applyFont="1" applyFill="1" applyBorder="1" applyAlignment="1">
      <alignment wrapText="1"/>
    </xf>
    <xf numFmtId="189" fontId="51" fillId="51" borderId="102" xfId="0" applyNumberFormat="1" applyFont="1" applyFill="1" applyBorder="1" applyAlignment="1">
      <alignment horizontal="center" vertical="center"/>
    </xf>
    <xf numFmtId="0" fontId="51" fillId="51" borderId="102" xfId="0" applyFont="1" applyFill="1" applyBorder="1" applyAlignment="1">
      <alignment vertical="center" wrapText="1"/>
    </xf>
    <xf numFmtId="189" fontId="49" fillId="51" borderId="111" xfId="0" applyNumberFormat="1" applyFont="1" applyFill="1" applyBorder="1" applyAlignment="1">
      <alignment horizontal="center" vertical="center"/>
    </xf>
    <xf numFmtId="3" fontId="49" fillId="51" borderId="111" xfId="0" applyNumberFormat="1" applyFont="1" applyFill="1" applyBorder="1" applyAlignment="1">
      <alignment horizontal="center" vertical="center" wrapText="1"/>
    </xf>
    <xf numFmtId="3" fontId="51" fillId="51" borderId="94" xfId="0" applyNumberFormat="1" applyFont="1" applyFill="1" applyBorder="1"/>
    <xf numFmtId="9" fontId="51" fillId="51" borderId="102" xfId="0" applyNumberFormat="1" applyFont="1" applyFill="1" applyBorder="1" applyAlignment="1">
      <alignment wrapText="1"/>
    </xf>
    <xf numFmtId="0" fontId="51" fillId="51" borderId="102" xfId="0" applyFont="1" applyFill="1" applyBorder="1" applyAlignment="1">
      <alignment wrapText="1"/>
    </xf>
    <xf numFmtId="0" fontId="51" fillId="51" borderId="102" xfId="0" applyFont="1" applyFill="1" applyBorder="1" applyAlignment="1">
      <alignment horizontal="left" wrapText="1"/>
    </xf>
    <xf numFmtId="0" fontId="51" fillId="51" borderId="102" xfId="0" applyFont="1" applyFill="1" applyBorder="1" applyAlignment="1">
      <alignment horizontal="left" vertical="center" wrapText="1"/>
    </xf>
    <xf numFmtId="0" fontId="48" fillId="51" borderId="102" xfId="0" applyFont="1" applyFill="1" applyBorder="1" applyAlignment="1" applyProtection="1">
      <alignment horizontal="center" vertical="center" wrapText="1"/>
      <protection locked="0"/>
    </xf>
    <xf numFmtId="3" fontId="51" fillId="51" borderId="102" xfId="0" applyNumberFormat="1" applyFont="1" applyFill="1" applyBorder="1" applyAlignment="1">
      <alignment horizontal="center" vertical="center" wrapText="1"/>
    </xf>
    <xf numFmtId="0" fontId="51" fillId="51" borderId="102" xfId="0" applyFont="1" applyFill="1" applyBorder="1" applyAlignment="1" applyProtection="1">
      <alignment horizontal="center" vertical="center" wrapText="1"/>
      <protection locked="0"/>
    </xf>
    <xf numFmtId="0" fontId="51" fillId="51" borderId="30" xfId="0" applyFont="1" applyFill="1" applyBorder="1" applyAlignment="1">
      <alignment horizontal="center" vertical="center"/>
    </xf>
    <xf numFmtId="0" fontId="51" fillId="51" borderId="30" xfId="0" applyFont="1" applyFill="1" applyBorder="1" applyAlignment="1">
      <alignment horizontal="center" vertical="center" wrapText="1"/>
    </xf>
    <xf numFmtId="0" fontId="51" fillId="51" borderId="30" xfId="0" applyFont="1" applyFill="1" applyBorder="1"/>
    <xf numFmtId="189" fontId="51" fillId="51" borderId="30" xfId="4" applyNumberFormat="1" applyFont="1" applyFill="1" applyBorder="1" applyAlignment="1">
      <alignment horizontal="center" vertical="center"/>
    </xf>
    <xf numFmtId="0" fontId="51" fillId="51" borderId="31" xfId="0" applyFont="1" applyFill="1" applyBorder="1"/>
    <xf numFmtId="0" fontId="0" fillId="51" borderId="124" xfId="0" applyFill="1" applyBorder="1" applyAlignment="1">
      <alignment wrapText="1"/>
    </xf>
    <xf numFmtId="0" fontId="51" fillId="51" borderId="56" xfId="0" applyFont="1" applyFill="1" applyBorder="1" applyAlignment="1">
      <alignment horizontal="center" vertical="center" wrapText="1"/>
    </xf>
    <xf numFmtId="0" fontId="51" fillId="51" borderId="56" xfId="0" applyFont="1" applyFill="1" applyBorder="1"/>
    <xf numFmtId="189" fontId="51" fillId="51" borderId="56" xfId="4" applyNumberFormat="1" applyFont="1" applyFill="1" applyBorder="1" applyAlignment="1">
      <alignment horizontal="center" vertical="center"/>
    </xf>
    <xf numFmtId="0" fontId="51" fillId="51" borderId="57" xfId="0" applyFont="1" applyFill="1" applyBorder="1"/>
    <xf numFmtId="0" fontId="48" fillId="51" borderId="30" xfId="0" applyFont="1" applyFill="1" applyBorder="1" applyAlignment="1" applyProtection="1">
      <alignment horizontal="center" vertical="center" wrapText="1"/>
      <protection locked="0"/>
    </xf>
    <xf numFmtId="0" fontId="51" fillId="51" borderId="112" xfId="0" applyFont="1" applyFill="1" applyBorder="1" applyAlignment="1">
      <alignment horizontal="center" vertical="center" wrapText="1"/>
    </xf>
    <xf numFmtId="0" fontId="49" fillId="51" borderId="37" xfId="0" applyFont="1" applyFill="1" applyBorder="1" applyAlignment="1">
      <alignment horizontal="center" vertical="center"/>
    </xf>
    <xf numFmtId="0" fontId="51" fillId="51" borderId="66" xfId="0" applyFont="1" applyFill="1" applyBorder="1" applyAlignment="1">
      <alignment horizontal="center" vertical="center" wrapText="1"/>
    </xf>
    <xf numFmtId="0" fontId="51" fillId="51" borderId="37" xfId="0" applyFont="1" applyFill="1" applyBorder="1"/>
    <xf numFmtId="9" fontId="51" fillId="51" borderId="30" xfId="0" applyNumberFormat="1" applyFont="1" applyFill="1" applyBorder="1" applyAlignment="1">
      <alignment horizontal="center" vertical="center" wrapText="1"/>
    </xf>
    <xf numFmtId="9" fontId="52" fillId="51" borderId="30" xfId="0" applyNumberFormat="1" applyFont="1" applyFill="1" applyBorder="1" applyAlignment="1">
      <alignment horizontal="center" vertical="center" wrapText="1"/>
    </xf>
    <xf numFmtId="0" fontId="51" fillId="51" borderId="30" xfId="0" applyFont="1" applyFill="1" applyBorder="1" applyAlignment="1">
      <alignment horizontal="left" vertical="top" wrapText="1"/>
    </xf>
    <xf numFmtId="0" fontId="51" fillId="51" borderId="30" xfId="0" applyFont="1" applyFill="1" applyBorder="1" applyAlignment="1">
      <alignment vertical="top" wrapText="1"/>
    </xf>
    <xf numFmtId="3" fontId="51" fillId="51" borderId="30" xfId="4" applyNumberFormat="1" applyFont="1" applyFill="1" applyBorder="1" applyAlignment="1">
      <alignment horizontal="center" vertical="center"/>
    </xf>
    <xf numFmtId="3" fontId="51" fillId="51" borderId="30" xfId="0" applyNumberFormat="1" applyFont="1" applyFill="1" applyBorder="1" applyAlignment="1">
      <alignment wrapText="1"/>
    </xf>
    <xf numFmtId="3" fontId="51" fillId="51" borderId="30" xfId="0" applyNumberFormat="1" applyFont="1" applyFill="1" applyBorder="1" applyAlignment="1">
      <alignment horizontal="center" vertical="center"/>
    </xf>
    <xf numFmtId="3" fontId="51" fillId="51" borderId="30" xfId="0" applyNumberFormat="1" applyFont="1" applyFill="1" applyBorder="1" applyAlignment="1">
      <alignment vertical="center"/>
    </xf>
    <xf numFmtId="3" fontId="51" fillId="51" borderId="30" xfId="0" applyNumberFormat="1" applyFont="1" applyFill="1" applyBorder="1"/>
    <xf numFmtId="3" fontId="51" fillId="51" borderId="30" xfId="0" applyNumberFormat="1" applyFont="1" applyFill="1" applyBorder="1" applyAlignment="1">
      <alignment vertical="top" wrapText="1"/>
    </xf>
    <xf numFmtId="3" fontId="51" fillId="51" borderId="31" xfId="0" applyNumberFormat="1" applyFont="1" applyFill="1" applyBorder="1"/>
    <xf numFmtId="0" fontId="48" fillId="21" borderId="67" xfId="0" applyFont="1" applyFill="1" applyBorder="1" applyAlignment="1" applyProtection="1">
      <alignment horizontal="center" vertical="center" wrapText="1"/>
      <protection locked="0"/>
    </xf>
    <xf numFmtId="0" fontId="48" fillId="21" borderId="112" xfId="0" applyFont="1" applyFill="1" applyBorder="1" applyAlignment="1" applyProtection="1">
      <alignment horizontal="center" vertical="center" wrapText="1"/>
      <protection locked="0"/>
    </xf>
    <xf numFmtId="0" fontId="50" fillId="21" borderId="112" xfId="0" applyFont="1" applyFill="1" applyBorder="1" applyAlignment="1" applyProtection="1">
      <alignment horizontal="center" vertical="center" wrapText="1"/>
      <protection locked="0"/>
    </xf>
    <xf numFmtId="0" fontId="49" fillId="21" borderId="112" xfId="0" applyFont="1" applyFill="1" applyBorder="1" applyAlignment="1" applyProtection="1">
      <alignment horizontal="center" vertical="center" wrapText="1"/>
      <protection locked="0"/>
    </xf>
    <xf numFmtId="0" fontId="51" fillId="21" borderId="112" xfId="0" applyFont="1" applyFill="1" applyBorder="1" applyAlignment="1">
      <alignment horizontal="center" vertical="center" wrapText="1"/>
    </xf>
    <xf numFmtId="9" fontId="49" fillId="21" borderId="5" xfId="0" applyNumberFormat="1" applyFont="1" applyFill="1" applyBorder="1" applyAlignment="1">
      <alignment horizontal="center" vertical="center"/>
    </xf>
    <xf numFmtId="0" fontId="51" fillId="21" borderId="89" xfId="0" applyFont="1" applyFill="1" applyBorder="1" applyAlignment="1">
      <alignment horizontal="center" vertical="center" wrapText="1"/>
    </xf>
    <xf numFmtId="0" fontId="51" fillId="21" borderId="5" xfId="0" applyFont="1" applyFill="1" applyBorder="1"/>
    <xf numFmtId="9" fontId="51" fillId="21" borderId="112" xfId="0" applyNumberFormat="1" applyFont="1" applyFill="1" applyBorder="1" applyAlignment="1">
      <alignment horizontal="center" vertical="center" wrapText="1"/>
    </xf>
    <xf numFmtId="9" fontId="52" fillId="21" borderId="112" xfId="0" applyNumberFormat="1" applyFont="1" applyFill="1" applyBorder="1" applyAlignment="1">
      <alignment horizontal="center" vertical="center" wrapText="1"/>
    </xf>
    <xf numFmtId="0" fontId="51" fillId="21" borderId="112" xfId="0" applyFont="1" applyFill="1" applyBorder="1" applyAlignment="1">
      <alignment horizontal="left" wrapText="1"/>
    </xf>
    <xf numFmtId="0" fontId="51" fillId="21" borderId="112" xfId="0" applyFont="1" applyFill="1" applyBorder="1" applyAlignment="1">
      <alignment horizontal="left" vertical="top" wrapText="1"/>
    </xf>
    <xf numFmtId="0" fontId="51" fillId="21" borderId="112" xfId="0" applyFont="1" applyFill="1" applyBorder="1" applyAlignment="1">
      <alignment horizontal="left" vertical="center" wrapText="1"/>
    </xf>
    <xf numFmtId="3" fontId="49" fillId="21" borderId="121" xfId="0" applyNumberFormat="1" applyFont="1" applyFill="1" applyBorder="1" applyAlignment="1">
      <alignment horizontal="center" vertical="center"/>
    </xf>
    <xf numFmtId="3" fontId="51" fillId="21" borderId="112" xfId="0" applyNumberFormat="1" applyFont="1" applyFill="1" applyBorder="1" applyAlignment="1">
      <alignment horizontal="center" vertical="center"/>
    </xf>
    <xf numFmtId="3" fontId="51" fillId="21" borderId="112" xfId="0" applyNumberFormat="1" applyFont="1" applyFill="1" applyBorder="1" applyAlignment="1">
      <alignment wrapText="1"/>
    </xf>
    <xf numFmtId="3" fontId="51" fillId="21" borderId="112" xfId="0" applyNumberFormat="1" applyFont="1" applyFill="1" applyBorder="1" applyAlignment="1">
      <alignment horizontal="left" vertical="center" wrapText="1"/>
    </xf>
    <xf numFmtId="3" fontId="51" fillId="21" borderId="112" xfId="0" applyNumberFormat="1" applyFont="1" applyFill="1" applyBorder="1" applyAlignment="1">
      <alignment horizontal="center" vertical="center" wrapText="1"/>
    </xf>
    <xf numFmtId="3" fontId="51" fillId="21" borderId="122" xfId="0" applyNumberFormat="1" applyFont="1" applyFill="1" applyBorder="1" applyAlignment="1">
      <alignment wrapText="1"/>
    </xf>
    <xf numFmtId="0" fontId="51" fillId="21" borderId="0" xfId="0" applyFont="1" applyFill="1"/>
    <xf numFmtId="0" fontId="10" fillId="40" borderId="8" xfId="0" applyFont="1" applyFill="1" applyBorder="1" applyAlignment="1">
      <alignment horizontal="center" vertical="center" wrapText="1"/>
    </xf>
    <xf numFmtId="4" fontId="0" fillId="40" borderId="8" xfId="0" applyNumberFormat="1" applyFont="1" applyFill="1" applyBorder="1" applyAlignment="1">
      <alignment horizontal="center" vertical="center"/>
    </xf>
    <xf numFmtId="4" fontId="10" fillId="40" borderId="8" xfId="0" applyNumberFormat="1" applyFont="1" applyFill="1" applyBorder="1" applyAlignment="1">
      <alignment horizontal="center" vertical="center"/>
    </xf>
    <xf numFmtId="0" fontId="10" fillId="40" borderId="8" xfId="0" applyFont="1" applyFill="1" applyBorder="1" applyAlignment="1">
      <alignment horizontal="center" vertical="center"/>
    </xf>
    <xf numFmtId="0" fontId="10" fillId="40" borderId="8" xfId="0" applyFont="1" applyFill="1" applyBorder="1"/>
    <xf numFmtId="0" fontId="10" fillId="40" borderId="9" xfId="0" applyFont="1" applyFill="1" applyBorder="1"/>
    <xf numFmtId="4" fontId="0" fillId="40" borderId="32" xfId="0" applyNumberFormat="1" applyFont="1" applyFill="1" applyBorder="1" applyAlignment="1">
      <alignment horizontal="center" vertical="center"/>
    </xf>
    <xf numFmtId="173" fontId="16" fillId="40" borderId="38" xfId="20" applyNumberFormat="1" applyFont="1" applyFill="1" applyBorder="1" applyAlignment="1">
      <alignment horizontal="center" vertical="center" wrapText="1"/>
    </xf>
    <xf numFmtId="0" fontId="0" fillId="40" borderId="32" xfId="0" applyFont="1" applyFill="1" applyBorder="1" applyAlignment="1">
      <alignment horizontal="center" vertical="center"/>
    </xf>
    <xf numFmtId="0" fontId="0" fillId="40" borderId="8" xfId="0" applyFont="1" applyFill="1" applyBorder="1" applyAlignment="1">
      <alignment horizontal="center" vertical="center"/>
    </xf>
    <xf numFmtId="3" fontId="0" fillId="40" borderId="19" xfId="0" applyNumberFormat="1" applyFont="1" applyFill="1" applyBorder="1" applyAlignment="1">
      <alignment horizontal="center" vertical="center" wrapText="1"/>
    </xf>
    <xf numFmtId="3" fontId="0" fillId="40" borderId="8" xfId="0" applyNumberFormat="1" applyFont="1" applyFill="1" applyBorder="1" applyAlignment="1">
      <alignment horizontal="center" wrapText="1"/>
    </xf>
    <xf numFmtId="3" fontId="0" fillId="40" borderId="8" xfId="0" applyNumberFormat="1" applyFont="1" applyFill="1" applyBorder="1" applyAlignment="1">
      <alignment horizontal="center"/>
    </xf>
    <xf numFmtId="3" fontId="0" fillId="40" borderId="102" xfId="0" applyNumberFormat="1" applyFont="1" applyFill="1" applyBorder="1" applyAlignment="1">
      <alignment horizontal="center"/>
    </xf>
    <xf numFmtId="3" fontId="0" fillId="40" borderId="9" xfId="0" applyNumberFormat="1" applyFont="1" applyFill="1" applyBorder="1" applyAlignment="1">
      <alignment horizontal="center"/>
    </xf>
    <xf numFmtId="0" fontId="10" fillId="40" borderId="0" xfId="0" applyFont="1" applyFill="1"/>
    <xf numFmtId="0" fontId="0" fillId="40" borderId="102" xfId="0" applyFont="1" applyFill="1" applyBorder="1" applyAlignment="1">
      <alignment horizontal="center" vertical="center" wrapText="1"/>
    </xf>
    <xf numFmtId="0" fontId="10" fillId="40" borderId="102" xfId="0" applyFont="1" applyFill="1" applyBorder="1" applyAlignment="1">
      <alignment horizontal="center" vertical="center" wrapText="1"/>
    </xf>
    <xf numFmtId="10" fontId="0" fillId="40" borderId="102" xfId="5" applyNumberFormat="1" applyFont="1" applyFill="1" applyBorder="1" applyAlignment="1">
      <alignment horizontal="center" vertical="center"/>
    </xf>
    <xf numFmtId="0" fontId="10" fillId="40" borderId="93" xfId="0" applyFont="1" applyFill="1" applyBorder="1" applyAlignment="1">
      <alignment horizontal="center" vertical="center" wrapText="1"/>
    </xf>
    <xf numFmtId="0" fontId="10" fillId="40" borderId="3" xfId="0" applyFont="1" applyFill="1" applyBorder="1" applyAlignment="1">
      <alignment horizontal="center" vertical="center"/>
    </xf>
    <xf numFmtId="0" fontId="10" fillId="40" borderId="3" xfId="0" applyFont="1" applyFill="1" applyBorder="1"/>
    <xf numFmtId="0" fontId="10" fillId="40" borderId="12" xfId="0" applyFont="1" applyFill="1" applyBorder="1"/>
    <xf numFmtId="0" fontId="0" fillId="40" borderId="102" xfId="0" applyFont="1" applyFill="1" applyBorder="1" applyAlignment="1">
      <alignment horizontal="center" vertical="center"/>
    </xf>
    <xf numFmtId="3" fontId="0" fillId="40" borderId="111" xfId="0" applyNumberFormat="1" applyFont="1" applyFill="1" applyBorder="1" applyAlignment="1">
      <alignment horizontal="center" wrapText="1"/>
    </xf>
    <xf numFmtId="3" fontId="0" fillId="40" borderId="102" xfId="0" applyNumberFormat="1" applyFont="1" applyFill="1" applyBorder="1" applyAlignment="1">
      <alignment horizontal="center" vertical="center"/>
    </xf>
    <xf numFmtId="3" fontId="0" fillId="40" borderId="94" xfId="0" applyNumberFormat="1" applyFont="1" applyFill="1" applyBorder="1" applyAlignment="1">
      <alignment horizontal="center"/>
    </xf>
    <xf numFmtId="4" fontId="0" fillId="40" borderId="102" xfId="0" applyNumberFormat="1" applyFont="1" applyFill="1" applyBorder="1" applyAlignment="1">
      <alignment horizontal="center" vertical="center"/>
    </xf>
    <xf numFmtId="3" fontId="11" fillId="40" borderId="102" xfId="0" applyNumberFormat="1" applyFont="1" applyFill="1" applyBorder="1" applyAlignment="1">
      <alignment horizontal="center" vertical="center"/>
    </xf>
    <xf numFmtId="4" fontId="0" fillId="40" borderId="93" xfId="0" applyNumberFormat="1" applyFont="1" applyFill="1" applyBorder="1" applyAlignment="1">
      <alignment horizontal="center" vertical="center"/>
    </xf>
    <xf numFmtId="3" fontId="10" fillId="40" borderId="3" xfId="0" applyNumberFormat="1" applyFont="1" applyFill="1" applyBorder="1" applyAlignment="1">
      <alignment horizontal="center" vertical="center"/>
    </xf>
    <xf numFmtId="0" fontId="0" fillId="40" borderId="125" xfId="0" applyFill="1" applyBorder="1" applyAlignment="1">
      <alignment wrapText="1"/>
    </xf>
    <xf numFmtId="0" fontId="0" fillId="40" borderId="8" xfId="0" applyFill="1" applyBorder="1" applyAlignment="1">
      <alignment wrapText="1"/>
    </xf>
    <xf numFmtId="0" fontId="10" fillId="40" borderId="32" xfId="0" applyFont="1" applyFill="1" applyBorder="1" applyAlignment="1">
      <alignment horizontal="center" vertical="center" wrapText="1"/>
    </xf>
    <xf numFmtId="0" fontId="0" fillId="40" borderId="102" xfId="0" applyFont="1" applyFill="1" applyBorder="1" applyAlignment="1">
      <alignment vertical="center"/>
    </xf>
    <xf numFmtId="3" fontId="0" fillId="40" borderId="111" xfId="0" applyNumberFormat="1" applyFont="1" applyFill="1" applyBorder="1" applyAlignment="1">
      <alignment horizontal="center"/>
    </xf>
    <xf numFmtId="4" fontId="11" fillId="40" borderId="102" xfId="0" applyNumberFormat="1" applyFont="1" applyFill="1" applyBorder="1" applyAlignment="1">
      <alignment horizontal="center" vertical="center"/>
    </xf>
    <xf numFmtId="4" fontId="11" fillId="40" borderId="93" xfId="0" applyNumberFormat="1" applyFont="1" applyFill="1" applyBorder="1" applyAlignment="1">
      <alignment horizontal="center" vertical="center"/>
    </xf>
    <xf numFmtId="9" fontId="10" fillId="40" borderId="93" xfId="0" applyNumberFormat="1" applyFont="1" applyFill="1" applyBorder="1" applyAlignment="1">
      <alignment horizontal="center" vertical="center" wrapText="1"/>
    </xf>
    <xf numFmtId="3" fontId="10" fillId="40" borderId="8" xfId="0" applyNumberFormat="1" applyFont="1" applyFill="1" applyBorder="1" applyAlignment="1">
      <alignment horizontal="center" vertical="center"/>
    </xf>
    <xf numFmtId="0" fontId="10" fillId="40" borderId="3" xfId="0" applyFont="1" applyFill="1" applyBorder="1" applyAlignment="1">
      <alignment horizontal="center" vertical="center" wrapText="1"/>
    </xf>
    <xf numFmtId="3" fontId="0" fillId="40" borderId="8" xfId="0" applyNumberFormat="1" applyFont="1" applyFill="1" applyBorder="1" applyAlignment="1">
      <alignment horizontal="center" vertical="center"/>
    </xf>
    <xf numFmtId="0" fontId="0" fillId="40" borderId="32" xfId="0" applyFont="1" applyFill="1" applyBorder="1" applyAlignment="1">
      <alignment wrapText="1"/>
    </xf>
    <xf numFmtId="3" fontId="0" fillId="40" borderId="102" xfId="0" applyNumberFormat="1" applyFont="1" applyFill="1" applyBorder="1" applyAlignment="1">
      <alignment horizontal="center" vertical="center" wrapText="1"/>
    </xf>
    <xf numFmtId="3" fontId="0" fillId="40" borderId="102" xfId="0" applyNumberFormat="1" applyFont="1" applyFill="1" applyBorder="1" applyAlignment="1">
      <alignment horizontal="center" wrapText="1"/>
    </xf>
    <xf numFmtId="0" fontId="0" fillId="40" borderId="102" xfId="0" applyFont="1" applyFill="1" applyBorder="1" applyAlignment="1">
      <alignment wrapText="1"/>
    </xf>
    <xf numFmtId="3" fontId="0" fillId="40" borderId="102" xfId="7" applyNumberFormat="1" applyFont="1" applyFill="1" applyBorder="1" applyAlignment="1">
      <alignment horizontal="center" vertical="center"/>
    </xf>
    <xf numFmtId="9" fontId="10" fillId="40" borderId="3" xfId="5" applyFont="1" applyFill="1" applyBorder="1" applyAlignment="1">
      <alignment horizontal="center" vertical="center"/>
    </xf>
    <xf numFmtId="190" fontId="10" fillId="40" borderId="3" xfId="4" applyNumberFormat="1" applyFont="1" applyFill="1" applyBorder="1" applyAlignment="1">
      <alignment horizontal="center" vertical="center"/>
    </xf>
    <xf numFmtId="9" fontId="0" fillId="40" borderId="102" xfId="5" applyFont="1" applyFill="1" applyBorder="1" applyAlignment="1">
      <alignment horizontal="center" vertical="center" wrapText="1"/>
    </xf>
    <xf numFmtId="0" fontId="0" fillId="40" borderId="102" xfId="0" applyFont="1" applyFill="1" applyBorder="1"/>
    <xf numFmtId="9" fontId="10" fillId="40" borderId="0" xfId="5" applyFont="1" applyFill="1" applyAlignment="1">
      <alignment horizontal="center" vertical="center"/>
    </xf>
    <xf numFmtId="0" fontId="10" fillId="40" borderId="0" xfId="0" applyFont="1" applyFill="1" applyAlignment="1">
      <alignment horizontal="center" vertical="center"/>
    </xf>
    <xf numFmtId="9" fontId="0" fillId="40" borderId="0" xfId="5" applyFont="1" applyFill="1" applyAlignment="1">
      <alignment horizontal="center" vertical="center"/>
    </xf>
    <xf numFmtId="3" fontId="0" fillId="40" borderId="32" xfId="0" applyNumberFormat="1" applyFont="1" applyFill="1" applyBorder="1" applyAlignment="1">
      <alignment horizontal="center" vertical="center" wrapText="1"/>
    </xf>
    <xf numFmtId="3" fontId="0" fillId="40" borderId="0" xfId="7" applyNumberFormat="1" applyFont="1" applyFill="1" applyAlignment="1">
      <alignment horizontal="center"/>
    </xf>
    <xf numFmtId="3" fontId="0" fillId="40" borderId="0" xfId="0" applyNumberFormat="1" applyFont="1" applyFill="1" applyAlignment="1">
      <alignment horizontal="center"/>
    </xf>
    <xf numFmtId="9" fontId="0" fillId="40" borderId="102" xfId="5" applyFont="1" applyFill="1" applyBorder="1" applyAlignment="1">
      <alignment horizontal="center" vertical="center"/>
    </xf>
    <xf numFmtId="9" fontId="0" fillId="40" borderId="102" xfId="0" applyNumberFormat="1" applyFont="1" applyFill="1" applyBorder="1" applyAlignment="1">
      <alignment horizontal="center" vertical="center"/>
    </xf>
    <xf numFmtId="9" fontId="0" fillId="40" borderId="93" xfId="0" applyNumberFormat="1" applyFont="1" applyFill="1" applyBorder="1" applyAlignment="1">
      <alignment horizontal="center" vertical="center" wrapText="1"/>
    </xf>
    <xf numFmtId="3" fontId="0" fillId="40" borderId="102" xfId="7" applyNumberFormat="1" applyFont="1" applyFill="1" applyBorder="1" applyAlignment="1">
      <alignment horizontal="center"/>
    </xf>
    <xf numFmtId="0" fontId="11" fillId="40" borderId="0" xfId="0" applyFont="1" applyFill="1" applyAlignment="1">
      <alignment wrapText="1"/>
    </xf>
    <xf numFmtId="0" fontId="0" fillId="40" borderId="102" xfId="0" applyFont="1" applyFill="1" applyBorder="1" applyAlignment="1">
      <alignment horizontal="left" vertical="center" wrapText="1"/>
    </xf>
    <xf numFmtId="0" fontId="0" fillId="40" borderId="102" xfId="0" applyFont="1" applyFill="1" applyBorder="1" applyAlignment="1">
      <alignment horizontal="center"/>
    </xf>
    <xf numFmtId="0" fontId="7" fillId="40" borderId="30" xfId="0" applyFont="1" applyFill="1" applyBorder="1" applyAlignment="1">
      <alignment horizontal="center" vertical="center" wrapText="1"/>
    </xf>
    <xf numFmtId="4" fontId="0" fillId="40" borderId="30" xfId="0" applyNumberFormat="1" applyFont="1" applyFill="1" applyBorder="1" applyAlignment="1">
      <alignment horizontal="center" vertical="center"/>
    </xf>
    <xf numFmtId="0" fontId="10" fillId="40" borderId="30" xfId="0" applyFont="1" applyFill="1" applyBorder="1" applyAlignment="1">
      <alignment horizontal="center" vertical="center" wrapText="1"/>
    </xf>
    <xf numFmtId="10" fontId="10" fillId="40" borderId="3" xfId="0" applyNumberFormat="1" applyFont="1" applyFill="1" applyBorder="1" applyAlignment="1">
      <alignment horizontal="center" vertical="center"/>
    </xf>
    <xf numFmtId="0" fontId="10" fillId="40" borderId="3" xfId="0" applyFont="1" applyFill="1" applyBorder="1" applyAlignment="1">
      <alignment wrapText="1"/>
    </xf>
    <xf numFmtId="0" fontId="10" fillId="40" borderId="30" xfId="0" applyFont="1" applyFill="1" applyBorder="1" applyAlignment="1">
      <alignment horizontal="center" vertical="center"/>
    </xf>
    <xf numFmtId="0" fontId="10" fillId="40" borderId="30" xfId="0" applyFont="1" applyFill="1" applyBorder="1"/>
    <xf numFmtId="0" fontId="10" fillId="40" borderId="31" xfId="0" applyFont="1" applyFill="1" applyBorder="1"/>
    <xf numFmtId="10" fontId="0" fillId="40" borderId="102" xfId="0" applyNumberFormat="1" applyFont="1" applyFill="1" applyBorder="1" applyAlignment="1">
      <alignment horizontal="center" vertical="center"/>
    </xf>
    <xf numFmtId="173" fontId="16" fillId="40" borderId="114" xfId="20" applyNumberFormat="1" applyFont="1" applyFill="1" applyBorder="1" applyAlignment="1">
      <alignment horizontal="center" vertical="center" wrapText="1"/>
    </xf>
    <xf numFmtId="9" fontId="0" fillId="40" borderId="30" xfId="5" applyFont="1" applyFill="1" applyBorder="1" applyAlignment="1">
      <alignment horizontal="center" vertical="center"/>
    </xf>
    <xf numFmtId="0" fontId="0" fillId="40" borderId="30" xfId="0" applyFont="1" applyFill="1" applyBorder="1" applyAlignment="1">
      <alignment wrapText="1"/>
    </xf>
    <xf numFmtId="3" fontId="0" fillId="40" borderId="30" xfId="0" applyNumberFormat="1" applyFont="1" applyFill="1" applyBorder="1" applyAlignment="1">
      <alignment horizontal="center" vertical="center" wrapText="1"/>
    </xf>
    <xf numFmtId="3" fontId="0" fillId="40" borderId="30" xfId="7" applyNumberFormat="1" applyFont="1" applyFill="1" applyBorder="1" applyAlignment="1">
      <alignment horizontal="center"/>
    </xf>
    <xf numFmtId="3" fontId="0" fillId="40" borderId="30" xfId="0" applyNumberFormat="1" applyFont="1" applyFill="1" applyBorder="1" applyAlignment="1">
      <alignment horizontal="center"/>
    </xf>
    <xf numFmtId="3" fontId="0" fillId="40" borderId="31" xfId="0" applyNumberFormat="1" applyFont="1" applyFill="1" applyBorder="1" applyAlignment="1">
      <alignment horizontal="center"/>
    </xf>
    <xf numFmtId="9" fontId="0" fillId="44" borderId="8" xfId="0" applyNumberFormat="1" applyFont="1" applyFill="1" applyBorder="1" applyAlignment="1">
      <alignment horizontal="center" vertical="center"/>
    </xf>
    <xf numFmtId="0" fontId="0" fillId="44" borderId="8" xfId="0" applyFont="1" applyFill="1" applyBorder="1" applyAlignment="1">
      <alignment horizontal="center" vertical="center"/>
    </xf>
    <xf numFmtId="0" fontId="0" fillId="44" borderId="8" xfId="0" applyFont="1" applyFill="1" applyBorder="1" applyAlignment="1">
      <alignment vertical="center"/>
    </xf>
    <xf numFmtId="0" fontId="10" fillId="44" borderId="32" xfId="0" applyFont="1" applyFill="1" applyBorder="1" applyAlignment="1">
      <alignment horizontal="center" vertical="center"/>
    </xf>
    <xf numFmtId="0" fontId="10" fillId="44" borderId="32" xfId="0" applyFont="1" applyFill="1" applyBorder="1"/>
    <xf numFmtId="0" fontId="10" fillId="44" borderId="52" xfId="0" applyFont="1" applyFill="1" applyBorder="1"/>
    <xf numFmtId="0" fontId="0" fillId="44" borderId="32" xfId="0" applyFont="1" applyFill="1" applyBorder="1" applyAlignment="1">
      <alignment horizontal="center" vertical="center"/>
    </xf>
    <xf numFmtId="173" fontId="16" fillId="44" borderId="36" xfId="20" applyNumberFormat="1" applyFont="1" applyFill="1" applyBorder="1" applyAlignment="1">
      <alignment horizontal="center" vertical="center" wrapText="1"/>
    </xf>
    <xf numFmtId="0" fontId="0" fillId="44" borderId="32" xfId="0" applyFont="1" applyFill="1" applyBorder="1"/>
    <xf numFmtId="3" fontId="0" fillId="44" borderId="32" xfId="0" applyNumberFormat="1" applyFont="1" applyFill="1" applyBorder="1" applyAlignment="1">
      <alignment horizontal="center"/>
    </xf>
    <xf numFmtId="3" fontId="0" fillId="44" borderId="32" xfId="7" applyNumberFormat="1" applyFont="1" applyFill="1" applyBorder="1" applyAlignment="1">
      <alignment horizontal="center" vertical="center"/>
    </xf>
    <xf numFmtId="3" fontId="0" fillId="44" borderId="52" xfId="0" applyNumberFormat="1" applyFont="1" applyFill="1" applyBorder="1" applyAlignment="1">
      <alignment horizontal="center"/>
    </xf>
    <xf numFmtId="0" fontId="10" fillId="44" borderId="0" xfId="0" applyFont="1" applyFill="1"/>
    <xf numFmtId="9" fontId="0" fillId="44" borderId="102" xfId="0" applyNumberFormat="1" applyFont="1" applyFill="1" applyBorder="1" applyAlignment="1">
      <alignment horizontal="center" vertical="center"/>
    </xf>
    <xf numFmtId="0" fontId="0" fillId="44" borderId="102" xfId="0" applyFont="1" applyFill="1" applyBorder="1" applyAlignment="1">
      <alignment horizontal="center" vertical="center"/>
    </xf>
    <xf numFmtId="0" fontId="0" fillId="44" borderId="102" xfId="0" applyFont="1" applyFill="1" applyBorder="1" applyAlignment="1">
      <alignment vertical="center"/>
    </xf>
    <xf numFmtId="9" fontId="0" fillId="44" borderId="93" xfId="0" applyNumberFormat="1" applyFont="1" applyFill="1" applyBorder="1" applyAlignment="1">
      <alignment horizontal="center" vertical="center"/>
    </xf>
    <xf numFmtId="0" fontId="10" fillId="44" borderId="3" xfId="0" applyFont="1" applyFill="1" applyBorder="1" applyAlignment="1">
      <alignment horizontal="center" vertical="center"/>
    </xf>
    <xf numFmtId="0" fontId="10" fillId="44" borderId="3" xfId="0" applyFont="1" applyFill="1" applyBorder="1"/>
    <xf numFmtId="0" fontId="10" fillId="44" borderId="12" xfId="0" applyFont="1" applyFill="1" applyBorder="1"/>
    <xf numFmtId="173" fontId="16" fillId="44" borderId="38" xfId="20" applyNumberFormat="1" applyFont="1" applyFill="1" applyBorder="1" applyAlignment="1">
      <alignment horizontal="center" vertical="center" wrapText="1"/>
    </xf>
    <xf numFmtId="0" fontId="0" fillId="44" borderId="102" xfId="0" applyFont="1" applyFill="1" applyBorder="1"/>
    <xf numFmtId="3" fontId="0" fillId="44" borderId="102" xfId="0" applyNumberFormat="1" applyFont="1" applyFill="1" applyBorder="1" applyAlignment="1">
      <alignment horizontal="center"/>
    </xf>
    <xf numFmtId="3" fontId="0" fillId="44" borderId="102" xfId="7" applyNumberFormat="1" applyFont="1" applyFill="1" applyBorder="1" applyAlignment="1">
      <alignment horizontal="center" vertical="center"/>
    </xf>
    <xf numFmtId="3" fontId="0" fillId="44" borderId="94" xfId="0" applyNumberFormat="1" applyFont="1" applyFill="1" applyBorder="1" applyAlignment="1">
      <alignment horizontal="center"/>
    </xf>
    <xf numFmtId="4" fontId="0" fillId="44" borderId="102" xfId="0" applyNumberFormat="1" applyFont="1" applyFill="1" applyBorder="1" applyAlignment="1">
      <alignment horizontal="center" vertical="center"/>
    </xf>
    <xf numFmtId="0" fontId="0" fillId="44" borderId="102" xfId="0" applyFont="1" applyFill="1" applyBorder="1" applyAlignment="1">
      <alignment horizontal="center" vertical="center" wrapText="1"/>
    </xf>
    <xf numFmtId="9" fontId="0" fillId="44" borderId="102" xfId="0" applyNumberFormat="1" applyFont="1" applyFill="1" applyBorder="1" applyAlignment="1">
      <alignment horizontal="center" vertical="center" wrapText="1"/>
    </xf>
    <xf numFmtId="4" fontId="0" fillId="44" borderId="93" xfId="0" applyNumberFormat="1" applyFont="1" applyFill="1" applyBorder="1" applyAlignment="1">
      <alignment horizontal="center" vertical="center"/>
    </xf>
    <xf numFmtId="0" fontId="10" fillId="44" borderId="3" xfId="0" applyFont="1" applyFill="1" applyBorder="1" applyAlignment="1">
      <alignment horizontal="center" vertical="center" wrapText="1"/>
    </xf>
    <xf numFmtId="3" fontId="0" fillId="44" borderId="102" xfId="0" applyNumberFormat="1" applyFont="1" applyFill="1" applyBorder="1" applyAlignment="1">
      <alignment horizontal="center" vertical="center" wrapText="1"/>
    </xf>
    <xf numFmtId="3" fontId="0" fillId="44" borderId="102" xfId="0" applyNumberFormat="1" applyFont="1" applyFill="1" applyBorder="1" applyAlignment="1">
      <alignment horizontal="center" wrapText="1"/>
    </xf>
    <xf numFmtId="9" fontId="0" fillId="44" borderId="93" xfId="0" applyNumberFormat="1" applyFont="1" applyFill="1" applyBorder="1" applyAlignment="1">
      <alignment vertical="center" wrapText="1"/>
    </xf>
    <xf numFmtId="9" fontId="10" fillId="44" borderId="3" xfId="0" applyNumberFormat="1" applyFont="1" applyFill="1" applyBorder="1" applyAlignment="1">
      <alignment horizontal="center" vertical="center"/>
    </xf>
    <xf numFmtId="0" fontId="10" fillId="44" borderId="3" xfId="0" applyFont="1" applyFill="1" applyBorder="1" applyAlignment="1">
      <alignment vertical="center" wrapText="1"/>
    </xf>
    <xf numFmtId="174" fontId="10" fillId="44" borderId="3" xfId="9" applyNumberFormat="1" applyFont="1" applyFill="1" applyBorder="1" applyAlignment="1">
      <alignment vertical="center"/>
    </xf>
    <xf numFmtId="170" fontId="10" fillId="44" borderId="3" xfId="9" applyFont="1" applyFill="1" applyBorder="1" applyAlignment="1">
      <alignment vertical="center"/>
    </xf>
    <xf numFmtId="3" fontId="0" fillId="44" borderId="0" xfId="0" applyNumberFormat="1" applyFont="1" applyFill="1" applyAlignment="1">
      <alignment horizontal="center" vertical="center" wrapText="1"/>
    </xf>
    <xf numFmtId="3" fontId="0" fillId="44" borderId="102" xfId="9" applyNumberFormat="1" applyFont="1" applyFill="1" applyBorder="1" applyAlignment="1">
      <alignment horizontal="center" vertical="center" wrapText="1"/>
    </xf>
    <xf numFmtId="3" fontId="0" fillId="44" borderId="102" xfId="9" applyNumberFormat="1" applyFont="1" applyFill="1" applyBorder="1" applyAlignment="1">
      <alignment horizontal="center" vertical="center"/>
    </xf>
    <xf numFmtId="3" fontId="0" fillId="44" borderId="0" xfId="0" applyNumberFormat="1" applyFont="1" applyFill="1" applyAlignment="1">
      <alignment horizontal="center" vertical="top" wrapText="1"/>
    </xf>
    <xf numFmtId="10" fontId="0" fillId="44" borderId="30" xfId="5" applyNumberFormat="1" applyFont="1" applyFill="1" applyBorder="1" applyAlignment="1">
      <alignment horizontal="center" vertical="center"/>
    </xf>
    <xf numFmtId="173" fontId="16" fillId="44" borderId="114" xfId="20" applyNumberFormat="1" applyFont="1" applyFill="1" applyBorder="1" applyAlignment="1">
      <alignment horizontal="center" vertical="center" wrapText="1"/>
    </xf>
    <xf numFmtId="0" fontId="0" fillId="44" borderId="102" xfId="0" applyFont="1" applyFill="1" applyBorder="1" applyAlignment="1">
      <alignment vertical="top" wrapText="1"/>
    </xf>
    <xf numFmtId="3" fontId="0" fillId="44" borderId="30" xfId="0" applyNumberFormat="1" applyFont="1" applyFill="1" applyBorder="1" applyAlignment="1">
      <alignment horizontal="center"/>
    </xf>
    <xf numFmtId="3" fontId="0" fillId="44" borderId="102" xfId="0" applyNumberFormat="1" applyFont="1" applyFill="1" applyBorder="1" applyAlignment="1">
      <alignment horizontal="center" vertical="center"/>
    </xf>
    <xf numFmtId="3" fontId="3" fillId="44" borderId="102" xfId="0" applyNumberFormat="1" applyFont="1" applyFill="1" applyBorder="1" applyAlignment="1">
      <alignment horizontal="center" vertical="center" wrapText="1"/>
    </xf>
    <xf numFmtId="3" fontId="3" fillId="44" borderId="30" xfId="0" applyNumberFormat="1" applyFont="1" applyFill="1" applyBorder="1" applyAlignment="1">
      <alignment horizontal="center" vertical="center"/>
    </xf>
    <xf numFmtId="3" fontId="0" fillId="44" borderId="31" xfId="0" applyNumberFormat="1" applyFont="1" applyFill="1" applyBorder="1" applyAlignment="1">
      <alignment horizontal="center"/>
    </xf>
    <xf numFmtId="0" fontId="0" fillId="38" borderId="32" xfId="0" applyFont="1" applyFill="1" applyBorder="1" applyAlignment="1">
      <alignment horizontal="center" vertical="center" wrapText="1"/>
    </xf>
    <xf numFmtId="0" fontId="0" fillId="38" borderId="8" xfId="0" applyFont="1" applyFill="1" applyBorder="1" applyAlignment="1">
      <alignment horizontal="center" vertical="center" wrapText="1"/>
    </xf>
    <xf numFmtId="0" fontId="0" fillId="38" borderId="8" xfId="0" applyFont="1" applyFill="1" applyBorder="1" applyAlignment="1">
      <alignment horizontal="center" vertical="center"/>
    </xf>
    <xf numFmtId="9" fontId="10" fillId="38" borderId="32" xfId="0" applyNumberFormat="1" applyFont="1" applyFill="1" applyBorder="1" applyAlignment="1">
      <alignment horizontal="center" vertical="top"/>
    </xf>
    <xf numFmtId="0" fontId="10" fillId="38" borderId="32" xfId="0" applyFont="1" applyFill="1" applyBorder="1" applyAlignment="1">
      <alignment horizontal="center" vertical="top" wrapText="1"/>
    </xf>
    <xf numFmtId="0" fontId="10" fillId="38" borderId="32" xfId="0" applyFont="1" applyFill="1" applyBorder="1" applyAlignment="1">
      <alignment vertical="top"/>
    </xf>
    <xf numFmtId="0" fontId="10" fillId="38" borderId="52" xfId="0" applyFont="1" applyFill="1" applyBorder="1" applyAlignment="1">
      <alignment vertical="top"/>
    </xf>
    <xf numFmtId="0" fontId="0" fillId="38" borderId="8" xfId="0" applyFont="1" applyFill="1" applyBorder="1"/>
    <xf numFmtId="173" fontId="16" fillId="38" borderId="36" xfId="20" applyNumberFormat="1" applyFont="1" applyFill="1" applyBorder="1" applyAlignment="1">
      <alignment horizontal="center" vertical="center" wrapText="1"/>
    </xf>
    <xf numFmtId="9" fontId="52" fillId="38" borderId="102" xfId="0" applyNumberFormat="1" applyFont="1" applyFill="1" applyBorder="1" applyAlignment="1">
      <alignment horizontal="center" vertical="center" wrapText="1"/>
    </xf>
    <xf numFmtId="0" fontId="0" fillId="38" borderId="102" xfId="0" applyFont="1" applyFill="1" applyBorder="1" applyAlignment="1">
      <alignment horizontal="center" vertical="center" wrapText="1"/>
    </xf>
    <xf numFmtId="3" fontId="0" fillId="38" borderId="102" xfId="0" applyNumberFormat="1" applyFont="1" applyFill="1" applyBorder="1" applyAlignment="1">
      <alignment horizontal="center" vertical="center"/>
    </xf>
    <xf numFmtId="3" fontId="0" fillId="38" borderId="102" xfId="0" applyNumberFormat="1" applyFont="1" applyFill="1" applyBorder="1" applyAlignment="1">
      <alignment horizontal="center" vertical="center" wrapText="1"/>
    </xf>
    <xf numFmtId="3" fontId="0" fillId="38" borderId="32" xfId="7" applyNumberFormat="1" applyFont="1" applyFill="1" applyBorder="1" applyAlignment="1">
      <alignment horizontal="center" vertical="center"/>
    </xf>
    <xf numFmtId="3" fontId="0" fillId="38" borderId="32" xfId="0" applyNumberFormat="1" applyFont="1" applyFill="1" applyBorder="1" applyAlignment="1">
      <alignment horizontal="center" vertical="center"/>
    </xf>
    <xf numFmtId="3" fontId="7" fillId="38" borderId="32" xfId="0" applyNumberFormat="1" applyFont="1" applyFill="1" applyBorder="1" applyAlignment="1">
      <alignment horizontal="center" vertical="center"/>
    </xf>
    <xf numFmtId="3" fontId="0" fillId="38" borderId="32" xfId="0" applyNumberFormat="1" applyFont="1" applyFill="1" applyBorder="1" applyAlignment="1">
      <alignment horizontal="center"/>
    </xf>
    <xf numFmtId="3" fontId="0" fillId="38" borderId="52" xfId="0" applyNumberFormat="1" applyFont="1" applyFill="1" applyBorder="1" applyAlignment="1">
      <alignment horizontal="center"/>
    </xf>
    <xf numFmtId="0" fontId="10" fillId="38" borderId="0" xfId="0" applyFont="1" applyFill="1"/>
    <xf numFmtId="0" fontId="0" fillId="38" borderId="102" xfId="0" applyFont="1" applyFill="1" applyBorder="1" applyAlignment="1">
      <alignment vertical="center" wrapText="1"/>
    </xf>
    <xf numFmtId="9" fontId="0" fillId="38" borderId="93" xfId="0" applyNumberFormat="1" applyFont="1" applyFill="1" applyBorder="1" applyAlignment="1">
      <alignment vertical="center" wrapText="1"/>
    </xf>
    <xf numFmtId="9" fontId="10" fillId="38" borderId="32" xfId="5" applyFont="1" applyFill="1" applyBorder="1" applyAlignment="1">
      <alignment horizontal="center" vertical="top"/>
    </xf>
    <xf numFmtId="10" fontId="0" fillId="38" borderId="32" xfId="0" applyNumberFormat="1" applyFont="1" applyFill="1" applyBorder="1"/>
    <xf numFmtId="173" fontId="16" fillId="38" borderId="38" xfId="20" applyNumberFormat="1" applyFont="1" applyFill="1" applyBorder="1" applyAlignment="1">
      <alignment horizontal="center" vertical="center" wrapText="1"/>
    </xf>
    <xf numFmtId="9" fontId="0" fillId="38" borderId="32" xfId="0" applyNumberFormat="1" applyFont="1" applyFill="1" applyBorder="1" applyAlignment="1">
      <alignment horizontal="center" vertical="center" wrapText="1"/>
    </xf>
    <xf numFmtId="9" fontId="0" fillId="38" borderId="102" xfId="0" applyNumberFormat="1" applyFont="1" applyFill="1" applyBorder="1" applyAlignment="1">
      <alignment horizontal="center" vertical="center"/>
    </xf>
    <xf numFmtId="9" fontId="0" fillId="38" borderId="93" xfId="0" applyNumberFormat="1" applyFont="1" applyFill="1" applyBorder="1" applyAlignment="1">
      <alignment horizontal="center" vertical="center"/>
    </xf>
    <xf numFmtId="9" fontId="10" fillId="38" borderId="3" xfId="0" applyNumberFormat="1" applyFont="1" applyFill="1" applyBorder="1" applyAlignment="1">
      <alignment horizontal="center" vertical="top"/>
    </xf>
    <xf numFmtId="0" fontId="10" fillId="38" borderId="3" xfId="0" applyFont="1" applyFill="1" applyBorder="1" applyAlignment="1">
      <alignment horizontal="center" vertical="top" wrapText="1"/>
    </xf>
    <xf numFmtId="3" fontId="10" fillId="38" borderId="3" xfId="0" applyNumberFormat="1" applyFont="1" applyFill="1" applyBorder="1" applyAlignment="1">
      <alignment vertical="top"/>
    </xf>
    <xf numFmtId="0" fontId="10" fillId="38" borderId="3" xfId="0" applyFont="1" applyFill="1" applyBorder="1" applyAlignment="1">
      <alignment vertical="top"/>
    </xf>
    <xf numFmtId="0" fontId="10" fillId="38" borderId="12" xfId="0" applyFont="1" applyFill="1" applyBorder="1" applyAlignment="1">
      <alignment vertical="top"/>
    </xf>
    <xf numFmtId="9" fontId="7" fillId="38" borderId="102" xfId="0" applyNumberFormat="1" applyFont="1" applyFill="1" applyBorder="1"/>
    <xf numFmtId="3" fontId="0" fillId="38" borderId="102" xfId="7" applyNumberFormat="1" applyFont="1" applyFill="1" applyBorder="1" applyAlignment="1">
      <alignment horizontal="center" vertical="center"/>
    </xf>
    <xf numFmtId="3" fontId="0" fillId="38" borderId="102" xfId="0" applyNumberFormat="1" applyFont="1" applyFill="1" applyBorder="1" applyAlignment="1">
      <alignment horizontal="center"/>
    </xf>
    <xf numFmtId="3" fontId="0" fillId="38" borderId="94" xfId="0" applyNumberFormat="1" applyFont="1" applyFill="1" applyBorder="1" applyAlignment="1">
      <alignment horizontal="center"/>
    </xf>
    <xf numFmtId="0" fontId="0" fillId="38" borderId="93" xfId="0" applyFont="1" applyFill="1" applyBorder="1" applyAlignment="1">
      <alignment vertical="center" wrapText="1"/>
    </xf>
    <xf numFmtId="0" fontId="0" fillId="38" borderId="102" xfId="0" applyFont="1" applyFill="1" applyBorder="1" applyAlignment="1">
      <alignment vertical="center"/>
    </xf>
    <xf numFmtId="9" fontId="11" fillId="38" borderId="69" xfId="0" applyNumberFormat="1" applyFont="1" applyFill="1" applyBorder="1" applyAlignment="1">
      <alignment vertical="center" wrapText="1"/>
    </xf>
    <xf numFmtId="0" fontId="11" fillId="38" borderId="69" xfId="0" applyFont="1" applyFill="1" applyBorder="1" applyAlignment="1">
      <alignment vertical="center" wrapText="1"/>
    </xf>
    <xf numFmtId="0" fontId="11" fillId="38" borderId="69" xfId="0" applyFont="1" applyFill="1" applyBorder="1" applyAlignment="1"/>
    <xf numFmtId="0" fontId="11" fillId="38" borderId="12" xfId="0" applyFont="1" applyFill="1" applyBorder="1" applyAlignment="1"/>
    <xf numFmtId="0" fontId="11" fillId="38" borderId="102" xfId="0" applyFont="1" applyFill="1" applyBorder="1" applyAlignment="1">
      <alignment vertical="center" wrapText="1"/>
    </xf>
    <xf numFmtId="3" fontId="0" fillId="38" borderId="102" xfId="0" applyNumberFormat="1" applyFont="1" applyFill="1" applyBorder="1" applyAlignment="1">
      <alignment horizontal="center" wrapText="1"/>
    </xf>
    <xf numFmtId="0" fontId="0" fillId="38" borderId="93" xfId="0" applyFont="1" applyFill="1" applyBorder="1" applyAlignment="1">
      <alignment horizontal="center" vertical="center" wrapText="1"/>
    </xf>
    <xf numFmtId="9" fontId="10" fillId="38" borderId="3" xfId="5" applyFont="1" applyFill="1" applyBorder="1" applyAlignment="1">
      <alignment horizontal="center" vertical="top"/>
    </xf>
    <xf numFmtId="3" fontId="3" fillId="38" borderId="102" xfId="0" applyNumberFormat="1" applyFont="1" applyFill="1" applyBorder="1" applyAlignment="1">
      <alignment horizontal="center" vertical="center" wrapText="1"/>
    </xf>
    <xf numFmtId="9" fontId="0" fillId="38" borderId="93" xfId="0" applyNumberFormat="1" applyFont="1" applyFill="1" applyBorder="1" applyAlignment="1">
      <alignment horizontal="left" vertical="center" wrapText="1"/>
    </xf>
    <xf numFmtId="9" fontId="10" fillId="38" borderId="11" xfId="0" applyNumberFormat="1" applyFont="1" applyFill="1" applyBorder="1" applyAlignment="1">
      <alignment horizontal="center" vertical="top"/>
    </xf>
    <xf numFmtId="0" fontId="10" fillId="38" borderId="3" xfId="0" applyFont="1" applyFill="1" applyBorder="1" applyAlignment="1">
      <alignment horizontal="center" vertical="top"/>
    </xf>
    <xf numFmtId="0" fontId="10" fillId="38" borderId="105" xfId="0" applyFont="1" applyFill="1" applyBorder="1" applyAlignment="1">
      <alignment vertical="top"/>
    </xf>
    <xf numFmtId="9" fontId="0" fillId="38" borderId="11" xfId="0" applyNumberFormat="1" applyFont="1" applyFill="1" applyBorder="1" applyAlignment="1">
      <alignment horizontal="center" vertical="center"/>
    </xf>
    <xf numFmtId="3" fontId="0" fillId="38" borderId="0" xfId="0" applyNumberFormat="1" applyFont="1" applyFill="1" applyAlignment="1">
      <alignment horizontal="center" vertical="center" wrapText="1"/>
    </xf>
    <xf numFmtId="0" fontId="0" fillId="38" borderId="30" xfId="0" applyFont="1" applyFill="1" applyBorder="1" applyAlignment="1">
      <alignment horizontal="center" vertical="center" wrapText="1"/>
    </xf>
    <xf numFmtId="0" fontId="0" fillId="38" borderId="30" xfId="0" applyFont="1" applyFill="1" applyBorder="1" applyAlignment="1">
      <alignment horizontal="center" vertical="center"/>
    </xf>
    <xf numFmtId="9" fontId="0" fillId="38" borderId="30" xfId="0" applyNumberFormat="1" applyFont="1" applyFill="1" applyBorder="1" applyAlignment="1">
      <alignment horizontal="center" vertical="center"/>
    </xf>
    <xf numFmtId="9" fontId="0" fillId="38" borderId="30" xfId="0" applyNumberFormat="1" applyFont="1" applyFill="1" applyBorder="1" applyAlignment="1">
      <alignment horizontal="center" vertical="center" wrapText="1"/>
    </xf>
    <xf numFmtId="9" fontId="10" fillId="38" borderId="30" xfId="0" applyNumberFormat="1" applyFont="1" applyFill="1" applyBorder="1" applyAlignment="1">
      <alignment horizontal="center" vertical="top"/>
    </xf>
    <xf numFmtId="0" fontId="10" fillId="38" borderId="30" xfId="0" applyFont="1" applyFill="1" applyBorder="1" applyAlignment="1">
      <alignment horizontal="center" vertical="top" wrapText="1"/>
    </xf>
    <xf numFmtId="0" fontId="10" fillId="38" borderId="30" xfId="0" applyFont="1" applyFill="1" applyBorder="1" applyAlignment="1">
      <alignment vertical="top"/>
    </xf>
    <xf numFmtId="0" fontId="10" fillId="38" borderId="20" xfId="0" applyFont="1" applyFill="1" applyBorder="1" applyAlignment="1">
      <alignment vertical="top"/>
    </xf>
    <xf numFmtId="0" fontId="10" fillId="38" borderId="31" xfId="0" applyFont="1" applyFill="1" applyBorder="1" applyAlignment="1">
      <alignment vertical="top"/>
    </xf>
    <xf numFmtId="0" fontId="0" fillId="38" borderId="30" xfId="0" applyFont="1" applyFill="1" applyBorder="1"/>
    <xf numFmtId="173" fontId="16" fillId="38" borderId="114" xfId="20" applyNumberFormat="1" applyFont="1" applyFill="1" applyBorder="1" applyAlignment="1">
      <alignment horizontal="center" vertical="center" wrapText="1"/>
    </xf>
    <xf numFmtId="3" fontId="0" fillId="38" borderId="30" xfId="7" applyNumberFormat="1" applyFont="1" applyFill="1" applyBorder="1" applyAlignment="1">
      <alignment horizontal="center" vertical="center"/>
    </xf>
    <xf numFmtId="3" fontId="0" fillId="38" borderId="30" xfId="0" applyNumberFormat="1" applyFont="1" applyFill="1" applyBorder="1" applyAlignment="1">
      <alignment horizontal="center" vertical="center"/>
    </xf>
    <xf numFmtId="0" fontId="0" fillId="7" borderId="8" xfId="0" applyFont="1" applyFill="1" applyBorder="1" applyAlignment="1">
      <alignment horizontal="center" vertical="center" wrapText="1"/>
    </xf>
    <xf numFmtId="9" fontId="0" fillId="7" borderId="8" xfId="0" applyNumberFormat="1" applyFont="1" applyFill="1" applyBorder="1" applyAlignment="1">
      <alignment horizontal="center" vertical="center" wrapText="1"/>
    </xf>
    <xf numFmtId="0" fontId="0" fillId="7" borderId="8" xfId="0" applyFont="1" applyFill="1" applyBorder="1" applyAlignment="1">
      <alignment horizontal="center" vertical="center"/>
    </xf>
    <xf numFmtId="0" fontId="10" fillId="7" borderId="10" xfId="0" applyFont="1" applyFill="1" applyBorder="1" applyAlignment="1">
      <alignment vertical="top" wrapText="1"/>
    </xf>
    <xf numFmtId="0" fontId="10" fillId="7" borderId="32" xfId="0" applyFont="1" applyFill="1" applyBorder="1" applyAlignment="1">
      <alignment vertical="top"/>
    </xf>
    <xf numFmtId="0" fontId="10" fillId="7" borderId="3" xfId="0" applyFont="1" applyFill="1" applyBorder="1" applyAlignment="1">
      <alignment vertical="top" wrapText="1"/>
    </xf>
    <xf numFmtId="0" fontId="10" fillId="7" borderId="52" xfId="0" applyFont="1" applyFill="1" applyBorder="1" applyAlignment="1">
      <alignment vertical="top"/>
    </xf>
    <xf numFmtId="173" fontId="16" fillId="7" borderId="36" xfId="20" applyNumberFormat="1" applyFont="1" applyFill="1" applyBorder="1" applyAlignment="1">
      <alignment horizontal="center" vertical="center" wrapText="1"/>
    </xf>
    <xf numFmtId="9" fontId="52" fillId="7" borderId="102" xfId="0" applyNumberFormat="1" applyFont="1" applyFill="1" applyBorder="1" applyAlignment="1">
      <alignment horizontal="center" vertical="center" wrapText="1"/>
    </xf>
    <xf numFmtId="3" fontId="0" fillId="7" borderId="32" xfId="0" applyNumberFormat="1" applyFont="1" applyFill="1" applyBorder="1" applyAlignment="1">
      <alignment horizontal="center" vertical="center"/>
    </xf>
    <xf numFmtId="3" fontId="3" fillId="7" borderId="102" xfId="0" applyNumberFormat="1" applyFont="1" applyFill="1" applyBorder="1" applyAlignment="1">
      <alignment horizontal="center" vertical="center" wrapText="1"/>
    </xf>
    <xf numFmtId="0" fontId="10" fillId="7" borderId="0" xfId="0" applyFont="1" applyFill="1"/>
    <xf numFmtId="0" fontId="0" fillId="7" borderId="102" xfId="0" applyFont="1" applyFill="1" applyBorder="1" applyAlignment="1">
      <alignment horizontal="center" vertical="center" wrapText="1"/>
    </xf>
    <xf numFmtId="0" fontId="0" fillId="7" borderId="102" xfId="0" applyFont="1" applyFill="1" applyBorder="1" applyAlignment="1">
      <alignment horizontal="center" vertical="center"/>
    </xf>
    <xf numFmtId="0" fontId="10" fillId="7" borderId="32" xfId="0" applyFont="1" applyFill="1" applyBorder="1" applyAlignment="1">
      <alignment vertical="top" wrapText="1"/>
    </xf>
    <xf numFmtId="0" fontId="10" fillId="7" borderId="3" xfId="0" applyFont="1" applyFill="1" applyBorder="1" applyAlignment="1">
      <alignment vertical="top"/>
    </xf>
    <xf numFmtId="0" fontId="10" fillId="7" borderId="3" xfId="0" applyFont="1" applyFill="1" applyBorder="1" applyAlignment="1">
      <alignment horizontal="center" vertical="top"/>
    </xf>
    <xf numFmtId="0" fontId="10" fillId="7" borderId="105" xfId="0" applyFont="1" applyFill="1" applyBorder="1" applyAlignment="1">
      <alignment vertical="top"/>
    </xf>
    <xf numFmtId="173" fontId="16" fillId="7" borderId="38" xfId="20" applyNumberFormat="1" applyFont="1" applyFill="1" applyBorder="1" applyAlignment="1">
      <alignment horizontal="center" vertical="center" wrapText="1"/>
    </xf>
    <xf numFmtId="3" fontId="0" fillId="7" borderId="102" xfId="0" applyNumberFormat="1" applyFont="1" applyFill="1" applyBorder="1" applyAlignment="1">
      <alignment horizontal="center" vertical="center"/>
    </xf>
    <xf numFmtId="9" fontId="0" fillId="7" borderId="102" xfId="0" applyNumberFormat="1" applyFont="1" applyFill="1" applyBorder="1" applyAlignment="1">
      <alignment horizontal="center" vertical="center" wrapText="1"/>
    </xf>
    <xf numFmtId="9" fontId="0" fillId="7" borderId="93" xfId="0" applyNumberFormat="1" applyFont="1" applyFill="1" applyBorder="1" applyAlignment="1">
      <alignment horizontal="center" vertical="center" wrapText="1"/>
    </xf>
    <xf numFmtId="9" fontId="10" fillId="7" borderId="3" xfId="0" applyNumberFormat="1" applyFont="1" applyFill="1" applyBorder="1" applyAlignment="1">
      <alignment horizontal="center" vertical="top" wrapText="1"/>
    </xf>
    <xf numFmtId="0" fontId="10" fillId="7" borderId="3" xfId="0" applyFont="1" applyFill="1" applyBorder="1" applyAlignment="1">
      <alignment horizontal="center" vertical="top" wrapText="1"/>
    </xf>
    <xf numFmtId="0" fontId="10" fillId="7" borderId="3" xfId="0" applyFont="1" applyFill="1" applyBorder="1" applyAlignment="1">
      <alignment horizontal="center" vertical="top" textRotation="90"/>
    </xf>
    <xf numFmtId="0" fontId="10" fillId="7" borderId="12" xfId="0" applyFont="1" applyFill="1" applyBorder="1" applyAlignment="1">
      <alignment vertical="top"/>
    </xf>
    <xf numFmtId="0" fontId="0" fillId="7" borderId="102" xfId="0" applyFont="1" applyFill="1" applyBorder="1" applyAlignment="1">
      <alignment horizontal="center" wrapText="1"/>
    </xf>
    <xf numFmtId="3" fontId="0" fillId="7" borderId="102" xfId="7" applyNumberFormat="1" applyFont="1" applyFill="1" applyBorder="1" applyAlignment="1">
      <alignment horizontal="center" vertical="center"/>
    </xf>
    <xf numFmtId="0" fontId="0" fillId="7" borderId="102" xfId="0" applyFont="1" applyFill="1" applyBorder="1" applyAlignment="1">
      <alignment vertical="center" wrapText="1"/>
    </xf>
    <xf numFmtId="4" fontId="0" fillId="7" borderId="102" xfId="0" applyNumberFormat="1" applyFont="1" applyFill="1" applyBorder="1" applyAlignment="1">
      <alignment horizontal="center" vertical="center"/>
    </xf>
    <xf numFmtId="0" fontId="0" fillId="7" borderId="102" xfId="0" applyFont="1" applyFill="1" applyBorder="1" applyAlignment="1">
      <alignment vertical="center"/>
    </xf>
    <xf numFmtId="4" fontId="0" fillId="7" borderId="93" xfId="0" applyNumberFormat="1" applyFont="1" applyFill="1" applyBorder="1" applyAlignment="1">
      <alignment horizontal="center" vertical="center"/>
    </xf>
    <xf numFmtId="9" fontId="10" fillId="7" borderId="30" xfId="0" applyNumberFormat="1" applyFont="1" applyFill="1" applyBorder="1" applyAlignment="1">
      <alignment horizontal="center" vertical="top" wrapText="1"/>
    </xf>
    <xf numFmtId="0" fontId="10" fillId="7" borderId="30" xfId="0" applyFont="1" applyFill="1" applyBorder="1" applyAlignment="1">
      <alignment horizontal="left" vertical="top" wrapText="1"/>
    </xf>
    <xf numFmtId="0" fontId="10" fillId="7" borderId="30" xfId="0" applyFont="1" applyFill="1" applyBorder="1" applyAlignment="1">
      <alignment vertical="top"/>
    </xf>
    <xf numFmtId="0" fontId="0" fillId="7" borderId="102" xfId="0" applyFont="1" applyFill="1" applyBorder="1"/>
    <xf numFmtId="3" fontId="0" fillId="7" borderId="102" xfId="0" applyNumberFormat="1" applyFont="1" applyFill="1" applyBorder="1" applyAlignment="1">
      <alignment horizontal="center"/>
    </xf>
    <xf numFmtId="3" fontId="0" fillId="7" borderId="102" xfId="0" applyNumberFormat="1" applyFont="1" applyFill="1" applyBorder="1" applyAlignment="1">
      <alignment horizontal="center" vertical="center" wrapText="1"/>
    </xf>
    <xf numFmtId="10" fontId="0" fillId="7" borderId="102" xfId="0" applyNumberFormat="1" applyFont="1" applyFill="1" applyBorder="1" applyAlignment="1">
      <alignment horizontal="center" vertical="center" wrapText="1"/>
    </xf>
    <xf numFmtId="10" fontId="0" fillId="7" borderId="102" xfId="0" applyNumberFormat="1" applyFont="1" applyFill="1" applyBorder="1" applyAlignment="1">
      <alignment horizontal="center" vertical="center"/>
    </xf>
    <xf numFmtId="10" fontId="0" fillId="7" borderId="93" xfId="0" applyNumberFormat="1" applyFont="1" applyFill="1" applyBorder="1" applyAlignment="1">
      <alignment horizontal="center" vertical="center" wrapText="1"/>
    </xf>
    <xf numFmtId="0" fontId="10" fillId="7" borderId="3" xfId="0" applyFont="1" applyFill="1" applyBorder="1" applyAlignment="1">
      <alignment horizontal="center" vertical="center"/>
    </xf>
    <xf numFmtId="0" fontId="10" fillId="7" borderId="3" xfId="0" applyFont="1" applyFill="1" applyBorder="1" applyAlignment="1">
      <alignment horizontal="center" vertical="center" wrapText="1"/>
    </xf>
    <xf numFmtId="0" fontId="10" fillId="7" borderId="3" xfId="0" applyFont="1" applyFill="1" applyBorder="1"/>
    <xf numFmtId="0" fontId="10" fillId="7" borderId="12" xfId="0" applyFont="1" applyFill="1" applyBorder="1"/>
    <xf numFmtId="0" fontId="0" fillId="7" borderId="30" xfId="0" applyFont="1" applyFill="1" applyBorder="1" applyAlignment="1">
      <alignment horizontal="center" vertical="center" wrapText="1"/>
    </xf>
    <xf numFmtId="4" fontId="0" fillId="7" borderId="102" xfId="5" applyNumberFormat="1" applyFont="1" applyFill="1" applyBorder="1" applyAlignment="1">
      <alignment horizontal="center" vertical="center"/>
    </xf>
    <xf numFmtId="9" fontId="0" fillId="7" borderId="93" xfId="5" applyFont="1" applyFill="1" applyBorder="1" applyAlignment="1">
      <alignment horizontal="center" vertical="center"/>
    </xf>
    <xf numFmtId="0" fontId="0" fillId="7" borderId="30" xfId="0" applyFont="1" applyFill="1" applyBorder="1" applyAlignment="1">
      <alignment horizontal="left" wrapText="1"/>
    </xf>
    <xf numFmtId="0" fontId="0" fillId="7" borderId="30" xfId="0" applyFont="1" applyFill="1" applyBorder="1" applyAlignment="1">
      <alignment vertical="center"/>
    </xf>
    <xf numFmtId="198" fontId="0" fillId="7" borderId="30" xfId="13" applyNumberFormat="1" applyFont="1" applyFill="1" applyBorder="1" applyAlignment="1">
      <alignment horizontal="center" vertical="center"/>
    </xf>
    <xf numFmtId="0" fontId="0" fillId="7" borderId="30" xfId="0" applyFont="1" applyFill="1" applyBorder="1" applyAlignment="1">
      <alignment horizontal="center" vertical="center"/>
    </xf>
    <xf numFmtId="0" fontId="10" fillId="7" borderId="30" xfId="0" applyFont="1" applyFill="1" applyBorder="1"/>
    <xf numFmtId="0" fontId="10" fillId="7" borderId="31" xfId="0" applyFont="1" applyFill="1" applyBorder="1"/>
    <xf numFmtId="173" fontId="16" fillId="7" borderId="114" xfId="20" applyNumberFormat="1" applyFont="1" applyFill="1" applyBorder="1" applyAlignment="1">
      <alignment horizontal="center" vertical="center" wrapText="1"/>
    </xf>
    <xf numFmtId="3" fontId="0" fillId="7" borderId="30" xfId="0" applyNumberFormat="1" applyFont="1" applyFill="1" applyBorder="1" applyAlignment="1">
      <alignment horizontal="center" vertical="center"/>
    </xf>
    <xf numFmtId="0" fontId="0" fillId="41" borderId="8" xfId="0" applyFont="1" applyFill="1" applyBorder="1" applyAlignment="1">
      <alignment horizontal="center" vertical="center" wrapText="1"/>
    </xf>
    <xf numFmtId="0" fontId="0" fillId="41" borderId="32" xfId="0" applyFont="1" applyFill="1" applyBorder="1" applyAlignment="1">
      <alignment horizontal="center" vertical="center" wrapText="1"/>
    </xf>
    <xf numFmtId="9" fontId="0" fillId="41" borderId="8" xfId="0" applyNumberFormat="1" applyFont="1" applyFill="1" applyBorder="1" applyAlignment="1">
      <alignment horizontal="center" vertical="center"/>
    </xf>
    <xf numFmtId="0" fontId="0" fillId="41" borderId="8" xfId="0" applyFont="1" applyFill="1" applyBorder="1" applyAlignment="1">
      <alignment horizontal="center" vertical="center"/>
    </xf>
    <xf numFmtId="9" fontId="10" fillId="41" borderId="32" xfId="5" applyFont="1" applyFill="1" applyBorder="1" applyAlignment="1">
      <alignment horizontal="center" vertical="center"/>
    </xf>
    <xf numFmtId="0" fontId="10" fillId="41" borderId="32" xfId="0" applyFont="1" applyFill="1" applyBorder="1" applyAlignment="1">
      <alignment horizontal="center" vertical="center" wrapText="1"/>
    </xf>
    <xf numFmtId="0" fontId="10" fillId="41" borderId="32" xfId="0" applyFont="1" applyFill="1" applyBorder="1" applyAlignment="1">
      <alignment horizontal="center" vertical="center"/>
    </xf>
    <xf numFmtId="190" fontId="10" fillId="41" borderId="32" xfId="4" applyNumberFormat="1" applyFont="1" applyFill="1" applyBorder="1" applyAlignment="1">
      <alignment horizontal="center" vertical="center"/>
    </xf>
    <xf numFmtId="0" fontId="10" fillId="41" borderId="32" xfId="0" applyFont="1" applyFill="1" applyBorder="1"/>
    <xf numFmtId="0" fontId="10" fillId="41" borderId="52" xfId="0" applyFont="1" applyFill="1" applyBorder="1"/>
    <xf numFmtId="9" fontId="0" fillId="41" borderId="32" xfId="5" applyFont="1" applyFill="1" applyBorder="1" applyAlignment="1">
      <alignment horizontal="center" vertical="center"/>
    </xf>
    <xf numFmtId="173" fontId="16" fillId="41" borderId="36" xfId="20" applyNumberFormat="1" applyFont="1" applyFill="1" applyBorder="1" applyAlignment="1">
      <alignment horizontal="center" vertical="center" wrapText="1"/>
    </xf>
    <xf numFmtId="9" fontId="0" fillId="41" borderId="102" xfId="0" applyNumberFormat="1" applyFont="1" applyFill="1" applyBorder="1" applyAlignment="1">
      <alignment horizontal="center" vertical="center"/>
    </xf>
    <xf numFmtId="9" fontId="52" fillId="41" borderId="102" xfId="0" applyNumberFormat="1" applyFont="1" applyFill="1" applyBorder="1" applyAlignment="1">
      <alignment horizontal="center" vertical="center" wrapText="1"/>
    </xf>
    <xf numFmtId="3" fontId="0" fillId="41" borderId="32" xfId="0" applyNumberFormat="1" applyFont="1" applyFill="1" applyBorder="1" applyAlignment="1">
      <alignment horizontal="center" vertical="center" wrapText="1"/>
    </xf>
    <xf numFmtId="3" fontId="0" fillId="41" borderId="32" xfId="0" applyNumberFormat="1" applyFont="1" applyFill="1" applyBorder="1" applyAlignment="1">
      <alignment horizontal="center" vertical="center"/>
    </xf>
    <xf numFmtId="3" fontId="3" fillId="41" borderId="102" xfId="0" applyNumberFormat="1" applyFont="1" applyFill="1" applyBorder="1" applyAlignment="1">
      <alignment horizontal="center" vertical="center" wrapText="1"/>
    </xf>
    <xf numFmtId="0" fontId="10" fillId="41" borderId="0" xfId="0" applyFont="1" applyFill="1"/>
    <xf numFmtId="0" fontId="0" fillId="41" borderId="102" xfId="0" applyFont="1" applyFill="1" applyBorder="1" applyAlignment="1">
      <alignment horizontal="center" vertical="center" wrapText="1"/>
    </xf>
    <xf numFmtId="0" fontId="10" fillId="41" borderId="3" xfId="0" applyFont="1" applyFill="1" applyBorder="1" applyAlignment="1">
      <alignment horizontal="center" vertical="center"/>
    </xf>
    <xf numFmtId="0" fontId="10" fillId="41" borderId="3" xfId="0" applyFont="1" applyFill="1" applyBorder="1" applyAlignment="1">
      <alignment horizontal="center" vertical="center" wrapText="1"/>
    </xf>
    <xf numFmtId="0" fontId="10" fillId="41" borderId="3" xfId="0" applyFont="1" applyFill="1" applyBorder="1"/>
    <xf numFmtId="0" fontId="10" fillId="41" borderId="12" xfId="0" applyFont="1" applyFill="1" applyBorder="1"/>
    <xf numFmtId="0" fontId="0" fillId="41" borderId="102" xfId="0" applyFont="1" applyFill="1" applyBorder="1"/>
    <xf numFmtId="173" fontId="16" fillId="41" borderId="38" xfId="20" applyNumberFormat="1" applyFont="1" applyFill="1" applyBorder="1" applyAlignment="1">
      <alignment horizontal="center" vertical="center" wrapText="1"/>
    </xf>
    <xf numFmtId="3" fontId="0" fillId="41" borderId="102" xfId="0" applyNumberFormat="1" applyFont="1" applyFill="1" applyBorder="1" applyAlignment="1">
      <alignment horizontal="center"/>
    </xf>
    <xf numFmtId="3" fontId="0" fillId="41" borderId="102" xfId="0" applyNumberFormat="1" applyFont="1" applyFill="1" applyBorder="1" applyAlignment="1">
      <alignment horizontal="center" vertical="center" wrapText="1"/>
    </xf>
    <xf numFmtId="9" fontId="10" fillId="41" borderId="3" xfId="0" applyNumberFormat="1" applyFont="1" applyFill="1" applyBorder="1" applyAlignment="1">
      <alignment horizontal="left" vertical="top" wrapText="1"/>
    </xf>
    <xf numFmtId="0" fontId="10" fillId="41" borderId="3" xfId="0" applyFont="1" applyFill="1" applyBorder="1" applyAlignment="1">
      <alignment vertical="top"/>
    </xf>
    <xf numFmtId="3" fontId="0" fillId="41" borderId="102" xfId="0" applyNumberFormat="1" applyFont="1" applyFill="1" applyBorder="1" applyAlignment="1">
      <alignment horizontal="center" vertical="center"/>
    </xf>
    <xf numFmtId="0" fontId="0" fillId="41" borderId="102" xfId="0" applyFont="1" applyFill="1" applyBorder="1" applyAlignment="1">
      <alignment vertical="center" wrapText="1"/>
    </xf>
    <xf numFmtId="9" fontId="0" fillId="41" borderId="93" xfId="0" applyNumberFormat="1" applyFont="1" applyFill="1" applyBorder="1" applyAlignment="1">
      <alignment vertical="center"/>
    </xf>
    <xf numFmtId="9" fontId="0" fillId="41" borderId="102" xfId="0" applyNumberFormat="1" applyFont="1" applyFill="1" applyBorder="1"/>
    <xf numFmtId="0" fontId="0" fillId="41" borderId="102" xfId="0" applyFont="1" applyFill="1" applyBorder="1" applyAlignment="1">
      <alignment vertical="center"/>
    </xf>
    <xf numFmtId="0" fontId="0" fillId="41" borderId="93" xfId="0" applyFont="1" applyFill="1" applyBorder="1" applyAlignment="1">
      <alignment vertical="center" wrapText="1"/>
    </xf>
    <xf numFmtId="190" fontId="10" fillId="41" borderId="3" xfId="4" applyNumberFormat="1" applyFont="1" applyFill="1" applyBorder="1" applyAlignment="1">
      <alignment horizontal="center" vertical="center"/>
    </xf>
    <xf numFmtId="3" fontId="10" fillId="41" borderId="3" xfId="0" applyNumberFormat="1" applyFont="1" applyFill="1" applyBorder="1" applyAlignment="1">
      <alignment horizontal="center" vertical="center" wrapText="1"/>
    </xf>
    <xf numFmtId="3" fontId="0" fillId="41" borderId="102" xfId="4" applyNumberFormat="1" applyFont="1" applyFill="1" applyBorder="1" applyAlignment="1">
      <alignment horizontal="center" vertical="center"/>
    </xf>
    <xf numFmtId="0" fontId="0" fillId="41" borderId="30" xfId="0" applyFont="1" applyFill="1" applyBorder="1" applyAlignment="1">
      <alignment horizontal="center" vertical="center" wrapText="1"/>
    </xf>
    <xf numFmtId="0" fontId="0" fillId="41" borderId="30" xfId="0" applyFont="1" applyFill="1" applyBorder="1" applyAlignment="1">
      <alignment vertical="center" wrapText="1"/>
    </xf>
    <xf numFmtId="0" fontId="0" fillId="41" borderId="30" xfId="0" applyFont="1" applyFill="1" applyBorder="1" applyAlignment="1">
      <alignment vertical="center"/>
    </xf>
    <xf numFmtId="9" fontId="0" fillId="41" borderId="30" xfId="0" applyNumberFormat="1" applyFont="1" applyFill="1" applyBorder="1" applyAlignment="1">
      <alignment vertical="center" wrapText="1"/>
    </xf>
    <xf numFmtId="0" fontId="10" fillId="41" borderId="30" xfId="0" applyFont="1" applyFill="1" applyBorder="1" applyAlignment="1">
      <alignment horizontal="center" vertical="center"/>
    </xf>
    <xf numFmtId="0" fontId="10" fillId="41" borderId="30" xfId="0" applyFont="1" applyFill="1" applyBorder="1" applyAlignment="1">
      <alignment horizontal="center" vertical="center" wrapText="1"/>
    </xf>
    <xf numFmtId="0" fontId="10" fillId="41" borderId="30" xfId="0" applyFont="1" applyFill="1" applyBorder="1"/>
    <xf numFmtId="0" fontId="10" fillId="41" borderId="31" xfId="0" applyFont="1" applyFill="1" applyBorder="1"/>
    <xf numFmtId="0" fontId="0" fillId="41" borderId="30" xfId="0" applyFont="1" applyFill="1" applyBorder="1" applyAlignment="1">
      <alignment horizontal="center" vertical="center"/>
    </xf>
    <xf numFmtId="173" fontId="16" fillId="41" borderId="114" xfId="20" applyNumberFormat="1" applyFont="1" applyFill="1" applyBorder="1" applyAlignment="1">
      <alignment horizontal="center" vertical="center" wrapText="1"/>
    </xf>
    <xf numFmtId="0" fontId="0" fillId="41" borderId="30" xfId="0" applyFont="1" applyFill="1" applyBorder="1"/>
    <xf numFmtId="3" fontId="0" fillId="41" borderId="30" xfId="0" applyNumberFormat="1" applyFont="1" applyFill="1" applyBorder="1" applyAlignment="1">
      <alignment horizontal="center"/>
    </xf>
    <xf numFmtId="3" fontId="0" fillId="41" borderId="30" xfId="0" applyNumberFormat="1" applyFont="1" applyFill="1" applyBorder="1" applyAlignment="1">
      <alignment horizontal="center" vertical="center" wrapText="1"/>
    </xf>
    <xf numFmtId="0" fontId="0" fillId="43" borderId="0" xfId="0" applyFont="1" applyFill="1"/>
    <xf numFmtId="0" fontId="3" fillId="43" borderId="0" xfId="0" applyFont="1" applyFill="1" applyAlignment="1">
      <alignment horizontal="center" vertical="center" wrapText="1"/>
    </xf>
    <xf numFmtId="0" fontId="3" fillId="51" borderId="32" xfId="0" applyFont="1" applyFill="1" applyBorder="1" applyAlignment="1">
      <alignment horizontal="center" vertical="center" wrapText="1"/>
    </xf>
    <xf numFmtId="0" fontId="0" fillId="51" borderId="102" xfId="0" applyFont="1" applyFill="1" applyBorder="1" applyAlignment="1">
      <alignment vertical="center" wrapText="1"/>
    </xf>
    <xf numFmtId="0" fontId="3" fillId="51" borderId="26" xfId="0" applyFont="1" applyFill="1" applyBorder="1" applyAlignment="1">
      <alignment horizontal="center" vertical="center" wrapText="1"/>
    </xf>
    <xf numFmtId="0" fontId="0" fillId="38" borderId="102" xfId="0" applyFont="1" applyFill="1" applyBorder="1"/>
    <xf numFmtId="9" fontId="0" fillId="29" borderId="8" xfId="5" applyFont="1" applyFill="1" applyBorder="1" applyAlignment="1">
      <alignment horizontal="center"/>
    </xf>
    <xf numFmtId="9" fontId="52" fillId="29" borderId="102" xfId="0" applyNumberFormat="1" applyFont="1" applyFill="1" applyBorder="1" applyAlignment="1">
      <alignment horizontal="center" vertical="center" wrapText="1"/>
    </xf>
    <xf numFmtId="9" fontId="0" fillId="29" borderId="30" xfId="5" applyFont="1" applyFill="1" applyBorder="1" applyAlignment="1">
      <alignment horizontal="center"/>
    </xf>
    <xf numFmtId="0" fontId="3" fillId="42" borderId="8" xfId="0" applyFont="1" applyFill="1" applyBorder="1" applyAlignment="1">
      <alignment horizontal="center" vertical="center" wrapText="1"/>
    </xf>
    <xf numFmtId="9" fontId="0" fillId="42" borderId="8" xfId="5" applyFont="1" applyFill="1" applyBorder="1" applyAlignment="1">
      <alignment horizontal="center"/>
    </xf>
    <xf numFmtId="0" fontId="0" fillId="42" borderId="8" xfId="0" applyFont="1" applyFill="1" applyBorder="1" applyAlignment="1">
      <alignment horizontal="center" vertical="center" wrapText="1"/>
    </xf>
    <xf numFmtId="0" fontId="3" fillId="42" borderId="30" xfId="0" applyFont="1" applyFill="1" applyBorder="1" applyAlignment="1">
      <alignment horizontal="center" vertical="center" wrapText="1"/>
    </xf>
    <xf numFmtId="0" fontId="0" fillId="42" borderId="30" xfId="0" applyFont="1" applyFill="1" applyBorder="1" applyAlignment="1">
      <alignment vertical="top" wrapText="1"/>
    </xf>
    <xf numFmtId="9" fontId="0" fillId="42" borderId="30" xfId="5" applyFont="1" applyFill="1" applyBorder="1" applyAlignment="1">
      <alignment horizontal="center"/>
    </xf>
    <xf numFmtId="0" fontId="0" fillId="42" borderId="30" xfId="0" applyFont="1" applyFill="1" applyBorder="1" applyAlignment="1">
      <alignment wrapText="1"/>
    </xf>
    <xf numFmtId="3" fontId="0" fillId="42" borderId="30" xfId="0" applyNumberFormat="1" applyFont="1" applyFill="1" applyBorder="1" applyAlignment="1">
      <alignment horizontal="center" vertical="center"/>
    </xf>
    <xf numFmtId="0" fontId="3" fillId="43" borderId="8" xfId="0" applyFont="1" applyFill="1" applyBorder="1" applyAlignment="1">
      <alignment horizontal="center" vertical="center" wrapText="1"/>
    </xf>
    <xf numFmtId="0" fontId="3" fillId="43" borderId="30" xfId="0" applyFont="1" applyFill="1" applyBorder="1" applyAlignment="1">
      <alignment horizontal="center" vertical="center" wrapText="1"/>
    </xf>
    <xf numFmtId="0" fontId="10" fillId="29" borderId="8" xfId="0" applyFont="1" applyFill="1" applyBorder="1" applyAlignment="1">
      <alignment horizontal="left" vertical="center" wrapText="1"/>
    </xf>
    <xf numFmtId="0" fontId="10" fillId="29" borderId="8" xfId="0" applyFont="1" applyFill="1" applyBorder="1" applyAlignment="1">
      <alignment vertical="center" wrapText="1"/>
    </xf>
    <xf numFmtId="0" fontId="0" fillId="29" borderId="0" xfId="0" applyFont="1" applyFill="1"/>
    <xf numFmtId="0" fontId="3" fillId="29" borderId="30" xfId="0" applyFont="1" applyFill="1" applyBorder="1" applyAlignment="1">
      <alignment horizontal="center" vertical="center" wrapText="1"/>
    </xf>
    <xf numFmtId="0" fontId="3" fillId="39" borderId="8" xfId="0" applyFont="1" applyFill="1" applyBorder="1" applyAlignment="1">
      <alignment horizontal="center" vertical="center" wrapText="1"/>
    </xf>
    <xf numFmtId="9" fontId="0" fillId="39" borderId="8" xfId="5" applyFont="1" applyFill="1" applyBorder="1" applyAlignment="1">
      <alignment horizontal="center"/>
    </xf>
    <xf numFmtId="9" fontId="52" fillId="39" borderId="102" xfId="0" applyNumberFormat="1" applyFont="1" applyFill="1" applyBorder="1" applyAlignment="1">
      <alignment horizontal="center" vertical="center" wrapText="1"/>
    </xf>
    <xf numFmtId="0" fontId="0" fillId="39" borderId="0" xfId="0" applyFont="1" applyFill="1"/>
    <xf numFmtId="0" fontId="0" fillId="39" borderId="102" xfId="0" applyFont="1" applyFill="1" applyBorder="1" applyAlignment="1">
      <alignment horizontal="left" vertical="top" wrapText="1"/>
    </xf>
    <xf numFmtId="0" fontId="0" fillId="39" borderId="102" xfId="0" applyFont="1" applyFill="1" applyBorder="1" applyAlignment="1">
      <alignment horizontal="center" vertical="center" wrapText="1"/>
    </xf>
    <xf numFmtId="0" fontId="0" fillId="39" borderId="102" xfId="0" applyFont="1" applyFill="1" applyBorder="1"/>
    <xf numFmtId="0" fontId="0" fillId="39" borderId="102" xfId="0" applyFont="1" applyFill="1" applyBorder="1" applyAlignment="1">
      <alignment wrapText="1"/>
    </xf>
    <xf numFmtId="0" fontId="0" fillId="39" borderId="102" xfId="0" applyFont="1" applyFill="1" applyBorder="1" applyAlignment="1">
      <alignment vertical="center" wrapText="1"/>
    </xf>
    <xf numFmtId="0" fontId="0" fillId="39" borderId="30" xfId="0" applyFont="1" applyFill="1" applyBorder="1" applyAlignment="1">
      <alignment horizontal="center" vertical="center" wrapText="1"/>
    </xf>
    <xf numFmtId="0" fontId="3" fillId="39" borderId="30" xfId="0" applyFont="1" applyFill="1" applyBorder="1" applyAlignment="1">
      <alignment horizontal="center" vertical="center" wrapText="1"/>
    </xf>
    <xf numFmtId="9" fontId="0" fillId="39" borderId="30" xfId="5" applyFont="1" applyFill="1" applyBorder="1" applyAlignment="1">
      <alignment horizontal="center"/>
    </xf>
    <xf numFmtId="0" fontId="0" fillId="39" borderId="102" xfId="0" applyFont="1" applyFill="1" applyBorder="1" applyAlignment="1">
      <alignment vertical="top" wrapText="1"/>
    </xf>
    <xf numFmtId="3" fontId="0" fillId="42" borderId="0" xfId="0" applyNumberFormat="1" applyFont="1" applyFill="1"/>
    <xf numFmtId="0" fontId="0" fillId="42" borderId="0" xfId="0" applyFont="1" applyFill="1"/>
    <xf numFmtId="9" fontId="10" fillId="51" borderId="102" xfId="5" applyFont="1" applyFill="1" applyBorder="1" applyAlignment="1">
      <alignment horizontal="center" vertical="center"/>
    </xf>
    <xf numFmtId="170" fontId="0" fillId="51" borderId="102" xfId="9" applyFont="1" applyFill="1" applyBorder="1" applyAlignment="1">
      <alignment vertical="center"/>
    </xf>
    <xf numFmtId="3" fontId="0" fillId="51" borderId="102" xfId="0" applyNumberFormat="1" applyFont="1" applyFill="1" applyBorder="1" applyAlignment="1">
      <alignment vertical="center"/>
    </xf>
    <xf numFmtId="0" fontId="0" fillId="51" borderId="102" xfId="0" applyFont="1" applyFill="1" applyBorder="1"/>
    <xf numFmtId="3" fontId="10" fillId="51" borderId="102" xfId="9" applyNumberFormat="1" applyFont="1" applyFill="1" applyBorder="1" applyAlignment="1">
      <alignment horizontal="center" vertical="center"/>
    </xf>
    <xf numFmtId="3" fontId="0" fillId="51" borderId="102" xfId="9" applyNumberFormat="1" applyFont="1" applyFill="1" applyBorder="1" applyAlignment="1">
      <alignment horizontal="center" vertical="center"/>
    </xf>
    <xf numFmtId="3" fontId="0" fillId="51" borderId="0" xfId="0" applyNumberFormat="1" applyFont="1" applyFill="1"/>
    <xf numFmtId="0" fontId="0" fillId="51" borderId="0" xfId="0" applyFont="1" applyFill="1"/>
    <xf numFmtId="3" fontId="0" fillId="40" borderId="0" xfId="0" applyNumberFormat="1" applyFont="1" applyFill="1"/>
    <xf numFmtId="0" fontId="0" fillId="40" borderId="0" xfId="0" applyFont="1" applyFill="1"/>
    <xf numFmtId="9" fontId="10" fillId="38" borderId="102" xfId="5" applyFont="1" applyFill="1" applyBorder="1" applyAlignment="1">
      <alignment horizontal="center" vertical="center"/>
    </xf>
    <xf numFmtId="170" fontId="0" fillId="38" borderId="102" xfId="9" applyFont="1" applyFill="1" applyBorder="1" applyAlignment="1">
      <alignment vertical="center"/>
    </xf>
    <xf numFmtId="3" fontId="0" fillId="38" borderId="102" xfId="0" applyNumberFormat="1" applyFont="1" applyFill="1" applyBorder="1" applyAlignment="1">
      <alignment vertical="center"/>
    </xf>
    <xf numFmtId="3" fontId="0" fillId="38" borderId="102" xfId="0" applyNumberFormat="1" applyFont="1" applyFill="1" applyBorder="1"/>
    <xf numFmtId="3" fontId="10" fillId="38" borderId="102" xfId="9" applyNumberFormat="1" applyFont="1" applyFill="1" applyBorder="1" applyAlignment="1">
      <alignment horizontal="center" vertical="center"/>
    </xf>
    <xf numFmtId="3" fontId="0" fillId="38" borderId="102" xfId="9" applyNumberFormat="1" applyFont="1" applyFill="1" applyBorder="1" applyAlignment="1">
      <alignment horizontal="center" vertical="center"/>
    </xf>
    <xf numFmtId="3" fontId="10" fillId="38" borderId="102" xfId="0" applyNumberFormat="1" applyFont="1" applyFill="1" applyBorder="1" applyAlignment="1">
      <alignment horizontal="center" vertical="center"/>
    </xf>
    <xf numFmtId="3" fontId="0" fillId="38" borderId="0" xfId="0" applyNumberFormat="1" applyFont="1" applyFill="1"/>
    <xf numFmtId="0" fontId="0" fillId="38" borderId="0" xfId="0" applyFont="1" applyFill="1"/>
    <xf numFmtId="0" fontId="10" fillId="38" borderId="102" xfId="0" applyFont="1" applyFill="1" applyBorder="1" applyAlignment="1">
      <alignment vertical="center"/>
    </xf>
    <xf numFmtId="0" fontId="10" fillId="38" borderId="102" xfId="0" applyFont="1" applyFill="1" applyBorder="1" applyAlignment="1">
      <alignment horizontal="center" vertical="center"/>
    </xf>
    <xf numFmtId="9" fontId="11" fillId="38" borderId="102" xfId="0" applyNumberFormat="1" applyFont="1" applyFill="1" applyBorder="1" applyAlignment="1">
      <alignment horizontal="center" vertical="center" wrapText="1"/>
    </xf>
    <xf numFmtId="9" fontId="11" fillId="39" borderId="102" xfId="0" applyNumberFormat="1" applyFont="1" applyFill="1" applyBorder="1" applyAlignment="1">
      <alignment horizontal="center" vertical="center" wrapText="1"/>
    </xf>
    <xf numFmtId="9" fontId="0" fillId="39" borderId="102" xfId="0" applyNumberFormat="1" applyFont="1" applyFill="1" applyBorder="1" applyAlignment="1">
      <alignment horizontal="center" vertical="center"/>
    </xf>
    <xf numFmtId="190" fontId="0" fillId="39" borderId="102" xfId="0" applyNumberFormat="1" applyFont="1" applyFill="1" applyBorder="1" applyAlignment="1">
      <alignment horizontal="center" vertical="center"/>
    </xf>
    <xf numFmtId="3" fontId="0" fillId="39" borderId="102" xfId="0" applyNumberFormat="1" applyFont="1" applyFill="1" applyBorder="1" applyAlignment="1">
      <alignment horizontal="center" vertical="center" wrapText="1"/>
    </xf>
    <xf numFmtId="3" fontId="0" fillId="39" borderId="102" xfId="0" applyNumberFormat="1" applyFont="1" applyFill="1" applyBorder="1" applyAlignment="1">
      <alignment horizontal="center" vertical="center"/>
    </xf>
    <xf numFmtId="3" fontId="0" fillId="39" borderId="0" xfId="0" applyNumberFormat="1" applyFont="1" applyFill="1"/>
    <xf numFmtId="9" fontId="10" fillId="39" borderId="102" xfId="0" applyNumberFormat="1" applyFont="1" applyFill="1" applyBorder="1" applyAlignment="1">
      <alignment horizontal="center" vertical="center" wrapText="1"/>
    </xf>
    <xf numFmtId="191" fontId="0" fillId="39" borderId="102" xfId="10" applyNumberFormat="1" applyFont="1" applyFill="1" applyBorder="1"/>
    <xf numFmtId="3" fontId="11" fillId="39" borderId="102" xfId="0" applyNumberFormat="1" applyFont="1" applyFill="1" applyBorder="1" applyAlignment="1">
      <alignment horizontal="center" vertical="center" wrapText="1"/>
    </xf>
    <xf numFmtId="3" fontId="0" fillId="39" borderId="102" xfId="10" applyNumberFormat="1" applyFont="1" applyFill="1" applyBorder="1" applyAlignment="1">
      <alignment horizontal="center" vertical="center"/>
    </xf>
    <xf numFmtId="0" fontId="0" fillId="39" borderId="102" xfId="0" applyFont="1" applyFill="1" applyBorder="1" applyAlignment="1">
      <alignment vertical="top"/>
    </xf>
    <xf numFmtId="0" fontId="10" fillId="39" borderId="102" xfId="0" applyFont="1" applyFill="1" applyBorder="1" applyAlignment="1">
      <alignment wrapText="1"/>
    </xf>
    <xf numFmtId="3" fontId="11" fillId="39" borderId="102" xfId="0" applyNumberFormat="1" applyFont="1" applyFill="1" applyBorder="1" applyAlignment="1">
      <alignment horizontal="center" vertical="center"/>
    </xf>
    <xf numFmtId="3" fontId="11" fillId="39" borderId="102" xfId="13" applyNumberFormat="1" applyFont="1" applyFill="1" applyBorder="1" applyAlignment="1">
      <alignment horizontal="center" vertical="center"/>
    </xf>
    <xf numFmtId="9" fontId="10" fillId="39" borderId="102" xfId="5" applyFont="1" applyFill="1" applyBorder="1" applyAlignment="1">
      <alignment horizontal="center"/>
    </xf>
    <xf numFmtId="0" fontId="11" fillId="39" borderId="102" xfId="0" applyFont="1" applyFill="1" applyBorder="1" applyAlignment="1">
      <alignment horizontal="center" vertical="center"/>
    </xf>
    <xf numFmtId="191" fontId="0" fillId="39" borderId="102" xfId="10" applyNumberFormat="1" applyFont="1" applyFill="1" applyBorder="1" applyAlignment="1">
      <alignment horizontal="center" vertical="center"/>
    </xf>
    <xf numFmtId="190" fontId="0" fillId="41" borderId="102" xfId="0" applyNumberFormat="1" applyFont="1" applyFill="1" applyBorder="1" applyAlignment="1">
      <alignment horizontal="center" vertical="center"/>
    </xf>
    <xf numFmtId="0" fontId="11" fillId="41" borderId="102" xfId="0" applyFont="1" applyFill="1" applyBorder="1" applyAlignment="1">
      <alignment horizontal="left" vertical="center" wrapText="1"/>
    </xf>
    <xf numFmtId="3" fontId="0" fillId="41" borderId="0" xfId="0" applyNumberFormat="1" applyFont="1" applyFill="1"/>
    <xf numFmtId="0" fontId="0" fillId="41" borderId="0" xfId="0" applyFont="1" applyFill="1"/>
    <xf numFmtId="10" fontId="11" fillId="41" borderId="102" xfId="0" applyNumberFormat="1" applyFont="1" applyFill="1" applyBorder="1" applyAlignment="1">
      <alignment horizontal="center" vertical="center" wrapText="1"/>
    </xf>
    <xf numFmtId="9" fontId="10" fillId="41" borderId="102" xfId="5" applyFont="1" applyFill="1" applyBorder="1" applyAlignment="1">
      <alignment horizontal="center" vertical="center"/>
    </xf>
    <xf numFmtId="170" fontId="0" fillId="41" borderId="102" xfId="9" applyFont="1" applyFill="1" applyBorder="1" applyAlignment="1">
      <alignment vertical="center"/>
    </xf>
    <xf numFmtId="3" fontId="0" fillId="41" borderId="102" xfId="0" applyNumberFormat="1" applyFont="1" applyFill="1" applyBorder="1" applyAlignment="1">
      <alignment vertical="center"/>
    </xf>
    <xf numFmtId="3" fontId="10" fillId="41" borderId="102" xfId="9" applyNumberFormat="1" applyFont="1" applyFill="1" applyBorder="1" applyAlignment="1">
      <alignment horizontal="center" vertical="center"/>
    </xf>
    <xf numFmtId="3" fontId="0" fillId="41" borderId="102" xfId="9" applyNumberFormat="1" applyFont="1" applyFill="1" applyBorder="1" applyAlignment="1">
      <alignment horizontal="center" vertical="center"/>
    </xf>
    <xf numFmtId="0" fontId="0" fillId="41" borderId="102" xfId="0" applyFont="1" applyFill="1" applyBorder="1" applyAlignment="1">
      <alignment wrapText="1"/>
    </xf>
    <xf numFmtId="9" fontId="0" fillId="7" borderId="102" xfId="0" applyNumberFormat="1" applyFont="1" applyFill="1" applyBorder="1"/>
    <xf numFmtId="190" fontId="0" fillId="7" borderId="102" xfId="0" applyNumberFormat="1" applyFont="1" applyFill="1" applyBorder="1" applyAlignment="1">
      <alignment horizontal="center" vertical="center"/>
    </xf>
    <xf numFmtId="0" fontId="11" fillId="7" borderId="102" xfId="0" applyFont="1" applyFill="1" applyBorder="1" applyAlignment="1">
      <alignment vertical="center" wrapText="1"/>
    </xf>
    <xf numFmtId="3" fontId="0" fillId="7" borderId="0" xfId="0" applyNumberFormat="1" applyFont="1" applyFill="1"/>
    <xf numFmtId="0" fontId="0" fillId="7" borderId="0" xfId="0" applyFont="1" applyFill="1"/>
    <xf numFmtId="9" fontId="11" fillId="7" borderId="102" xfId="0" applyNumberFormat="1" applyFont="1" applyFill="1" applyBorder="1" applyAlignment="1">
      <alignment horizontal="center" vertical="center" wrapText="1"/>
    </xf>
    <xf numFmtId="3" fontId="10" fillId="7" borderId="102" xfId="9" applyNumberFormat="1" applyFont="1" applyFill="1" applyBorder="1" applyAlignment="1">
      <alignment horizontal="center" vertical="center"/>
    </xf>
    <xf numFmtId="3" fontId="0" fillId="7" borderId="102" xfId="9" applyNumberFormat="1" applyFont="1" applyFill="1" applyBorder="1" applyAlignment="1">
      <alignment horizontal="center" vertical="center"/>
    </xf>
    <xf numFmtId="170" fontId="0" fillId="7" borderId="102" xfId="9" applyFont="1" applyFill="1" applyBorder="1" applyAlignment="1">
      <alignment vertical="center"/>
    </xf>
    <xf numFmtId="9" fontId="10" fillId="7" borderId="102" xfId="5" applyFont="1" applyFill="1" applyBorder="1" applyAlignment="1">
      <alignment horizontal="center" vertical="center"/>
    </xf>
    <xf numFmtId="0" fontId="11" fillId="7" borderId="102" xfId="0" applyFont="1" applyFill="1" applyBorder="1" applyAlignment="1">
      <alignment horizontal="left" vertical="center" wrapText="1"/>
    </xf>
    <xf numFmtId="0" fontId="0" fillId="7" borderId="102" xfId="0" applyFont="1" applyFill="1" applyBorder="1" applyAlignment="1">
      <alignment wrapText="1"/>
    </xf>
    <xf numFmtId="0" fontId="10" fillId="41" borderId="102" xfId="0" applyFont="1" applyFill="1" applyBorder="1" applyAlignment="1">
      <alignment wrapText="1"/>
    </xf>
    <xf numFmtId="0" fontId="0" fillId="41" borderId="8" xfId="8" applyFont="1" applyFill="1" applyBorder="1" applyAlignment="1" applyProtection="1">
      <alignment horizontal="center" vertical="center" wrapText="1"/>
      <protection locked="0"/>
    </xf>
    <xf numFmtId="3" fontId="0" fillId="41" borderId="8" xfId="8" applyNumberFormat="1" applyFont="1" applyFill="1" applyBorder="1" applyAlignment="1" applyProtection="1">
      <alignment horizontal="center" vertical="center"/>
      <protection locked="0"/>
    </xf>
    <xf numFmtId="3" fontId="3" fillId="41" borderId="8" xfId="8" applyNumberFormat="1" applyFont="1" applyFill="1" applyBorder="1" applyAlignment="1" applyProtection="1">
      <alignment horizontal="center" vertical="center"/>
      <protection locked="0"/>
    </xf>
    <xf numFmtId="0" fontId="0" fillId="41" borderId="71" xfId="0" applyFont="1" applyFill="1" applyBorder="1" applyAlignment="1">
      <alignment horizontal="center" vertical="center"/>
    </xf>
    <xf numFmtId="0" fontId="10" fillId="41" borderId="71" xfId="0" applyFont="1" applyFill="1" applyBorder="1" applyAlignment="1">
      <alignment horizontal="center" vertical="center"/>
    </xf>
    <xf numFmtId="0" fontId="0" fillId="41" borderId="77" xfId="0" applyFont="1" applyFill="1" applyBorder="1" applyAlignment="1">
      <alignment horizontal="center" vertical="center"/>
    </xf>
    <xf numFmtId="0" fontId="11" fillId="41" borderId="8" xfId="0" applyFont="1" applyFill="1" applyBorder="1" applyAlignment="1" applyProtection="1">
      <alignment horizontal="center" vertical="center" wrapText="1"/>
      <protection locked="0"/>
    </xf>
    <xf numFmtId="0" fontId="0" fillId="41" borderId="71" xfId="0" applyFont="1" applyFill="1" applyBorder="1" applyAlignment="1">
      <alignment wrapText="1"/>
    </xf>
    <xf numFmtId="0" fontId="0" fillId="41" borderId="71" xfId="0" applyFont="1" applyFill="1" applyBorder="1"/>
    <xf numFmtId="0" fontId="0" fillId="41" borderId="30" xfId="8" applyFont="1" applyFill="1" applyBorder="1" applyAlignment="1" applyProtection="1">
      <alignment horizontal="center" vertical="center" wrapText="1"/>
      <protection locked="0"/>
    </xf>
    <xf numFmtId="3" fontId="0" fillId="41" borderId="30" xfId="8" applyNumberFormat="1" applyFont="1" applyFill="1" applyBorder="1" applyAlignment="1" applyProtection="1">
      <alignment horizontal="center" vertical="center"/>
      <protection locked="0"/>
    </xf>
    <xf numFmtId="3" fontId="3" fillId="41" borderId="30" xfId="8" applyNumberFormat="1" applyFont="1" applyFill="1" applyBorder="1" applyAlignment="1" applyProtection="1">
      <alignment horizontal="center" vertical="center"/>
      <protection locked="0"/>
    </xf>
    <xf numFmtId="9" fontId="0" fillId="41" borderId="30" xfId="5" applyFont="1" applyFill="1" applyBorder="1" applyAlignment="1">
      <alignment horizontal="center" vertical="center"/>
    </xf>
    <xf numFmtId="191" fontId="0" fillId="41" borderId="30" xfId="10" applyNumberFormat="1" applyFont="1" applyFill="1" applyBorder="1"/>
    <xf numFmtId="0" fontId="0" fillId="41" borderId="31" xfId="0" applyFont="1" applyFill="1" applyBorder="1"/>
    <xf numFmtId="0" fontId="11" fillId="41" borderId="30" xfId="0" applyFont="1" applyFill="1" applyBorder="1" applyAlignment="1" applyProtection="1">
      <alignment horizontal="center" vertical="center" wrapText="1"/>
      <protection locked="0"/>
    </xf>
    <xf numFmtId="0" fontId="0" fillId="41" borderId="30" xfId="0" applyFont="1" applyFill="1" applyBorder="1" applyAlignment="1" applyProtection="1">
      <alignment horizontal="center" vertical="center" wrapText="1"/>
      <protection locked="0"/>
    </xf>
    <xf numFmtId="0" fontId="11" fillId="42" borderId="32" xfId="8" applyFont="1" applyFill="1" applyBorder="1" applyAlignment="1">
      <alignment horizontal="left" vertical="center" wrapText="1"/>
    </xf>
    <xf numFmtId="0" fontId="0" fillId="42" borderId="32" xfId="8" applyFont="1" applyFill="1" applyBorder="1" applyAlignment="1" applyProtection="1">
      <alignment horizontal="center" vertical="center" wrapText="1"/>
      <protection locked="0"/>
    </xf>
    <xf numFmtId="3" fontId="0" fillId="42" borderId="32" xfId="8" applyNumberFormat="1" applyFont="1" applyFill="1" applyBorder="1" applyAlignment="1">
      <alignment horizontal="center" vertical="center" wrapText="1"/>
    </xf>
    <xf numFmtId="3" fontId="0" fillId="42" borderId="32" xfId="8" applyNumberFormat="1" applyFont="1" applyFill="1" applyBorder="1" applyAlignment="1">
      <alignment horizontal="center" vertical="center"/>
    </xf>
    <xf numFmtId="9" fontId="0" fillId="42" borderId="32" xfId="5" applyFont="1" applyFill="1" applyBorder="1" applyAlignment="1">
      <alignment horizontal="center" vertical="center"/>
    </xf>
    <xf numFmtId="0" fontId="0" fillId="42" borderId="32" xfId="0" applyFont="1" applyFill="1" applyBorder="1" applyAlignment="1">
      <alignment vertical="center" wrapText="1"/>
    </xf>
    <xf numFmtId="0" fontId="0" fillId="42" borderId="32" xfId="0" applyFont="1" applyFill="1" applyBorder="1"/>
    <xf numFmtId="0" fontId="0" fillId="42" borderId="52" xfId="0" applyFont="1" applyFill="1" applyBorder="1"/>
    <xf numFmtId="0" fontId="0" fillId="42" borderId="8" xfId="0" applyFont="1" applyFill="1" applyBorder="1" applyAlignment="1">
      <alignment horizontal="center" vertical="center"/>
    </xf>
    <xf numFmtId="0" fontId="11" fillId="42" borderId="30" xfId="8" applyFont="1" applyFill="1" applyBorder="1" applyAlignment="1">
      <alignment horizontal="left" vertical="center" wrapText="1"/>
    </xf>
    <xf numFmtId="0" fontId="0" fillId="42" borderId="30" xfId="8" applyFont="1" applyFill="1" applyBorder="1" applyAlignment="1">
      <alignment horizontal="center" vertical="center"/>
    </xf>
    <xf numFmtId="0" fontId="0" fillId="42" borderId="30" xfId="8" applyFont="1" applyFill="1" applyBorder="1" applyAlignment="1">
      <alignment horizontal="center" vertical="center" wrapText="1"/>
    </xf>
    <xf numFmtId="0" fontId="0" fillId="42" borderId="30" xfId="8" applyFont="1" applyFill="1" applyBorder="1" applyAlignment="1" applyProtection="1">
      <alignment horizontal="center" vertical="center" wrapText="1"/>
      <protection locked="0"/>
    </xf>
    <xf numFmtId="3" fontId="0" fillId="42" borderId="30" xfId="8" applyNumberFormat="1" applyFont="1" applyFill="1" applyBorder="1" applyAlignment="1">
      <alignment horizontal="center" vertical="center" wrapText="1"/>
    </xf>
    <xf numFmtId="3" fontId="0" fillId="42" borderId="30" xfId="8" applyNumberFormat="1" applyFont="1" applyFill="1" applyBorder="1" applyAlignment="1">
      <alignment horizontal="center" vertical="center"/>
    </xf>
    <xf numFmtId="0" fontId="0" fillId="42" borderId="30" xfId="0" applyFont="1" applyFill="1" applyBorder="1" applyAlignment="1">
      <alignment vertical="center" wrapText="1"/>
    </xf>
    <xf numFmtId="0" fontId="0" fillId="42" borderId="30" xfId="0" applyFont="1" applyFill="1" applyBorder="1"/>
    <xf numFmtId="191" fontId="0" fillId="42" borderId="30" xfId="10" applyNumberFormat="1" applyFont="1" applyFill="1" applyBorder="1" applyAlignment="1">
      <alignment horizontal="center" vertical="center"/>
    </xf>
    <xf numFmtId="0" fontId="0" fillId="42" borderId="31" xfId="0" applyFont="1" applyFill="1" applyBorder="1"/>
    <xf numFmtId="0" fontId="11" fillId="42" borderId="30" xfId="0" applyFont="1" applyFill="1" applyBorder="1" applyAlignment="1" applyProtection="1">
      <alignment horizontal="center" vertical="center" wrapText="1"/>
      <protection locked="0"/>
    </xf>
    <xf numFmtId="0" fontId="0" fillId="42" borderId="30" xfId="0" applyFont="1" applyFill="1" applyBorder="1" applyAlignment="1">
      <alignment horizontal="center" vertical="center"/>
    </xf>
    <xf numFmtId="3" fontId="0" fillId="43" borderId="32" xfId="8" applyNumberFormat="1" applyFont="1" applyFill="1" applyBorder="1" applyAlignment="1">
      <alignment horizontal="center" vertical="center" wrapText="1"/>
    </xf>
    <xf numFmtId="3" fontId="0" fillId="43" borderId="32" xfId="8" applyNumberFormat="1" applyFont="1" applyFill="1" applyBorder="1" applyAlignment="1">
      <alignment horizontal="center" vertical="center"/>
    </xf>
    <xf numFmtId="9" fontId="0" fillId="43" borderId="32" xfId="0" applyNumberFormat="1" applyFont="1" applyFill="1" applyBorder="1"/>
    <xf numFmtId="0" fontId="0" fillId="43" borderId="32" xfId="0" applyFont="1" applyFill="1" applyBorder="1" applyAlignment="1">
      <alignment horizontal="center" wrapText="1"/>
    </xf>
    <xf numFmtId="0" fontId="0" fillId="43" borderId="32" xfId="0" applyFont="1" applyFill="1" applyBorder="1"/>
    <xf numFmtId="186" fontId="0" fillId="43" borderId="32" xfId="0" applyNumberFormat="1" applyFont="1" applyFill="1" applyBorder="1" applyAlignment="1">
      <alignment horizontal="center" vertical="center"/>
    </xf>
    <xf numFmtId="0" fontId="0" fillId="43" borderId="32" xfId="0" applyFont="1" applyFill="1" applyBorder="1" applyAlignment="1">
      <alignment horizontal="center" vertical="center"/>
    </xf>
    <xf numFmtId="0" fontId="0" fillId="43" borderId="52" xfId="0" applyFont="1" applyFill="1" applyBorder="1"/>
    <xf numFmtId="3" fontId="0" fillId="43" borderId="0" xfId="0" applyNumberFormat="1" applyFont="1" applyFill="1"/>
    <xf numFmtId="0" fontId="0" fillId="43" borderId="30" xfId="8" applyFont="1" applyFill="1" applyBorder="1" applyAlignment="1">
      <alignment horizontal="center" vertical="center"/>
    </xf>
    <xf numFmtId="0" fontId="0" fillId="43" borderId="30" xfId="8" applyFont="1" applyFill="1" applyBorder="1" applyAlignment="1">
      <alignment horizontal="center" vertical="center" wrapText="1"/>
    </xf>
    <xf numFmtId="3" fontId="0" fillId="43" borderId="30" xfId="8" applyNumberFormat="1" applyFont="1" applyFill="1" applyBorder="1" applyAlignment="1">
      <alignment horizontal="center" vertical="center"/>
    </xf>
    <xf numFmtId="0" fontId="0" fillId="43" borderId="30" xfId="0" applyFont="1" applyFill="1" applyBorder="1"/>
    <xf numFmtId="0" fontId="0" fillId="43" borderId="31" xfId="0" applyFont="1" applyFill="1" applyBorder="1"/>
    <xf numFmtId="0" fontId="11" fillId="29" borderId="32" xfId="8" applyFont="1" applyFill="1" applyBorder="1" applyAlignment="1">
      <alignment horizontal="left" vertical="center" wrapText="1"/>
    </xf>
    <xf numFmtId="0" fontId="11" fillId="29" borderId="32" xfId="8" applyFont="1" applyFill="1" applyBorder="1" applyAlignment="1">
      <alignment horizontal="center" vertical="center"/>
    </xf>
    <xf numFmtId="3" fontId="0" fillId="29" borderId="32" xfId="8" applyNumberFormat="1" applyFont="1" applyFill="1" applyBorder="1" applyAlignment="1">
      <alignment horizontal="center" vertical="center"/>
    </xf>
    <xf numFmtId="9" fontId="0" fillId="29" borderId="32" xfId="0" applyNumberFormat="1" applyFont="1" applyFill="1" applyBorder="1" applyAlignment="1">
      <alignment horizontal="center" vertical="center"/>
    </xf>
    <xf numFmtId="0" fontId="0" fillId="29" borderId="32" xfId="0" applyFont="1" applyFill="1" applyBorder="1" applyAlignment="1">
      <alignment vertical="center" wrapText="1"/>
    </xf>
    <xf numFmtId="174" fontId="0" fillId="29" borderId="32" xfId="0" applyNumberFormat="1" applyFont="1" applyFill="1" applyBorder="1" applyAlignment="1">
      <alignment vertical="center"/>
    </xf>
    <xf numFmtId="174" fontId="0" fillId="29" borderId="32" xfId="9" applyNumberFormat="1" applyFont="1" applyFill="1" applyBorder="1" applyAlignment="1">
      <alignment vertical="center"/>
    </xf>
    <xf numFmtId="170" fontId="0" fillId="29" borderId="32" xfId="9" applyFont="1" applyFill="1" applyBorder="1" applyAlignment="1">
      <alignment vertical="center"/>
    </xf>
    <xf numFmtId="0" fontId="0" fillId="29" borderId="32" xfId="0" applyFont="1" applyFill="1" applyBorder="1" applyAlignment="1">
      <alignment horizontal="center" vertical="center"/>
    </xf>
    <xf numFmtId="0" fontId="0" fillId="29" borderId="32" xfId="0" applyFont="1" applyFill="1" applyBorder="1" applyAlignment="1">
      <alignment vertical="center"/>
    </xf>
    <xf numFmtId="0" fontId="0" fillId="29" borderId="32" xfId="0" applyFont="1" applyFill="1" applyBorder="1"/>
    <xf numFmtId="0" fontId="0" fillId="29" borderId="52" xfId="0" applyFont="1" applyFill="1" applyBorder="1"/>
    <xf numFmtId="3" fontId="0" fillId="29" borderId="0" xfId="0" applyNumberFormat="1" applyFont="1" applyFill="1"/>
    <xf numFmtId="0" fontId="11" fillId="29" borderId="30" xfId="8" applyFont="1" applyFill="1" applyBorder="1" applyAlignment="1">
      <alignment horizontal="center" vertical="center"/>
    </xf>
    <xf numFmtId="0" fontId="0" fillId="29" borderId="30" xfId="8" applyFont="1" applyFill="1" applyBorder="1" applyAlignment="1">
      <alignment horizontal="center" vertical="center" wrapText="1"/>
    </xf>
    <xf numFmtId="0" fontId="0" fillId="29" borderId="30" xfId="8" applyFont="1" applyFill="1" applyBorder="1" applyAlignment="1">
      <alignment horizontal="center" vertical="center"/>
    </xf>
    <xf numFmtId="3" fontId="0" fillId="29" borderId="30" xfId="8" applyNumberFormat="1" applyFont="1" applyFill="1" applyBorder="1" applyAlignment="1">
      <alignment horizontal="center" vertical="center"/>
    </xf>
    <xf numFmtId="174" fontId="0" fillId="29" borderId="30" xfId="0" applyNumberFormat="1" applyFont="1" applyFill="1" applyBorder="1" applyAlignment="1">
      <alignment vertical="center"/>
    </xf>
    <xf numFmtId="0" fontId="0" fillId="29" borderId="30" xfId="0" applyFont="1" applyFill="1" applyBorder="1" applyAlignment="1">
      <alignment horizontal="center" vertical="center"/>
    </xf>
    <xf numFmtId="170" fontId="0" fillId="39" borderId="32" xfId="9" applyFont="1" applyFill="1" applyBorder="1" applyAlignment="1">
      <alignment horizontal="center" vertical="center" wrapText="1"/>
    </xf>
    <xf numFmtId="3" fontId="0" fillId="39" borderId="32" xfId="8" applyNumberFormat="1" applyFont="1" applyFill="1" applyBorder="1" applyAlignment="1">
      <alignment horizontal="center" vertical="center"/>
    </xf>
    <xf numFmtId="0" fontId="0" fillId="39" borderId="32" xfId="0" applyFont="1" applyFill="1" applyBorder="1" applyAlignment="1">
      <alignment horizontal="center"/>
    </xf>
    <xf numFmtId="176" fontId="0" fillId="39" borderId="32" xfId="0" applyNumberFormat="1" applyFont="1" applyFill="1" applyBorder="1" applyAlignment="1">
      <alignment horizontal="center" vertical="center"/>
    </xf>
    <xf numFmtId="0" fontId="0" fillId="39" borderId="38" xfId="0" applyFont="1" applyFill="1" applyBorder="1" applyAlignment="1">
      <alignment horizontal="center"/>
    </xf>
    <xf numFmtId="0" fontId="0" fillId="39" borderId="54" xfId="0" applyFont="1" applyFill="1" applyBorder="1" applyAlignment="1">
      <alignment horizontal="center"/>
    </xf>
    <xf numFmtId="0" fontId="0" fillId="39" borderId="32" xfId="0" applyFont="1" applyFill="1" applyBorder="1"/>
    <xf numFmtId="0" fontId="0" fillId="39" borderId="52" xfId="0" applyFont="1" applyFill="1" applyBorder="1"/>
    <xf numFmtId="0" fontId="11" fillId="39" borderId="0" xfId="0" applyFont="1" applyFill="1" applyBorder="1"/>
    <xf numFmtId="0" fontId="11" fillId="39" borderId="30" xfId="8" applyFont="1" applyFill="1" applyBorder="1" applyAlignment="1">
      <alignment horizontal="left" vertical="center" wrapText="1"/>
    </xf>
    <xf numFmtId="0" fontId="0" fillId="39" borderId="30" xfId="8" applyFont="1" applyFill="1" applyBorder="1" applyAlignment="1">
      <alignment horizontal="center" vertical="center" wrapText="1"/>
    </xf>
    <xf numFmtId="0" fontId="0" fillId="39" borderId="30" xfId="8" applyFont="1" applyFill="1" applyBorder="1" applyAlignment="1">
      <alignment horizontal="justify" vertical="center" wrapText="1"/>
    </xf>
    <xf numFmtId="3" fontId="0" fillId="39" borderId="30" xfId="8" applyNumberFormat="1" applyFont="1" applyFill="1" applyBorder="1" applyAlignment="1">
      <alignment horizontal="center" vertical="center"/>
    </xf>
    <xf numFmtId="0" fontId="0" fillId="39" borderId="30" xfId="0" applyFont="1" applyFill="1" applyBorder="1" applyAlignment="1">
      <alignment horizontal="center"/>
    </xf>
    <xf numFmtId="176" fontId="0" fillId="39" borderId="30" xfId="0" applyNumberFormat="1" applyFont="1" applyFill="1" applyBorder="1" applyAlignment="1">
      <alignment horizontal="center" vertical="center"/>
    </xf>
    <xf numFmtId="0" fontId="0" fillId="39" borderId="66" xfId="0" applyFont="1" applyFill="1" applyBorder="1" applyAlignment="1">
      <alignment horizontal="center"/>
    </xf>
    <xf numFmtId="0" fontId="0" fillId="39" borderId="53" xfId="0" applyFont="1" applyFill="1" applyBorder="1" applyAlignment="1">
      <alignment horizontal="center"/>
    </xf>
    <xf numFmtId="0" fontId="0" fillId="39" borderId="30" xfId="0" applyFont="1" applyFill="1" applyBorder="1"/>
    <xf numFmtId="0" fontId="0" fillId="39" borderId="31" xfId="0" applyFont="1" applyFill="1" applyBorder="1"/>
    <xf numFmtId="0" fontId="11" fillId="38" borderId="32" xfId="8" applyFont="1" applyFill="1" applyBorder="1" applyAlignment="1">
      <alignment horizontal="left" vertical="center" wrapText="1"/>
    </xf>
    <xf numFmtId="0" fontId="0" fillId="38" borderId="32" xfId="8" applyFont="1" applyFill="1" applyBorder="1" applyAlignment="1">
      <alignment horizontal="justify" vertical="center" wrapText="1"/>
    </xf>
    <xf numFmtId="0" fontId="0" fillId="38" borderId="32" xfId="8" applyFont="1" applyFill="1" applyBorder="1" applyAlignment="1">
      <alignment horizontal="center" vertical="center"/>
    </xf>
    <xf numFmtId="3" fontId="0" fillId="38" borderId="32" xfId="8" applyNumberFormat="1" applyFont="1" applyFill="1" applyBorder="1" applyAlignment="1">
      <alignment horizontal="center" vertical="center"/>
    </xf>
    <xf numFmtId="9" fontId="0" fillId="38" borderId="32" xfId="0" applyNumberFormat="1" applyFont="1" applyFill="1" applyBorder="1" applyAlignment="1">
      <alignment horizontal="center" vertical="center"/>
    </xf>
    <xf numFmtId="0" fontId="0" fillId="38" borderId="32" xfId="0" applyFont="1" applyFill="1" applyBorder="1"/>
    <xf numFmtId="0" fontId="0" fillId="38" borderId="32" xfId="0" applyFont="1" applyFill="1" applyBorder="1" applyAlignment="1">
      <alignment horizontal="center" vertical="center"/>
    </xf>
    <xf numFmtId="0" fontId="0" fillId="38" borderId="52" xfId="0" applyFont="1" applyFill="1" applyBorder="1"/>
    <xf numFmtId="0" fontId="11" fillId="38" borderId="30" xfId="8" applyFont="1" applyFill="1" applyBorder="1" applyAlignment="1">
      <alignment horizontal="left" vertical="center" wrapText="1"/>
    </xf>
    <xf numFmtId="0" fontId="0" fillId="38" borderId="30" xfId="8" applyFont="1" applyFill="1" applyBorder="1" applyAlignment="1">
      <alignment horizontal="center" vertical="center" wrapText="1"/>
    </xf>
    <xf numFmtId="0" fontId="0" fillId="38" borderId="30" xfId="8" applyFont="1" applyFill="1" applyBorder="1" applyAlignment="1">
      <alignment horizontal="justify" vertical="center" wrapText="1"/>
    </xf>
    <xf numFmtId="3" fontId="0" fillId="38" borderId="30" xfId="8" applyNumberFormat="1" applyFont="1" applyFill="1" applyBorder="1" applyAlignment="1">
      <alignment horizontal="center" vertical="center"/>
    </xf>
    <xf numFmtId="9" fontId="10" fillId="38" borderId="30" xfId="0" applyNumberFormat="1" applyFont="1" applyFill="1" applyBorder="1"/>
    <xf numFmtId="0" fontId="0" fillId="38" borderId="31" xfId="0" applyFont="1" applyFill="1" applyBorder="1"/>
    <xf numFmtId="0" fontId="11" fillId="38" borderId="30" xfId="0" applyFont="1" applyFill="1" applyBorder="1" applyAlignment="1" applyProtection="1">
      <alignment horizontal="center" vertical="center" wrapText="1"/>
      <protection locked="0"/>
    </xf>
    <xf numFmtId="0" fontId="0" fillId="41" borderId="32" xfId="8" applyFont="1" applyFill="1" applyBorder="1" applyAlignment="1">
      <alignment horizontal="justify" vertical="center" wrapText="1"/>
    </xf>
    <xf numFmtId="3" fontId="0" fillId="41" borderId="32" xfId="8" applyNumberFormat="1" applyFont="1" applyFill="1" applyBorder="1" applyAlignment="1">
      <alignment horizontal="right" vertical="center"/>
    </xf>
    <xf numFmtId="0" fontId="10" fillId="41" borderId="11" xfId="0" applyFont="1" applyFill="1" applyBorder="1" applyAlignment="1" applyProtection="1">
      <alignment horizontal="center" vertical="center" wrapText="1"/>
      <protection locked="0"/>
    </xf>
    <xf numFmtId="3" fontId="10" fillId="41" borderId="32" xfId="8" applyNumberFormat="1" applyFont="1" applyFill="1" applyBorder="1" applyAlignment="1">
      <alignment horizontal="center" vertical="center"/>
    </xf>
    <xf numFmtId="0" fontId="0" fillId="41" borderId="30" xfId="8" applyFont="1" applyFill="1" applyBorder="1" applyAlignment="1">
      <alignment horizontal="center" vertical="center" wrapText="1"/>
    </xf>
    <xf numFmtId="3" fontId="0" fillId="41" borderId="30" xfId="8" applyNumberFormat="1" applyFont="1" applyFill="1" applyBorder="1" applyAlignment="1">
      <alignment horizontal="right" vertical="center" wrapText="1"/>
    </xf>
    <xf numFmtId="3" fontId="0" fillId="41" borderId="30" xfId="8" applyNumberFormat="1" applyFont="1" applyFill="1" applyBorder="1" applyAlignment="1">
      <alignment horizontal="right" vertical="center"/>
    </xf>
    <xf numFmtId="0" fontId="0" fillId="41" borderId="31" xfId="0" applyFont="1" applyFill="1" applyBorder="1" applyAlignment="1">
      <alignment horizontal="center" vertical="center"/>
    </xf>
    <xf numFmtId="0" fontId="0" fillId="40" borderId="32" xfId="8" applyFont="1" applyFill="1" applyBorder="1" applyAlignment="1">
      <alignment horizontal="center" vertical="center" wrapText="1"/>
    </xf>
    <xf numFmtId="3" fontId="0" fillId="40" borderId="32" xfId="8" applyNumberFormat="1" applyFont="1" applyFill="1" applyBorder="1" applyAlignment="1">
      <alignment horizontal="center" vertical="center" wrapText="1"/>
    </xf>
    <xf numFmtId="3" fontId="0" fillId="40" borderId="32" xfId="8" applyNumberFormat="1" applyFont="1" applyFill="1" applyBorder="1" applyAlignment="1">
      <alignment horizontal="center" vertical="center"/>
    </xf>
    <xf numFmtId="9" fontId="0" fillId="40" borderId="32" xfId="0" applyNumberFormat="1" applyFont="1" applyFill="1" applyBorder="1"/>
    <xf numFmtId="0" fontId="0" fillId="40" borderId="32" xfId="0" applyFont="1" applyFill="1" applyBorder="1"/>
    <xf numFmtId="3" fontId="0" fillId="40" borderId="32" xfId="0" applyNumberFormat="1" applyFont="1" applyFill="1" applyBorder="1"/>
    <xf numFmtId="0" fontId="0" fillId="40" borderId="52" xfId="0" applyFont="1" applyFill="1" applyBorder="1"/>
    <xf numFmtId="0" fontId="0" fillId="40" borderId="32" xfId="0" applyFont="1" applyFill="1" applyBorder="1" applyAlignment="1">
      <alignment vertical="center" wrapText="1"/>
    </xf>
    <xf numFmtId="0" fontId="0" fillId="40" borderId="30" xfId="8" applyFont="1" applyFill="1" applyBorder="1" applyAlignment="1">
      <alignment horizontal="center" vertical="center" wrapText="1"/>
    </xf>
    <xf numFmtId="0" fontId="10" fillId="40" borderId="30" xfId="8" applyFont="1" applyFill="1" applyBorder="1" applyAlignment="1">
      <alignment horizontal="center" vertical="center" wrapText="1"/>
    </xf>
    <xf numFmtId="3" fontId="10" fillId="40" borderId="30" xfId="8" applyNumberFormat="1" applyFont="1" applyFill="1" applyBorder="1" applyAlignment="1">
      <alignment horizontal="center" vertical="center" wrapText="1"/>
    </xf>
    <xf numFmtId="3" fontId="0" fillId="40" borderId="30" xfId="8" applyNumberFormat="1" applyFont="1" applyFill="1" applyBorder="1" applyAlignment="1">
      <alignment horizontal="center" vertical="center"/>
    </xf>
    <xf numFmtId="3" fontId="0" fillId="40" borderId="30" xfId="8" applyNumberFormat="1" applyFont="1" applyFill="1" applyBorder="1" applyAlignment="1">
      <alignment horizontal="center" vertical="center" wrapText="1"/>
    </xf>
    <xf numFmtId="0" fontId="0" fillId="40" borderId="30" xfId="0" applyFont="1" applyFill="1" applyBorder="1"/>
    <xf numFmtId="0" fontId="0" fillId="40" borderId="30" xfId="0" applyFont="1" applyFill="1" applyBorder="1" applyAlignment="1">
      <alignment horizontal="center" vertical="center"/>
    </xf>
    <xf numFmtId="0" fontId="11" fillId="40" borderId="30" xfId="0" applyFont="1" applyFill="1" applyBorder="1" applyAlignment="1">
      <alignment horizontal="center" vertical="center" wrapText="1"/>
    </xf>
    <xf numFmtId="0" fontId="0" fillId="42" borderId="32" xfId="0" applyFont="1" applyFill="1" applyBorder="1" applyAlignment="1">
      <alignment horizontal="center" vertical="center"/>
    </xf>
    <xf numFmtId="0" fontId="11" fillId="42" borderId="8" xfId="0" applyFont="1" applyFill="1" applyBorder="1" applyAlignment="1">
      <alignment horizontal="center" vertical="center" wrapText="1"/>
    </xf>
    <xf numFmtId="3" fontId="0" fillId="42" borderId="32" xfId="0" applyNumberFormat="1" applyFont="1" applyFill="1" applyBorder="1"/>
    <xf numFmtId="174" fontId="0" fillId="42" borderId="30" xfId="0" applyNumberFormat="1" applyFont="1" applyFill="1" applyBorder="1" applyAlignment="1">
      <alignment vertical="center"/>
    </xf>
    <xf numFmtId="3" fontId="0" fillId="42" borderId="30" xfId="9" applyNumberFormat="1" applyFont="1" applyFill="1" applyBorder="1" applyAlignment="1">
      <alignment vertical="center"/>
    </xf>
    <xf numFmtId="3" fontId="0" fillId="42" borderId="30" xfId="9" applyNumberFormat="1" applyFont="1" applyFill="1" applyBorder="1"/>
    <xf numFmtId="3" fontId="0" fillId="42" borderId="30" xfId="0" applyNumberFormat="1" applyFont="1" applyFill="1" applyBorder="1"/>
    <xf numFmtId="3" fontId="3" fillId="42" borderId="30" xfId="0" applyNumberFormat="1" applyFont="1" applyFill="1" applyBorder="1"/>
    <xf numFmtId="0" fontId="0" fillId="7" borderId="19" xfId="0" applyFont="1" applyFill="1" applyBorder="1" applyAlignment="1">
      <alignment horizontal="center" vertical="center" wrapText="1"/>
    </xf>
    <xf numFmtId="0" fontId="3" fillId="7" borderId="8" xfId="0" applyFont="1" applyFill="1" applyBorder="1" applyAlignment="1">
      <alignment horizontal="center" vertical="center" wrapText="1"/>
    </xf>
    <xf numFmtId="10" fontId="0" fillId="7" borderId="8" xfId="0" applyNumberFormat="1" applyFont="1" applyFill="1" applyBorder="1" applyAlignment="1">
      <alignment horizontal="center" vertical="center" wrapText="1"/>
    </xf>
    <xf numFmtId="0" fontId="0" fillId="7" borderId="8" xfId="0" applyFont="1" applyFill="1" applyBorder="1" applyAlignment="1">
      <alignment horizontal="left" vertical="center" wrapText="1"/>
    </xf>
    <xf numFmtId="172" fontId="10" fillId="7" borderId="8" xfId="9" applyNumberFormat="1" applyFont="1" applyFill="1" applyBorder="1" applyAlignment="1" applyProtection="1">
      <alignment horizontal="center" vertical="center" wrapText="1"/>
    </xf>
    <xf numFmtId="0" fontId="10" fillId="7" borderId="8" xfId="0" applyFont="1" applyFill="1" applyBorder="1" applyAlignment="1">
      <alignment horizontal="center" vertical="center"/>
    </xf>
    <xf numFmtId="0" fontId="11" fillId="7" borderId="8" xfId="0" applyFont="1" applyFill="1" applyBorder="1" applyAlignment="1">
      <alignment horizontal="center" vertical="center"/>
    </xf>
    <xf numFmtId="9" fontId="11" fillId="7" borderId="8" xfId="0" applyNumberFormat="1" applyFont="1" applyFill="1" applyBorder="1" applyAlignment="1">
      <alignment horizontal="center" vertical="center" wrapText="1"/>
    </xf>
    <xf numFmtId="0" fontId="0" fillId="7" borderId="11" xfId="0" applyFont="1" applyFill="1" applyBorder="1" applyAlignment="1">
      <alignment horizontal="center" vertical="center" wrapText="1"/>
    </xf>
    <xf numFmtId="0" fontId="0" fillId="7" borderId="11" xfId="0" applyFont="1" applyFill="1" applyBorder="1" applyAlignment="1">
      <alignment vertical="center" wrapText="1"/>
    </xf>
    <xf numFmtId="0" fontId="11" fillId="51" borderId="71" xfId="0" applyFont="1" applyFill="1" applyBorder="1" applyAlignment="1">
      <alignment horizontal="center" vertical="center" wrapText="1"/>
    </xf>
    <xf numFmtId="9" fontId="0" fillId="51" borderId="30" xfId="0" applyNumberFormat="1" applyFont="1" applyFill="1" applyBorder="1" applyAlignment="1">
      <alignment horizontal="center" vertical="center"/>
    </xf>
    <xf numFmtId="9" fontId="52" fillId="17" borderId="102" xfId="0" applyNumberFormat="1" applyFont="1" applyFill="1" applyBorder="1" applyAlignment="1">
      <alignment horizontal="center" vertical="center" wrapText="1"/>
    </xf>
    <xf numFmtId="0" fontId="0" fillId="17" borderId="0" xfId="0" applyFont="1" applyFill="1"/>
    <xf numFmtId="0" fontId="0" fillId="17" borderId="30" xfId="0" applyFont="1" applyFill="1" applyBorder="1" applyAlignment="1">
      <alignment horizontal="center" vertical="center" wrapText="1"/>
    </xf>
    <xf numFmtId="0" fontId="11" fillId="17" borderId="30" xfId="0" applyFont="1" applyFill="1" applyBorder="1" applyAlignment="1">
      <alignment horizontal="center" vertical="center" wrapText="1"/>
    </xf>
    <xf numFmtId="0" fontId="0" fillId="41" borderId="8" xfId="0" applyFont="1" applyFill="1" applyBorder="1"/>
    <xf numFmtId="0" fontId="0" fillId="41" borderId="9" xfId="0" applyFont="1" applyFill="1" applyBorder="1"/>
    <xf numFmtId="0" fontId="11" fillId="41" borderId="30" xfId="0" applyFont="1" applyFill="1" applyBorder="1" applyAlignment="1">
      <alignment horizontal="center" vertical="center" wrapText="1"/>
    </xf>
    <xf numFmtId="0" fontId="11" fillId="41" borderId="30" xfId="0" applyFont="1" applyFill="1" applyBorder="1" applyAlignment="1">
      <alignment horizontal="center" vertical="center"/>
    </xf>
    <xf numFmtId="0" fontId="51" fillId="28" borderId="0" xfId="0" applyFont="1" applyFill="1" applyAlignment="1">
      <alignment vertical="center"/>
    </xf>
    <xf numFmtId="0" fontId="51" fillId="72" borderId="0" xfId="0" applyFont="1" applyFill="1" applyAlignment="1">
      <alignment vertical="center"/>
    </xf>
    <xf numFmtId="0" fontId="51" fillId="41" borderId="0" xfId="0" applyFont="1" applyFill="1" applyAlignment="1">
      <alignment vertical="center"/>
    </xf>
    <xf numFmtId="0" fontId="52" fillId="40" borderId="32" xfId="0" applyFont="1" applyFill="1" applyBorder="1" applyAlignment="1">
      <alignment vertical="center" wrapText="1"/>
    </xf>
    <xf numFmtId="0" fontId="51" fillId="40" borderId="0" xfId="0" applyFont="1" applyFill="1" applyAlignment="1">
      <alignment vertical="center"/>
    </xf>
    <xf numFmtId="0" fontId="52" fillId="41" borderId="32" xfId="0" applyFont="1" applyFill="1" applyBorder="1" applyAlignment="1">
      <alignment vertical="center" wrapText="1"/>
    </xf>
    <xf numFmtId="0" fontId="51" fillId="7" borderId="0" xfId="0" applyFont="1" applyFill="1" applyAlignment="1">
      <alignment vertical="center"/>
    </xf>
    <xf numFmtId="0" fontId="51" fillId="51" borderId="0" xfId="0" applyFont="1" applyFill="1" applyAlignment="1">
      <alignment vertical="center"/>
    </xf>
    <xf numFmtId="0" fontId="52" fillId="51" borderId="30" xfId="0" applyFont="1" applyFill="1" applyBorder="1" applyAlignment="1">
      <alignment vertical="center" wrapText="1"/>
    </xf>
    <xf numFmtId="0" fontId="51" fillId="38" borderId="0" xfId="0" applyFont="1" applyFill="1" applyAlignment="1">
      <alignment vertical="center"/>
    </xf>
    <xf numFmtId="9" fontId="52" fillId="41" borderId="32" xfId="5" applyFont="1" applyFill="1" applyBorder="1" applyAlignment="1">
      <alignment horizontal="center" vertical="center"/>
    </xf>
    <xf numFmtId="0" fontId="51" fillId="33" borderId="0" xfId="0" applyFont="1" applyFill="1" applyAlignment="1">
      <alignment vertical="center"/>
    </xf>
    <xf numFmtId="0" fontId="51" fillId="29" borderId="0" xfId="0" applyFont="1" applyFill="1" applyAlignment="1">
      <alignment vertical="center"/>
    </xf>
    <xf numFmtId="0" fontId="52" fillId="51" borderId="30" xfId="0" applyFont="1" applyFill="1" applyBorder="1" applyAlignment="1">
      <alignment horizontal="center" vertical="center"/>
    </xf>
    <xf numFmtId="0" fontId="51" fillId="51" borderId="30" xfId="6" applyFont="1" applyFill="1" applyBorder="1" applyAlignment="1">
      <alignment horizontal="center" vertical="center" wrapText="1"/>
    </xf>
    <xf numFmtId="0" fontId="49" fillId="51" borderId="30" xfId="0" applyFont="1" applyFill="1" applyBorder="1" applyAlignment="1">
      <alignment horizontal="center" vertical="center" wrapText="1"/>
    </xf>
    <xf numFmtId="0" fontId="52" fillId="42" borderId="30" xfId="0" applyFont="1" applyFill="1" applyBorder="1" applyAlignment="1">
      <alignment vertical="center" wrapText="1"/>
    </xf>
    <xf numFmtId="0" fontId="52" fillId="7" borderId="30" xfId="0" applyFont="1" applyFill="1" applyBorder="1" applyAlignment="1">
      <alignment vertical="center" wrapText="1"/>
    </xf>
    <xf numFmtId="0" fontId="51" fillId="7" borderId="30" xfId="6" applyFont="1" applyFill="1" applyBorder="1" applyAlignment="1">
      <alignment horizontal="center" vertical="center" wrapText="1"/>
    </xf>
    <xf numFmtId="0" fontId="49" fillId="7" borderId="30" xfId="0" applyFont="1" applyFill="1" applyBorder="1" applyAlignment="1">
      <alignment horizontal="center" vertical="center" wrapText="1"/>
    </xf>
    <xf numFmtId="0" fontId="51" fillId="42" borderId="32" xfId="0" applyFont="1" applyFill="1" applyBorder="1"/>
    <xf numFmtId="0" fontId="51" fillId="42" borderId="52" xfId="0" applyFont="1" applyFill="1" applyBorder="1"/>
    <xf numFmtId="0" fontId="0" fillId="42" borderId="32" xfId="0" applyFill="1" applyBorder="1" applyAlignment="1">
      <alignment horizontal="left" vertical="top" wrapText="1"/>
    </xf>
    <xf numFmtId="0" fontId="51" fillId="42" borderId="32" xfId="0" applyFont="1" applyFill="1" applyBorder="1" applyAlignment="1">
      <alignment vertical="center" wrapText="1"/>
    </xf>
    <xf numFmtId="0" fontId="51" fillId="42" borderId="0" xfId="0" applyFont="1" applyFill="1"/>
    <xf numFmtId="0" fontId="51" fillId="42" borderId="94" xfId="0" applyFont="1" applyFill="1" applyBorder="1"/>
    <xf numFmtId="0" fontId="51" fillId="39" borderId="94" xfId="0" applyFont="1" applyFill="1" applyBorder="1"/>
    <xf numFmtId="0" fontId="51" fillId="39" borderId="0" xfId="0" applyFont="1" applyFill="1"/>
    <xf numFmtId="0" fontId="51" fillId="41" borderId="94" xfId="0" applyFont="1" applyFill="1" applyBorder="1"/>
    <xf numFmtId="0" fontId="51" fillId="41" borderId="0" xfId="0" applyFont="1" applyFill="1"/>
    <xf numFmtId="0" fontId="51" fillId="43" borderId="94" xfId="0" applyFont="1" applyFill="1" applyBorder="1"/>
    <xf numFmtId="0" fontId="51" fillId="43" borderId="0" xfId="0" applyFont="1" applyFill="1"/>
    <xf numFmtId="0" fontId="51" fillId="44" borderId="11" xfId="0" applyFont="1" applyFill="1" applyBorder="1"/>
    <xf numFmtId="0" fontId="51" fillId="72" borderId="94" xfId="0" applyFont="1" applyFill="1" applyBorder="1"/>
    <xf numFmtId="0" fontId="51" fillId="72" borderId="0" xfId="0" applyFont="1" applyFill="1"/>
    <xf numFmtId="0" fontId="51" fillId="72" borderId="32" xfId="0" applyFont="1" applyFill="1" applyBorder="1" applyAlignment="1">
      <alignment horizontal="left" vertical="top" wrapText="1"/>
    </xf>
    <xf numFmtId="0" fontId="51" fillId="33" borderId="94" xfId="0" applyFont="1" applyFill="1" applyBorder="1"/>
    <xf numFmtId="0" fontId="51" fillId="33" borderId="0" xfId="0" applyFont="1" applyFill="1"/>
    <xf numFmtId="0" fontId="0" fillId="39" borderId="32" xfId="0" applyFill="1" applyBorder="1" applyAlignment="1">
      <alignment horizontal="left" vertical="top" wrapText="1"/>
    </xf>
    <xf numFmtId="0" fontId="51" fillId="39" borderId="32" xfId="0" applyFont="1" applyFill="1" applyBorder="1" applyAlignment="1">
      <alignment horizontal="center"/>
    </xf>
    <xf numFmtId="0" fontId="52" fillId="39" borderId="94" xfId="0" applyFont="1" applyFill="1" applyBorder="1"/>
    <xf numFmtId="0" fontId="52" fillId="39" borderId="0" xfId="0" applyFont="1" applyFill="1"/>
    <xf numFmtId="0" fontId="0" fillId="39" borderId="94" xfId="0" applyFont="1" applyFill="1" applyBorder="1"/>
    <xf numFmtId="0" fontId="0" fillId="39" borderId="11" xfId="0" applyFont="1" applyFill="1" applyBorder="1"/>
    <xf numFmtId="0" fontId="0" fillId="41" borderId="11" xfId="0" applyFont="1" applyFill="1" applyBorder="1"/>
    <xf numFmtId="0" fontId="0" fillId="41" borderId="94" xfId="0" applyFont="1" applyFill="1" applyBorder="1"/>
    <xf numFmtId="0" fontId="51" fillId="29" borderId="94" xfId="0" applyFont="1" applyFill="1" applyBorder="1"/>
    <xf numFmtId="0" fontId="51" fillId="29" borderId="0" xfId="0" applyFont="1" applyFill="1"/>
    <xf numFmtId="0" fontId="0" fillId="29" borderId="94" xfId="0" applyFont="1" applyFill="1" applyBorder="1"/>
    <xf numFmtId="0" fontId="0" fillId="42" borderId="94" xfId="0" applyFont="1" applyFill="1" applyBorder="1"/>
    <xf numFmtId="0" fontId="64" fillId="42" borderId="30" xfId="0" applyFont="1" applyFill="1" applyBorder="1" applyAlignment="1">
      <alignment horizontal="justify" vertical="center"/>
    </xf>
    <xf numFmtId="0" fontId="51" fillId="42" borderId="30" xfId="0" applyFont="1" applyFill="1" applyBorder="1" applyAlignment="1">
      <alignment horizontal="left" vertical="center" wrapText="1"/>
    </xf>
    <xf numFmtId="174" fontId="0" fillId="42" borderId="30" xfId="9" applyNumberFormat="1" applyFont="1" applyFill="1" applyBorder="1" applyAlignment="1">
      <alignment vertical="center"/>
    </xf>
    <xf numFmtId="188" fontId="0" fillId="42" borderId="30" xfId="9" applyNumberFormat="1" applyFont="1" applyFill="1" applyBorder="1" applyAlignment="1">
      <alignment vertical="center"/>
    </xf>
    <xf numFmtId="3" fontId="0" fillId="42" borderId="30" xfId="0" applyNumberFormat="1" applyFont="1" applyFill="1" applyBorder="1" applyAlignment="1">
      <alignment vertical="center"/>
    </xf>
    <xf numFmtId="0" fontId="0" fillId="42" borderId="30" xfId="0" applyFill="1" applyBorder="1" applyAlignment="1">
      <alignment horizontal="left" vertical="top" wrapText="1"/>
    </xf>
    <xf numFmtId="0" fontId="51" fillId="42" borderId="30" xfId="0" applyFont="1" applyFill="1" applyBorder="1" applyAlignment="1">
      <alignment horizontal="center"/>
    </xf>
    <xf numFmtId="0" fontId="51" fillId="42" borderId="30" xfId="0" applyFont="1" applyFill="1" applyBorder="1" applyAlignment="1">
      <alignment horizontal="center" vertical="center"/>
    </xf>
    <xf numFmtId="0" fontId="51" fillId="42" borderId="30" xfId="0" applyFont="1" applyFill="1" applyBorder="1"/>
    <xf numFmtId="0" fontId="51" fillId="42" borderId="31" xfId="0" applyFont="1" applyFill="1" applyBorder="1"/>
    <xf numFmtId="0" fontId="0" fillId="41" borderId="0" xfId="0" applyFont="1" applyFill="1" applyProtection="1">
      <protection locked="0"/>
    </xf>
    <xf numFmtId="0" fontId="10" fillId="41" borderId="30" xfId="20" applyFont="1" applyFill="1" applyBorder="1" applyAlignment="1">
      <alignment horizontal="left" vertical="center" wrapText="1"/>
    </xf>
    <xf numFmtId="0" fontId="0" fillId="41" borderId="30" xfId="0" applyFont="1" applyFill="1" applyBorder="1" applyAlignment="1" applyProtection="1">
      <alignment horizontal="left" vertical="center" wrapText="1"/>
      <protection locked="0"/>
    </xf>
    <xf numFmtId="0" fontId="11" fillId="41" borderId="30" xfId="0" applyFont="1" applyFill="1" applyBorder="1" applyAlignment="1">
      <alignment horizontal="left" vertical="center" wrapText="1"/>
    </xf>
    <xf numFmtId="174" fontId="10" fillId="41" borderId="30" xfId="0" applyNumberFormat="1" applyFont="1" applyFill="1" applyBorder="1" applyAlignment="1">
      <alignment horizontal="center" vertical="center" wrapText="1"/>
    </xf>
    <xf numFmtId="0" fontId="0" fillId="41" borderId="30" xfId="0" applyFont="1" applyFill="1" applyBorder="1" applyAlignment="1" applyProtection="1">
      <alignment horizontal="center" vertical="center"/>
      <protection locked="0"/>
    </xf>
    <xf numFmtId="0" fontId="0" fillId="41" borderId="30" xfId="0" applyFont="1" applyFill="1" applyBorder="1" applyProtection="1">
      <protection locked="0"/>
    </xf>
    <xf numFmtId="0" fontId="0" fillId="41" borderId="31" xfId="0" applyFont="1" applyFill="1" applyBorder="1" applyProtection="1">
      <protection locked="0"/>
    </xf>
    <xf numFmtId="0" fontId="11" fillId="51" borderId="71" xfId="0" applyFont="1" applyFill="1" applyBorder="1" applyAlignment="1">
      <alignment horizontal="center" wrapText="1"/>
    </xf>
    <xf numFmtId="0" fontId="11" fillId="51" borderId="75" xfId="0" applyFont="1" applyFill="1" applyBorder="1" applyAlignment="1">
      <alignment horizontal="center" wrapText="1"/>
    </xf>
    <xf numFmtId="0" fontId="11" fillId="51" borderId="72" xfId="0" applyFont="1" applyFill="1" applyBorder="1" applyAlignment="1">
      <alignment horizontal="center" vertical="center" wrapText="1"/>
    </xf>
    <xf numFmtId="0" fontId="8" fillId="51" borderId="73" xfId="0" applyFont="1" applyFill="1" applyBorder="1" applyAlignment="1">
      <alignment horizontal="center" vertical="center" wrapText="1"/>
    </xf>
    <xf numFmtId="0" fontId="8" fillId="51" borderId="71" xfId="0" applyFont="1" applyFill="1" applyBorder="1" applyAlignment="1">
      <alignment horizontal="center" vertical="center" wrapText="1"/>
    </xf>
    <xf numFmtId="0" fontId="8" fillId="51" borderId="74" xfId="0" applyFont="1" applyFill="1" applyBorder="1" applyAlignment="1">
      <alignment horizontal="center" vertical="center" wrapText="1"/>
    </xf>
    <xf numFmtId="0" fontId="0" fillId="51" borderId="0" xfId="0" applyFont="1" applyFill="1" applyProtection="1">
      <protection locked="0"/>
    </xf>
    <xf numFmtId="0" fontId="11" fillId="101" borderId="71" xfId="0" applyFont="1" applyFill="1" applyBorder="1" applyAlignment="1">
      <alignment horizontal="center" wrapText="1"/>
    </xf>
    <xf numFmtId="0" fontId="11" fillId="101" borderId="71" xfId="0" applyFont="1" applyFill="1" applyBorder="1" applyAlignment="1">
      <alignment horizontal="center" vertical="center" wrapText="1"/>
    </xf>
    <xf numFmtId="0" fontId="11" fillId="101" borderId="75" xfId="0" applyFont="1" applyFill="1" applyBorder="1" applyAlignment="1">
      <alignment horizontal="center" wrapText="1"/>
    </xf>
    <xf numFmtId="0" fontId="11" fillId="101" borderId="72" xfId="0" applyFont="1" applyFill="1" applyBorder="1" applyAlignment="1">
      <alignment horizontal="center" vertical="center" wrapText="1"/>
    </xf>
    <xf numFmtId="0" fontId="8" fillId="101" borderId="73" xfId="0" applyFont="1" applyFill="1" applyBorder="1" applyAlignment="1">
      <alignment horizontal="center" vertical="center" wrapText="1"/>
    </xf>
    <xf numFmtId="0" fontId="8" fillId="101" borderId="71" xfId="0" applyFont="1" applyFill="1" applyBorder="1" applyAlignment="1">
      <alignment horizontal="center" vertical="center" wrapText="1"/>
    </xf>
    <xf numFmtId="0" fontId="8" fillId="101" borderId="74" xfId="0" applyFont="1" applyFill="1" applyBorder="1" applyAlignment="1">
      <alignment horizontal="center" vertical="center" wrapText="1"/>
    </xf>
    <xf numFmtId="0" fontId="11" fillId="51" borderId="76" xfId="0" applyFont="1" applyFill="1" applyBorder="1" applyAlignment="1">
      <alignment horizontal="center" wrapText="1"/>
    </xf>
    <xf numFmtId="0" fontId="0" fillId="7" borderId="0" xfId="0" applyFont="1" applyFill="1" applyProtection="1">
      <protection locked="0"/>
    </xf>
    <xf numFmtId="0" fontId="9" fillId="42" borderId="8" xfId="0" applyFont="1" applyFill="1" applyBorder="1" applyAlignment="1">
      <alignment horizontal="center" vertical="center" wrapText="1"/>
    </xf>
    <xf numFmtId="0" fontId="10" fillId="42" borderId="8" xfId="0" applyFont="1" applyFill="1" applyBorder="1" applyAlignment="1">
      <alignment horizontal="justify" vertical="center" wrapText="1"/>
    </xf>
    <xf numFmtId="0" fontId="10" fillId="42" borderId="8" xfId="0" applyFont="1" applyFill="1" applyBorder="1" applyAlignment="1">
      <alignment horizontal="center" vertical="center"/>
    </xf>
    <xf numFmtId="2" fontId="10" fillId="42" borderId="8" xfId="0" applyNumberFormat="1" applyFont="1" applyFill="1" applyBorder="1" applyAlignment="1">
      <alignment horizontal="center" vertical="center" wrapText="1"/>
    </xf>
    <xf numFmtId="0" fontId="10" fillId="42" borderId="30" xfId="0" applyFont="1" applyFill="1" applyBorder="1" applyAlignment="1">
      <alignment horizontal="justify" vertical="center" wrapText="1"/>
    </xf>
    <xf numFmtId="2" fontId="10" fillId="42" borderId="30" xfId="0" applyNumberFormat="1" applyFont="1" applyFill="1" applyBorder="1" applyAlignment="1">
      <alignment horizontal="center" vertical="center" wrapText="1"/>
    </xf>
    <xf numFmtId="170" fontId="0" fillId="42" borderId="30" xfId="9" applyFont="1" applyFill="1" applyBorder="1" applyAlignment="1">
      <alignment horizontal="center"/>
    </xf>
    <xf numFmtId="9" fontId="10" fillId="41" borderId="32" xfId="0" applyNumberFormat="1" applyFont="1" applyFill="1" applyBorder="1" applyAlignment="1">
      <alignment horizontal="center" vertical="center" wrapText="1"/>
    </xf>
    <xf numFmtId="175" fontId="10" fillId="44" borderId="8" xfId="0" applyNumberFormat="1" applyFont="1" applyFill="1" applyBorder="1" applyAlignment="1">
      <alignment horizontal="left" vertical="center" wrapText="1"/>
    </xf>
    <xf numFmtId="0" fontId="10" fillId="44" borderId="8" xfId="3" applyNumberFormat="1" applyFont="1" applyFill="1" applyBorder="1" applyAlignment="1" applyProtection="1">
      <alignment horizontal="center" vertical="center" wrapText="1"/>
      <protection locked="0"/>
    </xf>
    <xf numFmtId="0" fontId="10" fillId="44" borderId="8" xfId="2" applyFont="1" applyFill="1" applyBorder="1" applyAlignment="1">
      <alignment horizontal="center" vertical="center" wrapText="1"/>
    </xf>
    <xf numFmtId="3" fontId="10" fillId="44" borderId="8" xfId="2" applyNumberFormat="1" applyFont="1" applyFill="1" applyBorder="1" applyAlignment="1">
      <alignment horizontal="center" vertical="center" wrapText="1"/>
    </xf>
    <xf numFmtId="0" fontId="11" fillId="44" borderId="8" xfId="0" applyFont="1" applyFill="1" applyBorder="1" applyAlignment="1">
      <alignment horizontal="center" vertical="center" wrapText="1"/>
    </xf>
    <xf numFmtId="185" fontId="10" fillId="44" borderId="8" xfId="10" applyNumberFormat="1" applyFont="1" applyFill="1" applyBorder="1" applyAlignment="1">
      <alignment horizontal="center" vertical="center"/>
    </xf>
    <xf numFmtId="0" fontId="10" fillId="44" borderId="8" xfId="0" applyFont="1" applyFill="1" applyBorder="1" applyAlignment="1">
      <alignment horizontal="center"/>
    </xf>
    <xf numFmtId="9" fontId="10" fillId="44" borderId="8" xfId="0" applyNumberFormat="1" applyFont="1" applyFill="1" applyBorder="1" applyAlignment="1">
      <alignment horizontal="center" vertical="center"/>
    </xf>
    <xf numFmtId="9" fontId="10" fillId="44" borderId="8" xfId="0" applyNumberFormat="1" applyFont="1" applyFill="1" applyBorder="1" applyAlignment="1">
      <alignment vertical="center"/>
    </xf>
    <xf numFmtId="9" fontId="10" fillId="44" borderId="9" xfId="0" applyNumberFormat="1" applyFont="1" applyFill="1" applyBorder="1" applyAlignment="1">
      <alignment vertical="center"/>
    </xf>
    <xf numFmtId="3" fontId="10" fillId="44" borderId="94" xfId="0" applyNumberFormat="1" applyFont="1" applyFill="1" applyBorder="1" applyAlignment="1">
      <alignment horizontal="center" vertical="center"/>
    </xf>
    <xf numFmtId="175" fontId="10" fillId="44" borderId="30" xfId="0" applyNumberFormat="1" applyFont="1" applyFill="1" applyBorder="1" applyAlignment="1">
      <alignment horizontal="left" vertical="center" wrapText="1"/>
    </xf>
    <xf numFmtId="0" fontId="10" fillId="44" borderId="30" xfId="0" applyFont="1" applyFill="1" applyBorder="1" applyAlignment="1">
      <alignment horizontal="left" vertical="center" wrapText="1"/>
    </xf>
    <xf numFmtId="3" fontId="10" fillId="44" borderId="30" xfId="0" applyNumberFormat="1" applyFont="1" applyFill="1" applyBorder="1" applyAlignment="1">
      <alignment horizontal="center" vertical="center" wrapText="1"/>
    </xf>
    <xf numFmtId="175" fontId="10" fillId="44" borderId="30" xfId="0" applyNumberFormat="1" applyFont="1" applyFill="1" applyBorder="1" applyAlignment="1">
      <alignment horizontal="center" vertical="center" wrapText="1"/>
    </xf>
    <xf numFmtId="3" fontId="10" fillId="39" borderId="94" xfId="0" applyNumberFormat="1" applyFont="1" applyFill="1" applyBorder="1" applyAlignment="1">
      <alignment horizontal="center" vertical="center"/>
    </xf>
    <xf numFmtId="1" fontId="10" fillId="39" borderId="30" xfId="0" applyNumberFormat="1" applyFont="1" applyFill="1" applyBorder="1" applyAlignment="1">
      <alignment horizontal="left" vertical="center" wrapText="1"/>
    </xf>
    <xf numFmtId="0" fontId="10" fillId="39" borderId="30" xfId="0" applyFont="1" applyFill="1" applyBorder="1" applyAlignment="1">
      <alignment vertical="center" wrapText="1"/>
    </xf>
    <xf numFmtId="3" fontId="10" fillId="39" borderId="30" xfId="0" applyNumberFormat="1" applyFont="1" applyFill="1" applyBorder="1" applyAlignment="1">
      <alignment horizontal="center" vertical="center" wrapText="1"/>
    </xf>
    <xf numFmtId="175" fontId="10" fillId="39" borderId="30" xfId="0" applyNumberFormat="1" applyFont="1" applyFill="1" applyBorder="1" applyAlignment="1">
      <alignment horizontal="center" vertical="center" wrapText="1"/>
    </xf>
    <xf numFmtId="1" fontId="10" fillId="39" borderId="30" xfId="0" applyNumberFormat="1" applyFont="1" applyFill="1" applyBorder="1" applyAlignment="1">
      <alignment horizontal="center" vertical="center"/>
    </xf>
    <xf numFmtId="9" fontId="10" fillId="39" borderId="30" xfId="0" applyNumberFormat="1" applyFont="1" applyFill="1" applyBorder="1" applyAlignment="1">
      <alignment vertical="center" wrapText="1"/>
    </xf>
    <xf numFmtId="9" fontId="10" fillId="39" borderId="30" xfId="0" applyNumberFormat="1" applyFont="1" applyFill="1" applyBorder="1" applyAlignment="1">
      <alignment vertical="center"/>
    </xf>
    <xf numFmtId="3" fontId="10" fillId="39" borderId="30" xfId="7" applyNumberFormat="1" applyFont="1" applyFill="1" applyBorder="1" applyAlignment="1">
      <alignment horizontal="center" vertical="center"/>
    </xf>
    <xf numFmtId="3" fontId="10" fillId="39" borderId="30" xfId="0" applyNumberFormat="1" applyFont="1" applyFill="1" applyBorder="1" applyAlignment="1">
      <alignment horizontal="center" vertical="center"/>
    </xf>
    <xf numFmtId="3" fontId="10" fillId="39" borderId="31" xfId="0" applyNumberFormat="1" applyFont="1" applyFill="1" applyBorder="1" applyAlignment="1">
      <alignment horizontal="center" vertical="center"/>
    </xf>
    <xf numFmtId="0" fontId="10" fillId="38" borderId="8" xfId="0" applyFont="1" applyFill="1" applyBorder="1" applyAlignment="1">
      <alignment horizontal="left" vertical="center" wrapText="1"/>
    </xf>
    <xf numFmtId="0" fontId="10" fillId="38" borderId="8" xfId="0" applyFont="1" applyFill="1" applyBorder="1" applyAlignment="1">
      <alignment horizontal="center" vertical="center" wrapText="1"/>
    </xf>
    <xf numFmtId="174" fontId="10" fillId="38" borderId="94" xfId="0" applyNumberFormat="1" applyFont="1" applyFill="1" applyBorder="1" applyAlignment="1">
      <alignment horizontal="center" vertical="center" wrapText="1"/>
    </xf>
    <xf numFmtId="3" fontId="10" fillId="38" borderId="94" xfId="0" applyNumberFormat="1" applyFont="1" applyFill="1" applyBorder="1" applyAlignment="1">
      <alignment horizontal="center" vertical="center"/>
    </xf>
    <xf numFmtId="3" fontId="10" fillId="38" borderId="94" xfId="0" applyNumberFormat="1" applyFont="1" applyFill="1" applyBorder="1" applyAlignment="1">
      <alignment horizontal="center" vertical="center" wrapText="1"/>
    </xf>
    <xf numFmtId="9" fontId="10" fillId="38" borderId="94" xfId="0" applyNumberFormat="1" applyFont="1" applyFill="1" applyBorder="1" applyAlignment="1">
      <alignment vertical="center"/>
    </xf>
    <xf numFmtId="1" fontId="10" fillId="38" borderId="30" xfId="0" applyNumberFormat="1" applyFont="1" applyFill="1" applyBorder="1" applyAlignment="1">
      <alignment horizontal="left" vertical="center" wrapText="1"/>
    </xf>
    <xf numFmtId="0" fontId="10" fillId="38" borderId="30" xfId="0" applyFont="1" applyFill="1" applyBorder="1" applyAlignment="1">
      <alignment horizontal="left" vertical="center" wrapText="1"/>
    </xf>
    <xf numFmtId="0" fontId="10" fillId="38" borderId="30" xfId="0" applyFont="1" applyFill="1" applyBorder="1" applyAlignment="1">
      <alignment horizontal="center" vertical="center" wrapText="1"/>
    </xf>
    <xf numFmtId="3" fontId="10" fillId="38" borderId="30" xfId="0" applyNumberFormat="1" applyFont="1" applyFill="1" applyBorder="1" applyAlignment="1">
      <alignment horizontal="center" vertical="center" wrapText="1"/>
    </xf>
    <xf numFmtId="9" fontId="10" fillId="38" borderId="30" xfId="0" applyNumberFormat="1" applyFont="1" applyFill="1" applyBorder="1" applyAlignment="1">
      <alignment horizontal="center" vertical="center" wrapText="1"/>
    </xf>
    <xf numFmtId="0" fontId="11" fillId="38" borderId="30" xfId="0" applyFont="1" applyFill="1" applyBorder="1" applyAlignment="1">
      <alignment vertical="top" wrapText="1"/>
    </xf>
    <xf numFmtId="168" fontId="11" fillId="38" borderId="30" xfId="0" applyNumberFormat="1" applyFont="1" applyFill="1" applyBorder="1" applyAlignment="1">
      <alignment horizontal="center" vertical="center"/>
    </xf>
    <xf numFmtId="0" fontId="10" fillId="38" borderId="30" xfId="0" applyFont="1" applyFill="1" applyBorder="1" applyAlignment="1">
      <alignment horizontal="center" vertical="center" textRotation="90"/>
    </xf>
    <xf numFmtId="0" fontId="10" fillId="38" borderId="30" xfId="0" applyFont="1" applyFill="1" applyBorder="1" applyAlignment="1">
      <alignment horizontal="center" vertical="center"/>
    </xf>
    <xf numFmtId="3" fontId="10" fillId="38" borderId="30" xfId="0" applyNumberFormat="1" applyFont="1" applyFill="1" applyBorder="1" applyAlignment="1">
      <alignment horizontal="center" vertical="center"/>
    </xf>
    <xf numFmtId="0" fontId="3" fillId="41" borderId="32" xfId="0" applyFont="1" applyFill="1" applyBorder="1" applyAlignment="1">
      <alignment horizontal="center" vertical="center" wrapText="1"/>
    </xf>
    <xf numFmtId="0" fontId="10" fillId="5" borderId="146" xfId="0" applyFont="1" applyFill="1" applyBorder="1" applyAlignment="1">
      <alignment horizontal="center" vertical="center"/>
    </xf>
    <xf numFmtId="0" fontId="10" fillId="11" borderId="32" xfId="0" applyFont="1" applyFill="1" applyBorder="1" applyAlignment="1">
      <alignment horizontal="center" vertical="center"/>
    </xf>
    <xf numFmtId="0" fontId="9" fillId="5" borderId="10" xfId="0" applyFont="1" applyFill="1" applyBorder="1" applyAlignment="1">
      <alignment horizontal="center" vertical="center" wrapText="1"/>
    </xf>
    <xf numFmtId="0" fontId="9" fillId="11" borderId="26" xfId="0" applyFont="1" applyFill="1" applyBorder="1" applyAlignment="1">
      <alignment horizontal="center" vertical="center" wrapText="1"/>
    </xf>
    <xf numFmtId="0" fontId="10" fillId="11" borderId="146" xfId="0" applyFont="1" applyFill="1" applyBorder="1" applyAlignment="1">
      <alignment horizontal="center" vertical="center"/>
    </xf>
    <xf numFmtId="0" fontId="0" fillId="11" borderId="0" xfId="0" applyFill="1"/>
    <xf numFmtId="9" fontId="0" fillId="11" borderId="0" xfId="5" applyFont="1" applyFill="1"/>
    <xf numFmtId="9" fontId="0" fillId="11" borderId="0" xfId="5" applyFont="1" applyFill="1" applyBorder="1"/>
    <xf numFmtId="0" fontId="9" fillId="5" borderId="14" xfId="0" applyFont="1" applyFill="1" applyBorder="1" applyAlignment="1">
      <alignment horizontal="center" vertical="center" wrapText="1"/>
    </xf>
    <xf numFmtId="0" fontId="9" fillId="11" borderId="29" xfId="0" applyFont="1" applyFill="1" applyBorder="1" applyAlignment="1">
      <alignment wrapText="1"/>
    </xf>
    <xf numFmtId="0" fontId="10" fillId="5" borderId="30" xfId="0" applyFont="1" applyFill="1" applyBorder="1" applyAlignment="1">
      <alignment horizontal="center" vertical="center"/>
    </xf>
    <xf numFmtId="0" fontId="10" fillId="5" borderId="31" xfId="0" applyFont="1" applyFill="1" applyBorder="1" applyAlignment="1">
      <alignment horizontal="center" vertical="center"/>
    </xf>
    <xf numFmtId="0" fontId="10" fillId="11" borderId="31" xfId="0" applyFont="1" applyFill="1" applyBorder="1" applyAlignment="1">
      <alignment horizontal="center" vertical="center"/>
    </xf>
    <xf numFmtId="0" fontId="10" fillId="5" borderId="94" xfId="0" applyFont="1" applyFill="1" applyBorder="1" applyAlignment="1">
      <alignment horizontal="center" vertical="center"/>
    </xf>
    <xf numFmtId="0" fontId="9" fillId="11" borderId="51" xfId="0" applyFont="1" applyFill="1" applyBorder="1" applyAlignment="1">
      <alignment wrapText="1"/>
    </xf>
    <xf numFmtId="0" fontId="10" fillId="5" borderId="32" xfId="0" applyFont="1" applyFill="1" applyBorder="1" applyAlignment="1">
      <alignment horizontal="center" vertical="center"/>
    </xf>
    <xf numFmtId="0" fontId="10" fillId="11" borderId="52" xfId="0" applyFont="1" applyFill="1" applyBorder="1" applyAlignment="1">
      <alignment horizontal="center" vertical="center"/>
    </xf>
    <xf numFmtId="0" fontId="3" fillId="3" borderId="58" xfId="0" applyFont="1" applyFill="1" applyBorder="1" applyAlignment="1">
      <alignment horizontal="center" vertical="center"/>
    </xf>
    <xf numFmtId="0" fontId="9" fillId="11" borderId="53" xfId="0" applyFont="1" applyFill="1" applyBorder="1" applyAlignment="1">
      <alignment wrapText="1"/>
    </xf>
    <xf numFmtId="0" fontId="9" fillId="11" borderId="127" xfId="0" applyFont="1" applyFill="1" applyBorder="1" applyAlignment="1">
      <alignment wrapText="1"/>
    </xf>
    <xf numFmtId="0" fontId="9" fillId="11" borderId="54" xfId="0" applyFont="1" applyFill="1" applyBorder="1" applyAlignment="1">
      <alignment wrapText="1"/>
    </xf>
    <xf numFmtId="9" fontId="9" fillId="11" borderId="53" xfId="5" applyFont="1" applyFill="1" applyBorder="1" applyAlignment="1">
      <alignment wrapText="1"/>
    </xf>
    <xf numFmtId="9" fontId="9" fillId="11" borderId="0" xfId="5" applyFont="1" applyFill="1" applyBorder="1" applyAlignment="1">
      <alignment wrapText="1"/>
    </xf>
    <xf numFmtId="0" fontId="9" fillId="11" borderId="146" xfId="0" applyFont="1" applyFill="1" applyBorder="1" applyAlignment="1">
      <alignment wrapText="1"/>
    </xf>
    <xf numFmtId="9" fontId="9" fillId="11" borderId="146" xfId="5" applyFont="1" applyFill="1" applyBorder="1" applyAlignment="1">
      <alignment wrapText="1"/>
    </xf>
    <xf numFmtId="0" fontId="10" fillId="5" borderId="112" xfId="0" applyFont="1" applyFill="1" applyBorder="1" applyAlignment="1">
      <alignment horizontal="center" vertical="center"/>
    </xf>
    <xf numFmtId="0" fontId="10" fillId="5" borderId="122" xfId="0" applyFont="1" applyFill="1" applyBorder="1" applyAlignment="1">
      <alignment horizontal="center" vertical="center"/>
    </xf>
    <xf numFmtId="0" fontId="9" fillId="11" borderId="56" xfId="0" applyFont="1" applyFill="1" applyBorder="1" applyAlignment="1">
      <alignment wrapText="1"/>
    </xf>
    <xf numFmtId="0" fontId="9" fillId="11" borderId="55" xfId="0" applyFont="1" applyFill="1" applyBorder="1" applyAlignment="1">
      <alignment wrapText="1"/>
    </xf>
    <xf numFmtId="0" fontId="3" fillId="3" borderId="4" xfId="0" applyFont="1" applyFill="1" applyBorder="1" applyAlignment="1">
      <alignment horizontal="center" vertical="center"/>
    </xf>
    <xf numFmtId="0" fontId="3" fillId="3" borderId="112" xfId="0" applyFont="1" applyFill="1" applyBorder="1" applyAlignment="1">
      <alignment horizontal="center" vertical="center"/>
    </xf>
    <xf numFmtId="0" fontId="3" fillId="3" borderId="122" xfId="0" applyFont="1" applyFill="1" applyBorder="1" applyAlignment="1">
      <alignment horizontal="center" vertical="center"/>
    </xf>
    <xf numFmtId="0" fontId="9" fillId="11" borderId="121" xfId="0" applyFont="1" applyFill="1" applyBorder="1" applyAlignment="1">
      <alignment wrapText="1"/>
    </xf>
    <xf numFmtId="9" fontId="9" fillId="11" borderId="57" xfId="5" applyFont="1" applyFill="1" applyBorder="1" applyAlignment="1">
      <alignment wrapText="1"/>
    </xf>
    <xf numFmtId="0" fontId="3" fillId="3" borderId="10" xfId="0" applyFont="1" applyFill="1" applyBorder="1" applyAlignment="1">
      <alignment horizontal="center" vertical="center"/>
    </xf>
    <xf numFmtId="0" fontId="3" fillId="3" borderId="14" xfId="0" applyFont="1" applyFill="1" applyBorder="1" applyAlignment="1">
      <alignment horizontal="center" vertical="center"/>
    </xf>
    <xf numFmtId="0" fontId="9" fillId="11" borderId="113" xfId="0" applyFont="1" applyFill="1" applyBorder="1" applyAlignment="1">
      <alignment horizontal="center" vertical="center" wrapText="1"/>
    </xf>
    <xf numFmtId="0" fontId="9" fillId="11" borderId="8" xfId="0" applyFont="1" applyFill="1" applyBorder="1" applyAlignment="1">
      <alignment wrapText="1"/>
    </xf>
    <xf numFmtId="9" fontId="9" fillId="11" borderId="8" xfId="5" applyFont="1" applyFill="1" applyBorder="1" applyAlignment="1">
      <alignment wrapText="1"/>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9" fillId="11" borderId="30" xfId="0" applyFont="1" applyFill="1" applyBorder="1" applyAlignment="1">
      <alignment wrapText="1"/>
    </xf>
    <xf numFmtId="9" fontId="9" fillId="11" borderId="30" xfId="5" applyFont="1" applyFill="1" applyBorder="1" applyAlignment="1">
      <alignment wrapText="1"/>
    </xf>
    <xf numFmtId="0" fontId="9" fillId="11" borderId="146" xfId="0" applyFont="1" applyFill="1" applyBorder="1" applyAlignment="1">
      <alignment vertical="top" wrapText="1"/>
    </xf>
    <xf numFmtId="0" fontId="3" fillId="69" borderId="0" xfId="0" applyFont="1" applyFill="1"/>
    <xf numFmtId="0" fontId="9" fillId="11" borderId="0" xfId="0" applyFont="1" applyFill="1" applyAlignment="1">
      <alignment wrapText="1"/>
    </xf>
    <xf numFmtId="0" fontId="10" fillId="11" borderId="0" xfId="0" applyFont="1" applyFill="1" applyAlignment="1">
      <alignment horizontal="center" vertical="center"/>
    </xf>
    <xf numFmtId="3" fontId="40" fillId="30" borderId="94" xfId="0" applyNumberFormat="1" applyFont="1" applyFill="1" applyBorder="1" applyAlignment="1">
      <alignment horizontal="center" vertical="center"/>
    </xf>
    <xf numFmtId="0" fontId="8" fillId="10" borderId="13" xfId="0" applyFont="1" applyFill="1" applyBorder="1" applyAlignment="1" applyProtection="1">
      <alignment horizontal="center" vertical="center" wrapText="1"/>
      <protection locked="0"/>
    </xf>
    <xf numFmtId="3" fontId="8" fillId="6" borderId="5" xfId="0" applyNumberFormat="1" applyFont="1" applyFill="1" applyBorder="1" applyAlignment="1" applyProtection="1">
      <alignment horizontal="center" vertical="center" wrapText="1"/>
      <protection locked="0"/>
    </xf>
    <xf numFmtId="0" fontId="10" fillId="29" borderId="8" xfId="0" applyFont="1" applyFill="1" applyBorder="1" applyAlignment="1">
      <alignment horizontal="center" vertical="center" wrapText="1"/>
    </xf>
    <xf numFmtId="3" fontId="8" fillId="10" borderId="13" xfId="0" applyNumberFormat="1" applyFont="1" applyFill="1" applyBorder="1" applyAlignment="1" applyProtection="1">
      <alignment horizontal="center" vertical="center" wrapText="1"/>
      <protection locked="0"/>
    </xf>
    <xf numFmtId="0" fontId="0" fillId="39" borderId="32" xfId="0" applyFill="1" applyBorder="1" applyAlignment="1">
      <alignment horizontal="center" vertical="center" wrapText="1"/>
    </xf>
    <xf numFmtId="3" fontId="8" fillId="10" borderId="4" xfId="0" applyNumberFormat="1" applyFont="1" applyFill="1" applyBorder="1" applyAlignment="1" applyProtection="1">
      <alignment horizontal="center" vertical="center"/>
      <protection locked="0"/>
    </xf>
    <xf numFmtId="3" fontId="8" fillId="5" borderId="58" xfId="0" applyNumberFormat="1" applyFont="1" applyFill="1" applyBorder="1" applyAlignment="1" applyProtection="1">
      <alignment horizontal="center" vertical="center"/>
      <protection locked="0"/>
    </xf>
    <xf numFmtId="9" fontId="0" fillId="0" borderId="0" xfId="0" applyNumberFormat="1" applyFont="1"/>
    <xf numFmtId="0" fontId="9" fillId="17" borderId="148" xfId="0" applyFont="1" applyFill="1" applyBorder="1" applyAlignment="1">
      <alignment horizontal="center" vertical="center" wrapText="1"/>
    </xf>
    <xf numFmtId="3" fontId="3" fillId="4" borderId="47" xfId="0" applyNumberFormat="1" applyFont="1" applyFill="1" applyBorder="1" applyAlignment="1" applyProtection="1">
      <alignment horizontal="center" vertical="center"/>
      <protection locked="0"/>
    </xf>
    <xf numFmtId="0" fontId="3" fillId="70" borderId="149" xfId="0" applyFont="1" applyFill="1" applyBorder="1" applyAlignment="1">
      <alignment horizontal="center" vertical="center" wrapText="1"/>
    </xf>
    <xf numFmtId="0" fontId="3" fillId="70" borderId="150" xfId="0" applyFont="1" applyFill="1" applyBorder="1" applyAlignment="1">
      <alignment horizontal="center" vertical="center" wrapText="1"/>
    </xf>
    <xf numFmtId="0" fontId="3" fillId="16" borderId="149" xfId="0" applyFont="1" applyFill="1" applyBorder="1" applyAlignment="1">
      <alignment horizontal="center" vertical="center" wrapText="1"/>
    </xf>
    <xf numFmtId="0" fontId="0" fillId="4" borderId="158" xfId="0" applyFill="1" applyBorder="1" applyAlignment="1" applyProtection="1">
      <alignment horizontal="center" vertical="center" textRotation="90" wrapText="1"/>
      <protection locked="0"/>
    </xf>
    <xf numFmtId="0" fontId="0" fillId="4" borderId="159" xfId="0" applyFill="1" applyBorder="1" applyAlignment="1" applyProtection="1">
      <alignment horizontal="center" vertical="center" textRotation="90" wrapText="1"/>
      <protection locked="0"/>
    </xf>
    <xf numFmtId="0" fontId="0" fillId="4" borderId="158" xfId="0" applyFill="1" applyBorder="1" applyAlignment="1" applyProtection="1">
      <alignment vertical="center" textRotation="90" wrapText="1"/>
      <protection locked="0"/>
    </xf>
    <xf numFmtId="16" fontId="0" fillId="4" borderId="149" xfId="0" applyNumberFormat="1" applyFill="1" applyBorder="1" applyAlignment="1" applyProtection="1">
      <alignment vertical="center" textRotation="90" wrapText="1"/>
      <protection locked="0"/>
    </xf>
    <xf numFmtId="0" fontId="0" fillId="4" borderId="149" xfId="0" applyFill="1" applyBorder="1" applyAlignment="1" applyProtection="1">
      <alignment vertical="center" textRotation="90" wrapText="1"/>
      <protection locked="0"/>
    </xf>
    <xf numFmtId="0" fontId="0" fillId="4" borderId="159" xfId="0" applyFill="1" applyBorder="1" applyAlignment="1" applyProtection="1">
      <alignment vertical="center" textRotation="90" wrapText="1"/>
      <protection locked="0"/>
    </xf>
    <xf numFmtId="0" fontId="0" fillId="4" borderId="157" xfId="0" applyFill="1" applyBorder="1" applyAlignment="1" applyProtection="1">
      <alignment vertical="center" textRotation="90" wrapText="1"/>
      <protection locked="0"/>
    </xf>
    <xf numFmtId="0" fontId="0" fillId="4" borderId="150" xfId="0" applyFill="1" applyBorder="1" applyAlignment="1" applyProtection="1">
      <alignment vertical="center" textRotation="90" wrapText="1"/>
      <protection locked="0"/>
    </xf>
    <xf numFmtId="0" fontId="3" fillId="4" borderId="149" xfId="0" applyFont="1" applyFill="1" applyBorder="1" applyAlignment="1" applyProtection="1">
      <alignment horizontal="center" vertical="center" wrapText="1"/>
      <protection locked="0"/>
    </xf>
    <xf numFmtId="0" fontId="8" fillId="4" borderId="159" xfId="0" applyFont="1" applyFill="1" applyBorder="1" applyAlignment="1" applyProtection="1">
      <alignment horizontal="center" vertical="center" wrapText="1"/>
      <protection locked="0"/>
    </xf>
    <xf numFmtId="3" fontId="0" fillId="4" borderId="158" xfId="0" applyNumberFormat="1" applyFill="1" applyBorder="1" applyAlignment="1" applyProtection="1">
      <alignment horizontal="center" vertical="center" textRotation="90" wrapText="1"/>
      <protection locked="0"/>
    </xf>
    <xf numFmtId="3" fontId="0" fillId="4" borderId="159" xfId="0" applyNumberFormat="1" applyFill="1" applyBorder="1" applyAlignment="1" applyProtection="1">
      <alignment horizontal="center" vertical="center" textRotation="90" wrapText="1"/>
      <protection locked="0"/>
    </xf>
    <xf numFmtId="3" fontId="0" fillId="4" borderId="152" xfId="0" applyNumberFormat="1" applyFill="1" applyBorder="1" applyAlignment="1" applyProtection="1">
      <alignment horizontal="center" vertical="center" textRotation="90" wrapText="1"/>
      <protection locked="0"/>
    </xf>
    <xf numFmtId="3" fontId="0" fillId="4" borderId="149" xfId="0" applyNumberFormat="1" applyFill="1" applyBorder="1" applyAlignment="1" applyProtection="1">
      <alignment horizontal="center" vertical="center" textRotation="90" wrapText="1"/>
      <protection locked="0"/>
    </xf>
    <xf numFmtId="3" fontId="0" fillId="66" borderId="149" xfId="0" applyNumberFormat="1" applyFill="1" applyBorder="1" applyAlignment="1" applyProtection="1">
      <alignment horizontal="center" vertical="center" textRotation="90" wrapText="1"/>
      <protection locked="0"/>
    </xf>
    <xf numFmtId="3" fontId="0" fillId="4" borderId="157" xfId="0" applyNumberFormat="1" applyFill="1" applyBorder="1" applyAlignment="1" applyProtection="1">
      <alignment horizontal="center" vertical="center" textRotation="90" wrapText="1"/>
      <protection locked="0"/>
    </xf>
    <xf numFmtId="3" fontId="0" fillId="4" borderId="150" xfId="0" applyNumberFormat="1" applyFill="1" applyBorder="1" applyAlignment="1" applyProtection="1">
      <alignment horizontal="center" vertical="center" textRotation="90" wrapText="1"/>
      <protection locked="0"/>
    </xf>
    <xf numFmtId="3" fontId="0" fillId="4" borderId="0" xfId="0" applyNumberFormat="1" applyFill="1" applyAlignment="1" applyProtection="1">
      <alignment horizontal="center" vertical="center" textRotation="90" wrapText="1"/>
      <protection locked="0"/>
    </xf>
    <xf numFmtId="3" fontId="8" fillId="10" borderId="0" xfId="0" applyNumberFormat="1" applyFont="1" applyFill="1" applyAlignment="1" applyProtection="1">
      <alignment horizontal="center" vertical="center" wrapText="1"/>
      <protection locked="0"/>
    </xf>
    <xf numFmtId="3" fontId="3" fillId="4" borderId="149" xfId="0" applyNumberFormat="1" applyFont="1" applyFill="1" applyBorder="1" applyAlignment="1" applyProtection="1">
      <alignment horizontal="center" vertical="center" wrapText="1"/>
      <protection locked="0"/>
    </xf>
    <xf numFmtId="3" fontId="8" fillId="4" borderId="159" xfId="0" applyNumberFormat="1" applyFont="1" applyFill="1" applyBorder="1" applyAlignment="1" applyProtection="1">
      <alignment horizontal="center" vertical="center" wrapText="1"/>
      <protection locked="0"/>
    </xf>
    <xf numFmtId="0" fontId="0" fillId="42" borderId="8" xfId="0" applyFill="1" applyBorder="1" applyAlignment="1">
      <alignment horizontal="center" vertical="center" wrapText="1"/>
    </xf>
    <xf numFmtId="0" fontId="0" fillId="42" borderId="8" xfId="0" applyFill="1" applyBorder="1" applyAlignment="1">
      <alignment horizontal="center" vertical="center"/>
    </xf>
    <xf numFmtId="0" fontId="0" fillId="42" borderId="8" xfId="0" applyFill="1" applyBorder="1"/>
    <xf numFmtId="9" fontId="0" fillId="51" borderId="148" xfId="5" applyFont="1" applyFill="1" applyBorder="1" applyAlignment="1">
      <alignment horizontal="center" vertical="center"/>
    </xf>
    <xf numFmtId="0" fontId="0" fillId="42" borderId="0" xfId="0" applyFill="1"/>
    <xf numFmtId="0" fontId="0" fillId="42" borderId="148" xfId="0" applyFill="1" applyBorder="1" applyAlignment="1">
      <alignment horizontal="center" vertical="center" wrapText="1"/>
    </xf>
    <xf numFmtId="0" fontId="0" fillId="42" borderId="148" xfId="0" applyFill="1" applyBorder="1" applyAlignment="1">
      <alignment horizontal="center" vertical="center"/>
    </xf>
    <xf numFmtId="0" fontId="0" fillId="42" borderId="148" xfId="0" applyFill="1" applyBorder="1" applyAlignment="1">
      <alignment vertical="center" wrapText="1"/>
    </xf>
    <xf numFmtId="0" fontId="0" fillId="42" borderId="148" xfId="0" applyFill="1" applyBorder="1"/>
    <xf numFmtId="3" fontId="0" fillId="42" borderId="148" xfId="0" applyNumberFormat="1" applyFill="1" applyBorder="1" applyAlignment="1">
      <alignment horizontal="center" vertical="center"/>
    </xf>
    <xf numFmtId="3" fontId="0" fillId="30" borderId="148" xfId="0" applyNumberFormat="1" applyFill="1" applyBorder="1" applyAlignment="1">
      <alignment horizontal="center" vertical="center"/>
    </xf>
    <xf numFmtId="3" fontId="0" fillId="11" borderId="148" xfId="0" applyNumberFormat="1" applyFill="1" applyBorder="1" applyAlignment="1">
      <alignment horizontal="center" vertical="center"/>
    </xf>
    <xf numFmtId="3" fontId="0" fillId="0" borderId="148" xfId="0" applyNumberFormat="1" applyBorder="1" applyAlignment="1">
      <alignment horizontal="center" vertical="center"/>
    </xf>
    <xf numFmtId="0" fontId="10" fillId="42" borderId="148" xfId="0" applyFont="1" applyFill="1" applyBorder="1" applyAlignment="1">
      <alignment horizontal="justify" vertical="center" wrapText="1"/>
    </xf>
    <xf numFmtId="0" fontId="0" fillId="42" borderId="30" xfId="0" applyFill="1" applyBorder="1" applyAlignment="1">
      <alignment horizontal="center" vertical="center" wrapText="1"/>
    </xf>
    <xf numFmtId="0" fontId="0" fillId="42" borderId="30" xfId="0" applyFill="1" applyBorder="1"/>
    <xf numFmtId="3" fontId="0" fillId="42" borderId="30" xfId="0" applyNumberFormat="1" applyFill="1" applyBorder="1" applyAlignment="1">
      <alignment horizontal="center" vertical="center" wrapText="1"/>
    </xf>
    <xf numFmtId="3" fontId="0" fillId="42" borderId="30" xfId="0" applyNumberFormat="1" applyFill="1" applyBorder="1" applyAlignment="1">
      <alignment horizontal="center" vertical="center"/>
    </xf>
    <xf numFmtId="3" fontId="0" fillId="30" borderId="148" xfId="0" applyNumberFormat="1" applyFill="1" applyBorder="1" applyAlignment="1">
      <alignment horizontal="center" vertical="center" wrapText="1"/>
    </xf>
    <xf numFmtId="3" fontId="0" fillId="11" borderId="148" xfId="0" applyNumberFormat="1" applyFill="1" applyBorder="1" applyAlignment="1">
      <alignment horizontal="center" vertical="center" wrapText="1"/>
    </xf>
    <xf numFmtId="3" fontId="0" fillId="30" borderId="30" xfId="0" applyNumberFormat="1" applyFill="1" applyBorder="1" applyAlignment="1">
      <alignment horizontal="center" vertical="center"/>
    </xf>
    <xf numFmtId="3" fontId="0" fillId="0" borderId="30" xfId="0" applyNumberFormat="1" applyBorder="1" applyAlignment="1">
      <alignment horizontal="center" vertical="center"/>
    </xf>
    <xf numFmtId="0" fontId="0" fillId="41" borderId="0" xfId="0" applyFill="1"/>
    <xf numFmtId="0" fontId="0" fillId="41" borderId="148" xfId="0" applyFill="1" applyBorder="1" applyAlignment="1">
      <alignment horizontal="justify" vertical="center" wrapText="1"/>
    </xf>
    <xf numFmtId="0" fontId="0" fillId="41" borderId="148" xfId="0" applyFill="1" applyBorder="1" applyAlignment="1">
      <alignment horizontal="center" vertical="center" wrapText="1"/>
    </xf>
    <xf numFmtId="9" fontId="0" fillId="41" borderId="148" xfId="5" applyFont="1" applyFill="1" applyBorder="1" applyAlignment="1">
      <alignment horizontal="center" vertical="center" wrapText="1"/>
    </xf>
    <xf numFmtId="9" fontId="0" fillId="41" borderId="148" xfId="0" applyNumberFormat="1" applyFill="1" applyBorder="1" applyAlignment="1">
      <alignment horizontal="center" vertical="center" wrapText="1"/>
    </xf>
    <xf numFmtId="172" fontId="0" fillId="41" borderId="148" xfId="0" applyNumberFormat="1" applyFill="1" applyBorder="1" applyAlignment="1">
      <alignment horizontal="center" vertical="center" wrapText="1"/>
    </xf>
    <xf numFmtId="172" fontId="0" fillId="41" borderId="148" xfId="4" applyNumberFormat="1" applyFont="1" applyFill="1" applyBorder="1" applyAlignment="1">
      <alignment horizontal="center" vertical="center" wrapText="1"/>
    </xf>
    <xf numFmtId="0" fontId="0" fillId="41" borderId="148" xfId="0" applyFill="1" applyBorder="1"/>
    <xf numFmtId="3" fontId="0" fillId="41" borderId="148" xfId="0" applyNumberFormat="1" applyFill="1" applyBorder="1" applyAlignment="1">
      <alignment vertical="center" wrapText="1"/>
    </xf>
    <xf numFmtId="3" fontId="0" fillId="41" borderId="148" xfId="0" applyNumberFormat="1" applyFill="1" applyBorder="1" applyAlignment="1">
      <alignment horizontal="center" vertical="center"/>
    </xf>
    <xf numFmtId="3" fontId="0" fillId="41" borderId="94" xfId="0" applyNumberFormat="1" applyFill="1" applyBorder="1" applyAlignment="1">
      <alignment horizontal="center" vertical="center"/>
    </xf>
    <xf numFmtId="0" fontId="0" fillId="41" borderId="148" xfId="0" applyFill="1" applyBorder="1" applyAlignment="1">
      <alignment vertical="center" wrapText="1"/>
    </xf>
    <xf numFmtId="1" fontId="0" fillId="41" borderId="148" xfId="0" applyNumberFormat="1" applyFill="1" applyBorder="1" applyAlignment="1">
      <alignment horizontal="center" vertical="center" wrapText="1"/>
    </xf>
    <xf numFmtId="3" fontId="0" fillId="41" borderId="148" xfId="0" applyNumberFormat="1" applyFill="1" applyBorder="1" applyAlignment="1">
      <alignment vertical="center"/>
    </xf>
    <xf numFmtId="0" fontId="0" fillId="41" borderId="30" xfId="0" applyFill="1" applyBorder="1" applyAlignment="1">
      <alignment horizontal="center" vertical="center" wrapText="1"/>
    </xf>
    <xf numFmtId="172" fontId="0" fillId="41" borderId="30" xfId="0" applyNumberFormat="1" applyFill="1" applyBorder="1" applyAlignment="1">
      <alignment horizontal="center" vertical="center" wrapText="1"/>
    </xf>
    <xf numFmtId="0" fontId="0" fillId="41" borderId="30" xfId="0" applyFill="1" applyBorder="1"/>
    <xf numFmtId="0" fontId="0" fillId="41" borderId="148" xfId="0" applyFill="1" applyBorder="1" applyAlignment="1">
      <alignment wrapText="1"/>
    </xf>
    <xf numFmtId="3" fontId="0" fillId="41" borderId="30" xfId="0" applyNumberFormat="1" applyFill="1" applyBorder="1" applyAlignment="1">
      <alignment horizontal="center" vertical="center"/>
    </xf>
    <xf numFmtId="3" fontId="0" fillId="41" borderId="31" xfId="0" applyNumberFormat="1" applyFill="1" applyBorder="1" applyAlignment="1">
      <alignment horizontal="center" vertical="center"/>
    </xf>
    <xf numFmtId="0" fontId="0" fillId="0" borderId="0" xfId="0" applyAlignment="1">
      <alignment horizontal="center" vertical="center" wrapText="1"/>
    </xf>
    <xf numFmtId="3" fontId="0" fillId="0" borderId="0" xfId="0" applyNumberFormat="1"/>
    <xf numFmtId="3" fontId="0" fillId="0" borderId="0" xfId="0" applyNumberFormat="1" applyAlignment="1">
      <alignment horizontal="center" vertical="center"/>
    </xf>
    <xf numFmtId="0" fontId="0" fillId="0" borderId="0" xfId="0" applyAlignment="1">
      <alignment horizontal="center"/>
    </xf>
    <xf numFmtId="0" fontId="0" fillId="0" borderId="0" xfId="0" applyAlignment="1">
      <alignment wrapText="1"/>
    </xf>
    <xf numFmtId="0" fontId="0" fillId="0" borderId="0" xfId="0" applyAlignment="1">
      <alignment horizontal="center" vertical="center"/>
    </xf>
    <xf numFmtId="0" fontId="0" fillId="0" borderId="0" xfId="0" applyAlignment="1">
      <alignment vertical="center"/>
    </xf>
    <xf numFmtId="0" fontId="3" fillId="4" borderId="153" xfId="0" applyFont="1" applyFill="1" applyBorder="1" applyAlignment="1" applyProtection="1">
      <alignment horizontal="center"/>
      <protection locked="0"/>
    </xf>
    <xf numFmtId="0" fontId="9" fillId="13" borderId="149" xfId="0" applyFont="1" applyFill="1" applyBorder="1" applyAlignment="1">
      <alignment horizontal="center" vertical="center" wrapText="1"/>
    </xf>
    <xf numFmtId="0" fontId="8" fillId="4" borderId="150" xfId="0" applyFont="1" applyFill="1" applyBorder="1" applyAlignment="1" applyProtection="1">
      <alignment horizontal="center" vertical="center" wrapText="1"/>
      <protection locked="0"/>
    </xf>
    <xf numFmtId="0" fontId="10" fillId="79" borderId="148" xfId="0" applyFont="1" applyFill="1" applyBorder="1" applyAlignment="1">
      <alignment horizontal="left" vertical="center" wrapText="1"/>
    </xf>
    <xf numFmtId="0" fontId="10" fillId="79" borderId="148" xfId="0" applyFont="1" applyFill="1" applyBorder="1" applyAlignment="1">
      <alignment horizontal="center" vertical="center" wrapText="1"/>
    </xf>
    <xf numFmtId="0" fontId="0" fillId="43" borderId="8" xfId="0" applyFill="1" applyBorder="1" applyAlignment="1">
      <alignment vertical="top" wrapText="1"/>
    </xf>
    <xf numFmtId="9" fontId="0" fillId="43" borderId="148" xfId="5" applyFont="1" applyFill="1" applyBorder="1" applyAlignment="1">
      <alignment horizontal="center"/>
    </xf>
    <xf numFmtId="3" fontId="0" fillId="43" borderId="10" xfId="0" applyNumberFormat="1" applyFill="1" applyBorder="1" applyAlignment="1">
      <alignment horizontal="left" vertical="center"/>
    </xf>
    <xf numFmtId="0" fontId="0" fillId="43" borderId="10" xfId="0" applyFill="1" applyBorder="1" applyAlignment="1">
      <alignment vertical="top"/>
    </xf>
    <xf numFmtId="0" fontId="0" fillId="43" borderId="10" xfId="0" applyFill="1" applyBorder="1"/>
    <xf numFmtId="0" fontId="0" fillId="43" borderId="8" xfId="0" applyFill="1" applyBorder="1"/>
    <xf numFmtId="0" fontId="0" fillId="43" borderId="8" xfId="0" applyFill="1" applyBorder="1" applyAlignment="1">
      <alignment vertical="center" wrapText="1"/>
    </xf>
    <xf numFmtId="0" fontId="0" fillId="43" borderId="8" xfId="0" applyFill="1" applyBorder="1" applyAlignment="1">
      <alignment horizontal="center" vertical="center"/>
    </xf>
    <xf numFmtId="0" fontId="0" fillId="43" borderId="36" xfId="0" applyFill="1" applyBorder="1"/>
    <xf numFmtId="0" fontId="0" fillId="43" borderId="32" xfId="0" applyFill="1" applyBorder="1" applyAlignment="1">
      <alignment horizontal="center" vertical="center" wrapText="1"/>
    </xf>
    <xf numFmtId="0" fontId="0" fillId="43" borderId="8" xfId="0" applyFill="1" applyBorder="1" applyAlignment="1">
      <alignment horizontal="center" vertical="center" wrapText="1"/>
    </xf>
    <xf numFmtId="192" fontId="0" fillId="30" borderId="8" xfId="10" applyNumberFormat="1" applyFont="1" applyFill="1" applyBorder="1" applyAlignment="1">
      <alignment horizontal="center" vertical="center" wrapText="1"/>
    </xf>
    <xf numFmtId="9" fontId="52" fillId="43" borderId="148" xfId="0" applyNumberFormat="1" applyFont="1" applyFill="1" applyBorder="1" applyAlignment="1">
      <alignment horizontal="center" vertical="center" wrapText="1"/>
    </xf>
    <xf numFmtId="3" fontId="0" fillId="43" borderId="10" xfId="0" applyNumberFormat="1" applyFill="1" applyBorder="1" applyAlignment="1">
      <alignment horizontal="center" vertical="center"/>
    </xf>
    <xf numFmtId="0" fontId="0" fillId="43" borderId="10" xfId="0" applyFill="1" applyBorder="1" applyAlignment="1">
      <alignment horizontal="center" vertical="center"/>
    </xf>
    <xf numFmtId="0" fontId="0" fillId="43" borderId="0" xfId="0" applyFill="1"/>
    <xf numFmtId="0" fontId="0" fillId="43" borderId="148" xfId="0" applyFill="1" applyBorder="1" applyAlignment="1">
      <alignment vertical="top" wrapText="1"/>
    </xf>
    <xf numFmtId="0" fontId="0" fillId="43" borderId="148" xfId="0" applyFill="1" applyBorder="1" applyAlignment="1">
      <alignment horizontal="center" vertical="top" wrapText="1"/>
    </xf>
    <xf numFmtId="0" fontId="0" fillId="43" borderId="32" xfId="0" applyFill="1" applyBorder="1" applyAlignment="1">
      <alignment vertical="top" wrapText="1"/>
    </xf>
    <xf numFmtId="0" fontId="3" fillId="43" borderId="148" xfId="0" applyFont="1" applyFill="1" applyBorder="1" applyAlignment="1">
      <alignment horizontal="center" vertical="top" wrapText="1"/>
    </xf>
    <xf numFmtId="3" fontId="0" fillId="43" borderId="148" xfId="0" applyNumberFormat="1" applyFill="1" applyBorder="1" applyAlignment="1">
      <alignment horizontal="left" vertical="center"/>
    </xf>
    <xf numFmtId="0" fontId="0" fillId="43" borderId="148" xfId="0" applyFill="1" applyBorder="1" applyAlignment="1">
      <alignment horizontal="center" vertical="center"/>
    </xf>
    <xf numFmtId="0" fontId="0" fillId="43" borderId="148" xfId="0" applyFill="1" applyBorder="1" applyAlignment="1">
      <alignment horizontal="center" vertical="center" wrapText="1"/>
    </xf>
    <xf numFmtId="0" fontId="3" fillId="43" borderId="148" xfId="0" applyFont="1" applyFill="1" applyBorder="1" applyAlignment="1">
      <alignment horizontal="center" vertical="center" wrapText="1"/>
    </xf>
    <xf numFmtId="9" fontId="0" fillId="43" borderId="148" xfId="0" applyNumberFormat="1" applyFill="1" applyBorder="1" applyAlignment="1">
      <alignment horizontal="center" vertical="center" wrapText="1"/>
    </xf>
    <xf numFmtId="3" fontId="0" fillId="43" borderId="148" xfId="0" applyNumberFormat="1" applyFill="1" applyBorder="1" applyAlignment="1">
      <alignment horizontal="center" vertical="center"/>
    </xf>
    <xf numFmtId="3" fontId="0" fillId="43" borderId="149" xfId="0" applyNumberFormat="1" applyFill="1" applyBorder="1" applyAlignment="1">
      <alignment horizontal="left" vertical="center"/>
    </xf>
    <xf numFmtId="0" fontId="0" fillId="43" borderId="0" xfId="0" applyFill="1" applyAlignment="1">
      <alignment horizontal="center" vertical="center" wrapText="1"/>
    </xf>
    <xf numFmtId="0" fontId="0" fillId="43" borderId="148" xfId="0" applyFill="1" applyBorder="1" applyAlignment="1">
      <alignment horizontal="left" vertical="top" wrapText="1"/>
    </xf>
    <xf numFmtId="3" fontId="0" fillId="43" borderId="148" xfId="0" applyNumberFormat="1" applyFill="1" applyBorder="1" applyAlignment="1">
      <alignment horizontal="left" vertical="center" wrapText="1"/>
    </xf>
    <xf numFmtId="0" fontId="0" fillId="43" borderId="148" xfId="0" applyFill="1" applyBorder="1" applyAlignment="1">
      <alignment wrapText="1"/>
    </xf>
    <xf numFmtId="0" fontId="0" fillId="43" borderId="148" xfId="0" applyFill="1" applyBorder="1" applyAlignment="1">
      <alignment vertical="center" wrapText="1"/>
    </xf>
    <xf numFmtId="0" fontId="0" fillId="43" borderId="148" xfId="0" applyFill="1" applyBorder="1" applyAlignment="1">
      <alignment horizontal="left" vertical="center" wrapText="1"/>
    </xf>
    <xf numFmtId="0" fontId="0" fillId="43" borderId="148" xfId="0" applyFill="1" applyBorder="1" applyAlignment="1">
      <alignment horizontal="left" wrapText="1"/>
    </xf>
    <xf numFmtId="0" fontId="0" fillId="43" borderId="0" xfId="0" applyFill="1" applyAlignment="1">
      <alignment horizontal="center" vertical="top" wrapText="1"/>
    </xf>
    <xf numFmtId="173" fontId="0" fillId="43" borderId="148" xfId="0" applyNumberFormat="1" applyFill="1" applyBorder="1" applyAlignment="1">
      <alignment horizontal="center" vertical="center" wrapText="1"/>
    </xf>
    <xf numFmtId="0" fontId="0" fillId="43" borderId="148" xfId="0" applyFill="1" applyBorder="1" applyAlignment="1">
      <alignment vertical="center"/>
    </xf>
    <xf numFmtId="3" fontId="0" fillId="43" borderId="26" xfId="0" applyNumberFormat="1" applyFill="1" applyBorder="1" applyAlignment="1">
      <alignment horizontal="center" vertical="center"/>
    </xf>
    <xf numFmtId="0" fontId="0" fillId="43" borderId="149" xfId="0" applyFill="1" applyBorder="1" applyAlignment="1">
      <alignment vertical="top" wrapText="1"/>
    </xf>
    <xf numFmtId="0" fontId="0" fillId="43" borderId="26" xfId="0" applyFill="1" applyBorder="1" applyAlignment="1">
      <alignment horizontal="center" vertical="center" wrapText="1"/>
    </xf>
    <xf numFmtId="9" fontId="0" fillId="43" borderId="149" xfId="0" applyNumberFormat="1" applyFill="1" applyBorder="1" applyAlignment="1">
      <alignment horizontal="center" vertical="center" wrapText="1"/>
    </xf>
    <xf numFmtId="0" fontId="0" fillId="43" borderId="26" xfId="0" applyFill="1" applyBorder="1" applyAlignment="1">
      <alignment vertical="top" wrapText="1"/>
    </xf>
    <xf numFmtId="0" fontId="0" fillId="51" borderId="148" xfId="0" applyFill="1" applyBorder="1" applyAlignment="1">
      <alignment horizontal="left" vertical="top" wrapText="1"/>
    </xf>
    <xf numFmtId="9" fontId="0" fillId="51" borderId="148" xfId="5" applyFont="1" applyFill="1" applyBorder="1" applyAlignment="1">
      <alignment horizontal="center"/>
    </xf>
    <xf numFmtId="0" fontId="0" fillId="51" borderId="148" xfId="0" applyFill="1" applyBorder="1" applyAlignment="1">
      <alignment horizontal="center" vertical="top" wrapText="1"/>
    </xf>
    <xf numFmtId="3" fontId="0" fillId="51" borderId="149" xfId="0" applyNumberFormat="1" applyFill="1" applyBorder="1" applyAlignment="1">
      <alignment horizontal="left" vertical="center"/>
    </xf>
    <xf numFmtId="0" fontId="0" fillId="51" borderId="148" xfId="0" applyFill="1" applyBorder="1" applyAlignment="1">
      <alignment horizontal="center" vertical="center" wrapText="1"/>
    </xf>
    <xf numFmtId="0" fontId="0" fillId="51" borderId="153" xfId="0" applyFill="1" applyBorder="1" applyAlignment="1">
      <alignment horizontal="center" vertical="center" wrapText="1"/>
    </xf>
    <xf numFmtId="0" fontId="0" fillId="51" borderId="8" xfId="0" applyFill="1" applyBorder="1" applyAlignment="1">
      <alignment horizontal="left" vertical="top" wrapText="1"/>
    </xf>
    <xf numFmtId="0" fontId="0" fillId="51" borderId="8" xfId="0" applyFill="1" applyBorder="1" applyAlignment="1">
      <alignment horizontal="center" vertical="center" wrapText="1"/>
    </xf>
    <xf numFmtId="9" fontId="0" fillId="51" borderId="8" xfId="0" applyNumberFormat="1" applyFill="1" applyBorder="1" applyAlignment="1">
      <alignment horizontal="center" vertical="center" wrapText="1"/>
    </xf>
    <xf numFmtId="9" fontId="52" fillId="51" borderId="148" xfId="0" applyNumberFormat="1" applyFont="1" applyFill="1" applyBorder="1" applyAlignment="1">
      <alignment horizontal="center" vertical="center" wrapText="1"/>
    </xf>
    <xf numFmtId="0" fontId="0" fillId="51" borderId="8" xfId="0" applyFill="1" applyBorder="1" applyAlignment="1">
      <alignment horizontal="center" vertical="top" wrapText="1"/>
    </xf>
    <xf numFmtId="3" fontId="0" fillId="51" borderId="8" xfId="0" applyNumberFormat="1" applyFill="1" applyBorder="1" applyAlignment="1">
      <alignment horizontal="center" vertical="center"/>
    </xf>
    <xf numFmtId="3" fontId="0" fillId="51" borderId="42" xfId="0" applyNumberFormat="1" applyFill="1" applyBorder="1" applyAlignment="1">
      <alignment horizontal="center" vertical="center"/>
    </xf>
    <xf numFmtId="3" fontId="0" fillId="51" borderId="10" xfId="0" applyNumberFormat="1" applyFill="1" applyBorder="1" applyAlignment="1">
      <alignment horizontal="center" vertical="center"/>
    </xf>
    <xf numFmtId="0" fontId="0" fillId="51" borderId="30" xfId="0" applyFill="1" applyBorder="1" applyAlignment="1">
      <alignment horizontal="center" vertical="center" wrapText="1"/>
    </xf>
    <xf numFmtId="0" fontId="0" fillId="51" borderId="0" xfId="0" applyFill="1" applyAlignment="1">
      <alignment horizontal="center" vertical="center" wrapText="1"/>
    </xf>
    <xf numFmtId="0" fontId="0" fillId="51" borderId="148" xfId="0" applyFill="1" applyBorder="1" applyAlignment="1">
      <alignment vertical="top" wrapText="1"/>
    </xf>
    <xf numFmtId="0" fontId="0" fillId="51" borderId="32" xfId="0" applyFill="1" applyBorder="1" applyAlignment="1">
      <alignment horizontal="center" vertical="center" wrapText="1"/>
    </xf>
    <xf numFmtId="9" fontId="0" fillId="51" borderId="148" xfId="0" applyNumberFormat="1" applyFill="1" applyBorder="1" applyAlignment="1">
      <alignment horizontal="center" vertical="center" wrapText="1"/>
    </xf>
    <xf numFmtId="3" fontId="0" fillId="51" borderId="148" xfId="0" applyNumberFormat="1" applyFill="1" applyBorder="1" applyAlignment="1">
      <alignment horizontal="center" vertical="center"/>
    </xf>
    <xf numFmtId="0" fontId="0" fillId="51" borderId="148" xfId="0" applyFill="1" applyBorder="1" applyAlignment="1">
      <alignment wrapText="1"/>
    </xf>
    <xf numFmtId="3" fontId="0" fillId="51" borderId="148" xfId="0" applyNumberFormat="1" applyFill="1" applyBorder="1" applyAlignment="1">
      <alignment horizontal="left" vertical="center" wrapText="1"/>
    </xf>
    <xf numFmtId="0" fontId="0" fillId="51" borderId="148" xfId="0" applyFill="1" applyBorder="1" applyAlignment="1">
      <alignment horizontal="left" vertical="center"/>
    </xf>
    <xf numFmtId="0" fontId="0" fillId="51" borderId="148" xfId="0" applyFill="1" applyBorder="1" applyAlignment="1">
      <alignment horizontal="left" vertical="center" wrapText="1"/>
    </xf>
    <xf numFmtId="0" fontId="0" fillId="51" borderId="148" xfId="0" applyFill="1" applyBorder="1" applyAlignment="1">
      <alignment horizontal="center" vertical="center"/>
    </xf>
    <xf numFmtId="0" fontId="0" fillId="51" borderId="153" xfId="0" applyFill="1" applyBorder="1" applyAlignment="1">
      <alignment wrapText="1"/>
    </xf>
    <xf numFmtId="0" fontId="0" fillId="51" borderId="0" xfId="0" applyFill="1" applyAlignment="1">
      <alignment wrapText="1"/>
    </xf>
    <xf numFmtId="0" fontId="0" fillId="51" borderId="148" xfId="0" applyFill="1" applyBorder="1" applyAlignment="1">
      <alignment vertical="center" wrapText="1"/>
    </xf>
    <xf numFmtId="0" fontId="0" fillId="51" borderId="153" xfId="0" applyFill="1" applyBorder="1" applyAlignment="1">
      <alignment horizontal="left" vertical="center" wrapText="1"/>
    </xf>
    <xf numFmtId="0" fontId="0" fillId="51" borderId="149" xfId="0" applyFill="1" applyBorder="1" applyAlignment="1">
      <alignment wrapText="1"/>
    </xf>
    <xf numFmtId="0" fontId="0" fillId="51" borderId="149" xfId="0" applyFill="1" applyBorder="1" applyAlignment="1">
      <alignment vertical="top" wrapText="1"/>
    </xf>
    <xf numFmtId="9" fontId="0" fillId="51" borderId="149" xfId="5" applyFont="1" applyFill="1" applyBorder="1" applyAlignment="1">
      <alignment horizontal="center"/>
    </xf>
    <xf numFmtId="3" fontId="0" fillId="51" borderId="149" xfId="0" applyNumberFormat="1" applyFill="1" applyBorder="1" applyAlignment="1">
      <alignment horizontal="center" vertical="center"/>
    </xf>
    <xf numFmtId="0" fontId="0" fillId="51" borderId="149" xfId="0" applyFill="1" applyBorder="1" applyAlignment="1">
      <alignment horizontal="center" vertical="center" wrapText="1"/>
    </xf>
    <xf numFmtId="0" fontId="0" fillId="51" borderId="150" xfId="0" applyFill="1" applyBorder="1" applyAlignment="1">
      <alignment horizontal="center" vertical="center" wrapText="1"/>
    </xf>
    <xf numFmtId="0" fontId="0" fillId="51" borderId="26" xfId="0" applyFill="1" applyBorder="1" applyAlignment="1">
      <alignment horizontal="center" vertical="center" wrapText="1"/>
    </xf>
    <xf numFmtId="9" fontId="0" fillId="51" borderId="149" xfId="0" applyNumberFormat="1" applyFill="1" applyBorder="1" applyAlignment="1">
      <alignment horizontal="center" vertical="center" wrapText="1"/>
    </xf>
    <xf numFmtId="3" fontId="0" fillId="51" borderId="26" xfId="0" applyNumberFormat="1" applyFill="1" applyBorder="1" applyAlignment="1">
      <alignment horizontal="center" vertical="center"/>
    </xf>
    <xf numFmtId="0" fontId="0" fillId="29" borderId="8" xfId="0" applyFill="1" applyBorder="1" applyAlignment="1">
      <alignment vertical="top" wrapText="1"/>
    </xf>
    <xf numFmtId="3" fontId="0" fillId="29" borderId="8" xfId="0" applyNumberFormat="1" applyFill="1" applyBorder="1" applyAlignment="1">
      <alignment horizontal="left" vertical="center" wrapText="1"/>
    </xf>
    <xf numFmtId="3" fontId="0" fillId="29" borderId="10" xfId="0" applyNumberFormat="1" applyFill="1" applyBorder="1" applyAlignment="1">
      <alignment horizontal="left" vertical="center"/>
    </xf>
    <xf numFmtId="0" fontId="0" fillId="29" borderId="8" xfId="0" applyFill="1" applyBorder="1" applyAlignment="1">
      <alignment horizontal="center" vertical="center" wrapText="1"/>
    </xf>
    <xf numFmtId="9" fontId="0" fillId="29" borderId="8" xfId="0" applyNumberFormat="1" applyFill="1" applyBorder="1" applyAlignment="1">
      <alignment horizontal="center" vertical="center" wrapText="1"/>
    </xf>
    <xf numFmtId="9" fontId="52" fillId="29" borderId="148" xfId="0" applyNumberFormat="1" applyFont="1" applyFill="1" applyBorder="1" applyAlignment="1">
      <alignment horizontal="center" vertical="center" wrapText="1"/>
    </xf>
    <xf numFmtId="3" fontId="0" fillId="29" borderId="113" xfId="0" applyNumberFormat="1" applyFill="1" applyBorder="1" applyAlignment="1">
      <alignment horizontal="center" vertical="center"/>
    </xf>
    <xf numFmtId="3" fontId="0" fillId="29" borderId="42" xfId="0" applyNumberFormat="1" applyFill="1" applyBorder="1" applyAlignment="1">
      <alignment horizontal="center" vertical="center"/>
    </xf>
    <xf numFmtId="3" fontId="0" fillId="29" borderId="10" xfId="0" applyNumberFormat="1" applyFill="1" applyBorder="1" applyAlignment="1">
      <alignment horizontal="center" vertical="center"/>
    </xf>
    <xf numFmtId="0" fontId="0" fillId="29" borderId="32" xfId="0" applyFill="1" applyBorder="1" applyAlignment="1">
      <alignment horizontal="center" vertical="center" wrapText="1"/>
    </xf>
    <xf numFmtId="0" fontId="0" fillId="29" borderId="0" xfId="0" applyFill="1" applyAlignment="1">
      <alignment wrapText="1"/>
    </xf>
    <xf numFmtId="0" fontId="0" fillId="29" borderId="148" xfId="0" applyFill="1" applyBorder="1" applyAlignment="1">
      <alignment vertical="top" wrapText="1"/>
    </xf>
    <xf numFmtId="9" fontId="0" fillId="29" borderId="148" xfId="5" applyFont="1" applyFill="1" applyBorder="1" applyAlignment="1">
      <alignment horizontal="center"/>
    </xf>
    <xf numFmtId="3" fontId="0" fillId="29" borderId="148" xfId="0" applyNumberFormat="1" applyFill="1" applyBorder="1" applyAlignment="1">
      <alignment horizontal="left" vertical="center" wrapText="1"/>
    </xf>
    <xf numFmtId="3" fontId="0" fillId="29" borderId="149" xfId="0" applyNumberFormat="1" applyFill="1" applyBorder="1" applyAlignment="1">
      <alignment horizontal="left" vertical="center"/>
    </xf>
    <xf numFmtId="0" fontId="0" fillId="29" borderId="148" xfId="0" applyFill="1" applyBorder="1" applyAlignment="1">
      <alignment horizontal="center" vertical="center" wrapText="1"/>
    </xf>
    <xf numFmtId="0" fontId="0" fillId="29" borderId="148" xfId="0" applyFill="1" applyBorder="1" applyAlignment="1">
      <alignment wrapText="1"/>
    </xf>
    <xf numFmtId="9" fontId="0" fillId="29" borderId="148" xfId="0" applyNumberFormat="1" applyFill="1" applyBorder="1" applyAlignment="1">
      <alignment horizontal="center" vertical="center" wrapText="1"/>
    </xf>
    <xf numFmtId="3" fontId="0" fillId="29" borderId="148" xfId="0" applyNumberFormat="1" applyFill="1" applyBorder="1" applyAlignment="1">
      <alignment horizontal="center" vertical="center"/>
    </xf>
    <xf numFmtId="0" fontId="0" fillId="29" borderId="148" xfId="0" applyFill="1" applyBorder="1" applyAlignment="1">
      <alignment horizontal="center" vertical="top" wrapText="1"/>
    </xf>
    <xf numFmtId="0" fontId="0" fillId="29" borderId="148" xfId="0" applyFill="1" applyBorder="1" applyAlignment="1">
      <alignment horizontal="center" vertical="center"/>
    </xf>
    <xf numFmtId="0" fontId="0" fillId="29" borderId="30" xfId="0" applyFill="1" applyBorder="1" applyAlignment="1">
      <alignment horizontal="center" vertical="center" wrapText="1"/>
    </xf>
    <xf numFmtId="0" fontId="0" fillId="29" borderId="148" xfId="0" applyFill="1" applyBorder="1" applyAlignment="1">
      <alignment horizontal="left" vertical="top" wrapText="1"/>
    </xf>
    <xf numFmtId="3" fontId="0" fillId="29" borderId="148" xfId="0" applyNumberFormat="1" applyFill="1" applyBorder="1" applyAlignment="1">
      <alignment horizontal="left" wrapText="1"/>
    </xf>
    <xf numFmtId="3" fontId="0" fillId="29" borderId="149" xfId="0" applyNumberFormat="1" applyFill="1" applyBorder="1" applyAlignment="1">
      <alignment horizontal="left"/>
    </xf>
    <xf numFmtId="0" fontId="0" fillId="29" borderId="148" xfId="0" applyFill="1" applyBorder="1"/>
    <xf numFmtId="0" fontId="0" fillId="29" borderId="148" xfId="0" applyFill="1" applyBorder="1" applyAlignment="1">
      <alignment horizontal="center" wrapText="1"/>
    </xf>
    <xf numFmtId="0" fontId="0" fillId="29" borderId="148" xfId="0" applyFill="1" applyBorder="1" applyAlignment="1">
      <alignment vertical="center" wrapText="1"/>
    </xf>
    <xf numFmtId="0" fontId="0" fillId="29" borderId="148" xfId="0" applyFill="1" applyBorder="1" applyAlignment="1">
      <alignment vertical="center"/>
    </xf>
    <xf numFmtId="3" fontId="0" fillId="29" borderId="148" xfId="0" applyNumberFormat="1" applyFill="1" applyBorder="1" applyAlignment="1">
      <alignment wrapText="1"/>
    </xf>
    <xf numFmtId="3" fontId="0" fillId="29" borderId="149" xfId="0" applyNumberFormat="1" applyFill="1" applyBorder="1" applyAlignment="1">
      <alignment horizontal="center"/>
    </xf>
    <xf numFmtId="3" fontId="0" fillId="29" borderId="149" xfId="0" applyNumberFormat="1" applyFill="1" applyBorder="1"/>
    <xf numFmtId="0" fontId="0" fillId="29" borderId="30" xfId="0" applyFill="1" applyBorder="1" applyAlignment="1">
      <alignment vertical="top" wrapText="1"/>
    </xf>
    <xf numFmtId="0" fontId="0" fillId="29" borderId="30" xfId="0" applyFill="1" applyBorder="1" applyAlignment="1">
      <alignment wrapText="1"/>
    </xf>
    <xf numFmtId="3" fontId="0" fillId="29" borderId="30" xfId="0" applyNumberFormat="1" applyFill="1" applyBorder="1" applyAlignment="1">
      <alignment wrapText="1"/>
    </xf>
    <xf numFmtId="3" fontId="0" fillId="29" borderId="30" xfId="0" applyNumberFormat="1" applyFill="1" applyBorder="1" applyAlignment="1">
      <alignment horizontal="center"/>
    </xf>
    <xf numFmtId="3" fontId="0" fillId="29" borderId="30" xfId="0" applyNumberFormat="1" applyFill="1" applyBorder="1"/>
    <xf numFmtId="0" fontId="0" fillId="29" borderId="56" xfId="0" applyFill="1" applyBorder="1" applyAlignment="1">
      <alignment horizontal="center" vertical="center" wrapText="1"/>
    </xf>
    <xf numFmtId="9" fontId="0" fillId="29" borderId="30" xfId="0" applyNumberFormat="1" applyFill="1" applyBorder="1" applyAlignment="1">
      <alignment horizontal="center" vertical="center" wrapText="1"/>
    </xf>
    <xf numFmtId="3" fontId="0" fillId="29" borderId="114" xfId="0" applyNumberFormat="1" applyFill="1" applyBorder="1" applyAlignment="1">
      <alignment horizontal="center" vertical="center"/>
    </xf>
    <xf numFmtId="0" fontId="0" fillId="42" borderId="8" xfId="0" applyFill="1" applyBorder="1" applyAlignment="1">
      <alignment vertical="top" wrapText="1"/>
    </xf>
    <xf numFmtId="0" fontId="0" fillId="42" borderId="8" xfId="0" applyFill="1" applyBorder="1" applyAlignment="1">
      <alignment horizontal="left" vertical="top" wrapText="1"/>
    </xf>
    <xf numFmtId="3" fontId="0" fillId="42" borderId="8" xfId="0" applyNumberFormat="1" applyFill="1" applyBorder="1" applyAlignment="1">
      <alignment horizontal="left" vertical="center" wrapText="1"/>
    </xf>
    <xf numFmtId="3" fontId="0" fillId="42" borderId="10" xfId="0" applyNumberFormat="1" applyFill="1" applyBorder="1" applyAlignment="1">
      <alignment horizontal="left" vertical="center"/>
    </xf>
    <xf numFmtId="9" fontId="0" fillId="42" borderId="8" xfId="0" applyNumberFormat="1" applyFill="1" applyBorder="1" applyAlignment="1">
      <alignment horizontal="center" vertical="center" wrapText="1"/>
    </xf>
    <xf numFmtId="9" fontId="52" fillId="42" borderId="148" xfId="0" applyNumberFormat="1" applyFont="1" applyFill="1" applyBorder="1" applyAlignment="1">
      <alignment horizontal="center" vertical="center" wrapText="1"/>
    </xf>
    <xf numFmtId="3" fontId="0" fillId="42" borderId="10" xfId="0" applyNumberFormat="1" applyFill="1" applyBorder="1" applyAlignment="1">
      <alignment horizontal="center" vertical="center"/>
    </xf>
    <xf numFmtId="3" fontId="0" fillId="42" borderId="42" xfId="0" applyNumberFormat="1" applyFill="1" applyBorder="1" applyAlignment="1">
      <alignment horizontal="center" vertical="center"/>
    </xf>
    <xf numFmtId="0" fontId="0" fillId="42" borderId="0" xfId="0" applyFill="1" applyAlignment="1">
      <alignment wrapText="1"/>
    </xf>
    <xf numFmtId="0" fontId="3" fillId="42" borderId="148" xfId="0" applyFont="1" applyFill="1" applyBorder="1" applyAlignment="1">
      <alignment horizontal="center" vertical="center" wrapText="1"/>
    </xf>
    <xf numFmtId="0" fontId="0" fillId="42" borderId="148" xfId="0" applyFill="1" applyBorder="1" applyAlignment="1">
      <alignment vertical="top" wrapText="1"/>
    </xf>
    <xf numFmtId="9" fontId="0" fillId="42" borderId="148" xfId="5" applyFont="1" applyFill="1" applyBorder="1" applyAlignment="1">
      <alignment horizontal="center"/>
    </xf>
    <xf numFmtId="0" fontId="0" fillId="42" borderId="148" xfId="0" applyFill="1" applyBorder="1" applyAlignment="1">
      <alignment horizontal="left" vertical="top" wrapText="1"/>
    </xf>
    <xf numFmtId="3" fontId="0" fillId="42" borderId="148" xfId="0" applyNumberFormat="1" applyFill="1" applyBorder="1" applyAlignment="1">
      <alignment horizontal="left" vertical="center" wrapText="1"/>
    </xf>
    <xf numFmtId="3" fontId="0" fillId="42" borderId="149" xfId="0" applyNumberFormat="1" applyFill="1" applyBorder="1" applyAlignment="1">
      <alignment horizontal="left" vertical="center"/>
    </xf>
    <xf numFmtId="0" fontId="0" fillId="42" borderId="0" xfId="0" applyFill="1" applyAlignment="1">
      <alignment horizontal="center" vertical="center" wrapText="1"/>
    </xf>
    <xf numFmtId="0" fontId="0" fillId="42" borderId="32" xfId="0" applyFill="1" applyBorder="1" applyAlignment="1">
      <alignment horizontal="center" vertical="center" wrapText="1"/>
    </xf>
    <xf numFmtId="9" fontId="0" fillId="42" borderId="148" xfId="0" applyNumberFormat="1" applyFill="1" applyBorder="1" applyAlignment="1">
      <alignment horizontal="center" vertical="center" wrapText="1"/>
    </xf>
    <xf numFmtId="0" fontId="0" fillId="42" borderId="153" xfId="0" applyFill="1" applyBorder="1" applyAlignment="1">
      <alignment vertical="top" wrapText="1"/>
    </xf>
    <xf numFmtId="0" fontId="0" fillId="42" borderId="148" xfId="0" applyFill="1" applyBorder="1" applyAlignment="1">
      <alignment wrapText="1"/>
    </xf>
    <xf numFmtId="0" fontId="0" fillId="42" borderId="148" xfId="0" applyFill="1" applyBorder="1" applyAlignment="1">
      <alignment horizontal="center" wrapText="1"/>
    </xf>
    <xf numFmtId="167" fontId="0" fillId="30" borderId="148" xfId="10" applyFont="1" applyFill="1" applyBorder="1" applyAlignment="1">
      <alignment horizontal="center" vertical="center" wrapText="1"/>
    </xf>
    <xf numFmtId="3" fontId="0" fillId="42" borderId="26" xfId="0" applyNumberFormat="1" applyFill="1" applyBorder="1" applyAlignment="1">
      <alignment horizontal="center" vertical="center"/>
    </xf>
    <xf numFmtId="0" fontId="0" fillId="42" borderId="148" xfId="0" applyFill="1" applyBorder="1" applyAlignment="1">
      <alignment horizontal="left" vertical="center" wrapText="1"/>
    </xf>
    <xf numFmtId="0" fontId="0" fillId="42" borderId="30" xfId="0" applyFill="1" applyBorder="1" applyAlignment="1">
      <alignment vertical="top" wrapText="1"/>
    </xf>
    <xf numFmtId="0" fontId="0" fillId="42" borderId="30" xfId="0" applyFill="1" applyBorder="1" applyAlignment="1">
      <alignment horizontal="left" vertical="center" wrapText="1"/>
    </xf>
    <xf numFmtId="0" fontId="0" fillId="42" borderId="30" xfId="0" applyFill="1" applyBorder="1" applyAlignment="1">
      <alignment wrapText="1"/>
    </xf>
    <xf numFmtId="0" fontId="0" fillId="42" borderId="56" xfId="0" applyFill="1" applyBorder="1" applyAlignment="1">
      <alignment horizontal="center" vertical="center" wrapText="1"/>
    </xf>
    <xf numFmtId="9" fontId="0" fillId="42" borderId="30" xfId="0" applyNumberFormat="1" applyFill="1" applyBorder="1" applyAlignment="1">
      <alignment horizontal="center" vertical="center" wrapText="1"/>
    </xf>
    <xf numFmtId="3" fontId="0" fillId="42" borderId="112" xfId="0" applyNumberFormat="1" applyFill="1" applyBorder="1" applyAlignment="1">
      <alignment horizontal="center" vertical="center"/>
    </xf>
    <xf numFmtId="0" fontId="3" fillId="29" borderId="148" xfId="0" applyFont="1" applyFill="1" applyBorder="1" applyAlignment="1">
      <alignment horizontal="center" vertical="center" wrapText="1"/>
    </xf>
    <xf numFmtId="9" fontId="0" fillId="29" borderId="148" xfId="0" applyNumberFormat="1" applyFill="1" applyBorder="1" applyAlignment="1">
      <alignment horizontal="center" vertical="center"/>
    </xf>
    <xf numFmtId="0" fontId="0" fillId="29" borderId="0" xfId="0" applyFill="1"/>
    <xf numFmtId="0" fontId="0" fillId="29" borderId="148" xfId="0" applyFill="1" applyBorder="1" applyAlignment="1">
      <alignment horizontal="left" vertical="center" wrapText="1"/>
    </xf>
    <xf numFmtId="3" fontId="0" fillId="29" borderId="148" xfId="0" applyNumberFormat="1" applyFill="1" applyBorder="1" applyAlignment="1">
      <alignment horizontal="center"/>
    </xf>
    <xf numFmtId="3" fontId="0" fillId="29" borderId="148" xfId="0" applyNumberFormat="1" applyFill="1" applyBorder="1" applyAlignment="1">
      <alignment vertical="center" wrapText="1"/>
    </xf>
    <xf numFmtId="3" fontId="0" fillId="29" borderId="149" xfId="0" applyNumberFormat="1" applyFill="1" applyBorder="1" applyAlignment="1">
      <alignment horizontal="center" vertical="center"/>
    </xf>
    <xf numFmtId="3" fontId="0" fillId="29" borderId="149" xfId="0" applyNumberFormat="1" applyFill="1" applyBorder="1" applyAlignment="1">
      <alignment vertical="center"/>
    </xf>
    <xf numFmtId="0" fontId="0" fillId="29" borderId="148" xfId="0" applyFill="1" applyBorder="1" applyAlignment="1">
      <alignment vertical="top"/>
    </xf>
    <xf numFmtId="0" fontId="0" fillId="29" borderId="30" xfId="0" applyFill="1" applyBorder="1"/>
    <xf numFmtId="3" fontId="0" fillId="29" borderId="112" xfId="0" applyNumberFormat="1" applyFill="1" applyBorder="1" applyAlignment="1">
      <alignment horizontal="center" vertical="center"/>
    </xf>
    <xf numFmtId="0" fontId="0" fillId="39" borderId="8" xfId="0" applyFill="1" applyBorder="1" applyAlignment="1">
      <alignment vertical="center" wrapText="1"/>
    </xf>
    <xf numFmtId="0" fontId="0" fillId="39" borderId="8" xfId="0" applyFill="1" applyBorder="1" applyAlignment="1">
      <alignment vertical="top" wrapText="1"/>
    </xf>
    <xf numFmtId="0" fontId="0" fillId="39" borderId="8" xfId="0" applyFill="1" applyBorder="1" applyAlignment="1">
      <alignment horizontal="left" vertical="top" wrapText="1"/>
    </xf>
    <xf numFmtId="3" fontId="0" fillId="39" borderId="8" xfId="0" applyNumberFormat="1" applyFill="1" applyBorder="1" applyAlignment="1">
      <alignment vertical="center"/>
    </xf>
    <xf numFmtId="0" fontId="0" fillId="39" borderId="8" xfId="0" applyFill="1" applyBorder="1"/>
    <xf numFmtId="0" fontId="0" fillId="39" borderId="8" xfId="0" applyFill="1" applyBorder="1" applyAlignment="1">
      <alignment horizontal="center" vertical="center"/>
    </xf>
    <xf numFmtId="0" fontId="0" fillId="39" borderId="8" xfId="0" applyFill="1" applyBorder="1" applyAlignment="1">
      <alignment horizontal="center" vertical="center" wrapText="1"/>
    </xf>
    <xf numFmtId="0" fontId="0" fillId="39" borderId="8" xfId="0" applyFill="1" applyBorder="1" applyAlignment="1">
      <alignment wrapText="1"/>
    </xf>
    <xf numFmtId="9" fontId="0" fillId="39" borderId="8" xfId="0" applyNumberFormat="1" applyFill="1" applyBorder="1" applyAlignment="1">
      <alignment horizontal="center" vertical="center" wrapText="1"/>
    </xf>
    <xf numFmtId="9" fontId="52" fillId="39" borderId="148" xfId="0" applyNumberFormat="1" applyFont="1" applyFill="1" applyBorder="1" applyAlignment="1">
      <alignment horizontal="center" vertical="center" wrapText="1"/>
    </xf>
    <xf numFmtId="3" fontId="0" fillId="39" borderId="10" xfId="0" applyNumberFormat="1" applyFill="1" applyBorder="1" applyAlignment="1">
      <alignment horizontal="center" vertical="center"/>
    </xf>
    <xf numFmtId="3" fontId="0" fillId="39" borderId="42" xfId="0" applyNumberFormat="1" applyFill="1" applyBorder="1" applyAlignment="1">
      <alignment horizontal="center" vertical="center"/>
    </xf>
    <xf numFmtId="3" fontId="0" fillId="39" borderId="148" xfId="0" applyNumberFormat="1" applyFill="1" applyBorder="1" applyAlignment="1">
      <alignment horizontal="center"/>
    </xf>
    <xf numFmtId="0" fontId="0" fillId="39" borderId="148" xfId="0" applyFill="1" applyBorder="1" applyAlignment="1">
      <alignment horizontal="center" vertical="center"/>
    </xf>
    <xf numFmtId="0" fontId="0" fillId="39" borderId="148" xfId="0" applyFill="1" applyBorder="1" applyAlignment="1">
      <alignment vertical="center"/>
    </xf>
    <xf numFmtId="0" fontId="0" fillId="39" borderId="0" xfId="0" applyFill="1"/>
    <xf numFmtId="0" fontId="3" fillId="39" borderId="148" xfId="0" applyFont="1" applyFill="1" applyBorder="1" applyAlignment="1">
      <alignment horizontal="center" vertical="center" wrapText="1"/>
    </xf>
    <xf numFmtId="0" fontId="0" fillId="39" borderId="148" xfId="0" applyFill="1" applyBorder="1" applyAlignment="1">
      <alignment vertical="top" wrapText="1"/>
    </xf>
    <xf numFmtId="9" fontId="0" fillId="39" borderId="148" xfId="5" applyFont="1" applyFill="1" applyBorder="1" applyAlignment="1">
      <alignment horizontal="center"/>
    </xf>
    <xf numFmtId="0" fontId="0" fillId="39" borderId="148" xfId="0" applyFill="1" applyBorder="1"/>
    <xf numFmtId="3" fontId="0" fillId="39" borderId="148" xfId="0" applyNumberFormat="1" applyFill="1" applyBorder="1" applyAlignment="1">
      <alignment horizontal="left" vertical="center" wrapText="1"/>
    </xf>
    <xf numFmtId="3" fontId="0" fillId="39" borderId="149" xfId="0" applyNumberFormat="1" applyFill="1" applyBorder="1" applyAlignment="1">
      <alignment horizontal="left" vertical="center"/>
    </xf>
    <xf numFmtId="0" fontId="0" fillId="39" borderId="148" xfId="0" applyFill="1" applyBorder="1" applyAlignment="1">
      <alignment horizontal="left" vertical="center" wrapText="1"/>
    </xf>
    <xf numFmtId="0" fontId="0" fillId="39" borderId="148" xfId="0" applyFill="1" applyBorder="1" applyAlignment="1">
      <alignment horizontal="left" vertical="top" wrapText="1"/>
    </xf>
    <xf numFmtId="0" fontId="0" fillId="39" borderId="148" xfId="0" applyFill="1" applyBorder="1" applyAlignment="1">
      <alignment horizontal="center" vertical="center" wrapText="1"/>
    </xf>
    <xf numFmtId="9" fontId="0" fillId="39" borderId="148" xfId="0" applyNumberFormat="1" applyFill="1" applyBorder="1" applyAlignment="1">
      <alignment horizontal="center" vertical="center" wrapText="1"/>
    </xf>
    <xf numFmtId="0" fontId="0" fillId="39" borderId="148" xfId="0" applyFill="1" applyBorder="1" applyAlignment="1">
      <alignment wrapText="1"/>
    </xf>
    <xf numFmtId="0" fontId="0" fillId="39" borderId="148" xfId="0" applyFill="1" applyBorder="1" applyAlignment="1">
      <alignment vertical="center" wrapText="1"/>
    </xf>
    <xf numFmtId="0" fontId="0" fillId="39" borderId="30" xfId="0" applyFill="1" applyBorder="1" applyAlignment="1">
      <alignment horizontal="center" vertical="center" wrapText="1"/>
    </xf>
    <xf numFmtId="0" fontId="0" fillId="39" borderId="30" xfId="0" applyFill="1" applyBorder="1" applyAlignment="1">
      <alignment vertical="top" wrapText="1"/>
    </xf>
    <xf numFmtId="0" fontId="0" fillId="39" borderId="30" xfId="0" applyFill="1" applyBorder="1" applyAlignment="1">
      <alignment wrapText="1"/>
    </xf>
    <xf numFmtId="0" fontId="0" fillId="39" borderId="30" xfId="0" applyFill="1" applyBorder="1" applyAlignment="1">
      <alignment horizontal="center" vertical="center"/>
    </xf>
    <xf numFmtId="0" fontId="0" fillId="39" borderId="56" xfId="0" applyFill="1" applyBorder="1" applyAlignment="1">
      <alignment horizontal="center" vertical="center" wrapText="1"/>
    </xf>
    <xf numFmtId="9" fontId="0" fillId="39" borderId="30" xfId="0" applyNumberFormat="1" applyFill="1" applyBorder="1" applyAlignment="1">
      <alignment horizontal="center" vertical="center" wrapText="1"/>
    </xf>
    <xf numFmtId="3" fontId="0" fillId="39" borderId="112" xfId="0" applyNumberFormat="1" applyFill="1" applyBorder="1" applyAlignment="1">
      <alignment horizontal="center" vertical="center"/>
    </xf>
    <xf numFmtId="0" fontId="8" fillId="23" borderId="159" xfId="0" applyFont="1" applyFill="1" applyBorder="1" applyAlignment="1">
      <alignment horizontal="center" vertical="center" wrapText="1"/>
    </xf>
    <xf numFmtId="3" fontId="8" fillId="23" borderId="159" xfId="0" applyNumberFormat="1" applyFont="1" applyFill="1" applyBorder="1" applyAlignment="1">
      <alignment horizontal="center" vertical="center" wrapText="1"/>
    </xf>
    <xf numFmtId="3" fontId="8" fillId="4" borderId="149" xfId="0" applyNumberFormat="1" applyFont="1" applyFill="1" applyBorder="1" applyAlignment="1" applyProtection="1">
      <alignment horizontal="center" vertical="center" wrapText="1"/>
      <protection locked="0"/>
    </xf>
    <xf numFmtId="0" fontId="0" fillId="44" borderId="8" xfId="0" applyFill="1" applyBorder="1"/>
    <xf numFmtId="3" fontId="10" fillId="30" borderId="8" xfId="0" applyNumberFormat="1" applyFont="1" applyFill="1" applyBorder="1" applyAlignment="1">
      <alignment horizontal="center" vertical="center"/>
    </xf>
    <xf numFmtId="9" fontId="10" fillId="11" borderId="8" xfId="0" applyNumberFormat="1" applyFont="1" applyFill="1" applyBorder="1" applyAlignment="1">
      <alignment vertical="center"/>
    </xf>
    <xf numFmtId="3" fontId="10" fillId="11" borderId="8" xfId="0" applyNumberFormat="1" applyFont="1" applyFill="1" applyBorder="1" applyAlignment="1">
      <alignment vertical="center"/>
    </xf>
    <xf numFmtId="0" fontId="0" fillId="44" borderId="0" xfId="0" applyFill="1"/>
    <xf numFmtId="3" fontId="10" fillId="44" borderId="148" xfId="0" applyNumberFormat="1" applyFont="1" applyFill="1" applyBorder="1" applyAlignment="1">
      <alignment horizontal="center" vertical="center" wrapText="1"/>
    </xf>
    <xf numFmtId="0" fontId="10" fillId="44" borderId="148" xfId="3" applyNumberFormat="1" applyFont="1" applyFill="1" applyBorder="1" applyAlignment="1" applyProtection="1">
      <alignment horizontal="center" vertical="center" wrapText="1"/>
      <protection locked="0"/>
    </xf>
    <xf numFmtId="0" fontId="0" fillId="44" borderId="148" xfId="0" applyFill="1" applyBorder="1" applyAlignment="1">
      <alignment wrapText="1"/>
    </xf>
    <xf numFmtId="0" fontId="0" fillId="44" borderId="148" xfId="0" applyFill="1" applyBorder="1" applyAlignment="1">
      <alignment vertical="center" wrapText="1"/>
    </xf>
    <xf numFmtId="0" fontId="0" fillId="44" borderId="148" xfId="0" applyFill="1" applyBorder="1" applyAlignment="1">
      <alignment horizontal="center" vertical="center"/>
    </xf>
    <xf numFmtId="0" fontId="0" fillId="44" borderId="148" xfId="0" applyFill="1" applyBorder="1" applyAlignment="1">
      <alignment vertical="center"/>
    </xf>
    <xf numFmtId="0" fontId="0" fillId="44" borderId="148" xfId="0" applyFill="1" applyBorder="1" applyAlignment="1">
      <alignment vertical="top" wrapText="1"/>
    </xf>
    <xf numFmtId="3" fontId="0" fillId="44" borderId="94" xfId="0" applyNumberFormat="1" applyFill="1" applyBorder="1" applyAlignment="1">
      <alignment horizontal="center"/>
    </xf>
    <xf numFmtId="0" fontId="0" fillId="44" borderId="148" xfId="0" applyFill="1" applyBorder="1"/>
    <xf numFmtId="165" fontId="10" fillId="44" borderId="148" xfId="3" applyFont="1" applyFill="1" applyBorder="1" applyAlignment="1" applyProtection="1">
      <alignment horizontal="center" vertical="center" wrapText="1"/>
      <protection locked="0"/>
    </xf>
    <xf numFmtId="3" fontId="0" fillId="44" borderId="148" xfId="0" applyNumberFormat="1" applyFill="1" applyBorder="1" applyAlignment="1">
      <alignment horizontal="center" vertical="center"/>
    </xf>
    <xf numFmtId="0" fontId="10" fillId="44" borderId="148" xfId="0" applyFont="1" applyFill="1" applyBorder="1" applyAlignment="1">
      <alignment vertical="center" wrapText="1"/>
    </xf>
    <xf numFmtId="3" fontId="0" fillId="44" borderId="148" xfId="0" applyNumberFormat="1" applyFill="1" applyBorder="1" applyAlignment="1">
      <alignment horizontal="center" vertical="center" wrapText="1"/>
    </xf>
    <xf numFmtId="170" fontId="0" fillId="44" borderId="148" xfId="9" applyFont="1" applyFill="1" applyBorder="1" applyAlignment="1">
      <alignment vertical="center"/>
    </xf>
    <xf numFmtId="0" fontId="10" fillId="44" borderId="148" xfId="0" applyFont="1" applyFill="1" applyBorder="1"/>
    <xf numFmtId="1" fontId="10" fillId="44" borderId="148" xfId="3" applyNumberFormat="1" applyFont="1" applyFill="1" applyBorder="1" applyAlignment="1" applyProtection="1">
      <alignment horizontal="center" vertical="center" wrapText="1"/>
      <protection locked="0"/>
    </xf>
    <xf numFmtId="0" fontId="0" fillId="44" borderId="148" xfId="0" applyFill="1" applyBorder="1" applyAlignment="1">
      <alignment horizontal="left" vertical="top" wrapText="1"/>
    </xf>
    <xf numFmtId="3" fontId="10" fillId="30" borderId="148" xfId="0" applyNumberFormat="1" applyFont="1" applyFill="1" applyBorder="1" applyAlignment="1">
      <alignment horizontal="center" vertical="center" wrapText="1"/>
    </xf>
    <xf numFmtId="0" fontId="10" fillId="44" borderId="148" xfId="0" applyFont="1" applyFill="1" applyBorder="1" applyAlignment="1">
      <alignment wrapText="1"/>
    </xf>
    <xf numFmtId="0" fontId="10" fillId="44" borderId="148" xfId="0" applyFont="1" applyFill="1" applyBorder="1" applyAlignment="1">
      <alignment vertical="center"/>
    </xf>
    <xf numFmtId="9" fontId="0" fillId="44" borderId="148" xfId="5" applyFont="1" applyFill="1" applyBorder="1" applyAlignment="1">
      <alignment horizontal="center" vertical="center"/>
    </xf>
    <xf numFmtId="0" fontId="10" fillId="44" borderId="148" xfId="0" applyFont="1" applyFill="1" applyBorder="1" applyAlignment="1">
      <alignment vertical="top" wrapText="1"/>
    </xf>
    <xf numFmtId="3" fontId="0" fillId="44" borderId="148" xfId="0" applyNumberFormat="1" applyFill="1" applyBorder="1"/>
    <xf numFmtId="9" fontId="10" fillId="44" borderId="148" xfId="5" applyFont="1" applyFill="1" applyBorder="1" applyAlignment="1">
      <alignment horizontal="center" vertical="center" wrapText="1"/>
    </xf>
    <xf numFmtId="9" fontId="10" fillId="44" borderId="148" xfId="5" applyFont="1" applyFill="1" applyBorder="1" applyAlignment="1" applyProtection="1">
      <alignment horizontal="center" vertical="center" wrapText="1"/>
      <protection locked="0"/>
    </xf>
    <xf numFmtId="0" fontId="10" fillId="44" borderId="148" xfId="0" applyFont="1" applyFill="1" applyBorder="1" applyAlignment="1">
      <alignment horizontal="left" wrapText="1"/>
    </xf>
    <xf numFmtId="175" fontId="10" fillId="44" borderId="148" xfId="0" applyNumberFormat="1" applyFont="1" applyFill="1" applyBorder="1" applyAlignment="1">
      <alignment horizontal="left" vertical="center" wrapText="1"/>
    </xf>
    <xf numFmtId="175" fontId="10" fillId="44" borderId="148" xfId="0" applyNumberFormat="1" applyFont="1" applyFill="1" applyBorder="1" applyAlignment="1">
      <alignment horizontal="center" vertical="center" wrapText="1"/>
    </xf>
    <xf numFmtId="0" fontId="0" fillId="44" borderId="148" xfId="0" applyFill="1" applyBorder="1" applyAlignment="1">
      <alignment horizontal="justify" vertical="top"/>
    </xf>
    <xf numFmtId="0" fontId="10" fillId="44" borderId="148" xfId="0" applyFont="1" applyFill="1" applyBorder="1" applyAlignment="1">
      <alignment horizontal="justify" vertical="top"/>
    </xf>
    <xf numFmtId="0" fontId="0" fillId="44" borderId="148" xfId="0" applyFill="1" applyBorder="1" applyAlignment="1">
      <alignment horizontal="center" vertical="center" wrapText="1"/>
    </xf>
    <xf numFmtId="1" fontId="10" fillId="44" borderId="148" xfId="5" applyNumberFormat="1" applyFont="1" applyFill="1" applyBorder="1" applyAlignment="1" applyProtection="1">
      <alignment horizontal="center" vertical="center" wrapText="1"/>
      <protection locked="0"/>
    </xf>
    <xf numFmtId="3" fontId="10" fillId="44" borderId="148" xfId="0" applyNumberFormat="1" applyFont="1" applyFill="1" applyBorder="1" applyAlignment="1">
      <alignment horizontal="center" vertical="center"/>
    </xf>
    <xf numFmtId="9" fontId="10" fillId="44" borderId="148" xfId="0" applyNumberFormat="1" applyFont="1" applyFill="1" applyBorder="1" applyAlignment="1">
      <alignment horizontal="center" vertical="center" wrapText="1"/>
    </xf>
    <xf numFmtId="186" fontId="0" fillId="44" borderId="148" xfId="0" applyNumberFormat="1" applyFill="1" applyBorder="1" applyAlignment="1">
      <alignment horizontal="center" vertical="center"/>
    </xf>
    <xf numFmtId="0" fontId="0" fillId="44" borderId="148" xfId="0" applyFill="1" applyBorder="1" applyAlignment="1">
      <alignment horizontal="justify" vertical="top" wrapText="1"/>
    </xf>
    <xf numFmtId="181" fontId="0" fillId="44" borderId="148" xfId="0" applyNumberFormat="1" applyFill="1" applyBorder="1" applyAlignment="1">
      <alignment horizontal="center" vertical="center"/>
    </xf>
    <xf numFmtId="1" fontId="10" fillId="44" borderId="148" xfId="0" applyNumberFormat="1" applyFont="1" applyFill="1" applyBorder="1" applyAlignment="1">
      <alignment horizontal="left" vertical="center" wrapText="1"/>
    </xf>
    <xf numFmtId="9" fontId="10" fillId="44" borderId="148" xfId="0" applyNumberFormat="1" applyFont="1" applyFill="1" applyBorder="1" applyAlignment="1">
      <alignment horizontal="center" vertical="center"/>
    </xf>
    <xf numFmtId="9" fontId="10" fillId="44" borderId="148" xfId="0" applyNumberFormat="1" applyFont="1" applyFill="1" applyBorder="1" applyAlignment="1">
      <alignment vertical="center"/>
    </xf>
    <xf numFmtId="3" fontId="10" fillId="30" borderId="148" xfId="0" applyNumberFormat="1" applyFont="1" applyFill="1" applyBorder="1" applyAlignment="1">
      <alignment horizontal="center" vertical="center"/>
    </xf>
    <xf numFmtId="3" fontId="10" fillId="0" borderId="148" xfId="0" applyNumberFormat="1" applyFont="1" applyBorder="1" applyAlignment="1">
      <alignment horizontal="center" vertical="center"/>
    </xf>
    <xf numFmtId="170" fontId="10" fillId="44" borderId="148" xfId="9" applyFont="1" applyFill="1" applyBorder="1" applyAlignment="1">
      <alignment vertical="center"/>
    </xf>
    <xf numFmtId="6" fontId="0" fillId="44" borderId="148" xfId="0" applyNumberFormat="1" applyFill="1" applyBorder="1"/>
    <xf numFmtId="0" fontId="10" fillId="44" borderId="148" xfId="0" applyFont="1" applyFill="1" applyBorder="1" applyAlignment="1">
      <alignment horizontal="center"/>
    </xf>
    <xf numFmtId="1" fontId="10" fillId="44" borderId="148" xfId="0" applyNumberFormat="1" applyFont="1" applyFill="1" applyBorder="1" applyAlignment="1">
      <alignment horizontal="center" vertical="center"/>
    </xf>
    <xf numFmtId="0" fontId="0" fillId="0" borderId="148" xfId="0" applyBorder="1" applyAlignment="1">
      <alignment horizontal="center" vertical="center"/>
    </xf>
    <xf numFmtId="0" fontId="0" fillId="44" borderId="94" xfId="0" applyFill="1" applyBorder="1"/>
    <xf numFmtId="0" fontId="0" fillId="44" borderId="30" xfId="0" applyFill="1" applyBorder="1" applyAlignment="1">
      <alignment horizontal="center" vertical="center" wrapText="1"/>
    </xf>
    <xf numFmtId="0" fontId="0" fillId="44" borderId="30" xfId="0" applyFill="1" applyBorder="1"/>
    <xf numFmtId="186" fontId="0" fillId="44" borderId="30" xfId="0" applyNumberFormat="1" applyFill="1" applyBorder="1" applyAlignment="1">
      <alignment horizontal="center" vertical="center"/>
    </xf>
    <xf numFmtId="0" fontId="0" fillId="44" borderId="30" xfId="0" applyFill="1" applyBorder="1" applyAlignment="1">
      <alignment horizontal="center" vertical="center"/>
    </xf>
    <xf numFmtId="0" fontId="0" fillId="44" borderId="30" xfId="0" applyFill="1" applyBorder="1" applyAlignment="1">
      <alignment horizontal="justify" vertical="top"/>
    </xf>
    <xf numFmtId="3" fontId="0" fillId="44" borderId="30" xfId="0" applyNumberFormat="1" applyFill="1" applyBorder="1" applyAlignment="1">
      <alignment horizontal="center" vertical="center"/>
    </xf>
    <xf numFmtId="3" fontId="0" fillId="44" borderId="30" xfId="0" applyNumberFormat="1" applyFill="1" applyBorder="1" applyAlignment="1">
      <alignment horizontal="center"/>
    </xf>
    <xf numFmtId="3" fontId="0" fillId="44" borderId="31" xfId="0" applyNumberFormat="1" applyFill="1" applyBorder="1" applyAlignment="1">
      <alignment horizontal="center"/>
    </xf>
    <xf numFmtId="1" fontId="10" fillId="39" borderId="148" xfId="0" applyNumberFormat="1" applyFont="1" applyFill="1" applyBorder="1" applyAlignment="1">
      <alignment horizontal="left" vertical="center" wrapText="1"/>
    </xf>
    <xf numFmtId="0" fontId="10" fillId="39" borderId="148" xfId="0" applyFont="1" applyFill="1" applyBorder="1" applyAlignment="1">
      <alignment vertical="center" wrapText="1"/>
    </xf>
    <xf numFmtId="3" fontId="10" fillId="39" borderId="148" xfId="0" applyNumberFormat="1" applyFont="1" applyFill="1" applyBorder="1" applyAlignment="1">
      <alignment horizontal="center" vertical="center" wrapText="1"/>
    </xf>
    <xf numFmtId="175" fontId="10" fillId="39" borderId="148" xfId="0" applyNumberFormat="1" applyFont="1" applyFill="1" applyBorder="1" applyAlignment="1">
      <alignment horizontal="center" vertical="center" wrapText="1"/>
    </xf>
    <xf numFmtId="0" fontId="10" fillId="39" borderId="148" xfId="0" applyFont="1" applyFill="1" applyBorder="1" applyAlignment="1">
      <alignment horizontal="center" vertical="center"/>
    </xf>
    <xf numFmtId="0" fontId="10" fillId="39" borderId="148" xfId="0" applyFont="1" applyFill="1" applyBorder="1" applyAlignment="1">
      <alignment horizontal="center"/>
    </xf>
    <xf numFmtId="0" fontId="0" fillId="39" borderId="153" xfId="0" applyFill="1" applyBorder="1"/>
    <xf numFmtId="1" fontId="10" fillId="39" borderId="148" xfId="0" applyNumberFormat="1" applyFont="1" applyFill="1" applyBorder="1" applyAlignment="1">
      <alignment horizontal="center" vertical="center"/>
    </xf>
    <xf numFmtId="9" fontId="10" fillId="39" borderId="148" xfId="0" applyNumberFormat="1" applyFont="1" applyFill="1" applyBorder="1" applyAlignment="1">
      <alignment vertical="center" wrapText="1"/>
    </xf>
    <xf numFmtId="9" fontId="10" fillId="39" borderId="148" xfId="0" applyNumberFormat="1" applyFont="1" applyFill="1" applyBorder="1" applyAlignment="1">
      <alignment vertical="center"/>
    </xf>
    <xf numFmtId="3" fontId="10" fillId="39" borderId="148" xfId="7" applyNumberFormat="1" applyFont="1" applyFill="1" applyBorder="1" applyAlignment="1">
      <alignment horizontal="center" vertical="center"/>
    </xf>
    <xf numFmtId="3" fontId="10" fillId="39" borderId="148" xfId="0" applyNumberFormat="1" applyFont="1" applyFill="1" applyBorder="1" applyAlignment="1">
      <alignment horizontal="center" vertical="center"/>
    </xf>
    <xf numFmtId="3" fontId="10" fillId="30" borderId="148" xfId="5" applyNumberFormat="1" applyFont="1" applyFill="1" applyBorder="1" applyAlignment="1">
      <alignment horizontal="center" vertical="center"/>
    </xf>
    <xf numFmtId="3" fontId="0" fillId="39" borderId="148" xfId="0" applyNumberFormat="1" applyFill="1" applyBorder="1" applyAlignment="1">
      <alignment horizontal="center" vertical="center"/>
    </xf>
    <xf numFmtId="0" fontId="0" fillId="39" borderId="32" xfId="0" applyFill="1" applyBorder="1"/>
    <xf numFmtId="0" fontId="10" fillId="39" borderId="148" xfId="0" applyFont="1" applyFill="1" applyBorder="1" applyAlignment="1">
      <alignment horizontal="left" wrapText="1"/>
    </xf>
    <xf numFmtId="186" fontId="0" fillId="39" borderId="148" xfId="0" applyNumberFormat="1" applyFill="1" applyBorder="1" applyAlignment="1">
      <alignment horizontal="center" vertical="center"/>
    </xf>
    <xf numFmtId="0" fontId="11" fillId="39" borderId="148" xfId="0" applyFont="1" applyFill="1" applyBorder="1" applyAlignment="1">
      <alignment vertical="center" wrapText="1"/>
    </xf>
    <xf numFmtId="3" fontId="0" fillId="39" borderId="148" xfId="0" applyNumberFormat="1" applyFill="1" applyBorder="1"/>
    <xf numFmtId="3" fontId="0" fillId="39" borderId="94" xfId="0" applyNumberFormat="1" applyFill="1" applyBorder="1" applyAlignment="1">
      <alignment horizontal="center"/>
    </xf>
    <xf numFmtId="0" fontId="10" fillId="39" borderId="148" xfId="0" applyFont="1" applyFill="1" applyBorder="1" applyAlignment="1">
      <alignment horizontal="left" vertical="center" wrapText="1"/>
    </xf>
    <xf numFmtId="0" fontId="11" fillId="39" borderId="148" xfId="0" applyFont="1" applyFill="1" applyBorder="1" applyAlignment="1">
      <alignment wrapText="1"/>
    </xf>
    <xf numFmtId="9" fontId="10" fillId="39" borderId="148" xfId="5" applyFont="1" applyFill="1" applyBorder="1" applyAlignment="1">
      <alignment horizontal="center" vertical="center" wrapText="1"/>
    </xf>
    <xf numFmtId="3" fontId="0" fillId="39" borderId="94" xfId="0" applyNumberFormat="1" applyFill="1" applyBorder="1" applyAlignment="1">
      <alignment horizontal="center" vertical="center"/>
    </xf>
    <xf numFmtId="0" fontId="0" fillId="39" borderId="53" xfId="0" applyFill="1" applyBorder="1"/>
    <xf numFmtId="0" fontId="0" fillId="39" borderId="30" xfId="0" applyFill="1" applyBorder="1"/>
    <xf numFmtId="187" fontId="0" fillId="39" borderId="30" xfId="0" applyNumberFormat="1" applyFill="1" applyBorder="1" applyAlignment="1">
      <alignment horizontal="center" vertical="center"/>
    </xf>
    <xf numFmtId="0" fontId="0" fillId="39" borderId="66" xfId="0" applyFill="1" applyBorder="1"/>
    <xf numFmtId="3" fontId="10" fillId="30" borderId="30" xfId="0" applyNumberFormat="1" applyFont="1" applyFill="1" applyBorder="1" applyAlignment="1">
      <alignment horizontal="center" vertical="center"/>
    </xf>
    <xf numFmtId="3" fontId="0" fillId="39" borderId="30" xfId="0" applyNumberFormat="1" applyFill="1" applyBorder="1" applyAlignment="1">
      <alignment horizontal="center" vertical="center"/>
    </xf>
    <xf numFmtId="0" fontId="0" fillId="38" borderId="8" xfId="0" applyFill="1" applyBorder="1" applyAlignment="1">
      <alignment horizontal="center" vertical="center"/>
    </xf>
    <xf numFmtId="0" fontId="0" fillId="38" borderId="8" xfId="0" applyFill="1" applyBorder="1"/>
    <xf numFmtId="0" fontId="0" fillId="38" borderId="8" xfId="0" applyFill="1" applyBorder="1" applyAlignment="1">
      <alignment horizontal="center" vertical="center" wrapText="1"/>
    </xf>
    <xf numFmtId="3" fontId="0" fillId="38" borderId="8" xfId="0" applyNumberFormat="1" applyFill="1" applyBorder="1" applyAlignment="1">
      <alignment horizontal="center" vertical="center"/>
    </xf>
    <xf numFmtId="3" fontId="0" fillId="38" borderId="8" xfId="0" applyNumberFormat="1" applyFill="1" applyBorder="1" applyAlignment="1">
      <alignment horizontal="center"/>
    </xf>
    <xf numFmtId="0" fontId="0" fillId="38" borderId="0" xfId="0" applyFill="1"/>
    <xf numFmtId="175" fontId="10" fillId="38" borderId="148" xfId="0" applyNumberFormat="1" applyFont="1" applyFill="1" applyBorder="1" applyAlignment="1">
      <alignment horizontal="left" vertical="center" wrapText="1"/>
    </xf>
    <xf numFmtId="0" fontId="10" fillId="38" borderId="148" xfId="0" applyFont="1" applyFill="1" applyBorder="1" applyAlignment="1">
      <alignment horizontal="left" vertical="center" wrapText="1"/>
    </xf>
    <xf numFmtId="3" fontId="10" fillId="38" borderId="148" xfId="0" applyNumberFormat="1" applyFont="1" applyFill="1" applyBorder="1" applyAlignment="1">
      <alignment horizontal="center" vertical="center" wrapText="1"/>
    </xf>
    <xf numFmtId="0" fontId="10" fillId="38" borderId="148" xfId="0" applyFont="1" applyFill="1" applyBorder="1" applyAlignment="1">
      <alignment horizontal="center" vertical="center" wrapText="1"/>
    </xf>
    <xf numFmtId="175" fontId="10" fillId="38" borderId="148" xfId="0" applyNumberFormat="1" applyFont="1" applyFill="1" applyBorder="1" applyAlignment="1">
      <alignment horizontal="center" vertical="center" wrapText="1"/>
    </xf>
    <xf numFmtId="0" fontId="0" fillId="38" borderId="148" xfId="0" applyFill="1" applyBorder="1"/>
    <xf numFmtId="166" fontId="0" fillId="38" borderId="148" xfId="7" applyFont="1" applyFill="1" applyBorder="1"/>
    <xf numFmtId="0" fontId="0" fillId="38" borderId="148" xfId="0" applyFill="1" applyBorder="1" applyAlignment="1">
      <alignment horizontal="justify" vertical="top"/>
    </xf>
    <xf numFmtId="0" fontId="0" fillId="38" borderId="148" xfId="0" applyFill="1" applyBorder="1" applyAlignment="1">
      <alignment horizontal="center" vertical="center" wrapText="1"/>
    </xf>
    <xf numFmtId="0" fontId="0" fillId="38" borderId="148" xfId="0" applyFill="1" applyBorder="1" applyAlignment="1">
      <alignment horizontal="center" vertical="center"/>
    </xf>
    <xf numFmtId="3" fontId="0" fillId="38" borderId="148" xfId="0" applyNumberFormat="1" applyFill="1" applyBorder="1" applyAlignment="1">
      <alignment horizontal="center" vertical="center"/>
    </xf>
    <xf numFmtId="3" fontId="0" fillId="38" borderId="148" xfId="0" applyNumberFormat="1" applyFill="1" applyBorder="1" applyAlignment="1">
      <alignment horizontal="center"/>
    </xf>
    <xf numFmtId="3" fontId="0" fillId="38" borderId="94" xfId="0" applyNumberFormat="1" applyFill="1" applyBorder="1" applyAlignment="1">
      <alignment horizontal="center"/>
    </xf>
    <xf numFmtId="181" fontId="0" fillId="38" borderId="148" xfId="7" applyNumberFormat="1" applyFont="1" applyFill="1" applyBorder="1" applyAlignment="1">
      <alignment horizontal="center" vertical="center"/>
    </xf>
    <xf numFmtId="0" fontId="0" fillId="38" borderId="148" xfId="0" applyFill="1" applyBorder="1" applyAlignment="1">
      <alignment vertical="center"/>
    </xf>
    <xf numFmtId="0" fontId="0" fillId="38" borderId="148" xfId="0" applyFill="1" applyBorder="1" applyAlignment="1">
      <alignment vertical="top" wrapText="1"/>
    </xf>
    <xf numFmtId="0" fontId="0" fillId="38" borderId="148" xfId="0" applyFill="1" applyBorder="1" applyAlignment="1">
      <alignment wrapText="1"/>
    </xf>
    <xf numFmtId="170" fontId="0" fillId="38" borderId="148" xfId="9" applyFont="1" applyFill="1" applyBorder="1" applyAlignment="1">
      <alignment vertical="center"/>
    </xf>
    <xf numFmtId="9" fontId="10" fillId="38" borderId="148" xfId="5" applyFont="1" applyFill="1" applyBorder="1" applyAlignment="1">
      <alignment horizontal="center" vertical="center" wrapText="1"/>
    </xf>
    <xf numFmtId="9" fontId="10" fillId="38" borderId="148" xfId="5" applyFont="1" applyFill="1" applyBorder="1" applyAlignment="1" applyProtection="1">
      <alignment horizontal="center" vertical="center" wrapText="1"/>
      <protection locked="0"/>
    </xf>
    <xf numFmtId="0" fontId="0" fillId="38" borderId="148" xfId="0" applyFill="1" applyBorder="1" applyAlignment="1">
      <alignment vertical="center" wrapText="1"/>
    </xf>
    <xf numFmtId="3" fontId="0" fillId="38" borderId="148" xfId="0" applyNumberFormat="1" applyFill="1" applyBorder="1"/>
    <xf numFmtId="0" fontId="10" fillId="38" borderId="148" xfId="0" applyFont="1" applyFill="1" applyBorder="1" applyAlignment="1">
      <alignment wrapText="1"/>
    </xf>
    <xf numFmtId="0" fontId="10" fillId="38" borderId="148" xfId="0" applyFont="1" applyFill="1" applyBorder="1"/>
    <xf numFmtId="3" fontId="10" fillId="38" borderId="148" xfId="0" applyNumberFormat="1" applyFont="1" applyFill="1" applyBorder="1" applyAlignment="1">
      <alignment horizontal="center" vertical="center"/>
    </xf>
    <xf numFmtId="1" fontId="10" fillId="38" borderId="148" xfId="0" applyNumberFormat="1" applyFont="1" applyFill="1" applyBorder="1" applyAlignment="1">
      <alignment horizontal="left" vertical="center" wrapText="1"/>
    </xf>
    <xf numFmtId="174" fontId="11" fillId="38" borderId="148" xfId="9" applyNumberFormat="1" applyFont="1" applyFill="1" applyBorder="1" applyAlignment="1">
      <alignment vertical="center"/>
    </xf>
    <xf numFmtId="9" fontId="10" fillId="38" borderId="148" xfId="0" applyNumberFormat="1" applyFont="1" applyFill="1" applyBorder="1" applyAlignment="1">
      <alignment horizontal="center" vertical="center"/>
    </xf>
    <xf numFmtId="9" fontId="10" fillId="38" borderId="148" xfId="0" applyNumberFormat="1" applyFont="1" applyFill="1" applyBorder="1" applyAlignment="1">
      <alignment vertical="center"/>
    </xf>
    <xf numFmtId="181" fontId="0" fillId="38" borderId="148" xfId="0" applyNumberFormat="1" applyFill="1" applyBorder="1" applyAlignment="1">
      <alignment horizontal="center" vertical="center" wrapText="1"/>
    </xf>
    <xf numFmtId="194" fontId="0" fillId="38" borderId="148" xfId="3" applyNumberFormat="1" applyFont="1" applyFill="1" applyBorder="1" applyAlignment="1">
      <alignment horizontal="center" vertical="center"/>
    </xf>
    <xf numFmtId="177" fontId="10" fillId="38" borderId="148" xfId="10" applyNumberFormat="1" applyFont="1" applyFill="1" applyBorder="1" applyAlignment="1">
      <alignment horizontal="center" vertical="center" wrapText="1"/>
    </xf>
    <xf numFmtId="0" fontId="11" fillId="38" borderId="148" xfId="0" applyFont="1" applyFill="1" applyBorder="1" applyAlignment="1">
      <alignment horizontal="center" vertical="center"/>
    </xf>
    <xf numFmtId="185" fontId="10" fillId="38" borderId="148" xfId="10" applyNumberFormat="1" applyFont="1" applyFill="1" applyBorder="1" applyAlignment="1">
      <alignment horizontal="center"/>
    </xf>
    <xf numFmtId="0" fontId="10" fillId="38" borderId="148" xfId="0" applyFont="1" applyFill="1" applyBorder="1" applyAlignment="1">
      <alignment horizontal="center" textRotation="90"/>
    </xf>
    <xf numFmtId="185" fontId="10" fillId="38" borderId="148" xfId="10" applyNumberFormat="1" applyFont="1" applyFill="1" applyBorder="1" applyAlignment="1">
      <alignment horizontal="center" textRotation="90"/>
    </xf>
    <xf numFmtId="0" fontId="10" fillId="38" borderId="148" xfId="0" applyFont="1" applyFill="1" applyBorder="1" applyAlignment="1">
      <alignment horizontal="center"/>
    </xf>
    <xf numFmtId="0" fontId="10" fillId="38" borderId="148" xfId="0" applyFont="1" applyFill="1" applyBorder="1" applyAlignment="1">
      <alignment vertical="center" wrapText="1"/>
    </xf>
    <xf numFmtId="3" fontId="10" fillId="38" borderId="148" xfId="17" applyNumberFormat="1" applyFont="1" applyFill="1" applyBorder="1" applyAlignment="1">
      <alignment horizontal="center" vertical="center"/>
    </xf>
    <xf numFmtId="0" fontId="10" fillId="30" borderId="148" xfId="0" applyFont="1" applyFill="1" applyBorder="1" applyAlignment="1">
      <alignment horizontal="center" vertical="center"/>
    </xf>
    <xf numFmtId="0" fontId="10" fillId="11" borderId="148" xfId="0" applyFont="1" applyFill="1" applyBorder="1" applyAlignment="1">
      <alignment horizontal="center" vertical="center"/>
    </xf>
    <xf numFmtId="3" fontId="10" fillId="11" borderId="148" xfId="0" applyNumberFormat="1" applyFont="1" applyFill="1" applyBorder="1" applyAlignment="1">
      <alignment horizontal="center" vertical="center"/>
    </xf>
    <xf numFmtId="0" fontId="10" fillId="38" borderId="148" xfId="0" applyFont="1" applyFill="1" applyBorder="1" applyAlignment="1">
      <alignment horizontal="center" vertical="center"/>
    </xf>
    <xf numFmtId="9" fontId="10" fillId="38" borderId="148" xfId="0" applyNumberFormat="1" applyFont="1" applyFill="1" applyBorder="1" applyAlignment="1">
      <alignment vertical="center" wrapText="1"/>
    </xf>
    <xf numFmtId="3" fontId="10" fillId="38" borderId="148" xfId="4" applyNumberFormat="1" applyFont="1" applyFill="1" applyBorder="1" applyAlignment="1">
      <alignment horizontal="center" vertical="center"/>
    </xf>
    <xf numFmtId="3" fontId="10" fillId="30" borderId="148" xfId="17" applyNumberFormat="1" applyFont="1" applyFill="1" applyBorder="1" applyAlignment="1">
      <alignment horizontal="center" vertical="center"/>
    </xf>
    <xf numFmtId="1" fontId="10" fillId="38" borderId="148" xfId="5" applyNumberFormat="1" applyFont="1" applyFill="1" applyBorder="1" applyAlignment="1">
      <alignment horizontal="center" vertical="center" wrapText="1"/>
    </xf>
    <xf numFmtId="0" fontId="10" fillId="38" borderId="148" xfId="5" applyNumberFormat="1" applyFont="1" applyFill="1" applyBorder="1" applyAlignment="1">
      <alignment horizontal="center" vertical="center" wrapText="1"/>
    </xf>
    <xf numFmtId="9" fontId="10" fillId="38" borderId="148" xfId="0" applyNumberFormat="1" applyFont="1" applyFill="1" applyBorder="1" applyAlignment="1">
      <alignment horizontal="center" vertical="center" wrapText="1"/>
    </xf>
    <xf numFmtId="185" fontId="10" fillId="38" borderId="148" xfId="17" applyNumberFormat="1" applyFont="1" applyFill="1" applyBorder="1" applyAlignment="1">
      <alignment horizontal="center" vertical="center"/>
    </xf>
    <xf numFmtId="0" fontId="10" fillId="38" borderId="148" xfId="0" applyFont="1" applyFill="1" applyBorder="1" applyAlignment="1">
      <alignment horizontal="center" vertical="center" textRotation="90"/>
    </xf>
    <xf numFmtId="3" fontId="10" fillId="38" borderId="148" xfId="0" applyNumberFormat="1" applyFont="1" applyFill="1" applyBorder="1" applyAlignment="1">
      <alignment horizontal="center" vertical="center" textRotation="90"/>
    </xf>
    <xf numFmtId="3" fontId="10" fillId="0" borderId="148" xfId="0" applyNumberFormat="1" applyFont="1" applyBorder="1" applyAlignment="1">
      <alignment horizontal="center" vertical="center" wrapText="1"/>
    </xf>
    <xf numFmtId="0" fontId="0" fillId="38" borderId="148" xfId="0" applyFill="1" applyBorder="1" applyAlignment="1">
      <alignment horizontal="left" vertical="center" wrapText="1"/>
    </xf>
    <xf numFmtId="165" fontId="0" fillId="38" borderId="148" xfId="3" applyFont="1" applyFill="1" applyBorder="1" applyAlignment="1">
      <alignment horizontal="center" vertical="center" wrapText="1"/>
    </xf>
    <xf numFmtId="3" fontId="0" fillId="38" borderId="148" xfId="0" applyNumberFormat="1" applyFill="1" applyBorder="1" applyAlignment="1">
      <alignment horizontal="center" vertical="center" wrapText="1"/>
    </xf>
    <xf numFmtId="3" fontId="0" fillId="38" borderId="94" xfId="0" applyNumberFormat="1" applyFill="1" applyBorder="1" applyAlignment="1">
      <alignment horizontal="center" vertical="center" wrapText="1"/>
    </xf>
    <xf numFmtId="0" fontId="10" fillId="38" borderId="148" xfId="0" applyFont="1" applyFill="1" applyBorder="1" applyAlignment="1">
      <alignment vertical="center"/>
    </xf>
    <xf numFmtId="9" fontId="10" fillId="0" borderId="148" xfId="0" applyNumberFormat="1" applyFont="1" applyBorder="1" applyAlignment="1">
      <alignment vertical="center"/>
    </xf>
    <xf numFmtId="3" fontId="10" fillId="0" borderId="148" xfId="0" applyNumberFormat="1" applyFont="1" applyBorder="1" applyAlignment="1">
      <alignment vertical="center"/>
    </xf>
    <xf numFmtId="1" fontId="10" fillId="38" borderId="148" xfId="0" applyNumberFormat="1" applyFont="1" applyFill="1" applyBorder="1" applyAlignment="1">
      <alignment horizontal="center" vertical="center" wrapText="1"/>
    </xf>
    <xf numFmtId="0" fontId="40" fillId="30" borderId="148" xfId="0" applyFont="1" applyFill="1" applyBorder="1" applyAlignment="1">
      <alignment horizontal="center" vertical="center" wrapText="1"/>
    </xf>
    <xf numFmtId="0" fontId="40" fillId="30" borderId="148" xfId="0" applyFont="1" applyFill="1" applyBorder="1"/>
    <xf numFmtId="191" fontId="40" fillId="30" borderId="148" xfId="10" applyNumberFormat="1" applyFont="1" applyFill="1" applyBorder="1" applyAlignment="1">
      <alignment horizontal="center" vertical="center"/>
    </xf>
    <xf numFmtId="9" fontId="40" fillId="30" borderId="148" xfId="0" applyNumberFormat="1" applyFont="1" applyFill="1" applyBorder="1" applyAlignment="1">
      <alignment vertical="center"/>
    </xf>
    <xf numFmtId="3" fontId="40" fillId="30" borderId="148" xfId="0" applyNumberFormat="1" applyFont="1" applyFill="1" applyBorder="1" applyAlignment="1">
      <alignment horizontal="center" vertical="center"/>
    </xf>
    <xf numFmtId="0" fontId="0" fillId="38" borderId="148" xfId="0" applyFill="1" applyBorder="1" applyAlignment="1">
      <alignment horizontal="left" vertical="center"/>
    </xf>
    <xf numFmtId="0" fontId="11" fillId="38" borderId="148" xfId="0" applyFont="1" applyFill="1" applyBorder="1" applyAlignment="1">
      <alignment vertical="center" wrapText="1"/>
    </xf>
    <xf numFmtId="0" fontId="11" fillId="38" borderId="148" xfId="0" applyFont="1" applyFill="1" applyBorder="1"/>
    <xf numFmtId="164" fontId="11" fillId="38" borderId="148" xfId="4" applyFont="1" applyFill="1" applyBorder="1" applyAlignment="1" applyProtection="1">
      <alignment vertical="center"/>
      <protection locked="0"/>
    </xf>
    <xf numFmtId="190" fontId="0" fillId="38" borderId="148" xfId="4" applyNumberFormat="1" applyFont="1" applyFill="1" applyBorder="1"/>
    <xf numFmtId="3" fontId="0" fillId="38" borderId="148" xfId="4" applyNumberFormat="1" applyFont="1" applyFill="1" applyBorder="1" applyAlignment="1">
      <alignment horizontal="center"/>
    </xf>
    <xf numFmtId="0" fontId="11" fillId="38" borderId="148" xfId="0" applyFont="1" applyFill="1" applyBorder="1" applyAlignment="1">
      <alignment vertical="top" wrapText="1"/>
    </xf>
    <xf numFmtId="168" fontId="11" fillId="38" borderId="148" xfId="0" applyNumberFormat="1" applyFont="1" applyFill="1" applyBorder="1" applyAlignment="1">
      <alignment horizontal="center" vertical="center"/>
    </xf>
    <xf numFmtId="0" fontId="0" fillId="38" borderId="148" xfId="0" applyFill="1" applyBorder="1" applyAlignment="1">
      <alignment horizontal="center" wrapText="1"/>
    </xf>
    <xf numFmtId="0" fontId="10" fillId="38" borderId="148" xfId="0" applyFont="1" applyFill="1" applyBorder="1" applyAlignment="1">
      <alignment vertical="top" wrapText="1"/>
    </xf>
    <xf numFmtId="0" fontId="0" fillId="11" borderId="148" xfId="0" applyFill="1" applyBorder="1" applyAlignment="1">
      <alignment horizontal="center" vertical="center"/>
    </xf>
    <xf numFmtId="0" fontId="10" fillId="38" borderId="148" xfId="0" applyFont="1" applyFill="1" applyBorder="1" applyAlignment="1">
      <alignment horizontal="center" vertical="top" wrapText="1"/>
    </xf>
    <xf numFmtId="3" fontId="0" fillId="38" borderId="94" xfId="0" applyNumberFormat="1" applyFill="1" applyBorder="1" applyAlignment="1">
      <alignment horizontal="center" vertical="center"/>
    </xf>
    <xf numFmtId="0" fontId="10" fillId="38" borderId="148" xfId="0" applyFont="1" applyFill="1" applyBorder="1" applyAlignment="1">
      <alignment horizontal="center" vertical="top"/>
    </xf>
    <xf numFmtId="185" fontId="10" fillId="38" borderId="148" xfId="17" applyNumberFormat="1" applyFont="1" applyFill="1" applyBorder="1" applyAlignment="1">
      <alignment horizontal="left" vertical="center"/>
    </xf>
    <xf numFmtId="0" fontId="0" fillId="38" borderId="30" xfId="0" applyFill="1" applyBorder="1" applyAlignment="1">
      <alignment wrapText="1"/>
    </xf>
    <xf numFmtId="0" fontId="0" fillId="38" borderId="30" xfId="0" applyFill="1" applyBorder="1" applyAlignment="1">
      <alignment horizontal="center" wrapText="1"/>
    </xf>
    <xf numFmtId="3" fontId="0" fillId="38" borderId="30" xfId="0" applyNumberFormat="1" applyFill="1" applyBorder="1" applyAlignment="1">
      <alignment horizontal="center" vertical="center" wrapText="1"/>
    </xf>
    <xf numFmtId="3" fontId="10" fillId="11" borderId="30" xfId="0" applyNumberFormat="1" applyFont="1" applyFill="1" applyBorder="1" applyAlignment="1">
      <alignment horizontal="center" vertical="center"/>
    </xf>
    <xf numFmtId="3" fontId="0" fillId="11" borderId="30" xfId="0" applyNumberFormat="1" applyFill="1" applyBorder="1" applyAlignment="1">
      <alignment horizontal="center" vertical="center" wrapText="1"/>
    </xf>
    <xf numFmtId="3" fontId="0" fillId="38" borderId="30" xfId="0" applyNumberFormat="1" applyFill="1" applyBorder="1" applyAlignment="1">
      <alignment horizontal="center"/>
    </xf>
    <xf numFmtId="3" fontId="0" fillId="38" borderId="31" xfId="0" applyNumberFormat="1" applyFill="1" applyBorder="1" applyAlignment="1">
      <alignment horizontal="center"/>
    </xf>
    <xf numFmtId="175" fontId="10" fillId="0" borderId="0" xfId="0" applyNumberFormat="1" applyFont="1" applyAlignment="1">
      <alignment horizontal="center" vertical="center" wrapText="1"/>
    </xf>
    <xf numFmtId="3" fontId="10" fillId="0" borderId="0" xfId="0" applyNumberFormat="1" applyFont="1" applyAlignment="1">
      <alignment horizontal="center" vertical="center" wrapText="1"/>
    </xf>
    <xf numFmtId="3" fontId="0" fillId="11" borderId="0" xfId="0" applyNumberFormat="1" applyFill="1"/>
    <xf numFmtId="2" fontId="0" fillId="11" borderId="0" xfId="0" applyNumberFormat="1" applyFill="1" applyAlignment="1">
      <alignment horizontal="center" vertical="center"/>
    </xf>
    <xf numFmtId="3" fontId="0" fillId="11" borderId="0" xfId="0" applyNumberFormat="1" applyFill="1" applyAlignment="1">
      <alignment horizontal="center" vertical="center"/>
    </xf>
    <xf numFmtId="3" fontId="0" fillId="11" borderId="0" xfId="0" applyNumberFormat="1" applyFill="1" applyAlignment="1">
      <alignment horizontal="center"/>
    </xf>
    <xf numFmtId="3" fontId="0" fillId="0" borderId="0" xfId="0" applyNumberFormat="1" applyAlignment="1">
      <alignment horizontal="center"/>
    </xf>
    <xf numFmtId="2" fontId="0" fillId="0" borderId="0" xfId="0" applyNumberFormat="1" applyAlignment="1">
      <alignment horizontal="center" vertical="center"/>
    </xf>
    <xf numFmtId="0" fontId="10" fillId="0" borderId="71" xfId="0" applyFont="1" applyBorder="1" applyAlignment="1">
      <alignment vertical="center"/>
    </xf>
    <xf numFmtId="0" fontId="8" fillId="10" borderId="148" xfId="0" applyFont="1" applyFill="1" applyBorder="1" applyAlignment="1" applyProtection="1">
      <alignment horizontal="center" vertical="center"/>
      <protection locked="0"/>
    </xf>
    <xf numFmtId="0" fontId="8" fillId="4" borderId="159" xfId="0" applyFont="1" applyFill="1" applyBorder="1" applyAlignment="1">
      <alignment horizontal="center" vertical="center" wrapText="1"/>
    </xf>
    <xf numFmtId="1" fontId="10" fillId="42" borderId="148" xfId="0" applyNumberFormat="1" applyFont="1" applyFill="1" applyBorder="1" applyAlignment="1" applyProtection="1">
      <alignment horizontal="center" vertical="center" wrapText="1"/>
      <protection locked="0"/>
    </xf>
    <xf numFmtId="2" fontId="10" fillId="42" borderId="148" xfId="0" applyNumberFormat="1" applyFont="1" applyFill="1" applyBorder="1" applyAlignment="1">
      <alignment horizontal="center" vertical="center" wrapText="1"/>
    </xf>
    <xf numFmtId="0" fontId="10" fillId="42" borderId="8" xfId="0" applyFont="1" applyFill="1" applyBorder="1"/>
    <xf numFmtId="170" fontId="0" fillId="42" borderId="148" xfId="9" applyFont="1" applyFill="1" applyBorder="1" applyAlignment="1">
      <alignment horizontal="center" vertical="center" wrapText="1"/>
    </xf>
    <xf numFmtId="0" fontId="0" fillId="42" borderId="148" xfId="0" applyFill="1" applyBorder="1" applyAlignment="1">
      <alignment horizontal="center" vertical="top" wrapText="1"/>
    </xf>
    <xf numFmtId="3" fontId="0" fillId="42" borderId="148" xfId="9" applyNumberFormat="1" applyFont="1" applyFill="1" applyBorder="1" applyAlignment="1">
      <alignment horizontal="center" vertical="center" wrapText="1"/>
    </xf>
    <xf numFmtId="3" fontId="0" fillId="42" borderId="148" xfId="4" applyNumberFormat="1" applyFont="1" applyFill="1" applyBorder="1" applyAlignment="1">
      <alignment horizontal="center" vertical="center" wrapText="1"/>
    </xf>
    <xf numFmtId="0" fontId="10" fillId="42" borderId="148" xfId="0" applyFont="1" applyFill="1" applyBorder="1" applyAlignment="1">
      <alignment horizontal="center" vertical="center"/>
    </xf>
    <xf numFmtId="0" fontId="10" fillId="42" borderId="148" xfId="0" applyFont="1" applyFill="1" applyBorder="1"/>
    <xf numFmtId="10" fontId="10" fillId="42" borderId="148" xfId="0" applyNumberFormat="1" applyFont="1" applyFill="1" applyBorder="1" applyAlignment="1">
      <alignment horizontal="center" vertical="center" wrapText="1"/>
    </xf>
    <xf numFmtId="9" fontId="10" fillId="42" borderId="148" xfId="5" applyFont="1" applyFill="1" applyBorder="1" applyAlignment="1">
      <alignment horizontal="center" vertical="center" wrapText="1"/>
    </xf>
    <xf numFmtId="0" fontId="0" fillId="42" borderId="148" xfId="0" applyFill="1" applyBorder="1" applyAlignment="1">
      <alignment horizontal="center"/>
    </xf>
    <xf numFmtId="3" fontId="0" fillId="42" borderId="148" xfId="0" applyNumberFormat="1" applyFill="1" applyBorder="1"/>
    <xf numFmtId="0" fontId="0" fillId="42" borderId="94" xfId="0" applyFill="1" applyBorder="1"/>
    <xf numFmtId="9" fontId="10" fillId="42" borderId="148" xfId="0" applyNumberFormat="1" applyFont="1" applyFill="1" applyBorder="1" applyAlignment="1">
      <alignment horizontal="center" vertical="center" wrapText="1"/>
    </xf>
    <xf numFmtId="0" fontId="0" fillId="42" borderId="148" xfId="0" applyFill="1" applyBorder="1" applyAlignment="1">
      <alignment horizontal="center" vertical="top"/>
    </xf>
    <xf numFmtId="3" fontId="0" fillId="42" borderId="148" xfId="4" applyNumberFormat="1" applyFont="1" applyFill="1" applyBorder="1" applyAlignment="1">
      <alignment horizontal="center" vertical="center"/>
    </xf>
    <xf numFmtId="9" fontId="10" fillId="42" borderId="148" xfId="10" applyNumberFormat="1" applyFont="1" applyFill="1" applyBorder="1" applyAlignment="1">
      <alignment horizontal="center" vertical="center" wrapText="1"/>
    </xf>
    <xf numFmtId="1" fontId="10" fillId="42" borderId="148" xfId="0" applyNumberFormat="1" applyFont="1" applyFill="1" applyBorder="1" applyAlignment="1">
      <alignment horizontal="center" vertical="center" wrapText="1"/>
    </xf>
    <xf numFmtId="3" fontId="10" fillId="42" borderId="148" xfId="4" applyNumberFormat="1" applyFont="1" applyFill="1" applyBorder="1" applyAlignment="1">
      <alignment horizontal="center" vertical="center"/>
    </xf>
    <xf numFmtId="0" fontId="10" fillId="42" borderId="30" xfId="0" applyFont="1" applyFill="1" applyBorder="1"/>
    <xf numFmtId="0" fontId="0" fillId="42" borderId="30" xfId="0" applyFill="1" applyBorder="1" applyAlignment="1">
      <alignment horizontal="center" wrapText="1"/>
    </xf>
    <xf numFmtId="0" fontId="0" fillId="42" borderId="30" xfId="0" applyFill="1" applyBorder="1" applyAlignment="1">
      <alignment horizontal="center"/>
    </xf>
    <xf numFmtId="0" fontId="0" fillId="42" borderId="30" xfId="0" applyFill="1" applyBorder="1" applyAlignment="1">
      <alignment horizontal="center" vertical="center"/>
    </xf>
    <xf numFmtId="3" fontId="0" fillId="40" borderId="148" xfId="9" applyNumberFormat="1" applyFont="1" applyFill="1" applyBorder="1" applyAlignment="1">
      <alignment horizontal="center" vertical="center" wrapText="1"/>
    </xf>
    <xf numFmtId="0" fontId="10" fillId="40" borderId="148" xfId="0" applyFont="1" applyFill="1" applyBorder="1" applyAlignment="1">
      <alignment horizontal="center" vertical="center"/>
    </xf>
    <xf numFmtId="0" fontId="10" fillId="40" borderId="148" xfId="0" applyFont="1" applyFill="1" applyBorder="1"/>
    <xf numFmtId="9" fontId="10" fillId="41" borderId="148" xfId="0" applyNumberFormat="1" applyFont="1" applyFill="1" applyBorder="1" applyAlignment="1">
      <alignment horizontal="center" vertical="center" wrapText="1"/>
    </xf>
    <xf numFmtId="0" fontId="0" fillId="41" borderId="32" xfId="0" applyFill="1" applyBorder="1"/>
    <xf numFmtId="0" fontId="0" fillId="41" borderId="148" xfId="0" applyFill="1" applyBorder="1" applyAlignment="1">
      <alignment horizontal="center" vertical="center"/>
    </xf>
    <xf numFmtId="0" fontId="0" fillId="41" borderId="52" xfId="0" applyFill="1" applyBorder="1"/>
    <xf numFmtId="3" fontId="0" fillId="41" borderId="148" xfId="9" applyNumberFormat="1" applyFont="1" applyFill="1" applyBorder="1" applyAlignment="1">
      <alignment horizontal="center" vertical="center" wrapText="1"/>
    </xf>
    <xf numFmtId="0" fontId="10" fillId="41" borderId="148" xfId="0" applyFont="1" applyFill="1" applyBorder="1" applyAlignment="1">
      <alignment horizontal="center" vertical="center"/>
    </xf>
    <xf numFmtId="0" fontId="10" fillId="41" borderId="148" xfId="0" applyFont="1" applyFill="1" applyBorder="1"/>
    <xf numFmtId="0" fontId="10" fillId="41" borderId="148" xfId="0" applyFont="1" applyFill="1" applyBorder="1" applyAlignment="1">
      <alignment horizontal="justify" vertical="center" wrapText="1"/>
    </xf>
    <xf numFmtId="0" fontId="0" fillId="41" borderId="94" xfId="0" applyFill="1" applyBorder="1"/>
    <xf numFmtId="0" fontId="0" fillId="41" borderId="32" xfId="0" applyFill="1" applyBorder="1" applyAlignment="1">
      <alignment horizontal="center" vertical="center" wrapText="1"/>
    </xf>
    <xf numFmtId="0" fontId="10" fillId="41" borderId="148" xfId="0" applyFont="1" applyFill="1" applyBorder="1" applyAlignment="1">
      <alignment wrapText="1"/>
    </xf>
    <xf numFmtId="0" fontId="10" fillId="44" borderId="148" xfId="0" applyFont="1" applyFill="1" applyBorder="1" applyAlignment="1">
      <alignment horizontal="center" vertical="center"/>
    </xf>
    <xf numFmtId="4" fontId="0" fillId="40" borderId="148" xfId="0" applyNumberFormat="1" applyFont="1" applyFill="1" applyBorder="1" applyAlignment="1">
      <alignment horizontal="center" vertical="center"/>
    </xf>
    <xf numFmtId="9" fontId="0" fillId="44" borderId="32" xfId="0" applyNumberFormat="1" applyFont="1" applyFill="1" applyBorder="1" applyAlignment="1">
      <alignment horizontal="center" vertical="center"/>
    </xf>
    <xf numFmtId="0" fontId="0" fillId="44" borderId="148" xfId="0" applyFont="1" applyFill="1" applyBorder="1" applyAlignment="1">
      <alignment vertical="center" wrapText="1"/>
    </xf>
    <xf numFmtId="9" fontId="0" fillId="38" borderId="148" xfId="0" applyNumberFormat="1" applyFont="1" applyFill="1" applyBorder="1" applyAlignment="1">
      <alignment horizontal="center" vertical="center"/>
    </xf>
    <xf numFmtId="0" fontId="0" fillId="38" borderId="148" xfId="0" applyFont="1" applyFill="1" applyBorder="1" applyAlignment="1">
      <alignment horizontal="center" vertical="center" wrapText="1"/>
    </xf>
    <xf numFmtId="9" fontId="0" fillId="7" borderId="32" xfId="0" applyNumberFormat="1" applyFont="1" applyFill="1" applyBorder="1" applyAlignment="1">
      <alignment horizontal="center" vertical="center" wrapText="1"/>
    </xf>
    <xf numFmtId="9" fontId="0" fillId="7" borderId="148" xfId="0" applyNumberFormat="1" applyFont="1" applyFill="1" applyBorder="1" applyAlignment="1">
      <alignment horizontal="center" vertical="center" wrapText="1"/>
    </xf>
    <xf numFmtId="4" fontId="0" fillId="7" borderId="148" xfId="0" applyNumberFormat="1" applyFont="1" applyFill="1" applyBorder="1" applyAlignment="1">
      <alignment horizontal="center" vertical="center"/>
    </xf>
    <xf numFmtId="0" fontId="0" fillId="41" borderId="148" xfId="0" applyFont="1" applyFill="1" applyBorder="1" applyAlignment="1">
      <alignment horizontal="center" vertical="center" wrapText="1"/>
    </xf>
    <xf numFmtId="0" fontId="11" fillId="38" borderId="148" xfId="0" applyFont="1" applyFill="1" applyBorder="1" applyAlignment="1">
      <alignment horizontal="center" vertical="center" wrapText="1"/>
    </xf>
    <xf numFmtId="0" fontId="11" fillId="39" borderId="148" xfId="0" applyFont="1" applyFill="1" applyBorder="1" applyAlignment="1">
      <alignment horizontal="center" vertical="center" wrapText="1"/>
    </xf>
    <xf numFmtId="0" fontId="11" fillId="7" borderId="148" xfId="0" applyFont="1" applyFill="1" applyBorder="1" applyAlignment="1">
      <alignment horizontal="center" vertical="center" wrapText="1"/>
    </xf>
    <xf numFmtId="0" fontId="0" fillId="41" borderId="148" xfId="8" applyFont="1" applyFill="1" applyBorder="1" applyAlignment="1" applyProtection="1">
      <alignment horizontal="center" vertical="center" wrapText="1"/>
      <protection locked="0"/>
    </xf>
    <xf numFmtId="0" fontId="0" fillId="42" borderId="148" xfId="8" applyFont="1" applyFill="1" applyBorder="1" applyAlignment="1">
      <alignment horizontal="center" vertical="center" wrapText="1"/>
    </xf>
    <xf numFmtId="0" fontId="0" fillId="43" borderId="148" xfId="8" applyFont="1" applyFill="1" applyBorder="1" applyAlignment="1">
      <alignment horizontal="center" vertical="center" wrapText="1"/>
    </xf>
    <xf numFmtId="0" fontId="0" fillId="29" borderId="148" xfId="8" applyFont="1" applyFill="1" applyBorder="1" applyAlignment="1">
      <alignment horizontal="center" vertical="center" wrapText="1"/>
    </xf>
    <xf numFmtId="0" fontId="0" fillId="39" borderId="148" xfId="8" applyFont="1" applyFill="1" applyBorder="1" applyAlignment="1">
      <alignment horizontal="center" vertical="center" wrapText="1"/>
    </xf>
    <xf numFmtId="0" fontId="0" fillId="39" borderId="148" xfId="8" applyFont="1" applyFill="1" applyBorder="1" applyAlignment="1">
      <alignment horizontal="justify" vertical="center" wrapText="1"/>
    </xf>
    <xf numFmtId="0" fontId="0" fillId="38" borderId="148" xfId="8" applyFont="1" applyFill="1" applyBorder="1" applyAlignment="1">
      <alignment horizontal="justify" vertical="center" wrapText="1"/>
    </xf>
    <xf numFmtId="0" fontId="0" fillId="41" borderId="148" xfId="8" applyFont="1" applyFill="1" applyBorder="1" applyAlignment="1">
      <alignment horizontal="center" vertical="center" wrapText="1"/>
    </xf>
    <xf numFmtId="0" fontId="0" fillId="40" borderId="148" xfId="8" applyFont="1" applyFill="1" applyBorder="1" applyAlignment="1">
      <alignment horizontal="center" vertical="center" wrapText="1"/>
    </xf>
    <xf numFmtId="0" fontId="10" fillId="40" borderId="148" xfId="8" applyFont="1" applyFill="1" applyBorder="1" applyAlignment="1">
      <alignment horizontal="center" vertical="center" wrapText="1"/>
    </xf>
    <xf numFmtId="0" fontId="0" fillId="51" borderId="148" xfId="0" applyFont="1" applyFill="1" applyBorder="1" applyAlignment="1">
      <alignment horizontal="center" vertical="center" wrapText="1"/>
    </xf>
    <xf numFmtId="0" fontId="11" fillId="17" borderId="148" xfId="0" applyFont="1" applyFill="1" applyBorder="1" applyAlignment="1">
      <alignment horizontal="center" vertical="center" wrapText="1"/>
    </xf>
    <xf numFmtId="0" fontId="0" fillId="42" borderId="148" xfId="0" applyFont="1" applyFill="1" applyBorder="1" applyAlignment="1">
      <alignment horizontal="center" vertical="center" wrapText="1"/>
    </xf>
    <xf numFmtId="0" fontId="51" fillId="42" borderId="148" xfId="0" applyFont="1" applyFill="1" applyBorder="1" applyAlignment="1">
      <alignment horizontal="center" vertical="center" wrapText="1"/>
    </xf>
    <xf numFmtId="0" fontId="51" fillId="72" borderId="148" xfId="0" applyFont="1" applyFill="1" applyBorder="1" applyAlignment="1">
      <alignment horizontal="center" vertical="center" wrapText="1"/>
    </xf>
    <xf numFmtId="0" fontId="51" fillId="41" borderId="148" xfId="0" applyFont="1" applyFill="1" applyBorder="1" applyAlignment="1">
      <alignment horizontal="center" vertical="center" wrapText="1"/>
    </xf>
    <xf numFmtId="0" fontId="51" fillId="44" borderId="148" xfId="0" applyFont="1" applyFill="1" applyBorder="1" applyAlignment="1">
      <alignment horizontal="center" vertical="center" wrapText="1"/>
    </xf>
    <xf numFmtId="0" fontId="51" fillId="40" borderId="148" xfId="0" applyFont="1" applyFill="1" applyBorder="1" applyAlignment="1">
      <alignment horizontal="center" vertical="center" wrapText="1"/>
    </xf>
    <xf numFmtId="0" fontId="51" fillId="7" borderId="148" xfId="0" applyFont="1" applyFill="1" applyBorder="1" applyAlignment="1">
      <alignment horizontal="center" vertical="center" wrapText="1"/>
    </xf>
    <xf numFmtId="0" fontId="51" fillId="51" borderId="148" xfId="0" applyFont="1" applyFill="1" applyBorder="1" applyAlignment="1">
      <alignment horizontal="center" vertical="center" wrapText="1"/>
    </xf>
    <xf numFmtId="0" fontId="51" fillId="38" borderId="148" xfId="0" applyFont="1" applyFill="1" applyBorder="1" applyAlignment="1">
      <alignment horizontal="center" vertical="center" wrapText="1"/>
    </xf>
    <xf numFmtId="0" fontId="51" fillId="33" borderId="148" xfId="0" applyFont="1" applyFill="1" applyBorder="1" applyAlignment="1">
      <alignment horizontal="center" vertical="center" wrapText="1"/>
    </xf>
    <xf numFmtId="0" fontId="51" fillId="29" borderId="148" xfId="0" applyFont="1" applyFill="1" applyBorder="1" applyAlignment="1">
      <alignment horizontal="center" vertical="center" wrapText="1"/>
    </xf>
    <xf numFmtId="9" fontId="51" fillId="51" borderId="148" xfId="0" applyNumberFormat="1" applyFont="1" applyFill="1" applyBorder="1" applyAlignment="1">
      <alignment horizontal="center" vertical="center" wrapText="1"/>
    </xf>
    <xf numFmtId="9" fontId="51" fillId="7" borderId="148" xfId="0" applyNumberFormat="1" applyFont="1" applyFill="1" applyBorder="1" applyAlignment="1">
      <alignment horizontal="center" vertical="center" wrapText="1"/>
    </xf>
    <xf numFmtId="0" fontId="49" fillId="42" borderId="148" xfId="0" applyFont="1" applyFill="1" applyBorder="1" applyAlignment="1">
      <alignment horizontal="justify" vertical="center" wrapText="1"/>
    </xf>
    <xf numFmtId="0" fontId="49" fillId="39" borderId="148" xfId="0" applyFont="1" applyFill="1" applyBorder="1" applyAlignment="1">
      <alignment vertical="center" wrapText="1"/>
    </xf>
    <xf numFmtId="0" fontId="49" fillId="41" borderId="148" xfId="0" applyFont="1" applyFill="1" applyBorder="1" applyAlignment="1">
      <alignment vertical="center" wrapText="1"/>
    </xf>
    <xf numFmtId="0" fontId="51" fillId="41" borderId="148" xfId="0" applyFont="1" applyFill="1" applyBorder="1" applyAlignment="1">
      <alignment vertical="center" wrapText="1"/>
    </xf>
    <xf numFmtId="0" fontId="51" fillId="41" borderId="148" xfId="0" applyFont="1" applyFill="1" applyBorder="1" applyAlignment="1">
      <alignment horizontal="justify" vertical="center" wrapText="1"/>
    </xf>
    <xf numFmtId="0" fontId="49" fillId="43" borderId="148" xfId="0" applyFont="1" applyFill="1" applyBorder="1" applyAlignment="1">
      <alignment vertical="center" wrapText="1"/>
    </xf>
    <xf numFmtId="0" fontId="49" fillId="44" borderId="148" xfId="0" applyFont="1" applyFill="1" applyBorder="1" applyAlignment="1">
      <alignment vertical="center" wrapText="1"/>
    </xf>
    <xf numFmtId="0" fontId="51" fillId="44" borderId="148" xfId="0" applyFont="1" applyFill="1" applyBorder="1" applyAlignment="1">
      <alignment horizontal="justify" vertical="center" wrapText="1"/>
    </xf>
    <xf numFmtId="0" fontId="51" fillId="33" borderId="148" xfId="0" applyFont="1" applyFill="1" applyBorder="1" applyAlignment="1">
      <alignment vertical="center" wrapText="1"/>
    </xf>
    <xf numFmtId="0" fontId="51" fillId="39" borderId="148" xfId="0" applyFont="1" applyFill="1" applyBorder="1" applyAlignment="1">
      <alignment horizontal="justify" vertical="center" wrapText="1"/>
    </xf>
    <xf numFmtId="0" fontId="51" fillId="39" borderId="148" xfId="0" applyFont="1" applyFill="1" applyBorder="1" applyAlignment="1">
      <alignment vertical="center" wrapText="1"/>
    </xf>
    <xf numFmtId="0" fontId="51" fillId="41" borderId="148" xfId="0" applyFont="1" applyFill="1" applyBorder="1"/>
    <xf numFmtId="0" fontId="51" fillId="42" borderId="148" xfId="0" applyFont="1" applyFill="1" applyBorder="1" applyAlignment="1">
      <alignment horizontal="left" vertical="center" wrapText="1"/>
    </xf>
    <xf numFmtId="0" fontId="0" fillId="41" borderId="148" xfId="2" applyFont="1" applyFill="1" applyBorder="1" applyAlignment="1" applyProtection="1">
      <alignment horizontal="center" vertical="center" wrapText="1"/>
    </xf>
    <xf numFmtId="0" fontId="0" fillId="51" borderId="148" xfId="2" applyFont="1" applyFill="1" applyBorder="1" applyAlignment="1" applyProtection="1">
      <alignment horizontal="center" vertical="center" wrapText="1"/>
    </xf>
    <xf numFmtId="0" fontId="0" fillId="7" borderId="148" xfId="2" applyFont="1" applyFill="1" applyBorder="1" applyAlignment="1" applyProtection="1">
      <alignment horizontal="center" vertical="center"/>
    </xf>
    <xf numFmtId="0" fontId="0" fillId="7" borderId="148" xfId="2" applyFont="1" applyFill="1" applyBorder="1" applyAlignment="1" applyProtection="1">
      <alignment horizontal="center" vertical="center" wrapText="1"/>
    </xf>
    <xf numFmtId="0" fontId="51" fillId="44" borderId="148" xfId="0" applyFont="1" applyFill="1" applyBorder="1" applyAlignment="1">
      <alignment vertical="center" wrapText="1"/>
    </xf>
    <xf numFmtId="0" fontId="51" fillId="72" borderId="148" xfId="0" applyFont="1" applyFill="1" applyBorder="1" applyAlignment="1">
      <alignment vertical="center" wrapText="1"/>
    </xf>
    <xf numFmtId="0" fontId="51" fillId="42" borderId="148" xfId="0" applyFont="1" applyFill="1" applyBorder="1" applyAlignment="1">
      <alignment vertical="center" wrapText="1"/>
    </xf>
    <xf numFmtId="0" fontId="49" fillId="42" borderId="148" xfId="0" applyFont="1" applyFill="1" applyBorder="1" applyAlignment="1">
      <alignment vertical="center" wrapText="1"/>
    </xf>
    <xf numFmtId="0" fontId="51" fillId="42" borderId="148" xfId="0" applyFont="1" applyFill="1" applyBorder="1" applyAlignment="1">
      <alignment horizontal="justify" vertical="center" wrapText="1"/>
    </xf>
    <xf numFmtId="0" fontId="51" fillId="42" borderId="148" xfId="0" applyFont="1" applyFill="1" applyBorder="1" applyAlignment="1">
      <alignment horizontal="justify" vertical="top" wrapText="1"/>
    </xf>
    <xf numFmtId="0" fontId="49" fillId="43" borderId="148" xfId="0" applyFont="1" applyFill="1" applyBorder="1" applyAlignment="1">
      <alignment horizontal="center" vertical="center" wrapText="1"/>
    </xf>
    <xf numFmtId="0" fontId="10" fillId="11" borderId="32" xfId="0" applyFont="1" applyFill="1" applyBorder="1" applyAlignment="1">
      <alignment horizontal="center" vertical="center"/>
    </xf>
    <xf numFmtId="0" fontId="10" fillId="11" borderId="112" xfId="0" applyFont="1" applyFill="1" applyBorder="1" applyAlignment="1">
      <alignment horizontal="center" vertical="center"/>
    </xf>
    <xf numFmtId="0" fontId="0" fillId="0" borderId="62" xfId="0" applyFont="1" applyBorder="1"/>
    <xf numFmtId="0" fontId="9" fillId="11" borderId="62" xfId="0" applyFont="1" applyFill="1" applyBorder="1" applyAlignment="1">
      <alignment horizontal="center" vertical="center" wrapText="1"/>
    </xf>
    <xf numFmtId="0" fontId="3" fillId="3" borderId="16" xfId="0" applyFont="1" applyFill="1" applyBorder="1" applyAlignment="1">
      <alignment horizontal="center" vertical="center"/>
    </xf>
    <xf numFmtId="0" fontId="3" fillId="3" borderId="48" xfId="0" applyFont="1" applyFill="1" applyBorder="1" applyAlignment="1">
      <alignment horizontal="center" vertical="center"/>
    </xf>
    <xf numFmtId="0" fontId="9" fillId="11" borderId="48" xfId="0" applyFont="1" applyFill="1" applyBorder="1" applyAlignment="1">
      <alignment wrapText="1"/>
    </xf>
    <xf numFmtId="0" fontId="9" fillId="11" borderId="48" xfId="0" applyFont="1" applyFill="1" applyBorder="1" applyAlignment="1">
      <alignment vertical="top" wrapText="1"/>
    </xf>
    <xf numFmtId="0" fontId="9" fillId="11" borderId="48" xfId="0" applyFont="1" applyFill="1" applyBorder="1" applyAlignment="1">
      <alignment horizontal="center" vertical="center" wrapText="1"/>
    </xf>
    <xf numFmtId="0" fontId="9" fillId="11" borderId="50" xfId="0" applyFont="1" applyFill="1" applyBorder="1" applyAlignment="1">
      <alignment horizontal="center" vertical="center" wrapText="1"/>
    </xf>
    <xf numFmtId="0" fontId="9" fillId="30" borderId="164" xfId="0" applyFont="1" applyFill="1" applyBorder="1" applyAlignment="1">
      <alignment horizontal="center" vertical="center" wrapText="1"/>
    </xf>
    <xf numFmtId="0" fontId="9" fillId="30" borderId="165" xfId="0" applyFont="1" applyFill="1" applyBorder="1" applyAlignment="1">
      <alignment horizontal="center" vertical="center" wrapText="1"/>
    </xf>
    <xf numFmtId="0" fontId="3" fillId="0" borderId="166" xfId="0" applyFont="1" applyBorder="1"/>
    <xf numFmtId="0" fontId="3" fillId="0" borderId="167" xfId="0" applyFont="1" applyBorder="1"/>
    <xf numFmtId="0" fontId="9" fillId="11" borderId="164" xfId="0" applyFont="1" applyFill="1" applyBorder="1" applyAlignment="1">
      <alignment horizontal="center" wrapText="1"/>
    </xf>
    <xf numFmtId="0" fontId="9" fillId="11" borderId="165" xfId="0" applyFont="1" applyFill="1" applyBorder="1" applyAlignment="1">
      <alignment horizontal="center" wrapText="1"/>
    </xf>
    <xf numFmtId="0" fontId="0" fillId="0" borderId="166" xfId="0" applyFont="1" applyBorder="1"/>
    <xf numFmtId="0" fontId="0" fillId="0" borderId="167" xfId="0" applyFont="1" applyBorder="1"/>
    <xf numFmtId="0" fontId="9" fillId="11" borderId="166" xfId="0" applyFont="1" applyFill="1" applyBorder="1" applyAlignment="1">
      <alignment horizontal="center" vertical="center" wrapText="1"/>
    </xf>
    <xf numFmtId="0" fontId="9" fillId="11" borderId="167" xfId="0" applyFont="1" applyFill="1" applyBorder="1" applyAlignment="1">
      <alignment horizontal="center" vertical="center" wrapText="1"/>
    </xf>
    <xf numFmtId="0" fontId="9" fillId="69" borderId="170" xfId="0" applyFont="1" applyFill="1" applyBorder="1" applyAlignment="1">
      <alignment horizontal="center" vertical="center" wrapText="1"/>
    </xf>
    <xf numFmtId="0" fontId="9" fillId="69" borderId="171" xfId="0" applyFont="1" applyFill="1" applyBorder="1" applyAlignment="1">
      <alignment horizontal="center" vertical="center" wrapText="1"/>
    </xf>
    <xf numFmtId="0" fontId="10" fillId="11" borderId="164" xfId="0" applyFont="1" applyFill="1" applyBorder="1" applyAlignment="1">
      <alignment horizontal="center" vertical="center"/>
    </xf>
    <xf numFmtId="0" fontId="10" fillId="11" borderId="165" xfId="0" applyFont="1" applyFill="1" applyBorder="1" applyAlignment="1">
      <alignment horizontal="center" vertical="center"/>
    </xf>
    <xf numFmtId="0" fontId="10" fillId="69" borderId="164" xfId="0" applyFont="1" applyFill="1" applyBorder="1" applyAlignment="1">
      <alignment horizontal="center" vertical="center" wrapText="1"/>
    </xf>
    <xf numFmtId="0" fontId="10" fillId="69" borderId="165" xfId="0" applyFont="1" applyFill="1" applyBorder="1" applyAlignment="1">
      <alignment horizontal="center" vertical="center" wrapText="1"/>
    </xf>
    <xf numFmtId="0" fontId="10" fillId="69" borderId="165" xfId="0" applyFont="1" applyFill="1" applyBorder="1" applyAlignment="1">
      <alignment horizontal="center" vertical="center"/>
    </xf>
    <xf numFmtId="0" fontId="10" fillId="69" borderId="164" xfId="0" applyFont="1" applyFill="1" applyBorder="1" applyAlignment="1">
      <alignment horizontal="center" vertical="center"/>
    </xf>
    <xf numFmtId="0" fontId="9" fillId="69" borderId="164" xfId="0" applyFont="1" applyFill="1" applyBorder="1" applyAlignment="1">
      <alignment horizontal="center" vertical="center" wrapText="1"/>
    </xf>
    <xf numFmtId="0" fontId="9" fillId="69" borderId="165" xfId="0" applyFont="1" applyFill="1" applyBorder="1" applyAlignment="1">
      <alignment horizontal="center" vertical="center" wrapText="1"/>
    </xf>
    <xf numFmtId="191" fontId="0" fillId="0" borderId="166" xfId="10" applyNumberFormat="1" applyFont="1" applyBorder="1" applyAlignment="1">
      <alignment horizontal="center" vertical="center"/>
    </xf>
    <xf numFmtId="191" fontId="0" fillId="0" borderId="167" xfId="10" applyNumberFormat="1" applyFont="1" applyBorder="1" applyAlignment="1">
      <alignment horizontal="center" vertical="center"/>
    </xf>
    <xf numFmtId="0" fontId="9" fillId="103" borderId="172" xfId="0" applyFont="1" applyFill="1" applyBorder="1" applyAlignment="1">
      <alignment horizontal="center" vertical="center" wrapText="1"/>
    </xf>
    <xf numFmtId="0" fontId="9" fillId="103" borderId="173" xfId="0" applyFont="1" applyFill="1" applyBorder="1" applyAlignment="1">
      <alignment horizontal="center" vertical="center" wrapText="1"/>
    </xf>
    <xf numFmtId="0" fontId="0" fillId="0" borderId="174" xfId="0" applyFont="1" applyBorder="1"/>
    <xf numFmtId="0" fontId="10" fillId="11" borderId="173" xfId="0" applyFont="1" applyFill="1" applyBorder="1" applyAlignment="1">
      <alignment horizontal="center" vertical="center"/>
    </xf>
    <xf numFmtId="0" fontId="10" fillId="103" borderId="173" xfId="0" applyFont="1" applyFill="1" applyBorder="1" applyAlignment="1">
      <alignment horizontal="center" vertical="center" wrapText="1"/>
    </xf>
    <xf numFmtId="191" fontId="0" fillId="0" borderId="174" xfId="10" applyNumberFormat="1" applyFont="1" applyBorder="1" applyAlignment="1">
      <alignment horizontal="center" vertical="center"/>
    </xf>
    <xf numFmtId="0" fontId="9" fillId="103" borderId="175" xfId="0" applyFont="1" applyFill="1" applyBorder="1" applyAlignment="1">
      <alignment horizontal="center" vertical="center" wrapText="1"/>
    </xf>
    <xf numFmtId="0" fontId="9" fillId="51" borderId="164" xfId="0" applyFont="1" applyFill="1" applyBorder="1" applyAlignment="1">
      <alignment horizontal="center" vertical="center" wrapText="1"/>
    </xf>
    <xf numFmtId="0" fontId="9" fillId="51" borderId="165" xfId="0" applyFont="1" applyFill="1" applyBorder="1" applyAlignment="1">
      <alignment horizontal="center" vertical="center" wrapText="1"/>
    </xf>
    <xf numFmtId="0" fontId="10" fillId="51" borderId="164" xfId="0" applyFont="1" applyFill="1" applyBorder="1" applyAlignment="1">
      <alignment horizontal="center" vertical="center" wrapText="1"/>
    </xf>
    <xf numFmtId="0" fontId="10" fillId="51" borderId="165" xfId="0" applyFont="1" applyFill="1" applyBorder="1" applyAlignment="1">
      <alignment horizontal="center" vertical="center" wrapText="1"/>
    </xf>
    <xf numFmtId="0" fontId="9" fillId="28" borderId="164" xfId="0" applyFont="1" applyFill="1" applyBorder="1" applyAlignment="1">
      <alignment horizontal="center" vertical="center" wrapText="1"/>
    </xf>
    <xf numFmtId="0" fontId="9" fillId="28" borderId="165" xfId="0" applyFont="1" applyFill="1" applyBorder="1" applyAlignment="1">
      <alignment horizontal="center" vertical="center" wrapText="1"/>
    </xf>
    <xf numFmtId="0" fontId="10" fillId="28" borderId="165" xfId="0" applyFont="1" applyFill="1" applyBorder="1" applyAlignment="1">
      <alignment horizontal="center" vertical="center" wrapText="1"/>
    </xf>
    <xf numFmtId="0" fontId="10" fillId="28" borderId="164" xfId="0" applyFont="1" applyFill="1" applyBorder="1" applyAlignment="1">
      <alignment horizontal="center" vertical="center" wrapText="1"/>
    </xf>
    <xf numFmtId="0" fontId="9" fillId="29" borderId="172" xfId="0" applyFont="1" applyFill="1" applyBorder="1" applyAlignment="1">
      <alignment horizontal="center" vertical="center" wrapText="1"/>
    </xf>
    <xf numFmtId="0" fontId="9" fillId="29" borderId="173" xfId="0" applyFont="1" applyFill="1" applyBorder="1" applyAlignment="1">
      <alignment horizontal="center" vertical="center" wrapText="1"/>
    </xf>
    <xf numFmtId="0" fontId="9" fillId="29" borderId="175" xfId="0" applyFont="1" applyFill="1" applyBorder="1" applyAlignment="1">
      <alignment horizontal="center" vertical="center" wrapText="1"/>
    </xf>
    <xf numFmtId="0" fontId="9" fillId="7" borderId="164" xfId="0" applyFont="1" applyFill="1" applyBorder="1" applyAlignment="1">
      <alignment horizontal="center" vertical="center" wrapText="1"/>
    </xf>
    <xf numFmtId="0" fontId="9" fillId="7" borderId="165" xfId="0" applyFont="1" applyFill="1" applyBorder="1" applyAlignment="1">
      <alignment horizontal="center" vertical="center" wrapText="1"/>
    </xf>
    <xf numFmtId="0" fontId="10" fillId="7" borderId="164" xfId="0" applyFont="1" applyFill="1" applyBorder="1" applyAlignment="1">
      <alignment horizontal="center" vertical="center" wrapText="1"/>
    </xf>
    <xf numFmtId="0" fontId="10" fillId="7" borderId="165" xfId="0" applyFont="1" applyFill="1" applyBorder="1" applyAlignment="1">
      <alignment horizontal="center" vertical="center" wrapText="1"/>
    </xf>
    <xf numFmtId="0" fontId="9" fillId="104" borderId="164" xfId="0" applyFont="1" applyFill="1" applyBorder="1" applyAlignment="1">
      <alignment horizontal="center" vertical="center" wrapText="1"/>
    </xf>
    <xf numFmtId="0" fontId="9" fillId="104" borderId="165" xfId="0" applyFont="1" applyFill="1" applyBorder="1" applyAlignment="1">
      <alignment horizontal="center" vertical="center" wrapText="1"/>
    </xf>
    <xf numFmtId="0" fontId="10" fillId="104" borderId="164" xfId="0" applyFont="1" applyFill="1" applyBorder="1" applyAlignment="1">
      <alignment horizontal="center" vertical="center" wrapText="1"/>
    </xf>
    <xf numFmtId="0" fontId="10" fillId="104" borderId="165" xfId="0" applyFont="1" applyFill="1" applyBorder="1" applyAlignment="1">
      <alignment horizontal="center" vertical="center" wrapText="1"/>
    </xf>
    <xf numFmtId="0" fontId="9" fillId="104" borderId="176" xfId="0" applyFont="1" applyFill="1" applyBorder="1" applyAlignment="1">
      <alignment horizontal="center" vertical="center" wrapText="1"/>
    </xf>
    <xf numFmtId="0" fontId="9" fillId="38" borderId="164" xfId="0" applyFont="1" applyFill="1" applyBorder="1" applyAlignment="1">
      <alignment horizontal="center" vertical="center" wrapText="1"/>
    </xf>
    <xf numFmtId="0" fontId="9" fillId="38" borderId="165" xfId="0" applyFont="1" applyFill="1" applyBorder="1" applyAlignment="1">
      <alignment horizontal="center" vertical="center" wrapText="1"/>
    </xf>
    <xf numFmtId="0" fontId="10" fillId="38" borderId="164" xfId="0" applyFont="1" applyFill="1" applyBorder="1" applyAlignment="1">
      <alignment horizontal="center" vertical="center" wrapText="1"/>
    </xf>
    <xf numFmtId="0" fontId="10" fillId="38" borderId="165" xfId="0" applyFont="1" applyFill="1" applyBorder="1" applyAlignment="1">
      <alignment horizontal="center" vertical="center" wrapText="1"/>
    </xf>
    <xf numFmtId="0" fontId="9" fillId="39" borderId="164" xfId="0" applyFont="1" applyFill="1" applyBorder="1" applyAlignment="1">
      <alignment horizontal="center" vertical="center" wrapText="1"/>
    </xf>
    <xf numFmtId="0" fontId="9" fillId="39" borderId="165" xfId="0" applyFont="1" applyFill="1" applyBorder="1" applyAlignment="1">
      <alignment horizontal="center" vertical="center" wrapText="1"/>
    </xf>
    <xf numFmtId="0" fontId="10" fillId="39" borderId="164" xfId="0" applyFont="1" applyFill="1" applyBorder="1" applyAlignment="1">
      <alignment horizontal="center" vertical="center" wrapText="1"/>
    </xf>
    <xf numFmtId="0" fontId="10" fillId="39" borderId="165" xfId="0" applyFont="1" applyFill="1" applyBorder="1" applyAlignment="1">
      <alignment horizontal="center" vertical="center" wrapText="1"/>
    </xf>
    <xf numFmtId="0" fontId="0" fillId="11" borderId="164" xfId="0" applyFont="1" applyFill="1" applyBorder="1"/>
    <xf numFmtId="0" fontId="9" fillId="29" borderId="164" xfId="0" applyFont="1" applyFill="1" applyBorder="1" applyAlignment="1">
      <alignment horizontal="center" vertical="center" wrapText="1"/>
    </xf>
    <xf numFmtId="0" fontId="9" fillId="29" borderId="165" xfId="0" applyFont="1" applyFill="1" applyBorder="1" applyAlignment="1">
      <alignment horizontal="center" vertical="center" wrapText="1"/>
    </xf>
    <xf numFmtId="0" fontId="10" fillId="29" borderId="165" xfId="0" applyFont="1" applyFill="1" applyBorder="1" applyAlignment="1">
      <alignment horizontal="center" vertical="center" wrapText="1"/>
    </xf>
    <xf numFmtId="0" fontId="10" fillId="29" borderId="164" xfId="0" applyFont="1" applyFill="1" applyBorder="1" applyAlignment="1">
      <alignment horizontal="center" vertical="center" wrapText="1"/>
    </xf>
    <xf numFmtId="0" fontId="9" fillId="104" borderId="172" xfId="0" applyFont="1" applyFill="1" applyBorder="1" applyAlignment="1">
      <alignment horizontal="center" vertical="center" wrapText="1"/>
    </xf>
    <xf numFmtId="0" fontId="9" fillId="104" borderId="173" xfId="0" applyFont="1" applyFill="1" applyBorder="1" applyAlignment="1">
      <alignment horizontal="center" vertical="center" wrapText="1"/>
    </xf>
    <xf numFmtId="0" fontId="10" fillId="104" borderId="173" xfId="0" applyFont="1" applyFill="1" applyBorder="1" applyAlignment="1">
      <alignment horizontal="center" vertical="center" wrapText="1"/>
    </xf>
    <xf numFmtId="0" fontId="9" fillId="104" borderId="175" xfId="0" applyFont="1" applyFill="1" applyBorder="1" applyAlignment="1">
      <alignment horizontal="center" vertical="center" wrapText="1"/>
    </xf>
    <xf numFmtId="0" fontId="20" fillId="42" borderId="154" xfId="0" applyFont="1" applyFill="1" applyBorder="1" applyAlignment="1">
      <alignment horizontal="center" vertical="center" wrapText="1"/>
    </xf>
    <xf numFmtId="0" fontId="20" fillId="12" borderId="154" xfId="0" applyFont="1" applyFill="1" applyBorder="1" applyAlignment="1">
      <alignment horizontal="center" vertical="center" wrapText="1"/>
    </xf>
    <xf numFmtId="0" fontId="20" fillId="44" borderId="154" xfId="0" applyFont="1" applyFill="1" applyBorder="1" applyAlignment="1">
      <alignment horizontal="center" vertical="center" wrapText="1"/>
    </xf>
    <xf numFmtId="9" fontId="20" fillId="44" borderId="154" xfId="0" applyNumberFormat="1" applyFont="1" applyFill="1" applyBorder="1" applyAlignment="1">
      <alignment horizontal="center" vertical="center" wrapText="1"/>
    </xf>
    <xf numFmtId="0" fontId="20" fillId="39" borderId="154" xfId="0" applyFont="1" applyFill="1" applyBorder="1" applyAlignment="1">
      <alignment horizontal="center" vertical="center" wrapText="1"/>
    </xf>
    <xf numFmtId="0" fontId="9" fillId="7" borderId="162" xfId="0" applyFont="1" applyFill="1" applyBorder="1" applyAlignment="1">
      <alignment horizontal="center" vertical="center" wrapText="1"/>
    </xf>
    <xf numFmtId="0" fontId="9" fillId="7" borderId="163" xfId="0" applyFont="1" applyFill="1" applyBorder="1" applyAlignment="1">
      <alignment horizontal="center" vertical="center" wrapText="1"/>
    </xf>
    <xf numFmtId="0" fontId="9" fillId="28" borderId="162" xfId="0" applyFont="1" applyFill="1" applyBorder="1" applyAlignment="1">
      <alignment horizontal="center" vertical="center" wrapText="1"/>
    </xf>
    <xf numFmtId="0" fontId="9" fillId="28" borderId="163" xfId="0" applyFont="1" applyFill="1" applyBorder="1" applyAlignment="1">
      <alignment horizontal="center" vertical="center" wrapText="1"/>
    </xf>
    <xf numFmtId="0" fontId="9" fillId="29" borderId="162" xfId="0" applyFont="1" applyFill="1" applyBorder="1" applyAlignment="1">
      <alignment horizontal="center" vertical="center" wrapText="1"/>
    </xf>
    <xf numFmtId="0" fontId="9" fillId="29" borderId="163" xfId="0" applyFont="1" applyFill="1" applyBorder="1" applyAlignment="1">
      <alignment horizontal="center" vertical="center" wrapText="1"/>
    </xf>
    <xf numFmtId="0" fontId="9" fillId="104" borderId="162" xfId="0" applyFont="1" applyFill="1" applyBorder="1" applyAlignment="1">
      <alignment horizontal="center" vertical="center" wrapText="1"/>
    </xf>
    <xf numFmtId="0" fontId="9" fillId="104" borderId="163" xfId="0" applyFont="1" applyFill="1" applyBorder="1" applyAlignment="1">
      <alignment horizontal="center" vertical="center" wrapText="1"/>
    </xf>
    <xf numFmtId="0" fontId="9" fillId="38" borderId="162" xfId="0" applyFont="1" applyFill="1" applyBorder="1" applyAlignment="1">
      <alignment horizontal="center" vertical="center" wrapText="1"/>
    </xf>
    <xf numFmtId="0" fontId="9" fillId="39" borderId="162" xfId="0" applyFont="1" applyFill="1" applyBorder="1" applyAlignment="1">
      <alignment horizontal="center" vertical="center" wrapText="1"/>
    </xf>
    <xf numFmtId="0" fontId="9" fillId="51" borderId="162" xfId="0" applyFont="1" applyFill="1" applyBorder="1" applyAlignment="1">
      <alignment horizontal="center" vertical="center" wrapText="1"/>
    </xf>
    <xf numFmtId="0" fontId="9" fillId="51" borderId="163" xfId="0" applyFont="1" applyFill="1" applyBorder="1" applyAlignment="1">
      <alignment horizontal="center" vertical="center" wrapText="1"/>
    </xf>
    <xf numFmtId="0" fontId="9" fillId="69" borderId="162" xfId="0" applyFont="1" applyFill="1" applyBorder="1" applyAlignment="1">
      <alignment horizontal="center" vertical="center" wrapText="1"/>
    </xf>
    <xf numFmtId="0" fontId="9" fillId="69" borderId="163" xfId="0" applyFont="1" applyFill="1" applyBorder="1" applyAlignment="1">
      <alignment horizontal="center" vertical="center" wrapText="1"/>
    </xf>
    <xf numFmtId="0" fontId="0" fillId="0" borderId="45" xfId="0" applyBorder="1" applyAlignment="1">
      <alignment horizontal="center"/>
    </xf>
    <xf numFmtId="0" fontId="0" fillId="0" borderId="46" xfId="0" applyBorder="1" applyAlignment="1">
      <alignment horizontal="center"/>
    </xf>
    <xf numFmtId="0" fontId="0" fillId="0" borderId="177" xfId="0" applyBorder="1" applyAlignment="1">
      <alignment horizontal="center"/>
    </xf>
    <xf numFmtId="9" fontId="52" fillId="40" borderId="45" xfId="0" applyNumberFormat="1" applyFont="1" applyFill="1" applyBorder="1" applyAlignment="1">
      <alignment horizontal="center" vertical="center" wrapText="1"/>
    </xf>
    <xf numFmtId="9" fontId="52" fillId="40" borderId="46" xfId="0" applyNumberFormat="1" applyFont="1" applyFill="1" applyBorder="1" applyAlignment="1">
      <alignment horizontal="center" vertical="center" wrapText="1"/>
    </xf>
    <xf numFmtId="9" fontId="52" fillId="40" borderId="177" xfId="0" applyNumberFormat="1" applyFont="1" applyFill="1" applyBorder="1" applyAlignment="1">
      <alignment horizontal="center" vertical="center" wrapText="1"/>
    </xf>
    <xf numFmtId="9" fontId="0" fillId="27" borderId="46" xfId="5" applyFont="1" applyFill="1" applyBorder="1" applyAlignment="1">
      <alignment horizontal="center"/>
    </xf>
    <xf numFmtId="9" fontId="0" fillId="27" borderId="177" xfId="5" applyFont="1" applyFill="1" applyBorder="1" applyAlignment="1">
      <alignment horizontal="center"/>
    </xf>
    <xf numFmtId="9" fontId="0" fillId="27" borderId="45" xfId="5" applyFont="1" applyFill="1" applyBorder="1" applyAlignment="1">
      <alignment horizontal="center"/>
    </xf>
    <xf numFmtId="0" fontId="3" fillId="0" borderId="13" xfId="0" applyFont="1" applyBorder="1" applyAlignment="1">
      <alignment horizontal="center" vertical="center"/>
    </xf>
    <xf numFmtId="0" fontId="3" fillId="0" borderId="0" xfId="0" applyFont="1"/>
    <xf numFmtId="0" fontId="3" fillId="0" borderId="13" xfId="0" applyFont="1" applyBorder="1" applyAlignment="1">
      <alignment horizontal="justify" vertical="center"/>
    </xf>
    <xf numFmtId="0" fontId="2" fillId="105" borderId="0" xfId="0" applyFont="1" applyFill="1" applyAlignment="1">
      <alignment horizontal="justify"/>
    </xf>
    <xf numFmtId="0" fontId="3" fillId="11" borderId="48" xfId="0" applyFont="1" applyFill="1" applyBorder="1" applyAlignment="1">
      <alignment horizontal="center" vertical="center"/>
    </xf>
    <xf numFmtId="0" fontId="76" fillId="11" borderId="164" xfId="0" applyFont="1" applyFill="1" applyBorder="1" applyAlignment="1">
      <alignment horizontal="center" vertical="center"/>
    </xf>
    <xf numFmtId="0" fontId="76" fillId="69" borderId="164" xfId="0" applyFont="1" applyFill="1" applyBorder="1" applyAlignment="1">
      <alignment horizontal="center" vertical="center" wrapText="1"/>
    </xf>
    <xf numFmtId="0" fontId="76" fillId="11" borderId="165" xfId="0" applyFont="1" applyFill="1" applyBorder="1" applyAlignment="1">
      <alignment horizontal="center" vertical="center"/>
    </xf>
    <xf numFmtId="0" fontId="76" fillId="11" borderId="173" xfId="0" applyFont="1" applyFill="1" applyBorder="1" applyAlignment="1">
      <alignment horizontal="center" vertical="center"/>
    </xf>
    <xf numFmtId="0" fontId="76" fillId="28" borderId="165" xfId="0" applyFont="1" applyFill="1" applyBorder="1" applyAlignment="1">
      <alignment horizontal="center" vertical="center" wrapText="1"/>
    </xf>
    <xf numFmtId="0" fontId="76" fillId="51" borderId="165" xfId="0" applyFont="1" applyFill="1" applyBorder="1" applyAlignment="1">
      <alignment horizontal="center" vertical="center" wrapText="1"/>
    </xf>
    <xf numFmtId="0" fontId="76" fillId="69" borderId="165" xfId="0" applyFont="1" applyFill="1" applyBorder="1" applyAlignment="1">
      <alignment horizontal="center" vertical="center" wrapText="1"/>
    </xf>
    <xf numFmtId="0" fontId="76" fillId="69" borderId="165" xfId="0" applyFont="1" applyFill="1" applyBorder="1" applyAlignment="1">
      <alignment horizontal="center" vertical="center"/>
    </xf>
    <xf numFmtId="0" fontId="76" fillId="38" borderId="164" xfId="0" applyFont="1" applyFill="1" applyBorder="1" applyAlignment="1">
      <alignment horizontal="center" vertical="center" wrapText="1"/>
    </xf>
    <xf numFmtId="0" fontId="76" fillId="7" borderId="164" xfId="0" applyFont="1" applyFill="1" applyBorder="1" applyAlignment="1">
      <alignment horizontal="center" vertical="center" wrapText="1"/>
    </xf>
    <xf numFmtId="0" fontId="76" fillId="104" borderId="173" xfId="0" applyFont="1" applyFill="1" applyBorder="1" applyAlignment="1">
      <alignment horizontal="center" vertical="center" wrapText="1"/>
    </xf>
    <xf numFmtId="0" fontId="77" fillId="7" borderId="164" xfId="0" applyFont="1" applyFill="1" applyBorder="1" applyAlignment="1">
      <alignment horizontal="center" vertical="center" wrapText="1"/>
    </xf>
    <xf numFmtId="0" fontId="76" fillId="104" borderId="164" xfId="0" applyFont="1" applyFill="1" applyBorder="1" applyAlignment="1">
      <alignment horizontal="center" vertical="center" wrapText="1"/>
    </xf>
    <xf numFmtId="0" fontId="76" fillId="51" borderId="164" xfId="0" applyFont="1" applyFill="1" applyBorder="1" applyAlignment="1">
      <alignment horizontal="center" vertical="center" wrapText="1"/>
    </xf>
    <xf numFmtId="0" fontId="76" fillId="28" borderId="164" xfId="0" applyFont="1" applyFill="1" applyBorder="1" applyAlignment="1">
      <alignment horizontal="center" vertical="center" wrapText="1"/>
    </xf>
    <xf numFmtId="0" fontId="77" fillId="7" borderId="165" xfId="0" applyFont="1" applyFill="1" applyBorder="1" applyAlignment="1">
      <alignment horizontal="center" vertical="center" wrapText="1"/>
    </xf>
    <xf numFmtId="0" fontId="76" fillId="104" borderId="165" xfId="0" applyFont="1" applyFill="1" applyBorder="1" applyAlignment="1">
      <alignment horizontal="center" vertical="center" wrapText="1"/>
    </xf>
    <xf numFmtId="0" fontId="76" fillId="38" borderId="165" xfId="0" applyFont="1" applyFill="1" applyBorder="1" applyAlignment="1">
      <alignment horizontal="center" vertical="center" wrapText="1"/>
    </xf>
    <xf numFmtId="0" fontId="76" fillId="39" borderId="164" xfId="0" applyFont="1" applyFill="1" applyBorder="1" applyAlignment="1">
      <alignment horizontal="center" vertical="center" wrapText="1"/>
    </xf>
    <xf numFmtId="0" fontId="76" fillId="103" borderId="173" xfId="0" applyFont="1" applyFill="1" applyBorder="1" applyAlignment="1">
      <alignment horizontal="center" vertical="center" wrapText="1"/>
    </xf>
    <xf numFmtId="0" fontId="76" fillId="7" borderId="165" xfId="0" applyFont="1" applyFill="1" applyBorder="1" applyAlignment="1">
      <alignment horizontal="center" vertical="center" wrapText="1"/>
    </xf>
    <xf numFmtId="0" fontId="76" fillId="69" borderId="164" xfId="0" applyFont="1" applyFill="1" applyBorder="1" applyAlignment="1">
      <alignment horizontal="center" vertical="center"/>
    </xf>
    <xf numFmtId="0" fontId="77" fillId="29" borderId="173" xfId="0" applyFont="1" applyFill="1" applyBorder="1" applyAlignment="1">
      <alignment horizontal="center" vertical="center" wrapText="1"/>
    </xf>
    <xf numFmtId="0" fontId="78" fillId="0" borderId="167" xfId="0" applyFont="1" applyBorder="1"/>
    <xf numFmtId="0" fontId="78" fillId="0" borderId="174" xfId="0" applyFont="1" applyBorder="1"/>
    <xf numFmtId="0" fontId="77" fillId="69" borderId="164" xfId="0" applyFont="1" applyFill="1" applyBorder="1" applyAlignment="1">
      <alignment horizontal="center" vertical="center" wrapText="1"/>
    </xf>
    <xf numFmtId="0" fontId="77" fillId="69" borderId="165" xfId="0" applyFont="1" applyFill="1" applyBorder="1" applyAlignment="1">
      <alignment horizontal="center" vertical="center" wrapText="1"/>
    </xf>
    <xf numFmtId="0" fontId="77" fillId="103" borderId="173" xfId="0" applyFont="1" applyFill="1" applyBorder="1" applyAlignment="1">
      <alignment horizontal="center" vertical="center" wrapText="1"/>
    </xf>
    <xf numFmtId="0" fontId="77" fillId="51" borderId="164" xfId="0" applyFont="1" applyFill="1" applyBorder="1" applyAlignment="1">
      <alignment horizontal="center" vertical="center" wrapText="1"/>
    </xf>
    <xf numFmtId="0" fontId="77" fillId="51" borderId="165" xfId="0" applyFont="1" applyFill="1" applyBorder="1" applyAlignment="1">
      <alignment horizontal="center" vertical="center" wrapText="1"/>
    </xf>
    <xf numFmtId="0" fontId="77" fillId="28" borderId="164" xfId="0" applyFont="1" applyFill="1" applyBorder="1" applyAlignment="1">
      <alignment horizontal="center" vertical="center" wrapText="1"/>
    </xf>
    <xf numFmtId="0" fontId="77" fillId="28" borderId="165" xfId="0" applyFont="1" applyFill="1" applyBorder="1" applyAlignment="1">
      <alignment horizontal="center" vertical="center" wrapText="1"/>
    </xf>
    <xf numFmtId="0" fontId="77" fillId="104" borderId="164" xfId="0" applyFont="1" applyFill="1" applyBorder="1" applyAlignment="1">
      <alignment horizontal="center" vertical="center" wrapText="1"/>
    </xf>
    <xf numFmtId="0" fontId="77" fillId="104" borderId="176" xfId="0" applyFont="1" applyFill="1" applyBorder="1" applyAlignment="1">
      <alignment horizontal="center" vertical="center" wrapText="1"/>
    </xf>
    <xf numFmtId="0" fontId="77" fillId="38" borderId="164" xfId="0" applyFont="1" applyFill="1" applyBorder="1" applyAlignment="1">
      <alignment horizontal="center" vertical="center" wrapText="1"/>
    </xf>
    <xf numFmtId="0" fontId="77" fillId="38" borderId="165" xfId="0" applyFont="1" applyFill="1" applyBorder="1" applyAlignment="1">
      <alignment horizontal="center" vertical="center" wrapText="1"/>
    </xf>
    <xf numFmtId="0" fontId="77" fillId="39" borderId="164" xfId="0" applyFont="1" applyFill="1" applyBorder="1" applyAlignment="1">
      <alignment horizontal="center" vertical="center" wrapText="1"/>
    </xf>
    <xf numFmtId="0" fontId="77" fillId="39" borderId="165" xfId="0" applyFont="1" applyFill="1" applyBorder="1" applyAlignment="1">
      <alignment horizontal="center" vertical="center" wrapText="1"/>
    </xf>
    <xf numFmtId="0" fontId="77" fillId="29" borderId="164" xfId="0" applyFont="1" applyFill="1" applyBorder="1" applyAlignment="1">
      <alignment horizontal="center" vertical="center" wrapText="1"/>
    </xf>
    <xf numFmtId="0" fontId="77" fillId="29" borderId="165" xfId="0" applyFont="1" applyFill="1" applyBorder="1" applyAlignment="1">
      <alignment horizontal="center" vertical="center" wrapText="1"/>
    </xf>
    <xf numFmtId="0" fontId="77" fillId="104" borderId="173" xfId="0" applyFont="1" applyFill="1" applyBorder="1" applyAlignment="1">
      <alignment horizontal="center" vertical="center" wrapText="1"/>
    </xf>
    <xf numFmtId="0" fontId="77" fillId="11" borderId="165" xfId="0" applyFont="1" applyFill="1" applyBorder="1" applyAlignment="1">
      <alignment horizontal="center" vertical="center"/>
    </xf>
    <xf numFmtId="0" fontId="77" fillId="11" borderId="173" xfId="0" applyFont="1" applyFill="1" applyBorder="1" applyAlignment="1">
      <alignment horizontal="center" vertical="center"/>
    </xf>
    <xf numFmtId="0" fontId="77" fillId="104" borderId="165" xfId="0" applyFont="1" applyFill="1" applyBorder="1" applyAlignment="1">
      <alignment horizontal="center" vertical="center" wrapText="1"/>
    </xf>
    <xf numFmtId="0" fontId="77" fillId="11" borderId="164" xfId="0" applyFont="1" applyFill="1" applyBorder="1" applyAlignment="1">
      <alignment horizontal="center" vertical="center"/>
    </xf>
    <xf numFmtId="173" fontId="79" fillId="35" borderId="0" xfId="0" applyNumberFormat="1" applyFont="1" applyFill="1" applyAlignment="1">
      <alignment horizontal="center" vertical="center" readingOrder="1"/>
    </xf>
    <xf numFmtId="173" fontId="79" fillId="30" borderId="0" xfId="0" applyNumberFormat="1" applyFont="1" applyFill="1" applyAlignment="1">
      <alignment horizontal="center" vertical="center" readingOrder="1"/>
    </xf>
    <xf numFmtId="173" fontId="79" fillId="27" borderId="0" xfId="0" applyNumberFormat="1" applyFont="1" applyFill="1" applyAlignment="1">
      <alignment horizontal="center" vertical="center" readingOrder="1"/>
    </xf>
    <xf numFmtId="0" fontId="9" fillId="51" borderId="163" xfId="0" applyFont="1" applyFill="1" applyBorder="1" applyAlignment="1">
      <alignment vertical="center" wrapText="1"/>
    </xf>
    <xf numFmtId="0" fontId="9" fillId="39" borderId="163" xfId="0" applyFont="1" applyFill="1" applyBorder="1" applyAlignment="1">
      <alignment vertical="center" wrapText="1"/>
    </xf>
    <xf numFmtId="0" fontId="9" fillId="7" borderId="163" xfId="0" applyFont="1" applyFill="1" applyBorder="1" applyAlignment="1">
      <alignment vertical="center" wrapText="1"/>
    </xf>
    <xf numFmtId="173" fontId="80" fillId="35" borderId="0" xfId="0" applyNumberFormat="1" applyFont="1" applyFill="1" applyAlignment="1">
      <alignment horizontal="center" vertical="center" readingOrder="1"/>
    </xf>
    <xf numFmtId="0" fontId="0" fillId="0" borderId="166" xfId="0" applyFont="1" applyBorder="1" applyAlignment="1">
      <alignment horizontal="center"/>
    </xf>
    <xf numFmtId="0" fontId="0" fillId="0" borderId="167" xfId="0" applyFont="1" applyBorder="1" applyAlignment="1">
      <alignment horizontal="center"/>
    </xf>
    <xf numFmtId="0" fontId="0" fillId="0" borderId="174" xfId="0" applyFont="1" applyBorder="1" applyAlignment="1">
      <alignment horizontal="center"/>
    </xf>
    <xf numFmtId="0" fontId="37" fillId="11" borderId="164" xfId="0" applyFont="1" applyFill="1" applyBorder="1" applyAlignment="1">
      <alignment horizontal="center"/>
    </xf>
    <xf numFmtId="0" fontId="78" fillId="0" borderId="166" xfId="0" applyFont="1" applyBorder="1" applyAlignment="1">
      <alignment horizontal="center"/>
    </xf>
    <xf numFmtId="0" fontId="78" fillId="0" borderId="167" xfId="0" applyFont="1" applyBorder="1" applyAlignment="1">
      <alignment horizontal="center"/>
    </xf>
    <xf numFmtId="0" fontId="78" fillId="0" borderId="174" xfId="0" applyFont="1" applyBorder="1" applyAlignment="1">
      <alignment horizontal="center"/>
    </xf>
    <xf numFmtId="191" fontId="0" fillId="0" borderId="0" xfId="0" applyNumberFormat="1" applyFont="1" applyBorder="1" applyAlignment="1">
      <alignment horizontal="center" vertical="center"/>
    </xf>
    <xf numFmtId="3" fontId="53" fillId="30" borderId="0" xfId="0" applyNumberFormat="1" applyFont="1" applyFill="1"/>
    <xf numFmtId="3" fontId="7" fillId="30" borderId="0" xfId="0" applyNumberFormat="1" applyFont="1" applyFill="1"/>
    <xf numFmtId="0" fontId="81" fillId="30" borderId="0" xfId="0" applyFont="1" applyFill="1" applyAlignment="1">
      <alignment horizontal="center" vertical="center"/>
    </xf>
    <xf numFmtId="3" fontId="7" fillId="30" borderId="0" xfId="0" applyNumberFormat="1" applyFont="1" applyFill="1" applyAlignment="1">
      <alignment horizontal="center"/>
    </xf>
    <xf numFmtId="0" fontId="7" fillId="30" borderId="0" xfId="0" applyFont="1" applyFill="1"/>
    <xf numFmtId="167" fontId="7" fillId="30" borderId="0" xfId="10" applyFont="1" applyFill="1"/>
    <xf numFmtId="3" fontId="7" fillId="30" borderId="0" xfId="0" applyNumberFormat="1" applyFont="1" applyFill="1" applyAlignment="1">
      <alignment horizontal="center" vertical="center"/>
    </xf>
    <xf numFmtId="3" fontId="7" fillId="30" borderId="0" xfId="0" applyNumberFormat="1" applyFont="1" applyFill="1" applyBorder="1"/>
    <xf numFmtId="3" fontId="7" fillId="30" borderId="0" xfId="17" applyNumberFormat="1" applyFont="1" applyFill="1" applyBorder="1" applyAlignment="1">
      <alignment horizontal="center" vertical="center"/>
    </xf>
    <xf numFmtId="3" fontId="53" fillId="30" borderId="0" xfId="0" applyNumberFormat="1" applyFont="1" applyFill="1" applyAlignment="1">
      <alignment vertical="center"/>
    </xf>
    <xf numFmtId="167" fontId="53" fillId="30" borderId="0" xfId="10" applyFont="1" applyFill="1" applyAlignment="1">
      <alignment horizontal="center" vertical="center"/>
    </xf>
    <xf numFmtId="16" fontId="0" fillId="0" borderId="0" xfId="0" applyNumberFormat="1"/>
    <xf numFmtId="16" fontId="0" fillId="0" borderId="0" xfId="0" applyNumberFormat="1" applyAlignment="1">
      <alignment horizontal="center"/>
    </xf>
    <xf numFmtId="0" fontId="10" fillId="39" borderId="8" xfId="0" applyFont="1" applyFill="1" applyBorder="1" applyAlignment="1">
      <alignment horizontal="center" vertical="center" wrapText="1"/>
    </xf>
    <xf numFmtId="0" fontId="10" fillId="44" borderId="148" xfId="0" applyFont="1" applyFill="1" applyBorder="1" applyAlignment="1">
      <alignment horizontal="center" vertical="center" wrapText="1"/>
    </xf>
    <xf numFmtId="0" fontId="10" fillId="44" borderId="148" xfId="0" applyFont="1" applyFill="1" applyBorder="1" applyAlignment="1">
      <alignment horizontal="left" vertical="center" wrapText="1"/>
    </xf>
    <xf numFmtId="0" fontId="10" fillId="44" borderId="149" xfId="0" applyFont="1" applyFill="1" applyBorder="1" applyAlignment="1">
      <alignment horizontal="center" vertical="center" wrapText="1"/>
    </xf>
    <xf numFmtId="0" fontId="10" fillId="38" borderId="94" xfId="0" applyFont="1" applyFill="1" applyBorder="1" applyAlignment="1">
      <alignment horizontal="center" vertical="center" wrapText="1"/>
    </xf>
    <xf numFmtId="0" fontId="10" fillId="44" borderId="8" xfId="0" applyFont="1" applyFill="1" applyBorder="1" applyAlignment="1">
      <alignment horizontal="left" vertical="center" wrapText="1"/>
    </xf>
    <xf numFmtId="0" fontId="10" fillId="44" borderId="149" xfId="0" applyFont="1" applyFill="1" applyBorder="1" applyAlignment="1">
      <alignment horizontal="left" vertical="center" wrapText="1"/>
    </xf>
    <xf numFmtId="0" fontId="10" fillId="39" borderId="8" xfId="0" applyFont="1" applyFill="1" applyBorder="1" applyAlignment="1">
      <alignment horizontal="left" vertical="center" wrapText="1"/>
    </xf>
    <xf numFmtId="0" fontId="10" fillId="44" borderId="9" xfId="0" applyFont="1" applyFill="1" applyBorder="1" applyAlignment="1">
      <alignment horizontal="center" vertical="center" wrapText="1"/>
    </xf>
    <xf numFmtId="0" fontId="10" fillId="44" borderId="94" xfId="0" applyFont="1" applyFill="1" applyBorder="1" applyAlignment="1">
      <alignment horizontal="center" vertical="center" wrapText="1"/>
    </xf>
    <xf numFmtId="0" fontId="8" fillId="106" borderId="151" xfId="0" applyFont="1" applyFill="1" applyBorder="1" applyAlignment="1">
      <alignment horizontal="center" vertical="center" wrapText="1"/>
    </xf>
    <xf numFmtId="0" fontId="8" fillId="106" borderId="67" xfId="0" applyFont="1" applyFill="1" applyBorder="1" applyAlignment="1">
      <alignment horizontal="center" vertical="center" wrapText="1"/>
    </xf>
    <xf numFmtId="0" fontId="8" fillId="17" borderId="89" xfId="0" applyFont="1" applyFill="1" applyBorder="1" applyAlignment="1">
      <alignment horizontal="center" vertical="center" wrapText="1"/>
    </xf>
    <xf numFmtId="0" fontId="8" fillId="106" borderId="122" xfId="0" applyFont="1" applyFill="1" applyBorder="1" applyAlignment="1">
      <alignment horizontal="center" vertical="center" wrapText="1"/>
    </xf>
    <xf numFmtId="3" fontId="8" fillId="106" borderId="122" xfId="0" applyNumberFormat="1" applyFont="1" applyFill="1" applyBorder="1" applyAlignment="1">
      <alignment horizontal="center" vertical="center" wrapText="1"/>
    </xf>
    <xf numFmtId="0" fontId="0" fillId="44" borderId="159" xfId="0" applyFill="1" applyBorder="1"/>
    <xf numFmtId="0" fontId="10" fillId="39" borderId="9" xfId="0" applyFont="1" applyFill="1" applyBorder="1" applyAlignment="1">
      <alignment horizontal="center" vertical="center" wrapText="1"/>
    </xf>
    <xf numFmtId="0" fontId="10" fillId="39" borderId="149" xfId="0" applyFont="1" applyFill="1" applyBorder="1" applyAlignment="1">
      <alignment horizontal="center" vertical="center" wrapText="1"/>
    </xf>
    <xf numFmtId="0" fontId="10" fillId="39" borderId="149" xfId="0" applyFont="1" applyFill="1" applyBorder="1" applyAlignment="1">
      <alignment horizontal="left" vertical="center" wrapText="1"/>
    </xf>
    <xf numFmtId="3" fontId="10" fillId="39" borderId="159" xfId="0" applyNumberFormat="1" applyFont="1" applyFill="1" applyBorder="1" applyAlignment="1">
      <alignment horizontal="center" vertical="center" wrapText="1"/>
    </xf>
    <xf numFmtId="0" fontId="10" fillId="38" borderId="9" xfId="0" applyFont="1" applyFill="1" applyBorder="1" applyAlignment="1">
      <alignment horizontal="center" vertical="center" wrapText="1"/>
    </xf>
    <xf numFmtId="3" fontId="10" fillId="38" borderId="31" xfId="0" applyNumberFormat="1"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11" borderId="8" xfId="0" applyFont="1" applyFill="1" applyBorder="1" applyAlignment="1">
      <alignment horizontal="left" vertical="center" wrapText="1"/>
    </xf>
    <xf numFmtId="0" fontId="10" fillId="11" borderId="148" xfId="0" applyFont="1" applyFill="1" applyBorder="1" applyAlignment="1">
      <alignment horizontal="center" vertical="center" wrapText="1"/>
    </xf>
    <xf numFmtId="0" fontId="10" fillId="11" borderId="148" xfId="0" applyFont="1" applyFill="1" applyBorder="1" applyAlignment="1">
      <alignment horizontal="left" vertical="center" wrapText="1"/>
    </xf>
    <xf numFmtId="0" fontId="10" fillId="11" borderId="94" xfId="0" applyFont="1" applyFill="1" applyBorder="1" applyAlignment="1">
      <alignment horizontal="center" vertical="center" wrapText="1"/>
    </xf>
    <xf numFmtId="0" fontId="0" fillId="11" borderId="94" xfId="0" applyFill="1" applyBorder="1"/>
    <xf numFmtId="0" fontId="10" fillId="11" borderId="30" xfId="0" applyFont="1" applyFill="1" applyBorder="1" applyAlignment="1">
      <alignment horizontal="center" vertical="center" wrapText="1"/>
    </xf>
    <xf numFmtId="0" fontId="10" fillId="11" borderId="30" xfId="0" applyFont="1" applyFill="1" applyBorder="1" applyAlignment="1">
      <alignment horizontal="left" vertical="center" wrapText="1"/>
    </xf>
    <xf numFmtId="0" fontId="10" fillId="11" borderId="31" xfId="0" applyFont="1" applyFill="1" applyBorder="1" applyAlignment="1">
      <alignment horizontal="center" vertical="center" wrapText="1"/>
    </xf>
    <xf numFmtId="0" fontId="8" fillId="17" borderId="113" xfId="0" applyFont="1" applyFill="1" applyBorder="1" applyAlignment="1">
      <alignment horizontal="center" vertical="center" wrapText="1"/>
    </xf>
    <xf numFmtId="0" fontId="8" fillId="106" borderId="14" xfId="0" applyFont="1" applyFill="1" applyBorder="1" applyAlignment="1">
      <alignment horizontal="center" vertical="center" wrapText="1"/>
    </xf>
    <xf numFmtId="3" fontId="8" fillId="106" borderId="14" xfId="0" applyNumberFormat="1" applyFont="1" applyFill="1" applyBorder="1" applyAlignment="1">
      <alignment horizontal="center" vertical="center" wrapText="1"/>
    </xf>
    <xf numFmtId="3" fontId="0" fillId="0" borderId="148" xfId="0" applyNumberFormat="1" applyBorder="1"/>
    <xf numFmtId="0" fontId="10" fillId="11" borderId="32" xfId="0" applyFont="1" applyFill="1" applyBorder="1" applyAlignment="1">
      <alignment horizontal="left" vertical="center" wrapText="1"/>
    </xf>
    <xf numFmtId="3" fontId="10" fillId="11" borderId="52" xfId="0" applyNumberFormat="1"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11" xfId="0" applyFont="1" applyFill="1" applyBorder="1" applyAlignment="1">
      <alignment horizontal="center" vertical="center" wrapText="1"/>
    </xf>
    <xf numFmtId="3" fontId="0" fillId="0" borderId="94" xfId="0" applyNumberFormat="1" applyBorder="1"/>
    <xf numFmtId="0" fontId="10" fillId="11" borderId="29" xfId="0" applyFont="1" applyFill="1" applyBorder="1" applyAlignment="1">
      <alignment horizontal="center" vertical="center" wrapText="1"/>
    </xf>
    <xf numFmtId="0" fontId="10" fillId="11" borderId="9" xfId="0" applyFont="1" applyFill="1" applyBorder="1" applyAlignment="1">
      <alignment horizontal="left" vertical="center" wrapText="1"/>
    </xf>
    <xf numFmtId="0" fontId="10" fillId="11" borderId="94" xfId="0" applyFont="1" applyFill="1" applyBorder="1" applyAlignment="1">
      <alignment horizontal="left" vertical="center" wrapText="1"/>
    </xf>
    <xf numFmtId="0" fontId="8" fillId="10" borderId="13" xfId="0" applyFont="1" applyFill="1" applyBorder="1" applyAlignment="1" applyProtection="1">
      <alignment horizontal="center" vertical="center" wrapText="1"/>
      <protection locked="0"/>
    </xf>
    <xf numFmtId="0" fontId="0" fillId="38" borderId="102" xfId="0" applyFont="1" applyFill="1" applyBorder="1" applyAlignment="1">
      <alignment horizontal="center" vertical="center"/>
    </xf>
    <xf numFmtId="9" fontId="52" fillId="44" borderId="102" xfId="0" applyNumberFormat="1" applyFont="1" applyFill="1" applyBorder="1" applyAlignment="1">
      <alignment horizontal="center" vertical="center" wrapText="1"/>
    </xf>
    <xf numFmtId="9" fontId="52" fillId="51" borderId="102" xfId="0" applyNumberFormat="1" applyFont="1" applyFill="1" applyBorder="1" applyAlignment="1">
      <alignment horizontal="center" vertical="center" wrapText="1"/>
    </xf>
    <xf numFmtId="0" fontId="0" fillId="41" borderId="102" xfId="0" applyFont="1" applyFill="1" applyBorder="1" applyAlignment="1">
      <alignment horizontal="center" vertical="center" wrapText="1"/>
    </xf>
    <xf numFmtId="0" fontId="0" fillId="41" borderId="30" xfId="0" applyFont="1" applyFill="1" applyBorder="1" applyAlignment="1">
      <alignment horizontal="center" vertical="center" wrapText="1"/>
    </xf>
    <xf numFmtId="0" fontId="10" fillId="44" borderId="32" xfId="0" applyFont="1" applyFill="1" applyBorder="1" applyAlignment="1">
      <alignment horizontal="center" vertical="center" wrapText="1"/>
    </xf>
    <xf numFmtId="3" fontId="0" fillId="41" borderId="32" xfId="0" applyNumberFormat="1" applyFont="1" applyFill="1" applyBorder="1" applyAlignment="1">
      <alignment horizontal="center" vertical="center"/>
    </xf>
    <xf numFmtId="0" fontId="0" fillId="40" borderId="30" xfId="0" applyFont="1" applyFill="1" applyBorder="1" applyAlignment="1">
      <alignment horizontal="center" vertical="center" wrapText="1"/>
    </xf>
    <xf numFmtId="3" fontId="0" fillId="40" borderId="32" xfId="0" applyNumberFormat="1" applyFont="1" applyFill="1" applyBorder="1" applyAlignment="1">
      <alignment horizontal="center" vertical="center"/>
    </xf>
    <xf numFmtId="3" fontId="0" fillId="44" borderId="32" xfId="0" applyNumberFormat="1" applyFont="1" applyFill="1" applyBorder="1" applyAlignment="1">
      <alignment horizontal="center" wrapText="1"/>
    </xf>
    <xf numFmtId="0" fontId="0" fillId="40" borderId="8" xfId="0" applyFont="1" applyFill="1" applyBorder="1" applyAlignment="1">
      <alignment horizontal="center" vertical="center" wrapText="1"/>
    </xf>
    <xf numFmtId="0" fontId="0" fillId="38" borderId="102" xfId="0" applyFont="1" applyFill="1" applyBorder="1" applyAlignment="1">
      <alignment horizontal="center" vertical="center" wrapText="1"/>
    </xf>
    <xf numFmtId="0" fontId="0" fillId="38" borderId="102" xfId="0" applyFont="1" applyFill="1" applyBorder="1" applyAlignment="1">
      <alignment horizontal="left" vertical="center" wrapText="1"/>
    </xf>
    <xf numFmtId="0" fontId="0" fillId="38" borderId="32" xfId="0" applyFont="1" applyFill="1" applyBorder="1" applyAlignment="1">
      <alignment horizontal="center" vertical="center" wrapText="1"/>
    </xf>
    <xf numFmtId="0" fontId="0" fillId="7" borderId="8" xfId="0" applyFont="1" applyFill="1" applyBorder="1" applyAlignment="1">
      <alignment horizontal="center" vertical="center" wrapText="1"/>
    </xf>
    <xf numFmtId="0" fontId="0" fillId="7" borderId="102" xfId="0" applyFont="1" applyFill="1" applyBorder="1" applyAlignment="1">
      <alignment horizontal="center" vertical="center" wrapText="1"/>
    </xf>
    <xf numFmtId="0" fontId="0" fillId="7" borderId="30" xfId="0" applyFont="1" applyFill="1" applyBorder="1" applyAlignment="1">
      <alignment horizontal="center" vertical="center" wrapText="1"/>
    </xf>
    <xf numFmtId="0" fontId="0" fillId="43" borderId="148" xfId="0" applyFill="1" applyBorder="1" applyAlignment="1">
      <alignment horizontal="center" vertical="center" wrapText="1"/>
    </xf>
    <xf numFmtId="0" fontId="0" fillId="43" borderId="30" xfId="0" applyFill="1" applyBorder="1" applyAlignment="1">
      <alignment horizontal="center" vertical="center" wrapText="1"/>
    </xf>
    <xf numFmtId="0" fontId="0" fillId="51" borderId="148" xfId="0" applyFill="1" applyBorder="1" applyAlignment="1">
      <alignment horizontal="center" vertical="center" wrapText="1"/>
    </xf>
    <xf numFmtId="0" fontId="0" fillId="51" borderId="32" xfId="0" applyFill="1" applyBorder="1" applyAlignment="1">
      <alignment horizontal="center" vertical="center" wrapText="1"/>
    </xf>
    <xf numFmtId="0" fontId="11" fillId="41" borderId="102" xfId="0" applyFont="1" applyFill="1" applyBorder="1" applyAlignment="1">
      <alignment horizontal="center" vertical="center" wrapText="1"/>
    </xf>
    <xf numFmtId="0" fontId="11" fillId="41" borderId="148" xfId="0" applyFont="1" applyFill="1" applyBorder="1" applyAlignment="1">
      <alignment horizontal="center" vertical="center" wrapText="1"/>
    </xf>
    <xf numFmtId="0" fontId="11" fillId="39" borderId="102" xfId="0" applyFont="1" applyFill="1" applyBorder="1" applyAlignment="1">
      <alignment horizontal="center" vertical="center" wrapText="1"/>
    </xf>
    <xf numFmtId="0" fontId="11" fillId="51" borderId="102" xfId="0" applyFont="1" applyFill="1" applyBorder="1" applyAlignment="1">
      <alignment horizontal="center" vertical="center" wrapText="1"/>
    </xf>
    <xf numFmtId="9" fontId="11" fillId="51" borderId="102" xfId="0" applyNumberFormat="1" applyFont="1" applyFill="1" applyBorder="1" applyAlignment="1">
      <alignment horizontal="center" vertical="center" wrapText="1"/>
    </xf>
    <xf numFmtId="0" fontId="11" fillId="38" borderId="102" xfId="0" applyFont="1" applyFill="1" applyBorder="1" applyAlignment="1">
      <alignment horizontal="center" vertical="center" wrapText="1"/>
    </xf>
    <xf numFmtId="0" fontId="8" fillId="41" borderId="102" xfId="0" applyFont="1" applyFill="1" applyBorder="1" applyAlignment="1">
      <alignment horizontal="center" vertical="center" wrapText="1"/>
    </xf>
    <xf numFmtId="0" fontId="11" fillId="7" borderId="102" xfId="0" applyFont="1" applyFill="1" applyBorder="1" applyAlignment="1">
      <alignment horizontal="center" vertical="center" wrapText="1"/>
    </xf>
    <xf numFmtId="9" fontId="11" fillId="41" borderId="102" xfId="0" applyNumberFormat="1" applyFont="1" applyFill="1" applyBorder="1" applyAlignment="1">
      <alignment horizontal="center" vertical="center" wrapText="1"/>
    </xf>
    <xf numFmtId="0" fontId="11" fillId="51" borderId="148" xfId="0" applyFont="1" applyFill="1" applyBorder="1" applyAlignment="1">
      <alignment horizontal="center" vertical="center" wrapText="1"/>
    </xf>
    <xf numFmtId="0" fontId="0" fillId="41" borderId="32" xfId="0" applyFont="1" applyFill="1" applyBorder="1" applyAlignment="1">
      <alignment horizontal="center" vertical="center" wrapText="1"/>
    </xf>
    <xf numFmtId="0" fontId="0" fillId="44" borderId="32" xfId="0" applyFont="1" applyFill="1" applyBorder="1" applyAlignment="1">
      <alignment horizontal="center" vertical="center"/>
    </xf>
    <xf numFmtId="0" fontId="10" fillId="41" borderId="32" xfId="0" applyFont="1" applyFill="1" applyBorder="1" applyAlignment="1">
      <alignment horizontal="center" vertical="center" wrapText="1"/>
    </xf>
    <xf numFmtId="0" fontId="10" fillId="41" borderId="148" xfId="0" applyFont="1" applyFill="1" applyBorder="1" applyAlignment="1">
      <alignment horizontal="center" vertical="center" wrapText="1"/>
    </xf>
    <xf numFmtId="0" fontId="10" fillId="41" borderId="30" xfId="0" applyFont="1" applyFill="1" applyBorder="1" applyAlignment="1">
      <alignment horizontal="center" vertical="center" wrapText="1"/>
    </xf>
    <xf numFmtId="0" fontId="10" fillId="40" borderId="148" xfId="0" applyFont="1" applyFill="1" applyBorder="1" applyAlignment="1">
      <alignment horizontal="center" vertical="center" wrapText="1"/>
    </xf>
    <xf numFmtId="0" fontId="8" fillId="10" borderId="148" xfId="0" applyFont="1" applyFill="1" applyBorder="1" applyAlignment="1" applyProtection="1">
      <alignment horizontal="center" vertical="center" wrapText="1"/>
      <protection locked="0"/>
    </xf>
    <xf numFmtId="0" fontId="10" fillId="44" borderId="32" xfId="0" applyFont="1" applyFill="1" applyBorder="1" applyAlignment="1">
      <alignment horizontal="center" vertical="center"/>
    </xf>
    <xf numFmtId="0" fontId="11" fillId="39" borderId="32" xfId="0" applyFont="1" applyFill="1" applyBorder="1" applyAlignment="1">
      <alignment horizontal="center" vertical="center" wrapText="1"/>
    </xf>
    <xf numFmtId="0" fontId="11" fillId="41" borderId="26" xfId="0" applyFont="1" applyFill="1" applyBorder="1" applyAlignment="1">
      <alignment horizontal="center" vertical="center" wrapText="1"/>
    </xf>
    <xf numFmtId="0" fontId="11" fillId="41" borderId="32" xfId="0" applyFont="1" applyFill="1" applyBorder="1" applyAlignment="1">
      <alignment horizontal="center" vertical="center" wrapText="1"/>
    </xf>
    <xf numFmtId="0" fontId="11" fillId="29" borderId="32" xfId="0" applyFont="1" applyFill="1" applyBorder="1" applyAlignment="1">
      <alignment horizontal="center" vertical="center" wrapText="1"/>
    </xf>
    <xf numFmtId="0" fontId="11" fillId="39" borderId="149" xfId="0" applyFont="1" applyFill="1" applyBorder="1" applyAlignment="1">
      <alignment horizontal="center" vertical="center" wrapText="1"/>
    </xf>
    <xf numFmtId="0" fontId="11" fillId="41" borderId="148" xfId="0" applyFont="1" applyFill="1" applyBorder="1" applyAlignment="1">
      <alignment horizontal="center" vertical="center" wrapText="1"/>
    </xf>
    <xf numFmtId="0" fontId="11" fillId="38" borderId="149" xfId="0" applyFont="1" applyFill="1" applyBorder="1" applyAlignment="1">
      <alignment horizontal="center" vertical="center" wrapText="1"/>
    </xf>
    <xf numFmtId="0" fontId="11" fillId="38" borderId="26" xfId="0" applyFont="1" applyFill="1" applyBorder="1" applyAlignment="1">
      <alignment horizontal="center" vertical="center" wrapText="1"/>
    </xf>
    <xf numFmtId="0" fontId="11" fillId="38" borderId="32" xfId="0" applyFont="1" applyFill="1" applyBorder="1" applyAlignment="1">
      <alignment horizontal="center" vertical="center" wrapText="1"/>
    </xf>
    <xf numFmtId="0" fontId="11" fillId="7" borderId="149" xfId="0" applyFont="1" applyFill="1" applyBorder="1" applyAlignment="1">
      <alignment horizontal="center" vertical="center" wrapText="1"/>
    </xf>
    <xf numFmtId="0" fontId="11" fillId="7" borderId="32" xfId="0" applyFont="1" applyFill="1" applyBorder="1" applyAlignment="1">
      <alignment horizontal="center" vertical="center" wrapText="1"/>
    </xf>
    <xf numFmtId="3" fontId="0" fillId="51" borderId="32" xfId="0" applyNumberFormat="1" applyFont="1" applyFill="1" applyBorder="1" applyAlignment="1">
      <alignment vertical="center"/>
    </xf>
    <xf numFmtId="0" fontId="0" fillId="0" borderId="0" xfId="0" applyFont="1" applyAlignment="1">
      <alignment horizontal="left"/>
    </xf>
    <xf numFmtId="0" fontId="0" fillId="33" borderId="148" xfId="0" applyFont="1" applyFill="1" applyBorder="1"/>
    <xf numFmtId="0" fontId="0" fillId="33" borderId="94" xfId="0" applyFont="1" applyFill="1" applyBorder="1"/>
    <xf numFmtId="0" fontId="0" fillId="33" borderId="30" xfId="0" applyFont="1" applyFill="1" applyBorder="1"/>
    <xf numFmtId="0" fontId="0" fillId="33" borderId="31" xfId="0" applyFont="1" applyFill="1" applyBorder="1"/>
    <xf numFmtId="0" fontId="40" fillId="30" borderId="149" xfId="0" applyFont="1" applyFill="1" applyBorder="1" applyAlignment="1">
      <alignment horizontal="center" vertical="center" wrapText="1"/>
    </xf>
    <xf numFmtId="0" fontId="51" fillId="40" borderId="148" xfId="0" applyFont="1" applyFill="1" applyBorder="1"/>
    <xf numFmtId="0" fontId="51" fillId="44" borderId="148" xfId="0" applyFont="1" applyFill="1" applyBorder="1"/>
    <xf numFmtId="0" fontId="51" fillId="51" borderId="148" xfId="0" applyFont="1" applyFill="1" applyBorder="1"/>
    <xf numFmtId="0" fontId="51" fillId="40" borderId="7" xfId="0" applyFont="1" applyFill="1" applyBorder="1"/>
    <xf numFmtId="0" fontId="51" fillId="40" borderId="11" xfId="0" applyFont="1" applyFill="1" applyBorder="1"/>
    <xf numFmtId="0" fontId="51" fillId="51" borderId="11" xfId="0" applyFont="1" applyFill="1" applyBorder="1"/>
    <xf numFmtId="0" fontId="51" fillId="21" borderId="55" xfId="0" applyFont="1" applyFill="1" applyBorder="1"/>
    <xf numFmtId="0" fontId="51" fillId="21" borderId="56" xfId="0" applyFont="1" applyFill="1" applyBorder="1"/>
    <xf numFmtId="0" fontId="51" fillId="21" borderId="57" xfId="0" applyFont="1" applyFill="1" applyBorder="1"/>
    <xf numFmtId="0" fontId="51" fillId="51" borderId="29" xfId="0" applyFont="1" applyFill="1" applyBorder="1"/>
    <xf numFmtId="0" fontId="51" fillId="51" borderId="51" xfId="0" applyFont="1" applyFill="1" applyBorder="1"/>
    <xf numFmtId="0" fontId="51" fillId="7" borderId="29" xfId="0" applyFont="1" applyFill="1" applyBorder="1"/>
    <xf numFmtId="0" fontId="51" fillId="7" borderId="51" xfId="0" applyFont="1" applyFill="1" applyBorder="1"/>
    <xf numFmtId="0" fontId="51" fillId="7" borderId="32" xfId="0" applyFont="1" applyFill="1" applyBorder="1"/>
    <xf numFmtId="0" fontId="51" fillId="7" borderId="52" xfId="0" applyFont="1" applyFill="1" applyBorder="1"/>
    <xf numFmtId="0" fontId="51" fillId="44" borderId="29" xfId="0" applyFont="1" applyFill="1" applyBorder="1"/>
    <xf numFmtId="0" fontId="51" fillId="44" borderId="51" xfId="0" applyFont="1" applyFill="1" applyBorder="1"/>
    <xf numFmtId="0" fontId="51" fillId="40" borderId="29" xfId="0" applyFont="1" applyFill="1" applyBorder="1"/>
    <xf numFmtId="0" fontId="51" fillId="40" borderId="15" xfId="0" applyFont="1" applyFill="1" applyBorder="1"/>
    <xf numFmtId="0" fontId="51" fillId="40" borderId="155" xfId="0" applyFont="1" applyFill="1" applyBorder="1"/>
    <xf numFmtId="0" fontId="51" fillId="40" borderId="161" xfId="0" applyFont="1" applyFill="1" applyBorder="1"/>
    <xf numFmtId="0" fontId="51" fillId="44" borderId="100" xfId="0" applyFont="1" applyFill="1" applyBorder="1"/>
    <xf numFmtId="0" fontId="51" fillId="44" borderId="155" xfId="0" applyFont="1" applyFill="1" applyBorder="1"/>
    <xf numFmtId="0" fontId="51" fillId="44" borderId="161" xfId="0" applyFont="1" applyFill="1" applyBorder="1"/>
    <xf numFmtId="0" fontId="51" fillId="7" borderId="100" xfId="0" applyFont="1" applyFill="1" applyBorder="1"/>
    <xf numFmtId="0" fontId="51" fillId="7" borderId="161" xfId="0" applyFont="1" applyFill="1" applyBorder="1"/>
    <xf numFmtId="0" fontId="51" fillId="51" borderId="100" xfId="0" applyFont="1" applyFill="1" applyBorder="1"/>
    <xf numFmtId="0" fontId="51" fillId="51" borderId="155" xfId="0" applyFont="1" applyFill="1" applyBorder="1"/>
    <xf numFmtId="0" fontId="51" fillId="51" borderId="161" xfId="0" applyFont="1" applyFill="1" applyBorder="1"/>
    <xf numFmtId="0" fontId="51" fillId="21" borderId="64" xfId="0" applyFont="1" applyFill="1" applyBorder="1"/>
    <xf numFmtId="0" fontId="51" fillId="40" borderId="19" xfId="0" applyFont="1" applyFill="1" applyBorder="1"/>
    <xf numFmtId="0" fontId="51" fillId="40" borderId="154" xfId="0" applyFont="1" applyFill="1" applyBorder="1"/>
    <xf numFmtId="0" fontId="51" fillId="40" borderId="53" xfId="0" applyFont="1" applyFill="1" applyBorder="1"/>
    <xf numFmtId="0" fontId="51" fillId="44" borderId="54" xfId="0" applyFont="1" applyFill="1" applyBorder="1"/>
    <xf numFmtId="0" fontId="51" fillId="44" borderId="154" xfId="0" applyFont="1" applyFill="1" applyBorder="1"/>
    <xf numFmtId="0" fontId="51" fillId="44" borderId="53" xfId="0" applyFont="1" applyFill="1" applyBorder="1"/>
    <xf numFmtId="0" fontId="51" fillId="7" borderId="54" xfId="0" applyFont="1" applyFill="1" applyBorder="1"/>
    <xf numFmtId="0" fontId="51" fillId="7" borderId="53" xfId="0" applyFont="1" applyFill="1" applyBorder="1"/>
    <xf numFmtId="0" fontId="51" fillId="51" borderId="54" xfId="0" applyFont="1" applyFill="1" applyBorder="1"/>
    <xf numFmtId="0" fontId="51" fillId="51" borderId="154" xfId="0" applyFont="1" applyFill="1" applyBorder="1"/>
    <xf numFmtId="0" fontId="51" fillId="51" borderId="53" xfId="0" applyFont="1" applyFill="1" applyBorder="1"/>
    <xf numFmtId="0" fontId="51" fillId="21" borderId="178" xfId="0" applyFont="1" applyFill="1" applyBorder="1"/>
    <xf numFmtId="0" fontId="82" fillId="37" borderId="108" xfId="0" applyFont="1" applyFill="1" applyBorder="1" applyAlignment="1">
      <alignment horizontal="center" vertical="center" wrapText="1"/>
    </xf>
    <xf numFmtId="0" fontId="0" fillId="40" borderId="148" xfId="0" applyFont="1" applyFill="1" applyBorder="1" applyAlignment="1">
      <alignment horizontal="center" vertical="center" wrapText="1"/>
    </xf>
    <xf numFmtId="3" fontId="11" fillId="40" borderId="148" xfId="0" applyNumberFormat="1" applyFont="1" applyFill="1" applyBorder="1" applyAlignment="1">
      <alignment horizontal="center" vertical="center"/>
    </xf>
    <xf numFmtId="3" fontId="10" fillId="40" borderId="148" xfId="0" applyNumberFormat="1" applyFont="1" applyFill="1" applyBorder="1" applyAlignment="1">
      <alignment horizontal="center" vertical="center"/>
    </xf>
    <xf numFmtId="0" fontId="10" fillId="40" borderId="94" xfId="0" applyFont="1" applyFill="1" applyBorder="1"/>
    <xf numFmtId="3" fontId="0" fillId="40" borderId="148" xfId="0" applyNumberFormat="1" applyFont="1" applyFill="1" applyBorder="1" applyAlignment="1">
      <alignment horizontal="center" vertical="center"/>
    </xf>
    <xf numFmtId="0" fontId="0" fillId="40" borderId="148" xfId="0" applyFont="1" applyFill="1" applyBorder="1" applyAlignment="1">
      <alignment horizontal="center" vertical="center"/>
    </xf>
    <xf numFmtId="9" fontId="52" fillId="40" borderId="148" xfId="0" applyNumberFormat="1" applyFont="1" applyFill="1" applyBorder="1" applyAlignment="1">
      <alignment horizontal="center" vertical="center" wrapText="1"/>
    </xf>
    <xf numFmtId="0" fontId="0" fillId="40" borderId="154" xfId="0" applyFill="1" applyBorder="1" applyAlignment="1">
      <alignment wrapText="1"/>
    </xf>
    <xf numFmtId="3" fontId="0" fillId="40" borderId="148" xfId="0" applyNumberFormat="1" applyFont="1" applyFill="1" applyBorder="1" applyAlignment="1">
      <alignment horizontal="center"/>
    </xf>
    <xf numFmtId="10" fontId="0" fillId="40" borderId="148" xfId="5" applyNumberFormat="1" applyFont="1" applyFill="1" applyBorder="1" applyAlignment="1">
      <alignment horizontal="center" vertical="center"/>
    </xf>
    <xf numFmtId="9" fontId="10" fillId="40" borderId="148" xfId="0" applyNumberFormat="1" applyFont="1" applyFill="1" applyBorder="1" applyAlignment="1">
      <alignment horizontal="center" vertical="center" wrapText="1"/>
    </xf>
    <xf numFmtId="3" fontId="10" fillId="40" borderId="32" xfId="0" applyNumberFormat="1" applyFont="1" applyFill="1" applyBorder="1" applyAlignment="1">
      <alignment horizontal="center" vertical="center"/>
    </xf>
    <xf numFmtId="3" fontId="0" fillId="40" borderId="148" xfId="0" applyNumberFormat="1" applyFont="1" applyFill="1" applyBorder="1" applyAlignment="1">
      <alignment horizontal="center" vertical="center" wrapText="1"/>
    </xf>
    <xf numFmtId="3" fontId="0" fillId="40" borderId="148" xfId="0" applyNumberFormat="1" applyFont="1" applyFill="1" applyBorder="1" applyAlignment="1">
      <alignment horizontal="center" wrapText="1"/>
    </xf>
    <xf numFmtId="0" fontId="0" fillId="40" borderId="148" xfId="0" applyFont="1" applyFill="1" applyBorder="1" applyAlignment="1">
      <alignment vertical="center"/>
    </xf>
    <xf numFmtId="0" fontId="0" fillId="40" borderId="148" xfId="0" applyFont="1" applyFill="1" applyBorder="1" applyAlignment="1">
      <alignment wrapText="1"/>
    </xf>
    <xf numFmtId="3" fontId="0" fillId="40" borderId="148" xfId="7" applyNumberFormat="1" applyFont="1" applyFill="1" applyBorder="1" applyAlignment="1">
      <alignment horizontal="center" vertical="center"/>
    </xf>
    <xf numFmtId="9" fontId="0" fillId="40" borderId="148" xfId="0" applyNumberFormat="1" applyFont="1" applyFill="1" applyBorder="1" applyAlignment="1">
      <alignment horizontal="center" vertical="center" wrapText="1"/>
    </xf>
    <xf numFmtId="0" fontId="0" fillId="40" borderId="148" xfId="0" applyFont="1" applyFill="1" applyBorder="1"/>
    <xf numFmtId="0" fontId="0" fillId="40" borderId="0" xfId="0" applyFont="1" applyFill="1" applyBorder="1"/>
    <xf numFmtId="3" fontId="0" fillId="40" borderId="148" xfId="7" applyNumberFormat="1" applyFont="1" applyFill="1" applyBorder="1" applyAlignment="1">
      <alignment horizontal="center"/>
    </xf>
    <xf numFmtId="0" fontId="0" fillId="44" borderId="32" xfId="0" applyFont="1" applyFill="1" applyBorder="1" applyAlignment="1">
      <alignment vertical="center"/>
    </xf>
    <xf numFmtId="9" fontId="52" fillId="44" borderId="148" xfId="0" applyNumberFormat="1" applyFont="1" applyFill="1" applyBorder="1" applyAlignment="1">
      <alignment horizontal="center" vertical="center" wrapText="1"/>
    </xf>
    <xf numFmtId="0" fontId="0" fillId="44" borderId="148" xfId="0" applyFont="1" applyFill="1" applyBorder="1" applyAlignment="1">
      <alignment horizontal="center" vertical="center" wrapText="1"/>
    </xf>
    <xf numFmtId="9" fontId="0" fillId="44" borderId="148" xfId="0" applyNumberFormat="1" applyFont="1" applyFill="1" applyBorder="1" applyAlignment="1">
      <alignment horizontal="center" vertical="center"/>
    </xf>
    <xf numFmtId="0" fontId="0" fillId="44" borderId="148" xfId="0" applyFont="1" applyFill="1" applyBorder="1" applyAlignment="1">
      <alignment horizontal="center" vertical="center"/>
    </xf>
    <xf numFmtId="0" fontId="0" fillId="44" borderId="148" xfId="0" applyFont="1" applyFill="1" applyBorder="1" applyAlignment="1">
      <alignment vertical="center"/>
    </xf>
    <xf numFmtId="0" fontId="10" fillId="44" borderId="94" xfId="0" applyFont="1" applyFill="1" applyBorder="1"/>
    <xf numFmtId="0" fontId="0" fillId="44" borderId="148" xfId="0" applyFont="1" applyFill="1" applyBorder="1"/>
    <xf numFmtId="3" fontId="0" fillId="44" borderId="148" xfId="0" applyNumberFormat="1" applyFont="1" applyFill="1" applyBorder="1" applyAlignment="1">
      <alignment horizontal="center"/>
    </xf>
    <xf numFmtId="3" fontId="0" fillId="44" borderId="148" xfId="7" applyNumberFormat="1" applyFont="1" applyFill="1" applyBorder="1" applyAlignment="1">
      <alignment horizontal="center" vertical="center"/>
    </xf>
    <xf numFmtId="0" fontId="0" fillId="44" borderId="56" xfId="0" applyFont="1" applyFill="1" applyBorder="1" applyAlignment="1">
      <alignment horizontal="center" vertical="center" wrapText="1"/>
    </xf>
    <xf numFmtId="0" fontId="0" fillId="44" borderId="56" xfId="0" applyFont="1" applyFill="1" applyBorder="1" applyAlignment="1">
      <alignment horizontal="center" vertical="center"/>
    </xf>
    <xf numFmtId="9" fontId="0" fillId="44" borderId="56" xfId="0" applyNumberFormat="1" applyFont="1" applyFill="1" applyBorder="1" applyAlignment="1">
      <alignment horizontal="center" vertical="center" wrapText="1"/>
    </xf>
    <xf numFmtId="10" fontId="10" fillId="44" borderId="56" xfId="5" applyNumberFormat="1" applyFont="1" applyFill="1" applyBorder="1" applyAlignment="1">
      <alignment horizontal="center" vertical="center"/>
    </xf>
    <xf numFmtId="0" fontId="10" fillId="44" borderId="56" xfId="0" applyFont="1" applyFill="1" applyBorder="1" applyAlignment="1">
      <alignment vertical="top" wrapText="1"/>
    </xf>
    <xf numFmtId="0" fontId="10" fillId="44" borderId="56" xfId="0" applyFont="1" applyFill="1" applyBorder="1" applyAlignment="1">
      <alignment vertical="center" wrapText="1"/>
    </xf>
    <xf numFmtId="0" fontId="10" fillId="44" borderId="56" xfId="0" applyFont="1" applyFill="1" applyBorder="1"/>
    <xf numFmtId="174" fontId="10" fillId="44" borderId="56" xfId="9" applyNumberFormat="1" applyFont="1" applyFill="1" applyBorder="1" applyAlignment="1">
      <alignment vertical="center"/>
    </xf>
    <xf numFmtId="170" fontId="10" fillId="44" borderId="56" xfId="9" applyFont="1" applyFill="1" applyBorder="1" applyAlignment="1">
      <alignment vertical="center"/>
    </xf>
    <xf numFmtId="0" fontId="10" fillId="44" borderId="56" xfId="0" applyFont="1" applyFill="1" applyBorder="1" applyAlignment="1">
      <alignment horizontal="center" vertical="center"/>
    </xf>
    <xf numFmtId="0" fontId="10" fillId="44" borderId="56" xfId="0" applyFont="1" applyFill="1" applyBorder="1" applyAlignment="1">
      <alignment vertical="center"/>
    </xf>
    <xf numFmtId="9" fontId="0" fillId="44" borderId="148" xfId="0" applyNumberFormat="1" applyFont="1" applyFill="1" applyBorder="1" applyAlignment="1">
      <alignment horizontal="center" vertical="center" wrapText="1"/>
    </xf>
    <xf numFmtId="10" fontId="10" fillId="44" borderId="148" xfId="5" applyNumberFormat="1" applyFont="1" applyFill="1" applyBorder="1" applyAlignment="1">
      <alignment horizontal="center" vertical="center"/>
    </xf>
    <xf numFmtId="174" fontId="10" fillId="44" borderId="148" xfId="9" applyNumberFormat="1" applyFont="1" applyFill="1" applyBorder="1" applyAlignment="1">
      <alignment vertical="center"/>
    </xf>
    <xf numFmtId="9" fontId="52" fillId="38" borderId="148" xfId="0" applyNumberFormat="1" applyFont="1" applyFill="1" applyBorder="1" applyAlignment="1">
      <alignment horizontal="center" vertical="center" wrapText="1"/>
    </xf>
    <xf numFmtId="3" fontId="0" fillId="38" borderId="148" xfId="0" applyNumberFormat="1" applyFont="1" applyFill="1" applyBorder="1" applyAlignment="1">
      <alignment horizontal="center" vertical="center"/>
    </xf>
    <xf numFmtId="3" fontId="0" fillId="38" borderId="148" xfId="0" applyNumberFormat="1" applyFont="1" applyFill="1" applyBorder="1" applyAlignment="1">
      <alignment horizontal="center" vertical="center" wrapText="1"/>
    </xf>
    <xf numFmtId="9" fontId="0" fillId="41" borderId="148" xfId="0" applyNumberFormat="1" applyFont="1" applyFill="1" applyBorder="1" applyAlignment="1">
      <alignment horizontal="center" vertical="center"/>
    </xf>
    <xf numFmtId="0" fontId="0" fillId="41" borderId="7" xfId="0" applyFont="1" applyFill="1" applyBorder="1" applyAlignment="1">
      <alignment vertical="center" wrapText="1"/>
    </xf>
    <xf numFmtId="0" fontId="0" fillId="41" borderId="11" xfId="0" applyFont="1" applyFill="1" applyBorder="1" applyAlignment="1">
      <alignment vertical="center" wrapText="1"/>
    </xf>
    <xf numFmtId="0" fontId="0" fillId="41" borderId="29" xfId="0" applyFont="1" applyFill="1" applyBorder="1" applyAlignment="1">
      <alignment vertical="center" wrapText="1"/>
    </xf>
    <xf numFmtId="0" fontId="9" fillId="28" borderId="10" xfId="0" applyFont="1" applyFill="1" applyBorder="1" applyAlignment="1">
      <alignment vertical="center" wrapText="1"/>
    </xf>
    <xf numFmtId="0" fontId="9" fillId="28" borderId="26" xfId="0" applyFont="1" applyFill="1" applyBorder="1" applyAlignment="1">
      <alignment vertical="center" wrapText="1"/>
    </xf>
    <xf numFmtId="0" fontId="9" fillId="28" borderId="8" xfId="0" applyFont="1" applyFill="1" applyBorder="1" applyAlignment="1">
      <alignment vertical="center" wrapText="1"/>
    </xf>
    <xf numFmtId="0" fontId="9" fillId="12" borderId="9" xfId="0" applyFont="1" applyFill="1" applyBorder="1" applyAlignment="1">
      <alignment vertical="center" wrapText="1"/>
    </xf>
    <xf numFmtId="175" fontId="9" fillId="18" borderId="7" xfId="0" applyNumberFormat="1" applyFont="1" applyFill="1" applyBorder="1" applyAlignment="1">
      <alignment vertical="center" wrapText="1"/>
    </xf>
    <xf numFmtId="175" fontId="9" fillId="18" borderId="22" xfId="0" applyNumberFormat="1" applyFont="1" applyFill="1" applyBorder="1" applyAlignment="1">
      <alignment vertical="center" wrapText="1"/>
    </xf>
    <xf numFmtId="175" fontId="9" fillId="18" borderId="45" xfId="0" applyNumberFormat="1" applyFont="1" applyFill="1" applyBorder="1" applyAlignment="1">
      <alignment vertical="center" wrapText="1"/>
    </xf>
    <xf numFmtId="175" fontId="9" fillId="18" borderId="59" xfId="0" applyNumberFormat="1" applyFont="1" applyFill="1" applyBorder="1" applyAlignment="1">
      <alignment vertical="center" wrapText="1"/>
    </xf>
    <xf numFmtId="0" fontId="40" fillId="30" borderId="34" xfId="0" applyFont="1" applyFill="1" applyBorder="1" applyAlignment="1">
      <alignment vertical="center" wrapText="1"/>
    </xf>
    <xf numFmtId="0" fontId="0" fillId="40" borderId="148" xfId="0" applyFont="1" applyFill="1" applyBorder="1" applyAlignment="1">
      <alignment vertical="center" wrapText="1"/>
    </xf>
    <xf numFmtId="0" fontId="0" fillId="40" borderId="30" xfId="0" applyFont="1" applyFill="1" applyBorder="1" applyAlignment="1">
      <alignment vertical="center" wrapText="1"/>
    </xf>
    <xf numFmtId="175" fontId="9" fillId="18" borderId="13" xfId="0" applyNumberFormat="1" applyFont="1" applyFill="1" applyBorder="1" applyAlignment="1">
      <alignment vertical="center" wrapText="1"/>
    </xf>
    <xf numFmtId="0" fontId="0" fillId="40" borderId="7" xfId="0" applyFont="1" applyFill="1" applyBorder="1" applyAlignment="1">
      <alignment vertical="center" wrapText="1"/>
    </xf>
    <xf numFmtId="0" fontId="0" fillId="40" borderId="11" xfId="0" applyFont="1" applyFill="1" applyBorder="1" applyAlignment="1">
      <alignment vertical="center" wrapText="1"/>
    </xf>
    <xf numFmtId="0" fontId="0" fillId="40" borderId="29" xfId="0" applyFont="1" applyFill="1" applyBorder="1" applyAlignment="1">
      <alignment vertical="center" wrapText="1"/>
    </xf>
    <xf numFmtId="0" fontId="0" fillId="44" borderId="7" xfId="0" applyFont="1" applyFill="1" applyBorder="1" applyAlignment="1">
      <alignment vertical="center" wrapText="1"/>
    </xf>
    <xf numFmtId="0" fontId="0" fillId="44" borderId="51" xfId="0" applyFont="1" applyFill="1" applyBorder="1" applyAlignment="1">
      <alignment vertical="center" wrapText="1"/>
    </xf>
    <xf numFmtId="0" fontId="0" fillId="44" borderId="11" xfId="0" applyFont="1" applyFill="1" applyBorder="1" applyAlignment="1">
      <alignment vertical="center" wrapText="1"/>
    </xf>
    <xf numFmtId="0" fontId="0" fillId="44" borderId="158" xfId="0" applyFont="1" applyFill="1" applyBorder="1" applyAlignment="1">
      <alignment vertical="center" wrapText="1"/>
    </xf>
    <xf numFmtId="0" fontId="0" fillId="44" borderId="29" xfId="0" applyFont="1" applyFill="1" applyBorder="1" applyAlignment="1">
      <alignment vertical="center" wrapText="1"/>
    </xf>
    <xf numFmtId="0" fontId="0" fillId="38" borderId="7" xfId="0" applyFont="1" applyFill="1" applyBorder="1" applyAlignment="1">
      <alignment vertical="center"/>
    </xf>
    <xf numFmtId="0" fontId="0" fillId="38" borderId="51" xfId="0" applyFont="1" applyFill="1" applyBorder="1" applyAlignment="1">
      <alignment vertical="center"/>
    </xf>
    <xf numFmtId="0" fontId="0" fillId="38" borderId="11" xfId="0" applyFont="1" applyFill="1" applyBorder="1" applyAlignment="1">
      <alignment vertical="center"/>
    </xf>
    <xf numFmtId="0" fontId="0" fillId="38" borderId="29" xfId="0" applyFont="1" applyFill="1" applyBorder="1" applyAlignment="1">
      <alignment vertical="center"/>
    </xf>
    <xf numFmtId="0" fontId="0" fillId="7" borderId="7" xfId="0" applyFont="1" applyFill="1" applyBorder="1" applyAlignment="1">
      <alignment vertical="center" wrapText="1"/>
    </xf>
    <xf numFmtId="0" fontId="0" fillId="7" borderId="29" xfId="0" applyFont="1" applyFill="1" applyBorder="1" applyAlignment="1">
      <alignment vertical="center" wrapText="1"/>
    </xf>
    <xf numFmtId="0" fontId="0" fillId="7" borderId="148" xfId="0" applyFont="1" applyFill="1" applyBorder="1" applyAlignment="1">
      <alignment vertical="center" wrapText="1"/>
    </xf>
    <xf numFmtId="0" fontId="0" fillId="7" borderId="148" xfId="0" applyFont="1" applyFill="1" applyBorder="1" applyAlignment="1">
      <alignment horizontal="center" vertical="center" wrapText="1"/>
    </xf>
    <xf numFmtId="9" fontId="0" fillId="7" borderId="148" xfId="0" applyNumberFormat="1" applyFont="1" applyFill="1" applyBorder="1" applyAlignment="1">
      <alignment horizontal="center" vertical="center"/>
    </xf>
    <xf numFmtId="0" fontId="0" fillId="7" borderId="148" xfId="0" applyFont="1" applyFill="1" applyBorder="1" applyAlignment="1">
      <alignment vertical="center"/>
    </xf>
    <xf numFmtId="9" fontId="10" fillId="7" borderId="149" xfId="0" applyNumberFormat="1" applyFont="1" applyFill="1" applyBorder="1" applyAlignment="1">
      <alignment horizontal="center" vertical="top" wrapText="1"/>
    </xf>
    <xf numFmtId="0" fontId="10" fillId="7" borderId="149" xfId="0" applyFont="1" applyFill="1" applyBorder="1" applyAlignment="1">
      <alignment horizontal="left" vertical="top" wrapText="1"/>
    </xf>
    <xf numFmtId="0" fontId="10" fillId="7" borderId="149" xfId="0" applyFont="1" applyFill="1" applyBorder="1" applyAlignment="1">
      <alignment vertical="top"/>
    </xf>
    <xf numFmtId="0" fontId="10" fillId="7" borderId="148" xfId="0" applyFont="1" applyFill="1" applyBorder="1" applyAlignment="1">
      <alignment vertical="top"/>
    </xf>
    <xf numFmtId="0" fontId="10" fillId="7" borderId="94" xfId="0" applyFont="1" applyFill="1" applyBorder="1" applyAlignment="1">
      <alignment vertical="top"/>
    </xf>
    <xf numFmtId="9" fontId="0" fillId="7" borderId="149" xfId="0" applyNumberFormat="1" applyFont="1" applyFill="1" applyBorder="1" applyAlignment="1">
      <alignment horizontal="center" vertical="center" wrapText="1"/>
    </xf>
    <xf numFmtId="9" fontId="52" fillId="7" borderId="148" xfId="0" applyNumberFormat="1" applyFont="1" applyFill="1" applyBorder="1" applyAlignment="1">
      <alignment horizontal="center" vertical="center" wrapText="1"/>
    </xf>
    <xf numFmtId="0" fontId="0" fillId="7" borderId="148" xfId="0" applyFont="1" applyFill="1" applyBorder="1"/>
    <xf numFmtId="3" fontId="0" fillId="7" borderId="148" xfId="0" applyNumberFormat="1" applyFont="1" applyFill="1" applyBorder="1" applyAlignment="1">
      <alignment horizontal="center"/>
    </xf>
    <xf numFmtId="3" fontId="0" fillId="7" borderId="148" xfId="0" applyNumberFormat="1" applyFont="1" applyFill="1" applyBorder="1" applyAlignment="1">
      <alignment horizontal="center" vertical="center" wrapText="1"/>
    </xf>
    <xf numFmtId="3" fontId="0" fillId="7" borderId="148" xfId="7" applyNumberFormat="1" applyFont="1" applyFill="1" applyBorder="1" applyAlignment="1">
      <alignment horizontal="center" vertical="center"/>
    </xf>
    <xf numFmtId="3" fontId="3" fillId="7" borderId="148" xfId="0" applyNumberFormat="1" applyFont="1" applyFill="1" applyBorder="1" applyAlignment="1">
      <alignment horizontal="center" vertical="center" wrapText="1"/>
    </xf>
    <xf numFmtId="10" fontId="0" fillId="7" borderId="148" xfId="0" applyNumberFormat="1" applyFont="1" applyFill="1" applyBorder="1" applyAlignment="1">
      <alignment horizontal="center" vertical="center" wrapText="1"/>
    </xf>
    <xf numFmtId="10" fontId="0" fillId="7" borderId="148" xfId="0" applyNumberFormat="1" applyFont="1" applyFill="1" applyBorder="1" applyAlignment="1">
      <alignment horizontal="center" vertical="center"/>
    </xf>
    <xf numFmtId="0" fontId="10" fillId="7" borderId="148" xfId="0" applyFont="1" applyFill="1" applyBorder="1" applyAlignment="1">
      <alignment horizontal="center" vertical="center"/>
    </xf>
    <xf numFmtId="0" fontId="10" fillId="7" borderId="148" xfId="0" applyFont="1" applyFill="1" applyBorder="1" applyAlignment="1">
      <alignment horizontal="center" vertical="center" wrapText="1"/>
    </xf>
    <xf numFmtId="0" fontId="10" fillId="7" borderId="148" xfId="0" applyFont="1" applyFill="1" applyBorder="1"/>
    <xf numFmtId="0" fontId="10" fillId="7" borderId="94" xfId="0" applyFont="1" applyFill="1" applyBorder="1"/>
    <xf numFmtId="0" fontId="0" fillId="7" borderId="149" xfId="0" applyFont="1" applyFill="1" applyBorder="1" applyAlignment="1">
      <alignment horizontal="center" vertical="center" wrapText="1"/>
    </xf>
    <xf numFmtId="0" fontId="0" fillId="7" borderId="158" xfId="0" applyFont="1" applyFill="1" applyBorder="1" applyAlignment="1">
      <alignment vertical="center" wrapText="1"/>
    </xf>
    <xf numFmtId="0" fontId="0" fillId="7" borderId="149" xfId="0" applyFont="1" applyFill="1" applyBorder="1" applyAlignment="1">
      <alignment vertical="center"/>
    </xf>
    <xf numFmtId="4" fontId="0" fillId="7" borderId="149" xfId="5" applyNumberFormat="1" applyFont="1" applyFill="1" applyBorder="1" applyAlignment="1">
      <alignment horizontal="center" vertical="center"/>
    </xf>
    <xf numFmtId="9" fontId="0" fillId="7" borderId="149" xfId="5" applyFont="1" applyFill="1" applyBorder="1" applyAlignment="1">
      <alignment horizontal="center" vertical="center"/>
    </xf>
    <xf numFmtId="0" fontId="10" fillId="7" borderId="149" xfId="0" applyFont="1" applyFill="1" applyBorder="1" applyAlignment="1">
      <alignment horizontal="center" vertical="center"/>
    </xf>
    <xf numFmtId="0" fontId="10" fillId="7" borderId="149" xfId="0" applyFont="1" applyFill="1" applyBorder="1" applyAlignment="1">
      <alignment horizontal="center" vertical="center" wrapText="1"/>
    </xf>
    <xf numFmtId="0" fontId="10" fillId="7" borderId="149" xfId="0" applyFont="1" applyFill="1" applyBorder="1"/>
    <xf numFmtId="0" fontId="10" fillId="7" borderId="159" xfId="0" applyFont="1" applyFill="1" applyBorder="1"/>
    <xf numFmtId="0" fontId="0" fillId="7" borderId="149" xfId="0" applyFont="1" applyFill="1" applyBorder="1" applyAlignment="1">
      <alignment horizontal="center" wrapText="1"/>
    </xf>
    <xf numFmtId="173" fontId="16" fillId="7" borderId="2" xfId="20" applyNumberFormat="1" applyFont="1" applyFill="1" applyBorder="1" applyAlignment="1">
      <alignment horizontal="center" vertical="center" wrapText="1"/>
    </xf>
    <xf numFmtId="3" fontId="0" fillId="7" borderId="149" xfId="0" applyNumberFormat="1" applyFont="1" applyFill="1" applyBorder="1" applyAlignment="1">
      <alignment horizontal="center"/>
    </xf>
    <xf numFmtId="0" fontId="0" fillId="41" borderId="51" xfId="0" applyFont="1" applyFill="1" applyBorder="1" applyAlignment="1">
      <alignment vertical="center" wrapText="1"/>
    </xf>
    <xf numFmtId="9" fontId="0" fillId="41" borderId="32" xfId="0" applyNumberFormat="1" applyFont="1" applyFill="1" applyBorder="1" applyAlignment="1">
      <alignment horizontal="center" vertical="center"/>
    </xf>
    <xf numFmtId="0" fontId="0" fillId="41" borderId="32" xfId="0" applyFont="1" applyFill="1" applyBorder="1" applyAlignment="1">
      <alignment horizontal="center" vertical="center"/>
    </xf>
    <xf numFmtId="9" fontId="52" fillId="41" borderId="148" xfId="0" applyNumberFormat="1" applyFont="1" applyFill="1" applyBorder="1" applyAlignment="1">
      <alignment horizontal="center" vertical="center" wrapText="1"/>
    </xf>
    <xf numFmtId="3" fontId="3" fillId="41" borderId="148" xfId="0" applyNumberFormat="1" applyFont="1" applyFill="1" applyBorder="1" applyAlignment="1">
      <alignment horizontal="center" vertical="center" wrapText="1"/>
    </xf>
    <xf numFmtId="0" fontId="0" fillId="41" borderId="148" xfId="0" applyFont="1" applyFill="1" applyBorder="1" applyAlignment="1">
      <alignment horizontal="center" vertical="center"/>
    </xf>
    <xf numFmtId="0" fontId="10" fillId="41" borderId="149" xfId="0" applyFont="1" applyFill="1" applyBorder="1" applyAlignment="1">
      <alignment horizontal="center" vertical="center"/>
    </xf>
    <xf numFmtId="0" fontId="10" fillId="41" borderId="94" xfId="0" applyFont="1" applyFill="1" applyBorder="1"/>
    <xf numFmtId="0" fontId="0" fillId="41" borderId="148" xfId="0" applyFont="1" applyFill="1" applyBorder="1"/>
    <xf numFmtId="3" fontId="0" fillId="41" borderId="148" xfId="0" applyNumberFormat="1" applyFont="1" applyFill="1" applyBorder="1" applyAlignment="1">
      <alignment horizontal="center"/>
    </xf>
    <xf numFmtId="3" fontId="0" fillId="41" borderId="148" xfId="0" applyNumberFormat="1" applyFont="1" applyFill="1" applyBorder="1" applyAlignment="1">
      <alignment horizontal="center" vertical="center" wrapText="1"/>
    </xf>
    <xf numFmtId="0" fontId="0" fillId="41" borderId="149" xfId="0" applyFont="1" applyFill="1" applyBorder="1" applyAlignment="1">
      <alignment horizontal="center" vertical="center" wrapText="1"/>
    </xf>
    <xf numFmtId="0" fontId="0" fillId="41" borderId="158" xfId="0" applyFont="1" applyFill="1" applyBorder="1" applyAlignment="1">
      <alignment vertical="center" wrapText="1"/>
    </xf>
    <xf numFmtId="0" fontId="0" fillId="41" borderId="149" xfId="0" applyFont="1" applyFill="1" applyBorder="1" applyAlignment="1">
      <alignment vertical="center" wrapText="1"/>
    </xf>
    <xf numFmtId="0" fontId="0" fillId="41" borderId="149" xfId="0" applyFont="1" applyFill="1" applyBorder="1" applyAlignment="1">
      <alignment vertical="center"/>
    </xf>
    <xf numFmtId="0" fontId="10" fillId="41" borderId="149" xfId="0" applyFont="1" applyFill="1" applyBorder="1" applyAlignment="1">
      <alignment horizontal="center" vertical="center" wrapText="1"/>
    </xf>
    <xf numFmtId="190" fontId="10" fillId="41" borderId="149" xfId="4" applyNumberFormat="1" applyFont="1" applyFill="1" applyBorder="1" applyAlignment="1">
      <alignment horizontal="center" vertical="center"/>
    </xf>
    <xf numFmtId="3" fontId="10" fillId="41" borderId="149" xfId="0" applyNumberFormat="1" applyFont="1" applyFill="1" applyBorder="1" applyAlignment="1">
      <alignment horizontal="center" vertical="center" wrapText="1"/>
    </xf>
    <xf numFmtId="0" fontId="10" fillId="41" borderId="149" xfId="0" applyFont="1" applyFill="1" applyBorder="1"/>
    <xf numFmtId="0" fontId="10" fillId="41" borderId="159" xfId="0" applyFont="1" applyFill="1" applyBorder="1"/>
    <xf numFmtId="0" fontId="0" fillId="41" borderId="149" xfId="0" applyFont="1" applyFill="1" applyBorder="1" applyAlignment="1">
      <alignment horizontal="center" vertical="center"/>
    </xf>
    <xf numFmtId="173" fontId="16" fillId="41" borderId="2" xfId="20" applyNumberFormat="1" applyFont="1" applyFill="1" applyBorder="1" applyAlignment="1">
      <alignment horizontal="center" vertical="center" wrapText="1"/>
    </xf>
    <xf numFmtId="3" fontId="0" fillId="41" borderId="149" xfId="0" applyNumberFormat="1" applyFont="1" applyFill="1" applyBorder="1" applyAlignment="1">
      <alignment horizontal="center" vertical="center" wrapText="1"/>
    </xf>
    <xf numFmtId="3" fontId="0" fillId="41" borderId="149" xfId="0" applyNumberFormat="1" applyFont="1" applyFill="1" applyBorder="1" applyAlignment="1">
      <alignment horizontal="center" vertical="center"/>
    </xf>
    <xf numFmtId="3" fontId="0" fillId="41" borderId="148" xfId="4" applyNumberFormat="1" applyFont="1" applyFill="1" applyBorder="1" applyAlignment="1">
      <alignment horizontal="center" vertical="center"/>
    </xf>
    <xf numFmtId="3" fontId="0" fillId="41" borderId="149" xfId="4" applyNumberFormat="1" applyFont="1" applyFill="1" applyBorder="1" applyAlignment="1">
      <alignment horizontal="center" vertical="center"/>
    </xf>
    <xf numFmtId="0" fontId="0" fillId="43" borderId="17" xfId="0" applyFill="1" applyBorder="1" applyAlignment="1">
      <alignment vertical="top" wrapText="1"/>
    </xf>
    <xf numFmtId="0" fontId="0" fillId="43" borderId="153" xfId="0" applyFill="1" applyBorder="1" applyAlignment="1">
      <alignment vertical="top" wrapText="1"/>
    </xf>
    <xf numFmtId="0" fontId="0" fillId="43" borderId="153" xfId="0" applyFill="1" applyBorder="1" applyAlignment="1">
      <alignment wrapText="1"/>
    </xf>
    <xf numFmtId="0" fontId="0" fillId="43" borderId="153" xfId="0" applyFill="1" applyBorder="1" applyAlignment="1">
      <alignment horizontal="left" vertical="top" wrapText="1"/>
    </xf>
    <xf numFmtId="0" fontId="0" fillId="43" borderId="66" xfId="0" applyFill="1" applyBorder="1" applyAlignment="1">
      <alignment vertical="top" wrapText="1"/>
    </xf>
    <xf numFmtId="0" fontId="0" fillId="51" borderId="38" xfId="0" applyFill="1" applyBorder="1" applyAlignment="1">
      <alignment vertical="top" wrapText="1"/>
    </xf>
    <xf numFmtId="0" fontId="0" fillId="51" borderId="153" xfId="0" applyFill="1" applyBorder="1" applyAlignment="1">
      <alignment vertical="top" wrapText="1"/>
    </xf>
    <xf numFmtId="0" fontId="0" fillId="51" borderId="153" xfId="0" applyFill="1" applyBorder="1" applyAlignment="1">
      <alignment vertical="center" wrapText="1"/>
    </xf>
    <xf numFmtId="0" fontId="0" fillId="51" borderId="150" xfId="0" applyFill="1" applyBorder="1" applyAlignment="1">
      <alignment wrapText="1"/>
    </xf>
    <xf numFmtId="0" fontId="0" fillId="29" borderId="36" xfId="0" applyFill="1" applyBorder="1" applyAlignment="1">
      <alignment vertical="top" wrapText="1"/>
    </xf>
    <xf numFmtId="0" fontId="0" fillId="29" borderId="153" xfId="0" applyFill="1" applyBorder="1" applyAlignment="1">
      <alignment vertical="top" wrapText="1"/>
    </xf>
    <xf numFmtId="0" fontId="0" fillId="29" borderId="153" xfId="0" applyFill="1" applyBorder="1" applyAlignment="1">
      <alignment wrapText="1"/>
    </xf>
    <xf numFmtId="0" fontId="0" fillId="29" borderId="66" xfId="0" applyFill="1" applyBorder="1" applyAlignment="1">
      <alignment vertical="top" wrapText="1"/>
    </xf>
    <xf numFmtId="0" fontId="0" fillId="42" borderId="36" xfId="0" applyFill="1" applyBorder="1" applyAlignment="1">
      <alignment vertical="top" wrapText="1"/>
    </xf>
    <xf numFmtId="0" fontId="0" fillId="42" borderId="66" xfId="0" applyFill="1" applyBorder="1" applyAlignment="1">
      <alignment vertical="top" wrapText="1"/>
    </xf>
    <xf numFmtId="0" fontId="0" fillId="39" borderId="36" xfId="0" applyFill="1" applyBorder="1" applyAlignment="1">
      <alignment vertical="top" wrapText="1"/>
    </xf>
    <xf numFmtId="0" fontId="0" fillId="39" borderId="153" xfId="0" applyFill="1" applyBorder="1" applyAlignment="1">
      <alignment vertical="top" wrapText="1"/>
    </xf>
    <xf numFmtId="0" fontId="0" fillId="39" borderId="66" xfId="0" applyFill="1" applyBorder="1" applyAlignment="1">
      <alignment vertical="top" wrapText="1"/>
    </xf>
    <xf numFmtId="0" fontId="10" fillId="79" borderId="154" xfId="0" applyFont="1" applyFill="1" applyBorder="1" applyAlignment="1">
      <alignment horizontal="center" vertical="center" wrapText="1"/>
    </xf>
    <xf numFmtId="0" fontId="10" fillId="29" borderId="19" xfId="0" applyFont="1" applyFill="1" applyBorder="1" applyAlignment="1">
      <alignment horizontal="center" vertical="center" wrapText="1"/>
    </xf>
    <xf numFmtId="0" fontId="0" fillId="43" borderId="45" xfId="0" applyFill="1" applyBorder="1" applyAlignment="1">
      <alignment horizontal="center" vertical="top" wrapText="1"/>
    </xf>
    <xf numFmtId="0" fontId="0" fillId="43" borderId="46" xfId="0" applyFill="1" applyBorder="1" applyAlignment="1">
      <alignment horizontal="center" vertical="top" wrapText="1"/>
    </xf>
    <xf numFmtId="0" fontId="0" fillId="43" borderId="46" xfId="0" applyFill="1" applyBorder="1" applyAlignment="1">
      <alignment horizontal="center" wrapText="1"/>
    </xf>
    <xf numFmtId="0" fontId="0" fillId="43" borderId="177" xfId="0" applyFill="1" applyBorder="1" applyAlignment="1">
      <alignment horizontal="center" vertical="top" wrapText="1"/>
    </xf>
    <xf numFmtId="0" fontId="0" fillId="51" borderId="45" xfId="0" applyFill="1" applyBorder="1" applyAlignment="1">
      <alignment horizontal="center" vertical="top" wrapText="1"/>
    </xf>
    <xf numFmtId="0" fontId="0" fillId="51" borderId="46" xfId="0" applyFill="1" applyBorder="1" applyAlignment="1">
      <alignment horizontal="center" vertical="top" wrapText="1"/>
    </xf>
    <xf numFmtId="0" fontId="0" fillId="51" borderId="46" xfId="0" applyFill="1" applyBorder="1" applyAlignment="1">
      <alignment horizontal="center" wrapText="1"/>
    </xf>
    <xf numFmtId="0" fontId="0" fillId="51" borderId="46" xfId="0" applyFill="1" applyBorder="1" applyAlignment="1">
      <alignment horizontal="center" vertical="center" wrapText="1"/>
    </xf>
    <xf numFmtId="0" fontId="0" fillId="51" borderId="177" xfId="0" applyFill="1" applyBorder="1" applyAlignment="1">
      <alignment horizontal="center" wrapText="1"/>
    </xf>
    <xf numFmtId="0" fontId="0" fillId="29" borderId="60" xfId="0" applyFill="1" applyBorder="1" applyAlignment="1">
      <alignment horizontal="center" vertical="top" wrapText="1"/>
    </xf>
    <xf numFmtId="0" fontId="0" fillId="29" borderId="46" xfId="0" applyFill="1" applyBorder="1" applyAlignment="1">
      <alignment horizontal="center" vertical="top" wrapText="1"/>
    </xf>
    <xf numFmtId="0" fontId="0" fillId="29" borderId="46" xfId="0" applyFill="1" applyBorder="1" applyAlignment="1">
      <alignment horizontal="center" wrapText="1"/>
    </xf>
    <xf numFmtId="0" fontId="0" fillId="29" borderId="177" xfId="0" applyFill="1" applyBorder="1" applyAlignment="1">
      <alignment horizontal="center" vertical="top" wrapText="1"/>
    </xf>
    <xf numFmtId="0" fontId="0" fillId="42" borderId="45" xfId="0" applyFill="1" applyBorder="1" applyAlignment="1">
      <alignment horizontal="center" vertical="top" wrapText="1"/>
    </xf>
    <xf numFmtId="0" fontId="0" fillId="42" borderId="46" xfId="0" applyFill="1" applyBorder="1" applyAlignment="1">
      <alignment horizontal="center" vertical="top" wrapText="1"/>
    </xf>
    <xf numFmtId="0" fontId="0" fillId="42" borderId="177" xfId="0" applyFill="1" applyBorder="1" applyAlignment="1">
      <alignment horizontal="center" vertical="top" wrapText="1"/>
    </xf>
    <xf numFmtId="0" fontId="0" fillId="43" borderId="46" xfId="0" applyFill="1" applyBorder="1" applyAlignment="1">
      <alignment horizontal="center" vertical="center" wrapText="1"/>
    </xf>
    <xf numFmtId="0" fontId="0" fillId="43" borderId="177" xfId="0" applyFill="1" applyBorder="1" applyAlignment="1">
      <alignment horizontal="center" vertical="center" wrapText="1"/>
    </xf>
    <xf numFmtId="0" fontId="0" fillId="29" borderId="45" xfId="0" applyFill="1" applyBorder="1" applyAlignment="1">
      <alignment horizontal="center" vertical="top" wrapText="1"/>
    </xf>
    <xf numFmtId="0" fontId="0" fillId="39" borderId="46" xfId="0" applyFill="1" applyBorder="1" applyAlignment="1">
      <alignment horizontal="center" vertical="top" wrapText="1"/>
    </xf>
    <xf numFmtId="0" fontId="0" fillId="39" borderId="177" xfId="0" applyFill="1" applyBorder="1" applyAlignment="1">
      <alignment horizontal="center" vertical="top" wrapText="1"/>
    </xf>
    <xf numFmtId="0" fontId="0" fillId="39" borderId="60" xfId="0" applyFill="1" applyBorder="1" applyAlignment="1">
      <alignment horizontal="center" vertical="top" wrapText="1"/>
    </xf>
    <xf numFmtId="0" fontId="0" fillId="43" borderId="148" xfId="0" applyFill="1" applyBorder="1"/>
    <xf numFmtId="0" fontId="0" fillId="43" borderId="7" xfId="0" applyFill="1" applyBorder="1"/>
    <xf numFmtId="0" fontId="0" fillId="43" borderId="9" xfId="0" applyFill="1" applyBorder="1"/>
    <xf numFmtId="0" fontId="3" fillId="43" borderId="11" xfId="0" applyFont="1" applyFill="1" applyBorder="1" applyAlignment="1">
      <alignment horizontal="center" vertical="center" wrapText="1"/>
    </xf>
    <xf numFmtId="0" fontId="3" fillId="43" borderId="94" xfId="0" applyFont="1" applyFill="1" applyBorder="1" applyAlignment="1">
      <alignment horizontal="center" vertical="center" wrapText="1"/>
    </xf>
    <xf numFmtId="0" fontId="0" fillId="43" borderId="11" xfId="0" applyFill="1" applyBorder="1" applyAlignment="1">
      <alignment horizontal="center" vertical="center" wrapText="1"/>
    </xf>
    <xf numFmtId="0" fontId="0" fillId="43" borderId="94" xfId="0" applyFill="1" applyBorder="1" applyAlignment="1">
      <alignment horizontal="center" vertical="center" wrapText="1"/>
    </xf>
    <xf numFmtId="0" fontId="0" fillId="51" borderId="11" xfId="0" applyFill="1" applyBorder="1" applyAlignment="1">
      <alignment horizontal="center" vertical="center" wrapText="1"/>
    </xf>
    <xf numFmtId="0" fontId="0" fillId="51" borderId="94" xfId="0" applyFill="1" applyBorder="1" applyAlignment="1">
      <alignment horizontal="center" vertical="center" wrapText="1"/>
    </xf>
    <xf numFmtId="0" fontId="0" fillId="51" borderId="11" xfId="0" applyFill="1" applyBorder="1" applyAlignment="1">
      <alignment wrapText="1"/>
    </xf>
    <xf numFmtId="0" fontId="0" fillId="51" borderId="94" xfId="0" applyFill="1" applyBorder="1" applyAlignment="1">
      <alignment wrapText="1"/>
    </xf>
    <xf numFmtId="0" fontId="0" fillId="29" borderId="11" xfId="0" applyFill="1" applyBorder="1" applyAlignment="1">
      <alignment wrapText="1"/>
    </xf>
    <xf numFmtId="0" fontId="0" fillId="29" borderId="94" xfId="0" applyFill="1" applyBorder="1" applyAlignment="1">
      <alignment wrapText="1"/>
    </xf>
    <xf numFmtId="0" fontId="0" fillId="42" borderId="11" xfId="0" applyFill="1" applyBorder="1" applyAlignment="1">
      <alignment wrapText="1"/>
    </xf>
    <xf numFmtId="0" fontId="0" fillId="42" borderId="94" xfId="0" applyFill="1" applyBorder="1" applyAlignment="1">
      <alignment wrapText="1"/>
    </xf>
    <xf numFmtId="0" fontId="0" fillId="29" borderId="11" xfId="0" applyFill="1" applyBorder="1"/>
    <xf numFmtId="0" fontId="0" fillId="29" borderId="94" xfId="0" applyFill="1" applyBorder="1"/>
    <xf numFmtId="0" fontId="0" fillId="39" borderId="11" xfId="0" applyFill="1" applyBorder="1"/>
    <xf numFmtId="0" fontId="0" fillId="39" borderId="94" xfId="0" applyFill="1" applyBorder="1"/>
    <xf numFmtId="0" fontId="0" fillId="39" borderId="29" xfId="0" applyFill="1" applyBorder="1"/>
    <xf numFmtId="0" fontId="0" fillId="39" borderId="31" xfId="0" applyFill="1" applyBorder="1"/>
    <xf numFmtId="0" fontId="0" fillId="39" borderId="51" xfId="0" applyFill="1" applyBorder="1"/>
    <xf numFmtId="0" fontId="0" fillId="39" borderId="52" xfId="0" applyFill="1" applyBorder="1"/>
    <xf numFmtId="0" fontId="0" fillId="29" borderId="29" xfId="0" applyFill="1" applyBorder="1"/>
    <xf numFmtId="0" fontId="0" fillId="29" borderId="31" xfId="0" applyFill="1" applyBorder="1"/>
    <xf numFmtId="0" fontId="0" fillId="29" borderId="51" xfId="0" applyFill="1" applyBorder="1" applyAlignment="1">
      <alignment wrapText="1"/>
    </xf>
    <xf numFmtId="0" fontId="0" fillId="29" borderId="32" xfId="0" applyFill="1" applyBorder="1" applyAlignment="1">
      <alignment wrapText="1"/>
    </xf>
    <xf numFmtId="0" fontId="0" fillId="29" borderId="52" xfId="0" applyFill="1" applyBorder="1" applyAlignment="1">
      <alignment wrapText="1"/>
    </xf>
    <xf numFmtId="0" fontId="0" fillId="42" borderId="29" xfId="0" applyFill="1" applyBorder="1" applyAlignment="1">
      <alignment wrapText="1"/>
    </xf>
    <xf numFmtId="0" fontId="0" fillId="42" borderId="31" xfId="0" applyFill="1" applyBorder="1" applyAlignment="1">
      <alignment wrapText="1"/>
    </xf>
    <xf numFmtId="0" fontId="0" fillId="42" borderId="51" xfId="0" applyFill="1" applyBorder="1" applyAlignment="1">
      <alignment wrapText="1"/>
    </xf>
    <xf numFmtId="0" fontId="0" fillId="42" borderId="32" xfId="0" applyFill="1" applyBorder="1" applyAlignment="1">
      <alignment wrapText="1"/>
    </xf>
    <xf numFmtId="0" fontId="0" fillId="42" borderId="52" xfId="0" applyFill="1" applyBorder="1" applyAlignment="1">
      <alignment wrapText="1"/>
    </xf>
    <xf numFmtId="0" fontId="0" fillId="29" borderId="29" xfId="0" applyFill="1" applyBorder="1" applyAlignment="1">
      <alignment wrapText="1"/>
    </xf>
    <xf numFmtId="0" fontId="0" fillId="29" borderId="31" xfId="0" applyFill="1" applyBorder="1" applyAlignment="1">
      <alignment wrapText="1"/>
    </xf>
    <xf numFmtId="0" fontId="0" fillId="51" borderId="29" xfId="0" applyFill="1" applyBorder="1" applyAlignment="1">
      <alignment wrapText="1"/>
    </xf>
    <xf numFmtId="0" fontId="0" fillId="51" borderId="30" xfId="0" applyFill="1" applyBorder="1" applyAlignment="1">
      <alignment wrapText="1"/>
    </xf>
    <xf numFmtId="0" fontId="0" fillId="51" borderId="31" xfId="0" applyFill="1" applyBorder="1" applyAlignment="1">
      <alignment wrapText="1"/>
    </xf>
    <xf numFmtId="0" fontId="0" fillId="51" borderId="51" xfId="0" applyFill="1" applyBorder="1" applyAlignment="1">
      <alignment horizontal="center" vertical="center" wrapText="1"/>
    </xf>
    <xf numFmtId="0" fontId="0" fillId="51" borderId="52" xfId="0" applyFill="1" applyBorder="1" applyAlignment="1">
      <alignment horizontal="center" vertical="center" wrapText="1"/>
    </xf>
    <xf numFmtId="0" fontId="0" fillId="43" borderId="29" xfId="0" applyFill="1" applyBorder="1" applyAlignment="1">
      <alignment horizontal="center" vertical="center" wrapText="1"/>
    </xf>
    <xf numFmtId="0" fontId="0" fillId="43" borderId="31" xfId="0" applyFill="1" applyBorder="1" applyAlignment="1">
      <alignment horizontal="center" vertical="center" wrapText="1"/>
    </xf>
    <xf numFmtId="0" fontId="3" fillId="43" borderId="153" xfId="0" applyFont="1" applyFill="1" applyBorder="1" applyAlignment="1">
      <alignment horizontal="center" vertical="center" wrapText="1"/>
    </xf>
    <xf numFmtId="0" fontId="0" fillId="43" borderId="153" xfId="0" applyFill="1" applyBorder="1" applyAlignment="1">
      <alignment horizontal="center" vertical="center" wrapText="1"/>
    </xf>
    <xf numFmtId="0" fontId="0" fillId="43" borderId="66" xfId="0" applyFill="1" applyBorder="1" applyAlignment="1">
      <alignment horizontal="center" vertical="center" wrapText="1"/>
    </xf>
    <xf numFmtId="0" fontId="0" fillId="51" borderId="38" xfId="0" applyFill="1" applyBorder="1" applyAlignment="1">
      <alignment horizontal="center" vertical="center" wrapText="1"/>
    </xf>
    <xf numFmtId="0" fontId="0" fillId="51" borderId="66" xfId="0" applyFill="1" applyBorder="1" applyAlignment="1">
      <alignment wrapText="1"/>
    </xf>
    <xf numFmtId="0" fontId="0" fillId="29" borderId="38" xfId="0" applyFill="1" applyBorder="1" applyAlignment="1">
      <alignment wrapText="1"/>
    </xf>
    <xf numFmtId="0" fontId="0" fillId="29" borderId="66" xfId="0" applyFill="1" applyBorder="1" applyAlignment="1">
      <alignment wrapText="1"/>
    </xf>
    <xf numFmtId="0" fontId="0" fillId="42" borderId="38" xfId="0" applyFill="1" applyBorder="1" applyAlignment="1">
      <alignment wrapText="1"/>
    </xf>
    <xf numFmtId="0" fontId="0" fillId="42" borderId="153" xfId="0" applyFill="1" applyBorder="1" applyAlignment="1">
      <alignment wrapText="1"/>
    </xf>
    <xf numFmtId="0" fontId="0" fillId="42" borderId="66" xfId="0" applyFill="1" applyBorder="1" applyAlignment="1">
      <alignment wrapText="1"/>
    </xf>
    <xf numFmtId="0" fontId="0" fillId="29" borderId="153" xfId="0" applyFill="1" applyBorder="1"/>
    <xf numFmtId="0" fontId="0" fillId="29" borderId="66" xfId="0" applyFill="1" applyBorder="1"/>
    <xf numFmtId="0" fontId="0" fillId="39" borderId="38" xfId="0" applyFill="1" applyBorder="1"/>
    <xf numFmtId="0" fontId="0" fillId="43" borderId="19" xfId="0" applyFill="1" applyBorder="1"/>
    <xf numFmtId="0" fontId="3" fillId="43" borderId="154" xfId="0" applyFont="1" applyFill="1" applyBorder="1" applyAlignment="1">
      <alignment horizontal="center" vertical="center" wrapText="1"/>
    </xf>
    <xf numFmtId="0" fontId="0" fillId="43" borderId="154" xfId="0" applyFill="1" applyBorder="1" applyAlignment="1">
      <alignment horizontal="center" vertical="center" wrapText="1"/>
    </xf>
    <xf numFmtId="0" fontId="0" fillId="43" borderId="53" xfId="0" applyFill="1" applyBorder="1" applyAlignment="1">
      <alignment horizontal="center" vertical="center" wrapText="1"/>
    </xf>
    <xf numFmtId="0" fontId="0" fillId="51" borderId="54" xfId="0" applyFill="1" applyBorder="1" applyAlignment="1">
      <alignment horizontal="center" vertical="center" wrapText="1"/>
    </xf>
    <xf numFmtId="0" fontId="0" fillId="51" borderId="154" xfId="0" applyFill="1" applyBorder="1" applyAlignment="1">
      <alignment horizontal="center" vertical="center" wrapText="1"/>
    </xf>
    <xf numFmtId="0" fontId="0" fillId="51" borderId="154" xfId="0" applyFill="1" applyBorder="1" applyAlignment="1">
      <alignment wrapText="1"/>
    </xf>
    <xf numFmtId="0" fontId="0" fillId="51" borderId="53" xfId="0" applyFill="1" applyBorder="1" applyAlignment="1">
      <alignment wrapText="1"/>
    </xf>
    <xf numFmtId="0" fontId="0" fillId="29" borderId="54" xfId="0" applyFill="1" applyBorder="1" applyAlignment="1">
      <alignment wrapText="1"/>
    </xf>
    <xf numFmtId="0" fontId="0" fillId="29" borderId="154" xfId="0" applyFill="1" applyBorder="1" applyAlignment="1">
      <alignment wrapText="1"/>
    </xf>
    <xf numFmtId="0" fontId="0" fillId="29" borderId="53" xfId="0" applyFill="1" applyBorder="1" applyAlignment="1">
      <alignment wrapText="1"/>
    </xf>
    <xf numFmtId="0" fontId="0" fillId="42" borderId="54" xfId="0" applyFill="1" applyBorder="1" applyAlignment="1">
      <alignment wrapText="1"/>
    </xf>
    <xf numFmtId="0" fontId="0" fillId="42" borderId="154" xfId="0" applyFill="1" applyBorder="1" applyAlignment="1">
      <alignment wrapText="1"/>
    </xf>
    <xf numFmtId="0" fontId="0" fillId="42" borderId="53" xfId="0" applyFill="1" applyBorder="1" applyAlignment="1">
      <alignment wrapText="1"/>
    </xf>
    <xf numFmtId="0" fontId="0" fillId="29" borderId="154" xfId="0" applyFill="1" applyBorder="1"/>
    <xf numFmtId="0" fontId="0" fillId="29" borderId="53" xfId="0" applyFill="1" applyBorder="1"/>
    <xf numFmtId="0" fontId="0" fillId="39" borderId="54" xfId="0" applyFill="1" applyBorder="1"/>
    <xf numFmtId="0" fontId="0" fillId="39" borderId="154" xfId="0" applyFill="1" applyBorder="1"/>
    <xf numFmtId="0" fontId="0" fillId="43" borderId="45" xfId="0" applyFill="1" applyBorder="1"/>
    <xf numFmtId="0" fontId="3" fillId="43" borderId="46" xfId="0" applyFont="1" applyFill="1" applyBorder="1" applyAlignment="1">
      <alignment horizontal="center" vertical="center" wrapText="1"/>
    </xf>
    <xf numFmtId="0" fontId="0" fillId="51" borderId="60" xfId="0" applyFill="1" applyBorder="1" applyAlignment="1">
      <alignment horizontal="center" vertical="center" wrapText="1"/>
    </xf>
    <xf numFmtId="0" fontId="0" fillId="51" borderId="46" xfId="0" applyFill="1" applyBorder="1" applyAlignment="1">
      <alignment wrapText="1"/>
    </xf>
    <xf numFmtId="0" fontId="0" fillId="51" borderId="177" xfId="0" applyFill="1" applyBorder="1" applyAlignment="1">
      <alignment wrapText="1"/>
    </xf>
    <xf numFmtId="0" fontId="0" fillId="29" borderId="60" xfId="0" applyFill="1" applyBorder="1" applyAlignment="1">
      <alignment wrapText="1"/>
    </xf>
    <xf numFmtId="0" fontId="0" fillId="29" borderId="46" xfId="0" applyFill="1" applyBorder="1" applyAlignment="1">
      <alignment wrapText="1"/>
    </xf>
    <xf numFmtId="0" fontId="0" fillId="29" borderId="177" xfId="0" applyFill="1" applyBorder="1" applyAlignment="1">
      <alignment wrapText="1"/>
    </xf>
    <xf numFmtId="0" fontId="0" fillId="42" borderId="60" xfId="0" applyFill="1" applyBorder="1" applyAlignment="1">
      <alignment wrapText="1"/>
    </xf>
    <xf numFmtId="0" fontId="0" fillId="42" borderId="46" xfId="0" applyFill="1" applyBorder="1" applyAlignment="1">
      <alignment wrapText="1"/>
    </xf>
    <xf numFmtId="0" fontId="0" fillId="42" borderId="177" xfId="0" applyFill="1" applyBorder="1" applyAlignment="1">
      <alignment wrapText="1"/>
    </xf>
    <xf numFmtId="0" fontId="0" fillId="29" borderId="46" xfId="0" applyFill="1" applyBorder="1"/>
    <xf numFmtId="0" fontId="0" fillId="29" borderId="177" xfId="0" applyFill="1" applyBorder="1"/>
    <xf numFmtId="0" fontId="0" fillId="39" borderId="60" xfId="0" applyFill="1" applyBorder="1"/>
    <xf numFmtId="0" fontId="0" fillId="39" borderId="46" xfId="0" applyFill="1" applyBorder="1"/>
    <xf numFmtId="0" fontId="0" fillId="39" borderId="177" xfId="0" applyFill="1" applyBorder="1"/>
    <xf numFmtId="0" fontId="0" fillId="4" borderId="150" xfId="0" applyFont="1" applyFill="1" applyBorder="1" applyAlignment="1" applyProtection="1">
      <alignment vertical="center" textRotation="90" wrapText="1"/>
      <protection locked="0"/>
    </xf>
    <xf numFmtId="0" fontId="0" fillId="4" borderId="148" xfId="0" applyFont="1" applyFill="1" applyBorder="1" applyAlignment="1" applyProtection="1">
      <alignment vertical="center" textRotation="90" wrapText="1"/>
      <protection locked="0"/>
    </xf>
    <xf numFmtId="0" fontId="8" fillId="10" borderId="8" xfId="0" applyFont="1" applyFill="1" applyBorder="1" applyAlignment="1" applyProtection="1">
      <alignment horizontal="center" vertical="center"/>
      <protection locked="0"/>
    </xf>
    <xf numFmtId="0" fontId="8" fillId="10" borderId="9" xfId="0" applyFont="1" applyFill="1" applyBorder="1" applyAlignment="1" applyProtection="1">
      <alignment horizontal="center" vertical="center"/>
      <protection locked="0"/>
    </xf>
    <xf numFmtId="0" fontId="0" fillId="4" borderId="11" xfId="0" applyFont="1" applyFill="1" applyBorder="1" applyAlignment="1" applyProtection="1">
      <alignment vertical="center" textRotation="90" wrapText="1"/>
      <protection locked="0"/>
    </xf>
    <xf numFmtId="0" fontId="8" fillId="10" borderId="94" xfId="0" applyFont="1" applyFill="1" applyBorder="1" applyAlignment="1" applyProtection="1">
      <alignment horizontal="center" vertical="center" wrapText="1"/>
      <protection locked="0"/>
    </xf>
    <xf numFmtId="0" fontId="0" fillId="43" borderId="11" xfId="0" applyFill="1" applyBorder="1"/>
    <xf numFmtId="0" fontId="0" fillId="43" borderId="94" xfId="0" applyFill="1" applyBorder="1"/>
    <xf numFmtId="0" fontId="0" fillId="43" borderId="154" xfId="0" applyFill="1" applyBorder="1"/>
    <xf numFmtId="0" fontId="0" fillId="4" borderId="94" xfId="0" applyFont="1" applyFill="1" applyBorder="1" applyAlignment="1" applyProtection="1">
      <alignment vertical="center" textRotation="90" wrapText="1"/>
      <protection locked="0"/>
    </xf>
    <xf numFmtId="0" fontId="0" fillId="43" borderId="153" xfId="0" applyFill="1" applyBorder="1"/>
    <xf numFmtId="0" fontId="0" fillId="38" borderId="36" xfId="0" applyFill="1" applyBorder="1" applyAlignment="1">
      <alignment wrapText="1"/>
    </xf>
    <xf numFmtId="0" fontId="0" fillId="38" borderId="45" xfId="0" applyFill="1" applyBorder="1" applyAlignment="1">
      <alignment horizontal="center" wrapText="1"/>
    </xf>
    <xf numFmtId="0" fontId="0" fillId="38" borderId="8" xfId="0" applyFill="1" applyBorder="1" applyAlignment="1">
      <alignment vertical="top" wrapText="1"/>
    </xf>
    <xf numFmtId="9" fontId="0" fillId="38" borderId="8" xfId="5" applyFont="1" applyFill="1" applyBorder="1" applyAlignment="1">
      <alignment horizontal="center"/>
    </xf>
    <xf numFmtId="3" fontId="0" fillId="38" borderId="8" xfId="0" applyNumberFormat="1" applyFill="1" applyBorder="1" applyAlignment="1">
      <alignment horizontal="left" vertical="center" wrapText="1"/>
    </xf>
    <xf numFmtId="3" fontId="0" fillId="38" borderId="10" xfId="0" applyNumberFormat="1" applyFill="1" applyBorder="1" applyAlignment="1">
      <alignment horizontal="left" vertical="center"/>
    </xf>
    <xf numFmtId="9" fontId="0" fillId="38" borderId="8" xfId="0" applyNumberFormat="1" applyFill="1" applyBorder="1" applyAlignment="1">
      <alignment horizontal="center" vertical="center" wrapText="1"/>
    </xf>
    <xf numFmtId="3" fontId="0" fillId="38" borderId="10" xfId="0" applyNumberFormat="1" applyFill="1" applyBorder="1" applyAlignment="1">
      <alignment horizontal="center" vertical="center"/>
    </xf>
    <xf numFmtId="3" fontId="0" fillId="38" borderId="42" xfId="0" applyNumberFormat="1" applyFill="1" applyBorder="1" applyAlignment="1">
      <alignment horizontal="center" vertical="center"/>
    </xf>
    <xf numFmtId="0" fontId="0" fillId="38" borderId="0" xfId="0" applyFill="1" applyAlignment="1">
      <alignment wrapText="1"/>
    </xf>
    <xf numFmtId="0" fontId="0" fillId="38" borderId="51" xfId="0" applyFill="1" applyBorder="1" applyAlignment="1">
      <alignment wrapText="1"/>
    </xf>
    <xf numFmtId="0" fontId="0" fillId="38" borderId="32" xfId="0" applyFill="1" applyBorder="1" applyAlignment="1">
      <alignment wrapText="1"/>
    </xf>
    <xf numFmtId="0" fontId="0" fillId="38" borderId="38" xfId="0" applyFill="1" applyBorder="1" applyAlignment="1">
      <alignment wrapText="1"/>
    </xf>
    <xf numFmtId="0" fontId="0" fillId="38" borderId="52" xfId="0" applyFill="1" applyBorder="1" applyAlignment="1">
      <alignment wrapText="1"/>
    </xf>
    <xf numFmtId="0" fontId="0" fillId="38" borderId="60" xfId="0" applyFill="1" applyBorder="1" applyAlignment="1">
      <alignment wrapText="1"/>
    </xf>
    <xf numFmtId="0" fontId="0" fillId="38" borderId="54" xfId="0" applyFill="1" applyBorder="1" applyAlignment="1">
      <alignment wrapText="1"/>
    </xf>
    <xf numFmtId="0" fontId="3" fillId="38" borderId="148" xfId="0" applyFont="1" applyFill="1" applyBorder="1" applyAlignment="1">
      <alignment horizontal="center" vertical="center" wrapText="1"/>
    </xf>
    <xf numFmtId="0" fontId="0" fillId="38" borderId="153" xfId="0" applyFill="1" applyBorder="1" applyAlignment="1">
      <alignment vertical="top" wrapText="1"/>
    </xf>
    <xf numFmtId="0" fontId="0" fillId="38" borderId="46" xfId="0" applyFill="1" applyBorder="1" applyAlignment="1">
      <alignment horizontal="center" vertical="top" wrapText="1"/>
    </xf>
    <xf numFmtId="9" fontId="0" fillId="38" borderId="148" xfId="5" applyFont="1" applyFill="1" applyBorder="1" applyAlignment="1">
      <alignment horizontal="center"/>
    </xf>
    <xf numFmtId="0" fontId="0" fillId="38" borderId="32" xfId="0" applyFill="1" applyBorder="1" applyAlignment="1">
      <alignment horizontal="center" vertical="center" wrapText="1"/>
    </xf>
    <xf numFmtId="9" fontId="0" fillId="38" borderId="148" xfId="0" applyNumberFormat="1" applyFill="1" applyBorder="1" applyAlignment="1">
      <alignment horizontal="center" vertical="center" wrapText="1"/>
    </xf>
    <xf numFmtId="0" fontId="0" fillId="38" borderId="11" xfId="0" applyFill="1" applyBorder="1" applyAlignment="1">
      <alignment wrapText="1"/>
    </xf>
    <xf numFmtId="0" fontId="0" fillId="38" borderId="153" xfId="0" applyFill="1" applyBorder="1" applyAlignment="1">
      <alignment wrapText="1"/>
    </xf>
    <xf numFmtId="0" fontId="0" fillId="38" borderId="94" xfId="0" applyFill="1" applyBorder="1" applyAlignment="1">
      <alignment wrapText="1"/>
    </xf>
    <xf numFmtId="0" fontId="0" fillId="38" borderId="46" xfId="0" applyFill="1" applyBorder="1" applyAlignment="1">
      <alignment wrapText="1"/>
    </xf>
    <xf numFmtId="0" fontId="0" fillId="38" borderId="154" xfId="0" applyFill="1" applyBorder="1" applyAlignment="1">
      <alignment wrapText="1"/>
    </xf>
    <xf numFmtId="3" fontId="0" fillId="38" borderId="148" xfId="0" applyNumberFormat="1" applyFill="1" applyBorder="1" applyAlignment="1">
      <alignment horizontal="left" vertical="center" wrapText="1"/>
    </xf>
    <xf numFmtId="3" fontId="0" fillId="38" borderId="149" xfId="0" applyNumberFormat="1" applyFill="1" applyBorder="1" applyAlignment="1">
      <alignment horizontal="left" vertical="center"/>
    </xf>
    <xf numFmtId="0" fontId="0" fillId="38" borderId="153" xfId="0" applyFill="1" applyBorder="1" applyAlignment="1">
      <alignment horizontal="left" vertical="top" wrapText="1"/>
    </xf>
    <xf numFmtId="0" fontId="0" fillId="38" borderId="148" xfId="0" applyFill="1" applyBorder="1" applyAlignment="1">
      <alignment horizontal="left" vertical="top" wrapText="1"/>
    </xf>
    <xf numFmtId="0" fontId="0" fillId="38" borderId="148" xfId="0" applyFill="1" applyBorder="1" applyAlignment="1">
      <alignment horizontal="center" vertical="top" wrapText="1"/>
    </xf>
    <xf numFmtId="0" fontId="0" fillId="38" borderId="153" xfId="0" applyFill="1" applyBorder="1" applyAlignment="1">
      <alignment horizontal="left" vertical="center" wrapText="1"/>
    </xf>
    <xf numFmtId="0" fontId="0" fillId="38" borderId="46" xfId="0" applyFill="1" applyBorder="1" applyAlignment="1">
      <alignment horizontal="center" vertical="center" wrapText="1"/>
    </xf>
    <xf numFmtId="192" fontId="0" fillId="38" borderId="148" xfId="10" applyNumberFormat="1" applyFont="1" applyFill="1" applyBorder="1" applyAlignment="1">
      <alignment horizontal="center" vertical="center" wrapText="1"/>
    </xf>
    <xf numFmtId="3" fontId="0" fillId="38" borderId="148" xfId="0" applyNumberFormat="1" applyFill="1" applyBorder="1" applyAlignment="1">
      <alignment vertical="top" wrapText="1"/>
    </xf>
    <xf numFmtId="0" fontId="0" fillId="38" borderId="30" xfId="0" applyFill="1" applyBorder="1" applyAlignment="1">
      <alignment horizontal="center" vertical="center" wrapText="1"/>
    </xf>
    <xf numFmtId="0" fontId="3" fillId="38" borderId="30" xfId="0" applyFont="1" applyFill="1" applyBorder="1" applyAlignment="1">
      <alignment horizontal="center" vertical="center" wrapText="1"/>
    </xf>
    <xf numFmtId="0" fontId="0" fillId="38" borderId="66" xfId="0" applyFill="1" applyBorder="1" applyAlignment="1">
      <alignment horizontal="left" vertical="center" wrapText="1"/>
    </xf>
    <xf numFmtId="0" fontId="0" fillId="38" borderId="177" xfId="0" applyFill="1" applyBorder="1" applyAlignment="1">
      <alignment horizontal="center" vertical="center" wrapText="1"/>
    </xf>
    <xf numFmtId="0" fontId="0" fillId="38" borderId="30" xfId="0" applyFill="1" applyBorder="1" applyAlignment="1">
      <alignment horizontal="left" vertical="top" wrapText="1"/>
    </xf>
    <xf numFmtId="9" fontId="0" fillId="38" borderId="30" xfId="5" applyFont="1" applyFill="1" applyBorder="1" applyAlignment="1">
      <alignment horizontal="center"/>
    </xf>
    <xf numFmtId="0" fontId="0" fillId="38" borderId="30" xfId="0" applyFill="1" applyBorder="1" applyAlignment="1">
      <alignment vertical="top" wrapText="1"/>
    </xf>
    <xf numFmtId="0" fontId="0" fillId="38" borderId="30" xfId="0" applyFill="1" applyBorder="1" applyAlignment="1">
      <alignment vertical="center" wrapText="1"/>
    </xf>
    <xf numFmtId="0" fontId="0" fillId="38" borderId="56" xfId="0" applyFill="1" applyBorder="1" applyAlignment="1">
      <alignment horizontal="center" vertical="center" wrapText="1"/>
    </xf>
    <xf numFmtId="9" fontId="0" fillId="38" borderId="30" xfId="0" applyNumberFormat="1" applyFill="1" applyBorder="1" applyAlignment="1">
      <alignment horizontal="center" vertical="center" wrapText="1"/>
    </xf>
    <xf numFmtId="3" fontId="0" fillId="38" borderId="112" xfId="0" applyNumberFormat="1" applyFill="1" applyBorder="1" applyAlignment="1">
      <alignment horizontal="center" vertical="center"/>
    </xf>
    <xf numFmtId="0" fontId="0" fillId="38" borderId="29" xfId="0" applyFill="1" applyBorder="1" applyAlignment="1">
      <alignment wrapText="1"/>
    </xf>
    <xf numFmtId="0" fontId="0" fillId="38" borderId="66" xfId="0" applyFill="1" applyBorder="1" applyAlignment="1">
      <alignment wrapText="1"/>
    </xf>
    <xf numFmtId="0" fontId="0" fillId="38" borderId="31" xfId="0" applyFill="1" applyBorder="1" applyAlignment="1">
      <alignment wrapText="1"/>
    </xf>
    <xf numFmtId="0" fontId="0" fillId="38" borderId="177" xfId="0" applyFill="1" applyBorder="1" applyAlignment="1">
      <alignment wrapText="1"/>
    </xf>
    <xf numFmtId="0" fontId="0" fillId="38" borderId="53" xfId="0" applyFill="1" applyBorder="1" applyAlignment="1">
      <alignment wrapText="1"/>
    </xf>
    <xf numFmtId="0" fontId="40" fillId="37" borderId="26" xfId="0" applyFont="1" applyFill="1" applyBorder="1" applyAlignment="1">
      <alignment horizontal="center" vertical="center" wrapText="1"/>
    </xf>
    <xf numFmtId="0" fontId="0" fillId="51" borderId="148" xfId="0" applyFont="1" applyFill="1" applyBorder="1"/>
    <xf numFmtId="9" fontId="10" fillId="41" borderId="148" xfId="5" applyFont="1" applyFill="1" applyBorder="1" applyAlignment="1">
      <alignment horizontal="center" vertical="center"/>
    </xf>
    <xf numFmtId="0" fontId="0" fillId="41" borderId="148" xfId="0" applyFont="1" applyFill="1" applyBorder="1" applyAlignment="1">
      <alignment wrapText="1"/>
    </xf>
    <xf numFmtId="0" fontId="0" fillId="41" borderId="148" xfId="0" applyFont="1" applyFill="1" applyBorder="1" applyAlignment="1">
      <alignment vertical="center" wrapText="1"/>
    </xf>
    <xf numFmtId="170" fontId="0" fillId="41" borderId="148" xfId="9" applyFont="1" applyFill="1" applyBorder="1" applyAlignment="1">
      <alignment vertical="center"/>
    </xf>
    <xf numFmtId="3" fontId="0" fillId="41" borderId="148" xfId="0" applyNumberFormat="1" applyFont="1" applyFill="1" applyBorder="1" applyAlignment="1">
      <alignment vertical="center"/>
    </xf>
    <xf numFmtId="0" fontId="0" fillId="41" borderId="148" xfId="0" applyFont="1" applyFill="1" applyBorder="1" applyAlignment="1">
      <alignment vertical="center"/>
    </xf>
    <xf numFmtId="3" fontId="10" fillId="41" borderId="148" xfId="9" applyNumberFormat="1" applyFont="1" applyFill="1" applyBorder="1" applyAlignment="1">
      <alignment horizontal="center" vertical="center"/>
    </xf>
    <xf numFmtId="3" fontId="0" fillId="41" borderId="148" xfId="0" applyNumberFormat="1" applyFont="1" applyFill="1" applyBorder="1" applyAlignment="1">
      <alignment horizontal="center" vertical="center"/>
    </xf>
    <xf numFmtId="3" fontId="0" fillId="41" borderId="148" xfId="9" applyNumberFormat="1" applyFont="1" applyFill="1" applyBorder="1" applyAlignment="1">
      <alignment horizontal="center" vertical="center"/>
    </xf>
    <xf numFmtId="0" fontId="11" fillId="29" borderId="148" xfId="0" applyFont="1" applyFill="1" applyBorder="1" applyAlignment="1">
      <alignment horizontal="center" vertical="center" wrapText="1"/>
    </xf>
    <xf numFmtId="0" fontId="0" fillId="29" borderId="148" xfId="0" applyFont="1" applyFill="1" applyBorder="1"/>
    <xf numFmtId="3" fontId="0" fillId="29" borderId="102" xfId="0" applyNumberFormat="1" applyFont="1" applyFill="1" applyBorder="1" applyAlignment="1">
      <alignment horizontal="center" vertical="center"/>
    </xf>
    <xf numFmtId="0" fontId="8" fillId="11" borderId="0" xfId="0" applyFont="1" applyFill="1" applyBorder="1" applyAlignment="1">
      <alignment horizontal="center" vertical="center" wrapText="1"/>
    </xf>
    <xf numFmtId="0" fontId="11" fillId="11" borderId="0" xfId="0" applyFont="1" applyFill="1" applyBorder="1" applyAlignment="1">
      <alignment horizontal="center" vertical="center" wrapText="1"/>
    </xf>
    <xf numFmtId="0" fontId="11" fillId="11" borderId="0" xfId="0" applyFont="1" applyFill="1" applyBorder="1" applyAlignment="1">
      <alignment vertical="center" wrapText="1"/>
    </xf>
    <xf numFmtId="0" fontId="0" fillId="11" borderId="0" xfId="0" applyFont="1" applyFill="1" applyBorder="1"/>
    <xf numFmtId="9" fontId="52" fillId="11" borderId="0" xfId="0" applyNumberFormat="1" applyFont="1" applyFill="1" applyBorder="1" applyAlignment="1">
      <alignment horizontal="center" vertical="center" wrapText="1"/>
    </xf>
    <xf numFmtId="0" fontId="0" fillId="11" borderId="0" xfId="0" applyFont="1" applyFill="1" applyBorder="1" applyAlignment="1">
      <alignment vertical="center"/>
    </xf>
    <xf numFmtId="3" fontId="11" fillId="11" borderId="0" xfId="0" applyNumberFormat="1" applyFont="1" applyFill="1" applyBorder="1" applyAlignment="1">
      <alignment horizontal="center" vertical="center" wrapText="1"/>
    </xf>
    <xf numFmtId="3" fontId="10" fillId="11" borderId="0" xfId="9" applyNumberFormat="1" applyFont="1" applyFill="1" applyBorder="1" applyAlignment="1">
      <alignment vertical="center"/>
    </xf>
    <xf numFmtId="3" fontId="0" fillId="11" borderId="0" xfId="9" applyNumberFormat="1" applyFont="1" applyFill="1" applyBorder="1" applyAlignment="1">
      <alignment vertical="center"/>
    </xf>
    <xf numFmtId="3" fontId="0" fillId="11" borderId="0" xfId="0" applyNumberFormat="1" applyFont="1" applyFill="1" applyBorder="1" applyAlignment="1">
      <alignment vertical="center"/>
    </xf>
    <xf numFmtId="3" fontId="0" fillId="11" borderId="0" xfId="0" applyNumberFormat="1" applyFont="1" applyFill="1" applyBorder="1" applyAlignment="1">
      <alignment horizontal="center" vertical="center"/>
    </xf>
    <xf numFmtId="3" fontId="0" fillId="11" borderId="0" xfId="0" applyNumberFormat="1" applyFont="1" applyFill="1"/>
    <xf numFmtId="0" fontId="0" fillId="4" borderId="158" xfId="0" applyFont="1" applyFill="1" applyBorder="1" applyAlignment="1" applyProtection="1">
      <alignment horizontal="center" vertical="center" textRotation="90" wrapText="1"/>
      <protection locked="0"/>
    </xf>
    <xf numFmtId="0" fontId="0" fillId="4" borderId="159" xfId="0" applyFont="1" applyFill="1" applyBorder="1" applyAlignment="1" applyProtection="1">
      <alignment horizontal="center" vertical="center" textRotation="90" wrapText="1"/>
      <protection locked="0"/>
    </xf>
    <xf numFmtId="0" fontId="0" fillId="4" borderId="158" xfId="0" applyFont="1" applyFill="1" applyBorder="1" applyAlignment="1" applyProtection="1">
      <alignment vertical="center" textRotation="90" wrapText="1"/>
      <protection locked="0"/>
    </xf>
    <xf numFmtId="16" fontId="0" fillId="4" borderId="149" xfId="0" applyNumberFormat="1" applyFont="1" applyFill="1" applyBorder="1" applyAlignment="1" applyProtection="1">
      <alignment vertical="center" textRotation="90" wrapText="1"/>
      <protection locked="0"/>
    </xf>
    <xf numFmtId="0" fontId="0" fillId="4" borderId="149" xfId="0" applyFont="1" applyFill="1" applyBorder="1" applyAlignment="1" applyProtection="1">
      <alignment vertical="center" textRotation="90" wrapText="1"/>
      <protection locked="0"/>
    </xf>
    <xf numFmtId="0" fontId="0" fillId="4" borderId="159" xfId="0" applyFont="1" applyFill="1" applyBorder="1" applyAlignment="1" applyProtection="1">
      <alignment vertical="center" textRotation="90" wrapText="1"/>
      <protection locked="0"/>
    </xf>
    <xf numFmtId="0" fontId="8" fillId="10" borderId="149" xfId="0" applyFont="1" applyFill="1" applyBorder="1" applyAlignment="1" applyProtection="1">
      <alignment horizontal="center" vertical="center" wrapText="1"/>
      <protection locked="0"/>
    </xf>
    <xf numFmtId="0" fontId="8" fillId="10" borderId="159" xfId="0" applyFont="1" applyFill="1" applyBorder="1" applyAlignment="1" applyProtection="1">
      <alignment horizontal="center" vertical="center" wrapText="1"/>
      <protection locked="0"/>
    </xf>
    <xf numFmtId="0" fontId="0" fillId="38" borderId="148" xfId="0" applyFont="1" applyFill="1" applyBorder="1"/>
    <xf numFmtId="0" fontId="0" fillId="39" borderId="148" xfId="0" applyFont="1" applyFill="1" applyBorder="1"/>
    <xf numFmtId="0" fontId="0" fillId="51" borderId="11" xfId="0" applyFont="1" applyFill="1" applyBorder="1"/>
    <xf numFmtId="0" fontId="0" fillId="51" borderId="94" xfId="0" applyFont="1" applyFill="1" applyBorder="1"/>
    <xf numFmtId="0" fontId="0" fillId="38" borderId="11" xfId="0" applyFont="1" applyFill="1" applyBorder="1"/>
    <xf numFmtId="0" fontId="0" fillId="38" borderId="94" xfId="0" applyFont="1" applyFill="1" applyBorder="1"/>
    <xf numFmtId="0" fontId="0" fillId="7" borderId="11" xfId="0" applyFont="1" applyFill="1" applyBorder="1"/>
    <xf numFmtId="0" fontId="0" fillId="7" borderId="94" xfId="0" applyFont="1" applyFill="1" applyBorder="1"/>
    <xf numFmtId="9" fontId="10" fillId="38" borderId="102" xfId="0" applyNumberFormat="1" applyFont="1" applyFill="1" applyBorder="1" applyAlignment="1">
      <alignment horizontal="center" vertical="center"/>
    </xf>
    <xf numFmtId="0" fontId="10" fillId="38" borderId="102" xfId="0" applyFont="1" applyFill="1" applyBorder="1" applyAlignment="1">
      <alignment horizontal="center" vertical="center" wrapText="1"/>
    </xf>
    <xf numFmtId="172" fontId="10" fillId="38" borderId="102" xfId="9" applyNumberFormat="1" applyFont="1" applyFill="1" applyBorder="1" applyAlignment="1">
      <alignment vertical="center"/>
    </xf>
    <xf numFmtId="0" fontId="10" fillId="82" borderId="102" xfId="0" applyFont="1" applyFill="1" applyBorder="1" applyAlignment="1">
      <alignment horizontal="center" vertical="center" wrapText="1"/>
    </xf>
    <xf numFmtId="0" fontId="10" fillId="82" borderId="102" xfId="0" applyFont="1" applyFill="1" applyBorder="1" applyAlignment="1">
      <alignment horizontal="center"/>
    </xf>
    <xf numFmtId="3" fontId="10" fillId="82" borderId="102" xfId="0" applyNumberFormat="1" applyFont="1" applyFill="1" applyBorder="1" applyAlignment="1">
      <alignment horizontal="center" vertical="center" wrapText="1"/>
    </xf>
    <xf numFmtId="3" fontId="10" fillId="82" borderId="102" xfId="0" applyNumberFormat="1" applyFont="1" applyFill="1" applyBorder="1" applyAlignment="1">
      <alignment horizontal="center" vertical="center"/>
    </xf>
    <xf numFmtId="0" fontId="0" fillId="38" borderId="7" xfId="0" applyFont="1" applyFill="1" applyBorder="1"/>
    <xf numFmtId="0" fontId="0" fillId="38" borderId="9" xfId="0" applyFont="1" applyFill="1" applyBorder="1"/>
    <xf numFmtId="0" fontId="11" fillId="38" borderId="148" xfId="0" applyFont="1" applyFill="1" applyBorder="1" applyAlignment="1">
      <alignment horizontal="center" vertical="center" wrapText="1"/>
    </xf>
    <xf numFmtId="172" fontId="10" fillId="38" borderId="148" xfId="9" applyNumberFormat="1" applyFont="1" applyFill="1" applyBorder="1" applyAlignment="1">
      <alignment vertical="center"/>
    </xf>
    <xf numFmtId="0" fontId="10" fillId="82" borderId="148" xfId="0" applyFont="1" applyFill="1" applyBorder="1" applyAlignment="1">
      <alignment horizontal="center" vertical="center" wrapText="1"/>
    </xf>
    <xf numFmtId="0" fontId="10" fillId="82" borderId="148" xfId="0" applyFont="1" applyFill="1" applyBorder="1" applyAlignment="1">
      <alignment horizontal="center"/>
    </xf>
    <xf numFmtId="3" fontId="10" fillId="82" borderId="148" xfId="0" applyNumberFormat="1" applyFont="1" applyFill="1" applyBorder="1" applyAlignment="1">
      <alignment horizontal="center" vertical="center" wrapText="1"/>
    </xf>
    <xf numFmtId="3" fontId="10" fillId="82" borderId="148" xfId="0" applyNumberFormat="1" applyFont="1" applyFill="1" applyBorder="1" applyAlignment="1">
      <alignment horizontal="center" vertical="center"/>
    </xf>
    <xf numFmtId="9" fontId="0" fillId="38" borderId="102" xfId="5" applyFont="1" applyFill="1" applyBorder="1" applyAlignment="1">
      <alignment horizontal="center" vertical="center"/>
    </xf>
    <xf numFmtId="0" fontId="0" fillId="38" borderId="102" xfId="0" applyFont="1" applyFill="1" applyBorder="1" applyAlignment="1">
      <alignment vertical="top" wrapText="1"/>
    </xf>
    <xf numFmtId="190" fontId="0" fillId="38" borderId="102" xfId="7" applyNumberFormat="1" applyFont="1" applyFill="1" applyBorder="1" applyAlignment="1">
      <alignment horizontal="center" vertical="center"/>
    </xf>
    <xf numFmtId="0" fontId="0" fillId="38" borderId="102" xfId="0" applyFont="1" applyFill="1" applyBorder="1" applyAlignment="1">
      <alignment wrapText="1"/>
    </xf>
    <xf numFmtId="3" fontId="3" fillId="38" borderId="102" xfId="0" applyNumberFormat="1" applyFont="1" applyFill="1" applyBorder="1" applyAlignment="1">
      <alignment horizontal="center" vertical="center"/>
    </xf>
    <xf numFmtId="0" fontId="0" fillId="82" borderId="102" xfId="0" applyFont="1" applyFill="1" applyBorder="1" applyAlignment="1">
      <alignment horizontal="center" vertical="center" wrapText="1"/>
    </xf>
    <xf numFmtId="0" fontId="0" fillId="82" borderId="102" xfId="0" applyFont="1" applyFill="1" applyBorder="1" applyAlignment="1">
      <alignment horizontal="center"/>
    </xf>
    <xf numFmtId="3" fontId="0" fillId="82" borderId="102" xfId="0" applyNumberFormat="1" applyFont="1" applyFill="1" applyBorder="1" applyAlignment="1">
      <alignment horizontal="center" vertical="center" wrapText="1"/>
    </xf>
    <xf numFmtId="3" fontId="0" fillId="82" borderId="102" xfId="0" applyNumberFormat="1" applyFont="1" applyFill="1" applyBorder="1" applyAlignment="1">
      <alignment horizontal="center" vertical="center"/>
    </xf>
    <xf numFmtId="9" fontId="52" fillId="38" borderId="149" xfId="0" applyNumberFormat="1" applyFont="1" applyFill="1" applyBorder="1" applyAlignment="1">
      <alignment horizontal="center" vertical="center" wrapText="1"/>
    </xf>
    <xf numFmtId="0" fontId="0" fillId="82" borderId="148" xfId="0" applyFont="1" applyFill="1" applyBorder="1" applyAlignment="1">
      <alignment horizontal="center" vertical="center" wrapText="1"/>
    </xf>
    <xf numFmtId="0" fontId="0" fillId="82" borderId="148" xfId="0" applyFont="1" applyFill="1" applyBorder="1" applyAlignment="1">
      <alignment horizontal="center"/>
    </xf>
    <xf numFmtId="3" fontId="0" fillId="82" borderId="148" xfId="0" applyNumberFormat="1" applyFont="1" applyFill="1" applyBorder="1" applyAlignment="1">
      <alignment horizontal="center" vertical="center" wrapText="1"/>
    </xf>
    <xf numFmtId="3" fontId="0" fillId="82" borderId="148" xfId="0" applyNumberFormat="1" applyFont="1" applyFill="1" applyBorder="1" applyAlignment="1">
      <alignment horizontal="center" vertical="center"/>
    </xf>
    <xf numFmtId="0" fontId="10" fillId="38" borderId="102" xfId="0" applyFont="1" applyFill="1" applyBorder="1" applyAlignment="1">
      <alignment vertical="center" wrapText="1"/>
    </xf>
    <xf numFmtId="170" fontId="10" fillId="38" borderId="102" xfId="9" applyFont="1" applyFill="1" applyBorder="1" applyAlignment="1">
      <alignment vertical="center"/>
    </xf>
    <xf numFmtId="0" fontId="10" fillId="38" borderId="102" xfId="0" applyFont="1" applyFill="1" applyBorder="1"/>
    <xf numFmtId="0" fontId="3" fillId="38" borderId="102" xfId="0" applyFont="1" applyFill="1" applyBorder="1" applyAlignment="1">
      <alignment vertical="center" wrapText="1"/>
    </xf>
    <xf numFmtId="3" fontId="10" fillId="38" borderId="102" xfId="0" applyNumberFormat="1" applyFont="1" applyFill="1" applyBorder="1" applyAlignment="1">
      <alignment horizontal="center" vertical="center" wrapText="1"/>
    </xf>
    <xf numFmtId="0" fontId="10" fillId="38" borderId="102" xfId="0" applyFont="1" applyFill="1" applyBorder="1" applyAlignment="1">
      <alignment horizontal="justify" vertical="justify" wrapText="1"/>
    </xf>
    <xf numFmtId="0" fontId="0" fillId="38" borderId="94" xfId="0" applyFont="1" applyFill="1" applyBorder="1" applyAlignment="1">
      <alignment horizontal="justify" vertical="justify"/>
    </xf>
    <xf numFmtId="3" fontId="10" fillId="38" borderId="8" xfId="0" applyNumberFormat="1" applyFont="1" applyFill="1" applyBorder="1" applyAlignment="1">
      <alignment horizontal="center" vertical="center"/>
    </xf>
    <xf numFmtId="3" fontId="0" fillId="38" borderId="102" xfId="9" applyNumberFormat="1" applyFont="1" applyFill="1" applyBorder="1" applyAlignment="1">
      <alignment horizontal="center" vertical="center" wrapText="1"/>
    </xf>
    <xf numFmtId="3" fontId="0" fillId="38" borderId="94" xfId="0" applyNumberFormat="1" applyFont="1" applyFill="1" applyBorder="1" applyAlignment="1">
      <alignment horizontal="center" vertical="center"/>
    </xf>
    <xf numFmtId="0" fontId="10" fillId="38" borderId="102" xfId="0" applyFont="1" applyFill="1" applyBorder="1" applyAlignment="1">
      <alignment vertical="top" wrapText="1"/>
    </xf>
    <xf numFmtId="0" fontId="0" fillId="82" borderId="102" xfId="0" applyFont="1" applyFill="1" applyBorder="1" applyAlignment="1">
      <alignment horizontal="center" wrapText="1"/>
    </xf>
    <xf numFmtId="0" fontId="0" fillId="41" borderId="102" xfId="0" applyFont="1" applyFill="1" applyBorder="1" applyAlignment="1">
      <alignment vertical="top" wrapText="1"/>
    </xf>
    <xf numFmtId="0" fontId="0" fillId="41" borderId="148" xfId="0" applyFont="1" applyFill="1" applyBorder="1" applyAlignment="1">
      <alignment vertical="top" wrapText="1"/>
    </xf>
    <xf numFmtId="0" fontId="0" fillId="41" borderId="153" xfId="0" applyFont="1" applyFill="1" applyBorder="1" applyAlignment="1">
      <alignment vertical="center"/>
    </xf>
    <xf numFmtId="3" fontId="0" fillId="41" borderId="153" xfId="0" applyNumberFormat="1" applyFont="1" applyFill="1" applyBorder="1" applyAlignment="1">
      <alignment horizontal="center" vertical="center"/>
    </xf>
    <xf numFmtId="0" fontId="10" fillId="41" borderId="102" xfId="0" applyFont="1" applyFill="1" applyBorder="1" applyAlignment="1">
      <alignment horizontal="justify" vertical="justify" wrapText="1"/>
    </xf>
    <xf numFmtId="0" fontId="0" fillId="41" borderId="94" xfId="0" applyFont="1" applyFill="1" applyBorder="1" applyAlignment="1">
      <alignment horizontal="justify" vertical="justify"/>
    </xf>
    <xf numFmtId="3" fontId="10" fillId="41" borderId="8" xfId="0" applyNumberFormat="1" applyFont="1" applyFill="1" applyBorder="1" applyAlignment="1">
      <alignment horizontal="center" vertical="center"/>
    </xf>
    <xf numFmtId="3" fontId="0" fillId="41" borderId="102" xfId="9" applyNumberFormat="1" applyFont="1" applyFill="1" applyBorder="1" applyAlignment="1">
      <alignment horizontal="center" vertical="center" wrapText="1"/>
    </xf>
    <xf numFmtId="3" fontId="0" fillId="41" borderId="94" xfId="0" applyNumberFormat="1" applyFont="1" applyFill="1" applyBorder="1" applyAlignment="1">
      <alignment horizontal="center" vertical="center"/>
    </xf>
    <xf numFmtId="0" fontId="11" fillId="41" borderId="108" xfId="0" applyFont="1" applyFill="1" applyBorder="1" applyAlignment="1">
      <alignment horizontal="center" vertical="center" wrapText="1"/>
    </xf>
    <xf numFmtId="170" fontId="0" fillId="41" borderId="102" xfId="9" applyFont="1" applyFill="1" applyBorder="1" applyAlignment="1">
      <alignment horizontal="center" vertical="center"/>
    </xf>
    <xf numFmtId="170" fontId="0" fillId="41" borderId="102" xfId="9" applyFont="1" applyFill="1" applyBorder="1" applyAlignment="1">
      <alignment horizontal="center" vertical="center" wrapText="1"/>
    </xf>
    <xf numFmtId="0" fontId="11" fillId="107" borderId="102" xfId="0" applyFont="1" applyFill="1" applyBorder="1" applyAlignment="1">
      <alignment horizontal="center" vertical="center" wrapText="1"/>
    </xf>
    <xf numFmtId="0" fontId="11" fillId="107" borderId="102" xfId="0" applyFont="1" applyFill="1" applyBorder="1" applyAlignment="1">
      <alignment horizontal="center"/>
    </xf>
    <xf numFmtId="3" fontId="11" fillId="107" borderId="102" xfId="0" applyNumberFormat="1" applyFont="1" applyFill="1" applyBorder="1" applyAlignment="1">
      <alignment horizontal="center" vertical="center"/>
    </xf>
    <xf numFmtId="3" fontId="11" fillId="107" borderId="102" xfId="10" applyNumberFormat="1" applyFont="1" applyFill="1" applyBorder="1" applyAlignment="1">
      <alignment horizontal="center" vertical="center"/>
    </xf>
    <xf numFmtId="173" fontId="0" fillId="41" borderId="102" xfId="0" applyNumberFormat="1" applyFont="1" applyFill="1" applyBorder="1" applyAlignment="1">
      <alignment horizontal="center" vertical="center"/>
    </xf>
    <xf numFmtId="3" fontId="0" fillId="41" borderId="102" xfId="0" applyNumberFormat="1" applyFont="1" applyFill="1" applyBorder="1" applyAlignment="1">
      <alignment horizontal="center" vertical="center" textRotation="90"/>
    </xf>
    <xf numFmtId="9" fontId="11" fillId="107" borderId="102" xfId="0" applyNumberFormat="1" applyFont="1" applyFill="1" applyBorder="1" applyAlignment="1">
      <alignment horizontal="center" vertical="center" wrapText="1"/>
    </xf>
    <xf numFmtId="0" fontId="11" fillId="107" borderId="102" xfId="0" applyFont="1" applyFill="1" applyBorder="1" applyAlignment="1">
      <alignment vertical="center" wrapText="1"/>
    </xf>
    <xf numFmtId="3" fontId="11" fillId="107" borderId="102" xfId="0" applyNumberFormat="1" applyFont="1" applyFill="1" applyBorder="1" applyAlignment="1">
      <alignment horizontal="center" vertical="center" wrapText="1"/>
    </xf>
    <xf numFmtId="0" fontId="0" fillId="41" borderId="102" xfId="0" applyFont="1" applyFill="1" applyBorder="1" applyAlignment="1">
      <alignment horizontal="left" wrapText="1"/>
    </xf>
    <xf numFmtId="183" fontId="0" fillId="41" borderId="102" xfId="0" applyNumberFormat="1" applyFont="1" applyFill="1" applyBorder="1" applyAlignment="1">
      <alignment horizontal="center" vertical="center"/>
    </xf>
    <xf numFmtId="3" fontId="11" fillId="41" borderId="102" xfId="0" applyNumberFormat="1" applyFont="1" applyFill="1" applyBorder="1" applyAlignment="1">
      <alignment horizontal="center" vertical="center"/>
    </xf>
    <xf numFmtId="0" fontId="0" fillId="41" borderId="102" xfId="0" applyFont="1" applyFill="1" applyBorder="1" applyAlignment="1">
      <alignment horizontal="center"/>
    </xf>
    <xf numFmtId="0" fontId="0" fillId="41" borderId="148" xfId="0" applyFont="1" applyFill="1" applyBorder="1" applyAlignment="1">
      <alignment horizontal="center"/>
    </xf>
    <xf numFmtId="0" fontId="11" fillId="107" borderId="102" xfId="0" applyFont="1" applyFill="1" applyBorder="1" applyAlignment="1">
      <alignment horizontal="center" vertical="center"/>
    </xf>
    <xf numFmtId="0" fontId="11" fillId="107" borderId="102" xfId="0" applyFont="1" applyFill="1" applyBorder="1" applyAlignment="1">
      <alignment horizontal="center" wrapText="1"/>
    </xf>
    <xf numFmtId="9" fontId="0" fillId="41" borderId="102" xfId="0" applyNumberFormat="1" applyFont="1" applyFill="1" applyBorder="1" applyAlignment="1">
      <alignment horizontal="center"/>
    </xf>
    <xf numFmtId="10" fontId="11" fillId="7" borderId="102" xfId="0" applyNumberFormat="1" applyFont="1" applyFill="1" applyBorder="1" applyAlignment="1">
      <alignment horizontal="center" vertical="center" wrapText="1"/>
    </xf>
    <xf numFmtId="170" fontId="0" fillId="7" borderId="102" xfId="0" applyNumberFormat="1" applyFont="1" applyFill="1" applyBorder="1" applyAlignment="1">
      <alignment vertical="center"/>
    </xf>
    <xf numFmtId="0" fontId="10" fillId="7" borderId="102" xfId="0" applyFont="1" applyFill="1" applyBorder="1" applyAlignment="1">
      <alignment vertical="center" wrapText="1"/>
    </xf>
    <xf numFmtId="9" fontId="11" fillId="108" borderId="102" xfId="0" applyNumberFormat="1" applyFont="1" applyFill="1" applyBorder="1" applyAlignment="1">
      <alignment horizontal="center" vertical="center" wrapText="1"/>
    </xf>
    <xf numFmtId="3" fontId="11" fillId="108" borderId="102" xfId="0" applyNumberFormat="1" applyFont="1" applyFill="1" applyBorder="1" applyAlignment="1">
      <alignment horizontal="center" vertical="center"/>
    </xf>
    <xf numFmtId="3" fontId="11" fillId="7" borderId="102" xfId="0" applyNumberFormat="1" applyFont="1" applyFill="1" applyBorder="1" applyAlignment="1">
      <alignment horizontal="center" vertical="center" wrapText="1"/>
    </xf>
    <xf numFmtId="0" fontId="8" fillId="51" borderId="102" xfId="0" applyFont="1" applyFill="1" applyBorder="1" applyAlignment="1">
      <alignment vertical="center" wrapText="1"/>
    </xf>
    <xf numFmtId="0" fontId="10" fillId="51" borderId="102" xfId="0" applyFont="1" applyFill="1" applyBorder="1" applyAlignment="1">
      <alignment horizontal="left" vertical="top" wrapText="1"/>
    </xf>
    <xf numFmtId="3" fontId="0" fillId="51" borderId="102" xfId="0" applyNumberFormat="1" applyFont="1" applyFill="1" applyBorder="1"/>
    <xf numFmtId="3" fontId="10" fillId="51" borderId="102" xfId="0" applyNumberFormat="1" applyFont="1" applyFill="1" applyBorder="1" applyAlignment="1">
      <alignment horizontal="center" vertical="center"/>
    </xf>
    <xf numFmtId="3" fontId="7" fillId="51" borderId="102" xfId="0" applyNumberFormat="1" applyFont="1" applyFill="1" applyBorder="1" applyAlignment="1">
      <alignment horizontal="center" vertical="center"/>
    </xf>
    <xf numFmtId="0" fontId="10" fillId="51" borderId="102" xfId="0" applyFont="1" applyFill="1" applyBorder="1" applyAlignment="1">
      <alignment horizontal="left" vertical="center" wrapText="1"/>
    </xf>
    <xf numFmtId="0" fontId="10" fillId="51" borderId="102" xfId="0" applyFont="1" applyFill="1" applyBorder="1" applyAlignment="1">
      <alignment vertical="center"/>
    </xf>
    <xf numFmtId="0" fontId="10" fillId="51" borderId="102" xfId="0" applyFont="1" applyFill="1" applyBorder="1" applyAlignment="1">
      <alignment horizontal="center" vertical="center"/>
    </xf>
    <xf numFmtId="0" fontId="11" fillId="66" borderId="102" xfId="0" applyFont="1" applyFill="1" applyBorder="1" applyAlignment="1">
      <alignment horizontal="center" vertical="center" wrapText="1"/>
    </xf>
    <xf numFmtId="9" fontId="11" fillId="66" borderId="102" xfId="0" applyNumberFormat="1" applyFont="1" applyFill="1" applyBorder="1" applyAlignment="1">
      <alignment horizontal="center" vertical="center" wrapText="1"/>
    </xf>
    <xf numFmtId="0" fontId="11" fillId="66" borderId="148" xfId="0" applyFont="1" applyFill="1" applyBorder="1" applyAlignment="1">
      <alignment horizontal="center" vertical="center" wrapText="1"/>
    </xf>
    <xf numFmtId="9" fontId="0" fillId="66" borderId="102" xfId="0" applyNumberFormat="1" applyFont="1" applyFill="1" applyBorder="1" applyAlignment="1">
      <alignment horizontal="center" vertical="center"/>
    </xf>
    <xf numFmtId="0" fontId="0" fillId="66" borderId="102" xfId="0" applyFont="1" applyFill="1" applyBorder="1" applyAlignment="1">
      <alignment horizontal="left" vertical="center" wrapText="1"/>
    </xf>
    <xf numFmtId="0" fontId="0" fillId="66" borderId="102" xfId="0" applyFont="1" applyFill="1" applyBorder="1" applyAlignment="1">
      <alignment horizontal="center" vertical="center" wrapText="1"/>
    </xf>
    <xf numFmtId="0" fontId="0" fillId="66" borderId="102" xfId="0" applyFont="1" applyFill="1" applyBorder="1" applyAlignment="1">
      <alignment vertical="center" wrapText="1"/>
    </xf>
    <xf numFmtId="190" fontId="0" fillId="66" borderId="102" xfId="0" applyNumberFormat="1" applyFont="1" applyFill="1" applyBorder="1" applyAlignment="1">
      <alignment horizontal="center" vertical="center"/>
    </xf>
    <xf numFmtId="0" fontId="0" fillId="66" borderId="102" xfId="0" applyFont="1" applyFill="1" applyBorder="1" applyAlignment="1">
      <alignment horizontal="center" vertical="center"/>
    </xf>
    <xf numFmtId="0" fontId="0" fillId="66" borderId="102" xfId="0" applyFont="1" applyFill="1" applyBorder="1" applyAlignment="1">
      <alignment vertical="center"/>
    </xf>
    <xf numFmtId="0" fontId="10" fillId="66" borderId="102" xfId="0" applyFont="1" applyFill="1" applyBorder="1" applyAlignment="1">
      <alignment horizontal="center" vertical="center" wrapText="1"/>
    </xf>
    <xf numFmtId="0" fontId="7" fillId="66" borderId="102" xfId="0" applyFont="1" applyFill="1" applyBorder="1" applyAlignment="1">
      <alignment horizontal="center" vertical="center"/>
    </xf>
    <xf numFmtId="0" fontId="7" fillId="66" borderId="102" xfId="0" applyFont="1" applyFill="1" applyBorder="1" applyAlignment="1">
      <alignment horizontal="center" vertical="center" wrapText="1"/>
    </xf>
    <xf numFmtId="0" fontId="0" fillId="66" borderId="102" xfId="0" applyFont="1" applyFill="1" applyBorder="1"/>
    <xf numFmtId="9" fontId="52" fillId="66" borderId="102" xfId="0" applyNumberFormat="1" applyFont="1" applyFill="1" applyBorder="1" applyAlignment="1">
      <alignment horizontal="center" vertical="center" wrapText="1"/>
    </xf>
    <xf numFmtId="0" fontId="11" fillId="66" borderId="102" xfId="0" applyFont="1" applyFill="1" applyBorder="1" applyAlignment="1">
      <alignment horizontal="left" vertical="center" wrapText="1"/>
    </xf>
    <xf numFmtId="3" fontId="10" fillId="66" borderId="102" xfId="0" applyNumberFormat="1" applyFont="1" applyFill="1" applyBorder="1" applyAlignment="1">
      <alignment horizontal="center" vertical="center" wrapText="1"/>
    </xf>
    <xf numFmtId="3" fontId="10" fillId="66" borderId="102" xfId="13" applyNumberFormat="1" applyFont="1" applyFill="1" applyBorder="1" applyAlignment="1">
      <alignment horizontal="center" vertical="center"/>
    </xf>
    <xf numFmtId="3" fontId="10" fillId="66" borderId="102" xfId="0" applyNumberFormat="1" applyFont="1" applyFill="1" applyBorder="1" applyAlignment="1">
      <alignment horizontal="center" vertical="center"/>
    </xf>
    <xf numFmtId="3" fontId="0" fillId="66" borderId="102" xfId="0" applyNumberFormat="1" applyFont="1" applyFill="1" applyBorder="1" applyAlignment="1">
      <alignment horizontal="center" vertical="center"/>
    </xf>
    <xf numFmtId="3" fontId="11" fillId="66" borderId="102" xfId="0" applyNumberFormat="1" applyFont="1" applyFill="1" applyBorder="1" applyAlignment="1">
      <alignment horizontal="center" vertical="center"/>
    </xf>
    <xf numFmtId="3" fontId="0" fillId="66" borderId="0" xfId="0" applyNumberFormat="1" applyFont="1" applyFill="1"/>
    <xf numFmtId="0" fontId="0" fillId="66" borderId="11" xfId="0" applyFont="1" applyFill="1" applyBorder="1"/>
    <xf numFmtId="0" fontId="0" fillId="66" borderId="148" xfId="0" applyFont="1" applyFill="1" applyBorder="1"/>
    <xf numFmtId="0" fontId="0" fillId="66" borderId="94" xfId="0" applyFont="1" applyFill="1" applyBorder="1"/>
    <xf numFmtId="0" fontId="0" fillId="66" borderId="0" xfId="0" applyFont="1" applyFill="1"/>
    <xf numFmtId="9" fontId="0" fillId="66" borderId="102" xfId="5" applyFont="1" applyFill="1" applyBorder="1" applyAlignment="1">
      <alignment horizontal="center" vertical="center"/>
    </xf>
    <xf numFmtId="183" fontId="10" fillId="66" borderId="102" xfId="0" applyNumberFormat="1" applyFont="1" applyFill="1" applyBorder="1" applyAlignment="1">
      <alignment horizontal="center" vertical="center"/>
    </xf>
    <xf numFmtId="0" fontId="11" fillId="66" borderId="102" xfId="0" applyFont="1" applyFill="1" applyBorder="1" applyAlignment="1">
      <alignment horizontal="center" vertical="center"/>
    </xf>
    <xf numFmtId="0" fontId="10" fillId="66" borderId="102" xfId="0" applyFont="1" applyFill="1" applyBorder="1" applyAlignment="1">
      <alignment horizontal="left" vertical="center" wrapText="1"/>
    </xf>
    <xf numFmtId="3" fontId="11" fillId="66" borderId="102" xfId="0" applyNumberFormat="1" applyFont="1" applyFill="1" applyBorder="1" applyAlignment="1">
      <alignment horizontal="center" vertical="center" wrapText="1"/>
    </xf>
    <xf numFmtId="9" fontId="0" fillId="66" borderId="102" xfId="0" applyNumberFormat="1" applyFont="1" applyFill="1" applyBorder="1" applyAlignment="1">
      <alignment horizontal="center" vertical="center" wrapText="1"/>
    </xf>
    <xf numFmtId="9" fontId="10" fillId="66" borderId="102" xfId="0" applyNumberFormat="1" applyFont="1" applyFill="1" applyBorder="1" applyAlignment="1">
      <alignment horizontal="center" vertical="center" wrapText="1"/>
    </xf>
    <xf numFmtId="0" fontId="10" fillId="66" borderId="102" xfId="0" applyFont="1" applyFill="1" applyBorder="1" applyAlignment="1">
      <alignment vertical="center" wrapText="1"/>
    </xf>
    <xf numFmtId="0" fontId="11" fillId="66" borderId="102" xfId="0" applyFont="1" applyFill="1" applyBorder="1" applyAlignment="1">
      <alignment vertical="center" wrapText="1"/>
    </xf>
    <xf numFmtId="10" fontId="11" fillId="66" borderId="102" xfId="0" applyNumberFormat="1" applyFont="1" applyFill="1" applyBorder="1" applyAlignment="1">
      <alignment horizontal="center" vertical="center" wrapText="1"/>
    </xf>
    <xf numFmtId="0" fontId="11" fillId="66" borderId="149" xfId="0" applyFont="1" applyFill="1" applyBorder="1" applyAlignment="1">
      <alignment horizontal="center" vertical="center" wrapText="1"/>
    </xf>
    <xf numFmtId="9" fontId="0" fillId="66" borderId="102" xfId="0" applyNumberFormat="1" applyFont="1" applyFill="1" applyBorder="1"/>
    <xf numFmtId="0" fontId="0" fillId="66" borderId="102" xfId="0" applyFont="1" applyFill="1" applyBorder="1" applyAlignment="1">
      <alignment wrapText="1"/>
    </xf>
    <xf numFmtId="3" fontId="8" fillId="66" borderId="102" xfId="13" applyNumberFormat="1" applyFont="1" applyFill="1" applyBorder="1" applyAlignment="1">
      <alignment horizontal="center" vertical="center"/>
    </xf>
    <xf numFmtId="0" fontId="11" fillId="66" borderId="148" xfId="0" applyFont="1" applyFill="1" applyBorder="1" applyAlignment="1">
      <alignment horizontal="center" vertical="center" wrapText="1"/>
    </xf>
    <xf numFmtId="10" fontId="11" fillId="66" borderId="148" xfId="0" applyNumberFormat="1" applyFont="1" applyFill="1" applyBorder="1" applyAlignment="1">
      <alignment horizontal="center" vertical="center" wrapText="1"/>
    </xf>
    <xf numFmtId="9" fontId="11" fillId="66" borderId="148" xfId="0" applyNumberFormat="1" applyFont="1" applyFill="1" applyBorder="1" applyAlignment="1">
      <alignment horizontal="center" vertical="center" wrapText="1"/>
    </xf>
    <xf numFmtId="9" fontId="0" fillId="66" borderId="148" xfId="0" applyNumberFormat="1" applyFont="1" applyFill="1" applyBorder="1"/>
    <xf numFmtId="0" fontId="0" fillId="66" borderId="148" xfId="0" applyFont="1" applyFill="1" applyBorder="1" applyAlignment="1">
      <alignment wrapText="1"/>
    </xf>
    <xf numFmtId="9" fontId="52" fillId="66" borderId="148" xfId="0" applyNumberFormat="1" applyFont="1" applyFill="1" applyBorder="1" applyAlignment="1">
      <alignment horizontal="center" vertical="center" wrapText="1"/>
    </xf>
    <xf numFmtId="0" fontId="0" fillId="66" borderId="148" xfId="0" applyFont="1" applyFill="1" applyBorder="1" applyAlignment="1">
      <alignment horizontal="left" vertical="center" wrapText="1"/>
    </xf>
    <xf numFmtId="3" fontId="0" fillId="66" borderId="148" xfId="0" applyNumberFormat="1" applyFont="1" applyFill="1" applyBorder="1" applyAlignment="1">
      <alignment horizontal="center" vertical="center"/>
    </xf>
    <xf numFmtId="3" fontId="8" fillId="66" borderId="148" xfId="13" applyNumberFormat="1" applyFont="1" applyFill="1" applyBorder="1" applyAlignment="1">
      <alignment horizontal="center" vertical="center"/>
    </xf>
    <xf numFmtId="3" fontId="11" fillId="66" borderId="148" xfId="0" applyNumberFormat="1" applyFont="1" applyFill="1" applyBorder="1" applyAlignment="1">
      <alignment horizontal="center" vertical="center"/>
    </xf>
    <xf numFmtId="3" fontId="8" fillId="66" borderId="102" xfId="4" applyNumberFormat="1" applyFont="1" applyFill="1" applyBorder="1" applyAlignment="1">
      <alignment horizontal="center" vertical="center"/>
    </xf>
    <xf numFmtId="0" fontId="11" fillId="66" borderId="32" xfId="0" applyFont="1" applyFill="1" applyBorder="1" applyAlignment="1">
      <alignment horizontal="center" vertical="center" wrapText="1"/>
    </xf>
    <xf numFmtId="9" fontId="0" fillId="66" borderId="148" xfId="0" applyNumberFormat="1" applyFont="1" applyFill="1" applyBorder="1" applyAlignment="1">
      <alignment horizontal="center" vertical="center"/>
    </xf>
    <xf numFmtId="0" fontId="0" fillId="66" borderId="148" xfId="0" applyFont="1" applyFill="1" applyBorder="1" applyAlignment="1">
      <alignment horizontal="center" vertical="center" wrapText="1"/>
    </xf>
    <xf numFmtId="190" fontId="0" fillId="66" borderId="148" xfId="0" applyNumberFormat="1" applyFont="1" applyFill="1" applyBorder="1" applyAlignment="1">
      <alignment horizontal="center" vertical="center"/>
    </xf>
    <xf numFmtId="0" fontId="11" fillId="66" borderId="148" xfId="0" applyFont="1" applyFill="1" applyBorder="1" applyAlignment="1">
      <alignment horizontal="left" vertical="center" wrapText="1"/>
    </xf>
    <xf numFmtId="3" fontId="8" fillId="66" borderId="148" xfId="4" applyNumberFormat="1" applyFont="1" applyFill="1" applyBorder="1" applyAlignment="1">
      <alignment horizontal="center" vertical="center"/>
    </xf>
    <xf numFmtId="0" fontId="11" fillId="29" borderId="102" xfId="0" applyFont="1" applyFill="1" applyBorder="1" applyAlignment="1">
      <alignment horizontal="center" vertical="center" wrapText="1"/>
    </xf>
    <xf numFmtId="0" fontId="11" fillId="29" borderId="149" xfId="0" applyFont="1" applyFill="1" applyBorder="1" applyAlignment="1">
      <alignment vertical="center" wrapText="1"/>
    </xf>
    <xf numFmtId="0" fontId="11" fillId="29" borderId="102" xfId="0" applyFont="1" applyFill="1" applyBorder="1" applyAlignment="1">
      <alignment vertical="center" wrapText="1"/>
    </xf>
    <xf numFmtId="9" fontId="11" fillId="29" borderId="102" xfId="0" applyNumberFormat="1" applyFont="1" applyFill="1" applyBorder="1" applyAlignment="1">
      <alignment horizontal="center" vertical="center"/>
    </xf>
    <xf numFmtId="9" fontId="0" fillId="29" borderId="102" xfId="0" applyNumberFormat="1" applyFont="1" applyFill="1" applyBorder="1" applyAlignment="1">
      <alignment horizontal="center" vertical="center"/>
    </xf>
    <xf numFmtId="0" fontId="0" fillId="29" borderId="102" xfId="0" applyFont="1" applyFill="1" applyBorder="1" applyAlignment="1">
      <alignment horizontal="center" vertical="center"/>
    </xf>
    <xf numFmtId="0" fontId="0" fillId="29" borderId="102" xfId="0" applyFont="1" applyFill="1" applyBorder="1"/>
    <xf numFmtId="0" fontId="0" fillId="29" borderId="102" xfId="0" applyFont="1" applyFill="1" applyBorder="1" applyAlignment="1">
      <alignment vertical="center" wrapText="1"/>
    </xf>
    <xf numFmtId="190" fontId="0" fillId="29" borderId="102" xfId="0" applyNumberFormat="1" applyFont="1" applyFill="1" applyBorder="1" applyAlignment="1">
      <alignment horizontal="center" vertical="center"/>
    </xf>
    <xf numFmtId="0" fontId="0" fillId="29" borderId="102" xfId="0" applyFont="1" applyFill="1" applyBorder="1" applyAlignment="1">
      <alignment horizontal="center" vertical="center" wrapText="1"/>
    </xf>
    <xf numFmtId="3" fontId="0" fillId="29" borderId="102" xfId="0" applyNumberFormat="1" applyFont="1" applyFill="1" applyBorder="1" applyAlignment="1">
      <alignment horizontal="center" vertical="center" wrapText="1"/>
    </xf>
    <xf numFmtId="3" fontId="8" fillId="29" borderId="102" xfId="4" applyNumberFormat="1" applyFont="1" applyFill="1" applyBorder="1" applyAlignment="1">
      <alignment horizontal="center" vertical="center"/>
    </xf>
    <xf numFmtId="3" fontId="11" fillId="29" borderId="102" xfId="0" applyNumberFormat="1" applyFont="1" applyFill="1" applyBorder="1" applyAlignment="1">
      <alignment horizontal="center" vertical="center"/>
    </xf>
    <xf numFmtId="0" fontId="0" fillId="29" borderId="11" xfId="0" applyFont="1" applyFill="1" applyBorder="1"/>
    <xf numFmtId="0" fontId="11" fillId="109" borderId="102" xfId="0" applyFont="1" applyFill="1" applyBorder="1" applyAlignment="1">
      <alignment horizontal="center" vertical="center" wrapText="1"/>
    </xf>
    <xf numFmtId="0" fontId="11" fillId="109" borderId="102" xfId="0" applyFont="1" applyFill="1" applyBorder="1" applyAlignment="1">
      <alignment vertical="center" wrapText="1"/>
    </xf>
    <xf numFmtId="3" fontId="0" fillId="109" borderId="102" xfId="0" applyNumberFormat="1" applyFont="1" applyFill="1" applyBorder="1" applyAlignment="1">
      <alignment horizontal="center" vertical="center" wrapText="1"/>
    </xf>
    <xf numFmtId="3" fontId="0" fillId="109" borderId="102" xfId="0" applyNumberFormat="1" applyFont="1" applyFill="1" applyBorder="1" applyAlignment="1">
      <alignment horizontal="center" vertical="center"/>
    </xf>
    <xf numFmtId="0" fontId="11" fillId="29" borderId="102" xfId="0" applyFont="1" applyFill="1" applyBorder="1" applyAlignment="1">
      <alignment horizontal="center" vertical="center"/>
    </xf>
    <xf numFmtId="3" fontId="3" fillId="29" borderId="102" xfId="0" applyNumberFormat="1" applyFont="1" applyFill="1" applyBorder="1" applyAlignment="1">
      <alignment horizontal="center" vertical="center"/>
    </xf>
    <xf numFmtId="3" fontId="11" fillId="109" borderId="102" xfId="0" applyNumberFormat="1" applyFont="1" applyFill="1" applyBorder="1" applyAlignment="1">
      <alignment horizontal="center" vertical="center"/>
    </xf>
    <xf numFmtId="0" fontId="0" fillId="29" borderId="102" xfId="0" applyFont="1" applyFill="1" applyBorder="1" applyAlignment="1">
      <alignment wrapText="1"/>
    </xf>
    <xf numFmtId="0" fontId="0" fillId="29" borderId="102" xfId="0" applyFont="1" applyFill="1" applyBorder="1" applyAlignment="1">
      <alignment vertical="top" wrapText="1"/>
    </xf>
    <xf numFmtId="0" fontId="11" fillId="109" borderId="102" xfId="0" applyFont="1" applyFill="1" applyBorder="1" applyAlignment="1">
      <alignment wrapText="1"/>
    </xf>
    <xf numFmtId="0" fontId="0" fillId="109" borderId="102" xfId="0" applyFont="1" applyFill="1" applyBorder="1" applyAlignment="1">
      <alignment vertical="top" wrapText="1"/>
    </xf>
    <xf numFmtId="0" fontId="11" fillId="29" borderId="149" xfId="0" applyFont="1" applyFill="1" applyBorder="1" applyAlignment="1">
      <alignment horizontal="center" vertical="center" wrapText="1"/>
    </xf>
    <xf numFmtId="0" fontId="11" fillId="109" borderId="102" xfId="0" applyFont="1" applyFill="1" applyBorder="1" applyAlignment="1">
      <alignment vertical="top" wrapText="1"/>
    </xf>
    <xf numFmtId="3" fontId="11" fillId="109" borderId="102" xfId="0" applyNumberFormat="1" applyFont="1" applyFill="1" applyBorder="1" applyAlignment="1">
      <alignment horizontal="center" vertical="center" wrapText="1"/>
    </xf>
    <xf numFmtId="0" fontId="11" fillId="29" borderId="102" xfId="0" applyFont="1" applyFill="1" applyBorder="1" applyAlignment="1">
      <alignment vertical="center"/>
    </xf>
    <xf numFmtId="9" fontId="52" fillId="29" borderId="32" xfId="0" applyNumberFormat="1" applyFont="1" applyFill="1" applyBorder="1" applyAlignment="1">
      <alignment horizontal="center" vertical="center" wrapText="1"/>
    </xf>
    <xf numFmtId="0" fontId="0" fillId="29" borderId="102" xfId="0" applyFont="1" applyFill="1" applyBorder="1" applyAlignment="1">
      <alignment horizontal="left" vertical="center" wrapText="1"/>
    </xf>
    <xf numFmtId="0" fontId="11" fillId="109" borderId="102" xfId="0" applyFont="1" applyFill="1" applyBorder="1" applyAlignment="1">
      <alignment horizontal="left" vertical="center" wrapText="1"/>
    </xf>
    <xf numFmtId="0" fontId="0" fillId="109" borderId="102" xfId="0" applyFont="1" applyFill="1" applyBorder="1" applyAlignment="1">
      <alignment vertical="center" wrapText="1"/>
    </xf>
    <xf numFmtId="0" fontId="7" fillId="39" borderId="147" xfId="0" applyFont="1" applyFill="1" applyBorder="1" applyAlignment="1">
      <alignment horizontal="left" vertical="top" wrapText="1"/>
    </xf>
    <xf numFmtId="3" fontId="7" fillId="39" borderId="102" xfId="0" applyNumberFormat="1" applyFont="1" applyFill="1" applyBorder="1" applyAlignment="1">
      <alignment horizontal="center" vertical="center"/>
    </xf>
    <xf numFmtId="3" fontId="7" fillId="39" borderId="147" xfId="10" applyNumberFormat="1" applyFont="1" applyFill="1" applyBorder="1" applyAlignment="1">
      <alignment horizontal="center" vertical="center"/>
    </xf>
    <xf numFmtId="3" fontId="7" fillId="39" borderId="147" xfId="0" applyNumberFormat="1" applyFont="1" applyFill="1" applyBorder="1" applyAlignment="1">
      <alignment horizontal="center" vertical="center"/>
    </xf>
    <xf numFmtId="0" fontId="7" fillId="39" borderId="147" xfId="0" applyFont="1" applyFill="1" applyBorder="1" applyAlignment="1">
      <alignment vertical="top" wrapText="1"/>
    </xf>
    <xf numFmtId="0" fontId="7" fillId="39" borderId="147" xfId="0" applyFont="1" applyFill="1" applyBorder="1" applyAlignment="1">
      <alignment horizontal="center" vertical="center" wrapText="1"/>
    </xf>
    <xf numFmtId="3" fontId="7" fillId="39" borderId="147" xfId="0" applyNumberFormat="1" applyFont="1" applyFill="1" applyBorder="1" applyAlignment="1">
      <alignment horizontal="center" vertical="center" wrapText="1"/>
    </xf>
    <xf numFmtId="9" fontId="0" fillId="38" borderId="102" xfId="0" applyNumberFormat="1" applyFont="1" applyFill="1" applyBorder="1"/>
    <xf numFmtId="190" fontId="0" fillId="38" borderId="102" xfId="0" applyNumberFormat="1" applyFont="1" applyFill="1" applyBorder="1" applyAlignment="1">
      <alignment horizontal="center" vertical="center"/>
    </xf>
    <xf numFmtId="0" fontId="11" fillId="38" borderId="102" xfId="0" applyFont="1" applyFill="1" applyBorder="1" applyAlignment="1">
      <alignment horizontal="left" vertical="center" wrapText="1"/>
    </xf>
    <xf numFmtId="3" fontId="11" fillId="38" borderId="102" xfId="7" applyNumberFormat="1" applyFont="1" applyFill="1" applyBorder="1" applyAlignment="1">
      <alignment horizontal="center" vertical="center" wrapText="1"/>
    </xf>
    <xf numFmtId="10" fontId="11" fillId="38" borderId="102" xfId="0" applyNumberFormat="1" applyFont="1" applyFill="1" applyBorder="1" applyAlignment="1">
      <alignment horizontal="center" vertical="center" wrapText="1"/>
    </xf>
    <xf numFmtId="0" fontId="0" fillId="38" borderId="102" xfId="19" applyFont="1" applyFill="1" applyBorder="1" applyAlignment="1">
      <alignment horizontal="left" vertical="top" wrapText="1"/>
    </xf>
    <xf numFmtId="3" fontId="11" fillId="38" borderId="102" xfId="0" applyNumberFormat="1" applyFont="1" applyFill="1" applyBorder="1" applyAlignment="1">
      <alignment horizontal="center" vertical="center" wrapText="1"/>
    </xf>
    <xf numFmtId="9" fontId="11" fillId="38" borderId="102" xfId="0" applyNumberFormat="1" applyFont="1" applyFill="1" applyBorder="1" applyAlignment="1">
      <alignment vertical="center" wrapText="1"/>
    </xf>
    <xf numFmtId="3" fontId="0" fillId="38" borderId="102" xfId="7" applyNumberFormat="1" applyFont="1" applyFill="1" applyBorder="1" applyAlignment="1">
      <alignment horizontal="center" vertical="center" wrapText="1"/>
    </xf>
    <xf numFmtId="0" fontId="0" fillId="38" borderId="102" xfId="19" applyFont="1" applyFill="1" applyBorder="1" applyAlignment="1">
      <alignment horizontal="left" vertical="center" wrapText="1"/>
    </xf>
    <xf numFmtId="3" fontId="7" fillId="38" borderId="102" xfId="9" applyNumberFormat="1" applyFont="1" applyFill="1" applyBorder="1" applyAlignment="1">
      <alignment horizontal="center" vertical="center"/>
    </xf>
    <xf numFmtId="0" fontId="11" fillId="17" borderId="102" xfId="0" applyFont="1" applyFill="1" applyBorder="1" applyAlignment="1">
      <alignment horizontal="center" vertical="center" wrapText="1"/>
    </xf>
    <xf numFmtId="9" fontId="0" fillId="17" borderId="102" xfId="0" applyNumberFormat="1" applyFont="1" applyFill="1" applyBorder="1"/>
    <xf numFmtId="0" fontId="0" fillId="17" borderId="102" xfId="0" applyFont="1" applyFill="1" applyBorder="1" applyAlignment="1">
      <alignment vertical="center" wrapText="1"/>
    </xf>
    <xf numFmtId="0" fontId="0" fillId="17" borderId="102" xfId="0" applyFont="1" applyFill="1" applyBorder="1"/>
    <xf numFmtId="190" fontId="0" fillId="17" borderId="102" xfId="0" applyNumberFormat="1" applyFont="1" applyFill="1" applyBorder="1" applyAlignment="1">
      <alignment horizontal="center" vertical="center"/>
    </xf>
    <xf numFmtId="0" fontId="11" fillId="17" borderId="102" xfId="0" applyFont="1" applyFill="1" applyBorder="1" applyAlignment="1">
      <alignment vertical="center" wrapText="1"/>
    </xf>
    <xf numFmtId="3" fontId="0" fillId="17" borderId="102" xfId="0" applyNumberFormat="1" applyFont="1" applyFill="1" applyBorder="1" applyAlignment="1">
      <alignment horizontal="center" vertical="center"/>
    </xf>
    <xf numFmtId="3" fontId="0" fillId="17" borderId="0" xfId="0" applyNumberFormat="1" applyFont="1" applyFill="1"/>
    <xf numFmtId="0" fontId="0" fillId="17" borderId="11" xfId="0" applyFont="1" applyFill="1" applyBorder="1"/>
    <xf numFmtId="0" fontId="0" fillId="17" borderId="148" xfId="0" applyFont="1" applyFill="1" applyBorder="1"/>
    <xf numFmtId="0" fontId="0" fillId="17" borderId="94" xfId="0" applyFont="1" applyFill="1" applyBorder="1"/>
    <xf numFmtId="0" fontId="11" fillId="17" borderId="148" xfId="0" applyFont="1" applyFill="1" applyBorder="1" applyAlignment="1">
      <alignment horizontal="center" vertical="center" wrapText="1"/>
    </xf>
    <xf numFmtId="9" fontId="0" fillId="17" borderId="148" xfId="0" applyNumberFormat="1" applyFont="1" applyFill="1" applyBorder="1"/>
    <xf numFmtId="0" fontId="0" fillId="17" borderId="148" xfId="0" applyFont="1" applyFill="1" applyBorder="1" applyAlignment="1">
      <alignment vertical="center" wrapText="1"/>
    </xf>
    <xf numFmtId="190" fontId="0" fillId="17" borderId="148" xfId="0" applyNumberFormat="1" applyFont="1" applyFill="1" applyBorder="1" applyAlignment="1">
      <alignment horizontal="center" vertical="center"/>
    </xf>
    <xf numFmtId="9" fontId="52" fillId="17" borderId="148" xfId="0" applyNumberFormat="1" applyFont="1" applyFill="1" applyBorder="1" applyAlignment="1">
      <alignment horizontal="center" vertical="center" wrapText="1"/>
    </xf>
    <xf numFmtId="0" fontId="11" fillId="17" borderId="148" xfId="0" applyFont="1" applyFill="1" applyBorder="1" applyAlignment="1">
      <alignment vertical="center" wrapText="1"/>
    </xf>
    <xf numFmtId="3" fontId="0" fillId="17" borderId="148" xfId="0" applyNumberFormat="1" applyFont="1" applyFill="1" applyBorder="1" applyAlignment="1">
      <alignment horizontal="center" vertical="center"/>
    </xf>
    <xf numFmtId="9" fontId="11" fillId="17" borderId="102" xfId="0" applyNumberFormat="1" applyFont="1" applyFill="1" applyBorder="1" applyAlignment="1">
      <alignment horizontal="center" vertical="center" wrapText="1"/>
    </xf>
    <xf numFmtId="9" fontId="0" fillId="17" borderId="102" xfId="0" applyNumberFormat="1" applyFont="1" applyFill="1" applyBorder="1" applyAlignment="1">
      <alignment horizontal="center" vertical="center"/>
    </xf>
    <xf numFmtId="3" fontId="10" fillId="17" borderId="102" xfId="9" applyNumberFormat="1" applyFont="1" applyFill="1" applyBorder="1" applyAlignment="1">
      <alignment horizontal="center" vertical="center"/>
    </xf>
    <xf numFmtId="3" fontId="0" fillId="17" borderId="102" xfId="9" applyNumberFormat="1" applyFont="1" applyFill="1" applyBorder="1" applyAlignment="1">
      <alignment horizontal="center" vertical="center"/>
    </xf>
    <xf numFmtId="0" fontId="0" fillId="17" borderId="102" xfId="0" applyFont="1" applyFill="1" applyBorder="1" applyAlignment="1">
      <alignment horizontal="center" vertical="center"/>
    </xf>
    <xf numFmtId="0" fontId="0" fillId="17" borderId="102" xfId="0" applyFont="1" applyFill="1" applyBorder="1" applyAlignment="1">
      <alignment vertical="center"/>
    </xf>
    <xf numFmtId="170" fontId="0" fillId="17" borderId="102" xfId="9" applyFont="1" applyFill="1" applyBorder="1" applyAlignment="1">
      <alignment vertical="center"/>
    </xf>
    <xf numFmtId="0" fontId="0" fillId="17" borderId="102" xfId="0" applyFont="1" applyFill="1" applyBorder="1" applyAlignment="1">
      <alignment horizontal="justify" vertical="top" wrapText="1"/>
    </xf>
    <xf numFmtId="0" fontId="0" fillId="17" borderId="102" xfId="0" applyFont="1" applyFill="1" applyBorder="1" applyAlignment="1">
      <alignment horizontal="justify" vertical="top"/>
    </xf>
    <xf numFmtId="9" fontId="10" fillId="17" borderId="102" xfId="5" applyFont="1" applyFill="1" applyBorder="1" applyAlignment="1">
      <alignment horizontal="center" vertical="center"/>
    </xf>
    <xf numFmtId="3" fontId="0" fillId="17" borderId="102" xfId="0" applyNumberFormat="1" applyFont="1" applyFill="1" applyBorder="1" applyAlignment="1">
      <alignment horizontal="right" vertical="center"/>
    </xf>
    <xf numFmtId="3" fontId="0" fillId="17" borderId="102" xfId="0" applyNumberFormat="1" applyFont="1" applyFill="1" applyBorder="1" applyAlignment="1">
      <alignment vertical="center"/>
    </xf>
    <xf numFmtId="0" fontId="0" fillId="17" borderId="102" xfId="0" applyFont="1" applyFill="1" applyBorder="1" applyAlignment="1">
      <alignment horizontal="justify" vertical="center"/>
    </xf>
    <xf numFmtId="0" fontId="0" fillId="17" borderId="102" xfId="0" applyFont="1" applyFill="1" applyBorder="1" applyAlignment="1">
      <alignment horizontal="justify" vertical="center" wrapText="1"/>
    </xf>
    <xf numFmtId="3" fontId="10" fillId="17" borderId="102" xfId="0" applyNumberFormat="1" applyFont="1" applyFill="1" applyBorder="1" applyAlignment="1">
      <alignment horizontal="center" vertical="center"/>
    </xf>
    <xf numFmtId="9" fontId="10" fillId="17" borderId="148" xfId="5" applyFont="1" applyFill="1" applyBorder="1" applyAlignment="1">
      <alignment horizontal="center" vertical="center"/>
    </xf>
    <xf numFmtId="0" fontId="0" fillId="17" borderId="148" xfId="0" applyFont="1" applyFill="1" applyBorder="1" applyAlignment="1">
      <alignment horizontal="justify" vertical="top" wrapText="1"/>
    </xf>
    <xf numFmtId="0" fontId="0" fillId="17" borderId="148" xfId="0" applyFont="1" applyFill="1" applyBorder="1" applyAlignment="1">
      <alignment horizontal="justify" vertical="center"/>
    </xf>
    <xf numFmtId="0" fontId="0" fillId="17" borderId="148" xfId="0" applyFont="1" applyFill="1" applyBorder="1" applyAlignment="1">
      <alignment horizontal="center" vertical="center"/>
    </xf>
    <xf numFmtId="170" fontId="0" fillId="17" borderId="148" xfId="9" applyFont="1" applyFill="1" applyBorder="1" applyAlignment="1">
      <alignment vertical="center"/>
    </xf>
    <xf numFmtId="3" fontId="0" fillId="17" borderId="148" xfId="0" applyNumberFormat="1" applyFont="1" applyFill="1" applyBorder="1" applyAlignment="1">
      <alignment vertical="center"/>
    </xf>
    <xf numFmtId="0" fontId="0" fillId="17" borderId="148" xfId="0" applyFont="1" applyFill="1" applyBorder="1" applyAlignment="1">
      <alignment vertical="center"/>
    </xf>
    <xf numFmtId="0" fontId="0" fillId="17" borderId="148" xfId="0" applyFont="1" applyFill="1" applyBorder="1" applyAlignment="1">
      <alignment horizontal="justify" vertical="center" wrapText="1"/>
    </xf>
    <xf numFmtId="3" fontId="10" fillId="17" borderId="148" xfId="9" applyNumberFormat="1" applyFont="1" applyFill="1" applyBorder="1" applyAlignment="1">
      <alignment horizontal="center" vertical="center"/>
    </xf>
    <xf numFmtId="3" fontId="0" fillId="17" borderId="148" xfId="9" applyNumberFormat="1" applyFont="1" applyFill="1" applyBorder="1" applyAlignment="1">
      <alignment horizontal="center" vertical="center"/>
    </xf>
    <xf numFmtId="3" fontId="10" fillId="17" borderId="148" xfId="0" applyNumberFormat="1" applyFont="1" applyFill="1" applyBorder="1" applyAlignment="1">
      <alignment horizontal="center" vertical="center"/>
    </xf>
    <xf numFmtId="170" fontId="0" fillId="17" borderId="102" xfId="9" applyFont="1" applyFill="1" applyBorder="1" applyAlignment="1">
      <alignment horizontal="center" vertical="center"/>
    </xf>
    <xf numFmtId="181" fontId="0" fillId="17" borderId="102" xfId="0" applyNumberFormat="1" applyFont="1" applyFill="1" applyBorder="1" applyAlignment="1">
      <alignment horizontal="center" vertical="center"/>
    </xf>
    <xf numFmtId="0" fontId="11" fillId="17" borderId="102" xfId="0" applyFont="1" applyFill="1" applyBorder="1" applyAlignment="1">
      <alignment horizontal="left" vertical="center" wrapText="1"/>
    </xf>
    <xf numFmtId="9" fontId="0" fillId="17" borderId="102" xfId="5" applyFont="1" applyFill="1" applyBorder="1" applyAlignment="1">
      <alignment horizontal="center" vertical="center"/>
    </xf>
    <xf numFmtId="0" fontId="0" fillId="17" borderId="102" xfId="0" applyFont="1" applyFill="1" applyBorder="1" applyAlignment="1">
      <alignment wrapText="1"/>
    </xf>
    <xf numFmtId="0" fontId="11" fillId="69" borderId="148" xfId="0" applyFont="1" applyFill="1" applyBorder="1" applyAlignment="1">
      <alignment vertical="center" wrapText="1"/>
    </xf>
    <xf numFmtId="0" fontId="11" fillId="69" borderId="148" xfId="0" applyFont="1" applyFill="1" applyBorder="1" applyAlignment="1">
      <alignment horizontal="center" vertical="center" wrapText="1"/>
    </xf>
    <xf numFmtId="9" fontId="11" fillId="69" borderId="148" xfId="0" applyNumberFormat="1" applyFont="1" applyFill="1" applyBorder="1" applyAlignment="1">
      <alignment horizontal="center" vertical="center" wrapText="1"/>
    </xf>
    <xf numFmtId="9" fontId="10" fillId="69" borderId="148" xfId="5" applyFont="1" applyFill="1" applyBorder="1" applyAlignment="1">
      <alignment horizontal="center" vertical="center"/>
    </xf>
    <xf numFmtId="0" fontId="0" fillId="69" borderId="148" xfId="0" applyFont="1" applyFill="1" applyBorder="1" applyAlignment="1">
      <alignment wrapText="1"/>
    </xf>
    <xf numFmtId="0" fontId="0" fillId="69" borderId="148" xfId="0" applyFont="1" applyFill="1" applyBorder="1" applyAlignment="1">
      <alignment vertical="center" wrapText="1"/>
    </xf>
    <xf numFmtId="0" fontId="0" fillId="69" borderId="148" xfId="0" applyFont="1" applyFill="1" applyBorder="1" applyAlignment="1">
      <alignment horizontal="center" vertical="center"/>
    </xf>
    <xf numFmtId="170" fontId="11" fillId="69" borderId="148" xfId="9" applyFont="1" applyFill="1" applyBorder="1" applyAlignment="1">
      <alignment horizontal="center" vertical="center" wrapText="1"/>
    </xf>
    <xf numFmtId="170" fontId="0" fillId="69" borderId="148" xfId="9" applyFont="1" applyFill="1" applyBorder="1" applyAlignment="1">
      <alignment vertical="center"/>
    </xf>
    <xf numFmtId="3" fontId="0" fillId="69" borderId="148" xfId="0" applyNumberFormat="1" applyFont="1" applyFill="1" applyBorder="1" applyAlignment="1">
      <alignment vertical="center"/>
    </xf>
    <xf numFmtId="0" fontId="0" fillId="69" borderId="148" xfId="0" applyFont="1" applyFill="1" applyBorder="1" applyAlignment="1">
      <alignment vertical="center"/>
    </xf>
    <xf numFmtId="0" fontId="0" fillId="69" borderId="148" xfId="0" applyFont="1" applyFill="1" applyBorder="1"/>
    <xf numFmtId="9" fontId="52" fillId="69" borderId="154" xfId="0" applyNumberFormat="1" applyFont="1" applyFill="1" applyBorder="1" applyAlignment="1">
      <alignment horizontal="center" vertical="center" wrapText="1"/>
    </xf>
    <xf numFmtId="0" fontId="10" fillId="69" borderId="102" xfId="0" applyFont="1" applyFill="1" applyBorder="1" applyAlignment="1">
      <alignment wrapText="1"/>
    </xf>
    <xf numFmtId="0" fontId="10" fillId="69" borderId="102" xfId="0" applyFont="1" applyFill="1" applyBorder="1" applyAlignment="1">
      <alignment horizontal="justify" vertical="center"/>
    </xf>
    <xf numFmtId="3" fontId="10" fillId="69" borderId="102" xfId="0" applyNumberFormat="1" applyFont="1" applyFill="1" applyBorder="1" applyAlignment="1">
      <alignment horizontal="center" vertical="center"/>
    </xf>
    <xf numFmtId="3" fontId="10" fillId="69" borderId="102" xfId="9" applyNumberFormat="1" applyFont="1" applyFill="1" applyBorder="1" applyAlignment="1">
      <alignment horizontal="center" vertical="center"/>
    </xf>
    <xf numFmtId="3" fontId="0" fillId="69" borderId="102" xfId="0" applyNumberFormat="1" applyFont="1" applyFill="1" applyBorder="1" applyAlignment="1">
      <alignment horizontal="center" vertical="center"/>
    </xf>
    <xf numFmtId="3" fontId="0" fillId="69" borderId="0" xfId="0" applyNumberFormat="1" applyFont="1" applyFill="1"/>
    <xf numFmtId="0" fontId="0" fillId="69" borderId="11" xfId="0" applyFont="1" applyFill="1" applyBorder="1"/>
    <xf numFmtId="0" fontId="0" fillId="69" borderId="94" xfId="0" applyFont="1" applyFill="1" applyBorder="1"/>
    <xf numFmtId="0" fontId="0" fillId="69" borderId="0" xfId="0" applyFont="1" applyFill="1"/>
    <xf numFmtId="0" fontId="10" fillId="69" borderId="148" xfId="0" applyFont="1" applyFill="1" applyBorder="1" applyAlignment="1">
      <alignment wrapText="1"/>
    </xf>
    <xf numFmtId="0" fontId="10" fillId="69" borderId="148" xfId="0" applyFont="1" applyFill="1" applyBorder="1" applyAlignment="1">
      <alignment horizontal="justify" vertical="center"/>
    </xf>
    <xf numFmtId="3" fontId="10" fillId="69" borderId="148" xfId="0" applyNumberFormat="1" applyFont="1" applyFill="1" applyBorder="1" applyAlignment="1">
      <alignment horizontal="center" vertical="center"/>
    </xf>
    <xf numFmtId="3" fontId="10" fillId="69" borderId="148" xfId="9" applyNumberFormat="1" applyFont="1" applyFill="1" applyBorder="1" applyAlignment="1">
      <alignment horizontal="center" vertical="center"/>
    </xf>
    <xf numFmtId="3" fontId="0" fillId="69" borderId="148" xfId="0" applyNumberFormat="1" applyFont="1" applyFill="1" applyBorder="1" applyAlignment="1">
      <alignment horizontal="center" vertical="center"/>
    </xf>
    <xf numFmtId="0" fontId="10" fillId="69" borderId="148" xfId="0" applyFont="1" applyFill="1" applyBorder="1"/>
    <xf numFmtId="170" fontId="10" fillId="69" borderId="148" xfId="9" applyFont="1" applyFill="1" applyBorder="1" applyAlignment="1">
      <alignment horizontal="center" vertical="center" wrapText="1"/>
    </xf>
    <xf numFmtId="170" fontId="10" fillId="69" borderId="148" xfId="9" applyFont="1" applyFill="1" applyBorder="1" applyAlignment="1">
      <alignment vertical="center"/>
    </xf>
    <xf numFmtId="3" fontId="10" fillId="69" borderId="148" xfId="0" applyNumberFormat="1" applyFont="1" applyFill="1" applyBorder="1" applyAlignment="1">
      <alignment vertical="center"/>
    </xf>
    <xf numFmtId="0" fontId="10" fillId="69" borderId="148" xfId="0" applyFont="1" applyFill="1" applyBorder="1" applyAlignment="1">
      <alignment vertical="center"/>
    </xf>
    <xf numFmtId="0" fontId="11" fillId="69" borderId="102" xfId="0" applyFont="1" applyFill="1" applyBorder="1" applyAlignment="1">
      <alignment horizontal="left" vertical="center" wrapText="1"/>
    </xf>
    <xf numFmtId="0" fontId="0" fillId="69" borderId="102" xfId="0" applyFont="1" applyFill="1" applyBorder="1" applyAlignment="1">
      <alignment horizontal="justify" vertical="center"/>
    </xf>
    <xf numFmtId="3" fontId="11" fillId="69" borderId="102" xfId="0" applyNumberFormat="1" applyFont="1" applyFill="1" applyBorder="1" applyAlignment="1">
      <alignment horizontal="center" vertical="center" wrapText="1"/>
    </xf>
    <xf numFmtId="3" fontId="0" fillId="69" borderId="102" xfId="9" applyNumberFormat="1" applyFont="1" applyFill="1" applyBorder="1" applyAlignment="1">
      <alignment horizontal="center" vertical="center"/>
    </xf>
    <xf numFmtId="1" fontId="8" fillId="69" borderId="32" xfId="0" applyNumberFormat="1" applyFont="1" applyFill="1" applyBorder="1" applyAlignment="1">
      <alignment horizontal="center" vertical="center" wrapText="1"/>
    </xf>
    <xf numFmtId="0" fontId="11" fillId="69" borderId="148" xfId="0" applyFont="1" applyFill="1" applyBorder="1" applyAlignment="1">
      <alignment horizontal="left" vertical="center" wrapText="1"/>
    </xf>
    <xf numFmtId="0" fontId="0" fillId="69" borderId="148" xfId="0" applyFont="1" applyFill="1" applyBorder="1" applyAlignment="1">
      <alignment horizontal="justify" vertical="center"/>
    </xf>
    <xf numFmtId="3" fontId="11" fillId="69" borderId="148" xfId="0" applyNumberFormat="1" applyFont="1" applyFill="1" applyBorder="1" applyAlignment="1">
      <alignment horizontal="center" vertical="center" wrapText="1"/>
    </xf>
    <xf numFmtId="3" fontId="0" fillId="69" borderId="148" xfId="9" applyNumberFormat="1" applyFont="1" applyFill="1" applyBorder="1" applyAlignment="1">
      <alignment horizontal="center" vertical="center"/>
    </xf>
    <xf numFmtId="3" fontId="10" fillId="69" borderId="148" xfId="9" applyNumberFormat="1" applyFont="1" applyFill="1" applyBorder="1" applyAlignment="1">
      <alignment vertical="center"/>
    </xf>
    <xf numFmtId="3" fontId="0" fillId="69" borderId="148" xfId="9" applyNumberFormat="1" applyFont="1" applyFill="1" applyBorder="1" applyAlignment="1">
      <alignment vertical="center"/>
    </xf>
    <xf numFmtId="0" fontId="0" fillId="69" borderId="29" xfId="0" applyFont="1" applyFill="1" applyBorder="1"/>
    <xf numFmtId="0" fontId="0" fillId="69" borderId="30" xfId="0" applyFont="1" applyFill="1" applyBorder="1"/>
    <xf numFmtId="0" fontId="0" fillId="69" borderId="31" xfId="0" applyFont="1" applyFill="1" applyBorder="1"/>
    <xf numFmtId="0" fontId="0" fillId="38" borderId="19" xfId="0" applyFont="1" applyFill="1" applyBorder="1"/>
    <xf numFmtId="0" fontId="0" fillId="38" borderId="154" xfId="0" applyFont="1" applyFill="1" applyBorder="1"/>
    <xf numFmtId="0" fontId="0" fillId="41" borderId="154" xfId="0" applyFont="1" applyFill="1" applyBorder="1"/>
    <xf numFmtId="0" fontId="0" fillId="7" borderId="154" xfId="0" applyFont="1" applyFill="1" applyBorder="1"/>
    <xf numFmtId="0" fontId="0" fillId="51" borderId="154" xfId="0" applyFont="1" applyFill="1" applyBorder="1"/>
    <xf numFmtId="0" fontId="0" fillId="66" borderId="154" xfId="0" applyFont="1" applyFill="1" applyBorder="1"/>
    <xf numFmtId="0" fontId="0" fillId="29" borderId="154" xfId="0" applyFont="1" applyFill="1" applyBorder="1"/>
    <xf numFmtId="0" fontId="0" fillId="39" borderId="154" xfId="0" applyFont="1" applyFill="1" applyBorder="1"/>
    <xf numFmtId="0" fontId="0" fillId="17" borderId="154" xfId="0" applyFont="1" applyFill="1" applyBorder="1"/>
    <xf numFmtId="0" fontId="0" fillId="69" borderId="154" xfId="0" applyFont="1" applyFill="1" applyBorder="1"/>
    <xf numFmtId="0" fontId="0" fillId="69" borderId="53" xfId="0" applyFont="1" applyFill="1" applyBorder="1"/>
    <xf numFmtId="0" fontId="0" fillId="38" borderId="15" xfId="0" applyFont="1" applyFill="1" applyBorder="1"/>
    <xf numFmtId="0" fontId="0" fillId="38" borderId="155" xfId="0" applyFont="1" applyFill="1" applyBorder="1"/>
    <xf numFmtId="0" fontId="0" fillId="41" borderId="155" xfId="0" applyFont="1" applyFill="1" applyBorder="1"/>
    <xf numFmtId="0" fontId="0" fillId="7" borderId="155" xfId="0" applyFont="1" applyFill="1" applyBorder="1"/>
    <xf numFmtId="0" fontId="0" fillId="51" borderId="155" xfId="0" applyFont="1" applyFill="1" applyBorder="1"/>
    <xf numFmtId="0" fontId="0" fillId="66" borderId="155" xfId="0" applyFont="1" applyFill="1" applyBorder="1"/>
    <xf numFmtId="0" fontId="0" fillId="29" borderId="155" xfId="0" applyFont="1" applyFill="1" applyBorder="1"/>
    <xf numFmtId="0" fontId="0" fillId="39" borderId="155" xfId="0" applyFont="1" applyFill="1" applyBorder="1"/>
    <xf numFmtId="0" fontId="0" fillId="17" borderId="155" xfId="0" applyFont="1" applyFill="1" applyBorder="1"/>
    <xf numFmtId="0" fontId="0" fillId="69" borderId="155" xfId="0" applyFont="1" applyFill="1" applyBorder="1"/>
    <xf numFmtId="0" fontId="0" fillId="69" borderId="161" xfId="0" applyFont="1" applyFill="1" applyBorder="1"/>
    <xf numFmtId="0" fontId="0" fillId="69" borderId="51" xfId="0" applyFont="1" applyFill="1" applyBorder="1"/>
    <xf numFmtId="0" fontId="0" fillId="69" borderId="32" xfId="0" applyFont="1" applyFill="1" applyBorder="1"/>
    <xf numFmtId="0" fontId="0" fillId="69" borderId="52" xfId="0" applyFont="1" applyFill="1" applyBorder="1"/>
    <xf numFmtId="0" fontId="0" fillId="69" borderId="100" xfId="0" applyFont="1" applyFill="1" applyBorder="1"/>
    <xf numFmtId="0" fontId="0" fillId="69" borderId="54" xfId="0" applyFont="1" applyFill="1" applyBorder="1"/>
    <xf numFmtId="0" fontId="0" fillId="17" borderId="29" xfId="0" applyFont="1" applyFill="1" applyBorder="1"/>
    <xf numFmtId="0" fontId="0" fillId="17" borderId="30" xfId="0" applyFont="1" applyFill="1" applyBorder="1"/>
    <xf numFmtId="0" fontId="0" fillId="17" borderId="31" xfId="0" applyFont="1" applyFill="1" applyBorder="1"/>
    <xf numFmtId="0" fontId="0" fillId="17" borderId="161" xfId="0" applyFont="1" applyFill="1" applyBorder="1"/>
    <xf numFmtId="0" fontId="0" fillId="17" borderId="53" xfId="0" applyFont="1" applyFill="1" applyBorder="1"/>
    <xf numFmtId="0" fontId="0" fillId="17" borderId="51" xfId="0" applyFont="1" applyFill="1" applyBorder="1"/>
    <xf numFmtId="0" fontId="0" fillId="17" borderId="32" xfId="0" applyFont="1" applyFill="1" applyBorder="1"/>
    <xf numFmtId="0" fontId="0" fillId="17" borderId="52" xfId="0" applyFont="1" applyFill="1" applyBorder="1"/>
    <xf numFmtId="0" fontId="0" fillId="17" borderId="100" xfId="0" applyFont="1" applyFill="1" applyBorder="1"/>
    <xf numFmtId="0" fontId="0" fillId="17" borderId="54" xfId="0" applyFont="1" applyFill="1" applyBorder="1"/>
    <xf numFmtId="0" fontId="0" fillId="38" borderId="29" xfId="0" applyFont="1" applyFill="1" applyBorder="1"/>
    <xf numFmtId="0" fontId="0" fillId="38" borderId="161" xfId="0" applyFont="1" applyFill="1" applyBorder="1"/>
    <xf numFmtId="0" fontId="0" fillId="38" borderId="53" xfId="0" applyFont="1" applyFill="1" applyBorder="1"/>
    <xf numFmtId="0" fontId="0" fillId="38" borderId="51" xfId="0" applyFont="1" applyFill="1" applyBorder="1"/>
    <xf numFmtId="0" fontId="0" fillId="38" borderId="100" xfId="0" applyFont="1" applyFill="1" applyBorder="1"/>
    <xf numFmtId="0" fontId="0" fillId="38" borderId="54" xfId="0" applyFont="1" applyFill="1" applyBorder="1"/>
    <xf numFmtId="0" fontId="0" fillId="39" borderId="29" xfId="0" applyFont="1" applyFill="1" applyBorder="1"/>
    <xf numFmtId="0" fontId="0" fillId="39" borderId="161" xfId="0" applyFont="1" applyFill="1" applyBorder="1"/>
    <xf numFmtId="0" fontId="0" fillId="39" borderId="53" xfId="0" applyFont="1" applyFill="1" applyBorder="1"/>
    <xf numFmtId="0" fontId="0" fillId="39" borderId="51" xfId="0" applyFont="1" applyFill="1" applyBorder="1"/>
    <xf numFmtId="0" fontId="0" fillId="39" borderId="100" xfId="0" applyFont="1" applyFill="1" applyBorder="1"/>
    <xf numFmtId="0" fontId="0" fillId="39" borderId="54" xfId="0" applyFont="1" applyFill="1" applyBorder="1"/>
    <xf numFmtId="0" fontId="0" fillId="29" borderId="29" xfId="0" applyFont="1" applyFill="1" applyBorder="1"/>
    <xf numFmtId="0" fontId="0" fillId="29" borderId="30" xfId="0" applyFont="1" applyFill="1" applyBorder="1"/>
    <xf numFmtId="0" fontId="0" fillId="29" borderId="31" xfId="0" applyFont="1" applyFill="1" applyBorder="1"/>
    <xf numFmtId="0" fontId="0" fillId="29" borderId="161" xfId="0" applyFont="1" applyFill="1" applyBorder="1"/>
    <xf numFmtId="0" fontId="0" fillId="29" borderId="53" xfId="0" applyFont="1" applyFill="1" applyBorder="1"/>
    <xf numFmtId="0" fontId="0" fillId="29" borderId="51" xfId="0" applyFont="1" applyFill="1" applyBorder="1"/>
    <xf numFmtId="0" fontId="0" fillId="29" borderId="100" xfId="0" applyFont="1" applyFill="1" applyBorder="1"/>
    <xf numFmtId="0" fontId="0" fillId="29" borderId="54" xfId="0" applyFont="1" applyFill="1" applyBorder="1"/>
    <xf numFmtId="0" fontId="0" fillId="66" borderId="29" xfId="0" applyFont="1" applyFill="1" applyBorder="1"/>
    <xf numFmtId="0" fontId="0" fillId="66" borderId="30" xfId="0" applyFont="1" applyFill="1" applyBorder="1"/>
    <xf numFmtId="0" fontId="0" fillId="66" borderId="31" xfId="0" applyFont="1" applyFill="1" applyBorder="1"/>
    <xf numFmtId="0" fontId="0" fillId="66" borderId="161" xfId="0" applyFont="1" applyFill="1" applyBorder="1"/>
    <xf numFmtId="0" fontId="0" fillId="66" borderId="53" xfId="0" applyFont="1" applyFill="1" applyBorder="1"/>
    <xf numFmtId="0" fontId="0" fillId="66" borderId="51" xfId="0" applyFont="1" applyFill="1" applyBorder="1"/>
    <xf numFmtId="0" fontId="0" fillId="66" borderId="32" xfId="0" applyFont="1" applyFill="1" applyBorder="1"/>
    <xf numFmtId="0" fontId="0" fillId="66" borderId="52" xfId="0" applyFont="1" applyFill="1" applyBorder="1"/>
    <xf numFmtId="0" fontId="0" fillId="66" borderId="100" xfId="0" applyFont="1" applyFill="1" applyBorder="1"/>
    <xf numFmtId="0" fontId="0" fillId="66" borderId="54" xfId="0" applyFont="1" applyFill="1" applyBorder="1"/>
    <xf numFmtId="0" fontId="0" fillId="51" borderId="29" xfId="0" applyFont="1" applyFill="1" applyBorder="1"/>
    <xf numFmtId="0" fontId="0" fillId="51" borderId="30" xfId="0" applyFont="1" applyFill="1" applyBorder="1"/>
    <xf numFmtId="0" fontId="0" fillId="51" borderId="31" xfId="0" applyFont="1" applyFill="1" applyBorder="1"/>
    <xf numFmtId="0" fontId="0" fillId="51" borderId="161" xfId="0" applyFont="1" applyFill="1" applyBorder="1"/>
    <xf numFmtId="0" fontId="0" fillId="51" borderId="53" xfId="0" applyFont="1" applyFill="1" applyBorder="1"/>
    <xf numFmtId="0" fontId="0" fillId="51" borderId="51" xfId="0" applyFont="1" applyFill="1" applyBorder="1"/>
    <xf numFmtId="0" fontId="0" fillId="51" borderId="32" xfId="0" applyFont="1" applyFill="1" applyBorder="1"/>
    <xf numFmtId="0" fontId="0" fillId="51" borderId="52" xfId="0" applyFont="1" applyFill="1" applyBorder="1"/>
    <xf numFmtId="0" fontId="0" fillId="51" borderId="100" xfId="0" applyFont="1" applyFill="1" applyBorder="1"/>
    <xf numFmtId="0" fontId="0" fillId="51" borderId="54" xfId="0" applyFont="1" applyFill="1" applyBorder="1"/>
    <xf numFmtId="0" fontId="0" fillId="7" borderId="29" xfId="0" applyFont="1" applyFill="1" applyBorder="1"/>
    <xf numFmtId="0" fontId="0" fillId="7" borderId="30" xfId="0" applyFont="1" applyFill="1" applyBorder="1"/>
    <xf numFmtId="0" fontId="0" fillId="7" borderId="31" xfId="0" applyFont="1" applyFill="1" applyBorder="1"/>
    <xf numFmtId="0" fontId="0" fillId="7" borderId="161" xfId="0" applyFont="1" applyFill="1" applyBorder="1"/>
    <xf numFmtId="0" fontId="0" fillId="7" borderId="53" xfId="0" applyFont="1" applyFill="1" applyBorder="1"/>
    <xf numFmtId="0" fontId="0" fillId="7" borderId="51" xfId="0" applyFont="1" applyFill="1" applyBorder="1"/>
    <xf numFmtId="0" fontId="0" fillId="7" borderId="32" xfId="0" applyFont="1" applyFill="1" applyBorder="1"/>
    <xf numFmtId="0" fontId="0" fillId="7" borderId="52" xfId="0" applyFont="1" applyFill="1" applyBorder="1"/>
    <xf numFmtId="0" fontId="0" fillId="7" borderId="100" xfId="0" applyFont="1" applyFill="1" applyBorder="1"/>
    <xf numFmtId="0" fontId="0" fillId="7" borderId="54" xfId="0" applyFont="1" applyFill="1" applyBorder="1"/>
    <xf numFmtId="0" fontId="0" fillId="41" borderId="29" xfId="0" applyFont="1" applyFill="1" applyBorder="1"/>
    <xf numFmtId="0" fontId="0" fillId="41" borderId="161" xfId="0" applyFont="1" applyFill="1" applyBorder="1"/>
    <xf numFmtId="0" fontId="0" fillId="41" borderId="53" xfId="0" applyFont="1" applyFill="1" applyBorder="1"/>
    <xf numFmtId="0" fontId="0" fillId="41" borderId="51" xfId="0" applyFont="1" applyFill="1" applyBorder="1"/>
    <xf numFmtId="0" fontId="0" fillId="41" borderId="32" xfId="0" applyFont="1" applyFill="1" applyBorder="1"/>
    <xf numFmtId="0" fontId="0" fillId="41" borderId="52" xfId="0" applyFont="1" applyFill="1" applyBorder="1"/>
    <xf numFmtId="0" fontId="0" fillId="41" borderId="100" xfId="0" applyFont="1" applyFill="1" applyBorder="1"/>
    <xf numFmtId="0" fontId="0" fillId="41" borderId="54" xfId="0" applyFont="1" applyFill="1" applyBorder="1"/>
    <xf numFmtId="0" fontId="0" fillId="38" borderId="148" xfId="0" applyFont="1" applyFill="1" applyBorder="1" applyAlignment="1">
      <alignment horizontal="center" vertical="center"/>
    </xf>
    <xf numFmtId="9" fontId="52" fillId="40" borderId="32" xfId="0" applyNumberFormat="1" applyFont="1" applyFill="1" applyBorder="1" applyAlignment="1">
      <alignment horizontal="center" vertical="center" wrapText="1"/>
    </xf>
    <xf numFmtId="0" fontId="0" fillId="41" borderId="149" xfId="0" applyFont="1" applyFill="1" applyBorder="1" applyAlignment="1">
      <alignment horizontal="center" vertical="center" wrapText="1"/>
    </xf>
    <xf numFmtId="0" fontId="0" fillId="40" borderId="149" xfId="0" applyFont="1" applyFill="1" applyBorder="1" applyAlignment="1">
      <alignment horizontal="center" vertical="center" wrapText="1"/>
    </xf>
    <xf numFmtId="0" fontId="0" fillId="40" borderId="32" xfId="0" applyFont="1" applyFill="1" applyBorder="1" applyAlignment="1">
      <alignment horizontal="center" vertical="center" wrapText="1"/>
    </xf>
    <xf numFmtId="3" fontId="0" fillId="41" borderId="32" xfId="0" applyNumberFormat="1" applyFont="1" applyFill="1" applyBorder="1" applyAlignment="1">
      <alignment horizontal="center" vertical="center"/>
    </xf>
    <xf numFmtId="0" fontId="3" fillId="4" borderId="149" xfId="0" applyFont="1" applyFill="1" applyBorder="1" applyAlignment="1" applyProtection="1">
      <alignment horizontal="center" vertical="center" wrapText="1"/>
      <protection locked="0"/>
    </xf>
    <xf numFmtId="0" fontId="8" fillId="10" borderId="149" xfId="0" applyFont="1" applyFill="1" applyBorder="1" applyAlignment="1" applyProtection="1">
      <alignment horizontal="center" vertical="center" wrapText="1"/>
      <protection locked="0"/>
    </xf>
    <xf numFmtId="0" fontId="11" fillId="29" borderId="32" xfId="0" applyFont="1" applyFill="1" applyBorder="1" applyAlignment="1">
      <alignment horizontal="center" vertical="center" wrapText="1"/>
    </xf>
    <xf numFmtId="0" fontId="11" fillId="29" borderId="32" xfId="0" applyFont="1" applyFill="1" applyBorder="1" applyAlignment="1">
      <alignment horizontal="center" vertical="center"/>
    </xf>
    <xf numFmtId="0" fontId="11" fillId="39" borderId="149" xfId="0" applyFont="1" applyFill="1" applyBorder="1" applyAlignment="1">
      <alignment horizontal="center" vertical="center" wrapText="1"/>
    </xf>
    <xf numFmtId="0" fontId="11" fillId="38" borderId="32" xfId="0" applyFont="1" applyFill="1" applyBorder="1" applyAlignment="1">
      <alignment horizontal="center" vertical="center" wrapText="1"/>
    </xf>
    <xf numFmtId="0" fontId="11" fillId="38" borderId="148" xfId="0" applyFont="1" applyFill="1" applyBorder="1" applyAlignment="1">
      <alignment horizontal="center" vertical="center" wrapText="1"/>
    </xf>
    <xf numFmtId="0" fontId="11" fillId="41" borderId="148" xfId="0" applyFont="1" applyFill="1" applyBorder="1" applyAlignment="1">
      <alignment horizontal="center" vertical="center" wrapText="1"/>
    </xf>
    <xf numFmtId="9" fontId="52" fillId="39" borderId="32" xfId="0" applyNumberFormat="1" applyFont="1" applyFill="1" applyBorder="1" applyAlignment="1">
      <alignment horizontal="center" vertical="center" wrapText="1"/>
    </xf>
    <xf numFmtId="9" fontId="52" fillId="38" borderId="32" xfId="0" applyNumberFormat="1" applyFont="1" applyFill="1" applyBorder="1" applyAlignment="1">
      <alignment horizontal="center" vertical="center" wrapText="1"/>
    </xf>
    <xf numFmtId="9" fontId="52" fillId="41" borderId="32" xfId="0" applyNumberFormat="1" applyFont="1" applyFill="1" applyBorder="1" applyAlignment="1">
      <alignment horizontal="center" vertical="center" wrapText="1"/>
    </xf>
    <xf numFmtId="0" fontId="11" fillId="40" borderId="32" xfId="8" applyFont="1" applyFill="1" applyBorder="1" applyAlignment="1">
      <alignment horizontal="center" vertical="center" wrapText="1"/>
    </xf>
    <xf numFmtId="0" fontId="11" fillId="40" borderId="30" xfId="8" applyFont="1" applyFill="1" applyBorder="1" applyAlignment="1">
      <alignment horizontal="center" vertical="center" wrapText="1"/>
    </xf>
    <xf numFmtId="0" fontId="11" fillId="39" borderId="32" xfId="8" applyFont="1" applyFill="1" applyBorder="1" applyAlignment="1">
      <alignment horizontal="center" vertical="center" wrapText="1"/>
    </xf>
    <xf numFmtId="0" fontId="11" fillId="39" borderId="30" xfId="8" applyFont="1" applyFill="1" applyBorder="1" applyAlignment="1">
      <alignment horizontal="center" vertical="center" wrapText="1"/>
    </xf>
    <xf numFmtId="0" fontId="11" fillId="38" borderId="32" xfId="8" applyFont="1" applyFill="1" applyBorder="1" applyAlignment="1">
      <alignment horizontal="center" vertical="center" wrapText="1"/>
    </xf>
    <xf numFmtId="0" fontId="11" fillId="38" borderId="30" xfId="8" applyFont="1" applyFill="1" applyBorder="1" applyAlignment="1">
      <alignment horizontal="center" vertical="center" wrapText="1"/>
    </xf>
    <xf numFmtId="0" fontId="11" fillId="43" borderId="32" xfId="8" applyFont="1" applyFill="1" applyBorder="1" applyAlignment="1">
      <alignment horizontal="center" vertical="center" wrapText="1"/>
    </xf>
    <xf numFmtId="0" fontId="11" fillId="43" borderId="30" xfId="8" applyFont="1" applyFill="1" applyBorder="1" applyAlignment="1">
      <alignment horizontal="center" vertical="center" wrapText="1"/>
    </xf>
    <xf numFmtId="0" fontId="11" fillId="42" borderId="32" xfId="8" applyFont="1" applyFill="1" applyBorder="1" applyAlignment="1">
      <alignment horizontal="center" vertical="center" wrapText="1"/>
    </xf>
    <xf numFmtId="0" fontId="11" fillId="42" borderId="30" xfId="8" applyFont="1" applyFill="1" applyBorder="1" applyAlignment="1">
      <alignment horizontal="center" vertical="center" wrapText="1"/>
    </xf>
    <xf numFmtId="0" fontId="11" fillId="41" borderId="32" xfId="8" applyFont="1" applyFill="1" applyBorder="1" applyAlignment="1">
      <alignment horizontal="center" vertical="center" wrapText="1"/>
    </xf>
    <xf numFmtId="0" fontId="11" fillId="41" borderId="30" xfId="8" applyFont="1" applyFill="1" applyBorder="1" applyAlignment="1">
      <alignment horizontal="center" vertical="center" wrapText="1"/>
    </xf>
    <xf numFmtId="0" fontId="11" fillId="29" borderId="32" xfId="8" applyFont="1" applyFill="1" applyBorder="1" applyAlignment="1">
      <alignment horizontal="center" vertical="center" wrapText="1"/>
    </xf>
    <xf numFmtId="0" fontId="11" fillId="41" borderId="8" xfId="8" applyFont="1" applyFill="1" applyBorder="1" applyAlignment="1">
      <alignment horizontal="center" vertical="center" wrapText="1"/>
    </xf>
    <xf numFmtId="0" fontId="0" fillId="39" borderId="32" xfId="0" applyFont="1" applyFill="1" applyBorder="1" applyAlignment="1">
      <alignment horizontal="center" vertical="center"/>
    </xf>
    <xf numFmtId="0" fontId="10" fillId="41" borderId="32" xfId="0" applyFont="1" applyFill="1" applyBorder="1" applyAlignment="1">
      <alignment horizontal="center" vertical="center" wrapText="1"/>
    </xf>
    <xf numFmtId="0" fontId="10" fillId="41" borderId="148" xfId="0" applyFont="1" applyFill="1" applyBorder="1" applyAlignment="1">
      <alignment horizontal="center" vertical="center" wrapText="1"/>
    </xf>
    <xf numFmtId="0" fontId="0" fillId="39" borderId="32" xfId="0" applyFont="1" applyFill="1" applyBorder="1" applyAlignment="1">
      <alignment horizontal="center" vertical="center" wrapText="1"/>
    </xf>
    <xf numFmtId="0" fontId="11" fillId="41" borderId="149" xfId="0" applyFont="1" applyFill="1" applyBorder="1" applyAlignment="1">
      <alignment horizontal="center" vertical="center" wrapText="1"/>
    </xf>
    <xf numFmtId="0" fontId="11" fillId="51" borderId="149" xfId="0" applyFont="1" applyFill="1" applyBorder="1" applyAlignment="1">
      <alignment horizontal="center" vertical="center" wrapText="1"/>
    </xf>
    <xf numFmtId="0" fontId="11" fillId="51" borderId="26" xfId="0" applyFont="1" applyFill="1" applyBorder="1" applyAlignment="1">
      <alignment horizontal="center" vertical="center" wrapText="1"/>
    </xf>
    <xf numFmtId="0" fontId="11" fillId="51" borderId="32" xfId="0" applyFont="1" applyFill="1" applyBorder="1" applyAlignment="1">
      <alignment horizontal="center" vertical="center" wrapText="1"/>
    </xf>
    <xf numFmtId="0" fontId="11" fillId="38" borderId="148" xfId="0" applyFont="1" applyFill="1" applyBorder="1" applyAlignment="1">
      <alignment horizontal="left" vertical="center" wrapText="1"/>
    </xf>
    <xf numFmtId="0" fontId="11" fillId="38" borderId="149" xfId="0" applyFont="1" applyFill="1" applyBorder="1" applyAlignment="1">
      <alignment horizontal="left" vertical="center" wrapText="1"/>
    </xf>
    <xf numFmtId="0" fontId="11" fillId="38" borderId="108" xfId="0" applyFont="1" applyFill="1" applyBorder="1" applyAlignment="1">
      <alignment horizontal="left" vertical="center" wrapText="1"/>
    </xf>
    <xf numFmtId="0" fontId="11" fillId="38" borderId="32" xfId="0" applyFont="1" applyFill="1" applyBorder="1" applyAlignment="1">
      <alignment horizontal="left" vertical="center" wrapText="1"/>
    </xf>
    <xf numFmtId="0" fontId="11" fillId="38" borderId="26" xfId="0" applyFont="1" applyFill="1" applyBorder="1" applyAlignment="1">
      <alignment horizontal="left" vertical="center" wrapText="1"/>
    </xf>
    <xf numFmtId="0" fontId="11" fillId="41" borderId="148" xfId="0" applyFont="1" applyFill="1" applyBorder="1" applyAlignment="1">
      <alignment horizontal="left" vertical="center" wrapText="1"/>
    </xf>
    <xf numFmtId="0" fontId="11" fillId="41" borderId="26" xfId="0" applyFont="1" applyFill="1" applyBorder="1" applyAlignment="1">
      <alignment horizontal="left" vertical="center" wrapText="1"/>
    </xf>
    <xf numFmtId="0" fontId="11" fillId="51" borderId="102" xfId="0" applyFont="1" applyFill="1" applyBorder="1" applyAlignment="1">
      <alignment horizontal="left" vertical="center" wrapText="1"/>
    </xf>
    <xf numFmtId="0" fontId="11" fillId="66" borderId="149" xfId="0" applyFont="1" applyFill="1" applyBorder="1" applyAlignment="1">
      <alignment horizontal="left" vertical="center" wrapText="1"/>
    </xf>
    <xf numFmtId="0" fontId="11" fillId="66" borderId="32" xfId="0" applyFont="1" applyFill="1" applyBorder="1" applyAlignment="1">
      <alignment horizontal="left" vertical="center" wrapText="1"/>
    </xf>
    <xf numFmtId="0" fontId="11" fillId="29" borderId="102" xfId="0" applyFont="1" applyFill="1" applyBorder="1" applyAlignment="1">
      <alignment horizontal="left" vertical="center" wrapText="1"/>
    </xf>
    <xf numFmtId="0" fontId="11" fillId="29" borderId="32" xfId="0" applyFont="1" applyFill="1" applyBorder="1" applyAlignment="1">
      <alignment horizontal="left" vertical="center" wrapText="1"/>
    </xf>
    <xf numFmtId="0" fontId="11" fillId="39" borderId="102" xfId="0" applyFont="1" applyFill="1" applyBorder="1" applyAlignment="1">
      <alignment horizontal="left" vertical="center" wrapText="1"/>
    </xf>
    <xf numFmtId="0" fontId="7" fillId="39" borderId="102" xfId="0" applyFont="1" applyFill="1" applyBorder="1" applyAlignment="1">
      <alignment horizontal="left" vertical="center" wrapText="1"/>
    </xf>
    <xf numFmtId="0" fontId="0" fillId="38" borderId="0" xfId="0" applyFont="1" applyFill="1" applyAlignment="1">
      <alignment horizontal="left"/>
    </xf>
    <xf numFmtId="0" fontId="11" fillId="17" borderId="148" xfId="0" applyFont="1" applyFill="1" applyBorder="1" applyAlignment="1">
      <alignment horizontal="left" vertical="center" wrapText="1"/>
    </xf>
    <xf numFmtId="0" fontId="0" fillId="69" borderId="148" xfId="0" applyFont="1" applyFill="1" applyBorder="1" applyAlignment="1">
      <alignment horizontal="left"/>
    </xf>
    <xf numFmtId="0" fontId="0" fillId="11" borderId="0" xfId="0" applyFont="1" applyFill="1" applyBorder="1" applyAlignment="1">
      <alignment horizontal="left"/>
    </xf>
    <xf numFmtId="0" fontId="11" fillId="11" borderId="0" xfId="0" applyFont="1" applyFill="1" applyBorder="1" applyAlignment="1">
      <alignment horizontal="left" vertical="center" wrapText="1"/>
    </xf>
    <xf numFmtId="3" fontId="0" fillId="41" borderId="32" xfId="8" applyNumberFormat="1" applyFont="1" applyFill="1" applyBorder="1" applyAlignment="1" applyProtection="1">
      <alignment horizontal="center" vertical="center"/>
      <protection locked="0"/>
    </xf>
    <xf numFmtId="3" fontId="3" fillId="41" borderId="32" xfId="8" applyNumberFormat="1" applyFont="1" applyFill="1" applyBorder="1" applyAlignment="1" applyProtection="1">
      <alignment horizontal="center" vertical="center"/>
      <protection locked="0"/>
    </xf>
    <xf numFmtId="9" fontId="0" fillId="41" borderId="77" xfId="0" applyNumberFormat="1" applyFont="1" applyFill="1" applyBorder="1" applyAlignment="1">
      <alignment horizontal="center" vertical="center"/>
    </xf>
    <xf numFmtId="0" fontId="0" fillId="41" borderId="77" xfId="0" applyFont="1" applyFill="1" applyBorder="1" applyAlignment="1">
      <alignment horizontal="center" vertical="center" wrapText="1"/>
    </xf>
    <xf numFmtId="0" fontId="11" fillId="41" borderId="148" xfId="0" applyFont="1" applyFill="1" applyBorder="1" applyAlignment="1">
      <alignment horizontal="center" vertical="center"/>
    </xf>
    <xf numFmtId="0" fontId="11" fillId="41" borderId="32" xfId="0" applyFont="1" applyFill="1" applyBorder="1" applyAlignment="1" applyProtection="1">
      <alignment horizontal="center" vertical="center" wrapText="1"/>
      <protection locked="0"/>
    </xf>
    <xf numFmtId="0" fontId="11" fillId="41" borderId="148" xfId="0" applyFont="1" applyFill="1" applyBorder="1" applyAlignment="1">
      <alignment horizontal="center" vertical="top" wrapText="1"/>
    </xf>
    <xf numFmtId="3" fontId="11" fillId="41" borderId="148" xfId="9" applyNumberFormat="1" applyFont="1" applyFill="1" applyBorder="1" applyAlignment="1">
      <alignment horizontal="center" vertical="center" wrapText="1"/>
    </xf>
    <xf numFmtId="3" fontId="11" fillId="41" borderId="148" xfId="0" applyNumberFormat="1" applyFont="1" applyFill="1" applyBorder="1" applyAlignment="1">
      <alignment horizontal="center" vertical="center" wrapText="1"/>
    </xf>
    <xf numFmtId="3" fontId="8" fillId="41" borderId="148" xfId="0" applyNumberFormat="1" applyFont="1" applyFill="1" applyBorder="1" applyAlignment="1">
      <alignment horizontal="center" vertical="center" wrapText="1"/>
    </xf>
    <xf numFmtId="0" fontId="0" fillId="41" borderId="32" xfId="8" applyFont="1" applyFill="1" applyBorder="1" applyAlignment="1" applyProtection="1">
      <alignment horizontal="center" vertical="center" wrapText="1"/>
      <protection locked="0"/>
    </xf>
    <xf numFmtId="0" fontId="11" fillId="41" borderId="149" xfId="8" applyFont="1" applyFill="1" applyBorder="1" applyAlignment="1">
      <alignment horizontal="center" vertical="center" wrapText="1"/>
    </xf>
    <xf numFmtId="3" fontId="0" fillId="41" borderId="149" xfId="8" applyNumberFormat="1" applyFont="1" applyFill="1" applyBorder="1" applyAlignment="1" applyProtection="1">
      <alignment horizontal="center" vertical="center"/>
      <protection locked="0"/>
    </xf>
    <xf numFmtId="3" fontId="3" fillId="41" borderId="149" xfId="8" applyNumberFormat="1" applyFont="1" applyFill="1" applyBorder="1" applyAlignment="1" applyProtection="1">
      <alignment horizontal="center" vertical="center"/>
      <protection locked="0"/>
    </xf>
    <xf numFmtId="0" fontId="0" fillId="41" borderId="0" xfId="0" applyFont="1" applyFill="1" applyBorder="1" applyAlignment="1">
      <alignment horizontal="center" vertical="center"/>
    </xf>
    <xf numFmtId="0" fontId="0" fillId="41" borderId="0" xfId="0" applyFont="1" applyFill="1" applyBorder="1" applyAlignment="1">
      <alignment wrapText="1"/>
    </xf>
    <xf numFmtId="0" fontId="0" fillId="41" borderId="0" xfId="0" applyFont="1" applyFill="1" applyBorder="1"/>
    <xf numFmtId="0" fontId="11" fillId="41" borderId="149" xfId="0" applyFont="1" applyFill="1" applyBorder="1" applyAlignment="1" applyProtection="1">
      <alignment horizontal="center" vertical="center" wrapText="1"/>
      <protection locked="0"/>
    </xf>
    <xf numFmtId="0" fontId="0" fillId="41" borderId="149" xfId="8" applyFont="1" applyFill="1" applyBorder="1" applyAlignment="1" applyProtection="1">
      <alignment horizontal="center" vertical="center" wrapText="1"/>
      <protection locked="0"/>
    </xf>
    <xf numFmtId="0" fontId="0" fillId="41" borderId="26" xfId="8" applyFont="1" applyFill="1" applyBorder="1" applyAlignment="1" applyProtection="1">
      <alignment horizontal="center" vertical="center" wrapText="1"/>
      <protection locked="0"/>
    </xf>
    <xf numFmtId="9" fontId="0" fillId="41" borderId="0" xfId="0" applyNumberFormat="1" applyFont="1" applyFill="1" applyBorder="1" applyAlignment="1">
      <alignment horizontal="center" vertical="center"/>
    </xf>
    <xf numFmtId="0" fontId="7" fillId="42" borderId="32" xfId="8" applyFont="1" applyFill="1" applyBorder="1" applyAlignment="1">
      <alignment horizontal="center" vertical="center" wrapText="1"/>
    </xf>
    <xf numFmtId="0" fontId="11" fillId="42" borderId="148" xfId="8" applyFont="1" applyFill="1" applyBorder="1" applyAlignment="1">
      <alignment horizontal="center" vertical="center" wrapText="1"/>
    </xf>
    <xf numFmtId="0" fontId="11" fillId="42" borderId="148" xfId="0" applyFont="1" applyFill="1" applyBorder="1" applyAlignment="1">
      <alignment horizontal="center" vertical="center" wrapText="1"/>
    </xf>
    <xf numFmtId="0" fontId="0" fillId="42" borderId="148" xfId="8" applyFont="1" applyFill="1" applyBorder="1" applyAlignment="1">
      <alignment horizontal="center" vertical="center"/>
    </xf>
    <xf numFmtId="0" fontId="0" fillId="42" borderId="148" xfId="8" applyFont="1" applyFill="1" applyBorder="1" applyAlignment="1" applyProtection="1">
      <alignment horizontal="center" vertical="center" wrapText="1"/>
      <protection locked="0"/>
    </xf>
    <xf numFmtId="3" fontId="0" fillId="42" borderId="148" xfId="8" applyNumberFormat="1" applyFont="1" applyFill="1" applyBorder="1" applyAlignment="1">
      <alignment horizontal="center" vertical="center" wrapText="1"/>
    </xf>
    <xf numFmtId="3" fontId="0" fillId="42" borderId="148" xfId="8" applyNumberFormat="1" applyFont="1" applyFill="1" applyBorder="1" applyAlignment="1">
      <alignment horizontal="center" vertical="center"/>
    </xf>
    <xf numFmtId="9" fontId="0" fillId="42" borderId="148" xfId="5" applyFont="1" applyFill="1" applyBorder="1" applyAlignment="1">
      <alignment horizontal="center" vertical="center"/>
    </xf>
    <xf numFmtId="0" fontId="0" fillId="42" borderId="148" xfId="0" applyFont="1" applyFill="1" applyBorder="1" applyAlignment="1">
      <alignment vertical="center" wrapText="1"/>
    </xf>
    <xf numFmtId="0" fontId="0" fillId="42" borderId="148" xfId="0" applyFont="1" applyFill="1" applyBorder="1" applyAlignment="1">
      <alignment vertical="center"/>
    </xf>
    <xf numFmtId="192" fontId="0" fillId="42" borderId="148" xfId="10" applyNumberFormat="1" applyFont="1" applyFill="1" applyBorder="1"/>
    <xf numFmtId="191" fontId="0" fillId="42" borderId="148" xfId="10" applyNumberFormat="1" applyFont="1" applyFill="1" applyBorder="1"/>
    <xf numFmtId="0" fontId="0" fillId="42" borderId="148" xfId="0" applyFont="1" applyFill="1" applyBorder="1"/>
    <xf numFmtId="0" fontId="11" fillId="42" borderId="148" xfId="0" applyFont="1" applyFill="1" applyBorder="1" applyAlignment="1" applyProtection="1">
      <alignment horizontal="center" vertical="center" wrapText="1"/>
      <protection locked="0"/>
    </xf>
    <xf numFmtId="0" fontId="0" fillId="42" borderId="148" xfId="0" applyFont="1" applyFill="1" applyBorder="1" applyAlignment="1">
      <alignment horizontal="center" vertical="center"/>
    </xf>
    <xf numFmtId="0" fontId="11" fillId="42" borderId="148" xfId="0" applyFont="1" applyFill="1" applyBorder="1" applyAlignment="1">
      <alignment horizontal="center" vertical="top" wrapText="1"/>
    </xf>
    <xf numFmtId="3" fontId="11" fillId="42" borderId="148" xfId="9" applyNumberFormat="1" applyFont="1" applyFill="1" applyBorder="1" applyAlignment="1">
      <alignment horizontal="center" vertical="center" wrapText="1"/>
    </xf>
    <xf numFmtId="3" fontId="11" fillId="42" borderId="148" xfId="0" applyNumberFormat="1" applyFont="1" applyFill="1" applyBorder="1" applyAlignment="1">
      <alignment horizontal="center" vertical="center" wrapText="1"/>
    </xf>
    <xf numFmtId="3" fontId="11" fillId="42" borderId="148" xfId="0" applyNumberFormat="1" applyFont="1" applyFill="1" applyBorder="1" applyAlignment="1">
      <alignment horizontal="center" vertical="center"/>
    </xf>
    <xf numFmtId="3" fontId="8" fillId="42" borderId="148" xfId="0" applyNumberFormat="1" applyFont="1" applyFill="1" applyBorder="1" applyAlignment="1">
      <alignment horizontal="center" vertical="center"/>
    </xf>
    <xf numFmtId="0" fontId="11" fillId="42" borderId="32" xfId="0" applyFont="1" applyFill="1" applyBorder="1" applyAlignment="1">
      <alignment horizontal="center" vertical="center" wrapText="1"/>
    </xf>
    <xf numFmtId="0" fontId="0" fillId="42" borderId="32" xfId="8" applyFont="1" applyFill="1" applyBorder="1" applyAlignment="1">
      <alignment horizontal="center" vertical="center"/>
    </xf>
    <xf numFmtId="0" fontId="0" fillId="42" borderId="32" xfId="8" applyFont="1" applyFill="1" applyBorder="1" applyAlignment="1">
      <alignment horizontal="center" vertical="center" wrapText="1"/>
    </xf>
    <xf numFmtId="0" fontId="11" fillId="42" borderId="149" xfId="8" applyFont="1" applyFill="1" applyBorder="1" applyAlignment="1">
      <alignment horizontal="center" vertical="center" wrapText="1"/>
    </xf>
    <xf numFmtId="0" fontId="0" fillId="42" borderId="149" xfId="8" applyFont="1" applyFill="1" applyBorder="1" applyAlignment="1">
      <alignment horizontal="center" vertical="center"/>
    </xf>
    <xf numFmtId="0" fontId="0" fillId="42" borderId="149" xfId="8" applyFont="1" applyFill="1" applyBorder="1" applyAlignment="1" applyProtection="1">
      <alignment horizontal="center" vertical="center" wrapText="1"/>
      <protection locked="0"/>
    </xf>
    <xf numFmtId="3" fontId="0" fillId="42" borderId="149" xfId="8" applyNumberFormat="1" applyFont="1" applyFill="1" applyBorder="1" applyAlignment="1">
      <alignment horizontal="center" vertical="center" wrapText="1"/>
    </xf>
    <xf numFmtId="3" fontId="0" fillId="42" borderId="149" xfId="8" applyNumberFormat="1" applyFont="1" applyFill="1" applyBorder="1" applyAlignment="1">
      <alignment horizontal="center" vertical="center"/>
    </xf>
    <xf numFmtId="9" fontId="0" fillId="42" borderId="149" xfId="5" applyFont="1" applyFill="1" applyBorder="1"/>
    <xf numFmtId="0" fontId="0" fillId="42" borderId="149" xfId="0" applyFont="1" applyFill="1" applyBorder="1" applyAlignment="1">
      <alignment wrapText="1"/>
    </xf>
    <xf numFmtId="0" fontId="0" fillId="42" borderId="149" xfId="0" applyFont="1" applyFill="1" applyBorder="1"/>
    <xf numFmtId="167" fontId="0" fillId="42" borderId="149" xfId="10" applyFont="1" applyFill="1" applyBorder="1"/>
    <xf numFmtId="0" fontId="0" fillId="42" borderId="159" xfId="0" applyFont="1" applyFill="1" applyBorder="1"/>
    <xf numFmtId="0" fontId="11" fillId="42" borderId="149" xfId="0" applyFont="1" applyFill="1" applyBorder="1" applyAlignment="1" applyProtection="1">
      <alignment horizontal="center" vertical="center" wrapText="1"/>
      <protection locked="0"/>
    </xf>
    <xf numFmtId="0" fontId="0" fillId="42" borderId="149" xfId="0" applyFont="1" applyFill="1" applyBorder="1" applyAlignment="1">
      <alignment horizontal="center" vertical="center"/>
    </xf>
    <xf numFmtId="3" fontId="8" fillId="42" borderId="148" xfId="0" applyNumberFormat="1" applyFont="1" applyFill="1" applyBorder="1" applyAlignment="1">
      <alignment horizontal="center" vertical="center" wrapText="1"/>
    </xf>
    <xf numFmtId="0" fontId="7" fillId="42" borderId="30" xfId="8" applyFont="1" applyFill="1" applyBorder="1" applyAlignment="1">
      <alignment horizontal="center" vertical="center" wrapText="1"/>
    </xf>
    <xf numFmtId="0" fontId="11" fillId="43" borderId="148" xfId="0" applyFont="1" applyFill="1" applyBorder="1" applyAlignment="1">
      <alignment horizontal="center" vertical="center" wrapText="1"/>
    </xf>
    <xf numFmtId="0" fontId="0" fillId="43" borderId="148" xfId="0" applyFont="1" applyFill="1" applyBorder="1" applyAlignment="1" applyProtection="1">
      <alignment horizontal="center" vertical="center" wrapText="1"/>
      <protection locked="0"/>
    </xf>
    <xf numFmtId="0" fontId="11" fillId="43" borderId="148" xfId="0" applyFont="1" applyFill="1" applyBorder="1" applyAlignment="1">
      <alignment horizontal="center" vertical="top"/>
    </xf>
    <xf numFmtId="0" fontId="11" fillId="43" borderId="148" xfId="0" applyFont="1" applyFill="1" applyBorder="1" applyAlignment="1">
      <alignment horizontal="center" vertical="center"/>
    </xf>
    <xf numFmtId="3" fontId="11" fillId="43" borderId="148" xfId="9" applyNumberFormat="1" applyFont="1" applyFill="1" applyBorder="1" applyAlignment="1">
      <alignment horizontal="center" vertical="center"/>
    </xf>
    <xf numFmtId="3" fontId="11" fillId="43" borderId="148" xfId="0" applyNumberFormat="1" applyFont="1" applyFill="1" applyBorder="1" applyAlignment="1">
      <alignment horizontal="center" vertical="center"/>
    </xf>
    <xf numFmtId="3" fontId="8" fillId="43" borderId="148" xfId="0" applyNumberFormat="1" applyFont="1" applyFill="1" applyBorder="1" applyAlignment="1">
      <alignment horizontal="center" vertical="center"/>
    </xf>
    <xf numFmtId="0" fontId="11" fillId="43" borderId="32" xfId="0" applyFont="1" applyFill="1" applyBorder="1" applyAlignment="1">
      <alignment horizontal="center" vertical="center" wrapText="1"/>
    </xf>
    <xf numFmtId="0" fontId="0" fillId="43" borderId="32" xfId="8" applyFont="1" applyFill="1" applyBorder="1" applyAlignment="1">
      <alignment horizontal="center" vertical="center"/>
    </xf>
    <xf numFmtId="0" fontId="0" fillId="43" borderId="32" xfId="8" applyFont="1" applyFill="1" applyBorder="1" applyAlignment="1">
      <alignment horizontal="center" vertical="center" wrapText="1"/>
    </xf>
    <xf numFmtId="0" fontId="11" fillId="43" borderId="148" xfId="8" applyFont="1" applyFill="1" applyBorder="1" applyAlignment="1">
      <alignment horizontal="center" vertical="center" wrapText="1"/>
    </xf>
    <xf numFmtId="0" fontId="0" fillId="43" borderId="148" xfId="8" applyFont="1" applyFill="1" applyBorder="1" applyAlignment="1">
      <alignment horizontal="center" vertical="center"/>
    </xf>
    <xf numFmtId="3" fontId="0" fillId="43" borderId="148" xfId="8" applyNumberFormat="1" applyFont="1" applyFill="1" applyBorder="1" applyAlignment="1">
      <alignment horizontal="center" vertical="center" wrapText="1"/>
    </xf>
    <xf numFmtId="3" fontId="0" fillId="43" borderId="148" xfId="8" applyNumberFormat="1" applyFont="1" applyFill="1" applyBorder="1" applyAlignment="1">
      <alignment horizontal="center" vertical="center"/>
    </xf>
    <xf numFmtId="0" fontId="0" fillId="43" borderId="148" xfId="0" applyFont="1" applyFill="1" applyBorder="1"/>
    <xf numFmtId="0" fontId="0" fillId="43" borderId="148" xfId="0" applyFont="1" applyFill="1" applyBorder="1" applyAlignment="1">
      <alignment horizontal="center" vertical="center" wrapText="1"/>
    </xf>
    <xf numFmtId="0" fontId="0" fillId="43" borderId="94" xfId="0" applyFont="1" applyFill="1" applyBorder="1"/>
    <xf numFmtId="0" fontId="0" fillId="43" borderId="148" xfId="0" applyFont="1" applyFill="1" applyBorder="1" applyAlignment="1">
      <alignment horizontal="center" vertical="center"/>
    </xf>
    <xf numFmtId="0" fontId="0" fillId="43" borderId="148" xfId="0" applyFont="1" applyFill="1" applyBorder="1" applyAlignment="1">
      <alignment horizontal="center" vertical="top" wrapText="1"/>
    </xf>
    <xf numFmtId="3" fontId="10" fillId="43" borderId="148" xfId="8" applyNumberFormat="1" applyFont="1" applyFill="1" applyBorder="1" applyAlignment="1">
      <alignment horizontal="center" vertical="center" wrapText="1"/>
    </xf>
    <xf numFmtId="0" fontId="11" fillId="43" borderId="148" xfId="0" applyFont="1" applyFill="1" applyBorder="1" applyAlignment="1">
      <alignment horizontal="center" vertical="top" wrapText="1"/>
    </xf>
    <xf numFmtId="187" fontId="0" fillId="43" borderId="148" xfId="0" applyNumberFormat="1" applyFont="1" applyFill="1" applyBorder="1" applyAlignment="1">
      <alignment horizontal="center" vertical="center"/>
    </xf>
    <xf numFmtId="3" fontId="11" fillId="43" borderId="148" xfId="9" applyNumberFormat="1" applyFont="1" applyFill="1" applyBorder="1" applyAlignment="1">
      <alignment horizontal="center" vertical="center" wrapText="1"/>
    </xf>
    <xf numFmtId="3" fontId="11" fillId="43" borderId="148" xfId="0" applyNumberFormat="1" applyFont="1" applyFill="1" applyBorder="1" applyAlignment="1">
      <alignment horizontal="center" vertical="center" wrapText="1"/>
    </xf>
    <xf numFmtId="3" fontId="8" fillId="43" borderId="148" xfId="0" applyNumberFormat="1" applyFont="1" applyFill="1" applyBorder="1" applyAlignment="1">
      <alignment horizontal="center" vertical="center" wrapText="1"/>
    </xf>
    <xf numFmtId="9" fontId="0" fillId="43" borderId="148" xfId="0" applyNumberFormat="1" applyFont="1" applyFill="1" applyBorder="1"/>
    <xf numFmtId="0" fontId="0" fillId="43" borderId="148" xfId="0" applyFont="1" applyFill="1" applyBorder="1" applyAlignment="1">
      <alignment horizontal="center" wrapText="1"/>
    </xf>
    <xf numFmtId="0" fontId="11" fillId="43" borderId="149" xfId="8" applyFont="1" applyFill="1" applyBorder="1" applyAlignment="1">
      <alignment horizontal="center" vertical="center" wrapText="1"/>
    </xf>
    <xf numFmtId="0" fontId="0" fillId="43" borderId="149" xfId="8" applyFont="1" applyFill="1" applyBorder="1" applyAlignment="1">
      <alignment horizontal="center" vertical="center"/>
    </xf>
    <xf numFmtId="0" fontId="0" fillId="43" borderId="149" xfId="8" applyFont="1" applyFill="1" applyBorder="1" applyAlignment="1">
      <alignment horizontal="center" vertical="center" wrapText="1"/>
    </xf>
    <xf numFmtId="3" fontId="0" fillId="43" borderId="149" xfId="8" applyNumberFormat="1" applyFont="1" applyFill="1" applyBorder="1" applyAlignment="1">
      <alignment horizontal="center" vertical="center"/>
    </xf>
    <xf numFmtId="0" fontId="0" fillId="43" borderId="149" xfId="0" applyFont="1" applyFill="1" applyBorder="1" applyAlignment="1">
      <alignment horizontal="center" vertical="center" wrapText="1"/>
    </xf>
    <xf numFmtId="187" fontId="0" fillId="43" borderId="149" xfId="0" applyNumberFormat="1" applyFont="1" applyFill="1" applyBorder="1" applyAlignment="1">
      <alignment horizontal="center" vertical="center"/>
    </xf>
    <xf numFmtId="0" fontId="0" fillId="43" borderId="149" xfId="0" applyFont="1" applyFill="1" applyBorder="1"/>
    <xf numFmtId="0" fontId="0" fillId="43" borderId="149" xfId="0" applyFont="1" applyFill="1" applyBorder="1" applyAlignment="1">
      <alignment horizontal="center" vertical="center"/>
    </xf>
    <xf numFmtId="0" fontId="0" fillId="43" borderId="159" xfId="0" applyFont="1" applyFill="1" applyBorder="1"/>
    <xf numFmtId="9" fontId="52" fillId="43" borderId="32" xfId="0" applyNumberFormat="1" applyFont="1" applyFill="1" applyBorder="1" applyAlignment="1">
      <alignment horizontal="center" vertical="center" wrapText="1"/>
    </xf>
    <xf numFmtId="0" fontId="11" fillId="29" borderId="148" xfId="8" applyFont="1" applyFill="1" applyBorder="1" applyAlignment="1">
      <alignment horizontal="center" vertical="center" wrapText="1"/>
    </xf>
    <xf numFmtId="0" fontId="11" fillId="29" borderId="148" xfId="8" applyFont="1" applyFill="1" applyBorder="1" applyAlignment="1">
      <alignment horizontal="center" vertical="center"/>
    </xf>
    <xf numFmtId="0" fontId="0" fillId="29" borderId="148" xfId="8" applyFont="1" applyFill="1" applyBorder="1" applyAlignment="1">
      <alignment horizontal="center" vertical="center"/>
    </xf>
    <xf numFmtId="3" fontId="0" fillId="29" borderId="148" xfId="8" applyNumberFormat="1" applyFont="1" applyFill="1" applyBorder="1" applyAlignment="1">
      <alignment horizontal="center" vertical="center"/>
    </xf>
    <xf numFmtId="0" fontId="0" fillId="29" borderId="148" xfId="0" applyFont="1" applyFill="1" applyBorder="1" applyAlignment="1">
      <alignment vertical="top" wrapText="1"/>
    </xf>
    <xf numFmtId="0" fontId="0" fillId="29" borderId="148" xfId="0" applyFont="1" applyFill="1" applyBorder="1" applyAlignment="1">
      <alignment vertical="center" wrapText="1"/>
    </xf>
    <xf numFmtId="0" fontId="0" fillId="29" borderId="148" xfId="0" applyFont="1" applyFill="1" applyBorder="1" applyAlignment="1">
      <alignment vertical="center"/>
    </xf>
    <xf numFmtId="174" fontId="0" fillId="29" borderId="148" xfId="0" applyNumberFormat="1" applyFont="1" applyFill="1" applyBorder="1" applyAlignment="1">
      <alignment vertical="center"/>
    </xf>
    <xf numFmtId="174" fontId="0" fillId="29" borderId="148" xfId="9" applyNumberFormat="1" applyFont="1" applyFill="1" applyBorder="1" applyAlignment="1">
      <alignment vertical="center"/>
    </xf>
    <xf numFmtId="0" fontId="10" fillId="29" borderId="148" xfId="0" applyFont="1" applyFill="1" applyBorder="1" applyAlignment="1">
      <alignment horizontal="center" vertical="center"/>
    </xf>
    <xf numFmtId="0" fontId="0" fillId="29" borderId="148" xfId="0" applyFont="1" applyFill="1" applyBorder="1" applyAlignment="1">
      <alignment horizontal="center" vertical="center"/>
    </xf>
    <xf numFmtId="0" fontId="11" fillId="80" borderId="148" xfId="0" applyFont="1" applyFill="1" applyBorder="1" applyAlignment="1">
      <alignment horizontal="center" vertical="center" wrapText="1"/>
    </xf>
    <xf numFmtId="0" fontId="11" fillId="80" borderId="148" xfId="0" applyFont="1" applyFill="1" applyBorder="1" applyAlignment="1">
      <alignment horizontal="center" vertical="top" wrapText="1"/>
    </xf>
    <xf numFmtId="3" fontId="11" fillId="80" borderId="148" xfId="9" applyNumberFormat="1" applyFont="1" applyFill="1" applyBorder="1" applyAlignment="1">
      <alignment horizontal="center" vertical="center" wrapText="1"/>
    </xf>
    <xf numFmtId="3" fontId="0" fillId="80" borderId="148" xfId="0" applyNumberFormat="1" applyFont="1" applyFill="1" applyBorder="1" applyAlignment="1">
      <alignment horizontal="center" vertical="center" wrapText="1"/>
    </xf>
    <xf numFmtId="3" fontId="11" fillId="80" borderId="148" xfId="0" applyNumberFormat="1" applyFont="1" applyFill="1" applyBorder="1" applyAlignment="1">
      <alignment horizontal="center" vertical="center" wrapText="1"/>
    </xf>
    <xf numFmtId="3" fontId="8" fillId="80" borderId="148" xfId="0" applyNumberFormat="1" applyFont="1" applyFill="1" applyBorder="1" applyAlignment="1">
      <alignment horizontal="center" vertical="center" wrapText="1"/>
    </xf>
    <xf numFmtId="0" fontId="0" fillId="29" borderId="32" xfId="8" applyFont="1" applyFill="1" applyBorder="1" applyAlignment="1">
      <alignment horizontal="center" vertical="center"/>
    </xf>
    <xf numFmtId="0" fontId="0" fillId="29" borderId="32" xfId="8" applyFont="1" applyFill="1" applyBorder="1" applyAlignment="1">
      <alignment horizontal="center" vertical="center" wrapText="1"/>
    </xf>
    <xf numFmtId="3" fontId="0" fillId="29" borderId="148" xfId="8" applyNumberFormat="1" applyFont="1" applyFill="1" applyBorder="1" applyAlignment="1">
      <alignment horizontal="center" vertical="center" wrapText="1"/>
    </xf>
    <xf numFmtId="0" fontId="0" fillId="29" borderId="148" xfId="0" applyFont="1" applyFill="1" applyBorder="1" applyAlignment="1">
      <alignment wrapText="1"/>
    </xf>
    <xf numFmtId="0" fontId="3" fillId="80" borderId="148" xfId="0" applyFont="1" applyFill="1" applyBorder="1" applyAlignment="1">
      <alignment horizontal="center" vertical="center" wrapText="1"/>
    </xf>
    <xf numFmtId="3" fontId="7" fillId="80" borderId="148" xfId="0" applyNumberFormat="1" applyFont="1" applyFill="1" applyBorder="1" applyAlignment="1">
      <alignment horizontal="center" vertical="center" wrapText="1"/>
    </xf>
    <xf numFmtId="0" fontId="0" fillId="29" borderId="149" xfId="0" applyFont="1" applyFill="1" applyBorder="1" applyAlignment="1">
      <alignment horizontal="center" vertical="center"/>
    </xf>
    <xf numFmtId="0" fontId="11" fillId="29" borderId="149" xfId="8" applyFont="1" applyFill="1" applyBorder="1" applyAlignment="1">
      <alignment horizontal="center" vertical="center"/>
    </xf>
    <xf numFmtId="0" fontId="0" fillId="29" borderId="149" xfId="8" applyFont="1" applyFill="1" applyBorder="1" applyAlignment="1">
      <alignment horizontal="center" vertical="center" wrapText="1"/>
    </xf>
    <xf numFmtId="0" fontId="0" fillId="29" borderId="149" xfId="8" applyFont="1" applyFill="1" applyBorder="1" applyAlignment="1">
      <alignment horizontal="center" vertical="center"/>
    </xf>
    <xf numFmtId="3" fontId="0" fillId="29" borderId="149" xfId="8" applyNumberFormat="1" applyFont="1" applyFill="1" applyBorder="1" applyAlignment="1">
      <alignment horizontal="center" vertical="center"/>
    </xf>
    <xf numFmtId="0" fontId="0" fillId="29" borderId="149" xfId="0" applyFont="1" applyFill="1" applyBorder="1" applyAlignment="1">
      <alignment vertical="top" wrapText="1"/>
    </xf>
    <xf numFmtId="174" fontId="0" fillId="29" borderId="149" xfId="0" applyNumberFormat="1" applyFont="1" applyFill="1" applyBorder="1" applyAlignment="1">
      <alignment vertical="center"/>
    </xf>
    <xf numFmtId="0" fontId="0" fillId="29" borderId="94" xfId="0" applyFont="1" applyFill="1" applyBorder="1" applyAlignment="1">
      <alignment vertical="center"/>
    </xf>
    <xf numFmtId="9" fontId="52" fillId="29" borderId="32" xfId="0" applyNumberFormat="1" applyFont="1" applyFill="1" applyBorder="1" applyAlignment="1">
      <alignment horizontal="center" vertical="center" wrapText="1"/>
    </xf>
    <xf numFmtId="0" fontId="0" fillId="39" borderId="148" xfId="0" applyFont="1" applyFill="1" applyBorder="1" applyAlignment="1">
      <alignment horizontal="center"/>
    </xf>
    <xf numFmtId="0" fontId="11" fillId="39" borderId="148" xfId="0" applyFont="1" applyFill="1" applyBorder="1" applyAlignment="1">
      <alignment horizontal="center" vertical="center"/>
    </xf>
    <xf numFmtId="0" fontId="11" fillId="39" borderId="32" xfId="0" applyFont="1" applyFill="1" applyBorder="1" applyAlignment="1">
      <alignment vertical="top" wrapText="1"/>
    </xf>
    <xf numFmtId="0" fontId="11" fillId="81" borderId="148" xfId="0" applyFont="1" applyFill="1" applyBorder="1" applyAlignment="1">
      <alignment horizontal="center" vertical="center" wrapText="1"/>
    </xf>
    <xf numFmtId="3" fontId="11" fillId="39" borderId="148" xfId="9" applyNumberFormat="1" applyFont="1" applyFill="1" applyBorder="1" applyAlignment="1">
      <alignment horizontal="center" vertical="center"/>
    </xf>
    <xf numFmtId="3" fontId="11" fillId="39" borderId="148" xfId="0" applyNumberFormat="1" applyFont="1" applyFill="1" applyBorder="1" applyAlignment="1">
      <alignment horizontal="center" vertical="center"/>
    </xf>
    <xf numFmtId="3" fontId="8" fillId="39" borderId="148" xfId="0" applyNumberFormat="1" applyFont="1" applyFill="1" applyBorder="1" applyAlignment="1">
      <alignment horizontal="center" vertical="center"/>
    </xf>
    <xf numFmtId="0" fontId="3" fillId="39" borderId="32" xfId="8" applyFont="1" applyFill="1" applyBorder="1" applyAlignment="1">
      <alignment horizontal="center" vertical="center"/>
    </xf>
    <xf numFmtId="0" fontId="0" fillId="39" borderId="32" xfId="8" applyFont="1" applyFill="1" applyBorder="1" applyAlignment="1">
      <alignment horizontal="center" vertical="center" wrapText="1"/>
    </xf>
    <xf numFmtId="0" fontId="11" fillId="39" borderId="148" xfId="8" applyFont="1" applyFill="1" applyBorder="1" applyAlignment="1">
      <alignment horizontal="center" vertical="center" wrapText="1"/>
    </xf>
    <xf numFmtId="0" fontId="3" fillId="39" borderId="148" xfId="8" applyFont="1" applyFill="1" applyBorder="1" applyAlignment="1">
      <alignment horizontal="center" vertical="center"/>
    </xf>
    <xf numFmtId="3" fontId="0" fillId="39" borderId="148" xfId="8" applyNumberFormat="1" applyFont="1" applyFill="1" applyBorder="1" applyAlignment="1">
      <alignment horizontal="center" vertical="center" wrapText="1"/>
    </xf>
    <xf numFmtId="3" fontId="0" fillId="39" borderId="148" xfId="8" applyNumberFormat="1" applyFont="1" applyFill="1" applyBorder="1" applyAlignment="1">
      <alignment horizontal="center" vertical="center"/>
    </xf>
    <xf numFmtId="0" fontId="0" fillId="39" borderId="148" xfId="0" applyFont="1" applyFill="1" applyBorder="1" applyAlignment="1">
      <alignment horizontal="center" vertical="center" wrapText="1"/>
    </xf>
    <xf numFmtId="176" fontId="0" fillId="39" borderId="148" xfId="0" applyNumberFormat="1" applyFont="1" applyFill="1" applyBorder="1" applyAlignment="1">
      <alignment horizontal="center" vertical="center"/>
    </xf>
    <xf numFmtId="0" fontId="0" fillId="39" borderId="179" xfId="0" applyFont="1" applyFill="1" applyBorder="1" applyAlignment="1">
      <alignment horizontal="center"/>
    </xf>
    <xf numFmtId="0" fontId="0" fillId="39" borderId="154" xfId="0" applyFont="1" applyFill="1" applyBorder="1" applyAlignment="1">
      <alignment horizontal="center"/>
    </xf>
    <xf numFmtId="0" fontId="11" fillId="39" borderId="148" xfId="0" applyFont="1" applyFill="1" applyBorder="1" applyAlignment="1">
      <alignment horizontal="center" vertical="top" wrapText="1"/>
    </xf>
    <xf numFmtId="0" fontId="0" fillId="39" borderId="148" xfId="0" applyFont="1" applyFill="1" applyBorder="1" applyAlignment="1">
      <alignment horizontal="center" vertical="center"/>
    </xf>
    <xf numFmtId="164" fontId="0" fillId="39" borderId="148" xfId="4" applyFont="1" applyFill="1" applyBorder="1" applyAlignment="1">
      <alignment horizontal="center" vertical="center"/>
    </xf>
    <xf numFmtId="0" fontId="0" fillId="39" borderId="179" xfId="0" applyFont="1" applyFill="1" applyBorder="1" applyAlignment="1">
      <alignment horizontal="center" vertical="center"/>
    </xf>
    <xf numFmtId="0" fontId="11" fillId="39" borderId="149" xfId="8" applyFont="1" applyFill="1" applyBorder="1" applyAlignment="1">
      <alignment horizontal="center" vertical="center" wrapText="1"/>
    </xf>
    <xf numFmtId="0" fontId="0" fillId="39" borderId="149" xfId="8" applyFont="1" applyFill="1" applyBorder="1" applyAlignment="1">
      <alignment horizontal="center" vertical="center" wrapText="1"/>
    </xf>
    <xf numFmtId="0" fontId="7" fillId="39" borderId="30" xfId="8" applyFont="1" applyFill="1" applyBorder="1" applyAlignment="1">
      <alignment horizontal="center" vertical="center" wrapText="1"/>
    </xf>
    <xf numFmtId="0" fontId="11" fillId="38" borderId="148" xfId="8" applyFont="1" applyFill="1" applyBorder="1" applyAlignment="1">
      <alignment horizontal="center" vertical="center" wrapText="1"/>
    </xf>
    <xf numFmtId="0" fontId="0" fillId="38" borderId="148" xfId="8" applyFont="1" applyFill="1" applyBorder="1" applyAlignment="1">
      <alignment horizontal="center" vertical="center" wrapText="1"/>
    </xf>
    <xf numFmtId="3" fontId="0" fillId="38" borderId="148" xfId="8" applyNumberFormat="1" applyFont="1" applyFill="1" applyBorder="1" applyAlignment="1">
      <alignment horizontal="center" vertical="center"/>
    </xf>
    <xf numFmtId="9" fontId="0" fillId="38" borderId="148" xfId="0" applyNumberFormat="1" applyFont="1" applyFill="1" applyBorder="1"/>
    <xf numFmtId="0" fontId="0" fillId="38" borderId="148" xfId="0" applyFont="1" applyFill="1" applyBorder="1" applyAlignment="1">
      <alignment wrapText="1"/>
    </xf>
    <xf numFmtId="0" fontId="0" fillId="38" borderId="148" xfId="0" applyFont="1" applyFill="1" applyBorder="1" applyAlignment="1">
      <alignment horizontal="left" vertical="center" wrapText="1"/>
    </xf>
    <xf numFmtId="0" fontId="0" fillId="38" borderId="0" xfId="0" applyFont="1" applyFill="1" applyBorder="1"/>
    <xf numFmtId="0" fontId="11" fillId="38" borderId="148" xfId="0" applyFont="1" applyFill="1" applyBorder="1" applyAlignment="1" applyProtection="1">
      <alignment horizontal="center" vertical="center" wrapText="1"/>
      <protection locked="0"/>
    </xf>
    <xf numFmtId="0" fontId="11" fillId="82" borderId="148" xfId="0" applyFont="1" applyFill="1" applyBorder="1" applyAlignment="1">
      <alignment horizontal="center" vertical="top" wrapText="1"/>
    </xf>
    <xf numFmtId="0" fontId="11" fillId="82" borderId="148" xfId="0" applyFont="1" applyFill="1" applyBorder="1" applyAlignment="1">
      <alignment horizontal="center" vertical="center" wrapText="1"/>
    </xf>
    <xf numFmtId="3" fontId="0" fillId="82" borderId="148" xfId="9" applyNumberFormat="1" applyFont="1" applyFill="1" applyBorder="1" applyAlignment="1">
      <alignment horizontal="center" vertical="center" wrapText="1"/>
    </xf>
    <xf numFmtId="3" fontId="11" fillId="82" borderId="148" xfId="9" applyNumberFormat="1" applyFont="1" applyFill="1" applyBorder="1" applyAlignment="1">
      <alignment horizontal="center" vertical="center" wrapText="1"/>
    </xf>
    <xf numFmtId="3" fontId="11" fillId="82" borderId="148" xfId="0" applyNumberFormat="1" applyFont="1" applyFill="1" applyBorder="1" applyAlignment="1">
      <alignment horizontal="center" vertical="center" wrapText="1"/>
    </xf>
    <xf numFmtId="3" fontId="8" fillId="82" borderId="148" xfId="0" applyNumberFormat="1" applyFont="1" applyFill="1" applyBorder="1" applyAlignment="1">
      <alignment horizontal="center" vertical="center" wrapText="1"/>
    </xf>
    <xf numFmtId="3" fontId="11" fillId="38" borderId="148" xfId="0" applyNumberFormat="1" applyFont="1" applyFill="1" applyBorder="1" applyAlignment="1">
      <alignment horizontal="center" vertical="center"/>
    </xf>
    <xf numFmtId="0" fontId="0" fillId="38" borderId="32" xfId="8" applyFont="1" applyFill="1" applyBorder="1" applyAlignment="1">
      <alignment horizontal="center" vertical="center" wrapText="1"/>
    </xf>
    <xf numFmtId="0" fontId="10" fillId="41" borderId="154" xfId="0" applyFont="1" applyFill="1" applyBorder="1" applyAlignment="1" applyProtection="1">
      <alignment horizontal="center" vertical="center" wrapText="1"/>
      <protection locked="0"/>
    </xf>
    <xf numFmtId="0" fontId="11" fillId="41" borderId="148" xfId="0" applyFont="1" applyFill="1" applyBorder="1" applyAlignment="1">
      <alignment horizontal="center" vertical="top"/>
    </xf>
    <xf numFmtId="3" fontId="11" fillId="41" borderId="148" xfId="9" applyNumberFormat="1" applyFont="1" applyFill="1" applyBorder="1" applyAlignment="1">
      <alignment horizontal="center" vertical="center"/>
    </xf>
    <xf numFmtId="3" fontId="11" fillId="41" borderId="148" xfId="0" applyNumberFormat="1" applyFont="1" applyFill="1" applyBorder="1" applyAlignment="1">
      <alignment horizontal="center" vertical="center"/>
    </xf>
    <xf numFmtId="3" fontId="8" fillId="41" borderId="148" xfId="0" applyNumberFormat="1" applyFont="1" applyFill="1" applyBorder="1" applyAlignment="1">
      <alignment horizontal="center" vertical="center"/>
    </xf>
    <xf numFmtId="0" fontId="0" fillId="41" borderId="32" xfId="8" applyFont="1" applyFill="1" applyBorder="1" applyAlignment="1">
      <alignment horizontal="center" vertical="center"/>
    </xf>
    <xf numFmtId="0" fontId="0" fillId="41" borderId="32" xfId="8" applyFont="1" applyFill="1" applyBorder="1" applyAlignment="1">
      <alignment horizontal="center" vertical="center" wrapText="1"/>
    </xf>
    <xf numFmtId="0" fontId="11" fillId="41" borderId="148" xfId="8" applyFont="1" applyFill="1" applyBorder="1" applyAlignment="1">
      <alignment horizontal="center" vertical="center" wrapText="1"/>
    </xf>
    <xf numFmtId="0" fontId="0" fillId="41" borderId="148" xfId="8" applyFont="1" applyFill="1" applyBorder="1" applyAlignment="1">
      <alignment horizontal="center" vertical="center"/>
    </xf>
    <xf numFmtId="0" fontId="0" fillId="41" borderId="148" xfId="8" applyFont="1" applyFill="1" applyBorder="1" applyAlignment="1">
      <alignment horizontal="justify" vertical="center" wrapText="1"/>
    </xf>
    <xf numFmtId="3" fontId="0" fillId="41" borderId="148" xfId="8" applyNumberFormat="1" applyFont="1" applyFill="1" applyBorder="1" applyAlignment="1">
      <alignment horizontal="right" vertical="center"/>
    </xf>
    <xf numFmtId="0" fontId="11" fillId="41" borderId="148" xfId="0" applyFont="1" applyFill="1" applyBorder="1" applyAlignment="1" applyProtection="1">
      <alignment horizontal="center" vertical="center" wrapText="1"/>
      <protection locked="0"/>
    </xf>
    <xf numFmtId="0" fontId="0" fillId="41" borderId="149" xfId="8" applyFont="1" applyFill="1" applyBorder="1" applyAlignment="1">
      <alignment horizontal="center" vertical="center" wrapText="1"/>
    </xf>
    <xf numFmtId="0" fontId="10" fillId="41" borderId="154" xfId="0" applyFont="1" applyFill="1" applyBorder="1" applyAlignment="1">
      <alignment horizontal="center" vertical="center"/>
    </xf>
    <xf numFmtId="3" fontId="10" fillId="41" borderId="32" xfId="0" applyNumberFormat="1" applyFont="1" applyFill="1" applyBorder="1" applyAlignment="1">
      <alignment horizontal="center" vertical="center"/>
    </xf>
    <xf numFmtId="0" fontId="11" fillId="83" borderId="148" xfId="0" applyFont="1" applyFill="1" applyBorder="1" applyAlignment="1">
      <alignment horizontal="center" vertical="center" wrapText="1"/>
    </xf>
    <xf numFmtId="0" fontId="11" fillId="83" borderId="148" xfId="0" applyFont="1" applyFill="1" applyBorder="1" applyAlignment="1">
      <alignment horizontal="center" vertical="top" wrapText="1"/>
    </xf>
    <xf numFmtId="3" fontId="11" fillId="83" borderId="148" xfId="9" applyNumberFormat="1" applyFont="1" applyFill="1" applyBorder="1" applyAlignment="1">
      <alignment horizontal="center" vertical="center" wrapText="1"/>
    </xf>
    <xf numFmtId="3" fontId="11" fillId="83" borderId="148" xfId="0" applyNumberFormat="1" applyFont="1" applyFill="1" applyBorder="1" applyAlignment="1">
      <alignment horizontal="center" vertical="center" wrapText="1"/>
    </xf>
    <xf numFmtId="3" fontId="8" fillId="83" borderId="148" xfId="0" applyNumberFormat="1" applyFont="1" applyFill="1" applyBorder="1" applyAlignment="1">
      <alignment horizontal="center" vertical="center" wrapText="1"/>
    </xf>
    <xf numFmtId="3" fontId="11" fillId="83" borderId="148" xfId="0" applyNumberFormat="1" applyFont="1" applyFill="1" applyBorder="1" applyAlignment="1">
      <alignment horizontal="center" vertical="center"/>
    </xf>
    <xf numFmtId="0" fontId="3" fillId="38" borderId="148" xfId="0" applyFont="1" applyFill="1" applyBorder="1" applyAlignment="1">
      <alignment horizontal="center" vertical="center"/>
    </xf>
    <xf numFmtId="0" fontId="0" fillId="38" borderId="148" xfId="0" applyFont="1" applyFill="1" applyBorder="1" applyAlignment="1">
      <alignment horizontal="center" vertical="center"/>
    </xf>
    <xf numFmtId="9" fontId="52" fillId="40" borderId="32" xfId="0" applyNumberFormat="1" applyFont="1" applyFill="1" applyBorder="1" applyAlignment="1">
      <alignment horizontal="center" vertical="center" wrapText="1"/>
    </xf>
    <xf numFmtId="9" fontId="52" fillId="7" borderId="8" xfId="0" applyNumberFormat="1" applyFont="1" applyFill="1" applyBorder="1" applyAlignment="1">
      <alignment horizontal="center" vertical="center" wrapText="1"/>
    </xf>
    <xf numFmtId="9" fontId="52" fillId="51" borderId="32" xfId="0" applyNumberFormat="1" applyFont="1" applyFill="1" applyBorder="1" applyAlignment="1">
      <alignment horizontal="center" vertical="center" wrapText="1"/>
    </xf>
    <xf numFmtId="3" fontId="0" fillId="40" borderId="32" xfId="0" applyNumberFormat="1" applyFont="1" applyFill="1" applyBorder="1" applyAlignment="1">
      <alignment horizontal="center" vertical="center"/>
    </xf>
    <xf numFmtId="0" fontId="11" fillId="40" borderId="148" xfId="0" applyFont="1" applyFill="1" applyBorder="1" applyAlignment="1">
      <alignment horizontal="center" vertical="center" wrapText="1"/>
    </xf>
    <xf numFmtId="0" fontId="0" fillId="7" borderId="32" xfId="0" applyFont="1" applyFill="1" applyBorder="1" applyAlignment="1">
      <alignment horizontal="center" vertical="center" wrapText="1"/>
    </xf>
    <xf numFmtId="3" fontId="0" fillId="41" borderId="32" xfId="0" applyNumberFormat="1" applyFont="1" applyFill="1" applyBorder="1" applyAlignment="1">
      <alignment horizontal="center" vertical="center"/>
    </xf>
    <xf numFmtId="3" fontId="0" fillId="40" borderId="32" xfId="0" applyNumberFormat="1" applyFont="1" applyFill="1" applyBorder="1" applyAlignment="1">
      <alignment horizontal="center" vertical="center" wrapText="1"/>
    </xf>
    <xf numFmtId="0" fontId="10" fillId="44" borderId="32" xfId="0" applyFont="1" applyFill="1" applyBorder="1" applyAlignment="1">
      <alignment horizontal="center" vertical="center" wrapText="1"/>
    </xf>
    <xf numFmtId="0" fontId="0" fillId="40" borderId="32" xfId="0" applyFont="1" applyFill="1" applyBorder="1" applyAlignment="1">
      <alignment horizontal="center" vertical="center" wrapText="1"/>
    </xf>
    <xf numFmtId="9" fontId="0" fillId="44" borderId="32" xfId="0" applyNumberFormat="1" applyFont="1" applyFill="1" applyBorder="1" applyAlignment="1">
      <alignment horizontal="center" vertical="center"/>
    </xf>
    <xf numFmtId="0" fontId="0" fillId="38" borderId="32" xfId="0" applyFont="1" applyFill="1" applyBorder="1" applyAlignment="1">
      <alignment horizontal="center" vertical="center" wrapText="1"/>
    </xf>
    <xf numFmtId="0" fontId="0" fillId="41" borderId="32" xfId="0" applyFont="1" applyFill="1" applyBorder="1" applyAlignment="1">
      <alignment horizontal="center" vertical="center" wrapText="1"/>
    </xf>
    <xf numFmtId="9" fontId="0" fillId="41" borderId="32" xfId="0" applyNumberFormat="1" applyFont="1" applyFill="1" applyBorder="1" applyAlignment="1">
      <alignment horizontal="center" vertical="center"/>
    </xf>
    <xf numFmtId="0" fontId="10" fillId="42" borderId="30" xfId="0" applyFont="1" applyFill="1" applyBorder="1" applyAlignment="1">
      <alignment horizontal="center" vertical="center" wrapText="1"/>
    </xf>
    <xf numFmtId="0" fontId="8" fillId="41" borderId="32" xfId="0" applyFont="1" applyFill="1" applyBorder="1" applyAlignment="1">
      <alignment horizontal="center" vertical="center" wrapText="1"/>
    </xf>
    <xf numFmtId="0" fontId="8" fillId="38" borderId="32" xfId="0" applyFont="1" applyFill="1" applyBorder="1" applyAlignment="1">
      <alignment horizontal="center" vertical="center" wrapText="1"/>
    </xf>
    <xf numFmtId="0" fontId="11" fillId="38" borderId="32" xfId="0" applyFont="1" applyFill="1" applyBorder="1" applyAlignment="1">
      <alignment horizontal="center" vertical="center" wrapText="1"/>
    </xf>
    <xf numFmtId="0" fontId="8" fillId="17" borderId="148" xfId="0" applyFont="1" applyFill="1" applyBorder="1" applyAlignment="1">
      <alignment horizontal="center" vertical="center" wrapText="1"/>
    </xf>
    <xf numFmtId="0" fontId="11" fillId="17" borderId="148" xfId="0" applyFont="1" applyFill="1" applyBorder="1" applyAlignment="1">
      <alignment horizontal="center" vertical="center" wrapText="1"/>
    </xf>
    <xf numFmtId="0" fontId="8" fillId="7" borderId="148" xfId="0" applyFont="1" applyFill="1" applyBorder="1" applyAlignment="1">
      <alignment horizontal="center" vertical="center" wrapText="1"/>
    </xf>
    <xf numFmtId="0" fontId="8" fillId="41" borderId="148" xfId="0" applyFont="1" applyFill="1" applyBorder="1" applyAlignment="1">
      <alignment horizontal="center" vertical="center" wrapText="1"/>
    </xf>
    <xf numFmtId="0" fontId="11" fillId="38" borderId="148" xfId="0" applyFont="1" applyFill="1" applyBorder="1" applyAlignment="1">
      <alignment horizontal="center" vertical="center" wrapText="1"/>
    </xf>
    <xf numFmtId="9" fontId="52" fillId="38" borderId="32" xfId="0" applyNumberFormat="1" applyFont="1" applyFill="1" applyBorder="1" applyAlignment="1">
      <alignment horizontal="center" vertical="center" wrapText="1"/>
    </xf>
    <xf numFmtId="9" fontId="52" fillId="41" borderId="32" xfId="0" applyNumberFormat="1" applyFont="1" applyFill="1" applyBorder="1" applyAlignment="1">
      <alignment horizontal="center" vertical="center" wrapText="1"/>
    </xf>
    <xf numFmtId="0" fontId="11" fillId="17" borderId="32" xfId="0" applyFont="1" applyFill="1" applyBorder="1" applyAlignment="1">
      <alignment horizontal="center" vertical="center" wrapText="1"/>
    </xf>
    <xf numFmtId="0" fontId="11" fillId="41" borderId="32" xfId="0" applyFont="1" applyFill="1" applyBorder="1" applyAlignment="1">
      <alignment horizontal="center" vertical="center" wrapText="1"/>
    </xf>
    <xf numFmtId="0" fontId="11" fillId="41" borderId="148" xfId="0" applyFont="1" applyFill="1" applyBorder="1" applyAlignment="1">
      <alignment horizontal="center" vertical="center" wrapText="1"/>
    </xf>
    <xf numFmtId="0" fontId="3" fillId="4" borderId="149" xfId="0" applyFont="1" applyFill="1" applyBorder="1" applyAlignment="1" applyProtection="1">
      <alignment horizontal="center" vertical="center" wrapText="1"/>
      <protection locked="0"/>
    </xf>
    <xf numFmtId="0" fontId="8" fillId="10" borderId="149" xfId="0" applyFont="1" applyFill="1" applyBorder="1" applyAlignment="1" applyProtection="1">
      <alignment horizontal="center" vertical="center" wrapText="1"/>
      <protection locked="0"/>
    </xf>
    <xf numFmtId="0" fontId="3" fillId="41" borderId="30" xfId="0" applyFont="1" applyFill="1" applyBorder="1" applyAlignment="1">
      <alignment horizontal="center" vertical="center" wrapText="1"/>
    </xf>
    <xf numFmtId="0" fontId="8" fillId="41" borderId="30" xfId="0" applyFont="1" applyFill="1" applyBorder="1" applyAlignment="1">
      <alignment horizontal="center" vertical="center" wrapText="1"/>
    </xf>
    <xf numFmtId="9" fontId="51" fillId="38" borderId="32" xfId="5" applyFont="1" applyFill="1" applyBorder="1" applyAlignment="1">
      <alignment horizontal="center" vertical="center"/>
    </xf>
    <xf numFmtId="0" fontId="0" fillId="42" borderId="32" xfId="0" applyFont="1" applyFill="1" applyBorder="1" applyAlignment="1">
      <alignment horizontal="center" vertical="center" wrapText="1"/>
    </xf>
    <xf numFmtId="0" fontId="3" fillId="4" borderId="149" xfId="0" applyFont="1" applyFill="1" applyBorder="1" applyAlignment="1">
      <alignment horizontal="center" vertical="center" wrapText="1"/>
    </xf>
    <xf numFmtId="0" fontId="10" fillId="41" borderId="32" xfId="0" applyFont="1" applyFill="1" applyBorder="1" applyAlignment="1">
      <alignment horizontal="center" vertical="center" wrapText="1"/>
    </xf>
    <xf numFmtId="0" fontId="10" fillId="41" borderId="148" xfId="0" applyFont="1" applyFill="1" applyBorder="1" applyAlignment="1">
      <alignment horizontal="center" vertical="center" wrapText="1"/>
    </xf>
    <xf numFmtId="0" fontId="10" fillId="41" borderId="30" xfId="0" applyFont="1" applyFill="1" applyBorder="1" applyAlignment="1">
      <alignment horizontal="center" vertical="center" wrapText="1"/>
    </xf>
    <xf numFmtId="0" fontId="10" fillId="44" borderId="148" xfId="0" applyFont="1" applyFill="1" applyBorder="1" applyAlignment="1">
      <alignment horizontal="center" vertical="center" wrapText="1"/>
    </xf>
    <xf numFmtId="0" fontId="10" fillId="40" borderId="148" xfId="0" applyFont="1" applyFill="1" applyBorder="1" applyAlignment="1">
      <alignment horizontal="center" vertical="center" wrapText="1"/>
    </xf>
    <xf numFmtId="0" fontId="10" fillId="40" borderId="30" xfId="0" applyFont="1" applyFill="1" applyBorder="1" applyAlignment="1">
      <alignment horizontal="center" vertical="center" wrapText="1"/>
    </xf>
    <xf numFmtId="0" fontId="3" fillId="41" borderId="148" xfId="0" applyFont="1" applyFill="1" applyBorder="1" applyAlignment="1">
      <alignment horizontal="center" vertical="center" wrapText="1"/>
    </xf>
    <xf numFmtId="0" fontId="3" fillId="40" borderId="148" xfId="0" applyFont="1" applyFill="1" applyBorder="1" applyAlignment="1">
      <alignment horizontal="center" vertical="center" wrapText="1"/>
    </xf>
    <xf numFmtId="0" fontId="3" fillId="40" borderId="30" xfId="0" applyFont="1" applyFill="1" applyBorder="1" applyAlignment="1">
      <alignment horizontal="center" vertical="center" wrapText="1"/>
    </xf>
    <xf numFmtId="0" fontId="11" fillId="41" borderId="148" xfId="8" applyFont="1" applyFill="1" applyBorder="1" applyAlignment="1">
      <alignment horizontal="left" vertical="center" wrapText="1"/>
    </xf>
    <xf numFmtId="0" fontId="10" fillId="41" borderId="148" xfId="0" applyFont="1" applyFill="1" applyBorder="1" applyAlignment="1">
      <alignment horizontal="center" wrapText="1"/>
    </xf>
    <xf numFmtId="0" fontId="11" fillId="41" borderId="148" xfId="0" applyFont="1" applyFill="1" applyBorder="1" applyAlignment="1" applyProtection="1">
      <alignment vertical="top" wrapText="1"/>
      <protection locked="0"/>
    </xf>
    <xf numFmtId="0" fontId="10" fillId="41" borderId="154" xfId="0" applyFont="1" applyFill="1" applyBorder="1" applyAlignment="1">
      <alignment wrapText="1"/>
    </xf>
    <xf numFmtId="0" fontId="10" fillId="41" borderId="94" xfId="0" applyFont="1" applyFill="1" applyBorder="1" applyAlignment="1">
      <alignment horizontal="center" vertical="center"/>
    </xf>
    <xf numFmtId="9" fontId="10" fillId="41" borderId="148" xfId="0" applyNumberFormat="1" applyFont="1" applyFill="1" applyBorder="1" applyAlignment="1">
      <alignment horizontal="center" vertical="center"/>
    </xf>
    <xf numFmtId="3" fontId="10" fillId="41" borderId="148" xfId="8" applyNumberFormat="1" applyFont="1" applyFill="1" applyBorder="1" applyAlignment="1">
      <alignment horizontal="center" vertical="center"/>
    </xf>
    <xf numFmtId="0" fontId="10" fillId="41" borderId="148" xfId="8" applyFont="1" applyFill="1" applyBorder="1" applyAlignment="1">
      <alignment horizontal="center" vertical="center" wrapText="1"/>
    </xf>
    <xf numFmtId="9" fontId="0" fillId="41" borderId="148" xfId="0" applyNumberFormat="1" applyFont="1" applyFill="1" applyBorder="1" applyAlignment="1">
      <alignment horizontal="center" vertical="center" wrapText="1"/>
    </xf>
    <xf numFmtId="0" fontId="0" fillId="41" borderId="0" xfId="0" applyFont="1" applyFill="1" applyBorder="1" applyAlignment="1">
      <alignment horizontal="center" vertical="center" wrapText="1"/>
    </xf>
    <xf numFmtId="3" fontId="0" fillId="41" borderId="148" xfId="8" applyNumberFormat="1" applyFont="1" applyFill="1" applyBorder="1" applyAlignment="1">
      <alignment horizontal="center" vertical="center"/>
    </xf>
    <xf numFmtId="0" fontId="0" fillId="41" borderId="94" xfId="0" applyFont="1" applyFill="1" applyBorder="1" applyAlignment="1">
      <alignment horizontal="center" vertical="center"/>
    </xf>
    <xf numFmtId="0" fontId="0" fillId="41" borderId="149" xfId="8" applyFont="1" applyFill="1" applyBorder="1" applyAlignment="1">
      <alignment horizontal="justify" vertical="center" wrapText="1"/>
    </xf>
    <xf numFmtId="3" fontId="0" fillId="41" borderId="149" xfId="8" applyNumberFormat="1" applyFont="1" applyFill="1" applyBorder="1" applyAlignment="1">
      <alignment horizontal="right" vertical="center"/>
    </xf>
    <xf numFmtId="9" fontId="10" fillId="41" borderId="149" xfId="0" applyNumberFormat="1" applyFont="1" applyFill="1" applyBorder="1" applyAlignment="1">
      <alignment horizontal="center" vertical="center"/>
    </xf>
    <xf numFmtId="3" fontId="0" fillId="41" borderId="32" xfId="8" applyNumberFormat="1" applyFont="1" applyFill="1" applyBorder="1" applyAlignment="1">
      <alignment horizontal="center" vertical="center"/>
    </xf>
    <xf numFmtId="0" fontId="11" fillId="41" borderId="32" xfId="0" applyFont="1" applyFill="1" applyBorder="1" applyAlignment="1">
      <alignment horizontal="center" vertical="center"/>
    </xf>
    <xf numFmtId="0" fontId="0" fillId="41" borderId="159" xfId="0" applyFont="1" applyFill="1" applyBorder="1" applyAlignment="1">
      <alignment horizontal="center" vertical="center"/>
    </xf>
    <xf numFmtId="0" fontId="11" fillId="40" borderId="148" xfId="0" applyFont="1" applyFill="1" applyBorder="1" applyAlignment="1">
      <alignment horizontal="center" vertical="center"/>
    </xf>
    <xf numFmtId="0" fontId="11" fillId="40" borderId="148" xfId="0" applyFont="1" applyFill="1" applyBorder="1" applyAlignment="1">
      <alignment horizontal="center" vertical="top"/>
    </xf>
    <xf numFmtId="3" fontId="11" fillId="40" borderId="148" xfId="9" applyNumberFormat="1" applyFont="1" applyFill="1" applyBorder="1" applyAlignment="1">
      <alignment horizontal="center" vertical="center"/>
    </xf>
    <xf numFmtId="3" fontId="8" fillId="40" borderId="148" xfId="0" applyNumberFormat="1" applyFont="1" applyFill="1" applyBorder="1" applyAlignment="1">
      <alignment horizontal="center" vertical="center"/>
    </xf>
    <xf numFmtId="0" fontId="11" fillId="40" borderId="148" xfId="8" applyFont="1" applyFill="1" applyBorder="1" applyAlignment="1">
      <alignment horizontal="center" vertical="center" wrapText="1"/>
    </xf>
    <xf numFmtId="0" fontId="0" fillId="40" borderId="148" xfId="8" applyFont="1" applyFill="1" applyBorder="1" applyAlignment="1">
      <alignment horizontal="center"/>
    </xf>
    <xf numFmtId="0" fontId="0" fillId="40" borderId="94" xfId="0" applyFont="1" applyFill="1" applyBorder="1"/>
    <xf numFmtId="0" fontId="11" fillId="40" borderId="32" xfId="0" applyFont="1" applyFill="1" applyBorder="1" applyAlignment="1">
      <alignment horizontal="center" vertical="center" wrapText="1"/>
    </xf>
    <xf numFmtId="3" fontId="10" fillId="40" borderId="148" xfId="8" applyNumberFormat="1" applyFont="1" applyFill="1" applyBorder="1" applyAlignment="1">
      <alignment horizontal="center" vertical="center" wrapText="1"/>
    </xf>
    <xf numFmtId="3" fontId="0" fillId="40" borderId="148" xfId="8" applyNumberFormat="1" applyFont="1" applyFill="1" applyBorder="1" applyAlignment="1">
      <alignment horizontal="center" vertical="center"/>
    </xf>
    <xf numFmtId="3" fontId="0" fillId="40" borderId="148" xfId="8" applyNumberFormat="1" applyFont="1" applyFill="1" applyBorder="1" applyAlignment="1">
      <alignment horizontal="center" vertical="center" wrapText="1"/>
    </xf>
    <xf numFmtId="0" fontId="0" fillId="40" borderId="148" xfId="0" applyFont="1" applyFill="1" applyBorder="1" applyAlignment="1">
      <alignment vertical="top" wrapText="1"/>
    </xf>
    <xf numFmtId="174" fontId="0" fillId="40" borderId="148" xfId="0" applyNumberFormat="1" applyFont="1" applyFill="1" applyBorder="1" applyAlignment="1">
      <alignment vertical="center"/>
    </xf>
    <xf numFmtId="0" fontId="0" fillId="40" borderId="179" xfId="0" applyFont="1" applyFill="1" applyBorder="1"/>
    <xf numFmtId="0" fontId="0" fillId="40" borderId="0" xfId="0" applyFont="1" applyFill="1" applyBorder="1" applyAlignment="1">
      <alignment wrapText="1"/>
    </xf>
    <xf numFmtId="0" fontId="11" fillId="40" borderId="149" xfId="8" applyFont="1" applyFill="1" applyBorder="1" applyAlignment="1">
      <alignment horizontal="center" vertical="center" wrapText="1"/>
    </xf>
    <xf numFmtId="0" fontId="0" fillId="40" borderId="149" xfId="8" applyFont="1" applyFill="1" applyBorder="1" applyAlignment="1">
      <alignment horizontal="center" vertical="center" wrapText="1"/>
    </xf>
    <xf numFmtId="0" fontId="10" fillId="40" borderId="149" xfId="8" applyFont="1" applyFill="1" applyBorder="1" applyAlignment="1">
      <alignment horizontal="center" vertical="center" wrapText="1"/>
    </xf>
    <xf numFmtId="3" fontId="10" fillId="40" borderId="149" xfId="8" applyNumberFormat="1" applyFont="1" applyFill="1" applyBorder="1" applyAlignment="1">
      <alignment horizontal="center" vertical="center" wrapText="1"/>
    </xf>
    <xf numFmtId="3" fontId="0" fillId="40" borderId="149" xfId="8" applyNumberFormat="1" applyFont="1" applyFill="1" applyBorder="1" applyAlignment="1">
      <alignment horizontal="center" vertical="center"/>
    </xf>
    <xf numFmtId="3" fontId="0" fillId="40" borderId="149" xfId="8" applyNumberFormat="1" applyFont="1" applyFill="1" applyBorder="1" applyAlignment="1">
      <alignment horizontal="center" vertical="center" wrapText="1"/>
    </xf>
    <xf numFmtId="0" fontId="0" fillId="40" borderId="149" xfId="0" applyFont="1" applyFill="1" applyBorder="1"/>
    <xf numFmtId="0" fontId="0" fillId="40" borderId="149" xfId="0" applyFont="1" applyFill="1" applyBorder="1" applyAlignment="1">
      <alignment wrapText="1"/>
    </xf>
    <xf numFmtId="0" fontId="0" fillId="40" borderId="149" xfId="0" applyFont="1" applyFill="1" applyBorder="1" applyAlignment="1">
      <alignment horizontal="center" vertical="center"/>
    </xf>
    <xf numFmtId="3" fontId="0" fillId="42" borderId="148" xfId="0" applyNumberFormat="1" applyFont="1" applyFill="1" applyBorder="1" applyAlignment="1">
      <alignment vertical="center" wrapText="1"/>
    </xf>
    <xf numFmtId="3" fontId="0" fillId="42" borderId="148" xfId="0" applyNumberFormat="1" applyFont="1" applyFill="1" applyBorder="1"/>
    <xf numFmtId="0" fontId="11" fillId="42" borderId="8" xfId="8" applyFont="1" applyFill="1" applyBorder="1" applyAlignment="1">
      <alignment horizontal="center" vertical="center" wrapText="1"/>
    </xf>
    <xf numFmtId="0" fontId="0" fillId="42" borderId="8" xfId="8" applyFont="1" applyFill="1" applyBorder="1" applyAlignment="1">
      <alignment horizontal="center" vertical="center"/>
    </xf>
    <xf numFmtId="0" fontId="0" fillId="42" borderId="8" xfId="8" applyFont="1" applyFill="1" applyBorder="1" applyAlignment="1">
      <alignment horizontal="center" vertical="center" wrapText="1"/>
    </xf>
    <xf numFmtId="3" fontId="0" fillId="42" borderId="8" xfId="8" applyNumberFormat="1" applyFont="1" applyFill="1" applyBorder="1" applyAlignment="1">
      <alignment horizontal="center" vertical="center"/>
    </xf>
    <xf numFmtId="9" fontId="0" fillId="42" borderId="8" xfId="0" applyNumberFormat="1" applyFont="1" applyFill="1" applyBorder="1" applyAlignment="1">
      <alignment horizontal="center" vertical="center"/>
    </xf>
    <xf numFmtId="0" fontId="0" fillId="42" borderId="8" xfId="0" applyFont="1" applyFill="1" applyBorder="1" applyAlignment="1">
      <alignment vertical="center" wrapText="1"/>
    </xf>
    <xf numFmtId="174" fontId="0" fillId="42" borderId="8" xfId="0" applyNumberFormat="1" applyFont="1" applyFill="1" applyBorder="1" applyAlignment="1">
      <alignment vertical="center"/>
    </xf>
    <xf numFmtId="170" fontId="0" fillId="42" borderId="8" xfId="9" applyFont="1" applyFill="1" applyBorder="1" applyAlignment="1">
      <alignment vertical="center"/>
    </xf>
    <xf numFmtId="0" fontId="0" fillId="42" borderId="8" xfId="0" applyFont="1" applyFill="1" applyBorder="1"/>
    <xf numFmtId="9" fontId="52" fillId="42" borderId="8" xfId="0" applyNumberFormat="1" applyFont="1" applyFill="1" applyBorder="1" applyAlignment="1">
      <alignment horizontal="center" vertical="center" wrapText="1"/>
    </xf>
    <xf numFmtId="3" fontId="0" fillId="42" borderId="8" xfId="9" applyNumberFormat="1" applyFont="1" applyFill="1" applyBorder="1" applyAlignment="1">
      <alignment vertical="center"/>
    </xf>
    <xf numFmtId="3" fontId="0" fillId="42" borderId="8" xfId="0" applyNumberFormat="1" applyFont="1" applyFill="1" applyBorder="1" applyAlignment="1">
      <alignment horizontal="center" vertical="center" wrapText="1"/>
    </xf>
    <xf numFmtId="3" fontId="0" fillId="42" borderId="8" xfId="0" applyNumberFormat="1" applyFont="1" applyFill="1" applyBorder="1"/>
    <xf numFmtId="3" fontId="3" fillId="42" borderId="8" xfId="0" applyNumberFormat="1" applyFont="1" applyFill="1" applyBorder="1"/>
    <xf numFmtId="3" fontId="0" fillId="42" borderId="8" xfId="0" applyNumberFormat="1" applyFont="1" applyFill="1" applyBorder="1" applyAlignment="1">
      <alignment vertical="center" wrapText="1"/>
    </xf>
    <xf numFmtId="3" fontId="0" fillId="42" borderId="9" xfId="0" applyNumberFormat="1" applyFont="1" applyFill="1" applyBorder="1"/>
    <xf numFmtId="0" fontId="11" fillId="42" borderId="148" xfId="0" applyFont="1" applyFill="1" applyBorder="1" applyAlignment="1">
      <alignment horizontal="center" vertical="center" wrapText="1"/>
    </xf>
    <xf numFmtId="9" fontId="0" fillId="42" borderId="148" xfId="0" applyNumberFormat="1" applyFont="1" applyFill="1" applyBorder="1" applyAlignment="1">
      <alignment horizontal="center" vertical="center"/>
    </xf>
    <xf numFmtId="174" fontId="0" fillId="42" borderId="148" xfId="0" applyNumberFormat="1" applyFont="1" applyFill="1" applyBorder="1" applyAlignment="1">
      <alignment vertical="center"/>
    </xf>
    <xf numFmtId="170" fontId="0" fillId="42" borderId="148" xfId="9" applyFont="1" applyFill="1" applyBorder="1" applyAlignment="1">
      <alignment vertical="center"/>
    </xf>
    <xf numFmtId="3" fontId="0" fillId="42" borderId="148" xfId="9" applyNumberFormat="1" applyFont="1" applyFill="1" applyBorder="1" applyAlignment="1">
      <alignment vertical="center"/>
    </xf>
    <xf numFmtId="3" fontId="0" fillId="42" borderId="148" xfId="0" applyNumberFormat="1" applyFont="1" applyFill="1" applyBorder="1" applyAlignment="1">
      <alignment horizontal="center" vertical="center" wrapText="1"/>
    </xf>
    <xf numFmtId="3" fontId="3" fillId="42" borderId="148" xfId="0" applyNumberFormat="1" applyFont="1" applyFill="1" applyBorder="1"/>
    <xf numFmtId="3" fontId="0" fillId="42" borderId="94" xfId="0" applyNumberFormat="1" applyFont="1" applyFill="1" applyBorder="1"/>
    <xf numFmtId="9" fontId="0" fillId="42" borderId="30" xfId="0" applyNumberFormat="1" applyFont="1" applyFill="1" applyBorder="1" applyAlignment="1">
      <alignment horizontal="center" vertical="center"/>
    </xf>
    <xf numFmtId="9" fontId="52" fillId="42" borderId="30" xfId="0" applyNumberFormat="1" applyFont="1" applyFill="1" applyBorder="1" applyAlignment="1">
      <alignment horizontal="center" vertical="center" wrapText="1"/>
    </xf>
    <xf numFmtId="3" fontId="0" fillId="42" borderId="30" xfId="0" applyNumberFormat="1" applyFont="1" applyFill="1" applyBorder="1" applyAlignment="1">
      <alignment horizontal="center" vertical="center" wrapText="1"/>
    </xf>
    <xf numFmtId="3" fontId="0" fillId="42" borderId="30" xfId="0" applyNumberFormat="1" applyFont="1" applyFill="1" applyBorder="1" applyAlignment="1">
      <alignment vertical="center" wrapText="1"/>
    </xf>
    <xf numFmtId="3" fontId="0" fillId="42" borderId="31" xfId="0" applyNumberFormat="1" applyFont="1" applyFill="1" applyBorder="1"/>
    <xf numFmtId="9" fontId="0" fillId="41" borderId="117" xfId="0" applyNumberFormat="1" applyFont="1" applyFill="1" applyBorder="1" applyAlignment="1">
      <alignment horizontal="center" vertical="center"/>
    </xf>
    <xf numFmtId="0" fontId="0" fillId="41" borderId="117" xfId="0" applyFont="1" applyFill="1" applyBorder="1" applyAlignment="1">
      <alignment horizontal="center" vertical="center" wrapText="1"/>
    </xf>
    <xf numFmtId="0" fontId="0" fillId="41" borderId="117" xfId="0" applyFont="1" applyFill="1" applyBorder="1" applyAlignment="1">
      <alignment horizontal="center" vertical="center"/>
    </xf>
    <xf numFmtId="0" fontId="10" fillId="41" borderId="117" xfId="0" applyFont="1" applyFill="1" applyBorder="1" applyAlignment="1">
      <alignment horizontal="center" vertical="center"/>
    </xf>
    <xf numFmtId="0" fontId="11" fillId="41" borderId="8" xfId="0" applyFont="1" applyFill="1" applyBorder="1" applyAlignment="1">
      <alignment horizontal="center" vertical="center"/>
    </xf>
    <xf numFmtId="0" fontId="11" fillId="41" borderId="8" xfId="0" applyFont="1" applyFill="1" applyBorder="1" applyAlignment="1">
      <alignment horizontal="center" vertical="top" wrapText="1"/>
    </xf>
    <xf numFmtId="0" fontId="11" fillId="41" borderId="8" xfId="0" applyFont="1" applyFill="1" applyBorder="1" applyAlignment="1">
      <alignment horizontal="center" vertical="center" wrapText="1"/>
    </xf>
    <xf numFmtId="3" fontId="11" fillId="41" borderId="8" xfId="9" applyNumberFormat="1" applyFont="1" applyFill="1" applyBorder="1" applyAlignment="1">
      <alignment horizontal="center" vertical="center" wrapText="1"/>
    </xf>
    <xf numFmtId="3" fontId="11" fillId="41" borderId="8" xfId="0" applyNumberFormat="1" applyFont="1" applyFill="1" applyBorder="1" applyAlignment="1">
      <alignment horizontal="center" vertical="center" wrapText="1"/>
    </xf>
    <xf numFmtId="3" fontId="8" fillId="41" borderId="8" xfId="0" applyNumberFormat="1" applyFont="1" applyFill="1" applyBorder="1" applyAlignment="1">
      <alignment horizontal="center" vertical="center" wrapText="1"/>
    </xf>
    <xf numFmtId="3" fontId="11" fillId="41" borderId="9" xfId="0" applyNumberFormat="1" applyFont="1" applyFill="1" applyBorder="1" applyAlignment="1">
      <alignment horizontal="center" vertical="center" wrapText="1"/>
    </xf>
    <xf numFmtId="3" fontId="11" fillId="41" borderId="94" xfId="0" applyNumberFormat="1" applyFont="1" applyFill="1" applyBorder="1" applyAlignment="1">
      <alignment horizontal="center" vertical="center" wrapText="1"/>
    </xf>
    <xf numFmtId="3" fontId="0" fillId="41" borderId="148" xfId="8" applyNumberFormat="1" applyFont="1" applyFill="1" applyBorder="1" applyAlignment="1" applyProtection="1">
      <alignment horizontal="center" vertical="center"/>
      <protection locked="0"/>
    </xf>
    <xf numFmtId="3" fontId="3" fillId="41" borderId="148" xfId="8" applyNumberFormat="1" applyFont="1" applyFill="1" applyBorder="1" applyAlignment="1" applyProtection="1">
      <alignment horizontal="center" vertical="center"/>
      <protection locked="0"/>
    </xf>
    <xf numFmtId="3" fontId="11" fillId="42" borderId="94" xfId="0" applyNumberFormat="1" applyFont="1" applyFill="1" applyBorder="1" applyAlignment="1">
      <alignment horizontal="center" vertical="center"/>
    </xf>
    <xf numFmtId="0" fontId="11" fillId="42" borderId="148" xfId="8" applyFont="1" applyFill="1" applyBorder="1" applyAlignment="1">
      <alignment horizontal="left" vertical="center" wrapText="1"/>
    </xf>
    <xf numFmtId="0" fontId="7" fillId="42" borderId="148" xfId="8" applyFont="1" applyFill="1" applyBorder="1" applyAlignment="1">
      <alignment horizontal="center" vertical="center" wrapText="1"/>
    </xf>
    <xf numFmtId="191" fontId="0" fillId="42" borderId="148" xfId="10" applyNumberFormat="1" applyFont="1" applyFill="1" applyBorder="1" applyAlignment="1">
      <alignment vertical="center"/>
    </xf>
    <xf numFmtId="9" fontId="0" fillId="42" borderId="148" xfId="5" applyFont="1" applyFill="1" applyBorder="1"/>
    <xf numFmtId="0" fontId="0" fillId="42" borderId="148" xfId="0" applyFont="1" applyFill="1" applyBorder="1" applyAlignment="1">
      <alignment wrapText="1"/>
    </xf>
    <xf numFmtId="167" fontId="0" fillId="42" borderId="148" xfId="10" applyFont="1" applyFill="1" applyBorder="1"/>
    <xf numFmtId="3" fontId="11" fillId="43" borderId="94" xfId="0" applyNumberFormat="1" applyFont="1" applyFill="1" applyBorder="1" applyAlignment="1">
      <alignment horizontal="center" vertical="center"/>
    </xf>
    <xf numFmtId="3" fontId="11" fillId="43" borderId="94" xfId="0" applyNumberFormat="1" applyFont="1" applyFill="1" applyBorder="1" applyAlignment="1">
      <alignment horizontal="center" vertical="center" wrapText="1"/>
    </xf>
    <xf numFmtId="3" fontId="11" fillId="80" borderId="94" xfId="0" applyNumberFormat="1" applyFont="1" applyFill="1" applyBorder="1" applyAlignment="1">
      <alignment horizontal="center" vertical="center" wrapText="1"/>
    </xf>
    <xf numFmtId="3" fontId="11" fillId="29" borderId="94" xfId="0" applyNumberFormat="1" applyFont="1" applyFill="1" applyBorder="1" applyAlignment="1">
      <alignment horizontal="center" vertical="center" wrapText="1"/>
    </xf>
    <xf numFmtId="0" fontId="11" fillId="29" borderId="148" xfId="8" applyFont="1" applyFill="1" applyBorder="1" applyAlignment="1">
      <alignment horizontal="left" vertical="center" wrapText="1"/>
    </xf>
    <xf numFmtId="0" fontId="7" fillId="29" borderId="148" xfId="8" applyFont="1" applyFill="1" applyBorder="1" applyAlignment="1">
      <alignment horizontal="center" vertical="center" wrapText="1"/>
    </xf>
    <xf numFmtId="3" fontId="11" fillId="39" borderId="94" xfId="0" applyNumberFormat="1" applyFont="1" applyFill="1" applyBorder="1" applyAlignment="1">
      <alignment horizontal="center" vertical="center"/>
    </xf>
    <xf numFmtId="0" fontId="11" fillId="39" borderId="148" xfId="8" applyFont="1" applyFill="1" applyBorder="1" applyAlignment="1">
      <alignment horizontal="left" vertical="center" wrapText="1"/>
    </xf>
    <xf numFmtId="0" fontId="7" fillId="39" borderId="148" xfId="0" applyFont="1" applyFill="1" applyBorder="1" applyAlignment="1">
      <alignment horizontal="center" vertical="center" wrapText="1"/>
    </xf>
    <xf numFmtId="0" fontId="0" fillId="39" borderId="148" xfId="0" applyFont="1" applyFill="1" applyBorder="1" applyAlignment="1">
      <alignment horizontal="center" vertical="top" wrapText="1"/>
    </xf>
    <xf numFmtId="9" fontId="0" fillId="39" borderId="148" xfId="0" applyNumberFormat="1" applyFont="1" applyFill="1" applyBorder="1" applyAlignment="1">
      <alignment horizontal="center" vertical="center" wrapText="1"/>
    </xf>
    <xf numFmtId="6" fontId="56" fillId="39" borderId="0" xfId="0" applyNumberFormat="1" applyFont="1" applyFill="1" applyBorder="1" applyAlignment="1">
      <alignment vertical="center"/>
    </xf>
    <xf numFmtId="0" fontId="0" fillId="39" borderId="149" xfId="0" applyFont="1" applyFill="1" applyBorder="1" applyAlignment="1">
      <alignment horizontal="center"/>
    </xf>
    <xf numFmtId="0" fontId="56" fillId="39" borderId="0" xfId="0" applyFont="1" applyFill="1" applyBorder="1" applyAlignment="1">
      <alignment horizontal="center" vertical="center"/>
    </xf>
    <xf numFmtId="0" fontId="11" fillId="39" borderId="148" xfId="0" applyFont="1" applyFill="1" applyBorder="1" applyAlignment="1" applyProtection="1">
      <alignment horizontal="center" vertical="center" wrapText="1"/>
      <protection locked="0"/>
    </xf>
    <xf numFmtId="0" fontId="0" fillId="39" borderId="148" xfId="8" applyFont="1" applyFill="1" applyBorder="1" applyAlignment="1">
      <alignment horizontal="center" vertical="center"/>
    </xf>
    <xf numFmtId="0" fontId="0" fillId="39" borderId="148" xfId="8" applyFont="1" applyFill="1" applyBorder="1" applyAlignment="1">
      <alignment vertical="center"/>
    </xf>
    <xf numFmtId="9" fontId="0" fillId="39" borderId="148" xfId="5" applyFont="1" applyFill="1" applyBorder="1" applyAlignment="1">
      <alignment vertical="center" wrapText="1"/>
    </xf>
    <xf numFmtId="0" fontId="0" fillId="39" borderId="148" xfId="0" applyFont="1" applyFill="1" applyBorder="1" applyAlignment="1">
      <alignment horizontal="center" wrapText="1"/>
    </xf>
    <xf numFmtId="0" fontId="0" fillId="39" borderId="179" xfId="0" applyFont="1" applyFill="1" applyBorder="1" applyAlignment="1">
      <alignment horizontal="center" vertical="center" wrapText="1"/>
    </xf>
    <xf numFmtId="0" fontId="0" fillId="39" borderId="148" xfId="0" applyNumberFormat="1" applyFont="1" applyFill="1" applyBorder="1" applyAlignment="1">
      <alignment horizontal="center" vertical="center"/>
    </xf>
    <xf numFmtId="0" fontId="11" fillId="39" borderId="148" xfId="0" applyFont="1" applyFill="1" applyBorder="1" applyAlignment="1">
      <alignment horizontal="center" vertical="top"/>
    </xf>
    <xf numFmtId="9" fontId="3" fillId="39" borderId="148" xfId="0" applyNumberFormat="1" applyFont="1" applyFill="1" applyBorder="1" applyAlignment="1">
      <alignment horizontal="center" vertical="center" wrapText="1"/>
    </xf>
    <xf numFmtId="172" fontId="0" fillId="39" borderId="148" xfId="0" applyNumberFormat="1" applyFont="1" applyFill="1" applyBorder="1" applyAlignment="1">
      <alignment horizontal="center" vertical="center"/>
    </xf>
    <xf numFmtId="3" fontId="11" fillId="81" borderId="148" xfId="9" applyNumberFormat="1" applyFont="1" applyFill="1" applyBorder="1" applyAlignment="1">
      <alignment horizontal="center" vertical="center"/>
    </xf>
    <xf numFmtId="0" fontId="7" fillId="39" borderId="148" xfId="8" applyFont="1" applyFill="1" applyBorder="1" applyAlignment="1">
      <alignment horizontal="center" vertical="center" wrapText="1"/>
    </xf>
    <xf numFmtId="185" fontId="0" fillId="39" borderId="148" xfId="17" applyNumberFormat="1" applyFont="1" applyFill="1" applyBorder="1" applyAlignment="1">
      <alignment horizontal="center" vertical="center" wrapText="1"/>
    </xf>
    <xf numFmtId="185" fontId="7" fillId="39" borderId="179" xfId="17" applyNumberFormat="1" applyFont="1" applyFill="1" applyBorder="1" applyAlignment="1">
      <alignment horizontal="center" vertical="center" wrapText="1"/>
    </xf>
    <xf numFmtId="9" fontId="11" fillId="39" borderId="148" xfId="0" applyNumberFormat="1" applyFont="1" applyFill="1" applyBorder="1" applyAlignment="1">
      <alignment horizontal="center" vertical="center" wrapText="1"/>
    </xf>
    <xf numFmtId="3" fontId="11" fillId="81" borderId="148" xfId="9" applyNumberFormat="1" applyFont="1" applyFill="1" applyBorder="1" applyAlignment="1">
      <alignment horizontal="center" vertical="center" wrapText="1"/>
    </xf>
    <xf numFmtId="0" fontId="0" fillId="82" borderId="148" xfId="0" applyFont="1" applyFill="1" applyBorder="1" applyAlignment="1">
      <alignment horizontal="center" vertical="top" wrapText="1"/>
    </xf>
    <xf numFmtId="3" fontId="11" fillId="38" borderId="148" xfId="0" applyNumberFormat="1" applyFont="1" applyFill="1" applyBorder="1" applyAlignment="1">
      <alignment horizontal="center" vertical="center" wrapText="1"/>
    </xf>
    <xf numFmtId="3" fontId="8" fillId="38" borderId="148" xfId="0" applyNumberFormat="1" applyFont="1" applyFill="1" applyBorder="1" applyAlignment="1">
      <alignment horizontal="center" vertical="center" wrapText="1"/>
    </xf>
    <xf numFmtId="3" fontId="11" fillId="38" borderId="94" xfId="0" applyNumberFormat="1" applyFont="1" applyFill="1" applyBorder="1" applyAlignment="1">
      <alignment horizontal="center" vertical="center"/>
    </xf>
    <xf numFmtId="0" fontId="11" fillId="38" borderId="148" xfId="8" applyFont="1" applyFill="1" applyBorder="1" applyAlignment="1">
      <alignment horizontal="left" vertical="center" wrapText="1"/>
    </xf>
    <xf numFmtId="0" fontId="10" fillId="38" borderId="148" xfId="20" applyFont="1" applyFill="1" applyBorder="1" applyAlignment="1">
      <alignment horizontal="left" vertical="center" wrapText="1"/>
    </xf>
    <xf numFmtId="0" fontId="11" fillId="38" borderId="0" xfId="0" applyFont="1" applyFill="1" applyBorder="1" applyAlignment="1">
      <alignment horizontal="left" wrapText="1"/>
    </xf>
    <xf numFmtId="9" fontId="11" fillId="38" borderId="148" xfId="5" applyFont="1" applyFill="1" applyBorder="1" applyAlignment="1">
      <alignment horizontal="center" vertical="center"/>
    </xf>
    <xf numFmtId="9" fontId="11" fillId="38" borderId="148" xfId="0" applyNumberFormat="1" applyFont="1" applyFill="1" applyBorder="1" applyAlignment="1" applyProtection="1">
      <alignment horizontal="center" vertical="center" wrapText="1"/>
      <protection locked="0"/>
    </xf>
    <xf numFmtId="10" fontId="0" fillId="38" borderId="148" xfId="0" applyNumberFormat="1" applyFont="1" applyFill="1" applyBorder="1" applyAlignment="1">
      <alignment horizontal="center" vertical="center" wrapText="1"/>
    </xf>
    <xf numFmtId="3" fontId="11" fillId="41" borderId="94" xfId="0" applyNumberFormat="1" applyFont="1" applyFill="1" applyBorder="1" applyAlignment="1">
      <alignment horizontal="center" vertical="center"/>
    </xf>
    <xf numFmtId="3" fontId="10" fillId="41" borderId="148" xfId="0" applyNumberFormat="1" applyFont="1" applyFill="1" applyBorder="1" applyAlignment="1">
      <alignment horizontal="center" vertical="center"/>
    </xf>
    <xf numFmtId="3" fontId="11" fillId="83" borderId="94" xfId="0" applyNumberFormat="1" applyFont="1" applyFill="1" applyBorder="1" applyAlignment="1">
      <alignment horizontal="center" vertical="center"/>
    </xf>
    <xf numFmtId="3" fontId="11" fillId="83" borderId="94" xfId="0" applyNumberFormat="1" applyFont="1" applyFill="1" applyBorder="1" applyAlignment="1">
      <alignment horizontal="center" vertical="center" wrapText="1"/>
    </xf>
    <xf numFmtId="0" fontId="11" fillId="41" borderId="0" xfId="0" applyFont="1" applyFill="1" applyBorder="1" applyAlignment="1">
      <alignment horizontal="center" vertical="center" wrapText="1"/>
    </xf>
    <xf numFmtId="3" fontId="11" fillId="40" borderId="94" xfId="0" applyNumberFormat="1" applyFont="1" applyFill="1" applyBorder="1" applyAlignment="1">
      <alignment horizontal="center" vertical="center"/>
    </xf>
    <xf numFmtId="9" fontId="0" fillId="40" borderId="56" xfId="0" applyNumberFormat="1" applyFont="1" applyFill="1" applyBorder="1"/>
    <xf numFmtId="0" fontId="11" fillId="40" borderId="30" xfId="0" applyFont="1" applyFill="1" applyBorder="1" applyAlignment="1">
      <alignment horizontal="center" vertical="center"/>
    </xf>
    <xf numFmtId="9" fontId="52" fillId="40" borderId="30" xfId="0" applyNumberFormat="1" applyFont="1" applyFill="1" applyBorder="1" applyAlignment="1">
      <alignment horizontal="center" vertical="center" wrapText="1"/>
    </xf>
    <xf numFmtId="0" fontId="11" fillId="40" borderId="30" xfId="0" applyFont="1" applyFill="1" applyBorder="1" applyAlignment="1">
      <alignment horizontal="center" vertical="top"/>
    </xf>
    <xf numFmtId="3" fontId="11" fillId="40" borderId="30" xfId="9" applyNumberFormat="1" applyFont="1" applyFill="1" applyBorder="1" applyAlignment="1">
      <alignment horizontal="center" vertical="center"/>
    </xf>
    <xf numFmtId="3" fontId="11" fillId="40" borderId="30" xfId="0" applyNumberFormat="1" applyFont="1" applyFill="1" applyBorder="1" applyAlignment="1">
      <alignment horizontal="center" vertical="center"/>
    </xf>
    <xf numFmtId="3" fontId="8" fillId="40" borderId="30" xfId="0" applyNumberFormat="1" applyFont="1" applyFill="1" applyBorder="1" applyAlignment="1">
      <alignment horizontal="center" vertical="center"/>
    </xf>
    <xf numFmtId="3" fontId="11" fillId="40" borderId="31" xfId="0" applyNumberFormat="1" applyFont="1" applyFill="1" applyBorder="1" applyAlignment="1">
      <alignment horizontal="center" vertical="center"/>
    </xf>
    <xf numFmtId="0" fontId="11" fillId="40" borderId="32" xfId="0" applyFont="1" applyFill="1" applyBorder="1" applyAlignment="1">
      <alignment horizontal="center" vertical="center"/>
    </xf>
    <xf numFmtId="0" fontId="11" fillId="40" borderId="32" xfId="0" applyFont="1" applyFill="1" applyBorder="1" applyAlignment="1">
      <alignment horizontal="center" vertical="top"/>
    </xf>
    <xf numFmtId="3" fontId="11" fillId="40" borderId="32" xfId="9" applyNumberFormat="1" applyFont="1" applyFill="1" applyBorder="1" applyAlignment="1">
      <alignment horizontal="center" vertical="center"/>
    </xf>
    <xf numFmtId="3" fontId="11" fillId="40" borderId="32" xfId="0" applyNumberFormat="1" applyFont="1" applyFill="1" applyBorder="1" applyAlignment="1">
      <alignment horizontal="center" vertical="center"/>
    </xf>
    <xf numFmtId="3" fontId="8" fillId="40" borderId="32" xfId="0" applyNumberFormat="1" applyFont="1" applyFill="1" applyBorder="1" applyAlignment="1">
      <alignment horizontal="center" vertical="center"/>
    </xf>
    <xf numFmtId="3" fontId="11" fillId="40" borderId="52" xfId="0" applyNumberFormat="1" applyFont="1" applyFill="1" applyBorder="1" applyAlignment="1">
      <alignment horizontal="center" vertical="center"/>
    </xf>
    <xf numFmtId="0" fontId="10" fillId="41" borderId="56" xfId="0" applyFont="1" applyFill="1" applyBorder="1" applyAlignment="1">
      <alignment horizontal="center" vertical="center"/>
    </xf>
    <xf numFmtId="9" fontId="52" fillId="41" borderId="30" xfId="0" applyNumberFormat="1" applyFont="1" applyFill="1" applyBorder="1" applyAlignment="1">
      <alignment horizontal="center" vertical="center" wrapText="1"/>
    </xf>
    <xf numFmtId="0" fontId="11" fillId="41" borderId="30" xfId="0" applyFont="1" applyFill="1" applyBorder="1" applyAlignment="1">
      <alignment horizontal="center" vertical="top"/>
    </xf>
    <xf numFmtId="3" fontId="11" fillId="41" borderId="30" xfId="9" applyNumberFormat="1" applyFont="1" applyFill="1" applyBorder="1" applyAlignment="1">
      <alignment horizontal="center" vertical="center"/>
    </xf>
    <xf numFmtId="3" fontId="11" fillId="41" borderId="30" xfId="0" applyNumberFormat="1" applyFont="1" applyFill="1" applyBorder="1" applyAlignment="1">
      <alignment horizontal="center" vertical="center"/>
    </xf>
    <xf numFmtId="3" fontId="8" fillId="41" borderId="30" xfId="0" applyNumberFormat="1" applyFont="1" applyFill="1" applyBorder="1" applyAlignment="1">
      <alignment horizontal="center" vertical="center"/>
    </xf>
    <xf numFmtId="3" fontId="11" fillId="41" borderId="31" xfId="0" applyNumberFormat="1" applyFont="1" applyFill="1" applyBorder="1" applyAlignment="1">
      <alignment horizontal="center" vertical="center"/>
    </xf>
    <xf numFmtId="0" fontId="10" fillId="41" borderId="51" xfId="0" applyFont="1" applyFill="1" applyBorder="1" applyAlignment="1" applyProtection="1">
      <alignment horizontal="center" vertical="center" wrapText="1"/>
      <protection locked="0"/>
    </xf>
    <xf numFmtId="0" fontId="11" fillId="41" borderId="32" xfId="0" applyFont="1" applyFill="1" applyBorder="1" applyAlignment="1">
      <alignment horizontal="center" vertical="top"/>
    </xf>
    <xf numFmtId="3" fontId="11" fillId="41" borderId="32" xfId="9" applyNumberFormat="1" applyFont="1" applyFill="1" applyBorder="1" applyAlignment="1">
      <alignment horizontal="center" vertical="center"/>
    </xf>
    <xf numFmtId="3" fontId="11" fillId="41" borderId="32" xfId="0" applyNumberFormat="1" applyFont="1" applyFill="1" applyBorder="1" applyAlignment="1">
      <alignment horizontal="center" vertical="center"/>
    </xf>
    <xf numFmtId="3" fontId="8" fillId="41" borderId="32" xfId="0" applyNumberFormat="1" applyFont="1" applyFill="1" applyBorder="1" applyAlignment="1">
      <alignment horizontal="center" vertical="center"/>
    </xf>
    <xf numFmtId="3" fontId="11" fillId="41" borderId="52" xfId="0" applyNumberFormat="1" applyFont="1" applyFill="1" applyBorder="1" applyAlignment="1">
      <alignment horizontal="center" vertical="center"/>
    </xf>
    <xf numFmtId="0" fontId="11" fillId="38" borderId="30" xfId="0" applyFont="1" applyFill="1" applyBorder="1" applyAlignment="1">
      <alignment horizontal="center" vertical="center" wrapText="1"/>
    </xf>
    <xf numFmtId="0" fontId="10" fillId="38" borderId="30" xfId="20" applyFont="1" applyFill="1" applyBorder="1" applyAlignment="1">
      <alignment horizontal="left" vertical="center" wrapText="1"/>
    </xf>
    <xf numFmtId="174" fontId="10" fillId="38" borderId="31" xfId="0" applyNumberFormat="1" applyFont="1" applyFill="1" applyBorder="1" applyAlignment="1">
      <alignment horizontal="center" vertical="center" wrapText="1"/>
    </xf>
    <xf numFmtId="0" fontId="11" fillId="38" borderId="30" xfId="0" applyFont="1" applyFill="1" applyBorder="1" applyAlignment="1">
      <alignment horizontal="center" vertical="center"/>
    </xf>
    <xf numFmtId="9" fontId="52" fillId="38" borderId="30" xfId="0" applyNumberFormat="1" applyFont="1" applyFill="1" applyBorder="1" applyAlignment="1">
      <alignment horizontal="center" vertical="center" wrapText="1"/>
    </xf>
    <xf numFmtId="0" fontId="0" fillId="82" borderId="30" xfId="0" applyFont="1" applyFill="1" applyBorder="1" applyAlignment="1">
      <alignment horizontal="center" vertical="top" wrapText="1"/>
    </xf>
    <xf numFmtId="0" fontId="11" fillId="82" borderId="30" xfId="0" applyFont="1" applyFill="1" applyBorder="1" applyAlignment="1">
      <alignment horizontal="center" vertical="center" wrapText="1"/>
    </xf>
    <xf numFmtId="3" fontId="0" fillId="38" borderId="30" xfId="9" applyNumberFormat="1" applyFont="1" applyFill="1" applyBorder="1" applyAlignment="1">
      <alignment horizontal="center" vertical="center" wrapText="1"/>
    </xf>
    <xf numFmtId="3" fontId="11" fillId="82" borderId="30" xfId="9" applyNumberFormat="1" applyFont="1" applyFill="1" applyBorder="1" applyAlignment="1">
      <alignment horizontal="center" vertical="center" wrapText="1"/>
    </xf>
    <xf numFmtId="3" fontId="11" fillId="82" borderId="30" xfId="0" applyNumberFormat="1" applyFont="1" applyFill="1" applyBorder="1" applyAlignment="1">
      <alignment horizontal="center" vertical="center" wrapText="1"/>
    </xf>
    <xf numFmtId="3" fontId="8" fillId="82" borderId="30" xfId="0" applyNumberFormat="1" applyFont="1" applyFill="1" applyBorder="1" applyAlignment="1">
      <alignment horizontal="center" vertical="center" wrapText="1"/>
    </xf>
    <xf numFmtId="3" fontId="11" fillId="38" borderId="30" xfId="0" applyNumberFormat="1" applyFont="1" applyFill="1" applyBorder="1" applyAlignment="1">
      <alignment horizontal="center" vertical="center"/>
    </xf>
    <xf numFmtId="3" fontId="11" fillId="38" borderId="31" xfId="0" applyNumberFormat="1" applyFont="1" applyFill="1" applyBorder="1" applyAlignment="1">
      <alignment horizontal="center" vertical="center"/>
    </xf>
    <xf numFmtId="0" fontId="10" fillId="38" borderId="43" xfId="20" applyFont="1" applyFill="1" applyBorder="1" applyAlignment="1">
      <alignment horizontal="left" vertical="center" wrapText="1"/>
    </xf>
    <xf numFmtId="0" fontId="0" fillId="38" borderId="32" xfId="0" applyFont="1" applyFill="1" applyBorder="1" applyAlignment="1" applyProtection="1">
      <alignment horizontal="left" vertical="center" wrapText="1"/>
      <protection locked="0"/>
    </xf>
    <xf numFmtId="0" fontId="10" fillId="38" borderId="60" xfId="20" applyFont="1" applyFill="1" applyBorder="1" applyAlignment="1">
      <alignment horizontal="left" vertical="center" wrapText="1"/>
    </xf>
    <xf numFmtId="174" fontId="10" fillId="38" borderId="52" xfId="0" applyNumberFormat="1" applyFont="1" applyFill="1" applyBorder="1" applyAlignment="1">
      <alignment horizontal="center" vertical="center" wrapText="1"/>
    </xf>
    <xf numFmtId="173" fontId="11" fillId="38" borderId="32" xfId="5" applyNumberFormat="1" applyFont="1" applyFill="1" applyBorder="1" applyAlignment="1">
      <alignment horizontal="center" vertical="center"/>
    </xf>
    <xf numFmtId="9" fontId="11" fillId="38" borderId="32" xfId="0" applyNumberFormat="1" applyFont="1" applyFill="1" applyBorder="1" applyAlignment="1" applyProtection="1">
      <alignment horizontal="center" vertical="center" wrapText="1"/>
      <protection locked="0"/>
    </xf>
    <xf numFmtId="173" fontId="0" fillId="38" borderId="32" xfId="0" applyNumberFormat="1" applyFont="1" applyFill="1" applyBorder="1" applyAlignment="1">
      <alignment horizontal="center" vertical="center" wrapText="1"/>
    </xf>
    <xf numFmtId="0" fontId="0" fillId="82" borderId="32" xfId="0" applyFont="1" applyFill="1" applyBorder="1" applyAlignment="1">
      <alignment horizontal="center" vertical="top" wrapText="1"/>
    </xf>
    <xf numFmtId="0" fontId="11" fillId="82" borderId="32" xfId="0" applyFont="1" applyFill="1" applyBorder="1" applyAlignment="1">
      <alignment horizontal="center" vertical="center" wrapText="1"/>
    </xf>
    <xf numFmtId="0" fontId="0" fillId="82" borderId="32" xfId="0" applyFont="1" applyFill="1" applyBorder="1" applyAlignment="1">
      <alignment horizontal="center" vertical="center" wrapText="1"/>
    </xf>
    <xf numFmtId="3" fontId="0" fillId="38" borderId="32" xfId="9" applyNumberFormat="1" applyFont="1" applyFill="1" applyBorder="1" applyAlignment="1">
      <alignment horizontal="center" vertical="center" wrapText="1"/>
    </xf>
    <xf numFmtId="3" fontId="11" fillId="38" borderId="32" xfId="9" applyNumberFormat="1" applyFont="1" applyFill="1" applyBorder="1" applyAlignment="1">
      <alignment horizontal="center" vertical="center" wrapText="1"/>
    </xf>
    <xf numFmtId="3" fontId="11" fillId="38" borderId="32" xfId="0" applyNumberFormat="1" applyFont="1" applyFill="1" applyBorder="1" applyAlignment="1">
      <alignment horizontal="center" vertical="center" wrapText="1"/>
    </xf>
    <xf numFmtId="3" fontId="8" fillId="38" borderId="32" xfId="0" applyNumberFormat="1" applyFont="1" applyFill="1" applyBorder="1" applyAlignment="1">
      <alignment horizontal="center" vertical="center" wrapText="1"/>
    </xf>
    <xf numFmtId="3" fontId="11" fillId="38" borderId="52" xfId="0" applyNumberFormat="1" applyFont="1" applyFill="1" applyBorder="1" applyAlignment="1">
      <alignment horizontal="center" vertical="center" wrapText="1"/>
    </xf>
    <xf numFmtId="0" fontId="11" fillId="39" borderId="30" xfId="0" applyFont="1" applyFill="1" applyBorder="1" applyAlignment="1">
      <alignment horizontal="center" vertical="center" wrapText="1"/>
    </xf>
    <xf numFmtId="0" fontId="11" fillId="39" borderId="30" xfId="0" applyFont="1" applyFill="1" applyBorder="1" applyAlignment="1">
      <alignment horizontal="center" vertical="center"/>
    </xf>
    <xf numFmtId="9" fontId="52" fillId="39" borderId="30" xfId="0" applyNumberFormat="1" applyFont="1" applyFill="1" applyBorder="1" applyAlignment="1">
      <alignment horizontal="center" vertical="center" wrapText="1"/>
    </xf>
    <xf numFmtId="3" fontId="11" fillId="39" borderId="30" xfId="9" applyNumberFormat="1" applyFont="1" applyFill="1" applyBorder="1" applyAlignment="1">
      <alignment horizontal="center" vertical="center"/>
    </xf>
    <xf numFmtId="3" fontId="11" fillId="39" borderId="30" xfId="0" applyNumberFormat="1" applyFont="1" applyFill="1" applyBorder="1" applyAlignment="1">
      <alignment horizontal="center" vertical="center"/>
    </xf>
    <xf numFmtId="3" fontId="8" fillId="39" borderId="30" xfId="0" applyNumberFormat="1" applyFont="1" applyFill="1" applyBorder="1" applyAlignment="1">
      <alignment horizontal="center" vertical="center"/>
    </xf>
    <xf numFmtId="3" fontId="11" fillId="39" borderId="31" xfId="0" applyNumberFormat="1" applyFont="1" applyFill="1" applyBorder="1" applyAlignment="1">
      <alignment horizontal="center" vertical="center"/>
    </xf>
    <xf numFmtId="0" fontId="11" fillId="39" borderId="32" xfId="0" applyFont="1" applyFill="1" applyBorder="1" applyAlignment="1">
      <alignment vertical="center" wrapText="1"/>
    </xf>
    <xf numFmtId="0" fontId="11" fillId="39" borderId="32" xfId="0" applyFont="1" applyFill="1" applyBorder="1" applyAlignment="1">
      <alignment horizontal="center" vertical="center"/>
    </xf>
    <xf numFmtId="0" fontId="11" fillId="81" borderId="32" xfId="0" applyFont="1" applyFill="1" applyBorder="1" applyAlignment="1">
      <alignment horizontal="center" vertical="center" wrapText="1"/>
    </xf>
    <xf numFmtId="3" fontId="11" fillId="39" borderId="32" xfId="9" applyNumberFormat="1" applyFont="1" applyFill="1" applyBorder="1" applyAlignment="1">
      <alignment horizontal="center" vertical="center"/>
    </xf>
    <xf numFmtId="3" fontId="11" fillId="39" borderId="32" xfId="0" applyNumberFormat="1" applyFont="1" applyFill="1" applyBorder="1" applyAlignment="1">
      <alignment horizontal="center" vertical="center"/>
    </xf>
    <xf numFmtId="3" fontId="8" fillId="39" borderId="32" xfId="0" applyNumberFormat="1" applyFont="1" applyFill="1" applyBorder="1" applyAlignment="1">
      <alignment horizontal="center" vertical="center"/>
    </xf>
    <xf numFmtId="3" fontId="11" fillId="39" borderId="52" xfId="0" applyNumberFormat="1" applyFont="1" applyFill="1" applyBorder="1" applyAlignment="1">
      <alignment horizontal="center" vertical="center"/>
    </xf>
    <xf numFmtId="9" fontId="0" fillId="29" borderId="56" xfId="0" applyNumberFormat="1" applyFont="1" applyFill="1" applyBorder="1" applyAlignment="1">
      <alignment horizontal="center" vertical="center"/>
    </xf>
    <xf numFmtId="0" fontId="0" fillId="29" borderId="30" xfId="0" applyFont="1" applyFill="1" applyBorder="1" applyAlignment="1">
      <alignment vertical="center" wrapText="1"/>
    </xf>
    <xf numFmtId="0" fontId="0" fillId="29" borderId="30" xfId="0" applyFont="1" applyFill="1" applyBorder="1" applyAlignment="1">
      <alignment vertical="center"/>
    </xf>
    <xf numFmtId="0" fontId="0" fillId="29" borderId="56" xfId="0" applyFont="1" applyFill="1" applyBorder="1" applyAlignment="1">
      <alignment vertical="center" wrapText="1"/>
    </xf>
    <xf numFmtId="0" fontId="0" fillId="29" borderId="56" xfId="0" applyFont="1" applyFill="1" applyBorder="1" applyAlignment="1">
      <alignment horizontal="center" vertical="center" wrapText="1"/>
    </xf>
    <xf numFmtId="0" fontId="0" fillId="29" borderId="31" xfId="0" applyFont="1" applyFill="1" applyBorder="1" applyAlignment="1">
      <alignment vertical="center"/>
    </xf>
    <xf numFmtId="0" fontId="11" fillId="80" borderId="30" xfId="0" applyFont="1" applyFill="1" applyBorder="1" applyAlignment="1">
      <alignment horizontal="center" vertical="center" wrapText="1"/>
    </xf>
    <xf numFmtId="0" fontId="11" fillId="80" borderId="30" xfId="0" applyFont="1" applyFill="1" applyBorder="1" applyAlignment="1">
      <alignment horizontal="center" vertical="top" wrapText="1"/>
    </xf>
    <xf numFmtId="3" fontId="11" fillId="80" borderId="30" xfId="9" applyNumberFormat="1" applyFont="1" applyFill="1" applyBorder="1" applyAlignment="1">
      <alignment horizontal="center" vertical="center" wrapText="1"/>
    </xf>
    <xf numFmtId="3" fontId="11" fillId="80" borderId="30" xfId="0" applyNumberFormat="1" applyFont="1" applyFill="1" applyBorder="1" applyAlignment="1">
      <alignment horizontal="center" vertical="center" wrapText="1"/>
    </xf>
    <xf numFmtId="3" fontId="8" fillId="80" borderId="30" xfId="0" applyNumberFormat="1" applyFont="1" applyFill="1" applyBorder="1" applyAlignment="1">
      <alignment horizontal="center" vertical="center" wrapText="1"/>
    </xf>
    <xf numFmtId="3" fontId="11" fillId="29" borderId="30" xfId="0" applyNumberFormat="1" applyFont="1" applyFill="1" applyBorder="1" applyAlignment="1">
      <alignment horizontal="center" vertical="center"/>
    </xf>
    <xf numFmtId="3" fontId="11" fillId="29" borderId="31" xfId="0" applyNumberFormat="1" applyFont="1" applyFill="1" applyBorder="1" applyAlignment="1">
      <alignment horizontal="center" vertical="center"/>
    </xf>
    <xf numFmtId="0" fontId="11" fillId="80" borderId="32" xfId="0" applyFont="1" applyFill="1" applyBorder="1" applyAlignment="1">
      <alignment horizontal="center" vertical="top" wrapText="1"/>
    </xf>
    <xf numFmtId="0" fontId="11" fillId="80" borderId="32" xfId="0" applyFont="1" applyFill="1" applyBorder="1" applyAlignment="1">
      <alignment horizontal="center" vertical="center" wrapText="1"/>
    </xf>
    <xf numFmtId="3" fontId="11" fillId="80" borderId="32" xfId="9" applyNumberFormat="1" applyFont="1" applyFill="1" applyBorder="1" applyAlignment="1">
      <alignment horizontal="center" vertical="center" wrapText="1"/>
    </xf>
    <xf numFmtId="3" fontId="11" fillId="80" borderId="32" xfId="0" applyNumberFormat="1" applyFont="1" applyFill="1" applyBorder="1" applyAlignment="1">
      <alignment horizontal="center" vertical="center" wrapText="1"/>
    </xf>
    <xf numFmtId="3" fontId="8" fillId="80" borderId="32" xfId="0" applyNumberFormat="1" applyFont="1" applyFill="1" applyBorder="1" applyAlignment="1">
      <alignment horizontal="center" vertical="center" wrapText="1"/>
    </xf>
    <xf numFmtId="3" fontId="11" fillId="29" borderId="40" xfId="0" applyNumberFormat="1" applyFont="1" applyFill="1" applyBorder="1"/>
    <xf numFmtId="0" fontId="0" fillId="43" borderId="30" xfId="0" applyFont="1" applyFill="1" applyBorder="1" applyAlignment="1">
      <alignment horizontal="center" vertical="center"/>
    </xf>
    <xf numFmtId="0" fontId="11" fillId="43" borderId="30" xfId="0" applyFont="1" applyFill="1" applyBorder="1" applyAlignment="1">
      <alignment horizontal="center" vertical="center"/>
    </xf>
    <xf numFmtId="0" fontId="11" fillId="43" borderId="30" xfId="0" applyFont="1" applyFill="1" applyBorder="1" applyAlignment="1">
      <alignment horizontal="center" vertical="center" wrapText="1"/>
    </xf>
    <xf numFmtId="3" fontId="11" fillId="43" borderId="30" xfId="9" applyNumberFormat="1" applyFont="1" applyFill="1" applyBorder="1" applyAlignment="1">
      <alignment horizontal="center" vertical="center"/>
    </xf>
    <xf numFmtId="3" fontId="11" fillId="43" borderId="30" xfId="0" applyNumberFormat="1" applyFont="1" applyFill="1" applyBorder="1" applyAlignment="1">
      <alignment horizontal="center" vertical="center"/>
    </xf>
    <xf numFmtId="3" fontId="8" fillId="43" borderId="30" xfId="0" applyNumberFormat="1" applyFont="1" applyFill="1" applyBorder="1" applyAlignment="1">
      <alignment horizontal="center" vertical="center"/>
    </xf>
    <xf numFmtId="3" fontId="11" fillId="43" borderId="31" xfId="0" applyNumberFormat="1" applyFont="1" applyFill="1" applyBorder="1" applyAlignment="1">
      <alignment horizontal="center" vertical="center"/>
    </xf>
    <xf numFmtId="0" fontId="0" fillId="43" borderId="32" xfId="0" applyFont="1" applyFill="1" applyBorder="1" applyAlignment="1" applyProtection="1">
      <alignment horizontal="center" vertical="center" wrapText="1"/>
      <protection locked="0"/>
    </xf>
    <xf numFmtId="0" fontId="11" fillId="43" borderId="32" xfId="0" applyFont="1" applyFill="1" applyBorder="1" applyAlignment="1">
      <alignment horizontal="center" vertical="top"/>
    </xf>
    <xf numFmtId="0" fontId="11" fillId="43" borderId="32" xfId="0" applyFont="1" applyFill="1" applyBorder="1" applyAlignment="1">
      <alignment horizontal="center" vertical="center"/>
    </xf>
    <xf numFmtId="3" fontId="11" fillId="43" borderId="32" xfId="9" applyNumberFormat="1" applyFont="1" applyFill="1" applyBorder="1" applyAlignment="1">
      <alignment horizontal="center" vertical="center"/>
    </xf>
    <xf numFmtId="3" fontId="11" fillId="43" borderId="32" xfId="0" applyNumberFormat="1" applyFont="1" applyFill="1" applyBorder="1" applyAlignment="1">
      <alignment horizontal="center" vertical="center"/>
    </xf>
    <xf numFmtId="3" fontId="8" fillId="43" borderId="32" xfId="0" applyNumberFormat="1" applyFont="1" applyFill="1" applyBorder="1" applyAlignment="1">
      <alignment horizontal="center" vertical="center"/>
    </xf>
    <xf numFmtId="3" fontId="11" fillId="43" borderId="52" xfId="0" applyNumberFormat="1" applyFont="1" applyFill="1" applyBorder="1" applyAlignment="1">
      <alignment horizontal="center" vertical="center"/>
    </xf>
    <xf numFmtId="0" fontId="11" fillId="42" borderId="30" xfId="0" applyFont="1" applyFill="1" applyBorder="1" applyAlignment="1">
      <alignment horizontal="center" vertical="center" wrapText="1"/>
    </xf>
    <xf numFmtId="0" fontId="11" fillId="42" borderId="30" xfId="0" applyFont="1" applyFill="1" applyBorder="1" applyAlignment="1">
      <alignment horizontal="center" vertical="top" wrapText="1"/>
    </xf>
    <xf numFmtId="3" fontId="11" fillId="42" borderId="30" xfId="9" applyNumberFormat="1" applyFont="1" applyFill="1" applyBorder="1" applyAlignment="1">
      <alignment horizontal="center" vertical="center" wrapText="1"/>
    </xf>
    <xf numFmtId="3" fontId="11" fillId="42" borderId="30" xfId="0" applyNumberFormat="1" applyFont="1" applyFill="1" applyBorder="1" applyAlignment="1">
      <alignment horizontal="center" vertical="center" wrapText="1"/>
    </xf>
    <xf numFmtId="3" fontId="8" fillId="42" borderId="30" xfId="0" applyNumberFormat="1" applyFont="1" applyFill="1" applyBorder="1" applyAlignment="1">
      <alignment horizontal="center" vertical="center" wrapText="1"/>
    </xf>
    <xf numFmtId="3" fontId="11" fillId="42" borderId="30" xfId="0" applyNumberFormat="1" applyFont="1" applyFill="1" applyBorder="1" applyAlignment="1">
      <alignment horizontal="center" vertical="center"/>
    </xf>
    <xf numFmtId="3" fontId="11" fillId="42" borderId="31" xfId="0" applyNumberFormat="1" applyFont="1" applyFill="1" applyBorder="1" applyAlignment="1">
      <alignment horizontal="center" vertical="center"/>
    </xf>
    <xf numFmtId="0" fontId="11" fillId="42" borderId="32" xfId="0" applyFont="1" applyFill="1" applyBorder="1" applyAlignment="1" applyProtection="1">
      <alignment horizontal="center" vertical="center" wrapText="1"/>
      <protection locked="0"/>
    </xf>
    <xf numFmtId="9" fontId="52" fillId="42" borderId="32" xfId="0" applyNumberFormat="1" applyFont="1" applyFill="1" applyBorder="1" applyAlignment="1">
      <alignment horizontal="center" vertical="center" wrapText="1"/>
    </xf>
    <xf numFmtId="0" fontId="11" fillId="42" borderId="32" xfId="0" applyFont="1" applyFill="1" applyBorder="1" applyAlignment="1">
      <alignment horizontal="center" vertical="top" wrapText="1"/>
    </xf>
    <xf numFmtId="3" fontId="11" fillId="42" borderId="32" xfId="9" applyNumberFormat="1" applyFont="1" applyFill="1" applyBorder="1" applyAlignment="1">
      <alignment horizontal="center" vertical="center" wrapText="1"/>
    </xf>
    <xf numFmtId="3" fontId="11" fillId="42" borderId="32" xfId="0" applyNumberFormat="1" applyFont="1" applyFill="1" applyBorder="1" applyAlignment="1">
      <alignment horizontal="center" vertical="center" wrapText="1"/>
    </xf>
    <xf numFmtId="3" fontId="11" fillId="42" borderId="32" xfId="0" applyNumberFormat="1" applyFont="1" applyFill="1" applyBorder="1" applyAlignment="1">
      <alignment horizontal="center" vertical="center"/>
    </xf>
    <xf numFmtId="3" fontId="8" fillId="42" borderId="32" xfId="0" applyNumberFormat="1" applyFont="1" applyFill="1" applyBorder="1" applyAlignment="1">
      <alignment horizontal="center" vertical="center"/>
    </xf>
    <xf numFmtId="3" fontId="11" fillId="42" borderId="52" xfId="0" applyNumberFormat="1" applyFont="1" applyFill="1" applyBorder="1" applyAlignment="1">
      <alignment horizontal="center" vertical="center"/>
    </xf>
    <xf numFmtId="0" fontId="11" fillId="41" borderId="30" xfId="0" applyFont="1" applyFill="1" applyBorder="1" applyAlignment="1">
      <alignment horizontal="center" vertical="top" wrapText="1"/>
    </xf>
    <xf numFmtId="3" fontId="11" fillId="41" borderId="30" xfId="9" applyNumberFormat="1" applyFont="1" applyFill="1" applyBorder="1" applyAlignment="1">
      <alignment horizontal="center" vertical="center" wrapText="1"/>
    </xf>
    <xf numFmtId="3" fontId="11" fillId="41" borderId="30" xfId="0" applyNumberFormat="1" applyFont="1" applyFill="1" applyBorder="1" applyAlignment="1">
      <alignment horizontal="center" vertical="center" wrapText="1"/>
    </xf>
    <xf numFmtId="3" fontId="8" fillId="41" borderId="30" xfId="0" applyNumberFormat="1" applyFont="1" applyFill="1" applyBorder="1" applyAlignment="1">
      <alignment horizontal="center" vertical="center" wrapText="1"/>
    </xf>
    <xf numFmtId="3" fontId="11" fillId="41" borderId="31" xfId="0" applyNumberFormat="1" applyFont="1" applyFill="1" applyBorder="1" applyAlignment="1">
      <alignment horizontal="center" vertical="center" wrapText="1"/>
    </xf>
    <xf numFmtId="0" fontId="0" fillId="41" borderId="8" xfId="8" applyFont="1" applyFill="1" applyBorder="1" applyAlignment="1" applyProtection="1">
      <alignment horizontal="left" vertical="center" wrapText="1"/>
      <protection locked="0"/>
    </xf>
    <xf numFmtId="0" fontId="0" fillId="41" borderId="32" xfId="8" applyFont="1" applyFill="1" applyBorder="1" applyAlignment="1" applyProtection="1">
      <alignment horizontal="left" vertical="center" wrapText="1"/>
      <protection locked="0"/>
    </xf>
    <xf numFmtId="0" fontId="0" fillId="41" borderId="149" xfId="8" applyFont="1" applyFill="1" applyBorder="1" applyAlignment="1" applyProtection="1">
      <alignment horizontal="left" vertical="center" wrapText="1"/>
      <protection locked="0"/>
    </xf>
    <xf numFmtId="0" fontId="0" fillId="41" borderId="56" xfId="8" applyFont="1" applyFill="1" applyBorder="1" applyAlignment="1" applyProtection="1">
      <alignment horizontal="left" vertical="center" wrapText="1"/>
      <protection locked="0"/>
    </xf>
    <xf numFmtId="0" fontId="0" fillId="42" borderId="32" xfId="8" applyFont="1" applyFill="1" applyBorder="1" applyAlignment="1">
      <alignment horizontal="left" vertical="center" wrapText="1"/>
    </xf>
    <xf numFmtId="0" fontId="0" fillId="42" borderId="148" xfId="8" applyFont="1" applyFill="1" applyBorder="1" applyAlignment="1">
      <alignment horizontal="left" vertical="center" wrapText="1"/>
    </xf>
    <xf numFmtId="0" fontId="0" fillId="42" borderId="149" xfId="8" applyFont="1" applyFill="1" applyBorder="1" applyAlignment="1">
      <alignment horizontal="left" vertical="center" wrapText="1"/>
    </xf>
    <xf numFmtId="0" fontId="0" fillId="42" borderId="30" xfId="8" applyFont="1" applyFill="1" applyBorder="1" applyAlignment="1">
      <alignment horizontal="left" vertical="center" wrapText="1"/>
    </xf>
    <xf numFmtId="0" fontId="0" fillId="43" borderId="32" xfId="8" applyFont="1" applyFill="1" applyBorder="1" applyAlignment="1">
      <alignment horizontal="left" vertical="center" wrapText="1"/>
    </xf>
    <xf numFmtId="0" fontId="0" fillId="43" borderId="148" xfId="8" applyFont="1" applyFill="1" applyBorder="1" applyAlignment="1">
      <alignment horizontal="left" vertical="center" wrapText="1"/>
    </xf>
    <xf numFmtId="0" fontId="0" fillId="43" borderId="149" xfId="8" applyFont="1" applyFill="1" applyBorder="1" applyAlignment="1">
      <alignment horizontal="left" vertical="center" wrapText="1"/>
    </xf>
    <xf numFmtId="0" fontId="0" fillId="43" borderId="30" xfId="8" applyFont="1" applyFill="1" applyBorder="1" applyAlignment="1">
      <alignment horizontal="left" vertical="center" wrapText="1"/>
    </xf>
    <xf numFmtId="0" fontId="0" fillId="29" borderId="32" xfId="8" applyFont="1" applyFill="1" applyBorder="1" applyAlignment="1">
      <alignment horizontal="left" vertical="center" wrapText="1"/>
    </xf>
    <xf numFmtId="0" fontId="0" fillId="29" borderId="148" xfId="8" applyFont="1" applyFill="1" applyBorder="1" applyAlignment="1">
      <alignment horizontal="left" vertical="center" wrapText="1"/>
    </xf>
    <xf numFmtId="0" fontId="0" fillId="29" borderId="149" xfId="8" applyFont="1" applyFill="1" applyBorder="1" applyAlignment="1">
      <alignment horizontal="left" vertical="center" wrapText="1"/>
    </xf>
    <xf numFmtId="0" fontId="0" fillId="29" borderId="30" xfId="8" applyFont="1" applyFill="1" applyBorder="1" applyAlignment="1">
      <alignment horizontal="left" vertical="center" wrapText="1"/>
    </xf>
    <xf numFmtId="0" fontId="0" fillId="39" borderId="32" xfId="8" applyFont="1" applyFill="1" applyBorder="1" applyAlignment="1">
      <alignment horizontal="left" vertical="center" wrapText="1"/>
    </xf>
    <xf numFmtId="0" fontId="0" fillId="39" borderId="148" xfId="8" applyFont="1" applyFill="1" applyBorder="1" applyAlignment="1">
      <alignment horizontal="left" vertical="center" wrapText="1"/>
    </xf>
    <xf numFmtId="0" fontId="0" fillId="39" borderId="30" xfId="8" applyFont="1" applyFill="1" applyBorder="1" applyAlignment="1">
      <alignment horizontal="left" vertical="center" wrapText="1"/>
    </xf>
    <xf numFmtId="0" fontId="0" fillId="38" borderId="32" xfId="8" applyFont="1" applyFill="1" applyBorder="1" applyAlignment="1">
      <alignment horizontal="left" vertical="center" wrapText="1"/>
    </xf>
    <xf numFmtId="0" fontId="0" fillId="38" borderId="148" xfId="8" applyFont="1" applyFill="1" applyBorder="1" applyAlignment="1">
      <alignment horizontal="left" vertical="center" wrapText="1"/>
    </xf>
    <xf numFmtId="0" fontId="0" fillId="38" borderId="30" xfId="8" applyFont="1" applyFill="1" applyBorder="1" applyAlignment="1">
      <alignment horizontal="left" vertical="center" wrapText="1"/>
    </xf>
    <xf numFmtId="0" fontId="0" fillId="41" borderId="32" xfId="8" applyFont="1" applyFill="1" applyBorder="1" applyAlignment="1">
      <alignment horizontal="left" vertical="center" wrapText="1"/>
    </xf>
    <xf numFmtId="0" fontId="0" fillId="41" borderId="148" xfId="8" applyFont="1" applyFill="1" applyBorder="1" applyAlignment="1">
      <alignment horizontal="left" vertical="center" wrapText="1"/>
    </xf>
    <xf numFmtId="0" fontId="0" fillId="41" borderId="149" xfId="8" applyFont="1" applyFill="1" applyBorder="1" applyAlignment="1">
      <alignment horizontal="left" vertical="center" wrapText="1"/>
    </xf>
    <xf numFmtId="0" fontId="0" fillId="41" borderId="30" xfId="8" applyFont="1" applyFill="1" applyBorder="1" applyAlignment="1">
      <alignment horizontal="left" vertical="center" wrapText="1"/>
    </xf>
    <xf numFmtId="0" fontId="0" fillId="40" borderId="32" xfId="8" applyFont="1" applyFill="1" applyBorder="1" applyAlignment="1">
      <alignment horizontal="left" vertical="center" wrapText="1"/>
    </xf>
    <xf numFmtId="0" fontId="0" fillId="40" borderId="148" xfId="8" applyFont="1" applyFill="1" applyBorder="1" applyAlignment="1">
      <alignment horizontal="left" vertical="center" wrapText="1"/>
    </xf>
    <xf numFmtId="0" fontId="10" fillId="40" borderId="148" xfId="8" applyFont="1" applyFill="1" applyBorder="1" applyAlignment="1">
      <alignment horizontal="left" vertical="center" wrapText="1"/>
    </xf>
    <xf numFmtId="0" fontId="10" fillId="40" borderId="149" xfId="8" applyFont="1" applyFill="1" applyBorder="1" applyAlignment="1">
      <alignment horizontal="left" vertical="center" wrapText="1"/>
    </xf>
    <xf numFmtId="0" fontId="10" fillId="40" borderId="30" xfId="8" applyFont="1" applyFill="1" applyBorder="1" applyAlignment="1">
      <alignment horizontal="left" vertical="center" wrapText="1"/>
    </xf>
    <xf numFmtId="0" fontId="0" fillId="42" borderId="8" xfId="8" applyFont="1" applyFill="1" applyBorder="1" applyAlignment="1">
      <alignment horizontal="left" vertical="center" wrapText="1"/>
    </xf>
    <xf numFmtId="0" fontId="8" fillId="0" borderId="0" xfId="0" applyFont="1" applyFill="1" applyBorder="1" applyAlignment="1" applyProtection="1">
      <alignment horizontal="left" vertical="center" wrapText="1"/>
      <protection locked="0"/>
    </xf>
    <xf numFmtId="0" fontId="8" fillId="0" borderId="149" xfId="0" applyFont="1" applyFill="1" applyBorder="1" applyAlignment="1" applyProtection="1">
      <alignment horizontal="left" vertical="center" wrapText="1"/>
      <protection locked="0"/>
    </xf>
    <xf numFmtId="3" fontId="0" fillId="41" borderId="148" xfId="0" applyNumberFormat="1" applyFont="1" applyFill="1" applyBorder="1"/>
    <xf numFmtId="3" fontId="0" fillId="43" borderId="148" xfId="0" applyNumberFormat="1" applyFont="1" applyFill="1" applyBorder="1"/>
    <xf numFmtId="3" fontId="0" fillId="29" borderId="148" xfId="0" applyNumberFormat="1" applyFont="1" applyFill="1" applyBorder="1"/>
    <xf numFmtId="3" fontId="0" fillId="39" borderId="148" xfId="0" applyNumberFormat="1" applyFont="1" applyFill="1" applyBorder="1"/>
    <xf numFmtId="3" fontId="0" fillId="38" borderId="148" xfId="0" applyNumberFormat="1" applyFont="1" applyFill="1" applyBorder="1"/>
    <xf numFmtId="3" fontId="0" fillId="40" borderId="148" xfId="0" applyNumberFormat="1" applyFont="1" applyFill="1" applyBorder="1"/>
    <xf numFmtId="3" fontId="0" fillId="41" borderId="7" xfId="0" applyNumberFormat="1" applyFont="1" applyFill="1" applyBorder="1"/>
    <xf numFmtId="3" fontId="0" fillId="41" borderId="8" xfId="0" applyNumberFormat="1" applyFont="1" applyFill="1" applyBorder="1"/>
    <xf numFmtId="3" fontId="0" fillId="41" borderId="11" xfId="0" applyNumberFormat="1" applyFont="1" applyFill="1" applyBorder="1"/>
    <xf numFmtId="3" fontId="0" fillId="42" borderId="11" xfId="0" applyNumberFormat="1" applyFont="1" applyFill="1" applyBorder="1"/>
    <xf numFmtId="3" fontId="0" fillId="43" borderId="11" xfId="0" applyNumberFormat="1" applyFont="1" applyFill="1" applyBorder="1"/>
    <xf numFmtId="3" fontId="0" fillId="29" borderId="11" xfId="0" applyNumberFormat="1" applyFont="1" applyFill="1" applyBorder="1"/>
    <xf numFmtId="3" fontId="0" fillId="39" borderId="11" xfId="0" applyNumberFormat="1" applyFont="1" applyFill="1" applyBorder="1"/>
    <xf numFmtId="3" fontId="0" fillId="38" borderId="11" xfId="0" applyNumberFormat="1" applyFont="1" applyFill="1" applyBorder="1"/>
    <xf numFmtId="3" fontId="0" fillId="40" borderId="11" xfId="0" applyNumberFormat="1" applyFont="1" applyFill="1" applyBorder="1"/>
    <xf numFmtId="3" fontId="0" fillId="42" borderId="29" xfId="0" applyNumberFormat="1" applyFont="1" applyFill="1" applyBorder="1"/>
    <xf numFmtId="3" fontId="0" fillId="42" borderId="51" xfId="0" applyNumberFormat="1" applyFont="1" applyFill="1" applyBorder="1"/>
    <xf numFmtId="3" fontId="0" fillId="40" borderId="29" xfId="0" applyNumberFormat="1" applyFont="1" applyFill="1" applyBorder="1"/>
    <xf numFmtId="3" fontId="0" fillId="40" borderId="30" xfId="0" applyNumberFormat="1" applyFont="1" applyFill="1" applyBorder="1"/>
    <xf numFmtId="0" fontId="0" fillId="40" borderId="31" xfId="0" applyFont="1" applyFill="1" applyBorder="1"/>
    <xf numFmtId="3" fontId="0" fillId="40" borderId="51" xfId="0" applyNumberFormat="1" applyFont="1" applyFill="1" applyBorder="1"/>
    <xf numFmtId="3" fontId="0" fillId="41" borderId="29" xfId="0" applyNumberFormat="1" applyFont="1" applyFill="1" applyBorder="1"/>
    <xf numFmtId="3" fontId="0" fillId="41" borderId="30" xfId="0" applyNumberFormat="1" applyFont="1" applyFill="1" applyBorder="1"/>
    <xf numFmtId="3" fontId="0" fillId="41" borderId="51" xfId="0" applyNumberFormat="1" applyFont="1" applyFill="1" applyBorder="1"/>
    <xf numFmtId="3" fontId="0" fillId="41" borderId="32" xfId="0" applyNumberFormat="1" applyFont="1" applyFill="1" applyBorder="1"/>
    <xf numFmtId="3" fontId="0" fillId="38" borderId="29" xfId="0" applyNumberFormat="1" applyFont="1" applyFill="1" applyBorder="1"/>
    <xf numFmtId="3" fontId="0" fillId="38" borderId="30" xfId="0" applyNumberFormat="1" applyFont="1" applyFill="1" applyBorder="1"/>
    <xf numFmtId="3" fontId="0" fillId="38" borderId="51" xfId="0" applyNumberFormat="1" applyFont="1" applyFill="1" applyBorder="1"/>
    <xf numFmtId="3" fontId="0" fillId="38" borderId="32" xfId="0" applyNumberFormat="1" applyFont="1" applyFill="1" applyBorder="1"/>
    <xf numFmtId="3" fontId="0" fillId="39" borderId="29" xfId="0" applyNumberFormat="1" applyFont="1" applyFill="1" applyBorder="1"/>
    <xf numFmtId="3" fontId="0" fillId="39" borderId="30" xfId="0" applyNumberFormat="1" applyFont="1" applyFill="1" applyBorder="1"/>
    <xf numFmtId="3" fontId="0" fillId="39" borderId="51" xfId="0" applyNumberFormat="1" applyFont="1" applyFill="1" applyBorder="1"/>
    <xf numFmtId="3" fontId="0" fillId="39" borderId="32" xfId="0" applyNumberFormat="1" applyFont="1" applyFill="1" applyBorder="1"/>
    <xf numFmtId="3" fontId="0" fillId="29" borderId="29" xfId="0" applyNumberFormat="1" applyFont="1" applyFill="1" applyBorder="1"/>
    <xf numFmtId="3" fontId="0" fillId="29" borderId="30" xfId="0" applyNumberFormat="1" applyFont="1" applyFill="1" applyBorder="1"/>
    <xf numFmtId="175" fontId="9" fillId="18" borderId="24" xfId="0" applyNumberFormat="1" applyFont="1" applyFill="1" applyBorder="1" applyAlignment="1">
      <alignment vertical="center" wrapText="1"/>
    </xf>
    <xf numFmtId="175" fontId="9" fillId="18" borderId="156" xfId="0" applyNumberFormat="1" applyFont="1" applyFill="1" applyBorder="1" applyAlignment="1">
      <alignment vertical="center" wrapText="1"/>
    </xf>
    <xf numFmtId="0" fontId="9" fillId="28" borderId="149" xfId="0" applyFont="1" applyFill="1" applyBorder="1" applyAlignment="1">
      <alignment vertical="center" wrapText="1"/>
    </xf>
    <xf numFmtId="0" fontId="9" fillId="12" borderId="159" xfId="0" applyFont="1" applyFill="1" applyBorder="1" applyAlignment="1">
      <alignment vertical="center" wrapText="1"/>
    </xf>
    <xf numFmtId="0" fontId="40" fillId="30" borderId="35" xfId="0" applyFont="1" applyFill="1" applyBorder="1" applyAlignment="1">
      <alignment vertical="center" wrapText="1"/>
    </xf>
    <xf numFmtId="4" fontId="11" fillId="40" borderId="148" xfId="0" applyNumberFormat="1" applyFont="1" applyFill="1" applyBorder="1" applyAlignment="1">
      <alignment horizontal="center" vertical="center"/>
    </xf>
    <xf numFmtId="0" fontId="7" fillId="40" borderId="148" xfId="0" applyFont="1" applyFill="1" applyBorder="1" applyAlignment="1">
      <alignment horizontal="center" vertical="center" wrapText="1"/>
    </xf>
    <xf numFmtId="4" fontId="0" fillId="44" borderId="148" xfId="0" applyNumberFormat="1" applyFont="1" applyFill="1" applyBorder="1" applyAlignment="1">
      <alignment horizontal="center" vertical="center"/>
    </xf>
    <xf numFmtId="0" fontId="0" fillId="38" borderId="148" xfId="0" applyFont="1" applyFill="1" applyBorder="1" applyAlignment="1">
      <alignment vertical="center" wrapText="1"/>
    </xf>
    <xf numFmtId="9" fontId="0" fillId="7" borderId="148" xfId="5" applyFont="1" applyFill="1" applyBorder="1" applyAlignment="1">
      <alignment horizontal="center" vertical="center" wrapText="1"/>
    </xf>
    <xf numFmtId="4" fontId="0" fillId="7" borderId="148" xfId="5" applyNumberFormat="1" applyFont="1" applyFill="1" applyBorder="1" applyAlignment="1">
      <alignment horizontal="center" vertical="center"/>
    </xf>
    <xf numFmtId="9" fontId="0" fillId="41" borderId="148" xfId="0" applyNumberFormat="1" applyFont="1" applyFill="1" applyBorder="1" applyAlignment="1">
      <alignment vertical="center"/>
    </xf>
    <xf numFmtId="0" fontId="0" fillId="40" borderId="36" xfId="0" applyFont="1" applyFill="1" applyBorder="1" applyAlignment="1">
      <alignment vertical="center" wrapText="1"/>
    </xf>
    <xf numFmtId="0" fontId="0" fillId="40" borderId="179" xfId="0" applyFont="1" applyFill="1" applyBorder="1" applyAlignment="1">
      <alignment vertical="center" wrapText="1"/>
    </xf>
    <xf numFmtId="0" fontId="0" fillId="40" borderId="66" xfId="0" applyFont="1" applyFill="1" applyBorder="1" applyAlignment="1">
      <alignment vertical="center" wrapText="1"/>
    </xf>
    <xf numFmtId="0" fontId="0" fillId="44" borderId="36" xfId="0" applyFont="1" applyFill="1" applyBorder="1" applyAlignment="1">
      <alignment vertical="center" wrapText="1"/>
    </xf>
    <xf numFmtId="0" fontId="0" fillId="44" borderId="38" xfId="0" applyFont="1" applyFill="1" applyBorder="1" applyAlignment="1">
      <alignment vertical="center" wrapText="1"/>
    </xf>
    <xf numFmtId="0" fontId="0" fillId="44" borderId="179" xfId="0" applyFont="1" applyFill="1" applyBorder="1" applyAlignment="1">
      <alignment vertical="center" wrapText="1"/>
    </xf>
    <xf numFmtId="0" fontId="0" fillId="44" borderId="150" xfId="0" applyFont="1" applyFill="1" applyBorder="1" applyAlignment="1">
      <alignment vertical="center" wrapText="1"/>
    </xf>
    <xf numFmtId="0" fontId="0" fillId="44" borderId="66" xfId="0" applyFont="1" applyFill="1" applyBorder="1" applyAlignment="1">
      <alignment vertical="center" wrapText="1"/>
    </xf>
    <xf numFmtId="0" fontId="0" fillId="38" borderId="36" xfId="0" applyFont="1" applyFill="1" applyBorder="1" applyAlignment="1">
      <alignment vertical="center" wrapText="1"/>
    </xf>
    <xf numFmtId="0" fontId="0" fillId="38" borderId="38" xfId="0" applyFont="1" applyFill="1" applyBorder="1" applyAlignment="1">
      <alignment vertical="center" wrapText="1"/>
    </xf>
    <xf numFmtId="0" fontId="0" fillId="38" borderId="179" xfId="0" applyFont="1" applyFill="1" applyBorder="1" applyAlignment="1">
      <alignment vertical="center" wrapText="1"/>
    </xf>
    <xf numFmtId="0" fontId="0" fillId="31" borderId="179" xfId="0" applyFont="1" applyFill="1" applyBorder="1" applyAlignment="1">
      <alignment vertical="center" wrapText="1"/>
    </xf>
    <xf numFmtId="0" fontId="0" fillId="38" borderId="66" xfId="0" applyFont="1" applyFill="1" applyBorder="1" applyAlignment="1">
      <alignment horizontal="center" vertical="center" wrapText="1"/>
    </xf>
    <xf numFmtId="0" fontId="0" fillId="7" borderId="36" xfId="0" applyFont="1" applyFill="1" applyBorder="1" applyAlignment="1">
      <alignment vertical="center" wrapText="1"/>
    </xf>
    <xf numFmtId="0" fontId="0" fillId="7" borderId="179" xfId="0" applyFont="1" applyFill="1" applyBorder="1" applyAlignment="1">
      <alignment vertical="center" wrapText="1"/>
    </xf>
    <xf numFmtId="0" fontId="0" fillId="7" borderId="179" xfId="0" applyFont="1" applyFill="1" applyBorder="1" applyAlignment="1">
      <alignment horizontal="center" vertical="center" wrapText="1"/>
    </xf>
    <xf numFmtId="0" fontId="0" fillId="7" borderId="150" xfId="0" applyFont="1" applyFill="1" applyBorder="1" applyAlignment="1">
      <alignment vertical="center" wrapText="1"/>
    </xf>
    <xf numFmtId="0" fontId="0" fillId="7" borderId="66" xfId="0" applyFont="1" applyFill="1" applyBorder="1" applyAlignment="1">
      <alignment vertical="center" wrapText="1"/>
    </xf>
    <xf numFmtId="0" fontId="0" fillId="41" borderId="36" xfId="0" applyFont="1" applyFill="1" applyBorder="1" applyAlignment="1">
      <alignment horizontal="center" vertical="center" wrapText="1"/>
    </xf>
    <xf numFmtId="0" fontId="0" fillId="41" borderId="38" xfId="0" applyFont="1" applyFill="1" applyBorder="1" applyAlignment="1">
      <alignment horizontal="center" vertical="center" wrapText="1"/>
    </xf>
    <xf numFmtId="0" fontId="0" fillId="41" borderId="179" xfId="0" applyFont="1" applyFill="1" applyBorder="1" applyAlignment="1">
      <alignment horizontal="center" vertical="center" wrapText="1"/>
    </xf>
    <xf numFmtId="0" fontId="0" fillId="41" borderId="179" xfId="0" applyFont="1" applyFill="1" applyBorder="1" applyAlignment="1">
      <alignment vertical="center" wrapText="1"/>
    </xf>
    <xf numFmtId="0" fontId="0" fillId="41" borderId="150" xfId="0" applyFont="1" applyFill="1" applyBorder="1" applyAlignment="1">
      <alignment vertical="center" wrapText="1"/>
    </xf>
    <xf numFmtId="0" fontId="0" fillId="41" borderId="66" xfId="0" applyFont="1" applyFill="1" applyBorder="1" applyAlignment="1">
      <alignment vertical="center" wrapText="1"/>
    </xf>
    <xf numFmtId="0" fontId="10" fillId="40" borderId="19" xfId="0" applyFont="1" applyFill="1" applyBorder="1" applyAlignment="1">
      <alignment horizontal="center" vertical="center" wrapText="1"/>
    </xf>
    <xf numFmtId="0" fontId="10" fillId="40" borderId="154" xfId="0" applyFont="1" applyFill="1" applyBorder="1" applyAlignment="1">
      <alignment horizontal="center" vertical="center" wrapText="1"/>
    </xf>
    <xf numFmtId="9" fontId="10" fillId="40" borderId="154" xfId="0" applyNumberFormat="1" applyFont="1" applyFill="1" applyBorder="1" applyAlignment="1">
      <alignment horizontal="center" vertical="center" wrapText="1"/>
    </xf>
    <xf numFmtId="9" fontId="0" fillId="40" borderId="154" xfId="0" applyNumberFormat="1" applyFont="1" applyFill="1" applyBorder="1" applyAlignment="1">
      <alignment horizontal="center" vertical="center" wrapText="1"/>
    </xf>
    <xf numFmtId="0" fontId="0" fillId="40" borderId="154" xfId="0" applyFont="1" applyFill="1" applyBorder="1" applyAlignment="1">
      <alignment horizontal="center" vertical="center" wrapText="1"/>
    </xf>
    <xf numFmtId="0" fontId="10" fillId="40" borderId="53" xfId="0" applyFont="1" applyFill="1" applyBorder="1" applyAlignment="1">
      <alignment horizontal="center" vertical="center" wrapText="1"/>
    </xf>
    <xf numFmtId="0" fontId="0" fillId="44" borderId="19" xfId="0" applyFont="1" applyFill="1" applyBorder="1" applyAlignment="1">
      <alignment horizontal="left" vertical="center" wrapText="1"/>
    </xf>
    <xf numFmtId="0" fontId="0" fillId="44" borderId="54" xfId="0" applyFont="1" applyFill="1" applyBorder="1" applyAlignment="1">
      <alignment horizontal="left" vertical="center" wrapText="1"/>
    </xf>
    <xf numFmtId="0" fontId="0" fillId="44" borderId="154" xfId="0" applyFont="1" applyFill="1" applyBorder="1" applyAlignment="1">
      <alignment vertical="center" wrapText="1"/>
    </xf>
    <xf numFmtId="10" fontId="0" fillId="44" borderId="154" xfId="0" applyNumberFormat="1" applyFont="1" applyFill="1" applyBorder="1" applyAlignment="1">
      <alignment horizontal="center" vertical="center" wrapText="1"/>
    </xf>
    <xf numFmtId="10" fontId="0" fillId="44" borderId="178" xfId="0" applyNumberFormat="1" applyFont="1" applyFill="1" applyBorder="1" applyAlignment="1">
      <alignment horizontal="center" vertical="center" wrapText="1"/>
    </xf>
    <xf numFmtId="9" fontId="0" fillId="38" borderId="19" xfId="0" applyNumberFormat="1" applyFont="1" applyFill="1" applyBorder="1" applyAlignment="1">
      <alignment horizontal="center" vertical="center" wrapText="1"/>
    </xf>
    <xf numFmtId="9" fontId="0" fillId="38" borderId="54" xfId="0" applyNumberFormat="1" applyFont="1" applyFill="1" applyBorder="1" applyAlignment="1">
      <alignment horizontal="center" vertical="center" wrapText="1"/>
    </xf>
    <xf numFmtId="9" fontId="0" fillId="38" borderId="154" xfId="0" applyNumberFormat="1" applyFont="1" applyFill="1" applyBorder="1" applyAlignment="1">
      <alignment horizontal="center" vertical="center" wrapText="1"/>
    </xf>
    <xf numFmtId="9" fontId="0" fillId="38" borderId="154" xfId="0" applyNumberFormat="1" applyFont="1" applyFill="1" applyBorder="1" applyAlignment="1">
      <alignment horizontal="center" vertical="center"/>
    </xf>
    <xf numFmtId="0" fontId="0" fillId="38" borderId="154" xfId="0" applyFont="1" applyFill="1" applyBorder="1" applyAlignment="1">
      <alignment vertical="center" wrapText="1"/>
    </xf>
    <xf numFmtId="0" fontId="0" fillId="38" borderId="154" xfId="0" applyFont="1" applyFill="1" applyBorder="1" applyAlignment="1">
      <alignment horizontal="center" vertical="center" wrapText="1"/>
    </xf>
    <xf numFmtId="0" fontId="0" fillId="38" borderId="53" xfId="0" applyFont="1" applyFill="1" applyBorder="1" applyAlignment="1">
      <alignment horizontal="center" vertical="center" wrapText="1"/>
    </xf>
    <xf numFmtId="0" fontId="0" fillId="7" borderId="154" xfId="0" applyFont="1" applyFill="1" applyBorder="1" applyAlignment="1">
      <alignment horizontal="center" vertical="center" wrapText="1"/>
    </xf>
    <xf numFmtId="9" fontId="0" fillId="7" borderId="154" xfId="0" applyNumberFormat="1" applyFont="1" applyFill="1" applyBorder="1" applyAlignment="1">
      <alignment horizontal="center" vertical="center" wrapText="1"/>
    </xf>
    <xf numFmtId="9" fontId="0" fillId="7" borderId="154" xfId="0" applyNumberFormat="1" applyFont="1" applyFill="1" applyBorder="1" applyAlignment="1">
      <alignment horizontal="center" vertical="center"/>
    </xf>
    <xf numFmtId="10" fontId="0" fillId="7" borderId="154" xfId="0" applyNumberFormat="1" applyFont="1" applyFill="1" applyBorder="1" applyAlignment="1">
      <alignment horizontal="center" vertical="center"/>
    </xf>
    <xf numFmtId="0" fontId="0" fillId="7" borderId="154" xfId="0" applyFont="1" applyFill="1" applyBorder="1" applyAlignment="1">
      <alignment horizontal="center" vertical="center"/>
    </xf>
    <xf numFmtId="0" fontId="0" fillId="7" borderId="157" xfId="0" applyFont="1" applyFill="1" applyBorder="1" applyAlignment="1">
      <alignment horizontal="center" vertical="center"/>
    </xf>
    <xf numFmtId="0" fontId="0" fillId="7" borderId="53" xfId="0" applyFont="1" applyFill="1" applyBorder="1" applyAlignment="1">
      <alignment horizontal="center" vertical="center"/>
    </xf>
    <xf numFmtId="10" fontId="0" fillId="41" borderId="19" xfId="0" applyNumberFormat="1" applyFont="1" applyFill="1" applyBorder="1" applyAlignment="1">
      <alignment horizontal="center" vertical="center" wrapText="1"/>
    </xf>
    <xf numFmtId="10" fontId="0" fillId="41" borderId="54" xfId="0" applyNumberFormat="1" applyFont="1" applyFill="1" applyBorder="1" applyAlignment="1">
      <alignment horizontal="center" vertical="center" wrapText="1"/>
    </xf>
    <xf numFmtId="0" fontId="0" fillId="41" borderId="154" xfId="0" applyFont="1" applyFill="1" applyBorder="1" applyAlignment="1">
      <alignment horizontal="center" vertical="center"/>
    </xf>
    <xf numFmtId="0" fontId="0" fillId="41" borderId="154" xfId="0" applyFont="1" applyFill="1" applyBorder="1" applyAlignment="1">
      <alignment horizontal="center" vertical="center" wrapText="1"/>
    </xf>
    <xf numFmtId="9" fontId="0" fillId="41" borderId="154" xfId="0" applyNumberFormat="1" applyFont="1" applyFill="1" applyBorder="1" applyAlignment="1">
      <alignment horizontal="center" vertical="center"/>
    </xf>
    <xf numFmtId="0" fontId="0" fillId="41" borderId="154" xfId="0" applyFont="1" applyFill="1" applyBorder="1" applyAlignment="1">
      <alignment vertical="center" wrapText="1"/>
    </xf>
    <xf numFmtId="0" fontId="0" fillId="41" borderId="157" xfId="0" applyFont="1" applyFill="1" applyBorder="1" applyAlignment="1">
      <alignment vertical="center" wrapText="1"/>
    </xf>
    <xf numFmtId="0" fontId="0" fillId="41" borderId="53" xfId="0" applyFont="1" applyFill="1" applyBorder="1" applyAlignment="1">
      <alignment vertical="center" wrapText="1"/>
    </xf>
    <xf numFmtId="0" fontId="0" fillId="40" borderId="7" xfId="0" applyFont="1" applyFill="1" applyBorder="1" applyAlignment="1">
      <alignment horizontal="center" vertical="center" wrapText="1"/>
    </xf>
    <xf numFmtId="0" fontId="10" fillId="40" borderId="9" xfId="0" applyFont="1" applyFill="1" applyBorder="1" applyAlignment="1">
      <alignment horizontal="center" vertical="center" wrapText="1"/>
    </xf>
    <xf numFmtId="0" fontId="0" fillId="40" borderId="11" xfId="0" applyFont="1" applyFill="1" applyBorder="1" applyAlignment="1">
      <alignment horizontal="center" vertical="center" wrapText="1"/>
    </xf>
    <xf numFmtId="0" fontId="10" fillId="40" borderId="94" xfId="0" applyFont="1" applyFill="1" applyBorder="1" applyAlignment="1">
      <alignment horizontal="center" vertical="center" wrapText="1"/>
    </xf>
    <xf numFmtId="0" fontId="0" fillId="40" borderId="94" xfId="0" applyFont="1" applyFill="1" applyBorder="1" applyAlignment="1">
      <alignment horizontal="center" vertical="center" wrapText="1"/>
    </xf>
    <xf numFmtId="0" fontId="7" fillId="40" borderId="94" xfId="0" applyFont="1" applyFill="1" applyBorder="1" applyAlignment="1">
      <alignment horizontal="center" vertical="center" wrapText="1"/>
    </xf>
    <xf numFmtId="0" fontId="0" fillId="44" borderId="94" xfId="0" applyFont="1" applyFill="1" applyBorder="1" applyAlignment="1">
      <alignment vertical="center" wrapText="1"/>
    </xf>
    <xf numFmtId="0" fontId="0" fillId="44" borderId="11" xfId="0" applyFont="1" applyFill="1" applyBorder="1" applyAlignment="1">
      <alignment horizontal="center" vertical="center" wrapText="1"/>
    </xf>
    <xf numFmtId="0" fontId="0" fillId="44" borderId="94" xfId="0" applyFont="1" applyFill="1" applyBorder="1" applyAlignment="1">
      <alignment horizontal="center" vertical="center" wrapText="1"/>
    </xf>
    <xf numFmtId="0" fontId="0" fillId="38" borderId="94" xfId="0" applyFont="1" applyFill="1" applyBorder="1" applyAlignment="1">
      <alignment vertical="center" wrapText="1"/>
    </xf>
    <xf numFmtId="0" fontId="0" fillId="38" borderId="11" xfId="0" applyFont="1" applyFill="1" applyBorder="1" applyAlignment="1">
      <alignment horizontal="center" vertical="center" wrapText="1"/>
    </xf>
    <xf numFmtId="0" fontId="0" fillId="38" borderId="94" xfId="0" applyFont="1" applyFill="1" applyBorder="1" applyAlignment="1">
      <alignment horizontal="center" vertical="center" wrapText="1"/>
    </xf>
    <xf numFmtId="0" fontId="0" fillId="38" borderId="11" xfId="0" applyFont="1" applyFill="1" applyBorder="1" applyAlignment="1">
      <alignment vertical="center" wrapText="1"/>
    </xf>
    <xf numFmtId="0" fontId="0" fillId="38" borderId="94" xfId="0" applyFont="1" applyFill="1" applyBorder="1" applyAlignment="1">
      <alignment horizontal="left" vertical="center" wrapText="1"/>
    </xf>
    <xf numFmtId="0" fontId="0" fillId="7" borderId="94" xfId="0" applyFont="1" applyFill="1" applyBorder="1" applyAlignment="1">
      <alignment horizontal="center" vertical="center" wrapText="1"/>
    </xf>
    <xf numFmtId="0" fontId="0" fillId="41" borderId="94" xfId="0" applyFont="1" applyFill="1" applyBorder="1" applyAlignment="1">
      <alignment horizontal="center" vertical="center" wrapText="1"/>
    </xf>
    <xf numFmtId="0" fontId="0" fillId="41" borderId="11" xfId="0" applyFont="1" applyFill="1" applyBorder="1" applyAlignment="1">
      <alignment horizontal="center" vertical="center" wrapText="1"/>
    </xf>
    <xf numFmtId="0" fontId="0" fillId="41" borderId="94" xfId="0" applyFont="1" applyFill="1" applyBorder="1" applyAlignment="1">
      <alignment vertical="center" wrapText="1"/>
    </xf>
    <xf numFmtId="0" fontId="0" fillId="41" borderId="31" xfId="0" applyFont="1" applyFill="1" applyBorder="1" applyAlignment="1">
      <alignment vertical="center" wrapText="1"/>
    </xf>
    <xf numFmtId="0" fontId="0" fillId="41" borderId="52" xfId="0" applyFont="1" applyFill="1" applyBorder="1" applyAlignment="1">
      <alignment horizontal="center" vertical="center" wrapText="1"/>
    </xf>
    <xf numFmtId="0" fontId="0" fillId="7" borderId="29" xfId="0" applyFont="1" applyFill="1" applyBorder="1" applyAlignment="1">
      <alignment horizontal="center" vertical="center" wrapText="1"/>
    </xf>
    <xf numFmtId="0" fontId="0" fillId="7" borderId="31" xfId="0" applyFont="1" applyFill="1" applyBorder="1" applyAlignment="1">
      <alignment horizontal="center" vertical="center" wrapText="1"/>
    </xf>
    <xf numFmtId="0" fontId="0" fillId="7" borderId="51" xfId="0" applyFont="1" applyFill="1" applyBorder="1" applyAlignment="1">
      <alignment horizontal="center" vertical="center" wrapText="1"/>
    </xf>
    <xf numFmtId="0" fontId="0" fillId="7" borderId="32" xfId="0" applyFont="1" applyFill="1" applyBorder="1" applyAlignment="1">
      <alignment vertical="center" wrapText="1"/>
    </xf>
    <xf numFmtId="9" fontId="0" fillId="7" borderId="32" xfId="5" applyFont="1" applyFill="1" applyBorder="1" applyAlignment="1">
      <alignment horizontal="center" vertical="center" wrapText="1"/>
    </xf>
    <xf numFmtId="0" fontId="0" fillId="7" borderId="52" xfId="0" applyFont="1" applyFill="1" applyBorder="1" applyAlignment="1">
      <alignment horizontal="center" vertical="center" wrapText="1"/>
    </xf>
    <xf numFmtId="0" fontId="0" fillId="38" borderId="29" xfId="0" applyFont="1" applyFill="1" applyBorder="1" applyAlignment="1">
      <alignment horizontal="center" vertical="center" wrapText="1"/>
    </xf>
    <xf numFmtId="0" fontId="0" fillId="38" borderId="31" xfId="0" applyFont="1" applyFill="1" applyBorder="1" applyAlignment="1">
      <alignment horizontal="center" vertical="center" wrapText="1"/>
    </xf>
    <xf numFmtId="0" fontId="0" fillId="38" borderId="52" xfId="0" applyFont="1" applyFill="1" applyBorder="1" applyAlignment="1">
      <alignment vertical="center" wrapText="1"/>
    </xf>
    <xf numFmtId="0" fontId="0" fillId="44" borderId="30" xfId="0" applyFont="1" applyFill="1" applyBorder="1" applyAlignment="1">
      <alignment horizontal="center" vertical="center" wrapText="1"/>
    </xf>
    <xf numFmtId="0" fontId="0" fillId="44" borderId="31" xfId="0" applyFont="1" applyFill="1" applyBorder="1" applyAlignment="1">
      <alignment horizontal="center" vertical="center" wrapText="1"/>
    </xf>
    <xf numFmtId="0" fontId="0" fillId="44" borderId="52" xfId="0" applyFont="1" applyFill="1" applyBorder="1" applyAlignment="1">
      <alignment vertical="center" wrapText="1"/>
    </xf>
    <xf numFmtId="0" fontId="7" fillId="40" borderId="31" xfId="0" applyFont="1" applyFill="1" applyBorder="1" applyAlignment="1">
      <alignment horizontal="center" vertical="center" wrapText="1"/>
    </xf>
    <xf numFmtId="0" fontId="10" fillId="40" borderId="7" xfId="0" applyFont="1" applyFill="1" applyBorder="1"/>
    <xf numFmtId="0" fontId="10" fillId="40" borderId="11" xfId="0" applyFont="1" applyFill="1" applyBorder="1"/>
    <xf numFmtId="0" fontId="10" fillId="44" borderId="11" xfId="0" applyFont="1" applyFill="1" applyBorder="1"/>
    <xf numFmtId="0" fontId="10" fillId="38" borderId="11" xfId="0" applyFont="1" applyFill="1" applyBorder="1"/>
    <xf numFmtId="0" fontId="10" fillId="38" borderId="94" xfId="0" applyFont="1" applyFill="1" applyBorder="1"/>
    <xf numFmtId="0" fontId="10" fillId="7" borderId="11" xfId="0" applyFont="1" applyFill="1" applyBorder="1"/>
    <xf numFmtId="0" fontId="10" fillId="41" borderId="11" xfId="0" applyFont="1" applyFill="1" applyBorder="1"/>
    <xf numFmtId="0" fontId="10" fillId="41" borderId="29" xfId="0" applyFont="1" applyFill="1" applyBorder="1"/>
    <xf numFmtId="0" fontId="10" fillId="41" borderId="51" xfId="0" applyFont="1" applyFill="1" applyBorder="1"/>
    <xf numFmtId="0" fontId="10" fillId="7" borderId="29" xfId="0" applyFont="1" applyFill="1" applyBorder="1"/>
    <xf numFmtId="0" fontId="10" fillId="7" borderId="51" xfId="0" applyFont="1" applyFill="1" applyBorder="1"/>
    <xf numFmtId="0" fontId="10" fillId="7" borderId="32" xfId="0" applyFont="1" applyFill="1" applyBorder="1"/>
    <xf numFmtId="0" fontId="10" fillId="7" borderId="52" xfId="0" applyFont="1" applyFill="1" applyBorder="1"/>
    <xf numFmtId="0" fontId="10" fillId="38" borderId="29" xfId="0" applyFont="1" applyFill="1" applyBorder="1"/>
    <xf numFmtId="0" fontId="10" fillId="38" borderId="30" xfId="0" applyFont="1" applyFill="1" applyBorder="1"/>
    <xf numFmtId="0" fontId="10" fillId="38" borderId="31" xfId="0" applyFont="1" applyFill="1" applyBorder="1"/>
    <xf numFmtId="0" fontId="10" fillId="38" borderId="51" xfId="0" applyFont="1" applyFill="1" applyBorder="1"/>
    <xf numFmtId="0" fontId="10" fillId="38" borderId="32" xfId="0" applyFont="1" applyFill="1" applyBorder="1"/>
    <xf numFmtId="0" fontId="10" fillId="38" borderId="52" xfId="0" applyFont="1" applyFill="1" applyBorder="1"/>
    <xf numFmtId="0" fontId="10" fillId="44" borderId="29" xfId="0" applyFont="1" applyFill="1" applyBorder="1"/>
    <xf numFmtId="0" fontId="10" fillId="44" borderId="30" xfId="0" applyFont="1" applyFill="1" applyBorder="1"/>
    <xf numFmtId="0" fontId="10" fillId="44" borderId="31" xfId="0" applyFont="1" applyFill="1" applyBorder="1"/>
    <xf numFmtId="0" fontId="10" fillId="44" borderId="51" xfId="0" applyFont="1" applyFill="1" applyBorder="1"/>
    <xf numFmtId="0" fontId="10" fillId="40" borderId="29" xfId="0" applyFont="1" applyFill="1" applyBorder="1"/>
    <xf numFmtId="9" fontId="11" fillId="7" borderId="148" xfId="0" applyNumberFormat="1" applyFont="1" applyFill="1" applyBorder="1" applyAlignment="1">
      <alignment horizontal="center" vertical="center" wrapText="1"/>
    </xf>
    <xf numFmtId="0" fontId="3" fillId="7" borderId="148" xfId="0" applyFont="1" applyFill="1" applyBorder="1" applyAlignment="1">
      <alignment horizontal="center" vertical="center" wrapText="1"/>
    </xf>
    <xf numFmtId="0" fontId="0" fillId="7" borderId="148" xfId="0" applyFont="1" applyFill="1" applyBorder="1" applyAlignment="1">
      <alignment horizontal="left" vertical="center" wrapText="1"/>
    </xf>
    <xf numFmtId="0" fontId="0" fillId="7" borderId="148" xfId="0" applyFont="1" applyFill="1" applyBorder="1" applyAlignment="1">
      <alignment horizontal="center" vertical="center"/>
    </xf>
    <xf numFmtId="182" fontId="10" fillId="7" borderId="148" xfId="0" applyNumberFormat="1" applyFont="1" applyFill="1" applyBorder="1" applyAlignment="1">
      <alignment horizontal="center" vertical="center"/>
    </xf>
    <xf numFmtId="0" fontId="11" fillId="7" borderId="148" xfId="0" applyFont="1" applyFill="1" applyBorder="1" applyAlignment="1">
      <alignment horizontal="center" vertical="center"/>
    </xf>
    <xf numFmtId="164" fontId="10" fillId="7" borderId="148" xfId="4" applyFont="1" applyFill="1" applyBorder="1" applyAlignment="1">
      <alignment horizontal="center" vertical="center"/>
    </xf>
    <xf numFmtId="0" fontId="11" fillId="7" borderId="148" xfId="0" applyFont="1" applyFill="1" applyBorder="1" applyAlignment="1">
      <alignment vertical="center" wrapText="1"/>
    </xf>
    <xf numFmtId="0" fontId="10" fillId="7" borderId="148" xfId="0" applyFont="1" applyFill="1" applyBorder="1" applyAlignment="1">
      <alignment horizontal="left" vertical="center" wrapText="1"/>
    </xf>
    <xf numFmtId="0" fontId="3" fillId="51" borderId="148" xfId="0" applyFont="1" applyFill="1" applyBorder="1" applyAlignment="1">
      <alignment horizontal="center" vertical="center" wrapText="1"/>
    </xf>
    <xf numFmtId="0" fontId="8" fillId="51" borderId="148" xfId="0" applyFont="1" applyFill="1" applyBorder="1" applyAlignment="1">
      <alignment horizontal="center" vertical="center" wrapText="1"/>
    </xf>
    <xf numFmtId="9" fontId="0" fillId="51" borderId="148" xfId="0" applyNumberFormat="1" applyFont="1" applyFill="1" applyBorder="1" applyAlignment="1">
      <alignment horizontal="center" vertical="center" wrapText="1"/>
    </xf>
    <xf numFmtId="9" fontId="0" fillId="51" borderId="148" xfId="0" applyNumberFormat="1" applyFont="1" applyFill="1" applyBorder="1" applyAlignment="1">
      <alignment vertical="center"/>
    </xf>
    <xf numFmtId="0" fontId="0" fillId="51" borderId="148" xfId="0" applyFont="1" applyFill="1" applyBorder="1" applyAlignment="1">
      <alignment vertical="center" wrapText="1"/>
    </xf>
    <xf numFmtId="0" fontId="0" fillId="51" borderId="148" xfId="0" applyFont="1" applyFill="1" applyBorder="1" applyAlignment="1">
      <alignment vertical="center"/>
    </xf>
    <xf numFmtId="9" fontId="0" fillId="51" borderId="148" xfId="0" applyNumberFormat="1" applyFont="1" applyFill="1" applyBorder="1" applyAlignment="1">
      <alignment horizontal="center" vertical="center"/>
    </xf>
    <xf numFmtId="0" fontId="0" fillId="51" borderId="148" xfId="0" applyFont="1" applyFill="1" applyBorder="1" applyAlignment="1">
      <alignment horizontal="center" vertical="center"/>
    </xf>
    <xf numFmtId="3" fontId="0" fillId="51" borderId="148" xfId="0" applyNumberFormat="1" applyFont="1" applyFill="1" applyBorder="1" applyAlignment="1">
      <alignment vertical="center"/>
    </xf>
    <xf numFmtId="1" fontId="0" fillId="51" borderId="148" xfId="0" applyNumberFormat="1" applyFont="1" applyFill="1" applyBorder="1" applyAlignment="1">
      <alignment horizontal="center" vertical="center"/>
    </xf>
    <xf numFmtId="1" fontId="10" fillId="51" borderId="148" xfId="0" applyNumberFormat="1" applyFont="1" applyFill="1" applyBorder="1" applyAlignment="1">
      <alignment horizontal="center" vertical="center" wrapText="1"/>
    </xf>
    <xf numFmtId="0" fontId="0" fillId="51" borderId="32" xfId="0" applyFont="1" applyFill="1" applyBorder="1" applyAlignment="1">
      <alignment vertical="center"/>
    </xf>
    <xf numFmtId="0" fontId="0" fillId="51" borderId="32" xfId="0" applyFont="1" applyFill="1" applyBorder="1" applyAlignment="1">
      <alignment vertical="center" wrapText="1"/>
    </xf>
    <xf numFmtId="1" fontId="0" fillId="51" borderId="148" xfId="0" applyNumberFormat="1" applyFont="1" applyFill="1" applyBorder="1" applyAlignment="1">
      <alignment horizontal="center" vertical="center" wrapText="1"/>
    </xf>
    <xf numFmtId="10" fontId="0" fillId="51" borderId="148" xfId="5" applyNumberFormat="1" applyFont="1" applyFill="1" applyBorder="1" applyAlignment="1">
      <alignment horizontal="center" vertical="center"/>
    </xf>
    <xf numFmtId="42" fontId="0" fillId="51" borderId="148" xfId="18" applyFont="1" applyFill="1" applyBorder="1" applyAlignment="1">
      <alignment vertical="center"/>
    </xf>
    <xf numFmtId="0" fontId="0" fillId="51" borderId="32" xfId="0" applyFont="1" applyFill="1" applyBorder="1" applyAlignment="1">
      <alignment horizontal="center" vertical="center"/>
    </xf>
    <xf numFmtId="9" fontId="10" fillId="51" borderId="148" xfId="5" applyNumberFormat="1" applyFont="1" applyFill="1" applyBorder="1" applyAlignment="1">
      <alignment horizontal="center" vertical="center" wrapText="1"/>
    </xf>
    <xf numFmtId="0" fontId="8" fillId="51" borderId="32" xfId="0" applyFont="1" applyFill="1" applyBorder="1" applyAlignment="1">
      <alignment horizontal="center" vertical="center" wrapText="1"/>
    </xf>
    <xf numFmtId="0" fontId="11" fillId="17" borderId="148" xfId="0" applyFont="1" applyFill="1" applyBorder="1" applyAlignment="1">
      <alignment horizontal="center" vertical="center"/>
    </xf>
    <xf numFmtId="0" fontId="0" fillId="17" borderId="148" xfId="0" applyFont="1" applyFill="1" applyBorder="1" applyAlignment="1">
      <alignment horizontal="center" vertical="center" wrapText="1"/>
    </xf>
    <xf numFmtId="0" fontId="3" fillId="17" borderId="148" xfId="0" applyFont="1" applyFill="1" applyBorder="1" applyAlignment="1">
      <alignment horizontal="center" vertical="center" wrapText="1"/>
    </xf>
    <xf numFmtId="9" fontId="0" fillId="17" borderId="148" xfId="0" applyNumberFormat="1" applyFont="1" applyFill="1" applyBorder="1" applyAlignment="1">
      <alignment vertical="center" wrapText="1"/>
    </xf>
    <xf numFmtId="191" fontId="0" fillId="17" borderId="148" xfId="10" applyNumberFormat="1" applyFont="1" applyFill="1" applyBorder="1"/>
    <xf numFmtId="9" fontId="11" fillId="17" borderId="148" xfId="0" applyNumberFormat="1" applyFont="1" applyFill="1" applyBorder="1" applyAlignment="1">
      <alignment horizontal="center" vertical="center" wrapText="1"/>
    </xf>
    <xf numFmtId="9" fontId="0" fillId="17" borderId="148" xfId="0" applyNumberFormat="1" applyFont="1" applyFill="1" applyBorder="1" applyAlignment="1">
      <alignment wrapText="1"/>
    </xf>
    <xf numFmtId="0" fontId="8" fillId="38" borderId="148" xfId="0" applyFont="1" applyFill="1" applyBorder="1" applyAlignment="1">
      <alignment horizontal="center" vertical="center" wrapText="1"/>
    </xf>
    <xf numFmtId="9" fontId="11" fillId="38" borderId="148" xfId="0" applyNumberFormat="1" applyFont="1" applyFill="1" applyBorder="1" applyAlignment="1">
      <alignment horizontal="center" vertical="center" wrapText="1"/>
    </xf>
    <xf numFmtId="42" fontId="0" fillId="38" borderId="148" xfId="18" applyFont="1" applyFill="1" applyBorder="1" applyAlignment="1">
      <alignment vertical="center"/>
    </xf>
    <xf numFmtId="0" fontId="0" fillId="38" borderId="148" xfId="0" applyFont="1" applyFill="1" applyBorder="1" applyAlignment="1">
      <alignment vertical="center"/>
    </xf>
    <xf numFmtId="0" fontId="8" fillId="40" borderId="148" xfId="0" applyFont="1" applyFill="1" applyBorder="1" applyAlignment="1">
      <alignment horizontal="center" vertical="center" wrapText="1"/>
    </xf>
    <xf numFmtId="0" fontId="3" fillId="40" borderId="32" xfId="0" applyFont="1" applyFill="1" applyBorder="1" applyAlignment="1">
      <alignment horizontal="center" vertical="center" wrapText="1"/>
    </xf>
    <xf numFmtId="9" fontId="0" fillId="40" borderId="148" xfId="0" applyNumberFormat="1" applyFont="1" applyFill="1" applyBorder="1"/>
    <xf numFmtId="0" fontId="3" fillId="40" borderId="148" xfId="0" applyFont="1" applyFill="1" applyBorder="1" applyAlignment="1">
      <alignment horizontal="center" vertical="center"/>
    </xf>
    <xf numFmtId="0" fontId="3" fillId="40" borderId="32" xfId="0" applyFont="1" applyFill="1" applyBorder="1" applyAlignment="1">
      <alignment horizontal="center" vertical="center"/>
    </xf>
    <xf numFmtId="0" fontId="3" fillId="40" borderId="32" xfId="0" applyFont="1" applyFill="1" applyBorder="1" applyAlignment="1">
      <alignment vertical="center"/>
    </xf>
    <xf numFmtId="9" fontId="11" fillId="41" borderId="148" xfId="0" applyNumberFormat="1" applyFont="1" applyFill="1" applyBorder="1" applyAlignment="1">
      <alignment horizontal="center" vertical="center" wrapText="1"/>
    </xf>
    <xf numFmtId="0" fontId="8" fillId="42" borderId="148" xfId="0" applyFont="1" applyFill="1" applyBorder="1" applyAlignment="1">
      <alignment horizontal="center" vertical="center" wrapText="1"/>
    </xf>
    <xf numFmtId="9" fontId="0" fillId="42" borderId="148" xfId="0" applyNumberFormat="1" applyFont="1" applyFill="1" applyBorder="1" applyAlignment="1">
      <alignment horizontal="center" vertical="center" wrapText="1"/>
    </xf>
    <xf numFmtId="9" fontId="0" fillId="42" borderId="148" xfId="0" applyNumberFormat="1" applyFont="1" applyFill="1" applyBorder="1"/>
    <xf numFmtId="0" fontId="0" fillId="42" borderId="148" xfId="0" applyFont="1" applyFill="1" applyBorder="1" applyAlignment="1">
      <alignment vertical="top" wrapText="1"/>
    </xf>
    <xf numFmtId="42" fontId="0" fillId="42" borderId="148" xfId="18" applyFont="1" applyFill="1" applyBorder="1" applyAlignment="1">
      <alignment vertical="center" wrapText="1"/>
    </xf>
    <xf numFmtId="0" fontId="0" fillId="42" borderId="148" xfId="0" applyFont="1" applyFill="1" applyBorder="1" applyAlignment="1">
      <alignment horizontal="left" vertical="center" wrapText="1"/>
    </xf>
    <xf numFmtId="0" fontId="8" fillId="42" borderId="32" xfId="0" applyFont="1" applyFill="1" applyBorder="1" applyAlignment="1">
      <alignment horizontal="center" vertical="center" wrapText="1"/>
    </xf>
    <xf numFmtId="9" fontId="0" fillId="42" borderId="32" xfId="0" applyNumberFormat="1" applyFont="1" applyFill="1" applyBorder="1" applyAlignment="1">
      <alignment horizontal="center" vertical="center" wrapText="1"/>
    </xf>
    <xf numFmtId="0" fontId="47" fillId="42" borderId="148" xfId="21" applyFont="1" applyFill="1" applyBorder="1" applyAlignment="1" applyProtection="1">
      <alignment wrapText="1"/>
    </xf>
    <xf numFmtId="9" fontId="11" fillId="41" borderId="148" xfId="0" applyNumberFormat="1" applyFont="1" applyFill="1" applyBorder="1" applyAlignment="1">
      <alignment horizontal="center" vertical="center"/>
    </xf>
    <xf numFmtId="9" fontId="0" fillId="41" borderId="148" xfId="0" applyNumberFormat="1" applyFont="1" applyFill="1" applyBorder="1" applyAlignment="1"/>
    <xf numFmtId="185" fontId="0" fillId="41" borderId="148" xfId="17" applyNumberFormat="1" applyFont="1" applyFill="1" applyBorder="1" applyAlignment="1">
      <alignment horizontal="center" vertical="center"/>
    </xf>
    <xf numFmtId="185" fontId="11" fillId="41" borderId="148" xfId="17" applyNumberFormat="1" applyFont="1" applyFill="1" applyBorder="1" applyAlignment="1">
      <alignment horizontal="center" vertical="center" wrapText="1"/>
    </xf>
    <xf numFmtId="186" fontId="0" fillId="41" borderId="148" xfId="7" applyNumberFormat="1" applyFont="1" applyFill="1" applyBorder="1" applyAlignment="1">
      <alignment horizontal="center" vertical="center"/>
    </xf>
    <xf numFmtId="42" fontId="0" fillId="41" borderId="32" xfId="18" applyFont="1" applyFill="1" applyBorder="1" applyAlignment="1">
      <alignment vertical="center"/>
    </xf>
    <xf numFmtId="0" fontId="0" fillId="41" borderId="32" xfId="0" applyFont="1" applyFill="1" applyBorder="1" applyAlignment="1">
      <alignment vertical="center" wrapText="1"/>
    </xf>
    <xf numFmtId="187" fontId="0" fillId="41" borderId="148" xfId="0" applyNumberFormat="1" applyFont="1" applyFill="1" applyBorder="1" applyAlignment="1">
      <alignment horizontal="center" vertical="center"/>
    </xf>
    <xf numFmtId="0" fontId="0" fillId="41" borderId="148" xfId="0" applyNumberFormat="1" applyFont="1" applyFill="1" applyBorder="1" applyAlignment="1">
      <alignment horizontal="center" vertical="center" wrapText="1"/>
    </xf>
    <xf numFmtId="3" fontId="3" fillId="41" borderId="148" xfId="0" applyNumberFormat="1" applyFont="1" applyFill="1" applyBorder="1" applyAlignment="1">
      <alignment horizontal="center" vertical="center"/>
    </xf>
    <xf numFmtId="9" fontId="0" fillId="41" borderId="148" xfId="5" applyFont="1" applyFill="1" applyBorder="1"/>
    <xf numFmtId="0" fontId="9" fillId="4" borderId="149" xfId="1" applyFont="1" applyFill="1" applyBorder="1" applyAlignment="1">
      <alignment horizontal="center" vertical="center" wrapText="1"/>
    </xf>
    <xf numFmtId="0" fontId="0" fillId="0" borderId="149" xfId="0" applyFont="1" applyBorder="1" applyAlignment="1">
      <alignment horizontal="center" vertical="center"/>
    </xf>
    <xf numFmtId="0" fontId="3" fillId="4" borderId="157" xfId="0" applyFont="1" applyFill="1" applyBorder="1" applyAlignment="1">
      <alignment vertical="center" wrapText="1"/>
    </xf>
    <xf numFmtId="0" fontId="3" fillId="4" borderId="149" xfId="0" applyFont="1" applyFill="1" applyBorder="1" applyAlignment="1">
      <alignment vertical="center" wrapText="1"/>
    </xf>
    <xf numFmtId="0" fontId="3" fillId="4" borderId="150" xfId="0" applyFont="1" applyFill="1" applyBorder="1" applyAlignment="1">
      <alignment vertical="center" wrapText="1"/>
    </xf>
    <xf numFmtId="0" fontId="0" fillId="4" borderId="157" xfId="0" applyFont="1" applyFill="1" applyBorder="1" applyAlignment="1" applyProtection="1">
      <alignment vertical="center" textRotation="90" wrapText="1"/>
      <protection locked="0"/>
    </xf>
    <xf numFmtId="3" fontId="0" fillId="4" borderId="158" xfId="0" applyNumberFormat="1" applyFont="1" applyFill="1" applyBorder="1" applyAlignment="1" applyProtection="1">
      <alignment horizontal="center" vertical="center" textRotation="90" wrapText="1"/>
      <protection locked="0"/>
    </xf>
    <xf numFmtId="3" fontId="0" fillId="4" borderId="159" xfId="0" applyNumberFormat="1" applyFont="1" applyFill="1" applyBorder="1" applyAlignment="1" applyProtection="1">
      <alignment horizontal="center" vertical="center" textRotation="90" wrapText="1"/>
      <protection locked="0"/>
    </xf>
    <xf numFmtId="3" fontId="0" fillId="4" borderId="149" xfId="0" applyNumberFormat="1" applyFont="1" applyFill="1" applyBorder="1" applyAlignment="1" applyProtection="1">
      <alignment horizontal="center" vertical="center" textRotation="90" wrapText="1"/>
      <protection locked="0"/>
    </xf>
    <xf numFmtId="3" fontId="0" fillId="4" borderId="157" xfId="0" applyNumberFormat="1" applyFont="1" applyFill="1" applyBorder="1" applyAlignment="1" applyProtection="1">
      <alignment horizontal="center" vertical="center" textRotation="90" wrapText="1"/>
      <protection locked="0"/>
    </xf>
    <xf numFmtId="3" fontId="0" fillId="4" borderId="150" xfId="0" applyNumberFormat="1" applyFont="1" applyFill="1" applyBorder="1" applyAlignment="1" applyProtection="1">
      <alignment horizontal="center" vertical="center" textRotation="90" wrapText="1"/>
      <protection locked="0"/>
    </xf>
    <xf numFmtId="174" fontId="0" fillId="7" borderId="148" xfId="7" applyNumberFormat="1" applyFont="1" applyFill="1" applyBorder="1" applyAlignment="1">
      <alignment horizontal="center" vertical="center" wrapText="1"/>
    </xf>
    <xf numFmtId="0" fontId="11" fillId="84" borderId="148" xfId="0" applyFont="1" applyFill="1" applyBorder="1" applyAlignment="1">
      <alignment horizontal="left" vertical="top" wrapText="1"/>
    </xf>
    <xf numFmtId="3" fontId="11" fillId="7" borderId="148" xfId="9" applyNumberFormat="1" applyFont="1" applyFill="1" applyBorder="1" applyAlignment="1">
      <alignment horizontal="center" vertical="center" wrapText="1"/>
    </xf>
    <xf numFmtId="170" fontId="10" fillId="7" borderId="148" xfId="9" applyFont="1" applyFill="1" applyBorder="1" applyAlignment="1" applyProtection="1">
      <alignment horizontal="center" vertical="center" wrapText="1"/>
    </xf>
    <xf numFmtId="170" fontId="10" fillId="7" borderId="148" xfId="9" applyFont="1" applyFill="1" applyBorder="1" applyAlignment="1" applyProtection="1">
      <alignment horizontal="center" vertical="center"/>
    </xf>
    <xf numFmtId="0" fontId="11" fillId="7" borderId="148" xfId="0" applyFont="1" applyFill="1" applyBorder="1" applyAlignment="1">
      <alignment horizontal="left" vertical="top" wrapText="1"/>
    </xf>
    <xf numFmtId="3" fontId="0" fillId="7" borderId="148" xfId="9" applyNumberFormat="1" applyFont="1" applyFill="1" applyBorder="1" applyAlignment="1">
      <alignment horizontal="center" vertical="center" wrapText="1"/>
    </xf>
    <xf numFmtId="3" fontId="11" fillId="85" borderId="148" xfId="0" applyNumberFormat="1" applyFont="1" applyFill="1" applyBorder="1" applyAlignment="1">
      <alignment horizontal="center" vertical="center"/>
    </xf>
    <xf numFmtId="3" fontId="11" fillId="84" borderId="148" xfId="0" applyNumberFormat="1" applyFont="1" applyFill="1" applyBorder="1" applyAlignment="1">
      <alignment horizontal="center" vertical="center"/>
    </xf>
    <xf numFmtId="183" fontId="10" fillId="7" borderId="148" xfId="0" applyNumberFormat="1" applyFont="1" applyFill="1" applyBorder="1" applyAlignment="1">
      <alignment horizontal="center" vertical="center"/>
    </xf>
    <xf numFmtId="0" fontId="11" fillId="84" borderId="148" xfId="0" applyFont="1" applyFill="1" applyBorder="1" applyAlignment="1">
      <alignment vertical="top"/>
    </xf>
    <xf numFmtId="3" fontId="11" fillId="7" borderId="148" xfId="9" applyNumberFormat="1" applyFont="1" applyFill="1" applyBorder="1" applyAlignment="1">
      <alignment horizontal="center" vertical="center"/>
    </xf>
    <xf numFmtId="0" fontId="11" fillId="7" borderId="148" xfId="0" applyFont="1" applyFill="1" applyBorder="1" applyAlignment="1">
      <alignment vertical="top" wrapText="1"/>
    </xf>
    <xf numFmtId="3" fontId="11" fillId="7" borderId="148" xfId="0" applyNumberFormat="1" applyFont="1" applyFill="1" applyBorder="1" applyAlignment="1">
      <alignment horizontal="center" vertical="center" wrapText="1"/>
    </xf>
    <xf numFmtId="174" fontId="11" fillId="7" borderId="148" xfId="7" applyNumberFormat="1" applyFont="1" applyFill="1" applyBorder="1" applyAlignment="1">
      <alignment horizontal="center" vertical="center" wrapText="1"/>
    </xf>
    <xf numFmtId="0" fontId="0" fillId="7" borderId="148" xfId="0" applyFont="1" applyFill="1" applyBorder="1" applyAlignment="1"/>
    <xf numFmtId="0" fontId="0" fillId="7" borderId="148" xfId="0" applyFont="1" applyFill="1" applyBorder="1" applyAlignment="1">
      <alignment horizontal="left" vertical="top" wrapText="1"/>
    </xf>
    <xf numFmtId="0" fontId="11" fillId="7" borderId="148" xfId="0" applyFont="1" applyFill="1" applyBorder="1" applyAlignment="1">
      <alignment horizontal="left" vertical="center" wrapText="1"/>
    </xf>
    <xf numFmtId="184" fontId="0" fillId="7" borderId="148" xfId="0" applyNumberFormat="1" applyFont="1" applyFill="1" applyBorder="1" applyAlignment="1">
      <alignment horizontal="center" vertical="center" wrapText="1"/>
    </xf>
    <xf numFmtId="0" fontId="11" fillId="86" borderId="148" xfId="0" applyFont="1" applyFill="1" applyBorder="1" applyAlignment="1">
      <alignment horizontal="center" vertical="top" wrapText="1"/>
    </xf>
    <xf numFmtId="0" fontId="11" fillId="86" borderId="148" xfId="0" applyFont="1" applyFill="1" applyBorder="1" applyAlignment="1">
      <alignment horizontal="center" wrapText="1"/>
    </xf>
    <xf numFmtId="174" fontId="10" fillId="7" borderId="148" xfId="7" applyNumberFormat="1" applyFont="1" applyFill="1" applyBorder="1" applyAlignment="1">
      <alignment horizontal="center" vertical="center" wrapText="1"/>
    </xf>
    <xf numFmtId="9" fontId="10" fillId="7" borderId="148" xfId="0" applyNumberFormat="1" applyFont="1" applyFill="1" applyBorder="1" applyAlignment="1">
      <alignment horizontal="center" vertical="center" wrapText="1"/>
    </xf>
    <xf numFmtId="182" fontId="10" fillId="7" borderId="148" xfId="0" applyNumberFormat="1" applyFont="1" applyFill="1" applyBorder="1" applyAlignment="1">
      <alignment horizontal="center" vertical="center" wrapText="1"/>
    </xf>
    <xf numFmtId="9" fontId="11" fillId="7" borderId="148" xfId="5" applyFont="1" applyFill="1" applyBorder="1" applyAlignment="1">
      <alignment horizontal="center" vertical="center" wrapText="1"/>
    </xf>
    <xf numFmtId="5" fontId="10" fillId="7" borderId="148" xfId="14" applyNumberFormat="1" applyFont="1" applyFill="1" applyBorder="1" applyAlignment="1" applyProtection="1">
      <alignment horizontal="center" vertical="center" wrapText="1"/>
    </xf>
    <xf numFmtId="9" fontId="11" fillId="7" borderId="148" xfId="0" applyNumberFormat="1" applyFont="1" applyFill="1" applyBorder="1" applyAlignment="1">
      <alignment horizontal="center" vertical="center"/>
    </xf>
    <xf numFmtId="174" fontId="0" fillId="51" borderId="148" xfId="7" applyNumberFormat="1" applyFont="1" applyFill="1" applyBorder="1" applyAlignment="1">
      <alignment horizontal="center" vertical="center"/>
    </xf>
    <xf numFmtId="0" fontId="11" fillId="51" borderId="148" xfId="0" applyFont="1" applyFill="1" applyBorder="1" applyAlignment="1">
      <alignment horizontal="left" vertical="top" wrapText="1"/>
    </xf>
    <xf numFmtId="3" fontId="11" fillId="51" borderId="148" xfId="9" applyNumberFormat="1" applyFont="1" applyFill="1" applyBorder="1" applyAlignment="1">
      <alignment horizontal="center" vertical="center" wrapText="1"/>
    </xf>
    <xf numFmtId="3" fontId="11" fillId="51" borderId="148" xfId="0" applyNumberFormat="1" applyFont="1" applyFill="1" applyBorder="1" applyAlignment="1">
      <alignment horizontal="center" vertical="center" wrapText="1"/>
    </xf>
    <xf numFmtId="3" fontId="8" fillId="51" borderId="148" xfId="0" applyNumberFormat="1" applyFont="1" applyFill="1" applyBorder="1" applyAlignment="1">
      <alignment horizontal="center" vertical="center" wrapText="1"/>
    </xf>
    <xf numFmtId="3" fontId="0" fillId="51" borderId="148" xfId="0" applyNumberFormat="1" applyFont="1" applyFill="1" applyBorder="1" applyAlignment="1">
      <alignment horizontal="center" vertical="center" wrapText="1"/>
    </xf>
    <xf numFmtId="174" fontId="0" fillId="51" borderId="148" xfId="7" applyNumberFormat="1" applyFont="1" applyFill="1" applyBorder="1" applyAlignment="1">
      <alignment horizontal="center" vertical="center" wrapText="1"/>
    </xf>
    <xf numFmtId="9" fontId="11" fillId="51" borderId="148" xfId="0" applyNumberFormat="1" applyFont="1" applyFill="1" applyBorder="1" applyAlignment="1">
      <alignment horizontal="center" vertical="center" wrapText="1"/>
    </xf>
    <xf numFmtId="0" fontId="0" fillId="51" borderId="148" xfId="0" applyFont="1" applyFill="1" applyBorder="1" applyAlignment="1">
      <alignment vertical="top" wrapText="1"/>
    </xf>
    <xf numFmtId="170" fontId="10" fillId="51" borderId="148" xfId="7" applyNumberFormat="1" applyFont="1" applyFill="1" applyBorder="1" applyAlignment="1" applyProtection="1">
      <alignment horizontal="left" vertical="center"/>
      <protection locked="0"/>
    </xf>
    <xf numFmtId="42" fontId="0" fillId="51" borderId="148" xfId="18" applyFont="1" applyFill="1" applyBorder="1" applyAlignment="1">
      <alignment vertical="center" wrapText="1"/>
    </xf>
    <xf numFmtId="9" fontId="0" fillId="51" borderId="148" xfId="5" applyNumberFormat="1" applyFont="1" applyFill="1" applyBorder="1" applyAlignment="1">
      <alignment horizontal="center" vertical="center"/>
    </xf>
    <xf numFmtId="0" fontId="0" fillId="51" borderId="148" xfId="0" applyFont="1" applyFill="1" applyBorder="1" applyAlignment="1">
      <alignment wrapText="1"/>
    </xf>
    <xf numFmtId="3" fontId="10" fillId="51" borderId="148" xfId="12" applyNumberFormat="1" applyFont="1" applyFill="1" applyBorder="1" applyAlignment="1" applyProtection="1">
      <alignment horizontal="center" vertical="center"/>
      <protection locked="0"/>
    </xf>
    <xf numFmtId="3" fontId="0" fillId="51" borderId="148" xfId="4" applyNumberFormat="1" applyFont="1" applyFill="1" applyBorder="1" applyAlignment="1">
      <alignment horizontal="center" vertical="center"/>
    </xf>
    <xf numFmtId="3" fontId="0" fillId="51" borderId="148" xfId="0" applyNumberFormat="1" applyFont="1" applyFill="1" applyBorder="1" applyAlignment="1">
      <alignment horizontal="center" vertical="center"/>
    </xf>
    <xf numFmtId="3" fontId="3" fillId="51" borderId="148" xfId="0" applyNumberFormat="1" applyFont="1" applyFill="1" applyBorder="1" applyAlignment="1">
      <alignment horizontal="center" vertical="center"/>
    </xf>
    <xf numFmtId="3" fontId="10" fillId="51" borderId="148" xfId="0" applyNumberFormat="1" applyFont="1" applyFill="1" applyBorder="1" applyAlignment="1">
      <alignment horizontal="center" vertical="center" wrapText="1"/>
    </xf>
    <xf numFmtId="3" fontId="9" fillId="51" borderId="148" xfId="0" applyNumberFormat="1" applyFont="1" applyFill="1" applyBorder="1" applyAlignment="1">
      <alignment horizontal="center" vertical="center" wrapText="1"/>
    </xf>
    <xf numFmtId="0" fontId="7" fillId="51" borderId="148" xfId="0" applyFont="1" applyFill="1" applyBorder="1" applyAlignment="1">
      <alignment horizontal="center" vertical="center" wrapText="1"/>
    </xf>
    <xf numFmtId="0" fontId="10" fillId="51" borderId="148" xfId="0" applyFont="1" applyFill="1" applyBorder="1" applyAlignment="1">
      <alignment vertical="center"/>
    </xf>
    <xf numFmtId="3" fontId="0" fillId="51" borderId="148" xfId="4" applyNumberFormat="1" applyFont="1" applyFill="1" applyBorder="1" applyAlignment="1">
      <alignment horizontal="center" vertical="center" wrapText="1"/>
    </xf>
    <xf numFmtId="0" fontId="11" fillId="51" borderId="148" xfId="0" applyFont="1" applyFill="1" applyBorder="1" applyAlignment="1">
      <alignment horizontal="left" wrapText="1"/>
    </xf>
    <xf numFmtId="174" fontId="0" fillId="17" borderId="148" xfId="7" applyNumberFormat="1" applyFont="1" applyFill="1" applyBorder="1" applyAlignment="1">
      <alignment horizontal="center" vertical="center" wrapText="1"/>
    </xf>
    <xf numFmtId="0" fontId="0" fillId="17" borderId="148" xfId="0" applyFont="1" applyFill="1" applyBorder="1" applyAlignment="1">
      <alignment wrapText="1"/>
    </xf>
    <xf numFmtId="0" fontId="11" fillId="17" borderId="148" xfId="0" applyFont="1" applyFill="1" applyBorder="1" applyAlignment="1">
      <alignment horizontal="left" vertical="top" wrapText="1"/>
    </xf>
    <xf numFmtId="3" fontId="11" fillId="17" borderId="148" xfId="9" applyNumberFormat="1" applyFont="1" applyFill="1" applyBorder="1" applyAlignment="1">
      <alignment horizontal="center" vertical="center"/>
    </xf>
    <xf numFmtId="3" fontId="0" fillId="17" borderId="148" xfId="9" applyNumberFormat="1" applyFont="1" applyFill="1" applyBorder="1" applyAlignment="1">
      <alignment horizontal="center" vertical="center" wrapText="1"/>
    </xf>
    <xf numFmtId="3" fontId="11" fillId="17" borderId="148" xfId="0" applyNumberFormat="1" applyFont="1" applyFill="1" applyBorder="1" applyAlignment="1">
      <alignment horizontal="center" vertical="center"/>
    </xf>
    <xf numFmtId="3" fontId="8" fillId="17" borderId="148" xfId="0" applyNumberFormat="1" applyFont="1" applyFill="1" applyBorder="1" applyAlignment="1">
      <alignment horizontal="center" vertical="center"/>
    </xf>
    <xf numFmtId="3" fontId="0" fillId="17" borderId="148" xfId="0" applyNumberFormat="1" applyFont="1" applyFill="1" applyBorder="1"/>
    <xf numFmtId="0" fontId="11" fillId="17" borderId="148" xfId="0" applyFont="1" applyFill="1" applyBorder="1" applyAlignment="1">
      <alignment vertical="top"/>
    </xf>
    <xf numFmtId="0" fontId="11" fillId="17" borderId="148" xfId="0" applyFont="1" applyFill="1" applyBorder="1" applyAlignment="1">
      <alignment horizontal="left"/>
    </xf>
    <xf numFmtId="9" fontId="0" fillId="17" borderId="148" xfId="0" applyNumberFormat="1" applyFont="1" applyFill="1" applyBorder="1" applyAlignment="1">
      <alignment horizontal="center" vertical="center"/>
    </xf>
    <xf numFmtId="0" fontId="8" fillId="17" borderId="148" xfId="0" applyFont="1" applyFill="1" applyBorder="1" applyAlignment="1">
      <alignment horizontal="left" vertical="top" wrapText="1"/>
    </xf>
    <xf numFmtId="3" fontId="0" fillId="17" borderId="148" xfId="0" applyNumberFormat="1" applyFont="1" applyFill="1" applyBorder="1" applyAlignment="1">
      <alignment horizontal="center" vertical="center" wrapText="1"/>
    </xf>
    <xf numFmtId="3" fontId="3" fillId="17" borderId="148" xfId="0" applyNumberFormat="1" applyFont="1" applyFill="1" applyBorder="1" applyAlignment="1">
      <alignment horizontal="center" vertical="center" wrapText="1"/>
    </xf>
    <xf numFmtId="0" fontId="10" fillId="17" borderId="148" xfId="0" applyFont="1" applyFill="1" applyBorder="1" applyAlignment="1">
      <alignment vertical="center" wrapText="1"/>
    </xf>
    <xf numFmtId="0" fontId="10" fillId="17" borderId="148" xfId="0" applyFont="1" applyFill="1" applyBorder="1" applyAlignment="1">
      <alignment horizontal="center" vertical="center" wrapText="1"/>
    </xf>
    <xf numFmtId="0" fontId="0" fillId="17" borderId="148" xfId="0" applyFont="1" applyFill="1" applyBorder="1" applyAlignment="1">
      <alignment horizontal="left" vertical="top" wrapText="1"/>
    </xf>
    <xf numFmtId="0" fontId="7" fillId="17" borderId="148" xfId="0" applyFont="1" applyFill="1" applyBorder="1" applyAlignment="1">
      <alignment horizontal="center" vertical="center" wrapText="1"/>
    </xf>
    <xf numFmtId="9" fontId="0" fillId="17" borderId="148" xfId="0" applyNumberFormat="1" applyFont="1" applyFill="1" applyBorder="1" applyAlignment="1">
      <alignment horizontal="center" vertical="center" wrapText="1"/>
    </xf>
    <xf numFmtId="191" fontId="0" fillId="17" borderId="148" xfId="10" applyNumberFormat="1" applyFont="1" applyFill="1" applyBorder="1" applyAlignment="1">
      <alignment vertical="center"/>
    </xf>
    <xf numFmtId="0" fontId="47" fillId="17" borderId="148" xfId="21" applyFont="1" applyFill="1" applyBorder="1" applyAlignment="1" applyProtection="1">
      <alignment vertical="center" wrapText="1"/>
    </xf>
    <xf numFmtId="0" fontId="45" fillId="17" borderId="148" xfId="0" applyFont="1" applyFill="1" applyBorder="1" applyAlignment="1">
      <alignment horizontal="left" vertical="top" wrapText="1"/>
    </xf>
    <xf numFmtId="0" fontId="46" fillId="17" borderId="148" xfId="0" applyFont="1" applyFill="1" applyBorder="1" applyAlignment="1">
      <alignment horizontal="left" vertical="top" wrapText="1"/>
    </xf>
    <xf numFmtId="9" fontId="0" fillId="17" borderId="148" xfId="5" applyFont="1" applyFill="1" applyBorder="1" applyAlignment="1">
      <alignment horizontal="center" vertical="center" wrapText="1"/>
    </xf>
    <xf numFmtId="9" fontId="10" fillId="17" borderId="148" xfId="5" applyFont="1" applyFill="1" applyBorder="1" applyAlignment="1">
      <alignment horizontal="center" vertical="center" wrapText="1"/>
    </xf>
    <xf numFmtId="0" fontId="7" fillId="17" borderId="148" xfId="0" applyFont="1" applyFill="1" applyBorder="1" applyAlignment="1">
      <alignment wrapText="1"/>
    </xf>
    <xf numFmtId="9" fontId="0" fillId="17" borderId="148" xfId="5" applyFont="1" applyFill="1" applyBorder="1" applyAlignment="1">
      <alignment horizontal="center" vertical="center"/>
    </xf>
    <xf numFmtId="9" fontId="0" fillId="17" borderId="148" xfId="0" applyNumberFormat="1" applyFont="1" applyFill="1" applyBorder="1" applyAlignment="1">
      <alignment horizontal="center"/>
    </xf>
    <xf numFmtId="174" fontId="0" fillId="38" borderId="148" xfId="7" applyNumberFormat="1" applyFont="1" applyFill="1" applyBorder="1" applyAlignment="1">
      <alignment horizontal="center" vertical="center" wrapText="1"/>
    </xf>
    <xf numFmtId="3" fontId="0" fillId="38" borderId="148" xfId="9" applyNumberFormat="1" applyFont="1" applyFill="1" applyBorder="1" applyAlignment="1">
      <alignment horizontal="center" vertical="center" wrapText="1"/>
    </xf>
    <xf numFmtId="3" fontId="3" fillId="38" borderId="148" xfId="0" applyNumberFormat="1" applyFont="1" applyFill="1" applyBorder="1" applyAlignment="1">
      <alignment horizontal="center" vertical="center" wrapText="1"/>
    </xf>
    <xf numFmtId="3" fontId="0" fillId="38" borderId="148" xfId="4" applyNumberFormat="1" applyFont="1" applyFill="1" applyBorder="1" applyAlignment="1">
      <alignment horizontal="center" vertical="center"/>
    </xf>
    <xf numFmtId="3" fontId="3" fillId="38" borderId="148" xfId="0" applyNumberFormat="1" applyFont="1" applyFill="1" applyBorder="1" applyAlignment="1">
      <alignment horizontal="center" vertical="center"/>
    </xf>
    <xf numFmtId="0" fontId="7" fillId="38" borderId="148" xfId="0" applyFont="1" applyFill="1" applyBorder="1" applyAlignment="1">
      <alignment horizontal="center" vertical="center" wrapText="1"/>
    </xf>
    <xf numFmtId="3" fontId="11" fillId="38" borderId="148" xfId="9" applyNumberFormat="1" applyFont="1" applyFill="1" applyBorder="1" applyAlignment="1">
      <alignment horizontal="center" vertical="center" wrapText="1"/>
    </xf>
    <xf numFmtId="3" fontId="11" fillId="87" borderId="148" xfId="0" applyNumberFormat="1" applyFont="1" applyFill="1" applyBorder="1" applyAlignment="1">
      <alignment horizontal="center" vertical="center" wrapText="1"/>
    </xf>
    <xf numFmtId="3" fontId="8" fillId="87" borderId="148" xfId="0" applyNumberFormat="1" applyFont="1" applyFill="1" applyBorder="1" applyAlignment="1">
      <alignment horizontal="center" vertical="center" wrapText="1"/>
    </xf>
    <xf numFmtId="10" fontId="0" fillId="38" borderId="148" xfId="5" applyNumberFormat="1" applyFont="1" applyFill="1" applyBorder="1" applyAlignment="1">
      <alignment horizontal="center" vertical="center"/>
    </xf>
    <xf numFmtId="9" fontId="0" fillId="38" borderId="148" xfId="5" applyFont="1" applyFill="1" applyBorder="1" applyAlignment="1">
      <alignment horizontal="center" vertical="center"/>
    </xf>
    <xf numFmtId="3" fontId="10" fillId="38" borderId="148" xfId="12" applyNumberFormat="1" applyFont="1" applyFill="1" applyBorder="1" applyAlignment="1" applyProtection="1">
      <alignment horizontal="center" vertical="center"/>
      <protection locked="0"/>
    </xf>
    <xf numFmtId="0" fontId="0" fillId="38" borderId="148" xfId="0" applyFont="1" applyFill="1" applyBorder="1" applyAlignment="1">
      <alignment horizontal="left" vertical="top" wrapText="1"/>
    </xf>
    <xf numFmtId="0" fontId="0" fillId="38" borderId="148" xfId="0" applyFont="1" applyFill="1" applyBorder="1" applyAlignment="1">
      <alignment vertical="top" wrapText="1"/>
    </xf>
    <xf numFmtId="174" fontId="0" fillId="40" borderId="148" xfId="7" applyNumberFormat="1" applyFont="1" applyFill="1" applyBorder="1" applyAlignment="1">
      <alignment horizontal="center" vertical="center" wrapText="1"/>
    </xf>
    <xf numFmtId="0" fontId="3" fillId="40" borderId="148" xfId="0" applyFont="1" applyFill="1" applyBorder="1" applyAlignment="1">
      <alignment vertical="center"/>
    </xf>
    <xf numFmtId="3" fontId="3" fillId="40" borderId="148" xfId="0" applyNumberFormat="1" applyFont="1" applyFill="1" applyBorder="1" applyAlignment="1">
      <alignment horizontal="center" vertical="center" wrapText="1"/>
    </xf>
    <xf numFmtId="174" fontId="0" fillId="41" borderId="148" xfId="7" applyNumberFormat="1" applyFont="1" applyFill="1" applyBorder="1" applyAlignment="1">
      <alignment horizontal="center" vertical="center" wrapText="1"/>
    </xf>
    <xf numFmtId="0" fontId="0" fillId="41" borderId="148" xfId="0" applyFont="1" applyFill="1" applyBorder="1" applyAlignment="1"/>
    <xf numFmtId="0" fontId="11" fillId="41" borderId="148" xfId="0" applyFont="1" applyFill="1" applyBorder="1" applyAlignment="1">
      <alignment horizontal="left" vertical="top" wrapText="1"/>
    </xf>
    <xf numFmtId="0" fontId="11" fillId="41" borderId="148" xfId="0" applyFont="1" applyFill="1" applyBorder="1" applyAlignment="1"/>
    <xf numFmtId="9" fontId="0" fillId="41" borderId="148" xfId="5" applyFont="1" applyFill="1" applyBorder="1" applyAlignment="1">
      <alignment horizontal="center" vertical="center"/>
    </xf>
    <xf numFmtId="3" fontId="11" fillId="89" borderId="148" xfId="0" applyNumberFormat="1" applyFont="1" applyFill="1" applyBorder="1" applyAlignment="1">
      <alignment horizontal="center" vertical="center" wrapText="1"/>
    </xf>
    <xf numFmtId="0" fontId="11" fillId="41" borderId="148" xfId="0" applyFont="1" applyFill="1" applyBorder="1"/>
    <xf numFmtId="0" fontId="11" fillId="89" borderId="148" xfId="0" applyFont="1" applyFill="1" applyBorder="1" applyAlignment="1">
      <alignment horizontal="center"/>
    </xf>
    <xf numFmtId="9" fontId="0" fillId="90" borderId="148" xfId="0" applyNumberFormat="1" applyFont="1" applyFill="1" applyBorder="1" applyAlignment="1">
      <alignment horizontal="center" vertical="center"/>
    </xf>
    <xf numFmtId="0" fontId="0" fillId="90" borderId="148" xfId="0" applyFont="1" applyFill="1" applyBorder="1" applyAlignment="1">
      <alignment horizontal="center" vertical="center" wrapText="1"/>
    </xf>
    <xf numFmtId="0" fontId="0" fillId="90" borderId="148" xfId="0" applyFont="1" applyFill="1" applyBorder="1"/>
    <xf numFmtId="3" fontId="0" fillId="90" borderId="148" xfId="0" applyNumberFormat="1" applyFont="1" applyFill="1" applyBorder="1" applyAlignment="1"/>
    <xf numFmtId="0" fontId="0" fillId="90" borderId="148" xfId="0" applyFont="1" applyFill="1" applyBorder="1" applyAlignment="1"/>
    <xf numFmtId="9" fontId="0" fillId="89" borderId="148" xfId="5" applyFont="1" applyFill="1" applyBorder="1" applyAlignment="1">
      <alignment horizontal="center" vertical="center" wrapText="1"/>
    </xf>
    <xf numFmtId="0" fontId="11" fillId="89" borderId="148" xfId="0" applyFont="1" applyFill="1" applyBorder="1" applyAlignment="1">
      <alignment horizontal="center" vertical="center"/>
    </xf>
    <xf numFmtId="0" fontId="11" fillId="41" borderId="148" xfId="0" applyFont="1" applyFill="1" applyBorder="1" applyAlignment="1">
      <alignment horizontal="left"/>
    </xf>
    <xf numFmtId="174" fontId="0" fillId="41" borderId="148" xfId="7" applyNumberFormat="1" applyFont="1" applyFill="1" applyBorder="1" applyAlignment="1">
      <alignment horizontal="center" vertical="center"/>
    </xf>
    <xf numFmtId="0" fontId="11" fillId="41" borderId="148" xfId="0" applyFont="1" applyFill="1" applyBorder="1" applyAlignment="1">
      <alignment horizontal="left" wrapText="1"/>
    </xf>
    <xf numFmtId="0" fontId="11" fillId="41" borderId="148" xfId="0" applyFont="1" applyFill="1" applyBorder="1" applyAlignment="1">
      <alignment horizontal="center" wrapText="1"/>
    </xf>
    <xf numFmtId="174" fontId="0" fillId="42" borderId="148" xfId="7" applyNumberFormat="1" applyFont="1" applyFill="1" applyBorder="1" applyAlignment="1">
      <alignment horizontal="center" vertical="center" wrapText="1"/>
    </xf>
    <xf numFmtId="9" fontId="11" fillId="42" borderId="148" xfId="0" applyNumberFormat="1" applyFont="1" applyFill="1" applyBorder="1" applyAlignment="1">
      <alignment horizontal="center" vertical="center" wrapText="1"/>
    </xf>
    <xf numFmtId="0" fontId="11" fillId="42" borderId="148" xfId="0" applyFont="1" applyFill="1" applyBorder="1" applyAlignment="1">
      <alignment horizontal="left" vertical="top" wrapText="1"/>
    </xf>
    <xf numFmtId="3" fontId="3" fillId="42" borderId="148" xfId="0" applyNumberFormat="1" applyFont="1" applyFill="1" applyBorder="1" applyAlignment="1">
      <alignment horizontal="center" vertical="center" wrapText="1"/>
    </xf>
    <xf numFmtId="3" fontId="10" fillId="42" borderId="148" xfId="12" applyNumberFormat="1" applyFont="1" applyFill="1" applyBorder="1" applyAlignment="1" applyProtection="1">
      <alignment horizontal="center" vertical="center"/>
    </xf>
    <xf numFmtId="3" fontId="0" fillId="42" borderId="148" xfId="0" applyNumberFormat="1" applyFont="1" applyFill="1" applyBorder="1" applyAlignment="1">
      <alignment horizontal="center" vertical="center"/>
    </xf>
    <xf numFmtId="3" fontId="3" fillId="42" borderId="148" xfId="0" applyNumberFormat="1" applyFont="1" applyFill="1" applyBorder="1" applyAlignment="1">
      <alignment horizontal="center" vertical="center"/>
    </xf>
    <xf numFmtId="3" fontId="11" fillId="91" borderId="148" xfId="0" applyNumberFormat="1" applyFont="1" applyFill="1" applyBorder="1" applyAlignment="1">
      <alignment horizontal="center" vertical="center" wrapText="1"/>
    </xf>
    <xf numFmtId="0" fontId="0" fillId="42" borderId="148" xfId="0" applyFont="1" applyFill="1" applyBorder="1" applyAlignment="1">
      <alignment horizontal="left" vertical="top" wrapText="1"/>
    </xf>
    <xf numFmtId="3" fontId="0" fillId="42" borderId="148" xfId="9" applyNumberFormat="1" applyFont="1" applyFill="1" applyBorder="1" applyAlignment="1">
      <alignment horizontal="center" vertical="center"/>
    </xf>
    <xf numFmtId="0" fontId="10" fillId="42" borderId="148" xfId="20" applyFont="1" applyFill="1" applyBorder="1" applyAlignment="1">
      <alignment horizontal="left" vertical="center" wrapText="1"/>
    </xf>
    <xf numFmtId="174" fontId="10" fillId="42" borderId="148" xfId="0" applyNumberFormat="1" applyFont="1" applyFill="1" applyBorder="1" applyAlignment="1">
      <alignment horizontal="center" vertical="center" wrapText="1"/>
    </xf>
    <xf numFmtId="0" fontId="10" fillId="91" borderId="148" xfId="0" applyFont="1" applyFill="1" applyBorder="1" applyAlignment="1">
      <alignment horizontal="left" vertical="top" wrapText="1"/>
    </xf>
    <xf numFmtId="0" fontId="11" fillId="91" borderId="148" xfId="0" applyFont="1" applyFill="1" applyBorder="1" applyAlignment="1">
      <alignment horizontal="left" vertical="top" wrapText="1"/>
    </xf>
    <xf numFmtId="3" fontId="10" fillId="42" borderId="148" xfId="9" applyNumberFormat="1" applyFont="1" applyFill="1" applyBorder="1" applyAlignment="1">
      <alignment horizontal="center" vertical="center" wrapText="1"/>
    </xf>
    <xf numFmtId="3" fontId="8" fillId="91" borderId="148" xfId="0" applyNumberFormat="1" applyFont="1" applyFill="1" applyBorder="1" applyAlignment="1">
      <alignment horizontal="center" vertical="center" wrapText="1"/>
    </xf>
    <xf numFmtId="0" fontId="11" fillId="42" borderId="148" xfId="0" applyFont="1" applyFill="1" applyBorder="1" applyAlignment="1">
      <alignment horizontal="center" wrapText="1"/>
    </xf>
    <xf numFmtId="42" fontId="0" fillId="41" borderId="148" xfId="18" applyFont="1" applyFill="1" applyBorder="1" applyAlignment="1">
      <alignment vertical="center"/>
    </xf>
    <xf numFmtId="9" fontId="0" fillId="41" borderId="148" xfId="5" applyFont="1" applyFill="1" applyBorder="1" applyAlignment="1"/>
    <xf numFmtId="9" fontId="0" fillId="41" borderId="148" xfId="0" applyNumberFormat="1" applyFont="1" applyFill="1" applyBorder="1"/>
    <xf numFmtId="0" fontId="8" fillId="7" borderId="8" xfId="0" applyFont="1" applyFill="1" applyBorder="1" applyAlignment="1">
      <alignment horizontal="center" vertical="center" wrapText="1"/>
    </xf>
    <xf numFmtId="0" fontId="11" fillId="7" borderId="8" xfId="0" applyFont="1" applyFill="1" applyBorder="1" applyAlignment="1">
      <alignment horizontal="center" vertical="center" wrapText="1"/>
    </xf>
    <xf numFmtId="174" fontId="0" fillId="7" borderId="8" xfId="7" applyNumberFormat="1" applyFont="1" applyFill="1" applyBorder="1" applyAlignment="1">
      <alignment horizontal="center" vertical="center" wrapText="1"/>
    </xf>
    <xf numFmtId="0" fontId="11" fillId="84" borderId="8" xfId="0" applyFont="1" applyFill="1" applyBorder="1" applyAlignment="1">
      <alignment horizontal="left" vertical="top" wrapText="1"/>
    </xf>
    <xf numFmtId="0" fontId="11" fillId="84" borderId="8" xfId="0" applyFont="1" applyFill="1" applyBorder="1" applyAlignment="1">
      <alignment horizontal="center" vertical="top" wrapText="1"/>
    </xf>
    <xf numFmtId="3" fontId="11" fillId="7" borderId="8" xfId="9" applyNumberFormat="1" applyFont="1" applyFill="1" applyBorder="1" applyAlignment="1">
      <alignment horizontal="center" vertical="center" wrapText="1"/>
    </xf>
    <xf numFmtId="3" fontId="11" fillId="85" borderId="8" xfId="0" applyNumberFormat="1" applyFont="1" applyFill="1" applyBorder="1" applyAlignment="1">
      <alignment horizontal="center" vertical="center" wrapText="1"/>
    </xf>
    <xf numFmtId="3" fontId="11" fillId="84" borderId="8" xfId="0" applyNumberFormat="1" applyFont="1" applyFill="1" applyBorder="1" applyAlignment="1">
      <alignment horizontal="center" vertical="center" wrapText="1"/>
    </xf>
    <xf numFmtId="3" fontId="8" fillId="84" borderId="8" xfId="0" applyNumberFormat="1" applyFont="1" applyFill="1" applyBorder="1" applyAlignment="1">
      <alignment horizontal="center" vertical="center" wrapText="1"/>
    </xf>
    <xf numFmtId="3" fontId="0" fillId="7" borderId="8" xfId="0" applyNumberFormat="1" applyFont="1" applyFill="1" applyBorder="1" applyAlignment="1">
      <alignment horizontal="center" vertical="center" wrapText="1"/>
    </xf>
    <xf numFmtId="3" fontId="0" fillId="7" borderId="9" xfId="0" applyNumberFormat="1" applyFont="1" applyFill="1" applyBorder="1" applyAlignment="1">
      <alignment horizontal="center" vertical="center" wrapText="1"/>
    </xf>
    <xf numFmtId="3" fontId="0" fillId="7" borderId="94" xfId="0" applyNumberFormat="1" applyFont="1" applyFill="1" applyBorder="1" applyAlignment="1">
      <alignment horizontal="center" vertical="center" wrapText="1"/>
    </xf>
    <xf numFmtId="3" fontId="0" fillId="51" borderId="94" xfId="0" applyNumberFormat="1" applyFont="1" applyFill="1" applyBorder="1" applyAlignment="1">
      <alignment horizontal="center" vertical="center" wrapText="1"/>
    </xf>
    <xf numFmtId="3" fontId="11" fillId="51" borderId="94" xfId="0" applyNumberFormat="1" applyFont="1" applyFill="1" applyBorder="1" applyAlignment="1">
      <alignment horizontal="center" vertical="center" wrapText="1"/>
    </xf>
    <xf numFmtId="3" fontId="11" fillId="17" borderId="94" xfId="0" applyNumberFormat="1" applyFont="1" applyFill="1" applyBorder="1" applyAlignment="1">
      <alignment horizontal="center" vertical="center"/>
    </xf>
    <xf numFmtId="3" fontId="0" fillId="17" borderId="94" xfId="0" applyNumberFormat="1" applyFont="1" applyFill="1" applyBorder="1" applyAlignment="1">
      <alignment horizontal="center" vertical="center" wrapText="1"/>
    </xf>
    <xf numFmtId="3" fontId="0" fillId="38" borderId="94" xfId="0" applyNumberFormat="1" applyFont="1" applyFill="1" applyBorder="1" applyAlignment="1">
      <alignment horizontal="center" vertical="center" wrapText="1"/>
    </xf>
    <xf numFmtId="3" fontId="11" fillId="38" borderId="94" xfId="0" applyNumberFormat="1" applyFont="1" applyFill="1" applyBorder="1" applyAlignment="1">
      <alignment horizontal="center" vertical="center" wrapText="1"/>
    </xf>
    <xf numFmtId="3" fontId="0" fillId="40" borderId="94" xfId="0" applyNumberFormat="1" applyFont="1" applyFill="1" applyBorder="1" applyAlignment="1">
      <alignment horizontal="center" vertical="center" wrapText="1"/>
    </xf>
    <xf numFmtId="3" fontId="0" fillId="42" borderId="94" xfId="0" applyNumberFormat="1" applyFont="1" applyFill="1" applyBorder="1" applyAlignment="1">
      <alignment horizontal="center" vertical="center" wrapText="1"/>
    </xf>
    <xf numFmtId="3" fontId="11" fillId="91" borderId="94" xfId="0" applyNumberFormat="1" applyFont="1" applyFill="1" applyBorder="1" applyAlignment="1">
      <alignment horizontal="center" vertical="center" wrapText="1"/>
    </xf>
    <xf numFmtId="3" fontId="0" fillId="41" borderId="94" xfId="0" applyNumberFormat="1" applyFont="1" applyFill="1" applyBorder="1" applyAlignment="1">
      <alignment horizontal="center" vertical="center" wrapText="1"/>
    </xf>
    <xf numFmtId="174" fontId="0" fillId="41" borderId="30" xfId="7" applyNumberFormat="1" applyFont="1" applyFill="1" applyBorder="1" applyAlignment="1">
      <alignment horizontal="center" vertical="center" wrapText="1"/>
    </xf>
    <xf numFmtId="9" fontId="0" fillId="41" borderId="30" xfId="0" applyNumberFormat="1" applyFont="1" applyFill="1" applyBorder="1"/>
    <xf numFmtId="3" fontId="0" fillId="41" borderId="30" xfId="9" applyNumberFormat="1" applyFont="1" applyFill="1" applyBorder="1" applyAlignment="1">
      <alignment horizontal="center" vertical="center" wrapText="1"/>
    </xf>
    <xf numFmtId="3" fontId="3" fillId="41" borderId="30" xfId="0" applyNumberFormat="1" applyFont="1" applyFill="1" applyBorder="1" applyAlignment="1">
      <alignment horizontal="center" vertical="center" wrapText="1"/>
    </xf>
    <xf numFmtId="3" fontId="0" fillId="41" borderId="31" xfId="0" applyNumberFormat="1" applyFont="1" applyFill="1" applyBorder="1" applyAlignment="1">
      <alignment horizontal="center" vertical="center" wrapText="1"/>
    </xf>
    <xf numFmtId="174" fontId="0" fillId="41" borderId="32" xfId="7" applyNumberFormat="1" applyFont="1" applyFill="1" applyBorder="1" applyAlignment="1">
      <alignment horizontal="center" vertical="center" wrapText="1"/>
    </xf>
    <xf numFmtId="0" fontId="0" fillId="41" borderId="32" xfId="0" applyFont="1" applyFill="1" applyBorder="1" applyAlignment="1">
      <alignment horizontal="left" vertical="center" wrapText="1"/>
    </xf>
    <xf numFmtId="3" fontId="0" fillId="41" borderId="32" xfId="4" applyNumberFormat="1" applyFont="1" applyFill="1" applyBorder="1" applyAlignment="1">
      <alignment horizontal="center" vertical="center"/>
    </xf>
    <xf numFmtId="3" fontId="3" fillId="41" borderId="32" xfId="0" applyNumberFormat="1" applyFont="1" applyFill="1" applyBorder="1" applyAlignment="1">
      <alignment horizontal="center" vertical="center" wrapText="1"/>
    </xf>
    <xf numFmtId="3" fontId="0" fillId="41" borderId="52" xfId="0" applyNumberFormat="1" applyFont="1" applyFill="1" applyBorder="1" applyAlignment="1">
      <alignment horizontal="center" vertical="center" wrapText="1"/>
    </xf>
    <xf numFmtId="174" fontId="0" fillId="42" borderId="30" xfId="7" applyNumberFormat="1" applyFont="1" applyFill="1" applyBorder="1" applyAlignment="1">
      <alignment horizontal="center" vertical="center" wrapText="1"/>
    </xf>
    <xf numFmtId="0" fontId="11" fillId="42" borderId="30" xfId="0" applyFont="1" applyFill="1" applyBorder="1" applyAlignment="1">
      <alignment horizontal="center" vertical="center"/>
    </xf>
    <xf numFmtId="3" fontId="0" fillId="42" borderId="30" xfId="9" applyNumberFormat="1" applyFont="1" applyFill="1" applyBorder="1" applyAlignment="1">
      <alignment horizontal="center" vertical="center" wrapText="1"/>
    </xf>
    <xf numFmtId="3" fontId="3" fillId="42" borderId="30" xfId="0" applyNumberFormat="1" applyFont="1" applyFill="1" applyBorder="1" applyAlignment="1">
      <alignment horizontal="center" vertical="center" wrapText="1"/>
    </xf>
    <xf numFmtId="3" fontId="0" fillId="42" borderId="31" xfId="0" applyNumberFormat="1" applyFont="1" applyFill="1" applyBorder="1" applyAlignment="1">
      <alignment horizontal="center" vertical="center" wrapText="1"/>
    </xf>
    <xf numFmtId="174" fontId="0" fillId="42" borderId="32" xfId="7" applyNumberFormat="1" applyFont="1" applyFill="1" applyBorder="1" applyAlignment="1">
      <alignment horizontal="center" vertical="center" wrapText="1"/>
    </xf>
    <xf numFmtId="0" fontId="3" fillId="42" borderId="32" xfId="0" applyFont="1" applyFill="1" applyBorder="1" applyAlignment="1">
      <alignment horizontal="center" vertical="center" wrapText="1"/>
    </xf>
    <xf numFmtId="9" fontId="0" fillId="42" borderId="32" xfId="0" applyNumberFormat="1" applyFont="1" applyFill="1" applyBorder="1" applyAlignment="1">
      <alignment vertical="center"/>
    </xf>
    <xf numFmtId="0" fontId="0" fillId="42" borderId="32" xfId="0" applyFont="1" applyFill="1" applyBorder="1" applyAlignment="1">
      <alignment vertical="center"/>
    </xf>
    <xf numFmtId="9" fontId="11" fillId="42" borderId="32" xfId="0" applyNumberFormat="1" applyFont="1" applyFill="1" applyBorder="1" applyAlignment="1">
      <alignment horizontal="center" vertical="center" wrapText="1"/>
    </xf>
    <xf numFmtId="9" fontId="0" fillId="42" borderId="32" xfId="0" applyNumberFormat="1" applyFont="1" applyFill="1" applyBorder="1" applyAlignment="1">
      <alignment horizontal="center" vertical="center"/>
    </xf>
    <xf numFmtId="0" fontId="11" fillId="42" borderId="32" xfId="0" applyFont="1" applyFill="1" applyBorder="1" applyAlignment="1">
      <alignment horizontal="left" vertical="top" wrapText="1"/>
    </xf>
    <xf numFmtId="3" fontId="8" fillId="42" borderId="32" xfId="0" applyNumberFormat="1" applyFont="1" applyFill="1" applyBorder="1" applyAlignment="1">
      <alignment horizontal="center" vertical="center" wrapText="1"/>
    </xf>
    <xf numFmtId="3" fontId="0" fillId="42" borderId="32" xfId="0" applyNumberFormat="1" applyFont="1" applyFill="1" applyBorder="1" applyAlignment="1">
      <alignment horizontal="center" vertical="center" wrapText="1"/>
    </xf>
    <xf numFmtId="3" fontId="0" fillId="42" borderId="52" xfId="0" applyNumberFormat="1" applyFont="1" applyFill="1" applyBorder="1" applyAlignment="1">
      <alignment horizontal="center" vertical="center" wrapText="1"/>
    </xf>
    <xf numFmtId="9" fontId="0" fillId="41" borderId="30" xfId="0" applyNumberFormat="1" applyFont="1" applyFill="1" applyBorder="1" applyAlignment="1">
      <alignment horizontal="center" vertical="center" wrapText="1"/>
    </xf>
    <xf numFmtId="0" fontId="0" fillId="41" borderId="30" xfId="0" applyFont="1" applyFill="1" applyBorder="1" applyAlignment="1">
      <alignment wrapText="1"/>
    </xf>
    <xf numFmtId="0" fontId="11" fillId="41" borderId="30" xfId="0" applyFont="1" applyFill="1" applyBorder="1" applyAlignment="1">
      <alignment horizontal="left" vertical="top"/>
    </xf>
    <xf numFmtId="0" fontId="11" fillId="41" borderId="30" xfId="0" applyFont="1" applyFill="1" applyBorder="1" applyAlignment="1">
      <alignment horizontal="left" vertical="top" wrapText="1"/>
    </xf>
    <xf numFmtId="0" fontId="11" fillId="41" borderId="30" xfId="0" applyFont="1" applyFill="1" applyBorder="1" applyAlignment="1"/>
    <xf numFmtId="3" fontId="0" fillId="41" borderId="30" xfId="9" applyNumberFormat="1" applyFont="1" applyFill="1" applyBorder="1" applyAlignment="1">
      <alignment horizontal="center" vertical="center"/>
    </xf>
    <xf numFmtId="3" fontId="0" fillId="41" borderId="30" xfId="0" applyNumberFormat="1" applyFont="1" applyFill="1" applyBorder="1" applyAlignment="1">
      <alignment horizontal="center" vertical="center"/>
    </xf>
    <xf numFmtId="3" fontId="3" fillId="41" borderId="30" xfId="0" applyNumberFormat="1" applyFont="1" applyFill="1" applyBorder="1" applyAlignment="1">
      <alignment horizontal="center" vertical="center"/>
    </xf>
    <xf numFmtId="3" fontId="0" fillId="41" borderId="31" xfId="0" applyNumberFormat="1" applyFont="1" applyFill="1" applyBorder="1" applyAlignment="1">
      <alignment horizontal="center" vertical="center"/>
    </xf>
    <xf numFmtId="0" fontId="0" fillId="41" borderId="32" xfId="0" applyFont="1" applyFill="1" applyBorder="1" applyAlignment="1"/>
    <xf numFmtId="0" fontId="11" fillId="41" borderId="32" xfId="0" applyFont="1" applyFill="1" applyBorder="1" applyAlignment="1">
      <alignment horizontal="left" vertical="top" wrapText="1"/>
    </xf>
    <xf numFmtId="3" fontId="0" fillId="41" borderId="52" xfId="0" applyNumberFormat="1" applyFont="1" applyFill="1" applyBorder="1" applyAlignment="1">
      <alignment horizontal="center" vertical="center"/>
    </xf>
    <xf numFmtId="174" fontId="0" fillId="40" borderId="30" xfId="7" applyNumberFormat="1" applyFont="1" applyFill="1" applyBorder="1" applyAlignment="1">
      <alignment horizontal="center" vertical="center" wrapText="1"/>
    </xf>
    <xf numFmtId="9" fontId="0" fillId="40" borderId="30" xfId="0" applyNumberFormat="1" applyFont="1" applyFill="1" applyBorder="1" applyAlignment="1">
      <alignment horizontal="center" vertical="center"/>
    </xf>
    <xf numFmtId="42" fontId="0" fillId="40" borderId="30" xfId="18" applyFont="1" applyFill="1" applyBorder="1" applyAlignment="1">
      <alignment vertical="center"/>
    </xf>
    <xf numFmtId="0" fontId="0" fillId="40" borderId="30" xfId="0" applyFont="1" applyFill="1" applyBorder="1" applyAlignment="1">
      <alignment vertical="center"/>
    </xf>
    <xf numFmtId="3" fontId="10" fillId="40" borderId="30" xfId="12" applyNumberFormat="1" applyFont="1" applyFill="1" applyBorder="1" applyAlignment="1" applyProtection="1">
      <alignment horizontal="center" vertical="center"/>
      <protection locked="0"/>
    </xf>
    <xf numFmtId="3" fontId="0" fillId="40" borderId="30" xfId="4" applyNumberFormat="1" applyFont="1" applyFill="1" applyBorder="1" applyAlignment="1">
      <alignment horizontal="center" vertical="center"/>
    </xf>
    <xf numFmtId="3" fontId="0" fillId="40" borderId="30" xfId="0" applyNumberFormat="1" applyFont="1" applyFill="1" applyBorder="1" applyAlignment="1">
      <alignment horizontal="center" vertical="center"/>
    </xf>
    <xf numFmtId="3" fontId="7" fillId="40" borderId="30" xfId="0" applyNumberFormat="1" applyFont="1" applyFill="1" applyBorder="1" applyAlignment="1">
      <alignment horizontal="center" vertical="center"/>
    </xf>
    <xf numFmtId="3" fontId="40" fillId="40" borderId="30" xfId="0" applyNumberFormat="1" applyFont="1" applyFill="1" applyBorder="1" applyAlignment="1">
      <alignment horizontal="center" vertical="center"/>
    </xf>
    <xf numFmtId="3" fontId="11" fillId="88" borderId="30" xfId="0" applyNumberFormat="1" applyFont="1" applyFill="1" applyBorder="1" applyAlignment="1">
      <alignment horizontal="center" vertical="center" wrapText="1"/>
    </xf>
    <xf numFmtId="3" fontId="0" fillId="40" borderId="31" xfId="0" applyNumberFormat="1" applyFont="1" applyFill="1" applyBorder="1" applyAlignment="1">
      <alignment horizontal="center" vertical="center" wrapText="1"/>
    </xf>
    <xf numFmtId="174" fontId="0" fillId="40" borderId="32" xfId="7" applyNumberFormat="1" applyFont="1" applyFill="1" applyBorder="1" applyAlignment="1">
      <alignment horizontal="center" vertical="center" wrapText="1"/>
    </xf>
    <xf numFmtId="3" fontId="0" fillId="40" borderId="32" xfId="9" applyNumberFormat="1" applyFont="1" applyFill="1" applyBorder="1" applyAlignment="1">
      <alignment horizontal="center" vertical="center" wrapText="1"/>
    </xf>
    <xf numFmtId="3" fontId="3" fillId="40" borderId="32" xfId="0" applyNumberFormat="1" applyFont="1" applyFill="1" applyBorder="1" applyAlignment="1">
      <alignment horizontal="center" vertical="center" wrapText="1"/>
    </xf>
    <xf numFmtId="3" fontId="0" fillId="40" borderId="52" xfId="0" applyNumberFormat="1" applyFont="1" applyFill="1" applyBorder="1" applyAlignment="1">
      <alignment horizontal="center" vertical="center" wrapText="1"/>
    </xf>
    <xf numFmtId="0" fontId="8" fillId="38" borderId="30" xfId="0" applyFont="1" applyFill="1" applyBorder="1" applyAlignment="1">
      <alignment horizontal="center" vertical="center" wrapText="1"/>
    </xf>
    <xf numFmtId="174" fontId="0" fillId="38" borderId="30" xfId="7" applyNumberFormat="1" applyFont="1" applyFill="1" applyBorder="1" applyAlignment="1">
      <alignment horizontal="center" vertical="center" wrapText="1"/>
    </xf>
    <xf numFmtId="9" fontId="0" fillId="38" borderId="30" xfId="0" applyNumberFormat="1" applyFont="1" applyFill="1" applyBorder="1"/>
    <xf numFmtId="0" fontId="0" fillId="38" borderId="30" xfId="0" applyFont="1" applyFill="1" applyBorder="1" applyAlignment="1">
      <alignment wrapText="1"/>
    </xf>
    <xf numFmtId="0" fontId="3" fillId="38" borderId="30" xfId="0" applyFont="1" applyFill="1" applyBorder="1" applyAlignment="1">
      <alignment horizontal="center" vertical="center"/>
    </xf>
    <xf numFmtId="3" fontId="0" fillId="38" borderId="30" xfId="0" applyNumberFormat="1" applyFont="1" applyFill="1" applyBorder="1" applyAlignment="1">
      <alignment horizontal="center" vertical="center" wrapText="1"/>
    </xf>
    <xf numFmtId="3" fontId="3" fillId="38" borderId="30" xfId="0" applyNumberFormat="1" applyFont="1" applyFill="1" applyBorder="1" applyAlignment="1">
      <alignment horizontal="center" vertical="center" wrapText="1"/>
    </xf>
    <xf numFmtId="3" fontId="0" fillId="38" borderId="31" xfId="0" applyNumberFormat="1" applyFont="1" applyFill="1" applyBorder="1" applyAlignment="1">
      <alignment horizontal="center" vertical="center" wrapText="1"/>
    </xf>
    <xf numFmtId="0" fontId="11" fillId="38" borderId="32" xfId="0" applyFont="1" applyFill="1" applyBorder="1" applyAlignment="1">
      <alignment horizontal="center" vertical="center"/>
    </xf>
    <xf numFmtId="174" fontId="0" fillId="38" borderId="32" xfId="7" applyNumberFormat="1" applyFont="1" applyFill="1" applyBorder="1" applyAlignment="1">
      <alignment horizontal="center" vertical="center" wrapText="1"/>
    </xf>
    <xf numFmtId="0" fontId="3" fillId="38" borderId="32" xfId="0" applyFont="1" applyFill="1" applyBorder="1" applyAlignment="1">
      <alignment horizontal="center" vertical="center" wrapText="1"/>
    </xf>
    <xf numFmtId="0" fontId="0" fillId="38" borderId="32" xfId="0" applyFont="1" applyFill="1" applyBorder="1" applyAlignment="1">
      <alignment wrapText="1"/>
    </xf>
    <xf numFmtId="42" fontId="0" fillId="38" borderId="32" xfId="18" applyFont="1" applyFill="1" applyBorder="1" applyAlignment="1">
      <alignment vertical="center"/>
    </xf>
    <xf numFmtId="0" fontId="0" fillId="38" borderId="32" xfId="0" applyFont="1" applyFill="1" applyBorder="1" applyAlignment="1">
      <alignment horizontal="justify" vertical="top"/>
    </xf>
    <xf numFmtId="3" fontId="0" fillId="38" borderId="32" xfId="0" applyNumberFormat="1" applyFont="1" applyFill="1" applyBorder="1" applyAlignment="1">
      <alignment horizontal="center" vertical="center" wrapText="1"/>
    </xf>
    <xf numFmtId="3" fontId="3" fillId="38" borderId="32" xfId="0" applyNumberFormat="1" applyFont="1" applyFill="1" applyBorder="1" applyAlignment="1">
      <alignment horizontal="center" vertical="center" wrapText="1"/>
    </xf>
    <xf numFmtId="3" fontId="0" fillId="38" borderId="52" xfId="0" applyNumberFormat="1" applyFont="1" applyFill="1" applyBorder="1" applyAlignment="1">
      <alignment horizontal="center" vertical="center" wrapText="1"/>
    </xf>
    <xf numFmtId="174" fontId="0" fillId="17" borderId="30" xfId="7" applyNumberFormat="1" applyFont="1" applyFill="1" applyBorder="1" applyAlignment="1">
      <alignment horizontal="center" vertical="center" wrapText="1"/>
    </xf>
    <xf numFmtId="0" fontId="3" fillId="17" borderId="30" xfId="0" applyFont="1" applyFill="1" applyBorder="1" applyAlignment="1">
      <alignment horizontal="center" vertical="center" wrapText="1"/>
    </xf>
    <xf numFmtId="9" fontId="0" fillId="17" borderId="30" xfId="5" applyFont="1" applyFill="1" applyBorder="1" applyAlignment="1">
      <alignment horizontal="center" vertical="center" wrapText="1"/>
    </xf>
    <xf numFmtId="3" fontId="0" fillId="17" borderId="30" xfId="9" applyNumberFormat="1" applyFont="1" applyFill="1" applyBorder="1" applyAlignment="1">
      <alignment horizontal="center" vertical="center" wrapText="1"/>
    </xf>
    <xf numFmtId="3" fontId="0" fillId="17" borderId="30" xfId="0" applyNumberFormat="1" applyFont="1" applyFill="1" applyBorder="1" applyAlignment="1">
      <alignment horizontal="center" vertical="center" wrapText="1"/>
    </xf>
    <xf numFmtId="3" fontId="3" fillId="17" borderId="30" xfId="0" applyNumberFormat="1" applyFont="1" applyFill="1" applyBorder="1" applyAlignment="1">
      <alignment horizontal="center" vertical="center" wrapText="1"/>
    </xf>
    <xf numFmtId="3" fontId="0" fillId="17" borderId="31" xfId="0" applyNumberFormat="1" applyFont="1" applyFill="1" applyBorder="1" applyAlignment="1">
      <alignment horizontal="center" vertical="center" wrapText="1"/>
    </xf>
    <xf numFmtId="0" fontId="8" fillId="17" borderId="32" xfId="0" applyFont="1" applyFill="1" applyBorder="1" applyAlignment="1">
      <alignment horizontal="center" vertical="center" wrapText="1"/>
    </xf>
    <xf numFmtId="9" fontId="11" fillId="17" borderId="32" xfId="0" applyNumberFormat="1" applyFont="1" applyFill="1" applyBorder="1" applyAlignment="1">
      <alignment horizontal="center" vertical="center" wrapText="1"/>
    </xf>
    <xf numFmtId="0" fontId="0" fillId="17" borderId="32" xfId="0" applyFont="1" applyFill="1" applyBorder="1" applyAlignment="1">
      <alignment horizontal="center" vertical="center" wrapText="1"/>
    </xf>
    <xf numFmtId="174" fontId="0" fillId="17" borderId="32" xfId="7" applyNumberFormat="1" applyFont="1" applyFill="1" applyBorder="1" applyAlignment="1">
      <alignment horizontal="center" vertical="center" wrapText="1"/>
    </xf>
    <xf numFmtId="0" fontId="3" fillId="17" borderId="32" xfId="0" applyFont="1" applyFill="1" applyBorder="1" applyAlignment="1">
      <alignment horizontal="center" vertical="center" wrapText="1"/>
    </xf>
    <xf numFmtId="0" fontId="0" fillId="17" borderId="32" xfId="0" applyFont="1" applyFill="1" applyBorder="1" applyAlignment="1">
      <alignment wrapText="1"/>
    </xf>
    <xf numFmtId="173" fontId="11" fillId="17" borderId="32" xfId="0" applyNumberFormat="1" applyFont="1" applyFill="1" applyBorder="1" applyAlignment="1">
      <alignment horizontal="center" vertical="center" wrapText="1"/>
    </xf>
    <xf numFmtId="0" fontId="11" fillId="17" borderId="32" xfId="0" applyFont="1" applyFill="1" applyBorder="1" applyAlignment="1">
      <alignment horizontal="left" vertical="top" wrapText="1"/>
    </xf>
    <xf numFmtId="3" fontId="11" fillId="17" borderId="32" xfId="9" applyNumberFormat="1" applyFont="1" applyFill="1" applyBorder="1" applyAlignment="1">
      <alignment horizontal="center" vertical="center"/>
    </xf>
    <xf numFmtId="3" fontId="0" fillId="17" borderId="32" xfId="9" applyNumberFormat="1" applyFont="1" applyFill="1" applyBorder="1" applyAlignment="1">
      <alignment horizontal="center" vertical="center" wrapText="1"/>
    </xf>
    <xf numFmtId="3" fontId="11" fillId="17" borderId="32" xfId="0" applyNumberFormat="1" applyFont="1" applyFill="1" applyBorder="1" applyAlignment="1">
      <alignment horizontal="center" vertical="center"/>
    </xf>
    <xf numFmtId="3" fontId="8" fillId="17" borderId="32" xfId="0" applyNumberFormat="1" applyFont="1" applyFill="1" applyBorder="1" applyAlignment="1">
      <alignment horizontal="center" vertical="center"/>
    </xf>
    <xf numFmtId="3" fontId="11" fillId="17" borderId="52" xfId="0" applyNumberFormat="1" applyFont="1" applyFill="1" applyBorder="1" applyAlignment="1">
      <alignment horizontal="center" vertical="center"/>
    </xf>
    <xf numFmtId="0" fontId="0" fillId="51" borderId="30" xfId="0" applyFont="1" applyFill="1" applyBorder="1" applyAlignment="1">
      <alignment horizontal="center" vertical="center" wrapText="1"/>
    </xf>
    <xf numFmtId="174" fontId="0" fillId="51" borderId="30" xfId="7" applyNumberFormat="1" applyFont="1" applyFill="1" applyBorder="1" applyAlignment="1">
      <alignment horizontal="center" vertical="center" wrapText="1"/>
    </xf>
    <xf numFmtId="0" fontId="3" fillId="51" borderId="30" xfId="0" applyFont="1" applyFill="1" applyBorder="1" applyAlignment="1">
      <alignment horizontal="center" vertical="center" wrapText="1"/>
    </xf>
    <xf numFmtId="9" fontId="0" fillId="51" borderId="30" xfId="0" applyNumberFormat="1" applyFont="1" applyFill="1" applyBorder="1" applyAlignment="1">
      <alignment vertical="center"/>
    </xf>
    <xf numFmtId="0" fontId="0" fillId="51" borderId="30" xfId="0" applyFont="1" applyFill="1" applyBorder="1" applyAlignment="1">
      <alignment vertical="center" wrapText="1"/>
    </xf>
    <xf numFmtId="0" fontId="0" fillId="51" borderId="30" xfId="0" applyFont="1" applyFill="1" applyBorder="1" applyAlignment="1">
      <alignment vertical="center"/>
    </xf>
    <xf numFmtId="9" fontId="11" fillId="51" borderId="30" xfId="0" applyNumberFormat="1" applyFont="1" applyFill="1" applyBorder="1" applyAlignment="1">
      <alignment horizontal="center" vertical="center" wrapText="1"/>
    </xf>
    <xf numFmtId="0" fontId="11" fillId="51" borderId="30" xfId="0" applyFont="1" applyFill="1" applyBorder="1" applyAlignment="1">
      <alignment horizontal="left" vertical="top" wrapText="1"/>
    </xf>
    <xf numFmtId="3" fontId="11" fillId="51" borderId="30" xfId="9" applyNumberFormat="1" applyFont="1" applyFill="1" applyBorder="1" applyAlignment="1">
      <alignment horizontal="center" vertical="center" wrapText="1"/>
    </xf>
    <xf numFmtId="3" fontId="11" fillId="51" borderId="30" xfId="0" applyNumberFormat="1" applyFont="1" applyFill="1" applyBorder="1" applyAlignment="1">
      <alignment horizontal="center" vertical="center" wrapText="1"/>
    </xf>
    <xf numFmtId="3" fontId="8" fillId="51" borderId="30" xfId="0" applyNumberFormat="1" applyFont="1" applyFill="1" applyBorder="1" applyAlignment="1">
      <alignment horizontal="center" vertical="center" wrapText="1"/>
    </xf>
    <xf numFmtId="3" fontId="0" fillId="51" borderId="30" xfId="0" applyNumberFormat="1" applyFont="1" applyFill="1" applyBorder="1" applyAlignment="1">
      <alignment horizontal="center" vertical="center" wrapText="1"/>
    </xf>
    <xf numFmtId="3" fontId="0" fillId="51" borderId="31" xfId="0" applyNumberFormat="1" applyFont="1" applyFill="1" applyBorder="1" applyAlignment="1">
      <alignment horizontal="center" vertical="center" wrapText="1"/>
    </xf>
    <xf numFmtId="0" fontId="0" fillId="51" borderId="32" xfId="0" applyFont="1" applyFill="1" applyBorder="1" applyAlignment="1">
      <alignment horizontal="center" vertical="center" wrapText="1"/>
    </xf>
    <xf numFmtId="174" fontId="0" fillId="51" borderId="32" xfId="7" applyNumberFormat="1" applyFont="1" applyFill="1" applyBorder="1" applyAlignment="1">
      <alignment horizontal="center" vertical="center"/>
    </xf>
    <xf numFmtId="9" fontId="0" fillId="51" borderId="32" xfId="5" applyFont="1" applyFill="1" applyBorder="1" applyAlignment="1">
      <alignment horizontal="center" vertical="center"/>
    </xf>
    <xf numFmtId="0" fontId="11" fillId="51" borderId="32" xfId="0" applyFont="1" applyFill="1" applyBorder="1" applyAlignment="1">
      <alignment horizontal="left" vertical="top" wrapText="1"/>
    </xf>
    <xf numFmtId="3" fontId="11" fillId="51" borderId="32" xfId="9" applyNumberFormat="1" applyFont="1" applyFill="1" applyBorder="1" applyAlignment="1">
      <alignment horizontal="center" vertical="center" wrapText="1"/>
    </xf>
    <xf numFmtId="3" fontId="11" fillId="51" borderId="32" xfId="0" applyNumberFormat="1" applyFont="1" applyFill="1" applyBorder="1" applyAlignment="1">
      <alignment horizontal="center" vertical="center" wrapText="1"/>
    </xf>
    <xf numFmtId="3" fontId="8" fillId="51" borderId="32" xfId="0" applyNumberFormat="1" applyFont="1" applyFill="1" applyBorder="1" applyAlignment="1">
      <alignment horizontal="center" vertical="center" wrapText="1"/>
    </xf>
    <xf numFmtId="3" fontId="0" fillId="51" borderId="32" xfId="0" applyNumberFormat="1" applyFont="1" applyFill="1" applyBorder="1" applyAlignment="1">
      <alignment horizontal="center" vertical="center" wrapText="1"/>
    </xf>
    <xf numFmtId="3" fontId="0" fillId="51" borderId="52" xfId="0" applyNumberFormat="1" applyFont="1" applyFill="1" applyBorder="1" applyAlignment="1">
      <alignment horizontal="center" vertical="center" wrapText="1"/>
    </xf>
    <xf numFmtId="0" fontId="11" fillId="7" borderId="30" xfId="0" applyFont="1" applyFill="1" applyBorder="1" applyAlignment="1">
      <alignment horizontal="center" vertical="center" wrapText="1"/>
    </xf>
    <xf numFmtId="174" fontId="0" fillId="7" borderId="30" xfId="7" applyNumberFormat="1" applyFont="1" applyFill="1" applyBorder="1" applyAlignment="1">
      <alignment horizontal="center" vertical="center" wrapText="1"/>
    </xf>
    <xf numFmtId="0" fontId="3" fillId="7" borderId="30" xfId="0" applyFont="1" applyFill="1" applyBorder="1" applyAlignment="1">
      <alignment horizontal="center" vertical="center" wrapText="1"/>
    </xf>
    <xf numFmtId="0" fontId="11" fillId="7" borderId="30" xfId="0" applyFont="1" applyFill="1" applyBorder="1" applyAlignment="1">
      <alignment horizontal="center" vertical="center"/>
    </xf>
    <xf numFmtId="0" fontId="10" fillId="7" borderId="30" xfId="0" applyFont="1" applyFill="1" applyBorder="1" applyAlignment="1">
      <alignment horizontal="center" vertical="center" wrapText="1"/>
    </xf>
    <xf numFmtId="0" fontId="11" fillId="7" borderId="30" xfId="0" applyFont="1" applyFill="1" applyBorder="1" applyAlignment="1">
      <alignment wrapText="1"/>
    </xf>
    <xf numFmtId="0" fontId="11" fillId="7" borderId="30" xfId="0" applyFont="1" applyFill="1" applyBorder="1" applyAlignment="1"/>
    <xf numFmtId="0" fontId="10" fillId="7" borderId="30" xfId="0" applyFont="1" applyFill="1" applyBorder="1" applyAlignment="1"/>
    <xf numFmtId="0" fontId="11" fillId="7" borderId="30" xfId="0" applyFont="1" applyFill="1" applyBorder="1" applyAlignment="1">
      <alignment vertical="top" wrapText="1"/>
    </xf>
    <xf numFmtId="0" fontId="11" fillId="7" borderId="30" xfId="0" applyFont="1" applyFill="1" applyBorder="1" applyAlignment="1">
      <alignment horizontal="left" vertical="top" wrapText="1"/>
    </xf>
    <xf numFmtId="3" fontId="11" fillId="7" borderId="30" xfId="9" applyNumberFormat="1" applyFont="1" applyFill="1" applyBorder="1" applyAlignment="1">
      <alignment horizontal="center" vertical="center"/>
    </xf>
    <xf numFmtId="3" fontId="0" fillId="7" borderId="30" xfId="9" applyNumberFormat="1" applyFont="1" applyFill="1" applyBorder="1" applyAlignment="1">
      <alignment horizontal="center" vertical="center" wrapText="1"/>
    </xf>
    <xf numFmtId="3" fontId="0" fillId="7" borderId="30" xfId="0" applyNumberFormat="1" applyFont="1" applyFill="1" applyBorder="1" applyAlignment="1">
      <alignment horizontal="center" vertical="center" wrapText="1"/>
    </xf>
    <xf numFmtId="3" fontId="3" fillId="7" borderId="30" xfId="0" applyNumberFormat="1" applyFont="1" applyFill="1" applyBorder="1" applyAlignment="1">
      <alignment horizontal="center" vertical="center" wrapText="1"/>
    </xf>
    <xf numFmtId="3" fontId="0" fillId="7" borderId="31" xfId="0" applyNumberFormat="1" applyFont="1" applyFill="1" applyBorder="1" applyAlignment="1">
      <alignment horizontal="center" vertical="center" wrapText="1"/>
    </xf>
    <xf numFmtId="0" fontId="0" fillId="7" borderId="7" xfId="0" applyFont="1" applyFill="1" applyBorder="1"/>
    <xf numFmtId="0" fontId="0" fillId="7" borderId="8" xfId="0" applyFont="1" applyFill="1" applyBorder="1"/>
    <xf numFmtId="0" fontId="0" fillId="7" borderId="9" xfId="0" applyFont="1" applyFill="1" applyBorder="1"/>
    <xf numFmtId="0" fontId="0" fillId="40" borderId="11" xfId="0" applyFont="1" applyFill="1" applyBorder="1"/>
    <xf numFmtId="0" fontId="0" fillId="42" borderId="11" xfId="0" applyFont="1" applyFill="1" applyBorder="1"/>
    <xf numFmtId="0" fontId="0" fillId="42" borderId="29" xfId="0" applyFont="1" applyFill="1" applyBorder="1"/>
    <xf numFmtId="0" fontId="0" fillId="42" borderId="51" xfId="0" applyFont="1" applyFill="1" applyBorder="1"/>
    <xf numFmtId="0" fontId="0" fillId="40" borderId="29" xfId="0" applyFont="1" applyFill="1" applyBorder="1"/>
    <xf numFmtId="0" fontId="0" fillId="40" borderId="51" xfId="0" applyFont="1" applyFill="1" applyBorder="1"/>
    <xf numFmtId="0" fontId="8" fillId="10" borderId="13" xfId="0" applyFont="1" applyFill="1" applyBorder="1" applyAlignment="1" applyProtection="1">
      <alignment horizontal="center" vertical="center" wrapText="1"/>
      <protection locked="0"/>
    </xf>
    <xf numFmtId="0" fontId="3" fillId="4" borderId="36"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8" fillId="9" borderId="16" xfId="0" applyFont="1" applyFill="1" applyBorder="1" applyAlignment="1" applyProtection="1">
      <alignment horizontal="center" vertical="center" wrapText="1"/>
      <protection locked="0"/>
    </xf>
    <xf numFmtId="0" fontId="8" fillId="9" borderId="17" xfId="0" applyFont="1" applyFill="1" applyBorder="1" applyAlignment="1" applyProtection="1">
      <alignment horizontal="center" vertical="center" wrapText="1"/>
      <protection locked="0"/>
    </xf>
    <xf numFmtId="0" fontId="8" fillId="9" borderId="15" xfId="0" applyFont="1" applyFill="1" applyBorder="1" applyAlignment="1" applyProtection="1">
      <alignment horizontal="center" vertical="center" wrapText="1"/>
      <protection locked="0"/>
    </xf>
    <xf numFmtId="0" fontId="8" fillId="6" borderId="10" xfId="0" applyFont="1" applyFill="1" applyBorder="1" applyAlignment="1" applyProtection="1">
      <alignment horizontal="center" vertical="center" wrapText="1"/>
      <protection locked="0"/>
    </xf>
    <xf numFmtId="0" fontId="8" fillId="6" borderId="26" xfId="0" applyFont="1" applyFill="1" applyBorder="1" applyAlignment="1" applyProtection="1">
      <alignment horizontal="center" vertical="center" wrapText="1"/>
      <protection locked="0"/>
    </xf>
    <xf numFmtId="0" fontId="8" fillId="6" borderId="14" xfId="0" applyFont="1" applyFill="1" applyBorder="1" applyAlignment="1" applyProtection="1">
      <alignment horizontal="center" vertical="center" wrapText="1"/>
      <protection locked="0"/>
    </xf>
    <xf numFmtId="0" fontId="8" fillId="6" borderId="27" xfId="0" applyFont="1" applyFill="1" applyBorder="1" applyAlignment="1" applyProtection="1">
      <alignment horizontal="center" vertical="center" wrapText="1"/>
      <protection locked="0"/>
    </xf>
    <xf numFmtId="0" fontId="8" fillId="6" borderId="4" xfId="0" applyFont="1" applyFill="1" applyBorder="1" applyAlignment="1" applyProtection="1">
      <alignment horizontal="center" vertical="center" wrapText="1"/>
      <protection locked="0"/>
    </xf>
    <xf numFmtId="0" fontId="8" fillId="6" borderId="5" xfId="0" applyFont="1" applyFill="1" applyBorder="1" applyAlignment="1" applyProtection="1">
      <alignment horizontal="center" vertical="center" wrapText="1"/>
      <protection locked="0"/>
    </xf>
    <xf numFmtId="0" fontId="8" fillId="7" borderId="4" xfId="0" applyFont="1" applyFill="1" applyBorder="1" applyAlignment="1" applyProtection="1">
      <alignment horizontal="center" vertical="center"/>
      <protection locked="0"/>
    </xf>
    <xf numFmtId="0" fontId="8" fillId="7" borderId="5" xfId="0" applyFont="1" applyFill="1" applyBorder="1" applyAlignment="1" applyProtection="1">
      <alignment horizontal="center" vertical="center"/>
      <protection locked="0"/>
    </xf>
    <xf numFmtId="0" fontId="8" fillId="7" borderId="6" xfId="0" applyFont="1" applyFill="1" applyBorder="1" applyAlignment="1" applyProtection="1">
      <alignment horizontal="center" vertical="center"/>
      <protection locked="0"/>
    </xf>
    <xf numFmtId="0" fontId="8" fillId="8" borderId="13" xfId="0" applyFont="1" applyFill="1" applyBorder="1" applyAlignment="1" applyProtection="1">
      <alignment horizontal="center" vertical="center" wrapText="1"/>
      <protection locked="0"/>
    </xf>
    <xf numFmtId="0" fontId="8" fillId="8" borderId="24" xfId="0" applyFont="1" applyFill="1" applyBorder="1" applyAlignment="1" applyProtection="1">
      <alignment horizontal="center" vertical="center" wrapText="1"/>
      <protection locked="0"/>
    </xf>
    <xf numFmtId="3" fontId="11" fillId="9" borderId="10" xfId="0" applyNumberFormat="1" applyFont="1" applyFill="1" applyBorder="1" applyAlignment="1" applyProtection="1">
      <alignment horizontal="center" vertical="center" textRotation="90" wrapText="1"/>
      <protection locked="0"/>
    </xf>
    <xf numFmtId="3" fontId="11" fillId="9" borderId="26" xfId="0" applyNumberFormat="1" applyFont="1" applyFill="1" applyBorder="1" applyAlignment="1" applyProtection="1">
      <alignment horizontal="center" vertical="center" textRotation="90" wrapText="1"/>
      <protection locked="0"/>
    </xf>
    <xf numFmtId="3" fontId="11" fillId="9" borderId="14" xfId="0" applyNumberFormat="1" applyFont="1" applyFill="1" applyBorder="1" applyAlignment="1" applyProtection="1">
      <alignment horizontal="center" vertical="center" textRotation="90" wrapText="1"/>
      <protection locked="0"/>
    </xf>
    <xf numFmtId="3" fontId="11" fillId="9" borderId="27" xfId="0" applyNumberFormat="1" applyFont="1" applyFill="1" applyBorder="1" applyAlignment="1" applyProtection="1">
      <alignment horizontal="center" vertical="center" textRotation="90" wrapText="1"/>
      <protection locked="0"/>
    </xf>
    <xf numFmtId="0" fontId="0" fillId="33" borderId="32" xfId="0" applyFont="1" applyFill="1" applyBorder="1" applyAlignment="1">
      <alignment horizontal="center" vertical="center" wrapText="1"/>
    </xf>
    <xf numFmtId="3" fontId="8" fillId="6" borderId="42" xfId="0" applyNumberFormat="1" applyFont="1" applyFill="1" applyBorder="1" applyAlignment="1" applyProtection="1">
      <alignment horizontal="center" vertical="center" wrapText="1"/>
      <protection locked="0"/>
    </xf>
    <xf numFmtId="3" fontId="8" fillId="6" borderId="25" xfId="0" applyNumberFormat="1" applyFont="1" applyFill="1" applyBorder="1" applyAlignment="1" applyProtection="1">
      <alignment horizontal="center" vertical="center" wrapText="1"/>
      <protection locked="0"/>
    </xf>
    <xf numFmtId="3" fontId="8" fillId="6" borderId="4" xfId="0" applyNumberFormat="1" applyFont="1" applyFill="1" applyBorder="1" applyAlignment="1" applyProtection="1">
      <alignment horizontal="center" vertical="center" wrapText="1"/>
      <protection locked="0"/>
    </xf>
    <xf numFmtId="3" fontId="8" fillId="6" borderId="5" xfId="0" applyNumberFormat="1" applyFont="1" applyFill="1" applyBorder="1" applyAlignment="1" applyProtection="1">
      <alignment horizontal="center" vertical="center" wrapText="1"/>
      <protection locked="0"/>
    </xf>
    <xf numFmtId="3" fontId="8" fillId="6" borderId="6" xfId="0" applyNumberFormat="1" applyFont="1" applyFill="1" applyBorder="1" applyAlignment="1" applyProtection="1">
      <alignment horizontal="center" vertical="center" wrapText="1"/>
      <protection locked="0"/>
    </xf>
    <xf numFmtId="3" fontId="8" fillId="8" borderId="13" xfId="0" applyNumberFormat="1" applyFont="1" applyFill="1" applyBorder="1" applyAlignment="1" applyProtection="1">
      <alignment horizontal="center" vertical="center" wrapText="1"/>
      <protection locked="0"/>
    </xf>
    <xf numFmtId="3" fontId="8" fillId="8" borderId="24" xfId="0" applyNumberFormat="1" applyFont="1" applyFill="1" applyBorder="1" applyAlignment="1" applyProtection="1">
      <alignment horizontal="center" vertical="center" wrapText="1"/>
      <protection locked="0"/>
    </xf>
    <xf numFmtId="0" fontId="0" fillId="38" borderId="148" xfId="0" applyFont="1" applyFill="1" applyBorder="1" applyAlignment="1">
      <alignment horizontal="center" vertical="center"/>
    </xf>
    <xf numFmtId="3" fontId="11" fillId="9" borderId="34" xfId="0" applyNumberFormat="1" applyFont="1" applyFill="1" applyBorder="1" applyAlignment="1" applyProtection="1">
      <alignment horizontal="center" vertical="center" textRotation="90" wrapText="1"/>
      <protection locked="0"/>
    </xf>
    <xf numFmtId="3" fontId="11" fillId="9" borderId="35" xfId="0" applyNumberFormat="1" applyFont="1" applyFill="1" applyBorder="1" applyAlignment="1" applyProtection="1">
      <alignment horizontal="center" vertical="center" textRotation="90" wrapText="1"/>
      <protection locked="0"/>
    </xf>
    <xf numFmtId="0" fontId="0" fillId="33" borderId="148" xfId="0" applyFont="1" applyFill="1" applyBorder="1" applyAlignment="1">
      <alignment horizontal="center" vertical="center" wrapText="1"/>
    </xf>
    <xf numFmtId="0" fontId="0" fillId="33" borderId="148" xfId="0" applyFont="1" applyFill="1" applyBorder="1" applyAlignment="1">
      <alignment horizontal="center" vertical="center"/>
    </xf>
    <xf numFmtId="9" fontId="0" fillId="33" borderId="148" xfId="0" applyNumberFormat="1" applyFont="1" applyFill="1" applyBorder="1" applyAlignment="1">
      <alignment horizontal="center" vertical="center" wrapText="1"/>
    </xf>
    <xf numFmtId="0" fontId="0" fillId="33" borderId="30" xfId="0" applyFont="1" applyFill="1" applyBorder="1" applyAlignment="1">
      <alignment horizontal="center" vertical="center" wrapText="1"/>
    </xf>
    <xf numFmtId="9" fontId="0" fillId="33" borderId="30" xfId="5" applyFont="1" applyFill="1" applyBorder="1" applyAlignment="1">
      <alignment horizontal="center" vertical="center"/>
    </xf>
    <xf numFmtId="3" fontId="51" fillId="40" borderId="32" xfId="0" applyNumberFormat="1" applyFont="1" applyFill="1" applyBorder="1" applyAlignment="1">
      <alignment horizontal="center" vertical="center"/>
    </xf>
    <xf numFmtId="0" fontId="49" fillId="40" borderId="32" xfId="0" applyFont="1" applyFill="1" applyBorder="1" applyAlignment="1">
      <alignment horizontal="center" vertical="center" wrapText="1"/>
    </xf>
    <xf numFmtId="0" fontId="51" fillId="40" borderId="32" xfId="0" applyFont="1" applyFill="1" applyBorder="1" applyAlignment="1">
      <alignment horizontal="left" vertical="center" wrapText="1"/>
    </xf>
    <xf numFmtId="0" fontId="51" fillId="40" borderId="32" xfId="0" applyFont="1" applyFill="1" applyBorder="1" applyAlignment="1">
      <alignment horizontal="center" vertical="center" wrapText="1"/>
    </xf>
    <xf numFmtId="0" fontId="48" fillId="10" borderId="13" xfId="0" applyFont="1" applyFill="1" applyBorder="1" applyAlignment="1" applyProtection="1">
      <alignment horizontal="center" vertical="center" wrapText="1"/>
      <protection locked="0"/>
    </xf>
    <xf numFmtId="0" fontId="52" fillId="40" borderId="32" xfId="0" applyFont="1" applyFill="1" applyBorder="1" applyAlignment="1">
      <alignment horizontal="center" vertical="center" wrapText="1"/>
    </xf>
    <xf numFmtId="0" fontId="51" fillId="44" borderId="32" xfId="0" applyFont="1" applyFill="1" applyBorder="1" applyAlignment="1">
      <alignment horizontal="center" vertical="center" wrapText="1"/>
    </xf>
    <xf numFmtId="3" fontId="48" fillId="10" borderId="13" xfId="0" applyNumberFormat="1" applyFont="1" applyFill="1" applyBorder="1" applyAlignment="1" applyProtection="1">
      <alignment horizontal="center" vertical="center" wrapText="1"/>
      <protection locked="0"/>
    </xf>
    <xf numFmtId="3" fontId="51" fillId="51" borderId="32" xfId="0" applyNumberFormat="1" applyFont="1" applyFill="1" applyBorder="1" applyAlignment="1">
      <alignment horizontal="center" vertical="center"/>
    </xf>
    <xf numFmtId="0" fontId="49" fillId="42" borderId="32" xfId="0" applyFont="1" applyFill="1" applyBorder="1" applyAlignment="1">
      <alignment horizontal="center" vertical="center" wrapText="1"/>
    </xf>
    <xf numFmtId="0" fontId="49" fillId="44" borderId="32" xfId="0" applyFont="1" applyFill="1" applyBorder="1" applyAlignment="1">
      <alignment horizontal="center" vertical="center" wrapText="1"/>
    </xf>
    <xf numFmtId="0" fontId="49" fillId="7" borderId="32" xfId="0" applyFont="1" applyFill="1" applyBorder="1" applyAlignment="1">
      <alignment horizontal="center" vertical="center" wrapText="1"/>
    </xf>
    <xf numFmtId="0" fontId="3" fillId="4" borderId="42" xfId="0" applyFont="1" applyFill="1" applyBorder="1" applyAlignment="1" applyProtection="1">
      <alignment horizontal="center" vertical="center" wrapText="1"/>
      <protection locked="0"/>
    </xf>
    <xf numFmtId="0" fontId="3" fillId="4" borderId="25" xfId="0" applyFont="1" applyFill="1" applyBorder="1" applyAlignment="1" applyProtection="1">
      <alignment horizontal="center" vertical="center" wrapText="1"/>
      <protection locked="0"/>
    </xf>
    <xf numFmtId="9" fontId="8" fillId="71" borderId="149" xfId="5" applyFont="1" applyFill="1" applyBorder="1" applyAlignment="1" applyProtection="1">
      <alignment horizontal="center" vertical="center" wrapText="1"/>
      <protection locked="0"/>
    </xf>
    <xf numFmtId="0" fontId="8" fillId="6" borderId="58" xfId="0" applyFont="1" applyFill="1" applyBorder="1" applyAlignment="1" applyProtection="1">
      <alignment horizontal="center" vertical="center" wrapText="1"/>
      <protection locked="0"/>
    </xf>
    <xf numFmtId="0" fontId="8" fillId="6" borderId="47" xfId="0" applyFont="1" applyFill="1" applyBorder="1" applyAlignment="1" applyProtection="1">
      <alignment horizontal="center" vertical="center" wrapText="1"/>
      <protection locked="0"/>
    </xf>
    <xf numFmtId="0" fontId="8" fillId="7" borderId="18" xfId="0" applyFont="1" applyFill="1" applyBorder="1" applyAlignment="1" applyProtection="1">
      <alignment horizontal="center" vertical="center" wrapText="1"/>
      <protection locked="0"/>
    </xf>
    <xf numFmtId="0" fontId="8" fillId="7" borderId="58" xfId="0" applyFont="1" applyFill="1" applyBorder="1" applyAlignment="1" applyProtection="1">
      <alignment horizontal="center" vertical="center" wrapText="1"/>
      <protection locked="0"/>
    </xf>
    <xf numFmtId="0" fontId="8" fillId="7" borderId="47" xfId="0" applyFont="1" applyFill="1" applyBorder="1" applyAlignment="1" applyProtection="1">
      <alignment horizontal="center" vertical="center" wrapText="1"/>
      <protection locked="0"/>
    </xf>
    <xf numFmtId="0" fontId="3" fillId="4" borderId="7" xfId="0" applyFont="1" applyFill="1" applyBorder="1" applyAlignment="1" applyProtection="1">
      <alignment horizontal="center" vertical="center"/>
      <protection locked="0"/>
    </xf>
    <xf numFmtId="0" fontId="3" fillId="4" borderId="8" xfId="0" applyFont="1"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3" fillId="4" borderId="19" xfId="0" applyFont="1" applyFill="1" applyBorder="1" applyAlignment="1" applyProtection="1">
      <alignment horizontal="center" vertical="center" wrapText="1"/>
      <protection locked="0"/>
    </xf>
    <xf numFmtId="0" fontId="3" fillId="4" borderId="157" xfId="0" applyFont="1" applyFill="1" applyBorder="1" applyAlignment="1" applyProtection="1">
      <alignment horizontal="center" vertical="center" wrapText="1"/>
      <protection locked="0"/>
    </xf>
    <xf numFmtId="0" fontId="3" fillId="4" borderId="8" xfId="0" applyFont="1" applyFill="1" applyBorder="1" applyAlignment="1" applyProtection="1">
      <alignment horizontal="center" vertical="center" wrapText="1"/>
      <protection locked="0"/>
    </xf>
    <xf numFmtId="0" fontId="3" fillId="4" borderId="149" xfId="0" applyFont="1" applyFill="1" applyBorder="1" applyAlignment="1" applyProtection="1">
      <alignment horizontal="center" vertical="center" wrapText="1"/>
      <protection locked="0"/>
    </xf>
    <xf numFmtId="0" fontId="8" fillId="10" borderId="8" xfId="0" applyFont="1" applyFill="1" applyBorder="1" applyAlignment="1" applyProtection="1">
      <alignment horizontal="center" vertical="center" wrapText="1"/>
      <protection locked="0"/>
    </xf>
    <xf numFmtId="0" fontId="8" fillId="10" borderId="149" xfId="0" applyFont="1" applyFill="1" applyBorder="1" applyAlignment="1" applyProtection="1">
      <alignment horizontal="center" vertical="center" wrapText="1"/>
      <protection locked="0"/>
    </xf>
    <xf numFmtId="0" fontId="0" fillId="7" borderId="32" xfId="0" applyFont="1" applyFill="1" applyBorder="1" applyAlignment="1">
      <alignment horizontal="center" vertical="center" wrapText="1"/>
    </xf>
    <xf numFmtId="3" fontId="0" fillId="7" borderId="32" xfId="0" applyNumberFormat="1" applyFont="1" applyFill="1" applyBorder="1" applyAlignment="1">
      <alignment horizontal="center" vertical="center" wrapText="1"/>
    </xf>
    <xf numFmtId="0" fontId="0" fillId="44" borderId="30" xfId="0" applyFont="1" applyFill="1" applyBorder="1" applyAlignment="1">
      <alignment horizontal="center" vertical="center" wrapText="1"/>
    </xf>
    <xf numFmtId="0" fontId="0" fillId="38" borderId="32" xfId="0" applyFont="1" applyFill="1" applyBorder="1" applyAlignment="1">
      <alignment horizontal="center" vertical="center" wrapText="1"/>
    </xf>
    <xf numFmtId="0" fontId="0" fillId="38" borderId="148" xfId="0" applyFont="1" applyFill="1" applyBorder="1" applyAlignment="1">
      <alignment horizontal="center" vertical="center" wrapText="1"/>
    </xf>
    <xf numFmtId="0" fontId="0" fillId="7" borderId="148" xfId="0" applyFont="1" applyFill="1" applyBorder="1" applyAlignment="1">
      <alignment horizontal="center" vertical="center" wrapText="1"/>
    </xf>
    <xf numFmtId="0" fontId="0" fillId="7" borderId="148" xfId="0" applyFont="1" applyFill="1" applyBorder="1" applyAlignment="1">
      <alignment horizontal="center" vertical="center"/>
    </xf>
    <xf numFmtId="0" fontId="0" fillId="41" borderId="148" xfId="0" applyFont="1" applyFill="1" applyBorder="1" applyAlignment="1">
      <alignment horizontal="center" vertical="center" wrapText="1"/>
    </xf>
    <xf numFmtId="9" fontId="0" fillId="41" borderId="32" xfId="0" applyNumberFormat="1" applyFont="1" applyFill="1" applyBorder="1" applyAlignment="1">
      <alignment horizontal="center" vertical="center"/>
    </xf>
    <xf numFmtId="0" fontId="0" fillId="41" borderId="30" xfId="0" applyFont="1" applyFill="1" applyBorder="1" applyAlignment="1">
      <alignment horizontal="center" vertical="center" wrapText="1"/>
    </xf>
    <xf numFmtId="0" fontId="10" fillId="39" borderId="8" xfId="0" applyFont="1" applyFill="1" applyBorder="1" applyAlignment="1">
      <alignment horizontal="center" vertical="center" wrapText="1"/>
    </xf>
    <xf numFmtId="0" fontId="10" fillId="39" borderId="148" xfId="0" applyFont="1" applyFill="1" applyBorder="1" applyAlignment="1">
      <alignment horizontal="center" vertical="center" wrapText="1"/>
    </xf>
    <xf numFmtId="0" fontId="10" fillId="39" borderId="30" xfId="0" applyFont="1" applyFill="1" applyBorder="1" applyAlignment="1">
      <alignment horizontal="center" vertical="center" wrapText="1"/>
    </xf>
    <xf numFmtId="0" fontId="0" fillId="39" borderId="148" xfId="0" applyFill="1" applyBorder="1" applyAlignment="1">
      <alignment horizontal="center" vertical="center" wrapText="1"/>
    </xf>
    <xf numFmtId="0" fontId="0" fillId="39" borderId="30" xfId="0" applyFill="1" applyBorder="1" applyAlignment="1">
      <alignment horizontal="center" vertical="center" wrapText="1"/>
    </xf>
    <xf numFmtId="0" fontId="0" fillId="43" borderId="148" xfId="0" applyFill="1" applyBorder="1" applyAlignment="1">
      <alignment horizontal="center" vertical="center" wrapText="1"/>
    </xf>
    <xf numFmtId="0" fontId="0" fillId="43" borderId="30" xfId="0" applyFill="1" applyBorder="1" applyAlignment="1">
      <alignment horizontal="center" vertical="center" wrapText="1"/>
    </xf>
    <xf numFmtId="0" fontId="10" fillId="51" borderId="32" xfId="0" applyFont="1" applyFill="1" applyBorder="1" applyAlignment="1">
      <alignment horizontal="center" vertical="center" wrapText="1"/>
    </xf>
    <xf numFmtId="0" fontId="10" fillId="51" borderId="148" xfId="0" applyFont="1" applyFill="1" applyBorder="1" applyAlignment="1">
      <alignment horizontal="center" vertical="center" wrapText="1"/>
    </xf>
    <xf numFmtId="0" fontId="10" fillId="29" borderId="32" xfId="0" applyFont="1" applyFill="1" applyBorder="1" applyAlignment="1">
      <alignment horizontal="center" vertical="center" wrapText="1"/>
    </xf>
    <xf numFmtId="3" fontId="0" fillId="38" borderId="32" xfId="0" applyNumberFormat="1" applyFill="1" applyBorder="1" applyAlignment="1">
      <alignment horizontal="center" vertical="center"/>
    </xf>
    <xf numFmtId="0" fontId="10" fillId="29" borderId="30" xfId="0" applyFont="1" applyFill="1" applyBorder="1" applyAlignment="1">
      <alignment horizontal="center" vertical="center" wrapText="1"/>
    </xf>
    <xf numFmtId="0" fontId="10" fillId="42" borderId="8" xfId="0" applyFont="1" applyFill="1" applyBorder="1" applyAlignment="1">
      <alignment horizontal="center" vertical="center" wrapText="1"/>
    </xf>
    <xf numFmtId="0" fontId="10" fillId="42" borderId="148" xfId="0" applyFont="1" applyFill="1" applyBorder="1" applyAlignment="1">
      <alignment horizontal="center" vertical="center" wrapText="1"/>
    </xf>
    <xf numFmtId="0" fontId="0" fillId="42" borderId="148" xfId="0" applyFill="1" applyBorder="1" applyAlignment="1">
      <alignment horizontal="center" vertical="center" wrapText="1"/>
    </xf>
    <xf numFmtId="0" fontId="10" fillId="42" borderId="30" xfId="0" applyFont="1" applyFill="1" applyBorder="1" applyAlignment="1">
      <alignment horizontal="center" vertical="center" wrapText="1"/>
    </xf>
    <xf numFmtId="0" fontId="0" fillId="38" borderId="148" xfId="0" applyFill="1" applyBorder="1" applyAlignment="1">
      <alignment horizontal="center" vertical="center" wrapText="1"/>
    </xf>
    <xf numFmtId="0" fontId="0" fillId="38" borderId="30" xfId="0" applyFill="1" applyBorder="1" applyAlignment="1">
      <alignment horizontal="center" vertical="center" wrapText="1"/>
    </xf>
    <xf numFmtId="0" fontId="10" fillId="38" borderId="148" xfId="0" applyFont="1" applyFill="1" applyBorder="1" applyAlignment="1">
      <alignment horizontal="center" vertical="center" wrapText="1"/>
    </xf>
    <xf numFmtId="0" fontId="10" fillId="38" borderId="30" xfId="0" applyFont="1" applyFill="1" applyBorder="1" applyAlignment="1">
      <alignment horizontal="center" vertical="center" wrapText="1"/>
    </xf>
    <xf numFmtId="0" fontId="0" fillId="42" borderId="30" xfId="0" applyFill="1" applyBorder="1" applyAlignment="1">
      <alignment horizontal="center" vertical="center" wrapText="1"/>
    </xf>
    <xf numFmtId="0" fontId="0" fillId="38" borderId="8" xfId="0" applyFill="1" applyBorder="1" applyAlignment="1">
      <alignment horizontal="center" vertical="center" wrapText="1"/>
    </xf>
    <xf numFmtId="0" fontId="0" fillId="42" borderId="8" xfId="0" applyFill="1" applyBorder="1" applyAlignment="1">
      <alignment horizontal="center" vertical="center" wrapText="1"/>
    </xf>
    <xf numFmtId="0" fontId="10" fillId="38" borderId="154" xfId="0" applyFont="1" applyFill="1" applyBorder="1" applyAlignment="1">
      <alignment horizontal="center" vertical="center" wrapText="1"/>
    </xf>
    <xf numFmtId="0" fontId="10" fillId="38" borderId="53" xfId="0" applyFont="1" applyFill="1" applyBorder="1" applyAlignment="1">
      <alignment horizontal="center" vertical="center" wrapText="1"/>
    </xf>
    <xf numFmtId="0" fontId="10" fillId="39" borderId="154" xfId="0" applyFont="1" applyFill="1" applyBorder="1" applyAlignment="1">
      <alignment horizontal="center" vertical="center" wrapText="1"/>
    </xf>
    <xf numFmtId="0" fontId="10" fillId="39" borderId="53" xfId="0" applyFont="1" applyFill="1" applyBorder="1" applyAlignment="1">
      <alignment horizontal="center" vertical="center" wrapText="1"/>
    </xf>
    <xf numFmtId="0" fontId="10" fillId="51" borderId="11" xfId="0" applyFont="1" applyFill="1" applyBorder="1" applyAlignment="1">
      <alignment horizontal="center" vertical="center" wrapText="1"/>
    </xf>
    <xf numFmtId="0" fontId="11" fillId="39" borderId="32" xfId="0" applyFont="1" applyFill="1" applyBorder="1" applyAlignment="1">
      <alignment horizontal="center" vertical="center" wrapText="1"/>
    </xf>
    <xf numFmtId="0" fontId="11" fillId="38" borderId="148" xfId="0" applyFont="1" applyFill="1" applyBorder="1" applyAlignment="1">
      <alignment horizontal="center" vertical="center" wrapText="1"/>
    </xf>
    <xf numFmtId="0" fontId="11" fillId="38" borderId="32" xfId="0" applyFont="1" applyFill="1" applyBorder="1" applyAlignment="1">
      <alignment horizontal="center" vertical="center" wrapText="1"/>
    </xf>
    <xf numFmtId="9" fontId="11" fillId="38" borderId="32" xfId="0" applyNumberFormat="1" applyFont="1" applyFill="1" applyBorder="1" applyAlignment="1">
      <alignment horizontal="center" vertical="center" wrapText="1"/>
    </xf>
    <xf numFmtId="3" fontId="8" fillId="10" borderId="13" xfId="0" applyNumberFormat="1" applyFont="1" applyFill="1" applyBorder="1" applyAlignment="1" applyProtection="1">
      <alignment horizontal="center" vertical="center" wrapText="1"/>
      <protection locked="0"/>
    </xf>
    <xf numFmtId="0" fontId="11" fillId="41" borderId="32" xfId="0" applyFont="1" applyFill="1" applyBorder="1" applyAlignment="1">
      <alignment horizontal="center" vertical="center" wrapText="1"/>
    </xf>
    <xf numFmtId="0" fontId="11" fillId="41" borderId="148" xfId="0" applyFont="1" applyFill="1" applyBorder="1" applyAlignment="1">
      <alignment horizontal="center" vertical="center" wrapText="1"/>
    </xf>
    <xf numFmtId="9" fontId="11" fillId="41" borderId="148" xfId="0" applyNumberFormat="1" applyFont="1" applyFill="1" applyBorder="1" applyAlignment="1">
      <alignment horizontal="center" vertical="center" wrapText="1"/>
    </xf>
    <xf numFmtId="9" fontId="0" fillId="42" borderId="148" xfId="0" applyNumberFormat="1" applyFont="1" applyFill="1" applyBorder="1" applyAlignment="1">
      <alignment horizontal="center" vertical="center" wrapText="1"/>
    </xf>
    <xf numFmtId="0" fontId="11" fillId="41" borderId="30" xfId="0" applyFont="1" applyFill="1" applyBorder="1" applyAlignment="1">
      <alignment horizontal="center" vertical="center" wrapText="1"/>
    </xf>
    <xf numFmtId="9" fontId="11" fillId="38" borderId="148" xfId="0" applyNumberFormat="1" applyFont="1" applyFill="1" applyBorder="1" applyAlignment="1">
      <alignment horizontal="center" vertical="center" wrapText="1"/>
    </xf>
    <xf numFmtId="9" fontId="11" fillId="38" borderId="30" xfId="0" applyNumberFormat="1" applyFont="1" applyFill="1" applyBorder="1" applyAlignment="1">
      <alignment horizontal="center" vertical="center" wrapText="1"/>
    </xf>
    <xf numFmtId="0" fontId="11" fillId="51" borderId="148" xfId="0" applyFont="1" applyFill="1" applyBorder="1" applyAlignment="1">
      <alignment horizontal="center" vertical="center" wrapText="1"/>
    </xf>
    <xf numFmtId="0" fontId="11" fillId="51" borderId="30" xfId="0" applyFont="1" applyFill="1" applyBorder="1" applyAlignment="1">
      <alignment horizontal="center" vertical="center" wrapText="1"/>
    </xf>
    <xf numFmtId="0" fontId="0" fillId="51" borderId="148" xfId="0" applyFont="1" applyFill="1" applyBorder="1" applyAlignment="1">
      <alignment horizontal="center" vertical="center" wrapText="1"/>
    </xf>
    <xf numFmtId="0" fontId="11" fillId="7" borderId="148" xfId="0" applyFont="1" applyFill="1" applyBorder="1" applyAlignment="1">
      <alignment horizontal="center" vertical="center" wrapText="1"/>
    </xf>
    <xf numFmtId="9" fontId="11" fillId="7" borderId="148" xfId="0" applyNumberFormat="1" applyFont="1" applyFill="1" applyBorder="1" applyAlignment="1">
      <alignment horizontal="center" vertical="center" wrapText="1"/>
    </xf>
    <xf numFmtId="0" fontId="3" fillId="7" borderId="148" xfId="0" applyFont="1" applyFill="1" applyBorder="1" applyAlignment="1">
      <alignment horizontal="center" vertical="center" wrapText="1"/>
    </xf>
    <xf numFmtId="0" fontId="3" fillId="7" borderId="30" xfId="0" applyFont="1" applyFill="1" applyBorder="1" applyAlignment="1">
      <alignment horizontal="center" vertical="center" wrapText="1"/>
    </xf>
    <xf numFmtId="0" fontId="3" fillId="41" borderId="32" xfId="0" applyFont="1" applyFill="1" applyBorder="1" applyAlignment="1">
      <alignment horizontal="center" vertical="center" wrapText="1"/>
    </xf>
    <xf numFmtId="0" fontId="3" fillId="41" borderId="148" xfId="0" applyFont="1" applyFill="1" applyBorder="1" applyAlignment="1">
      <alignment horizontal="center" vertical="center" wrapText="1"/>
    </xf>
    <xf numFmtId="0" fontId="3" fillId="38" borderId="32" xfId="0" applyFont="1" applyFill="1" applyBorder="1" applyAlignment="1">
      <alignment horizontal="center" vertical="center" wrapText="1"/>
    </xf>
    <xf numFmtId="0" fontId="3" fillId="38" borderId="148" xfId="0" applyFont="1" applyFill="1" applyBorder="1" applyAlignment="1">
      <alignment horizontal="center" vertical="center" wrapText="1"/>
    </xf>
    <xf numFmtId="0" fontId="3" fillId="38" borderId="30" xfId="0" applyFont="1" applyFill="1" applyBorder="1" applyAlignment="1">
      <alignment horizontal="center" vertical="center" wrapText="1"/>
    </xf>
    <xf numFmtId="9" fontId="52" fillId="41" borderId="148" xfId="0" applyNumberFormat="1" applyFont="1" applyFill="1" applyBorder="1" applyAlignment="1">
      <alignment horizontal="center" vertical="center" wrapText="1"/>
    </xf>
    <xf numFmtId="0" fontId="51" fillId="42" borderId="32" xfId="0" applyFont="1" applyFill="1" applyBorder="1" applyAlignment="1">
      <alignment horizontal="center" vertical="center" wrapText="1"/>
    </xf>
    <xf numFmtId="9" fontId="51" fillId="41" borderId="32" xfId="0" applyNumberFormat="1" applyFont="1" applyFill="1" applyBorder="1" applyAlignment="1">
      <alignment horizontal="center" vertical="center" wrapText="1"/>
    </xf>
    <xf numFmtId="0" fontId="51" fillId="41" borderId="32" xfId="0" applyFont="1" applyFill="1" applyBorder="1" applyAlignment="1">
      <alignment horizontal="center" vertical="center" wrapText="1"/>
    </xf>
    <xf numFmtId="0" fontId="51" fillId="33" borderId="32" xfId="0" applyFont="1" applyFill="1" applyBorder="1" applyAlignment="1">
      <alignment horizontal="center" vertical="center" wrapText="1"/>
    </xf>
    <xf numFmtId="0" fontId="51" fillId="38" borderId="32" xfId="0" applyFont="1" applyFill="1" applyBorder="1" applyAlignment="1">
      <alignment horizontal="center" vertical="center" wrapText="1"/>
    </xf>
    <xf numFmtId="0" fontId="51" fillId="51" borderId="32" xfId="0" applyFont="1" applyFill="1" applyBorder="1" applyAlignment="1">
      <alignment horizontal="center" vertical="center" wrapText="1"/>
    </xf>
    <xf numFmtId="0" fontId="52" fillId="41" borderId="32" xfId="0" applyFont="1" applyFill="1" applyBorder="1" applyAlignment="1">
      <alignment horizontal="center" vertical="center" wrapText="1"/>
    </xf>
    <xf numFmtId="0" fontId="52" fillId="28" borderId="30" xfId="0" applyFont="1" applyFill="1" applyBorder="1" applyAlignment="1">
      <alignment horizontal="center" vertical="center" wrapText="1"/>
    </xf>
    <xf numFmtId="0" fontId="52" fillId="72" borderId="30" xfId="0" applyFont="1" applyFill="1" applyBorder="1" applyAlignment="1">
      <alignment horizontal="center" vertical="center" wrapText="1"/>
    </xf>
    <xf numFmtId="0" fontId="52" fillId="40" borderId="32" xfId="0" applyFont="1" applyFill="1" applyBorder="1" applyAlignment="1">
      <alignment horizontal="center" vertical="center"/>
    </xf>
    <xf numFmtId="9" fontId="51" fillId="41" borderId="32" xfId="5" applyFont="1" applyFill="1" applyBorder="1" applyAlignment="1">
      <alignment horizontal="center" vertical="center"/>
    </xf>
    <xf numFmtId="9" fontId="52" fillId="40" borderId="32" xfId="5" applyFont="1" applyFill="1" applyBorder="1" applyAlignment="1">
      <alignment horizontal="center" vertical="center"/>
    </xf>
    <xf numFmtId="0" fontId="52" fillId="51" borderId="32" xfId="0" applyFont="1" applyFill="1" applyBorder="1" applyAlignment="1">
      <alignment horizontal="center" vertical="center" wrapText="1"/>
    </xf>
    <xf numFmtId="0" fontId="52" fillId="51" borderId="32" xfId="0" applyFont="1" applyFill="1" applyBorder="1" applyAlignment="1">
      <alignment horizontal="center" vertical="center"/>
    </xf>
    <xf numFmtId="0" fontId="52" fillId="38" borderId="32" xfId="0" applyFont="1" applyFill="1" applyBorder="1" applyAlignment="1">
      <alignment horizontal="center" vertical="center" wrapText="1"/>
    </xf>
    <xf numFmtId="0" fontId="52" fillId="38" borderId="32" xfId="0" applyFont="1" applyFill="1" applyBorder="1" applyAlignment="1">
      <alignment horizontal="center" vertical="center"/>
    </xf>
    <xf numFmtId="9" fontId="49" fillId="38" borderId="32" xfId="5" applyFont="1" applyFill="1" applyBorder="1" applyAlignment="1">
      <alignment horizontal="center" vertical="center"/>
    </xf>
    <xf numFmtId="9" fontId="51" fillId="38" borderId="32" xfId="5" applyFont="1" applyFill="1" applyBorder="1" applyAlignment="1">
      <alignment horizontal="center" vertical="center"/>
    </xf>
    <xf numFmtId="9" fontId="50" fillId="33" borderId="32" xfId="5" applyFont="1" applyFill="1" applyBorder="1" applyAlignment="1">
      <alignment horizontal="center" vertical="center"/>
    </xf>
    <xf numFmtId="9" fontId="51" fillId="33" borderId="32" xfId="5" applyFont="1" applyFill="1" applyBorder="1" applyAlignment="1">
      <alignment horizontal="center" vertical="center"/>
    </xf>
    <xf numFmtId="9" fontId="51" fillId="41" borderId="32" xfId="5" applyFont="1" applyFill="1" applyBorder="1" applyAlignment="1">
      <alignment horizontal="center" vertical="center" wrapText="1"/>
    </xf>
    <xf numFmtId="0" fontId="52" fillId="41" borderId="32" xfId="0" applyFont="1" applyFill="1" applyBorder="1" applyAlignment="1">
      <alignment horizontal="center" vertical="center"/>
    </xf>
    <xf numFmtId="0" fontId="49" fillId="33" borderId="32" xfId="0" applyFont="1" applyFill="1" applyBorder="1" applyAlignment="1">
      <alignment horizontal="center" vertical="center" wrapText="1"/>
    </xf>
    <xf numFmtId="0" fontId="49" fillId="29" borderId="32" xfId="0" applyFont="1" applyFill="1" applyBorder="1" applyAlignment="1">
      <alignment horizontal="center" vertical="center" wrapText="1"/>
    </xf>
    <xf numFmtId="9" fontId="49" fillId="44" borderId="32" xfId="5" applyFont="1" applyFill="1" applyBorder="1" applyAlignment="1">
      <alignment horizontal="center" vertical="center" wrapText="1"/>
    </xf>
    <xf numFmtId="9" fontId="49" fillId="39" borderId="32" xfId="5" applyFont="1" applyFill="1" applyBorder="1" applyAlignment="1">
      <alignment horizontal="center" vertical="center" wrapText="1"/>
    </xf>
    <xf numFmtId="0" fontId="0" fillId="72" borderId="32" xfId="0" applyFont="1" applyFill="1" applyBorder="1" applyAlignment="1">
      <alignment horizontal="center" vertical="center" wrapText="1"/>
    </xf>
    <xf numFmtId="0" fontId="51" fillId="39" borderId="32" xfId="0" applyFont="1" applyFill="1" applyBorder="1" applyAlignment="1">
      <alignment horizontal="center" vertical="center" wrapText="1"/>
    </xf>
    <xf numFmtId="0" fontId="49" fillId="43" borderId="32" xfId="0" applyFont="1" applyFill="1" applyBorder="1" applyAlignment="1">
      <alignment horizontal="center" vertical="center" wrapText="1"/>
    </xf>
    <xf numFmtId="0" fontId="49" fillId="39" borderId="32" xfId="0" applyFont="1" applyFill="1" applyBorder="1" applyAlignment="1">
      <alignment horizontal="center" vertical="center" wrapText="1"/>
    </xf>
    <xf numFmtId="0" fontId="49" fillId="41" borderId="32" xfId="0" applyFont="1" applyFill="1" applyBorder="1" applyAlignment="1">
      <alignment horizontal="center" vertical="center" wrapText="1"/>
    </xf>
    <xf numFmtId="0" fontId="51" fillId="44" borderId="32" xfId="0" applyFont="1" applyFill="1" applyBorder="1" applyAlignment="1">
      <alignment horizontal="center" vertical="center"/>
    </xf>
    <xf numFmtId="0" fontId="51" fillId="72" borderId="32" xfId="0" applyFont="1" applyFill="1" applyBorder="1" applyAlignment="1">
      <alignment horizontal="center"/>
    </xf>
    <xf numFmtId="0" fontId="51" fillId="72" borderId="32" xfId="0" applyFont="1" applyFill="1" applyBorder="1" applyAlignment="1">
      <alignment horizontal="center" vertical="center"/>
    </xf>
    <xf numFmtId="0" fontId="51" fillId="33" borderId="32" xfId="0" applyFont="1" applyFill="1" applyBorder="1" applyAlignment="1">
      <alignment horizontal="center" vertical="center"/>
    </xf>
    <xf numFmtId="0" fontId="51" fillId="42" borderId="32" xfId="0" applyFont="1" applyFill="1" applyBorder="1" applyAlignment="1">
      <alignment horizontal="center"/>
    </xf>
    <xf numFmtId="0" fontId="51" fillId="42" borderId="32" xfId="0" applyFont="1" applyFill="1" applyBorder="1" applyAlignment="1">
      <alignment horizontal="center" vertical="center"/>
    </xf>
    <xf numFmtId="0" fontId="51" fillId="39" borderId="32" xfId="0" applyFont="1" applyFill="1" applyBorder="1" applyAlignment="1">
      <alignment horizontal="center" vertical="center"/>
    </xf>
    <xf numFmtId="0" fontId="0" fillId="39" borderId="32" xfId="0" applyFill="1" applyBorder="1" applyAlignment="1">
      <alignment horizontal="center" vertical="top" wrapText="1"/>
    </xf>
    <xf numFmtId="174" fontId="0" fillId="39" borderId="32" xfId="9" applyNumberFormat="1" applyFont="1" applyFill="1" applyBorder="1" applyAlignment="1">
      <alignment horizontal="center" vertical="center"/>
    </xf>
    <xf numFmtId="170" fontId="0" fillId="39" borderId="32" xfId="9" applyFont="1" applyFill="1" applyBorder="1" applyAlignment="1">
      <alignment horizontal="center" vertical="center"/>
    </xf>
    <xf numFmtId="188" fontId="0" fillId="39" borderId="32" xfId="9" applyNumberFormat="1" applyFont="1" applyFill="1" applyBorder="1" applyAlignment="1">
      <alignment horizontal="center" vertical="center"/>
    </xf>
    <xf numFmtId="0" fontId="0" fillId="39" borderId="32" xfId="0" applyFont="1" applyFill="1" applyBorder="1" applyAlignment="1">
      <alignment horizontal="center" vertical="center"/>
    </xf>
    <xf numFmtId="0" fontId="3" fillId="4" borderId="149" xfId="0" applyFont="1" applyFill="1" applyBorder="1" applyAlignment="1">
      <alignment horizontal="center" vertical="center" wrapText="1"/>
    </xf>
    <xf numFmtId="0" fontId="3" fillId="4" borderId="148" xfId="0" applyFont="1" applyFill="1" applyBorder="1" applyAlignment="1" applyProtection="1">
      <alignment horizontal="center"/>
      <protection locked="0"/>
    </xf>
    <xf numFmtId="0" fontId="9" fillId="17" borderId="149" xfId="0" applyFont="1" applyFill="1" applyBorder="1" applyAlignment="1">
      <alignment horizontal="center" vertical="center" wrapText="1"/>
    </xf>
    <xf numFmtId="0" fontId="10" fillId="41" borderId="148" xfId="0" applyFont="1" applyFill="1" applyBorder="1" applyAlignment="1">
      <alignment horizontal="center" vertical="center" wrapText="1"/>
    </xf>
    <xf numFmtId="0" fontId="10" fillId="44" borderId="148" xfId="0" applyFont="1" applyFill="1" applyBorder="1" applyAlignment="1">
      <alignment horizontal="center" vertical="center" wrapText="1"/>
    </xf>
    <xf numFmtId="0" fontId="10" fillId="44" borderId="30" xfId="0" applyFont="1" applyFill="1" applyBorder="1" applyAlignment="1">
      <alignment horizontal="center" vertical="center" wrapText="1"/>
    </xf>
    <xf numFmtId="9" fontId="8" fillId="71" borderId="148" xfId="5" applyFont="1" applyFill="1" applyBorder="1" applyAlignment="1" applyProtection="1">
      <alignment horizontal="center" vertical="center" wrapText="1"/>
      <protection locked="0"/>
    </xf>
    <xf numFmtId="3" fontId="0" fillId="44" borderId="148" xfId="0" applyNumberFormat="1" applyFill="1" applyBorder="1" applyAlignment="1">
      <alignment horizontal="center"/>
    </xf>
    <xf numFmtId="3" fontId="0" fillId="30" borderId="32" xfId="0" applyNumberFormat="1" applyFill="1" applyBorder="1" applyAlignment="1">
      <alignment horizontal="center" vertical="center"/>
    </xf>
    <xf numFmtId="3" fontId="0" fillId="0" borderId="32" xfId="0" applyNumberFormat="1" applyBorder="1" applyAlignment="1">
      <alignment horizontal="center" vertical="center"/>
    </xf>
    <xf numFmtId="0" fontId="10" fillId="44" borderId="148" xfId="0" applyFont="1" applyFill="1" applyBorder="1" applyAlignment="1">
      <alignment horizontal="left" vertical="center" wrapText="1"/>
    </xf>
    <xf numFmtId="0" fontId="10" fillId="38" borderId="11" xfId="0" applyFont="1" applyFill="1" applyBorder="1" applyAlignment="1">
      <alignment horizontal="center" vertical="center" wrapText="1"/>
    </xf>
    <xf numFmtId="0" fontId="10" fillId="38" borderId="29" xfId="0" applyFont="1" applyFill="1" applyBorder="1" applyAlignment="1">
      <alignment horizontal="center" vertical="center" wrapText="1"/>
    </xf>
    <xf numFmtId="0" fontId="9" fillId="38" borderId="148" xfId="0" applyFont="1" applyFill="1" applyBorder="1" applyAlignment="1">
      <alignment horizontal="center" vertical="center" wrapText="1"/>
    </xf>
    <xf numFmtId="0" fontId="9" fillId="38" borderId="30" xfId="0" applyFont="1" applyFill="1" applyBorder="1" applyAlignment="1">
      <alignment horizontal="center" vertical="center" wrapText="1"/>
    </xf>
    <xf numFmtId="0" fontId="10" fillId="39" borderId="7" xfId="0" applyFont="1" applyFill="1" applyBorder="1" applyAlignment="1">
      <alignment horizontal="center" vertical="center" wrapText="1"/>
    </xf>
    <xf numFmtId="0" fontId="10" fillId="39" borderId="11" xfId="0" applyFont="1" applyFill="1" applyBorder="1" applyAlignment="1">
      <alignment horizontal="center" vertical="center" wrapText="1"/>
    </xf>
    <xf numFmtId="0" fontId="10" fillId="39" borderId="29" xfId="0" applyFont="1" applyFill="1" applyBorder="1" applyAlignment="1">
      <alignment horizontal="center" vertical="center" wrapText="1"/>
    </xf>
    <xf numFmtId="0" fontId="9" fillId="39" borderId="148" xfId="0" applyFont="1" applyFill="1" applyBorder="1" applyAlignment="1">
      <alignment horizontal="center" vertical="center" wrapText="1"/>
    </xf>
    <xf numFmtId="0" fontId="9" fillId="39" borderId="30" xfId="0" applyFont="1" applyFill="1" applyBorder="1" applyAlignment="1">
      <alignment horizontal="center" vertical="center" wrapText="1"/>
    </xf>
    <xf numFmtId="0" fontId="9" fillId="44" borderId="8" xfId="0" applyFont="1" applyFill="1" applyBorder="1" applyAlignment="1">
      <alignment horizontal="center" vertical="center" wrapText="1"/>
    </xf>
    <xf numFmtId="0" fontId="9" fillId="44" borderId="148" xfId="0" applyFont="1" applyFill="1" applyBorder="1" applyAlignment="1">
      <alignment horizontal="center" vertical="center" wrapText="1"/>
    </xf>
    <xf numFmtId="0" fontId="9" fillId="44" borderId="30" xfId="0" applyFont="1" applyFill="1" applyBorder="1" applyAlignment="1">
      <alignment horizontal="center" vertical="center" wrapText="1"/>
    </xf>
    <xf numFmtId="0" fontId="3" fillId="41" borderId="29" xfId="0" applyFont="1" applyFill="1" applyBorder="1" applyAlignment="1">
      <alignment horizontal="center" vertical="center" wrapText="1"/>
    </xf>
    <xf numFmtId="0" fontId="9" fillId="17" borderId="148" xfId="0" applyFont="1" applyFill="1" applyBorder="1" applyAlignment="1">
      <alignment horizontal="center" vertical="center" wrapText="1"/>
    </xf>
    <xf numFmtId="0" fontId="0" fillId="39" borderId="32" xfId="0" applyFont="1" applyFill="1" applyBorder="1" applyAlignment="1">
      <alignment horizontal="center" vertical="center" wrapText="1"/>
    </xf>
    <xf numFmtId="0" fontId="10" fillId="38" borderId="32" xfId="0" applyFont="1" applyFill="1" applyBorder="1" applyAlignment="1">
      <alignment horizontal="center" vertical="center" wrapText="1"/>
    </xf>
    <xf numFmtId="0" fontId="9" fillId="17" borderId="0" xfId="0" applyFont="1" applyFill="1" applyBorder="1" applyAlignment="1">
      <alignment horizontal="center" vertical="center" wrapText="1"/>
    </xf>
    <xf numFmtId="0" fontId="51" fillId="28" borderId="148" xfId="0" applyFont="1" applyFill="1" applyBorder="1" applyAlignment="1">
      <alignment horizontal="center" vertical="center"/>
    </xf>
    <xf numFmtId="190" fontId="51" fillId="28" borderId="148" xfId="0" applyNumberFormat="1" applyFont="1" applyFill="1" applyBorder="1" applyAlignment="1">
      <alignment horizontal="center" vertical="center"/>
    </xf>
    <xf numFmtId="3" fontId="51" fillId="28" borderId="148" xfId="0" applyNumberFormat="1" applyFont="1" applyFill="1" applyBorder="1" applyAlignment="1">
      <alignment horizontal="center" vertical="center"/>
    </xf>
    <xf numFmtId="0" fontId="49" fillId="42" borderId="148" xfId="0" applyFont="1" applyFill="1" applyBorder="1" applyAlignment="1">
      <alignment horizontal="center" vertical="center" wrapText="1"/>
    </xf>
    <xf numFmtId="0" fontId="51" fillId="42" borderId="148" xfId="0" applyFont="1" applyFill="1" applyBorder="1" applyAlignment="1">
      <alignment horizontal="center" vertical="center"/>
    </xf>
    <xf numFmtId="3" fontId="51" fillId="42" borderId="148" xfId="0" applyNumberFormat="1" applyFont="1" applyFill="1" applyBorder="1" applyAlignment="1">
      <alignment horizontal="center" vertical="center"/>
    </xf>
    <xf numFmtId="0" fontId="52" fillId="41" borderId="148" xfId="0" applyFont="1" applyFill="1" applyBorder="1" applyAlignment="1">
      <alignment horizontal="center" vertical="center" wrapText="1"/>
    </xf>
    <xf numFmtId="9" fontId="52" fillId="41" borderId="148" xfId="5" applyFont="1" applyFill="1" applyBorder="1" applyAlignment="1">
      <alignment horizontal="center" vertical="center"/>
    </xf>
    <xf numFmtId="0" fontId="51" fillId="41" borderId="148" xfId="6" applyFont="1" applyFill="1" applyBorder="1" applyAlignment="1">
      <alignment vertical="center" wrapText="1"/>
    </xf>
    <xf numFmtId="0" fontId="49" fillId="41" borderId="148" xfId="0" applyFont="1" applyFill="1" applyBorder="1" applyAlignment="1">
      <alignment horizontal="center" vertical="center" wrapText="1"/>
    </xf>
    <xf numFmtId="9" fontId="51" fillId="41" borderId="148" xfId="5" applyFont="1" applyFill="1" applyBorder="1" applyAlignment="1">
      <alignment horizontal="center" vertical="center"/>
    </xf>
    <xf numFmtId="0" fontId="51" fillId="41" borderId="148" xfId="0" applyFont="1" applyFill="1" applyBorder="1" applyAlignment="1">
      <alignment horizontal="center" vertical="center"/>
    </xf>
    <xf numFmtId="190" fontId="51" fillId="41" borderId="148" xfId="0" applyNumberFormat="1" applyFont="1" applyFill="1" applyBorder="1" applyAlignment="1">
      <alignment horizontal="center" vertical="center"/>
    </xf>
    <xf numFmtId="3" fontId="51" fillId="41" borderId="148" xfId="0" applyNumberFormat="1" applyFont="1" applyFill="1" applyBorder="1" applyAlignment="1">
      <alignment horizontal="center" vertical="center"/>
    </xf>
    <xf numFmtId="0" fontId="8" fillId="7" borderId="4" xfId="0" applyFont="1" applyFill="1" applyBorder="1" applyAlignment="1" applyProtection="1">
      <alignment horizontal="center" vertical="center"/>
      <protection locked="0"/>
    </xf>
    <xf numFmtId="0" fontId="8" fillId="7" borderId="5" xfId="0" applyFont="1" applyFill="1" applyBorder="1" applyAlignment="1" applyProtection="1">
      <alignment horizontal="center" vertical="center"/>
      <protection locked="0"/>
    </xf>
    <xf numFmtId="0" fontId="8" fillId="7" borderId="6" xfId="0" applyFont="1" applyFill="1" applyBorder="1" applyAlignment="1" applyProtection="1">
      <alignment horizontal="center" vertical="center"/>
      <protection locked="0"/>
    </xf>
    <xf numFmtId="0" fontId="8" fillId="8" borderId="13" xfId="0" applyFont="1" applyFill="1" applyBorder="1" applyAlignment="1" applyProtection="1">
      <alignment horizontal="center" vertical="center" wrapText="1"/>
      <protection locked="0"/>
    </xf>
    <xf numFmtId="0" fontId="8" fillId="8" borderId="24" xfId="0" applyFont="1" applyFill="1" applyBorder="1" applyAlignment="1" applyProtection="1">
      <alignment horizontal="center" vertical="center" wrapText="1"/>
      <protection locked="0"/>
    </xf>
    <xf numFmtId="0" fontId="8" fillId="9" borderId="16" xfId="0" applyFont="1" applyFill="1" applyBorder="1" applyAlignment="1" applyProtection="1">
      <alignment horizontal="center" vertical="center" wrapText="1"/>
      <protection locked="0"/>
    </xf>
    <xf numFmtId="0" fontId="8" fillId="9" borderId="15" xfId="0" applyFont="1" applyFill="1" applyBorder="1" applyAlignment="1" applyProtection="1">
      <alignment horizontal="center" vertical="center" wrapText="1"/>
      <protection locked="0"/>
    </xf>
    <xf numFmtId="0" fontId="3" fillId="4" borderId="36"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8" fillId="9" borderId="17" xfId="0" applyFont="1" applyFill="1" applyBorder="1" applyAlignment="1" applyProtection="1">
      <alignment horizontal="center" vertical="center" wrapText="1"/>
      <protection locked="0"/>
    </xf>
    <xf numFmtId="0" fontId="8" fillId="6" borderId="10" xfId="0" applyFont="1" applyFill="1" applyBorder="1" applyAlignment="1" applyProtection="1">
      <alignment horizontal="center" vertical="center" wrapText="1"/>
      <protection locked="0"/>
    </xf>
    <xf numFmtId="0" fontId="8" fillId="6" borderId="26" xfId="0" applyFont="1" applyFill="1" applyBorder="1" applyAlignment="1" applyProtection="1">
      <alignment horizontal="center" vertical="center" wrapText="1"/>
      <protection locked="0"/>
    </xf>
    <xf numFmtId="0" fontId="8" fillId="6" borderId="14" xfId="0" applyFont="1" applyFill="1" applyBorder="1" applyAlignment="1" applyProtection="1">
      <alignment horizontal="center" vertical="center" wrapText="1"/>
      <protection locked="0"/>
    </xf>
    <xf numFmtId="0" fontId="8" fillId="6" borderId="27" xfId="0" applyFont="1" applyFill="1" applyBorder="1" applyAlignment="1" applyProtection="1">
      <alignment horizontal="center" vertical="center" wrapText="1"/>
      <protection locked="0"/>
    </xf>
    <xf numFmtId="0" fontId="8" fillId="6" borderId="4" xfId="0" applyFont="1" applyFill="1" applyBorder="1" applyAlignment="1" applyProtection="1">
      <alignment horizontal="center" vertical="center" wrapText="1"/>
      <protection locked="0"/>
    </xf>
    <xf numFmtId="0" fontId="8" fillId="6" borderId="5" xfId="0" applyFont="1" applyFill="1" applyBorder="1" applyAlignment="1" applyProtection="1">
      <alignment horizontal="center" vertical="center" wrapText="1"/>
      <protection locked="0"/>
    </xf>
    <xf numFmtId="3" fontId="11" fillId="9" borderId="34" xfId="0" applyNumberFormat="1" applyFont="1" applyFill="1" applyBorder="1" applyAlignment="1" applyProtection="1">
      <alignment horizontal="center" vertical="center" textRotation="90" wrapText="1"/>
      <protection locked="0"/>
    </xf>
    <xf numFmtId="3" fontId="11" fillId="9" borderId="35" xfId="0" applyNumberFormat="1" applyFont="1" applyFill="1" applyBorder="1" applyAlignment="1" applyProtection="1">
      <alignment horizontal="center" vertical="center" textRotation="90" wrapText="1"/>
      <protection locked="0"/>
    </xf>
    <xf numFmtId="3" fontId="11" fillId="9" borderId="10" xfId="0" applyNumberFormat="1" applyFont="1" applyFill="1" applyBorder="1" applyAlignment="1" applyProtection="1">
      <alignment horizontal="center" vertical="center" textRotation="90" wrapText="1"/>
      <protection locked="0"/>
    </xf>
    <xf numFmtId="3" fontId="11" fillId="9" borderId="26" xfId="0" applyNumberFormat="1" applyFont="1" applyFill="1" applyBorder="1" applyAlignment="1" applyProtection="1">
      <alignment horizontal="center" vertical="center" textRotation="90" wrapText="1"/>
      <protection locked="0"/>
    </xf>
    <xf numFmtId="3" fontId="11" fillId="9" borderId="14" xfId="0" applyNumberFormat="1" applyFont="1" applyFill="1" applyBorder="1" applyAlignment="1" applyProtection="1">
      <alignment horizontal="center" vertical="center" textRotation="90" wrapText="1"/>
      <protection locked="0"/>
    </xf>
    <xf numFmtId="3" fontId="11" fillId="9" borderId="27" xfId="0" applyNumberFormat="1" applyFont="1" applyFill="1" applyBorder="1" applyAlignment="1" applyProtection="1">
      <alignment horizontal="center" vertical="center" textRotation="90" wrapText="1"/>
      <protection locked="0"/>
    </xf>
    <xf numFmtId="3" fontId="8" fillId="6" borderId="4" xfId="0" applyNumberFormat="1" applyFont="1" applyFill="1" applyBorder="1" applyAlignment="1" applyProtection="1">
      <alignment horizontal="center" vertical="center" wrapText="1"/>
      <protection locked="0"/>
    </xf>
    <xf numFmtId="3" fontId="8" fillId="6" borderId="5" xfId="0" applyNumberFormat="1" applyFont="1" applyFill="1" applyBorder="1" applyAlignment="1" applyProtection="1">
      <alignment horizontal="center" vertical="center" wrapText="1"/>
      <protection locked="0"/>
    </xf>
    <xf numFmtId="3" fontId="8" fillId="6" borderId="6" xfId="0" applyNumberFormat="1" applyFont="1" applyFill="1" applyBorder="1" applyAlignment="1" applyProtection="1">
      <alignment horizontal="center" vertical="center" wrapText="1"/>
      <protection locked="0"/>
    </xf>
    <xf numFmtId="3" fontId="8" fillId="8" borderId="13" xfId="0" applyNumberFormat="1" applyFont="1" applyFill="1" applyBorder="1" applyAlignment="1" applyProtection="1">
      <alignment horizontal="center" vertical="center" wrapText="1"/>
      <protection locked="0"/>
    </xf>
    <xf numFmtId="3" fontId="8" fillId="8" borderId="24" xfId="0" applyNumberFormat="1" applyFont="1" applyFill="1" applyBorder="1" applyAlignment="1" applyProtection="1">
      <alignment horizontal="center" vertical="center" wrapText="1"/>
      <protection locked="0"/>
    </xf>
    <xf numFmtId="0" fontId="0" fillId="41" borderId="148" xfId="0" applyFont="1" applyFill="1" applyBorder="1" applyAlignment="1">
      <alignment horizontal="center" vertical="center" wrapText="1"/>
    </xf>
    <xf numFmtId="0" fontId="3" fillId="4" borderId="8" xfId="0" applyFont="1" applyFill="1" applyBorder="1" applyAlignment="1" applyProtection="1">
      <alignment horizontal="center" vertical="center" wrapText="1"/>
      <protection locked="0"/>
    </xf>
    <xf numFmtId="0" fontId="3" fillId="4" borderId="149" xfId="0" applyFont="1" applyFill="1" applyBorder="1" applyAlignment="1" applyProtection="1">
      <alignment horizontal="center" vertical="center" wrapText="1"/>
      <protection locked="0"/>
    </xf>
    <xf numFmtId="0" fontId="8" fillId="10" borderId="8" xfId="0" applyFont="1" applyFill="1" applyBorder="1" applyAlignment="1" applyProtection="1">
      <alignment horizontal="center" vertical="center" wrapText="1"/>
      <protection locked="0"/>
    </xf>
    <xf numFmtId="0" fontId="8" fillId="10" borderId="149" xfId="0" applyFont="1" applyFill="1" applyBorder="1" applyAlignment="1" applyProtection="1">
      <alignment horizontal="center" vertical="center" wrapText="1"/>
      <protection locked="0"/>
    </xf>
    <xf numFmtId="0" fontId="3" fillId="4" borderId="42" xfId="0" applyFont="1" applyFill="1" applyBorder="1" applyAlignment="1" applyProtection="1">
      <alignment horizontal="center" vertical="center" wrapText="1"/>
      <protection locked="0"/>
    </xf>
    <xf numFmtId="0" fontId="3" fillId="4" borderId="25" xfId="0" applyFont="1" applyFill="1" applyBorder="1" applyAlignment="1" applyProtection="1">
      <alignment horizontal="center" vertical="center" wrapText="1"/>
      <protection locked="0"/>
    </xf>
    <xf numFmtId="9" fontId="8" fillId="71" borderId="149" xfId="5" applyFont="1" applyFill="1" applyBorder="1" applyAlignment="1" applyProtection="1">
      <alignment horizontal="center" vertical="center" wrapText="1"/>
      <protection locked="0"/>
    </xf>
    <xf numFmtId="0" fontId="8" fillId="6" borderId="58" xfId="0" applyFont="1" applyFill="1" applyBorder="1" applyAlignment="1" applyProtection="1">
      <alignment horizontal="center" vertical="center" wrapText="1"/>
      <protection locked="0"/>
    </xf>
    <xf numFmtId="0" fontId="8" fillId="6" borderId="47" xfId="0" applyFont="1" applyFill="1" applyBorder="1" applyAlignment="1" applyProtection="1">
      <alignment horizontal="center" vertical="center" wrapText="1"/>
      <protection locked="0"/>
    </xf>
    <xf numFmtId="0" fontId="8" fillId="7" borderId="18" xfId="0" applyFont="1" applyFill="1" applyBorder="1" applyAlignment="1" applyProtection="1">
      <alignment horizontal="center" vertical="center" wrapText="1"/>
      <protection locked="0"/>
    </xf>
    <xf numFmtId="0" fontId="8" fillId="7" borderId="58" xfId="0" applyFont="1" applyFill="1" applyBorder="1" applyAlignment="1" applyProtection="1">
      <alignment horizontal="center" vertical="center" wrapText="1"/>
      <protection locked="0"/>
    </xf>
    <xf numFmtId="0" fontId="8" fillId="7" borderId="47" xfId="0" applyFont="1" applyFill="1" applyBorder="1" applyAlignment="1" applyProtection="1">
      <alignment horizontal="center" vertical="center" wrapText="1"/>
      <protection locked="0"/>
    </xf>
    <xf numFmtId="0" fontId="3" fillId="4" borderId="7" xfId="0" applyFont="1" applyFill="1" applyBorder="1" applyAlignment="1" applyProtection="1">
      <alignment horizontal="center" vertical="center"/>
      <protection locked="0"/>
    </xf>
    <xf numFmtId="0" fontId="3" fillId="4" borderId="8" xfId="0" applyFont="1"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3" fillId="4" borderId="19" xfId="0" applyFont="1" applyFill="1" applyBorder="1" applyAlignment="1" applyProtection="1">
      <alignment horizontal="center" vertical="center" wrapText="1"/>
      <protection locked="0"/>
    </xf>
    <xf numFmtId="0" fontId="3" fillId="4" borderId="157" xfId="0" applyFont="1" applyFill="1" applyBorder="1" applyAlignment="1" applyProtection="1">
      <alignment horizontal="center" vertical="center" wrapText="1"/>
      <protection locked="0"/>
    </xf>
    <xf numFmtId="0" fontId="10" fillId="51" borderId="148" xfId="0" applyFont="1" applyFill="1" applyBorder="1" applyAlignment="1">
      <alignment horizontal="center" vertical="center" wrapText="1"/>
    </xf>
    <xf numFmtId="0" fontId="11" fillId="38" borderId="32" xfId="0" applyFont="1" applyFill="1" applyBorder="1" applyAlignment="1">
      <alignment horizontal="center" vertical="center" wrapText="1"/>
    </xf>
    <xf numFmtId="0" fontId="11" fillId="41" borderId="148" xfId="0" applyFont="1" applyFill="1" applyBorder="1" applyAlignment="1">
      <alignment horizontal="center" vertical="center" wrapText="1"/>
    </xf>
    <xf numFmtId="0" fontId="11" fillId="41" borderId="32" xfId="0" applyFont="1" applyFill="1" applyBorder="1" applyAlignment="1">
      <alignment horizontal="center" vertical="center" wrapText="1"/>
    </xf>
    <xf numFmtId="0" fontId="11" fillId="38" borderId="148" xfId="0" applyFont="1" applyFill="1" applyBorder="1" applyAlignment="1">
      <alignment horizontal="center" vertical="center" wrapText="1"/>
    </xf>
    <xf numFmtId="0" fontId="11" fillId="7" borderId="148" xfId="0" applyFont="1" applyFill="1" applyBorder="1" applyAlignment="1">
      <alignment horizontal="center" vertical="center" wrapText="1"/>
    </xf>
    <xf numFmtId="9" fontId="11" fillId="7" borderId="148" xfId="0" applyNumberFormat="1" applyFont="1" applyFill="1" applyBorder="1" applyAlignment="1">
      <alignment horizontal="center" vertical="center" wrapText="1"/>
    </xf>
    <xf numFmtId="0" fontId="11" fillId="7" borderId="30" xfId="0" applyFont="1" applyFill="1" applyBorder="1" applyAlignment="1">
      <alignment horizontal="center" vertical="center" wrapText="1"/>
    </xf>
    <xf numFmtId="0" fontId="0" fillId="51" borderId="148" xfId="0" applyFont="1" applyFill="1" applyBorder="1" applyAlignment="1">
      <alignment horizontal="center" vertical="center" wrapText="1"/>
    </xf>
    <xf numFmtId="0" fontId="11" fillId="51" borderId="148" xfId="0" applyFont="1" applyFill="1" applyBorder="1" applyAlignment="1">
      <alignment horizontal="left" vertical="center" wrapText="1"/>
    </xf>
    <xf numFmtId="0" fontId="11" fillId="51" borderId="148" xfId="0" applyFont="1" applyFill="1" applyBorder="1" applyAlignment="1">
      <alignment horizontal="center" vertical="center" wrapText="1"/>
    </xf>
    <xf numFmtId="0" fontId="11" fillId="51" borderId="30" xfId="0" applyFont="1" applyFill="1" applyBorder="1" applyAlignment="1">
      <alignment horizontal="left" vertical="center" wrapText="1"/>
    </xf>
    <xf numFmtId="0" fontId="11" fillId="51" borderId="30" xfId="0" applyFont="1" applyFill="1" applyBorder="1" applyAlignment="1">
      <alignment horizontal="center" vertical="center" wrapText="1"/>
    </xf>
    <xf numFmtId="0" fontId="11" fillId="38" borderId="30" xfId="0" applyFont="1" applyFill="1" applyBorder="1" applyAlignment="1">
      <alignment horizontal="center" vertical="center" wrapText="1"/>
    </xf>
    <xf numFmtId="9" fontId="11" fillId="38" borderId="148" xfId="0" applyNumberFormat="1" applyFont="1" applyFill="1" applyBorder="1" applyAlignment="1">
      <alignment horizontal="center" vertical="center" wrapText="1"/>
    </xf>
    <xf numFmtId="9" fontId="8" fillId="71" borderId="148" xfId="5" applyFont="1" applyFill="1" applyBorder="1" applyAlignment="1" applyProtection="1">
      <alignment horizontal="center" vertical="center" wrapText="1"/>
      <protection locked="0"/>
    </xf>
    <xf numFmtId="0" fontId="51" fillId="4" borderId="158" xfId="0" applyFont="1" applyFill="1" applyBorder="1" applyAlignment="1" applyProtection="1">
      <alignment horizontal="center" vertical="center" textRotation="90" wrapText="1"/>
      <protection locked="0"/>
    </xf>
    <xf numFmtId="0" fontId="51" fillId="4" borderId="159" xfId="0" applyFont="1" applyFill="1" applyBorder="1" applyAlignment="1" applyProtection="1">
      <alignment horizontal="center" vertical="center" textRotation="90" wrapText="1"/>
      <protection locked="0"/>
    </xf>
    <xf numFmtId="0" fontId="51" fillId="4" borderId="158" xfId="0" applyFont="1" applyFill="1" applyBorder="1" applyAlignment="1" applyProtection="1">
      <alignment vertical="center" textRotation="90" wrapText="1"/>
      <protection locked="0"/>
    </xf>
    <xf numFmtId="16" fontId="51" fillId="4" borderId="149" xfId="0" applyNumberFormat="1" applyFont="1" applyFill="1" applyBorder="1" applyAlignment="1" applyProtection="1">
      <alignment vertical="center" textRotation="90" wrapText="1"/>
      <protection locked="0"/>
    </xf>
    <xf numFmtId="0" fontId="51" fillId="4" borderId="149" xfId="0" applyFont="1" applyFill="1" applyBorder="1" applyAlignment="1" applyProtection="1">
      <alignment vertical="center" textRotation="90" wrapText="1"/>
      <protection locked="0"/>
    </xf>
    <xf numFmtId="0" fontId="51" fillId="4" borderId="159" xfId="0" applyFont="1" applyFill="1" applyBorder="1" applyAlignment="1" applyProtection="1">
      <alignment vertical="center" textRotation="90" wrapText="1"/>
      <protection locked="0"/>
    </xf>
    <xf numFmtId="0" fontId="51" fillId="4" borderId="157" xfId="0" applyFont="1" applyFill="1" applyBorder="1" applyAlignment="1" applyProtection="1">
      <alignment vertical="center" textRotation="90" wrapText="1"/>
      <protection locked="0"/>
    </xf>
    <xf numFmtId="0" fontId="51" fillId="4" borderId="150" xfId="0" applyFont="1" applyFill="1" applyBorder="1" applyAlignment="1" applyProtection="1">
      <alignment vertical="center" textRotation="90" wrapText="1"/>
      <protection locked="0"/>
    </xf>
    <xf numFmtId="0" fontId="50" fillId="4" borderId="149" xfId="0" applyFont="1" applyFill="1" applyBorder="1" applyAlignment="1" applyProtection="1">
      <alignment horizontal="center" vertical="center" wrapText="1"/>
      <protection locked="0"/>
    </xf>
    <xf numFmtId="0" fontId="48" fillId="4" borderId="159" xfId="0" applyFont="1" applyFill="1" applyBorder="1" applyAlignment="1" applyProtection="1">
      <alignment horizontal="center" vertical="center" wrapText="1"/>
      <protection locked="0"/>
    </xf>
    <xf numFmtId="3" fontId="51" fillId="4" borderId="158" xfId="0" applyNumberFormat="1" applyFont="1" applyFill="1" applyBorder="1" applyAlignment="1" applyProtection="1">
      <alignment horizontal="center" vertical="center" textRotation="90" wrapText="1"/>
      <protection locked="0"/>
    </xf>
    <xf numFmtId="3" fontId="51" fillId="4" borderId="159" xfId="0" applyNumberFormat="1" applyFont="1" applyFill="1" applyBorder="1" applyAlignment="1" applyProtection="1">
      <alignment horizontal="center" vertical="center" textRotation="90" wrapText="1"/>
      <protection locked="0"/>
    </xf>
    <xf numFmtId="3" fontId="51" fillId="4" borderId="158" xfId="0" applyNumberFormat="1" applyFont="1" applyFill="1" applyBorder="1" applyAlignment="1" applyProtection="1">
      <alignment vertical="center" textRotation="90" wrapText="1"/>
      <protection locked="0"/>
    </xf>
    <xf numFmtId="3" fontId="51" fillId="4" borderId="149" xfId="0" applyNumberFormat="1" applyFont="1" applyFill="1" applyBorder="1" applyAlignment="1" applyProtection="1">
      <alignment vertical="center" textRotation="90" wrapText="1"/>
      <protection locked="0"/>
    </xf>
    <xf numFmtId="3" fontId="51" fillId="4" borderId="159" xfId="0" applyNumberFormat="1" applyFont="1" applyFill="1" applyBorder="1" applyAlignment="1" applyProtection="1">
      <alignment vertical="center" textRotation="90" wrapText="1"/>
      <protection locked="0"/>
    </xf>
    <xf numFmtId="3" fontId="51" fillId="4" borderId="157" xfId="0" applyNumberFormat="1" applyFont="1" applyFill="1" applyBorder="1" applyAlignment="1" applyProtection="1">
      <alignment vertical="center" textRotation="90" wrapText="1"/>
      <protection locked="0"/>
    </xf>
    <xf numFmtId="3" fontId="51" fillId="4" borderId="150" xfId="0" applyNumberFormat="1" applyFont="1" applyFill="1" applyBorder="1" applyAlignment="1" applyProtection="1">
      <alignment vertical="center" textRotation="90" wrapText="1"/>
      <protection locked="0"/>
    </xf>
    <xf numFmtId="3" fontId="50" fillId="4" borderId="149" xfId="0" applyNumberFormat="1" applyFont="1" applyFill="1" applyBorder="1" applyAlignment="1" applyProtection="1">
      <alignment horizontal="center" vertical="center" wrapText="1"/>
      <protection locked="0"/>
    </xf>
    <xf numFmtId="3" fontId="48" fillId="4" borderId="159" xfId="0" applyNumberFormat="1" applyFont="1" applyFill="1" applyBorder="1" applyAlignment="1" applyProtection="1">
      <alignment horizontal="center" vertical="center" wrapText="1"/>
      <protection locked="0"/>
    </xf>
    <xf numFmtId="0" fontId="51" fillId="28" borderId="148" xfId="0" applyFont="1" applyFill="1" applyBorder="1" applyAlignment="1">
      <alignment vertical="center" wrapText="1"/>
    </xf>
    <xf numFmtId="0" fontId="49" fillId="28" borderId="148" xfId="0" applyFont="1" applyFill="1" applyBorder="1" applyAlignment="1">
      <alignment vertical="center" wrapText="1"/>
    </xf>
    <xf numFmtId="9" fontId="49" fillId="42" borderId="148" xfId="5" applyFont="1" applyFill="1" applyBorder="1" applyAlignment="1">
      <alignment horizontal="center" vertical="center" wrapText="1"/>
    </xf>
    <xf numFmtId="0" fontId="52" fillId="72" borderId="148" xfId="0" applyFont="1" applyFill="1" applyBorder="1" applyAlignment="1">
      <alignment horizontal="center" vertical="center" wrapText="1"/>
    </xf>
    <xf numFmtId="9" fontId="49" fillId="72" borderId="148" xfId="5" applyFont="1" applyFill="1" applyBorder="1" applyAlignment="1">
      <alignment horizontal="center" vertical="center" wrapText="1"/>
    </xf>
    <xf numFmtId="0" fontId="49" fillId="72" borderId="148" xfId="0" applyFont="1" applyFill="1" applyBorder="1" applyAlignment="1">
      <alignment horizontal="center" vertical="center" wrapText="1"/>
    </xf>
    <xf numFmtId="190" fontId="49" fillId="72" borderId="148" xfId="0" applyNumberFormat="1" applyFont="1" applyFill="1" applyBorder="1" applyAlignment="1">
      <alignment horizontal="center" vertical="center" wrapText="1"/>
    </xf>
    <xf numFmtId="190" fontId="51" fillId="72" borderId="148" xfId="0" applyNumberFormat="1" applyFont="1" applyFill="1" applyBorder="1" applyAlignment="1">
      <alignment horizontal="center" vertical="center"/>
    </xf>
    <xf numFmtId="3" fontId="49" fillId="72" borderId="148" xfId="0" applyNumberFormat="1" applyFont="1" applyFill="1" applyBorder="1" applyAlignment="1">
      <alignment horizontal="center" vertical="center" wrapText="1"/>
    </xf>
    <xf numFmtId="3" fontId="51" fillId="72" borderId="148" xfId="0" applyNumberFormat="1" applyFont="1" applyFill="1" applyBorder="1" applyAlignment="1">
      <alignment horizontal="center" vertical="center"/>
    </xf>
    <xf numFmtId="0" fontId="52" fillId="72" borderId="148" xfId="0" applyFont="1" applyFill="1" applyBorder="1" applyAlignment="1">
      <alignment horizontal="center" vertical="center"/>
    </xf>
    <xf numFmtId="9" fontId="52" fillId="72" borderId="148" xfId="5" applyFont="1" applyFill="1" applyBorder="1" applyAlignment="1">
      <alignment horizontal="center" vertical="center"/>
    </xf>
    <xf numFmtId="0" fontId="51" fillId="72" borderId="148" xfId="6" applyFont="1" applyFill="1" applyBorder="1" applyAlignment="1">
      <alignment horizontal="center" vertical="center" wrapText="1"/>
    </xf>
    <xf numFmtId="190" fontId="51" fillId="72" borderId="148" xfId="9" applyNumberFormat="1" applyFont="1" applyFill="1" applyBorder="1" applyAlignment="1">
      <alignment horizontal="center" vertical="center"/>
    </xf>
    <xf numFmtId="0" fontId="51" fillId="72" borderId="148" xfId="0" applyFont="1" applyFill="1" applyBorder="1" applyAlignment="1">
      <alignment horizontal="center" vertical="center"/>
    </xf>
    <xf numFmtId="3" fontId="51" fillId="72" borderId="148" xfId="9" applyNumberFormat="1" applyFont="1" applyFill="1" applyBorder="1" applyAlignment="1">
      <alignment horizontal="center" vertical="center"/>
    </xf>
    <xf numFmtId="0" fontId="49" fillId="92" borderId="148" xfId="0" applyFont="1" applyFill="1" applyBorder="1" applyAlignment="1">
      <alignment horizontal="center" vertical="center" wrapText="1"/>
    </xf>
    <xf numFmtId="0" fontId="52" fillId="41" borderId="148" xfId="0" applyFont="1" applyFill="1" applyBorder="1" applyAlignment="1">
      <alignment horizontal="center" vertical="center"/>
    </xf>
    <xf numFmtId="0" fontId="51" fillId="41" borderId="148" xfId="6" applyFont="1" applyFill="1" applyBorder="1" applyAlignment="1">
      <alignment horizontal="center" vertical="center" wrapText="1"/>
    </xf>
    <xf numFmtId="9" fontId="49" fillId="41" borderId="148" xfId="5" applyFont="1" applyFill="1" applyBorder="1" applyAlignment="1">
      <alignment horizontal="center" vertical="center" wrapText="1"/>
    </xf>
    <xf numFmtId="3" fontId="49" fillId="41" borderId="148" xfId="0" applyNumberFormat="1" applyFont="1" applyFill="1" applyBorder="1" applyAlignment="1">
      <alignment horizontal="center" vertical="center" wrapText="1"/>
    </xf>
    <xf numFmtId="0" fontId="49" fillId="44" borderId="148" xfId="0" applyFont="1" applyFill="1" applyBorder="1" applyAlignment="1">
      <alignment horizontal="center" vertical="center" wrapText="1"/>
    </xf>
    <xf numFmtId="0" fontId="51" fillId="44" borderId="148" xfId="0" applyFont="1" applyFill="1" applyBorder="1" applyAlignment="1">
      <alignment horizontal="center" vertical="center"/>
    </xf>
    <xf numFmtId="0" fontId="52" fillId="40" borderId="148" xfId="0" applyFont="1" applyFill="1" applyBorder="1" applyAlignment="1">
      <alignment horizontal="center" vertical="center" wrapText="1"/>
    </xf>
    <xf numFmtId="0" fontId="52" fillId="40" borderId="148" xfId="0" applyFont="1" applyFill="1" applyBorder="1" applyAlignment="1">
      <alignment horizontal="center" vertical="center"/>
    </xf>
    <xf numFmtId="9" fontId="52" fillId="40" borderId="148" xfId="5" applyFont="1" applyFill="1" applyBorder="1" applyAlignment="1">
      <alignment horizontal="center" vertical="center"/>
    </xf>
    <xf numFmtId="0" fontId="51" fillId="40" borderId="148" xfId="6" applyFont="1" applyFill="1" applyBorder="1" applyAlignment="1">
      <alignment horizontal="center" vertical="center" wrapText="1"/>
    </xf>
    <xf numFmtId="0" fontId="49" fillId="40" borderId="148" xfId="0" applyFont="1" applyFill="1" applyBorder="1" applyAlignment="1">
      <alignment horizontal="center" vertical="center" wrapText="1"/>
    </xf>
    <xf numFmtId="9" fontId="51" fillId="40" borderId="148" xfId="5" applyFont="1" applyFill="1" applyBorder="1" applyAlignment="1">
      <alignment horizontal="center" vertical="center"/>
    </xf>
    <xf numFmtId="190" fontId="51" fillId="40" borderId="148" xfId="0" applyNumberFormat="1" applyFont="1" applyFill="1" applyBorder="1" applyAlignment="1">
      <alignment horizontal="center" vertical="center"/>
    </xf>
    <xf numFmtId="0" fontId="51" fillId="40" borderId="148" xfId="0" applyFont="1" applyFill="1" applyBorder="1" applyAlignment="1">
      <alignment horizontal="center" vertical="center"/>
    </xf>
    <xf numFmtId="3" fontId="51" fillId="40" borderId="148" xfId="0" applyNumberFormat="1" applyFont="1" applyFill="1" applyBorder="1" applyAlignment="1">
      <alignment horizontal="center" vertical="center"/>
    </xf>
    <xf numFmtId="0" fontId="51" fillId="40" borderId="148" xfId="0" applyFont="1" applyFill="1" applyBorder="1" applyAlignment="1">
      <alignment vertical="center" wrapText="1"/>
    </xf>
    <xf numFmtId="0" fontId="51" fillId="40" borderId="148" xfId="6" applyFont="1" applyFill="1" applyBorder="1" applyAlignment="1">
      <alignment vertical="center" wrapText="1"/>
    </xf>
    <xf numFmtId="190" fontId="49" fillId="41" borderId="148" xfId="0" applyNumberFormat="1" applyFont="1" applyFill="1" applyBorder="1" applyAlignment="1">
      <alignment horizontal="center" vertical="center" wrapText="1"/>
    </xf>
    <xf numFmtId="9" fontId="51" fillId="41" borderId="148" xfId="5" applyFont="1" applyFill="1" applyBorder="1" applyAlignment="1">
      <alignment horizontal="center" vertical="center" wrapText="1"/>
    </xf>
    <xf numFmtId="3" fontId="51" fillId="41" borderId="148" xfId="0" applyNumberFormat="1" applyFont="1" applyFill="1" applyBorder="1" applyAlignment="1">
      <alignment horizontal="center" vertical="center" wrapText="1"/>
    </xf>
    <xf numFmtId="0" fontId="51" fillId="7" borderId="148" xfId="0" applyFont="1" applyFill="1" applyBorder="1" applyAlignment="1">
      <alignment vertical="center" wrapText="1"/>
    </xf>
    <xf numFmtId="0" fontId="51" fillId="7" borderId="148" xfId="6" applyFont="1" applyFill="1" applyBorder="1" applyAlignment="1">
      <alignment vertical="center" wrapText="1"/>
    </xf>
    <xf numFmtId="9" fontId="51" fillId="7" borderId="148" xfId="5" applyFont="1" applyFill="1" applyBorder="1" applyAlignment="1">
      <alignment horizontal="center" vertical="center"/>
    </xf>
    <xf numFmtId="0" fontId="51" fillId="7" borderId="148" xfId="0" applyFont="1" applyFill="1" applyBorder="1" applyAlignment="1">
      <alignment horizontal="center" vertical="center"/>
    </xf>
    <xf numFmtId="190" fontId="51" fillId="7" borderId="148" xfId="0" applyNumberFormat="1" applyFont="1" applyFill="1" applyBorder="1" applyAlignment="1">
      <alignment horizontal="center" vertical="center"/>
    </xf>
    <xf numFmtId="3" fontId="51" fillId="7" borderId="148" xfId="0" applyNumberFormat="1" applyFont="1" applyFill="1" applyBorder="1" applyAlignment="1">
      <alignment horizontal="center" vertical="center"/>
    </xf>
    <xf numFmtId="0" fontId="49" fillId="7" borderId="148" xfId="0" applyFont="1" applyFill="1" applyBorder="1" applyAlignment="1">
      <alignment horizontal="center" vertical="center" wrapText="1"/>
    </xf>
    <xf numFmtId="190" fontId="49" fillId="7" borderId="148" xfId="0" applyNumberFormat="1" applyFont="1" applyFill="1" applyBorder="1" applyAlignment="1">
      <alignment horizontal="center" vertical="center" wrapText="1"/>
    </xf>
    <xf numFmtId="3" fontId="49" fillId="7" borderId="148" xfId="0" applyNumberFormat="1" applyFont="1" applyFill="1" applyBorder="1" applyAlignment="1">
      <alignment horizontal="center" vertical="center" wrapText="1"/>
    </xf>
    <xf numFmtId="0" fontId="52" fillId="7" borderId="148" xfId="0" applyFont="1" applyFill="1" applyBorder="1" applyAlignment="1">
      <alignment horizontal="center" vertical="center" wrapText="1"/>
    </xf>
    <xf numFmtId="0" fontId="52" fillId="94" borderId="148" xfId="0" applyFont="1" applyFill="1" applyBorder="1" applyAlignment="1">
      <alignment horizontal="center" vertical="center" wrapText="1"/>
    </xf>
    <xf numFmtId="0" fontId="52" fillId="7" borderId="148" xfId="0" applyFont="1" applyFill="1" applyBorder="1" applyAlignment="1">
      <alignment horizontal="center" vertical="center"/>
    </xf>
    <xf numFmtId="9" fontId="52" fillId="7" borderId="148" xfId="5" applyFont="1" applyFill="1" applyBorder="1" applyAlignment="1">
      <alignment horizontal="center" vertical="center"/>
    </xf>
    <xf numFmtId="0" fontId="51" fillId="7" borderId="148" xfId="6" applyFont="1" applyFill="1" applyBorder="1" applyAlignment="1">
      <alignment horizontal="center" vertical="center" wrapText="1"/>
    </xf>
    <xf numFmtId="9" fontId="51" fillId="7" borderId="148" xfId="5" applyFont="1" applyFill="1" applyBorder="1" applyAlignment="1">
      <alignment horizontal="center" vertical="center" wrapText="1"/>
    </xf>
    <xf numFmtId="190" fontId="51" fillId="7" borderId="148" xfId="0" applyNumberFormat="1" applyFont="1" applyFill="1" applyBorder="1" applyAlignment="1">
      <alignment horizontal="center" vertical="center" wrapText="1"/>
    </xf>
    <xf numFmtId="3" fontId="51" fillId="7" borderId="148" xfId="0" applyNumberFormat="1" applyFont="1" applyFill="1" applyBorder="1" applyAlignment="1">
      <alignment horizontal="center" vertical="center" wrapText="1"/>
    </xf>
    <xf numFmtId="201" fontId="51" fillId="7" borderId="148" xfId="9" applyNumberFormat="1" applyFont="1" applyFill="1" applyBorder="1" applyAlignment="1">
      <alignment horizontal="center" vertical="center"/>
    </xf>
    <xf numFmtId="0" fontId="52" fillId="51" borderId="148" xfId="0" applyFont="1" applyFill="1" applyBorder="1" applyAlignment="1">
      <alignment horizontal="center" vertical="center" wrapText="1"/>
    </xf>
    <xf numFmtId="0" fontId="52" fillId="95" borderId="148" xfId="0" applyFont="1" applyFill="1" applyBorder="1" applyAlignment="1">
      <alignment vertical="center" wrapText="1"/>
    </xf>
    <xf numFmtId="0" fontId="52" fillId="51" borderId="148" xfId="0" applyFont="1" applyFill="1" applyBorder="1" applyAlignment="1">
      <alignment horizontal="center" vertical="center"/>
    </xf>
    <xf numFmtId="9" fontId="52" fillId="51" borderId="148" xfId="5" applyFont="1" applyFill="1" applyBorder="1" applyAlignment="1">
      <alignment horizontal="center" vertical="center"/>
    </xf>
    <xf numFmtId="0" fontId="51" fillId="51" borderId="148" xfId="6" applyFont="1" applyFill="1" applyBorder="1" applyAlignment="1">
      <alignment horizontal="center" vertical="center" wrapText="1"/>
    </xf>
    <xf numFmtId="9" fontId="49" fillId="51" borderId="148" xfId="5" applyFont="1" applyFill="1" applyBorder="1" applyAlignment="1">
      <alignment horizontal="center" vertical="center"/>
    </xf>
    <xf numFmtId="0" fontId="49" fillId="51" borderId="148" xfId="0" applyFont="1" applyFill="1" applyBorder="1" applyAlignment="1">
      <alignment horizontal="center" vertical="center" wrapText="1"/>
    </xf>
    <xf numFmtId="190" fontId="49" fillId="51" borderId="148" xfId="0" applyNumberFormat="1" applyFont="1" applyFill="1" applyBorder="1" applyAlignment="1">
      <alignment horizontal="center" vertical="center" wrapText="1"/>
    </xf>
    <xf numFmtId="190" fontId="51" fillId="51" borderId="148" xfId="0" applyNumberFormat="1" applyFont="1" applyFill="1" applyBorder="1" applyAlignment="1">
      <alignment horizontal="center" vertical="center"/>
    </xf>
    <xf numFmtId="0" fontId="51" fillId="51" borderId="148" xfId="0" applyFont="1" applyFill="1" applyBorder="1" applyAlignment="1">
      <alignment horizontal="center" vertical="center"/>
    </xf>
    <xf numFmtId="3" fontId="49" fillId="51" borderId="148" xfId="0" applyNumberFormat="1" applyFont="1" applyFill="1" applyBorder="1" applyAlignment="1">
      <alignment horizontal="center" vertical="center" wrapText="1"/>
    </xf>
    <xf numFmtId="3" fontId="51" fillId="51" borderId="148" xfId="0" applyNumberFormat="1" applyFont="1" applyFill="1" applyBorder="1" applyAlignment="1">
      <alignment horizontal="center" vertical="center"/>
    </xf>
    <xf numFmtId="9" fontId="51" fillId="51" borderId="148" xfId="5" applyFont="1" applyFill="1" applyBorder="1" applyAlignment="1">
      <alignment horizontal="center" vertical="center"/>
    </xf>
    <xf numFmtId="190" fontId="51" fillId="51" borderId="148" xfId="9" applyNumberFormat="1" applyFont="1" applyFill="1" applyBorder="1" applyAlignment="1">
      <alignment horizontal="center" vertical="center"/>
    </xf>
    <xf numFmtId="3" fontId="51" fillId="51" borderId="148" xfId="9" applyNumberFormat="1" applyFont="1" applyFill="1" applyBorder="1" applyAlignment="1">
      <alignment horizontal="center" vertical="center"/>
    </xf>
    <xf numFmtId="0" fontId="49" fillId="96" borderId="148" xfId="0" applyFont="1" applyFill="1" applyBorder="1" applyAlignment="1">
      <alignment horizontal="center" vertical="center" wrapText="1"/>
    </xf>
    <xf numFmtId="9" fontId="51" fillId="51" borderId="148" xfId="5" applyFont="1" applyFill="1" applyBorder="1" applyAlignment="1">
      <alignment horizontal="center" vertical="center" wrapText="1"/>
    </xf>
    <xf numFmtId="190" fontId="51" fillId="51" borderId="148" xfId="0" applyNumberFormat="1" applyFont="1" applyFill="1" applyBorder="1" applyAlignment="1">
      <alignment horizontal="center" vertical="center" wrapText="1"/>
    </xf>
    <xf numFmtId="3" fontId="51" fillId="51" borderId="148" xfId="0" applyNumberFormat="1" applyFont="1" applyFill="1" applyBorder="1" applyAlignment="1">
      <alignment horizontal="center" vertical="center" wrapText="1"/>
    </xf>
    <xf numFmtId="9" fontId="49" fillId="72" borderId="148" xfId="5" applyFont="1" applyFill="1" applyBorder="1" applyAlignment="1">
      <alignment horizontal="center" vertical="center"/>
    </xf>
    <xf numFmtId="0" fontId="52" fillId="38" borderId="148" xfId="0" applyFont="1" applyFill="1" applyBorder="1" applyAlignment="1">
      <alignment horizontal="center" vertical="center" wrapText="1"/>
    </xf>
    <xf numFmtId="0" fontId="52" fillId="38" borderId="148" xfId="0" applyFont="1" applyFill="1" applyBorder="1" applyAlignment="1">
      <alignment horizontal="center" vertical="center"/>
    </xf>
    <xf numFmtId="9" fontId="52" fillId="38" borderId="148" xfId="5" applyFont="1" applyFill="1" applyBorder="1" applyAlignment="1">
      <alignment horizontal="center" vertical="center"/>
    </xf>
    <xf numFmtId="0" fontId="51" fillId="38" borderId="148" xfId="6" applyFont="1" applyFill="1" applyBorder="1" applyAlignment="1">
      <alignment horizontal="center" vertical="center" wrapText="1"/>
    </xf>
    <xf numFmtId="9" fontId="49" fillId="38" borderId="148" xfId="5" applyFont="1" applyFill="1" applyBorder="1" applyAlignment="1">
      <alignment horizontal="center" vertical="center" wrapText="1"/>
    </xf>
    <xf numFmtId="0" fontId="49" fillId="38" borderId="148" xfId="0" applyFont="1" applyFill="1" applyBorder="1" applyAlignment="1">
      <alignment horizontal="center" vertical="center" wrapText="1"/>
    </xf>
    <xf numFmtId="190" fontId="49" fillId="38" borderId="148" xfId="0" applyNumberFormat="1" applyFont="1" applyFill="1" applyBorder="1" applyAlignment="1">
      <alignment horizontal="center" vertical="center" wrapText="1"/>
    </xf>
    <xf numFmtId="190" fontId="51" fillId="38" borderId="148" xfId="0" applyNumberFormat="1" applyFont="1" applyFill="1" applyBorder="1" applyAlignment="1">
      <alignment horizontal="center" vertical="center"/>
    </xf>
    <xf numFmtId="0" fontId="51" fillId="38" borderId="148" xfId="0" applyFont="1" applyFill="1" applyBorder="1" applyAlignment="1">
      <alignment horizontal="center" vertical="center"/>
    </xf>
    <xf numFmtId="3" fontId="49" fillId="38" borderId="148" xfId="0" applyNumberFormat="1" applyFont="1" applyFill="1" applyBorder="1" applyAlignment="1">
      <alignment horizontal="center" vertical="center" wrapText="1"/>
    </xf>
    <xf numFmtId="3" fontId="51" fillId="38" borderId="148" xfId="0" applyNumberFormat="1" applyFont="1" applyFill="1" applyBorder="1" applyAlignment="1">
      <alignment horizontal="center" vertical="center"/>
    </xf>
    <xf numFmtId="9" fontId="51" fillId="38" borderId="148" xfId="5" applyFont="1" applyFill="1" applyBorder="1" applyAlignment="1">
      <alignment horizontal="center" vertical="center"/>
    </xf>
    <xf numFmtId="190" fontId="51" fillId="38" borderId="148" xfId="9" applyNumberFormat="1" applyFont="1" applyFill="1" applyBorder="1" applyAlignment="1">
      <alignment horizontal="center" vertical="center"/>
    </xf>
    <xf numFmtId="3" fontId="51" fillId="38" borderId="148" xfId="9" applyNumberFormat="1" applyFont="1" applyFill="1" applyBorder="1" applyAlignment="1">
      <alignment horizontal="center" vertical="center"/>
    </xf>
    <xf numFmtId="0" fontId="49" fillId="33" borderId="148" xfId="0" applyFont="1" applyFill="1" applyBorder="1" applyAlignment="1">
      <alignment horizontal="center" vertical="center" wrapText="1"/>
    </xf>
    <xf numFmtId="9" fontId="51" fillId="33" borderId="148" xfId="5" applyFont="1" applyFill="1" applyBorder="1" applyAlignment="1">
      <alignment horizontal="center" vertical="center"/>
    </xf>
    <xf numFmtId="9" fontId="50" fillId="33" borderId="148" xfId="5" applyFont="1" applyFill="1" applyBorder="1" applyAlignment="1">
      <alignment horizontal="center" vertical="center"/>
    </xf>
    <xf numFmtId="0" fontId="51" fillId="33" borderId="148" xfId="0" applyFont="1" applyFill="1" applyBorder="1" applyAlignment="1">
      <alignment horizontal="center" vertical="center"/>
    </xf>
    <xf numFmtId="190" fontId="51" fillId="33" borderId="148" xfId="0" applyNumberFormat="1" applyFont="1" applyFill="1" applyBorder="1" applyAlignment="1">
      <alignment horizontal="center" vertical="center"/>
    </xf>
    <xf numFmtId="3" fontId="51" fillId="33" borderId="148" xfId="0" applyNumberFormat="1" applyFont="1" applyFill="1" applyBorder="1" applyAlignment="1">
      <alignment horizontal="center" vertical="center"/>
    </xf>
    <xf numFmtId="0" fontId="49" fillId="29" borderId="148" xfId="0" applyFont="1" applyFill="1" applyBorder="1" applyAlignment="1">
      <alignment horizontal="center" vertical="center" wrapText="1"/>
    </xf>
    <xf numFmtId="9" fontId="51" fillId="29" borderId="148" xfId="5" applyFont="1" applyFill="1" applyBorder="1" applyAlignment="1">
      <alignment horizontal="center" vertical="center"/>
    </xf>
    <xf numFmtId="0" fontId="51" fillId="29" borderId="148" xfId="0" applyFont="1" applyFill="1" applyBorder="1" applyAlignment="1">
      <alignment horizontal="center" vertical="center"/>
    </xf>
    <xf numFmtId="190" fontId="51" fillId="29" borderId="148" xfId="0" applyNumberFormat="1" applyFont="1" applyFill="1" applyBorder="1" applyAlignment="1">
      <alignment horizontal="center" vertical="center"/>
    </xf>
    <xf numFmtId="3" fontId="51" fillId="29" borderId="148" xfId="0" applyNumberFormat="1" applyFont="1" applyFill="1" applyBorder="1" applyAlignment="1">
      <alignment horizontal="center" vertical="center"/>
    </xf>
    <xf numFmtId="0" fontId="52" fillId="29" borderId="148" xfId="0" applyFont="1" applyFill="1" applyBorder="1" applyAlignment="1">
      <alignment horizontal="center" vertical="center" wrapText="1"/>
    </xf>
    <xf numFmtId="0" fontId="52" fillId="29" borderId="148" xfId="0" applyFont="1" applyFill="1" applyBorder="1" applyAlignment="1">
      <alignment horizontal="center" vertical="center"/>
    </xf>
    <xf numFmtId="9" fontId="52" fillId="29" borderId="148" xfId="5" applyFont="1" applyFill="1" applyBorder="1" applyAlignment="1">
      <alignment horizontal="center" vertical="center"/>
    </xf>
    <xf numFmtId="0" fontId="51" fillId="29" borderId="148" xfId="6" applyFont="1" applyFill="1" applyBorder="1" applyAlignment="1">
      <alignment horizontal="center" vertical="center" wrapText="1"/>
    </xf>
    <xf numFmtId="9" fontId="49" fillId="29" borderId="148" xfId="5" applyFont="1" applyFill="1" applyBorder="1" applyAlignment="1">
      <alignment horizontal="center" vertical="center" wrapText="1"/>
    </xf>
    <xf numFmtId="190" fontId="51" fillId="40" borderId="148" xfId="9" applyNumberFormat="1" applyFont="1" applyFill="1" applyBorder="1" applyAlignment="1">
      <alignment horizontal="center" vertical="center"/>
    </xf>
    <xf numFmtId="3" fontId="51" fillId="40" borderId="148" xfId="9" applyNumberFormat="1" applyFont="1" applyFill="1" applyBorder="1" applyAlignment="1">
      <alignment horizontal="center" vertical="center"/>
    </xf>
    <xf numFmtId="0" fontId="50" fillId="40" borderId="148" xfId="0" applyFont="1" applyFill="1" applyBorder="1" applyAlignment="1">
      <alignment horizontal="center" vertical="center" wrapText="1"/>
    </xf>
    <xf numFmtId="0" fontId="52" fillId="51" borderId="148" xfId="0" applyFont="1" applyFill="1" applyBorder="1" applyAlignment="1">
      <alignment vertical="center" wrapText="1"/>
    </xf>
    <xf numFmtId="9" fontId="52" fillId="41" borderId="148" xfId="5" applyFont="1" applyFill="1" applyBorder="1" applyAlignment="1">
      <alignment horizontal="center" vertical="center" wrapText="1"/>
    </xf>
    <xf numFmtId="190" fontId="51" fillId="41" borderId="148" xfId="9" applyNumberFormat="1" applyFont="1" applyFill="1" applyBorder="1" applyAlignment="1">
      <alignment horizontal="center" vertical="center" wrapText="1"/>
    </xf>
    <xf numFmtId="3" fontId="51" fillId="41" borderId="148" xfId="9" applyNumberFormat="1" applyFont="1" applyFill="1" applyBorder="1" applyAlignment="1">
      <alignment horizontal="center" vertical="center" wrapText="1"/>
    </xf>
    <xf numFmtId="201" fontId="51" fillId="41" borderId="148" xfId="9" applyNumberFormat="1" applyFont="1" applyFill="1" applyBorder="1" applyAlignment="1">
      <alignment horizontal="center" vertical="center" wrapText="1"/>
    </xf>
    <xf numFmtId="190" fontId="51" fillId="41" borderId="148" xfId="0" applyNumberFormat="1" applyFont="1" applyFill="1" applyBorder="1" applyAlignment="1">
      <alignment horizontal="center" vertical="center" wrapText="1"/>
    </xf>
    <xf numFmtId="9" fontId="51" fillId="41" borderId="148" xfId="0" applyNumberFormat="1" applyFont="1" applyFill="1" applyBorder="1" applyAlignment="1">
      <alignment horizontal="center" vertical="center" wrapText="1"/>
    </xf>
    <xf numFmtId="0" fontId="53" fillId="41" borderId="148" xfId="0" applyFont="1" applyFill="1" applyBorder="1" applyAlignment="1">
      <alignment horizontal="center" vertical="center" wrapText="1"/>
    </xf>
    <xf numFmtId="3" fontId="52" fillId="41" borderId="148" xfId="0" applyNumberFormat="1" applyFont="1" applyFill="1" applyBorder="1" applyAlignment="1">
      <alignment horizontal="center" vertical="center" wrapText="1"/>
    </xf>
    <xf numFmtId="3" fontId="49" fillId="97" borderId="148" xfId="0" applyNumberFormat="1" applyFont="1" applyFill="1" applyBorder="1" applyAlignment="1">
      <alignment horizontal="center" vertical="center" wrapText="1"/>
    </xf>
    <xf numFmtId="0" fontId="49" fillId="97" borderId="148" xfId="0" applyFont="1" applyFill="1" applyBorder="1" applyAlignment="1">
      <alignment horizontal="center" vertical="center" wrapText="1"/>
    </xf>
    <xf numFmtId="0" fontId="51" fillId="97" borderId="148" xfId="0" applyFont="1" applyFill="1" applyBorder="1" applyAlignment="1">
      <alignment horizontal="center" vertical="center" wrapText="1"/>
    </xf>
    <xf numFmtId="3" fontId="51" fillId="97" borderId="148" xfId="0" applyNumberFormat="1" applyFont="1" applyFill="1" applyBorder="1" applyAlignment="1">
      <alignment horizontal="center" vertical="center" wrapText="1"/>
    </xf>
    <xf numFmtId="0" fontId="52" fillId="42" borderId="148" xfId="0" applyFont="1" applyFill="1" applyBorder="1" applyAlignment="1">
      <alignment vertical="center" wrapText="1"/>
    </xf>
    <xf numFmtId="201" fontId="51" fillId="7" borderId="148" xfId="9" applyNumberFormat="1" applyFont="1" applyFill="1" applyBorder="1" applyAlignment="1">
      <alignment horizontal="center" vertical="center" wrapText="1"/>
    </xf>
    <xf numFmtId="9" fontId="52" fillId="7" borderId="148" xfId="5" applyFont="1" applyFill="1" applyBorder="1" applyAlignment="1">
      <alignment horizontal="center" vertical="center" wrapText="1"/>
    </xf>
    <xf numFmtId="9" fontId="49" fillId="7" borderId="148" xfId="5" applyFont="1" applyFill="1" applyBorder="1" applyAlignment="1">
      <alignment horizontal="center" vertical="center" wrapText="1"/>
    </xf>
    <xf numFmtId="190" fontId="51" fillId="7" borderId="148" xfId="9" applyNumberFormat="1" applyFont="1" applyFill="1" applyBorder="1" applyAlignment="1">
      <alignment horizontal="center" vertical="center" wrapText="1"/>
    </xf>
    <xf numFmtId="3" fontId="51" fillId="7" borderId="148" xfId="9" applyNumberFormat="1" applyFont="1" applyFill="1" applyBorder="1" applyAlignment="1">
      <alignment horizontal="center" vertical="center" wrapText="1"/>
    </xf>
    <xf numFmtId="0" fontId="52" fillId="7" borderId="148" xfId="0" applyFont="1" applyFill="1" applyBorder="1" applyAlignment="1">
      <alignment vertical="center" wrapText="1"/>
    </xf>
    <xf numFmtId="0" fontId="49" fillId="98" borderId="148" xfId="0" applyFont="1" applyFill="1" applyBorder="1" applyAlignment="1">
      <alignment horizontal="center" vertical="center" wrapText="1"/>
    </xf>
    <xf numFmtId="0" fontId="51" fillId="28" borderId="8" xfId="0" applyFont="1" applyFill="1" applyBorder="1" applyAlignment="1">
      <alignment vertical="center" wrapText="1"/>
    </xf>
    <xf numFmtId="0" fontId="49" fillId="28" borderId="8" xfId="0" applyFont="1" applyFill="1" applyBorder="1" applyAlignment="1">
      <alignment vertical="center" wrapText="1"/>
    </xf>
    <xf numFmtId="0" fontId="51" fillId="28" borderId="8" xfId="0" applyFont="1" applyFill="1" applyBorder="1" applyAlignment="1">
      <alignment horizontal="center" vertical="center"/>
    </xf>
    <xf numFmtId="190" fontId="51" fillId="28" borderId="8" xfId="0" applyNumberFormat="1" applyFont="1" applyFill="1" applyBorder="1" applyAlignment="1">
      <alignment horizontal="center" vertical="center"/>
    </xf>
    <xf numFmtId="3" fontId="51" fillId="28" borderId="8" xfId="0" applyNumberFormat="1" applyFont="1" applyFill="1" applyBorder="1" applyAlignment="1">
      <alignment horizontal="center" vertical="center"/>
    </xf>
    <xf numFmtId="0" fontId="52" fillId="7" borderId="30" xfId="0" applyFont="1" applyFill="1" applyBorder="1" applyAlignment="1">
      <alignment horizontal="center" vertical="center" wrapText="1"/>
    </xf>
    <xf numFmtId="9" fontId="52" fillId="7" borderId="30" xfId="5" applyFont="1" applyFill="1" applyBorder="1" applyAlignment="1">
      <alignment horizontal="center" vertical="center" wrapText="1"/>
    </xf>
    <xf numFmtId="9" fontId="51" fillId="7" borderId="30" xfId="5" applyFont="1" applyFill="1" applyBorder="1" applyAlignment="1">
      <alignment horizontal="center" vertical="center" wrapText="1"/>
    </xf>
    <xf numFmtId="0" fontId="49" fillId="98" borderId="30" xfId="0" applyFont="1" applyFill="1" applyBorder="1" applyAlignment="1">
      <alignment horizontal="center" vertical="center" wrapText="1"/>
    </xf>
    <xf numFmtId="190" fontId="51" fillId="7" borderId="30" xfId="0" applyNumberFormat="1" applyFont="1" applyFill="1" applyBorder="1" applyAlignment="1">
      <alignment horizontal="center" vertical="center" wrapText="1"/>
    </xf>
    <xf numFmtId="190" fontId="49" fillId="7" borderId="30" xfId="0" applyNumberFormat="1" applyFont="1" applyFill="1" applyBorder="1" applyAlignment="1">
      <alignment horizontal="center" vertical="center" wrapText="1"/>
    </xf>
    <xf numFmtId="3" fontId="51" fillId="7" borderId="30" xfId="0" applyNumberFormat="1" applyFont="1" applyFill="1" applyBorder="1" applyAlignment="1">
      <alignment horizontal="center" vertical="center" wrapText="1"/>
    </xf>
    <xf numFmtId="3" fontId="49" fillId="7" borderId="30" xfId="0" applyNumberFormat="1" applyFont="1" applyFill="1" applyBorder="1" applyAlignment="1">
      <alignment horizontal="center" vertical="center" wrapText="1"/>
    </xf>
    <xf numFmtId="9" fontId="52" fillId="41" borderId="32" xfId="5" applyFont="1" applyFill="1" applyBorder="1" applyAlignment="1">
      <alignment horizontal="center" vertical="center" wrapText="1"/>
    </xf>
    <xf numFmtId="0" fontId="51" fillId="41" borderId="32" xfId="6" applyFont="1" applyFill="1" applyBorder="1" applyAlignment="1">
      <alignment horizontal="center" vertical="center" wrapText="1"/>
    </xf>
    <xf numFmtId="190" fontId="51" fillId="41" borderId="32" xfId="9" applyNumberFormat="1" applyFont="1" applyFill="1" applyBorder="1" applyAlignment="1">
      <alignment horizontal="center" vertical="center" wrapText="1"/>
    </xf>
    <xf numFmtId="190" fontId="49" fillId="41" borderId="32" xfId="0" applyNumberFormat="1" applyFont="1" applyFill="1" applyBorder="1" applyAlignment="1">
      <alignment horizontal="center" vertical="center" wrapText="1"/>
    </xf>
    <xf numFmtId="3" fontId="51" fillId="41" borderId="32" xfId="9" applyNumberFormat="1" applyFont="1" applyFill="1" applyBorder="1" applyAlignment="1">
      <alignment horizontal="center" vertical="center" wrapText="1"/>
    </xf>
    <xf numFmtId="3" fontId="49" fillId="41" borderId="32" xfId="0" applyNumberFormat="1" applyFont="1" applyFill="1" applyBorder="1" applyAlignment="1">
      <alignment horizontal="center" vertical="center" wrapText="1"/>
    </xf>
    <xf numFmtId="3" fontId="51" fillId="41" borderId="32" xfId="0" applyNumberFormat="1" applyFont="1" applyFill="1" applyBorder="1" applyAlignment="1">
      <alignment horizontal="center" vertical="center" wrapText="1"/>
    </xf>
    <xf numFmtId="0" fontId="51" fillId="33" borderId="30" xfId="0" applyFont="1" applyFill="1" applyBorder="1" applyAlignment="1">
      <alignment horizontal="center" vertical="center" wrapText="1"/>
    </xf>
    <xf numFmtId="0" fontId="51" fillId="33" borderId="30" xfId="0" applyFont="1" applyFill="1" applyBorder="1" applyAlignment="1">
      <alignment horizontal="center" vertical="center"/>
    </xf>
    <xf numFmtId="0" fontId="51" fillId="28" borderId="8" xfId="0" applyFont="1" applyFill="1" applyBorder="1" applyAlignment="1">
      <alignment horizontal="left" vertical="center" wrapText="1"/>
    </xf>
    <xf numFmtId="0" fontId="51" fillId="28" borderId="148" xfId="0" applyFont="1" applyFill="1" applyBorder="1" applyAlignment="1">
      <alignment horizontal="left" vertical="center" wrapText="1"/>
    </xf>
    <xf numFmtId="0" fontId="51" fillId="72" borderId="148" xfId="0" applyFont="1" applyFill="1" applyBorder="1" applyAlignment="1">
      <alignment horizontal="left" vertical="center" wrapText="1"/>
    </xf>
    <xf numFmtId="0" fontId="51" fillId="41" borderId="148" xfId="0" applyFont="1" applyFill="1" applyBorder="1" applyAlignment="1">
      <alignment horizontal="left" vertical="center" wrapText="1"/>
    </xf>
    <xf numFmtId="0" fontId="51" fillId="40" borderId="148" xfId="0" applyFont="1" applyFill="1" applyBorder="1" applyAlignment="1">
      <alignment horizontal="left" vertical="center" wrapText="1"/>
    </xf>
    <xf numFmtId="0" fontId="51" fillId="7" borderId="148" xfId="0" applyFont="1" applyFill="1" applyBorder="1" applyAlignment="1">
      <alignment horizontal="left" vertical="center" wrapText="1"/>
    </xf>
    <xf numFmtId="0" fontId="51" fillId="51" borderId="148" xfId="0" applyFont="1" applyFill="1" applyBorder="1" applyAlignment="1">
      <alignment horizontal="left" vertical="center" wrapText="1"/>
    </xf>
    <xf numFmtId="0" fontId="51" fillId="38" borderId="148" xfId="0" applyFont="1" applyFill="1" applyBorder="1" applyAlignment="1">
      <alignment horizontal="left" vertical="center" wrapText="1"/>
    </xf>
    <xf numFmtId="0" fontId="51" fillId="29" borderId="148" xfId="0" applyFont="1" applyFill="1" applyBorder="1" applyAlignment="1">
      <alignment horizontal="left" vertical="center" wrapText="1"/>
    </xf>
    <xf numFmtId="9" fontId="51" fillId="51" borderId="148" xfId="0" applyNumberFormat="1" applyFont="1" applyFill="1" applyBorder="1" applyAlignment="1">
      <alignment horizontal="left" vertical="center" wrapText="1"/>
    </xf>
    <xf numFmtId="0" fontId="51" fillId="41" borderId="32" xfId="0" applyFont="1" applyFill="1" applyBorder="1" applyAlignment="1">
      <alignment horizontal="left" vertical="center" wrapText="1"/>
    </xf>
    <xf numFmtId="9" fontId="51" fillId="7" borderId="148" xfId="0" applyNumberFormat="1" applyFont="1" applyFill="1" applyBorder="1" applyAlignment="1">
      <alignment horizontal="left" vertical="center" wrapText="1"/>
    </xf>
    <xf numFmtId="0" fontId="51" fillId="0" borderId="0" xfId="0" applyFont="1" applyAlignment="1">
      <alignment horizontal="left" vertical="center"/>
    </xf>
    <xf numFmtId="0" fontId="51" fillId="51" borderId="148" xfId="0" applyFont="1" applyFill="1" applyBorder="1" applyAlignment="1">
      <alignment vertical="center" wrapText="1"/>
    </xf>
    <xf numFmtId="0" fontId="51" fillId="72" borderId="148" xfId="6" applyFont="1" applyFill="1" applyBorder="1" applyAlignment="1">
      <alignment vertical="center" wrapText="1"/>
    </xf>
    <xf numFmtId="0" fontId="51" fillId="38" borderId="148" xfId="0" applyFont="1" applyFill="1" applyBorder="1" applyAlignment="1">
      <alignment vertical="center" wrapText="1"/>
    </xf>
    <xf numFmtId="0" fontId="51" fillId="38" borderId="148" xfId="6" applyFont="1" applyFill="1" applyBorder="1" applyAlignment="1">
      <alignment vertical="center" wrapText="1"/>
    </xf>
    <xf numFmtId="0" fontId="51" fillId="29" borderId="148" xfId="0" applyFont="1" applyFill="1" applyBorder="1" applyAlignment="1">
      <alignment vertical="center" wrapText="1"/>
    </xf>
    <xf numFmtId="0" fontId="51" fillId="29" borderId="148" xfId="6" applyFont="1" applyFill="1" applyBorder="1" applyAlignment="1">
      <alignment vertical="center" wrapText="1"/>
    </xf>
    <xf numFmtId="0" fontId="51" fillId="33" borderId="148" xfId="6" applyFont="1" applyFill="1" applyBorder="1" applyAlignment="1">
      <alignment vertical="center" wrapText="1"/>
    </xf>
    <xf numFmtId="0" fontId="53" fillId="29" borderId="148" xfId="0" applyFont="1" applyFill="1" applyBorder="1" applyAlignment="1">
      <alignment horizontal="center" vertical="center" wrapText="1"/>
    </xf>
    <xf numFmtId="0" fontId="51" fillId="51" borderId="148" xfId="6" applyFont="1" applyFill="1" applyBorder="1" applyAlignment="1">
      <alignment vertical="center" wrapText="1"/>
    </xf>
    <xf numFmtId="0" fontId="53" fillId="51" borderId="148" xfId="0" applyFont="1" applyFill="1" applyBorder="1" applyAlignment="1">
      <alignment horizontal="center" vertical="center" wrapText="1"/>
    </xf>
    <xf numFmtId="9" fontId="51" fillId="41" borderId="148" xfId="0" applyNumberFormat="1" applyFont="1" applyFill="1" applyBorder="1" applyAlignment="1">
      <alignment vertical="center" wrapText="1"/>
    </xf>
    <xf numFmtId="9" fontId="50" fillId="41" borderId="148" xfId="5" applyFont="1" applyFill="1" applyBorder="1" applyAlignment="1">
      <alignment horizontal="center" vertical="center" wrapText="1"/>
    </xf>
    <xf numFmtId="0" fontId="53" fillId="7" borderId="148" xfId="0" applyFont="1" applyFill="1" applyBorder="1" applyAlignment="1">
      <alignment horizontal="center" vertical="center" wrapText="1"/>
    </xf>
    <xf numFmtId="0" fontId="51" fillId="28" borderId="148" xfId="0" applyFont="1" applyFill="1" applyBorder="1" applyAlignment="1">
      <alignment vertical="center"/>
    </xf>
    <xf numFmtId="0" fontId="51" fillId="42" borderId="148" xfId="0" applyFont="1" applyFill="1" applyBorder="1" applyAlignment="1">
      <alignment vertical="center"/>
    </xf>
    <xf numFmtId="0" fontId="51" fillId="72" borderId="148" xfId="0" applyFont="1" applyFill="1" applyBorder="1" applyAlignment="1">
      <alignment vertical="center"/>
    </xf>
    <xf numFmtId="0" fontId="51" fillId="41" borderId="148" xfId="0" applyFont="1" applyFill="1" applyBorder="1" applyAlignment="1">
      <alignment vertical="center"/>
    </xf>
    <xf numFmtId="0" fontId="51" fillId="40" borderId="148" xfId="0" applyFont="1" applyFill="1" applyBorder="1" applyAlignment="1">
      <alignment vertical="center"/>
    </xf>
    <xf numFmtId="0" fontId="51" fillId="7" borderId="148" xfId="0" applyFont="1" applyFill="1" applyBorder="1" applyAlignment="1">
      <alignment vertical="center"/>
    </xf>
    <xf numFmtId="0" fontId="51" fillId="51" borderId="148" xfId="0" applyFont="1" applyFill="1" applyBorder="1" applyAlignment="1">
      <alignment vertical="center"/>
    </xf>
    <xf numFmtId="0" fontId="51" fillId="38" borderId="148" xfId="0" applyFont="1" applyFill="1" applyBorder="1" applyAlignment="1">
      <alignment vertical="center"/>
    </xf>
    <xf numFmtId="0" fontId="51" fillId="33" borderId="148" xfId="0" applyFont="1" applyFill="1" applyBorder="1" applyAlignment="1">
      <alignment vertical="center"/>
    </xf>
    <xf numFmtId="0" fontId="51" fillId="29" borderId="148" xfId="0" applyFont="1" applyFill="1" applyBorder="1" applyAlignment="1">
      <alignment vertical="center"/>
    </xf>
    <xf numFmtId="0" fontId="51" fillId="28" borderId="8" xfId="0" applyFont="1" applyFill="1" applyBorder="1" applyAlignment="1">
      <alignment vertical="center"/>
    </xf>
    <xf numFmtId="0" fontId="51" fillId="28" borderId="9" xfId="0" applyFont="1" applyFill="1" applyBorder="1" applyAlignment="1">
      <alignment vertical="center"/>
    </xf>
    <xf numFmtId="0" fontId="51" fillId="28" borderId="94" xfId="0" applyFont="1" applyFill="1" applyBorder="1" applyAlignment="1">
      <alignment vertical="center"/>
    </xf>
    <xf numFmtId="0" fontId="51" fillId="72" borderId="94" xfId="0" applyFont="1" applyFill="1" applyBorder="1" applyAlignment="1">
      <alignment vertical="center"/>
    </xf>
    <xf numFmtId="0" fontId="51" fillId="41" borderId="94" xfId="0" applyFont="1" applyFill="1" applyBorder="1" applyAlignment="1">
      <alignment vertical="center"/>
    </xf>
    <xf numFmtId="0" fontId="51" fillId="40" borderId="94" xfId="0" applyFont="1" applyFill="1" applyBorder="1" applyAlignment="1">
      <alignment vertical="center"/>
    </xf>
    <xf numFmtId="0" fontId="51" fillId="7" borderId="94" xfId="0" applyFont="1" applyFill="1" applyBorder="1" applyAlignment="1">
      <alignment vertical="center"/>
    </xf>
    <xf numFmtId="0" fontId="51" fillId="51" borderId="94" xfId="0" applyFont="1" applyFill="1" applyBorder="1" applyAlignment="1">
      <alignment vertical="center"/>
    </xf>
    <xf numFmtId="0" fontId="51" fillId="38" borderId="94" xfId="0" applyFont="1" applyFill="1" applyBorder="1" applyAlignment="1">
      <alignment vertical="center"/>
    </xf>
    <xf numFmtId="0" fontId="51" fillId="33" borderId="94" xfId="0" applyFont="1" applyFill="1" applyBorder="1" applyAlignment="1">
      <alignment vertical="center"/>
    </xf>
    <xf numFmtId="0" fontId="51" fillId="29" borderId="94" xfId="0" applyFont="1" applyFill="1" applyBorder="1" applyAlignment="1">
      <alignment vertical="center"/>
    </xf>
    <xf numFmtId="0" fontId="51" fillId="7" borderId="30" xfId="0" applyFont="1" applyFill="1" applyBorder="1" applyAlignment="1">
      <alignment vertical="center"/>
    </xf>
    <xf numFmtId="0" fontId="51" fillId="7" borderId="31" xfId="0" applyFont="1" applyFill="1" applyBorder="1" applyAlignment="1">
      <alignment vertical="center"/>
    </xf>
    <xf numFmtId="0" fontId="51" fillId="41" borderId="32" xfId="0" applyFont="1" applyFill="1" applyBorder="1" applyAlignment="1">
      <alignment vertical="center"/>
    </xf>
    <xf numFmtId="0" fontId="51" fillId="41" borderId="52" xfId="0" applyFont="1" applyFill="1" applyBorder="1" applyAlignment="1">
      <alignment vertical="center"/>
    </xf>
    <xf numFmtId="0" fontId="51" fillId="33" borderId="32" xfId="0" applyFont="1" applyFill="1" applyBorder="1" applyAlignment="1">
      <alignment vertical="center" wrapText="1"/>
    </xf>
    <xf numFmtId="0" fontId="51" fillId="33" borderId="32" xfId="6" applyFont="1" applyFill="1" applyBorder="1" applyAlignment="1">
      <alignment vertical="center" wrapText="1"/>
    </xf>
    <xf numFmtId="190" fontId="51" fillId="33" borderId="32" xfId="0" applyNumberFormat="1" applyFont="1" applyFill="1" applyBorder="1" applyAlignment="1">
      <alignment horizontal="center" vertical="center"/>
    </xf>
    <xf numFmtId="3" fontId="51" fillId="33" borderId="32" xfId="0" applyNumberFormat="1" applyFont="1" applyFill="1" applyBorder="1" applyAlignment="1">
      <alignment horizontal="center" vertical="center"/>
    </xf>
    <xf numFmtId="0" fontId="51" fillId="33" borderId="32" xfId="0" applyFont="1" applyFill="1" applyBorder="1" applyAlignment="1">
      <alignment vertical="center"/>
    </xf>
    <xf numFmtId="0" fontId="51" fillId="33" borderId="52" xfId="0" applyFont="1" applyFill="1" applyBorder="1" applyAlignment="1">
      <alignment vertical="center"/>
    </xf>
    <xf numFmtId="0" fontId="49" fillId="42" borderId="30" xfId="0" applyFont="1" applyFill="1" applyBorder="1" applyAlignment="1">
      <alignment horizontal="center" vertical="center" wrapText="1"/>
    </xf>
    <xf numFmtId="0" fontId="51" fillId="42" borderId="32" xfId="0" applyFont="1" applyFill="1" applyBorder="1" applyAlignment="1">
      <alignment horizontal="left" vertical="center" wrapText="1"/>
    </xf>
    <xf numFmtId="0" fontId="52" fillId="51" borderId="30" xfId="0" applyFont="1" applyFill="1" applyBorder="1" applyAlignment="1">
      <alignment horizontal="center" vertical="center" wrapText="1"/>
    </xf>
    <xf numFmtId="0" fontId="51" fillId="51" borderId="30" xfId="0" applyFont="1" applyFill="1" applyBorder="1" applyAlignment="1">
      <alignment horizontal="left" vertical="center" wrapText="1"/>
    </xf>
    <xf numFmtId="9" fontId="51" fillId="51" borderId="30" xfId="5" applyFont="1" applyFill="1" applyBorder="1" applyAlignment="1">
      <alignment horizontal="center" vertical="center"/>
    </xf>
    <xf numFmtId="201" fontId="51" fillId="51" borderId="30" xfId="9" applyNumberFormat="1" applyFont="1" applyFill="1" applyBorder="1" applyAlignment="1">
      <alignment horizontal="center" vertical="center"/>
    </xf>
    <xf numFmtId="190" fontId="51" fillId="51" borderId="30" xfId="0" applyNumberFormat="1" applyFont="1" applyFill="1" applyBorder="1" applyAlignment="1">
      <alignment horizontal="center" vertical="center"/>
    </xf>
    <xf numFmtId="0" fontId="51" fillId="51" borderId="30" xfId="0" applyFont="1" applyFill="1" applyBorder="1" applyAlignment="1">
      <alignment vertical="center"/>
    </xf>
    <xf numFmtId="0" fontId="51" fillId="51" borderId="31" xfId="0" applyFont="1" applyFill="1" applyBorder="1" applyAlignment="1">
      <alignment vertical="center"/>
    </xf>
    <xf numFmtId="0" fontId="51" fillId="40" borderId="32" xfId="6" applyFont="1" applyFill="1" applyBorder="1" applyAlignment="1">
      <alignment horizontal="center" vertical="center" wrapText="1"/>
    </xf>
    <xf numFmtId="9" fontId="51" fillId="40" borderId="32" xfId="5" applyFont="1" applyFill="1" applyBorder="1" applyAlignment="1">
      <alignment horizontal="center" vertical="center"/>
    </xf>
    <xf numFmtId="190" fontId="51" fillId="40" borderId="32" xfId="9" applyNumberFormat="1" applyFont="1" applyFill="1" applyBorder="1" applyAlignment="1">
      <alignment horizontal="center" vertical="center"/>
    </xf>
    <xf numFmtId="190" fontId="51" fillId="40" borderId="32" xfId="0" applyNumberFormat="1" applyFont="1" applyFill="1" applyBorder="1" applyAlignment="1">
      <alignment horizontal="center" vertical="center"/>
    </xf>
    <xf numFmtId="0" fontId="51" fillId="40" borderId="32" xfId="0" applyFont="1" applyFill="1" applyBorder="1" applyAlignment="1">
      <alignment horizontal="center" vertical="center"/>
    </xf>
    <xf numFmtId="3" fontId="51" fillId="40" borderId="32" xfId="9" applyNumberFormat="1" applyFont="1" applyFill="1" applyBorder="1" applyAlignment="1">
      <alignment horizontal="center" vertical="center"/>
    </xf>
    <xf numFmtId="0" fontId="51" fillId="40" borderId="32" xfId="0" applyFont="1" applyFill="1" applyBorder="1" applyAlignment="1">
      <alignment vertical="center"/>
    </xf>
    <xf numFmtId="0" fontId="51" fillId="40" borderId="52" xfId="0" applyFont="1" applyFill="1" applyBorder="1" applyAlignment="1">
      <alignment vertical="center"/>
    </xf>
    <xf numFmtId="0" fontId="52" fillId="29" borderId="30" xfId="0" applyFont="1" applyFill="1" applyBorder="1" applyAlignment="1">
      <alignment horizontal="center" vertical="center" wrapText="1"/>
    </xf>
    <xf numFmtId="0" fontId="52" fillId="29" borderId="30" xfId="0" applyFont="1" applyFill="1" applyBorder="1" applyAlignment="1">
      <alignment horizontal="center" vertical="center"/>
    </xf>
    <xf numFmtId="9" fontId="52" fillId="29" borderId="30" xfId="5" applyFont="1" applyFill="1" applyBorder="1" applyAlignment="1">
      <alignment horizontal="center" vertical="center"/>
    </xf>
    <xf numFmtId="0" fontId="51" fillId="29" borderId="30" xfId="0" applyFont="1" applyFill="1" applyBorder="1" applyAlignment="1">
      <alignment horizontal="center" vertical="center" wrapText="1"/>
    </xf>
    <xf numFmtId="0" fontId="51" fillId="29" borderId="30" xfId="0" applyFont="1" applyFill="1" applyBorder="1" applyAlignment="1">
      <alignment vertical="center" wrapText="1"/>
    </xf>
    <xf numFmtId="0" fontId="51" fillId="29" borderId="30" xfId="6" applyFont="1" applyFill="1" applyBorder="1" applyAlignment="1">
      <alignment vertical="center" wrapText="1"/>
    </xf>
    <xf numFmtId="0" fontId="53" fillId="29" borderId="30" xfId="0" applyFont="1" applyFill="1" applyBorder="1" applyAlignment="1">
      <alignment horizontal="center" vertical="center" wrapText="1"/>
    </xf>
    <xf numFmtId="9" fontId="49" fillId="29" borderId="30" xfId="5" applyFont="1" applyFill="1" applyBorder="1" applyAlignment="1">
      <alignment horizontal="center" vertical="center" wrapText="1"/>
    </xf>
    <xf numFmtId="0" fontId="49" fillId="29" borderId="30" xfId="0" applyFont="1" applyFill="1" applyBorder="1" applyAlignment="1">
      <alignment horizontal="center" vertical="center" wrapText="1"/>
    </xf>
    <xf numFmtId="190" fontId="49" fillId="29" borderId="30" xfId="0" applyNumberFormat="1" applyFont="1" applyFill="1" applyBorder="1" applyAlignment="1">
      <alignment horizontal="center" vertical="center" wrapText="1"/>
    </xf>
    <xf numFmtId="190" fontId="51" fillId="29" borderId="30" xfId="0" applyNumberFormat="1" applyFont="1" applyFill="1" applyBorder="1" applyAlignment="1">
      <alignment horizontal="center" vertical="center"/>
    </xf>
    <xf numFmtId="3" fontId="49" fillId="29" borderId="30" xfId="0" applyNumberFormat="1" applyFont="1" applyFill="1" applyBorder="1" applyAlignment="1">
      <alignment horizontal="center" vertical="center" wrapText="1"/>
    </xf>
    <xf numFmtId="3" fontId="51" fillId="29" borderId="30" xfId="0" applyNumberFormat="1" applyFont="1" applyFill="1" applyBorder="1" applyAlignment="1">
      <alignment horizontal="center" vertical="center"/>
    </xf>
    <xf numFmtId="0" fontId="51" fillId="29" borderId="30" xfId="0" applyFont="1" applyFill="1" applyBorder="1" applyAlignment="1">
      <alignment vertical="center"/>
    </xf>
    <xf numFmtId="0" fontId="51" fillId="29" borderId="31" xfId="0" applyFont="1" applyFill="1" applyBorder="1" applyAlignment="1">
      <alignment vertical="center"/>
    </xf>
    <xf numFmtId="0" fontId="51" fillId="41" borderId="30" xfId="0" applyFont="1" applyFill="1" applyBorder="1" applyAlignment="1">
      <alignment horizontal="left" vertical="center" wrapText="1"/>
    </xf>
    <xf numFmtId="0" fontId="51" fillId="41" borderId="30" xfId="6" applyFont="1" applyFill="1" applyBorder="1" applyAlignment="1">
      <alignment horizontal="center" vertical="center" wrapText="1"/>
    </xf>
    <xf numFmtId="0" fontId="49" fillId="41" borderId="30" xfId="0" applyFont="1" applyFill="1" applyBorder="1" applyAlignment="1">
      <alignment horizontal="center" vertical="center" wrapText="1"/>
    </xf>
    <xf numFmtId="9" fontId="51" fillId="41" borderId="30" xfId="5" applyFont="1" applyFill="1" applyBorder="1" applyAlignment="1">
      <alignment horizontal="center" vertical="center"/>
    </xf>
    <xf numFmtId="0" fontId="51" fillId="41" borderId="30" xfId="0" applyFont="1" applyFill="1" applyBorder="1" applyAlignment="1">
      <alignment horizontal="center" vertical="center"/>
    </xf>
    <xf numFmtId="190" fontId="51" fillId="41" borderId="30" xfId="0" applyNumberFormat="1" applyFont="1" applyFill="1" applyBorder="1" applyAlignment="1">
      <alignment horizontal="center" vertical="center"/>
    </xf>
    <xf numFmtId="3" fontId="51" fillId="41" borderId="30" xfId="0" applyNumberFormat="1" applyFont="1" applyFill="1" applyBorder="1" applyAlignment="1">
      <alignment horizontal="center" vertical="center"/>
    </xf>
    <xf numFmtId="0" fontId="51" fillId="41" borderId="30" xfId="0" applyFont="1" applyFill="1" applyBorder="1" applyAlignment="1">
      <alignment vertical="center"/>
    </xf>
    <xf numFmtId="0" fontId="51" fillId="41" borderId="31" xfId="0" applyFont="1" applyFill="1" applyBorder="1" applyAlignment="1">
      <alignment vertical="center"/>
    </xf>
    <xf numFmtId="0" fontId="53" fillId="41" borderId="32" xfId="0" applyFont="1" applyFill="1" applyBorder="1" applyAlignment="1">
      <alignment horizontal="center" vertical="center" wrapText="1"/>
    </xf>
    <xf numFmtId="0" fontId="51" fillId="41" borderId="32" xfId="0" applyFont="1" applyFill="1" applyBorder="1" applyAlignment="1">
      <alignment horizontal="center" vertical="center"/>
    </xf>
    <xf numFmtId="190" fontId="51" fillId="41" borderId="32" xfId="0" applyNumberFormat="1" applyFont="1" applyFill="1" applyBorder="1" applyAlignment="1">
      <alignment horizontal="center" vertical="center"/>
    </xf>
    <xf numFmtId="3" fontId="51" fillId="41" borderId="32" xfId="0" applyNumberFormat="1" applyFont="1" applyFill="1" applyBorder="1" applyAlignment="1">
      <alignment horizontal="center" vertical="center"/>
    </xf>
    <xf numFmtId="0" fontId="51" fillId="38" borderId="30" xfId="0" applyFont="1" applyFill="1" applyBorder="1" applyAlignment="1">
      <alignment vertical="center" wrapText="1"/>
    </xf>
    <xf numFmtId="0" fontId="51" fillId="38" borderId="30" xfId="6" applyFont="1" applyFill="1" applyBorder="1" applyAlignment="1">
      <alignment vertical="center" wrapText="1"/>
    </xf>
    <xf numFmtId="0" fontId="51" fillId="38" borderId="30" xfId="0" applyFont="1" applyFill="1" applyBorder="1" applyAlignment="1">
      <alignment horizontal="center" vertical="center" wrapText="1"/>
    </xf>
    <xf numFmtId="0" fontId="49" fillId="38" borderId="30" xfId="0" applyFont="1" applyFill="1" applyBorder="1" applyAlignment="1">
      <alignment horizontal="center" vertical="center" wrapText="1"/>
    </xf>
    <xf numFmtId="190" fontId="51" fillId="38" borderId="30" xfId="9" applyNumberFormat="1" applyFont="1" applyFill="1" applyBorder="1" applyAlignment="1">
      <alignment horizontal="center" vertical="center"/>
    </xf>
    <xf numFmtId="190" fontId="51" fillId="38" borderId="30" xfId="0" applyNumberFormat="1" applyFont="1" applyFill="1" applyBorder="1" applyAlignment="1">
      <alignment horizontal="center" vertical="center"/>
    </xf>
    <xf numFmtId="0" fontId="51" fillId="38" borderId="30" xfId="0" applyFont="1" applyFill="1" applyBorder="1" applyAlignment="1">
      <alignment horizontal="center" vertical="center"/>
    </xf>
    <xf numFmtId="3" fontId="51" fillId="38" borderId="30" xfId="9" applyNumberFormat="1" applyFont="1" applyFill="1" applyBorder="1" applyAlignment="1">
      <alignment horizontal="center" vertical="center"/>
    </xf>
    <xf numFmtId="3" fontId="51" fillId="38" borderId="30" xfId="0" applyNumberFormat="1" applyFont="1" applyFill="1" applyBorder="1" applyAlignment="1">
      <alignment horizontal="center" vertical="center"/>
    </xf>
    <xf numFmtId="0" fontId="51" fillId="38" borderId="30" xfId="0" applyFont="1" applyFill="1" applyBorder="1" applyAlignment="1">
      <alignment vertical="center"/>
    </xf>
    <xf numFmtId="0" fontId="51" fillId="38" borderId="31" xfId="0" applyFont="1" applyFill="1" applyBorder="1" applyAlignment="1">
      <alignment vertical="center"/>
    </xf>
    <xf numFmtId="9" fontId="52" fillId="38" borderId="32" xfId="5" applyFont="1" applyFill="1" applyBorder="1" applyAlignment="1">
      <alignment horizontal="center" vertical="center"/>
    </xf>
    <xf numFmtId="0" fontId="51" fillId="38" borderId="32" xfId="0" applyFont="1" applyFill="1" applyBorder="1" applyAlignment="1">
      <alignment horizontal="left" vertical="center" wrapText="1"/>
    </xf>
    <xf numFmtId="0" fontId="51" fillId="38" borderId="32" xfId="6" applyFont="1" applyFill="1" applyBorder="1" applyAlignment="1">
      <alignment horizontal="center" vertical="center" wrapText="1"/>
    </xf>
    <xf numFmtId="9" fontId="49" fillId="38" borderId="32" xfId="5" applyFont="1" applyFill="1" applyBorder="1" applyAlignment="1">
      <alignment horizontal="center" vertical="center" wrapText="1"/>
    </xf>
    <xf numFmtId="0" fontId="49" fillId="38" borderId="32" xfId="0" applyFont="1" applyFill="1" applyBorder="1" applyAlignment="1">
      <alignment horizontal="center" vertical="center" wrapText="1"/>
    </xf>
    <xf numFmtId="190" fontId="49" fillId="38" borderId="32" xfId="0" applyNumberFormat="1" applyFont="1" applyFill="1" applyBorder="1" applyAlignment="1">
      <alignment horizontal="center" vertical="center" wrapText="1"/>
    </xf>
    <xf numFmtId="190" fontId="51" fillId="38" borderId="32" xfId="0" applyNumberFormat="1" applyFont="1" applyFill="1" applyBorder="1" applyAlignment="1">
      <alignment horizontal="center" vertical="center"/>
    </xf>
    <xf numFmtId="0" fontId="51" fillId="38" borderId="32" xfId="0" applyFont="1" applyFill="1" applyBorder="1" applyAlignment="1">
      <alignment horizontal="center" vertical="center"/>
    </xf>
    <xf numFmtId="3" fontId="49" fillId="38" borderId="32" xfId="0" applyNumberFormat="1" applyFont="1" applyFill="1" applyBorder="1" applyAlignment="1">
      <alignment horizontal="center" vertical="center" wrapText="1"/>
    </xf>
    <xf numFmtId="3" fontId="51" fillId="38" borderId="32" xfId="0" applyNumberFormat="1" applyFont="1" applyFill="1" applyBorder="1" applyAlignment="1">
      <alignment horizontal="center" vertical="center"/>
    </xf>
    <xf numFmtId="0" fontId="51" fillId="38" borderId="32" xfId="0" applyFont="1" applyFill="1" applyBorder="1" applyAlignment="1">
      <alignment vertical="center"/>
    </xf>
    <xf numFmtId="0" fontId="51" fillId="38" borderId="52" xfId="0" applyFont="1" applyFill="1" applyBorder="1" applyAlignment="1">
      <alignment vertical="center"/>
    </xf>
    <xf numFmtId="0" fontId="52" fillId="72" borderId="30" xfId="0" applyFont="1" applyFill="1" applyBorder="1" applyAlignment="1">
      <alignment horizontal="center" vertical="center"/>
    </xf>
    <xf numFmtId="9" fontId="52" fillId="72" borderId="30" xfId="5" applyFont="1" applyFill="1" applyBorder="1" applyAlignment="1">
      <alignment horizontal="center" vertical="center"/>
    </xf>
    <xf numFmtId="0" fontId="51" fillId="72" borderId="30" xfId="0" applyFont="1" applyFill="1" applyBorder="1" applyAlignment="1">
      <alignment horizontal="center" vertical="center" wrapText="1"/>
    </xf>
    <xf numFmtId="0" fontId="51" fillId="72" borderId="30" xfId="0" applyFont="1" applyFill="1" applyBorder="1" applyAlignment="1">
      <alignment horizontal="left" vertical="center" wrapText="1"/>
    </xf>
    <xf numFmtId="0" fontId="51" fillId="72" borderId="30" xfId="6" applyFont="1" applyFill="1" applyBorder="1" applyAlignment="1">
      <alignment horizontal="center" vertical="center" wrapText="1"/>
    </xf>
    <xf numFmtId="9" fontId="49" fillId="72" borderId="30" xfId="5" applyFont="1" applyFill="1" applyBorder="1" applyAlignment="1">
      <alignment horizontal="center" vertical="center"/>
    </xf>
    <xf numFmtId="0" fontId="49" fillId="72" borderId="30" xfId="0" applyFont="1" applyFill="1" applyBorder="1" applyAlignment="1">
      <alignment horizontal="center" vertical="center" wrapText="1"/>
    </xf>
    <xf numFmtId="0" fontId="49" fillId="92" borderId="30" xfId="0" applyFont="1" applyFill="1" applyBorder="1" applyAlignment="1">
      <alignment horizontal="center" vertical="center" wrapText="1"/>
    </xf>
    <xf numFmtId="190" fontId="49" fillId="72" borderId="30" xfId="0" applyNumberFormat="1" applyFont="1" applyFill="1" applyBorder="1" applyAlignment="1">
      <alignment horizontal="center" vertical="center" wrapText="1"/>
    </xf>
    <xf numFmtId="190" fontId="51" fillId="72" borderId="30" xfId="0" applyNumberFormat="1" applyFont="1" applyFill="1" applyBorder="1" applyAlignment="1">
      <alignment horizontal="center" vertical="center"/>
    </xf>
    <xf numFmtId="3" fontId="49" fillId="72" borderId="30" xfId="0" applyNumberFormat="1" applyFont="1" applyFill="1" applyBorder="1" applyAlignment="1">
      <alignment horizontal="center" vertical="center" wrapText="1"/>
    </xf>
    <xf numFmtId="3" fontId="51" fillId="72" borderId="30" xfId="0" applyNumberFormat="1" applyFont="1" applyFill="1" applyBorder="1" applyAlignment="1">
      <alignment horizontal="center" vertical="center"/>
    </xf>
    <xf numFmtId="3" fontId="51" fillId="72" borderId="30" xfId="0" applyNumberFormat="1" applyFont="1" applyFill="1" applyBorder="1" applyAlignment="1">
      <alignment horizontal="center" vertical="center" wrapText="1"/>
    </xf>
    <xf numFmtId="0" fontId="51" fillId="72" borderId="30" xfId="0" applyFont="1" applyFill="1" applyBorder="1" applyAlignment="1">
      <alignment vertical="center"/>
    </xf>
    <xf numFmtId="0" fontId="51" fillId="72" borderId="31" xfId="0" applyFont="1" applyFill="1" applyBorder="1" applyAlignment="1">
      <alignment vertical="center"/>
    </xf>
    <xf numFmtId="0" fontId="49" fillId="44" borderId="30" xfId="0" applyFont="1" applyFill="1" applyBorder="1" applyAlignment="1">
      <alignment horizontal="center" vertical="center" wrapText="1"/>
    </xf>
    <xf numFmtId="9" fontId="49" fillId="41" borderId="30" xfId="5" applyFont="1" applyFill="1" applyBorder="1" applyAlignment="1">
      <alignment horizontal="center" vertical="center" wrapText="1"/>
    </xf>
    <xf numFmtId="0" fontId="52" fillId="28" borderId="30" xfId="0" applyFont="1" applyFill="1" applyBorder="1" applyAlignment="1">
      <alignment horizontal="center" vertical="center"/>
    </xf>
    <xf numFmtId="9" fontId="52" fillId="28" borderId="30" xfId="5" applyFont="1" applyFill="1" applyBorder="1" applyAlignment="1">
      <alignment horizontal="center" vertical="center"/>
    </xf>
    <xf numFmtId="0" fontId="51" fillId="28" borderId="30" xfId="0" applyFont="1" applyFill="1" applyBorder="1" applyAlignment="1">
      <alignment horizontal="center" vertical="center" wrapText="1"/>
    </xf>
    <xf numFmtId="0" fontId="51" fillId="28" borderId="30" xfId="0" applyFont="1" applyFill="1" applyBorder="1" applyAlignment="1">
      <alignment horizontal="left" vertical="center" wrapText="1"/>
    </xf>
    <xf numFmtId="0" fontId="49" fillId="28" borderId="30" xfId="0" applyFont="1" applyFill="1" applyBorder="1" applyAlignment="1">
      <alignment horizontal="center" vertical="center" wrapText="1"/>
    </xf>
    <xf numFmtId="9" fontId="49" fillId="28" borderId="30" xfId="5" applyFont="1" applyFill="1" applyBorder="1" applyAlignment="1">
      <alignment horizontal="center" vertical="center" wrapText="1"/>
    </xf>
    <xf numFmtId="190" fontId="49" fillId="28" borderId="30" xfId="0" applyNumberFormat="1" applyFont="1" applyFill="1" applyBorder="1" applyAlignment="1">
      <alignment horizontal="center" vertical="center" wrapText="1"/>
    </xf>
    <xf numFmtId="3" fontId="49" fillId="28" borderId="30" xfId="0" applyNumberFormat="1" applyFont="1" applyFill="1" applyBorder="1" applyAlignment="1">
      <alignment horizontal="center" vertical="center" wrapText="1"/>
    </xf>
    <xf numFmtId="0" fontId="51" fillId="28" borderId="30" xfId="0" applyFont="1" applyFill="1" applyBorder="1" applyAlignment="1">
      <alignment vertical="center"/>
    </xf>
    <xf numFmtId="0" fontId="51" fillId="28" borderId="31" xfId="0" applyFont="1" applyFill="1" applyBorder="1" applyAlignment="1">
      <alignment vertical="center"/>
    </xf>
    <xf numFmtId="0" fontId="51" fillId="0" borderId="58" xfId="0" applyFont="1" applyBorder="1" applyAlignment="1">
      <alignment vertical="center"/>
    </xf>
    <xf numFmtId="190" fontId="51" fillId="38" borderId="32" xfId="9" applyNumberFormat="1" applyFont="1" applyFill="1" applyBorder="1" applyAlignment="1">
      <alignment horizontal="center" vertical="center"/>
    </xf>
    <xf numFmtId="3" fontId="51" fillId="38" borderId="32" xfId="9" applyNumberFormat="1" applyFont="1" applyFill="1" applyBorder="1" applyAlignment="1">
      <alignment horizontal="center" vertical="center"/>
    </xf>
    <xf numFmtId="9" fontId="51" fillId="38" borderId="148" xfId="0" applyNumberFormat="1" applyFont="1" applyFill="1" applyBorder="1" applyAlignment="1">
      <alignment horizontal="left" vertical="center" wrapText="1"/>
    </xf>
    <xf numFmtId="9" fontId="49" fillId="38" borderId="148" xfId="5" applyFont="1" applyFill="1" applyBorder="1" applyAlignment="1">
      <alignment horizontal="center" vertical="center"/>
    </xf>
    <xf numFmtId="190" fontId="51" fillId="29" borderId="148" xfId="9" applyNumberFormat="1" applyFont="1" applyFill="1" applyBorder="1" applyAlignment="1">
      <alignment horizontal="center" vertical="center"/>
    </xf>
    <xf numFmtId="3" fontId="51" fillId="29" borderId="148" xfId="9" applyNumberFormat="1" applyFont="1" applyFill="1" applyBorder="1" applyAlignment="1">
      <alignment horizontal="center" vertical="center"/>
    </xf>
    <xf numFmtId="9" fontId="51" fillId="29" borderId="148" xfId="0" applyNumberFormat="1" applyFont="1" applyFill="1" applyBorder="1" applyAlignment="1">
      <alignment horizontal="center" vertical="center" wrapText="1"/>
    </xf>
    <xf numFmtId="9" fontId="51" fillId="29" borderId="148" xfId="0" applyNumberFormat="1" applyFont="1" applyFill="1" applyBorder="1" applyAlignment="1">
      <alignment horizontal="left" vertical="center" wrapText="1"/>
    </xf>
    <xf numFmtId="0" fontId="49" fillId="109" borderId="148" xfId="0" applyFont="1" applyFill="1" applyBorder="1" applyAlignment="1">
      <alignment horizontal="center" vertical="center" wrapText="1"/>
    </xf>
    <xf numFmtId="0" fontId="51" fillId="29" borderId="30" xfId="0" applyFont="1" applyFill="1" applyBorder="1" applyAlignment="1">
      <alignment horizontal="left" vertical="center" wrapText="1"/>
    </xf>
    <xf numFmtId="0" fontId="51" fillId="29" borderId="30" xfId="6" applyFont="1" applyFill="1" applyBorder="1" applyAlignment="1">
      <alignment horizontal="center" vertical="center" wrapText="1"/>
    </xf>
    <xf numFmtId="190" fontId="51" fillId="29" borderId="30" xfId="9" applyNumberFormat="1" applyFont="1" applyFill="1" applyBorder="1" applyAlignment="1">
      <alignment horizontal="center" vertical="center"/>
    </xf>
    <xf numFmtId="3" fontId="51" fillId="29" borderId="30" xfId="9" applyNumberFormat="1" applyFont="1" applyFill="1" applyBorder="1" applyAlignment="1">
      <alignment horizontal="center" vertical="center"/>
    </xf>
    <xf numFmtId="0" fontId="51" fillId="7" borderId="32" xfId="0" applyFont="1" applyFill="1" applyBorder="1" applyAlignment="1">
      <alignment horizontal="left" vertical="center" wrapText="1"/>
    </xf>
    <xf numFmtId="0" fontId="51" fillId="7" borderId="32" xfId="6" applyFont="1" applyFill="1" applyBorder="1" applyAlignment="1">
      <alignment vertical="center" wrapText="1"/>
    </xf>
    <xf numFmtId="9" fontId="51" fillId="7" borderId="32" xfId="5" applyFont="1" applyFill="1" applyBorder="1" applyAlignment="1">
      <alignment horizontal="center" vertical="center"/>
    </xf>
    <xf numFmtId="0" fontId="51" fillId="7" borderId="32" xfId="0" applyFont="1" applyFill="1" applyBorder="1" applyAlignment="1">
      <alignment horizontal="center" vertical="center"/>
    </xf>
    <xf numFmtId="190" fontId="51" fillId="7" borderId="32" xfId="0" applyNumberFormat="1" applyFont="1" applyFill="1" applyBorder="1" applyAlignment="1">
      <alignment horizontal="center" vertical="center"/>
    </xf>
    <xf numFmtId="3" fontId="51" fillId="7" borderId="32" xfId="0" applyNumberFormat="1" applyFont="1" applyFill="1" applyBorder="1" applyAlignment="1">
      <alignment horizontal="center" vertical="center"/>
    </xf>
    <xf numFmtId="0" fontId="51" fillId="7" borderId="32" xfId="0" applyFont="1" applyFill="1" applyBorder="1" applyAlignment="1">
      <alignment vertical="center"/>
    </xf>
    <xf numFmtId="0" fontId="51" fillId="7" borderId="52" xfId="0" applyFont="1" applyFill="1" applyBorder="1" applyAlignment="1">
      <alignment vertical="center"/>
    </xf>
    <xf numFmtId="9" fontId="49" fillId="7" borderId="148" xfId="5" applyFont="1" applyFill="1" applyBorder="1" applyAlignment="1">
      <alignment horizontal="center" vertical="center"/>
    </xf>
    <xf numFmtId="190" fontId="51" fillId="7" borderId="148" xfId="9" applyNumberFormat="1" applyFont="1" applyFill="1" applyBorder="1" applyAlignment="1">
      <alignment horizontal="center" vertical="center"/>
    </xf>
    <xf numFmtId="3" fontId="51" fillId="7" borderId="148" xfId="9" applyNumberFormat="1" applyFont="1" applyFill="1" applyBorder="1" applyAlignment="1">
      <alignment horizontal="center" vertical="center"/>
    </xf>
    <xf numFmtId="0" fontId="52" fillId="7" borderId="30" xfId="0" applyFont="1" applyFill="1" applyBorder="1" applyAlignment="1">
      <alignment horizontal="center" vertical="center"/>
    </xf>
    <xf numFmtId="9" fontId="52" fillId="7" borderId="30" xfId="5" applyFont="1" applyFill="1" applyBorder="1" applyAlignment="1">
      <alignment horizontal="center" vertical="center"/>
    </xf>
    <xf numFmtId="9" fontId="49" fillId="7" borderId="30" xfId="5" applyFont="1" applyFill="1" applyBorder="1" applyAlignment="1">
      <alignment horizontal="center" vertical="center" wrapText="1"/>
    </xf>
    <xf numFmtId="190" fontId="51" fillId="7" borderId="30" xfId="9" applyNumberFormat="1" applyFont="1" applyFill="1" applyBorder="1" applyAlignment="1">
      <alignment horizontal="center" vertical="center"/>
    </xf>
    <xf numFmtId="190" fontId="51" fillId="7" borderId="30" xfId="0" applyNumberFormat="1" applyFont="1" applyFill="1" applyBorder="1" applyAlignment="1">
      <alignment horizontal="center" vertical="center"/>
    </xf>
    <xf numFmtId="3" fontId="51" fillId="7" borderId="30" xfId="9" applyNumberFormat="1" applyFont="1" applyFill="1" applyBorder="1" applyAlignment="1">
      <alignment horizontal="center" vertical="center"/>
    </xf>
    <xf numFmtId="3" fontId="51" fillId="7" borderId="30" xfId="0" applyNumberFormat="1" applyFont="1" applyFill="1" applyBorder="1" applyAlignment="1">
      <alignment horizontal="center" vertical="center"/>
    </xf>
    <xf numFmtId="9" fontId="52" fillId="51" borderId="32" xfId="5" applyFont="1" applyFill="1" applyBorder="1" applyAlignment="1">
      <alignment horizontal="center" vertical="center"/>
    </xf>
    <xf numFmtId="0" fontId="51" fillId="51" borderId="32" xfId="0" applyFont="1" applyFill="1" applyBorder="1" applyAlignment="1">
      <alignment horizontal="left" vertical="center" wrapText="1"/>
    </xf>
    <xf numFmtId="0" fontId="51" fillId="51" borderId="32" xfId="6" applyFont="1" applyFill="1" applyBorder="1" applyAlignment="1">
      <alignment horizontal="center" vertical="center" wrapText="1"/>
    </xf>
    <xf numFmtId="0" fontId="49" fillId="51" borderId="32" xfId="0" applyFont="1" applyFill="1" applyBorder="1" applyAlignment="1">
      <alignment horizontal="center" vertical="center" wrapText="1"/>
    </xf>
    <xf numFmtId="9" fontId="51" fillId="51" borderId="32" xfId="5" applyFont="1" applyFill="1" applyBorder="1" applyAlignment="1">
      <alignment horizontal="center" vertical="center"/>
    </xf>
    <xf numFmtId="190" fontId="49" fillId="51" borderId="32" xfId="0" applyNumberFormat="1" applyFont="1" applyFill="1" applyBorder="1" applyAlignment="1">
      <alignment horizontal="center" vertical="center" wrapText="1"/>
    </xf>
    <xf numFmtId="190" fontId="51" fillId="51" borderId="32" xfId="0" applyNumberFormat="1" applyFont="1" applyFill="1" applyBorder="1" applyAlignment="1">
      <alignment horizontal="center" vertical="center"/>
    </xf>
    <xf numFmtId="0" fontId="51" fillId="51" borderId="32" xfId="0" applyFont="1" applyFill="1" applyBorder="1" applyAlignment="1">
      <alignment horizontal="center" vertical="center"/>
    </xf>
    <xf numFmtId="3" fontId="49" fillId="51" borderId="32" xfId="0" applyNumberFormat="1" applyFont="1" applyFill="1" applyBorder="1" applyAlignment="1">
      <alignment horizontal="center" vertical="center" wrapText="1"/>
    </xf>
    <xf numFmtId="0" fontId="51" fillId="51" borderId="32" xfId="0" applyFont="1" applyFill="1" applyBorder="1" applyAlignment="1">
      <alignment vertical="center"/>
    </xf>
    <xf numFmtId="0" fontId="51" fillId="51" borderId="52" xfId="0" applyFont="1" applyFill="1" applyBorder="1" applyAlignment="1">
      <alignment vertical="center"/>
    </xf>
    <xf numFmtId="9" fontId="52" fillId="51" borderId="30" xfId="5" applyFont="1" applyFill="1" applyBorder="1" applyAlignment="1">
      <alignment horizontal="center" vertical="center"/>
    </xf>
    <xf numFmtId="1" fontId="51" fillId="51" borderId="30" xfId="0" applyNumberFormat="1" applyFont="1" applyFill="1" applyBorder="1" applyAlignment="1">
      <alignment horizontal="center" vertical="center"/>
    </xf>
    <xf numFmtId="190" fontId="49" fillId="51" borderId="30" xfId="0" applyNumberFormat="1" applyFont="1" applyFill="1" applyBorder="1" applyAlignment="1">
      <alignment horizontal="center" vertical="center" wrapText="1"/>
    </xf>
    <xf numFmtId="3" fontId="49" fillId="51" borderId="30" xfId="0" applyNumberFormat="1" applyFont="1" applyFill="1" applyBorder="1" applyAlignment="1">
      <alignment horizontal="center" vertical="center" wrapText="1"/>
    </xf>
    <xf numFmtId="0" fontId="52" fillId="38" borderId="32" xfId="0" applyFont="1" applyFill="1" applyBorder="1" applyAlignment="1">
      <alignment vertical="center" wrapText="1"/>
    </xf>
    <xf numFmtId="190" fontId="52" fillId="38" borderId="148" xfId="4" applyNumberFormat="1" applyFont="1" applyFill="1" applyBorder="1" applyAlignment="1" applyProtection="1">
      <alignment horizontal="center" vertical="center"/>
      <protection locked="0"/>
    </xf>
    <xf numFmtId="190" fontId="53" fillId="38" borderId="148" xfId="4" applyNumberFormat="1" applyFont="1" applyFill="1" applyBorder="1" applyAlignment="1">
      <alignment horizontal="center" vertical="center"/>
    </xf>
    <xf numFmtId="190" fontId="52" fillId="38" borderId="148" xfId="4" applyNumberFormat="1" applyFont="1" applyFill="1" applyBorder="1" applyAlignment="1">
      <alignment horizontal="center" vertical="center"/>
    </xf>
    <xf numFmtId="3" fontId="52" fillId="38" borderId="148" xfId="0" applyNumberFormat="1" applyFont="1" applyFill="1" applyBorder="1" applyAlignment="1">
      <alignment horizontal="center" vertical="center"/>
    </xf>
    <xf numFmtId="164" fontId="52" fillId="38" borderId="148" xfId="4" applyFont="1" applyFill="1" applyBorder="1" applyAlignment="1">
      <alignment horizontal="center" vertical="center"/>
    </xf>
    <xf numFmtId="1" fontId="52" fillId="38" borderId="148" xfId="0" applyNumberFormat="1" applyFont="1" applyFill="1" applyBorder="1" applyAlignment="1">
      <alignment horizontal="center" vertical="center"/>
    </xf>
    <xf numFmtId="3" fontId="52" fillId="38" borderId="148" xfId="4" applyNumberFormat="1" applyFont="1" applyFill="1" applyBorder="1" applyAlignment="1" applyProtection="1">
      <alignment horizontal="center" vertical="center"/>
      <protection locked="0"/>
    </xf>
    <xf numFmtId="3" fontId="53" fillId="38" borderId="148" xfId="4" applyNumberFormat="1" applyFont="1" applyFill="1" applyBorder="1" applyAlignment="1">
      <alignment horizontal="center" vertical="center"/>
    </xf>
    <xf numFmtId="3" fontId="52" fillId="38" borderId="148" xfId="4" applyNumberFormat="1" applyFont="1" applyFill="1" applyBorder="1" applyAlignment="1">
      <alignment horizontal="center" vertical="center"/>
    </xf>
    <xf numFmtId="3" fontId="51" fillId="38" borderId="148" xfId="0" applyNumberFormat="1" applyFont="1" applyFill="1" applyBorder="1" applyAlignment="1">
      <alignment horizontal="center" vertical="center" wrapText="1"/>
    </xf>
    <xf numFmtId="0" fontId="52" fillId="17" borderId="148" xfId="0" applyFont="1" applyFill="1" applyBorder="1" applyAlignment="1">
      <alignment horizontal="center" vertical="center" wrapText="1"/>
    </xf>
    <xf numFmtId="0" fontId="52" fillId="17" borderId="148" xfId="0" applyFont="1" applyFill="1" applyBorder="1" applyAlignment="1">
      <alignment horizontal="center" vertical="center"/>
    </xf>
    <xf numFmtId="9" fontId="52" fillId="17" borderId="148" xfId="5" applyFont="1" applyFill="1" applyBorder="1" applyAlignment="1">
      <alignment horizontal="center" vertical="center"/>
    </xf>
    <xf numFmtId="0" fontId="51" fillId="17" borderId="148" xfId="0" applyFont="1" applyFill="1" applyBorder="1" applyAlignment="1">
      <alignment horizontal="center" vertical="center" wrapText="1"/>
    </xf>
    <xf numFmtId="0" fontId="51" fillId="17" borderId="148" xfId="0" applyFont="1" applyFill="1" applyBorder="1" applyAlignment="1">
      <alignment horizontal="left" vertical="center" wrapText="1"/>
    </xf>
    <xf numFmtId="0" fontId="51" fillId="17" borderId="148" xfId="6" applyFont="1" applyFill="1" applyBorder="1" applyAlignment="1">
      <alignment horizontal="center" vertical="center" wrapText="1"/>
    </xf>
    <xf numFmtId="0" fontId="49" fillId="17" borderId="148" xfId="0" applyFont="1" applyFill="1" applyBorder="1" applyAlignment="1">
      <alignment horizontal="center" vertical="center" wrapText="1"/>
    </xf>
    <xf numFmtId="9" fontId="49" fillId="17" borderId="148" xfId="5" applyFont="1" applyFill="1" applyBorder="1" applyAlignment="1">
      <alignment horizontal="center" vertical="center"/>
    </xf>
    <xf numFmtId="190" fontId="51" fillId="17" borderId="148" xfId="0" applyNumberFormat="1" applyFont="1" applyFill="1" applyBorder="1" applyAlignment="1">
      <alignment horizontal="center" vertical="center"/>
    </xf>
    <xf numFmtId="0" fontId="51" fillId="17" borderId="148" xfId="0" applyFont="1" applyFill="1" applyBorder="1" applyAlignment="1">
      <alignment horizontal="center" vertical="center"/>
    </xf>
    <xf numFmtId="3" fontId="51" fillId="17" borderId="148" xfId="0" applyNumberFormat="1" applyFont="1" applyFill="1" applyBorder="1" applyAlignment="1">
      <alignment horizontal="center" vertical="center"/>
    </xf>
    <xf numFmtId="0" fontId="51" fillId="17" borderId="148" xfId="0" applyFont="1" applyFill="1" applyBorder="1" applyAlignment="1">
      <alignment vertical="center"/>
    </xf>
    <xf numFmtId="0" fontId="51" fillId="17" borderId="94" xfId="0" applyFont="1" applyFill="1" applyBorder="1" applyAlignment="1">
      <alignment vertical="center"/>
    </xf>
    <xf numFmtId="0" fontId="51" fillId="17" borderId="0" xfId="0" applyFont="1" applyFill="1" applyAlignment="1">
      <alignment vertical="center"/>
    </xf>
    <xf numFmtId="0" fontId="51" fillId="17" borderId="148" xfId="6" applyFont="1" applyFill="1" applyBorder="1" applyAlignment="1">
      <alignment vertical="center" wrapText="1"/>
    </xf>
    <xf numFmtId="190" fontId="49" fillId="17" borderId="148" xfId="0" applyNumberFormat="1" applyFont="1" applyFill="1" applyBorder="1" applyAlignment="1">
      <alignment horizontal="center" vertical="center" wrapText="1"/>
    </xf>
    <xf numFmtId="3" fontId="49" fillId="17" borderId="148" xfId="0" applyNumberFormat="1" applyFont="1" applyFill="1" applyBorder="1" applyAlignment="1">
      <alignment horizontal="center" vertical="center" wrapText="1"/>
    </xf>
    <xf numFmtId="0" fontId="51" fillId="17" borderId="148" xfId="0" applyFont="1" applyFill="1" applyBorder="1" applyAlignment="1">
      <alignment vertical="center" wrapText="1"/>
    </xf>
    <xf numFmtId="9" fontId="51" fillId="17" borderId="148" xfId="5" applyFont="1" applyFill="1" applyBorder="1" applyAlignment="1">
      <alignment horizontal="center" vertical="center" wrapText="1"/>
    </xf>
    <xf numFmtId="190" fontId="51" fillId="17" borderId="148" xfId="9" applyNumberFormat="1" applyFont="1" applyFill="1" applyBorder="1" applyAlignment="1">
      <alignment horizontal="center" vertical="center"/>
    </xf>
    <xf numFmtId="3" fontId="51" fillId="17" borderId="148" xfId="9" applyNumberFormat="1" applyFont="1" applyFill="1" applyBorder="1" applyAlignment="1">
      <alignment horizontal="center" vertical="center"/>
    </xf>
    <xf numFmtId="3" fontId="51" fillId="17" borderId="148" xfId="0" applyNumberFormat="1" applyFont="1" applyFill="1" applyBorder="1" applyAlignment="1">
      <alignment horizontal="center" vertical="center" wrapText="1"/>
    </xf>
    <xf numFmtId="0" fontId="49" fillId="17" borderId="148" xfId="23" applyFont="1" applyFill="1" applyBorder="1" applyAlignment="1">
      <alignment horizontal="left" vertical="center" wrapText="1"/>
    </xf>
    <xf numFmtId="9" fontId="49" fillId="51" borderId="148" xfId="5" applyFont="1" applyFill="1" applyBorder="1" applyAlignment="1">
      <alignment horizontal="center" vertical="center" wrapText="1"/>
    </xf>
    <xf numFmtId="0" fontId="49" fillId="110" borderId="32" xfId="0" applyFont="1" applyFill="1" applyBorder="1" applyAlignment="1">
      <alignment horizontal="center" vertical="center" wrapText="1"/>
    </xf>
    <xf numFmtId="0" fontId="51" fillId="110" borderId="32" xfId="0" applyFont="1" applyFill="1" applyBorder="1" applyAlignment="1">
      <alignment horizontal="center" vertical="center" wrapText="1"/>
    </xf>
    <xf numFmtId="0" fontId="49" fillId="111" borderId="148" xfId="0" applyFont="1" applyFill="1" applyBorder="1" applyAlignment="1">
      <alignment horizontal="center" vertical="center" wrapText="1"/>
    </xf>
    <xf numFmtId="201" fontId="51" fillId="38" borderId="148" xfId="9" applyNumberFormat="1" applyFont="1" applyFill="1" applyBorder="1" applyAlignment="1">
      <alignment horizontal="center" vertical="center"/>
    </xf>
    <xf numFmtId="0" fontId="49" fillId="110" borderId="148" xfId="0" applyFont="1" applyFill="1" applyBorder="1" applyAlignment="1">
      <alignment horizontal="center" vertical="center" wrapText="1"/>
    </xf>
    <xf numFmtId="0" fontId="51" fillId="110" borderId="148" xfId="0" applyFont="1" applyFill="1" applyBorder="1" applyAlignment="1">
      <alignment horizontal="center" vertical="center" wrapText="1"/>
    </xf>
    <xf numFmtId="9" fontId="51" fillId="38" borderId="148" xfId="5" applyFont="1" applyFill="1" applyBorder="1" applyAlignment="1">
      <alignment horizontal="center" vertical="center" wrapText="1"/>
    </xf>
    <xf numFmtId="0" fontId="52" fillId="38" borderId="30" xfId="0" applyFont="1" applyFill="1" applyBorder="1" applyAlignment="1">
      <alignment horizontal="center" vertical="center" wrapText="1"/>
    </xf>
    <xf numFmtId="0" fontId="52" fillId="38" borderId="30" xfId="0" applyFont="1" applyFill="1" applyBorder="1" applyAlignment="1">
      <alignment horizontal="center" vertical="center"/>
    </xf>
    <xf numFmtId="9" fontId="52" fillId="38" borderId="30" xfId="5" applyFont="1" applyFill="1" applyBorder="1" applyAlignment="1">
      <alignment horizontal="center" vertical="center"/>
    </xf>
    <xf numFmtId="0" fontId="51" fillId="38" borderId="30" xfId="0" applyFont="1" applyFill="1" applyBorder="1" applyAlignment="1">
      <alignment horizontal="left" vertical="center" wrapText="1"/>
    </xf>
    <xf numFmtId="0" fontId="51" fillId="38" borderId="30" xfId="6" applyFont="1" applyFill="1" applyBorder="1" applyAlignment="1">
      <alignment horizontal="center" vertical="center" wrapText="1"/>
    </xf>
    <xf numFmtId="9" fontId="51" fillId="38" borderId="30" xfId="5" applyFont="1" applyFill="1" applyBorder="1" applyAlignment="1">
      <alignment horizontal="center" vertical="center" wrapText="1"/>
    </xf>
    <xf numFmtId="190" fontId="49" fillId="38" borderId="30" xfId="0" applyNumberFormat="1" applyFont="1" applyFill="1" applyBorder="1" applyAlignment="1">
      <alignment horizontal="center" vertical="center" wrapText="1"/>
    </xf>
    <xf numFmtId="3" fontId="49" fillId="38" borderId="30" xfId="0" applyNumberFormat="1" applyFont="1" applyFill="1" applyBorder="1" applyAlignment="1">
      <alignment horizontal="center" vertical="center" wrapText="1"/>
    </xf>
    <xf numFmtId="0" fontId="51" fillId="39" borderId="32" xfId="0" applyFont="1" applyFill="1" applyBorder="1" applyAlignment="1">
      <alignment vertical="center" wrapText="1"/>
    </xf>
    <xf numFmtId="0" fontId="51" fillId="39" borderId="32" xfId="6" applyFont="1" applyFill="1" applyBorder="1" applyAlignment="1">
      <alignment vertical="center" wrapText="1"/>
    </xf>
    <xf numFmtId="9" fontId="51" fillId="39" borderId="32" xfId="5" applyFont="1" applyFill="1" applyBorder="1" applyAlignment="1">
      <alignment horizontal="center" vertical="center"/>
    </xf>
    <xf numFmtId="190" fontId="51" fillId="39" borderId="32" xfId="0" applyNumberFormat="1" applyFont="1" applyFill="1" applyBorder="1" applyAlignment="1">
      <alignment horizontal="center" vertical="center"/>
    </xf>
    <xf numFmtId="190" fontId="49" fillId="39" borderId="32" xfId="0" applyNumberFormat="1" applyFont="1" applyFill="1" applyBorder="1" applyAlignment="1">
      <alignment horizontal="center" vertical="center" wrapText="1"/>
    </xf>
    <xf numFmtId="3" fontId="51" fillId="39" borderId="32" xfId="0" applyNumberFormat="1" applyFont="1" applyFill="1" applyBorder="1" applyAlignment="1">
      <alignment horizontal="center" vertical="center"/>
    </xf>
    <xf numFmtId="3" fontId="49" fillId="39" borderId="32" xfId="0" applyNumberFormat="1" applyFont="1" applyFill="1" applyBorder="1" applyAlignment="1">
      <alignment horizontal="center" vertical="center" wrapText="1"/>
    </xf>
    <xf numFmtId="0" fontId="51" fillId="39" borderId="32" xfId="0" applyFont="1" applyFill="1" applyBorder="1" applyAlignment="1">
      <alignment vertical="center"/>
    </xf>
    <xf numFmtId="0" fontId="51" fillId="39" borderId="52" xfId="0" applyFont="1" applyFill="1" applyBorder="1" applyAlignment="1">
      <alignment vertical="center"/>
    </xf>
    <xf numFmtId="0" fontId="51" fillId="39" borderId="0" xfId="0" applyFont="1" applyFill="1" applyAlignment="1">
      <alignment vertical="center"/>
    </xf>
    <xf numFmtId="0" fontId="51" fillId="39" borderId="148" xfId="6" applyFont="1" applyFill="1" applyBorder="1" applyAlignment="1">
      <alignment vertical="center" wrapText="1"/>
    </xf>
    <xf numFmtId="0" fontId="49" fillId="39" borderId="148" xfId="0" applyFont="1" applyFill="1" applyBorder="1" applyAlignment="1">
      <alignment horizontal="center" vertical="center" wrapText="1"/>
    </xf>
    <xf numFmtId="9" fontId="51" fillId="39" borderId="148" xfId="5" applyFont="1" applyFill="1" applyBorder="1" applyAlignment="1">
      <alignment horizontal="center" vertical="center"/>
    </xf>
    <xf numFmtId="0" fontId="51" fillId="39" borderId="148" xfId="0" applyFont="1" applyFill="1" applyBorder="1" applyAlignment="1">
      <alignment horizontal="center" vertical="center" wrapText="1"/>
    </xf>
    <xf numFmtId="190" fontId="51" fillId="39" borderId="148" xfId="9" applyNumberFormat="1" applyFont="1" applyFill="1" applyBorder="1" applyAlignment="1">
      <alignment horizontal="center" vertical="center"/>
    </xf>
    <xf numFmtId="190" fontId="49" fillId="39" borderId="148" xfId="0" applyNumberFormat="1" applyFont="1" applyFill="1" applyBorder="1" applyAlignment="1">
      <alignment horizontal="center" vertical="center" wrapText="1"/>
    </xf>
    <xf numFmtId="0" fontId="51" fillId="39" borderId="148" xfId="0" applyFont="1" applyFill="1" applyBorder="1" applyAlignment="1">
      <alignment horizontal="center" vertical="center"/>
    </xf>
    <xf numFmtId="3" fontId="51" fillId="39" borderId="148" xfId="9" applyNumberFormat="1" applyFont="1" applyFill="1" applyBorder="1" applyAlignment="1">
      <alignment horizontal="center" vertical="center"/>
    </xf>
    <xf numFmtId="3" fontId="49" fillId="39" borderId="148" xfId="0" applyNumberFormat="1" applyFont="1" applyFill="1" applyBorder="1" applyAlignment="1">
      <alignment horizontal="center" vertical="center" wrapText="1"/>
    </xf>
    <xf numFmtId="3" fontId="51" fillId="39" borderId="148" xfId="0" applyNumberFormat="1" applyFont="1" applyFill="1" applyBorder="1" applyAlignment="1">
      <alignment horizontal="center" vertical="center"/>
    </xf>
    <xf numFmtId="0" fontId="51" fillId="39" borderId="148" xfId="0" applyFont="1" applyFill="1" applyBorder="1" applyAlignment="1">
      <alignment vertical="center"/>
    </xf>
    <xf numFmtId="0" fontId="51" fillId="39" borderId="94" xfId="0" applyFont="1" applyFill="1" applyBorder="1" applyAlignment="1">
      <alignment vertical="center"/>
    </xf>
    <xf numFmtId="9" fontId="52" fillId="39" borderId="148" xfId="5" applyFont="1" applyFill="1" applyBorder="1" applyAlignment="1">
      <alignment horizontal="center" vertical="center"/>
    </xf>
    <xf numFmtId="0" fontId="52" fillId="39" borderId="148" xfId="0" applyFont="1" applyFill="1" applyBorder="1" applyAlignment="1">
      <alignment horizontal="center" vertical="center" wrapText="1"/>
    </xf>
    <xf numFmtId="190" fontId="52" fillId="39" borderId="148" xfId="4" applyNumberFormat="1" applyFont="1" applyFill="1" applyBorder="1" applyAlignment="1">
      <alignment horizontal="center" vertical="center"/>
    </xf>
    <xf numFmtId="190" fontId="52" fillId="39" borderId="148" xfId="7" applyNumberFormat="1" applyFont="1" applyFill="1" applyBorder="1" applyAlignment="1">
      <alignment horizontal="center" vertical="center"/>
    </xf>
    <xf numFmtId="190" fontId="52" fillId="39" borderId="148" xfId="0" applyNumberFormat="1" applyFont="1" applyFill="1" applyBorder="1" applyAlignment="1">
      <alignment horizontal="center" vertical="center"/>
    </xf>
    <xf numFmtId="1" fontId="52" fillId="39" borderId="148" xfId="0" applyNumberFormat="1" applyFont="1" applyFill="1" applyBorder="1" applyAlignment="1">
      <alignment horizontal="center" vertical="center"/>
    </xf>
    <xf numFmtId="0" fontId="52" fillId="39" borderId="148" xfId="0" applyFont="1" applyFill="1" applyBorder="1" applyAlignment="1">
      <alignment horizontal="center" vertical="center"/>
    </xf>
    <xf numFmtId="3" fontId="52" fillId="39" borderId="148" xfId="4" applyNumberFormat="1" applyFont="1" applyFill="1" applyBorder="1" applyAlignment="1">
      <alignment horizontal="center" vertical="center"/>
    </xf>
    <xf numFmtId="3" fontId="52" fillId="39" borderId="148" xfId="7" applyNumberFormat="1" applyFont="1" applyFill="1" applyBorder="1" applyAlignment="1">
      <alignment horizontal="center" vertical="center"/>
    </xf>
    <xf numFmtId="3" fontId="52" fillId="39" borderId="148" xfId="0" applyNumberFormat="1" applyFont="1" applyFill="1" applyBorder="1" applyAlignment="1">
      <alignment horizontal="center" vertical="center"/>
    </xf>
    <xf numFmtId="3" fontId="52" fillId="39" borderId="148" xfId="0" applyNumberFormat="1" applyFont="1" applyFill="1" applyBorder="1" applyAlignment="1">
      <alignment horizontal="center" vertical="center" wrapText="1"/>
    </xf>
    <xf numFmtId="3" fontId="49" fillId="112" borderId="148" xfId="0" applyNumberFormat="1" applyFont="1" applyFill="1" applyBorder="1" applyAlignment="1">
      <alignment horizontal="center" vertical="center"/>
    </xf>
    <xf numFmtId="0" fontId="49" fillId="112" borderId="148" xfId="0" applyFont="1" applyFill="1" applyBorder="1" applyAlignment="1">
      <alignment horizontal="center" vertical="center"/>
    </xf>
    <xf numFmtId="0" fontId="51" fillId="112" borderId="148" xfId="0" applyFont="1" applyFill="1" applyBorder="1" applyAlignment="1">
      <alignment horizontal="center" vertical="center"/>
    </xf>
    <xf numFmtId="3" fontId="51" fillId="112" borderId="148" xfId="0" applyNumberFormat="1" applyFont="1" applyFill="1" applyBorder="1" applyAlignment="1">
      <alignment horizontal="center" vertical="center"/>
    </xf>
    <xf numFmtId="9" fontId="51" fillId="39" borderId="148" xfId="0" applyNumberFormat="1" applyFont="1" applyFill="1" applyBorder="1" applyAlignment="1">
      <alignment vertical="center" wrapText="1"/>
    </xf>
    <xf numFmtId="190" fontId="51" fillId="39" borderId="148" xfId="0" applyNumberFormat="1" applyFont="1" applyFill="1" applyBorder="1" applyAlignment="1">
      <alignment horizontal="center" vertical="center"/>
    </xf>
    <xf numFmtId="3" fontId="51" fillId="39" borderId="148" xfId="0" applyNumberFormat="1" applyFont="1" applyFill="1" applyBorder="1" applyAlignment="1">
      <alignment horizontal="center" vertical="center" wrapText="1"/>
    </xf>
    <xf numFmtId="201" fontId="51" fillId="39" borderId="148" xfId="9" applyNumberFormat="1" applyFont="1" applyFill="1" applyBorder="1" applyAlignment="1">
      <alignment horizontal="center" vertical="center"/>
    </xf>
    <xf numFmtId="190" fontId="51" fillId="39" borderId="148" xfId="7" applyNumberFormat="1" applyFont="1" applyFill="1" applyBorder="1" applyAlignment="1">
      <alignment horizontal="center" vertical="center"/>
    </xf>
    <xf numFmtId="3" fontId="51" fillId="39" borderId="148" xfId="7" applyNumberFormat="1" applyFont="1" applyFill="1" applyBorder="1" applyAlignment="1">
      <alignment horizontal="center" vertical="center"/>
    </xf>
    <xf numFmtId="0" fontId="52" fillId="39" borderId="30" xfId="0" applyFont="1" applyFill="1" applyBorder="1" applyAlignment="1">
      <alignment horizontal="center" vertical="center" wrapText="1"/>
    </xf>
    <xf numFmtId="0" fontId="52" fillId="39" borderId="30" xfId="0" applyFont="1" applyFill="1" applyBorder="1" applyAlignment="1">
      <alignment horizontal="center" vertical="center"/>
    </xf>
    <xf numFmtId="9" fontId="52" fillId="39" borderId="30" xfId="5" applyFont="1" applyFill="1" applyBorder="1" applyAlignment="1">
      <alignment horizontal="center" vertical="center"/>
    </xf>
    <xf numFmtId="0" fontId="51" fillId="39" borderId="30" xfId="0" applyFont="1" applyFill="1" applyBorder="1" applyAlignment="1">
      <alignment horizontal="center" vertical="center" wrapText="1"/>
    </xf>
    <xf numFmtId="0" fontId="51" fillId="39" borderId="30" xfId="0" applyFont="1" applyFill="1" applyBorder="1" applyAlignment="1">
      <alignment horizontal="left" vertical="center" wrapText="1"/>
    </xf>
    <xf numFmtId="0" fontId="51" fillId="39" borderId="30" xfId="6" applyFont="1" applyFill="1" applyBorder="1" applyAlignment="1">
      <alignment horizontal="center" vertical="center" wrapText="1"/>
    </xf>
    <xf numFmtId="0" fontId="49" fillId="39" borderId="30" xfId="0" applyFont="1" applyFill="1" applyBorder="1" applyAlignment="1">
      <alignment horizontal="center" vertical="center" wrapText="1"/>
    </xf>
    <xf numFmtId="9" fontId="51" fillId="39" borderId="30" xfId="5" applyFont="1" applyFill="1" applyBorder="1" applyAlignment="1">
      <alignment horizontal="center" vertical="center"/>
    </xf>
    <xf numFmtId="201" fontId="51" fillId="39" borderId="30" xfId="9" applyNumberFormat="1" applyFont="1" applyFill="1" applyBorder="1" applyAlignment="1">
      <alignment horizontal="center" vertical="center"/>
    </xf>
    <xf numFmtId="190" fontId="51" fillId="39" borderId="30" xfId="0" applyNumberFormat="1" applyFont="1" applyFill="1" applyBorder="1" applyAlignment="1">
      <alignment horizontal="center" vertical="center"/>
    </xf>
    <xf numFmtId="190" fontId="49" fillId="39" borderId="30" xfId="0" applyNumberFormat="1" applyFont="1" applyFill="1" applyBorder="1" applyAlignment="1">
      <alignment horizontal="center" vertical="center" wrapText="1"/>
    </xf>
    <xf numFmtId="0" fontId="51" fillId="39" borderId="30" xfId="0" applyFont="1" applyFill="1" applyBorder="1" applyAlignment="1">
      <alignment horizontal="center" vertical="center"/>
    </xf>
    <xf numFmtId="3" fontId="51" fillId="39" borderId="30" xfId="0" applyNumberFormat="1" applyFont="1" applyFill="1" applyBorder="1" applyAlignment="1">
      <alignment horizontal="center" vertical="center"/>
    </xf>
    <xf numFmtId="3" fontId="49" fillId="39" borderId="30" xfId="0" applyNumberFormat="1" applyFont="1" applyFill="1" applyBorder="1" applyAlignment="1">
      <alignment horizontal="center" vertical="center" wrapText="1"/>
    </xf>
    <xf numFmtId="0" fontId="51" fillId="39" borderId="30" xfId="0" applyFont="1" applyFill="1" applyBorder="1" applyAlignment="1">
      <alignment vertical="center"/>
    </xf>
    <xf numFmtId="0" fontId="51" fillId="39" borderId="31" xfId="0" applyFont="1" applyFill="1" applyBorder="1" applyAlignment="1">
      <alignment vertical="center"/>
    </xf>
    <xf numFmtId="0" fontId="53" fillId="38" borderId="148" xfId="0" applyFont="1" applyFill="1" applyBorder="1" applyAlignment="1">
      <alignment horizontal="center" vertical="center" wrapText="1"/>
    </xf>
    <xf numFmtId="190" fontId="51" fillId="38" borderId="148" xfId="0" applyNumberFormat="1" applyFont="1" applyFill="1" applyBorder="1" applyAlignment="1">
      <alignment horizontal="center" vertical="center" wrapText="1"/>
    </xf>
    <xf numFmtId="9" fontId="52" fillId="38" borderId="148" xfId="5" applyFont="1" applyFill="1" applyBorder="1" applyAlignment="1">
      <alignment horizontal="center" vertical="center" wrapText="1"/>
    </xf>
    <xf numFmtId="0" fontId="52" fillId="38" borderId="148" xfId="0" applyFont="1" applyFill="1" applyBorder="1" applyAlignment="1">
      <alignment vertical="center" wrapText="1"/>
    </xf>
    <xf numFmtId="201" fontId="51" fillId="38" borderId="148" xfId="9" applyNumberFormat="1" applyFont="1" applyFill="1" applyBorder="1" applyAlignment="1">
      <alignment horizontal="center" vertical="center" wrapText="1"/>
    </xf>
    <xf numFmtId="0" fontId="51" fillId="42" borderId="148" xfId="0" applyFont="1" applyFill="1" applyBorder="1"/>
    <xf numFmtId="3" fontId="51" fillId="42" borderId="148" xfId="0" applyNumberFormat="1" applyFont="1" applyFill="1" applyBorder="1"/>
    <xf numFmtId="0" fontId="51" fillId="42" borderId="148" xfId="0" applyFont="1" applyFill="1" applyBorder="1" applyAlignment="1">
      <alignment horizontal="center"/>
    </xf>
    <xf numFmtId="0" fontId="51" fillId="42" borderId="148" xfId="0" applyFont="1" applyFill="1" applyBorder="1" applyAlignment="1">
      <alignment wrapText="1"/>
    </xf>
    <xf numFmtId="3" fontId="51" fillId="42" borderId="148" xfId="0" applyNumberFormat="1" applyFont="1" applyFill="1" applyBorder="1" applyAlignment="1">
      <alignment vertical="center"/>
    </xf>
    <xf numFmtId="0" fontId="49" fillId="42" borderId="32" xfId="0" applyFont="1" applyFill="1" applyBorder="1" applyAlignment="1">
      <alignment vertical="center" wrapText="1"/>
    </xf>
    <xf numFmtId="0" fontId="49" fillId="39" borderId="148" xfId="0" applyFont="1" applyFill="1" applyBorder="1" applyAlignment="1">
      <alignment horizontal="justify" vertical="center" wrapText="1"/>
    </xf>
    <xf numFmtId="0" fontId="51" fillId="39" borderId="148" xfId="0" applyFont="1" applyFill="1" applyBorder="1"/>
    <xf numFmtId="3" fontId="51" fillId="39" borderId="148" xfId="0" applyNumberFormat="1" applyFont="1" applyFill="1" applyBorder="1" applyAlignment="1">
      <alignment vertical="center"/>
    </xf>
    <xf numFmtId="9" fontId="49" fillId="39" borderId="148" xfId="5" applyFont="1" applyFill="1" applyBorder="1" applyAlignment="1">
      <alignment horizontal="center" vertical="center" wrapText="1"/>
    </xf>
    <xf numFmtId="3" fontId="51" fillId="39" borderId="148" xfId="0" applyNumberFormat="1" applyFont="1" applyFill="1" applyBorder="1"/>
    <xf numFmtId="0" fontId="51" fillId="39" borderId="148" xfId="0" applyFont="1" applyFill="1" applyBorder="1" applyAlignment="1">
      <alignment wrapText="1"/>
    </xf>
    <xf numFmtId="0" fontId="51" fillId="39" borderId="148" xfId="0" applyFont="1" applyFill="1" applyBorder="1" applyAlignment="1">
      <alignment horizontal="center"/>
    </xf>
    <xf numFmtId="0" fontId="49" fillId="39" borderId="32" xfId="0" applyFont="1" applyFill="1" applyBorder="1" applyAlignment="1">
      <alignment vertical="center" wrapText="1"/>
    </xf>
    <xf numFmtId="0" fontId="49" fillId="41" borderId="148" xfId="0" applyFont="1" applyFill="1" applyBorder="1" applyAlignment="1">
      <alignment horizontal="justify" vertical="center" wrapText="1"/>
    </xf>
    <xf numFmtId="0" fontId="51" fillId="41" borderId="148" xfId="0" applyFont="1" applyFill="1" applyBorder="1" applyAlignment="1">
      <alignment horizontal="center"/>
    </xf>
    <xf numFmtId="0" fontId="51" fillId="41" borderId="148" xfId="0" applyFont="1" applyFill="1" applyBorder="1" applyAlignment="1">
      <alignment horizontal="center" wrapText="1"/>
    </xf>
    <xf numFmtId="0" fontId="49" fillId="41" borderId="32" xfId="0" applyFont="1" applyFill="1" applyBorder="1" applyAlignment="1">
      <alignment vertical="center" wrapText="1"/>
    </xf>
    <xf numFmtId="0" fontId="49" fillId="43" borderId="148" xfId="0" applyFont="1" applyFill="1" applyBorder="1" applyAlignment="1">
      <alignment horizontal="justify" vertical="center" wrapText="1"/>
    </xf>
    <xf numFmtId="0" fontId="51" fillId="43" borderId="148" xfId="0" applyFont="1" applyFill="1" applyBorder="1" applyAlignment="1">
      <alignment horizontal="justify" vertical="center" wrapText="1"/>
    </xf>
    <xf numFmtId="0" fontId="26" fillId="43" borderId="148" xfId="0" applyFont="1" applyFill="1" applyBorder="1" applyAlignment="1">
      <alignment horizontal="center" vertical="center" wrapText="1"/>
    </xf>
    <xf numFmtId="0" fontId="26" fillId="43" borderId="148" xfId="0" applyFont="1" applyFill="1" applyBorder="1" applyAlignment="1">
      <alignment horizontal="center" vertical="center"/>
    </xf>
    <xf numFmtId="0" fontId="26" fillId="43" borderId="148" xfId="0" applyFont="1" applyFill="1" applyBorder="1"/>
    <xf numFmtId="0" fontId="51" fillId="43" borderId="148" xfId="0" applyFont="1" applyFill="1" applyBorder="1"/>
    <xf numFmtId="9" fontId="49" fillId="43" borderId="148" xfId="5" applyFont="1" applyFill="1" applyBorder="1" applyAlignment="1">
      <alignment horizontal="center" vertical="center" wrapText="1"/>
    </xf>
    <xf numFmtId="0" fontId="51" fillId="43" borderId="148" xfId="0" applyFont="1" applyFill="1" applyBorder="1" applyAlignment="1">
      <alignment vertical="center" wrapText="1"/>
    </xf>
    <xf numFmtId="0" fontId="51" fillId="43" borderId="148" xfId="0" applyFont="1" applyFill="1" applyBorder="1" applyAlignment="1">
      <alignment horizontal="center" vertical="center"/>
    </xf>
    <xf numFmtId="0" fontId="51" fillId="43" borderId="148" xfId="0" applyFont="1" applyFill="1" applyBorder="1" applyAlignment="1">
      <alignment horizontal="center" vertical="center" wrapText="1"/>
    </xf>
    <xf numFmtId="0" fontId="26" fillId="43" borderId="148" xfId="0" applyFont="1" applyFill="1" applyBorder="1" applyAlignment="1">
      <alignment vertical="center" wrapText="1"/>
    </xf>
    <xf numFmtId="3" fontId="26" fillId="43" borderId="148" xfId="0" applyNumberFormat="1" applyFont="1" applyFill="1" applyBorder="1"/>
    <xf numFmtId="3" fontId="51" fillId="43" borderId="148" xfId="0" applyNumberFormat="1" applyFont="1" applyFill="1" applyBorder="1" applyAlignment="1">
      <alignment horizontal="center" vertical="center"/>
    </xf>
    <xf numFmtId="0" fontId="49" fillId="43" borderId="32" xfId="0" applyFont="1" applyFill="1" applyBorder="1" applyAlignment="1">
      <alignment vertical="center" wrapText="1"/>
    </xf>
    <xf numFmtId="0" fontId="51" fillId="43" borderId="148" xfId="0" applyFont="1" applyFill="1" applyBorder="1" applyAlignment="1">
      <alignment horizontal="center" vertical="center" textRotation="90" wrapText="1"/>
    </xf>
    <xf numFmtId="0" fontId="51" fillId="43" borderId="148" xfId="0" applyFont="1" applyFill="1" applyBorder="1" applyAlignment="1">
      <alignment horizontal="center"/>
    </xf>
    <xf numFmtId="0" fontId="26" fillId="43" borderId="148" xfId="0" applyFont="1" applyFill="1" applyBorder="1" applyAlignment="1">
      <alignment wrapText="1"/>
    </xf>
    <xf numFmtId="0" fontId="7" fillId="43" borderId="148" xfId="0" applyFont="1" applyFill="1" applyBorder="1" applyAlignment="1">
      <alignment horizontal="center" vertical="center"/>
    </xf>
    <xf numFmtId="0" fontId="0" fillId="72" borderId="148" xfId="0" applyFont="1" applyFill="1" applyBorder="1" applyAlignment="1">
      <alignment horizontal="center" vertical="center" wrapText="1"/>
    </xf>
    <xf numFmtId="174" fontId="0" fillId="72" borderId="148" xfId="9" applyNumberFormat="1" applyFont="1" applyFill="1" applyBorder="1" applyAlignment="1">
      <alignment vertical="center"/>
    </xf>
    <xf numFmtId="188" fontId="0" fillId="72" borderId="148" xfId="9" applyNumberFormat="1" applyFont="1" applyFill="1" applyBorder="1" applyAlignment="1">
      <alignment horizontal="center" vertical="center"/>
    </xf>
    <xf numFmtId="170" fontId="0" fillId="72" borderId="148" xfId="9" applyFont="1" applyFill="1" applyBorder="1" applyAlignment="1">
      <alignment vertical="center"/>
    </xf>
    <xf numFmtId="0" fontId="51" fillId="72" borderId="148" xfId="0" applyFont="1" applyFill="1" applyBorder="1"/>
    <xf numFmtId="0" fontId="51" fillId="72" borderId="148" xfId="0" applyFont="1" applyFill="1" applyBorder="1" applyAlignment="1">
      <alignment horizontal="center"/>
    </xf>
    <xf numFmtId="174" fontId="0" fillId="44" borderId="148" xfId="9" applyNumberFormat="1" applyFont="1" applyFill="1" applyBorder="1" applyAlignment="1">
      <alignment vertical="center"/>
    </xf>
    <xf numFmtId="188" fontId="0" fillId="44" borderId="148" xfId="9" applyNumberFormat="1" applyFont="1" applyFill="1" applyBorder="1" applyAlignment="1">
      <alignment vertical="center"/>
    </xf>
    <xf numFmtId="0" fontId="51" fillId="44" borderId="148" xfId="0" applyFont="1" applyFill="1" applyBorder="1" applyAlignment="1">
      <alignment horizontal="center"/>
    </xf>
    <xf numFmtId="9" fontId="49" fillId="44" borderId="148" xfId="5" applyFont="1" applyFill="1" applyBorder="1" applyAlignment="1">
      <alignment horizontal="center" vertical="center" wrapText="1"/>
    </xf>
    <xf numFmtId="0" fontId="49" fillId="33" borderId="148" xfId="0" applyFont="1" applyFill="1" applyBorder="1" applyAlignment="1">
      <alignment horizontal="justify" vertical="center" wrapText="1"/>
    </xf>
    <xf numFmtId="174" fontId="0" fillId="33" borderId="148" xfId="9" applyNumberFormat="1" applyFont="1" applyFill="1" applyBorder="1" applyAlignment="1">
      <alignment vertical="center"/>
    </xf>
    <xf numFmtId="188" fontId="0" fillId="33" borderId="148" xfId="9" applyNumberFormat="1" applyFont="1" applyFill="1" applyBorder="1" applyAlignment="1">
      <alignment horizontal="center" vertical="center"/>
    </xf>
    <xf numFmtId="170" fontId="0" fillId="33" borderId="148" xfId="9" applyFont="1" applyFill="1" applyBorder="1" applyAlignment="1">
      <alignment vertical="center"/>
    </xf>
    <xf numFmtId="0" fontId="51" fillId="33" borderId="148" xfId="0" applyFont="1" applyFill="1" applyBorder="1"/>
    <xf numFmtId="0" fontId="51" fillId="33" borderId="148" xfId="0" applyFont="1" applyFill="1" applyBorder="1" applyAlignment="1">
      <alignment horizontal="center"/>
    </xf>
    <xf numFmtId="188" fontId="0" fillId="33" borderId="148" xfId="9" applyNumberFormat="1" applyFont="1" applyFill="1" applyBorder="1" applyAlignment="1">
      <alignment vertical="center"/>
    </xf>
    <xf numFmtId="174" fontId="0" fillId="42" borderId="148" xfId="9" applyNumberFormat="1" applyFont="1" applyFill="1" applyBorder="1" applyAlignment="1">
      <alignment vertical="center"/>
    </xf>
    <xf numFmtId="188" fontId="0" fillId="42" borderId="148" xfId="9" applyNumberFormat="1" applyFont="1" applyFill="1" applyBorder="1" applyAlignment="1">
      <alignment vertical="center"/>
    </xf>
    <xf numFmtId="0" fontId="0" fillId="42" borderId="148" xfId="0" applyFont="1" applyFill="1" applyBorder="1" applyAlignment="1">
      <alignment horizontal="center"/>
    </xf>
    <xf numFmtId="0" fontId="52" fillId="44" borderId="148" xfId="0" applyFont="1" applyFill="1" applyBorder="1" applyAlignment="1">
      <alignment horizontal="justify" vertical="center" wrapText="1"/>
    </xf>
    <xf numFmtId="0" fontId="52" fillId="44" borderId="148" xfId="0" applyFont="1" applyFill="1" applyBorder="1" applyAlignment="1">
      <alignment vertical="center" wrapText="1"/>
    </xf>
    <xf numFmtId="0" fontId="52" fillId="72" borderId="148" xfId="0" applyFont="1" applyFill="1" applyBorder="1" applyAlignment="1">
      <alignment horizontal="justify" vertical="center" wrapText="1"/>
    </xf>
    <xf numFmtId="0" fontId="51" fillId="72" borderId="32" xfId="0" applyFont="1" applyFill="1" applyBorder="1" applyAlignment="1">
      <alignment vertical="center" wrapText="1"/>
    </xf>
    <xf numFmtId="0" fontId="51" fillId="29" borderId="32" xfId="0" applyFont="1" applyFill="1" applyBorder="1" applyAlignment="1">
      <alignment vertical="top" wrapText="1"/>
    </xf>
    <xf numFmtId="0" fontId="49" fillId="29" borderId="32" xfId="0" applyFont="1" applyFill="1" applyBorder="1" applyAlignment="1">
      <alignment vertical="center" wrapText="1"/>
    </xf>
    <xf numFmtId="0" fontId="48" fillId="7" borderId="149" xfId="0" applyFont="1" applyFill="1" applyBorder="1" applyAlignment="1">
      <alignment horizontal="center" vertical="center" wrapText="1"/>
    </xf>
    <xf numFmtId="9" fontId="51" fillId="42" borderId="148" xfId="0" applyNumberFormat="1" applyFont="1" applyFill="1" applyBorder="1" applyAlignment="1">
      <alignment horizontal="center" vertical="center" wrapText="1"/>
    </xf>
    <xf numFmtId="0" fontId="51" fillId="42" borderId="148" xfId="0" applyFont="1" applyFill="1" applyBorder="1" applyAlignment="1">
      <alignment horizontal="left" vertical="top" wrapText="1"/>
    </xf>
    <xf numFmtId="0" fontId="48" fillId="99" borderId="148" xfId="0" applyFont="1" applyFill="1" applyBorder="1" applyAlignment="1">
      <alignment vertical="top" wrapText="1"/>
    </xf>
    <xf numFmtId="9" fontId="51" fillId="42" borderId="148" xfId="0" applyNumberFormat="1" applyFont="1" applyFill="1" applyBorder="1" applyAlignment="1">
      <alignment horizontal="center" vertical="center"/>
    </xf>
    <xf numFmtId="9" fontId="51" fillId="39" borderId="148" xfId="0" applyNumberFormat="1" applyFont="1" applyFill="1" applyBorder="1" applyAlignment="1">
      <alignment horizontal="center" vertical="center"/>
    </xf>
    <xf numFmtId="9" fontId="51" fillId="39" borderId="148" xfId="0" applyNumberFormat="1" applyFont="1" applyFill="1" applyBorder="1" applyAlignment="1">
      <alignment horizontal="center" vertical="center" wrapText="1"/>
    </xf>
    <xf numFmtId="173" fontId="51" fillId="39" borderId="148" xfId="0" applyNumberFormat="1" applyFont="1" applyFill="1" applyBorder="1" applyAlignment="1">
      <alignment horizontal="center" vertical="center" wrapText="1"/>
    </xf>
    <xf numFmtId="9" fontId="51" fillId="39" borderId="148" xfId="0" applyNumberFormat="1" applyFont="1" applyFill="1" applyBorder="1" applyAlignment="1">
      <alignment horizontal="center"/>
    </xf>
    <xf numFmtId="173" fontId="51" fillId="39" borderId="148" xfId="0" applyNumberFormat="1" applyFont="1" applyFill="1" applyBorder="1" applyAlignment="1">
      <alignment horizontal="center" vertical="center"/>
    </xf>
    <xf numFmtId="10" fontId="51" fillId="39" borderId="148" xfId="0" applyNumberFormat="1" applyFont="1" applyFill="1" applyBorder="1" applyAlignment="1">
      <alignment horizontal="center" vertical="center" wrapText="1"/>
    </xf>
    <xf numFmtId="0" fontId="26" fillId="39" borderId="148" xfId="0" applyFont="1" applyFill="1" applyBorder="1" applyAlignment="1">
      <alignment horizontal="center"/>
    </xf>
    <xf numFmtId="10" fontId="51" fillId="41" borderId="148" xfId="0" applyNumberFormat="1" applyFont="1" applyFill="1" applyBorder="1" applyAlignment="1">
      <alignment horizontal="center" vertical="center" wrapText="1"/>
    </xf>
    <xf numFmtId="173" fontId="26" fillId="43" borderId="148" xfId="0" applyNumberFormat="1" applyFont="1" applyFill="1" applyBorder="1" applyAlignment="1">
      <alignment horizontal="center" vertical="center"/>
    </xf>
    <xf numFmtId="0" fontId="26" fillId="43" borderId="148" xfId="0" applyFont="1" applyFill="1" applyBorder="1" applyAlignment="1"/>
    <xf numFmtId="10" fontId="51" fillId="43" borderId="148" xfId="0" applyNumberFormat="1" applyFont="1" applyFill="1" applyBorder="1" applyAlignment="1">
      <alignment horizontal="center" vertical="center" wrapText="1"/>
    </xf>
    <xf numFmtId="9" fontId="26" fillId="43" borderId="148" xfId="0" applyNumberFormat="1" applyFont="1" applyFill="1" applyBorder="1" applyAlignment="1">
      <alignment horizontal="center" vertical="center"/>
    </xf>
    <xf numFmtId="9" fontId="51" fillId="43" borderId="148" xfId="0" applyNumberFormat="1" applyFont="1" applyFill="1" applyBorder="1" applyAlignment="1">
      <alignment horizontal="center" vertical="center" wrapText="1"/>
    </xf>
    <xf numFmtId="3" fontId="26" fillId="43" borderId="148" xfId="0" applyNumberFormat="1" applyFont="1" applyFill="1" applyBorder="1" applyAlignment="1">
      <alignment horizontal="center" vertical="center"/>
    </xf>
    <xf numFmtId="0" fontId="53" fillId="44" borderId="148" xfId="0" applyFont="1" applyFill="1" applyBorder="1" applyAlignment="1">
      <alignment vertical="center" wrapText="1"/>
    </xf>
    <xf numFmtId="9" fontId="10" fillId="72" borderId="148" xfId="0" applyNumberFormat="1" applyFont="1" applyFill="1" applyBorder="1" applyAlignment="1">
      <alignment horizontal="center" vertical="center" wrapText="1"/>
    </xf>
    <xf numFmtId="0" fontId="51" fillId="72" borderId="148" xfId="0" applyFont="1" applyFill="1" applyBorder="1" applyAlignment="1">
      <alignment horizontal="left" vertical="top" wrapText="1"/>
    </xf>
    <xf numFmtId="9" fontId="0" fillId="72" borderId="148" xfId="0" applyNumberFormat="1" applyFont="1" applyFill="1" applyBorder="1" applyAlignment="1">
      <alignment horizontal="center" vertical="center" wrapText="1"/>
    </xf>
    <xf numFmtId="0" fontId="0" fillId="72" borderId="148" xfId="0" applyFont="1" applyFill="1" applyBorder="1" applyAlignment="1">
      <alignment horizontal="left" vertical="top" wrapText="1"/>
    </xf>
    <xf numFmtId="0" fontId="0" fillId="72" borderId="148" xfId="0" applyFont="1" applyFill="1" applyBorder="1" applyAlignment="1">
      <alignment horizontal="center" vertical="center"/>
    </xf>
    <xf numFmtId="0" fontId="0" fillId="72" borderId="148" xfId="0" applyFill="1" applyBorder="1" applyAlignment="1">
      <alignment horizontal="left" vertical="top"/>
    </xf>
    <xf numFmtId="0" fontId="0" fillId="72" borderId="148" xfId="0" applyFill="1" applyBorder="1"/>
    <xf numFmtId="0" fontId="0" fillId="33" borderId="148" xfId="0" applyFont="1" applyFill="1" applyBorder="1" applyAlignment="1">
      <alignment wrapText="1"/>
    </xf>
    <xf numFmtId="0" fontId="26" fillId="33" borderId="148" xfId="0" applyFont="1" applyFill="1" applyBorder="1" applyAlignment="1">
      <alignment horizontal="center" vertical="center" wrapText="1"/>
    </xf>
    <xf numFmtId="0" fontId="49" fillId="33" borderId="148" xfId="0" applyFont="1" applyFill="1" applyBorder="1" applyAlignment="1">
      <alignment vertical="center" wrapText="1"/>
    </xf>
    <xf numFmtId="10" fontId="0" fillId="33" borderId="148" xfId="5" applyNumberFormat="1" applyFont="1" applyFill="1" applyBorder="1" applyAlignment="1">
      <alignment horizontal="center" vertical="center"/>
    </xf>
    <xf numFmtId="10" fontId="0" fillId="42" borderId="148" xfId="5" applyNumberFormat="1" applyFont="1" applyFill="1" applyBorder="1" applyAlignment="1">
      <alignment horizontal="center" vertical="center" wrapText="1"/>
    </xf>
    <xf numFmtId="0" fontId="0" fillId="39" borderId="148" xfId="0" applyFill="1" applyBorder="1" applyAlignment="1">
      <alignment horizontal="center" vertical="top" wrapText="1"/>
    </xf>
    <xf numFmtId="170" fontId="0" fillId="39" borderId="148" xfId="9" applyFont="1" applyFill="1" applyBorder="1" applyAlignment="1">
      <alignment horizontal="center" vertical="center"/>
    </xf>
    <xf numFmtId="3" fontId="51" fillId="39" borderId="148" xfId="2" applyNumberFormat="1" applyFont="1" applyFill="1" applyBorder="1" applyAlignment="1">
      <alignment horizontal="center" vertical="center" wrapText="1"/>
    </xf>
    <xf numFmtId="0" fontId="51" fillId="39" borderId="148" xfId="0" applyFont="1" applyFill="1" applyBorder="1" applyAlignment="1">
      <alignment horizontal="left" vertical="top" wrapText="1"/>
    </xf>
    <xf numFmtId="0" fontId="51" fillId="39" borderId="148" xfId="2" applyFont="1" applyFill="1" applyBorder="1" applyAlignment="1">
      <alignment vertical="center" wrapText="1"/>
    </xf>
    <xf numFmtId="0" fontId="25" fillId="39" borderId="148" xfId="2" applyFont="1" applyFill="1" applyBorder="1" applyAlignment="1">
      <alignment vertical="center" wrapText="1"/>
    </xf>
    <xf numFmtId="0" fontId="52" fillId="39" borderId="148" xfId="0" applyFont="1" applyFill="1" applyBorder="1" applyAlignment="1">
      <alignment vertical="center"/>
    </xf>
    <xf numFmtId="0" fontId="52" fillId="39" borderId="148" xfId="2" applyFont="1" applyFill="1" applyBorder="1" applyAlignment="1">
      <alignment vertical="center" wrapText="1"/>
    </xf>
    <xf numFmtId="0" fontId="52" fillId="39" borderId="148" xfId="0" applyFont="1" applyFill="1" applyBorder="1"/>
    <xf numFmtId="0" fontId="52" fillId="39" borderId="148" xfId="2" applyFont="1" applyFill="1" applyBorder="1" applyAlignment="1">
      <alignment horizontal="center" vertical="center" wrapText="1"/>
    </xf>
    <xf numFmtId="0" fontId="52" fillId="39" borderId="148" xfId="0" applyFont="1" applyFill="1" applyBorder="1" applyAlignment="1">
      <alignment horizontal="center"/>
    </xf>
    <xf numFmtId="0" fontId="71" fillId="39" borderId="148" xfId="2" applyFont="1" applyFill="1" applyBorder="1" applyAlignment="1">
      <alignment vertical="center" wrapText="1"/>
    </xf>
    <xf numFmtId="9" fontId="51" fillId="39" borderId="148" xfId="2" applyNumberFormat="1" applyFont="1" applyFill="1" applyBorder="1" applyAlignment="1">
      <alignment vertical="center" wrapText="1"/>
    </xf>
    <xf numFmtId="0" fontId="51" fillId="39" borderId="148" xfId="2" applyFont="1" applyFill="1" applyBorder="1" applyAlignment="1">
      <alignment horizontal="center" vertical="center" wrapText="1"/>
    </xf>
    <xf numFmtId="164" fontId="51" fillId="39" borderId="148" xfId="4" applyFont="1" applyFill="1" applyBorder="1" applyAlignment="1">
      <alignment horizontal="center" vertical="center"/>
    </xf>
    <xf numFmtId="9" fontId="25" fillId="39" borderId="148" xfId="2" applyNumberFormat="1" applyFont="1" applyFill="1" applyBorder="1" applyAlignment="1">
      <alignment vertical="center" wrapText="1"/>
    </xf>
    <xf numFmtId="0" fontId="53" fillId="39" borderId="148" xfId="0" applyFont="1" applyFill="1" applyBorder="1" applyAlignment="1">
      <alignment vertical="center" wrapText="1"/>
    </xf>
    <xf numFmtId="0" fontId="52" fillId="39" borderId="148" xfId="0" applyFont="1" applyFill="1" applyBorder="1" applyAlignment="1">
      <alignment vertical="center" wrapText="1"/>
    </xf>
    <xf numFmtId="0" fontId="52" fillId="39" borderId="148" xfId="0" applyFont="1" applyFill="1" applyBorder="1" applyAlignment="1">
      <alignment horizontal="justify" vertical="center" wrapText="1"/>
    </xf>
    <xf numFmtId="9" fontId="0" fillId="39" borderId="148" xfId="0" applyNumberFormat="1" applyFont="1" applyFill="1" applyBorder="1" applyAlignment="1">
      <alignment horizontal="center" vertical="center"/>
    </xf>
    <xf numFmtId="0" fontId="0" fillId="39" borderId="148" xfId="0" applyFont="1" applyFill="1" applyBorder="1" applyAlignment="1">
      <alignment vertical="center"/>
    </xf>
    <xf numFmtId="0" fontId="0" fillId="39" borderId="148" xfId="0" applyFont="1" applyFill="1" applyBorder="1" applyAlignment="1">
      <alignment wrapText="1"/>
    </xf>
    <xf numFmtId="0" fontId="17" fillId="39" borderId="148" xfId="0" applyFont="1" applyFill="1" applyBorder="1" applyAlignment="1">
      <alignment horizontal="left" vertical="top" wrapText="1"/>
    </xf>
    <xf numFmtId="191" fontId="0" fillId="41" borderId="148" xfId="10" applyNumberFormat="1" applyFont="1" applyFill="1" applyBorder="1"/>
    <xf numFmtId="0" fontId="17" fillId="41" borderId="148" xfId="0" applyFont="1" applyFill="1" applyBorder="1" applyAlignment="1">
      <alignment horizontal="left" vertical="top" wrapText="1"/>
    </xf>
    <xf numFmtId="9" fontId="66" fillId="41" borderId="148" xfId="0" applyNumberFormat="1" applyFont="1" applyFill="1" applyBorder="1" applyAlignment="1">
      <alignment horizontal="center" vertical="center" wrapText="1"/>
    </xf>
    <xf numFmtId="187" fontId="67" fillId="89" borderId="148" xfId="0" applyNumberFormat="1" applyFont="1" applyFill="1" applyBorder="1" applyAlignment="1">
      <alignment horizontal="center" vertical="center" wrapText="1"/>
    </xf>
    <xf numFmtId="187" fontId="67" fillId="89" borderId="148" xfId="0" applyNumberFormat="1" applyFont="1" applyFill="1" applyBorder="1" applyAlignment="1">
      <alignment vertical="center"/>
    </xf>
    <xf numFmtId="169" fontId="67" fillId="89" borderId="148" xfId="0" applyNumberFormat="1" applyFont="1" applyFill="1" applyBorder="1" applyAlignment="1">
      <alignment vertical="center"/>
    </xf>
    <xf numFmtId="187" fontId="67" fillId="89" borderId="148" xfId="0" applyNumberFormat="1" applyFont="1" applyFill="1" applyBorder="1" applyAlignment="1">
      <alignment vertical="center" wrapText="1"/>
    </xf>
    <xf numFmtId="0" fontId="67" fillId="41" borderId="148" xfId="0" applyFont="1" applyFill="1" applyBorder="1" applyAlignment="1">
      <alignment horizontal="center" vertical="center" wrapText="1"/>
    </xf>
    <xf numFmtId="0" fontId="67" fillId="41" borderId="148" xfId="0" applyFont="1" applyFill="1" applyBorder="1" applyAlignment="1">
      <alignment horizontal="center" vertical="center"/>
    </xf>
    <xf numFmtId="1" fontId="67" fillId="41" borderId="148" xfId="0" applyNumberFormat="1" applyFont="1" applyFill="1" applyBorder="1" applyAlignment="1">
      <alignment horizontal="center" vertical="center" wrapText="1"/>
    </xf>
    <xf numFmtId="0" fontId="67" fillId="41" borderId="148" xfId="0" applyFont="1" applyFill="1" applyBorder="1" applyAlignment="1">
      <alignment vertical="center" wrapText="1"/>
    </xf>
    <xf numFmtId="0" fontId="67" fillId="41" borderId="148" xfId="0" applyFont="1" applyFill="1" applyBorder="1" applyAlignment="1">
      <alignment vertical="center"/>
    </xf>
    <xf numFmtId="0" fontId="72" fillId="41" borderId="148" xfId="0" applyFont="1" applyFill="1" applyBorder="1" applyAlignment="1">
      <alignment wrapText="1"/>
    </xf>
    <xf numFmtId="187" fontId="67" fillId="41" borderId="148" xfId="0" applyNumberFormat="1" applyFont="1" applyFill="1" applyBorder="1" applyAlignment="1">
      <alignment horizontal="center" vertical="center" wrapText="1"/>
    </xf>
    <xf numFmtId="187" fontId="67" fillId="41" borderId="148" xfId="0" applyNumberFormat="1" applyFont="1" applyFill="1" applyBorder="1" applyAlignment="1">
      <alignment vertical="center"/>
    </xf>
    <xf numFmtId="169" fontId="67" fillId="41" borderId="148" xfId="0" applyNumberFormat="1" applyFont="1" applyFill="1" applyBorder="1" applyAlignment="1">
      <alignment vertical="center"/>
    </xf>
    <xf numFmtId="187" fontId="67" fillId="41" borderId="148" xfId="0" applyNumberFormat="1" applyFont="1" applyFill="1" applyBorder="1" applyAlignment="1">
      <alignment vertical="center" wrapText="1"/>
    </xf>
    <xf numFmtId="169" fontId="67" fillId="89" borderId="148" xfId="0" applyNumberFormat="1" applyFont="1" applyFill="1" applyBorder="1" applyAlignment="1">
      <alignment vertical="center" wrapText="1"/>
    </xf>
    <xf numFmtId="0" fontId="67" fillId="41" borderId="148" xfId="0" applyFont="1" applyFill="1" applyBorder="1" applyAlignment="1">
      <alignment wrapText="1"/>
    </xf>
    <xf numFmtId="0" fontId="67" fillId="41" borderId="148" xfId="0" applyFont="1" applyFill="1" applyBorder="1" applyAlignment="1"/>
    <xf numFmtId="0" fontId="48" fillId="93" borderId="148" xfId="22" applyNumberFormat="1" applyFont="1" applyFill="1" applyBorder="1" applyAlignment="1">
      <alignment horizontal="center" vertical="center" wrapText="1"/>
    </xf>
    <xf numFmtId="0" fontId="49" fillId="41" borderId="148" xfId="22" applyNumberFormat="1" applyFont="1" applyFill="1" applyBorder="1" applyAlignment="1">
      <alignment vertical="center" wrapText="1"/>
    </xf>
    <xf numFmtId="200" fontId="49" fillId="100" borderId="148" xfId="22" applyNumberFormat="1" applyFont="1" applyFill="1" applyBorder="1" applyAlignment="1">
      <alignment horizontal="center" vertical="center" wrapText="1"/>
    </xf>
    <xf numFmtId="200" fontId="49" fillId="100" borderId="148" xfId="0" applyNumberFormat="1" applyFont="1" applyFill="1" applyBorder="1" applyAlignment="1">
      <alignment horizontal="center" vertical="center"/>
    </xf>
    <xf numFmtId="200" fontId="49" fillId="100" borderId="148" xfId="0" applyNumberFormat="1" applyFont="1" applyFill="1" applyBorder="1" applyAlignment="1">
      <alignment vertical="center"/>
    </xf>
    <xf numFmtId="0" fontId="49" fillId="93" borderId="148" xfId="22" applyNumberFormat="1" applyFont="1" applyFill="1" applyBorder="1" applyAlignment="1">
      <alignment horizontal="center" vertical="center" wrapText="1"/>
    </xf>
    <xf numFmtId="0" fontId="49" fillId="93" borderId="148" xfId="0" applyFont="1" applyFill="1" applyBorder="1" applyAlignment="1">
      <alignment horizontal="center" vertical="center"/>
    </xf>
    <xf numFmtId="1" fontId="49" fillId="93" borderId="148" xfId="22" applyNumberFormat="1" applyFont="1" applyFill="1" applyBorder="1" applyAlignment="1">
      <alignment horizontal="center" vertical="center" wrapText="1"/>
    </xf>
    <xf numFmtId="0" fontId="49" fillId="93" borderId="148" xfId="0" applyFont="1" applyFill="1" applyBorder="1" applyAlignment="1">
      <alignment vertical="center"/>
    </xf>
    <xf numFmtId="0" fontId="49" fillId="93" borderId="148" xfId="22" applyNumberFormat="1" applyFont="1" applyFill="1" applyBorder="1" applyAlignment="1">
      <alignment vertical="center" wrapText="1"/>
    </xf>
    <xf numFmtId="9" fontId="51" fillId="41" borderId="148" xfId="0" applyNumberFormat="1" applyFont="1" applyFill="1" applyBorder="1" applyAlignment="1">
      <alignment horizontal="center" vertical="center"/>
    </xf>
    <xf numFmtId="0" fontId="51" fillId="41" borderId="148" xfId="0" applyFont="1" applyFill="1" applyBorder="1" applyAlignment="1">
      <alignment horizontal="left" vertical="top" wrapText="1"/>
    </xf>
    <xf numFmtId="0" fontId="49" fillId="41" borderId="148" xfId="0" applyFont="1" applyFill="1" applyBorder="1" applyAlignment="1">
      <alignment horizontal="left" vertical="top" wrapText="1"/>
    </xf>
    <xf numFmtId="0" fontId="52" fillId="29" borderId="148" xfId="0" applyFont="1" applyFill="1" applyBorder="1" applyAlignment="1" applyProtection="1">
      <alignment vertical="center" wrapText="1"/>
      <protection locked="0"/>
    </xf>
    <xf numFmtId="0" fontId="51" fillId="29" borderId="148" xfId="0" applyFont="1" applyFill="1" applyBorder="1" applyAlignment="1">
      <alignment vertical="top" wrapText="1"/>
    </xf>
    <xf numFmtId="0" fontId="49" fillId="29" borderId="148" xfId="0" applyFont="1" applyFill="1" applyBorder="1" applyAlignment="1">
      <alignment vertical="center" wrapText="1"/>
    </xf>
    <xf numFmtId="0" fontId="51" fillId="29" borderId="148" xfId="0" applyFont="1" applyFill="1" applyBorder="1"/>
    <xf numFmtId="0" fontId="52" fillId="29" borderId="148" xfId="0" applyFont="1" applyFill="1" applyBorder="1" applyAlignment="1" applyProtection="1">
      <alignment horizontal="justify" vertical="center" wrapText="1"/>
      <protection locked="0"/>
    </xf>
    <xf numFmtId="9" fontId="0" fillId="29" borderId="148" xfId="5" applyFont="1" applyFill="1" applyBorder="1" applyAlignment="1">
      <alignment horizontal="center" vertical="center" wrapText="1"/>
    </xf>
    <xf numFmtId="188" fontId="0" fillId="29" borderId="148" xfId="9" applyNumberFormat="1" applyFont="1" applyFill="1" applyBorder="1" applyAlignment="1">
      <alignment vertical="center"/>
    </xf>
    <xf numFmtId="170" fontId="0" fillId="29" borderId="148" xfId="9" applyFont="1" applyFill="1" applyBorder="1" applyAlignment="1">
      <alignment vertical="center"/>
    </xf>
    <xf numFmtId="0" fontId="64" fillId="42" borderId="148" xfId="0" applyFont="1" applyFill="1" applyBorder="1" applyAlignment="1">
      <alignment horizontal="justify" vertical="center"/>
    </xf>
    <xf numFmtId="0" fontId="52" fillId="42" borderId="148" xfId="0" applyFont="1" applyFill="1" applyBorder="1" applyAlignment="1">
      <alignment horizontal="left" vertical="center" wrapText="1"/>
    </xf>
    <xf numFmtId="0" fontId="51" fillId="42" borderId="148" xfId="0" applyFont="1" applyFill="1" applyBorder="1" applyAlignment="1">
      <alignment horizontal="center" vertical="top" wrapText="1"/>
    </xf>
    <xf numFmtId="0" fontId="64" fillId="42" borderId="148" xfId="0" applyFont="1" applyFill="1" applyBorder="1" applyAlignment="1">
      <alignment horizontal="center" vertical="center" wrapText="1"/>
    </xf>
    <xf numFmtId="0" fontId="49" fillId="42" borderId="8" xfId="0" applyFont="1" applyFill="1" applyBorder="1" applyAlignment="1">
      <alignment horizontal="justify" vertical="center" wrapText="1"/>
    </xf>
    <xf numFmtId="0" fontId="49" fillId="42" borderId="8" xfId="0" applyFont="1" applyFill="1" applyBorder="1" applyAlignment="1">
      <alignment horizontal="center" vertical="center" wrapText="1"/>
    </xf>
    <xf numFmtId="9" fontId="51" fillId="42" borderId="8" xfId="0" applyNumberFormat="1" applyFont="1" applyFill="1" applyBorder="1" applyAlignment="1">
      <alignment horizontal="center" vertical="center" wrapText="1"/>
    </xf>
    <xf numFmtId="0" fontId="51" fillId="42" borderId="8" xfId="0" applyFont="1" applyFill="1" applyBorder="1" applyAlignment="1">
      <alignment horizontal="center" vertical="center" wrapText="1"/>
    </xf>
    <xf numFmtId="3" fontId="51" fillId="42" borderId="8" xfId="0" applyNumberFormat="1" applyFont="1" applyFill="1" applyBorder="1" applyAlignment="1">
      <alignment horizontal="center" vertical="center"/>
    </xf>
    <xf numFmtId="0" fontId="51" fillId="42" borderId="8" xfId="0" applyFont="1" applyFill="1" applyBorder="1" applyAlignment="1">
      <alignment horizontal="center" vertical="center"/>
    </xf>
    <xf numFmtId="0" fontId="51" fillId="42" borderId="8" xfId="0" applyFont="1" applyFill="1" applyBorder="1"/>
    <xf numFmtId="9" fontId="49" fillId="42" borderId="8" xfId="5" applyFont="1" applyFill="1" applyBorder="1" applyAlignment="1">
      <alignment horizontal="center" vertical="center" wrapText="1"/>
    </xf>
    <xf numFmtId="0" fontId="51" fillId="42" borderId="8" xfId="0" applyFont="1" applyFill="1" applyBorder="1" applyAlignment="1">
      <alignment horizontal="left" vertical="top" wrapText="1"/>
    </xf>
    <xf numFmtId="0" fontId="51" fillId="42" borderId="8" xfId="0" applyFont="1" applyFill="1" applyBorder="1" applyAlignment="1">
      <alignment vertical="center" wrapText="1"/>
    </xf>
    <xf numFmtId="0" fontId="48" fillId="99" borderId="8" xfId="0" applyFont="1" applyFill="1" applyBorder="1" applyAlignment="1">
      <alignment vertical="top" wrapText="1"/>
    </xf>
    <xf numFmtId="0" fontId="51" fillId="42" borderId="8" xfId="0" applyFont="1" applyFill="1" applyBorder="1" applyAlignment="1">
      <alignment horizontal="center"/>
    </xf>
    <xf numFmtId="0" fontId="51" fillId="42" borderId="9" xfId="0" applyFont="1" applyFill="1" applyBorder="1"/>
    <xf numFmtId="0" fontId="51" fillId="42" borderId="30" xfId="0" applyFont="1" applyFill="1" applyBorder="1" applyAlignment="1">
      <alignment vertical="center" wrapText="1"/>
    </xf>
    <xf numFmtId="9" fontId="0" fillId="42" borderId="30" xfId="5" applyFont="1" applyFill="1" applyBorder="1" applyAlignment="1">
      <alignment horizontal="center" vertical="center"/>
    </xf>
    <xf numFmtId="170" fontId="0" fillId="42" borderId="30" xfId="9" applyFont="1" applyFill="1" applyBorder="1" applyAlignment="1">
      <alignment vertical="center"/>
    </xf>
    <xf numFmtId="9" fontId="49" fillId="42" borderId="30" xfId="5" applyFont="1" applyFill="1" applyBorder="1" applyAlignment="1">
      <alignment horizontal="center" vertical="center" wrapText="1"/>
    </xf>
    <xf numFmtId="0" fontId="49" fillId="41" borderId="32" xfId="0" applyFont="1" applyFill="1" applyBorder="1" applyAlignment="1">
      <alignment horizontal="justify" vertical="center" wrapText="1"/>
    </xf>
    <xf numFmtId="0" fontId="51" fillId="41" borderId="32" xfId="0" applyFont="1" applyFill="1" applyBorder="1" applyAlignment="1">
      <alignment horizontal="justify" vertical="center" wrapText="1"/>
    </xf>
    <xf numFmtId="0" fontId="0" fillId="41" borderId="32" xfId="0" applyFont="1" applyFill="1" applyBorder="1" applyAlignment="1">
      <alignment wrapText="1"/>
    </xf>
    <xf numFmtId="191" fontId="0" fillId="41" borderId="32" xfId="10" applyNumberFormat="1" applyFont="1" applyFill="1" applyBorder="1"/>
    <xf numFmtId="9" fontId="49" fillId="41" borderId="32" xfId="5" applyFont="1" applyFill="1" applyBorder="1" applyAlignment="1">
      <alignment horizontal="center" vertical="center" wrapText="1"/>
    </xf>
    <xf numFmtId="0" fontId="17" fillId="41" borderId="32" xfId="0" applyFont="1" applyFill="1" applyBorder="1" applyAlignment="1">
      <alignment horizontal="left" vertical="top" wrapText="1"/>
    </xf>
    <xf numFmtId="0" fontId="51" fillId="41" borderId="32" xfId="0" applyFont="1" applyFill="1" applyBorder="1"/>
    <xf numFmtId="0" fontId="51" fillId="41" borderId="52" xfId="0" applyFont="1" applyFill="1" applyBorder="1"/>
    <xf numFmtId="0" fontId="52" fillId="39" borderId="30" xfId="0" applyFont="1" applyFill="1" applyBorder="1" applyAlignment="1">
      <alignment horizontal="justify" vertical="center" wrapText="1"/>
    </xf>
    <xf numFmtId="0" fontId="51" fillId="39" borderId="30" xfId="0" applyFont="1" applyFill="1" applyBorder="1" applyAlignment="1">
      <alignment horizontal="justify" vertical="center" wrapText="1"/>
    </xf>
    <xf numFmtId="9" fontId="0" fillId="39" borderId="30" xfId="0" applyNumberFormat="1" applyFont="1" applyFill="1" applyBorder="1" applyAlignment="1">
      <alignment horizontal="center" vertical="center"/>
    </xf>
    <xf numFmtId="0" fontId="0" fillId="39" borderId="30" xfId="0" applyFont="1" applyFill="1" applyBorder="1" applyAlignment="1">
      <alignment wrapText="1"/>
    </xf>
    <xf numFmtId="191" fontId="0" fillId="39" borderId="30" xfId="10" applyNumberFormat="1" applyFont="1" applyFill="1" applyBorder="1"/>
    <xf numFmtId="9" fontId="49" fillId="39" borderId="30" xfId="5" applyFont="1" applyFill="1" applyBorder="1" applyAlignment="1">
      <alignment horizontal="center" vertical="center" wrapText="1"/>
    </xf>
    <xf numFmtId="0" fontId="17" fillId="39" borderId="30" xfId="0" applyFont="1" applyFill="1" applyBorder="1" applyAlignment="1">
      <alignment horizontal="left" vertical="top" wrapText="1"/>
    </xf>
    <xf numFmtId="0" fontId="51" fillId="39" borderId="30" xfId="0" applyFont="1" applyFill="1" applyBorder="1"/>
    <xf numFmtId="0" fontId="51" fillId="39" borderId="31" xfId="0" applyFont="1" applyFill="1" applyBorder="1"/>
    <xf numFmtId="0" fontId="0" fillId="39" borderId="32" xfId="0" applyFill="1" applyBorder="1" applyAlignment="1">
      <alignment horizontal="center" vertical="center"/>
    </xf>
    <xf numFmtId="170" fontId="0" fillId="39" borderId="32" xfId="9" applyFont="1" applyFill="1" applyBorder="1" applyAlignment="1">
      <alignment vertical="center"/>
    </xf>
    <xf numFmtId="3" fontId="51" fillId="39" borderId="32" xfId="2" applyNumberFormat="1" applyFont="1" applyFill="1" applyBorder="1" applyAlignment="1">
      <alignment horizontal="center" vertical="center" wrapText="1"/>
    </xf>
    <xf numFmtId="0" fontId="51" fillId="39" borderId="32" xfId="2" applyFont="1" applyFill="1" applyBorder="1" applyAlignment="1">
      <alignment horizontal="center" vertical="center"/>
    </xf>
    <xf numFmtId="1" fontId="51" fillId="39" borderId="32" xfId="2" applyNumberFormat="1" applyFont="1" applyFill="1" applyBorder="1" applyAlignment="1">
      <alignment horizontal="center" vertical="center"/>
    </xf>
    <xf numFmtId="3" fontId="51" fillId="39" borderId="32" xfId="2" applyNumberFormat="1" applyFont="1" applyFill="1" applyBorder="1" applyAlignment="1">
      <alignment horizontal="center" vertical="center"/>
    </xf>
    <xf numFmtId="0" fontId="51" fillId="39" borderId="32" xfId="0" applyFont="1" applyFill="1" applyBorder="1"/>
    <xf numFmtId="9" fontId="51" fillId="39" borderId="32" xfId="0" applyNumberFormat="1" applyFont="1" applyFill="1" applyBorder="1" applyAlignment="1">
      <alignment horizontal="center" vertical="center"/>
    </xf>
    <xf numFmtId="0" fontId="51" fillId="39" borderId="52" xfId="0" applyFont="1" applyFill="1" applyBorder="1"/>
    <xf numFmtId="0" fontId="49" fillId="42" borderId="30" xfId="0" applyFont="1" applyFill="1" applyBorder="1" applyAlignment="1">
      <alignment horizontal="justify" vertical="center" wrapText="1"/>
    </xf>
    <xf numFmtId="0" fontId="49" fillId="42" borderId="30" xfId="0" applyFont="1" applyFill="1" applyBorder="1" applyAlignment="1">
      <alignment vertical="center" wrapText="1"/>
    </xf>
    <xf numFmtId="10" fontId="0" fillId="42" borderId="30" xfId="5" applyNumberFormat="1" applyFont="1" applyFill="1" applyBorder="1" applyAlignment="1">
      <alignment horizontal="center" vertical="center" wrapText="1"/>
    </xf>
    <xf numFmtId="0" fontId="0" fillId="42" borderId="30" xfId="0" applyFont="1" applyFill="1" applyBorder="1" applyAlignment="1">
      <alignment horizontal="center"/>
    </xf>
    <xf numFmtId="0" fontId="0" fillId="42" borderId="32" xfId="0" applyFont="1" applyFill="1" applyBorder="1" applyAlignment="1">
      <alignment wrapText="1"/>
    </xf>
    <xf numFmtId="174" fontId="0" fillId="42" borderId="32" xfId="9" applyNumberFormat="1" applyFont="1" applyFill="1" applyBorder="1" applyAlignment="1">
      <alignment vertical="center"/>
    </xf>
    <xf numFmtId="188" fontId="0" fillId="42" borderId="32" xfId="9" applyNumberFormat="1" applyFont="1" applyFill="1" applyBorder="1" applyAlignment="1">
      <alignment vertical="center"/>
    </xf>
    <xf numFmtId="170" fontId="0" fillId="42" borderId="32" xfId="9" applyFont="1" applyFill="1" applyBorder="1" applyAlignment="1">
      <alignment vertical="center"/>
    </xf>
    <xf numFmtId="0" fontId="0" fillId="42" borderId="32" xfId="0" applyFont="1" applyFill="1" applyBorder="1" applyAlignment="1">
      <alignment horizontal="center"/>
    </xf>
    <xf numFmtId="9" fontId="49" fillId="42" borderId="32" xfId="5" applyFont="1" applyFill="1" applyBorder="1" applyAlignment="1">
      <alignment horizontal="center" vertical="center" wrapText="1"/>
    </xf>
    <xf numFmtId="0" fontId="49" fillId="33" borderId="30" xfId="0" applyFont="1" applyFill="1" applyBorder="1" applyAlignment="1">
      <alignment horizontal="justify" vertical="center" wrapText="1"/>
    </xf>
    <xf numFmtId="0" fontId="51" fillId="33" borderId="30" xfId="0" applyFont="1" applyFill="1" applyBorder="1" applyAlignment="1">
      <alignment vertical="center" wrapText="1"/>
    </xf>
    <xf numFmtId="0" fontId="49" fillId="33" borderId="30" xfId="0" applyFont="1" applyFill="1" applyBorder="1" applyAlignment="1">
      <alignment vertical="center" wrapText="1"/>
    </xf>
    <xf numFmtId="0" fontId="0" fillId="33" borderId="30" xfId="0" applyFont="1" applyFill="1" applyBorder="1" applyAlignment="1">
      <alignment vertical="center" wrapText="1"/>
    </xf>
    <xf numFmtId="174" fontId="0" fillId="33" borderId="30" xfId="9" applyNumberFormat="1" applyFont="1" applyFill="1" applyBorder="1" applyAlignment="1">
      <alignment vertical="center"/>
    </xf>
    <xf numFmtId="188" fontId="0" fillId="33" borderId="30" xfId="9" applyNumberFormat="1" applyFont="1" applyFill="1" applyBorder="1" applyAlignment="1">
      <alignment vertical="center"/>
    </xf>
    <xf numFmtId="170" fontId="0" fillId="33" borderId="30" xfId="9" applyFont="1" applyFill="1" applyBorder="1" applyAlignment="1">
      <alignment vertical="center"/>
    </xf>
    <xf numFmtId="0" fontId="51" fillId="33" borderId="30" xfId="0" applyFont="1" applyFill="1" applyBorder="1"/>
    <xf numFmtId="9" fontId="49" fillId="33" borderId="30" xfId="5" applyFont="1" applyFill="1" applyBorder="1" applyAlignment="1">
      <alignment horizontal="center" vertical="center" wrapText="1"/>
    </xf>
    <xf numFmtId="0" fontId="0" fillId="33" borderId="30" xfId="0" applyFill="1" applyBorder="1" applyAlignment="1">
      <alignment horizontal="left" vertical="top" wrapText="1"/>
    </xf>
    <xf numFmtId="0" fontId="51" fillId="33" borderId="30" xfId="0" applyFont="1" applyFill="1" applyBorder="1" applyAlignment="1">
      <alignment horizontal="left" vertical="top" wrapText="1"/>
    </xf>
    <xf numFmtId="0" fontId="51" fillId="33" borderId="30" xfId="0" applyFont="1" applyFill="1" applyBorder="1" applyAlignment="1">
      <alignment vertical="top" wrapText="1"/>
    </xf>
    <xf numFmtId="0" fontId="51" fillId="33" borderId="30" xfId="0" applyFont="1" applyFill="1" applyBorder="1" applyAlignment="1">
      <alignment horizontal="center"/>
    </xf>
    <xf numFmtId="0" fontId="51" fillId="33" borderId="31" xfId="0" applyFont="1" applyFill="1" applyBorder="1"/>
    <xf numFmtId="0" fontId="49" fillId="72" borderId="32" xfId="0" applyFont="1" applyFill="1" applyBorder="1" applyAlignment="1">
      <alignment horizontal="center" vertical="center" wrapText="1"/>
    </xf>
    <xf numFmtId="9" fontId="10" fillId="72" borderId="32" xfId="0" applyNumberFormat="1" applyFont="1" applyFill="1" applyBorder="1" applyAlignment="1">
      <alignment horizontal="center" vertical="center" wrapText="1"/>
    </xf>
    <xf numFmtId="174" fontId="0" fillId="72" borderId="32" xfId="9" applyNumberFormat="1" applyFont="1" applyFill="1" applyBorder="1" applyAlignment="1">
      <alignment vertical="center"/>
    </xf>
    <xf numFmtId="188" fontId="0" fillId="72" borderId="32" xfId="9" applyNumberFormat="1" applyFont="1" applyFill="1" applyBorder="1" applyAlignment="1">
      <alignment horizontal="center" vertical="center"/>
    </xf>
    <xf numFmtId="170" fontId="0" fillId="72" borderId="32" xfId="9" applyFont="1" applyFill="1" applyBorder="1" applyAlignment="1">
      <alignment vertical="center"/>
    </xf>
    <xf numFmtId="0" fontId="51" fillId="72" borderId="32" xfId="0" applyFont="1" applyFill="1" applyBorder="1"/>
    <xf numFmtId="9" fontId="49" fillId="72" borderId="32" xfId="5" applyFont="1" applyFill="1" applyBorder="1" applyAlignment="1">
      <alignment horizontal="center" vertical="center" wrapText="1"/>
    </xf>
    <xf numFmtId="0" fontId="51" fillId="72" borderId="52" xfId="0" applyFont="1" applyFill="1" applyBorder="1"/>
    <xf numFmtId="0" fontId="51" fillId="44" borderId="30" xfId="0" applyFont="1" applyFill="1" applyBorder="1" applyAlignment="1">
      <alignment horizontal="justify" vertical="center" wrapText="1"/>
    </xf>
    <xf numFmtId="0" fontId="51" fillId="44" borderId="30" xfId="0" applyFont="1" applyFill="1" applyBorder="1" applyAlignment="1">
      <alignment vertical="center" wrapText="1"/>
    </xf>
    <xf numFmtId="9" fontId="0" fillId="44" borderId="30" xfId="0" applyNumberFormat="1" applyFont="1" applyFill="1" applyBorder="1" applyAlignment="1">
      <alignment horizontal="center" vertical="center" wrapText="1"/>
    </xf>
    <xf numFmtId="174" fontId="0" fillId="44" borderId="30" xfId="9" applyNumberFormat="1" applyFont="1" applyFill="1" applyBorder="1" applyAlignment="1">
      <alignment vertical="center"/>
    </xf>
    <xf numFmtId="188" fontId="0" fillId="44" borderId="30" xfId="9" applyNumberFormat="1" applyFont="1" applyFill="1" applyBorder="1" applyAlignment="1">
      <alignment vertical="center"/>
    </xf>
    <xf numFmtId="170" fontId="0" fillId="44" borderId="30" xfId="9" applyFont="1" applyFill="1" applyBorder="1" applyAlignment="1">
      <alignment vertical="center"/>
    </xf>
    <xf numFmtId="0" fontId="0" fillId="44" borderId="30" xfId="0" applyFont="1" applyFill="1" applyBorder="1" applyAlignment="1">
      <alignment horizontal="center" vertical="center"/>
    </xf>
    <xf numFmtId="9" fontId="49" fillId="44" borderId="30" xfId="5" applyFont="1" applyFill="1" applyBorder="1" applyAlignment="1">
      <alignment horizontal="center" vertical="center" wrapText="1"/>
    </xf>
    <xf numFmtId="0" fontId="0" fillId="44" borderId="30" xfId="0" applyFill="1" applyBorder="1" applyAlignment="1">
      <alignment horizontal="left" vertical="top"/>
    </xf>
    <xf numFmtId="0" fontId="51" fillId="44" borderId="30" xfId="0" applyFont="1" applyFill="1" applyBorder="1" applyAlignment="1">
      <alignment horizontal="center" vertical="top" wrapText="1"/>
    </xf>
    <xf numFmtId="0" fontId="51" fillId="44" borderId="30" xfId="0" applyFont="1" applyFill="1" applyBorder="1" applyAlignment="1">
      <alignment horizontal="center"/>
    </xf>
    <xf numFmtId="0" fontId="51" fillId="44" borderId="32" xfId="0" applyFont="1" applyFill="1" applyBorder="1" applyAlignment="1">
      <alignment horizontal="justify" vertical="center" wrapText="1"/>
    </xf>
    <xf numFmtId="0" fontId="49" fillId="44" borderId="32" xfId="0" applyFont="1" applyFill="1" applyBorder="1" applyAlignment="1">
      <alignment vertical="center" wrapText="1"/>
    </xf>
    <xf numFmtId="0" fontId="53" fillId="44" borderId="32" xfId="0" applyFont="1" applyFill="1" applyBorder="1" applyAlignment="1">
      <alignment horizontal="center" vertical="center" wrapText="1"/>
    </xf>
    <xf numFmtId="0" fontId="0" fillId="44" borderId="32" xfId="0" applyFill="1" applyBorder="1"/>
    <xf numFmtId="0" fontId="49" fillId="43" borderId="30" xfId="0" applyFont="1" applyFill="1" applyBorder="1" applyAlignment="1">
      <alignment horizontal="justify" vertical="center" wrapText="1"/>
    </xf>
    <xf numFmtId="0" fontId="51" fillId="43" borderId="30" xfId="0" applyFont="1" applyFill="1" applyBorder="1" applyAlignment="1">
      <alignment vertical="center" wrapText="1"/>
    </xf>
    <xf numFmtId="0" fontId="49" fillId="43" borderId="30" xfId="0" applyFont="1" applyFill="1" applyBorder="1" applyAlignment="1">
      <alignment vertical="center" wrapText="1"/>
    </xf>
    <xf numFmtId="0" fontId="49" fillId="43" borderId="30" xfId="0" applyFont="1" applyFill="1" applyBorder="1" applyAlignment="1">
      <alignment horizontal="center" vertical="center" wrapText="1"/>
    </xf>
    <xf numFmtId="9" fontId="26" fillId="43" borderId="30" xfId="0" applyNumberFormat="1" applyFont="1" applyFill="1" applyBorder="1" applyAlignment="1">
      <alignment horizontal="center" vertical="center"/>
    </xf>
    <xf numFmtId="0" fontId="26" fillId="43" borderId="30" xfId="0" applyFont="1" applyFill="1" applyBorder="1" applyAlignment="1">
      <alignment vertical="center" wrapText="1"/>
    </xf>
    <xf numFmtId="0" fontId="26" fillId="43" borderId="30" xfId="0" applyFont="1" applyFill="1" applyBorder="1"/>
    <xf numFmtId="3" fontId="26" fillId="43" borderId="30" xfId="0" applyNumberFormat="1" applyFont="1" applyFill="1" applyBorder="1"/>
    <xf numFmtId="0" fontId="26" fillId="43" borderId="30" xfId="0" applyFont="1" applyFill="1" applyBorder="1" applyAlignment="1">
      <alignment horizontal="center" vertical="center"/>
    </xf>
    <xf numFmtId="0" fontId="51" fillId="43" borderId="30" xfId="0" applyFont="1" applyFill="1" applyBorder="1"/>
    <xf numFmtId="0" fontId="51" fillId="43" borderId="30" xfId="0" applyFont="1" applyFill="1" applyBorder="1" applyAlignment="1">
      <alignment horizontal="center" vertical="center" wrapText="1"/>
    </xf>
    <xf numFmtId="9" fontId="49" fillId="43" borderId="30" xfId="5" applyFont="1" applyFill="1" applyBorder="1" applyAlignment="1">
      <alignment horizontal="center" vertical="center" wrapText="1"/>
    </xf>
    <xf numFmtId="3" fontId="51" fillId="43" borderId="30" xfId="0" applyNumberFormat="1" applyFont="1" applyFill="1" applyBorder="1" applyAlignment="1">
      <alignment horizontal="center" vertical="center"/>
    </xf>
    <xf numFmtId="0" fontId="51" fillId="43" borderId="30" xfId="0" applyFont="1" applyFill="1" applyBorder="1" applyAlignment="1">
      <alignment horizontal="center" vertical="center"/>
    </xf>
    <xf numFmtId="0" fontId="51" fillId="43" borderId="31" xfId="0" applyFont="1" applyFill="1" applyBorder="1"/>
    <xf numFmtId="0" fontId="51" fillId="41" borderId="32" xfId="0" applyFont="1" applyFill="1" applyBorder="1" applyAlignment="1">
      <alignment horizontal="center"/>
    </xf>
    <xf numFmtId="0" fontId="49" fillId="39" borderId="30" xfId="0" applyFont="1" applyFill="1" applyBorder="1" applyAlignment="1">
      <alignment vertical="center" wrapText="1"/>
    </xf>
    <xf numFmtId="0" fontId="26" fillId="39" borderId="30" xfId="0" applyFont="1" applyFill="1" applyBorder="1" applyAlignment="1">
      <alignment horizontal="center"/>
    </xf>
    <xf numFmtId="0" fontId="51" fillId="39" borderId="30" xfId="0" applyFont="1" applyFill="1" applyBorder="1" applyAlignment="1">
      <alignment horizontal="center"/>
    </xf>
    <xf numFmtId="0" fontId="48" fillId="6" borderId="8" xfId="0" applyFont="1" applyFill="1" applyBorder="1" applyAlignment="1" applyProtection="1">
      <alignment horizontal="center" vertical="center" wrapText="1"/>
      <protection locked="0"/>
    </xf>
    <xf numFmtId="0" fontId="48" fillId="0" borderId="58" xfId="0" applyFont="1" applyFill="1" applyBorder="1" applyAlignment="1">
      <alignment vertical="center" wrapText="1"/>
    </xf>
    <xf numFmtId="0" fontId="49" fillId="9" borderId="148" xfId="0" applyFont="1" applyFill="1" applyBorder="1" applyAlignment="1" applyProtection="1">
      <alignment horizontal="center" vertical="center" textRotation="90" wrapText="1"/>
      <protection locked="0"/>
    </xf>
    <xf numFmtId="0" fontId="48" fillId="10" borderId="148" xfId="0" applyFont="1" applyFill="1" applyBorder="1" applyAlignment="1" applyProtection="1">
      <alignment horizontal="center" vertical="center"/>
      <protection locked="0"/>
    </xf>
    <xf numFmtId="0" fontId="52" fillId="42" borderId="32" xfId="0" applyFont="1" applyFill="1" applyBorder="1" applyAlignment="1" applyProtection="1">
      <alignment vertical="center" wrapText="1"/>
      <protection locked="0"/>
    </xf>
    <xf numFmtId="0" fontId="52" fillId="42" borderId="32" xfId="0" applyFont="1" applyFill="1" applyBorder="1" applyAlignment="1" applyProtection="1">
      <alignment horizontal="center" vertical="center" wrapText="1"/>
      <protection locked="0"/>
    </xf>
    <xf numFmtId="10" fontId="0" fillId="42" borderId="32" xfId="5" applyNumberFormat="1" applyFont="1" applyFill="1" applyBorder="1" applyAlignment="1">
      <alignment horizontal="center" vertical="center" wrapText="1"/>
    </xf>
    <xf numFmtId="0" fontId="52" fillId="29" borderId="30" xfId="0" applyFont="1" applyFill="1" applyBorder="1" applyAlignment="1" applyProtection="1">
      <alignment horizontal="justify" vertical="center"/>
      <protection locked="0"/>
    </xf>
    <xf numFmtId="0" fontId="52" fillId="29" borderId="30" xfId="0" applyFont="1" applyFill="1" applyBorder="1" applyAlignment="1" applyProtection="1">
      <alignment vertical="center" wrapText="1"/>
      <protection locked="0"/>
    </xf>
    <xf numFmtId="0" fontId="51" fillId="29" borderId="30" xfId="0" applyFont="1" applyFill="1" applyBorder="1" applyAlignment="1">
      <alignment vertical="top" wrapText="1"/>
    </xf>
    <xf numFmtId="0" fontId="49" fillId="29" borderId="30" xfId="0" applyFont="1" applyFill="1" applyBorder="1" applyAlignment="1">
      <alignment vertical="center" wrapText="1"/>
    </xf>
    <xf numFmtId="9" fontId="10" fillId="29" borderId="30" xfId="0" applyNumberFormat="1" applyFont="1" applyFill="1" applyBorder="1" applyAlignment="1">
      <alignment horizontal="center" vertical="center"/>
    </xf>
    <xf numFmtId="0" fontId="0" fillId="29" borderId="30" xfId="0" applyFont="1" applyFill="1" applyBorder="1" applyAlignment="1">
      <alignment wrapText="1"/>
    </xf>
    <xf numFmtId="174" fontId="0" fillId="29" borderId="30" xfId="9" applyNumberFormat="1" applyFont="1" applyFill="1" applyBorder="1" applyAlignment="1">
      <alignment vertical="center"/>
    </xf>
    <xf numFmtId="188" fontId="0" fillId="29" borderId="30" xfId="9" applyNumberFormat="1" applyFont="1" applyFill="1" applyBorder="1" applyAlignment="1">
      <alignment vertical="center"/>
    </xf>
    <xf numFmtId="170" fontId="0" fillId="29" borderId="30" xfId="9" applyFont="1" applyFill="1" applyBorder="1" applyAlignment="1">
      <alignment vertical="center"/>
    </xf>
    <xf numFmtId="0" fontId="0" fillId="29" borderId="30" xfId="0" applyFill="1" applyBorder="1" applyAlignment="1">
      <alignment horizontal="left" vertical="center" wrapText="1"/>
    </xf>
    <xf numFmtId="0" fontId="51" fillId="29" borderId="30" xfId="0" applyFont="1" applyFill="1" applyBorder="1"/>
    <xf numFmtId="0" fontId="51" fillId="29" borderId="31" xfId="0" applyFont="1" applyFill="1" applyBorder="1"/>
    <xf numFmtId="0" fontId="52" fillId="29" borderId="32" xfId="0" applyFont="1" applyFill="1" applyBorder="1" applyAlignment="1" applyProtection="1">
      <alignment horizontal="justify" vertical="center"/>
      <protection locked="0"/>
    </xf>
    <xf numFmtId="0" fontId="52" fillId="29" borderId="32" xfId="0" applyFont="1" applyFill="1" applyBorder="1" applyAlignment="1" applyProtection="1">
      <alignment vertical="center" wrapText="1"/>
      <protection locked="0"/>
    </xf>
    <xf numFmtId="9" fontId="51" fillId="29" borderId="32" xfId="0" applyNumberFormat="1" applyFont="1" applyFill="1" applyBorder="1" applyAlignment="1">
      <alignment horizontal="center" vertical="center"/>
    </xf>
    <xf numFmtId="0" fontId="51" fillId="29" borderId="32" xfId="2" applyFont="1" applyFill="1" applyBorder="1" applyAlignment="1">
      <alignment vertical="center" wrapText="1"/>
    </xf>
    <xf numFmtId="0" fontId="51" fillId="29" borderId="32" xfId="0" applyFont="1" applyFill="1" applyBorder="1"/>
    <xf numFmtId="0" fontId="51" fillId="29" borderId="32" xfId="0" applyFont="1" applyFill="1" applyBorder="1" applyAlignment="1">
      <alignment horizontal="center" vertical="center"/>
    </xf>
    <xf numFmtId="0" fontId="51" fillId="29" borderId="32" xfId="0" applyFont="1" applyFill="1" applyBorder="1" applyAlignment="1">
      <alignment horizontal="center"/>
    </xf>
    <xf numFmtId="9" fontId="49" fillId="29" borderId="32" xfId="5" applyFont="1" applyFill="1" applyBorder="1" applyAlignment="1">
      <alignment horizontal="center" vertical="center" wrapText="1"/>
    </xf>
    <xf numFmtId="0" fontId="25" fillId="29" borderId="32" xfId="2" applyFont="1" applyFill="1" applyBorder="1" applyAlignment="1">
      <alignment vertical="center" wrapText="1"/>
    </xf>
    <xf numFmtId="0" fontId="51" fillId="29" borderId="52" xfId="0" applyFont="1" applyFill="1" applyBorder="1"/>
    <xf numFmtId="0" fontId="0" fillId="43" borderId="30" xfId="0" applyFill="1" applyBorder="1" applyAlignment="1">
      <alignment horizontal="center"/>
    </xf>
    <xf numFmtId="0" fontId="0" fillId="43" borderId="30" xfId="0" applyFill="1" applyBorder="1"/>
    <xf numFmtId="0" fontId="51" fillId="43" borderId="32" xfId="0" applyFont="1" applyFill="1" applyBorder="1" applyAlignment="1">
      <alignment horizontal="center" vertical="center"/>
    </xf>
    <xf numFmtId="0" fontId="51" fillId="43" borderId="32" xfId="0" applyFont="1" applyFill="1" applyBorder="1" applyAlignment="1">
      <alignment horizontal="justify" vertical="center"/>
    </xf>
    <xf numFmtId="0" fontId="0" fillId="43" borderId="32" xfId="0" applyFill="1" applyBorder="1" applyAlignment="1">
      <alignment horizontal="center"/>
    </xf>
    <xf numFmtId="0" fontId="0" fillId="43" borderId="32" xfId="0" applyFill="1" applyBorder="1"/>
    <xf numFmtId="0" fontId="51" fillId="43" borderId="32" xfId="0" applyFont="1" applyFill="1" applyBorder="1"/>
    <xf numFmtId="0" fontId="51" fillId="43" borderId="32" xfId="0" applyFont="1" applyFill="1" applyBorder="1" applyAlignment="1">
      <alignment horizontal="center" vertical="center" wrapText="1"/>
    </xf>
    <xf numFmtId="9" fontId="49" fillId="43" borderId="32" xfId="5" applyFont="1" applyFill="1" applyBorder="1" applyAlignment="1">
      <alignment horizontal="center" vertical="center" wrapText="1"/>
    </xf>
    <xf numFmtId="0" fontId="0" fillId="43" borderId="32" xfId="0" applyFill="1" applyBorder="1" applyAlignment="1">
      <alignment vertical="center" wrapText="1"/>
    </xf>
    <xf numFmtId="0" fontId="51" fillId="43" borderId="32" xfId="0" applyFont="1" applyFill="1" applyBorder="1" applyAlignment="1">
      <alignment vertical="center" wrapText="1"/>
    </xf>
    <xf numFmtId="0" fontId="51" fillId="43" borderId="52" xfId="0" applyFont="1" applyFill="1" applyBorder="1"/>
    <xf numFmtId="0" fontId="49" fillId="41" borderId="30" xfId="0" applyFont="1" applyFill="1" applyBorder="1" applyAlignment="1">
      <alignment horizontal="justify" vertical="center" wrapText="1"/>
    </xf>
    <xf numFmtId="0" fontId="53" fillId="41" borderId="30" xfId="0" applyFont="1" applyFill="1" applyBorder="1"/>
    <xf numFmtId="0" fontId="51" fillId="41" borderId="30" xfId="0" applyFont="1" applyFill="1" applyBorder="1"/>
    <xf numFmtId="9" fontId="51" fillId="41" borderId="30" xfId="0" applyNumberFormat="1" applyFont="1" applyFill="1" applyBorder="1" applyAlignment="1">
      <alignment horizontal="center" vertical="center" wrapText="1"/>
    </xf>
    <xf numFmtId="0" fontId="17" fillId="41" borderId="30" xfId="0" applyFont="1" applyFill="1" applyBorder="1" applyAlignment="1">
      <alignment horizontal="left" vertical="top" wrapText="1"/>
    </xf>
    <xf numFmtId="0" fontId="49" fillId="41" borderId="30" xfId="0" applyFont="1" applyFill="1" applyBorder="1" applyAlignment="1">
      <alignment horizontal="left" vertical="top" wrapText="1"/>
    </xf>
    <xf numFmtId="0" fontId="51" fillId="41" borderId="30" xfId="0" applyFont="1" applyFill="1" applyBorder="1" applyAlignment="1">
      <alignment horizontal="center"/>
    </xf>
    <xf numFmtId="0" fontId="51" fillId="41" borderId="31" xfId="0" applyFont="1" applyFill="1" applyBorder="1"/>
    <xf numFmtId="0" fontId="49" fillId="43" borderId="32" xfId="0" applyFont="1" applyFill="1" applyBorder="1" applyAlignment="1">
      <alignment horizontal="justify" vertical="center" wrapText="1"/>
    </xf>
    <xf numFmtId="0" fontId="51" fillId="43" borderId="32" xfId="0" applyFont="1" applyFill="1" applyBorder="1" applyAlignment="1">
      <alignment horizontal="justify" vertical="center" wrapText="1"/>
    </xf>
    <xf numFmtId="173" fontId="26" fillId="43" borderId="32" xfId="0" applyNumberFormat="1" applyFont="1" applyFill="1" applyBorder="1" applyAlignment="1">
      <alignment horizontal="center" vertical="center"/>
    </xf>
    <xf numFmtId="0" fontId="26" fillId="43" borderId="32" xfId="0" applyFont="1" applyFill="1" applyBorder="1" applyAlignment="1">
      <alignment horizontal="center" vertical="center" wrapText="1"/>
    </xf>
    <xf numFmtId="0" fontId="26" fillId="43" borderId="32" xfId="0" applyFont="1" applyFill="1" applyBorder="1" applyAlignment="1"/>
    <xf numFmtId="0" fontId="26" fillId="43" borderId="32" xfId="0" applyFont="1" applyFill="1" applyBorder="1" applyAlignment="1">
      <alignment horizontal="center" vertical="center"/>
    </xf>
    <xf numFmtId="0" fontId="26" fillId="43" borderId="32" xfId="0" applyFont="1" applyFill="1" applyBorder="1"/>
    <xf numFmtId="10" fontId="51" fillId="43" borderId="32" xfId="0" applyNumberFormat="1" applyFont="1" applyFill="1" applyBorder="1" applyAlignment="1">
      <alignment horizontal="center" vertical="center" wrapText="1"/>
    </xf>
    <xf numFmtId="0" fontId="51" fillId="41" borderId="30" xfId="0" applyFont="1" applyFill="1" applyBorder="1" applyAlignment="1">
      <alignment horizontal="justify" vertical="center" wrapText="1"/>
    </xf>
    <xf numFmtId="0" fontId="49" fillId="41" borderId="30" xfId="0" applyFont="1" applyFill="1" applyBorder="1" applyAlignment="1">
      <alignment vertical="center" wrapText="1"/>
    </xf>
    <xf numFmtId="0" fontId="49" fillId="39" borderId="32" xfId="0" applyFont="1" applyFill="1" applyBorder="1" applyAlignment="1">
      <alignment horizontal="justify" vertical="center" wrapText="1"/>
    </xf>
    <xf numFmtId="3" fontId="51" fillId="39" borderId="32" xfId="0" applyNumberFormat="1" applyFont="1" applyFill="1" applyBorder="1" applyAlignment="1">
      <alignment vertical="center"/>
    </xf>
    <xf numFmtId="9" fontId="51" fillId="39" borderId="32" xfId="0" applyNumberFormat="1" applyFont="1" applyFill="1" applyBorder="1" applyAlignment="1">
      <alignment horizontal="center" vertical="center" wrapText="1"/>
    </xf>
    <xf numFmtId="9" fontId="51" fillId="42" borderId="30" xfId="0" applyNumberFormat="1" applyFont="1" applyFill="1" applyBorder="1" applyAlignment="1">
      <alignment horizontal="center" vertical="center" wrapText="1"/>
    </xf>
    <xf numFmtId="0" fontId="8" fillId="41" borderId="148" xfId="0" applyFont="1" applyFill="1" applyBorder="1" applyAlignment="1" applyProtection="1">
      <alignment horizontal="center" vertical="center" wrapText="1"/>
    </xf>
    <xf numFmtId="0" fontId="11" fillId="41" borderId="148" xfId="0" applyFont="1" applyFill="1" applyBorder="1" applyAlignment="1" applyProtection="1">
      <alignment horizontal="center" vertical="center" wrapText="1"/>
    </xf>
    <xf numFmtId="3" fontId="0" fillId="41" borderId="148" xfId="2" applyNumberFormat="1" applyFont="1" applyFill="1" applyBorder="1" applyAlignment="1" applyProtection="1">
      <alignment horizontal="center" vertical="center"/>
    </xf>
    <xf numFmtId="0" fontId="0" fillId="38" borderId="148" xfId="2" applyFont="1" applyFill="1" applyBorder="1" applyAlignment="1" applyProtection="1">
      <alignment horizontal="center" vertical="center" wrapText="1"/>
    </xf>
    <xf numFmtId="0" fontId="0" fillId="38" borderId="0" xfId="0" applyFont="1" applyFill="1" applyProtection="1">
      <protection locked="0"/>
    </xf>
    <xf numFmtId="3" fontId="0" fillId="38" borderId="148" xfId="2" applyNumberFormat="1" applyFont="1" applyFill="1" applyBorder="1" applyAlignment="1" applyProtection="1">
      <alignment horizontal="center" vertical="center" wrapText="1"/>
    </xf>
    <xf numFmtId="3" fontId="0" fillId="38" borderId="148" xfId="2" applyNumberFormat="1" applyFont="1" applyFill="1" applyBorder="1" applyAlignment="1" applyProtection="1">
      <alignment horizontal="center" vertical="center"/>
    </xf>
    <xf numFmtId="0" fontId="0" fillId="38" borderId="148" xfId="0" applyFont="1" applyFill="1" applyBorder="1" applyAlignment="1" applyProtection="1">
      <alignment horizontal="center" vertical="center"/>
      <protection locked="0"/>
    </xf>
    <xf numFmtId="181" fontId="0" fillId="38" borderId="148" xfId="7" applyNumberFormat="1" applyFont="1" applyFill="1" applyBorder="1" applyAlignment="1" applyProtection="1">
      <alignment horizontal="center" vertical="center"/>
      <protection locked="0"/>
    </xf>
    <xf numFmtId="166" fontId="0" fillId="38" borderId="148" xfId="7" applyFont="1" applyFill="1" applyBorder="1" applyAlignment="1" applyProtection="1">
      <alignment horizontal="center" vertical="center"/>
      <protection locked="0"/>
    </xf>
    <xf numFmtId="0" fontId="0" fillId="38" borderId="148" xfId="0" applyFont="1" applyFill="1" applyBorder="1" applyAlignment="1" applyProtection="1">
      <alignment horizontal="center" vertical="center" wrapText="1"/>
      <protection locked="0"/>
    </xf>
    <xf numFmtId="0" fontId="0" fillId="51" borderId="148" xfId="2" applyFont="1" applyFill="1" applyBorder="1" applyAlignment="1" applyProtection="1">
      <alignment horizontal="center" vertical="center"/>
    </xf>
    <xf numFmtId="0" fontId="0" fillId="51" borderId="148" xfId="0" applyFont="1" applyFill="1" applyBorder="1" applyAlignment="1" applyProtection="1">
      <alignment horizontal="center" vertical="center" wrapText="1"/>
    </xf>
    <xf numFmtId="3" fontId="0" fillId="51" borderId="148" xfId="2" applyNumberFormat="1" applyFont="1" applyFill="1" applyBorder="1" applyAlignment="1" applyProtection="1">
      <alignment horizontal="center" vertical="center"/>
    </xf>
    <xf numFmtId="0" fontId="11" fillId="7" borderId="148" xfId="0" applyFont="1" applyFill="1" applyBorder="1" applyAlignment="1" applyProtection="1">
      <alignment horizontal="center" vertical="center" wrapText="1"/>
    </xf>
    <xf numFmtId="3" fontId="0" fillId="7" borderId="148" xfId="2" applyNumberFormat="1" applyFont="1" applyFill="1" applyBorder="1" applyAlignment="1" applyProtection="1">
      <alignment horizontal="center" vertical="center"/>
    </xf>
    <xf numFmtId="0" fontId="0" fillId="7" borderId="148" xfId="0" applyFont="1" applyFill="1" applyBorder="1" applyAlignment="1" applyProtection="1">
      <alignment horizontal="left" vertical="center" wrapText="1"/>
      <protection locked="0"/>
    </xf>
    <xf numFmtId="0" fontId="0" fillId="7" borderId="148" xfId="0" applyFont="1" applyFill="1" applyBorder="1" applyAlignment="1" applyProtection="1">
      <alignment horizontal="center" vertical="center" wrapText="1"/>
      <protection locked="0"/>
    </xf>
    <xf numFmtId="0" fontId="0" fillId="7" borderId="148" xfId="0" applyFont="1" applyFill="1" applyBorder="1" applyAlignment="1" applyProtection="1">
      <alignment horizontal="center" vertical="center"/>
      <protection locked="0"/>
    </xf>
    <xf numFmtId="0" fontId="0" fillId="7" borderId="148" xfId="0" applyFont="1" applyFill="1" applyBorder="1" applyProtection="1">
      <protection locked="0"/>
    </xf>
    <xf numFmtId="0" fontId="0" fillId="7" borderId="94" xfId="0" applyFont="1" applyFill="1" applyBorder="1" applyProtection="1">
      <protection locked="0"/>
    </xf>
    <xf numFmtId="0" fontId="0" fillId="7" borderId="148" xfId="0" applyFont="1" applyFill="1" applyBorder="1" applyAlignment="1" applyProtection="1">
      <alignment horizontal="center" vertical="center" wrapText="1"/>
    </xf>
    <xf numFmtId="3" fontId="0" fillId="7" borderId="148" xfId="2" applyNumberFormat="1" applyFont="1" applyFill="1" applyBorder="1" applyAlignment="1" applyProtection="1">
      <alignment horizontal="center" vertical="center" wrapText="1"/>
    </xf>
    <xf numFmtId="0" fontId="0" fillId="7" borderId="148" xfId="0" applyFont="1" applyFill="1" applyBorder="1" applyAlignment="1" applyProtection="1">
      <alignment vertical="top" wrapText="1"/>
      <protection locked="0"/>
    </xf>
    <xf numFmtId="0" fontId="0" fillId="7" borderId="148" xfId="0" applyFont="1" applyFill="1" applyBorder="1" applyAlignment="1" applyProtection="1">
      <alignment vertical="center" wrapText="1"/>
      <protection locked="0"/>
    </xf>
    <xf numFmtId="191" fontId="0" fillId="7" borderId="148" xfId="10" applyNumberFormat="1" applyFont="1" applyFill="1" applyBorder="1" applyAlignment="1" applyProtection="1">
      <alignment horizontal="center" vertical="center"/>
      <protection locked="0"/>
    </xf>
    <xf numFmtId="0" fontId="0" fillId="7" borderId="148" xfId="0" applyFont="1" applyFill="1" applyBorder="1" applyAlignment="1">
      <alignment wrapText="1"/>
    </xf>
    <xf numFmtId="3" fontId="0" fillId="7" borderId="148" xfId="7" applyNumberFormat="1" applyFont="1" applyFill="1" applyBorder="1" applyAlignment="1">
      <alignment wrapText="1"/>
    </xf>
    <xf numFmtId="3" fontId="0" fillId="7" borderId="148" xfId="0" applyNumberFormat="1" applyFont="1" applyFill="1" applyBorder="1" applyAlignment="1">
      <alignment wrapText="1"/>
    </xf>
    <xf numFmtId="0" fontId="10" fillId="7" borderId="148" xfId="0" applyFont="1" applyFill="1" applyBorder="1" applyAlignment="1" applyProtection="1">
      <alignment horizontal="center" vertical="center"/>
      <protection locked="0"/>
    </xf>
    <xf numFmtId="0" fontId="0" fillId="4" borderId="149" xfId="0" applyFont="1" applyFill="1" applyBorder="1" applyAlignment="1" applyProtection="1">
      <alignment horizontal="center" vertical="center" textRotation="90" wrapText="1"/>
      <protection locked="0"/>
    </xf>
    <xf numFmtId="0" fontId="0" fillId="4" borderId="157" xfId="0" applyFont="1" applyFill="1" applyBorder="1" applyAlignment="1" applyProtection="1">
      <alignment horizontal="center" vertical="center" textRotation="90" wrapText="1"/>
      <protection locked="0"/>
    </xf>
    <xf numFmtId="0" fontId="0" fillId="4" borderId="150" xfId="0" applyFont="1" applyFill="1" applyBorder="1" applyAlignment="1" applyProtection="1">
      <alignment horizontal="center" vertical="center" textRotation="90" wrapText="1"/>
      <protection locked="0"/>
    </xf>
    <xf numFmtId="0" fontId="0" fillId="41" borderId="148" xfId="0" applyFont="1" applyFill="1" applyBorder="1" applyAlignment="1" applyProtection="1">
      <alignment horizontal="left" vertical="center" wrapText="1"/>
      <protection locked="0"/>
    </xf>
    <xf numFmtId="174" fontId="10" fillId="41" borderId="148" xfId="0" applyNumberFormat="1" applyFont="1" applyFill="1" applyBorder="1" applyAlignment="1">
      <alignment horizontal="center" vertical="center" wrapText="1"/>
    </xf>
    <xf numFmtId="0" fontId="0" fillId="41" borderId="148" xfId="0" applyFont="1" applyFill="1" applyBorder="1" applyProtection="1">
      <protection locked="0"/>
    </xf>
    <xf numFmtId="0" fontId="0" fillId="41" borderId="148" xfId="0" applyFont="1" applyFill="1" applyBorder="1" applyAlignment="1" applyProtection="1">
      <alignment horizontal="center" vertical="center"/>
      <protection locked="0"/>
    </xf>
    <xf numFmtId="0" fontId="11" fillId="89" borderId="148" xfId="0" applyFont="1" applyFill="1" applyBorder="1" applyAlignment="1">
      <alignment horizontal="left" vertical="top" wrapText="1"/>
    </xf>
    <xf numFmtId="3" fontId="0" fillId="89" borderId="148" xfId="0" applyNumberFormat="1" applyFont="1" applyFill="1" applyBorder="1" applyAlignment="1">
      <alignment horizontal="center" vertical="center" wrapText="1"/>
    </xf>
    <xf numFmtId="3" fontId="11" fillId="89" borderId="148" xfId="0" applyNumberFormat="1" applyFont="1" applyFill="1" applyBorder="1" applyAlignment="1">
      <alignment horizontal="left" vertical="top" wrapText="1"/>
    </xf>
    <xf numFmtId="9" fontId="0" fillId="41" borderId="148" xfId="0" applyNumberFormat="1" applyFont="1" applyFill="1" applyBorder="1" applyProtection="1">
      <protection locked="0"/>
    </xf>
    <xf numFmtId="0" fontId="0" fillId="41" borderId="148" xfId="0" applyFont="1" applyFill="1" applyBorder="1" applyAlignment="1" applyProtection="1">
      <alignment wrapText="1"/>
      <protection locked="0"/>
    </xf>
    <xf numFmtId="0" fontId="11" fillId="89" borderId="148" xfId="0" applyFont="1" applyFill="1" applyBorder="1" applyAlignment="1">
      <alignment horizontal="center" vertical="center" wrapText="1"/>
    </xf>
    <xf numFmtId="0" fontId="15" fillId="38" borderId="148" xfId="2" applyFont="1" applyFill="1" applyBorder="1" applyAlignment="1">
      <alignment horizontal="center" vertical="center" wrapText="1"/>
    </xf>
    <xf numFmtId="0" fontId="3" fillId="38" borderId="148" xfId="2" applyFont="1" applyFill="1" applyBorder="1" applyAlignment="1" applyProtection="1">
      <alignment horizontal="center" vertical="center"/>
    </xf>
    <xf numFmtId="0" fontId="11" fillId="38" borderId="148" xfId="0" applyFont="1" applyFill="1" applyBorder="1" applyAlignment="1" applyProtection="1">
      <alignment horizontal="center" vertical="center" wrapText="1"/>
    </xf>
    <xf numFmtId="9" fontId="0" fillId="38" borderId="148" xfId="0" applyNumberFormat="1" applyFont="1" applyFill="1" applyBorder="1" applyAlignment="1" applyProtection="1">
      <alignment horizontal="center" vertical="center"/>
      <protection locked="0"/>
    </xf>
    <xf numFmtId="181" fontId="0" fillId="38" borderId="148" xfId="0" applyNumberFormat="1" applyFont="1" applyFill="1" applyBorder="1" applyAlignment="1" applyProtection="1">
      <alignment horizontal="center" vertical="center"/>
      <protection locked="0"/>
    </xf>
    <xf numFmtId="0" fontId="11" fillId="38" borderId="148" xfId="0" applyFont="1" applyFill="1" applyBorder="1" applyAlignment="1">
      <alignment horizontal="left" vertical="top" wrapText="1"/>
    </xf>
    <xf numFmtId="0" fontId="7" fillId="38" borderId="148" xfId="0" applyFont="1" applyFill="1" applyBorder="1" applyAlignment="1" applyProtection="1">
      <alignment horizontal="center" vertical="center" wrapText="1"/>
    </xf>
    <xf numFmtId="3" fontId="3" fillId="38" borderId="148" xfId="2" applyNumberFormat="1" applyFont="1" applyFill="1" applyBorder="1" applyAlignment="1" applyProtection="1">
      <alignment horizontal="center" vertical="center" wrapText="1"/>
    </xf>
    <xf numFmtId="0" fontId="10" fillId="38" borderId="148" xfId="0" applyFont="1" applyFill="1" applyBorder="1"/>
    <xf numFmtId="0" fontId="7" fillId="38" borderId="148" xfId="0" applyFont="1" applyFill="1" applyBorder="1" applyAlignment="1" applyProtection="1">
      <alignment horizontal="center" vertical="center"/>
      <protection locked="0"/>
    </xf>
    <xf numFmtId="3" fontId="7" fillId="82" borderId="148" xfId="0" applyNumberFormat="1" applyFont="1" applyFill="1" applyBorder="1" applyAlignment="1">
      <alignment horizontal="center" vertical="center" wrapText="1"/>
    </xf>
    <xf numFmtId="3" fontId="7" fillId="38" borderId="148" xfId="0" applyNumberFormat="1" applyFont="1" applyFill="1" applyBorder="1" applyAlignment="1">
      <alignment horizontal="center" vertical="center" wrapText="1"/>
    </xf>
    <xf numFmtId="9" fontId="3" fillId="38" borderId="148" xfId="2" applyNumberFormat="1" applyFont="1" applyFill="1" applyBorder="1" applyAlignment="1" applyProtection="1">
      <alignment horizontal="center" vertical="center"/>
    </xf>
    <xf numFmtId="9" fontId="3" fillId="38" borderId="148" xfId="0" applyNumberFormat="1" applyFont="1" applyFill="1" applyBorder="1" applyAlignment="1">
      <alignment horizontal="center" vertical="center" wrapText="1"/>
    </xf>
    <xf numFmtId="0" fontId="0" fillId="38" borderId="148" xfId="2" applyFont="1" applyFill="1" applyBorder="1" applyAlignment="1" applyProtection="1">
      <alignment horizontal="center" vertical="center"/>
    </xf>
    <xf numFmtId="0" fontId="0" fillId="38" borderId="148" xfId="0" applyFont="1" applyFill="1" applyBorder="1" applyAlignment="1" applyProtection="1">
      <alignment horizontal="center" vertical="center" wrapText="1"/>
    </xf>
    <xf numFmtId="9" fontId="0" fillId="38" borderId="148" xfId="0" applyNumberFormat="1" applyFont="1" applyFill="1" applyBorder="1" applyAlignment="1">
      <alignment horizontal="center" vertical="center" wrapText="1"/>
    </xf>
    <xf numFmtId="9" fontId="0" fillId="38" borderId="148" xfId="0" applyNumberFormat="1" applyFont="1" applyFill="1" applyBorder="1" applyAlignment="1" applyProtection="1">
      <alignment horizontal="center" vertical="center" wrapText="1"/>
      <protection locked="0"/>
    </xf>
    <xf numFmtId="0" fontId="11" fillId="38" borderId="148" xfId="0" applyFont="1" applyFill="1" applyBorder="1" applyAlignment="1">
      <alignment vertical="center"/>
    </xf>
    <xf numFmtId="0" fontId="11" fillId="38" borderId="148" xfId="0" applyFont="1" applyFill="1" applyBorder="1" applyAlignment="1">
      <alignment horizontal="center" vertical="top" wrapText="1"/>
    </xf>
    <xf numFmtId="1" fontId="0" fillId="38" borderId="148" xfId="17" applyNumberFormat="1" applyFont="1" applyFill="1" applyBorder="1" applyAlignment="1">
      <alignment horizontal="center" vertical="center" wrapText="1"/>
    </xf>
    <xf numFmtId="0" fontId="0" fillId="38" borderId="148" xfId="0" applyFont="1" applyFill="1" applyBorder="1" applyProtection="1">
      <protection locked="0"/>
    </xf>
    <xf numFmtId="0" fontId="9" fillId="38" borderId="148" xfId="0" applyFont="1" applyFill="1" applyBorder="1" applyAlignment="1" applyProtection="1">
      <alignment horizontal="left" vertical="center" wrapText="1"/>
      <protection locked="0"/>
    </xf>
    <xf numFmtId="0" fontId="10" fillId="38" borderId="148" xfId="0" applyFont="1" applyFill="1" applyBorder="1" applyAlignment="1" applyProtection="1">
      <alignment horizontal="center" vertical="center"/>
      <protection locked="0"/>
    </xf>
    <xf numFmtId="1" fontId="0" fillId="38" borderId="148" xfId="0" applyNumberFormat="1" applyFont="1" applyFill="1" applyBorder="1" applyAlignment="1">
      <alignment horizontal="center" vertical="center"/>
    </xf>
    <xf numFmtId="1" fontId="0" fillId="38" borderId="148" xfId="0" applyNumberFormat="1" applyFont="1" applyFill="1" applyBorder="1" applyAlignment="1">
      <alignment horizontal="center" vertical="center" wrapText="1"/>
    </xf>
    <xf numFmtId="0" fontId="11" fillId="38" borderId="148" xfId="0" applyFont="1" applyFill="1" applyBorder="1" applyAlignment="1">
      <alignment wrapText="1"/>
    </xf>
    <xf numFmtId="0" fontId="11" fillId="51" borderId="148" xfId="0" applyFont="1" applyFill="1" applyBorder="1" applyAlignment="1">
      <alignment horizontal="center" wrapText="1"/>
    </xf>
    <xf numFmtId="185" fontId="11" fillId="51" borderId="148" xfId="0" applyNumberFormat="1" applyFont="1" applyFill="1" applyBorder="1" applyAlignment="1">
      <alignment horizontal="center" wrapText="1"/>
    </xf>
    <xf numFmtId="185" fontId="11" fillId="51" borderId="148" xfId="0" applyNumberFormat="1" applyFont="1" applyFill="1" applyBorder="1" applyAlignment="1">
      <alignment horizontal="center" vertical="center" wrapText="1"/>
    </xf>
    <xf numFmtId="185" fontId="11" fillId="51" borderId="148" xfId="0" applyNumberFormat="1" applyFont="1" applyFill="1" applyBorder="1" applyAlignment="1">
      <alignment horizontal="center" vertical="center" textRotation="90" wrapText="1"/>
    </xf>
    <xf numFmtId="9" fontId="11" fillId="51" borderId="148" xfId="0" applyNumberFormat="1" applyFont="1" applyFill="1" applyBorder="1" applyAlignment="1">
      <alignment horizontal="center" vertical="center" wrapText="1"/>
    </xf>
    <xf numFmtId="0" fontId="7" fillId="51" borderId="148" xfId="0" applyFont="1" applyFill="1" applyBorder="1" applyAlignment="1" applyProtection="1">
      <alignment horizontal="center" vertical="center" wrapText="1"/>
    </xf>
    <xf numFmtId="3" fontId="11" fillId="51" borderId="148" xfId="0" applyNumberFormat="1" applyFont="1" applyFill="1" applyBorder="1" applyAlignment="1">
      <alignment horizontal="left" vertical="top" wrapText="1"/>
    </xf>
    <xf numFmtId="9" fontId="11" fillId="51" borderId="148" xfId="0" applyNumberFormat="1" applyFont="1" applyFill="1" applyBorder="1" applyAlignment="1">
      <alignment horizontal="center" wrapText="1"/>
    </xf>
    <xf numFmtId="0" fontId="11" fillId="51" borderId="148" xfId="0" applyFont="1" applyFill="1" applyBorder="1" applyAlignment="1">
      <alignment wrapText="1"/>
    </xf>
    <xf numFmtId="0" fontId="11" fillId="101" borderId="148" xfId="0" applyFont="1" applyFill="1" applyBorder="1" applyAlignment="1">
      <alignment horizontal="center" wrapText="1"/>
    </xf>
    <xf numFmtId="185" fontId="11" fillId="101" borderId="148" xfId="0" applyNumberFormat="1" applyFont="1" applyFill="1" applyBorder="1" applyAlignment="1">
      <alignment horizontal="center" vertical="center" wrapText="1"/>
    </xf>
    <xf numFmtId="185" fontId="11" fillId="101" borderId="148" xfId="0" applyNumberFormat="1" applyFont="1" applyFill="1" applyBorder="1" applyAlignment="1">
      <alignment horizontal="center" vertical="center" textRotation="90" wrapText="1"/>
    </xf>
    <xf numFmtId="0" fontId="11" fillId="101" borderId="148" xfId="0" applyFont="1" applyFill="1" applyBorder="1" applyAlignment="1">
      <alignment horizontal="center" vertical="center" wrapText="1"/>
    </xf>
    <xf numFmtId="0" fontId="11" fillId="102" borderId="148" xfId="0" applyFont="1" applyFill="1" applyBorder="1" applyAlignment="1">
      <alignment horizontal="center" vertical="center" wrapText="1"/>
    </xf>
    <xf numFmtId="0" fontId="11" fillId="102" borderId="148" xfId="0" applyFont="1" applyFill="1" applyBorder="1" applyAlignment="1">
      <alignment horizontal="left" vertical="top" wrapText="1"/>
    </xf>
    <xf numFmtId="3" fontId="11" fillId="102" borderId="148" xfId="0" applyNumberFormat="1" applyFont="1" applyFill="1" applyBorder="1" applyAlignment="1">
      <alignment horizontal="left" vertical="top" wrapText="1"/>
    </xf>
    <xf numFmtId="3" fontId="11" fillId="102" borderId="148" xfId="0" applyNumberFormat="1" applyFont="1" applyFill="1" applyBorder="1" applyAlignment="1">
      <alignment horizontal="center" vertical="center" wrapText="1"/>
    </xf>
    <xf numFmtId="3" fontId="0" fillId="51" borderId="148" xfId="0" applyNumberFormat="1" applyFont="1" applyFill="1" applyBorder="1" applyAlignment="1"/>
    <xf numFmtId="0" fontId="8" fillId="102" borderId="148" xfId="0" applyFont="1" applyFill="1" applyBorder="1" applyAlignment="1">
      <alignment horizontal="center" vertical="center" wrapText="1"/>
    </xf>
    <xf numFmtId="0" fontId="8" fillId="102" borderId="148" xfId="0" applyFont="1" applyFill="1" applyBorder="1" applyAlignment="1">
      <alignment horizontal="left" vertical="top" wrapText="1"/>
    </xf>
    <xf numFmtId="9" fontId="0" fillId="7" borderId="148" xfId="5" applyFont="1" applyFill="1" applyBorder="1" applyAlignment="1" applyProtection="1">
      <alignment horizontal="center" vertical="center"/>
      <protection locked="0"/>
    </xf>
    <xf numFmtId="3" fontId="11" fillId="7" borderId="148" xfId="7" applyNumberFormat="1" applyFont="1" applyFill="1" applyBorder="1" applyAlignment="1">
      <alignment horizontal="center" vertical="center" wrapText="1"/>
    </xf>
    <xf numFmtId="0" fontId="11" fillId="41" borderId="8" xfId="0" applyFont="1" applyFill="1" applyBorder="1" applyAlignment="1" applyProtection="1">
      <alignment horizontal="center" vertical="center" wrapText="1"/>
    </xf>
    <xf numFmtId="0" fontId="0" fillId="41" borderId="8" xfId="2" applyFont="1" applyFill="1" applyBorder="1" applyAlignment="1" applyProtection="1">
      <alignment horizontal="center" vertical="center"/>
    </xf>
    <xf numFmtId="0" fontId="0" fillId="41" borderId="8" xfId="2" applyFont="1" applyFill="1" applyBorder="1" applyAlignment="1" applyProtection="1">
      <alignment horizontal="center" vertical="center" wrapText="1"/>
    </xf>
    <xf numFmtId="3" fontId="0" fillId="41" borderId="8" xfId="2" applyNumberFormat="1" applyFont="1" applyFill="1" applyBorder="1" applyAlignment="1" applyProtection="1">
      <alignment horizontal="center" vertical="center"/>
    </xf>
    <xf numFmtId="9" fontId="0" fillId="41" borderId="8" xfId="0" applyNumberFormat="1" applyFont="1" applyFill="1" applyBorder="1" applyAlignment="1" applyProtection="1">
      <alignment horizontal="center" vertical="center"/>
      <protection locked="0"/>
    </xf>
    <xf numFmtId="0" fontId="10" fillId="41" borderId="8" xfId="20" applyFont="1" applyFill="1" applyBorder="1" applyAlignment="1">
      <alignment horizontal="left" vertical="center" wrapText="1"/>
    </xf>
    <xf numFmtId="0" fontId="0" fillId="41" borderId="8" xfId="0" applyFont="1" applyFill="1" applyBorder="1" applyAlignment="1" applyProtection="1">
      <alignment horizontal="left" vertical="center" wrapText="1"/>
      <protection locked="0"/>
    </xf>
    <xf numFmtId="174" fontId="10" fillId="41" borderId="8" xfId="0" applyNumberFormat="1" applyFont="1" applyFill="1" applyBorder="1" applyAlignment="1">
      <alignment horizontal="center" vertical="center" wrapText="1"/>
    </xf>
    <xf numFmtId="0" fontId="0" fillId="41" borderId="8" xfId="0" applyFont="1" applyFill="1" applyBorder="1" applyProtection="1">
      <protection locked="0"/>
    </xf>
    <xf numFmtId="0" fontId="0" fillId="41" borderId="8" xfId="0" applyFont="1" applyFill="1" applyBorder="1" applyAlignment="1" applyProtection="1">
      <alignment horizontal="center" vertical="center"/>
      <protection locked="0"/>
    </xf>
    <xf numFmtId="9" fontId="11" fillId="41" borderId="8" xfId="0" applyNumberFormat="1" applyFont="1" applyFill="1" applyBorder="1" applyAlignment="1">
      <alignment horizontal="center" vertical="center" wrapText="1"/>
    </xf>
    <xf numFmtId="9" fontId="0" fillId="41" borderId="8" xfId="0" applyNumberFormat="1" applyFont="1" applyFill="1" applyBorder="1" applyAlignment="1">
      <alignment horizontal="center" vertical="center" wrapText="1"/>
    </xf>
    <xf numFmtId="9" fontId="49" fillId="41" borderId="8" xfId="5" applyFont="1" applyFill="1" applyBorder="1" applyAlignment="1">
      <alignment horizontal="center" vertical="center" wrapText="1"/>
    </xf>
    <xf numFmtId="0" fontId="0" fillId="89" borderId="8" xfId="0" applyFont="1" applyFill="1" applyBorder="1" applyAlignment="1">
      <alignment horizontal="left" vertical="top" wrapText="1"/>
    </xf>
    <xf numFmtId="0" fontId="11" fillId="89" borderId="8" xfId="0" applyFont="1" applyFill="1" applyBorder="1" applyAlignment="1">
      <alignment horizontal="left" vertical="top" wrapText="1"/>
    </xf>
    <xf numFmtId="3" fontId="0" fillId="89" borderId="8" xfId="0" applyNumberFormat="1" applyFont="1" applyFill="1" applyBorder="1" applyAlignment="1">
      <alignment horizontal="center" vertical="center" wrapText="1"/>
    </xf>
    <xf numFmtId="3" fontId="0" fillId="89" borderId="8" xfId="0" applyNumberFormat="1" applyFont="1" applyFill="1" applyBorder="1" applyAlignment="1">
      <alignment horizontal="left" vertical="top" wrapText="1"/>
    </xf>
    <xf numFmtId="3" fontId="11" fillId="89" borderId="8" xfId="0" applyNumberFormat="1" applyFont="1" applyFill="1" applyBorder="1" applyAlignment="1">
      <alignment horizontal="left" vertical="top" wrapText="1"/>
    </xf>
    <xf numFmtId="3" fontId="11" fillId="89" borderId="8" xfId="0" applyNumberFormat="1" applyFont="1" applyFill="1" applyBorder="1" applyAlignment="1">
      <alignment horizontal="center" vertical="center" wrapText="1"/>
    </xf>
    <xf numFmtId="0" fontId="8" fillId="102" borderId="94" xfId="0" applyFont="1" applyFill="1" applyBorder="1" applyAlignment="1">
      <alignment horizontal="left" vertical="top" wrapText="1"/>
    </xf>
    <xf numFmtId="0" fontId="0" fillId="7" borderId="30" xfId="2" applyFont="1" applyFill="1" applyBorder="1" applyAlignment="1" applyProtection="1">
      <alignment horizontal="center" vertical="center" wrapText="1"/>
    </xf>
    <xf numFmtId="0" fontId="0" fillId="7" borderId="30" xfId="0" applyFont="1" applyFill="1" applyBorder="1" applyAlignment="1" applyProtection="1">
      <alignment horizontal="center" vertical="center" wrapText="1"/>
    </xf>
    <xf numFmtId="3" fontId="0" fillId="7" borderId="30" xfId="2" applyNumberFormat="1" applyFont="1" applyFill="1" applyBorder="1" applyAlignment="1" applyProtection="1">
      <alignment horizontal="center" vertical="center" wrapText="1"/>
    </xf>
    <xf numFmtId="3" fontId="0" fillId="7" borderId="30" xfId="2" applyNumberFormat="1" applyFont="1" applyFill="1" applyBorder="1" applyAlignment="1" applyProtection="1">
      <alignment horizontal="center" vertical="center"/>
    </xf>
    <xf numFmtId="9" fontId="0" fillId="7" borderId="30" xfId="5" applyFont="1" applyFill="1" applyBorder="1" applyAlignment="1" applyProtection="1">
      <alignment horizontal="center" vertical="center"/>
      <protection locked="0"/>
    </xf>
    <xf numFmtId="0" fontId="0" fillId="7" borderId="30" xfId="0" applyFont="1" applyFill="1" applyBorder="1" applyAlignment="1" applyProtection="1">
      <alignment vertical="top" wrapText="1"/>
      <protection locked="0"/>
    </xf>
    <xf numFmtId="0" fontId="0" fillId="7" borderId="30" xfId="0" applyFont="1" applyFill="1" applyBorder="1" applyAlignment="1" applyProtection="1">
      <alignment vertical="center" wrapText="1"/>
      <protection locked="0"/>
    </xf>
    <xf numFmtId="0" fontId="0" fillId="7" borderId="30" xfId="0" applyFont="1" applyFill="1" applyBorder="1" applyAlignment="1" applyProtection="1">
      <alignment horizontal="center" vertical="center"/>
      <protection locked="0"/>
    </xf>
    <xf numFmtId="191" fontId="0" fillId="7" borderId="30" xfId="10" applyNumberFormat="1" applyFont="1" applyFill="1" applyBorder="1" applyAlignment="1" applyProtection="1">
      <alignment horizontal="center" vertical="center"/>
      <protection locked="0"/>
    </xf>
    <xf numFmtId="0" fontId="10" fillId="7" borderId="30" xfId="0" applyFont="1" applyFill="1" applyBorder="1" applyAlignment="1" applyProtection="1">
      <alignment horizontal="center" vertical="center"/>
      <protection locked="0"/>
    </xf>
    <xf numFmtId="0" fontId="0" fillId="7" borderId="30" xfId="0" applyFont="1" applyFill="1" applyBorder="1" applyProtection="1">
      <protection locked="0"/>
    </xf>
    <xf numFmtId="9" fontId="11" fillId="7" borderId="30" xfId="0" applyNumberFormat="1" applyFont="1" applyFill="1" applyBorder="1" applyAlignment="1">
      <alignment horizontal="center" vertical="center" wrapText="1"/>
    </xf>
    <xf numFmtId="0" fontId="0" fillId="7" borderId="30" xfId="0" applyFont="1" applyFill="1" applyBorder="1" applyAlignment="1">
      <alignment wrapText="1"/>
    </xf>
    <xf numFmtId="0" fontId="0" fillId="7" borderId="30" xfId="0" applyFont="1" applyFill="1" applyBorder="1" applyAlignment="1">
      <alignment vertical="center" wrapText="1"/>
    </xf>
    <xf numFmtId="3" fontId="0" fillId="7" borderId="30" xfId="7" applyNumberFormat="1" applyFont="1" applyFill="1" applyBorder="1" applyAlignment="1">
      <alignment wrapText="1"/>
    </xf>
    <xf numFmtId="3" fontId="0" fillId="7" borderId="30" xfId="0" applyNumberFormat="1" applyFont="1" applyFill="1" applyBorder="1" applyAlignment="1">
      <alignment wrapText="1"/>
    </xf>
    <xf numFmtId="0" fontId="0" fillId="7" borderId="32" xfId="2" applyFont="1" applyFill="1" applyBorder="1" applyAlignment="1" applyProtection="1">
      <alignment horizontal="center" vertical="center" wrapText="1"/>
    </xf>
    <xf numFmtId="0" fontId="0" fillId="7" borderId="32" xfId="2" applyFont="1" applyFill="1" applyBorder="1" applyAlignment="1" applyProtection="1">
      <alignment horizontal="center" vertical="center"/>
    </xf>
    <xf numFmtId="0" fontId="11" fillId="7" borderId="32" xfId="0" applyFont="1" applyFill="1" applyBorder="1" applyAlignment="1" applyProtection="1">
      <alignment horizontal="center" vertical="center" wrapText="1"/>
    </xf>
    <xf numFmtId="0" fontId="7" fillId="7" borderId="32" xfId="2" applyFont="1" applyFill="1" applyBorder="1" applyAlignment="1" applyProtection="1">
      <alignment horizontal="center" vertical="center" wrapText="1"/>
    </xf>
    <xf numFmtId="3" fontId="0" fillId="7" borderId="32" xfId="2" applyNumberFormat="1" applyFont="1" applyFill="1" applyBorder="1" applyAlignment="1" applyProtection="1">
      <alignment horizontal="center" vertical="center"/>
    </xf>
    <xf numFmtId="9" fontId="0" fillId="7" borderId="32" xfId="5" applyFont="1" applyFill="1" applyBorder="1" applyAlignment="1" applyProtection="1">
      <alignment horizontal="center" vertical="center"/>
      <protection locked="0"/>
    </xf>
    <xf numFmtId="0" fontId="0" fillId="7" borderId="32" xfId="0" applyFont="1" applyFill="1" applyBorder="1" applyAlignment="1" applyProtection="1">
      <alignment vertical="top" wrapText="1"/>
      <protection locked="0"/>
    </xf>
    <xf numFmtId="0" fontId="0" fillId="7" borderId="32" xfId="0" applyFont="1" applyFill="1" applyBorder="1" applyAlignment="1" applyProtection="1">
      <alignment vertical="center" wrapText="1"/>
      <protection locked="0"/>
    </xf>
    <xf numFmtId="0" fontId="0" fillId="7" borderId="32" xfId="0" applyFont="1" applyFill="1" applyBorder="1" applyAlignment="1" applyProtection="1">
      <alignment horizontal="center" vertical="center"/>
      <protection locked="0"/>
    </xf>
    <xf numFmtId="0" fontId="0" fillId="7" borderId="32" xfId="0" applyFont="1" applyFill="1" applyBorder="1" applyAlignment="1" applyProtection="1">
      <alignment horizontal="center" vertical="center" wrapText="1"/>
      <protection locked="0"/>
    </xf>
    <xf numFmtId="0" fontId="0" fillId="7" borderId="32" xfId="0" applyFont="1" applyFill="1" applyBorder="1" applyProtection="1">
      <protection locked="0"/>
    </xf>
    <xf numFmtId="0" fontId="11" fillId="7" borderId="32" xfId="0" applyFont="1" applyFill="1" applyBorder="1" applyAlignment="1">
      <alignment horizontal="center" vertical="center"/>
    </xf>
    <xf numFmtId="9" fontId="11" fillId="7" borderId="32" xfId="0" applyNumberFormat="1" applyFont="1" applyFill="1" applyBorder="1" applyAlignment="1">
      <alignment horizontal="center" vertical="center" wrapText="1"/>
    </xf>
    <xf numFmtId="0" fontId="11" fillId="7" borderId="32" xfId="0" applyFont="1" applyFill="1" applyBorder="1" applyAlignment="1">
      <alignment horizontal="left" vertical="top" wrapText="1"/>
    </xf>
    <xf numFmtId="3" fontId="11" fillId="7" borderId="32" xfId="7" applyNumberFormat="1" applyFont="1" applyFill="1" applyBorder="1" applyAlignment="1">
      <alignment horizontal="center" vertical="center" wrapText="1"/>
    </xf>
    <xf numFmtId="3" fontId="11" fillId="7" borderId="32" xfId="0" applyNumberFormat="1" applyFont="1" applyFill="1" applyBorder="1" applyAlignment="1">
      <alignment horizontal="center" vertical="center" wrapText="1"/>
    </xf>
    <xf numFmtId="0" fontId="0" fillId="51" borderId="30" xfId="2" applyFont="1" applyFill="1" applyBorder="1" applyAlignment="1" applyProtection="1">
      <alignment horizontal="center" vertical="center" wrapText="1"/>
    </xf>
    <xf numFmtId="0" fontId="0" fillId="51" borderId="30" xfId="2" applyFont="1" applyFill="1" applyBorder="1" applyAlignment="1" applyProtection="1">
      <alignment horizontal="center" vertical="center"/>
    </xf>
    <xf numFmtId="0" fontId="0" fillId="51" borderId="30" xfId="0" applyFont="1" applyFill="1" applyBorder="1" applyAlignment="1" applyProtection="1">
      <alignment horizontal="center" vertical="center" wrapText="1"/>
    </xf>
    <xf numFmtId="3" fontId="0" fillId="51" borderId="30" xfId="2" applyNumberFormat="1" applyFont="1" applyFill="1" applyBorder="1" applyAlignment="1" applyProtection="1">
      <alignment horizontal="center" vertical="center"/>
    </xf>
    <xf numFmtId="0" fontId="11" fillId="51" borderId="30" xfId="0" applyFont="1" applyFill="1" applyBorder="1" applyAlignment="1">
      <alignment horizontal="center" wrapText="1"/>
    </xf>
    <xf numFmtId="185" fontId="11" fillId="51" borderId="30" xfId="0" applyNumberFormat="1" applyFont="1" applyFill="1" applyBorder="1" applyAlignment="1">
      <alignment horizontal="center" vertical="center" wrapText="1"/>
    </xf>
    <xf numFmtId="185" fontId="11" fillId="51" borderId="30" xfId="0" applyNumberFormat="1" applyFont="1" applyFill="1" applyBorder="1" applyAlignment="1">
      <alignment horizontal="center" vertical="center" textRotation="90" wrapText="1"/>
    </xf>
    <xf numFmtId="0" fontId="0" fillId="51" borderId="30" xfId="0" applyFont="1" applyFill="1" applyBorder="1" applyAlignment="1">
      <alignment horizontal="center" vertical="center"/>
    </xf>
    <xf numFmtId="0" fontId="11" fillId="102" borderId="30" xfId="0" applyFont="1" applyFill="1" applyBorder="1" applyAlignment="1">
      <alignment horizontal="left" vertical="top" wrapText="1"/>
    </xf>
    <xf numFmtId="3" fontId="11" fillId="102" borderId="30" xfId="0" applyNumberFormat="1" applyFont="1" applyFill="1" applyBorder="1" applyAlignment="1">
      <alignment horizontal="center" vertical="center" wrapText="1"/>
    </xf>
    <xf numFmtId="0" fontId="11" fillId="102" borderId="30" xfId="0" applyFont="1" applyFill="1" applyBorder="1" applyAlignment="1">
      <alignment horizontal="center" vertical="center" wrapText="1"/>
    </xf>
    <xf numFmtId="0" fontId="8" fillId="102" borderId="30" xfId="0" applyFont="1" applyFill="1" applyBorder="1" applyAlignment="1">
      <alignment horizontal="center" vertical="center" wrapText="1"/>
    </xf>
    <xf numFmtId="0" fontId="8" fillId="102" borderId="30" xfId="0" applyFont="1" applyFill="1" applyBorder="1" applyAlignment="1">
      <alignment horizontal="left" vertical="top" wrapText="1"/>
    </xf>
    <xf numFmtId="0" fontId="8" fillId="102" borderId="31" xfId="0" applyFont="1" applyFill="1" applyBorder="1" applyAlignment="1">
      <alignment horizontal="left" vertical="top" wrapText="1"/>
    </xf>
    <xf numFmtId="0" fontId="0" fillId="51" borderId="32" xfId="2" applyFont="1" applyFill="1" applyBorder="1" applyAlignment="1" applyProtection="1">
      <alignment horizontal="center" vertical="center" wrapText="1"/>
    </xf>
    <xf numFmtId="0" fontId="0" fillId="51" borderId="32" xfId="0" applyFont="1" applyFill="1" applyBorder="1" applyProtection="1">
      <protection locked="0"/>
    </xf>
    <xf numFmtId="3" fontId="0" fillId="51" borderId="32" xfId="2" applyNumberFormat="1" applyFont="1" applyFill="1" applyBorder="1" applyAlignment="1" applyProtection="1">
      <alignment horizontal="center" vertical="center"/>
    </xf>
    <xf numFmtId="0" fontId="11" fillId="51" borderId="32" xfId="0" applyFont="1" applyFill="1" applyBorder="1" applyAlignment="1">
      <alignment horizontal="center" wrapText="1"/>
    </xf>
    <xf numFmtId="185" fontId="11" fillId="51" borderId="32" xfId="0" applyNumberFormat="1" applyFont="1" applyFill="1" applyBorder="1" applyAlignment="1">
      <alignment horizontal="center" wrapText="1"/>
    </xf>
    <xf numFmtId="185" fontId="11" fillId="51" borderId="32" xfId="0" applyNumberFormat="1" applyFont="1" applyFill="1" applyBorder="1" applyAlignment="1">
      <alignment horizontal="center" vertical="center" wrapText="1"/>
    </xf>
    <xf numFmtId="185" fontId="11" fillId="51" borderId="32" xfId="0" applyNumberFormat="1" applyFont="1" applyFill="1" applyBorder="1" applyAlignment="1">
      <alignment horizontal="center" vertical="center" textRotation="90" wrapText="1"/>
    </xf>
    <xf numFmtId="9" fontId="11" fillId="51" borderId="32" xfId="0" applyNumberFormat="1" applyFont="1" applyFill="1" applyBorder="1" applyAlignment="1">
      <alignment horizontal="center" vertical="center" wrapText="1"/>
    </xf>
    <xf numFmtId="3" fontId="0" fillId="51" borderId="32" xfId="0" applyNumberFormat="1" applyFont="1" applyFill="1" applyBorder="1" applyAlignment="1">
      <alignment horizontal="center" vertical="center"/>
    </xf>
    <xf numFmtId="0" fontId="0" fillId="38" borderId="30" xfId="2" applyFont="1" applyFill="1" applyBorder="1" applyAlignment="1" applyProtection="1">
      <alignment horizontal="center" vertical="center" wrapText="1"/>
    </xf>
    <xf numFmtId="0" fontId="0" fillId="38" borderId="30" xfId="2" applyFont="1" applyFill="1" applyBorder="1" applyAlignment="1" applyProtection="1">
      <alignment horizontal="center" vertical="center"/>
    </xf>
    <xf numFmtId="0" fontId="0" fillId="38" borderId="30" xfId="0" applyFont="1" applyFill="1" applyBorder="1" applyAlignment="1" applyProtection="1">
      <alignment horizontal="center" vertical="center" wrapText="1"/>
    </xf>
    <xf numFmtId="3" fontId="0" fillId="38" borderId="30" xfId="2" applyNumberFormat="1" applyFont="1" applyFill="1" applyBorder="1" applyAlignment="1" applyProtection="1">
      <alignment horizontal="center" vertical="center" wrapText="1"/>
    </xf>
    <xf numFmtId="3" fontId="0" fillId="38" borderId="30" xfId="2" applyNumberFormat="1" applyFont="1" applyFill="1" applyBorder="1" applyAlignment="1" applyProtection="1">
      <alignment horizontal="center" vertical="center"/>
    </xf>
    <xf numFmtId="9" fontId="0" fillId="38" borderId="30" xfId="0" applyNumberFormat="1" applyFont="1" applyFill="1" applyBorder="1" applyAlignment="1" applyProtection="1">
      <alignment horizontal="center" vertical="center"/>
      <protection locked="0"/>
    </xf>
    <xf numFmtId="0" fontId="11" fillId="38" borderId="30" xfId="0" applyFont="1" applyFill="1" applyBorder="1" applyAlignment="1">
      <alignment wrapText="1"/>
    </xf>
    <xf numFmtId="0" fontId="0" fillId="38" borderId="30" xfId="0" applyFont="1" applyFill="1" applyBorder="1" applyAlignment="1" applyProtection="1">
      <alignment horizontal="center" vertical="center"/>
      <protection locked="0"/>
    </xf>
    <xf numFmtId="181" fontId="0" fillId="38" borderId="30" xfId="7" applyNumberFormat="1" applyFont="1" applyFill="1" applyBorder="1" applyAlignment="1" applyProtection="1">
      <alignment horizontal="center" vertical="center"/>
      <protection locked="0"/>
    </xf>
    <xf numFmtId="166" fontId="0" fillId="38" borderId="30" xfId="7" applyFont="1" applyFill="1" applyBorder="1" applyAlignment="1" applyProtection="1">
      <alignment horizontal="center" vertical="center"/>
      <protection locked="0"/>
    </xf>
    <xf numFmtId="0" fontId="11" fillId="38" borderId="30" xfId="0" applyFont="1" applyFill="1" applyBorder="1" applyAlignment="1">
      <alignment horizontal="left" vertical="top" wrapText="1"/>
    </xf>
    <xf numFmtId="0" fontId="15" fillId="38" borderId="32" xfId="2" applyFont="1" applyFill="1" applyBorder="1" applyAlignment="1">
      <alignment horizontal="center" vertical="center" wrapText="1"/>
    </xf>
    <xf numFmtId="0" fontId="0" fillId="38" borderId="32" xfId="2" applyFont="1" applyFill="1" applyBorder="1" applyAlignment="1" applyProtection="1">
      <alignment horizontal="center" vertical="center" wrapText="1"/>
    </xf>
    <xf numFmtId="0" fontId="3" fillId="38" borderId="32" xfId="2" applyFont="1" applyFill="1" applyBorder="1" applyAlignment="1" applyProtection="1">
      <alignment horizontal="center" vertical="center"/>
    </xf>
    <xf numFmtId="0" fontId="11" fillId="38" borderId="32" xfId="0" applyFont="1" applyFill="1" applyBorder="1" applyAlignment="1" applyProtection="1">
      <alignment horizontal="center" vertical="center" wrapText="1"/>
    </xf>
    <xf numFmtId="3" fontId="0" fillId="38" borderId="32" xfId="2" applyNumberFormat="1" applyFont="1" applyFill="1" applyBorder="1" applyAlignment="1" applyProtection="1">
      <alignment horizontal="center" vertical="center" wrapText="1"/>
    </xf>
    <xf numFmtId="3" fontId="0" fillId="38" borderId="32" xfId="2" applyNumberFormat="1" applyFont="1" applyFill="1" applyBorder="1" applyAlignment="1" applyProtection="1">
      <alignment horizontal="center" vertical="center"/>
    </xf>
    <xf numFmtId="9" fontId="0" fillId="38" borderId="32" xfId="0" applyNumberFormat="1" applyFont="1" applyFill="1" applyBorder="1" applyAlignment="1" applyProtection="1">
      <alignment horizontal="center" vertical="center"/>
      <protection locked="0"/>
    </xf>
    <xf numFmtId="0" fontId="0" fillId="38" borderId="32" xfId="0" applyFont="1" applyFill="1" applyBorder="1" applyAlignment="1" applyProtection="1">
      <alignment horizontal="center" vertical="center"/>
      <protection locked="0"/>
    </xf>
    <xf numFmtId="181" fontId="0" fillId="38" borderId="32" xfId="0" applyNumberFormat="1" applyFont="1" applyFill="1" applyBorder="1" applyAlignment="1" applyProtection="1">
      <alignment horizontal="center" vertical="center"/>
      <protection locked="0"/>
    </xf>
    <xf numFmtId="166" fontId="0" fillId="38" borderId="32" xfId="7" applyFont="1" applyFill="1" applyBorder="1" applyAlignment="1" applyProtection="1">
      <alignment horizontal="center" vertical="center"/>
      <protection locked="0"/>
    </xf>
    <xf numFmtId="181" fontId="0" fillId="38" borderId="32" xfId="7" applyNumberFormat="1" applyFont="1" applyFill="1" applyBorder="1" applyAlignment="1" applyProtection="1">
      <alignment horizontal="center" vertical="center"/>
      <protection locked="0"/>
    </xf>
    <xf numFmtId="0" fontId="0" fillId="38" borderId="32" xfId="0" applyFont="1" applyFill="1" applyBorder="1" applyAlignment="1" applyProtection="1">
      <alignment horizontal="center" vertical="center" wrapText="1"/>
      <protection locked="0"/>
    </xf>
    <xf numFmtId="185" fontId="0" fillId="38" borderId="32" xfId="0" applyNumberFormat="1" applyFont="1" applyFill="1" applyBorder="1" applyAlignment="1">
      <alignment horizontal="center" vertical="center"/>
    </xf>
    <xf numFmtId="0" fontId="11" fillId="38" borderId="32" xfId="0" applyFont="1" applyFill="1" applyBorder="1" applyAlignment="1">
      <alignment horizontal="left" vertical="top" wrapText="1"/>
    </xf>
    <xf numFmtId="3" fontId="11" fillId="82" borderId="32" xfId="0" applyNumberFormat="1" applyFont="1" applyFill="1" applyBorder="1" applyAlignment="1">
      <alignment horizontal="center" vertical="center" wrapText="1"/>
    </xf>
    <xf numFmtId="3" fontId="0" fillId="82" borderId="32" xfId="0" applyNumberFormat="1" applyFont="1" applyFill="1" applyBorder="1" applyAlignment="1">
      <alignment horizontal="center" vertical="center" wrapText="1"/>
    </xf>
    <xf numFmtId="0" fontId="8" fillId="41" borderId="30" xfId="0" applyFont="1" applyFill="1" applyBorder="1" applyAlignment="1" applyProtection="1">
      <alignment horizontal="center" vertical="center" wrapText="1"/>
    </xf>
    <xf numFmtId="0" fontId="11" fillId="41" borderId="30" xfId="0" applyFont="1" applyFill="1" applyBorder="1" applyAlignment="1" applyProtection="1">
      <alignment horizontal="center" vertical="center" wrapText="1"/>
    </xf>
    <xf numFmtId="0" fontId="0" fillId="41" borderId="30" xfId="2" applyFont="1" applyFill="1" applyBorder="1" applyAlignment="1" applyProtection="1">
      <alignment horizontal="center" vertical="center"/>
    </xf>
    <xf numFmtId="0" fontId="0" fillId="41" borderId="30" xfId="2" applyFont="1" applyFill="1" applyBorder="1" applyAlignment="1" applyProtection="1">
      <alignment horizontal="center" vertical="center" wrapText="1"/>
    </xf>
    <xf numFmtId="3" fontId="0" fillId="41" borderId="30" xfId="2" applyNumberFormat="1" applyFont="1" applyFill="1" applyBorder="1" applyAlignment="1" applyProtection="1">
      <alignment horizontal="center" vertical="center"/>
    </xf>
    <xf numFmtId="9" fontId="0" fillId="41" borderId="30" xfId="0" applyNumberFormat="1" applyFont="1" applyFill="1" applyBorder="1" applyAlignment="1" applyProtection="1">
      <alignment horizontal="center" vertical="center"/>
      <protection locked="0"/>
    </xf>
    <xf numFmtId="9" fontId="11" fillId="41" borderId="30" xfId="0" applyNumberFormat="1" applyFont="1" applyFill="1" applyBorder="1" applyAlignment="1">
      <alignment horizontal="center" vertical="center" wrapText="1"/>
    </xf>
    <xf numFmtId="9" fontId="0" fillId="41" borderId="30" xfId="0" applyNumberFormat="1" applyFont="1" applyFill="1" applyBorder="1" applyAlignment="1">
      <alignment horizontal="center" vertical="center"/>
    </xf>
    <xf numFmtId="0" fontId="0" fillId="89" borderId="30" xfId="0" applyFont="1" applyFill="1" applyBorder="1" applyAlignment="1">
      <alignment horizontal="left" vertical="top" wrapText="1"/>
    </xf>
    <xf numFmtId="0" fontId="11" fillId="89" borderId="30" xfId="0" applyFont="1" applyFill="1" applyBorder="1" applyAlignment="1">
      <alignment horizontal="left" vertical="top" wrapText="1"/>
    </xf>
    <xf numFmtId="3" fontId="0" fillId="89" borderId="30" xfId="0" applyNumberFormat="1" applyFont="1" applyFill="1" applyBorder="1" applyAlignment="1">
      <alignment horizontal="center" vertical="center" wrapText="1"/>
    </xf>
    <xf numFmtId="3" fontId="0" fillId="89" borderId="30" xfId="0" applyNumberFormat="1" applyFont="1" applyFill="1" applyBorder="1" applyAlignment="1">
      <alignment horizontal="left" vertical="top" wrapText="1"/>
    </xf>
    <xf numFmtId="3" fontId="11" fillId="89" borderId="30" xfId="0" applyNumberFormat="1" applyFont="1" applyFill="1" applyBorder="1" applyAlignment="1">
      <alignment horizontal="center" vertical="center" wrapText="1"/>
    </xf>
    <xf numFmtId="0" fontId="11" fillId="89" borderId="30" xfId="0" applyFont="1" applyFill="1" applyBorder="1" applyAlignment="1">
      <alignment horizontal="center" vertical="center" wrapText="1"/>
    </xf>
    <xf numFmtId="0" fontId="11" fillId="101" borderId="76" xfId="0" applyFont="1" applyFill="1" applyBorder="1" applyAlignment="1">
      <alignment horizontal="center" wrapText="1"/>
    </xf>
    <xf numFmtId="0" fontId="0" fillId="41" borderId="7" xfId="0" applyFont="1" applyFill="1" applyBorder="1" applyProtection="1">
      <protection locked="0"/>
    </xf>
    <xf numFmtId="0" fontId="0" fillId="41" borderId="9" xfId="0" applyFont="1" applyFill="1" applyBorder="1" applyProtection="1">
      <protection locked="0"/>
    </xf>
    <xf numFmtId="0" fontId="0" fillId="41" borderId="11" xfId="0" applyFont="1" applyFill="1" applyBorder="1" applyProtection="1">
      <protection locked="0"/>
    </xf>
    <xf numFmtId="0" fontId="0" fillId="41" borderId="94" xfId="0" applyFont="1" applyFill="1" applyBorder="1" applyProtection="1">
      <protection locked="0"/>
    </xf>
    <xf numFmtId="0" fontId="0" fillId="38" borderId="11" xfId="0" applyFont="1" applyFill="1" applyBorder="1" applyProtection="1">
      <protection locked="0"/>
    </xf>
    <xf numFmtId="0" fontId="0" fillId="38" borderId="94" xfId="0" applyFont="1" applyFill="1" applyBorder="1" applyProtection="1">
      <protection locked="0"/>
    </xf>
    <xf numFmtId="0" fontId="11" fillId="51" borderId="11" xfId="0" applyFont="1" applyFill="1" applyBorder="1" applyAlignment="1">
      <alignment horizontal="center" wrapText="1"/>
    </xf>
    <xf numFmtId="0" fontId="11" fillId="51" borderId="94" xfId="0" applyFont="1" applyFill="1" applyBorder="1" applyAlignment="1">
      <alignment horizontal="center" wrapText="1"/>
    </xf>
    <xf numFmtId="0" fontId="11" fillId="101" borderId="11" xfId="0" applyFont="1" applyFill="1" applyBorder="1" applyAlignment="1">
      <alignment horizontal="center" wrapText="1"/>
    </xf>
    <xf numFmtId="0" fontId="11" fillId="101" borderId="94" xfId="0" applyFont="1" applyFill="1" applyBorder="1" applyAlignment="1">
      <alignment horizontal="center" wrapText="1"/>
    </xf>
    <xf numFmtId="0" fontId="0" fillId="7" borderId="11" xfId="0" applyFont="1" applyFill="1" applyBorder="1" applyProtection="1">
      <protection locked="0"/>
    </xf>
    <xf numFmtId="0" fontId="0" fillId="7" borderId="29" xfId="0" applyFont="1" applyFill="1" applyBorder="1" applyProtection="1">
      <protection locked="0"/>
    </xf>
    <xf numFmtId="0" fontId="0" fillId="7" borderId="31" xfId="0" applyFont="1" applyFill="1" applyBorder="1" applyProtection="1">
      <protection locked="0"/>
    </xf>
    <xf numFmtId="0" fontId="0" fillId="7" borderId="51" xfId="0" applyFont="1" applyFill="1" applyBorder="1" applyProtection="1">
      <protection locked="0"/>
    </xf>
    <xf numFmtId="0" fontId="0" fillId="7" borderId="52" xfId="0" applyFont="1" applyFill="1" applyBorder="1" applyProtection="1">
      <protection locked="0"/>
    </xf>
    <xf numFmtId="0" fontId="11" fillId="51" borderId="29" xfId="0" applyFont="1" applyFill="1" applyBorder="1" applyAlignment="1">
      <alignment horizontal="center" wrapText="1"/>
    </xf>
    <xf numFmtId="0" fontId="11" fillId="51" borderId="31" xfId="0" applyFont="1" applyFill="1" applyBorder="1" applyAlignment="1">
      <alignment horizontal="center" wrapText="1"/>
    </xf>
    <xf numFmtId="0" fontId="11" fillId="51" borderId="51" xfId="0" applyFont="1" applyFill="1" applyBorder="1" applyAlignment="1">
      <alignment horizontal="center" wrapText="1"/>
    </xf>
    <xf numFmtId="0" fontId="11" fillId="51" borderId="52" xfId="0" applyFont="1" applyFill="1" applyBorder="1" applyAlignment="1">
      <alignment horizontal="center" wrapText="1"/>
    </xf>
    <xf numFmtId="0" fontId="0" fillId="38" borderId="29" xfId="0" applyFont="1" applyFill="1" applyBorder="1" applyProtection="1">
      <protection locked="0"/>
    </xf>
    <xf numFmtId="0" fontId="0" fillId="38" borderId="30" xfId="0" applyFont="1" applyFill="1" applyBorder="1" applyProtection="1">
      <protection locked="0"/>
    </xf>
    <xf numFmtId="0" fontId="0" fillId="38" borderId="31" xfId="0" applyFont="1" applyFill="1" applyBorder="1" applyProtection="1">
      <protection locked="0"/>
    </xf>
    <xf numFmtId="0" fontId="0" fillId="38" borderId="51" xfId="0" applyFont="1" applyFill="1" applyBorder="1" applyProtection="1">
      <protection locked="0"/>
    </xf>
    <xf numFmtId="0" fontId="0" fillId="38" borderId="32" xfId="0" applyFont="1" applyFill="1" applyBorder="1" applyProtection="1">
      <protection locked="0"/>
    </xf>
    <xf numFmtId="0" fontId="0" fillId="38" borderId="52" xfId="0" applyFont="1" applyFill="1" applyBorder="1" applyProtection="1">
      <protection locked="0"/>
    </xf>
    <xf numFmtId="0" fontId="0" fillId="41" borderId="29" xfId="0" applyFont="1" applyFill="1" applyBorder="1" applyProtection="1">
      <protection locked="0"/>
    </xf>
    <xf numFmtId="0" fontId="0" fillId="39" borderId="32" xfId="2" applyFont="1" applyFill="1" applyBorder="1" applyAlignment="1" applyProtection="1">
      <alignment horizontal="center" vertical="center" wrapText="1"/>
    </xf>
    <xf numFmtId="0" fontId="11" fillId="39" borderId="32" xfId="0" applyFont="1" applyFill="1" applyBorder="1" applyAlignment="1" applyProtection="1">
      <alignment horizontal="center" vertical="center" wrapText="1"/>
    </xf>
    <xf numFmtId="3" fontId="0" fillId="39" borderId="32" xfId="2" applyNumberFormat="1" applyFont="1" applyFill="1" applyBorder="1" applyAlignment="1" applyProtection="1">
      <alignment horizontal="center" vertical="center"/>
    </xf>
    <xf numFmtId="9" fontId="0" fillId="39" borderId="32" xfId="0" applyNumberFormat="1" applyFont="1" applyFill="1" applyBorder="1" applyAlignment="1" applyProtection="1">
      <alignment horizontal="center" vertical="center"/>
      <protection locked="0"/>
    </xf>
    <xf numFmtId="0" fontId="0" fillId="39" borderId="32" xfId="0" applyFont="1" applyFill="1" applyBorder="1" applyAlignment="1" applyProtection="1">
      <alignment horizontal="center" vertical="center" wrapText="1"/>
      <protection locked="0"/>
    </xf>
    <xf numFmtId="3" fontId="0" fillId="39" borderId="32" xfId="0" applyNumberFormat="1" applyFont="1" applyFill="1" applyBorder="1" applyAlignment="1" applyProtection="1">
      <alignment horizontal="center" vertical="center"/>
      <protection locked="0"/>
    </xf>
    <xf numFmtId="0" fontId="0" fillId="39" borderId="32" xfId="0" applyFont="1" applyFill="1" applyBorder="1" applyAlignment="1" applyProtection="1">
      <alignment horizontal="center" vertical="center"/>
      <protection locked="0"/>
    </xf>
    <xf numFmtId="0" fontId="0" fillId="39" borderId="32" xfId="0" applyFont="1" applyFill="1" applyBorder="1" applyProtection="1">
      <protection locked="0"/>
    </xf>
    <xf numFmtId="9" fontId="11" fillId="39" borderId="32" xfId="0" applyNumberFormat="1" applyFont="1" applyFill="1" applyBorder="1" applyAlignment="1">
      <alignment horizontal="center" vertical="center" wrapText="1"/>
    </xf>
    <xf numFmtId="0" fontId="11" fillId="113" borderId="32" xfId="0" applyFont="1" applyFill="1" applyBorder="1" applyAlignment="1">
      <alignment horizontal="left" vertical="top" wrapText="1"/>
    </xf>
    <xf numFmtId="0" fontId="11" fillId="39" borderId="32" xfId="0" applyFont="1" applyFill="1" applyBorder="1" applyAlignment="1">
      <alignment horizontal="left" vertical="top" wrapText="1"/>
    </xf>
    <xf numFmtId="3" fontId="11" fillId="39" borderId="32" xfId="0" applyNumberFormat="1" applyFont="1" applyFill="1" applyBorder="1" applyAlignment="1">
      <alignment horizontal="center" vertical="center" wrapText="1"/>
    </xf>
    <xf numFmtId="3" fontId="11" fillId="39" borderId="32" xfId="0" applyNumberFormat="1" applyFont="1" applyFill="1" applyBorder="1" applyAlignment="1">
      <alignment horizontal="left" vertical="top" wrapText="1"/>
    </xf>
    <xf numFmtId="0" fontId="0" fillId="39" borderId="0" xfId="0" applyFont="1" applyFill="1" applyProtection="1">
      <protection locked="0"/>
    </xf>
    <xf numFmtId="0" fontId="0" fillId="39" borderId="51" xfId="0" applyFont="1" applyFill="1" applyBorder="1" applyProtection="1">
      <protection locked="0"/>
    </xf>
    <xf numFmtId="0" fontId="0" fillId="39" borderId="52" xfId="0" applyFont="1" applyFill="1" applyBorder="1" applyProtection="1">
      <protection locked="0"/>
    </xf>
    <xf numFmtId="0" fontId="0" fillId="39" borderId="148" xfId="0" applyFont="1" applyFill="1" applyBorder="1" applyAlignment="1">
      <alignment horizontal="center" vertical="center" wrapText="1"/>
    </xf>
    <xf numFmtId="0" fontId="0" fillId="39" borderId="148" xfId="2" applyFont="1" applyFill="1" applyBorder="1" applyAlignment="1" applyProtection="1">
      <alignment horizontal="center" vertical="center" wrapText="1"/>
    </xf>
    <xf numFmtId="0" fontId="11" fillId="39" borderId="148" xfId="0" applyFont="1" applyFill="1" applyBorder="1" applyAlignment="1" applyProtection="1">
      <alignment horizontal="center" vertical="center" wrapText="1"/>
    </xf>
    <xf numFmtId="3" fontId="0" fillId="39" borderId="148" xfId="2" applyNumberFormat="1" applyFont="1" applyFill="1" applyBorder="1" applyAlignment="1" applyProtection="1">
      <alignment horizontal="center" vertical="center"/>
    </xf>
    <xf numFmtId="9" fontId="0" fillId="39" borderId="148" xfId="0" applyNumberFormat="1" applyFont="1" applyFill="1" applyBorder="1" applyAlignment="1" applyProtection="1">
      <alignment horizontal="center" vertical="center"/>
      <protection locked="0"/>
    </xf>
    <xf numFmtId="0" fontId="0" fillId="39" borderId="148" xfId="0" applyFont="1" applyFill="1" applyBorder="1" applyAlignment="1" applyProtection="1">
      <alignment horizontal="center" vertical="center" wrapText="1"/>
      <protection locked="0"/>
    </xf>
    <xf numFmtId="3" fontId="0" fillId="39" borderId="148" xfId="0" applyNumberFormat="1" applyFont="1" applyFill="1" applyBorder="1" applyAlignment="1" applyProtection="1">
      <alignment horizontal="center" vertical="center"/>
      <protection locked="0"/>
    </xf>
    <xf numFmtId="0" fontId="0" fillId="39" borderId="148" xfId="0" applyFont="1" applyFill="1" applyBorder="1" applyAlignment="1" applyProtection="1">
      <alignment horizontal="center" vertical="center"/>
      <protection locked="0"/>
    </xf>
    <xf numFmtId="0" fontId="0" fillId="39" borderId="148" xfId="0" applyFont="1" applyFill="1" applyBorder="1" applyProtection="1">
      <protection locked="0"/>
    </xf>
    <xf numFmtId="0" fontId="11" fillId="113" borderId="148" xfId="0" applyFont="1" applyFill="1" applyBorder="1" applyAlignment="1">
      <alignment horizontal="left" vertical="top" wrapText="1"/>
    </xf>
    <xf numFmtId="0" fontId="11" fillId="39" borderId="148" xfId="0" applyFont="1" applyFill="1" applyBorder="1" applyAlignment="1">
      <alignment horizontal="left" vertical="top" wrapText="1"/>
    </xf>
    <xf numFmtId="3" fontId="11" fillId="39" borderId="148" xfId="0" applyNumberFormat="1" applyFont="1" applyFill="1" applyBorder="1" applyAlignment="1">
      <alignment horizontal="center" vertical="center" wrapText="1"/>
    </xf>
    <xf numFmtId="3" fontId="11" fillId="39" borderId="148" xfId="0" applyNumberFormat="1" applyFont="1" applyFill="1" applyBorder="1" applyAlignment="1">
      <alignment horizontal="left" vertical="top" wrapText="1"/>
    </xf>
    <xf numFmtId="0" fontId="0" fillId="39" borderId="11" xfId="0" applyFont="1" applyFill="1" applyBorder="1" applyProtection="1">
      <protection locked="0"/>
    </xf>
    <xf numFmtId="0" fontId="0" fillId="39" borderId="94" xfId="0" applyFont="1" applyFill="1" applyBorder="1" applyProtection="1">
      <protection locked="0"/>
    </xf>
    <xf numFmtId="3" fontId="0" fillId="39" borderId="148" xfId="0" applyNumberFormat="1" applyFont="1" applyFill="1" applyBorder="1" applyAlignment="1">
      <alignment horizontal="center" vertical="center" wrapText="1"/>
    </xf>
    <xf numFmtId="0" fontId="0" fillId="39" borderId="148" xfId="2" applyFont="1" applyFill="1" applyBorder="1" applyAlignment="1" applyProtection="1">
      <alignment horizontal="center" vertical="center"/>
    </xf>
    <xf numFmtId="0" fontId="7" fillId="39" borderId="148" xfId="0" applyFont="1" applyFill="1" applyBorder="1" applyAlignment="1" applyProtection="1">
      <alignment horizontal="center" vertical="center" wrapText="1"/>
    </xf>
    <xf numFmtId="3" fontId="11" fillId="113" borderId="148" xfId="0" applyNumberFormat="1" applyFont="1" applyFill="1" applyBorder="1" applyAlignment="1">
      <alignment horizontal="center" vertical="center" wrapText="1"/>
    </xf>
    <xf numFmtId="0" fontId="11" fillId="113" borderId="148" xfId="0" applyFont="1" applyFill="1" applyBorder="1" applyAlignment="1">
      <alignment horizontal="center" vertical="center" wrapText="1"/>
    </xf>
    <xf numFmtId="3" fontId="0" fillId="39" borderId="148" xfId="0" applyNumberFormat="1" applyFont="1" applyFill="1" applyBorder="1" applyAlignment="1">
      <alignment horizontal="center" vertical="center"/>
    </xf>
    <xf numFmtId="0" fontId="0" fillId="39" borderId="148" xfId="0" applyFont="1" applyFill="1" applyBorder="1" applyAlignment="1" applyProtection="1">
      <alignment horizontal="left" vertical="center" wrapText="1"/>
      <protection locked="0"/>
    </xf>
    <xf numFmtId="9" fontId="0" fillId="39" borderId="148" xfId="9" applyNumberFormat="1" applyFont="1" applyFill="1" applyBorder="1" applyAlignment="1" applyProtection="1">
      <alignment horizontal="center" vertical="center"/>
      <protection locked="0"/>
    </xf>
    <xf numFmtId="0" fontId="0" fillId="39" borderId="148" xfId="0" applyFont="1" applyFill="1" applyBorder="1" applyAlignment="1" applyProtection="1">
      <alignment wrapText="1"/>
      <protection locked="0"/>
    </xf>
    <xf numFmtId="9" fontId="11" fillId="39" borderId="148" xfId="5" applyFont="1" applyFill="1" applyBorder="1" applyAlignment="1">
      <alignment horizontal="center" vertical="center"/>
    </xf>
    <xf numFmtId="9" fontId="0" fillId="39" borderId="148" xfId="5" applyFont="1" applyFill="1" applyBorder="1" applyAlignment="1">
      <alignment horizontal="center" vertical="center"/>
    </xf>
    <xf numFmtId="9" fontId="0" fillId="39" borderId="148" xfId="5" applyFont="1" applyFill="1" applyBorder="1" applyAlignment="1">
      <alignment horizontal="center" vertical="center" wrapText="1"/>
    </xf>
    <xf numFmtId="9" fontId="11" fillId="39" borderId="148" xfId="5" applyFont="1" applyFill="1" applyBorder="1" applyAlignment="1">
      <alignment horizontal="center" vertical="center" wrapText="1"/>
    </xf>
    <xf numFmtId="3" fontId="11" fillId="39" borderId="148" xfId="7" applyNumberFormat="1" applyFont="1" applyFill="1" applyBorder="1" applyAlignment="1">
      <alignment horizontal="center" vertical="center" wrapText="1"/>
    </xf>
    <xf numFmtId="3" fontId="0" fillId="39" borderId="30" xfId="0" applyNumberFormat="1" applyFont="1" applyFill="1" applyBorder="1" applyAlignment="1">
      <alignment horizontal="center" vertical="center" wrapText="1"/>
    </xf>
    <xf numFmtId="0" fontId="0" fillId="39" borderId="30" xfId="2" applyFont="1" applyFill="1" applyBorder="1" applyAlignment="1" applyProtection="1">
      <alignment horizontal="center" vertical="center"/>
    </xf>
    <xf numFmtId="0" fontId="0" fillId="39" borderId="30" xfId="2" applyFont="1" applyFill="1" applyBorder="1" applyAlignment="1" applyProtection="1">
      <alignment horizontal="center" vertical="center" wrapText="1"/>
    </xf>
    <xf numFmtId="0" fontId="7" fillId="39" borderId="30" xfId="0" applyFont="1" applyFill="1" applyBorder="1" applyAlignment="1" applyProtection="1">
      <alignment horizontal="center" vertical="center" wrapText="1"/>
    </xf>
    <xf numFmtId="3" fontId="0" fillId="39" borderId="30" xfId="2" applyNumberFormat="1" applyFont="1" applyFill="1" applyBorder="1" applyAlignment="1" applyProtection="1">
      <alignment horizontal="center" vertical="center"/>
    </xf>
    <xf numFmtId="0" fontId="0" fillId="39" borderId="30" xfId="0" applyFont="1" applyFill="1" applyBorder="1" applyAlignment="1" applyProtection="1">
      <alignment horizontal="center" vertical="center"/>
      <protection locked="0"/>
    </xf>
    <xf numFmtId="0" fontId="0" fillId="39" borderId="30" xfId="0" applyFont="1" applyFill="1" applyBorder="1" applyAlignment="1" applyProtection="1">
      <alignment horizontal="center" vertical="center" wrapText="1"/>
      <protection locked="0"/>
    </xf>
    <xf numFmtId="0" fontId="0" fillId="39" borderId="30" xfId="0" applyFont="1" applyFill="1" applyBorder="1" applyProtection="1">
      <protection locked="0"/>
    </xf>
    <xf numFmtId="0" fontId="0" fillId="39" borderId="30" xfId="0" applyFont="1" applyFill="1" applyBorder="1" applyAlignment="1">
      <alignment horizontal="center" vertical="center"/>
    </xf>
    <xf numFmtId="3" fontId="0" fillId="39" borderId="30" xfId="0" applyNumberFormat="1" applyFont="1" applyFill="1" applyBorder="1" applyAlignment="1">
      <alignment horizontal="center" vertical="center"/>
    </xf>
    <xf numFmtId="0" fontId="0" fillId="39" borderId="29" xfId="0" applyFont="1" applyFill="1" applyBorder="1" applyProtection="1">
      <protection locked="0"/>
    </xf>
    <xf numFmtId="0" fontId="0" fillId="39" borderId="31" xfId="0" applyFont="1" applyFill="1" applyBorder="1" applyProtection="1">
      <protection locked="0"/>
    </xf>
    <xf numFmtId="0" fontId="0" fillId="33" borderId="32" xfId="2" applyFont="1" applyFill="1" applyBorder="1" applyAlignment="1" applyProtection="1">
      <alignment horizontal="center" vertical="center" wrapText="1"/>
    </xf>
    <xf numFmtId="0" fontId="0" fillId="33" borderId="32" xfId="0" applyFont="1" applyFill="1" applyBorder="1" applyProtection="1">
      <protection locked="0"/>
    </xf>
    <xf numFmtId="3" fontId="0" fillId="33" borderId="32" xfId="2" applyNumberFormat="1" applyFont="1" applyFill="1" applyBorder="1" applyAlignment="1" applyProtection="1">
      <alignment horizontal="center" vertical="center" wrapText="1"/>
    </xf>
    <xf numFmtId="3" fontId="0" fillId="33" borderId="32" xfId="2" applyNumberFormat="1" applyFont="1" applyFill="1" applyBorder="1" applyAlignment="1" applyProtection="1">
      <alignment horizontal="center" vertical="center"/>
    </xf>
    <xf numFmtId="9" fontId="0" fillId="33" borderId="32" xfId="0" applyNumberFormat="1" applyFont="1" applyFill="1" applyBorder="1" applyAlignment="1" applyProtection="1">
      <alignment horizontal="center" vertical="center" wrapText="1"/>
      <protection locked="0"/>
    </xf>
    <xf numFmtId="0" fontId="0" fillId="33" borderId="32" xfId="0" applyFont="1" applyFill="1" applyBorder="1" applyAlignment="1" applyProtection="1">
      <alignment horizontal="center" vertical="center" wrapText="1"/>
      <protection locked="0"/>
    </xf>
    <xf numFmtId="0" fontId="0" fillId="33" borderId="32" xfId="0" applyFont="1" applyFill="1" applyBorder="1" applyAlignment="1" applyProtection="1">
      <alignment vertical="center" wrapText="1"/>
      <protection locked="0"/>
    </xf>
    <xf numFmtId="191" fontId="0" fillId="33" borderId="32" xfId="10" applyNumberFormat="1" applyFont="1" applyFill="1" applyBorder="1" applyProtection="1">
      <protection locked="0"/>
    </xf>
    <xf numFmtId="0" fontId="11" fillId="33" borderId="32" xfId="0" applyFont="1" applyFill="1" applyBorder="1" applyAlignment="1">
      <alignment horizontal="center" vertical="center" wrapText="1"/>
    </xf>
    <xf numFmtId="9" fontId="11" fillId="33" borderId="32" xfId="0" applyNumberFormat="1" applyFont="1" applyFill="1" applyBorder="1" applyAlignment="1">
      <alignment horizontal="center" vertical="center" wrapText="1"/>
    </xf>
    <xf numFmtId="0" fontId="11" fillId="33" borderId="32" xfId="0" applyFont="1" applyFill="1" applyBorder="1" applyAlignment="1">
      <alignment horizontal="left" vertical="top" wrapText="1"/>
    </xf>
    <xf numFmtId="3" fontId="11" fillId="33" borderId="32" xfId="0" applyNumberFormat="1" applyFont="1" applyFill="1" applyBorder="1" applyAlignment="1">
      <alignment horizontal="center" vertical="center" wrapText="1"/>
    </xf>
    <xf numFmtId="0" fontId="11" fillId="33" borderId="52" xfId="0" applyFont="1" applyFill="1" applyBorder="1" applyAlignment="1">
      <alignment horizontal="left" vertical="top" wrapText="1"/>
    </xf>
    <xf numFmtId="0" fontId="0" fillId="33" borderId="0" xfId="0" applyFont="1" applyFill="1" applyProtection="1">
      <protection locked="0"/>
    </xf>
    <xf numFmtId="0" fontId="0" fillId="33" borderId="51" xfId="0" applyFont="1" applyFill="1" applyBorder="1" applyProtection="1">
      <protection locked="0"/>
    </xf>
    <xf numFmtId="0" fontId="0" fillId="33" borderId="52" xfId="0" applyFont="1" applyFill="1" applyBorder="1" applyProtection="1">
      <protection locked="0"/>
    </xf>
    <xf numFmtId="0" fontId="0" fillId="33" borderId="148" xfId="2" applyFont="1" applyFill="1" applyBorder="1" applyAlignment="1" applyProtection="1">
      <alignment horizontal="center" vertical="center" wrapText="1"/>
    </xf>
    <xf numFmtId="0" fontId="0" fillId="33" borderId="148" xfId="0" applyFont="1" applyFill="1" applyBorder="1" applyAlignment="1" applyProtection="1">
      <alignment horizontal="center" vertical="center" wrapText="1"/>
    </xf>
    <xf numFmtId="3" fontId="0" fillId="33" borderId="148" xfId="2" applyNumberFormat="1" applyFont="1" applyFill="1" applyBorder="1" applyAlignment="1" applyProtection="1">
      <alignment horizontal="center" vertical="center" wrapText="1"/>
    </xf>
    <xf numFmtId="3" fontId="0" fillId="33" borderId="148" xfId="2" applyNumberFormat="1" applyFont="1" applyFill="1" applyBorder="1" applyAlignment="1" applyProtection="1">
      <alignment horizontal="center" vertical="center"/>
    </xf>
    <xf numFmtId="9" fontId="0" fillId="33" borderId="148" xfId="0" applyNumberFormat="1" applyFont="1" applyFill="1" applyBorder="1" applyAlignment="1" applyProtection="1">
      <alignment horizontal="center" vertical="center" wrapText="1"/>
      <protection locked="0"/>
    </xf>
    <xf numFmtId="0" fontId="0" fillId="33" borderId="148" xfId="0" applyFont="1" applyFill="1" applyBorder="1" applyAlignment="1" applyProtection="1">
      <alignment horizontal="center" vertical="center" wrapText="1"/>
      <protection locked="0"/>
    </xf>
    <xf numFmtId="0" fontId="0" fillId="33" borderId="148" xfId="0" applyFont="1" applyFill="1" applyBorder="1" applyAlignment="1" applyProtection="1">
      <alignment vertical="center" wrapText="1"/>
      <protection locked="0"/>
    </xf>
    <xf numFmtId="0" fontId="0" fillId="33" borderId="148" xfId="0" applyFont="1" applyFill="1" applyBorder="1" applyProtection="1">
      <protection locked="0"/>
    </xf>
    <xf numFmtId="191" fontId="0" fillId="33" borderId="148" xfId="10" applyNumberFormat="1" applyFont="1" applyFill="1" applyBorder="1" applyProtection="1">
      <protection locked="0"/>
    </xf>
    <xf numFmtId="0" fontId="11" fillId="33" borderId="148" xfId="0" applyFont="1" applyFill="1" applyBorder="1" applyAlignment="1">
      <alignment horizontal="center" vertical="center" wrapText="1"/>
    </xf>
    <xf numFmtId="9" fontId="11" fillId="33" borderId="148" xfId="0" applyNumberFormat="1" applyFont="1" applyFill="1" applyBorder="1" applyAlignment="1">
      <alignment horizontal="center" vertical="center" wrapText="1"/>
    </xf>
    <xf numFmtId="0" fontId="11" fillId="33" borderId="148" xfId="0" applyFont="1" applyFill="1" applyBorder="1" applyAlignment="1">
      <alignment horizontal="left" vertical="top" wrapText="1"/>
    </xf>
    <xf numFmtId="3" fontId="11" fillId="33" borderId="148" xfId="0" applyNumberFormat="1" applyFont="1" applyFill="1" applyBorder="1" applyAlignment="1">
      <alignment horizontal="center" vertical="center" wrapText="1"/>
    </xf>
    <xf numFmtId="0" fontId="11" fillId="33" borderId="94" xfId="0" applyFont="1" applyFill="1" applyBorder="1" applyAlignment="1">
      <alignment horizontal="left" vertical="top" wrapText="1"/>
    </xf>
    <xf numFmtId="0" fontId="0" fillId="33" borderId="11" xfId="0" applyFont="1" applyFill="1" applyBorder="1" applyProtection="1">
      <protection locked="0"/>
    </xf>
    <xf numFmtId="0" fontId="0" fillId="33" borderId="94" xfId="0" applyFont="1" applyFill="1" applyBorder="1" applyProtection="1">
      <protection locked="0"/>
    </xf>
    <xf numFmtId="9" fontId="0" fillId="33" borderId="148" xfId="0" applyNumberFormat="1" applyFont="1" applyFill="1" applyBorder="1" applyAlignment="1" applyProtection="1">
      <alignment horizontal="center" vertical="center"/>
      <protection locked="0"/>
    </xf>
    <xf numFmtId="0" fontId="0" fillId="33" borderId="148" xfId="0" applyFont="1" applyFill="1" applyBorder="1" applyAlignment="1" applyProtection="1">
      <alignment wrapText="1"/>
      <protection locked="0"/>
    </xf>
    <xf numFmtId="0" fontId="11" fillId="33" borderId="148" xfId="0" applyFont="1" applyFill="1" applyBorder="1" applyAlignment="1">
      <alignment horizontal="center" vertical="top" wrapText="1"/>
    </xf>
    <xf numFmtId="0" fontId="11" fillId="33" borderId="94" xfId="0" applyFont="1" applyFill="1" applyBorder="1" applyAlignment="1">
      <alignment horizontal="center" vertical="top" wrapText="1"/>
    </xf>
    <xf numFmtId="0" fontId="0" fillId="33" borderId="148" xfId="0" applyFont="1" applyFill="1" applyBorder="1" applyAlignment="1" applyProtection="1">
      <alignment horizontal="center" vertical="center"/>
      <protection locked="0"/>
    </xf>
    <xf numFmtId="3" fontId="0" fillId="33" borderId="148" xfId="0" applyNumberFormat="1" applyFont="1" applyFill="1" applyBorder="1" applyAlignment="1">
      <alignment horizontal="center" vertical="center"/>
    </xf>
    <xf numFmtId="9" fontId="0" fillId="33" borderId="148" xfId="5" applyFont="1" applyFill="1" applyBorder="1" applyAlignment="1" applyProtection="1">
      <alignment horizontal="center" vertical="center"/>
      <protection locked="0"/>
    </xf>
    <xf numFmtId="0" fontId="11" fillId="33" borderId="148" xfId="0" applyFont="1" applyFill="1" applyBorder="1" applyAlignment="1">
      <alignment horizontal="center" vertical="center"/>
    </xf>
    <xf numFmtId="0" fontId="0" fillId="33" borderId="148" xfId="2" applyFont="1" applyFill="1" applyBorder="1" applyAlignment="1" applyProtection="1">
      <alignment horizontal="center" vertical="center"/>
    </xf>
    <xf numFmtId="0" fontId="11" fillId="114" borderId="148" xfId="0" applyFont="1" applyFill="1" applyBorder="1" applyAlignment="1">
      <alignment horizontal="left" vertical="top" wrapText="1"/>
    </xf>
    <xf numFmtId="3" fontId="11" fillId="114" borderId="148" xfId="0" applyNumberFormat="1" applyFont="1" applyFill="1" applyBorder="1" applyAlignment="1">
      <alignment horizontal="center" vertical="center" wrapText="1"/>
    </xf>
    <xf numFmtId="9" fontId="10" fillId="33" borderId="148" xfId="5" applyFont="1" applyFill="1" applyBorder="1" applyAlignment="1" applyProtection="1">
      <alignment horizontal="center" vertical="center"/>
      <protection locked="0"/>
    </xf>
    <xf numFmtId="0" fontId="10" fillId="33" borderId="148" xfId="0" applyFont="1" applyFill="1" applyBorder="1" applyAlignment="1" applyProtection="1">
      <alignment wrapText="1"/>
      <protection locked="0"/>
    </xf>
    <xf numFmtId="192" fontId="0" fillId="33" borderId="148" xfId="10" applyNumberFormat="1" applyFont="1" applyFill="1" applyBorder="1" applyProtection="1">
      <protection locked="0"/>
    </xf>
    <xf numFmtId="9" fontId="7" fillId="33" borderId="148" xfId="0" applyNumberFormat="1" applyFont="1" applyFill="1" applyBorder="1" applyAlignment="1" applyProtection="1">
      <alignment horizontal="center" vertical="center"/>
      <protection locked="0"/>
    </xf>
    <xf numFmtId="0" fontId="7" fillId="33" borderId="148" xfId="0" applyFont="1" applyFill="1" applyBorder="1" applyAlignment="1" applyProtection="1">
      <alignment vertical="center" wrapText="1"/>
      <protection locked="0"/>
    </xf>
    <xf numFmtId="191" fontId="0" fillId="33" borderId="148" xfId="10" applyNumberFormat="1" applyFont="1" applyFill="1" applyBorder="1" applyAlignment="1" applyProtection="1">
      <alignment vertical="center"/>
      <protection locked="0"/>
    </xf>
    <xf numFmtId="0" fontId="0" fillId="33" borderId="148" xfId="0" applyFont="1" applyFill="1" applyBorder="1" applyAlignment="1" applyProtection="1">
      <alignment vertical="center"/>
      <protection locked="0"/>
    </xf>
    <xf numFmtId="0" fontId="0" fillId="33" borderId="148" xfId="0" applyFont="1" applyFill="1" applyBorder="1" applyAlignment="1">
      <alignment horizontal="left" vertical="top" wrapText="1"/>
    </xf>
    <xf numFmtId="3" fontId="0" fillId="33" borderId="148" xfId="0" applyNumberFormat="1" applyFont="1" applyFill="1" applyBorder="1" applyAlignment="1">
      <alignment horizontal="center" vertical="center" wrapText="1"/>
    </xf>
    <xf numFmtId="0" fontId="0" fillId="33" borderId="94" xfId="0" applyFont="1" applyFill="1" applyBorder="1" applyAlignment="1">
      <alignment horizontal="left" vertical="top" wrapText="1"/>
    </xf>
    <xf numFmtId="0" fontId="0" fillId="33" borderId="30" xfId="2" applyFont="1" applyFill="1" applyBorder="1" applyAlignment="1" applyProtection="1">
      <alignment horizontal="center" vertical="center" wrapText="1"/>
    </xf>
    <xf numFmtId="0" fontId="0" fillId="33" borderId="30" xfId="2" applyFont="1" applyFill="1" applyBorder="1" applyAlignment="1" applyProtection="1">
      <alignment horizontal="center" vertical="center"/>
    </xf>
    <xf numFmtId="0" fontId="0" fillId="33" borderId="30" xfId="0" applyFont="1" applyFill="1" applyBorder="1" applyAlignment="1" applyProtection="1">
      <alignment horizontal="center" vertical="center" wrapText="1"/>
    </xf>
    <xf numFmtId="3" fontId="0" fillId="33" borderId="30" xfId="2" applyNumberFormat="1" applyFont="1" applyFill="1" applyBorder="1" applyAlignment="1" applyProtection="1">
      <alignment horizontal="center" vertical="center" wrapText="1"/>
    </xf>
    <xf numFmtId="3" fontId="0" fillId="33" borderId="30" xfId="2" applyNumberFormat="1" applyFont="1" applyFill="1" applyBorder="1" applyAlignment="1" applyProtection="1">
      <alignment horizontal="center" vertical="center"/>
    </xf>
    <xf numFmtId="9" fontId="7" fillId="33" borderId="30" xfId="0" applyNumberFormat="1" applyFont="1" applyFill="1" applyBorder="1" applyAlignment="1" applyProtection="1">
      <alignment horizontal="center" vertical="center"/>
      <protection locked="0"/>
    </xf>
    <xf numFmtId="0" fontId="0" fillId="33" borderId="30" xfId="0" applyFont="1" applyFill="1" applyBorder="1" applyAlignment="1" applyProtection="1">
      <alignment vertical="center" wrapText="1"/>
      <protection locked="0"/>
    </xf>
    <xf numFmtId="0" fontId="0" fillId="33" borderId="30" xfId="0" applyFont="1" applyFill="1" applyBorder="1" applyProtection="1">
      <protection locked="0"/>
    </xf>
    <xf numFmtId="0" fontId="0" fillId="33" borderId="30" xfId="0" applyFont="1" applyFill="1" applyBorder="1" applyAlignment="1" applyProtection="1">
      <alignment wrapText="1"/>
      <protection locked="0"/>
    </xf>
    <xf numFmtId="0" fontId="11" fillId="33" borderId="30" xfId="0" applyFont="1" applyFill="1" applyBorder="1" applyAlignment="1">
      <alignment horizontal="center" vertical="center"/>
    </xf>
    <xf numFmtId="0" fontId="0" fillId="33" borderId="30" xfId="0" applyFont="1" applyFill="1" applyBorder="1" applyAlignment="1">
      <alignment horizontal="center" vertical="center"/>
    </xf>
    <xf numFmtId="9" fontId="11" fillId="33" borderId="30" xfId="0" applyNumberFormat="1" applyFont="1" applyFill="1" applyBorder="1" applyAlignment="1">
      <alignment horizontal="center" vertical="center" wrapText="1"/>
    </xf>
    <xf numFmtId="0" fontId="11" fillId="33" borderId="30" xfId="0" applyFont="1" applyFill="1" applyBorder="1" applyAlignment="1">
      <alignment horizontal="left" vertical="top" wrapText="1"/>
    </xf>
    <xf numFmtId="3" fontId="11" fillId="33" borderId="30" xfId="0" applyNumberFormat="1" applyFont="1" applyFill="1" applyBorder="1" applyAlignment="1">
      <alignment horizontal="center" vertical="center" wrapText="1"/>
    </xf>
    <xf numFmtId="3" fontId="0" fillId="33" borderId="30" xfId="0" applyNumberFormat="1" applyFont="1" applyFill="1" applyBorder="1" applyAlignment="1">
      <alignment horizontal="center" vertical="center"/>
    </xf>
    <xf numFmtId="0" fontId="0" fillId="33" borderId="29" xfId="0" applyFont="1" applyFill="1" applyBorder="1" applyProtection="1">
      <protection locked="0"/>
    </xf>
    <xf numFmtId="0" fontId="0" fillId="33" borderId="31" xfId="0" applyFont="1" applyFill="1" applyBorder="1" applyProtection="1">
      <protection locked="0"/>
    </xf>
    <xf numFmtId="0" fontId="11" fillId="38" borderId="32" xfId="0" applyFont="1" applyFill="1" applyBorder="1" applyAlignment="1" applyProtection="1">
      <alignment horizontal="center" vertical="center" wrapText="1"/>
      <protection locked="0"/>
    </xf>
    <xf numFmtId="0" fontId="7" fillId="38" borderId="32" xfId="0" applyFont="1" applyFill="1" applyBorder="1" applyAlignment="1" applyProtection="1">
      <alignment horizontal="center" vertical="center" wrapText="1"/>
    </xf>
    <xf numFmtId="9" fontId="0" fillId="38" borderId="32" xfId="0" applyNumberFormat="1" applyFont="1" applyFill="1" applyBorder="1" applyProtection="1">
      <protection locked="0"/>
    </xf>
    <xf numFmtId="187" fontId="0" fillId="38" borderId="32" xfId="0" applyNumberFormat="1" applyFont="1" applyFill="1" applyBorder="1" applyAlignment="1" applyProtection="1">
      <alignment horizontal="center" vertical="center"/>
      <protection locked="0"/>
    </xf>
    <xf numFmtId="9" fontId="0" fillId="38" borderId="148" xfId="0" applyNumberFormat="1" applyFont="1" applyFill="1" applyBorder="1" applyProtection="1">
      <protection locked="0"/>
    </xf>
    <xf numFmtId="187" fontId="0" fillId="38" borderId="148" xfId="0" applyNumberFormat="1" applyFont="1" applyFill="1" applyBorder="1" applyAlignment="1" applyProtection="1">
      <alignment horizontal="center" vertical="center"/>
      <protection locked="0"/>
    </xf>
    <xf numFmtId="0" fontId="10" fillId="38" borderId="148" xfId="2" applyFont="1" applyFill="1" applyBorder="1" applyAlignment="1" applyProtection="1">
      <alignment horizontal="center" vertical="center" wrapText="1"/>
    </xf>
    <xf numFmtId="3" fontId="10" fillId="38" borderId="148" xfId="2" applyNumberFormat="1" applyFont="1" applyFill="1" applyBorder="1" applyAlignment="1" applyProtection="1">
      <alignment horizontal="center" vertical="center" wrapText="1"/>
    </xf>
    <xf numFmtId="0" fontId="11" fillId="38" borderId="94" xfId="0" applyFont="1" applyFill="1" applyBorder="1" applyAlignment="1">
      <alignment horizontal="left" vertical="top" wrapText="1"/>
    </xf>
    <xf numFmtId="0" fontId="0" fillId="38" borderId="148" xfId="0" applyNumberFormat="1" applyFont="1" applyFill="1" applyBorder="1" applyAlignment="1">
      <alignment horizontal="center" vertical="center" wrapText="1"/>
    </xf>
    <xf numFmtId="186" fontId="0" fillId="38" borderId="148" xfId="0" applyNumberFormat="1" applyFont="1" applyFill="1" applyBorder="1" applyAlignment="1" applyProtection="1">
      <alignment horizontal="center" vertical="center"/>
      <protection locked="0"/>
    </xf>
    <xf numFmtId="0" fontId="0" fillId="38" borderId="148" xfId="0" applyFont="1" applyFill="1" applyBorder="1" applyAlignment="1" applyProtection="1">
      <alignment vertical="center"/>
      <protection locked="0"/>
    </xf>
    <xf numFmtId="0" fontId="0" fillId="38" borderId="148" xfId="0" applyFont="1" applyFill="1" applyBorder="1" applyAlignment="1" applyProtection="1">
      <alignment wrapText="1"/>
      <protection locked="0"/>
    </xf>
    <xf numFmtId="0" fontId="0" fillId="38" borderId="148" xfId="0" applyFont="1" applyFill="1" applyBorder="1" applyAlignment="1" applyProtection="1">
      <alignment vertical="top" wrapText="1"/>
      <protection locked="0"/>
    </xf>
    <xf numFmtId="0" fontId="0" fillId="38" borderId="148" xfId="0" applyFont="1" applyFill="1" applyBorder="1" applyAlignment="1" applyProtection="1">
      <alignment vertical="center" wrapText="1"/>
      <protection locked="0"/>
    </xf>
    <xf numFmtId="3" fontId="0" fillId="38" borderId="148" xfId="7" applyNumberFormat="1" applyFont="1" applyFill="1" applyBorder="1" applyAlignment="1">
      <alignment horizontal="center" vertical="center" wrapText="1"/>
    </xf>
    <xf numFmtId="3" fontId="0" fillId="38" borderId="148" xfId="0" applyNumberFormat="1" applyFont="1" applyFill="1" applyBorder="1" applyAlignment="1">
      <alignment wrapText="1"/>
    </xf>
    <xf numFmtId="9" fontId="10" fillId="38" borderId="148" xfId="0" applyNumberFormat="1" applyFont="1" applyFill="1" applyBorder="1" applyAlignment="1" applyProtection="1">
      <alignment horizontal="center" vertical="center"/>
      <protection locked="0"/>
    </xf>
    <xf numFmtId="0" fontId="0" fillId="38" borderId="148" xfId="0" applyFont="1" applyFill="1" applyBorder="1" applyProtection="1"/>
    <xf numFmtId="0" fontId="0" fillId="38" borderId="148" xfId="0" applyFont="1" applyFill="1" applyBorder="1" applyAlignment="1" applyProtection="1">
      <alignment horizontal="center"/>
    </xf>
    <xf numFmtId="0" fontId="0" fillId="38" borderId="148" xfId="0" applyFont="1" applyFill="1" applyBorder="1" applyAlignment="1"/>
    <xf numFmtId="3" fontId="0" fillId="38" borderId="148" xfId="0" applyNumberFormat="1" applyFont="1" applyFill="1" applyBorder="1" applyAlignment="1"/>
    <xf numFmtId="0" fontId="0" fillId="38" borderId="94" xfId="0" applyFont="1" applyFill="1" applyBorder="1" applyAlignment="1"/>
    <xf numFmtId="0" fontId="0" fillId="38" borderId="30" xfId="0" applyFont="1" applyFill="1" applyBorder="1" applyProtection="1"/>
    <xf numFmtId="0" fontId="0" fillId="38" borderId="30" xfId="0" applyFont="1" applyFill="1" applyBorder="1" applyAlignment="1" applyProtection="1">
      <alignment horizontal="center"/>
    </xf>
    <xf numFmtId="0" fontId="0" fillId="38" borderId="30" xfId="0" applyFont="1" applyFill="1" applyBorder="1" applyAlignment="1"/>
    <xf numFmtId="3" fontId="7" fillId="38" borderId="30" xfId="0" applyNumberFormat="1" applyFont="1" applyFill="1" applyBorder="1" applyAlignment="1"/>
    <xf numFmtId="3" fontId="0" fillId="38" borderId="30" xfId="0" applyNumberFormat="1" applyFont="1" applyFill="1" applyBorder="1" applyAlignment="1"/>
    <xf numFmtId="168" fontId="0" fillId="38" borderId="30" xfId="0" applyNumberFormat="1" applyFont="1" applyFill="1" applyBorder="1" applyAlignment="1"/>
    <xf numFmtId="0" fontId="0" fillId="38" borderId="31" xfId="0" applyFont="1" applyFill="1" applyBorder="1" applyAlignment="1"/>
    <xf numFmtId="0" fontId="0" fillId="4" borderId="149" xfId="0" applyFill="1" applyBorder="1" applyAlignment="1" applyProtection="1">
      <alignment horizontal="center" vertical="center" textRotation="90" wrapText="1"/>
      <protection locked="0"/>
    </xf>
    <xf numFmtId="0" fontId="8" fillId="4" borderId="149" xfId="0" applyFont="1" applyFill="1" applyBorder="1" applyAlignment="1" applyProtection="1">
      <alignment horizontal="center" vertical="center" wrapText="1"/>
      <protection locked="0"/>
    </xf>
    <xf numFmtId="0" fontId="9" fillId="42" borderId="148" xfId="0" applyFont="1" applyFill="1" applyBorder="1" applyAlignment="1">
      <alignment horizontal="center" vertical="center" wrapText="1"/>
    </xf>
    <xf numFmtId="0" fontId="10" fillId="42" borderId="148" xfId="0" applyFont="1" applyFill="1" applyBorder="1" applyAlignment="1">
      <alignment horizontal="center" vertical="top" wrapText="1"/>
    </xf>
    <xf numFmtId="0" fontId="0" fillId="41" borderId="148" xfId="0" applyFill="1" applyBorder="1" applyAlignment="1">
      <alignment horizontal="center" wrapText="1"/>
    </xf>
    <xf numFmtId="9" fontId="11" fillId="44" borderId="148" xfId="0" applyNumberFormat="1" applyFont="1" applyFill="1" applyBorder="1" applyAlignment="1">
      <alignment horizontal="center" vertical="center" wrapText="1"/>
    </xf>
    <xf numFmtId="1" fontId="10" fillId="42" borderId="8" xfId="0" applyNumberFormat="1" applyFont="1" applyFill="1" applyBorder="1" applyAlignment="1" applyProtection="1">
      <alignment horizontal="center" vertical="center" wrapText="1"/>
      <protection locked="0"/>
    </xf>
    <xf numFmtId="170" fontId="0" fillId="42" borderId="8" xfId="9" applyFont="1" applyFill="1" applyBorder="1" applyAlignment="1">
      <alignment horizontal="center" vertical="center" wrapText="1"/>
    </xf>
    <xf numFmtId="170" fontId="0" fillId="42" borderId="8" xfId="9" applyFont="1" applyFill="1" applyBorder="1" applyAlignment="1">
      <alignment vertical="center" wrapText="1"/>
    </xf>
    <xf numFmtId="9" fontId="11" fillId="42" borderId="8" xfId="0" applyNumberFormat="1" applyFont="1" applyFill="1" applyBorder="1" applyAlignment="1">
      <alignment horizontal="center" vertical="center" wrapText="1"/>
    </xf>
    <xf numFmtId="0" fontId="0" fillId="42" borderId="8" xfId="0" applyFill="1" applyBorder="1" applyAlignment="1">
      <alignment horizontal="center" vertical="top" wrapText="1"/>
    </xf>
    <xf numFmtId="3" fontId="0" fillId="42" borderId="8" xfId="9" applyNumberFormat="1" applyFont="1" applyFill="1" applyBorder="1" applyAlignment="1">
      <alignment horizontal="center" vertical="center" wrapText="1"/>
    </xf>
    <xf numFmtId="3" fontId="0" fillId="42" borderId="8" xfId="4" applyNumberFormat="1" applyFont="1" applyFill="1" applyBorder="1" applyAlignment="1">
      <alignment horizontal="center" vertical="center" wrapText="1"/>
    </xf>
    <xf numFmtId="0" fontId="10" fillId="42" borderId="9" xfId="0" applyFont="1" applyFill="1" applyBorder="1"/>
    <xf numFmtId="0" fontId="10" fillId="42" borderId="94" xfId="0" applyFont="1" applyFill="1" applyBorder="1"/>
    <xf numFmtId="3" fontId="0" fillId="41" borderId="32" xfId="0" applyNumberFormat="1" applyFill="1" applyBorder="1" applyAlignment="1">
      <alignment horizontal="center" vertical="center"/>
    </xf>
    <xf numFmtId="0" fontId="9" fillId="42" borderId="30" xfId="0" applyFont="1" applyFill="1" applyBorder="1" applyAlignment="1">
      <alignment horizontal="center" vertical="center" wrapText="1"/>
    </xf>
    <xf numFmtId="1" fontId="10" fillId="42" borderId="30" xfId="0" applyNumberFormat="1" applyFont="1" applyFill="1" applyBorder="1" applyAlignment="1" applyProtection="1">
      <alignment horizontal="center" vertical="center" wrapText="1"/>
      <protection locked="0"/>
    </xf>
    <xf numFmtId="9" fontId="10" fillId="42" borderId="30" xfId="10" applyNumberFormat="1" applyFont="1" applyFill="1" applyBorder="1" applyAlignment="1">
      <alignment horizontal="center" vertical="center" wrapText="1"/>
    </xf>
    <xf numFmtId="170" fontId="0" fillId="42" borderId="30" xfId="9" applyFont="1" applyFill="1" applyBorder="1" applyAlignment="1">
      <alignment horizontal="center" vertical="center" wrapText="1"/>
    </xf>
    <xf numFmtId="170" fontId="0" fillId="42" borderId="30" xfId="9" applyFont="1" applyFill="1" applyBorder="1" applyAlignment="1">
      <alignment vertical="center" wrapText="1"/>
    </xf>
    <xf numFmtId="9" fontId="11" fillId="42" borderId="30" xfId="0" applyNumberFormat="1" applyFont="1" applyFill="1" applyBorder="1" applyAlignment="1">
      <alignment horizontal="center" vertical="center" wrapText="1"/>
    </xf>
    <xf numFmtId="0" fontId="10" fillId="42" borderId="30" xfId="0" applyFont="1" applyFill="1" applyBorder="1" applyAlignment="1">
      <alignment horizontal="center" vertical="top" wrapText="1"/>
    </xf>
    <xf numFmtId="0" fontId="10" fillId="42" borderId="30" xfId="0" applyFont="1" applyFill="1" applyBorder="1" applyAlignment="1">
      <alignment horizontal="center"/>
    </xf>
    <xf numFmtId="3" fontId="10" fillId="42" borderId="30" xfId="4" applyNumberFormat="1" applyFont="1" applyFill="1" applyBorder="1" applyAlignment="1">
      <alignment horizontal="center" vertical="center"/>
    </xf>
    <xf numFmtId="3" fontId="10" fillId="42" borderId="30" xfId="4" applyNumberFormat="1" applyFont="1" applyFill="1" applyBorder="1" applyAlignment="1">
      <alignment horizontal="center" vertical="center" wrapText="1"/>
    </xf>
    <xf numFmtId="0" fontId="10" fillId="42" borderId="30" xfId="0" applyFont="1" applyFill="1" applyBorder="1" applyAlignment="1">
      <alignment horizontal="center" vertical="center"/>
    </xf>
    <xf numFmtId="0" fontId="10" fillId="42" borderId="31" xfId="0" applyFont="1" applyFill="1" applyBorder="1"/>
    <xf numFmtId="0" fontId="8" fillId="5" borderId="149" xfId="0" applyFont="1" applyFill="1" applyBorder="1" applyAlignment="1" applyProtection="1">
      <alignment horizontal="center" vertical="center"/>
      <protection locked="0"/>
    </xf>
    <xf numFmtId="0" fontId="9" fillId="51" borderId="32" xfId="0" applyFont="1" applyFill="1" applyBorder="1" applyAlignment="1">
      <alignment horizontal="center" vertical="center" wrapText="1"/>
    </xf>
    <xf numFmtId="0" fontId="10" fillId="51" borderId="32" xfId="0" applyFont="1" applyFill="1" applyBorder="1" applyAlignment="1">
      <alignment horizontal="justify" vertical="center" wrapText="1"/>
    </xf>
    <xf numFmtId="1" fontId="10" fillId="51" borderId="32" xfId="0" applyNumberFormat="1" applyFont="1" applyFill="1" applyBorder="1" applyAlignment="1" applyProtection="1">
      <alignment horizontal="center" vertical="center" wrapText="1"/>
      <protection locked="0"/>
    </xf>
    <xf numFmtId="10" fontId="10" fillId="51" borderId="32" xfId="0" applyNumberFormat="1" applyFont="1" applyFill="1" applyBorder="1" applyAlignment="1">
      <alignment horizontal="center" vertical="center" wrapText="1"/>
    </xf>
    <xf numFmtId="0" fontId="10" fillId="51" borderId="32" xfId="0" applyFont="1" applyFill="1" applyBorder="1"/>
    <xf numFmtId="9" fontId="10" fillId="51" borderId="32" xfId="5" applyFont="1" applyFill="1" applyBorder="1" applyAlignment="1">
      <alignment horizontal="center" vertical="center" wrapText="1"/>
    </xf>
    <xf numFmtId="0" fontId="0" fillId="51" borderId="32" xfId="0" applyFill="1" applyBorder="1" applyAlignment="1">
      <alignment horizontal="center" wrapText="1"/>
    </xf>
    <xf numFmtId="3" fontId="0" fillId="51" borderId="32" xfId="0" applyNumberFormat="1" applyFill="1" applyBorder="1" applyAlignment="1">
      <alignment horizontal="center" vertical="center"/>
    </xf>
    <xf numFmtId="3" fontId="0" fillId="51" borderId="32" xfId="0" applyNumberFormat="1" applyFill="1" applyBorder="1"/>
    <xf numFmtId="0" fontId="0" fillId="51" borderId="32" xfId="0" applyFill="1" applyBorder="1"/>
    <xf numFmtId="0" fontId="0" fillId="51" borderId="32" xfId="0" applyFill="1" applyBorder="1" applyAlignment="1">
      <alignment horizontal="center" vertical="center"/>
    </xf>
    <xf numFmtId="0" fontId="10" fillId="51" borderId="32" xfId="0" applyFont="1" applyFill="1" applyBorder="1" applyAlignment="1">
      <alignment horizontal="center" vertical="top" wrapText="1"/>
    </xf>
    <xf numFmtId="0" fontId="10" fillId="51" borderId="32" xfId="0" applyFont="1" applyFill="1" applyBorder="1" applyAlignment="1">
      <alignment horizontal="center" wrapText="1"/>
    </xf>
    <xf numFmtId="3" fontId="0" fillId="51" borderId="32" xfId="9" applyNumberFormat="1" applyFont="1" applyFill="1" applyBorder="1" applyAlignment="1">
      <alignment horizontal="center" vertical="center" wrapText="1"/>
    </xf>
    <xf numFmtId="3" fontId="10" fillId="51" borderId="32" xfId="4" applyNumberFormat="1" applyFont="1" applyFill="1" applyBorder="1" applyAlignment="1">
      <alignment horizontal="center" vertical="center"/>
    </xf>
    <xf numFmtId="0" fontId="10" fillId="51" borderId="32" xfId="0" applyFont="1" applyFill="1" applyBorder="1" applyAlignment="1">
      <alignment horizontal="center" vertical="center"/>
    </xf>
    <xf numFmtId="0" fontId="10" fillId="51" borderId="52" xfId="0" applyFont="1" applyFill="1" applyBorder="1"/>
    <xf numFmtId="0" fontId="0" fillId="51" borderId="0" xfId="0" applyFill="1"/>
    <xf numFmtId="1" fontId="10" fillId="51" borderId="148" xfId="0" applyNumberFormat="1" applyFont="1" applyFill="1" applyBorder="1" applyAlignment="1" applyProtection="1">
      <alignment horizontal="center" vertical="center" wrapText="1"/>
      <protection locked="0"/>
    </xf>
    <xf numFmtId="2" fontId="10" fillId="51" borderId="148" xfId="0" applyNumberFormat="1" applyFont="1" applyFill="1" applyBorder="1" applyAlignment="1">
      <alignment horizontal="center" vertical="center" wrapText="1"/>
    </xf>
    <xf numFmtId="0" fontId="0" fillId="51" borderId="148" xfId="0" applyFill="1" applyBorder="1"/>
    <xf numFmtId="9" fontId="10" fillId="51" borderId="148" xfId="10" applyNumberFormat="1" applyFont="1" applyFill="1" applyBorder="1" applyAlignment="1">
      <alignment horizontal="center" vertical="center" wrapText="1"/>
    </xf>
    <xf numFmtId="0" fontId="0" fillId="51" borderId="148" xfId="0" applyFill="1" applyBorder="1" applyAlignment="1">
      <alignment horizontal="center" wrapText="1"/>
    </xf>
    <xf numFmtId="0" fontId="0" fillId="51" borderId="148" xfId="0" applyFill="1" applyBorder="1" applyAlignment="1">
      <alignment horizontal="center"/>
    </xf>
    <xf numFmtId="170" fontId="0" fillId="51" borderId="148" xfId="9" applyFont="1" applyFill="1" applyBorder="1" applyAlignment="1">
      <alignment horizontal="center" vertical="center" wrapText="1"/>
    </xf>
    <xf numFmtId="170" fontId="0" fillId="51" borderId="148" xfId="9" applyFont="1" applyFill="1" applyBorder="1" applyAlignment="1">
      <alignment horizontal="center"/>
    </xf>
    <xf numFmtId="170" fontId="0" fillId="51" borderId="148" xfId="9" applyFont="1" applyFill="1" applyBorder="1" applyAlignment="1">
      <alignment vertical="center" wrapText="1"/>
    </xf>
    <xf numFmtId="0" fontId="10" fillId="51" borderId="148" xfId="0" applyFont="1" applyFill="1" applyBorder="1" applyAlignment="1">
      <alignment horizontal="center" vertical="top" wrapText="1"/>
    </xf>
    <xf numFmtId="0" fontId="10" fillId="51" borderId="148" xfId="0" applyFont="1" applyFill="1" applyBorder="1" applyAlignment="1">
      <alignment horizontal="center" wrapText="1"/>
    </xf>
    <xf numFmtId="3" fontId="0" fillId="51" borderId="148" xfId="9" applyNumberFormat="1" applyFont="1" applyFill="1" applyBorder="1" applyAlignment="1">
      <alignment horizontal="center" vertical="center" wrapText="1"/>
    </xf>
    <xf numFmtId="3" fontId="10" fillId="51" borderId="148" xfId="4" applyNumberFormat="1" applyFont="1" applyFill="1" applyBorder="1" applyAlignment="1">
      <alignment horizontal="center" vertical="center"/>
    </xf>
    <xf numFmtId="3" fontId="10" fillId="51" borderId="148" xfId="4" applyNumberFormat="1" applyFont="1" applyFill="1" applyBorder="1" applyAlignment="1">
      <alignment horizontal="center" vertical="center" wrapText="1"/>
    </xf>
    <xf numFmtId="0" fontId="10" fillId="51" borderId="148" xfId="0" applyFont="1" applyFill="1" applyBorder="1" applyAlignment="1">
      <alignment horizontal="center" vertical="center"/>
    </xf>
    <xf numFmtId="0" fontId="10" fillId="51" borderId="94" xfId="0" applyFont="1" applyFill="1" applyBorder="1" applyAlignment="1">
      <alignment wrapText="1"/>
    </xf>
    <xf numFmtId="0" fontId="9" fillId="51" borderId="30" xfId="0" applyFont="1" applyFill="1" applyBorder="1" applyAlignment="1">
      <alignment horizontal="center" vertical="center" wrapText="1"/>
    </xf>
    <xf numFmtId="0" fontId="10" fillId="51" borderId="30" xfId="0" applyFont="1" applyFill="1" applyBorder="1" applyAlignment="1">
      <alignment horizontal="justify" vertical="center" wrapText="1"/>
    </xf>
    <xf numFmtId="0" fontId="10" fillId="51" borderId="30" xfId="0" applyFont="1" applyFill="1" applyBorder="1" applyAlignment="1">
      <alignment horizontal="center" vertical="center" wrapText="1"/>
    </xf>
    <xf numFmtId="1" fontId="10" fillId="51" borderId="30" xfId="0" applyNumberFormat="1" applyFont="1" applyFill="1" applyBorder="1" applyAlignment="1" applyProtection="1">
      <alignment horizontal="center" vertical="center" wrapText="1"/>
      <protection locked="0"/>
    </xf>
    <xf numFmtId="2" fontId="10" fillId="51" borderId="30" xfId="0" applyNumberFormat="1" applyFont="1" applyFill="1" applyBorder="1" applyAlignment="1" applyProtection="1">
      <alignment horizontal="center" vertical="center" wrapText="1"/>
      <protection locked="0"/>
    </xf>
    <xf numFmtId="0" fontId="10" fillId="51" borderId="30" xfId="0" applyFont="1" applyFill="1" applyBorder="1"/>
    <xf numFmtId="9" fontId="10" fillId="51" borderId="30" xfId="5" applyFont="1" applyFill="1" applyBorder="1" applyAlignment="1" applyProtection="1">
      <alignment horizontal="center" vertical="center" wrapText="1"/>
      <protection locked="0"/>
    </xf>
    <xf numFmtId="0" fontId="0" fillId="51" borderId="30" xfId="0" applyFill="1" applyBorder="1" applyAlignment="1">
      <alignment horizontal="center" wrapText="1"/>
    </xf>
    <xf numFmtId="0" fontId="0" fillId="51" borderId="30" xfId="0" applyFill="1" applyBorder="1" applyAlignment="1">
      <alignment horizontal="center" vertical="center"/>
    </xf>
    <xf numFmtId="170" fontId="0" fillId="51" borderId="30" xfId="9" applyFont="1" applyFill="1" applyBorder="1" applyAlignment="1">
      <alignment horizontal="center" vertical="center" wrapText="1"/>
    </xf>
    <xf numFmtId="0" fontId="0" fillId="51" borderId="30" xfId="0" applyFill="1" applyBorder="1"/>
    <xf numFmtId="0" fontId="10" fillId="51" borderId="30" xfId="0" applyFont="1" applyFill="1" applyBorder="1" applyAlignment="1">
      <alignment horizontal="center" vertical="top" wrapText="1"/>
    </xf>
    <xf numFmtId="3" fontId="0" fillId="51" borderId="30" xfId="9" applyNumberFormat="1" applyFont="1" applyFill="1" applyBorder="1" applyAlignment="1">
      <alignment horizontal="center" vertical="center" wrapText="1"/>
    </xf>
    <xf numFmtId="3" fontId="10" fillId="51" borderId="30" xfId="4" applyNumberFormat="1" applyFont="1" applyFill="1" applyBorder="1" applyAlignment="1">
      <alignment horizontal="center" vertical="center" wrapText="1"/>
    </xf>
    <xf numFmtId="3" fontId="10" fillId="51" borderId="30" xfId="4" applyNumberFormat="1" applyFont="1" applyFill="1" applyBorder="1" applyAlignment="1">
      <alignment horizontal="center" vertical="center"/>
    </xf>
    <xf numFmtId="0" fontId="10" fillId="51" borderId="30" xfId="0" applyFont="1" applyFill="1" applyBorder="1" applyAlignment="1">
      <alignment horizontal="center" vertical="center"/>
    </xf>
    <xf numFmtId="0" fontId="10" fillId="51" borderId="31" xfId="0" applyFont="1" applyFill="1" applyBorder="1" applyAlignment="1">
      <alignment wrapText="1"/>
    </xf>
    <xf numFmtId="0" fontId="10" fillId="38" borderId="32" xfId="0" applyFont="1" applyFill="1" applyBorder="1" applyAlignment="1">
      <alignment horizontal="justify" vertical="center" wrapText="1"/>
    </xf>
    <xf numFmtId="1" fontId="10" fillId="38" borderId="32" xfId="0" applyNumberFormat="1" applyFont="1" applyFill="1" applyBorder="1" applyAlignment="1" applyProtection="1">
      <alignment horizontal="center" vertical="center" wrapText="1"/>
      <protection locked="0"/>
    </xf>
    <xf numFmtId="9" fontId="10" fillId="38" borderId="32" xfId="0" applyNumberFormat="1" applyFont="1" applyFill="1" applyBorder="1" applyAlignment="1" applyProtection="1">
      <alignment horizontal="center" vertical="center" wrapText="1"/>
      <protection locked="0"/>
    </xf>
    <xf numFmtId="9" fontId="10" fillId="38" borderId="32" xfId="0" applyNumberFormat="1" applyFont="1" applyFill="1" applyBorder="1" applyAlignment="1">
      <alignment horizontal="center" vertical="center" wrapText="1"/>
    </xf>
    <xf numFmtId="9" fontId="10" fillId="38" borderId="32" xfId="5" applyFont="1" applyFill="1" applyBorder="1" applyAlignment="1" applyProtection="1">
      <alignment horizontal="center" vertical="center" wrapText="1"/>
      <protection locked="0"/>
    </xf>
    <xf numFmtId="0" fontId="0" fillId="38" borderId="32" xfId="0" applyFill="1" applyBorder="1" applyAlignment="1">
      <alignment horizontal="center" wrapText="1"/>
    </xf>
    <xf numFmtId="3" fontId="0" fillId="38" borderId="32" xfId="0" applyNumberFormat="1" applyFill="1" applyBorder="1"/>
    <xf numFmtId="0" fontId="0" fillId="38" borderId="32" xfId="0" applyFill="1" applyBorder="1"/>
    <xf numFmtId="0" fontId="0" fillId="38" borderId="32" xfId="0" applyFill="1" applyBorder="1" applyAlignment="1">
      <alignment horizontal="center" vertical="center"/>
    </xf>
    <xf numFmtId="0" fontId="10" fillId="38" borderId="32" xfId="0" applyFont="1" applyFill="1" applyBorder="1" applyAlignment="1">
      <alignment horizontal="center"/>
    </xf>
    <xf numFmtId="3" fontId="10" fillId="38" borderId="32" xfId="4" applyNumberFormat="1" applyFont="1" applyFill="1" applyBorder="1" applyAlignment="1">
      <alignment horizontal="center" vertical="center"/>
    </xf>
    <xf numFmtId="0" fontId="10" fillId="38" borderId="32" xfId="0" applyFont="1" applyFill="1" applyBorder="1" applyAlignment="1">
      <alignment horizontal="center" vertical="center"/>
    </xf>
    <xf numFmtId="0" fontId="10" fillId="38" borderId="148" xfId="0" applyFont="1" applyFill="1" applyBorder="1" applyAlignment="1">
      <alignment horizontal="justify" vertical="center" wrapText="1"/>
    </xf>
    <xf numFmtId="1" fontId="10" fillId="38" borderId="148" xfId="0" applyNumberFormat="1" applyFont="1" applyFill="1" applyBorder="1" applyAlignment="1" applyProtection="1">
      <alignment horizontal="center" vertical="center" wrapText="1"/>
      <protection locked="0"/>
    </xf>
    <xf numFmtId="2" fontId="10" fillId="38" borderId="148" xfId="0" applyNumberFormat="1" applyFont="1" applyFill="1" applyBorder="1" applyAlignment="1">
      <alignment horizontal="center" vertical="center" wrapText="1"/>
    </xf>
    <xf numFmtId="9" fontId="10" fillId="38" borderId="148" xfId="10" applyNumberFormat="1" applyFont="1" applyFill="1" applyBorder="1" applyAlignment="1">
      <alignment horizontal="center" vertical="center" wrapText="1"/>
    </xf>
    <xf numFmtId="0" fontId="0" fillId="38" borderId="148" xfId="0" applyFill="1" applyBorder="1" applyAlignment="1">
      <alignment horizontal="center"/>
    </xf>
    <xf numFmtId="170" fontId="0" fillId="38" borderId="148" xfId="9" applyFont="1" applyFill="1" applyBorder="1" applyAlignment="1">
      <alignment horizontal="center" vertical="center" wrapText="1"/>
    </xf>
    <xf numFmtId="170" fontId="0" fillId="38" borderId="148" xfId="9" applyFont="1" applyFill="1" applyBorder="1" applyAlignment="1">
      <alignment horizontal="center" vertical="center"/>
    </xf>
    <xf numFmtId="170" fontId="0" fillId="38" borderId="148" xfId="9" applyFont="1" applyFill="1" applyBorder="1" applyAlignment="1">
      <alignment vertical="center" wrapText="1"/>
    </xf>
    <xf numFmtId="3" fontId="10" fillId="38" borderId="148" xfId="4" applyNumberFormat="1" applyFont="1" applyFill="1" applyBorder="1" applyAlignment="1">
      <alignment horizontal="center" vertical="center" wrapText="1"/>
    </xf>
    <xf numFmtId="0" fontId="10" fillId="82" borderId="148" xfId="0" applyFont="1" applyFill="1" applyBorder="1" applyAlignment="1">
      <alignment horizontal="center" vertical="top" wrapText="1"/>
    </xf>
    <xf numFmtId="0" fontId="10" fillId="82" borderId="148" xfId="0" applyFont="1" applyFill="1" applyBorder="1" applyAlignment="1">
      <alignment horizontal="center" vertical="center"/>
    </xf>
    <xf numFmtId="0" fontId="11" fillId="82" borderId="148" xfId="0" applyFont="1" applyFill="1" applyBorder="1" applyAlignment="1">
      <alignment horizontal="center" vertical="center"/>
    </xf>
    <xf numFmtId="0" fontId="10" fillId="82" borderId="94" xfId="0" applyFont="1" applyFill="1" applyBorder="1"/>
    <xf numFmtId="0" fontId="10" fillId="38" borderId="94" xfId="0" applyFont="1" applyFill="1" applyBorder="1" applyAlignment="1">
      <alignment wrapText="1"/>
    </xf>
    <xf numFmtId="0" fontId="10" fillId="38" borderId="30" xfId="0" applyFont="1" applyFill="1" applyBorder="1" applyAlignment="1">
      <alignment horizontal="justify" vertical="center" wrapText="1"/>
    </xf>
    <xf numFmtId="1" fontId="10" fillId="38" borderId="30" xfId="0" applyNumberFormat="1" applyFont="1" applyFill="1" applyBorder="1" applyAlignment="1" applyProtection="1">
      <alignment horizontal="center" vertical="center" wrapText="1"/>
      <protection locked="0"/>
    </xf>
    <xf numFmtId="2" fontId="10" fillId="38" borderId="30" xfId="0" applyNumberFormat="1" applyFont="1" applyFill="1" applyBorder="1" applyAlignment="1">
      <alignment horizontal="center" vertical="center" wrapText="1"/>
    </xf>
    <xf numFmtId="9" fontId="10" fillId="38" borderId="30" xfId="10" applyNumberFormat="1" applyFont="1" applyFill="1" applyBorder="1" applyAlignment="1">
      <alignment horizontal="center" vertical="center" wrapText="1"/>
    </xf>
    <xf numFmtId="3" fontId="10" fillId="38" borderId="30" xfId="4" applyNumberFormat="1" applyFont="1" applyFill="1" applyBorder="1" applyAlignment="1">
      <alignment horizontal="center" vertical="center" wrapText="1"/>
    </xf>
    <xf numFmtId="3" fontId="10" fillId="38" borderId="30" xfId="4" applyNumberFormat="1" applyFont="1" applyFill="1" applyBorder="1" applyAlignment="1">
      <alignment horizontal="center" vertical="center"/>
    </xf>
    <xf numFmtId="0" fontId="10" fillId="39" borderId="32" xfId="0" applyFont="1" applyFill="1" applyBorder="1" applyAlignment="1">
      <alignment horizontal="justify" vertical="center" wrapText="1"/>
    </xf>
    <xf numFmtId="1" fontId="10" fillId="39" borderId="32" xfId="0" applyNumberFormat="1" applyFont="1" applyFill="1" applyBorder="1" applyAlignment="1" applyProtection="1">
      <alignment horizontal="center" vertical="center" wrapText="1"/>
      <protection locked="0"/>
    </xf>
    <xf numFmtId="2" fontId="10" fillId="39" borderId="32" xfId="0" applyNumberFormat="1" applyFont="1" applyFill="1" applyBorder="1" applyAlignment="1">
      <alignment horizontal="center" vertical="center" wrapText="1"/>
    </xf>
    <xf numFmtId="199" fontId="10" fillId="39" borderId="32" xfId="0" applyNumberFormat="1" applyFont="1" applyFill="1" applyBorder="1" applyAlignment="1">
      <alignment horizontal="center" vertical="center" wrapText="1"/>
    </xf>
    <xf numFmtId="0" fontId="10" fillId="39" borderId="32" xfId="0" applyFont="1" applyFill="1" applyBorder="1"/>
    <xf numFmtId="9" fontId="10" fillId="39" borderId="32" xfId="10" applyNumberFormat="1" applyFont="1" applyFill="1" applyBorder="1" applyAlignment="1">
      <alignment horizontal="center" vertical="center" wrapText="1"/>
    </xf>
    <xf numFmtId="0" fontId="10" fillId="39" borderId="32" xfId="0" applyFont="1" applyFill="1" applyBorder="1" applyAlignment="1">
      <alignment horizontal="center" vertical="center"/>
    </xf>
    <xf numFmtId="0" fontId="10" fillId="39" borderId="32" xfId="0" applyFont="1" applyFill="1" applyBorder="1" applyAlignment="1">
      <alignment horizontal="center" vertical="top" wrapText="1"/>
    </xf>
    <xf numFmtId="3" fontId="0" fillId="39" borderId="32" xfId="9" applyNumberFormat="1" applyFont="1" applyFill="1" applyBorder="1" applyAlignment="1">
      <alignment horizontal="center" vertical="center" wrapText="1"/>
    </xf>
    <xf numFmtId="3" fontId="10" fillId="39" borderId="32" xfId="4" applyNumberFormat="1" applyFont="1" applyFill="1" applyBorder="1" applyAlignment="1">
      <alignment horizontal="center" vertical="center" wrapText="1"/>
    </xf>
    <xf numFmtId="3" fontId="10" fillId="39" borderId="32" xfId="4" applyNumberFormat="1" applyFont="1" applyFill="1" applyBorder="1" applyAlignment="1">
      <alignment horizontal="center" vertical="center"/>
    </xf>
    <xf numFmtId="0" fontId="10" fillId="39" borderId="52" xfId="0" applyFont="1" applyFill="1" applyBorder="1"/>
    <xf numFmtId="0" fontId="10" fillId="39" borderId="148" xfId="0" applyFont="1" applyFill="1" applyBorder="1" applyAlignment="1">
      <alignment horizontal="justify" vertical="center" wrapText="1"/>
    </xf>
    <xf numFmtId="1" fontId="10" fillId="39" borderId="148" xfId="5" applyNumberFormat="1" applyFont="1" applyFill="1" applyBorder="1" applyAlignment="1" applyProtection="1">
      <alignment horizontal="center" vertical="center" wrapText="1"/>
      <protection locked="0"/>
    </xf>
    <xf numFmtId="2" fontId="10" fillId="39" borderId="148" xfId="0" applyNumberFormat="1" applyFont="1" applyFill="1" applyBorder="1" applyAlignment="1">
      <alignment horizontal="center" vertical="center" wrapText="1"/>
    </xf>
    <xf numFmtId="0" fontId="10" fillId="39" borderId="148" xfId="0" applyFont="1" applyFill="1" applyBorder="1"/>
    <xf numFmtId="9" fontId="10" fillId="39" borderId="148" xfId="10" applyNumberFormat="1" applyFont="1" applyFill="1" applyBorder="1" applyAlignment="1">
      <alignment horizontal="center" vertical="center" wrapText="1"/>
    </xf>
    <xf numFmtId="170" fontId="0" fillId="39" borderId="148" xfId="9" applyFont="1" applyFill="1" applyBorder="1" applyAlignment="1">
      <alignment horizontal="center" vertical="center" wrapText="1"/>
    </xf>
    <xf numFmtId="170" fontId="0" fillId="39" borderId="148" xfId="9" applyFont="1" applyFill="1" applyBorder="1" applyAlignment="1">
      <alignment vertical="center" wrapText="1"/>
    </xf>
    <xf numFmtId="0" fontId="0" fillId="39" borderId="148" xfId="0" applyFill="1" applyBorder="1" applyAlignment="1" applyProtection="1">
      <alignment horizontal="center" vertical="center"/>
      <protection locked="0"/>
    </xf>
    <xf numFmtId="0" fontId="10" fillId="39" borderId="148" xfId="0" applyFont="1" applyFill="1" applyBorder="1" applyAlignment="1">
      <alignment horizontal="center" vertical="top" wrapText="1"/>
    </xf>
    <xf numFmtId="3" fontId="0" fillId="39" borderId="148" xfId="9" applyNumberFormat="1" applyFont="1" applyFill="1" applyBorder="1" applyAlignment="1">
      <alignment horizontal="center" vertical="center" wrapText="1"/>
    </xf>
    <xf numFmtId="3" fontId="10" fillId="39" borderId="148" xfId="4" applyNumberFormat="1" applyFont="1" applyFill="1" applyBorder="1" applyAlignment="1">
      <alignment horizontal="center" vertical="center"/>
    </xf>
    <xf numFmtId="3" fontId="10" fillId="39" borderId="148" xfId="4" applyNumberFormat="1" applyFont="1" applyFill="1" applyBorder="1" applyAlignment="1">
      <alignment horizontal="center" vertical="center" wrapText="1"/>
    </xf>
    <xf numFmtId="0" fontId="10" fillId="39" borderId="148" xfId="0" applyFont="1" applyFill="1" applyBorder="1" applyAlignment="1" applyProtection="1">
      <alignment horizontal="center" vertical="center"/>
      <protection locked="0"/>
    </xf>
    <xf numFmtId="0" fontId="10" fillId="39" borderId="94" xfId="0" applyFont="1" applyFill="1" applyBorder="1"/>
    <xf numFmtId="1" fontId="10" fillId="39" borderId="148" xfId="0" applyNumberFormat="1" applyFont="1" applyFill="1" applyBorder="1" applyAlignment="1" applyProtection="1">
      <alignment horizontal="center" vertical="center" wrapText="1"/>
      <protection locked="0"/>
    </xf>
    <xf numFmtId="10" fontId="10" fillId="39" borderId="148" xfId="0" applyNumberFormat="1" applyFont="1" applyFill="1" applyBorder="1" applyAlignment="1">
      <alignment horizontal="center" vertical="center" wrapText="1"/>
    </xf>
    <xf numFmtId="9" fontId="10" fillId="39" borderId="148" xfId="0" applyNumberFormat="1" applyFont="1" applyFill="1" applyBorder="1" applyAlignment="1">
      <alignment horizontal="center" vertical="center" wrapText="1"/>
    </xf>
    <xf numFmtId="1" fontId="10" fillId="39" borderId="148" xfId="0" applyNumberFormat="1" applyFont="1" applyFill="1" applyBorder="1" applyAlignment="1">
      <alignment horizontal="center" vertical="center" wrapText="1"/>
    </xf>
    <xf numFmtId="2" fontId="10" fillId="39" borderId="148" xfId="0" applyNumberFormat="1" applyFont="1" applyFill="1" applyBorder="1" applyAlignment="1" applyProtection="1">
      <alignment horizontal="center" vertical="center" wrapText="1"/>
      <protection locked="0"/>
    </xf>
    <xf numFmtId="1" fontId="10" fillId="39" borderId="30" xfId="0" applyNumberFormat="1" applyFont="1" applyFill="1" applyBorder="1" applyAlignment="1" applyProtection="1">
      <alignment horizontal="center" vertical="center" wrapText="1"/>
      <protection locked="0"/>
    </xf>
    <xf numFmtId="2" fontId="10" fillId="39" borderId="30" xfId="0" applyNumberFormat="1" applyFont="1" applyFill="1" applyBorder="1" applyAlignment="1">
      <alignment horizontal="center" vertical="center" wrapText="1"/>
    </xf>
    <xf numFmtId="0" fontId="10" fillId="39" borderId="30" xfId="0" applyFont="1" applyFill="1" applyBorder="1" applyAlignment="1">
      <alignment horizontal="center" vertical="center"/>
    </xf>
    <xf numFmtId="0" fontId="10" fillId="39" borderId="30" xfId="0" applyFont="1" applyFill="1" applyBorder="1"/>
    <xf numFmtId="10" fontId="10" fillId="39" borderId="30" xfId="0" applyNumberFormat="1" applyFont="1" applyFill="1" applyBorder="1" applyAlignment="1">
      <alignment horizontal="center" vertical="center" wrapText="1"/>
    </xf>
    <xf numFmtId="9" fontId="0" fillId="39" borderId="30" xfId="5" applyFont="1" applyFill="1" applyBorder="1"/>
    <xf numFmtId="0" fontId="0" fillId="42" borderId="7" xfId="0" applyFill="1" applyBorder="1"/>
    <xf numFmtId="0" fontId="0" fillId="42" borderId="9" xfId="0" applyFill="1" applyBorder="1"/>
    <xf numFmtId="0" fontId="0" fillId="42" borderId="11" xfId="0" applyFill="1" applyBorder="1"/>
    <xf numFmtId="0" fontId="0" fillId="51" borderId="11" xfId="0" applyFill="1" applyBorder="1"/>
    <xf numFmtId="0" fontId="0" fillId="51" borderId="94" xfId="0" applyFill="1" applyBorder="1"/>
    <xf numFmtId="0" fontId="0" fillId="38" borderId="11" xfId="0" applyFill="1" applyBorder="1"/>
    <xf numFmtId="0" fontId="0" fillId="38" borderId="94" xfId="0" applyFill="1" applyBorder="1"/>
    <xf numFmtId="0" fontId="0" fillId="38" borderId="29" xfId="0" applyFill="1" applyBorder="1"/>
    <xf numFmtId="0" fontId="0" fillId="38" borderId="30" xfId="0" applyFill="1" applyBorder="1"/>
    <xf numFmtId="0" fontId="0" fillId="38" borderId="31" xfId="0" applyFill="1" applyBorder="1"/>
    <xf numFmtId="0" fontId="0" fillId="38" borderId="51" xfId="0" applyFill="1" applyBorder="1"/>
    <xf numFmtId="0" fontId="0" fillId="38" borderId="52" xfId="0" applyFill="1" applyBorder="1"/>
    <xf numFmtId="0" fontId="0" fillId="51" borderId="29" xfId="0" applyFill="1" applyBorder="1"/>
    <xf numFmtId="0" fontId="0" fillId="51" borderId="31" xfId="0" applyFill="1" applyBorder="1"/>
    <xf numFmtId="0" fontId="0" fillId="51" borderId="51" xfId="0" applyFill="1" applyBorder="1"/>
    <xf numFmtId="0" fontId="0" fillId="51" borderId="52" xfId="0" applyFill="1" applyBorder="1"/>
    <xf numFmtId="0" fontId="0" fillId="42" borderId="29" xfId="0" applyFill="1" applyBorder="1"/>
    <xf numFmtId="0" fontId="0" fillId="42" borderId="31" xfId="0" applyFill="1" applyBorder="1"/>
    <xf numFmtId="3" fontId="0" fillId="4" borderId="137" xfId="0" applyNumberFormat="1" applyFill="1" applyBorder="1" applyAlignment="1" applyProtection="1">
      <alignment horizontal="center" vertical="center" textRotation="90" wrapText="1"/>
      <protection locked="0"/>
    </xf>
    <xf numFmtId="174" fontId="10" fillId="44" borderId="148" xfId="0" applyNumberFormat="1" applyFont="1" applyFill="1" applyBorder="1" applyAlignment="1">
      <alignment horizontal="center" vertical="center" wrapText="1"/>
    </xf>
    <xf numFmtId="9" fontId="0" fillId="44" borderId="148" xfId="0" applyNumberFormat="1" applyFill="1" applyBorder="1" applyAlignment="1">
      <alignment horizontal="center" vertical="center"/>
    </xf>
    <xf numFmtId="3" fontId="0" fillId="44" borderId="148" xfId="0" applyNumberFormat="1" applyFill="1" applyBorder="1" applyAlignment="1">
      <alignment vertical="center"/>
    </xf>
    <xf numFmtId="0" fontId="0" fillId="44" borderId="148" xfId="0" applyFill="1" applyBorder="1" applyAlignment="1">
      <alignment horizontal="center"/>
    </xf>
    <xf numFmtId="164" fontId="10" fillId="44" borderId="148" xfId="4" applyFont="1" applyFill="1" applyBorder="1" applyAlignment="1">
      <alignment horizontal="center" vertical="center" wrapText="1"/>
    </xf>
    <xf numFmtId="9" fontId="10" fillId="44" borderId="148" xfId="5" applyFont="1" applyFill="1" applyBorder="1" applyAlignment="1">
      <alignment horizontal="center" vertical="center"/>
    </xf>
    <xf numFmtId="176" fontId="10" fillId="44" borderId="148" xfId="0" applyNumberFormat="1" applyFont="1" applyFill="1" applyBorder="1" applyAlignment="1">
      <alignment horizontal="center" vertical="center" wrapText="1"/>
    </xf>
    <xf numFmtId="0" fontId="10" fillId="44" borderId="148" xfId="0" applyFont="1" applyFill="1" applyBorder="1" applyAlignment="1">
      <alignment horizontal="left" vertical="top" wrapText="1"/>
    </xf>
    <xf numFmtId="3" fontId="0" fillId="44" borderId="148" xfId="0" applyNumberFormat="1" applyFill="1" applyBorder="1" applyAlignment="1">
      <alignment horizontal="justify" vertical="top"/>
    </xf>
    <xf numFmtId="3" fontId="0" fillId="44" borderId="148" xfId="0" applyNumberFormat="1" applyFill="1" applyBorder="1" applyAlignment="1">
      <alignment wrapText="1"/>
    </xf>
    <xf numFmtId="9" fontId="0" fillId="44" borderId="148" xfId="0" applyNumberFormat="1" applyFill="1" applyBorder="1"/>
    <xf numFmtId="9" fontId="0" fillId="44" borderId="148" xfId="5" applyFont="1" applyFill="1" applyBorder="1"/>
    <xf numFmtId="174" fontId="10" fillId="39" borderId="148" xfId="0" applyNumberFormat="1" applyFont="1" applyFill="1" applyBorder="1" applyAlignment="1">
      <alignment horizontal="center" vertical="center" wrapText="1"/>
    </xf>
    <xf numFmtId="9" fontId="0" fillId="39" borderId="148" xfId="0" applyNumberFormat="1" applyFill="1" applyBorder="1"/>
    <xf numFmtId="174" fontId="10" fillId="38" borderId="148" xfId="0" applyNumberFormat="1" applyFont="1" applyFill="1" applyBorder="1" applyAlignment="1">
      <alignment horizontal="center" vertical="center" wrapText="1"/>
    </xf>
    <xf numFmtId="9" fontId="0" fillId="38" borderId="148" xfId="0" applyNumberFormat="1" applyFill="1" applyBorder="1" applyAlignment="1">
      <alignment horizontal="center" vertical="center"/>
    </xf>
    <xf numFmtId="3" fontId="0" fillId="38" borderId="148" xfId="0" applyNumberFormat="1" applyFill="1" applyBorder="1" applyAlignment="1">
      <alignment horizontal="justify" vertical="top"/>
    </xf>
    <xf numFmtId="164" fontId="10" fillId="38" borderId="148" xfId="4" applyFont="1" applyFill="1" applyBorder="1" applyAlignment="1">
      <alignment horizontal="center" vertical="center" wrapText="1"/>
    </xf>
    <xf numFmtId="167" fontId="0" fillId="38" borderId="148" xfId="10" applyFont="1" applyFill="1" applyBorder="1" applyAlignment="1">
      <alignment horizontal="center" vertical="center"/>
    </xf>
    <xf numFmtId="170" fontId="10" fillId="38" borderId="148" xfId="0" applyNumberFormat="1" applyFont="1" applyFill="1" applyBorder="1" applyAlignment="1">
      <alignment horizontal="center" vertical="center" wrapText="1"/>
    </xf>
    <xf numFmtId="0" fontId="3" fillId="38" borderId="148" xfId="0" applyFont="1" applyFill="1" applyBorder="1"/>
    <xf numFmtId="0" fontId="11" fillId="38" borderId="148" xfId="0" applyFont="1" applyFill="1" applyBorder="1" applyAlignment="1">
      <alignment horizontal="left" vertical="top"/>
    </xf>
    <xf numFmtId="0" fontId="11" fillId="38" borderId="148" xfId="0" applyFont="1" applyFill="1" applyBorder="1" applyAlignment="1">
      <alignment horizontal="justify" vertical="center"/>
    </xf>
    <xf numFmtId="174" fontId="40" fillId="30" borderId="148" xfId="0" applyNumberFormat="1" applyFont="1" applyFill="1" applyBorder="1" applyAlignment="1">
      <alignment horizontal="center" vertical="center" wrapText="1"/>
    </xf>
    <xf numFmtId="3" fontId="40" fillId="30" borderId="148" xfId="0" applyNumberFormat="1" applyFont="1" applyFill="1" applyBorder="1"/>
    <xf numFmtId="9" fontId="75" fillId="30" borderId="148" xfId="0" applyNumberFormat="1" applyFont="1" applyFill="1" applyBorder="1" applyAlignment="1">
      <alignment vertical="center"/>
    </xf>
    <xf numFmtId="181" fontId="40" fillId="30" borderId="148" xfId="0" applyNumberFormat="1" applyFont="1" applyFill="1" applyBorder="1"/>
    <xf numFmtId="0" fontId="75" fillId="30" borderId="148" xfId="0" applyFont="1" applyFill="1" applyBorder="1" applyAlignment="1">
      <alignment vertical="center"/>
    </xf>
    <xf numFmtId="3" fontId="11" fillId="38" borderId="148" xfId="0" applyNumberFormat="1" applyFont="1" applyFill="1" applyBorder="1"/>
    <xf numFmtId="9" fontId="75" fillId="30" borderId="148" xfId="0" applyNumberFormat="1" applyFont="1" applyFill="1" applyBorder="1" applyAlignment="1">
      <alignment vertical="center" wrapText="1"/>
    </xf>
    <xf numFmtId="181" fontId="75" fillId="30" borderId="148" xfId="0" applyNumberFormat="1" applyFont="1" applyFill="1" applyBorder="1" applyAlignment="1">
      <alignment vertical="center"/>
    </xf>
    <xf numFmtId="9" fontId="0" fillId="38" borderId="148" xfId="0" applyNumberFormat="1" applyFill="1" applyBorder="1"/>
    <xf numFmtId="174" fontId="10" fillId="44" borderId="8" xfId="0" applyNumberFormat="1" applyFont="1" applyFill="1" applyBorder="1" applyAlignment="1">
      <alignment horizontal="center" vertical="center" wrapText="1"/>
    </xf>
    <xf numFmtId="3" fontId="0" fillId="44" borderId="8" xfId="0" applyNumberFormat="1" applyFill="1" applyBorder="1"/>
    <xf numFmtId="9" fontId="11" fillId="44" borderId="8" xfId="0" applyNumberFormat="1" applyFont="1" applyFill="1" applyBorder="1" applyAlignment="1">
      <alignment horizontal="center" vertical="center" wrapText="1"/>
    </xf>
    <xf numFmtId="170" fontId="10" fillId="38" borderId="30" xfId="0" applyNumberFormat="1" applyFont="1" applyFill="1" applyBorder="1" applyAlignment="1">
      <alignment horizontal="center" vertical="center" wrapText="1"/>
    </xf>
    <xf numFmtId="0" fontId="11" fillId="38" borderId="30" xfId="0" applyFont="1" applyFill="1" applyBorder="1"/>
    <xf numFmtId="175" fontId="10" fillId="38" borderId="32" xfId="0" applyNumberFormat="1" applyFont="1" applyFill="1" applyBorder="1" applyAlignment="1">
      <alignment horizontal="left" vertical="center" wrapText="1"/>
    </xf>
    <xf numFmtId="0" fontId="10" fillId="38" borderId="32" xfId="0" applyFont="1" applyFill="1" applyBorder="1" applyAlignment="1">
      <alignment horizontal="left" vertical="center" wrapText="1"/>
    </xf>
    <xf numFmtId="175" fontId="10" fillId="38" borderId="32" xfId="0" applyNumberFormat="1" applyFont="1" applyFill="1" applyBorder="1" applyAlignment="1">
      <alignment horizontal="center" vertical="center" wrapText="1"/>
    </xf>
    <xf numFmtId="174" fontId="10" fillId="38" borderId="32" xfId="0" applyNumberFormat="1" applyFont="1" applyFill="1" applyBorder="1" applyAlignment="1">
      <alignment horizontal="center" vertical="center" wrapText="1"/>
    </xf>
    <xf numFmtId="9" fontId="0" fillId="38" borderId="32" xfId="0" applyNumberFormat="1" applyFill="1" applyBorder="1" applyAlignment="1">
      <alignment horizontal="center" vertical="center"/>
    </xf>
    <xf numFmtId="0" fontId="0" fillId="38" borderId="32" xfId="0" applyFill="1" applyBorder="1" applyAlignment="1">
      <alignment horizontal="left" vertical="center" wrapText="1"/>
    </xf>
    <xf numFmtId="181" fontId="0" fillId="38" borderId="32" xfId="7" applyNumberFormat="1" applyFont="1" applyFill="1" applyBorder="1" applyAlignment="1">
      <alignment horizontal="center" vertical="center"/>
    </xf>
    <xf numFmtId="0" fontId="0" fillId="38" borderId="32" xfId="0" applyFill="1" applyBorder="1" applyAlignment="1">
      <alignment horizontal="justify" vertical="top"/>
    </xf>
    <xf numFmtId="3" fontId="0" fillId="38" borderId="32" xfId="0" applyNumberFormat="1" applyFill="1" applyBorder="1" applyAlignment="1">
      <alignment horizontal="justify" vertical="top"/>
    </xf>
    <xf numFmtId="0" fontId="0" fillId="0" borderId="32" xfId="0" applyBorder="1" applyAlignment="1">
      <alignment horizontal="center" vertical="center"/>
    </xf>
    <xf numFmtId="3" fontId="0" fillId="38" borderId="32" xfId="0" applyNumberFormat="1" applyFill="1" applyBorder="1" applyAlignment="1">
      <alignment horizontal="center"/>
    </xf>
    <xf numFmtId="3" fontId="0" fillId="38" borderId="52" xfId="0" applyNumberFormat="1" applyFill="1" applyBorder="1" applyAlignment="1">
      <alignment horizontal="center"/>
    </xf>
    <xf numFmtId="174" fontId="10" fillId="39" borderId="30" xfId="0" applyNumberFormat="1" applyFont="1" applyFill="1" applyBorder="1" applyAlignment="1">
      <alignment horizontal="center" vertical="center" wrapText="1"/>
    </xf>
    <xf numFmtId="3" fontId="0" fillId="39" borderId="30" xfId="0" applyNumberFormat="1" applyFill="1" applyBorder="1"/>
    <xf numFmtId="9" fontId="11" fillId="39" borderId="30" xfId="0" applyNumberFormat="1" applyFont="1" applyFill="1" applyBorder="1" applyAlignment="1">
      <alignment horizontal="center" vertical="center" wrapText="1"/>
    </xf>
    <xf numFmtId="1" fontId="10" fillId="39" borderId="32" xfId="0" applyNumberFormat="1" applyFont="1" applyFill="1" applyBorder="1" applyAlignment="1">
      <alignment horizontal="left" vertical="center" wrapText="1"/>
    </xf>
    <xf numFmtId="0" fontId="10" fillId="39" borderId="32" xfId="0" applyFont="1" applyFill="1" applyBorder="1" applyAlignment="1">
      <alignment vertical="center" wrapText="1"/>
    </xf>
    <xf numFmtId="3" fontId="10" fillId="39" borderId="32" xfId="0" applyNumberFormat="1" applyFont="1" applyFill="1" applyBorder="1" applyAlignment="1">
      <alignment horizontal="center" vertical="center" wrapText="1"/>
    </xf>
    <xf numFmtId="175" fontId="10" fillId="39" borderId="32" xfId="0" applyNumberFormat="1" applyFont="1" applyFill="1" applyBorder="1" applyAlignment="1">
      <alignment horizontal="center" vertical="center" wrapText="1"/>
    </xf>
    <xf numFmtId="170" fontId="10" fillId="39" borderId="32" xfId="0" applyNumberFormat="1" applyFont="1" applyFill="1" applyBorder="1" applyAlignment="1">
      <alignment horizontal="center" vertical="center" wrapText="1"/>
    </xf>
    <xf numFmtId="187" fontId="0" fillId="39" borderId="32" xfId="7" applyNumberFormat="1" applyFont="1" applyFill="1" applyBorder="1" applyAlignment="1">
      <alignment horizontal="center" vertical="center"/>
    </xf>
    <xf numFmtId="3" fontId="0" fillId="39" borderId="32" xfId="0" applyNumberFormat="1" applyFill="1" applyBorder="1"/>
    <xf numFmtId="1" fontId="10" fillId="39" borderId="32" xfId="0" applyNumberFormat="1" applyFont="1" applyFill="1" applyBorder="1" applyAlignment="1">
      <alignment horizontal="center" vertical="center"/>
    </xf>
    <xf numFmtId="9" fontId="10" fillId="39" borderId="32" xfId="0" applyNumberFormat="1" applyFont="1" applyFill="1" applyBorder="1" applyAlignment="1">
      <alignment vertical="center" wrapText="1"/>
    </xf>
    <xf numFmtId="3" fontId="10" fillId="39" borderId="32" xfId="7" applyNumberFormat="1" applyFont="1" applyFill="1" applyBorder="1" applyAlignment="1">
      <alignment horizontal="center" vertical="center"/>
    </xf>
    <xf numFmtId="3" fontId="10" fillId="39" borderId="32" xfId="0" applyNumberFormat="1" applyFont="1" applyFill="1" applyBorder="1" applyAlignment="1">
      <alignment horizontal="center" vertical="center"/>
    </xf>
    <xf numFmtId="3" fontId="11" fillId="30" borderId="32" xfId="0" applyNumberFormat="1" applyFont="1" applyFill="1" applyBorder="1" applyAlignment="1">
      <alignment horizontal="center" vertical="center"/>
    </xf>
    <xf numFmtId="3" fontId="11" fillId="0" borderId="32" xfId="0" applyNumberFormat="1" applyFont="1" applyBorder="1" applyAlignment="1">
      <alignment horizontal="center" vertical="center"/>
    </xf>
    <xf numFmtId="3" fontId="11" fillId="39" borderId="32" xfId="0" applyNumberFormat="1" applyFont="1" applyFill="1" applyBorder="1" applyAlignment="1">
      <alignment horizontal="center"/>
    </xf>
    <xf numFmtId="3" fontId="10" fillId="39" borderId="52" xfId="0" applyNumberFormat="1" applyFont="1" applyFill="1" applyBorder="1" applyAlignment="1">
      <alignment horizontal="center" vertical="center"/>
    </xf>
    <xf numFmtId="170" fontId="10" fillId="44" borderId="30" xfId="0" applyNumberFormat="1" applyFont="1" applyFill="1" applyBorder="1" applyAlignment="1">
      <alignment horizontal="center" vertical="center" wrapText="1"/>
    </xf>
    <xf numFmtId="9" fontId="0" fillId="44" borderId="30" xfId="5" applyFont="1" applyFill="1" applyBorder="1" applyAlignment="1">
      <alignment horizontal="center" vertical="center"/>
    </xf>
    <xf numFmtId="3" fontId="0" fillId="44" borderId="30" xfId="0" applyNumberFormat="1" applyFill="1" applyBorder="1" applyAlignment="1">
      <alignment horizontal="justify" vertical="top"/>
    </xf>
    <xf numFmtId="9" fontId="11" fillId="44" borderId="30" xfId="0" applyNumberFormat="1" applyFont="1" applyFill="1" applyBorder="1" applyAlignment="1">
      <alignment horizontal="center" vertical="center" wrapText="1"/>
    </xf>
    <xf numFmtId="3" fontId="8" fillId="7" borderId="58" xfId="0" applyNumberFormat="1" applyFont="1" applyFill="1" applyBorder="1" applyAlignment="1" applyProtection="1">
      <alignment horizontal="center" vertical="center"/>
      <protection locked="0"/>
    </xf>
    <xf numFmtId="3" fontId="0" fillId="4" borderId="0" xfId="0" applyNumberFormat="1" applyFill="1" applyBorder="1" applyAlignment="1" applyProtection="1">
      <alignment horizontal="center" vertical="center" textRotation="90" wrapText="1"/>
      <protection locked="0"/>
    </xf>
    <xf numFmtId="0" fontId="0" fillId="44" borderId="7" xfId="0" applyFill="1" applyBorder="1"/>
    <xf numFmtId="0" fontId="0" fillId="44" borderId="9" xfId="0" applyFill="1" applyBorder="1"/>
    <xf numFmtId="0" fontId="0" fillId="44" borderId="11" xfId="0" applyFill="1" applyBorder="1"/>
    <xf numFmtId="0" fontId="0" fillId="44" borderId="29" xfId="0" applyFill="1" applyBorder="1"/>
    <xf numFmtId="0" fontId="0" fillId="44" borderId="31" xfId="0" applyFill="1" applyBorder="1"/>
    <xf numFmtId="0" fontId="10" fillId="44" borderId="19" xfId="0" applyFont="1" applyFill="1" applyBorder="1" applyAlignment="1">
      <alignment horizontal="center" vertical="center" wrapText="1"/>
    </xf>
    <xf numFmtId="0" fontId="10" fillId="44" borderId="154" xfId="0" applyFont="1" applyFill="1" applyBorder="1" applyAlignment="1">
      <alignment horizontal="center" vertical="center" wrapText="1"/>
    </xf>
    <xf numFmtId="0" fontId="10" fillId="44" borderId="53" xfId="0" applyFont="1" applyFill="1" applyBorder="1" applyAlignment="1">
      <alignment horizontal="center" vertical="center" wrapText="1"/>
    </xf>
    <xf numFmtId="0" fontId="10" fillId="39" borderId="54" xfId="0" applyFont="1" applyFill="1" applyBorder="1" applyAlignment="1">
      <alignment horizontal="center" vertical="center" wrapText="1"/>
    </xf>
    <xf numFmtId="3" fontId="10" fillId="39" borderId="154" xfId="0" applyNumberFormat="1" applyFont="1" applyFill="1" applyBorder="1" applyAlignment="1">
      <alignment horizontal="center" vertical="center" wrapText="1"/>
    </xf>
    <xf numFmtId="0" fontId="10" fillId="38" borderId="54" xfId="0" applyFont="1" applyFill="1" applyBorder="1" applyAlignment="1">
      <alignment horizontal="center" vertical="center" wrapText="1"/>
    </xf>
    <xf numFmtId="0" fontId="40" fillId="30" borderId="154" xfId="0" applyFont="1" applyFill="1" applyBorder="1" applyAlignment="1">
      <alignment horizontal="center" vertical="center" wrapText="1"/>
    </xf>
    <xf numFmtId="3" fontId="10" fillId="38" borderId="154" xfId="0" applyNumberFormat="1" applyFont="1" applyFill="1" applyBorder="1" applyAlignment="1">
      <alignment horizontal="center" vertical="center" wrapText="1"/>
    </xf>
    <xf numFmtId="0" fontId="10" fillId="44" borderId="31" xfId="0" applyFont="1" applyFill="1" applyBorder="1" applyAlignment="1">
      <alignment horizontal="center" vertical="center" wrapText="1"/>
    </xf>
    <xf numFmtId="0" fontId="10" fillId="39" borderId="52" xfId="0" applyFont="1" applyFill="1" applyBorder="1" applyAlignment="1">
      <alignment horizontal="center" vertical="center" wrapText="1"/>
    </xf>
    <xf numFmtId="0" fontId="10" fillId="39" borderId="94" xfId="0" applyFont="1" applyFill="1" applyBorder="1" applyAlignment="1">
      <alignment horizontal="center" vertical="center" wrapText="1"/>
    </xf>
    <xf numFmtId="0" fontId="10" fillId="39" borderId="31" xfId="0" applyFont="1" applyFill="1" applyBorder="1" applyAlignment="1">
      <alignment horizontal="center" vertical="center" wrapText="1"/>
    </xf>
    <xf numFmtId="0" fontId="10" fillId="38" borderId="52" xfId="0" applyFont="1" applyFill="1" applyBorder="1" applyAlignment="1">
      <alignment horizontal="center" vertical="center" wrapText="1"/>
    </xf>
    <xf numFmtId="0" fontId="40" fillId="30" borderId="94" xfId="0" applyFont="1" applyFill="1" applyBorder="1" applyAlignment="1">
      <alignment horizontal="center" vertical="center" wrapText="1"/>
    </xf>
    <xf numFmtId="0" fontId="10" fillId="38" borderId="31" xfId="0" applyFont="1" applyFill="1" applyBorder="1" applyAlignment="1">
      <alignment horizontal="center" vertical="center" wrapText="1"/>
    </xf>
    <xf numFmtId="0" fontId="8" fillId="13" borderId="34" xfId="0" applyFont="1" applyFill="1" applyBorder="1" applyAlignment="1">
      <alignment horizontal="center" vertical="center" wrapText="1"/>
    </xf>
    <xf numFmtId="0" fontId="8" fillId="13" borderId="42" xfId="0" applyFont="1" applyFill="1" applyBorder="1" applyAlignment="1">
      <alignment horizontal="center" vertical="center" wrapText="1"/>
    </xf>
    <xf numFmtId="0" fontId="8" fillId="22" borderId="42" xfId="0" applyFont="1" applyFill="1" applyBorder="1" applyAlignment="1">
      <alignment horizontal="center" vertical="center" wrapText="1"/>
    </xf>
    <xf numFmtId="0" fontId="8" fillId="25" borderId="10" xfId="0" applyFont="1" applyFill="1" applyBorder="1" applyAlignment="1">
      <alignment horizontal="center" vertical="center" textRotation="90" wrapText="1"/>
    </xf>
    <xf numFmtId="0" fontId="8" fillId="26" borderId="10" xfId="0" applyFont="1" applyFill="1" applyBorder="1" applyAlignment="1">
      <alignment horizontal="center" vertical="center" textRotation="90" wrapText="1"/>
    </xf>
    <xf numFmtId="0" fontId="8" fillId="15" borderId="10" xfId="0" applyFont="1" applyFill="1" applyBorder="1" applyAlignment="1">
      <alignment horizontal="center" vertical="center" wrapText="1"/>
    </xf>
    <xf numFmtId="0" fontId="8" fillId="15" borderId="113" xfId="0" applyFont="1" applyFill="1" applyBorder="1" applyAlignment="1">
      <alignment horizontal="center" vertical="center" wrapText="1"/>
    </xf>
    <xf numFmtId="0" fontId="8" fillId="23" borderId="14" xfId="0" applyFont="1" applyFill="1" applyBorder="1" applyAlignment="1">
      <alignment horizontal="center" vertical="center" wrapText="1"/>
    </xf>
    <xf numFmtId="0" fontId="0" fillId="41" borderId="30" xfId="0" applyFill="1" applyBorder="1" applyAlignment="1">
      <alignment wrapText="1"/>
    </xf>
    <xf numFmtId="0" fontId="0" fillId="41" borderId="32" xfId="0" applyFill="1" applyBorder="1" applyAlignment="1">
      <alignment horizontal="justify" vertical="center" wrapText="1"/>
    </xf>
    <xf numFmtId="9" fontId="0" fillId="41" borderId="32" xfId="5" applyFont="1" applyFill="1" applyBorder="1" applyAlignment="1">
      <alignment horizontal="center" vertical="center" wrapText="1"/>
    </xf>
    <xf numFmtId="172" fontId="0" fillId="41" borderId="32" xfId="0" applyNumberFormat="1" applyFill="1" applyBorder="1" applyAlignment="1">
      <alignment horizontal="center" vertical="center" wrapText="1"/>
    </xf>
    <xf numFmtId="172" fontId="0" fillId="41" borderId="32" xfId="4" applyNumberFormat="1" applyFont="1" applyFill="1" applyBorder="1" applyAlignment="1">
      <alignment horizontal="center" vertical="center" wrapText="1"/>
    </xf>
    <xf numFmtId="3" fontId="0" fillId="41" borderId="52" xfId="0" applyNumberFormat="1" applyFill="1" applyBorder="1" applyAlignment="1">
      <alignment horizontal="center" vertical="center"/>
    </xf>
    <xf numFmtId="0" fontId="0" fillId="41" borderId="11" xfId="0" applyFill="1" applyBorder="1"/>
    <xf numFmtId="0" fontId="0" fillId="41" borderId="29" xfId="0" applyFill="1" applyBorder="1"/>
    <xf numFmtId="0" fontId="0" fillId="41" borderId="31" xfId="0" applyFill="1" applyBorder="1"/>
    <xf numFmtId="0" fontId="0" fillId="41" borderId="51" xfId="0" applyFill="1" applyBorder="1"/>
    <xf numFmtId="0" fontId="10" fillId="38" borderId="8" xfId="0" applyFont="1" applyFill="1" applyBorder="1" applyAlignment="1">
      <alignment horizontal="justify" vertical="center"/>
    </xf>
    <xf numFmtId="0" fontId="0" fillId="38" borderId="8" xfId="3" applyNumberFormat="1" applyFont="1" applyFill="1" applyBorder="1" applyAlignment="1" applyProtection="1">
      <alignment horizontal="center" vertical="center" wrapText="1"/>
      <protection locked="0"/>
    </xf>
    <xf numFmtId="3" fontId="0" fillId="38" borderId="8" xfId="0" applyNumberFormat="1" applyFill="1" applyBorder="1" applyAlignment="1">
      <alignment horizontal="center" vertical="center" wrapText="1"/>
    </xf>
    <xf numFmtId="0" fontId="0" fillId="38" borderId="8" xfId="0" applyFill="1" applyBorder="1" applyAlignment="1">
      <alignment vertical="center" wrapText="1"/>
    </xf>
    <xf numFmtId="0" fontId="0" fillId="38" borderId="8" xfId="0" applyFill="1" applyBorder="1" applyAlignment="1">
      <alignment horizontal="center"/>
    </xf>
    <xf numFmtId="0" fontId="0" fillId="38" borderId="8" xfId="0" applyFill="1" applyBorder="1" applyAlignment="1">
      <alignment vertical="center"/>
    </xf>
    <xf numFmtId="9" fontId="0" fillId="38" borderId="8" xfId="0" applyNumberFormat="1" applyFill="1" applyBorder="1" applyAlignment="1">
      <alignment horizontal="center" vertical="center"/>
    </xf>
    <xf numFmtId="9" fontId="0" fillId="38" borderId="8" xfId="5" applyFont="1" applyFill="1" applyBorder="1" applyAlignment="1">
      <alignment horizontal="center" vertical="center"/>
    </xf>
    <xf numFmtId="3" fontId="0" fillId="38" borderId="8" xfId="0" applyNumberFormat="1" applyFill="1" applyBorder="1" applyAlignment="1">
      <alignment vertical="center" wrapText="1"/>
    </xf>
    <xf numFmtId="3" fontId="0" fillId="38" borderId="8" xfId="7" applyNumberFormat="1" applyFont="1" applyFill="1" applyBorder="1" applyAlignment="1">
      <alignment horizontal="center" vertical="center"/>
    </xf>
    <xf numFmtId="3" fontId="0" fillId="38" borderId="9" xfId="0" applyNumberFormat="1" applyFill="1" applyBorder="1" applyAlignment="1">
      <alignment horizontal="center" vertical="center"/>
    </xf>
    <xf numFmtId="0" fontId="0" fillId="38" borderId="7" xfId="0" applyFill="1" applyBorder="1"/>
    <xf numFmtId="0" fontId="0" fillId="38" borderId="9" xfId="0" applyFill="1" applyBorder="1"/>
    <xf numFmtId="0" fontId="0" fillId="38" borderId="148" xfId="3" applyNumberFormat="1" applyFont="1" applyFill="1" applyBorder="1" applyAlignment="1" applyProtection="1">
      <alignment horizontal="center" vertical="center" wrapText="1"/>
      <protection locked="0"/>
    </xf>
    <xf numFmtId="1" fontId="0" fillId="38" borderId="148" xfId="5" applyNumberFormat="1" applyFont="1" applyFill="1" applyBorder="1" applyAlignment="1">
      <alignment horizontal="center" vertical="center" wrapText="1"/>
    </xf>
    <xf numFmtId="3" fontId="0" fillId="38" borderId="148" xfId="0" applyNumberFormat="1" applyFill="1" applyBorder="1" applyAlignment="1">
      <alignment vertical="center" wrapText="1"/>
    </xf>
    <xf numFmtId="3" fontId="0" fillId="38" borderId="148" xfId="7" applyNumberFormat="1" applyFont="1" applyFill="1" applyBorder="1" applyAlignment="1">
      <alignment horizontal="center" vertical="center"/>
    </xf>
    <xf numFmtId="172" fontId="0" fillId="38" borderId="148" xfId="0" applyNumberFormat="1" applyFill="1" applyBorder="1" applyAlignment="1">
      <alignment horizontal="center" vertical="center" wrapText="1"/>
    </xf>
    <xf numFmtId="172" fontId="0" fillId="38" borderId="148" xfId="4" applyNumberFormat="1" applyFont="1" applyFill="1" applyBorder="1" applyAlignment="1">
      <alignment horizontal="center" vertical="center" wrapText="1"/>
    </xf>
    <xf numFmtId="9" fontId="0" fillId="38" borderId="148" xfId="3" applyNumberFormat="1" applyFont="1" applyFill="1" applyBorder="1" applyAlignment="1" applyProtection="1">
      <alignment horizontal="center" vertical="center" wrapText="1"/>
      <protection locked="0"/>
    </xf>
    <xf numFmtId="0" fontId="27" fillId="38" borderId="148" xfId="0" applyFont="1" applyFill="1" applyBorder="1" applyAlignment="1">
      <alignment vertical="center" wrapText="1"/>
    </xf>
    <xf numFmtId="1" fontId="0" fillId="38" borderId="148" xfId="3" applyNumberFormat="1" applyFont="1" applyFill="1" applyBorder="1" applyAlignment="1" applyProtection="1">
      <alignment horizontal="center" vertical="center" wrapText="1"/>
      <protection locked="0"/>
    </xf>
    <xf numFmtId="9" fontId="0" fillId="38" borderId="148" xfId="5" applyFont="1" applyFill="1" applyBorder="1" applyAlignment="1">
      <alignment horizontal="center" vertical="center" wrapText="1"/>
    </xf>
    <xf numFmtId="0" fontId="3" fillId="38" borderId="30" xfId="0" applyFont="1" applyFill="1" applyBorder="1" applyAlignment="1">
      <alignment horizontal="justify" vertical="center" wrapText="1"/>
    </xf>
    <xf numFmtId="1" fontId="0" fillId="38" borderId="30" xfId="3" applyNumberFormat="1" applyFont="1" applyFill="1" applyBorder="1" applyAlignment="1" applyProtection="1">
      <alignment horizontal="center" vertical="center" wrapText="1"/>
      <protection locked="0"/>
    </xf>
    <xf numFmtId="9" fontId="0" fillId="38" borderId="30" xfId="5" applyFont="1" applyFill="1" applyBorder="1" applyAlignment="1">
      <alignment horizontal="center" vertical="center" wrapText="1"/>
    </xf>
    <xf numFmtId="0" fontId="7" fillId="38" borderId="30" xfId="0" applyFont="1" applyFill="1" applyBorder="1" applyAlignment="1">
      <alignment horizontal="center" vertical="center" wrapText="1"/>
    </xf>
    <xf numFmtId="172" fontId="0" fillId="38" borderId="30" xfId="0" applyNumberFormat="1" applyFill="1" applyBorder="1" applyAlignment="1">
      <alignment horizontal="center" vertical="center" wrapText="1"/>
    </xf>
    <xf numFmtId="172" fontId="0" fillId="38" borderId="30" xfId="4" applyNumberFormat="1" applyFont="1" applyFill="1" applyBorder="1" applyAlignment="1">
      <alignment horizontal="center" vertical="center" wrapText="1"/>
    </xf>
    <xf numFmtId="3" fontId="7" fillId="38" borderId="30" xfId="0" applyNumberFormat="1" applyFont="1" applyFill="1" applyBorder="1" applyAlignment="1">
      <alignment horizontal="center" vertical="center" wrapText="1"/>
    </xf>
    <xf numFmtId="3" fontId="7" fillId="38" borderId="30" xfId="0" applyNumberFormat="1" applyFont="1" applyFill="1" applyBorder="1" applyAlignment="1">
      <alignment vertical="center"/>
    </xf>
    <xf numFmtId="3" fontId="7" fillId="38" borderId="30" xfId="0" applyNumberFormat="1" applyFont="1" applyFill="1" applyBorder="1" applyAlignment="1">
      <alignment horizontal="center" vertical="center"/>
    </xf>
    <xf numFmtId="3" fontId="0" fillId="38" borderId="30" xfId="0" applyNumberFormat="1" applyFill="1" applyBorder="1" applyAlignment="1">
      <alignment horizontal="center" vertical="center"/>
    </xf>
    <xf numFmtId="3" fontId="0" fillId="38" borderId="31" xfId="0" applyNumberFormat="1" applyFill="1" applyBorder="1" applyAlignment="1">
      <alignment horizontal="center" vertical="center"/>
    </xf>
    <xf numFmtId="0" fontId="7" fillId="41" borderId="32" xfId="0" applyFont="1" applyFill="1" applyBorder="1" applyAlignment="1">
      <alignment horizontal="center" vertical="center" wrapText="1"/>
    </xf>
    <xf numFmtId="9" fontId="0" fillId="41" borderId="32" xfId="0" applyNumberFormat="1" applyFill="1" applyBorder="1" applyAlignment="1">
      <alignment horizontal="center" vertical="center"/>
    </xf>
    <xf numFmtId="0" fontId="0" fillId="41" borderId="32" xfId="0" applyFill="1" applyBorder="1" applyAlignment="1">
      <alignment vertical="center" wrapText="1"/>
    </xf>
    <xf numFmtId="0" fontId="7" fillId="41" borderId="148" xfId="0" applyFont="1" applyFill="1" applyBorder="1" applyAlignment="1">
      <alignment horizontal="center" vertical="center" wrapText="1"/>
    </xf>
    <xf numFmtId="9" fontId="0" fillId="41" borderId="148" xfId="0" applyNumberFormat="1" applyFill="1" applyBorder="1" applyAlignment="1">
      <alignment horizontal="center" vertical="center"/>
    </xf>
    <xf numFmtId="3" fontId="0" fillId="41" borderId="148" xfId="4" applyNumberFormat="1" applyFont="1" applyFill="1" applyBorder="1" applyAlignment="1">
      <alignment horizontal="center" vertical="center" wrapText="1"/>
    </xf>
    <xf numFmtId="3" fontId="0" fillId="41" borderId="148" xfId="0" applyNumberFormat="1" applyFill="1" applyBorder="1" applyAlignment="1">
      <alignment horizontal="center" vertical="center" wrapText="1"/>
    </xf>
    <xf numFmtId="3" fontId="0" fillId="41" borderId="94" xfId="0" applyNumberFormat="1" applyFill="1" applyBorder="1" applyAlignment="1">
      <alignment horizontal="center" vertical="center" wrapText="1"/>
    </xf>
    <xf numFmtId="0" fontId="10" fillId="41" borderId="148" xfId="0" applyFont="1" applyFill="1" applyBorder="1" applyAlignment="1">
      <alignment horizontal="justify" vertical="center"/>
    </xf>
    <xf numFmtId="3" fontId="0" fillId="41" borderId="148" xfId="0" applyNumberFormat="1" applyFill="1" applyBorder="1" applyAlignment="1">
      <alignment horizontal="left" vertical="center" wrapText="1"/>
    </xf>
    <xf numFmtId="3" fontId="0" fillId="41" borderId="148" xfId="10" applyNumberFormat="1" applyFont="1" applyFill="1" applyBorder="1" applyAlignment="1">
      <alignment horizontal="center" vertical="center"/>
    </xf>
    <xf numFmtId="172" fontId="0" fillId="41" borderId="148" xfId="0" applyNumberFormat="1" applyFill="1" applyBorder="1" applyAlignment="1">
      <alignment vertical="center" wrapText="1"/>
    </xf>
    <xf numFmtId="172" fontId="3" fillId="41" borderId="148" xfId="0" applyNumberFormat="1" applyFont="1" applyFill="1" applyBorder="1" applyAlignment="1">
      <alignment horizontal="center" vertical="center" wrapText="1"/>
    </xf>
    <xf numFmtId="3" fontId="11" fillId="41" borderId="148" xfId="0" applyNumberFormat="1" applyFont="1" applyFill="1" applyBorder="1" applyAlignment="1">
      <alignment vertical="center" wrapText="1"/>
    </xf>
    <xf numFmtId="172" fontId="7" fillId="41" borderId="148" xfId="0" applyNumberFormat="1" applyFont="1" applyFill="1" applyBorder="1" applyAlignment="1">
      <alignment horizontal="center" vertical="center" wrapText="1"/>
    </xf>
    <xf numFmtId="172" fontId="7" fillId="41" borderId="148" xfId="4" applyNumberFormat="1" applyFont="1" applyFill="1" applyBorder="1" applyAlignment="1">
      <alignment horizontal="center" vertical="center" wrapText="1"/>
    </xf>
    <xf numFmtId="0" fontId="3" fillId="41" borderId="30" xfId="0" applyFont="1" applyFill="1" applyBorder="1" applyAlignment="1">
      <alignment horizontal="justify" vertical="center" wrapText="1"/>
    </xf>
    <xf numFmtId="172" fontId="7" fillId="41" borderId="30" xfId="0" applyNumberFormat="1" applyFont="1" applyFill="1" applyBorder="1" applyAlignment="1">
      <alignment horizontal="center" vertical="center" wrapText="1"/>
    </xf>
    <xf numFmtId="172" fontId="7" fillId="41" borderId="30" xfId="4" applyNumberFormat="1" applyFont="1" applyFill="1" applyBorder="1" applyAlignment="1">
      <alignment horizontal="center" vertical="center" wrapText="1"/>
    </xf>
    <xf numFmtId="0" fontId="0" fillId="41" borderId="30" xfId="0" applyFill="1" applyBorder="1" applyAlignment="1">
      <alignment horizontal="center" vertical="center"/>
    </xf>
    <xf numFmtId="3" fontId="0" fillId="41" borderId="30" xfId="0" applyNumberFormat="1" applyFill="1" applyBorder="1" applyAlignment="1">
      <alignment vertical="center"/>
    </xf>
    <xf numFmtId="0" fontId="3" fillId="7" borderId="32" xfId="0" applyFont="1" applyFill="1" applyBorder="1" applyAlignment="1">
      <alignment horizontal="center" vertical="center" wrapText="1"/>
    </xf>
    <xf numFmtId="0" fontId="0" fillId="7" borderId="32" xfId="0" applyFill="1" applyBorder="1" applyAlignment="1">
      <alignment horizontal="justify" vertical="center" wrapText="1"/>
    </xf>
    <xf numFmtId="0" fontId="0" fillId="7" borderId="32" xfId="0" applyFill="1" applyBorder="1" applyAlignment="1">
      <alignment horizontal="center" vertical="center" wrapText="1"/>
    </xf>
    <xf numFmtId="9" fontId="0" fillId="7" borderId="32" xfId="0" applyNumberFormat="1" applyFill="1" applyBorder="1" applyAlignment="1">
      <alignment horizontal="center" vertical="center" wrapText="1"/>
    </xf>
    <xf numFmtId="172" fontId="0" fillId="7" borderId="32" xfId="0" applyNumberFormat="1" applyFill="1" applyBorder="1" applyAlignment="1">
      <alignment horizontal="center" vertical="center" wrapText="1"/>
    </xf>
    <xf numFmtId="172" fontId="0" fillId="7" borderId="32" xfId="4" applyNumberFormat="1" applyFont="1" applyFill="1" applyBorder="1" applyAlignment="1">
      <alignment horizontal="center" vertical="center" wrapText="1"/>
    </xf>
    <xf numFmtId="0" fontId="0" fillId="7" borderId="32" xfId="0" applyFill="1" applyBorder="1"/>
    <xf numFmtId="3" fontId="0" fillId="7" borderId="32" xfId="0" applyNumberFormat="1" applyFill="1" applyBorder="1" applyAlignment="1">
      <alignment vertical="center" wrapText="1"/>
    </xf>
    <xf numFmtId="3" fontId="0" fillId="7" borderId="32" xfId="10" applyNumberFormat="1" applyFont="1" applyFill="1" applyBorder="1" applyAlignment="1">
      <alignment horizontal="center" vertical="center"/>
    </xf>
    <xf numFmtId="3" fontId="0" fillId="7" borderId="32" xfId="0" applyNumberFormat="1" applyFill="1" applyBorder="1" applyAlignment="1">
      <alignment horizontal="center" vertical="center"/>
    </xf>
    <xf numFmtId="3" fontId="0" fillId="7" borderId="52" xfId="0" applyNumberFormat="1" applyFill="1" applyBorder="1" applyAlignment="1">
      <alignment horizontal="center" vertical="center"/>
    </xf>
    <xf numFmtId="0" fontId="0" fillId="7" borderId="0" xfId="0" applyFill="1"/>
    <xf numFmtId="0" fontId="0" fillId="7" borderId="51" xfId="0" applyFill="1" applyBorder="1"/>
    <xf numFmtId="0" fontId="0" fillId="7" borderId="52" xfId="0" applyFill="1" applyBorder="1"/>
    <xf numFmtId="0" fontId="0" fillId="7" borderId="148" xfId="0" applyFill="1" applyBorder="1" applyAlignment="1">
      <alignment horizontal="center" vertical="center" wrapText="1"/>
    </xf>
    <xf numFmtId="9" fontId="0" fillId="7" borderId="148" xfId="0" applyNumberFormat="1" applyFill="1" applyBorder="1" applyAlignment="1">
      <alignment horizontal="center" vertical="center" wrapText="1"/>
    </xf>
    <xf numFmtId="0" fontId="0" fillId="7" borderId="148" xfId="0" applyFill="1" applyBorder="1"/>
    <xf numFmtId="172" fontId="0" fillId="7" borderId="148" xfId="0" applyNumberFormat="1" applyFill="1" applyBorder="1" applyAlignment="1">
      <alignment horizontal="center" vertical="center" wrapText="1"/>
    </xf>
    <xf numFmtId="172" fontId="0" fillId="7" borderId="148" xfId="4" applyNumberFormat="1" applyFont="1" applyFill="1" applyBorder="1" applyAlignment="1">
      <alignment horizontal="center" vertical="center" wrapText="1"/>
    </xf>
    <xf numFmtId="3" fontId="0" fillId="7" borderId="148" xfId="0" applyNumberFormat="1" applyFill="1" applyBorder="1" applyAlignment="1">
      <alignment vertical="center" wrapText="1"/>
    </xf>
    <xf numFmtId="3" fontId="0" fillId="7" borderId="148" xfId="10" applyNumberFormat="1" applyFont="1" applyFill="1" applyBorder="1" applyAlignment="1">
      <alignment horizontal="center" vertical="center"/>
    </xf>
    <xf numFmtId="3" fontId="0" fillId="7" borderId="148" xfId="0" applyNumberFormat="1" applyFill="1" applyBorder="1" applyAlignment="1">
      <alignment horizontal="center" vertical="center"/>
    </xf>
    <xf numFmtId="3" fontId="0" fillId="7" borderId="94" xfId="0" applyNumberFormat="1" applyFill="1" applyBorder="1" applyAlignment="1">
      <alignment horizontal="center" vertical="center"/>
    </xf>
    <xf numFmtId="0" fontId="0" fillId="7" borderId="11" xfId="0" applyFill="1" applyBorder="1"/>
    <xf numFmtId="0" fontId="0" fillId="7" borderId="94" xfId="0" applyFill="1" applyBorder="1"/>
    <xf numFmtId="0" fontId="0" fillId="7" borderId="148" xfId="0" applyFill="1" applyBorder="1" applyAlignment="1">
      <alignment horizontal="justify" vertical="center" wrapText="1"/>
    </xf>
    <xf numFmtId="9" fontId="0" fillId="7" borderId="148" xfId="0" applyNumberFormat="1" applyFill="1" applyBorder="1" applyAlignment="1">
      <alignment horizontal="center" vertical="center"/>
    </xf>
    <xf numFmtId="9" fontId="0" fillId="7" borderId="148" xfId="5" applyFont="1" applyFill="1" applyBorder="1" applyAlignment="1">
      <alignment horizontal="center" vertical="center"/>
    </xf>
    <xf numFmtId="0" fontId="0" fillId="7" borderId="148" xfId="0" applyFill="1" applyBorder="1" applyAlignment="1">
      <alignment vertical="center" wrapText="1"/>
    </xf>
    <xf numFmtId="0" fontId="0" fillId="7" borderId="148" xfId="0" applyFill="1" applyBorder="1" applyAlignment="1">
      <alignment vertical="center"/>
    </xf>
    <xf numFmtId="1" fontId="0" fillId="7" borderId="148" xfId="0" applyNumberFormat="1" applyFill="1" applyBorder="1" applyAlignment="1">
      <alignment horizontal="center" vertical="center" wrapText="1"/>
    </xf>
    <xf numFmtId="3" fontId="0" fillId="7" borderId="148" xfId="0" applyNumberFormat="1" applyFill="1" applyBorder="1" applyAlignment="1">
      <alignment vertical="center"/>
    </xf>
    <xf numFmtId="0" fontId="0" fillId="7" borderId="30" xfId="0" applyFill="1" applyBorder="1" applyAlignment="1">
      <alignment horizontal="justify" vertical="center" wrapText="1"/>
    </xf>
    <xf numFmtId="0" fontId="0" fillId="7" borderId="30" xfId="0" applyFill="1" applyBorder="1" applyAlignment="1">
      <alignment horizontal="center" vertical="center" wrapText="1"/>
    </xf>
    <xf numFmtId="9" fontId="0" fillId="7" borderId="30" xfId="5" applyFont="1" applyFill="1" applyBorder="1" applyAlignment="1">
      <alignment horizontal="center" vertical="center" wrapText="1"/>
    </xf>
    <xf numFmtId="9" fontId="0" fillId="7" borderId="30" xfId="0" applyNumberFormat="1" applyFill="1" applyBorder="1" applyAlignment="1">
      <alignment horizontal="center" vertical="center" wrapText="1"/>
    </xf>
    <xf numFmtId="172" fontId="0" fillId="7" borderId="30" xfId="0" applyNumberFormat="1" applyFill="1" applyBorder="1" applyAlignment="1">
      <alignment horizontal="center" vertical="center" wrapText="1"/>
    </xf>
    <xf numFmtId="172" fontId="0" fillId="7" borderId="30" xfId="4" applyNumberFormat="1" applyFont="1" applyFill="1" applyBorder="1" applyAlignment="1">
      <alignment horizontal="center" vertical="center" wrapText="1"/>
    </xf>
    <xf numFmtId="0" fontId="0" fillId="7" borderId="30" xfId="0" applyFill="1" applyBorder="1"/>
    <xf numFmtId="9" fontId="0" fillId="7" borderId="30" xfId="0" applyNumberFormat="1" applyFill="1" applyBorder="1" applyAlignment="1">
      <alignment horizontal="center" vertical="center"/>
    </xf>
    <xf numFmtId="9" fontId="0" fillId="7" borderId="30" xfId="5" applyFont="1" applyFill="1" applyBorder="1" applyAlignment="1">
      <alignment horizontal="center" vertical="center"/>
    </xf>
    <xf numFmtId="0" fontId="0" fillId="7" borderId="30" xfId="0" applyFill="1" applyBorder="1" applyAlignment="1">
      <alignment wrapText="1"/>
    </xf>
    <xf numFmtId="3" fontId="0" fillId="7" borderId="30" xfId="0" applyNumberFormat="1" applyFill="1" applyBorder="1" applyAlignment="1">
      <alignment horizontal="center" vertical="center"/>
    </xf>
    <xf numFmtId="3" fontId="0" fillId="7" borderId="31" xfId="0" applyNumberFormat="1" applyFill="1" applyBorder="1" applyAlignment="1">
      <alignment horizontal="center" vertical="center"/>
    </xf>
    <xf numFmtId="0" fontId="0" fillId="7" borderId="29" xfId="0" applyFill="1" applyBorder="1"/>
    <xf numFmtId="0" fontId="0" fillId="7" borderId="31" xfId="0" applyFill="1" applyBorder="1"/>
    <xf numFmtId="0" fontId="10" fillId="38" borderId="148" xfId="0" applyFont="1" applyFill="1" applyBorder="1" applyAlignment="1">
      <alignment vertical="center" wrapText="1"/>
    </xf>
    <xf numFmtId="0" fontId="0" fillId="38" borderId="10" xfId="0" applyFont="1" applyFill="1" applyBorder="1" applyAlignment="1">
      <alignment horizontal="left" vertical="center" wrapText="1"/>
    </xf>
    <xf numFmtId="3" fontId="0" fillId="38" borderId="10" xfId="0" applyNumberFormat="1" applyFont="1" applyFill="1" applyBorder="1" applyAlignment="1">
      <alignment vertical="center" wrapText="1"/>
    </xf>
    <xf numFmtId="9" fontId="0" fillId="38" borderId="10" xfId="5" applyFont="1" applyFill="1" applyBorder="1" applyAlignment="1">
      <alignment vertical="center" wrapText="1"/>
    </xf>
    <xf numFmtId="186" fontId="0" fillId="38" borderId="10" xfId="0" applyNumberFormat="1" applyFont="1" applyFill="1" applyBorder="1" applyAlignment="1">
      <alignment vertical="center" wrapText="1"/>
    </xf>
    <xf numFmtId="186" fontId="0" fillId="38" borderId="8" xfId="0" applyNumberFormat="1" applyFont="1" applyFill="1" applyBorder="1" applyAlignment="1">
      <alignment horizontal="center" vertical="center"/>
    </xf>
    <xf numFmtId="186" fontId="0" fillId="38" borderId="10" xfId="0" applyNumberFormat="1" applyFont="1" applyFill="1" applyBorder="1" applyAlignment="1">
      <alignment vertical="center"/>
    </xf>
    <xf numFmtId="186" fontId="0" fillId="38" borderId="9" xfId="0" applyNumberFormat="1" applyFont="1" applyFill="1" applyBorder="1" applyAlignment="1">
      <alignment horizontal="center" vertical="center"/>
    </xf>
    <xf numFmtId="3" fontId="0" fillId="38" borderId="7" xfId="0" applyNumberFormat="1" applyFont="1" applyFill="1" applyBorder="1" applyAlignment="1">
      <alignment vertical="center" wrapText="1"/>
    </xf>
    <xf numFmtId="3" fontId="0" fillId="38" borderId="32" xfId="0" applyNumberFormat="1" applyFont="1" applyFill="1" applyBorder="1" applyAlignment="1">
      <alignment vertical="center" wrapText="1"/>
    </xf>
    <xf numFmtId="9" fontId="0" fillId="38" borderId="32" xfId="5" applyFont="1" applyFill="1" applyBorder="1" applyAlignment="1">
      <alignment vertical="center" wrapText="1"/>
    </xf>
    <xf numFmtId="186" fontId="0" fillId="38" borderId="32" xfId="0" applyNumberFormat="1" applyFont="1" applyFill="1" applyBorder="1" applyAlignment="1">
      <alignment vertical="center" wrapText="1"/>
    </xf>
    <xf numFmtId="186" fontId="0" fillId="38" borderId="32" xfId="0" applyNumberFormat="1" applyFont="1" applyFill="1" applyBorder="1" applyAlignment="1">
      <alignment horizontal="center" vertical="center"/>
    </xf>
    <xf numFmtId="186" fontId="0" fillId="38" borderId="32" xfId="0" applyNumberFormat="1" applyFont="1" applyFill="1" applyBorder="1" applyAlignment="1">
      <alignment vertical="center"/>
    </xf>
    <xf numFmtId="186" fontId="0" fillId="38" borderId="52" xfId="0" applyNumberFormat="1" applyFont="1" applyFill="1" applyBorder="1" applyAlignment="1">
      <alignment horizontal="center" vertical="center"/>
    </xf>
    <xf numFmtId="3" fontId="0" fillId="38" borderId="11" xfId="0" applyNumberFormat="1" applyFont="1" applyFill="1" applyBorder="1" applyAlignment="1">
      <alignment vertical="center" wrapText="1"/>
    </xf>
    <xf numFmtId="9" fontId="0" fillId="38" borderId="148" xfId="5" applyFont="1" applyFill="1" applyBorder="1" applyAlignment="1">
      <alignment vertical="center" wrapText="1"/>
    </xf>
    <xf numFmtId="0" fontId="0" fillId="38" borderId="149" xfId="0" applyFont="1" applyFill="1" applyBorder="1" applyAlignment="1">
      <alignment horizontal="left" vertical="center" wrapText="1"/>
    </xf>
    <xf numFmtId="3" fontId="0" fillId="38" borderId="149" xfId="0" applyNumberFormat="1" applyFont="1" applyFill="1" applyBorder="1" applyAlignment="1">
      <alignment vertical="center" wrapText="1"/>
    </xf>
    <xf numFmtId="9" fontId="0" fillId="38" borderId="149" xfId="5" applyFont="1" applyFill="1" applyBorder="1" applyAlignment="1">
      <alignment vertical="center" wrapText="1"/>
    </xf>
    <xf numFmtId="186" fontId="0" fillId="38" borderId="149" xfId="0" applyNumberFormat="1" applyFont="1" applyFill="1" applyBorder="1" applyAlignment="1">
      <alignment vertical="center" wrapText="1"/>
    </xf>
    <xf numFmtId="186" fontId="0" fillId="38" borderId="102" xfId="0" applyNumberFormat="1" applyFont="1" applyFill="1" applyBorder="1" applyAlignment="1">
      <alignment horizontal="center" vertical="center"/>
    </xf>
    <xf numFmtId="186" fontId="0" fillId="38" borderId="94" xfId="0" applyNumberFormat="1" applyFont="1" applyFill="1" applyBorder="1" applyAlignment="1">
      <alignment horizontal="center" vertical="center"/>
    </xf>
    <xf numFmtId="186" fontId="0" fillId="38" borderId="148" xfId="0" applyNumberFormat="1" applyFont="1" applyFill="1" applyBorder="1" applyAlignment="1">
      <alignment horizontal="center" vertical="center"/>
    </xf>
    <xf numFmtId="0" fontId="0" fillId="38" borderId="149" xfId="0" applyFont="1" applyFill="1" applyBorder="1" applyAlignment="1">
      <alignment horizontal="center" vertical="center" wrapText="1"/>
    </xf>
    <xf numFmtId="0" fontId="0" fillId="38" borderId="149" xfId="0" applyFont="1" applyFill="1" applyBorder="1" applyAlignment="1">
      <alignment horizontal="center" vertical="center"/>
    </xf>
    <xf numFmtId="187" fontId="0" fillId="38" borderId="149" xfId="7" applyNumberFormat="1" applyFont="1" applyFill="1" applyBorder="1" applyAlignment="1">
      <alignment horizontal="center" vertical="center"/>
    </xf>
    <xf numFmtId="0" fontId="0" fillId="38" borderId="26" xfId="0" applyFont="1" applyFill="1" applyBorder="1" applyAlignment="1">
      <alignment horizontal="left" vertical="center" wrapText="1"/>
    </xf>
    <xf numFmtId="3" fontId="0" fillId="38" borderId="26" xfId="0" applyNumberFormat="1" applyFont="1" applyFill="1" applyBorder="1" applyAlignment="1">
      <alignment vertical="center" wrapText="1"/>
    </xf>
    <xf numFmtId="9" fontId="0" fillId="38" borderId="26" xfId="5" applyFont="1" applyFill="1" applyBorder="1" applyAlignment="1">
      <alignment vertical="center" wrapText="1"/>
    </xf>
    <xf numFmtId="186" fontId="0" fillId="38" borderId="26" xfId="0" applyNumberFormat="1" applyFont="1" applyFill="1" applyBorder="1" applyAlignment="1">
      <alignment vertical="center" wrapText="1"/>
    </xf>
    <xf numFmtId="186" fontId="0" fillId="38" borderId="149" xfId="0" applyNumberFormat="1" applyFont="1" applyFill="1" applyBorder="1" applyAlignment="1">
      <alignment horizontal="center" vertical="center"/>
    </xf>
    <xf numFmtId="186" fontId="0" fillId="38" borderId="159" xfId="0" applyNumberFormat="1" applyFont="1" applyFill="1" applyBorder="1" applyAlignment="1">
      <alignment horizontal="center" vertical="center"/>
    </xf>
    <xf numFmtId="0" fontId="0" fillId="38" borderId="149" xfId="0" applyNumberFormat="1" applyFont="1" applyFill="1" applyBorder="1" applyAlignment="1">
      <alignment vertical="center" wrapText="1"/>
    </xf>
    <xf numFmtId="0" fontId="0" fillId="38" borderId="26" xfId="0" applyNumberFormat="1" applyFont="1" applyFill="1" applyBorder="1" applyAlignment="1">
      <alignment vertical="center" wrapText="1"/>
    </xf>
    <xf numFmtId="0" fontId="0" fillId="29" borderId="8" xfId="0" applyFont="1" applyFill="1" applyBorder="1" applyAlignment="1">
      <alignment horizontal="left" vertical="center" wrapText="1"/>
    </xf>
    <xf numFmtId="0" fontId="0" fillId="29" borderId="8" xfId="0" applyFont="1" applyFill="1" applyBorder="1" applyAlignment="1">
      <alignment horizontal="center" vertical="center" wrapText="1"/>
    </xf>
    <xf numFmtId="3" fontId="0" fillId="29" borderId="10" xfId="0" applyNumberFormat="1" applyFont="1" applyFill="1" applyBorder="1" applyAlignment="1">
      <alignment vertical="center" wrapText="1"/>
    </xf>
    <xf numFmtId="9" fontId="0" fillId="29" borderId="10" xfId="5" applyFont="1" applyFill="1" applyBorder="1" applyAlignment="1">
      <alignment vertical="center" wrapText="1"/>
    </xf>
    <xf numFmtId="186" fontId="0" fillId="29" borderId="8" xfId="0" applyNumberFormat="1" applyFont="1" applyFill="1" applyBorder="1" applyAlignment="1">
      <alignment horizontal="center" vertical="center" wrapText="1"/>
    </xf>
    <xf numFmtId="3" fontId="0" fillId="29" borderId="8" xfId="0" applyNumberFormat="1" applyFont="1" applyFill="1" applyBorder="1" applyAlignment="1">
      <alignment horizontal="center" vertical="center" wrapText="1"/>
    </xf>
    <xf numFmtId="186" fontId="0" fillId="29" borderId="8" xfId="0" applyNumberFormat="1" applyFont="1" applyFill="1" applyBorder="1" applyAlignment="1">
      <alignment horizontal="center" vertical="center"/>
    </xf>
    <xf numFmtId="186" fontId="0" fillId="29" borderId="9" xfId="0" applyNumberFormat="1" applyFont="1" applyFill="1" applyBorder="1" applyAlignment="1">
      <alignment horizontal="center" vertical="center"/>
    </xf>
    <xf numFmtId="3" fontId="0" fillId="29" borderId="7" xfId="0" applyNumberFormat="1" applyFont="1" applyFill="1" applyBorder="1" applyAlignment="1">
      <alignment vertical="center" wrapText="1"/>
    </xf>
    <xf numFmtId="9" fontId="0" fillId="29" borderId="8" xfId="5" applyFont="1" applyFill="1" applyBorder="1" applyAlignment="1">
      <alignment vertical="center" wrapText="1"/>
    </xf>
    <xf numFmtId="0" fontId="0" fillId="29" borderId="8" xfId="0" applyFont="1" applyFill="1" applyBorder="1"/>
    <xf numFmtId="0" fontId="0" fillId="29" borderId="9" xfId="0" applyFont="1" applyFill="1" applyBorder="1"/>
    <xf numFmtId="0" fontId="0" fillId="29" borderId="15" xfId="0" applyFont="1" applyFill="1" applyBorder="1"/>
    <xf numFmtId="0" fontId="0" fillId="29" borderId="19" xfId="0" applyFont="1" applyFill="1" applyBorder="1"/>
    <xf numFmtId="0" fontId="0" fillId="29" borderId="148" xfId="0" applyFont="1" applyFill="1" applyBorder="1" applyAlignment="1">
      <alignment horizontal="left" vertical="center" wrapText="1"/>
    </xf>
    <xf numFmtId="0" fontId="0" fillId="29" borderId="148" xfId="0" applyFont="1" applyFill="1" applyBorder="1" applyAlignment="1">
      <alignment horizontal="center" vertical="center" wrapText="1"/>
    </xf>
    <xf numFmtId="3" fontId="0" fillId="29" borderId="26" xfId="0" applyNumberFormat="1" applyFont="1" applyFill="1" applyBorder="1" applyAlignment="1">
      <alignment vertical="center" wrapText="1"/>
    </xf>
    <xf numFmtId="9" fontId="0" fillId="29" borderId="26" xfId="5" applyFont="1" applyFill="1" applyBorder="1" applyAlignment="1">
      <alignment vertical="center" wrapText="1"/>
    </xf>
    <xf numFmtId="186" fontId="0" fillId="29" borderId="32" xfId="0" applyNumberFormat="1" applyFont="1" applyFill="1" applyBorder="1" applyAlignment="1">
      <alignment horizontal="center" vertical="center" wrapText="1"/>
    </xf>
    <xf numFmtId="3" fontId="0" fillId="29" borderId="32" xfId="0" applyNumberFormat="1" applyFont="1" applyFill="1" applyBorder="1" applyAlignment="1">
      <alignment horizontal="center" vertical="center" wrapText="1"/>
    </xf>
    <xf numFmtId="186" fontId="0" fillId="29" borderId="32" xfId="0" applyNumberFormat="1" applyFont="1" applyFill="1" applyBorder="1" applyAlignment="1">
      <alignment horizontal="center" vertical="center"/>
    </xf>
    <xf numFmtId="186" fontId="0" fillId="29" borderId="52" xfId="0" applyNumberFormat="1" applyFont="1" applyFill="1" applyBorder="1" applyAlignment="1">
      <alignment horizontal="center" vertical="center"/>
    </xf>
    <xf numFmtId="3" fontId="0" fillId="29" borderId="11" xfId="0" applyNumberFormat="1" applyFont="1" applyFill="1" applyBorder="1" applyAlignment="1">
      <alignment vertical="center" wrapText="1"/>
    </xf>
    <xf numFmtId="9" fontId="0" fillId="29" borderId="148" xfId="5" applyFont="1" applyFill="1" applyBorder="1" applyAlignment="1">
      <alignment vertical="center" wrapText="1"/>
    </xf>
    <xf numFmtId="3" fontId="0" fillId="29" borderId="32" xfId="0" applyNumberFormat="1" applyFont="1" applyFill="1" applyBorder="1" applyAlignment="1">
      <alignment vertical="center" wrapText="1"/>
    </xf>
    <xf numFmtId="9" fontId="0" fillId="29" borderId="32" xfId="5" applyFont="1" applyFill="1" applyBorder="1" applyAlignment="1">
      <alignment vertical="center" wrapText="1"/>
    </xf>
    <xf numFmtId="0" fontId="0" fillId="29" borderId="11" xfId="0" applyFont="1" applyFill="1" applyBorder="1" applyAlignment="1">
      <alignment horizontal="center" vertical="center" wrapText="1"/>
    </xf>
    <xf numFmtId="0" fontId="0" fillId="29" borderId="148" xfId="0" applyFont="1" applyFill="1" applyBorder="1" applyAlignment="1">
      <alignment horizontal="justify" vertical="center" wrapText="1"/>
    </xf>
    <xf numFmtId="9" fontId="0" fillId="29" borderId="148" xfId="0" applyNumberFormat="1" applyFont="1" applyFill="1" applyBorder="1" applyAlignment="1">
      <alignment horizontal="center" vertical="center"/>
    </xf>
    <xf numFmtId="9" fontId="0" fillId="29" borderId="94" xfId="0" applyNumberFormat="1" applyFont="1" applyFill="1" applyBorder="1" applyAlignment="1">
      <alignment horizontal="center" vertical="center"/>
    </xf>
    <xf numFmtId="9" fontId="0" fillId="29" borderId="154" xfId="0" applyNumberFormat="1" applyFont="1" applyFill="1" applyBorder="1" applyAlignment="1">
      <alignment horizontal="center" vertical="center"/>
    </xf>
    <xf numFmtId="9" fontId="0" fillId="29" borderId="102" xfId="5" applyFont="1" applyFill="1" applyBorder="1" applyAlignment="1">
      <alignment horizontal="center" vertical="center"/>
    </xf>
    <xf numFmtId="187" fontId="0" fillId="29" borderId="102" xfId="7" applyNumberFormat="1" applyFont="1" applyFill="1" applyBorder="1" applyAlignment="1">
      <alignment horizontal="center" vertical="center"/>
    </xf>
    <xf numFmtId="9" fontId="0" fillId="29" borderId="102" xfId="5" applyFont="1" applyFill="1" applyBorder="1" applyAlignment="1">
      <alignment horizontal="center" vertical="center" wrapText="1"/>
    </xf>
    <xf numFmtId="186" fontId="0" fillId="29" borderId="149" xfId="0" applyNumberFormat="1" applyFont="1" applyFill="1" applyBorder="1" applyAlignment="1">
      <alignment vertical="center" wrapText="1"/>
    </xf>
    <xf numFmtId="186" fontId="0" fillId="29" borderId="102" xfId="0" applyNumberFormat="1" applyFont="1" applyFill="1" applyBorder="1" applyAlignment="1">
      <alignment horizontal="center" vertical="center" wrapText="1"/>
    </xf>
    <xf numFmtId="187" fontId="0" fillId="29" borderId="102" xfId="0" applyNumberFormat="1" applyFont="1" applyFill="1" applyBorder="1" applyAlignment="1">
      <alignment horizontal="center" vertical="center" wrapText="1"/>
    </xf>
    <xf numFmtId="187" fontId="0" fillId="29" borderId="149" xfId="0" applyNumberFormat="1" applyFont="1" applyFill="1" applyBorder="1" applyAlignment="1">
      <alignment vertical="center" wrapText="1"/>
    </xf>
    <xf numFmtId="165" fontId="0" fillId="29" borderId="102" xfId="3" applyFont="1" applyFill="1" applyBorder="1" applyAlignment="1">
      <alignment horizontal="center" vertical="center" wrapText="1"/>
    </xf>
    <xf numFmtId="165" fontId="0" fillId="29" borderId="149" xfId="3" applyFont="1" applyFill="1" applyBorder="1" applyAlignment="1">
      <alignment vertical="center" wrapText="1"/>
    </xf>
    <xf numFmtId="165" fontId="0" fillId="29" borderId="149" xfId="3" applyFont="1" applyFill="1" applyBorder="1" applyAlignment="1">
      <alignment vertical="center"/>
    </xf>
    <xf numFmtId="186" fontId="0" fillId="29" borderId="149" xfId="0" applyNumberFormat="1" applyFont="1" applyFill="1" applyBorder="1" applyAlignment="1">
      <alignment vertical="center"/>
    </xf>
    <xf numFmtId="186" fontId="0" fillId="29" borderId="102" xfId="0" applyNumberFormat="1" applyFont="1" applyFill="1" applyBorder="1" applyAlignment="1">
      <alignment horizontal="center" vertical="center"/>
    </xf>
    <xf numFmtId="186" fontId="0" fillId="29" borderId="94" xfId="0" applyNumberFormat="1" applyFont="1" applyFill="1" applyBorder="1" applyAlignment="1">
      <alignment horizontal="center" vertical="center"/>
    </xf>
    <xf numFmtId="3" fontId="0" fillId="29" borderId="11" xfId="0" applyNumberFormat="1" applyFont="1" applyFill="1" applyBorder="1" applyAlignment="1">
      <alignment horizontal="center" vertical="center" wrapText="1"/>
    </xf>
    <xf numFmtId="3" fontId="0" fillId="29" borderId="149" xfId="0" applyNumberFormat="1" applyFont="1" applyFill="1" applyBorder="1" applyAlignment="1">
      <alignment vertical="center" wrapText="1"/>
    </xf>
    <xf numFmtId="9" fontId="0" fillId="29" borderId="149" xfId="5" applyFont="1" applyFill="1" applyBorder="1" applyAlignment="1">
      <alignment vertical="center" wrapText="1"/>
    </xf>
    <xf numFmtId="186" fontId="0" fillId="29" borderId="32" xfId="0" applyNumberFormat="1" applyFont="1" applyFill="1" applyBorder="1" applyAlignment="1">
      <alignment vertical="center" wrapText="1"/>
    </xf>
    <xf numFmtId="187" fontId="0" fillId="29" borderId="32" xfId="0" applyNumberFormat="1" applyFont="1" applyFill="1" applyBorder="1" applyAlignment="1">
      <alignment vertical="center" wrapText="1"/>
    </xf>
    <xf numFmtId="165" fontId="0" fillId="29" borderId="32" xfId="3" applyFont="1" applyFill="1" applyBorder="1" applyAlignment="1">
      <alignment vertical="center" wrapText="1"/>
    </xf>
    <xf numFmtId="165" fontId="0" fillId="29" borderId="32" xfId="3" applyFont="1" applyFill="1" applyBorder="1" applyAlignment="1">
      <alignment vertical="center"/>
    </xf>
    <xf numFmtId="186" fontId="0" fillId="29" borderId="32" xfId="0" applyNumberFormat="1" applyFont="1" applyFill="1" applyBorder="1" applyAlignment="1">
      <alignment vertical="center"/>
    </xf>
    <xf numFmtId="186" fontId="0" fillId="29" borderId="148" xfId="0" applyNumberFormat="1" applyFont="1" applyFill="1" applyBorder="1" applyAlignment="1">
      <alignment horizontal="center" vertical="center" wrapText="1"/>
    </xf>
    <xf numFmtId="3" fontId="0" fillId="29" borderId="148" xfId="0" applyNumberFormat="1" applyFont="1" applyFill="1" applyBorder="1" applyAlignment="1">
      <alignment horizontal="center" vertical="center" wrapText="1"/>
    </xf>
    <xf numFmtId="186" fontId="0" fillId="29" borderId="148" xfId="0" applyNumberFormat="1" applyFont="1" applyFill="1" applyBorder="1" applyAlignment="1">
      <alignment horizontal="center" vertical="center"/>
    </xf>
    <xf numFmtId="186" fontId="0" fillId="29" borderId="102" xfId="0" applyNumberFormat="1" applyFont="1" applyFill="1" applyBorder="1" applyAlignment="1">
      <alignment horizontal="justify" vertical="center" wrapText="1"/>
    </xf>
    <xf numFmtId="186" fontId="0" fillId="29" borderId="148" xfId="0" applyNumberFormat="1" applyFont="1" applyFill="1" applyBorder="1" applyAlignment="1">
      <alignment horizontal="justify" vertical="center" wrapText="1"/>
    </xf>
    <xf numFmtId="0" fontId="0" fillId="29" borderId="26" xfId="0" applyFont="1" applyFill="1" applyBorder="1" applyAlignment="1">
      <alignment horizontal="center" vertical="center" wrapText="1"/>
    </xf>
    <xf numFmtId="186" fontId="0" fillId="29" borderId="149" xfId="0" applyNumberFormat="1" applyFont="1" applyFill="1" applyBorder="1" applyAlignment="1">
      <alignment horizontal="justify" vertical="center" wrapText="1"/>
    </xf>
    <xf numFmtId="186" fontId="0" fillId="29" borderId="149" xfId="0" applyNumberFormat="1" applyFont="1" applyFill="1" applyBorder="1" applyAlignment="1">
      <alignment horizontal="center" vertical="center" wrapText="1"/>
    </xf>
    <xf numFmtId="3" fontId="0" fillId="29" borderId="149" xfId="0" applyNumberFormat="1" applyFont="1" applyFill="1" applyBorder="1" applyAlignment="1">
      <alignment horizontal="center" vertical="center" wrapText="1"/>
    </xf>
    <xf numFmtId="186" fontId="0" fillId="29" borderId="149" xfId="0" applyNumberFormat="1" applyFont="1" applyFill="1" applyBorder="1" applyAlignment="1">
      <alignment horizontal="center" vertical="center"/>
    </xf>
    <xf numFmtId="186" fontId="0" fillId="29" borderId="159" xfId="0" applyNumberFormat="1" applyFont="1" applyFill="1" applyBorder="1" applyAlignment="1">
      <alignment horizontal="center" vertical="center"/>
    </xf>
    <xf numFmtId="0" fontId="0" fillId="29" borderId="29" xfId="0" applyFont="1" applyFill="1" applyBorder="1" applyAlignment="1">
      <alignment horizontal="center" vertical="center" wrapText="1"/>
    </xf>
    <xf numFmtId="0" fontId="0" fillId="29" borderId="30" xfId="0" applyFont="1" applyFill="1" applyBorder="1" applyAlignment="1">
      <alignment horizontal="justify" vertical="center" wrapText="1"/>
    </xf>
    <xf numFmtId="0" fontId="0" fillId="29" borderId="30" xfId="0" applyFont="1" applyFill="1" applyBorder="1" applyAlignment="1">
      <alignment horizontal="left" vertical="center" wrapText="1"/>
    </xf>
    <xf numFmtId="0" fontId="0" fillId="29" borderId="30" xfId="0" applyFont="1" applyFill="1" applyBorder="1" applyAlignment="1">
      <alignment horizontal="center" vertical="center" wrapText="1"/>
    </xf>
    <xf numFmtId="0" fontId="0" fillId="29" borderId="31" xfId="0" applyFont="1" applyFill="1" applyBorder="1" applyAlignment="1">
      <alignment horizontal="center" vertical="center"/>
    </xf>
    <xf numFmtId="0" fontId="0" fillId="29" borderId="53" xfId="0" applyFont="1" applyFill="1" applyBorder="1" applyAlignment="1">
      <alignment horizontal="center" vertical="center"/>
    </xf>
    <xf numFmtId="187" fontId="0" fillId="29" borderId="30" xfId="7" applyNumberFormat="1" applyFont="1" applyFill="1" applyBorder="1" applyAlignment="1">
      <alignment horizontal="center" vertical="center"/>
    </xf>
    <xf numFmtId="3" fontId="0" fillId="29" borderId="30" xfId="0" applyNumberFormat="1" applyFont="1" applyFill="1" applyBorder="1" applyAlignment="1">
      <alignment vertical="center" wrapText="1"/>
    </xf>
    <xf numFmtId="9" fontId="0" fillId="29" borderId="30" xfId="5" applyFont="1" applyFill="1" applyBorder="1" applyAlignment="1">
      <alignment vertical="center" wrapText="1"/>
    </xf>
    <xf numFmtId="186" fontId="0" fillId="29" borderId="30" xfId="0" applyNumberFormat="1" applyFont="1" applyFill="1" applyBorder="1" applyAlignment="1">
      <alignment horizontal="justify" vertical="center" wrapText="1"/>
    </xf>
    <xf numFmtId="186" fontId="0" fillId="29" borderId="30" xfId="0" applyNumberFormat="1" applyFont="1" applyFill="1" applyBorder="1" applyAlignment="1">
      <alignment horizontal="center" vertical="center" wrapText="1"/>
    </xf>
    <xf numFmtId="3" fontId="0" fillId="29" borderId="30" xfId="0" applyNumberFormat="1" applyFont="1" applyFill="1" applyBorder="1" applyAlignment="1">
      <alignment horizontal="center" vertical="center" wrapText="1"/>
    </xf>
    <xf numFmtId="0" fontId="0" fillId="29" borderId="30" xfId="0" applyNumberFormat="1" applyFont="1" applyFill="1" applyBorder="1" applyAlignment="1">
      <alignment horizontal="center" vertical="center" wrapText="1"/>
    </xf>
    <xf numFmtId="186" fontId="0" fillId="29" borderId="30" xfId="0" applyNumberFormat="1" applyFont="1" applyFill="1" applyBorder="1" applyAlignment="1">
      <alignment horizontal="center" vertical="center"/>
    </xf>
    <xf numFmtId="186" fontId="0" fillId="29" borderId="31" xfId="0" applyNumberFormat="1" applyFont="1" applyFill="1" applyBorder="1" applyAlignment="1">
      <alignment horizontal="center" vertical="center"/>
    </xf>
    <xf numFmtId="3" fontId="0" fillId="29" borderId="29" xfId="0" applyNumberFormat="1" applyFont="1" applyFill="1" applyBorder="1" applyAlignment="1">
      <alignment vertical="center" wrapText="1"/>
    </xf>
    <xf numFmtId="0" fontId="0" fillId="103" borderId="32" xfId="0" applyFont="1" applyFill="1" applyBorder="1" applyAlignment="1">
      <alignment horizontal="left" vertical="center" wrapText="1"/>
    </xf>
    <xf numFmtId="0" fontId="0" fillId="103" borderId="32" xfId="0" applyFont="1" applyFill="1" applyBorder="1" applyAlignment="1">
      <alignment horizontal="center" vertical="center" wrapText="1"/>
    </xf>
    <xf numFmtId="3" fontId="0" fillId="103" borderId="10" xfId="0" applyNumberFormat="1" applyFont="1" applyFill="1" applyBorder="1" applyAlignment="1">
      <alignment vertical="center"/>
    </xf>
    <xf numFmtId="9" fontId="0" fillId="103" borderId="10" xfId="5" applyFont="1" applyFill="1" applyBorder="1" applyAlignment="1">
      <alignment vertical="center"/>
    </xf>
    <xf numFmtId="186" fontId="0" fillId="103" borderId="8" xfId="0" applyNumberFormat="1" applyFont="1" applyFill="1" applyBorder="1" applyAlignment="1">
      <alignment horizontal="center" vertical="center"/>
    </xf>
    <xf numFmtId="3" fontId="0" fillId="103" borderId="8" xfId="0" applyNumberFormat="1" applyFont="1" applyFill="1" applyBorder="1" applyAlignment="1">
      <alignment horizontal="center" vertical="center"/>
    </xf>
    <xf numFmtId="186" fontId="0" fillId="103" borderId="9" xfId="0" applyNumberFormat="1" applyFont="1" applyFill="1" applyBorder="1" applyAlignment="1">
      <alignment horizontal="center" vertical="center"/>
    </xf>
    <xf numFmtId="0" fontId="0" fillId="103" borderId="0" xfId="0" applyFont="1" applyFill="1"/>
    <xf numFmtId="3" fontId="0" fillId="103" borderId="51" xfId="0" applyNumberFormat="1" applyFont="1" applyFill="1" applyBorder="1" applyAlignment="1">
      <alignment vertical="center"/>
    </xf>
    <xf numFmtId="9" fontId="0" fillId="103" borderId="32" xfId="5" applyFont="1" applyFill="1" applyBorder="1" applyAlignment="1">
      <alignment vertical="center"/>
    </xf>
    <xf numFmtId="0" fontId="0" fillId="103" borderId="32" xfId="0" applyFont="1" applyFill="1" applyBorder="1"/>
    <xf numFmtId="0" fontId="0" fillId="103" borderId="52" xfId="0" applyFont="1" applyFill="1" applyBorder="1"/>
    <xf numFmtId="0" fontId="0" fillId="103" borderId="100" xfId="0" applyFont="1" applyFill="1" applyBorder="1"/>
    <xf numFmtId="0" fontId="0" fillId="103" borderId="54" xfId="0" applyFont="1" applyFill="1" applyBorder="1"/>
    <xf numFmtId="0" fontId="0" fillId="103" borderId="148" xfId="0" applyFont="1" applyFill="1" applyBorder="1" applyAlignment="1">
      <alignment horizontal="left" vertical="center" wrapText="1"/>
    </xf>
    <xf numFmtId="0" fontId="0" fillId="103" borderId="148" xfId="0" applyFont="1" applyFill="1" applyBorder="1" applyAlignment="1">
      <alignment horizontal="center" vertical="center" wrapText="1"/>
    </xf>
    <xf numFmtId="3" fontId="0" fillId="103" borderId="26" xfId="0" applyNumberFormat="1" applyFont="1" applyFill="1" applyBorder="1" applyAlignment="1">
      <alignment vertical="center"/>
    </xf>
    <xf numFmtId="9" fontId="0" fillId="103" borderId="26" xfId="5" applyFont="1" applyFill="1" applyBorder="1" applyAlignment="1">
      <alignment vertical="center"/>
    </xf>
    <xf numFmtId="186" fontId="0" fillId="103" borderId="32" xfId="0" applyNumberFormat="1" applyFont="1" applyFill="1" applyBorder="1" applyAlignment="1">
      <alignment horizontal="center" vertical="center"/>
    </xf>
    <xf numFmtId="3" fontId="0" fillId="103" borderId="32" xfId="0" applyNumberFormat="1" applyFont="1" applyFill="1" applyBorder="1" applyAlignment="1">
      <alignment horizontal="center" vertical="center"/>
    </xf>
    <xf numFmtId="186" fontId="0" fillId="103" borderId="52" xfId="0" applyNumberFormat="1" applyFont="1" applyFill="1" applyBorder="1" applyAlignment="1">
      <alignment horizontal="center" vertical="center"/>
    </xf>
    <xf numFmtId="3" fontId="0" fillId="103" borderId="11" xfId="0" applyNumberFormat="1" applyFont="1" applyFill="1" applyBorder="1" applyAlignment="1">
      <alignment vertical="center"/>
    </xf>
    <xf numFmtId="9" fontId="0" fillId="103" borderId="148" xfId="5" applyFont="1" applyFill="1" applyBorder="1" applyAlignment="1">
      <alignment vertical="center"/>
    </xf>
    <xf numFmtId="0" fontId="0" fillId="103" borderId="148" xfId="0" applyFont="1" applyFill="1" applyBorder="1"/>
    <xf numFmtId="0" fontId="0" fillId="103" borderId="94" xfId="0" applyFont="1" applyFill="1" applyBorder="1"/>
    <xf numFmtId="0" fontId="0" fillId="103" borderId="155" xfId="0" applyFont="1" applyFill="1" applyBorder="1"/>
    <xf numFmtId="0" fontId="0" fillId="103" borderId="154" xfId="0" applyFont="1" applyFill="1" applyBorder="1"/>
    <xf numFmtId="3" fontId="0" fillId="103" borderId="32" xfId="0" applyNumberFormat="1" applyFont="1" applyFill="1" applyBorder="1" applyAlignment="1">
      <alignment vertical="center"/>
    </xf>
    <xf numFmtId="186" fontId="0" fillId="103" borderId="102" xfId="0" applyNumberFormat="1" applyFont="1" applyFill="1" applyBorder="1" applyAlignment="1">
      <alignment horizontal="center" vertical="center"/>
    </xf>
    <xf numFmtId="3" fontId="0" fillId="103" borderId="102" xfId="0" applyNumberFormat="1" applyFont="1" applyFill="1" applyBorder="1" applyAlignment="1">
      <alignment horizontal="center" vertical="center"/>
    </xf>
    <xf numFmtId="186" fontId="0" fillId="103" borderId="94" xfId="0" applyNumberFormat="1" applyFont="1" applyFill="1" applyBorder="1" applyAlignment="1">
      <alignment horizontal="center" vertical="center"/>
    </xf>
    <xf numFmtId="186" fontId="0" fillId="103" borderId="148" xfId="0" applyNumberFormat="1" applyFont="1" applyFill="1" applyBorder="1" applyAlignment="1">
      <alignment horizontal="center" vertical="center"/>
    </xf>
    <xf numFmtId="3" fontId="0" fillId="103" borderId="148" xfId="0" applyNumberFormat="1" applyFont="1" applyFill="1" applyBorder="1" applyAlignment="1">
      <alignment horizontal="center" vertical="center"/>
    </xf>
    <xf numFmtId="3" fontId="0" fillId="103" borderId="149" xfId="0" applyNumberFormat="1" applyFont="1" applyFill="1" applyBorder="1" applyAlignment="1">
      <alignment vertical="center"/>
    </xf>
    <xf numFmtId="9" fontId="0" fillId="103" borderId="149" xfId="5" applyFont="1" applyFill="1" applyBorder="1" applyAlignment="1">
      <alignment vertical="center"/>
    </xf>
    <xf numFmtId="186" fontId="0" fillId="103" borderId="0" xfId="0" applyNumberFormat="1" applyFont="1" applyFill="1" applyBorder="1" applyAlignment="1">
      <alignment horizontal="center" vertical="center"/>
    </xf>
    <xf numFmtId="0" fontId="0" fillId="103" borderId="11" xfId="0" applyFont="1" applyFill="1" applyBorder="1" applyAlignment="1">
      <alignment horizontal="center" vertical="center" wrapText="1"/>
    </xf>
    <xf numFmtId="0" fontId="0" fillId="103" borderId="148" xfId="0" applyFont="1" applyFill="1" applyBorder="1" applyAlignment="1">
      <alignment vertical="center" wrapText="1"/>
    </xf>
    <xf numFmtId="0" fontId="3" fillId="103" borderId="148" xfId="0" applyFont="1" applyFill="1" applyBorder="1" applyAlignment="1">
      <alignment horizontal="center" vertical="center" wrapText="1"/>
    </xf>
    <xf numFmtId="0" fontId="0" fillId="103" borderId="148" xfId="0" applyFont="1" applyFill="1" applyBorder="1" applyAlignment="1">
      <alignment horizontal="justify" vertical="center" wrapText="1"/>
    </xf>
    <xf numFmtId="9" fontId="0" fillId="103" borderId="148" xfId="0" applyNumberFormat="1" applyFont="1" applyFill="1" applyBorder="1" applyAlignment="1">
      <alignment horizontal="center" vertical="center"/>
    </xf>
    <xf numFmtId="9" fontId="0" fillId="103" borderId="94" xfId="0" applyNumberFormat="1" applyFont="1" applyFill="1" applyBorder="1" applyAlignment="1">
      <alignment horizontal="center" vertical="center"/>
    </xf>
    <xf numFmtId="9" fontId="0" fillId="103" borderId="154" xfId="0" applyNumberFormat="1" applyFont="1" applyFill="1" applyBorder="1" applyAlignment="1">
      <alignment horizontal="center" vertical="center"/>
    </xf>
    <xf numFmtId="9" fontId="0" fillId="103" borderId="102" xfId="0" applyNumberFormat="1" applyFont="1" applyFill="1" applyBorder="1" applyAlignment="1">
      <alignment horizontal="center" vertical="center"/>
    </xf>
    <xf numFmtId="9" fontId="0" fillId="103" borderId="102" xfId="5" applyFont="1" applyFill="1" applyBorder="1" applyAlignment="1">
      <alignment horizontal="center" vertical="center"/>
    </xf>
    <xf numFmtId="187" fontId="0" fillId="103" borderId="102" xfId="7" applyNumberFormat="1" applyFont="1" applyFill="1" applyBorder="1" applyAlignment="1">
      <alignment horizontal="center" vertical="center"/>
    </xf>
    <xf numFmtId="186" fontId="11" fillId="103" borderId="71" xfId="0" applyNumberFormat="1" applyFont="1" applyFill="1" applyBorder="1" applyAlignment="1">
      <alignment horizontal="left" vertical="center" wrapText="1"/>
    </xf>
    <xf numFmtId="186" fontId="11" fillId="103" borderId="72" xfId="0" applyNumberFormat="1" applyFont="1" applyFill="1" applyBorder="1" applyAlignment="1">
      <alignment horizontal="center" vertical="center" wrapText="1"/>
    </xf>
    <xf numFmtId="3" fontId="11" fillId="103" borderId="71" xfId="0" applyNumberFormat="1" applyFont="1" applyFill="1" applyBorder="1" applyAlignment="1">
      <alignment horizontal="center" vertical="center" wrapText="1"/>
    </xf>
    <xf numFmtId="3" fontId="0" fillId="103" borderId="102" xfId="0" applyNumberFormat="1" applyFont="1" applyFill="1" applyBorder="1" applyAlignment="1">
      <alignment horizontal="center" vertical="center" wrapText="1"/>
    </xf>
    <xf numFmtId="186" fontId="0" fillId="103" borderId="102" xfId="0" applyNumberFormat="1" applyFont="1" applyFill="1" applyBorder="1" applyAlignment="1">
      <alignment horizontal="center" vertical="center" wrapText="1"/>
    </xf>
    <xf numFmtId="3" fontId="0" fillId="103" borderId="11" xfId="0" applyNumberFormat="1" applyFont="1" applyFill="1" applyBorder="1" applyAlignment="1">
      <alignment horizontal="center" vertical="center"/>
    </xf>
    <xf numFmtId="9" fontId="0" fillId="103" borderId="148" xfId="5" applyFont="1" applyFill="1" applyBorder="1" applyAlignment="1">
      <alignment horizontal="center" vertical="center"/>
    </xf>
    <xf numFmtId="3" fontId="0" fillId="103" borderId="149" xfId="0" applyNumberFormat="1" applyFont="1" applyFill="1" applyBorder="1" applyAlignment="1">
      <alignment vertical="center" wrapText="1"/>
    </xf>
    <xf numFmtId="9" fontId="0" fillId="103" borderId="149" xfId="5" applyFont="1" applyFill="1" applyBorder="1" applyAlignment="1">
      <alignment vertical="center" wrapText="1"/>
    </xf>
    <xf numFmtId="3" fontId="0" fillId="103" borderId="11" xfId="0" applyNumberFormat="1" applyFont="1" applyFill="1" applyBorder="1" applyAlignment="1">
      <alignment vertical="center" wrapText="1"/>
    </xf>
    <xf numFmtId="9" fontId="0" fillId="103" borderId="148" xfId="5" applyFont="1" applyFill="1" applyBorder="1" applyAlignment="1">
      <alignment vertical="center" wrapText="1"/>
    </xf>
    <xf numFmtId="3" fontId="0" fillId="103" borderId="32" xfId="0" applyNumberFormat="1" applyFont="1" applyFill="1" applyBorder="1" applyAlignment="1">
      <alignment vertical="center" wrapText="1"/>
    </xf>
    <xf numFmtId="9" fontId="0" fillId="103" borderId="32" xfId="5" applyFont="1" applyFill="1" applyBorder="1" applyAlignment="1">
      <alignment vertical="center" wrapText="1"/>
    </xf>
    <xf numFmtId="186" fontId="0" fillId="103" borderId="148" xfId="0" applyNumberFormat="1" applyFont="1" applyFill="1" applyBorder="1" applyAlignment="1">
      <alignment horizontal="center" vertical="center" wrapText="1"/>
    </xf>
    <xf numFmtId="3" fontId="0" fillId="103" borderId="148" xfId="0" applyNumberFormat="1" applyFont="1" applyFill="1" applyBorder="1" applyAlignment="1">
      <alignment horizontal="center" vertical="center" wrapText="1"/>
    </xf>
    <xf numFmtId="9" fontId="0" fillId="103" borderId="102" xfId="5" applyFont="1" applyFill="1" applyBorder="1" applyAlignment="1">
      <alignment horizontal="center" vertical="center" wrapText="1"/>
    </xf>
    <xf numFmtId="0" fontId="0" fillId="103" borderId="102" xfId="0" applyFont="1" applyFill="1" applyBorder="1" applyAlignment="1">
      <alignment horizontal="justify" vertical="center" wrapText="1"/>
    </xf>
    <xf numFmtId="0" fontId="0" fillId="103" borderId="102" xfId="0" applyFont="1" applyFill="1" applyBorder="1" applyAlignment="1">
      <alignment horizontal="center" vertical="center" wrapText="1"/>
    </xf>
    <xf numFmtId="3" fontId="0" fillId="103" borderId="102" xfId="4" applyNumberFormat="1" applyFont="1" applyFill="1" applyBorder="1" applyAlignment="1">
      <alignment horizontal="center" vertical="center" wrapText="1"/>
    </xf>
    <xf numFmtId="9" fontId="0" fillId="103" borderId="11" xfId="5" applyFont="1" applyFill="1" applyBorder="1" applyAlignment="1">
      <alignment horizontal="center" vertical="center" wrapText="1"/>
    </xf>
    <xf numFmtId="9" fontId="0" fillId="103" borderId="148" xfId="5" applyFont="1" applyFill="1" applyBorder="1" applyAlignment="1">
      <alignment horizontal="center" vertical="center" wrapText="1"/>
    </xf>
    <xf numFmtId="187" fontId="0" fillId="103" borderId="102" xfId="0" applyNumberFormat="1" applyFont="1" applyFill="1" applyBorder="1" applyAlignment="1">
      <alignment horizontal="center" vertical="center" wrapText="1"/>
    </xf>
    <xf numFmtId="3" fontId="0" fillId="103" borderId="102" xfId="3" applyNumberFormat="1" applyFont="1" applyFill="1" applyBorder="1" applyAlignment="1">
      <alignment horizontal="center" vertical="center" wrapText="1"/>
    </xf>
    <xf numFmtId="165" fontId="0" fillId="103" borderId="102" xfId="3" applyFont="1" applyFill="1" applyBorder="1" applyAlignment="1">
      <alignment horizontal="center" vertical="center" wrapText="1"/>
    </xf>
    <xf numFmtId="165" fontId="0" fillId="103" borderId="102" xfId="3" applyFont="1" applyFill="1" applyBorder="1" applyAlignment="1">
      <alignment horizontal="center" vertical="center"/>
    </xf>
    <xf numFmtId="3" fontId="0" fillId="103" borderId="11" xfId="0" applyNumberFormat="1" applyFont="1" applyFill="1" applyBorder="1" applyAlignment="1">
      <alignment horizontal="center" vertical="center" wrapText="1"/>
    </xf>
    <xf numFmtId="186" fontId="11" fillId="103" borderId="71" xfId="0" applyNumberFormat="1" applyFont="1" applyFill="1" applyBorder="1" applyAlignment="1">
      <alignment horizontal="justify" vertical="center" wrapText="1"/>
    </xf>
    <xf numFmtId="186" fontId="11" fillId="103" borderId="71" xfId="0" applyNumberFormat="1" applyFont="1" applyFill="1" applyBorder="1" applyAlignment="1">
      <alignment horizontal="center" vertical="center" wrapText="1"/>
    </xf>
    <xf numFmtId="3" fontId="0" fillId="103" borderId="26" xfId="0" applyNumberFormat="1" applyFont="1" applyFill="1" applyBorder="1" applyAlignment="1">
      <alignment vertical="center" wrapText="1"/>
    </xf>
    <xf numFmtId="9" fontId="0" fillId="103" borderId="26" xfId="5" applyFont="1" applyFill="1" applyBorder="1" applyAlignment="1">
      <alignment vertical="center" wrapText="1"/>
    </xf>
    <xf numFmtId="186" fontId="11" fillId="103" borderId="0" xfId="0" applyNumberFormat="1" applyFont="1" applyFill="1" applyBorder="1" applyAlignment="1">
      <alignment horizontal="justify" vertical="center" wrapText="1"/>
    </xf>
    <xf numFmtId="186" fontId="11" fillId="103" borderId="0" xfId="0" applyNumberFormat="1" applyFont="1" applyFill="1" applyBorder="1" applyAlignment="1">
      <alignment horizontal="center" vertical="center" wrapText="1"/>
    </xf>
    <xf numFmtId="3" fontId="11" fillId="103" borderId="0" xfId="0" applyNumberFormat="1" applyFont="1" applyFill="1" applyBorder="1" applyAlignment="1">
      <alignment horizontal="center" vertical="center" wrapText="1"/>
    </xf>
    <xf numFmtId="186" fontId="0" fillId="103" borderId="102" xfId="0" applyNumberFormat="1" applyFont="1" applyFill="1" applyBorder="1" applyAlignment="1">
      <alignment horizontal="left" vertical="center" wrapText="1"/>
    </xf>
    <xf numFmtId="186" fontId="0" fillId="103" borderId="148" xfId="0" applyNumberFormat="1" applyFont="1" applyFill="1" applyBorder="1" applyAlignment="1">
      <alignment horizontal="left" vertical="center" wrapText="1"/>
    </xf>
    <xf numFmtId="186" fontId="0" fillId="103" borderId="149" xfId="0" applyNumberFormat="1" applyFont="1" applyFill="1" applyBorder="1" applyAlignment="1">
      <alignment horizontal="center" vertical="center" wrapText="1"/>
    </xf>
    <xf numFmtId="3" fontId="0" fillId="103" borderId="149" xfId="0" applyNumberFormat="1" applyFont="1" applyFill="1" applyBorder="1" applyAlignment="1">
      <alignment horizontal="center" vertical="center" wrapText="1"/>
    </xf>
    <xf numFmtId="186" fontId="0" fillId="103" borderId="102" xfId="0" applyNumberFormat="1" applyFont="1" applyFill="1" applyBorder="1" applyAlignment="1">
      <alignment horizontal="justify" vertical="center" wrapText="1"/>
    </xf>
    <xf numFmtId="186" fontId="0" fillId="103" borderId="108" xfId="0" applyNumberFormat="1" applyFont="1" applyFill="1" applyBorder="1" applyAlignment="1">
      <alignment horizontal="center" vertical="center" wrapText="1"/>
    </xf>
    <xf numFmtId="186" fontId="0" fillId="103" borderId="108" xfId="0" applyNumberFormat="1" applyFont="1" applyFill="1" applyBorder="1" applyAlignment="1">
      <alignment vertical="center" wrapText="1"/>
    </xf>
    <xf numFmtId="3" fontId="0" fillId="103" borderId="108" xfId="0" applyNumberFormat="1" applyFont="1" applyFill="1" applyBorder="1" applyAlignment="1">
      <alignment vertical="center" wrapText="1"/>
    </xf>
    <xf numFmtId="186" fontId="0" fillId="103" borderId="148" xfId="0" applyNumberFormat="1" applyFont="1" applyFill="1" applyBorder="1" applyAlignment="1">
      <alignment horizontal="justify" vertical="center" wrapText="1"/>
    </xf>
    <xf numFmtId="186" fontId="0" fillId="103" borderId="26" xfId="0" applyNumberFormat="1" applyFont="1" applyFill="1" applyBorder="1" applyAlignment="1">
      <alignment vertical="center" wrapText="1"/>
    </xf>
    <xf numFmtId="186" fontId="0" fillId="103" borderId="32" xfId="0" applyNumberFormat="1" applyFont="1" applyFill="1" applyBorder="1" applyAlignment="1">
      <alignment vertical="center" wrapText="1"/>
    </xf>
    <xf numFmtId="0" fontId="0" fillId="103" borderId="35" xfId="0" applyFont="1" applyFill="1" applyBorder="1" applyAlignment="1">
      <alignment horizontal="center" vertical="center" wrapText="1"/>
    </xf>
    <xf numFmtId="0" fontId="0" fillId="103" borderId="26" xfId="0" applyFont="1" applyFill="1" applyBorder="1" applyAlignment="1">
      <alignment horizontal="center" vertical="center" wrapText="1"/>
    </xf>
    <xf numFmtId="0" fontId="0" fillId="103" borderId="2" xfId="0" applyFont="1" applyFill="1" applyBorder="1" applyAlignment="1">
      <alignment horizontal="center" vertical="center" wrapText="1"/>
    </xf>
    <xf numFmtId="3" fontId="0" fillId="103" borderId="32" xfId="0" applyNumberFormat="1" applyFont="1" applyFill="1" applyBorder="1" applyAlignment="1">
      <alignment horizontal="center" vertical="center" wrapText="1"/>
    </xf>
    <xf numFmtId="0" fontId="0" fillId="103" borderId="148" xfId="0" applyFont="1" applyFill="1" applyBorder="1" applyAlignment="1">
      <alignment horizontal="center" vertical="center"/>
    </xf>
    <xf numFmtId="0" fontId="0" fillId="103" borderId="94" xfId="0" applyFont="1" applyFill="1" applyBorder="1" applyAlignment="1">
      <alignment horizontal="center" vertical="center"/>
    </xf>
    <xf numFmtId="0" fontId="0" fillId="103" borderId="154" xfId="0" applyFont="1" applyFill="1" applyBorder="1" applyAlignment="1">
      <alignment horizontal="center" vertical="center"/>
    </xf>
    <xf numFmtId="0" fontId="0" fillId="103" borderId="102" xfId="0" applyFont="1" applyFill="1" applyBorder="1" applyAlignment="1">
      <alignment horizontal="center" vertical="center"/>
    </xf>
    <xf numFmtId="186" fontId="0" fillId="103" borderId="149" xfId="0" applyNumberFormat="1" applyFont="1" applyFill="1" applyBorder="1" applyAlignment="1">
      <alignment horizontal="justify" vertical="center" wrapText="1"/>
    </xf>
    <xf numFmtId="3" fontId="0" fillId="103" borderId="149" xfId="0" applyNumberFormat="1" applyFont="1" applyFill="1" applyBorder="1" applyAlignment="1">
      <alignment horizontal="center" vertical="center"/>
    </xf>
    <xf numFmtId="186" fontId="0" fillId="103" borderId="149" xfId="0" applyNumberFormat="1" applyFont="1" applyFill="1" applyBorder="1" applyAlignment="1">
      <alignment horizontal="center" vertical="center"/>
    </xf>
    <xf numFmtId="186" fontId="0" fillId="103" borderId="159" xfId="0" applyNumberFormat="1" applyFont="1" applyFill="1" applyBorder="1" applyAlignment="1">
      <alignment horizontal="center" vertical="center"/>
    </xf>
    <xf numFmtId="3" fontId="0" fillId="103" borderId="149" xfId="10" applyNumberFormat="1" applyFont="1" applyFill="1" applyBorder="1" applyAlignment="1">
      <alignment vertical="center" wrapText="1"/>
    </xf>
    <xf numFmtId="186" fontId="0" fillId="103" borderId="149" xfId="0" applyNumberFormat="1" applyFont="1" applyFill="1" applyBorder="1" applyAlignment="1">
      <alignment vertical="center" wrapText="1"/>
    </xf>
    <xf numFmtId="3" fontId="0" fillId="103" borderId="11" xfId="10" applyNumberFormat="1" applyFont="1" applyFill="1" applyBorder="1" applyAlignment="1">
      <alignment vertical="center" wrapText="1"/>
    </xf>
    <xf numFmtId="3" fontId="0" fillId="103" borderId="26" xfId="10" applyNumberFormat="1" applyFont="1" applyFill="1" applyBorder="1" applyAlignment="1">
      <alignment vertical="center" wrapText="1"/>
    </xf>
    <xf numFmtId="0" fontId="0" fillId="103" borderId="30" xfId="0" applyFont="1" applyFill="1" applyBorder="1" applyAlignment="1">
      <alignment horizontal="left" vertical="center" wrapText="1"/>
    </xf>
    <xf numFmtId="0" fontId="0" fillId="103" borderId="30" xfId="0" applyFont="1" applyFill="1" applyBorder="1" applyAlignment="1">
      <alignment horizontal="center" vertical="center" wrapText="1"/>
    </xf>
    <xf numFmtId="3" fontId="0" fillId="103" borderId="56" xfId="10" applyNumberFormat="1" applyFont="1" applyFill="1" applyBorder="1" applyAlignment="1">
      <alignment vertical="center" wrapText="1"/>
    </xf>
    <xf numFmtId="9" fontId="0" fillId="103" borderId="56" xfId="5" applyFont="1" applyFill="1" applyBorder="1" applyAlignment="1">
      <alignment vertical="center" wrapText="1"/>
    </xf>
    <xf numFmtId="186" fontId="0" fillId="103" borderId="56" xfId="0" applyNumberFormat="1" applyFont="1" applyFill="1" applyBorder="1" applyAlignment="1">
      <alignment vertical="center" wrapText="1"/>
    </xf>
    <xf numFmtId="3" fontId="0" fillId="103" borderId="56" xfId="0" applyNumberFormat="1" applyFont="1" applyFill="1" applyBorder="1" applyAlignment="1">
      <alignment vertical="center" wrapText="1"/>
    </xf>
    <xf numFmtId="3" fontId="0" fillId="103" borderId="30" xfId="0" applyNumberFormat="1" applyFont="1" applyFill="1" applyBorder="1" applyAlignment="1">
      <alignment horizontal="center" vertical="center" wrapText="1"/>
    </xf>
    <xf numFmtId="186" fontId="0" fillId="103" borderId="30" xfId="0" applyNumberFormat="1" applyFont="1" applyFill="1" applyBorder="1" applyAlignment="1">
      <alignment horizontal="center" vertical="center" wrapText="1"/>
    </xf>
    <xf numFmtId="186" fontId="0" fillId="103" borderId="30" xfId="0" applyNumberFormat="1" applyFont="1" applyFill="1" applyBorder="1" applyAlignment="1">
      <alignment horizontal="center" vertical="center"/>
    </xf>
    <xf numFmtId="186" fontId="0" fillId="103" borderId="31" xfId="0" applyNumberFormat="1" applyFont="1" applyFill="1" applyBorder="1" applyAlignment="1">
      <alignment horizontal="center" vertical="center"/>
    </xf>
    <xf numFmtId="3" fontId="0" fillId="103" borderId="29" xfId="10" applyNumberFormat="1" applyFont="1" applyFill="1" applyBorder="1" applyAlignment="1">
      <alignment vertical="center" wrapText="1"/>
    </xf>
    <xf numFmtId="9" fontId="0" fillId="103" borderId="30" xfId="5" applyFont="1" applyFill="1" applyBorder="1" applyAlignment="1">
      <alignment vertical="center" wrapText="1"/>
    </xf>
    <xf numFmtId="0" fontId="0" fillId="103" borderId="30" xfId="0" applyFont="1" applyFill="1" applyBorder="1"/>
    <xf numFmtId="0" fontId="0" fillId="103" borderId="31" xfId="0" applyFont="1" applyFill="1" applyBorder="1"/>
    <xf numFmtId="0" fontId="0" fillId="103" borderId="161" xfId="0" applyFont="1" applyFill="1" applyBorder="1"/>
    <xf numFmtId="0" fontId="0" fillId="103" borderId="53" xfId="0" applyFont="1" applyFill="1" applyBorder="1"/>
    <xf numFmtId="0" fontId="0" fillId="103" borderId="0" xfId="0" applyFont="1" applyFill="1" applyAlignment="1">
      <alignment horizontal="center" vertical="center" wrapText="1"/>
    </xf>
    <xf numFmtId="0" fontId="0" fillId="51" borderId="0" xfId="0" applyFont="1" applyFill="1" applyAlignment="1">
      <alignment horizontal="center" vertical="center" wrapText="1"/>
    </xf>
    <xf numFmtId="0" fontId="0" fillId="38" borderId="0" xfId="0" applyFont="1" applyFill="1" applyAlignment="1">
      <alignment horizontal="center" vertical="center" wrapText="1"/>
    </xf>
    <xf numFmtId="0" fontId="3" fillId="46" borderId="149" xfId="0" applyFont="1" applyFill="1" applyBorder="1" applyAlignment="1">
      <alignment horizontal="center" vertical="center" wrapText="1"/>
    </xf>
    <xf numFmtId="0" fontId="10" fillId="103" borderId="148" xfId="0" applyFont="1" applyFill="1" applyBorder="1" applyAlignment="1">
      <alignment horizontal="left" vertical="center" wrapText="1"/>
    </xf>
    <xf numFmtId="0" fontId="10" fillId="51" borderId="148" xfId="0" applyFont="1" applyFill="1" applyBorder="1" applyAlignment="1">
      <alignment horizontal="left" vertical="center" wrapText="1"/>
    </xf>
    <xf numFmtId="0" fontId="0" fillId="51" borderId="148" xfId="0" applyFont="1" applyFill="1" applyBorder="1" applyAlignment="1">
      <alignment horizontal="left" vertical="center" wrapText="1"/>
    </xf>
    <xf numFmtId="0" fontId="3" fillId="17" borderId="149" xfId="0" applyFont="1" applyFill="1" applyBorder="1" applyAlignment="1">
      <alignment horizontal="center" vertical="center" wrapText="1"/>
    </xf>
    <xf numFmtId="0" fontId="10" fillId="103" borderId="148" xfId="0" applyFont="1" applyFill="1" applyBorder="1" applyAlignment="1">
      <alignment horizontal="left" vertical="center" wrapText="1"/>
    </xf>
    <xf numFmtId="0" fontId="10" fillId="103" borderId="148" xfId="0" applyFont="1" applyFill="1" applyBorder="1" applyAlignment="1">
      <alignment horizontal="center" vertical="center" wrapText="1"/>
    </xf>
    <xf numFmtId="0" fontId="10" fillId="103" borderId="148" xfId="0" applyFont="1" applyFill="1" applyBorder="1" applyAlignment="1">
      <alignment vertical="center" wrapText="1"/>
    </xf>
    <xf numFmtId="170" fontId="10" fillId="103" borderId="148" xfId="9" applyFont="1" applyFill="1" applyBorder="1" applyAlignment="1">
      <alignment horizontal="center" vertical="center" wrapText="1"/>
    </xf>
    <xf numFmtId="170" fontId="0" fillId="103" borderId="148" xfId="9" applyFont="1" applyFill="1" applyBorder="1" applyAlignment="1">
      <alignment horizontal="center" vertical="center" wrapText="1"/>
    </xf>
    <xf numFmtId="0" fontId="10" fillId="51" borderId="148" xfId="0" applyFont="1" applyFill="1" applyBorder="1" applyAlignment="1">
      <alignment vertical="center" wrapText="1"/>
    </xf>
    <xf numFmtId="170" fontId="10" fillId="51" borderId="148" xfId="9" applyFont="1" applyFill="1" applyBorder="1" applyAlignment="1">
      <alignment horizontal="center" vertical="center" wrapText="1"/>
    </xf>
    <xf numFmtId="0" fontId="10" fillId="51" borderId="148" xfId="0" applyFont="1" applyFill="1" applyBorder="1" applyAlignment="1">
      <alignment vertical="center" wrapText="1"/>
    </xf>
    <xf numFmtId="0" fontId="0" fillId="51" borderId="148" xfId="0" applyFont="1" applyFill="1" applyBorder="1" applyAlignment="1">
      <alignment vertical="center" wrapText="1"/>
    </xf>
    <xf numFmtId="0" fontId="10" fillId="38" borderId="148" xfId="0" applyFont="1" applyFill="1" applyBorder="1" applyAlignment="1">
      <alignment horizontal="left" vertical="center" wrapText="1"/>
    </xf>
    <xf numFmtId="170" fontId="10" fillId="38" borderId="148" xfId="9" applyFont="1" applyFill="1" applyBorder="1" applyAlignment="1">
      <alignment horizontal="center" vertical="center" wrapText="1"/>
    </xf>
    <xf numFmtId="0" fontId="0" fillId="38" borderId="148" xfId="0" applyFont="1" applyFill="1" applyBorder="1" applyAlignment="1">
      <alignment horizontal="justify" vertical="center"/>
    </xf>
    <xf numFmtId="0" fontId="7" fillId="38" borderId="148" xfId="0" applyFont="1" applyFill="1" applyBorder="1" applyAlignment="1">
      <alignment horizontal="left" vertical="center" wrapText="1"/>
    </xf>
    <xf numFmtId="0" fontId="10" fillId="51" borderId="148" xfId="0" applyFont="1" applyFill="1" applyBorder="1" applyAlignment="1">
      <alignment horizontal="justify" vertical="center"/>
    </xf>
    <xf numFmtId="0" fontId="10" fillId="103" borderId="8" xfId="0" applyFont="1" applyFill="1" applyBorder="1" applyAlignment="1">
      <alignment horizontal="left" vertical="center" wrapText="1"/>
    </xf>
    <xf numFmtId="0" fontId="0" fillId="103" borderId="94" xfId="0" applyFont="1" applyFill="1" applyBorder="1" applyAlignment="1">
      <alignment horizontal="center" vertical="center" wrapText="1"/>
    </xf>
    <xf numFmtId="0" fontId="0" fillId="51" borderId="94" xfId="0" applyFont="1" applyFill="1" applyBorder="1" applyAlignment="1">
      <alignment horizontal="center" vertical="center" wrapText="1"/>
    </xf>
    <xf numFmtId="0" fontId="10" fillId="51" borderId="30" xfId="0" applyFont="1" applyFill="1" applyBorder="1" applyAlignment="1">
      <alignment vertical="center" wrapText="1"/>
    </xf>
    <xf numFmtId="0" fontId="10" fillId="51" borderId="30" xfId="0" applyFont="1" applyFill="1" applyBorder="1" applyAlignment="1">
      <alignment horizontal="left" vertical="center" wrapText="1"/>
    </xf>
    <xf numFmtId="0" fontId="0" fillId="51" borderId="30" xfId="0" applyFont="1" applyFill="1" applyBorder="1" applyAlignment="1">
      <alignment horizontal="left" vertical="center" wrapText="1"/>
    </xf>
    <xf numFmtId="0" fontId="0" fillId="51" borderId="30" xfId="0" applyFont="1" applyFill="1" applyBorder="1" applyAlignment="1">
      <alignment horizontal="left" vertical="top" wrapText="1"/>
    </xf>
    <xf numFmtId="0" fontId="0" fillId="51" borderId="31" xfId="0" applyFont="1" applyFill="1" applyBorder="1" applyAlignment="1">
      <alignment horizontal="center" vertical="center" wrapText="1"/>
    </xf>
    <xf numFmtId="0" fontId="10" fillId="51" borderId="32" xfId="0" applyFont="1" applyFill="1" applyBorder="1" applyAlignment="1">
      <alignment vertical="center" wrapText="1"/>
    </xf>
    <xf numFmtId="0" fontId="0" fillId="51" borderId="32" xfId="0" applyFont="1" applyFill="1" applyBorder="1" applyAlignment="1">
      <alignment horizontal="left" vertical="center" wrapText="1"/>
    </xf>
    <xf numFmtId="170" fontId="0" fillId="51" borderId="32" xfId="9" applyFont="1" applyFill="1" applyBorder="1" applyAlignment="1">
      <alignment horizontal="center" vertical="center" wrapText="1"/>
    </xf>
    <xf numFmtId="0" fontId="0" fillId="51" borderId="52" xfId="0" applyFont="1" applyFill="1" applyBorder="1" applyAlignment="1">
      <alignment horizontal="center" vertical="center" wrapText="1"/>
    </xf>
    <xf numFmtId="0" fontId="10" fillId="38" borderId="32" xfId="0" applyFont="1" applyFill="1" applyBorder="1" applyAlignment="1">
      <alignment vertical="center" wrapText="1"/>
    </xf>
    <xf numFmtId="170" fontId="10" fillId="38" borderId="32" xfId="9" applyFont="1" applyFill="1" applyBorder="1" applyAlignment="1">
      <alignment horizontal="center" vertical="center" wrapText="1"/>
    </xf>
    <xf numFmtId="0" fontId="0" fillId="38" borderId="52" xfId="0" applyFont="1" applyFill="1" applyBorder="1" applyAlignment="1">
      <alignment horizontal="center" vertical="center" wrapText="1"/>
    </xf>
    <xf numFmtId="0" fontId="10" fillId="51" borderId="32" xfId="0" applyFont="1" applyFill="1" applyBorder="1" applyAlignment="1">
      <alignment horizontal="left" vertical="center" wrapText="1"/>
    </xf>
    <xf numFmtId="170" fontId="10" fillId="51" borderId="32" xfId="9" applyFont="1" applyFill="1" applyBorder="1" applyAlignment="1">
      <alignment horizontal="center" vertical="center" wrapText="1"/>
    </xf>
    <xf numFmtId="0" fontId="10" fillId="103" borderId="30" xfId="0" applyFont="1" applyFill="1" applyBorder="1" applyAlignment="1">
      <alignment horizontal="left" vertical="center" wrapText="1"/>
    </xf>
    <xf numFmtId="170" fontId="0" fillId="103" borderId="30" xfId="9" applyFont="1" applyFill="1" applyBorder="1" applyAlignment="1">
      <alignment horizontal="center" vertical="center" wrapText="1"/>
    </xf>
    <xf numFmtId="0" fontId="0" fillId="103" borderId="31" xfId="0" applyFont="1" applyFill="1" applyBorder="1" applyAlignment="1">
      <alignment horizontal="center" vertical="center" wrapText="1"/>
    </xf>
    <xf numFmtId="9" fontId="0" fillId="103" borderId="148" xfId="0" applyNumberFormat="1" applyFont="1" applyFill="1" applyBorder="1" applyAlignment="1" applyProtection="1">
      <alignment horizontal="center" vertical="center"/>
      <protection locked="0"/>
    </xf>
    <xf numFmtId="0" fontId="0" fillId="103" borderId="148" xfId="0" applyFont="1" applyFill="1" applyBorder="1" applyAlignment="1" applyProtection="1">
      <alignment horizontal="center" vertical="center"/>
      <protection locked="0"/>
    </xf>
    <xf numFmtId="0" fontId="3" fillId="17" borderId="150" xfId="0" applyFont="1" applyFill="1" applyBorder="1" applyAlignment="1">
      <alignment horizontal="center" vertical="center" wrapText="1"/>
    </xf>
    <xf numFmtId="0" fontId="0" fillId="103" borderId="0" xfId="0" applyFont="1" applyFill="1" applyBorder="1" applyAlignment="1">
      <alignment horizontal="center" vertical="center" wrapText="1"/>
    </xf>
    <xf numFmtId="0" fontId="0" fillId="51" borderId="0" xfId="0" applyFont="1" applyFill="1" applyBorder="1" applyAlignment="1">
      <alignment horizontal="center" vertical="center" wrapText="1"/>
    </xf>
    <xf numFmtId="0" fontId="0" fillId="38" borderId="0" xfId="0" applyFont="1" applyFill="1" applyBorder="1" applyAlignment="1">
      <alignment horizontal="center" vertical="center" wrapText="1"/>
    </xf>
    <xf numFmtId="0" fontId="8" fillId="5" borderId="0" xfId="0" applyFont="1" applyFill="1" applyBorder="1" applyAlignment="1" applyProtection="1">
      <alignment vertical="center"/>
      <protection locked="0"/>
    </xf>
    <xf numFmtId="0" fontId="0" fillId="103" borderId="8" xfId="0" applyFont="1" applyFill="1" applyBorder="1" applyAlignment="1">
      <alignment horizontal="center" vertical="center" wrapText="1"/>
    </xf>
    <xf numFmtId="0" fontId="0" fillId="103" borderId="9" xfId="0" applyFont="1" applyFill="1" applyBorder="1" applyAlignment="1">
      <alignment horizontal="center" vertical="center" wrapText="1"/>
    </xf>
    <xf numFmtId="0" fontId="10" fillId="103" borderId="8" xfId="0" applyFont="1" applyFill="1" applyBorder="1" applyAlignment="1">
      <alignment vertical="center" wrapText="1"/>
    </xf>
    <xf numFmtId="0" fontId="7" fillId="103" borderId="148" xfId="0" applyFont="1" applyFill="1" applyBorder="1" applyAlignment="1">
      <alignment vertical="center" wrapText="1"/>
    </xf>
    <xf numFmtId="0" fontId="3" fillId="51" borderId="148" xfId="0" applyFont="1" applyFill="1" applyBorder="1" applyAlignment="1">
      <alignment vertical="center" wrapText="1"/>
    </xf>
    <xf numFmtId="0" fontId="3" fillId="46" borderId="149" xfId="0" applyFont="1" applyFill="1" applyBorder="1" applyAlignment="1">
      <alignment horizontal="left" vertical="center" wrapText="1"/>
    </xf>
    <xf numFmtId="0" fontId="0" fillId="0" borderId="0" xfId="0" applyFont="1" applyAlignment="1">
      <alignment horizontal="left" vertical="center" wrapText="1"/>
    </xf>
    <xf numFmtId="0" fontId="7" fillId="51" borderId="32" xfId="0" applyFont="1" applyFill="1" applyBorder="1" applyAlignment="1">
      <alignment horizontal="center" vertical="center" wrapText="1"/>
    </xf>
    <xf numFmtId="170" fontId="7" fillId="51" borderId="148" xfId="9" applyFont="1" applyFill="1" applyBorder="1" applyAlignment="1">
      <alignment horizontal="center" vertical="center" wrapText="1"/>
    </xf>
    <xf numFmtId="0" fontId="7" fillId="38" borderId="148" xfId="0" applyFont="1" applyFill="1" applyBorder="1" applyAlignment="1">
      <alignment vertical="center" wrapText="1"/>
    </xf>
    <xf numFmtId="0" fontId="83" fillId="115" borderId="148" xfId="0" applyFont="1" applyFill="1" applyBorder="1" applyAlignment="1">
      <alignment horizontal="center" vertical="center" wrapText="1"/>
    </xf>
    <xf numFmtId="0" fontId="10" fillId="51" borderId="148" xfId="0" applyFont="1" applyFill="1" applyBorder="1" applyAlignment="1">
      <alignment horizontal="center" vertical="top" wrapText="1"/>
    </xf>
    <xf numFmtId="0" fontId="7" fillId="51" borderId="148" xfId="0" applyFont="1" applyFill="1" applyBorder="1" applyAlignment="1">
      <alignment vertical="center" wrapText="1"/>
    </xf>
    <xf numFmtId="170" fontId="10" fillId="51" borderId="148" xfId="9" applyNumberFormat="1" applyFont="1" applyFill="1" applyBorder="1" applyAlignment="1">
      <alignment horizontal="center" vertical="center" wrapText="1"/>
    </xf>
    <xf numFmtId="170" fontId="10" fillId="38" borderId="30" xfId="9" applyFont="1" applyFill="1" applyBorder="1" applyAlignment="1">
      <alignment horizontal="center" vertical="center" wrapText="1"/>
    </xf>
    <xf numFmtId="0" fontId="0" fillId="11" borderId="0" xfId="0" applyFont="1" applyFill="1" applyBorder="1" applyAlignment="1">
      <alignment horizontal="center" vertical="center" wrapText="1"/>
    </xf>
    <xf numFmtId="0" fontId="8" fillId="11" borderId="0" xfId="0" applyFont="1" applyFill="1" applyBorder="1" applyAlignment="1" applyProtection="1">
      <alignment vertical="center"/>
      <protection locked="0"/>
    </xf>
    <xf numFmtId="9" fontId="0" fillId="11" borderId="148" xfId="0" applyNumberFormat="1" applyFont="1" applyFill="1" applyBorder="1" applyAlignment="1" applyProtection="1">
      <alignment horizontal="center" vertical="center"/>
      <protection locked="0"/>
    </xf>
    <xf numFmtId="0" fontId="0" fillId="11" borderId="148" xfId="0" applyFont="1" applyFill="1" applyBorder="1" applyAlignment="1" applyProtection="1">
      <alignment horizontal="center" vertical="center"/>
      <protection locked="0"/>
    </xf>
    <xf numFmtId="0" fontId="0" fillId="11" borderId="148" xfId="0" applyFont="1" applyFill="1" applyBorder="1" applyAlignment="1">
      <alignment horizontal="center" vertical="center" wrapText="1"/>
    </xf>
    <xf numFmtId="0" fontId="0" fillId="11" borderId="30" xfId="0" applyFont="1" applyFill="1" applyBorder="1" applyAlignment="1">
      <alignment horizontal="center" vertical="center" wrapText="1"/>
    </xf>
    <xf numFmtId="0" fontId="0" fillId="11" borderId="32" xfId="0" applyFont="1" applyFill="1" applyBorder="1" applyAlignment="1">
      <alignment horizontal="center" vertical="center" wrapText="1"/>
    </xf>
    <xf numFmtId="0" fontId="0" fillId="38" borderId="148" xfId="0" applyFont="1" applyFill="1" applyBorder="1" applyAlignment="1">
      <alignment vertical="center" wrapText="1"/>
    </xf>
    <xf numFmtId="176" fontId="10" fillId="38" borderId="148" xfId="0" applyNumberFormat="1" applyFont="1" applyFill="1" applyBorder="1" applyAlignment="1">
      <alignment vertical="center"/>
    </xf>
    <xf numFmtId="176" fontId="10" fillId="38" borderId="148" xfId="0" applyNumberFormat="1" applyFont="1" applyFill="1" applyBorder="1" applyAlignment="1">
      <alignment horizontal="center" vertical="center"/>
    </xf>
    <xf numFmtId="164" fontId="10" fillId="11" borderId="148" xfId="4" applyFont="1" applyFill="1" applyBorder="1" applyAlignment="1">
      <alignment horizontal="center" vertical="center" wrapText="1"/>
    </xf>
    <xf numFmtId="164" fontId="10" fillId="11" borderId="148" xfId="4" applyFont="1" applyFill="1" applyBorder="1" applyAlignment="1">
      <alignment vertical="center" wrapText="1"/>
    </xf>
    <xf numFmtId="176" fontId="10" fillId="11" borderId="148" xfId="0" applyNumberFormat="1" applyFont="1" applyFill="1" applyBorder="1" applyAlignment="1">
      <alignment horizontal="center" vertical="center"/>
    </xf>
    <xf numFmtId="176" fontId="10" fillId="11" borderId="148" xfId="0" applyNumberFormat="1" applyFont="1" applyFill="1" applyBorder="1" applyAlignment="1">
      <alignment vertical="center"/>
    </xf>
    <xf numFmtId="170" fontId="10" fillId="11" borderId="148" xfId="9" applyFont="1" applyFill="1" applyBorder="1" applyAlignment="1">
      <alignment vertical="center"/>
    </xf>
    <xf numFmtId="197" fontId="10" fillId="11" borderId="148" xfId="4" applyNumberFormat="1" applyFont="1" applyFill="1" applyBorder="1" applyAlignment="1">
      <alignment horizontal="center" vertical="center"/>
    </xf>
    <xf numFmtId="164" fontId="10" fillId="11" borderId="148" xfId="4" applyFont="1" applyFill="1" applyBorder="1" applyAlignment="1">
      <alignment vertical="center"/>
    </xf>
    <xf numFmtId="164" fontId="10" fillId="11" borderId="148" xfId="4" applyFont="1" applyFill="1" applyBorder="1" applyAlignment="1">
      <alignment horizontal="center" vertical="center"/>
    </xf>
    <xf numFmtId="174" fontId="10" fillId="11" borderId="148" xfId="9" applyNumberFormat="1" applyFont="1" applyFill="1" applyBorder="1" applyAlignment="1">
      <alignment vertical="center"/>
    </xf>
    <xf numFmtId="174" fontId="10" fillId="11" borderId="148" xfId="9" applyNumberFormat="1" applyFont="1" applyFill="1" applyBorder="1" applyAlignment="1">
      <alignment horizontal="center" vertical="center"/>
    </xf>
    <xf numFmtId="174" fontId="10" fillId="11" borderId="148" xfId="0" applyNumberFormat="1" applyFont="1" applyFill="1" applyBorder="1" applyAlignment="1">
      <alignment horizontal="center" vertical="center"/>
    </xf>
    <xf numFmtId="0" fontId="10" fillId="11" borderId="0" xfId="0" applyFont="1" applyFill="1" applyBorder="1"/>
    <xf numFmtId="0" fontId="7" fillId="38" borderId="148" xfId="0" applyFont="1" applyFill="1" applyBorder="1" applyAlignment="1">
      <alignment horizontal="center" vertical="top" wrapText="1"/>
    </xf>
    <xf numFmtId="0" fontId="10" fillId="38" borderId="148" xfId="0" applyFont="1" applyFill="1" applyBorder="1" applyAlignment="1">
      <alignment horizontal="center" vertical="center"/>
    </xf>
    <xf numFmtId="0" fontId="9" fillId="17" borderId="7" xfId="0" applyFont="1" applyFill="1" applyBorder="1" applyAlignment="1">
      <alignment horizontal="center" vertical="center" wrapText="1"/>
    </xf>
    <xf numFmtId="0" fontId="9" fillId="17" borderId="8" xfId="0" applyFont="1" applyFill="1" applyBorder="1" applyAlignment="1">
      <alignment horizontal="center" vertical="center" wrapText="1"/>
    </xf>
    <xf numFmtId="0" fontId="10" fillId="38" borderId="11" xfId="0" applyFont="1" applyFill="1" applyBorder="1" applyAlignment="1">
      <alignment vertical="center" wrapText="1"/>
    </xf>
    <xf numFmtId="0" fontId="10" fillId="38" borderId="11" xfId="0" applyFont="1" applyFill="1" applyBorder="1" applyAlignment="1">
      <alignment horizontal="justify" vertical="center" wrapText="1"/>
    </xf>
    <xf numFmtId="0" fontId="10" fillId="38" borderId="51" xfId="0" applyFont="1" applyFill="1" applyBorder="1" applyAlignment="1">
      <alignment horizontal="justify" vertical="center" wrapText="1"/>
    </xf>
    <xf numFmtId="0" fontId="10" fillId="39" borderId="11" xfId="0" applyFont="1" applyFill="1" applyBorder="1" applyAlignment="1">
      <alignment vertical="center" wrapText="1"/>
    </xf>
    <xf numFmtId="0" fontId="10" fillId="39" borderId="0" xfId="0" applyFont="1" applyFill="1"/>
    <xf numFmtId="0" fontId="10" fillId="39" borderId="11" xfId="0" applyFont="1" applyFill="1" applyBorder="1" applyAlignment="1">
      <alignment horizontal="justify" vertical="center" wrapText="1"/>
    </xf>
    <xf numFmtId="0" fontId="7" fillId="39" borderId="148" xfId="0" applyFont="1" applyFill="1" applyBorder="1" applyAlignment="1">
      <alignment horizontal="center" vertical="center" wrapText="1"/>
    </xf>
    <xf numFmtId="0" fontId="0" fillId="39" borderId="148" xfId="0" applyFont="1" applyFill="1" applyBorder="1" applyAlignment="1">
      <alignment horizontal="left" vertical="center" wrapText="1"/>
    </xf>
    <xf numFmtId="0" fontId="10" fillId="51" borderId="11" xfId="0" applyFont="1" applyFill="1" applyBorder="1" applyAlignment="1">
      <alignment vertical="center" wrapText="1"/>
    </xf>
    <xf numFmtId="0" fontId="10" fillId="51" borderId="148" xfId="0" applyFont="1" applyFill="1" applyBorder="1"/>
    <xf numFmtId="0" fontId="38" fillId="51" borderId="148" xfId="0" applyFont="1" applyFill="1" applyBorder="1" applyAlignment="1">
      <alignment horizontal="center" vertical="center" wrapText="1"/>
    </xf>
    <xf numFmtId="0" fontId="10" fillId="51" borderId="0" xfId="0" applyFont="1" applyFill="1"/>
    <xf numFmtId="9" fontId="10" fillId="51" borderId="148" xfId="0" applyNumberFormat="1" applyFont="1" applyFill="1" applyBorder="1" applyAlignment="1">
      <alignment vertical="center" wrapText="1"/>
    </xf>
    <xf numFmtId="9" fontId="38" fillId="51" borderId="148" xfId="0" applyNumberFormat="1" applyFont="1" applyFill="1" applyBorder="1" applyAlignment="1">
      <alignment horizontal="center" vertical="center" wrapText="1"/>
    </xf>
    <xf numFmtId="6" fontId="10" fillId="51" borderId="148" xfId="0" applyNumberFormat="1" applyFont="1" applyFill="1" applyBorder="1" applyAlignment="1">
      <alignment vertical="center" wrapText="1"/>
    </xf>
    <xf numFmtId="0" fontId="0" fillId="51" borderId="148" xfId="0" applyFont="1" applyFill="1" applyBorder="1" applyAlignment="1">
      <alignment horizontal="left" vertical="center" wrapText="1"/>
    </xf>
    <xf numFmtId="0" fontId="10" fillId="51" borderId="148" xfId="0" applyFont="1" applyFill="1" applyBorder="1" applyAlignment="1">
      <alignment horizontal="left" vertical="center" wrapText="1"/>
    </xf>
    <xf numFmtId="0" fontId="10" fillId="51" borderId="29" xfId="0" applyFont="1" applyFill="1" applyBorder="1" applyAlignment="1">
      <alignment vertical="center" wrapText="1"/>
    </xf>
    <xf numFmtId="0" fontId="38" fillId="51" borderId="30" xfId="0" applyFont="1" applyFill="1" applyBorder="1" applyAlignment="1">
      <alignment horizontal="center" vertical="center" wrapText="1"/>
    </xf>
    <xf numFmtId="6" fontId="10" fillId="51" borderId="30" xfId="0" applyNumberFormat="1" applyFont="1" applyFill="1" applyBorder="1" applyAlignment="1">
      <alignment vertical="center" wrapText="1"/>
    </xf>
    <xf numFmtId="0" fontId="10" fillId="29" borderId="11" xfId="0" applyFont="1" applyFill="1" applyBorder="1" applyAlignment="1">
      <alignment wrapText="1"/>
    </xf>
    <xf numFmtId="0" fontId="10" fillId="29" borderId="0" xfId="0" applyFont="1" applyFill="1"/>
    <xf numFmtId="0" fontId="10" fillId="29" borderId="29" xfId="0" applyFont="1" applyFill="1" applyBorder="1" applyAlignment="1">
      <alignment horizontal="justify" vertical="center" wrapText="1"/>
    </xf>
    <xf numFmtId="0" fontId="10" fillId="69" borderId="11" xfId="0" applyFont="1" applyFill="1" applyBorder="1" applyAlignment="1">
      <alignment horizontal="justify" vertical="center" wrapText="1"/>
    </xf>
    <xf numFmtId="0" fontId="10" fillId="69" borderId="148" xfId="0" applyFont="1" applyFill="1" applyBorder="1" applyAlignment="1">
      <alignment horizontal="center" vertical="center" wrapText="1"/>
    </xf>
    <xf numFmtId="0" fontId="10" fillId="69" borderId="0" xfId="0" applyFont="1" applyFill="1"/>
    <xf numFmtId="0" fontId="10" fillId="12" borderId="148" xfId="0" applyFont="1" applyFill="1" applyBorder="1" applyAlignment="1">
      <alignment horizontal="center" vertical="center" wrapText="1"/>
    </xf>
    <xf numFmtId="0" fontId="10" fillId="12" borderId="0" xfId="0" applyFont="1" applyFill="1"/>
    <xf numFmtId="0" fontId="10" fillId="12" borderId="11" xfId="0" applyFont="1" applyFill="1" applyBorder="1" applyAlignment="1">
      <alignment horizontal="justify" vertical="center" wrapText="1"/>
    </xf>
    <xf numFmtId="0" fontId="0" fillId="12" borderId="148" xfId="0" applyFont="1" applyFill="1" applyBorder="1" applyAlignment="1">
      <alignment vertical="center" wrapText="1"/>
    </xf>
    <xf numFmtId="0" fontId="10" fillId="12" borderId="148" xfId="0" applyFont="1" applyFill="1" applyBorder="1" applyAlignment="1">
      <alignment vertical="center" wrapText="1"/>
    </xf>
    <xf numFmtId="0" fontId="10" fillId="12" borderId="148" xfId="0" applyFont="1" applyFill="1" applyBorder="1" applyAlignment="1">
      <alignment vertical="top" wrapText="1"/>
    </xf>
    <xf numFmtId="0" fontId="7" fillId="12" borderId="148" xfId="0" applyFont="1" applyFill="1" applyBorder="1" applyAlignment="1">
      <alignment vertical="top" wrapText="1"/>
    </xf>
    <xf numFmtId="0" fontId="7" fillId="12" borderId="148" xfId="0" applyFont="1" applyFill="1" applyBorder="1" applyAlignment="1">
      <alignment vertical="center" wrapText="1"/>
    </xf>
    <xf numFmtId="0" fontId="7" fillId="12" borderId="148" xfId="0" applyFont="1" applyFill="1" applyBorder="1" applyAlignment="1">
      <alignment horizontal="center" vertical="center" wrapText="1"/>
    </xf>
    <xf numFmtId="0" fontId="10" fillId="69" borderId="32" xfId="0" applyFont="1" applyFill="1" applyBorder="1" applyAlignment="1">
      <alignment vertical="center" wrapText="1"/>
    </xf>
    <xf numFmtId="0" fontId="10" fillId="69" borderId="32" xfId="0" applyFont="1" applyFill="1" applyBorder="1" applyAlignment="1">
      <alignment horizontal="center" vertical="center" wrapText="1"/>
    </xf>
    <xf numFmtId="0" fontId="10" fillId="69" borderId="148" xfId="0" applyFont="1" applyFill="1" applyBorder="1" applyAlignment="1">
      <alignment vertical="center" wrapText="1"/>
    </xf>
    <xf numFmtId="0" fontId="10" fillId="69" borderId="11" xfId="0" applyFont="1" applyFill="1" applyBorder="1" applyAlignment="1">
      <alignment vertical="center" wrapText="1"/>
    </xf>
    <xf numFmtId="0" fontId="10" fillId="116" borderId="11" xfId="0" applyFont="1" applyFill="1" applyBorder="1" applyAlignment="1">
      <alignment horizontal="justify" vertical="center" wrapText="1"/>
    </xf>
    <xf numFmtId="0" fontId="10" fillId="116" borderId="148" xfId="0" applyFont="1" applyFill="1" applyBorder="1" applyAlignment="1">
      <alignment horizontal="center" vertical="center" wrapText="1"/>
    </xf>
    <xf numFmtId="0" fontId="10" fillId="116" borderId="0" xfId="0" applyFont="1" applyFill="1"/>
    <xf numFmtId="0" fontId="10" fillId="116" borderId="11" xfId="0" applyFont="1" applyFill="1" applyBorder="1" applyAlignment="1">
      <alignment vertical="center" wrapText="1"/>
    </xf>
    <xf numFmtId="0" fontId="10" fillId="27" borderId="11" xfId="0" applyFont="1" applyFill="1" applyBorder="1" applyAlignment="1">
      <alignment horizontal="justify" vertical="center" wrapText="1"/>
    </xf>
    <xf numFmtId="0" fontId="10" fillId="27" borderId="148" xfId="0" applyFont="1" applyFill="1" applyBorder="1" applyAlignment="1">
      <alignment horizontal="center" vertical="center" wrapText="1"/>
    </xf>
    <xf numFmtId="0" fontId="0" fillId="27" borderId="148" xfId="0" applyFont="1" applyFill="1" applyBorder="1" applyAlignment="1">
      <alignment horizontal="left" vertical="center" wrapText="1"/>
    </xf>
    <xf numFmtId="0" fontId="10" fillId="27" borderId="148" xfId="0" applyFont="1" applyFill="1" applyBorder="1" applyAlignment="1">
      <alignment horizontal="left" vertical="center" wrapText="1"/>
    </xf>
    <xf numFmtId="0" fontId="7" fillId="27" borderId="148" xfId="0" applyFont="1" applyFill="1" applyBorder="1" applyAlignment="1">
      <alignment horizontal="center" vertical="center" wrapText="1"/>
    </xf>
    <xf numFmtId="0" fontId="10" fillId="27" borderId="0" xfId="0" applyFont="1" applyFill="1"/>
    <xf numFmtId="0" fontId="10" fillId="27" borderId="148" xfId="0" applyFont="1" applyFill="1" applyBorder="1" applyAlignment="1">
      <alignment horizontal="center"/>
    </xf>
    <xf numFmtId="0" fontId="10" fillId="68" borderId="11" xfId="0" applyFont="1" applyFill="1" applyBorder="1" applyAlignment="1">
      <alignment horizontal="justify" vertical="center" wrapText="1"/>
    </xf>
    <xf numFmtId="0" fontId="10" fillId="68" borderId="148" xfId="0" applyFont="1" applyFill="1" applyBorder="1" applyAlignment="1">
      <alignment horizontal="center" vertical="center" wrapText="1"/>
    </xf>
    <xf numFmtId="0" fontId="10" fillId="68" borderId="148" xfId="0" applyFont="1" applyFill="1" applyBorder="1" applyAlignment="1">
      <alignment vertical="center" wrapText="1"/>
    </xf>
    <xf numFmtId="0" fontId="10" fillId="68" borderId="0" xfId="0" applyFont="1" applyFill="1"/>
    <xf numFmtId="0" fontId="10" fillId="68" borderId="148" xfId="0" applyFont="1" applyFill="1" applyBorder="1" applyAlignment="1">
      <alignment vertical="top" wrapText="1"/>
    </xf>
    <xf numFmtId="0" fontId="10" fillId="116" borderId="30" xfId="0" applyFont="1" applyFill="1" applyBorder="1" applyAlignment="1">
      <alignment horizontal="center" vertical="center" wrapText="1"/>
    </xf>
    <xf numFmtId="0" fontId="0" fillId="116" borderId="30" xfId="0" applyFont="1" applyFill="1" applyBorder="1" applyAlignment="1">
      <alignment horizontal="left" vertical="center" wrapText="1"/>
    </xf>
    <xf numFmtId="0" fontId="10" fillId="116" borderId="30" xfId="0" applyFont="1" applyFill="1" applyBorder="1" applyAlignment="1">
      <alignment horizontal="left" vertical="center" wrapText="1"/>
    </xf>
    <xf numFmtId="0" fontId="10" fillId="116" borderId="30" xfId="0" applyFont="1" applyFill="1" applyBorder="1" applyAlignment="1">
      <alignment vertical="center" wrapText="1"/>
    </xf>
    <xf numFmtId="0" fontId="7" fillId="116" borderId="30" xfId="0" applyFont="1" applyFill="1" applyBorder="1" applyAlignment="1">
      <alignment vertical="center" wrapText="1"/>
    </xf>
    <xf numFmtId="0" fontId="10" fillId="116" borderId="30" xfId="0" applyFont="1" applyFill="1" applyBorder="1" applyAlignment="1">
      <alignment horizontal="center" vertical="center"/>
    </xf>
    <xf numFmtId="0" fontId="9" fillId="17" borderId="10" xfId="0" applyFont="1" applyFill="1" applyBorder="1" applyAlignment="1">
      <alignment horizontal="center" vertical="center" wrapText="1"/>
    </xf>
    <xf numFmtId="0" fontId="3" fillId="17" borderId="10" xfId="0" applyFont="1" applyFill="1" applyBorder="1" applyAlignment="1">
      <alignment horizontal="center" vertical="center" wrapText="1"/>
    </xf>
    <xf numFmtId="0" fontId="9" fillId="46" borderId="10" xfId="0" applyFont="1" applyFill="1" applyBorder="1" applyAlignment="1">
      <alignment horizontal="center" vertical="center" wrapText="1"/>
    </xf>
    <xf numFmtId="0" fontId="9" fillId="17" borderId="14" xfId="0" applyFont="1" applyFill="1" applyBorder="1" applyAlignment="1">
      <alignment horizontal="center" vertical="center" wrapText="1"/>
    </xf>
    <xf numFmtId="164" fontId="10" fillId="39" borderId="148" xfId="4" applyFont="1" applyFill="1" applyBorder="1" applyAlignment="1">
      <alignment vertical="center" wrapText="1"/>
    </xf>
    <xf numFmtId="164" fontId="10" fillId="51" borderId="148" xfId="4" applyFont="1" applyFill="1" applyBorder="1" applyAlignment="1">
      <alignment vertical="center" wrapText="1"/>
    </xf>
    <xf numFmtId="170" fontId="10" fillId="12" borderId="148" xfId="9" applyFont="1" applyFill="1" applyBorder="1" applyAlignment="1">
      <alignment vertical="center"/>
    </xf>
    <xf numFmtId="176" fontId="10" fillId="12" borderId="148" xfId="0" applyNumberFormat="1" applyFont="1" applyFill="1" applyBorder="1" applyAlignment="1">
      <alignment vertical="center"/>
    </xf>
    <xf numFmtId="197" fontId="10" fillId="12" borderId="148" xfId="4" applyNumberFormat="1" applyFont="1" applyFill="1" applyBorder="1" applyAlignment="1">
      <alignment horizontal="center" vertical="center"/>
    </xf>
    <xf numFmtId="164" fontId="10" fillId="69" borderId="148" xfId="4" applyFont="1" applyFill="1" applyBorder="1" applyAlignment="1">
      <alignment vertical="center"/>
    </xf>
    <xf numFmtId="164" fontId="10" fillId="27" borderId="148" xfId="4" applyFont="1" applyFill="1" applyBorder="1" applyAlignment="1">
      <alignment horizontal="center" vertical="center"/>
    </xf>
    <xf numFmtId="164" fontId="10" fillId="68" borderId="148" xfId="4" applyFont="1" applyFill="1" applyBorder="1" applyAlignment="1">
      <alignment horizontal="center" vertical="center"/>
    </xf>
    <xf numFmtId="174" fontId="10" fillId="68" borderId="148" xfId="9" applyNumberFormat="1" applyFont="1" applyFill="1" applyBorder="1" applyAlignment="1">
      <alignment vertical="center"/>
    </xf>
    <xf numFmtId="0" fontId="0" fillId="39" borderId="8" xfId="0" applyFont="1" applyFill="1" applyBorder="1" applyAlignment="1">
      <alignment horizontal="left" vertical="top" wrapText="1"/>
    </xf>
    <xf numFmtId="0" fontId="10" fillId="39" borderId="8" xfId="0" applyFont="1" applyFill="1" applyBorder="1" applyAlignment="1">
      <alignment horizontal="left" vertical="top" wrapText="1"/>
    </xf>
    <xf numFmtId="0" fontId="10" fillId="39" borderId="8" xfId="0" applyFont="1" applyFill="1" applyBorder="1"/>
    <xf numFmtId="0" fontId="7" fillId="39" borderId="8" xfId="0" applyFont="1" applyFill="1" applyBorder="1" applyAlignment="1">
      <alignment horizontal="center" vertical="top" wrapText="1"/>
    </xf>
    <xf numFmtId="0" fontId="10" fillId="39" borderId="8" xfId="0" applyFont="1" applyFill="1" applyBorder="1" applyAlignment="1">
      <alignment horizontal="center" vertical="top" wrapText="1"/>
    </xf>
    <xf numFmtId="164" fontId="10" fillId="39" borderId="8" xfId="4" applyFont="1" applyFill="1" applyBorder="1" applyAlignment="1">
      <alignment horizontal="right" vertical="center" wrapText="1"/>
    </xf>
    <xf numFmtId="0" fontId="10" fillId="51" borderId="94" xfId="0" applyFont="1" applyFill="1" applyBorder="1" applyAlignment="1">
      <alignment horizontal="center" vertical="center" wrapText="1"/>
    </xf>
    <xf numFmtId="0" fontId="10" fillId="51" borderId="94" xfId="0" applyFont="1" applyFill="1" applyBorder="1" applyAlignment="1">
      <alignment vertical="center" wrapText="1"/>
    </xf>
    <xf numFmtId="6" fontId="10" fillId="51" borderId="94" xfId="0" applyNumberFormat="1" applyFont="1" applyFill="1" applyBorder="1" applyAlignment="1">
      <alignment vertical="center" wrapText="1"/>
    </xf>
    <xf numFmtId="0" fontId="10" fillId="38" borderId="94" xfId="0" applyFont="1" applyFill="1" applyBorder="1" applyAlignment="1">
      <alignment vertical="center"/>
    </xf>
    <xf numFmtId="0" fontId="10" fillId="38" borderId="94" xfId="0" applyFont="1" applyFill="1" applyBorder="1" applyAlignment="1">
      <alignment horizontal="center"/>
    </xf>
    <xf numFmtId="0" fontId="10" fillId="38" borderId="94" xfId="0" applyFont="1" applyFill="1" applyBorder="1" applyAlignment="1">
      <alignment vertical="center" wrapText="1"/>
    </xf>
    <xf numFmtId="0" fontId="10" fillId="12" borderId="94" xfId="0" applyFont="1" applyFill="1" applyBorder="1" applyAlignment="1">
      <alignment horizontal="center" vertical="center" wrapText="1"/>
    </xf>
    <xf numFmtId="0" fontId="10" fillId="12" borderId="11" xfId="0" applyFont="1" applyFill="1" applyBorder="1" applyAlignment="1">
      <alignment horizontal="center" vertical="center" wrapText="1"/>
    </xf>
    <xf numFmtId="0" fontId="10" fillId="12" borderId="94" xfId="0" applyFont="1" applyFill="1" applyBorder="1" applyAlignment="1">
      <alignment vertical="center" wrapText="1"/>
    </xf>
    <xf numFmtId="0" fontId="10" fillId="69" borderId="94" xfId="0" applyFont="1" applyFill="1" applyBorder="1" applyAlignment="1">
      <alignment horizontal="center" vertical="center" wrapText="1"/>
    </xf>
    <xf numFmtId="0" fontId="10" fillId="27" borderId="11" xfId="0" applyFont="1" applyFill="1" applyBorder="1" applyAlignment="1">
      <alignment horizontal="center" vertical="center" wrapText="1"/>
    </xf>
    <xf numFmtId="0" fontId="10" fillId="27" borderId="94" xfId="0" applyFont="1" applyFill="1" applyBorder="1" applyAlignment="1">
      <alignment horizontal="center"/>
    </xf>
    <xf numFmtId="0" fontId="10" fillId="68" borderId="94" xfId="0" applyFont="1" applyFill="1" applyBorder="1" applyAlignment="1">
      <alignment vertical="center" wrapText="1"/>
    </xf>
    <xf numFmtId="0" fontId="10" fillId="68" borderId="94" xfId="0" applyFont="1" applyFill="1" applyBorder="1" applyAlignment="1">
      <alignment horizontal="center" vertical="center" wrapText="1"/>
    </xf>
    <xf numFmtId="0" fontId="10" fillId="116" borderId="29" xfId="0" applyFont="1" applyFill="1" applyBorder="1" applyAlignment="1">
      <alignment horizontal="center" vertical="center" wrapText="1"/>
    </xf>
    <xf numFmtId="164" fontId="10" fillId="116" borderId="30" xfId="4" applyFont="1" applyFill="1" applyBorder="1" applyAlignment="1">
      <alignment vertical="center"/>
    </xf>
    <xf numFmtId="0" fontId="10" fillId="116" borderId="31" xfId="0" applyFont="1" applyFill="1" applyBorder="1" applyAlignment="1">
      <alignment horizontal="center" vertical="center"/>
    </xf>
    <xf numFmtId="0" fontId="10" fillId="116" borderId="51" xfId="0" applyFont="1" applyFill="1" applyBorder="1" applyAlignment="1">
      <alignment horizontal="center" vertical="center" wrapText="1"/>
    </xf>
    <xf numFmtId="0" fontId="0" fillId="116" borderId="32" xfId="0" applyFont="1" applyFill="1" applyBorder="1" applyAlignment="1">
      <alignment horizontal="left" vertical="center" wrapText="1"/>
    </xf>
    <xf numFmtId="0" fontId="10" fillId="116" borderId="32" xfId="0" applyFont="1" applyFill="1" applyBorder="1" applyAlignment="1">
      <alignment horizontal="left" vertical="center" wrapText="1"/>
    </xf>
    <xf numFmtId="0" fontId="10" fillId="116" borderId="32" xfId="0" applyFont="1" applyFill="1" applyBorder="1" applyAlignment="1">
      <alignment vertical="center" wrapText="1"/>
    </xf>
    <xf numFmtId="0" fontId="7" fillId="116" borderId="32" xfId="0" applyFont="1" applyFill="1" applyBorder="1" applyAlignment="1">
      <alignment vertical="center" wrapText="1"/>
    </xf>
    <xf numFmtId="174" fontId="10" fillId="116" borderId="32" xfId="9" applyNumberFormat="1" applyFont="1" applyFill="1" applyBorder="1" applyAlignment="1">
      <alignment vertical="center"/>
    </xf>
    <xf numFmtId="0" fontId="10" fillId="116" borderId="52" xfId="0" applyFont="1" applyFill="1" applyBorder="1" applyAlignment="1">
      <alignment vertical="center" wrapText="1"/>
    </xf>
    <xf numFmtId="0" fontId="10" fillId="68" borderId="29" xfId="0" applyFont="1" applyFill="1" applyBorder="1" applyAlignment="1">
      <alignment horizontal="center" vertical="center" wrapText="1"/>
    </xf>
    <xf numFmtId="0" fontId="0" fillId="68" borderId="30" xfId="0" applyFont="1" applyFill="1" applyBorder="1" applyAlignment="1">
      <alignment horizontal="left" vertical="center" wrapText="1"/>
    </xf>
    <xf numFmtId="0" fontId="10" fillId="68" borderId="30" xfId="0" applyFont="1" applyFill="1" applyBorder="1" applyAlignment="1">
      <alignment horizontal="left" vertical="center" wrapText="1"/>
    </xf>
    <xf numFmtId="0" fontId="10" fillId="68" borderId="30" xfId="0" applyFont="1" applyFill="1" applyBorder="1" applyAlignment="1">
      <alignment vertical="center" wrapText="1"/>
    </xf>
    <xf numFmtId="0" fontId="38" fillId="68" borderId="30" xfId="0" applyFont="1" applyFill="1" applyBorder="1" applyAlignment="1">
      <alignment vertical="center" wrapText="1"/>
    </xf>
    <xf numFmtId="0" fontId="10" fillId="68" borderId="30" xfId="0" applyFont="1" applyFill="1" applyBorder="1" applyAlignment="1">
      <alignment wrapText="1"/>
    </xf>
    <xf numFmtId="0" fontId="10" fillId="68" borderId="30" xfId="0" applyFont="1" applyFill="1" applyBorder="1" applyAlignment="1">
      <alignment horizontal="center" vertical="center" wrapText="1"/>
    </xf>
    <xf numFmtId="0" fontId="10" fillId="68" borderId="30" xfId="0" applyFont="1" applyFill="1" applyBorder="1" applyAlignment="1">
      <alignment horizontal="center" vertical="center"/>
    </xf>
    <xf numFmtId="164" fontId="10" fillId="68" borderId="30" xfId="4" applyFont="1" applyFill="1" applyBorder="1" applyAlignment="1">
      <alignment vertical="center"/>
    </xf>
    <xf numFmtId="0" fontId="10" fillId="68" borderId="31" xfId="0" applyFont="1" applyFill="1" applyBorder="1" applyAlignment="1">
      <alignment horizontal="center" vertical="center"/>
    </xf>
    <xf numFmtId="0" fontId="10" fillId="68" borderId="51" xfId="0" applyFont="1" applyFill="1" applyBorder="1" applyAlignment="1">
      <alignment horizontal="center" vertical="center" wrapText="1"/>
    </xf>
    <xf numFmtId="0" fontId="0" fillId="68" borderId="32" xfId="0" applyFont="1" applyFill="1" applyBorder="1" applyAlignment="1">
      <alignment horizontal="left" vertical="center" wrapText="1"/>
    </xf>
    <xf numFmtId="0" fontId="10" fillId="68" borderId="32" xfId="0" applyFont="1" applyFill="1" applyBorder="1" applyAlignment="1">
      <alignment horizontal="left" vertical="center" wrapText="1"/>
    </xf>
    <xf numFmtId="0" fontId="10" fillId="68" borderId="32" xfId="0" applyFont="1" applyFill="1" applyBorder="1" applyAlignment="1">
      <alignment vertical="center" wrapText="1"/>
    </xf>
    <xf numFmtId="0" fontId="10" fillId="68" borderId="32" xfId="0" applyFont="1" applyFill="1" applyBorder="1" applyAlignment="1">
      <alignment horizontal="center" vertical="center" wrapText="1"/>
    </xf>
    <xf numFmtId="0" fontId="38" fillId="68" borderId="32" xfId="0" applyFont="1" applyFill="1" applyBorder="1" applyAlignment="1">
      <alignment vertical="center" wrapText="1"/>
    </xf>
    <xf numFmtId="0" fontId="10" fillId="68" borderId="32" xfId="0" applyFont="1" applyFill="1" applyBorder="1" applyAlignment="1">
      <alignment vertical="center"/>
    </xf>
    <xf numFmtId="0" fontId="10" fillId="68" borderId="32" xfId="0" applyFont="1" applyFill="1" applyBorder="1" applyAlignment="1">
      <alignment horizontal="center" vertical="center"/>
    </xf>
    <xf numFmtId="164" fontId="10" fillId="68" borderId="32" xfId="4" applyFont="1" applyFill="1" applyBorder="1" applyAlignment="1">
      <alignment horizontal="center" vertical="center"/>
    </xf>
    <xf numFmtId="0" fontId="10" fillId="68" borderId="52" xfId="0" applyFont="1" applyFill="1" applyBorder="1" applyAlignment="1">
      <alignment horizontal="center" vertical="center"/>
    </xf>
    <xf numFmtId="0" fontId="10" fillId="27" borderId="29" xfId="0" applyFont="1" applyFill="1" applyBorder="1" applyAlignment="1">
      <alignment horizontal="center" vertical="center" wrapText="1"/>
    </xf>
    <xf numFmtId="0" fontId="0" fillId="27" borderId="30" xfId="0" applyFont="1" applyFill="1" applyBorder="1" applyAlignment="1">
      <alignment horizontal="left" vertical="center" wrapText="1"/>
    </xf>
    <xf numFmtId="0" fontId="10" fillId="27" borderId="30" xfId="0" applyFont="1" applyFill="1" applyBorder="1" applyAlignment="1">
      <alignment horizontal="left" vertical="center" wrapText="1"/>
    </xf>
    <xf numFmtId="0" fontId="10" fillId="27" borderId="30" xfId="0" applyFont="1" applyFill="1" applyBorder="1" applyAlignment="1">
      <alignment horizontal="center" vertical="center" wrapText="1"/>
    </xf>
    <xf numFmtId="0" fontId="7" fillId="27" borderId="30" xfId="0" applyFont="1" applyFill="1" applyBorder="1" applyAlignment="1">
      <alignment horizontal="center" vertical="center" wrapText="1"/>
    </xf>
    <xf numFmtId="0" fontId="10" fillId="27" borderId="30" xfId="0" applyFont="1" applyFill="1" applyBorder="1" applyAlignment="1">
      <alignment horizontal="center"/>
    </xf>
    <xf numFmtId="164" fontId="10" fillId="27" borderId="30" xfId="4" applyFont="1" applyFill="1" applyBorder="1" applyAlignment="1">
      <alignment horizontal="center" vertical="center"/>
    </xf>
    <xf numFmtId="0" fontId="10" fillId="27" borderId="31" xfId="0" applyFont="1" applyFill="1" applyBorder="1" applyAlignment="1">
      <alignment horizontal="center"/>
    </xf>
    <xf numFmtId="0" fontId="10" fillId="27" borderId="51" xfId="0" applyFont="1" applyFill="1" applyBorder="1" applyAlignment="1">
      <alignment horizontal="center" vertical="center" wrapText="1"/>
    </xf>
    <xf numFmtId="0" fontId="0" fillId="27" borderId="32" xfId="0" applyFont="1" applyFill="1" applyBorder="1" applyAlignment="1">
      <alignment horizontal="left" vertical="center" wrapText="1"/>
    </xf>
    <xf numFmtId="0" fontId="10" fillId="27" borderId="32" xfId="0" applyFont="1" applyFill="1" applyBorder="1" applyAlignment="1">
      <alignment horizontal="left" vertical="center" wrapText="1"/>
    </xf>
    <xf numFmtId="0" fontId="10" fillId="27" borderId="32" xfId="0" applyFont="1" applyFill="1" applyBorder="1" applyAlignment="1">
      <alignment horizontal="center" vertical="center" wrapText="1"/>
    </xf>
    <xf numFmtId="0" fontId="7" fillId="27" borderId="32" xfId="0" applyFont="1" applyFill="1" applyBorder="1" applyAlignment="1">
      <alignment horizontal="center" vertical="center" wrapText="1"/>
    </xf>
    <xf numFmtId="0" fontId="10" fillId="27" borderId="32" xfId="0" applyFont="1" applyFill="1" applyBorder="1" applyAlignment="1">
      <alignment horizontal="center" vertical="center"/>
    </xf>
    <xf numFmtId="164" fontId="10" fillId="27" borderId="32" xfId="4" applyFont="1" applyFill="1" applyBorder="1" applyAlignment="1">
      <alignment horizontal="center" vertical="center"/>
    </xf>
    <xf numFmtId="0" fontId="10" fillId="27" borderId="52" xfId="0" applyFont="1" applyFill="1" applyBorder="1" applyAlignment="1">
      <alignment horizontal="center" vertical="center"/>
    </xf>
    <xf numFmtId="0" fontId="38" fillId="116" borderId="30" xfId="0" applyFont="1" applyFill="1" applyBorder="1" applyAlignment="1">
      <alignment vertical="center" wrapText="1"/>
    </xf>
    <xf numFmtId="0" fontId="10" fillId="116" borderId="31" xfId="0" applyFont="1" applyFill="1" applyBorder="1" applyAlignment="1">
      <alignment vertical="center" wrapText="1"/>
    </xf>
    <xf numFmtId="164" fontId="10" fillId="69" borderId="32" xfId="4" applyFont="1" applyFill="1" applyBorder="1" applyAlignment="1">
      <alignment vertical="center"/>
    </xf>
    <xf numFmtId="0" fontId="10" fillId="69" borderId="52"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7" fillId="12" borderId="30" xfId="0" applyFont="1" applyFill="1" applyBorder="1" applyAlignment="1">
      <alignment vertical="center" wrapText="1"/>
    </xf>
    <xf numFmtId="176" fontId="10" fillId="12" borderId="30" xfId="0" applyNumberFormat="1" applyFont="1" applyFill="1" applyBorder="1" applyAlignment="1">
      <alignment vertical="center"/>
    </xf>
    <xf numFmtId="0" fontId="10" fillId="12" borderId="31" xfId="0" applyFont="1" applyFill="1" applyBorder="1" applyAlignment="1">
      <alignment vertical="center" wrapText="1"/>
    </xf>
    <xf numFmtId="0" fontId="10" fillId="12" borderId="32" xfId="0" applyFont="1" applyFill="1" applyBorder="1"/>
    <xf numFmtId="170" fontId="10" fillId="12" borderId="32" xfId="9" applyFont="1" applyFill="1" applyBorder="1" applyAlignment="1">
      <alignment vertical="center"/>
    </xf>
    <xf numFmtId="0" fontId="10" fillId="12" borderId="52" xfId="0" applyFont="1" applyFill="1" applyBorder="1" applyAlignment="1">
      <alignment horizontal="center" vertical="center" wrapText="1"/>
    </xf>
    <xf numFmtId="0" fontId="10" fillId="69" borderId="30" xfId="0" applyFont="1" applyFill="1" applyBorder="1" applyAlignment="1">
      <alignment horizontal="center" vertical="center" wrapText="1"/>
    </xf>
    <xf numFmtId="176" fontId="10" fillId="38" borderId="30" xfId="0" applyNumberFormat="1" applyFont="1" applyFill="1" applyBorder="1" applyAlignment="1">
      <alignment horizontal="center" vertical="center"/>
    </xf>
    <xf numFmtId="0" fontId="10" fillId="51" borderId="29" xfId="0" applyFont="1" applyFill="1" applyBorder="1" applyAlignment="1">
      <alignment horizontal="center" vertical="center" wrapText="1"/>
    </xf>
    <xf numFmtId="164" fontId="10" fillId="51" borderId="30" xfId="4" applyFont="1" applyFill="1" applyBorder="1" applyAlignment="1">
      <alignment vertical="center" wrapText="1"/>
    </xf>
    <xf numFmtId="6" fontId="10" fillId="51" borderId="31" xfId="0" applyNumberFormat="1" applyFont="1" applyFill="1" applyBorder="1" applyAlignment="1">
      <alignment vertical="center" wrapText="1"/>
    </xf>
    <xf numFmtId="0" fontId="10" fillId="51" borderId="51" xfId="0" applyFont="1" applyFill="1" applyBorder="1" applyAlignment="1">
      <alignment horizontal="center" vertical="center" wrapText="1"/>
    </xf>
    <xf numFmtId="0" fontId="0" fillId="51" borderId="32" xfId="0" applyFont="1" applyFill="1" applyBorder="1" applyAlignment="1">
      <alignment horizontal="left" vertical="top" wrapText="1"/>
    </xf>
    <xf numFmtId="0" fontId="38" fillId="51" borderId="32" xfId="0" applyFont="1" applyFill="1" applyBorder="1" applyAlignment="1">
      <alignment horizontal="center" vertical="center" wrapText="1"/>
    </xf>
    <xf numFmtId="164" fontId="10" fillId="51" borderId="32" xfId="4" applyFont="1" applyFill="1" applyBorder="1" applyAlignment="1">
      <alignment vertical="center" wrapText="1"/>
    </xf>
    <xf numFmtId="0" fontId="10" fillId="51" borderId="52" xfId="0" applyFont="1" applyFill="1" applyBorder="1" applyAlignment="1">
      <alignment horizontal="center" vertical="center" wrapText="1"/>
    </xf>
    <xf numFmtId="0" fontId="0" fillId="39" borderId="30" xfId="0" applyFont="1" applyFill="1" applyBorder="1" applyAlignment="1">
      <alignment horizontal="left" vertical="center" wrapText="1"/>
    </xf>
    <xf numFmtId="0" fontId="10" fillId="39" borderId="30" xfId="0" applyFont="1" applyFill="1" applyBorder="1" applyAlignment="1">
      <alignment horizontal="left" vertical="center" wrapText="1"/>
    </xf>
    <xf numFmtId="0" fontId="7" fillId="39" borderId="30" xfId="0" applyFont="1" applyFill="1" applyBorder="1" applyAlignment="1">
      <alignment horizontal="center" vertical="center" wrapText="1"/>
    </xf>
    <xf numFmtId="164" fontId="10" fillId="39" borderId="30" xfId="4" applyFont="1" applyFill="1" applyBorder="1" applyAlignment="1">
      <alignment vertical="center" wrapText="1"/>
    </xf>
    <xf numFmtId="0" fontId="10" fillId="39" borderId="31" xfId="0" applyFont="1" applyFill="1" applyBorder="1" applyAlignment="1">
      <alignment vertical="center" wrapText="1"/>
    </xf>
    <xf numFmtId="164" fontId="10" fillId="11" borderId="8" xfId="4" applyFont="1" applyFill="1" applyBorder="1" applyAlignment="1">
      <alignment horizontal="right" vertical="center" wrapText="1"/>
    </xf>
    <xf numFmtId="164" fontId="10" fillId="11" borderId="30" xfId="4" applyFont="1" applyFill="1" applyBorder="1" applyAlignment="1">
      <alignment vertical="center" wrapText="1"/>
    </xf>
    <xf numFmtId="164" fontId="10" fillId="11" borderId="32" xfId="4" applyFont="1" applyFill="1" applyBorder="1" applyAlignment="1">
      <alignment vertical="center" wrapText="1"/>
    </xf>
    <xf numFmtId="176" fontId="10" fillId="11" borderId="32" xfId="0" applyNumberFormat="1" applyFont="1" applyFill="1" applyBorder="1" applyAlignment="1">
      <alignment horizontal="center" vertical="center"/>
    </xf>
    <xf numFmtId="176" fontId="10" fillId="11" borderId="30" xfId="0" applyNumberFormat="1" applyFont="1" applyFill="1" applyBorder="1" applyAlignment="1">
      <alignment horizontal="center" vertical="center"/>
    </xf>
    <xf numFmtId="170" fontId="10" fillId="11" borderId="32" xfId="9" applyFont="1" applyFill="1" applyBorder="1" applyAlignment="1">
      <alignment vertical="center"/>
    </xf>
    <xf numFmtId="176" fontId="10" fillId="11" borderId="30" xfId="0" applyNumberFormat="1" applyFont="1" applyFill="1" applyBorder="1" applyAlignment="1">
      <alignment vertical="center"/>
    </xf>
    <xf numFmtId="164" fontId="10" fillId="11" borderId="32" xfId="4" applyFont="1" applyFill="1" applyBorder="1" applyAlignment="1">
      <alignment vertical="center"/>
    </xf>
    <xf numFmtId="164" fontId="10" fillId="11" borderId="30" xfId="4" applyFont="1" applyFill="1" applyBorder="1" applyAlignment="1">
      <alignment vertical="center"/>
    </xf>
    <xf numFmtId="164" fontId="10" fillId="11" borderId="32" xfId="4" applyFont="1" applyFill="1" applyBorder="1" applyAlignment="1">
      <alignment horizontal="center" vertical="center"/>
    </xf>
    <xf numFmtId="164" fontId="10" fillId="11" borderId="30" xfId="4" applyFont="1" applyFill="1" applyBorder="1" applyAlignment="1">
      <alignment horizontal="center" vertical="center"/>
    </xf>
    <xf numFmtId="174" fontId="10" fillId="11" borderId="32" xfId="9" applyNumberFormat="1" applyFont="1" applyFill="1" applyBorder="1" applyAlignment="1">
      <alignment vertical="center"/>
    </xf>
    <xf numFmtId="0" fontId="8" fillId="57" borderId="180" xfId="0" applyFont="1" applyFill="1" applyBorder="1" applyAlignment="1">
      <alignment horizontal="center" vertical="center" wrapText="1"/>
    </xf>
    <xf numFmtId="0" fontId="8" fillId="58" borderId="40" xfId="0" applyFont="1" applyFill="1" applyBorder="1" applyAlignment="1">
      <alignment horizontal="center" vertical="center" wrapText="1"/>
    </xf>
    <xf numFmtId="0" fontId="8" fillId="55" borderId="0" xfId="0" applyFont="1" applyFill="1" applyBorder="1" applyAlignment="1">
      <alignment horizontal="center" vertical="center" wrapText="1"/>
    </xf>
    <xf numFmtId="16" fontId="0" fillId="4" borderId="180" xfId="0" applyNumberFormat="1" applyFont="1" applyFill="1" applyBorder="1" applyAlignment="1" applyProtection="1">
      <alignment vertical="center" textRotation="90" wrapText="1"/>
      <protection locked="0"/>
    </xf>
    <xf numFmtId="0" fontId="0" fillId="4" borderId="180" xfId="0" applyFont="1" applyFill="1" applyBorder="1" applyAlignment="1" applyProtection="1">
      <alignment vertical="center" textRotation="90" wrapText="1"/>
      <protection locked="0"/>
    </xf>
    <xf numFmtId="0" fontId="0" fillId="4" borderId="181" xfId="0" applyFont="1" applyFill="1" applyBorder="1" applyAlignment="1" applyProtection="1">
      <alignment vertical="center" textRotation="90" wrapText="1"/>
      <protection locked="0"/>
    </xf>
    <xf numFmtId="0" fontId="3" fillId="4" borderId="180" xfId="0" applyFont="1" applyFill="1" applyBorder="1" applyAlignment="1" applyProtection="1">
      <alignment horizontal="center" vertical="center" wrapText="1"/>
      <protection locked="0"/>
    </xf>
    <xf numFmtId="0" fontId="11" fillId="38" borderId="8" xfId="0" applyFont="1" applyFill="1" applyBorder="1" applyAlignment="1">
      <alignment horizontal="center" vertical="center" wrapText="1"/>
    </xf>
    <xf numFmtId="0" fontId="0" fillId="39" borderId="8" xfId="0" applyFont="1" applyFill="1" applyBorder="1" applyAlignment="1">
      <alignment horizontal="center" vertical="center" wrapText="1"/>
    </xf>
    <xf numFmtId="0" fontId="0" fillId="39" borderId="148" xfId="0" applyFont="1" applyFill="1" applyBorder="1" applyAlignment="1">
      <alignment vertical="center" wrapText="1"/>
    </xf>
    <xf numFmtId="0" fontId="0" fillId="39" borderId="94" xfId="0" applyFont="1" applyFill="1" applyBorder="1" applyAlignment="1">
      <alignment horizontal="center"/>
    </xf>
    <xf numFmtId="0" fontId="11" fillId="39" borderId="30" xfId="0" applyFont="1" applyFill="1" applyBorder="1" applyAlignment="1">
      <alignment vertical="center" wrapText="1"/>
    </xf>
    <xf numFmtId="0" fontId="11" fillId="51" borderId="8" xfId="0" applyFont="1" applyFill="1" applyBorder="1" applyAlignment="1">
      <alignment vertical="center" wrapText="1"/>
    </xf>
    <xf numFmtId="0" fontId="11" fillId="51" borderId="8" xfId="0" applyFont="1" applyFill="1" applyBorder="1" applyAlignment="1">
      <alignment horizontal="center" vertical="center" wrapText="1"/>
    </xf>
    <xf numFmtId="0" fontId="0" fillId="51" borderId="8" xfId="0" applyFont="1" applyFill="1" applyBorder="1"/>
    <xf numFmtId="0" fontId="0" fillId="51" borderId="9" xfId="0" applyFont="1" applyFill="1" applyBorder="1"/>
    <xf numFmtId="0" fontId="11" fillId="51" borderId="148" xfId="0" applyFont="1" applyFill="1" applyBorder="1" applyAlignment="1">
      <alignment vertical="center" wrapText="1"/>
    </xf>
    <xf numFmtId="0" fontId="0" fillId="51" borderId="148" xfId="0" applyFont="1" applyFill="1" applyBorder="1" applyAlignment="1">
      <alignment horizontal="center"/>
    </xf>
    <xf numFmtId="0" fontId="0" fillId="51" borderId="94" xfId="0" applyFont="1" applyFill="1" applyBorder="1" applyAlignment="1">
      <alignment horizontal="center"/>
    </xf>
    <xf numFmtId="0" fontId="11" fillId="51" borderId="148" xfId="0" applyFont="1" applyFill="1" applyBorder="1" applyAlignment="1">
      <alignment horizontal="justify" vertical="center" wrapText="1"/>
    </xf>
    <xf numFmtId="0" fontId="0" fillId="51" borderId="148" xfId="0" applyFont="1" applyFill="1" applyBorder="1" applyAlignment="1"/>
    <xf numFmtId="0" fontId="0" fillId="51" borderId="94" xfId="0" applyFont="1" applyFill="1" applyBorder="1" applyAlignment="1"/>
    <xf numFmtId="0" fontId="11" fillId="51" borderId="30" xfId="0" applyFont="1" applyFill="1" applyBorder="1" applyAlignment="1">
      <alignment vertical="center" wrapText="1"/>
    </xf>
    <xf numFmtId="0" fontId="11" fillId="51" borderId="30" xfId="0" applyFont="1" applyFill="1" applyBorder="1" applyAlignment="1">
      <alignment horizontal="justify" vertical="center" wrapText="1"/>
    </xf>
    <xf numFmtId="0" fontId="11" fillId="7" borderId="32" xfId="0" applyFont="1" applyFill="1" applyBorder="1" applyAlignment="1">
      <alignment vertical="center" wrapText="1"/>
    </xf>
    <xf numFmtId="0" fontId="0" fillId="7" borderId="148" xfId="0" applyFont="1" applyFill="1" applyBorder="1" applyAlignment="1">
      <alignment horizontal="center"/>
    </xf>
    <xf numFmtId="0" fontId="0" fillId="7" borderId="94" xfId="0" applyFont="1" applyFill="1" applyBorder="1" applyAlignment="1">
      <alignment horizontal="center"/>
    </xf>
    <xf numFmtId="0" fontId="11" fillId="7" borderId="30" xfId="0" applyFont="1" applyFill="1" applyBorder="1" applyAlignment="1">
      <alignment vertical="center" wrapText="1"/>
    </xf>
    <xf numFmtId="0" fontId="0" fillId="38" borderId="148" xfId="0" applyFont="1" applyFill="1" applyBorder="1" applyAlignment="1">
      <alignment horizontal="center"/>
    </xf>
    <xf numFmtId="0" fontId="0" fillId="38" borderId="94" xfId="0" applyFont="1" applyFill="1" applyBorder="1" applyAlignment="1">
      <alignment horizontal="center"/>
    </xf>
    <xf numFmtId="0" fontId="11" fillId="41" borderId="32" xfId="0" applyFont="1" applyFill="1" applyBorder="1" applyAlignment="1">
      <alignment vertical="center" wrapText="1"/>
    </xf>
    <xf numFmtId="9" fontId="11" fillId="41" borderId="32" xfId="0" applyNumberFormat="1" applyFont="1" applyFill="1" applyBorder="1" applyAlignment="1">
      <alignment horizontal="center" vertical="center" wrapText="1"/>
    </xf>
    <xf numFmtId="0" fontId="11" fillId="41" borderId="148" xfId="0" applyFont="1" applyFill="1" applyBorder="1" applyAlignment="1">
      <alignment vertical="center" wrapText="1"/>
    </xf>
    <xf numFmtId="0" fontId="8" fillId="11" borderId="0" xfId="0" applyFont="1" applyFill="1" applyBorder="1" applyAlignment="1">
      <alignment horizontal="center" vertical="center"/>
    </xf>
    <xf numFmtId="0" fontId="8" fillId="117" borderId="0" xfId="0" applyFont="1" applyFill="1" applyBorder="1" applyAlignment="1">
      <alignment horizontal="center" vertical="center" wrapText="1"/>
    </xf>
    <xf numFmtId="0" fontId="11" fillId="38" borderId="179" xfId="0" applyFont="1" applyFill="1" applyBorder="1" applyAlignment="1">
      <alignment horizontal="center" vertical="center" wrapText="1"/>
    </xf>
    <xf numFmtId="0" fontId="11" fillId="38" borderId="66" xfId="0" applyFont="1" applyFill="1" applyBorder="1" applyAlignment="1">
      <alignment horizontal="center" vertical="center" wrapText="1"/>
    </xf>
    <xf numFmtId="0" fontId="11" fillId="39" borderId="179" xfId="0" applyFont="1" applyFill="1" applyBorder="1" applyAlignment="1">
      <alignment horizontal="center" vertical="center" wrapText="1"/>
    </xf>
    <xf numFmtId="0" fontId="11" fillId="39" borderId="66" xfId="0" applyFont="1" applyFill="1" applyBorder="1" applyAlignment="1">
      <alignment horizontal="center" vertical="center" wrapText="1"/>
    </xf>
    <xf numFmtId="0" fontId="11" fillId="51" borderId="36" xfId="0" applyFont="1" applyFill="1" applyBorder="1" applyAlignment="1">
      <alignment horizontal="center" vertical="center" wrapText="1"/>
    </xf>
    <xf numFmtId="0" fontId="11" fillId="51" borderId="179" xfId="0" applyFont="1" applyFill="1" applyBorder="1" applyAlignment="1">
      <alignment horizontal="center" vertical="center" wrapText="1"/>
    </xf>
    <xf numFmtId="0" fontId="0" fillId="51" borderId="179" xfId="0" applyFont="1" applyFill="1" applyBorder="1" applyAlignment="1">
      <alignment horizontal="center" vertical="center" wrapText="1"/>
    </xf>
    <xf numFmtId="0" fontId="11" fillId="51" borderId="66" xfId="0" applyFont="1" applyFill="1" applyBorder="1" applyAlignment="1">
      <alignment horizontal="center" vertical="center" wrapText="1"/>
    </xf>
    <xf numFmtId="0" fontId="11" fillId="7" borderId="38" xfId="0" applyFont="1" applyFill="1" applyBorder="1" applyAlignment="1">
      <alignment horizontal="center" vertical="center" wrapText="1"/>
    </xf>
    <xf numFmtId="0" fontId="11" fillId="7" borderId="179" xfId="0" applyFont="1" applyFill="1" applyBorder="1" applyAlignment="1">
      <alignment horizontal="center" vertical="center" wrapText="1"/>
    </xf>
    <xf numFmtId="0" fontId="11" fillId="7" borderId="66" xfId="0" applyFont="1" applyFill="1" applyBorder="1" applyAlignment="1">
      <alignment horizontal="center" vertical="center" wrapText="1"/>
    </xf>
    <xf numFmtId="3" fontId="11" fillId="38" borderId="179" xfId="0" applyNumberFormat="1" applyFont="1" applyFill="1" applyBorder="1" applyAlignment="1">
      <alignment horizontal="center" vertical="center" wrapText="1"/>
    </xf>
    <xf numFmtId="0" fontId="11" fillId="41" borderId="38" xfId="0" applyFont="1" applyFill="1" applyBorder="1" applyAlignment="1">
      <alignment horizontal="center" vertical="center" wrapText="1"/>
    </xf>
    <xf numFmtId="0" fontId="11" fillId="41" borderId="179" xfId="0" applyFont="1" applyFill="1" applyBorder="1" applyAlignment="1">
      <alignment horizontal="center" vertical="center" wrapText="1"/>
    </xf>
    <xf numFmtId="3" fontId="11" fillId="41" borderId="179" xfId="0" applyNumberFormat="1" applyFont="1" applyFill="1" applyBorder="1" applyAlignment="1">
      <alignment horizontal="center" vertical="center" wrapText="1"/>
    </xf>
    <xf numFmtId="0" fontId="0" fillId="41" borderId="179" xfId="0" applyFont="1" applyFill="1" applyBorder="1"/>
    <xf numFmtId="0" fontId="0" fillId="41" borderId="66" xfId="0" applyFont="1" applyFill="1" applyBorder="1"/>
    <xf numFmtId="0" fontId="0" fillId="38" borderId="154" xfId="0" applyFont="1" applyFill="1" applyBorder="1" applyAlignment="1"/>
    <xf numFmtId="0" fontId="0" fillId="38" borderId="53" xfId="0" applyFont="1" applyFill="1" applyBorder="1" applyAlignment="1"/>
    <xf numFmtId="0" fontId="0" fillId="51" borderId="19" xfId="0" applyFont="1" applyFill="1" applyBorder="1"/>
    <xf numFmtId="0" fontId="0" fillId="51" borderId="154" xfId="0" applyFont="1" applyFill="1" applyBorder="1" applyAlignment="1"/>
    <xf numFmtId="0" fontId="0" fillId="38" borderId="154" xfId="0" applyFont="1" applyFill="1" applyBorder="1" applyAlignment="1">
      <alignment horizontal="center"/>
    </xf>
    <xf numFmtId="0" fontId="0" fillId="38" borderId="9" xfId="0" applyFont="1" applyFill="1" applyBorder="1" applyAlignment="1">
      <alignment horizontal="center"/>
    </xf>
    <xf numFmtId="0" fontId="0" fillId="39" borderId="9" xfId="0" applyFont="1" applyFill="1" applyBorder="1" applyAlignment="1">
      <alignment horizontal="center"/>
    </xf>
    <xf numFmtId="0" fontId="0" fillId="38" borderId="52" xfId="0" applyFont="1" applyFill="1" applyBorder="1" applyAlignment="1">
      <alignment horizontal="center"/>
    </xf>
    <xf numFmtId="0" fontId="0" fillId="38" borderId="31" xfId="0" applyFont="1" applyFill="1" applyBorder="1" applyAlignment="1">
      <alignment horizontal="center"/>
    </xf>
    <xf numFmtId="0" fontId="0" fillId="41" borderId="94" xfId="0" applyFont="1" applyFill="1" applyBorder="1" applyAlignment="1">
      <alignment horizontal="center"/>
    </xf>
    <xf numFmtId="0" fontId="0" fillId="38" borderId="32" xfId="0" applyFont="1" applyFill="1" applyBorder="1" applyAlignment="1"/>
    <xf numFmtId="0" fontId="0" fillId="39" borderId="148" xfId="0" applyFont="1" applyFill="1" applyBorder="1" applyAlignment="1"/>
    <xf numFmtId="0" fontId="0" fillId="39" borderId="8" xfId="0" applyFont="1" applyFill="1" applyBorder="1" applyAlignment="1"/>
    <xf numFmtId="0" fontId="0" fillId="38" borderId="8" xfId="0" applyFont="1" applyFill="1" applyBorder="1" applyAlignment="1"/>
    <xf numFmtId="0" fontId="0" fillId="7" borderId="30" xfId="0" applyFont="1" applyFill="1" applyBorder="1" applyAlignment="1"/>
    <xf numFmtId="0" fontId="0" fillId="38" borderId="54" xfId="0" applyFont="1" applyFill="1" applyBorder="1" applyAlignment="1"/>
    <xf numFmtId="0" fontId="0" fillId="41" borderId="154" xfId="0" applyFont="1" applyFill="1" applyBorder="1" applyAlignment="1"/>
    <xf numFmtId="0" fontId="0" fillId="39" borderId="154" xfId="0" applyFont="1" applyFill="1" applyBorder="1" applyAlignment="1"/>
    <xf numFmtId="0" fontId="0" fillId="7" borderId="154" xfId="0" applyFont="1" applyFill="1" applyBorder="1" applyAlignment="1"/>
    <xf numFmtId="0" fontId="0" fillId="7" borderId="53" xfId="0" applyFont="1" applyFill="1" applyBorder="1" applyAlignment="1"/>
    <xf numFmtId="0" fontId="0" fillId="39" borderId="19" xfId="0" applyFont="1" applyFill="1" applyBorder="1" applyAlignment="1"/>
    <xf numFmtId="0" fontId="0" fillId="38" borderId="19" xfId="0" applyFont="1" applyFill="1" applyBorder="1" applyAlignment="1"/>
    <xf numFmtId="0" fontId="11" fillId="38" borderId="8" xfId="0" applyFont="1" applyFill="1" applyBorder="1" applyAlignment="1">
      <alignment horizontal="left" vertical="center" wrapText="1"/>
    </xf>
    <xf numFmtId="0" fontId="11" fillId="39" borderId="8" xfId="0" applyFont="1" applyFill="1" applyBorder="1" applyAlignment="1">
      <alignment horizontal="left" vertical="center" wrapText="1"/>
    </xf>
    <xf numFmtId="0" fontId="11" fillId="39" borderId="148" xfId="0" applyFont="1" applyFill="1" applyBorder="1" applyAlignment="1">
      <alignment horizontal="left" vertical="center" wrapText="1"/>
    </xf>
    <xf numFmtId="0" fontId="11" fillId="39" borderId="30" xfId="0" applyFont="1" applyFill="1" applyBorder="1" applyAlignment="1">
      <alignment horizontal="left" vertical="center" wrapText="1"/>
    </xf>
    <xf numFmtId="0" fontId="11" fillId="51" borderId="8" xfId="0" applyFont="1" applyFill="1" applyBorder="1" applyAlignment="1">
      <alignment horizontal="left" vertical="center" wrapText="1"/>
    </xf>
    <xf numFmtId="0" fontId="11" fillId="7" borderId="32"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38" borderId="30" xfId="0" applyFont="1" applyFill="1" applyBorder="1" applyAlignment="1">
      <alignment horizontal="left" vertical="center" wrapText="1"/>
    </xf>
    <xf numFmtId="0" fontId="11" fillId="41" borderId="32" xfId="0" applyFont="1" applyFill="1" applyBorder="1" applyAlignment="1">
      <alignment horizontal="left" vertical="center" wrapText="1"/>
    </xf>
    <xf numFmtId="0" fontId="10" fillId="0" borderId="0" xfId="0" applyFont="1" applyAlignment="1">
      <alignment horizontal="left"/>
    </xf>
    <xf numFmtId="0" fontId="10" fillId="38" borderId="93" xfId="0" applyFont="1" applyFill="1" applyBorder="1" applyAlignment="1">
      <alignment horizontal="left" vertical="center" wrapText="1"/>
    </xf>
    <xf numFmtId="0" fontId="10" fillId="38" borderId="148" xfId="6" applyFont="1" applyFill="1" applyBorder="1" applyAlignment="1">
      <alignment horizontal="left" vertical="center" wrapText="1"/>
    </xf>
    <xf numFmtId="0" fontId="10" fillId="38" borderId="0" xfId="0" applyFont="1" applyFill="1" applyAlignment="1">
      <alignment vertical="center"/>
    </xf>
    <xf numFmtId="0" fontId="10" fillId="38" borderId="148" xfId="6" applyFont="1" applyFill="1" applyBorder="1" applyAlignment="1">
      <alignment vertical="center" wrapText="1"/>
    </xf>
    <xf numFmtId="0" fontId="10" fillId="38" borderId="148" xfId="6" applyFont="1" applyFill="1" applyBorder="1" applyAlignment="1">
      <alignment horizontal="center" vertical="center"/>
    </xf>
    <xf numFmtId="174" fontId="10" fillId="38" borderId="148" xfId="9" applyNumberFormat="1" applyFont="1" applyFill="1" applyBorder="1" applyAlignment="1">
      <alignment vertical="center"/>
    </xf>
    <xf numFmtId="0" fontId="10" fillId="38" borderId="148" xfId="6" applyFont="1" applyFill="1" applyBorder="1" applyAlignment="1">
      <alignment vertical="center"/>
    </xf>
    <xf numFmtId="174" fontId="10" fillId="38" borderId="148" xfId="6" applyNumberFormat="1" applyFont="1" applyFill="1" applyBorder="1" applyAlignment="1">
      <alignment vertical="center"/>
    </xf>
    <xf numFmtId="9" fontId="10" fillId="38" borderId="148" xfId="5" applyFont="1" applyFill="1" applyBorder="1" applyAlignment="1">
      <alignment horizontal="center" vertical="center"/>
    </xf>
    <xf numFmtId="0" fontId="10" fillId="38" borderId="148" xfId="0" applyFont="1" applyFill="1" applyBorder="1" applyAlignment="1">
      <alignment horizontal="left" wrapText="1"/>
    </xf>
    <xf numFmtId="9" fontId="10" fillId="38" borderId="148" xfId="5" applyFont="1" applyFill="1" applyBorder="1" applyAlignment="1">
      <alignment vertical="center"/>
    </xf>
    <xf numFmtId="0" fontId="10" fillId="51" borderId="93" xfId="0" applyFont="1" applyFill="1" applyBorder="1" applyAlignment="1">
      <alignment horizontal="left" vertical="center" wrapText="1"/>
    </xf>
    <xf numFmtId="9" fontId="10" fillId="51" borderId="180" xfId="6" applyNumberFormat="1" applyFont="1" applyFill="1" applyBorder="1" applyAlignment="1">
      <alignment vertical="center" wrapText="1"/>
    </xf>
    <xf numFmtId="0" fontId="10" fillId="51" borderId="148" xfId="6" applyFont="1" applyFill="1" applyBorder="1" applyAlignment="1">
      <alignment horizontal="left" vertical="center" wrapText="1"/>
    </xf>
    <xf numFmtId="0" fontId="10" fillId="51" borderId="98" xfId="0" applyFont="1" applyFill="1" applyBorder="1" applyAlignment="1">
      <alignment horizontal="left" vertical="center" wrapText="1"/>
    </xf>
    <xf numFmtId="9" fontId="10" fillId="51" borderId="26" xfId="6" applyNumberFormat="1" applyFont="1" applyFill="1" applyBorder="1" applyAlignment="1">
      <alignment vertical="center" wrapText="1"/>
    </xf>
    <xf numFmtId="0" fontId="10" fillId="51" borderId="148" xfId="6" applyFont="1" applyFill="1" applyBorder="1" applyAlignment="1">
      <alignment horizontal="left" vertical="center"/>
    </xf>
    <xf numFmtId="9" fontId="10" fillId="51" borderId="148" xfId="5" applyFont="1" applyFill="1" applyBorder="1" applyAlignment="1">
      <alignment horizontal="center" vertical="center"/>
    </xf>
    <xf numFmtId="174" fontId="10" fillId="51" borderId="148" xfId="9" applyNumberFormat="1" applyFont="1" applyFill="1" applyBorder="1" applyAlignment="1">
      <alignment vertical="center"/>
    </xf>
    <xf numFmtId="0" fontId="10" fillId="51" borderId="148" xfId="6" applyFont="1" applyFill="1" applyBorder="1" applyAlignment="1">
      <alignment vertical="center" wrapText="1"/>
    </xf>
    <xf numFmtId="0" fontId="10" fillId="51" borderId="98" xfId="0" applyFont="1" applyFill="1" applyBorder="1" applyAlignment="1">
      <alignment vertical="center" wrapText="1"/>
    </xf>
    <xf numFmtId="9" fontId="10" fillId="51" borderId="32" xfId="6" applyNumberFormat="1" applyFont="1" applyFill="1" applyBorder="1" applyAlignment="1">
      <alignment vertical="center" wrapText="1"/>
    </xf>
    <xf numFmtId="1" fontId="10" fillId="51" borderId="148" xfId="5" applyNumberFormat="1" applyFont="1" applyFill="1" applyBorder="1" applyAlignment="1">
      <alignment horizontal="center" vertical="center"/>
    </xf>
    <xf numFmtId="0" fontId="10" fillId="103" borderId="93" xfId="0" applyFont="1" applyFill="1" applyBorder="1" applyAlignment="1">
      <alignment horizontal="left" vertical="center" wrapText="1"/>
    </xf>
    <xf numFmtId="0" fontId="10" fillId="103" borderId="93" xfId="0" applyFont="1" applyFill="1" applyBorder="1" applyAlignment="1">
      <alignment horizontal="center" vertical="center" wrapText="1"/>
    </xf>
    <xf numFmtId="0" fontId="10" fillId="103" borderId="0" xfId="0" applyFont="1" applyFill="1"/>
    <xf numFmtId="0" fontId="10" fillId="103" borderId="148" xfId="0" applyFont="1" applyFill="1" applyBorder="1" applyAlignment="1">
      <alignment horizontal="left" vertical="center"/>
    </xf>
    <xf numFmtId="9" fontId="10" fillId="103" borderId="148" xfId="5" applyFont="1" applyFill="1" applyBorder="1" applyAlignment="1">
      <alignment vertical="center"/>
    </xf>
    <xf numFmtId="164" fontId="10" fillId="103" borderId="148" xfId="4" applyFont="1" applyFill="1" applyBorder="1" applyAlignment="1">
      <alignment vertical="center"/>
    </xf>
    <xf numFmtId="164" fontId="10" fillId="103" borderId="148" xfId="4" applyFont="1" applyFill="1" applyBorder="1" applyAlignment="1">
      <alignment horizontal="left" vertical="center"/>
    </xf>
    <xf numFmtId="0" fontId="10" fillId="103" borderId="148" xfId="0" applyFont="1" applyFill="1" applyBorder="1"/>
    <xf numFmtId="0" fontId="10" fillId="103" borderId="148" xfId="0" applyFont="1" applyFill="1" applyBorder="1" applyAlignment="1">
      <alignment vertical="center"/>
    </xf>
    <xf numFmtId="9" fontId="10" fillId="103" borderId="148" xfId="5" applyFont="1" applyFill="1" applyBorder="1" applyAlignment="1">
      <alignment horizontal="center" vertical="center"/>
    </xf>
    <xf numFmtId="0" fontId="10" fillId="103" borderId="180" xfId="0" applyFont="1" applyFill="1" applyBorder="1" applyAlignment="1">
      <alignment horizontal="left" vertical="center" wrapText="1"/>
    </xf>
    <xf numFmtId="174" fontId="10" fillId="103" borderId="148" xfId="9" applyNumberFormat="1" applyFont="1" applyFill="1" applyBorder="1" applyAlignment="1">
      <alignment vertical="center"/>
    </xf>
    <xf numFmtId="0" fontId="10" fillId="103" borderId="98" xfId="0" applyFont="1" applyFill="1" applyBorder="1" applyAlignment="1">
      <alignment horizontal="left" vertical="center" wrapText="1"/>
    </xf>
    <xf numFmtId="0" fontId="10" fillId="103" borderId="98" xfId="0" applyFont="1" applyFill="1" applyBorder="1" applyAlignment="1">
      <alignment horizontal="center" vertical="center" wrapText="1"/>
    </xf>
    <xf numFmtId="0" fontId="10" fillId="66" borderId="93" xfId="0" applyFont="1" applyFill="1" applyBorder="1" applyAlignment="1">
      <alignment horizontal="left" vertical="center" wrapText="1"/>
    </xf>
    <xf numFmtId="0" fontId="10" fillId="66" borderId="148" xfId="0" applyFont="1" applyFill="1" applyBorder="1" applyAlignment="1">
      <alignment horizontal="left" vertical="center"/>
    </xf>
    <xf numFmtId="0" fontId="10" fillId="66" borderId="0" xfId="0" applyFont="1" applyFill="1"/>
    <xf numFmtId="0" fontId="10" fillId="66" borderId="148" xfId="0" applyFont="1" applyFill="1" applyBorder="1" applyAlignment="1">
      <alignment horizontal="left" vertical="center" wrapText="1"/>
    </xf>
    <xf numFmtId="0" fontId="10" fillId="66" borderId="148" xfId="0" applyFont="1" applyFill="1" applyBorder="1" applyAlignment="1">
      <alignment vertical="center"/>
    </xf>
    <xf numFmtId="0" fontId="10" fillId="66" borderId="148" xfId="0" applyFont="1" applyFill="1" applyBorder="1" applyAlignment="1">
      <alignment horizontal="center" vertical="center"/>
    </xf>
    <xf numFmtId="164" fontId="10" fillId="66" borderId="148" xfId="4" applyFont="1" applyFill="1" applyBorder="1" applyAlignment="1">
      <alignment vertical="center"/>
    </xf>
    <xf numFmtId="0" fontId="10" fillId="66" borderId="148" xfId="0" applyFont="1" applyFill="1" applyBorder="1"/>
    <xf numFmtId="174" fontId="10" fillId="66" borderId="148" xfId="9" applyNumberFormat="1" applyFont="1" applyFill="1" applyBorder="1" applyAlignment="1">
      <alignment vertical="center"/>
    </xf>
    <xf numFmtId="174" fontId="10" fillId="66" borderId="148" xfId="9" applyNumberFormat="1" applyFont="1" applyFill="1" applyBorder="1" applyAlignment="1">
      <alignment horizontal="center" vertical="center"/>
    </xf>
    <xf numFmtId="0" fontId="10" fillId="66" borderId="93" xfId="0" applyFont="1" applyFill="1" applyBorder="1" applyAlignment="1">
      <alignment horizontal="center" vertical="center" wrapText="1"/>
    </xf>
    <xf numFmtId="0" fontId="9" fillId="34" borderId="180" xfId="6" applyFont="1" applyFill="1" applyBorder="1" applyAlignment="1">
      <alignment horizontal="center" vertical="center" wrapText="1"/>
    </xf>
    <xf numFmtId="0" fontId="9" fillId="59" borderId="180" xfId="6" applyFont="1" applyFill="1" applyBorder="1" applyAlignment="1">
      <alignment horizontal="center" vertical="center" textRotation="90" wrapText="1"/>
    </xf>
    <xf numFmtId="9" fontId="8" fillId="71" borderId="180" xfId="5" applyFont="1" applyFill="1" applyBorder="1" applyAlignment="1" applyProtection="1">
      <alignment horizontal="center" vertical="center" wrapText="1"/>
      <protection locked="0"/>
    </xf>
    <xf numFmtId="0" fontId="3" fillId="4" borderId="182" xfId="0" applyFont="1" applyFill="1" applyBorder="1" applyAlignment="1" applyProtection="1">
      <alignment horizontal="center" vertical="center" wrapText="1"/>
      <protection locked="0"/>
    </xf>
    <xf numFmtId="0" fontId="8" fillId="10" borderId="180" xfId="0" applyFont="1" applyFill="1" applyBorder="1" applyAlignment="1" applyProtection="1">
      <alignment horizontal="center" vertical="center" wrapText="1"/>
      <protection locked="0"/>
    </xf>
    <xf numFmtId="0" fontId="10" fillId="38" borderId="148" xfId="6" applyFont="1" applyFill="1" applyBorder="1" applyAlignment="1">
      <alignment horizontal="center" vertical="center" wrapText="1"/>
    </xf>
    <xf numFmtId="174" fontId="10" fillId="38" borderId="148" xfId="9" applyNumberFormat="1" applyFont="1" applyFill="1" applyBorder="1" applyAlignment="1">
      <alignment horizontal="center" vertical="center"/>
    </xf>
    <xf numFmtId="174" fontId="10" fillId="38" borderId="148" xfId="6" applyNumberFormat="1" applyFont="1" applyFill="1" applyBorder="1" applyAlignment="1">
      <alignment horizontal="center" vertical="center"/>
    </xf>
    <xf numFmtId="0" fontId="10" fillId="38" borderId="148" xfId="6" applyFont="1" applyFill="1" applyBorder="1" applyAlignment="1">
      <alignment horizontal="justify" vertical="center" wrapText="1"/>
    </xf>
    <xf numFmtId="9" fontId="10" fillId="38" borderId="148" xfId="6" applyNumberFormat="1" applyFont="1" applyFill="1" applyBorder="1" applyAlignment="1">
      <alignment horizontal="center" vertical="center"/>
    </xf>
    <xf numFmtId="0" fontId="40" fillId="38" borderId="148" xfId="0" applyFont="1" applyFill="1" applyBorder="1" applyAlignment="1">
      <alignment vertical="center"/>
    </xf>
    <xf numFmtId="0" fontId="10" fillId="51" borderId="148" xfId="6" applyFont="1" applyFill="1" applyBorder="1" applyAlignment="1">
      <alignment horizontal="center" vertical="center" wrapText="1"/>
    </xf>
    <xf numFmtId="0" fontId="10" fillId="51" borderId="148" xfId="6" applyFont="1" applyFill="1" applyBorder="1" applyAlignment="1">
      <alignment vertical="center"/>
    </xf>
    <xf numFmtId="0" fontId="10" fillId="51" borderId="148" xfId="6" applyFont="1" applyFill="1" applyBorder="1" applyAlignment="1">
      <alignment horizontal="center" vertical="center"/>
    </xf>
    <xf numFmtId="0" fontId="10" fillId="51" borderId="148" xfId="6" applyFont="1" applyFill="1" applyBorder="1" applyAlignment="1">
      <alignment horizontal="justify" vertical="center" wrapText="1"/>
    </xf>
    <xf numFmtId="174" fontId="10" fillId="51" borderId="148" xfId="9" applyNumberFormat="1" applyFont="1" applyFill="1" applyBorder="1" applyAlignment="1">
      <alignment horizontal="center" vertical="center"/>
    </xf>
    <xf numFmtId="0" fontId="10" fillId="51" borderId="148" xfId="0" applyFont="1" applyFill="1" applyBorder="1" applyAlignment="1">
      <alignment horizontal="center"/>
    </xf>
    <xf numFmtId="0" fontId="10" fillId="51" borderId="148" xfId="0" applyFont="1" applyFill="1" applyBorder="1" applyAlignment="1">
      <alignment horizontal="left" vertical="top" wrapText="1"/>
    </xf>
    <xf numFmtId="9" fontId="10" fillId="51" borderId="148" xfId="6" applyNumberFormat="1" applyFont="1" applyFill="1" applyBorder="1" applyAlignment="1">
      <alignment horizontal="center" vertical="center"/>
    </xf>
    <xf numFmtId="174" fontId="7" fillId="51" borderId="148" xfId="9" applyNumberFormat="1" applyFont="1" applyFill="1" applyBorder="1" applyAlignment="1">
      <alignment vertical="center"/>
    </xf>
    <xf numFmtId="0" fontId="40" fillId="51" borderId="148" xfId="0" applyFont="1" applyFill="1" applyBorder="1" applyAlignment="1">
      <alignment horizontal="center" vertical="center"/>
    </xf>
    <xf numFmtId="9" fontId="10" fillId="103" borderId="148" xfId="0" applyNumberFormat="1" applyFont="1" applyFill="1" applyBorder="1" applyAlignment="1">
      <alignment horizontal="center" vertical="center"/>
    </xf>
    <xf numFmtId="0" fontId="10" fillId="103" borderId="148" xfId="0" applyFont="1" applyFill="1" applyBorder="1" applyAlignment="1">
      <alignment horizontal="center" vertical="center"/>
    </xf>
    <xf numFmtId="0" fontId="10" fillId="103" borderId="148" xfId="0" applyFont="1" applyFill="1" applyBorder="1" applyAlignment="1">
      <alignment vertical="top" wrapText="1"/>
    </xf>
    <xf numFmtId="9" fontId="10" fillId="103" borderId="148" xfId="0" applyNumberFormat="1" applyFont="1" applyFill="1" applyBorder="1" applyAlignment="1">
      <alignment vertical="center"/>
    </xf>
    <xf numFmtId="0" fontId="10" fillId="66" borderId="148" xfId="0" applyFont="1" applyFill="1" applyBorder="1" applyAlignment="1">
      <alignment vertical="center" wrapText="1"/>
    </xf>
    <xf numFmtId="9" fontId="10" fillId="66" borderId="148" xfId="0" applyNumberFormat="1" applyFont="1" applyFill="1" applyBorder="1" applyAlignment="1">
      <alignment horizontal="center" vertical="center"/>
    </xf>
    <xf numFmtId="9" fontId="10" fillId="66" borderId="148" xfId="5" applyFont="1" applyFill="1" applyBorder="1" applyAlignment="1">
      <alignment vertical="center"/>
    </xf>
    <xf numFmtId="164" fontId="7" fillId="66" borderId="148" xfId="4" applyFont="1" applyFill="1" applyBorder="1" applyAlignment="1">
      <alignment vertical="center"/>
    </xf>
    <xf numFmtId="164" fontId="10" fillId="66" borderId="148" xfId="4" applyFont="1" applyFill="1" applyBorder="1" applyAlignment="1">
      <alignment horizontal="center" vertical="center"/>
    </xf>
    <xf numFmtId="0" fontId="10" fillId="66" borderId="148" xfId="0" applyFont="1" applyFill="1" applyBorder="1" applyAlignment="1">
      <alignment horizontal="center" vertical="center" wrapText="1"/>
    </xf>
    <xf numFmtId="0" fontId="10" fillId="66" borderId="148" xfId="0" applyFont="1" applyFill="1" applyBorder="1" applyAlignment="1">
      <alignment horizontal="center"/>
    </xf>
    <xf numFmtId="0" fontId="10" fillId="38" borderId="8" xfId="6" applyFont="1" applyFill="1" applyBorder="1" applyAlignment="1">
      <alignment horizontal="left" vertical="center" wrapText="1"/>
    </xf>
    <xf numFmtId="0" fontId="10" fillId="38" borderId="8" xfId="6" applyFont="1" applyFill="1" applyBorder="1" applyAlignment="1">
      <alignment vertical="center" wrapText="1"/>
    </xf>
    <xf numFmtId="0" fontId="10" fillId="38" borderId="8" xfId="6" applyFont="1" applyFill="1" applyBorder="1" applyAlignment="1">
      <alignment horizontal="center" vertical="center"/>
    </xf>
    <xf numFmtId="174" fontId="10" fillId="38" borderId="8" xfId="9" applyNumberFormat="1" applyFont="1" applyFill="1" applyBorder="1" applyAlignment="1">
      <alignment vertical="center"/>
    </xf>
    <xf numFmtId="0" fontId="10" fillId="38" borderId="8" xfId="6" applyFont="1" applyFill="1" applyBorder="1" applyAlignment="1">
      <alignment vertical="center"/>
    </xf>
    <xf numFmtId="174" fontId="10" fillId="38" borderId="8" xfId="6" applyNumberFormat="1" applyFont="1" applyFill="1" applyBorder="1" applyAlignment="1">
      <alignment vertical="center"/>
    </xf>
    <xf numFmtId="0" fontId="10" fillId="38" borderId="8" xfId="0" applyFont="1" applyFill="1" applyBorder="1" applyAlignment="1">
      <alignment vertical="center"/>
    </xf>
    <xf numFmtId="0" fontId="10" fillId="38" borderId="9" xfId="0" applyFont="1" applyFill="1" applyBorder="1" applyAlignment="1">
      <alignment vertical="center"/>
    </xf>
    <xf numFmtId="0" fontId="10" fillId="38" borderId="11" xfId="6" applyFont="1" applyFill="1" applyBorder="1" applyAlignment="1">
      <alignment horizontal="center" vertical="center" wrapText="1"/>
    </xf>
    <xf numFmtId="0" fontId="10" fillId="51" borderId="11" xfId="6" applyFont="1" applyFill="1" applyBorder="1" applyAlignment="1">
      <alignment horizontal="center" vertical="center" wrapText="1"/>
    </xf>
    <xf numFmtId="0" fontId="10" fillId="51" borderId="94" xfId="0" applyFont="1" applyFill="1" applyBorder="1"/>
    <xf numFmtId="0" fontId="10" fillId="103" borderId="11" xfId="6" applyFont="1" applyFill="1" applyBorder="1" applyAlignment="1">
      <alignment horizontal="center" vertical="center" wrapText="1"/>
    </xf>
    <xf numFmtId="0" fontId="10" fillId="103" borderId="94" xfId="0" applyFont="1" applyFill="1" applyBorder="1"/>
    <xf numFmtId="0" fontId="10" fillId="66" borderId="94" xfId="0" applyFont="1" applyFill="1" applyBorder="1"/>
    <xf numFmtId="0" fontId="10" fillId="66" borderId="11" xfId="6" applyFont="1" applyFill="1" applyBorder="1" applyAlignment="1">
      <alignment horizontal="center" vertical="center" wrapText="1"/>
    </xf>
    <xf numFmtId="0" fontId="10" fillId="66" borderId="29" xfId="6" applyFont="1" applyFill="1" applyBorder="1" applyAlignment="1">
      <alignment horizontal="center" vertical="center" wrapText="1"/>
    </xf>
    <xf numFmtId="0" fontId="10" fillId="66" borderId="30" xfId="0" applyFont="1" applyFill="1" applyBorder="1" applyAlignment="1">
      <alignment horizontal="left" vertical="center" wrapText="1"/>
    </xf>
    <xf numFmtId="0" fontId="10" fillId="66" borderId="30" xfId="0" applyFont="1" applyFill="1" applyBorder="1" applyAlignment="1">
      <alignment horizontal="center" vertical="center" wrapText="1"/>
    </xf>
    <xf numFmtId="9" fontId="10" fillId="66" borderId="30" xfId="0" applyNumberFormat="1" applyFont="1" applyFill="1" applyBorder="1" applyAlignment="1">
      <alignment horizontal="center" vertical="center"/>
    </xf>
    <xf numFmtId="0" fontId="10" fillId="66" borderId="30" xfId="0" applyFont="1" applyFill="1" applyBorder="1" applyAlignment="1">
      <alignment horizontal="center"/>
    </xf>
    <xf numFmtId="9" fontId="10" fillId="66" borderId="30" xfId="5" applyFont="1" applyFill="1" applyBorder="1" applyAlignment="1">
      <alignment horizontal="center" vertical="center"/>
    </xf>
    <xf numFmtId="174" fontId="10" fillId="66" borderId="30" xfId="9" applyNumberFormat="1" applyFont="1" applyFill="1" applyBorder="1" applyAlignment="1">
      <alignment horizontal="center" vertical="center"/>
    </xf>
    <xf numFmtId="0" fontId="10" fillId="66" borderId="30" xfId="0" applyFont="1" applyFill="1" applyBorder="1"/>
    <xf numFmtId="0" fontId="10" fillId="66" borderId="31" xfId="0" applyFont="1" applyFill="1" applyBorder="1"/>
    <xf numFmtId="0" fontId="10" fillId="66" borderId="32" xfId="0" applyFont="1" applyFill="1" applyBorder="1" applyAlignment="1">
      <alignment horizontal="left" vertical="center"/>
    </xf>
    <xf numFmtId="0" fontId="10" fillId="66" borderId="32" xfId="0" applyFont="1" applyFill="1" applyBorder="1" applyAlignment="1">
      <alignment vertical="center"/>
    </xf>
    <xf numFmtId="0" fontId="10" fillId="66" borderId="32" xfId="0" applyFont="1" applyFill="1" applyBorder="1" applyAlignment="1">
      <alignment horizontal="center" vertical="center"/>
    </xf>
    <xf numFmtId="164" fontId="10" fillId="66" borderId="32" xfId="4" applyFont="1" applyFill="1" applyBorder="1" applyAlignment="1">
      <alignment vertical="center"/>
    </xf>
    <xf numFmtId="0" fontId="10" fillId="66" borderId="32" xfId="0" applyFont="1" applyFill="1" applyBorder="1"/>
    <xf numFmtId="0" fontId="10" fillId="66" borderId="52" xfId="0" applyFont="1" applyFill="1" applyBorder="1"/>
    <xf numFmtId="0" fontId="10" fillId="103" borderId="29" xfId="6" applyFont="1" applyFill="1" applyBorder="1" applyAlignment="1">
      <alignment horizontal="center" vertical="center" wrapText="1"/>
    </xf>
    <xf numFmtId="0" fontId="10" fillId="103" borderId="30" xfId="0" applyFont="1" applyFill="1" applyBorder="1" applyAlignment="1">
      <alignment vertical="center" wrapText="1"/>
    </xf>
    <xf numFmtId="9" fontId="10" fillId="103" borderId="30" xfId="0" applyNumberFormat="1" applyFont="1" applyFill="1" applyBorder="1" applyAlignment="1">
      <alignment horizontal="center" vertical="center"/>
    </xf>
    <xf numFmtId="9" fontId="10" fillId="103" borderId="30" xfId="5" applyFont="1" applyFill="1" applyBorder="1" applyAlignment="1">
      <alignment vertical="center"/>
    </xf>
    <xf numFmtId="164" fontId="10" fillId="103" borderId="30" xfId="4" applyFont="1" applyFill="1" applyBorder="1" applyAlignment="1">
      <alignment vertical="center"/>
    </xf>
    <xf numFmtId="0" fontId="10" fillId="103" borderId="30" xfId="0" applyFont="1" applyFill="1" applyBorder="1"/>
    <xf numFmtId="0" fontId="10" fillId="103" borderId="31" xfId="0" applyFont="1" applyFill="1" applyBorder="1"/>
    <xf numFmtId="0" fontId="10" fillId="103" borderId="51" xfId="6" applyFont="1" applyFill="1" applyBorder="1" applyAlignment="1">
      <alignment horizontal="center" vertical="center" wrapText="1"/>
    </xf>
    <xf numFmtId="0" fontId="10" fillId="103" borderId="32" xfId="0" applyFont="1" applyFill="1" applyBorder="1" applyAlignment="1">
      <alignment horizontal="left" vertical="center" wrapText="1"/>
    </xf>
    <xf numFmtId="0" fontId="10" fillId="103" borderId="32" xfId="0" applyFont="1" applyFill="1" applyBorder="1" applyAlignment="1">
      <alignment horizontal="center" vertical="center" wrapText="1"/>
    </xf>
    <xf numFmtId="9" fontId="10" fillId="103" borderId="32" xfId="0" applyNumberFormat="1" applyFont="1" applyFill="1" applyBorder="1" applyAlignment="1">
      <alignment horizontal="center" vertical="center"/>
    </xf>
    <xf numFmtId="0" fontId="10" fillId="103" borderId="32" xfId="0" applyFont="1" applyFill="1" applyBorder="1" applyAlignment="1">
      <alignment horizontal="center" vertical="center"/>
    </xf>
    <xf numFmtId="9" fontId="10" fillId="103" borderId="32" xfId="5" applyFont="1" applyFill="1" applyBorder="1" applyAlignment="1">
      <alignment horizontal="center" vertical="center"/>
    </xf>
    <xf numFmtId="164" fontId="10" fillId="103" borderId="32" xfId="4" applyFont="1" applyFill="1" applyBorder="1" applyAlignment="1">
      <alignment horizontal="center" vertical="center"/>
    </xf>
    <xf numFmtId="0" fontId="10" fillId="103" borderId="32" xfId="0" applyFont="1" applyFill="1" applyBorder="1" applyAlignment="1">
      <alignment horizontal="center"/>
    </xf>
    <xf numFmtId="0" fontId="10" fillId="103" borderId="32" xfId="0" applyFont="1" applyFill="1" applyBorder="1"/>
    <xf numFmtId="0" fontId="10" fillId="103" borderId="52" xfId="0" applyFont="1" applyFill="1" applyBorder="1"/>
    <xf numFmtId="0" fontId="10" fillId="51" borderId="30" xfId="0" applyFont="1" applyFill="1" applyBorder="1" applyAlignment="1">
      <alignment vertical="center"/>
    </xf>
    <xf numFmtId="1" fontId="10" fillId="51" borderId="30" xfId="5" applyNumberFormat="1" applyFont="1" applyFill="1" applyBorder="1" applyAlignment="1">
      <alignment horizontal="center" vertical="center"/>
    </xf>
    <xf numFmtId="174" fontId="10" fillId="51" borderId="30" xfId="9" applyNumberFormat="1" applyFont="1" applyFill="1" applyBorder="1" applyAlignment="1">
      <alignment vertical="center"/>
    </xf>
    <xf numFmtId="0" fontId="10" fillId="51" borderId="31" xfId="0" applyFont="1" applyFill="1" applyBorder="1"/>
    <xf numFmtId="0" fontId="10" fillId="51" borderId="51" xfId="6" applyFont="1" applyFill="1" applyBorder="1" applyAlignment="1">
      <alignment horizontal="center" vertical="center" wrapText="1"/>
    </xf>
    <xf numFmtId="0" fontId="10" fillId="51" borderId="32" xfId="6" applyFont="1" applyFill="1" applyBorder="1" applyAlignment="1">
      <alignment vertical="center"/>
    </xf>
    <xf numFmtId="0" fontId="10" fillId="51" borderId="32" xfId="6" applyFont="1" applyFill="1" applyBorder="1" applyAlignment="1">
      <alignment horizontal="center" vertical="center"/>
    </xf>
    <xf numFmtId="0" fontId="10" fillId="51" borderId="32" xfId="6" applyFont="1" applyFill="1" applyBorder="1" applyAlignment="1">
      <alignment horizontal="justify" vertical="center" wrapText="1"/>
    </xf>
    <xf numFmtId="0" fontId="10" fillId="51" borderId="32" xfId="6" applyFont="1" applyFill="1" applyBorder="1" applyAlignment="1">
      <alignment horizontal="left" vertical="center" wrapText="1"/>
    </xf>
    <xf numFmtId="174" fontId="10" fillId="51" borderId="32" xfId="9" applyNumberFormat="1" applyFont="1" applyFill="1" applyBorder="1" applyAlignment="1">
      <alignment vertical="center"/>
    </xf>
    <xf numFmtId="174" fontId="10" fillId="51" borderId="32" xfId="9" applyNumberFormat="1" applyFont="1" applyFill="1" applyBorder="1" applyAlignment="1">
      <alignment horizontal="left" vertical="center"/>
    </xf>
    <xf numFmtId="0" fontId="10" fillId="38" borderId="29" xfId="6" applyFont="1" applyFill="1" applyBorder="1" applyAlignment="1">
      <alignment horizontal="center" vertical="center" wrapText="1"/>
    </xf>
    <xf numFmtId="0" fontId="10" fillId="38" borderId="30" xfId="0" applyFont="1" applyFill="1" applyBorder="1" applyAlignment="1">
      <alignment vertical="center" wrapText="1"/>
    </xf>
    <xf numFmtId="0" fontId="10" fillId="38" borderId="30" xfId="6" applyFont="1" applyFill="1" applyBorder="1" applyAlignment="1">
      <alignment vertical="center" wrapText="1"/>
    </xf>
    <xf numFmtId="0" fontId="10" fillId="38" borderId="30" xfId="6" applyFont="1" applyFill="1" applyBorder="1" applyAlignment="1">
      <alignment horizontal="center" vertical="center" wrapText="1"/>
    </xf>
    <xf numFmtId="0" fontId="10" fillId="38" borderId="30" xfId="6" applyFont="1" applyFill="1" applyBorder="1" applyAlignment="1">
      <alignment horizontal="center" vertical="center"/>
    </xf>
    <xf numFmtId="0" fontId="10" fillId="38" borderId="30" xfId="6" applyFont="1" applyFill="1" applyBorder="1" applyAlignment="1">
      <alignment horizontal="left" vertical="center" wrapText="1"/>
    </xf>
    <xf numFmtId="174" fontId="10" fillId="38" borderId="30" xfId="9" applyNumberFormat="1" applyFont="1" applyFill="1" applyBorder="1" applyAlignment="1">
      <alignment horizontal="center" vertical="center"/>
    </xf>
    <xf numFmtId="174" fontId="10" fillId="38" borderId="30" xfId="6" applyNumberFormat="1" applyFont="1" applyFill="1" applyBorder="1" applyAlignment="1">
      <alignment horizontal="center" vertical="center"/>
    </xf>
    <xf numFmtId="0" fontId="10" fillId="38" borderId="30" xfId="0" applyFont="1" applyFill="1" applyBorder="1" applyAlignment="1">
      <alignment vertical="center"/>
    </xf>
    <xf numFmtId="0" fontId="10" fillId="38" borderId="31" xfId="0" applyFont="1" applyFill="1" applyBorder="1" applyAlignment="1">
      <alignment vertical="center"/>
    </xf>
    <xf numFmtId="0" fontId="10" fillId="66" borderId="148" xfId="0" applyFont="1" applyFill="1" applyBorder="1" applyAlignment="1"/>
    <xf numFmtId="0" fontId="10" fillId="51" borderId="148" xfId="0" applyFont="1" applyFill="1" applyBorder="1" applyAlignment="1"/>
    <xf numFmtId="0" fontId="10" fillId="103" borderId="32" xfId="0" applyFont="1" applyFill="1" applyBorder="1" applyAlignment="1"/>
    <xf numFmtId="0" fontId="10" fillId="103" borderId="148" xfId="0" applyFont="1" applyFill="1" applyBorder="1" applyAlignment="1"/>
    <xf numFmtId="0" fontId="10" fillId="51" borderId="32" xfId="0" applyFont="1" applyFill="1" applyBorder="1" applyAlignment="1"/>
    <xf numFmtId="0" fontId="11" fillId="51" borderId="148" xfId="0" applyFont="1" applyFill="1" applyBorder="1" applyAlignment="1">
      <alignment horizontal="center" vertical="center" wrapText="1"/>
    </xf>
    <xf numFmtId="0" fontId="10" fillId="38" borderId="148" xfId="0" applyFont="1" applyFill="1" applyBorder="1" applyAlignment="1">
      <alignment horizontal="center" vertical="center" wrapText="1"/>
    </xf>
    <xf numFmtId="9" fontId="51" fillId="40" borderId="108" xfId="0" applyNumberFormat="1" applyFont="1" applyFill="1" applyBorder="1" applyAlignment="1">
      <alignment horizontal="center" vertical="center" wrapText="1"/>
    </xf>
    <xf numFmtId="9" fontId="49" fillId="40" borderId="108" xfId="0" applyNumberFormat="1" applyFont="1" applyFill="1" applyBorder="1" applyAlignment="1">
      <alignment horizontal="center" vertical="center" wrapText="1"/>
    </xf>
    <xf numFmtId="0" fontId="49" fillId="40" borderId="108" xfId="0" applyFont="1" applyFill="1" applyBorder="1" applyAlignment="1" applyProtection="1">
      <alignment horizontal="left" vertical="center" wrapText="1"/>
      <protection locked="0"/>
    </xf>
    <xf numFmtId="0" fontId="52" fillId="40" borderId="108" xfId="0" applyFont="1" applyFill="1" applyBorder="1" applyAlignment="1">
      <alignment horizontal="center" vertical="center" wrapText="1"/>
    </xf>
    <xf numFmtId="0" fontId="51" fillId="40" borderId="108" xfId="0" applyFont="1" applyFill="1" applyBorder="1" applyAlignment="1">
      <alignment horizontal="center" vertical="center" wrapText="1"/>
    </xf>
    <xf numFmtId="0" fontId="10" fillId="38" borderId="148" xfId="0" applyFont="1" applyFill="1" applyBorder="1" applyAlignment="1">
      <alignment horizontal="justify" vertical="center" wrapText="1"/>
    </xf>
    <xf numFmtId="0" fontId="10" fillId="38" borderId="180" xfId="0" applyFont="1" applyFill="1" applyBorder="1" applyAlignment="1">
      <alignment horizontal="center" vertical="center" wrapText="1"/>
    </xf>
    <xf numFmtId="3" fontId="51" fillId="40" borderId="108" xfId="0" applyNumberFormat="1" applyFont="1" applyFill="1" applyBorder="1" applyAlignment="1">
      <alignment horizontal="center" vertical="center"/>
    </xf>
    <xf numFmtId="3" fontId="51" fillId="40" borderId="108" xfId="0" applyNumberFormat="1" applyFont="1" applyFill="1" applyBorder="1" applyAlignment="1">
      <alignment horizontal="center"/>
    </xf>
    <xf numFmtId="0" fontId="49" fillId="40" borderId="108" xfId="0" applyFont="1" applyFill="1" applyBorder="1" applyAlignment="1">
      <alignment horizontal="center" vertical="center" wrapText="1"/>
    </xf>
    <xf numFmtId="3" fontId="49" fillId="40" borderId="107" xfId="9" applyNumberFormat="1" applyFont="1" applyFill="1" applyBorder="1" applyAlignment="1">
      <alignment horizontal="center" vertical="center" wrapText="1"/>
    </xf>
    <xf numFmtId="0" fontId="49" fillId="40" borderId="108" xfId="0" applyFont="1" applyFill="1" applyBorder="1" applyAlignment="1" applyProtection="1">
      <alignment horizontal="center" vertical="center" wrapText="1"/>
      <protection locked="0"/>
    </xf>
    <xf numFmtId="3" fontId="51" fillId="40" borderId="108" xfId="4" applyNumberFormat="1" applyFont="1" applyFill="1" applyBorder="1" applyAlignment="1">
      <alignment horizontal="center" vertical="center"/>
    </xf>
    <xf numFmtId="0" fontId="51" fillId="40" borderId="108" xfId="0" applyFont="1" applyFill="1" applyBorder="1" applyAlignment="1">
      <alignment horizontal="left" vertical="top" wrapText="1"/>
    </xf>
    <xf numFmtId="9" fontId="52" fillId="40" borderId="108" xfId="0" applyNumberFormat="1" applyFont="1" applyFill="1" applyBorder="1" applyAlignment="1">
      <alignment horizontal="center" vertical="center" wrapText="1"/>
    </xf>
    <xf numFmtId="0" fontId="0" fillId="38" borderId="180" xfId="2" applyFont="1" applyFill="1" applyBorder="1" applyAlignment="1" applyProtection="1">
      <alignment horizontal="center" vertical="center" wrapText="1"/>
    </xf>
    <xf numFmtId="0" fontId="49" fillId="42" borderId="184" xfId="0" applyFont="1" applyFill="1" applyBorder="1" applyAlignment="1">
      <alignment vertical="center"/>
    </xf>
    <xf numFmtId="0" fontId="51" fillId="42" borderId="184" xfId="0" applyFont="1" applyFill="1" applyBorder="1" applyAlignment="1">
      <alignment horizontal="center" vertical="center" wrapText="1"/>
    </xf>
    <xf numFmtId="9" fontId="51" fillId="42" borderId="184" xfId="0" applyNumberFormat="1" applyFont="1" applyFill="1" applyBorder="1" applyAlignment="1">
      <alignment horizontal="center" vertical="center" wrapText="1"/>
    </xf>
    <xf numFmtId="0" fontId="52" fillId="11" borderId="154" xfId="0" applyFont="1" applyFill="1" applyBorder="1" applyAlignment="1">
      <alignment horizontal="justify" vertical="center" wrapText="1"/>
    </xf>
    <xf numFmtId="0" fontId="51" fillId="0" borderId="184" xfId="0" applyFont="1" applyFill="1" applyBorder="1" applyAlignment="1">
      <alignment horizontal="justify" vertical="center" wrapText="1"/>
    </xf>
    <xf numFmtId="1" fontId="51" fillId="0" borderId="184" xfId="0" applyNumberFormat="1" applyFont="1" applyFill="1" applyBorder="1" applyAlignment="1">
      <alignment horizontal="center" vertical="center" wrapText="1"/>
    </xf>
    <xf numFmtId="9" fontId="51" fillId="0" borderId="184" xfId="5" applyFont="1" applyFill="1" applyBorder="1" applyAlignment="1">
      <alignment horizontal="center" vertical="center" wrapText="1"/>
    </xf>
    <xf numFmtId="0" fontId="51" fillId="0" borderId="184" xfId="0" applyFont="1" applyFill="1" applyBorder="1" applyAlignment="1">
      <alignment horizontal="center" vertical="center" wrapText="1"/>
    </xf>
    <xf numFmtId="9" fontId="51" fillId="0" borderId="179" xfId="5" applyFont="1" applyFill="1" applyBorder="1" applyAlignment="1">
      <alignment horizontal="center" vertical="center" wrapText="1"/>
    </xf>
    <xf numFmtId="1" fontId="51" fillId="0" borderId="184" xfId="0" applyNumberFormat="1" applyFont="1" applyFill="1" applyBorder="1" applyAlignment="1">
      <alignment horizontal="justify" vertical="center" wrapText="1"/>
    </xf>
    <xf numFmtId="9" fontId="51" fillId="16" borderId="160" xfId="5" applyFont="1" applyFill="1" applyBorder="1" applyAlignment="1">
      <alignment horizontal="center" vertical="center" wrapText="1"/>
    </xf>
    <xf numFmtId="0" fontId="51" fillId="11" borderId="184" xfId="0" applyFont="1" applyFill="1" applyBorder="1" applyAlignment="1">
      <alignment horizontal="left" vertical="center" wrapText="1"/>
    </xf>
    <xf numFmtId="0" fontId="51" fillId="11" borderId="184" xfId="0" applyFont="1" applyFill="1" applyBorder="1" applyAlignment="1">
      <alignment horizontal="center" vertical="center" wrapText="1"/>
    </xf>
    <xf numFmtId="170" fontId="51" fillId="11" borderId="184" xfId="9" applyFont="1" applyFill="1" applyBorder="1" applyAlignment="1">
      <alignment horizontal="center" vertical="center"/>
    </xf>
    <xf numFmtId="0" fontId="51" fillId="11" borderId="184" xfId="0" applyFont="1" applyFill="1" applyBorder="1" applyAlignment="1">
      <alignment horizontal="center" vertical="center"/>
    </xf>
    <xf numFmtId="0" fontId="20" fillId="42" borderId="182" xfId="0" applyFont="1" applyFill="1" applyBorder="1" applyAlignment="1">
      <alignment horizontal="center" vertical="center" wrapText="1"/>
    </xf>
    <xf numFmtId="9" fontId="20" fillId="42" borderId="181" xfId="0" applyNumberFormat="1" applyFont="1" applyFill="1" applyBorder="1" applyAlignment="1">
      <alignment horizontal="center" vertical="center" wrapText="1"/>
    </xf>
    <xf numFmtId="9" fontId="20" fillId="42" borderId="184" xfId="0" applyNumberFormat="1" applyFont="1" applyFill="1" applyBorder="1" applyAlignment="1">
      <alignment horizontal="center" vertical="center" wrapText="1"/>
    </xf>
    <xf numFmtId="0" fontId="20" fillId="42" borderId="184" xfId="0" applyFont="1" applyFill="1" applyBorder="1" applyAlignment="1">
      <alignment horizontal="center" vertical="center" wrapText="1"/>
    </xf>
    <xf numFmtId="0" fontId="20" fillId="42" borderId="179" xfId="0" applyFont="1" applyFill="1" applyBorder="1" applyAlignment="1">
      <alignment horizontal="center" vertical="center" wrapText="1"/>
    </xf>
    <xf numFmtId="1" fontId="20" fillId="42" borderId="184" xfId="0" applyNumberFormat="1" applyFont="1" applyFill="1" applyBorder="1" applyAlignment="1">
      <alignment horizontal="center" vertical="center" wrapText="1"/>
    </xf>
    <xf numFmtId="9" fontId="20" fillId="42" borderId="184" xfId="5" applyFont="1" applyFill="1" applyBorder="1" applyAlignment="1">
      <alignment horizontal="center" vertical="center" wrapText="1"/>
    </xf>
    <xf numFmtId="191" fontId="20" fillId="42" borderId="184" xfId="10" applyNumberFormat="1" applyFont="1" applyFill="1" applyBorder="1" applyAlignment="1">
      <alignment horizontal="center" vertical="center" wrapText="1"/>
    </xf>
    <xf numFmtId="0" fontId="20" fillId="42" borderId="184" xfId="0" applyFont="1" applyFill="1" applyBorder="1" applyAlignment="1">
      <alignment horizontal="center" vertical="center"/>
    </xf>
    <xf numFmtId="0" fontId="11" fillId="38" borderId="30" xfId="0" applyFont="1" applyFill="1" applyBorder="1" applyAlignment="1" applyProtection="1">
      <alignment vertical="center" wrapText="1"/>
      <protection locked="0"/>
    </xf>
    <xf numFmtId="191" fontId="11" fillId="38" borderId="30" xfId="10" applyNumberFormat="1" applyFont="1" applyFill="1" applyBorder="1" applyAlignment="1" applyProtection="1">
      <alignment vertical="center" wrapText="1"/>
      <protection locked="0"/>
    </xf>
    <xf numFmtId="9" fontId="11" fillId="38" borderId="30" xfId="5" applyFont="1" applyFill="1" applyBorder="1" applyAlignment="1" applyProtection="1">
      <alignment vertical="center" wrapText="1"/>
      <protection locked="0"/>
    </xf>
    <xf numFmtId="0" fontId="0" fillId="41" borderId="32" xfId="8" applyFont="1" applyFill="1" applyBorder="1" applyAlignment="1" applyProtection="1">
      <alignment vertical="center" wrapText="1"/>
      <protection locked="0"/>
    </xf>
    <xf numFmtId="191" fontId="0" fillId="41" borderId="32" xfId="10" applyNumberFormat="1" applyFont="1" applyFill="1" applyBorder="1" applyAlignment="1" applyProtection="1">
      <alignment vertical="center" wrapText="1"/>
      <protection locked="0"/>
    </xf>
    <xf numFmtId="9" fontId="0" fillId="41" borderId="32" xfId="5" applyFont="1" applyFill="1" applyBorder="1" applyAlignment="1" applyProtection="1">
      <alignment vertical="center" wrapText="1"/>
      <protection locked="0"/>
    </xf>
    <xf numFmtId="0" fontId="11" fillId="38" borderId="180" xfId="0" applyFont="1" applyFill="1" applyBorder="1" applyAlignment="1">
      <alignment vertical="center" wrapText="1"/>
    </xf>
    <xf numFmtId="0" fontId="0" fillId="41" borderId="51" xfId="8" applyFont="1" applyFill="1" applyBorder="1" applyAlignment="1" applyProtection="1">
      <alignment vertical="center" wrapText="1"/>
      <protection locked="0"/>
    </xf>
    <xf numFmtId="0" fontId="0" fillId="41" borderId="29" xfId="2" applyFont="1" applyFill="1" applyBorder="1" applyAlignment="1" applyProtection="1">
      <alignment horizontal="center" vertical="center" wrapText="1"/>
    </xf>
    <xf numFmtId="0" fontId="0" fillId="41" borderId="31" xfId="2" applyFont="1" applyFill="1" applyBorder="1" applyAlignment="1" applyProtection="1">
      <alignment horizontal="center" vertical="center" wrapText="1"/>
    </xf>
    <xf numFmtId="0" fontId="0" fillId="39" borderId="31" xfId="2" applyFont="1" applyFill="1" applyBorder="1" applyAlignment="1" applyProtection="1">
      <alignment horizontal="center" vertical="center"/>
    </xf>
    <xf numFmtId="0" fontId="3" fillId="38" borderId="52" xfId="2" applyFont="1" applyFill="1" applyBorder="1" applyAlignment="1" applyProtection="1">
      <alignment horizontal="center" vertical="center"/>
    </xf>
    <xf numFmtId="0" fontId="3" fillId="38" borderId="94" xfId="2" applyFont="1" applyFill="1" applyBorder="1" applyAlignment="1" applyProtection="1">
      <alignment horizontal="center" vertical="center"/>
    </xf>
    <xf numFmtId="9" fontId="3" fillId="38" borderId="94" xfId="2" applyNumberFormat="1" applyFont="1" applyFill="1" applyBorder="1" applyAlignment="1" applyProtection="1">
      <alignment horizontal="center" vertical="center"/>
    </xf>
    <xf numFmtId="0" fontId="0" fillId="38" borderId="11" xfId="2" applyFont="1" applyFill="1" applyBorder="1" applyAlignment="1" applyProtection="1">
      <alignment horizontal="center" vertical="center" wrapText="1"/>
    </xf>
    <xf numFmtId="0" fontId="0" fillId="38" borderId="94" xfId="2" applyFont="1" applyFill="1" applyBorder="1" applyAlignment="1" applyProtection="1">
      <alignment horizontal="center" vertical="center" wrapText="1"/>
    </xf>
    <xf numFmtId="0" fontId="0" fillId="38" borderId="29" xfId="2" applyFont="1" applyFill="1" applyBorder="1" applyAlignment="1" applyProtection="1">
      <alignment horizontal="center" vertical="center" wrapText="1"/>
    </xf>
    <xf numFmtId="0" fontId="0" fillId="38" borderId="31" xfId="2" applyFont="1" applyFill="1" applyBorder="1" applyAlignment="1" applyProtection="1">
      <alignment horizontal="center" vertical="center" wrapText="1"/>
    </xf>
    <xf numFmtId="0" fontId="0" fillId="33" borderId="94" xfId="2" applyFont="1" applyFill="1" applyBorder="1" applyAlignment="1" applyProtection="1">
      <alignment horizontal="center" vertical="center"/>
    </xf>
    <xf numFmtId="0" fontId="0" fillId="33" borderId="31" xfId="2" applyFont="1" applyFill="1" applyBorder="1" applyAlignment="1" applyProtection="1">
      <alignment horizontal="center" vertical="center"/>
    </xf>
    <xf numFmtId="0" fontId="0" fillId="51" borderId="94" xfId="2" applyFont="1" applyFill="1" applyBorder="1" applyAlignment="1" applyProtection="1">
      <alignment horizontal="center" vertical="center"/>
    </xf>
    <xf numFmtId="0" fontId="0" fillId="51" borderId="11" xfId="2" applyFont="1" applyFill="1" applyBorder="1" applyAlignment="1" applyProtection="1">
      <alignment horizontal="center" vertical="center" wrapText="1"/>
    </xf>
    <xf numFmtId="0" fontId="0" fillId="51" borderId="94" xfId="2" applyFont="1" applyFill="1" applyBorder="1" applyAlignment="1" applyProtection="1">
      <alignment horizontal="center" vertical="center" wrapText="1"/>
    </xf>
    <xf numFmtId="0" fontId="0" fillId="51" borderId="31" xfId="2" applyFont="1" applyFill="1" applyBorder="1" applyAlignment="1" applyProtection="1">
      <alignment horizontal="center" vertical="center"/>
    </xf>
    <xf numFmtId="0" fontId="0" fillId="7" borderId="51" xfId="2" applyFont="1" applyFill="1" applyBorder="1" applyAlignment="1" applyProtection="1">
      <alignment horizontal="center" vertical="center"/>
    </xf>
    <xf numFmtId="0" fontId="0" fillId="7" borderId="52" xfId="2" applyFont="1" applyFill="1" applyBorder="1" applyAlignment="1" applyProtection="1">
      <alignment horizontal="center" vertical="center"/>
    </xf>
    <xf numFmtId="0" fontId="0" fillId="38" borderId="51" xfId="2" applyFont="1" applyFill="1" applyBorder="1" applyAlignment="1" applyProtection="1">
      <alignment horizontal="center" vertical="center" wrapText="1"/>
    </xf>
    <xf numFmtId="0" fontId="11" fillId="38" borderId="11" xfId="0" applyFont="1" applyFill="1" applyBorder="1" applyAlignment="1" applyProtection="1">
      <alignment vertical="center" wrapText="1"/>
      <protection locked="0"/>
    </xf>
    <xf numFmtId="9" fontId="11" fillId="38" borderId="184" xfId="5" applyFont="1" applyFill="1" applyBorder="1" applyAlignment="1" applyProtection="1">
      <alignment vertical="center" wrapText="1"/>
      <protection locked="0"/>
    </xf>
    <xf numFmtId="0" fontId="11" fillId="38" borderId="184" xfId="0" applyFont="1" applyFill="1" applyBorder="1" applyAlignment="1" applyProtection="1">
      <alignment vertical="center" wrapText="1"/>
      <protection locked="0"/>
    </xf>
    <xf numFmtId="191" fontId="11" fillId="38" borderId="184" xfId="10" applyNumberFormat="1" applyFont="1" applyFill="1" applyBorder="1" applyAlignment="1" applyProtection="1">
      <alignment vertical="center" wrapText="1"/>
      <protection locked="0"/>
    </xf>
    <xf numFmtId="0" fontId="11" fillId="38" borderId="11" xfId="0" applyFont="1" applyFill="1" applyBorder="1" applyAlignment="1" applyProtection="1">
      <alignment horizontal="center" vertical="center" wrapText="1"/>
      <protection locked="0"/>
    </xf>
    <xf numFmtId="9" fontId="11" fillId="38" borderId="184" xfId="5" applyFont="1" applyFill="1" applyBorder="1" applyAlignment="1" applyProtection="1">
      <alignment horizontal="center" vertical="center" wrapText="1"/>
      <protection locked="0"/>
    </xf>
    <xf numFmtId="0" fontId="11" fillId="38" borderId="184" xfId="0" applyFont="1" applyFill="1" applyBorder="1" applyAlignment="1" applyProtection="1">
      <alignment horizontal="center" vertical="center" wrapText="1"/>
      <protection locked="0"/>
    </xf>
    <xf numFmtId="191" fontId="11" fillId="38" borderId="184" xfId="10" applyNumberFormat="1" applyFont="1" applyFill="1" applyBorder="1" applyAlignment="1" applyProtection="1">
      <alignment horizontal="center" vertical="center" wrapText="1"/>
      <protection locked="0"/>
    </xf>
    <xf numFmtId="0" fontId="11" fillId="38" borderId="29" xfId="0" applyFont="1" applyFill="1" applyBorder="1" applyAlignment="1" applyProtection="1">
      <alignment vertical="center" wrapText="1"/>
      <protection locked="0"/>
    </xf>
    <xf numFmtId="9" fontId="10" fillId="39" borderId="184" xfId="5" applyFont="1" applyFill="1" applyBorder="1" applyAlignment="1" applyProtection="1">
      <alignment horizontal="center" vertical="center" wrapText="1"/>
      <protection locked="0"/>
    </xf>
    <xf numFmtId="191" fontId="10" fillId="39" borderId="184" xfId="10" applyNumberFormat="1" applyFont="1" applyFill="1" applyBorder="1" applyAlignment="1" applyProtection="1">
      <alignment horizontal="center" vertical="center" wrapText="1"/>
      <protection locked="0"/>
    </xf>
    <xf numFmtId="0" fontId="0" fillId="41" borderId="99" xfId="8" applyFont="1" applyFill="1" applyBorder="1" applyAlignment="1" applyProtection="1">
      <alignment vertical="center" wrapText="1"/>
      <protection locked="0"/>
    </xf>
    <xf numFmtId="0" fontId="11" fillId="38" borderId="48" xfId="0" applyFont="1" applyFill="1" applyBorder="1" applyAlignment="1" applyProtection="1">
      <alignment vertical="center" wrapText="1"/>
      <protection locked="0"/>
    </xf>
    <xf numFmtId="0" fontId="11" fillId="38" borderId="48" xfId="0" applyFont="1" applyFill="1" applyBorder="1" applyAlignment="1" applyProtection="1">
      <alignment horizontal="center" vertical="center" wrapText="1"/>
      <protection locked="0"/>
    </xf>
    <xf numFmtId="0" fontId="11" fillId="38" borderId="50" xfId="0" applyFont="1" applyFill="1" applyBorder="1" applyAlignment="1" applyProtection="1">
      <alignment vertical="center" wrapText="1"/>
      <protection locked="0"/>
    </xf>
    <xf numFmtId="191" fontId="0" fillId="41" borderId="51" xfId="10" applyNumberFormat="1" applyFont="1" applyFill="1" applyBorder="1" applyAlignment="1" applyProtection="1">
      <alignment vertical="center" wrapText="1"/>
      <protection locked="0"/>
    </xf>
    <xf numFmtId="191" fontId="11" fillId="38" borderId="11" xfId="10" applyNumberFormat="1" applyFont="1" applyFill="1" applyBorder="1" applyAlignment="1" applyProtection="1">
      <alignment vertical="center" wrapText="1"/>
      <protection locked="0"/>
    </xf>
    <xf numFmtId="191" fontId="11" fillId="38" borderId="11" xfId="10" applyNumberFormat="1" applyFont="1" applyFill="1" applyBorder="1" applyAlignment="1" applyProtection="1">
      <alignment horizontal="center" vertical="center" wrapText="1"/>
      <protection locked="0"/>
    </xf>
    <xf numFmtId="191" fontId="11" fillId="38" borderId="29" xfId="10" applyNumberFormat="1" applyFont="1" applyFill="1" applyBorder="1" applyAlignment="1" applyProtection="1">
      <alignment vertical="center" wrapText="1"/>
      <protection locked="0"/>
    </xf>
    <xf numFmtId="191" fontId="10" fillId="39" borderId="11" xfId="10" applyNumberFormat="1" applyFont="1" applyFill="1" applyBorder="1" applyAlignment="1" applyProtection="1">
      <alignment horizontal="center" vertical="center" wrapText="1"/>
      <protection locked="0"/>
    </xf>
    <xf numFmtId="191" fontId="0" fillId="41" borderId="99" xfId="10" applyNumberFormat="1" applyFont="1" applyFill="1" applyBorder="1" applyAlignment="1" applyProtection="1">
      <alignment vertical="center" wrapText="1"/>
      <protection locked="0"/>
    </xf>
    <xf numFmtId="191" fontId="11" fillId="38" borderId="48" xfId="10" applyNumberFormat="1" applyFont="1" applyFill="1" applyBorder="1" applyAlignment="1" applyProtection="1">
      <alignment vertical="center" wrapText="1"/>
      <protection locked="0"/>
    </xf>
    <xf numFmtId="191" fontId="11" fillId="38" borderId="48" xfId="10" applyNumberFormat="1" applyFont="1" applyFill="1" applyBorder="1" applyAlignment="1" applyProtection="1">
      <alignment horizontal="center" vertical="center" wrapText="1"/>
      <protection locked="0"/>
    </xf>
    <xf numFmtId="191" fontId="11" fillId="38" borderId="50" xfId="10" applyNumberFormat="1" applyFont="1" applyFill="1" applyBorder="1" applyAlignment="1" applyProtection="1">
      <alignment vertical="center" wrapText="1"/>
      <protection locked="0"/>
    </xf>
    <xf numFmtId="191" fontId="10" fillId="39" borderId="48" xfId="10" applyNumberFormat="1" applyFont="1" applyFill="1" applyBorder="1" applyAlignment="1" applyProtection="1">
      <alignment horizontal="center" vertical="center" wrapText="1"/>
      <protection locked="0"/>
    </xf>
    <xf numFmtId="0" fontId="0" fillId="41" borderId="184" xfId="8" applyFont="1" applyFill="1" applyBorder="1" applyAlignment="1" applyProtection="1">
      <alignment vertical="center" wrapText="1"/>
      <protection locked="0"/>
    </xf>
    <xf numFmtId="9" fontId="0" fillId="41" borderId="184" xfId="5" applyFont="1" applyFill="1" applyBorder="1" applyAlignment="1" applyProtection="1">
      <alignment vertical="center" wrapText="1"/>
      <protection locked="0"/>
    </xf>
    <xf numFmtId="191" fontId="0" fillId="41" borderId="184" xfId="10" applyNumberFormat="1" applyFont="1" applyFill="1" applyBorder="1" applyAlignment="1" applyProtection="1">
      <alignment vertical="center" wrapText="1"/>
      <protection locked="0"/>
    </xf>
    <xf numFmtId="0" fontId="0" fillId="41" borderId="11" xfId="8" applyFont="1" applyFill="1" applyBorder="1" applyAlignment="1" applyProtection="1">
      <alignment vertical="center" wrapText="1"/>
      <protection locked="0"/>
    </xf>
    <xf numFmtId="0" fontId="0" fillId="41" borderId="11" xfId="2" applyFont="1" applyFill="1" applyBorder="1" applyAlignment="1" applyProtection="1">
      <alignment horizontal="center" vertical="center" wrapText="1"/>
    </xf>
    <xf numFmtId="0" fontId="0" fillId="41" borderId="179" xfId="8" applyFont="1" applyFill="1" applyBorder="1" applyAlignment="1" applyProtection="1">
      <alignment vertical="center" wrapText="1"/>
      <protection locked="0"/>
    </xf>
    <xf numFmtId="0" fontId="11" fillId="38" borderId="179" xfId="0" applyFont="1" applyFill="1" applyBorder="1" applyAlignment="1" applyProtection="1">
      <alignment vertical="center" wrapText="1"/>
      <protection locked="0"/>
    </xf>
    <xf numFmtId="0" fontId="11" fillId="38" borderId="179" xfId="0" applyFont="1" applyFill="1" applyBorder="1" applyAlignment="1" applyProtection="1">
      <alignment horizontal="center" vertical="center" wrapText="1"/>
      <protection locked="0"/>
    </xf>
    <xf numFmtId="191" fontId="0" fillId="41" borderId="11" xfId="10" applyNumberFormat="1" applyFont="1" applyFill="1" applyBorder="1" applyAlignment="1" applyProtection="1">
      <alignment vertical="center" wrapText="1"/>
      <protection locked="0"/>
    </xf>
    <xf numFmtId="191" fontId="0" fillId="41" borderId="48" xfId="10" applyNumberFormat="1" applyFont="1" applyFill="1" applyBorder="1" applyAlignment="1" applyProtection="1">
      <alignment vertical="center" wrapText="1"/>
      <protection locked="0"/>
    </xf>
    <xf numFmtId="191" fontId="0" fillId="41" borderId="179" xfId="10" applyNumberFormat="1" applyFont="1" applyFill="1" applyBorder="1" applyAlignment="1" applyProtection="1">
      <alignment vertical="center" wrapText="1"/>
      <protection locked="0"/>
    </xf>
    <xf numFmtId="191" fontId="11" fillId="38" borderId="179" xfId="10" applyNumberFormat="1" applyFont="1" applyFill="1" applyBorder="1" applyAlignment="1" applyProtection="1">
      <alignment vertical="center" wrapText="1"/>
      <protection locked="0"/>
    </xf>
    <xf numFmtId="191" fontId="11" fillId="38" borderId="179" xfId="10" applyNumberFormat="1" applyFont="1" applyFill="1" applyBorder="1" applyAlignment="1" applyProtection="1">
      <alignment horizontal="center" vertical="center" wrapText="1"/>
      <protection locked="0"/>
    </xf>
    <xf numFmtId="191" fontId="10" fillId="39" borderId="179" xfId="10" applyNumberFormat="1" applyFont="1" applyFill="1" applyBorder="1" applyAlignment="1" applyProtection="1">
      <alignment horizontal="center" vertical="center" wrapText="1"/>
      <protection locked="0"/>
    </xf>
    <xf numFmtId="0" fontId="0" fillId="41" borderId="48" xfId="8" applyFont="1" applyFill="1" applyBorder="1" applyAlignment="1" applyProtection="1">
      <alignment vertical="center" wrapText="1"/>
      <protection locked="0"/>
    </xf>
    <xf numFmtId="0" fontId="0" fillId="41" borderId="46" xfId="8" applyFont="1" applyFill="1" applyBorder="1" applyAlignment="1" applyProtection="1">
      <alignment vertical="center" wrapText="1"/>
      <protection locked="0"/>
    </xf>
    <xf numFmtId="0" fontId="11" fillId="38" borderId="46" xfId="0" applyFont="1" applyFill="1" applyBorder="1" applyAlignment="1" applyProtection="1">
      <alignment vertical="center" wrapText="1"/>
      <protection locked="0"/>
    </xf>
    <xf numFmtId="2" fontId="10" fillId="39" borderId="46" xfId="0" applyNumberFormat="1" applyFont="1" applyFill="1" applyBorder="1" applyAlignment="1" applyProtection="1">
      <alignment horizontal="center" vertical="center" wrapText="1"/>
      <protection locked="0"/>
    </xf>
    <xf numFmtId="2" fontId="10" fillId="51" borderId="177" xfId="0" applyNumberFormat="1" applyFont="1" applyFill="1" applyBorder="1" applyAlignment="1" applyProtection="1">
      <alignment horizontal="center" vertical="center" wrapText="1"/>
      <protection locked="0"/>
    </xf>
    <xf numFmtId="0" fontId="11" fillId="38" borderId="66" xfId="0" applyFont="1" applyFill="1" applyBorder="1" applyAlignment="1" applyProtection="1">
      <alignment vertical="center" wrapText="1"/>
      <protection locked="0"/>
    </xf>
    <xf numFmtId="191" fontId="11" fillId="38" borderId="66" xfId="10" applyNumberFormat="1" applyFont="1" applyFill="1" applyBorder="1" applyAlignment="1" applyProtection="1">
      <alignment vertical="center" wrapText="1"/>
      <protection locked="0"/>
    </xf>
    <xf numFmtId="0" fontId="11" fillId="38" borderId="177" xfId="0" applyFont="1" applyFill="1" applyBorder="1" applyAlignment="1" applyProtection="1">
      <alignment vertical="center" wrapText="1"/>
      <protection locked="0"/>
    </xf>
    <xf numFmtId="0" fontId="0" fillId="41" borderId="29" xfId="8" applyFont="1" applyFill="1" applyBorder="1" applyAlignment="1" applyProtection="1">
      <alignment vertical="center" wrapText="1"/>
      <protection locked="0"/>
    </xf>
    <xf numFmtId="9" fontId="0" fillId="41" borderId="30" xfId="5" applyFont="1" applyFill="1" applyBorder="1" applyAlignment="1" applyProtection="1">
      <alignment vertical="center" wrapText="1"/>
      <protection locked="0"/>
    </xf>
    <xf numFmtId="0" fontId="0" fillId="41" borderId="30" xfId="8" applyFont="1" applyFill="1" applyBorder="1" applyAlignment="1" applyProtection="1">
      <alignment vertical="center" wrapText="1"/>
      <protection locked="0"/>
    </xf>
    <xf numFmtId="0" fontId="0" fillId="41" borderId="66" xfId="8" applyFont="1" applyFill="1" applyBorder="1" applyAlignment="1" applyProtection="1">
      <alignment vertical="center" wrapText="1"/>
      <protection locked="0"/>
    </xf>
    <xf numFmtId="191" fontId="0" fillId="41" borderId="50" xfId="10" applyNumberFormat="1" applyFont="1" applyFill="1" applyBorder="1" applyAlignment="1" applyProtection="1">
      <alignment vertical="center" wrapText="1"/>
      <protection locked="0"/>
    </xf>
    <xf numFmtId="191" fontId="0" fillId="41" borderId="29" xfId="10" applyNumberFormat="1" applyFont="1" applyFill="1" applyBorder="1" applyAlignment="1" applyProtection="1">
      <alignment vertical="center" wrapText="1"/>
      <protection locked="0"/>
    </xf>
    <xf numFmtId="191" fontId="0" fillId="41" borderId="30" xfId="10" applyNumberFormat="1" applyFont="1" applyFill="1" applyBorder="1" applyAlignment="1" applyProtection="1">
      <alignment vertical="center" wrapText="1"/>
      <protection locked="0"/>
    </xf>
    <xf numFmtId="191" fontId="0" fillId="41" borderId="66" xfId="10" applyNumberFormat="1" applyFont="1" applyFill="1" applyBorder="1" applyAlignment="1" applyProtection="1">
      <alignment vertical="center" wrapText="1"/>
      <protection locked="0"/>
    </xf>
    <xf numFmtId="0" fontId="0" fillId="41" borderId="50" xfId="8" applyFont="1" applyFill="1" applyBorder="1" applyAlignment="1" applyProtection="1">
      <alignment vertical="center" wrapText="1"/>
      <protection locked="0"/>
    </xf>
    <xf numFmtId="0" fontId="0" fillId="41" borderId="177" xfId="8" applyFont="1" applyFill="1" applyBorder="1" applyAlignment="1" applyProtection="1">
      <alignment vertical="center" wrapText="1"/>
      <protection locked="0"/>
    </xf>
    <xf numFmtId="0" fontId="0" fillId="41" borderId="38" xfId="8" applyFont="1" applyFill="1" applyBorder="1" applyAlignment="1" applyProtection="1">
      <alignment vertical="center" wrapText="1"/>
      <protection locked="0"/>
    </xf>
    <xf numFmtId="191" fontId="0" fillId="41" borderId="38" xfId="10" applyNumberFormat="1" applyFont="1" applyFill="1" applyBorder="1" applyAlignment="1" applyProtection="1">
      <alignment vertical="center" wrapText="1"/>
      <protection locked="0"/>
    </xf>
    <xf numFmtId="0" fontId="0" fillId="41" borderId="60" xfId="8" applyFont="1" applyFill="1" applyBorder="1" applyAlignment="1" applyProtection="1">
      <alignment vertical="center" wrapText="1"/>
      <protection locked="0"/>
    </xf>
    <xf numFmtId="0" fontId="0" fillId="41" borderId="52" xfId="2" applyFont="1" applyFill="1" applyBorder="1" applyAlignment="1" applyProtection="1">
      <alignment horizontal="center" vertical="center" wrapText="1"/>
    </xf>
    <xf numFmtId="1" fontId="0" fillId="103" borderId="11" xfId="3" applyNumberFormat="1" applyFont="1" applyFill="1" applyBorder="1" applyAlignment="1" applyProtection="1">
      <alignment horizontal="center" vertical="center" wrapText="1"/>
      <protection locked="0"/>
    </xf>
    <xf numFmtId="9" fontId="0" fillId="103" borderId="184" xfId="5" applyFont="1" applyFill="1" applyBorder="1" applyAlignment="1" applyProtection="1">
      <alignment horizontal="center" vertical="center" wrapText="1"/>
      <protection locked="0"/>
    </xf>
    <xf numFmtId="1" fontId="0" fillId="103" borderId="184" xfId="3" applyNumberFormat="1" applyFont="1" applyFill="1" applyBorder="1" applyAlignment="1" applyProtection="1">
      <alignment horizontal="center" vertical="center" wrapText="1"/>
      <protection locked="0"/>
    </xf>
    <xf numFmtId="1" fontId="0" fillId="103" borderId="179" xfId="3" applyNumberFormat="1" applyFont="1" applyFill="1" applyBorder="1" applyAlignment="1" applyProtection="1">
      <alignment horizontal="center" vertical="center" wrapText="1"/>
      <protection locked="0"/>
    </xf>
    <xf numFmtId="191" fontId="0" fillId="103" borderId="48" xfId="10" applyNumberFormat="1" applyFont="1" applyFill="1" applyBorder="1" applyAlignment="1" applyProtection="1">
      <alignment horizontal="center" vertical="center" wrapText="1"/>
      <protection locked="0"/>
    </xf>
    <xf numFmtId="191" fontId="0" fillId="103" borderId="11" xfId="10" applyNumberFormat="1" applyFont="1" applyFill="1" applyBorder="1" applyAlignment="1" applyProtection="1">
      <alignment horizontal="center" vertical="center" wrapText="1"/>
      <protection locked="0"/>
    </xf>
    <xf numFmtId="191" fontId="0" fillId="103" borderId="184" xfId="10" applyNumberFormat="1" applyFont="1" applyFill="1" applyBorder="1" applyAlignment="1" applyProtection="1">
      <alignment horizontal="center" vertical="center" wrapText="1"/>
      <protection locked="0"/>
    </xf>
    <xf numFmtId="191" fontId="0" fillId="103" borderId="179" xfId="10" applyNumberFormat="1" applyFont="1" applyFill="1" applyBorder="1" applyAlignment="1" applyProtection="1">
      <alignment horizontal="center" vertical="center" wrapText="1"/>
      <protection locked="0"/>
    </xf>
    <xf numFmtId="1" fontId="0" fillId="103" borderId="48" xfId="3" applyNumberFormat="1" applyFont="1" applyFill="1" applyBorder="1" applyAlignment="1" applyProtection="1">
      <alignment horizontal="center" vertical="center" wrapText="1"/>
      <protection locked="0"/>
    </xf>
    <xf numFmtId="1" fontId="0" fillId="103" borderId="46" xfId="3" applyNumberFormat="1" applyFont="1" applyFill="1" applyBorder="1" applyAlignment="1" applyProtection="1">
      <alignment horizontal="center" vertical="center" wrapText="1"/>
      <protection locked="0"/>
    </xf>
    <xf numFmtId="0" fontId="50" fillId="40" borderId="180" xfId="0" applyFont="1" applyFill="1" applyBorder="1" applyAlignment="1" applyProtection="1">
      <alignment horizontal="center" vertical="center" wrapText="1"/>
      <protection locked="0"/>
    </xf>
    <xf numFmtId="191" fontId="0" fillId="4" borderId="29" xfId="10" applyNumberFormat="1" applyFont="1" applyFill="1" applyBorder="1" applyAlignment="1" applyProtection="1">
      <alignment horizontal="center" vertical="center" textRotation="90" wrapText="1"/>
      <protection locked="0"/>
    </xf>
    <xf numFmtId="191" fontId="0" fillId="4" borderId="31" xfId="10" applyNumberFormat="1" applyFont="1" applyFill="1" applyBorder="1" applyAlignment="1" applyProtection="1">
      <alignment horizontal="center" vertical="center" textRotation="90" wrapText="1"/>
      <protection locked="0"/>
    </xf>
    <xf numFmtId="191" fontId="0" fillId="4" borderId="29" xfId="10" applyNumberFormat="1" applyFont="1" applyFill="1" applyBorder="1" applyAlignment="1" applyProtection="1">
      <alignment vertical="center" textRotation="90" wrapText="1"/>
      <protection locked="0"/>
    </xf>
    <xf numFmtId="191" fontId="0" fillId="4" borderId="30" xfId="10" applyNumberFormat="1" applyFont="1" applyFill="1" applyBorder="1" applyAlignment="1" applyProtection="1">
      <alignment vertical="center" textRotation="90" wrapText="1"/>
      <protection locked="0"/>
    </xf>
    <xf numFmtId="191" fontId="0" fillId="4" borderId="31" xfId="10" applyNumberFormat="1" applyFont="1" applyFill="1" applyBorder="1" applyAlignment="1" applyProtection="1">
      <alignment vertical="center" textRotation="90" wrapText="1"/>
      <protection locked="0"/>
    </xf>
    <xf numFmtId="191" fontId="0" fillId="4" borderId="53" xfId="10" applyNumberFormat="1" applyFont="1" applyFill="1" applyBorder="1" applyAlignment="1" applyProtection="1">
      <alignment vertical="center" textRotation="90" wrapText="1"/>
      <protection locked="0"/>
    </xf>
    <xf numFmtId="191" fontId="0" fillId="4" borderId="66" xfId="10" applyNumberFormat="1" applyFont="1" applyFill="1" applyBorder="1" applyAlignment="1" applyProtection="1">
      <alignment vertical="center" textRotation="90" wrapText="1"/>
      <protection locked="0"/>
    </xf>
    <xf numFmtId="0" fontId="8" fillId="10" borderId="183" xfId="0" applyFont="1" applyFill="1" applyBorder="1" applyAlignment="1" applyProtection="1">
      <alignment horizontal="center" vertical="center" wrapText="1"/>
      <protection locked="0"/>
    </xf>
    <xf numFmtId="0" fontId="8" fillId="10" borderId="37" xfId="0" applyFont="1" applyFill="1" applyBorder="1" applyAlignment="1" applyProtection="1">
      <alignment horizontal="center" vertical="center" wrapText="1"/>
      <protection locked="0"/>
    </xf>
    <xf numFmtId="0" fontId="3" fillId="4" borderId="30" xfId="0" applyFont="1" applyFill="1" applyBorder="1" applyAlignment="1" applyProtection="1">
      <alignment horizontal="center" vertical="center" wrapText="1"/>
      <protection locked="0"/>
    </xf>
    <xf numFmtId="0" fontId="8" fillId="4" borderId="31" xfId="0" applyFont="1" applyFill="1" applyBorder="1" applyAlignment="1" applyProtection="1">
      <alignment horizontal="center" vertical="center" wrapText="1"/>
      <protection locked="0"/>
    </xf>
    <xf numFmtId="0" fontId="11" fillId="44" borderId="46" xfId="0" applyFont="1" applyFill="1" applyBorder="1" applyAlignment="1" applyProtection="1">
      <alignment horizontal="center" vertical="center" wrapText="1"/>
      <protection locked="0"/>
    </xf>
    <xf numFmtId="0" fontId="11" fillId="44" borderId="177"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wrapText="1"/>
      <protection locked="0"/>
    </xf>
    <xf numFmtId="0" fontId="11" fillId="7" borderId="177" xfId="0" applyFont="1" applyFill="1" applyBorder="1" applyAlignment="1" applyProtection="1">
      <alignment horizontal="center" vertical="center" wrapText="1"/>
      <protection locked="0"/>
    </xf>
    <xf numFmtId="0" fontId="11" fillId="51" borderId="60" xfId="0" applyFont="1" applyFill="1" applyBorder="1" applyAlignment="1" applyProtection="1">
      <alignment horizontal="center" vertical="center" wrapText="1"/>
      <protection locked="0"/>
    </xf>
    <xf numFmtId="0" fontId="10" fillId="51" borderId="46" xfId="0" applyFont="1" applyFill="1" applyBorder="1" applyAlignment="1" applyProtection="1">
      <alignment horizontal="center" vertical="center" wrapText="1"/>
      <protection locked="0"/>
    </xf>
    <xf numFmtId="0" fontId="11" fillId="51" borderId="46" xfId="0" applyFont="1" applyFill="1" applyBorder="1" applyAlignment="1" applyProtection="1">
      <alignment horizontal="center" vertical="center" wrapText="1"/>
      <protection locked="0"/>
    </xf>
    <xf numFmtId="0" fontId="11" fillId="69" borderId="43" xfId="0" applyFont="1" applyFill="1" applyBorder="1" applyAlignment="1" applyProtection="1">
      <alignment horizontal="center" vertical="center" wrapText="1"/>
      <protection locked="0"/>
    </xf>
    <xf numFmtId="0" fontId="10" fillId="29" borderId="51" xfId="0" applyFont="1" applyFill="1" applyBorder="1" applyAlignment="1" applyProtection="1">
      <alignment vertical="center" wrapText="1"/>
      <protection locked="0"/>
    </xf>
    <xf numFmtId="9" fontId="10" fillId="29" borderId="32" xfId="5" applyFont="1" applyFill="1" applyBorder="1" applyAlignment="1" applyProtection="1">
      <alignment vertical="center" wrapText="1"/>
      <protection locked="0"/>
    </xf>
    <xf numFmtId="0" fontId="10" fillId="29" borderId="32" xfId="0" applyFont="1" applyFill="1" applyBorder="1" applyAlignment="1" applyProtection="1">
      <alignment vertical="center" wrapText="1"/>
      <protection locked="0"/>
    </xf>
    <xf numFmtId="0" fontId="10" fillId="29" borderId="38" xfId="0" applyFont="1" applyFill="1" applyBorder="1" applyAlignment="1" applyProtection="1">
      <alignment vertical="center" wrapText="1"/>
      <protection locked="0"/>
    </xf>
    <xf numFmtId="191" fontId="10" fillId="29" borderId="99" xfId="10" applyNumberFormat="1" applyFont="1" applyFill="1" applyBorder="1" applyAlignment="1" applyProtection="1">
      <alignment vertical="center" wrapText="1"/>
      <protection locked="0"/>
    </xf>
    <xf numFmtId="191" fontId="10" fillId="29" borderId="51" xfId="10" applyNumberFormat="1" applyFont="1" applyFill="1" applyBorder="1" applyAlignment="1" applyProtection="1">
      <alignment vertical="center" wrapText="1"/>
      <protection locked="0"/>
    </xf>
    <xf numFmtId="191" fontId="10" fillId="29" borderId="32" xfId="10" applyNumberFormat="1" applyFont="1" applyFill="1" applyBorder="1" applyAlignment="1" applyProtection="1">
      <alignment vertical="center" wrapText="1"/>
      <protection locked="0"/>
    </xf>
    <xf numFmtId="191" fontId="10" fillId="29" borderId="38" xfId="10" applyNumberFormat="1" applyFont="1" applyFill="1" applyBorder="1" applyAlignment="1" applyProtection="1">
      <alignment vertical="center" wrapText="1"/>
      <protection locked="0"/>
    </xf>
    <xf numFmtId="0" fontId="10" fillId="29" borderId="99" xfId="0" applyFont="1" applyFill="1" applyBorder="1" applyAlignment="1" applyProtection="1">
      <alignment vertical="center" wrapText="1"/>
      <protection locked="0"/>
    </xf>
    <xf numFmtId="0" fontId="10" fillId="29" borderId="60" xfId="0" applyFont="1" applyFill="1" applyBorder="1" applyAlignment="1" applyProtection="1">
      <alignment vertical="center" wrapText="1"/>
      <protection locked="0"/>
    </xf>
    <xf numFmtId="0" fontId="10" fillId="29" borderId="11" xfId="0" applyFont="1" applyFill="1" applyBorder="1" applyAlignment="1" applyProtection="1">
      <alignment vertical="center" wrapText="1"/>
      <protection locked="0"/>
    </xf>
    <xf numFmtId="9" fontId="10" fillId="29" borderId="184" xfId="5" applyFont="1" applyFill="1" applyBorder="1" applyAlignment="1" applyProtection="1">
      <alignment vertical="center" wrapText="1"/>
      <protection locked="0"/>
    </xf>
    <xf numFmtId="0" fontId="10" fillId="29" borderId="184" xfId="0" applyFont="1" applyFill="1" applyBorder="1" applyAlignment="1" applyProtection="1">
      <alignment vertical="center" wrapText="1"/>
      <protection locked="0"/>
    </xf>
    <xf numFmtId="0" fontId="10" fillId="29" borderId="179" xfId="0" applyFont="1" applyFill="1" applyBorder="1" applyAlignment="1" applyProtection="1">
      <alignment vertical="center" wrapText="1"/>
      <protection locked="0"/>
    </xf>
    <xf numFmtId="191" fontId="10" fillId="29" borderId="48" xfId="10" applyNumberFormat="1" applyFont="1" applyFill="1" applyBorder="1" applyAlignment="1" applyProtection="1">
      <alignment vertical="center" wrapText="1"/>
      <protection locked="0"/>
    </xf>
    <xf numFmtId="191" fontId="10" fillId="29" borderId="11" xfId="10" applyNumberFormat="1" applyFont="1" applyFill="1" applyBorder="1" applyAlignment="1" applyProtection="1">
      <alignment vertical="center" wrapText="1"/>
      <protection locked="0"/>
    </xf>
    <xf numFmtId="191" fontId="10" fillId="29" borderId="184" xfId="10" applyNumberFormat="1" applyFont="1" applyFill="1" applyBorder="1" applyAlignment="1" applyProtection="1">
      <alignment vertical="center" wrapText="1"/>
      <protection locked="0"/>
    </xf>
    <xf numFmtId="191" fontId="10" fillId="29" borderId="179" xfId="10" applyNumberFormat="1" applyFont="1" applyFill="1" applyBorder="1" applyAlignment="1" applyProtection="1">
      <alignment vertical="center" wrapText="1"/>
      <protection locked="0"/>
    </xf>
    <xf numFmtId="0" fontId="10" fillId="29" borderId="48" xfId="0" applyFont="1" applyFill="1" applyBorder="1" applyAlignment="1" applyProtection="1">
      <alignment vertical="center" wrapText="1"/>
      <protection locked="0"/>
    </xf>
    <xf numFmtId="0" fontId="10" fillId="29" borderId="46" xfId="0" applyFont="1" applyFill="1" applyBorder="1" applyAlignment="1" applyProtection="1">
      <alignment vertical="center" wrapText="1"/>
      <protection locked="0"/>
    </xf>
    <xf numFmtId="0" fontId="10" fillId="29" borderId="29" xfId="0" applyFont="1" applyFill="1" applyBorder="1" applyAlignment="1" applyProtection="1">
      <alignment vertical="center" wrapText="1"/>
      <protection locked="0"/>
    </xf>
    <xf numFmtId="9" fontId="10" fillId="29" borderId="30" xfId="5" applyFont="1" applyFill="1" applyBorder="1" applyAlignment="1" applyProtection="1">
      <alignment vertical="center" wrapText="1"/>
      <protection locked="0"/>
    </xf>
    <xf numFmtId="0" fontId="10" fillId="29" borderId="30" xfId="0" applyFont="1" applyFill="1" applyBorder="1" applyAlignment="1" applyProtection="1">
      <alignment vertical="center" wrapText="1"/>
      <protection locked="0"/>
    </xf>
    <xf numFmtId="0" fontId="10" fillId="29" borderId="66" xfId="0" applyFont="1" applyFill="1" applyBorder="1" applyAlignment="1" applyProtection="1">
      <alignment vertical="center" wrapText="1"/>
      <protection locked="0"/>
    </xf>
    <xf numFmtId="191" fontId="10" fillId="29" borderId="50" xfId="10" applyNumberFormat="1" applyFont="1" applyFill="1" applyBorder="1" applyAlignment="1" applyProtection="1">
      <alignment vertical="center" wrapText="1"/>
      <protection locked="0"/>
    </xf>
    <xf numFmtId="191" fontId="10" fillId="29" borderId="29" xfId="10" applyNumberFormat="1" applyFont="1" applyFill="1" applyBorder="1" applyAlignment="1" applyProtection="1">
      <alignment vertical="center" wrapText="1"/>
      <protection locked="0"/>
    </xf>
    <xf numFmtId="191" fontId="10" fillId="29" borderId="30" xfId="10" applyNumberFormat="1" applyFont="1" applyFill="1" applyBorder="1" applyAlignment="1" applyProtection="1">
      <alignment vertical="center" wrapText="1"/>
      <protection locked="0"/>
    </xf>
    <xf numFmtId="191" fontId="10" fillId="29" borderId="66" xfId="10" applyNumberFormat="1" applyFont="1" applyFill="1" applyBorder="1" applyAlignment="1" applyProtection="1">
      <alignment vertical="center" wrapText="1"/>
      <protection locked="0"/>
    </xf>
    <xf numFmtId="0" fontId="10" fillId="29" borderId="50" xfId="0" applyFont="1" applyFill="1" applyBorder="1" applyAlignment="1" applyProtection="1">
      <alignment vertical="center" wrapText="1"/>
      <protection locked="0"/>
    </xf>
    <xf numFmtId="0" fontId="10" fillId="29" borderId="177" xfId="0" applyFont="1" applyFill="1" applyBorder="1" applyAlignment="1" applyProtection="1">
      <alignment vertical="center" wrapText="1"/>
      <protection locked="0"/>
    </xf>
    <xf numFmtId="0" fontId="10" fillId="42" borderId="51" xfId="0" applyFont="1" applyFill="1" applyBorder="1" applyAlignment="1" applyProtection="1">
      <alignment vertical="center" wrapText="1"/>
      <protection locked="0"/>
    </xf>
    <xf numFmtId="9" fontId="10" fillId="42" borderId="32" xfId="5" applyFont="1" applyFill="1" applyBorder="1" applyAlignment="1" applyProtection="1">
      <alignment vertical="center" wrapText="1"/>
      <protection locked="0"/>
    </xf>
    <xf numFmtId="0" fontId="10" fillId="42" borderId="32" xfId="0" applyFont="1" applyFill="1" applyBorder="1" applyAlignment="1" applyProtection="1">
      <alignment vertical="center" wrapText="1"/>
      <protection locked="0"/>
    </xf>
    <xf numFmtId="0" fontId="10" fillId="42" borderId="38" xfId="0" applyFont="1" applyFill="1" applyBorder="1" applyAlignment="1" applyProtection="1">
      <alignment vertical="center" wrapText="1"/>
      <protection locked="0"/>
    </xf>
    <xf numFmtId="191" fontId="10" fillId="42" borderId="99" xfId="10" applyNumberFormat="1" applyFont="1" applyFill="1" applyBorder="1" applyAlignment="1" applyProtection="1">
      <alignment vertical="center" wrapText="1"/>
      <protection locked="0"/>
    </xf>
    <xf numFmtId="191" fontId="10" fillId="42" borderId="51" xfId="10" applyNumberFormat="1" applyFont="1" applyFill="1" applyBorder="1" applyAlignment="1" applyProtection="1">
      <alignment vertical="center" wrapText="1"/>
      <protection locked="0"/>
    </xf>
    <xf numFmtId="191" fontId="10" fillId="42" borderId="32" xfId="10" applyNumberFormat="1" applyFont="1" applyFill="1" applyBorder="1" applyAlignment="1" applyProtection="1">
      <alignment vertical="center" wrapText="1"/>
      <protection locked="0"/>
    </xf>
    <xf numFmtId="191" fontId="10" fillId="42" borderId="38" xfId="10" applyNumberFormat="1" applyFont="1" applyFill="1" applyBorder="1" applyAlignment="1" applyProtection="1">
      <alignment vertical="center" wrapText="1"/>
      <protection locked="0"/>
    </xf>
    <xf numFmtId="0" fontId="10" fillId="42" borderId="99" xfId="0" applyFont="1" applyFill="1" applyBorder="1" applyAlignment="1" applyProtection="1">
      <alignment vertical="center" wrapText="1"/>
      <protection locked="0"/>
    </xf>
    <xf numFmtId="0" fontId="10" fillId="42" borderId="60" xfId="0" applyFont="1" applyFill="1" applyBorder="1" applyAlignment="1" applyProtection="1">
      <alignment vertical="center" wrapText="1"/>
      <protection locked="0"/>
    </xf>
    <xf numFmtId="0" fontId="0" fillId="40" borderId="45" xfId="0" applyFont="1" applyFill="1" applyBorder="1" applyAlignment="1" applyProtection="1">
      <alignment horizontal="center" vertical="center" wrapText="1"/>
      <protection locked="0"/>
    </xf>
    <xf numFmtId="0" fontId="11" fillId="38" borderId="60" xfId="0" applyFont="1" applyFill="1" applyBorder="1" applyAlignment="1" applyProtection="1">
      <alignment horizontal="center" vertical="center" wrapText="1"/>
      <protection locked="0"/>
    </xf>
    <xf numFmtId="0" fontId="3" fillId="40" borderId="15" xfId="0" applyFont="1" applyFill="1" applyBorder="1" applyAlignment="1" applyProtection="1">
      <alignment horizontal="center" vertical="center" wrapText="1"/>
      <protection locked="0"/>
    </xf>
    <xf numFmtId="0" fontId="11" fillId="44" borderId="155" xfId="0" applyFont="1" applyFill="1" applyBorder="1" applyAlignment="1" applyProtection="1">
      <alignment horizontal="center" vertical="center" wrapText="1"/>
      <protection locked="0"/>
    </xf>
    <xf numFmtId="0" fontId="11" fillId="44" borderId="161" xfId="0" applyFont="1" applyFill="1" applyBorder="1" applyAlignment="1" applyProtection="1">
      <alignment horizontal="center" vertical="center" wrapText="1"/>
      <protection locked="0"/>
    </xf>
    <xf numFmtId="0" fontId="11" fillId="7" borderId="100" xfId="0" applyFont="1" applyFill="1" applyBorder="1" applyAlignment="1" applyProtection="1">
      <alignment horizontal="center" vertical="center" wrapText="1"/>
      <protection locked="0"/>
    </xf>
    <xf numFmtId="0" fontId="11" fillId="7" borderId="161" xfId="0" applyFont="1" applyFill="1" applyBorder="1" applyAlignment="1" applyProtection="1">
      <alignment horizontal="center" vertical="center" wrapText="1"/>
      <protection locked="0"/>
    </xf>
    <xf numFmtId="0" fontId="11" fillId="51" borderId="100" xfId="0" applyFont="1" applyFill="1" applyBorder="1" applyAlignment="1" applyProtection="1">
      <alignment horizontal="center" vertical="center" wrapText="1"/>
      <protection locked="0"/>
    </xf>
    <xf numFmtId="0" fontId="10" fillId="51" borderId="155" xfId="0" applyFont="1" applyFill="1" applyBorder="1" applyAlignment="1" applyProtection="1">
      <alignment horizontal="center" vertical="center" wrapText="1"/>
      <protection locked="0"/>
    </xf>
    <xf numFmtId="0" fontId="11" fillId="51" borderId="155" xfId="0" applyFont="1" applyFill="1" applyBorder="1" applyAlignment="1" applyProtection="1">
      <alignment horizontal="center" vertical="center" wrapText="1"/>
      <protection locked="0"/>
    </xf>
    <xf numFmtId="0" fontId="11" fillId="69" borderId="64" xfId="0" applyFont="1" applyFill="1" applyBorder="1" applyAlignment="1" applyProtection="1">
      <alignment horizontal="center" vertical="center" wrapText="1"/>
      <protection locked="0"/>
    </xf>
    <xf numFmtId="0" fontId="11" fillId="38" borderId="100" xfId="0" applyFont="1" applyFill="1" applyBorder="1" applyAlignment="1" applyProtection="1">
      <alignment horizontal="center" vertical="center" wrapText="1"/>
      <protection locked="0"/>
    </xf>
    <xf numFmtId="3" fontId="0" fillId="38" borderId="180" xfId="2" applyNumberFormat="1" applyFont="1" applyFill="1" applyBorder="1" applyAlignment="1" applyProtection="1">
      <alignment horizontal="center" vertical="center" wrapText="1"/>
    </xf>
    <xf numFmtId="3" fontId="0" fillId="38" borderId="180" xfId="2" applyNumberFormat="1" applyFont="1" applyFill="1" applyBorder="1" applyAlignment="1" applyProtection="1">
      <alignment horizontal="center" vertical="center"/>
    </xf>
    <xf numFmtId="9" fontId="0" fillId="38" borderId="180" xfId="0" applyNumberFormat="1" applyFont="1" applyFill="1" applyBorder="1" applyAlignment="1" applyProtection="1">
      <alignment horizontal="center" vertical="center"/>
      <protection locked="0"/>
    </xf>
    <xf numFmtId="0" fontId="0" fillId="38" borderId="180" xfId="0" applyFont="1" applyFill="1" applyBorder="1" applyAlignment="1" applyProtection="1">
      <alignment horizontal="center" vertical="center"/>
      <protection locked="0"/>
    </xf>
    <xf numFmtId="181" fontId="0" fillId="38" borderId="180" xfId="7" applyNumberFormat="1" applyFont="1" applyFill="1" applyBorder="1" applyAlignment="1" applyProtection="1">
      <alignment horizontal="center" vertical="center"/>
      <protection locked="0"/>
    </xf>
    <xf numFmtId="166" fontId="0" fillId="38" borderId="180" xfId="7" applyFont="1" applyFill="1" applyBorder="1" applyAlignment="1" applyProtection="1">
      <alignment horizontal="center" vertical="center"/>
      <protection locked="0"/>
    </xf>
    <xf numFmtId="0" fontId="10" fillId="38" borderId="180" xfId="0" applyFont="1" applyFill="1" applyBorder="1" applyAlignment="1" applyProtection="1">
      <alignment horizontal="center" vertical="center"/>
      <protection locked="0"/>
    </xf>
    <xf numFmtId="0" fontId="11" fillId="38" borderId="180" xfId="0" applyFont="1" applyFill="1" applyBorder="1" applyAlignment="1">
      <alignment horizontal="center" vertical="center"/>
    </xf>
    <xf numFmtId="1" fontId="0" fillId="38" borderId="180" xfId="0" applyNumberFormat="1" applyFont="1" applyFill="1" applyBorder="1" applyAlignment="1">
      <alignment horizontal="center" vertical="center"/>
    </xf>
    <xf numFmtId="1" fontId="0" fillId="38" borderId="180" xfId="0" applyNumberFormat="1" applyFont="1" applyFill="1" applyBorder="1" applyAlignment="1">
      <alignment horizontal="center" vertical="center" wrapText="1"/>
    </xf>
    <xf numFmtId="9" fontId="11" fillId="38" borderId="180" xfId="0" applyNumberFormat="1" applyFont="1" applyFill="1" applyBorder="1" applyAlignment="1">
      <alignment horizontal="center" vertical="center" wrapText="1"/>
    </xf>
    <xf numFmtId="0" fontId="0" fillId="38" borderId="180" xfId="0" applyFont="1" applyFill="1" applyBorder="1"/>
    <xf numFmtId="0" fontId="0" fillId="38" borderId="180" xfId="0" applyFont="1" applyFill="1" applyBorder="1" applyAlignment="1">
      <alignment horizontal="left" vertical="top" wrapText="1"/>
    </xf>
    <xf numFmtId="3" fontId="0" fillId="38" borderId="180" xfId="0" applyNumberFormat="1" applyFont="1" applyFill="1" applyBorder="1" applyAlignment="1">
      <alignment horizontal="center" vertical="center"/>
    </xf>
    <xf numFmtId="0" fontId="0" fillId="38" borderId="180" xfId="0" applyFont="1" applyFill="1" applyBorder="1" applyAlignment="1">
      <alignment horizontal="center" vertical="center"/>
    </xf>
    <xf numFmtId="0" fontId="0" fillId="38" borderId="159" xfId="0" applyFont="1" applyFill="1" applyBorder="1"/>
    <xf numFmtId="0" fontId="0" fillId="38" borderId="158" xfId="0" applyFont="1" applyFill="1" applyBorder="1" applyProtection="1">
      <protection locked="0"/>
    </xf>
    <xf numFmtId="0" fontId="0" fillId="38" borderId="180" xfId="0" applyFont="1" applyFill="1" applyBorder="1" applyProtection="1">
      <protection locked="0"/>
    </xf>
    <xf numFmtId="0" fontId="0" fillId="38" borderId="159" xfId="0" applyFont="1" applyFill="1" applyBorder="1" applyProtection="1">
      <protection locked="0"/>
    </xf>
    <xf numFmtId="0" fontId="11" fillId="41" borderId="30" xfId="0" applyFont="1" applyFill="1" applyBorder="1" applyAlignment="1" applyProtection="1">
      <alignment horizontal="justify" vertical="center" wrapText="1"/>
    </xf>
    <xf numFmtId="0" fontId="0" fillId="38" borderId="30" xfId="2" applyFont="1" applyFill="1" applyBorder="1" applyAlignment="1" applyProtection="1">
      <alignment horizontal="justify" vertical="center" wrapText="1"/>
    </xf>
    <xf numFmtId="0" fontId="0" fillId="33" borderId="30" xfId="2" applyFont="1" applyFill="1" applyBorder="1" applyAlignment="1" applyProtection="1">
      <alignment horizontal="justify" vertical="center" wrapText="1"/>
    </xf>
    <xf numFmtId="0" fontId="0" fillId="51" borderId="30" xfId="2" applyFont="1" applyFill="1" applyBorder="1" applyAlignment="1" applyProtection="1">
      <alignment horizontal="justify" vertical="center" wrapText="1"/>
    </xf>
    <xf numFmtId="0" fontId="0" fillId="41" borderId="32" xfId="2" applyFont="1" applyFill="1" applyBorder="1" applyAlignment="1" applyProtection="1">
      <alignment horizontal="justify" vertical="center" wrapText="1"/>
    </xf>
    <xf numFmtId="0" fontId="11" fillId="41" borderId="32" xfId="0" applyFont="1" applyFill="1" applyBorder="1" applyAlignment="1" applyProtection="1">
      <alignment horizontal="justify" vertical="center" wrapText="1"/>
    </xf>
    <xf numFmtId="0" fontId="0" fillId="41" borderId="184" xfId="2" applyFont="1" applyFill="1" applyBorder="1" applyAlignment="1" applyProtection="1">
      <alignment horizontal="justify" vertical="center" wrapText="1"/>
    </xf>
    <xf numFmtId="0" fontId="11" fillId="41" borderId="184" xfId="0" applyFont="1" applyFill="1" applyBorder="1" applyAlignment="1" applyProtection="1">
      <alignment horizontal="justify" vertical="center" wrapText="1"/>
    </xf>
    <xf numFmtId="0" fontId="0" fillId="41" borderId="30" xfId="2" applyFont="1" applyFill="1" applyBorder="1" applyAlignment="1" applyProtection="1">
      <alignment horizontal="justify" vertical="center" wrapText="1"/>
    </xf>
    <xf numFmtId="0" fontId="11" fillId="39" borderId="32" xfId="0" applyFont="1" applyFill="1" applyBorder="1" applyAlignment="1" applyProtection="1">
      <alignment horizontal="justify" vertical="center" wrapText="1"/>
    </xf>
    <xf numFmtId="0" fontId="0" fillId="39" borderId="184" xfId="2" applyFont="1" applyFill="1" applyBorder="1" applyAlignment="1" applyProtection="1">
      <alignment horizontal="justify" vertical="center" wrapText="1"/>
    </xf>
    <xf numFmtId="0" fontId="11" fillId="39" borderId="184" xfId="0" applyFont="1" applyFill="1" applyBorder="1" applyAlignment="1" applyProtection="1">
      <alignment horizontal="justify" vertical="center" wrapText="1"/>
    </xf>
    <xf numFmtId="0" fontId="7" fillId="39" borderId="184" xfId="0" applyFont="1" applyFill="1" applyBorder="1" applyAlignment="1" applyProtection="1">
      <alignment horizontal="justify" vertical="center" wrapText="1"/>
    </xf>
    <xf numFmtId="0" fontId="0" fillId="39" borderId="30" xfId="2" applyFont="1" applyFill="1" applyBorder="1" applyAlignment="1" applyProtection="1">
      <alignment horizontal="justify" vertical="center" wrapText="1"/>
    </xf>
    <xf numFmtId="0" fontId="7" fillId="39" borderId="30" xfId="0" applyFont="1" applyFill="1" applyBorder="1" applyAlignment="1" applyProtection="1">
      <alignment horizontal="justify" vertical="center" wrapText="1"/>
    </xf>
    <xf numFmtId="0" fontId="11" fillId="38" borderId="32" xfId="0" applyFont="1" applyFill="1" applyBorder="1" applyAlignment="1" applyProtection="1">
      <alignment horizontal="justify" vertical="center" wrapText="1"/>
    </xf>
    <xf numFmtId="0" fontId="0" fillId="38" borderId="184" xfId="2" applyFont="1" applyFill="1" applyBorder="1" applyAlignment="1" applyProtection="1">
      <alignment horizontal="justify" vertical="center" wrapText="1"/>
    </xf>
    <xf numFmtId="0" fontId="7" fillId="38" borderId="184" xfId="0" applyFont="1" applyFill="1" applyBorder="1" applyAlignment="1" applyProtection="1">
      <alignment horizontal="justify" vertical="center" wrapText="1"/>
    </xf>
    <xf numFmtId="0" fontId="0" fillId="38" borderId="184" xfId="0" applyFont="1" applyFill="1" applyBorder="1" applyAlignment="1" applyProtection="1">
      <alignment horizontal="justify" vertical="center" wrapText="1"/>
    </xf>
    <xf numFmtId="0" fontId="0" fillId="38" borderId="30" xfId="0" applyFont="1" applyFill="1" applyBorder="1" applyAlignment="1" applyProtection="1">
      <alignment horizontal="justify" vertical="center" wrapText="1"/>
    </xf>
    <xf numFmtId="0" fontId="0" fillId="33" borderId="32" xfId="2" applyFont="1" applyFill="1" applyBorder="1" applyAlignment="1" applyProtection="1">
      <alignment horizontal="justify" vertical="center" wrapText="1"/>
    </xf>
    <xf numFmtId="0" fontId="0" fillId="33" borderId="184" xfId="2" applyFont="1" applyFill="1" applyBorder="1" applyAlignment="1" applyProtection="1">
      <alignment horizontal="justify" vertical="center" wrapText="1"/>
    </xf>
    <xf numFmtId="0" fontId="0" fillId="33" borderId="184" xfId="0" applyFont="1" applyFill="1" applyBorder="1" applyAlignment="1" applyProtection="1">
      <alignment horizontal="justify" vertical="center" wrapText="1"/>
    </xf>
    <xf numFmtId="0" fontId="0" fillId="33" borderId="30" xfId="0" applyFont="1" applyFill="1" applyBorder="1" applyAlignment="1" applyProtection="1">
      <alignment horizontal="justify" vertical="center" wrapText="1"/>
    </xf>
    <xf numFmtId="0" fontId="0" fillId="51" borderId="32" xfId="2" applyFont="1" applyFill="1" applyBorder="1" applyAlignment="1" applyProtection="1">
      <alignment horizontal="justify" vertical="center" wrapText="1"/>
    </xf>
    <xf numFmtId="0" fontId="0" fillId="51" borderId="184" xfId="2" applyFont="1" applyFill="1" applyBorder="1" applyAlignment="1" applyProtection="1">
      <alignment horizontal="justify" vertical="center" wrapText="1"/>
    </xf>
    <xf numFmtId="0" fontId="0" fillId="51" borderId="184" xfId="0" applyFont="1" applyFill="1" applyBorder="1" applyAlignment="1" applyProtection="1">
      <alignment horizontal="justify" vertical="center" wrapText="1"/>
    </xf>
    <xf numFmtId="0" fontId="7" fillId="51" borderId="184" xfId="0" applyFont="1" applyFill="1" applyBorder="1" applyAlignment="1" applyProtection="1">
      <alignment horizontal="justify" vertical="center" wrapText="1"/>
    </xf>
    <xf numFmtId="0" fontId="0" fillId="51" borderId="30" xfId="0" applyFont="1" applyFill="1" applyBorder="1" applyAlignment="1" applyProtection="1">
      <alignment horizontal="justify" vertical="center" wrapText="1"/>
    </xf>
    <xf numFmtId="0" fontId="11" fillId="7" borderId="32" xfId="0" applyFont="1" applyFill="1" applyBorder="1" applyAlignment="1" applyProtection="1">
      <alignment horizontal="justify" vertical="center" wrapText="1"/>
    </xf>
    <xf numFmtId="0" fontId="7" fillId="7" borderId="32" xfId="2" applyFont="1" applyFill="1" applyBorder="1" applyAlignment="1" applyProtection="1">
      <alignment horizontal="justify" vertical="center" wrapText="1"/>
    </xf>
    <xf numFmtId="0" fontId="11" fillId="7" borderId="184" xfId="0" applyFont="1" applyFill="1" applyBorder="1" applyAlignment="1" applyProtection="1">
      <alignment horizontal="justify" vertical="center" wrapText="1"/>
    </xf>
    <xf numFmtId="0" fontId="0" fillId="7" borderId="184" xfId="2" applyFont="1" applyFill="1" applyBorder="1" applyAlignment="1" applyProtection="1">
      <alignment horizontal="justify" vertical="center" wrapText="1"/>
    </xf>
    <xf numFmtId="0" fontId="0" fillId="7" borderId="184" xfId="0" applyFont="1" applyFill="1" applyBorder="1" applyAlignment="1" applyProtection="1">
      <alignment horizontal="justify" vertical="center" wrapText="1"/>
    </xf>
    <xf numFmtId="0" fontId="0" fillId="7" borderId="30" xfId="2" applyFont="1" applyFill="1" applyBorder="1" applyAlignment="1" applyProtection="1">
      <alignment horizontal="justify" vertical="center" wrapText="1"/>
    </xf>
    <xf numFmtId="0" fontId="0" fillId="7" borderId="30" xfId="0" applyFont="1" applyFill="1" applyBorder="1" applyAlignment="1" applyProtection="1">
      <alignment horizontal="justify" vertical="center" wrapText="1"/>
    </xf>
    <xf numFmtId="0" fontId="7" fillId="38" borderId="32" xfId="0" applyFont="1" applyFill="1" applyBorder="1" applyAlignment="1" applyProtection="1">
      <alignment horizontal="justify" vertical="center" wrapText="1"/>
    </xf>
    <xf numFmtId="0" fontId="11" fillId="38" borderId="184" xfId="0" applyFont="1" applyFill="1" applyBorder="1" applyAlignment="1" applyProtection="1">
      <alignment horizontal="justify" vertical="center" wrapText="1"/>
    </xf>
    <xf numFmtId="0" fontId="0" fillId="38" borderId="184" xfId="0" applyFont="1" applyFill="1" applyBorder="1" applyAlignment="1" applyProtection="1">
      <alignment horizontal="justify" vertical="center"/>
    </xf>
    <xf numFmtId="0" fontId="0" fillId="38" borderId="30" xfId="0" applyFont="1" applyFill="1" applyBorder="1" applyAlignment="1" applyProtection="1">
      <alignment horizontal="justify" vertical="center"/>
    </xf>
    <xf numFmtId="0" fontId="0" fillId="38" borderId="180" xfId="2" applyFont="1" applyFill="1" applyBorder="1" applyAlignment="1" applyProtection="1">
      <alignment horizontal="justify" vertical="center" wrapText="1"/>
    </xf>
    <xf numFmtId="0" fontId="0" fillId="38" borderId="32" xfId="2" applyFont="1" applyFill="1" applyBorder="1" applyAlignment="1" applyProtection="1">
      <alignment horizontal="justify" vertical="center" wrapText="1"/>
    </xf>
    <xf numFmtId="0" fontId="0" fillId="39" borderId="32" xfId="2" applyFont="1" applyFill="1" applyBorder="1" applyAlignment="1" applyProtection="1">
      <alignment horizontal="justify" vertical="center" wrapText="1"/>
    </xf>
    <xf numFmtId="0" fontId="11" fillId="41" borderId="19" xfId="0" applyFont="1" applyFill="1" applyBorder="1" applyAlignment="1" applyProtection="1">
      <alignment horizontal="justify" vertical="center" wrapText="1"/>
    </xf>
    <xf numFmtId="0" fontId="11" fillId="41" borderId="53" xfId="0" applyFont="1" applyFill="1" applyBorder="1" applyAlignment="1" applyProtection="1">
      <alignment horizontal="justify" vertical="center" wrapText="1"/>
    </xf>
    <xf numFmtId="0" fontId="0" fillId="39" borderId="53" xfId="2" applyFont="1" applyFill="1" applyBorder="1" applyAlignment="1" applyProtection="1">
      <alignment horizontal="justify" vertical="center"/>
    </xf>
    <xf numFmtId="0" fontId="0" fillId="38" borderId="53" xfId="2" applyFont="1" applyFill="1" applyBorder="1" applyAlignment="1" applyProtection="1">
      <alignment horizontal="justify" vertical="center" wrapText="1"/>
    </xf>
    <xf numFmtId="0" fontId="0" fillId="33" borderId="154" xfId="2" applyFont="1" applyFill="1" applyBorder="1" applyAlignment="1" applyProtection="1">
      <alignment horizontal="justify" vertical="center" wrapText="1"/>
    </xf>
    <xf numFmtId="0" fontId="0" fillId="33" borderId="53" xfId="2" applyFont="1" applyFill="1" applyBorder="1" applyAlignment="1" applyProtection="1">
      <alignment horizontal="justify" vertical="center" wrapText="1"/>
    </xf>
    <xf numFmtId="0" fontId="0" fillId="51" borderId="154" xfId="2" applyFont="1" applyFill="1" applyBorder="1" applyAlignment="1" applyProtection="1">
      <alignment horizontal="justify" vertical="center" wrapText="1"/>
    </xf>
    <xf numFmtId="0" fontId="0" fillId="51" borderId="53" xfId="2" applyFont="1" applyFill="1" applyBorder="1" applyAlignment="1" applyProtection="1">
      <alignment horizontal="justify" vertical="center" wrapText="1"/>
    </xf>
    <xf numFmtId="0" fontId="0" fillId="7" borderId="54" xfId="2" applyFont="1" applyFill="1" applyBorder="1" applyAlignment="1" applyProtection="1">
      <alignment horizontal="justify" vertical="center" wrapText="1"/>
    </xf>
    <xf numFmtId="0" fontId="11" fillId="40" borderId="9" xfId="0" applyFont="1" applyFill="1" applyBorder="1" applyAlignment="1" applyProtection="1">
      <alignment horizontal="justify" vertical="center" wrapText="1"/>
      <protection locked="0"/>
    </xf>
    <xf numFmtId="0" fontId="11" fillId="44" borderId="94" xfId="0" applyFont="1" applyFill="1" applyBorder="1" applyAlignment="1" applyProtection="1">
      <alignment horizontal="justify" vertical="center" wrapText="1"/>
      <protection locked="0"/>
    </xf>
    <xf numFmtId="0" fontId="11" fillId="44" borderId="159" xfId="0" applyFont="1" applyFill="1" applyBorder="1" applyAlignment="1" applyProtection="1">
      <alignment horizontal="justify" vertical="center" wrapText="1"/>
      <protection locked="0"/>
    </xf>
    <xf numFmtId="0" fontId="11" fillId="7" borderId="9" xfId="0" applyFont="1" applyFill="1" applyBorder="1" applyAlignment="1" applyProtection="1">
      <alignment horizontal="justify" vertical="center" wrapText="1"/>
      <protection locked="0"/>
    </xf>
    <xf numFmtId="0" fontId="11" fillId="7" borderId="31" xfId="0" applyFont="1" applyFill="1" applyBorder="1" applyAlignment="1" applyProtection="1">
      <alignment horizontal="justify" vertical="center" wrapText="1"/>
      <protection locked="0"/>
    </xf>
    <xf numFmtId="0" fontId="11" fillId="51" borderId="52" xfId="0" applyFont="1" applyFill="1" applyBorder="1" applyAlignment="1" applyProtection="1">
      <alignment horizontal="justify" vertical="center" wrapText="1"/>
      <protection locked="0"/>
    </xf>
    <xf numFmtId="0" fontId="11" fillId="51" borderId="94" xfId="0" applyFont="1" applyFill="1" applyBorder="1" applyAlignment="1" applyProtection="1">
      <alignment horizontal="justify" vertical="center" wrapText="1"/>
      <protection locked="0"/>
    </xf>
    <xf numFmtId="0" fontId="11" fillId="69" borderId="57" xfId="0" applyFont="1" applyFill="1" applyBorder="1" applyAlignment="1" applyProtection="1">
      <alignment horizontal="justify" vertical="center" wrapText="1"/>
      <protection locked="0"/>
    </xf>
    <xf numFmtId="0" fontId="0" fillId="41" borderId="51" xfId="2" applyFont="1" applyFill="1" applyBorder="1" applyAlignment="1" applyProtection="1">
      <alignment horizontal="center" vertical="center" wrapText="1"/>
    </xf>
    <xf numFmtId="0" fontId="0" fillId="39" borderId="11" xfId="2" applyFont="1" applyFill="1" applyBorder="1" applyAlignment="1" applyProtection="1">
      <alignment horizontal="center" vertical="center" wrapText="1"/>
    </xf>
    <xf numFmtId="0" fontId="0" fillId="31" borderId="11" xfId="2" applyFont="1" applyFill="1" applyBorder="1" applyAlignment="1" applyProtection="1">
      <alignment horizontal="center" vertical="center" wrapText="1"/>
    </xf>
    <xf numFmtId="0" fontId="0" fillId="39" borderId="29" xfId="2" applyFont="1" applyFill="1" applyBorder="1" applyAlignment="1" applyProtection="1">
      <alignment horizontal="center" vertical="center" wrapText="1"/>
    </xf>
    <xf numFmtId="0" fontId="0" fillId="33" borderId="51" xfId="2" applyFont="1" applyFill="1" applyBorder="1" applyAlignment="1" applyProtection="1">
      <alignment horizontal="center" vertical="center" wrapText="1"/>
    </xf>
    <xf numFmtId="0" fontId="0" fillId="33" borderId="11" xfId="2" applyFont="1" applyFill="1" applyBorder="1" applyAlignment="1" applyProtection="1">
      <alignment horizontal="center" vertical="center" wrapText="1"/>
    </xf>
    <xf numFmtId="0" fontId="0" fillId="33" borderId="29" xfId="2" applyFont="1" applyFill="1" applyBorder="1" applyAlignment="1" applyProtection="1">
      <alignment horizontal="center" vertical="center" wrapText="1"/>
    </xf>
    <xf numFmtId="0" fontId="0" fillId="51" borderId="51" xfId="2" applyFont="1" applyFill="1" applyBorder="1" applyAlignment="1" applyProtection="1">
      <alignment horizontal="center" vertical="center" wrapText="1"/>
    </xf>
    <xf numFmtId="0" fontId="0" fillId="51" borderId="29" xfId="2" applyFont="1" applyFill="1" applyBorder="1" applyAlignment="1" applyProtection="1">
      <alignment horizontal="center" vertical="center" wrapText="1"/>
    </xf>
    <xf numFmtId="0" fontId="0" fillId="7" borderId="11" xfId="2" applyFont="1" applyFill="1" applyBorder="1" applyAlignment="1" applyProtection="1">
      <alignment horizontal="center" vertical="center"/>
    </xf>
    <xf numFmtId="0" fontId="0" fillId="7" borderId="11" xfId="2" applyFont="1" applyFill="1" applyBorder="1" applyAlignment="1" applyProtection="1">
      <alignment horizontal="center" vertical="center" wrapText="1"/>
    </xf>
    <xf numFmtId="0" fontId="0" fillId="7" borderId="29" xfId="2" applyFont="1" applyFill="1" applyBorder="1" applyAlignment="1" applyProtection="1">
      <alignment horizontal="center" vertical="center" wrapText="1"/>
    </xf>
    <xf numFmtId="0" fontId="11" fillId="38" borderId="52" xfId="0" applyFont="1" applyFill="1" applyBorder="1" applyAlignment="1" applyProtection="1">
      <alignment horizontal="justify" vertical="center" wrapText="1"/>
      <protection locked="0"/>
    </xf>
    <xf numFmtId="0" fontId="10" fillId="38" borderId="11" xfId="2" applyFont="1" applyFill="1" applyBorder="1" applyAlignment="1" applyProtection="1">
      <alignment horizontal="center" vertical="center" wrapText="1"/>
    </xf>
    <xf numFmtId="0" fontId="0" fillId="0" borderId="45" xfId="0" applyBorder="1"/>
    <xf numFmtId="0" fontId="0" fillId="0" borderId="46" xfId="0" applyBorder="1"/>
    <xf numFmtId="0" fontId="0" fillId="0" borderId="177" xfId="0" applyBorder="1"/>
    <xf numFmtId="0" fontId="0" fillId="0" borderId="15" xfId="0" applyBorder="1" applyAlignment="1">
      <alignment horizontal="center"/>
    </xf>
    <xf numFmtId="0" fontId="0" fillId="0" borderId="155" xfId="0" applyBorder="1" applyAlignment="1">
      <alignment horizontal="center"/>
    </xf>
    <xf numFmtId="0" fontId="0" fillId="0" borderId="161" xfId="0" applyBorder="1" applyAlignment="1">
      <alignment horizontal="center"/>
    </xf>
    <xf numFmtId="0" fontId="2" fillId="120" borderId="34" xfId="0" applyFont="1" applyFill="1" applyBorder="1" applyAlignment="1">
      <alignment horizontal="center" vertical="center"/>
    </xf>
    <xf numFmtId="0" fontId="2" fillId="120" borderId="10" xfId="0" applyFont="1" applyFill="1" applyBorder="1" applyAlignment="1">
      <alignment horizontal="center" vertical="center"/>
    </xf>
    <xf numFmtId="0" fontId="2" fillId="120" borderId="14" xfId="0" applyFont="1" applyFill="1" applyBorder="1" applyAlignment="1">
      <alignment horizontal="center" vertical="center"/>
    </xf>
    <xf numFmtId="0" fontId="0" fillId="38" borderId="154" xfId="2" applyFont="1" applyFill="1" applyBorder="1" applyAlignment="1" applyProtection="1">
      <alignment horizontal="justify" vertical="center" wrapText="1"/>
    </xf>
    <xf numFmtId="0" fontId="0" fillId="38" borderId="54" xfId="2" applyFont="1" applyFill="1" applyBorder="1" applyAlignment="1" applyProtection="1">
      <alignment horizontal="justify" vertical="center" wrapText="1"/>
    </xf>
    <xf numFmtId="0" fontId="0" fillId="38" borderId="52" xfId="2" applyFont="1" applyFill="1" applyBorder="1" applyAlignment="1" applyProtection="1">
      <alignment horizontal="center" vertical="center" wrapText="1"/>
    </xf>
    <xf numFmtId="0" fontId="11" fillId="38" borderId="46" xfId="0" applyFont="1" applyFill="1" applyBorder="1" applyAlignment="1" applyProtection="1">
      <alignment horizontal="center" vertical="center" wrapText="1"/>
      <protection locked="0"/>
    </xf>
    <xf numFmtId="0" fontId="11" fillId="38" borderId="177" xfId="0" applyFont="1" applyFill="1" applyBorder="1" applyAlignment="1" applyProtection="1">
      <alignment horizontal="center" vertical="center" wrapText="1"/>
      <protection locked="0"/>
    </xf>
    <xf numFmtId="0" fontId="0" fillId="40" borderId="46" xfId="0" applyFont="1" applyFill="1" applyBorder="1" applyAlignment="1" applyProtection="1">
      <alignment horizontal="center" vertical="center" wrapText="1"/>
      <protection locked="0"/>
    </xf>
    <xf numFmtId="0" fontId="11" fillId="51" borderId="159" xfId="0" applyFont="1" applyFill="1" applyBorder="1" applyAlignment="1" applyProtection="1">
      <alignment horizontal="justify" vertical="center" wrapText="1"/>
      <protection locked="0"/>
    </xf>
    <xf numFmtId="0" fontId="11" fillId="51" borderId="57" xfId="0" applyFont="1" applyFill="1" applyBorder="1" applyAlignment="1" applyProtection="1">
      <alignment horizontal="justify" vertical="center" wrapText="1"/>
      <protection locked="0"/>
    </xf>
    <xf numFmtId="0" fontId="3" fillId="40" borderId="155" xfId="0" applyFont="1" applyFill="1" applyBorder="1" applyAlignment="1" applyProtection="1">
      <alignment horizontal="center" vertical="center" wrapText="1"/>
      <protection locked="0"/>
    </xf>
    <xf numFmtId="0" fontId="11" fillId="40" borderId="94" xfId="0" applyFont="1" applyFill="1" applyBorder="1" applyAlignment="1" applyProtection="1">
      <alignment horizontal="justify" vertical="center" wrapText="1"/>
      <protection locked="0"/>
    </xf>
    <xf numFmtId="0" fontId="11" fillId="40" borderId="31" xfId="0" applyFont="1" applyFill="1" applyBorder="1" applyAlignment="1" applyProtection="1">
      <alignment horizontal="justify" vertical="center" wrapText="1"/>
      <protection locked="0"/>
    </xf>
    <xf numFmtId="0" fontId="0" fillId="38" borderId="94" xfId="2" applyFont="1" applyFill="1" applyBorder="1" applyAlignment="1" applyProtection="1">
      <alignment horizontal="center" vertical="center"/>
    </xf>
    <xf numFmtId="0" fontId="11" fillId="38" borderId="155" xfId="0" applyFont="1" applyFill="1" applyBorder="1" applyAlignment="1" applyProtection="1">
      <alignment horizontal="center" vertical="center" wrapText="1"/>
      <protection locked="0"/>
    </xf>
    <xf numFmtId="0" fontId="11" fillId="38" borderId="94" xfId="0" applyFont="1" applyFill="1" applyBorder="1" applyAlignment="1" applyProtection="1">
      <alignment horizontal="justify" vertical="center" wrapText="1"/>
      <protection locked="0"/>
    </xf>
    <xf numFmtId="0" fontId="11" fillId="38" borderId="31" xfId="0" applyFont="1" applyFill="1" applyBorder="1" applyAlignment="1" applyProtection="1">
      <alignment horizontal="justify" vertical="center" wrapText="1"/>
      <protection locked="0"/>
    </xf>
    <xf numFmtId="0" fontId="10" fillId="51" borderId="32" xfId="0" applyFont="1" applyFill="1" applyBorder="1" applyAlignment="1" applyProtection="1">
      <alignment horizontal="center" vertical="center" wrapText="1"/>
      <protection locked="0"/>
    </xf>
    <xf numFmtId="0" fontId="10" fillId="38" borderId="30" xfId="0" applyFont="1" applyFill="1" applyBorder="1" applyAlignment="1" applyProtection="1">
      <alignment horizontal="center" vertical="center" wrapText="1"/>
      <protection locked="0"/>
    </xf>
    <xf numFmtId="0" fontId="11" fillId="38" borderId="30" xfId="0" applyFont="1" applyFill="1" applyBorder="1" applyAlignment="1" applyProtection="1">
      <alignment horizontal="center" vertical="center" wrapText="1"/>
      <protection locked="0"/>
    </xf>
    <xf numFmtId="0" fontId="0" fillId="38" borderId="32" xfId="0" applyFont="1" applyFill="1" applyBorder="1" applyAlignment="1" applyProtection="1">
      <alignment horizontal="center" vertical="center" wrapText="1"/>
      <protection locked="0"/>
    </xf>
    <xf numFmtId="0" fontId="0" fillId="0" borderId="0" xfId="0" applyProtection="1">
      <protection locked="0"/>
    </xf>
    <xf numFmtId="0" fontId="0" fillId="11" borderId="0" xfId="0" applyFont="1" applyFill="1" applyProtection="1">
      <protection locked="0"/>
    </xf>
    <xf numFmtId="0" fontId="0" fillId="0" borderId="0" xfId="0" applyFont="1" applyAlignment="1" applyProtection="1">
      <alignment horizontal="justify" vertical="center"/>
      <protection locked="0"/>
    </xf>
    <xf numFmtId="0" fontId="3" fillId="17" borderId="108" xfId="0" applyFont="1" applyFill="1" applyBorder="1" applyAlignment="1" applyProtection="1">
      <alignment horizontal="center" vertical="center" wrapText="1"/>
      <protection locked="0"/>
    </xf>
    <xf numFmtId="0" fontId="3" fillId="17" borderId="181" xfId="0" applyFont="1" applyFill="1" applyBorder="1" applyAlignment="1" applyProtection="1">
      <alignment horizontal="center" vertical="center" wrapText="1"/>
      <protection locked="0"/>
    </xf>
    <xf numFmtId="0" fontId="77" fillId="72" borderId="180" xfId="24" applyFont="1" applyFill="1" applyBorder="1" applyProtection="1">
      <alignment horizontal="center" vertical="center" wrapText="1"/>
      <protection locked="0"/>
    </xf>
    <xf numFmtId="0" fontId="77" fillId="42" borderId="180" xfId="24" applyFont="1" applyFill="1" applyBorder="1" applyProtection="1">
      <alignment horizontal="center" vertical="center" wrapText="1"/>
      <protection locked="0"/>
    </xf>
    <xf numFmtId="0" fontId="9" fillId="42" borderId="180" xfId="24" applyFont="1" applyFill="1" applyBorder="1" applyProtection="1">
      <alignment horizontal="center" vertical="center" wrapText="1"/>
      <protection locked="0"/>
    </xf>
    <xf numFmtId="0" fontId="0" fillId="38" borderId="7" xfId="0" applyFont="1" applyFill="1" applyBorder="1" applyAlignment="1" applyProtection="1">
      <alignment vertical="center"/>
      <protection locked="0"/>
    </xf>
    <xf numFmtId="9" fontId="0" fillId="38" borderId="8" xfId="5" applyFont="1" applyFill="1" applyBorder="1" applyAlignment="1" applyProtection="1">
      <alignment vertical="center"/>
      <protection locked="0"/>
    </xf>
    <xf numFmtId="0" fontId="0" fillId="38" borderId="8" xfId="0" applyFont="1" applyFill="1" applyBorder="1" applyAlignment="1" applyProtection="1">
      <alignment vertical="center"/>
      <protection locked="0"/>
    </xf>
    <xf numFmtId="0" fontId="0" fillId="38" borderId="36" xfId="0" applyFont="1" applyFill="1" applyBorder="1" applyAlignment="1" applyProtection="1">
      <alignment vertical="center"/>
      <protection locked="0"/>
    </xf>
    <xf numFmtId="191" fontId="0" fillId="38" borderId="16" xfId="10" applyNumberFormat="1" applyFont="1" applyFill="1" applyBorder="1" applyAlignment="1" applyProtection="1">
      <alignment vertical="center"/>
      <protection locked="0"/>
    </xf>
    <xf numFmtId="191" fontId="0" fillId="38" borderId="7" xfId="10" applyNumberFormat="1" applyFont="1" applyFill="1" applyBorder="1" applyAlignment="1" applyProtection="1">
      <alignment vertical="center"/>
      <protection locked="0"/>
    </xf>
    <xf numFmtId="191" fontId="0" fillId="38" borderId="8" xfId="10" applyNumberFormat="1" applyFont="1" applyFill="1" applyBorder="1" applyAlignment="1" applyProtection="1">
      <alignment vertical="center"/>
      <protection locked="0"/>
    </xf>
    <xf numFmtId="191" fontId="0" fillId="38" borderId="36" xfId="10" applyNumberFormat="1" applyFont="1" applyFill="1" applyBorder="1" applyAlignment="1" applyProtection="1">
      <alignment vertical="center"/>
      <protection locked="0"/>
    </xf>
    <xf numFmtId="0" fontId="0" fillId="38" borderId="16" xfId="0" applyFont="1" applyFill="1" applyBorder="1" applyAlignment="1" applyProtection="1">
      <alignment vertical="center"/>
      <protection locked="0"/>
    </xf>
    <xf numFmtId="0" fontId="0" fillId="38" borderId="45" xfId="0" applyFont="1" applyFill="1" applyBorder="1" applyAlignment="1" applyProtection="1">
      <alignment vertical="center"/>
      <protection locked="0"/>
    </xf>
    <xf numFmtId="0" fontId="0" fillId="38" borderId="9" xfId="0" applyFont="1" applyFill="1" applyBorder="1" applyAlignment="1" applyProtection="1">
      <alignment horizontal="justify" vertical="center" wrapText="1"/>
      <protection locked="0"/>
    </xf>
    <xf numFmtId="0" fontId="0" fillId="38" borderId="11" xfId="0" applyFont="1" applyFill="1" applyBorder="1" applyAlignment="1" applyProtection="1">
      <alignment vertical="center"/>
      <protection locked="0"/>
    </xf>
    <xf numFmtId="9" fontId="0" fillId="38" borderId="184" xfId="5" applyFont="1" applyFill="1" applyBorder="1" applyAlignment="1" applyProtection="1">
      <alignment vertical="center"/>
      <protection locked="0"/>
    </xf>
    <xf numFmtId="0" fontId="0" fillId="38" borderId="184" xfId="0" applyFont="1" applyFill="1" applyBorder="1" applyAlignment="1" applyProtection="1">
      <alignment vertical="center"/>
      <protection locked="0"/>
    </xf>
    <xf numFmtId="0" fontId="0" fillId="38" borderId="179" xfId="0" applyFont="1" applyFill="1" applyBorder="1" applyAlignment="1" applyProtection="1">
      <alignment vertical="center"/>
      <protection locked="0"/>
    </xf>
    <xf numFmtId="191" fontId="0" fillId="38" borderId="48" xfId="10" applyNumberFormat="1" applyFont="1" applyFill="1" applyBorder="1" applyAlignment="1" applyProtection="1">
      <alignment vertical="center"/>
      <protection locked="0"/>
    </xf>
    <xf numFmtId="191" fontId="0" fillId="38" borderId="11" xfId="10" applyNumberFormat="1" applyFont="1" applyFill="1" applyBorder="1" applyAlignment="1" applyProtection="1">
      <alignment vertical="center"/>
      <protection locked="0"/>
    </xf>
    <xf numFmtId="191" fontId="0" fillId="38" borderId="184" xfId="10" applyNumberFormat="1" applyFont="1" applyFill="1" applyBorder="1" applyAlignment="1" applyProtection="1">
      <alignment vertical="center"/>
      <protection locked="0"/>
    </xf>
    <xf numFmtId="191" fontId="0" fillId="38" borderId="179" xfId="10" applyNumberFormat="1" applyFont="1" applyFill="1" applyBorder="1" applyAlignment="1" applyProtection="1">
      <alignment vertical="center"/>
      <protection locked="0"/>
    </xf>
    <xf numFmtId="0" fontId="0" fillId="38" borderId="48" xfId="0" applyFont="1" applyFill="1" applyBorder="1" applyAlignment="1" applyProtection="1">
      <alignment vertical="center"/>
      <protection locked="0"/>
    </xf>
    <xf numFmtId="0" fontId="0" fillId="38" borderId="46" xfId="0" applyFont="1" applyFill="1" applyBorder="1" applyAlignment="1" applyProtection="1">
      <alignment vertical="center"/>
      <protection locked="0"/>
    </xf>
    <xf numFmtId="0" fontId="0" fillId="38" borderId="94" xfId="0" applyFont="1" applyFill="1" applyBorder="1" applyAlignment="1" applyProtection="1">
      <alignment horizontal="justify" vertical="center" wrapText="1"/>
      <protection locked="0"/>
    </xf>
    <xf numFmtId="9" fontId="0" fillId="38" borderId="11" xfId="0" applyNumberFormat="1" applyFont="1" applyFill="1" applyBorder="1" applyAlignment="1" applyProtection="1">
      <alignment vertical="center"/>
      <protection locked="0"/>
    </xf>
    <xf numFmtId="9" fontId="0" fillId="38" borderId="184" xfId="0" applyNumberFormat="1" applyFont="1" applyFill="1" applyBorder="1" applyAlignment="1" applyProtection="1">
      <alignment vertical="center"/>
      <protection locked="0"/>
    </xf>
    <xf numFmtId="9" fontId="0" fillId="38" borderId="179" xfId="0" applyNumberFormat="1" applyFont="1" applyFill="1" applyBorder="1" applyAlignment="1" applyProtection="1">
      <alignment vertical="center"/>
      <protection locked="0"/>
    </xf>
    <xf numFmtId="9" fontId="0" fillId="38" borderId="48" xfId="0" applyNumberFormat="1" applyFont="1" applyFill="1" applyBorder="1" applyAlignment="1" applyProtection="1">
      <alignment vertical="center"/>
      <protection locked="0"/>
    </xf>
    <xf numFmtId="9" fontId="0" fillId="38" borderId="46" xfId="0" applyNumberFormat="1" applyFont="1" applyFill="1" applyBorder="1" applyAlignment="1" applyProtection="1">
      <alignment vertical="center"/>
      <protection locked="0"/>
    </xf>
    <xf numFmtId="0" fontId="0" fillId="38" borderId="46" xfId="0" applyFont="1" applyFill="1" applyBorder="1" applyAlignment="1" applyProtection="1">
      <alignment horizontal="center" vertical="center" wrapText="1"/>
      <protection locked="0"/>
    </xf>
    <xf numFmtId="0" fontId="0" fillId="38" borderId="160" xfId="0" applyFont="1" applyFill="1" applyBorder="1" applyAlignment="1" applyProtection="1">
      <alignment horizontal="center" vertical="center" wrapText="1"/>
      <protection locked="0"/>
    </xf>
    <xf numFmtId="0" fontId="0" fillId="38" borderId="11" xfId="0" applyFont="1" applyFill="1" applyBorder="1" applyAlignment="1" applyProtection="1">
      <alignment horizontal="center" vertical="center"/>
      <protection locked="0"/>
    </xf>
    <xf numFmtId="9" fontId="0" fillId="38" borderId="184" xfId="5" applyFont="1" applyFill="1" applyBorder="1" applyAlignment="1" applyProtection="1">
      <alignment horizontal="center" vertical="center"/>
      <protection locked="0"/>
    </xf>
    <xf numFmtId="0" fontId="0" fillId="38" borderId="184" xfId="0" applyFont="1" applyFill="1" applyBorder="1" applyAlignment="1" applyProtection="1">
      <alignment horizontal="center" vertical="center"/>
      <protection locked="0"/>
    </xf>
    <xf numFmtId="0" fontId="0" fillId="38" borderId="179" xfId="0" applyFont="1" applyFill="1" applyBorder="1" applyAlignment="1" applyProtection="1">
      <alignment horizontal="center" vertical="center"/>
      <protection locked="0"/>
    </xf>
    <xf numFmtId="191" fontId="0" fillId="38" borderId="48" xfId="10" applyNumberFormat="1" applyFont="1" applyFill="1" applyBorder="1" applyAlignment="1" applyProtection="1">
      <alignment horizontal="center" vertical="center"/>
      <protection locked="0"/>
    </xf>
    <xf numFmtId="191" fontId="0" fillId="38" borderId="11" xfId="10" applyNumberFormat="1" applyFont="1" applyFill="1" applyBorder="1" applyAlignment="1" applyProtection="1">
      <alignment horizontal="center" vertical="center"/>
      <protection locked="0"/>
    </xf>
    <xf numFmtId="191" fontId="0" fillId="38" borderId="184" xfId="10" applyNumberFormat="1" applyFont="1" applyFill="1" applyBorder="1" applyAlignment="1" applyProtection="1">
      <alignment horizontal="center" vertical="center"/>
      <protection locked="0"/>
    </xf>
    <xf numFmtId="191" fontId="0" fillId="38" borderId="179" xfId="10" applyNumberFormat="1" applyFont="1" applyFill="1" applyBorder="1" applyAlignment="1" applyProtection="1">
      <alignment horizontal="center" vertical="center"/>
      <protection locked="0"/>
    </xf>
    <xf numFmtId="0" fontId="0" fillId="38" borderId="48" xfId="0" applyFont="1" applyFill="1" applyBorder="1" applyAlignment="1" applyProtection="1">
      <alignment horizontal="center" vertical="center"/>
      <protection locked="0"/>
    </xf>
    <xf numFmtId="0" fontId="0" fillId="38" borderId="46" xfId="0" applyFont="1" applyFill="1" applyBorder="1" applyAlignment="1" applyProtection="1">
      <alignment horizontal="center" vertical="center"/>
      <protection locked="0"/>
    </xf>
    <xf numFmtId="9" fontId="0" fillId="38" borderId="11" xfId="5" applyFont="1" applyFill="1" applyBorder="1" applyAlignment="1" applyProtection="1">
      <alignment vertical="center" wrapText="1"/>
      <protection locked="0"/>
    </xf>
    <xf numFmtId="9" fontId="0" fillId="38" borderId="184" xfId="5" applyFont="1" applyFill="1" applyBorder="1" applyAlignment="1" applyProtection="1">
      <alignment vertical="center" wrapText="1"/>
      <protection locked="0"/>
    </xf>
    <xf numFmtId="9" fontId="0" fillId="38" borderId="179" xfId="5" applyFont="1" applyFill="1" applyBorder="1" applyAlignment="1" applyProtection="1">
      <alignment vertical="center" wrapText="1"/>
      <protection locked="0"/>
    </xf>
    <xf numFmtId="191" fontId="0" fillId="38" borderId="48" xfId="10" applyNumberFormat="1" applyFont="1" applyFill="1" applyBorder="1" applyAlignment="1" applyProtection="1">
      <alignment vertical="center" wrapText="1"/>
      <protection locked="0"/>
    </xf>
    <xf numFmtId="191" fontId="0" fillId="38" borderId="11" xfId="10" applyNumberFormat="1" applyFont="1" applyFill="1" applyBorder="1" applyAlignment="1" applyProtection="1">
      <alignment vertical="center" wrapText="1"/>
      <protection locked="0"/>
    </xf>
    <xf numFmtId="191" fontId="0" fillId="38" borderId="184" xfId="10" applyNumberFormat="1" applyFont="1" applyFill="1" applyBorder="1" applyAlignment="1" applyProtection="1">
      <alignment vertical="center" wrapText="1"/>
      <protection locked="0"/>
    </xf>
    <xf numFmtId="191" fontId="0" fillId="38" borderId="179" xfId="10" applyNumberFormat="1" applyFont="1" applyFill="1" applyBorder="1" applyAlignment="1" applyProtection="1">
      <alignment vertical="center" wrapText="1"/>
      <protection locked="0"/>
    </xf>
    <xf numFmtId="9" fontId="0" fillId="38" borderId="48" xfId="5" applyFont="1" applyFill="1" applyBorder="1" applyAlignment="1" applyProtection="1">
      <alignment vertical="center" wrapText="1"/>
      <protection locked="0"/>
    </xf>
    <xf numFmtId="9" fontId="0" fillId="38" borderId="46" xfId="5" applyFont="1" applyFill="1" applyBorder="1" applyAlignment="1" applyProtection="1">
      <alignment vertical="center" wrapText="1"/>
      <protection locked="0"/>
    </xf>
    <xf numFmtId="9" fontId="0" fillId="38" borderId="29" xfId="0" applyNumberFormat="1" applyFont="1" applyFill="1" applyBorder="1" applyAlignment="1" applyProtection="1">
      <alignment vertical="center"/>
      <protection locked="0"/>
    </xf>
    <xf numFmtId="9" fontId="0" fillId="38" borderId="30" xfId="5" applyFont="1" applyFill="1" applyBorder="1" applyAlignment="1" applyProtection="1">
      <alignment vertical="center"/>
      <protection locked="0"/>
    </xf>
    <xf numFmtId="9" fontId="0" fillId="38" borderId="30" xfId="0" applyNumberFormat="1" applyFont="1" applyFill="1" applyBorder="1" applyAlignment="1" applyProtection="1">
      <alignment vertical="center"/>
      <protection locked="0"/>
    </xf>
    <xf numFmtId="9" fontId="0" fillId="38" borderId="66" xfId="0" applyNumberFormat="1" applyFont="1" applyFill="1" applyBorder="1" applyAlignment="1" applyProtection="1">
      <alignment vertical="center"/>
      <protection locked="0"/>
    </xf>
    <xf numFmtId="191" fontId="0" fillId="38" borderId="50" xfId="10" applyNumberFormat="1" applyFont="1" applyFill="1" applyBorder="1" applyAlignment="1" applyProtection="1">
      <alignment vertical="center"/>
      <protection locked="0"/>
    </xf>
    <xf numFmtId="191" fontId="0" fillId="38" borderId="29" xfId="10" applyNumberFormat="1" applyFont="1" applyFill="1" applyBorder="1" applyAlignment="1" applyProtection="1">
      <alignment vertical="center"/>
      <protection locked="0"/>
    </xf>
    <xf numFmtId="191" fontId="0" fillId="38" borderId="30" xfId="10" applyNumberFormat="1" applyFont="1" applyFill="1" applyBorder="1" applyAlignment="1" applyProtection="1">
      <alignment vertical="center"/>
      <protection locked="0"/>
    </xf>
    <xf numFmtId="191" fontId="0" fillId="38" borderId="66" xfId="10" applyNumberFormat="1" applyFont="1" applyFill="1" applyBorder="1" applyAlignment="1" applyProtection="1">
      <alignment vertical="center"/>
      <protection locked="0"/>
    </xf>
    <xf numFmtId="9" fontId="0" fillId="38" borderId="50" xfId="0" applyNumberFormat="1" applyFont="1" applyFill="1" applyBorder="1" applyAlignment="1" applyProtection="1">
      <alignment vertical="center"/>
      <protection locked="0"/>
    </xf>
    <xf numFmtId="9" fontId="0" fillId="38" borderId="177" xfId="0" applyNumberFormat="1" applyFont="1" applyFill="1" applyBorder="1" applyAlignment="1" applyProtection="1">
      <alignment vertical="center"/>
      <protection locked="0"/>
    </xf>
    <xf numFmtId="0" fontId="0" fillId="38" borderId="31" xfId="0" applyFont="1" applyFill="1" applyBorder="1" applyAlignment="1" applyProtection="1">
      <alignment horizontal="justify" vertical="center" wrapText="1"/>
      <protection locked="0"/>
    </xf>
    <xf numFmtId="0" fontId="0" fillId="29" borderId="51" xfId="0" applyFont="1" applyFill="1" applyBorder="1" applyAlignment="1" applyProtection="1">
      <alignment vertical="center" wrapText="1"/>
      <protection locked="0"/>
    </xf>
    <xf numFmtId="9" fontId="0" fillId="29" borderId="32" xfId="5" applyFont="1" applyFill="1" applyBorder="1" applyAlignment="1" applyProtection="1">
      <alignment vertical="center" wrapText="1"/>
      <protection locked="0"/>
    </xf>
    <xf numFmtId="0" fontId="0" fillId="29" borderId="32" xfId="0" applyFont="1" applyFill="1" applyBorder="1" applyAlignment="1" applyProtection="1">
      <alignment vertical="center" wrapText="1"/>
      <protection locked="0"/>
    </xf>
    <xf numFmtId="0" fontId="0" fillId="29" borderId="38" xfId="0" applyFont="1" applyFill="1" applyBorder="1" applyAlignment="1" applyProtection="1">
      <alignment vertical="center" wrapText="1"/>
      <protection locked="0"/>
    </xf>
    <xf numFmtId="191" fontId="0" fillId="29" borderId="99" xfId="10" applyNumberFormat="1" applyFont="1" applyFill="1" applyBorder="1" applyAlignment="1" applyProtection="1">
      <alignment vertical="center" wrapText="1"/>
      <protection locked="0"/>
    </xf>
    <xf numFmtId="191" fontId="0" fillId="29" borderId="51" xfId="10" applyNumberFormat="1" applyFont="1" applyFill="1" applyBorder="1" applyAlignment="1" applyProtection="1">
      <alignment vertical="center" wrapText="1"/>
      <protection locked="0"/>
    </xf>
    <xf numFmtId="191" fontId="0" fillId="29" borderId="32" xfId="10" applyNumberFormat="1" applyFont="1" applyFill="1" applyBorder="1" applyAlignment="1" applyProtection="1">
      <alignment vertical="center" wrapText="1"/>
      <protection locked="0"/>
    </xf>
    <xf numFmtId="191" fontId="0" fillId="29" borderId="38" xfId="10" applyNumberFormat="1" applyFont="1" applyFill="1" applyBorder="1" applyAlignment="1" applyProtection="1">
      <alignment vertical="center" wrapText="1"/>
      <protection locked="0"/>
    </xf>
    <xf numFmtId="0" fontId="0" fillId="29" borderId="99" xfId="0" applyFont="1" applyFill="1" applyBorder="1" applyAlignment="1" applyProtection="1">
      <alignment vertical="center" wrapText="1"/>
      <protection locked="0"/>
    </xf>
    <xf numFmtId="0" fontId="0" fillId="29" borderId="60" xfId="0" applyFont="1" applyFill="1" applyBorder="1" applyAlignment="1" applyProtection="1">
      <alignment vertical="center" wrapText="1"/>
      <protection locked="0"/>
    </xf>
    <xf numFmtId="0" fontId="0" fillId="29" borderId="52" xfId="0" applyFont="1" applyFill="1" applyBorder="1" applyAlignment="1" applyProtection="1">
      <alignment horizontal="justify" vertical="center" wrapText="1"/>
      <protection locked="0"/>
    </xf>
    <xf numFmtId="0" fontId="0" fillId="29" borderId="11" xfId="0" applyFont="1" applyFill="1" applyBorder="1" applyAlignment="1" applyProtection="1">
      <alignment vertical="center" wrapText="1"/>
      <protection locked="0"/>
    </xf>
    <xf numFmtId="9" fontId="0" fillId="29" borderId="184" xfId="5" applyFont="1" applyFill="1" applyBorder="1" applyAlignment="1" applyProtection="1">
      <alignment vertical="center" wrapText="1"/>
      <protection locked="0"/>
    </xf>
    <xf numFmtId="0" fontId="0" fillId="29" borderId="184" xfId="0" applyFont="1" applyFill="1" applyBorder="1" applyAlignment="1" applyProtection="1">
      <alignment vertical="center" wrapText="1"/>
      <protection locked="0"/>
    </xf>
    <xf numFmtId="0" fontId="0" fillId="29" borderId="179" xfId="0" applyFont="1" applyFill="1" applyBorder="1" applyAlignment="1" applyProtection="1">
      <alignment vertical="center" wrapText="1"/>
      <protection locked="0"/>
    </xf>
    <xf numFmtId="191" fontId="0" fillId="29" borderId="48" xfId="10" applyNumberFormat="1" applyFont="1" applyFill="1" applyBorder="1" applyAlignment="1" applyProtection="1">
      <alignment vertical="center" wrapText="1"/>
      <protection locked="0"/>
    </xf>
    <xf numFmtId="191" fontId="0" fillId="29" borderId="11" xfId="10" applyNumberFormat="1" applyFont="1" applyFill="1" applyBorder="1" applyAlignment="1" applyProtection="1">
      <alignment vertical="center" wrapText="1"/>
      <protection locked="0"/>
    </xf>
    <xf numFmtId="191" fontId="0" fillId="29" borderId="184" xfId="10" applyNumberFormat="1" applyFont="1" applyFill="1" applyBorder="1" applyAlignment="1" applyProtection="1">
      <alignment vertical="center" wrapText="1"/>
      <protection locked="0"/>
    </xf>
    <xf numFmtId="191" fontId="0" fillId="29" borderId="179" xfId="10" applyNumberFormat="1" applyFont="1" applyFill="1" applyBorder="1" applyAlignment="1" applyProtection="1">
      <alignment vertical="center" wrapText="1"/>
      <protection locked="0"/>
    </xf>
    <xf numFmtId="0" fontId="0" fillId="29" borderId="48" xfId="0" applyFont="1" applyFill="1" applyBorder="1" applyAlignment="1" applyProtection="1">
      <alignment vertical="center" wrapText="1"/>
      <protection locked="0"/>
    </xf>
    <xf numFmtId="0" fontId="0" fillId="29" borderId="46" xfId="0" applyFont="1" applyFill="1" applyBorder="1" applyAlignment="1" applyProtection="1">
      <alignment vertical="center" wrapText="1"/>
      <protection locked="0"/>
    </xf>
    <xf numFmtId="0" fontId="0" fillId="29" borderId="94" xfId="0" applyFont="1" applyFill="1" applyBorder="1" applyAlignment="1" applyProtection="1">
      <alignment horizontal="justify" vertical="center" wrapText="1"/>
      <protection locked="0"/>
    </xf>
    <xf numFmtId="0" fontId="0" fillId="29" borderId="46" xfId="0" applyFont="1" applyFill="1" applyBorder="1" applyAlignment="1" applyProtection="1">
      <alignment horizontal="center" vertical="center" wrapText="1"/>
      <protection locked="0"/>
    </xf>
    <xf numFmtId="0" fontId="0" fillId="29" borderId="160" xfId="0" applyFont="1" applyFill="1" applyBorder="1" applyAlignment="1" applyProtection="1">
      <alignment horizontal="center" vertical="center" wrapText="1"/>
      <protection locked="0"/>
    </xf>
    <xf numFmtId="9" fontId="0" fillId="29" borderId="11" xfId="0" applyNumberFormat="1" applyFont="1" applyFill="1" applyBorder="1" applyAlignment="1" applyProtection="1">
      <alignment horizontal="center" vertical="center"/>
      <protection locked="0"/>
    </xf>
    <xf numFmtId="9" fontId="0" fillId="29" borderId="184" xfId="5" applyFont="1" applyFill="1" applyBorder="1" applyAlignment="1" applyProtection="1">
      <alignment horizontal="center" vertical="center"/>
      <protection locked="0"/>
    </xf>
    <xf numFmtId="9" fontId="0" fillId="29" borderId="184" xfId="0" applyNumberFormat="1" applyFont="1" applyFill="1" applyBorder="1" applyAlignment="1" applyProtection="1">
      <alignment horizontal="center" vertical="center"/>
      <protection locked="0"/>
    </xf>
    <xf numFmtId="9" fontId="0" fillId="29" borderId="179" xfId="0" applyNumberFormat="1" applyFont="1" applyFill="1" applyBorder="1" applyAlignment="1" applyProtection="1">
      <alignment horizontal="center" vertical="center"/>
      <protection locked="0"/>
    </xf>
    <xf numFmtId="191" fontId="0" fillId="29" borderId="48" xfId="10" applyNumberFormat="1" applyFont="1" applyFill="1" applyBorder="1" applyAlignment="1" applyProtection="1">
      <alignment horizontal="center" vertical="center"/>
      <protection locked="0"/>
    </xf>
    <xf numFmtId="191" fontId="0" fillId="29" borderId="11" xfId="10" applyNumberFormat="1" applyFont="1" applyFill="1" applyBorder="1" applyAlignment="1" applyProtection="1">
      <alignment horizontal="center" vertical="center"/>
      <protection locked="0"/>
    </xf>
    <xf numFmtId="191" fontId="0" fillId="29" borderId="184" xfId="10" applyNumberFormat="1" applyFont="1" applyFill="1" applyBorder="1" applyAlignment="1" applyProtection="1">
      <alignment horizontal="center" vertical="center"/>
      <protection locked="0"/>
    </xf>
    <xf numFmtId="191" fontId="0" fillId="29" borderId="179" xfId="10" applyNumberFormat="1" applyFont="1" applyFill="1" applyBorder="1" applyAlignment="1" applyProtection="1">
      <alignment horizontal="center" vertical="center"/>
      <protection locked="0"/>
    </xf>
    <xf numFmtId="9" fontId="0" fillId="29" borderId="48" xfId="0" applyNumberFormat="1" applyFont="1" applyFill="1" applyBorder="1" applyAlignment="1" applyProtection="1">
      <alignment horizontal="center" vertical="center"/>
      <protection locked="0"/>
    </xf>
    <xf numFmtId="9" fontId="0" fillId="29" borderId="46" xfId="0" applyNumberFormat="1" applyFont="1" applyFill="1" applyBorder="1" applyAlignment="1" applyProtection="1">
      <alignment horizontal="center" vertical="center"/>
      <protection locked="0"/>
    </xf>
    <xf numFmtId="0" fontId="0" fillId="29" borderId="11" xfId="0" applyFont="1" applyFill="1" applyBorder="1" applyAlignment="1" applyProtection="1">
      <alignment vertical="center"/>
      <protection locked="0"/>
    </xf>
    <xf numFmtId="9" fontId="0" fillId="29" borderId="184" xfId="5" applyFont="1" applyFill="1" applyBorder="1" applyAlignment="1" applyProtection="1">
      <alignment vertical="center"/>
      <protection locked="0"/>
    </xf>
    <xf numFmtId="0" fontId="0" fillId="29" borderId="184" xfId="0" applyFont="1" applyFill="1" applyBorder="1" applyAlignment="1" applyProtection="1">
      <alignment vertical="center"/>
      <protection locked="0"/>
    </xf>
    <xf numFmtId="0" fontId="0" fillId="29" borderId="179" xfId="0" applyFont="1" applyFill="1" applyBorder="1" applyAlignment="1" applyProtection="1">
      <alignment vertical="center"/>
      <protection locked="0"/>
    </xf>
    <xf numFmtId="191" fontId="0" fillId="29" borderId="48" xfId="10" applyNumberFormat="1" applyFont="1" applyFill="1" applyBorder="1" applyAlignment="1" applyProtection="1">
      <alignment vertical="center"/>
      <protection locked="0"/>
    </xf>
    <xf numFmtId="191" fontId="0" fillId="29" borderId="11" xfId="10" applyNumberFormat="1" applyFont="1" applyFill="1" applyBorder="1" applyAlignment="1" applyProtection="1">
      <alignment vertical="center"/>
      <protection locked="0"/>
    </xf>
    <xf numFmtId="191" fontId="0" fillId="29" borderId="184" xfId="10" applyNumberFormat="1" applyFont="1" applyFill="1" applyBorder="1" applyAlignment="1" applyProtection="1">
      <alignment vertical="center"/>
      <protection locked="0"/>
    </xf>
    <xf numFmtId="191" fontId="0" fillId="29" borderId="179" xfId="10" applyNumberFormat="1" applyFont="1" applyFill="1" applyBorder="1" applyAlignment="1" applyProtection="1">
      <alignment vertical="center"/>
      <protection locked="0"/>
    </xf>
    <xf numFmtId="0" fontId="0" fillId="29" borderId="48" xfId="0" applyFont="1" applyFill="1" applyBorder="1" applyAlignment="1" applyProtection="1">
      <alignment vertical="center"/>
      <protection locked="0"/>
    </xf>
    <xf numFmtId="0" fontId="0" fillId="29" borderId="46" xfId="0" applyFont="1" applyFill="1" applyBorder="1" applyAlignment="1" applyProtection="1">
      <alignment vertical="center"/>
      <protection locked="0"/>
    </xf>
    <xf numFmtId="0" fontId="0" fillId="29" borderId="177" xfId="0" applyFont="1" applyFill="1" applyBorder="1" applyAlignment="1" applyProtection="1">
      <alignment horizontal="center" vertical="center" wrapText="1"/>
      <protection locked="0"/>
    </xf>
    <xf numFmtId="0" fontId="0" fillId="29" borderId="65" xfId="0" applyFont="1" applyFill="1" applyBorder="1" applyAlignment="1" applyProtection="1">
      <alignment horizontal="center" vertical="center" wrapText="1"/>
      <protection locked="0"/>
    </xf>
    <xf numFmtId="0" fontId="0" fillId="29" borderId="31" xfId="0" applyFont="1" applyFill="1" applyBorder="1" applyAlignment="1" applyProtection="1">
      <alignment horizontal="justify" vertical="center" wrapText="1"/>
      <protection locked="0"/>
    </xf>
    <xf numFmtId="0" fontId="0" fillId="29" borderId="29" xfId="0" applyFont="1" applyFill="1" applyBorder="1" applyAlignment="1" applyProtection="1">
      <alignment horizontal="center" vertical="center"/>
      <protection locked="0"/>
    </xf>
    <xf numFmtId="9" fontId="0" fillId="29" borderId="30" xfId="5" applyFont="1" applyFill="1" applyBorder="1" applyAlignment="1" applyProtection="1">
      <alignment horizontal="center" vertical="center"/>
      <protection locked="0"/>
    </xf>
    <xf numFmtId="0" fontId="0" fillId="29" borderId="30" xfId="0" applyFont="1" applyFill="1" applyBorder="1" applyAlignment="1" applyProtection="1">
      <alignment horizontal="center" vertical="center"/>
      <protection locked="0"/>
    </xf>
    <xf numFmtId="0" fontId="0" fillId="29" borderId="66" xfId="0" applyFont="1" applyFill="1" applyBorder="1" applyAlignment="1" applyProtection="1">
      <alignment horizontal="center" vertical="center"/>
      <protection locked="0"/>
    </xf>
    <xf numFmtId="191" fontId="0" fillId="29" borderId="50" xfId="10" applyNumberFormat="1" applyFont="1" applyFill="1" applyBorder="1" applyAlignment="1" applyProtection="1">
      <alignment horizontal="center" vertical="center"/>
      <protection locked="0"/>
    </xf>
    <xf numFmtId="191" fontId="0" fillId="29" borderId="29" xfId="10" applyNumberFormat="1" applyFont="1" applyFill="1" applyBorder="1" applyAlignment="1" applyProtection="1">
      <alignment horizontal="center" vertical="center"/>
      <protection locked="0"/>
    </xf>
    <xf numFmtId="191" fontId="0" fillId="29" borderId="30" xfId="10" applyNumberFormat="1" applyFont="1" applyFill="1" applyBorder="1" applyAlignment="1" applyProtection="1">
      <alignment horizontal="center" vertical="center"/>
      <protection locked="0"/>
    </xf>
    <xf numFmtId="191" fontId="0" fillId="29" borderId="66" xfId="10" applyNumberFormat="1" applyFont="1" applyFill="1" applyBorder="1" applyAlignment="1" applyProtection="1">
      <alignment horizontal="center" vertical="center"/>
      <protection locked="0"/>
    </xf>
    <xf numFmtId="0" fontId="0" fillId="29" borderId="50" xfId="0" applyFont="1" applyFill="1" applyBorder="1" applyAlignment="1" applyProtection="1">
      <alignment horizontal="center" vertical="center"/>
      <protection locked="0"/>
    </xf>
    <xf numFmtId="0" fontId="0" fillId="29" borderId="177" xfId="0" applyFont="1" applyFill="1" applyBorder="1" applyAlignment="1" applyProtection="1">
      <alignment horizontal="center" vertical="center"/>
      <protection locked="0"/>
    </xf>
    <xf numFmtId="0" fontId="0" fillId="103" borderId="51" xfId="0" applyFont="1" applyFill="1" applyBorder="1" applyAlignment="1" applyProtection="1">
      <alignment vertical="center"/>
      <protection locked="0"/>
    </xf>
    <xf numFmtId="9" fontId="0" fillId="103" borderId="32" xfId="5" applyFont="1" applyFill="1" applyBorder="1" applyAlignment="1" applyProtection="1">
      <alignment vertical="center"/>
      <protection locked="0"/>
    </xf>
    <xf numFmtId="0" fontId="0" fillId="103" borderId="32" xfId="0" applyFont="1" applyFill="1" applyBorder="1" applyAlignment="1" applyProtection="1">
      <alignment vertical="center"/>
      <protection locked="0"/>
    </xf>
    <xf numFmtId="0" fontId="0" fillId="103" borderId="38" xfId="0" applyFont="1" applyFill="1" applyBorder="1" applyAlignment="1" applyProtection="1">
      <alignment vertical="center"/>
      <protection locked="0"/>
    </xf>
    <xf numFmtId="191" fontId="0" fillId="103" borderId="99" xfId="10" applyNumberFormat="1" applyFont="1" applyFill="1" applyBorder="1" applyAlignment="1" applyProtection="1">
      <alignment vertical="center"/>
      <protection locked="0"/>
    </xf>
    <xf numFmtId="191" fontId="0" fillId="103" borderId="51" xfId="10" applyNumberFormat="1" applyFont="1" applyFill="1" applyBorder="1" applyAlignment="1" applyProtection="1">
      <alignment vertical="center"/>
      <protection locked="0"/>
    </xf>
    <xf numFmtId="191" fontId="0" fillId="103" borderId="32" xfId="10" applyNumberFormat="1" applyFont="1" applyFill="1" applyBorder="1" applyAlignment="1" applyProtection="1">
      <alignment vertical="center"/>
      <protection locked="0"/>
    </xf>
    <xf numFmtId="191" fontId="0" fillId="103" borderId="38" xfId="10" applyNumberFormat="1" applyFont="1" applyFill="1" applyBorder="1" applyAlignment="1" applyProtection="1">
      <alignment vertical="center"/>
      <protection locked="0"/>
    </xf>
    <xf numFmtId="0" fontId="0" fillId="103" borderId="99" xfId="0" applyFont="1" applyFill="1" applyBorder="1" applyAlignment="1" applyProtection="1">
      <alignment vertical="center"/>
      <protection locked="0"/>
    </xf>
    <xf numFmtId="0" fontId="0" fillId="103" borderId="60" xfId="0" applyFont="1" applyFill="1" applyBorder="1" applyAlignment="1" applyProtection="1">
      <alignment vertical="center"/>
      <protection locked="0"/>
    </xf>
    <xf numFmtId="0" fontId="0" fillId="103" borderId="52" xfId="0" applyFont="1" applyFill="1" applyBorder="1" applyAlignment="1" applyProtection="1">
      <alignment horizontal="justify" vertical="center" wrapText="1"/>
      <protection locked="0"/>
    </xf>
    <xf numFmtId="0" fontId="0" fillId="103" borderId="11" xfId="0" applyFont="1" applyFill="1" applyBorder="1" applyAlignment="1" applyProtection="1">
      <alignment vertical="center"/>
      <protection locked="0"/>
    </xf>
    <xf numFmtId="9" fontId="0" fillId="103" borderId="184" xfId="5" applyFont="1" applyFill="1" applyBorder="1" applyAlignment="1" applyProtection="1">
      <alignment vertical="center"/>
      <protection locked="0"/>
    </xf>
    <xf numFmtId="0" fontId="0" fillId="103" borderId="184" xfId="0" applyFont="1" applyFill="1" applyBorder="1" applyAlignment="1" applyProtection="1">
      <alignment vertical="center"/>
      <protection locked="0"/>
    </xf>
    <xf numFmtId="0" fontId="0" fillId="103" borderId="179" xfId="0" applyFont="1" applyFill="1" applyBorder="1" applyAlignment="1" applyProtection="1">
      <alignment vertical="center"/>
      <protection locked="0"/>
    </xf>
    <xf numFmtId="191" fontId="0" fillId="103" borderId="48" xfId="10" applyNumberFormat="1" applyFont="1" applyFill="1" applyBorder="1" applyAlignment="1" applyProtection="1">
      <alignment vertical="center"/>
      <protection locked="0"/>
    </xf>
    <xf numFmtId="191" fontId="0" fillId="103" borderId="11" xfId="10" applyNumberFormat="1" applyFont="1" applyFill="1" applyBorder="1" applyAlignment="1" applyProtection="1">
      <alignment vertical="center"/>
      <protection locked="0"/>
    </xf>
    <xf numFmtId="191" fontId="0" fillId="103" borderId="184" xfId="10" applyNumberFormat="1" applyFont="1" applyFill="1" applyBorder="1" applyAlignment="1" applyProtection="1">
      <alignment vertical="center"/>
      <protection locked="0"/>
    </xf>
    <xf numFmtId="191" fontId="0" fillId="103" borderId="179" xfId="10" applyNumberFormat="1" applyFont="1" applyFill="1" applyBorder="1" applyAlignment="1" applyProtection="1">
      <alignment vertical="center"/>
      <protection locked="0"/>
    </xf>
    <xf numFmtId="0" fontId="0" fillId="103" borderId="48" xfId="0" applyFont="1" applyFill="1" applyBorder="1" applyAlignment="1" applyProtection="1">
      <alignment vertical="center"/>
      <protection locked="0"/>
    </xf>
    <xf numFmtId="0" fontId="0" fillId="103" borderId="46" xfId="0" applyFont="1" applyFill="1" applyBorder="1" applyAlignment="1" applyProtection="1">
      <alignment vertical="center"/>
      <protection locked="0"/>
    </xf>
    <xf numFmtId="0" fontId="0" fillId="103" borderId="94" xfId="0" applyFont="1" applyFill="1" applyBorder="1" applyAlignment="1" applyProtection="1">
      <alignment horizontal="justify" vertical="center" wrapText="1"/>
      <protection locked="0"/>
    </xf>
    <xf numFmtId="9" fontId="0" fillId="103" borderId="11" xfId="5" applyFont="1" applyFill="1" applyBorder="1" applyAlignment="1" applyProtection="1">
      <alignment vertical="center" wrapText="1"/>
      <protection locked="0"/>
    </xf>
    <xf numFmtId="9" fontId="0" fillId="103" borderId="184" xfId="5" applyFont="1" applyFill="1" applyBorder="1" applyAlignment="1" applyProtection="1">
      <alignment vertical="center" wrapText="1"/>
      <protection locked="0"/>
    </xf>
    <xf numFmtId="9" fontId="0" fillId="103" borderId="179" xfId="5" applyFont="1" applyFill="1" applyBorder="1" applyAlignment="1" applyProtection="1">
      <alignment vertical="center" wrapText="1"/>
      <protection locked="0"/>
    </xf>
    <xf numFmtId="191" fontId="0" fillId="103" borderId="48" xfId="10" applyNumberFormat="1" applyFont="1" applyFill="1" applyBorder="1" applyAlignment="1" applyProtection="1">
      <alignment vertical="center" wrapText="1"/>
      <protection locked="0"/>
    </xf>
    <xf numFmtId="191" fontId="0" fillId="103" borderId="11" xfId="10" applyNumberFormat="1" applyFont="1" applyFill="1" applyBorder="1" applyAlignment="1" applyProtection="1">
      <alignment vertical="center" wrapText="1"/>
      <protection locked="0"/>
    </xf>
    <xf numFmtId="191" fontId="0" fillId="103" borderId="184" xfId="10" applyNumberFormat="1" applyFont="1" applyFill="1" applyBorder="1" applyAlignment="1" applyProtection="1">
      <alignment vertical="center" wrapText="1"/>
      <protection locked="0"/>
    </xf>
    <xf numFmtId="191" fontId="0" fillId="103" borderId="179" xfId="10" applyNumberFormat="1" applyFont="1" applyFill="1" applyBorder="1" applyAlignment="1" applyProtection="1">
      <alignment vertical="center" wrapText="1"/>
      <protection locked="0"/>
    </xf>
    <xf numFmtId="9" fontId="0" fillId="103" borderId="48" xfId="5" applyFont="1" applyFill="1" applyBorder="1" applyAlignment="1" applyProtection="1">
      <alignment vertical="center" wrapText="1"/>
      <protection locked="0"/>
    </xf>
    <xf numFmtId="9" fontId="0" fillId="103" borderId="46" xfId="5" applyFont="1" applyFill="1" applyBorder="1" applyAlignment="1" applyProtection="1">
      <alignment vertical="center" wrapText="1"/>
      <protection locked="0"/>
    </xf>
    <xf numFmtId="0" fontId="0" fillId="103" borderId="46" xfId="0" applyFont="1" applyFill="1" applyBorder="1" applyAlignment="1" applyProtection="1">
      <alignment horizontal="center" vertical="center" wrapText="1"/>
      <protection locked="0"/>
    </xf>
    <xf numFmtId="0" fontId="0" fillId="103" borderId="160" xfId="0" applyFont="1" applyFill="1" applyBorder="1" applyAlignment="1" applyProtection="1">
      <alignment horizontal="center" vertical="center" wrapText="1"/>
      <protection locked="0"/>
    </xf>
    <xf numFmtId="9" fontId="0" fillId="103" borderId="11" xfId="0" applyNumberFormat="1" applyFont="1" applyFill="1" applyBorder="1" applyAlignment="1" applyProtection="1">
      <alignment horizontal="center" vertical="center"/>
      <protection locked="0"/>
    </xf>
    <xf numFmtId="9" fontId="0" fillId="103" borderId="184" xfId="5" applyFont="1" applyFill="1" applyBorder="1" applyAlignment="1" applyProtection="1">
      <alignment horizontal="center" vertical="center"/>
      <protection locked="0"/>
    </xf>
    <xf numFmtId="9" fontId="0" fillId="103" borderId="184" xfId="0" applyNumberFormat="1" applyFont="1" applyFill="1" applyBorder="1" applyAlignment="1" applyProtection="1">
      <alignment horizontal="center" vertical="center"/>
      <protection locked="0"/>
    </xf>
    <xf numFmtId="9" fontId="0" fillId="103" borderId="179" xfId="0" applyNumberFormat="1" applyFont="1" applyFill="1" applyBorder="1" applyAlignment="1" applyProtection="1">
      <alignment horizontal="center" vertical="center"/>
      <protection locked="0"/>
    </xf>
    <xf numFmtId="191" fontId="0" fillId="103" borderId="48" xfId="10" applyNumberFormat="1" applyFont="1" applyFill="1" applyBorder="1" applyAlignment="1" applyProtection="1">
      <alignment horizontal="center" vertical="center"/>
      <protection locked="0"/>
    </xf>
    <xf numFmtId="191" fontId="0" fillId="103" borderId="11" xfId="10" applyNumberFormat="1" applyFont="1" applyFill="1" applyBorder="1" applyAlignment="1" applyProtection="1">
      <alignment horizontal="center" vertical="center"/>
      <protection locked="0"/>
    </xf>
    <xf numFmtId="191" fontId="0" fillId="103" borderId="184" xfId="10" applyNumberFormat="1" applyFont="1" applyFill="1" applyBorder="1" applyAlignment="1" applyProtection="1">
      <alignment horizontal="center" vertical="center"/>
      <protection locked="0"/>
    </xf>
    <xf numFmtId="191" fontId="0" fillId="103" borderId="179" xfId="10" applyNumberFormat="1" applyFont="1" applyFill="1" applyBorder="1" applyAlignment="1" applyProtection="1">
      <alignment horizontal="center" vertical="center"/>
      <protection locked="0"/>
    </xf>
    <xf numFmtId="9" fontId="0" fillId="103" borderId="48" xfId="0" applyNumberFormat="1" applyFont="1" applyFill="1" applyBorder="1" applyAlignment="1" applyProtection="1">
      <alignment horizontal="center" vertical="center"/>
      <protection locked="0"/>
    </xf>
    <xf numFmtId="9" fontId="0" fillId="103" borderId="46" xfId="0" applyNumberFormat="1" applyFont="1" applyFill="1" applyBorder="1" applyAlignment="1" applyProtection="1">
      <alignment horizontal="center" vertical="center"/>
      <protection locked="0"/>
    </xf>
    <xf numFmtId="191" fontId="0" fillId="103" borderId="46" xfId="10" applyNumberFormat="1" applyFont="1" applyFill="1" applyBorder="1" applyAlignment="1" applyProtection="1">
      <alignment vertical="center" wrapText="1"/>
      <protection locked="0"/>
    </xf>
    <xf numFmtId="9" fontId="0" fillId="103" borderId="11" xfId="0" applyNumberFormat="1" applyFont="1" applyFill="1" applyBorder="1" applyAlignment="1" applyProtection="1">
      <alignment vertical="center"/>
      <protection locked="0"/>
    </xf>
    <xf numFmtId="9" fontId="0" fillId="103" borderId="184" xfId="0" applyNumberFormat="1" applyFont="1" applyFill="1" applyBorder="1" applyAlignment="1" applyProtection="1">
      <alignment vertical="center"/>
      <protection locked="0"/>
    </xf>
    <xf numFmtId="9" fontId="0" fillId="103" borderId="179" xfId="0" applyNumberFormat="1" applyFont="1" applyFill="1" applyBorder="1" applyAlignment="1" applyProtection="1">
      <alignment vertical="center"/>
      <protection locked="0"/>
    </xf>
    <xf numFmtId="9" fontId="0" fillId="103" borderId="48" xfId="0" applyNumberFormat="1" applyFont="1" applyFill="1" applyBorder="1" applyAlignment="1" applyProtection="1">
      <alignment vertical="center"/>
      <protection locked="0"/>
    </xf>
    <xf numFmtId="9" fontId="0" fillId="103" borderId="46" xfId="0" applyNumberFormat="1" applyFont="1" applyFill="1" applyBorder="1" applyAlignment="1" applyProtection="1">
      <alignment vertical="center"/>
      <protection locked="0"/>
    </xf>
    <xf numFmtId="0" fontId="0" fillId="103" borderId="11" xfId="0" applyFont="1" applyFill="1" applyBorder="1" applyAlignment="1" applyProtection="1">
      <alignment vertical="center" wrapText="1"/>
      <protection locked="0"/>
    </xf>
    <xf numFmtId="0" fontId="0" fillId="103" borderId="184" xfId="0" applyFont="1" applyFill="1" applyBorder="1" applyAlignment="1" applyProtection="1">
      <alignment vertical="center" wrapText="1"/>
      <protection locked="0"/>
    </xf>
    <xf numFmtId="0" fontId="0" fillId="103" borderId="179" xfId="0" applyFont="1" applyFill="1" applyBorder="1" applyAlignment="1" applyProtection="1">
      <alignment vertical="center" wrapText="1"/>
      <protection locked="0"/>
    </xf>
    <xf numFmtId="0" fontId="0" fillId="103" borderId="48" xfId="0" applyFont="1" applyFill="1" applyBorder="1" applyAlignment="1" applyProtection="1">
      <alignment vertical="center" wrapText="1"/>
      <protection locked="0"/>
    </xf>
    <xf numFmtId="0" fontId="0" fillId="103" borderId="46" xfId="0" applyFont="1" applyFill="1" applyBorder="1" applyAlignment="1" applyProtection="1">
      <alignment vertical="center" wrapText="1"/>
      <protection locked="0"/>
    </xf>
    <xf numFmtId="9" fontId="0" fillId="103" borderId="11" xfId="0" applyNumberFormat="1" applyFont="1" applyFill="1" applyBorder="1" applyAlignment="1" applyProtection="1">
      <alignment vertical="center" wrapText="1"/>
      <protection locked="0"/>
    </xf>
    <xf numFmtId="9" fontId="0" fillId="103" borderId="184" xfId="0" applyNumberFormat="1" applyFont="1" applyFill="1" applyBorder="1" applyAlignment="1" applyProtection="1">
      <alignment vertical="center" wrapText="1"/>
      <protection locked="0"/>
    </xf>
    <xf numFmtId="9" fontId="0" fillId="103" borderId="179" xfId="0" applyNumberFormat="1" applyFont="1" applyFill="1" applyBorder="1" applyAlignment="1" applyProtection="1">
      <alignment vertical="center" wrapText="1"/>
      <protection locked="0"/>
    </xf>
    <xf numFmtId="9" fontId="0" fillId="103" borderId="48" xfId="0" applyNumberFormat="1" applyFont="1" applyFill="1" applyBorder="1" applyAlignment="1" applyProtection="1">
      <alignment vertical="center" wrapText="1"/>
      <protection locked="0"/>
    </xf>
    <xf numFmtId="9" fontId="0" fillId="103" borderId="46" xfId="0" applyNumberFormat="1" applyFont="1" applyFill="1" applyBorder="1" applyAlignment="1" applyProtection="1">
      <alignment vertical="center" wrapText="1"/>
      <protection locked="0"/>
    </xf>
    <xf numFmtId="0" fontId="0" fillId="103" borderId="11" xfId="0" applyFont="1" applyFill="1" applyBorder="1" applyAlignment="1" applyProtection="1">
      <alignment horizontal="center" vertical="center"/>
      <protection locked="0"/>
    </xf>
    <xf numFmtId="0" fontId="0" fillId="103" borderId="184" xfId="0" applyFont="1" applyFill="1" applyBorder="1" applyAlignment="1" applyProtection="1">
      <alignment horizontal="center" vertical="center"/>
      <protection locked="0"/>
    </xf>
    <xf numFmtId="0" fontId="0" fillId="103" borderId="179" xfId="0" applyFont="1" applyFill="1" applyBorder="1" applyAlignment="1" applyProtection="1">
      <alignment horizontal="center" vertical="center"/>
      <protection locked="0"/>
    </xf>
    <xf numFmtId="0" fontId="0" fillId="103" borderId="48" xfId="0" applyFont="1" applyFill="1" applyBorder="1" applyAlignment="1" applyProtection="1">
      <alignment horizontal="center" vertical="center"/>
      <protection locked="0"/>
    </xf>
    <xf numFmtId="0" fontId="0" fillId="103" borderId="46" xfId="0" applyFont="1" applyFill="1" applyBorder="1" applyAlignment="1" applyProtection="1">
      <alignment horizontal="center" vertical="center"/>
      <protection locked="0"/>
    </xf>
    <xf numFmtId="0" fontId="0" fillId="103" borderId="29" xfId="0" applyFont="1" applyFill="1" applyBorder="1" applyAlignment="1" applyProtection="1">
      <alignment vertical="center" wrapText="1"/>
      <protection locked="0"/>
    </xf>
    <xf numFmtId="9" fontId="0" fillId="103" borderId="30" xfId="5" applyFont="1" applyFill="1" applyBorder="1" applyAlignment="1" applyProtection="1">
      <alignment vertical="center" wrapText="1"/>
      <protection locked="0"/>
    </xf>
    <xf numFmtId="0" fontId="0" fillId="103" borderId="30" xfId="0" applyFont="1" applyFill="1" applyBorder="1" applyAlignment="1" applyProtection="1">
      <alignment vertical="center" wrapText="1"/>
      <protection locked="0"/>
    </xf>
    <xf numFmtId="0" fontId="0" fillId="103" borderId="66" xfId="0" applyFont="1" applyFill="1" applyBorder="1" applyAlignment="1" applyProtection="1">
      <alignment vertical="center" wrapText="1"/>
      <protection locked="0"/>
    </xf>
    <xf numFmtId="191" fontId="0" fillId="103" borderId="50" xfId="10" applyNumberFormat="1" applyFont="1" applyFill="1" applyBorder="1" applyAlignment="1" applyProtection="1">
      <alignment vertical="center" wrapText="1"/>
      <protection locked="0"/>
    </xf>
    <xf numFmtId="191" fontId="0" fillId="103" borderId="29" xfId="10" applyNumberFormat="1" applyFont="1" applyFill="1" applyBorder="1" applyAlignment="1" applyProtection="1">
      <alignment vertical="center" wrapText="1"/>
      <protection locked="0"/>
    </xf>
    <xf numFmtId="191" fontId="0" fillId="103" borderId="30" xfId="10" applyNumberFormat="1" applyFont="1" applyFill="1" applyBorder="1" applyAlignment="1" applyProtection="1">
      <alignment vertical="center" wrapText="1"/>
      <protection locked="0"/>
    </xf>
    <xf numFmtId="191" fontId="0" fillId="103" borderId="66" xfId="10" applyNumberFormat="1" applyFont="1" applyFill="1" applyBorder="1" applyAlignment="1" applyProtection="1">
      <alignment vertical="center" wrapText="1"/>
      <protection locked="0"/>
    </xf>
    <xf numFmtId="0" fontId="0" fillId="103" borderId="50" xfId="0" applyFont="1" applyFill="1" applyBorder="1" applyAlignment="1" applyProtection="1">
      <alignment vertical="center" wrapText="1"/>
      <protection locked="0"/>
    </xf>
    <xf numFmtId="0" fontId="0" fillId="103" borderId="177" xfId="0" applyFont="1" applyFill="1" applyBorder="1" applyAlignment="1" applyProtection="1">
      <alignment vertical="center" wrapText="1"/>
      <protection locked="0"/>
    </xf>
    <xf numFmtId="0" fontId="0" fillId="103" borderId="159" xfId="0" applyFont="1" applyFill="1" applyBorder="1" applyAlignment="1" applyProtection="1">
      <alignment horizontal="justify" vertical="center" wrapText="1"/>
      <protection locked="0"/>
    </xf>
    <xf numFmtId="9" fontId="0" fillId="40" borderId="51" xfId="0" applyNumberFormat="1" applyFont="1" applyFill="1" applyBorder="1" applyAlignment="1" applyProtection="1">
      <alignment horizontal="center" vertical="center" wrapText="1"/>
      <protection locked="0"/>
    </xf>
    <xf numFmtId="9" fontId="0" fillId="40" borderId="32" xfId="5" applyFont="1" applyFill="1" applyBorder="1" applyAlignment="1" applyProtection="1">
      <alignment horizontal="center" vertical="center" wrapText="1"/>
      <protection locked="0"/>
    </xf>
    <xf numFmtId="9" fontId="0" fillId="40" borderId="32" xfId="0" applyNumberFormat="1" applyFont="1" applyFill="1" applyBorder="1" applyAlignment="1" applyProtection="1">
      <alignment horizontal="center" vertical="center" wrapText="1"/>
      <protection locked="0"/>
    </xf>
    <xf numFmtId="9" fontId="0" fillId="40" borderId="38" xfId="0" applyNumberFormat="1" applyFont="1" applyFill="1" applyBorder="1" applyAlignment="1" applyProtection="1">
      <alignment horizontal="center" vertical="center" wrapText="1"/>
      <protection locked="0"/>
    </xf>
    <xf numFmtId="191" fontId="0" fillId="40" borderId="99" xfId="10" applyNumberFormat="1" applyFont="1" applyFill="1" applyBorder="1" applyAlignment="1" applyProtection="1">
      <alignment horizontal="center" vertical="center" wrapText="1"/>
      <protection locked="0"/>
    </xf>
    <xf numFmtId="191" fontId="0" fillId="40" borderId="51" xfId="10" applyNumberFormat="1" applyFont="1" applyFill="1" applyBorder="1" applyAlignment="1" applyProtection="1">
      <alignment horizontal="center" vertical="center" wrapText="1"/>
      <protection locked="0"/>
    </xf>
    <xf numFmtId="191" fontId="0" fillId="40" borderId="32" xfId="10" applyNumberFormat="1" applyFont="1" applyFill="1" applyBorder="1" applyAlignment="1" applyProtection="1">
      <alignment horizontal="center" vertical="center" wrapText="1"/>
      <protection locked="0"/>
    </xf>
    <xf numFmtId="191" fontId="0" fillId="40" borderId="38" xfId="10" applyNumberFormat="1" applyFont="1" applyFill="1" applyBorder="1" applyAlignment="1" applyProtection="1">
      <alignment horizontal="center" vertical="center" wrapText="1"/>
      <protection locked="0"/>
    </xf>
    <xf numFmtId="9" fontId="0" fillId="40" borderId="99" xfId="0" applyNumberFormat="1" applyFont="1" applyFill="1" applyBorder="1" applyAlignment="1" applyProtection="1">
      <alignment horizontal="center" vertical="center" wrapText="1"/>
      <protection locked="0"/>
    </xf>
    <xf numFmtId="9" fontId="0" fillId="40" borderId="60" xfId="0" applyNumberFormat="1" applyFont="1" applyFill="1" applyBorder="1" applyAlignment="1" applyProtection="1">
      <alignment horizontal="center" vertical="center" wrapText="1"/>
      <protection locked="0"/>
    </xf>
    <xf numFmtId="0" fontId="0" fillId="40" borderId="11" xfId="0" applyFont="1" applyFill="1" applyBorder="1" applyAlignment="1" applyProtection="1">
      <alignment horizontal="center" vertical="center" wrapText="1"/>
      <protection locked="0"/>
    </xf>
    <xf numFmtId="9" fontId="0" fillId="40" borderId="11" xfId="0" applyNumberFormat="1" applyFont="1" applyFill="1" applyBorder="1" applyAlignment="1" applyProtection="1">
      <alignment horizontal="center" vertical="center" wrapText="1"/>
      <protection locked="0"/>
    </xf>
    <xf numFmtId="9" fontId="0" fillId="40" borderId="184" xfId="5" applyFont="1" applyFill="1" applyBorder="1" applyAlignment="1" applyProtection="1">
      <alignment horizontal="center" vertical="center" wrapText="1"/>
      <protection locked="0"/>
    </xf>
    <xf numFmtId="9" fontId="0" fillId="40" borderId="184" xfId="0" applyNumberFormat="1" applyFont="1" applyFill="1" applyBorder="1" applyAlignment="1" applyProtection="1">
      <alignment horizontal="center" vertical="center" wrapText="1"/>
      <protection locked="0"/>
    </xf>
    <xf numFmtId="9" fontId="0" fillId="40" borderId="179" xfId="0" applyNumberFormat="1" applyFont="1" applyFill="1" applyBorder="1" applyAlignment="1" applyProtection="1">
      <alignment horizontal="center" vertical="center" wrapText="1"/>
      <protection locked="0"/>
    </xf>
    <xf numFmtId="191" fontId="0" fillId="40" borderId="48" xfId="10" applyNumberFormat="1" applyFont="1" applyFill="1" applyBorder="1" applyAlignment="1" applyProtection="1">
      <alignment horizontal="center" vertical="center" wrapText="1"/>
      <protection locked="0"/>
    </xf>
    <xf numFmtId="191" fontId="0" fillId="40" borderId="11" xfId="10" applyNumberFormat="1" applyFont="1" applyFill="1" applyBorder="1" applyAlignment="1" applyProtection="1">
      <alignment horizontal="center" vertical="center" wrapText="1"/>
      <protection locked="0"/>
    </xf>
    <xf numFmtId="191" fontId="0" fillId="40" borderId="184" xfId="10" applyNumberFormat="1" applyFont="1" applyFill="1" applyBorder="1" applyAlignment="1" applyProtection="1">
      <alignment horizontal="center" vertical="center" wrapText="1"/>
      <protection locked="0"/>
    </xf>
    <xf numFmtId="191" fontId="0" fillId="40" borderId="179" xfId="10" applyNumberFormat="1" applyFont="1" applyFill="1" applyBorder="1" applyAlignment="1" applyProtection="1">
      <alignment horizontal="center" vertical="center" wrapText="1"/>
      <protection locked="0"/>
    </xf>
    <xf numFmtId="9" fontId="0" fillId="40" borderId="48" xfId="0" applyNumberFormat="1" applyFont="1" applyFill="1" applyBorder="1" applyAlignment="1" applyProtection="1">
      <alignment horizontal="center" vertical="center" wrapText="1"/>
      <protection locked="0"/>
    </xf>
    <xf numFmtId="9" fontId="0" fillId="40" borderId="46" xfId="0" applyNumberFormat="1" applyFont="1" applyFill="1" applyBorder="1" applyAlignment="1" applyProtection="1">
      <alignment horizontal="center" vertical="center" wrapText="1"/>
      <protection locked="0"/>
    </xf>
    <xf numFmtId="9" fontId="0" fillId="40" borderId="11" xfId="0" applyNumberFormat="1" applyFont="1" applyFill="1" applyBorder="1" applyAlignment="1" applyProtection="1">
      <alignment vertical="center" wrapText="1"/>
      <protection locked="0"/>
    </xf>
    <xf numFmtId="9" fontId="0" fillId="40" borderId="184" xfId="5" applyFont="1" applyFill="1" applyBorder="1" applyAlignment="1" applyProtection="1">
      <alignment vertical="center" wrapText="1"/>
      <protection locked="0"/>
    </xf>
    <xf numFmtId="9" fontId="0" fillId="40" borderId="184" xfId="0" applyNumberFormat="1" applyFont="1" applyFill="1" applyBorder="1" applyAlignment="1" applyProtection="1">
      <alignment vertical="center" wrapText="1"/>
      <protection locked="0"/>
    </xf>
    <xf numFmtId="9" fontId="0" fillId="40" borderId="179" xfId="0" applyNumberFormat="1" applyFont="1" applyFill="1" applyBorder="1" applyAlignment="1" applyProtection="1">
      <alignment vertical="center" wrapText="1"/>
      <protection locked="0"/>
    </xf>
    <xf numFmtId="191" fontId="0" fillId="40" borderId="48" xfId="10" applyNumberFormat="1" applyFont="1" applyFill="1" applyBorder="1" applyAlignment="1" applyProtection="1">
      <alignment vertical="center" wrapText="1"/>
      <protection locked="0"/>
    </xf>
    <xf numFmtId="191" fontId="0" fillId="40" borderId="11" xfId="10" applyNumberFormat="1" applyFont="1" applyFill="1" applyBorder="1" applyAlignment="1" applyProtection="1">
      <alignment vertical="center" wrapText="1"/>
      <protection locked="0"/>
    </xf>
    <xf numFmtId="191" fontId="0" fillId="40" borderId="184" xfId="10" applyNumberFormat="1" applyFont="1" applyFill="1" applyBorder="1" applyAlignment="1" applyProtection="1">
      <alignment vertical="center" wrapText="1"/>
      <protection locked="0"/>
    </xf>
    <xf numFmtId="191" fontId="0" fillId="40" borderId="179" xfId="10" applyNumberFormat="1" applyFont="1" applyFill="1" applyBorder="1" applyAlignment="1" applyProtection="1">
      <alignment vertical="center" wrapText="1"/>
      <protection locked="0"/>
    </xf>
    <xf numFmtId="9" fontId="0" fillId="40" borderId="48" xfId="0" applyNumberFormat="1" applyFont="1" applyFill="1" applyBorder="1" applyAlignment="1" applyProtection="1">
      <alignment vertical="center" wrapText="1"/>
      <protection locked="0"/>
    </xf>
    <xf numFmtId="9" fontId="0" fillId="40" borderId="46" xfId="0" applyNumberFormat="1" applyFont="1" applyFill="1" applyBorder="1" applyAlignment="1" applyProtection="1">
      <alignment vertical="center" wrapText="1"/>
      <protection locked="0"/>
    </xf>
    <xf numFmtId="0" fontId="10" fillId="40" borderId="94" xfId="0" applyFont="1" applyFill="1" applyBorder="1" applyAlignment="1" applyProtection="1">
      <alignment horizontal="justify" vertical="center" wrapText="1"/>
      <protection locked="0"/>
    </xf>
    <xf numFmtId="9" fontId="11" fillId="40" borderId="11" xfId="0" applyNumberFormat="1" applyFont="1" applyFill="1" applyBorder="1" applyAlignment="1" applyProtection="1">
      <alignment vertical="center" wrapText="1"/>
      <protection locked="0"/>
    </xf>
    <xf numFmtId="9" fontId="11" fillId="40" borderId="184" xfId="5" applyFont="1" applyFill="1" applyBorder="1" applyAlignment="1" applyProtection="1">
      <alignment vertical="center" wrapText="1"/>
      <protection locked="0"/>
    </xf>
    <xf numFmtId="9" fontId="11" fillId="40" borderId="184" xfId="0" applyNumberFormat="1" applyFont="1" applyFill="1" applyBorder="1" applyAlignment="1" applyProtection="1">
      <alignment vertical="center" wrapText="1"/>
      <protection locked="0"/>
    </xf>
    <xf numFmtId="9" fontId="11" fillId="40" borderId="179" xfId="0" applyNumberFormat="1" applyFont="1" applyFill="1" applyBorder="1" applyAlignment="1" applyProtection="1">
      <alignment vertical="center" wrapText="1"/>
      <protection locked="0"/>
    </xf>
    <xf numFmtId="191" fontId="11" fillId="40" borderId="48" xfId="10" applyNumberFormat="1" applyFont="1" applyFill="1" applyBorder="1" applyAlignment="1" applyProtection="1">
      <alignment vertical="center" wrapText="1"/>
      <protection locked="0"/>
    </xf>
    <xf numFmtId="191" fontId="11" fillId="40" borderId="11" xfId="10" applyNumberFormat="1" applyFont="1" applyFill="1" applyBorder="1" applyAlignment="1" applyProtection="1">
      <alignment vertical="center" wrapText="1"/>
      <protection locked="0"/>
    </xf>
    <xf numFmtId="191" fontId="11" fillId="40" borderId="184" xfId="10" applyNumberFormat="1" applyFont="1" applyFill="1" applyBorder="1" applyAlignment="1" applyProtection="1">
      <alignment vertical="center" wrapText="1"/>
      <protection locked="0"/>
    </xf>
    <xf numFmtId="191" fontId="11" fillId="40" borderId="179" xfId="10" applyNumberFormat="1" applyFont="1" applyFill="1" applyBorder="1" applyAlignment="1" applyProtection="1">
      <alignment vertical="center" wrapText="1"/>
      <protection locked="0"/>
    </xf>
    <xf numFmtId="9" fontId="11" fillId="40" borderId="48" xfId="0" applyNumberFormat="1" applyFont="1" applyFill="1" applyBorder="1" applyAlignment="1" applyProtection="1">
      <alignment vertical="center" wrapText="1"/>
      <protection locked="0"/>
    </xf>
    <xf numFmtId="9" fontId="11" fillId="40" borderId="46" xfId="0" applyNumberFormat="1" applyFont="1" applyFill="1" applyBorder="1" applyAlignment="1" applyProtection="1">
      <alignment vertical="center" wrapText="1"/>
      <protection locked="0"/>
    </xf>
    <xf numFmtId="0" fontId="0" fillId="44" borderId="60" xfId="0" applyFont="1" applyFill="1" applyBorder="1" applyAlignment="1" applyProtection="1">
      <alignment horizontal="center" vertical="center" wrapText="1"/>
      <protection locked="0"/>
    </xf>
    <xf numFmtId="0" fontId="0" fillId="44" borderId="100" xfId="0" applyFont="1" applyFill="1" applyBorder="1" applyAlignment="1" applyProtection="1">
      <alignment horizontal="center" vertical="center" wrapText="1"/>
      <protection locked="0"/>
    </xf>
    <xf numFmtId="0" fontId="10" fillId="44" borderId="52" xfId="0" applyFont="1" applyFill="1" applyBorder="1" applyAlignment="1" applyProtection="1">
      <alignment horizontal="justify" vertical="center" wrapText="1"/>
      <protection locked="0"/>
    </xf>
    <xf numFmtId="9" fontId="0" fillId="44" borderId="51" xfId="0" applyNumberFormat="1" applyFont="1" applyFill="1" applyBorder="1" applyAlignment="1" applyProtection="1">
      <alignment horizontal="center" vertical="center" wrapText="1"/>
      <protection locked="0"/>
    </xf>
    <xf numFmtId="9" fontId="0" fillId="44" borderId="32" xfId="5" applyFont="1" applyFill="1" applyBorder="1" applyAlignment="1" applyProtection="1">
      <alignment horizontal="center" vertical="center" wrapText="1"/>
      <protection locked="0"/>
    </xf>
    <xf numFmtId="9" fontId="0" fillId="44" borderId="32" xfId="0" applyNumberFormat="1" applyFont="1" applyFill="1" applyBorder="1" applyAlignment="1" applyProtection="1">
      <alignment horizontal="center" vertical="center" wrapText="1"/>
      <protection locked="0"/>
    </xf>
    <xf numFmtId="9" fontId="0" fillId="44" borderId="38" xfId="0" applyNumberFormat="1" applyFont="1" applyFill="1" applyBorder="1" applyAlignment="1" applyProtection="1">
      <alignment horizontal="center" vertical="center" wrapText="1"/>
      <protection locked="0"/>
    </xf>
    <xf numFmtId="191" fontId="0" fillId="44" borderId="99" xfId="10" applyNumberFormat="1" applyFont="1" applyFill="1" applyBorder="1" applyAlignment="1" applyProtection="1">
      <alignment horizontal="center" vertical="center" wrapText="1"/>
      <protection locked="0"/>
    </xf>
    <xf numFmtId="191" fontId="0" fillId="44" borderId="51" xfId="10" applyNumberFormat="1" applyFont="1" applyFill="1" applyBorder="1" applyAlignment="1" applyProtection="1">
      <alignment horizontal="center" vertical="center" wrapText="1"/>
      <protection locked="0"/>
    </xf>
    <xf numFmtId="191" fontId="0" fillId="44" borderId="32" xfId="10" applyNumberFormat="1" applyFont="1" applyFill="1" applyBorder="1" applyAlignment="1" applyProtection="1">
      <alignment horizontal="center" vertical="center" wrapText="1"/>
      <protection locked="0"/>
    </xf>
    <xf numFmtId="191" fontId="0" fillId="44" borderId="38" xfId="10" applyNumberFormat="1" applyFont="1" applyFill="1" applyBorder="1" applyAlignment="1" applyProtection="1">
      <alignment horizontal="center" vertical="center" wrapText="1"/>
      <protection locked="0"/>
    </xf>
    <xf numFmtId="9" fontId="0" fillId="44" borderId="99" xfId="0" applyNumberFormat="1" applyFont="1" applyFill="1" applyBorder="1" applyAlignment="1" applyProtection="1">
      <alignment horizontal="center" vertical="center" wrapText="1"/>
      <protection locked="0"/>
    </xf>
    <xf numFmtId="9" fontId="0" fillId="44" borderId="60" xfId="0" applyNumberFormat="1" applyFont="1" applyFill="1" applyBorder="1" applyAlignment="1" applyProtection="1">
      <alignment horizontal="center" vertical="center" wrapText="1"/>
      <protection locked="0"/>
    </xf>
    <xf numFmtId="0" fontId="0" fillId="44" borderId="46" xfId="0" applyFont="1" applyFill="1" applyBorder="1" applyAlignment="1" applyProtection="1">
      <alignment horizontal="center" vertical="center" wrapText="1"/>
      <protection locked="0"/>
    </xf>
    <xf numFmtId="0" fontId="0" fillId="44" borderId="155" xfId="0" applyFont="1" applyFill="1" applyBorder="1" applyAlignment="1" applyProtection="1">
      <alignment horizontal="center" vertical="center" wrapText="1"/>
      <protection locked="0"/>
    </xf>
    <xf numFmtId="0" fontId="10" fillId="44" borderId="94" xfId="0" applyFont="1" applyFill="1" applyBorder="1" applyAlignment="1" applyProtection="1">
      <alignment horizontal="justify" vertical="center" wrapText="1"/>
      <protection locked="0"/>
    </xf>
    <xf numFmtId="9" fontId="0" fillId="44" borderId="11" xfId="0" applyNumberFormat="1" applyFont="1" applyFill="1" applyBorder="1" applyAlignment="1" applyProtection="1">
      <alignment horizontal="center" vertical="center" wrapText="1"/>
      <protection locked="0"/>
    </xf>
    <xf numFmtId="9" fontId="0" fillId="44" borderId="184" xfId="5" applyFont="1" applyFill="1" applyBorder="1" applyAlignment="1" applyProtection="1">
      <alignment horizontal="center" vertical="center" wrapText="1"/>
      <protection locked="0"/>
    </xf>
    <xf numFmtId="9" fontId="0" fillId="44" borderId="184" xfId="0" applyNumberFormat="1" applyFont="1" applyFill="1" applyBorder="1" applyAlignment="1" applyProtection="1">
      <alignment horizontal="center" vertical="center" wrapText="1"/>
      <protection locked="0"/>
    </xf>
    <xf numFmtId="9" fontId="0" fillId="44" borderId="179" xfId="0" applyNumberFormat="1" applyFont="1" applyFill="1" applyBorder="1" applyAlignment="1" applyProtection="1">
      <alignment horizontal="center" vertical="center" wrapText="1"/>
      <protection locked="0"/>
    </xf>
    <xf numFmtId="191" fontId="0" fillId="44" borderId="48" xfId="10" applyNumberFormat="1" applyFont="1" applyFill="1" applyBorder="1" applyAlignment="1" applyProtection="1">
      <alignment horizontal="center" vertical="center" wrapText="1"/>
      <protection locked="0"/>
    </xf>
    <xf numFmtId="191" fontId="0" fillId="44" borderId="11" xfId="10" applyNumberFormat="1" applyFont="1" applyFill="1" applyBorder="1" applyAlignment="1" applyProtection="1">
      <alignment horizontal="center" vertical="center" wrapText="1"/>
      <protection locked="0"/>
    </xf>
    <xf numFmtId="191" fontId="0" fillId="44" borderId="184" xfId="10" applyNumberFormat="1" applyFont="1" applyFill="1" applyBorder="1" applyAlignment="1" applyProtection="1">
      <alignment horizontal="center" vertical="center" wrapText="1"/>
      <protection locked="0"/>
    </xf>
    <xf numFmtId="191" fontId="0" fillId="44" borderId="179" xfId="10" applyNumberFormat="1" applyFont="1" applyFill="1" applyBorder="1" applyAlignment="1" applyProtection="1">
      <alignment horizontal="center" vertical="center" wrapText="1"/>
      <protection locked="0"/>
    </xf>
    <xf numFmtId="9" fontId="0" fillId="44" borderId="48" xfId="0" applyNumberFormat="1" applyFont="1" applyFill="1" applyBorder="1" applyAlignment="1" applyProtection="1">
      <alignment horizontal="center" vertical="center" wrapText="1"/>
      <protection locked="0"/>
    </xf>
    <xf numFmtId="9" fontId="0" fillId="44" borderId="46" xfId="0" applyNumberFormat="1" applyFont="1" applyFill="1" applyBorder="1" applyAlignment="1" applyProtection="1">
      <alignment horizontal="center" vertical="center" wrapText="1"/>
      <protection locked="0"/>
    </xf>
    <xf numFmtId="0" fontId="0" fillId="44" borderId="24" xfId="0" applyFont="1" applyFill="1" applyBorder="1" applyAlignment="1" applyProtection="1">
      <alignment horizontal="center"/>
      <protection locked="0"/>
    </xf>
    <xf numFmtId="0" fontId="0" fillId="44" borderId="40" xfId="0" applyFont="1" applyFill="1" applyBorder="1" applyAlignment="1" applyProtection="1">
      <alignment horizontal="center"/>
      <protection locked="0"/>
    </xf>
    <xf numFmtId="9" fontId="0" fillId="44" borderId="11" xfId="0" applyNumberFormat="1" applyFont="1" applyFill="1" applyBorder="1" applyAlignment="1" applyProtection="1">
      <alignment horizontal="center" vertical="top" wrapText="1"/>
      <protection locked="0"/>
    </xf>
    <xf numFmtId="9" fontId="0" fillId="44" borderId="184" xfId="5" applyFont="1" applyFill="1" applyBorder="1" applyAlignment="1" applyProtection="1">
      <alignment horizontal="center" vertical="top" wrapText="1"/>
      <protection locked="0"/>
    </xf>
    <xf numFmtId="9" fontId="0" fillId="44" borderId="184" xfId="0" applyNumberFormat="1" applyFont="1" applyFill="1" applyBorder="1" applyAlignment="1" applyProtection="1">
      <alignment horizontal="center" vertical="top" wrapText="1"/>
      <protection locked="0"/>
    </xf>
    <xf numFmtId="9" fontId="0" fillId="44" borderId="179" xfId="0" applyNumberFormat="1" applyFont="1" applyFill="1" applyBorder="1" applyAlignment="1" applyProtection="1">
      <alignment horizontal="center" vertical="top" wrapText="1"/>
      <protection locked="0"/>
    </xf>
    <xf numFmtId="191" fontId="0" fillId="44" borderId="48" xfId="10" applyNumberFormat="1" applyFont="1" applyFill="1" applyBorder="1" applyAlignment="1" applyProtection="1">
      <alignment horizontal="center" vertical="top" wrapText="1"/>
      <protection locked="0"/>
    </xf>
    <xf numFmtId="191" fontId="0" fillId="44" borderId="11" xfId="10" applyNumberFormat="1" applyFont="1" applyFill="1" applyBorder="1" applyAlignment="1" applyProtection="1">
      <alignment horizontal="center" vertical="top" wrapText="1"/>
      <protection locked="0"/>
    </xf>
    <xf numFmtId="191" fontId="0" fillId="44" borderId="184" xfId="10" applyNumberFormat="1" applyFont="1" applyFill="1" applyBorder="1" applyAlignment="1" applyProtection="1">
      <alignment horizontal="center" vertical="top" wrapText="1"/>
      <protection locked="0"/>
    </xf>
    <xf numFmtId="191" fontId="0" fillId="44" borderId="179" xfId="10" applyNumberFormat="1" applyFont="1" applyFill="1" applyBorder="1" applyAlignment="1" applyProtection="1">
      <alignment horizontal="center" vertical="top" wrapText="1"/>
      <protection locked="0"/>
    </xf>
    <xf numFmtId="9" fontId="0" fillId="44" borderId="48" xfId="0" applyNumberFormat="1" applyFont="1" applyFill="1" applyBorder="1" applyAlignment="1" applyProtection="1">
      <alignment horizontal="center" vertical="top" wrapText="1"/>
      <protection locked="0"/>
    </xf>
    <xf numFmtId="9" fontId="0" fillId="44" borderId="46" xfId="0" applyNumberFormat="1" applyFont="1" applyFill="1" applyBorder="1" applyAlignment="1" applyProtection="1">
      <alignment horizontal="center" vertical="top" wrapText="1"/>
      <protection locked="0"/>
    </xf>
    <xf numFmtId="9" fontId="0" fillId="44" borderId="29" xfId="0" applyNumberFormat="1" applyFont="1" applyFill="1" applyBorder="1" applyAlignment="1" applyProtection="1">
      <alignment horizontal="center" vertical="center" wrapText="1"/>
      <protection locked="0"/>
    </xf>
    <xf numFmtId="9" fontId="0" fillId="44" borderId="30" xfId="5" applyFont="1" applyFill="1" applyBorder="1" applyAlignment="1" applyProtection="1">
      <alignment horizontal="center" vertical="center" wrapText="1"/>
      <protection locked="0"/>
    </xf>
    <xf numFmtId="9" fontId="0" fillId="44" borderId="30" xfId="0" applyNumberFormat="1" applyFont="1" applyFill="1" applyBorder="1" applyAlignment="1" applyProtection="1">
      <alignment horizontal="center" vertical="center" wrapText="1"/>
      <protection locked="0"/>
    </xf>
    <xf numFmtId="9" fontId="0" fillId="44" borderId="66" xfId="0" applyNumberFormat="1" applyFont="1" applyFill="1" applyBorder="1" applyAlignment="1" applyProtection="1">
      <alignment horizontal="center" vertical="center" wrapText="1"/>
      <protection locked="0"/>
    </xf>
    <xf numFmtId="191" fontId="0" fillId="44" borderId="50" xfId="10" applyNumberFormat="1" applyFont="1" applyFill="1" applyBorder="1" applyAlignment="1" applyProtection="1">
      <alignment horizontal="center" vertical="center" wrapText="1"/>
      <protection locked="0"/>
    </xf>
    <xf numFmtId="191" fontId="0" fillId="44" borderId="29" xfId="10" applyNumberFormat="1" applyFont="1" applyFill="1" applyBorder="1" applyAlignment="1" applyProtection="1">
      <alignment horizontal="center" vertical="center" wrapText="1"/>
      <protection locked="0"/>
    </xf>
    <xf numFmtId="191" fontId="0" fillId="44" borderId="30" xfId="10" applyNumberFormat="1" applyFont="1" applyFill="1" applyBorder="1" applyAlignment="1" applyProtection="1">
      <alignment horizontal="center" vertical="center" wrapText="1"/>
      <protection locked="0"/>
    </xf>
    <xf numFmtId="191" fontId="0" fillId="44" borderId="66" xfId="10" applyNumberFormat="1" applyFont="1" applyFill="1" applyBorder="1" applyAlignment="1" applyProtection="1">
      <alignment horizontal="center" vertical="center" wrapText="1"/>
      <protection locked="0"/>
    </xf>
    <xf numFmtId="9" fontId="0" fillId="44" borderId="50" xfId="0" applyNumberFormat="1" applyFont="1" applyFill="1" applyBorder="1" applyAlignment="1" applyProtection="1">
      <alignment horizontal="center" vertical="center" wrapText="1"/>
      <protection locked="0"/>
    </xf>
    <xf numFmtId="9" fontId="0" fillId="44" borderId="177" xfId="0" applyNumberFormat="1" applyFont="1" applyFill="1" applyBorder="1" applyAlignment="1" applyProtection="1">
      <alignment horizontal="center" vertical="center" wrapText="1"/>
      <protection locked="0"/>
    </xf>
    <xf numFmtId="9" fontId="0" fillId="7" borderId="51" xfId="0" applyNumberFormat="1" applyFont="1" applyFill="1" applyBorder="1" applyAlignment="1" applyProtection="1">
      <alignment horizontal="center" vertical="center" wrapText="1"/>
      <protection locked="0"/>
    </xf>
    <xf numFmtId="9" fontId="0" fillId="7" borderId="32" xfId="5" applyFont="1" applyFill="1" applyBorder="1" applyAlignment="1" applyProtection="1">
      <alignment horizontal="center" vertical="center" wrapText="1"/>
      <protection locked="0"/>
    </xf>
    <xf numFmtId="9" fontId="0" fillId="7" borderId="32" xfId="0" applyNumberFormat="1" applyFont="1" applyFill="1" applyBorder="1" applyAlignment="1" applyProtection="1">
      <alignment horizontal="center" vertical="center" wrapText="1"/>
      <protection locked="0"/>
    </xf>
    <xf numFmtId="9" fontId="0" fillId="7" borderId="38" xfId="0" applyNumberFormat="1" applyFont="1" applyFill="1" applyBorder="1" applyAlignment="1" applyProtection="1">
      <alignment horizontal="center" vertical="center" wrapText="1"/>
      <protection locked="0"/>
    </xf>
    <xf numFmtId="191" fontId="0" fillId="7" borderId="99" xfId="10" applyNumberFormat="1" applyFont="1" applyFill="1" applyBorder="1" applyAlignment="1" applyProtection="1">
      <alignment horizontal="center" vertical="center" wrapText="1"/>
      <protection locked="0"/>
    </xf>
    <xf numFmtId="191" fontId="0" fillId="7" borderId="51" xfId="10" applyNumberFormat="1" applyFont="1" applyFill="1" applyBorder="1" applyAlignment="1" applyProtection="1">
      <alignment horizontal="center" vertical="center" wrapText="1"/>
      <protection locked="0"/>
    </xf>
    <xf numFmtId="191" fontId="0" fillId="7" borderId="32" xfId="10" applyNumberFormat="1" applyFont="1" applyFill="1" applyBorder="1" applyAlignment="1" applyProtection="1">
      <alignment horizontal="center" vertical="center" wrapText="1"/>
      <protection locked="0"/>
    </xf>
    <xf numFmtId="191" fontId="0" fillId="7" borderId="38" xfId="10" applyNumberFormat="1" applyFont="1" applyFill="1" applyBorder="1" applyAlignment="1" applyProtection="1">
      <alignment horizontal="center" vertical="center" wrapText="1"/>
      <protection locked="0"/>
    </xf>
    <xf numFmtId="9" fontId="0" fillId="7" borderId="99" xfId="0" applyNumberFormat="1" applyFont="1" applyFill="1" applyBorder="1" applyAlignment="1" applyProtection="1">
      <alignment horizontal="center" vertical="center" wrapText="1"/>
      <protection locked="0"/>
    </xf>
    <xf numFmtId="9" fontId="0" fillId="7" borderId="60" xfId="0" applyNumberFormat="1" applyFont="1" applyFill="1" applyBorder="1" applyAlignment="1" applyProtection="1">
      <alignment horizontal="center" vertical="center" wrapText="1"/>
      <protection locked="0"/>
    </xf>
    <xf numFmtId="0" fontId="0" fillId="7" borderId="29" xfId="0" applyFont="1" applyFill="1" applyBorder="1" applyAlignment="1" applyProtection="1">
      <alignment horizontal="center" vertical="center" wrapText="1"/>
      <protection locked="0"/>
    </xf>
    <xf numFmtId="9" fontId="0" fillId="7" borderId="29" xfId="0" applyNumberFormat="1" applyFont="1" applyFill="1" applyBorder="1" applyAlignment="1" applyProtection="1">
      <alignment horizontal="center" vertical="center" wrapText="1"/>
      <protection locked="0"/>
    </xf>
    <xf numFmtId="9" fontId="0" fillId="7" borderId="30" xfId="5" applyFont="1" applyFill="1" applyBorder="1" applyAlignment="1" applyProtection="1">
      <alignment horizontal="center" vertical="center" wrapText="1"/>
      <protection locked="0"/>
    </xf>
    <xf numFmtId="9" fontId="0" fillId="7" borderId="30" xfId="0" applyNumberFormat="1" applyFont="1" applyFill="1" applyBorder="1" applyAlignment="1" applyProtection="1">
      <alignment horizontal="center" vertical="center" wrapText="1"/>
      <protection locked="0"/>
    </xf>
    <xf numFmtId="9" fontId="0" fillId="7" borderId="66" xfId="0" applyNumberFormat="1" applyFont="1" applyFill="1" applyBorder="1" applyAlignment="1" applyProtection="1">
      <alignment horizontal="center" vertical="center" wrapText="1"/>
      <protection locked="0"/>
    </xf>
    <xf numFmtId="191" fontId="0" fillId="7" borderId="50" xfId="10" applyNumberFormat="1" applyFont="1" applyFill="1" applyBorder="1" applyAlignment="1" applyProtection="1">
      <alignment horizontal="center" vertical="center" wrapText="1"/>
      <protection locked="0"/>
    </xf>
    <xf numFmtId="191" fontId="0" fillId="7" borderId="29" xfId="10" applyNumberFormat="1" applyFont="1" applyFill="1" applyBorder="1" applyAlignment="1" applyProtection="1">
      <alignment horizontal="center" vertical="center" wrapText="1"/>
      <protection locked="0"/>
    </xf>
    <xf numFmtId="191" fontId="0" fillId="7" borderId="30" xfId="10" applyNumberFormat="1" applyFont="1" applyFill="1" applyBorder="1" applyAlignment="1" applyProtection="1">
      <alignment horizontal="center" vertical="center" wrapText="1"/>
      <protection locked="0"/>
    </xf>
    <xf numFmtId="191" fontId="0" fillId="7" borderId="66" xfId="10" applyNumberFormat="1" applyFont="1" applyFill="1" applyBorder="1" applyAlignment="1" applyProtection="1">
      <alignment horizontal="center" vertical="center" wrapText="1"/>
      <protection locked="0"/>
    </xf>
    <xf numFmtId="9" fontId="0" fillId="7" borderId="50" xfId="0" applyNumberFormat="1" applyFont="1" applyFill="1" applyBorder="1" applyAlignment="1" applyProtection="1">
      <alignment horizontal="center" vertical="center" wrapText="1"/>
      <protection locked="0"/>
    </xf>
    <xf numFmtId="9" fontId="0" fillId="7" borderId="177" xfId="0" applyNumberFormat="1" applyFont="1" applyFill="1" applyBorder="1" applyAlignment="1" applyProtection="1">
      <alignment horizontal="center" vertical="center" wrapText="1"/>
      <protection locked="0"/>
    </xf>
    <xf numFmtId="0" fontId="0" fillId="51" borderId="51" xfId="0" applyFont="1" applyFill="1" applyBorder="1" applyAlignment="1" applyProtection="1">
      <alignment horizontal="center" vertical="center" wrapText="1"/>
      <protection locked="0"/>
    </xf>
    <xf numFmtId="9" fontId="0" fillId="51" borderId="51" xfId="0" applyNumberFormat="1" applyFont="1" applyFill="1" applyBorder="1" applyAlignment="1" applyProtection="1">
      <alignment horizontal="center" vertical="center" wrapText="1"/>
      <protection locked="0"/>
    </xf>
    <xf numFmtId="9" fontId="0" fillId="51" borderId="32" xfId="5" applyFont="1" applyFill="1" applyBorder="1" applyAlignment="1" applyProtection="1">
      <alignment horizontal="center" vertical="center" wrapText="1"/>
      <protection locked="0"/>
    </xf>
    <xf numFmtId="9" fontId="0" fillId="51" borderId="32" xfId="0" applyNumberFormat="1" applyFont="1" applyFill="1" applyBorder="1" applyAlignment="1" applyProtection="1">
      <alignment horizontal="center" vertical="center" wrapText="1"/>
      <protection locked="0"/>
    </xf>
    <xf numFmtId="9" fontId="0" fillId="51" borderId="38" xfId="0" applyNumberFormat="1" applyFont="1" applyFill="1" applyBorder="1" applyAlignment="1" applyProtection="1">
      <alignment horizontal="center" vertical="center" wrapText="1"/>
      <protection locked="0"/>
    </xf>
    <xf numFmtId="191" fontId="0" fillId="51" borderId="99" xfId="10" applyNumberFormat="1" applyFont="1" applyFill="1" applyBorder="1" applyAlignment="1" applyProtection="1">
      <alignment horizontal="center" vertical="center" wrapText="1"/>
      <protection locked="0"/>
    </xf>
    <xf numFmtId="191" fontId="0" fillId="51" borderId="51" xfId="10" applyNumberFormat="1" applyFont="1" applyFill="1" applyBorder="1" applyAlignment="1" applyProtection="1">
      <alignment horizontal="center" vertical="center" wrapText="1"/>
      <protection locked="0"/>
    </xf>
    <xf numFmtId="191" fontId="0" fillId="51" borderId="32" xfId="10" applyNumberFormat="1" applyFont="1" applyFill="1" applyBorder="1" applyAlignment="1" applyProtection="1">
      <alignment horizontal="center" vertical="center" wrapText="1"/>
      <protection locked="0"/>
    </xf>
    <xf numFmtId="191" fontId="0" fillId="51" borderId="38" xfId="10" applyNumberFormat="1" applyFont="1" applyFill="1" applyBorder="1" applyAlignment="1" applyProtection="1">
      <alignment horizontal="center" vertical="center" wrapText="1"/>
      <protection locked="0"/>
    </xf>
    <xf numFmtId="9" fontId="0" fillId="51" borderId="99" xfId="0" applyNumberFormat="1" applyFont="1" applyFill="1" applyBorder="1" applyAlignment="1" applyProtection="1">
      <alignment horizontal="center" vertical="center" wrapText="1"/>
      <protection locked="0"/>
    </xf>
    <xf numFmtId="9" fontId="0" fillId="51" borderId="60" xfId="0" applyNumberFormat="1" applyFont="1" applyFill="1" applyBorder="1" applyAlignment="1" applyProtection="1">
      <alignment horizontal="center" vertical="center" wrapText="1"/>
      <protection locked="0"/>
    </xf>
    <xf numFmtId="0" fontId="0" fillId="51" borderId="11" xfId="0" applyFont="1" applyFill="1" applyBorder="1" applyAlignment="1" applyProtection="1">
      <alignment horizontal="center" vertical="center" wrapText="1"/>
      <protection locked="0"/>
    </xf>
    <xf numFmtId="9" fontId="0" fillId="51" borderId="11" xfId="0" applyNumberFormat="1" applyFont="1" applyFill="1" applyBorder="1" applyAlignment="1" applyProtection="1">
      <alignment horizontal="center" vertical="center" wrapText="1"/>
      <protection locked="0"/>
    </xf>
    <xf numFmtId="9" fontId="0" fillId="51" borderId="184" xfId="5" applyFont="1" applyFill="1" applyBorder="1" applyAlignment="1" applyProtection="1">
      <alignment horizontal="center" vertical="center" wrapText="1"/>
      <protection locked="0"/>
    </xf>
    <xf numFmtId="9" fontId="0" fillId="51" borderId="184" xfId="0" applyNumberFormat="1" applyFont="1" applyFill="1" applyBorder="1" applyAlignment="1" applyProtection="1">
      <alignment horizontal="center" vertical="center" wrapText="1"/>
      <protection locked="0"/>
    </xf>
    <xf numFmtId="9" fontId="0" fillId="51" borderId="179" xfId="0" applyNumberFormat="1" applyFont="1" applyFill="1" applyBorder="1" applyAlignment="1" applyProtection="1">
      <alignment horizontal="center" vertical="center" wrapText="1"/>
      <protection locked="0"/>
    </xf>
    <xf numFmtId="191" fontId="0" fillId="51" borderId="48" xfId="10" applyNumberFormat="1" applyFont="1" applyFill="1" applyBorder="1" applyAlignment="1" applyProtection="1">
      <alignment horizontal="center" vertical="center" wrapText="1"/>
      <protection locked="0"/>
    </xf>
    <xf numFmtId="191" fontId="0" fillId="51" borderId="11" xfId="10" applyNumberFormat="1" applyFont="1" applyFill="1" applyBorder="1" applyAlignment="1" applyProtection="1">
      <alignment horizontal="center" vertical="center" wrapText="1"/>
      <protection locked="0"/>
    </xf>
    <xf numFmtId="191" fontId="0" fillId="51" borderId="184" xfId="10" applyNumberFormat="1" applyFont="1" applyFill="1" applyBorder="1" applyAlignment="1" applyProtection="1">
      <alignment horizontal="center" vertical="center" wrapText="1"/>
      <protection locked="0"/>
    </xf>
    <xf numFmtId="191" fontId="0" fillId="51" borderId="179" xfId="10" applyNumberFormat="1" applyFont="1" applyFill="1" applyBorder="1" applyAlignment="1" applyProtection="1">
      <alignment horizontal="center" vertical="center" wrapText="1"/>
      <protection locked="0"/>
    </xf>
    <xf numFmtId="9" fontId="0" fillId="51" borderId="48" xfId="0" applyNumberFormat="1" applyFont="1" applyFill="1" applyBorder="1" applyAlignment="1" applyProtection="1">
      <alignment horizontal="center" vertical="center" wrapText="1"/>
      <protection locked="0"/>
    </xf>
    <xf numFmtId="9" fontId="0" fillId="51" borderId="46" xfId="0" applyNumberFormat="1" applyFont="1" applyFill="1" applyBorder="1" applyAlignment="1" applyProtection="1">
      <alignment horizontal="center" vertical="center" wrapText="1"/>
      <protection locked="0"/>
    </xf>
    <xf numFmtId="0" fontId="0" fillId="51" borderId="11" xfId="0" applyFont="1" applyFill="1" applyBorder="1" applyAlignment="1" applyProtection="1">
      <alignment wrapText="1"/>
      <protection locked="0"/>
    </xf>
    <xf numFmtId="9" fontId="0" fillId="51" borderId="184" xfId="5" applyFont="1" applyFill="1" applyBorder="1" applyAlignment="1" applyProtection="1">
      <alignment wrapText="1"/>
      <protection locked="0"/>
    </xf>
    <xf numFmtId="0" fontId="0" fillId="51" borderId="184" xfId="0" applyFont="1" applyFill="1" applyBorder="1" applyAlignment="1" applyProtection="1">
      <alignment wrapText="1"/>
      <protection locked="0"/>
    </xf>
    <xf numFmtId="0" fontId="0" fillId="51" borderId="179" xfId="0" applyFont="1" applyFill="1" applyBorder="1" applyAlignment="1" applyProtection="1">
      <alignment wrapText="1"/>
      <protection locked="0"/>
    </xf>
    <xf numFmtId="191" fontId="0" fillId="51" borderId="48" xfId="10" applyNumberFormat="1" applyFont="1" applyFill="1" applyBorder="1" applyAlignment="1" applyProtection="1">
      <alignment wrapText="1"/>
      <protection locked="0"/>
    </xf>
    <xf numFmtId="191" fontId="0" fillId="51" borderId="11" xfId="10" applyNumberFormat="1" applyFont="1" applyFill="1" applyBorder="1" applyAlignment="1" applyProtection="1">
      <alignment wrapText="1"/>
      <protection locked="0"/>
    </xf>
    <xf numFmtId="191" fontId="0" fillId="51" borderId="184" xfId="10" applyNumberFormat="1" applyFont="1" applyFill="1" applyBorder="1" applyAlignment="1" applyProtection="1">
      <alignment wrapText="1"/>
      <protection locked="0"/>
    </xf>
    <xf numFmtId="191" fontId="0" fillId="51" borderId="179" xfId="10" applyNumberFormat="1" applyFont="1" applyFill="1" applyBorder="1" applyAlignment="1" applyProtection="1">
      <alignment wrapText="1"/>
      <protection locked="0"/>
    </xf>
    <xf numFmtId="0" fontId="0" fillId="51" borderId="48" xfId="0" applyFont="1" applyFill="1" applyBorder="1" applyAlignment="1" applyProtection="1">
      <alignment wrapText="1"/>
      <protection locked="0"/>
    </xf>
    <xf numFmtId="0" fontId="0" fillId="51" borderId="46" xfId="0" applyFont="1" applyFill="1" applyBorder="1" applyAlignment="1" applyProtection="1">
      <alignment wrapText="1"/>
      <protection locked="0"/>
    </xf>
    <xf numFmtId="0" fontId="0" fillId="51" borderId="29" xfId="0" applyFont="1" applyFill="1" applyBorder="1" applyAlignment="1" applyProtection="1">
      <alignment horizontal="center" vertical="center" wrapText="1"/>
      <protection locked="0"/>
    </xf>
    <xf numFmtId="9" fontId="0" fillId="51" borderId="29" xfId="0" applyNumberFormat="1" applyFont="1" applyFill="1" applyBorder="1" applyAlignment="1" applyProtection="1">
      <alignment horizontal="center" vertical="center" wrapText="1"/>
      <protection locked="0"/>
    </xf>
    <xf numFmtId="9" fontId="0" fillId="51" borderId="30" xfId="5" applyFont="1" applyFill="1" applyBorder="1" applyAlignment="1" applyProtection="1">
      <alignment horizontal="center" vertical="center" wrapText="1"/>
      <protection locked="0"/>
    </xf>
    <xf numFmtId="9" fontId="0" fillId="51" borderId="30" xfId="0" applyNumberFormat="1" applyFont="1" applyFill="1" applyBorder="1" applyAlignment="1" applyProtection="1">
      <alignment horizontal="center" vertical="center" wrapText="1"/>
      <protection locked="0"/>
    </xf>
    <xf numFmtId="9" fontId="0" fillId="51" borderId="66" xfId="0" applyNumberFormat="1" applyFont="1" applyFill="1" applyBorder="1" applyAlignment="1" applyProtection="1">
      <alignment horizontal="center" vertical="center" wrapText="1"/>
      <protection locked="0"/>
    </xf>
    <xf numFmtId="191" fontId="0" fillId="51" borderId="50" xfId="10" applyNumberFormat="1" applyFont="1" applyFill="1" applyBorder="1" applyAlignment="1" applyProtection="1">
      <alignment horizontal="center" vertical="center" wrapText="1"/>
      <protection locked="0"/>
    </xf>
    <xf numFmtId="191" fontId="0" fillId="51" borderId="29" xfId="10" applyNumberFormat="1" applyFont="1" applyFill="1" applyBorder="1" applyAlignment="1" applyProtection="1">
      <alignment horizontal="center" vertical="center" wrapText="1"/>
      <protection locked="0"/>
    </xf>
    <xf numFmtId="191" fontId="0" fillId="51" borderId="30" xfId="10" applyNumberFormat="1" applyFont="1" applyFill="1" applyBorder="1" applyAlignment="1" applyProtection="1">
      <alignment horizontal="center" vertical="center" wrapText="1"/>
      <protection locked="0"/>
    </xf>
    <xf numFmtId="191" fontId="0" fillId="51" borderId="66" xfId="10" applyNumberFormat="1" applyFont="1" applyFill="1" applyBorder="1" applyAlignment="1" applyProtection="1">
      <alignment horizontal="center" vertical="center" wrapText="1"/>
      <protection locked="0"/>
    </xf>
    <xf numFmtId="9" fontId="0" fillId="51" borderId="50" xfId="0" applyNumberFormat="1" applyFont="1" applyFill="1" applyBorder="1" applyAlignment="1" applyProtection="1">
      <alignment horizontal="center" vertical="center" wrapText="1"/>
      <protection locked="0"/>
    </xf>
    <xf numFmtId="9" fontId="0" fillId="51" borderId="177" xfId="0" applyNumberFormat="1" applyFont="1" applyFill="1" applyBorder="1" applyAlignment="1" applyProtection="1">
      <alignment horizontal="center" vertical="center" wrapText="1"/>
      <protection locked="0"/>
    </xf>
    <xf numFmtId="9" fontId="0" fillId="69" borderId="55" xfId="0" applyNumberFormat="1" applyFont="1" applyFill="1" applyBorder="1" applyAlignment="1" applyProtection="1">
      <alignment horizontal="center" vertical="center" wrapText="1"/>
      <protection locked="0"/>
    </xf>
    <xf numFmtId="9" fontId="0" fillId="69" borderId="56" xfId="5" applyFont="1" applyFill="1" applyBorder="1" applyAlignment="1" applyProtection="1">
      <alignment horizontal="center" vertical="center" wrapText="1"/>
      <protection locked="0"/>
    </xf>
    <xf numFmtId="9" fontId="0" fillId="69" borderId="56" xfId="0" applyNumberFormat="1" applyFont="1" applyFill="1" applyBorder="1" applyAlignment="1" applyProtection="1">
      <alignment horizontal="center" vertical="center" wrapText="1"/>
      <protection locked="0"/>
    </xf>
    <xf numFmtId="9" fontId="0" fillId="69" borderId="114" xfId="0" applyNumberFormat="1" applyFont="1" applyFill="1" applyBorder="1" applyAlignment="1" applyProtection="1">
      <alignment horizontal="center" vertical="center" wrapText="1"/>
      <protection locked="0"/>
    </xf>
    <xf numFmtId="191" fontId="0" fillId="69" borderId="63" xfId="10" applyNumberFormat="1" applyFont="1" applyFill="1" applyBorder="1" applyAlignment="1" applyProtection="1">
      <alignment horizontal="center" vertical="center" wrapText="1"/>
      <protection locked="0"/>
    </xf>
    <xf numFmtId="191" fontId="0" fillId="69" borderId="55" xfId="10" applyNumberFormat="1" applyFont="1" applyFill="1" applyBorder="1" applyAlignment="1" applyProtection="1">
      <alignment horizontal="center" vertical="center" wrapText="1"/>
      <protection locked="0"/>
    </xf>
    <xf numFmtId="191" fontId="0" fillId="69" borderId="56" xfId="10" applyNumberFormat="1" applyFont="1" applyFill="1" applyBorder="1" applyAlignment="1" applyProtection="1">
      <alignment horizontal="center" vertical="center" wrapText="1"/>
      <protection locked="0"/>
    </xf>
    <xf numFmtId="191" fontId="0" fillId="69" borderId="114" xfId="10" applyNumberFormat="1" applyFont="1" applyFill="1" applyBorder="1" applyAlignment="1" applyProtection="1">
      <alignment horizontal="center" vertical="center" wrapText="1"/>
      <protection locked="0"/>
    </xf>
    <xf numFmtId="9" fontId="0" fillId="69" borderId="63" xfId="0" applyNumberFormat="1" applyFont="1" applyFill="1" applyBorder="1" applyAlignment="1" applyProtection="1">
      <alignment horizontal="center" vertical="center" wrapText="1"/>
      <protection locked="0"/>
    </xf>
    <xf numFmtId="9" fontId="0" fillId="69" borderId="43" xfId="0" applyNumberFormat="1" applyFont="1" applyFill="1" applyBorder="1" applyAlignment="1" applyProtection="1">
      <alignment horizontal="center" vertical="center" wrapText="1"/>
      <protection locked="0"/>
    </xf>
    <xf numFmtId="0" fontId="0" fillId="40" borderId="15" xfId="0" applyFont="1" applyFill="1" applyBorder="1" applyAlignment="1" applyProtection="1">
      <alignment horizontal="center" vertical="center" wrapText="1"/>
      <protection locked="0"/>
    </xf>
    <xf numFmtId="4" fontId="0" fillId="40" borderId="51" xfId="0" applyNumberFormat="1" applyFont="1" applyFill="1" applyBorder="1" applyAlignment="1" applyProtection="1">
      <alignment horizontal="center" vertical="center"/>
      <protection locked="0"/>
    </xf>
    <xf numFmtId="0" fontId="0" fillId="40" borderId="52" xfId="0" applyFont="1" applyFill="1" applyBorder="1" applyAlignment="1" applyProtection="1">
      <alignment horizontal="justify" vertical="center" wrapText="1"/>
      <protection locked="0"/>
    </xf>
    <xf numFmtId="9" fontId="0" fillId="40" borderId="32" xfId="5" applyFont="1" applyFill="1" applyBorder="1" applyAlignment="1" applyProtection="1">
      <alignment horizontal="center" vertical="center"/>
      <protection locked="0"/>
    </xf>
    <xf numFmtId="4" fontId="0" fillId="40" borderId="32" xfId="0" applyNumberFormat="1" applyFont="1" applyFill="1" applyBorder="1" applyAlignment="1" applyProtection="1">
      <alignment horizontal="center" vertical="center"/>
      <protection locked="0"/>
    </xf>
    <xf numFmtId="4" fontId="0" fillId="40" borderId="38" xfId="0" applyNumberFormat="1" applyFont="1" applyFill="1" applyBorder="1" applyAlignment="1" applyProtection="1">
      <alignment horizontal="center" vertical="center"/>
      <protection locked="0"/>
    </xf>
    <xf numFmtId="191" fontId="0" fillId="40" borderId="99" xfId="10" applyNumberFormat="1" applyFont="1" applyFill="1" applyBorder="1" applyAlignment="1" applyProtection="1">
      <alignment horizontal="center" vertical="center"/>
      <protection locked="0"/>
    </xf>
    <xf numFmtId="191" fontId="0" fillId="40" borderId="51" xfId="10" applyNumberFormat="1" applyFont="1" applyFill="1" applyBorder="1" applyAlignment="1" applyProtection="1">
      <alignment horizontal="center" vertical="center"/>
      <protection locked="0"/>
    </xf>
    <xf numFmtId="191" fontId="0" fillId="40" borderId="32" xfId="10" applyNumberFormat="1" applyFont="1" applyFill="1" applyBorder="1" applyAlignment="1" applyProtection="1">
      <alignment horizontal="center" vertical="center"/>
      <protection locked="0"/>
    </xf>
    <xf numFmtId="191" fontId="0" fillId="40" borderId="38" xfId="10" applyNumberFormat="1" applyFont="1" applyFill="1" applyBorder="1" applyAlignment="1" applyProtection="1">
      <alignment horizontal="center" vertical="center"/>
      <protection locked="0"/>
    </xf>
    <xf numFmtId="4" fontId="0" fillId="40" borderId="99" xfId="0" applyNumberFormat="1" applyFont="1" applyFill="1" applyBorder="1" applyAlignment="1" applyProtection="1">
      <alignment horizontal="center" vertical="center"/>
      <protection locked="0"/>
    </xf>
    <xf numFmtId="4" fontId="0" fillId="40" borderId="60" xfId="0" applyNumberFormat="1" applyFont="1" applyFill="1" applyBorder="1" applyAlignment="1" applyProtection="1">
      <alignment horizontal="center" vertical="center"/>
      <protection locked="0"/>
    </xf>
    <xf numFmtId="0" fontId="0" fillId="40" borderId="155" xfId="0" applyFont="1" applyFill="1" applyBorder="1" applyAlignment="1" applyProtection="1">
      <alignment horizontal="center" vertical="center" wrapText="1"/>
      <protection locked="0"/>
    </xf>
    <xf numFmtId="4" fontId="0" fillId="40" borderId="11" xfId="0" applyNumberFormat="1" applyFont="1" applyFill="1" applyBorder="1" applyAlignment="1" applyProtection="1">
      <alignment horizontal="center" vertical="center"/>
      <protection locked="0"/>
    </xf>
    <xf numFmtId="0" fontId="0" fillId="40" borderId="94" xfId="0" applyFont="1" applyFill="1" applyBorder="1" applyAlignment="1" applyProtection="1">
      <alignment horizontal="justify" vertical="center" wrapText="1"/>
      <protection locked="0"/>
    </xf>
    <xf numFmtId="0" fontId="10" fillId="40" borderId="11" xfId="0" applyFont="1" applyFill="1" applyBorder="1" applyAlignment="1" applyProtection="1">
      <alignment horizontal="center" vertical="center" wrapText="1"/>
      <protection locked="0"/>
    </xf>
    <xf numFmtId="9" fontId="10" fillId="40" borderId="184" xfId="5" applyFont="1" applyFill="1" applyBorder="1" applyAlignment="1" applyProtection="1">
      <alignment horizontal="center" vertical="center" wrapText="1"/>
      <protection locked="0"/>
    </xf>
    <xf numFmtId="0" fontId="10" fillId="40" borderId="184" xfId="0" applyFont="1" applyFill="1" applyBorder="1" applyAlignment="1" applyProtection="1">
      <alignment horizontal="center" vertical="center" wrapText="1"/>
      <protection locked="0"/>
    </xf>
    <xf numFmtId="0" fontId="10" fillId="40" borderId="179" xfId="0" applyFont="1" applyFill="1" applyBorder="1" applyAlignment="1" applyProtection="1">
      <alignment horizontal="center" vertical="center" wrapText="1"/>
      <protection locked="0"/>
    </xf>
    <xf numFmtId="191" fontId="10" fillId="40" borderId="48" xfId="10" applyNumberFormat="1" applyFont="1" applyFill="1" applyBorder="1" applyAlignment="1" applyProtection="1">
      <alignment horizontal="center" vertical="center" wrapText="1"/>
      <protection locked="0"/>
    </xf>
    <xf numFmtId="191" fontId="10" fillId="40" borderId="11" xfId="10" applyNumberFormat="1" applyFont="1" applyFill="1" applyBorder="1" applyAlignment="1" applyProtection="1">
      <alignment horizontal="center" vertical="center" wrapText="1"/>
      <protection locked="0"/>
    </xf>
    <xf numFmtId="191" fontId="10" fillId="40" borderId="184" xfId="10" applyNumberFormat="1" applyFont="1" applyFill="1" applyBorder="1" applyAlignment="1" applyProtection="1">
      <alignment horizontal="center" vertical="center" wrapText="1"/>
      <protection locked="0"/>
    </xf>
    <xf numFmtId="191" fontId="10" fillId="40" borderId="179" xfId="10" applyNumberFormat="1" applyFont="1" applyFill="1" applyBorder="1" applyAlignment="1" applyProtection="1">
      <alignment horizontal="center" vertical="center" wrapText="1"/>
      <protection locked="0"/>
    </xf>
    <xf numFmtId="0" fontId="10" fillId="40" borderId="48" xfId="0" applyFont="1" applyFill="1" applyBorder="1" applyAlignment="1" applyProtection="1">
      <alignment horizontal="center" vertical="center" wrapText="1"/>
      <protection locked="0"/>
    </xf>
    <xf numFmtId="0" fontId="10" fillId="40" borderId="46" xfId="0" applyFont="1" applyFill="1" applyBorder="1" applyAlignment="1" applyProtection="1">
      <alignment horizontal="center" vertical="center" wrapText="1"/>
      <protection locked="0"/>
    </xf>
    <xf numFmtId="4" fontId="0" fillId="40" borderId="11" xfId="0" applyNumberFormat="1" applyFont="1" applyFill="1" applyBorder="1" applyAlignment="1" applyProtection="1">
      <alignment vertical="center"/>
      <protection locked="0"/>
    </xf>
    <xf numFmtId="9" fontId="0" fillId="40" borderId="184" xfId="5" applyFont="1" applyFill="1" applyBorder="1" applyAlignment="1" applyProtection="1">
      <alignment vertical="center"/>
      <protection locked="0"/>
    </xf>
    <xf numFmtId="4" fontId="0" fillId="40" borderId="184" xfId="0" applyNumberFormat="1" applyFont="1" applyFill="1" applyBorder="1" applyAlignment="1" applyProtection="1">
      <alignment vertical="center"/>
      <protection locked="0"/>
    </xf>
    <xf numFmtId="4" fontId="0" fillId="40" borderId="179" xfId="0" applyNumberFormat="1" applyFont="1" applyFill="1" applyBorder="1" applyAlignment="1" applyProtection="1">
      <alignment vertical="center"/>
      <protection locked="0"/>
    </xf>
    <xf numFmtId="191" fontId="0" fillId="40" borderId="48" xfId="10" applyNumberFormat="1" applyFont="1" applyFill="1" applyBorder="1" applyAlignment="1" applyProtection="1">
      <alignment vertical="center"/>
      <protection locked="0"/>
    </xf>
    <xf numFmtId="191" fontId="0" fillId="40" borderId="11" xfId="10" applyNumberFormat="1" applyFont="1" applyFill="1" applyBorder="1" applyAlignment="1" applyProtection="1">
      <alignment vertical="center"/>
      <protection locked="0"/>
    </xf>
    <xf numFmtId="191" fontId="0" fillId="40" borderId="184" xfId="10" applyNumberFormat="1" applyFont="1" applyFill="1" applyBorder="1" applyAlignment="1" applyProtection="1">
      <alignment vertical="center"/>
      <protection locked="0"/>
    </xf>
    <xf numFmtId="191" fontId="0" fillId="40" borderId="179" xfId="10" applyNumberFormat="1" applyFont="1" applyFill="1" applyBorder="1" applyAlignment="1" applyProtection="1">
      <alignment vertical="center"/>
      <protection locked="0"/>
    </xf>
    <xf numFmtId="4" fontId="0" fillId="40" borderId="48" xfId="0" applyNumberFormat="1" applyFont="1" applyFill="1" applyBorder="1" applyAlignment="1" applyProtection="1">
      <alignment vertical="center"/>
      <protection locked="0"/>
    </xf>
    <xf numFmtId="4" fontId="0" fillId="40" borderId="46" xfId="0" applyNumberFormat="1" applyFont="1" applyFill="1" applyBorder="1" applyAlignment="1" applyProtection="1">
      <alignment vertical="center"/>
      <protection locked="0"/>
    </xf>
    <xf numFmtId="0" fontId="0" fillId="40" borderId="156" xfId="0" applyFont="1" applyFill="1" applyBorder="1" applyAlignment="1" applyProtection="1">
      <alignment horizontal="justify" vertical="center" wrapText="1"/>
      <protection locked="0"/>
    </xf>
    <xf numFmtId="0" fontId="0" fillId="40" borderId="24" xfId="0" applyFont="1" applyFill="1" applyBorder="1" applyAlignment="1" applyProtection="1">
      <alignment horizontal="justify" vertical="center" wrapText="1"/>
      <protection locked="0"/>
    </xf>
    <xf numFmtId="0" fontId="0" fillId="40" borderId="60" xfId="0" applyFont="1" applyFill="1" applyBorder="1" applyAlignment="1" applyProtection="1">
      <alignment horizontal="justify" vertical="center" wrapText="1"/>
      <protection locked="0"/>
    </xf>
    <xf numFmtId="4" fontId="11" fillId="40" borderId="11" xfId="0" applyNumberFormat="1" applyFont="1" applyFill="1" applyBorder="1" applyAlignment="1" applyProtection="1">
      <alignment horizontal="center" vertical="center"/>
      <protection locked="0"/>
    </xf>
    <xf numFmtId="9" fontId="11" fillId="40" borderId="184" xfId="5" applyFont="1" applyFill="1" applyBorder="1" applyAlignment="1" applyProtection="1">
      <alignment horizontal="center" vertical="center"/>
      <protection locked="0"/>
    </xf>
    <xf numFmtId="4" fontId="11" fillId="40" borderId="184" xfId="0" applyNumberFormat="1" applyFont="1" applyFill="1" applyBorder="1" applyAlignment="1" applyProtection="1">
      <alignment horizontal="center" vertical="center"/>
      <protection locked="0"/>
    </xf>
    <xf numFmtId="4" fontId="11" fillId="40" borderId="179" xfId="0" applyNumberFormat="1" applyFont="1" applyFill="1" applyBorder="1" applyAlignment="1" applyProtection="1">
      <alignment horizontal="center" vertical="center"/>
      <protection locked="0"/>
    </xf>
    <xf numFmtId="191" fontId="11" fillId="40" borderId="48" xfId="10" applyNumberFormat="1" applyFont="1" applyFill="1" applyBorder="1" applyAlignment="1" applyProtection="1">
      <alignment horizontal="center" vertical="center"/>
      <protection locked="0"/>
    </xf>
    <xf numFmtId="191" fontId="11" fillId="40" borderId="11" xfId="10" applyNumberFormat="1" applyFont="1" applyFill="1" applyBorder="1" applyAlignment="1" applyProtection="1">
      <alignment horizontal="center" vertical="center"/>
      <protection locked="0"/>
    </xf>
    <xf numFmtId="191" fontId="11" fillId="40" borderId="184" xfId="10" applyNumberFormat="1" applyFont="1" applyFill="1" applyBorder="1" applyAlignment="1" applyProtection="1">
      <alignment horizontal="center" vertical="center"/>
      <protection locked="0"/>
    </xf>
    <xf numFmtId="191" fontId="11" fillId="40" borderId="179" xfId="10" applyNumberFormat="1" applyFont="1" applyFill="1" applyBorder="1" applyAlignment="1" applyProtection="1">
      <alignment horizontal="center" vertical="center"/>
      <protection locked="0"/>
    </xf>
    <xf numFmtId="4" fontId="11" fillId="40" borderId="48" xfId="0" applyNumberFormat="1" applyFont="1" applyFill="1" applyBorder="1" applyAlignment="1" applyProtection="1">
      <alignment horizontal="center" vertical="center"/>
      <protection locked="0"/>
    </xf>
    <xf numFmtId="4" fontId="11" fillId="40" borderId="46" xfId="0" applyNumberFormat="1" applyFont="1" applyFill="1" applyBorder="1" applyAlignment="1" applyProtection="1">
      <alignment horizontal="center" vertical="center"/>
      <protection locked="0"/>
    </xf>
    <xf numFmtId="0" fontId="10" fillId="40" borderId="11" xfId="0" applyFont="1" applyFill="1" applyBorder="1" applyAlignment="1" applyProtection="1">
      <alignment vertical="center" wrapText="1"/>
      <protection locked="0"/>
    </xf>
    <xf numFmtId="9" fontId="10" fillId="40" borderId="184" xfId="5" applyFont="1" applyFill="1" applyBorder="1" applyAlignment="1" applyProtection="1">
      <alignment vertical="center" wrapText="1"/>
      <protection locked="0"/>
    </xf>
    <xf numFmtId="0" fontId="10" fillId="40" borderId="184" xfId="0" applyFont="1" applyFill="1" applyBorder="1" applyAlignment="1" applyProtection="1">
      <alignment vertical="center" wrapText="1"/>
      <protection locked="0"/>
    </xf>
    <xf numFmtId="0" fontId="10" fillId="40" borderId="179" xfId="0" applyFont="1" applyFill="1" applyBorder="1" applyAlignment="1" applyProtection="1">
      <alignment vertical="center" wrapText="1"/>
      <protection locked="0"/>
    </xf>
    <xf numFmtId="191" fontId="10" fillId="40" borderId="48" xfId="10" applyNumberFormat="1" applyFont="1" applyFill="1" applyBorder="1" applyAlignment="1" applyProtection="1">
      <alignment vertical="center" wrapText="1"/>
      <protection locked="0"/>
    </xf>
    <xf numFmtId="191" fontId="10" fillId="40" borderId="11" xfId="10" applyNumberFormat="1" applyFont="1" applyFill="1" applyBorder="1" applyAlignment="1" applyProtection="1">
      <alignment vertical="center" wrapText="1"/>
      <protection locked="0"/>
    </xf>
    <xf numFmtId="191" fontId="10" fillId="40" borderId="184" xfId="10" applyNumberFormat="1" applyFont="1" applyFill="1" applyBorder="1" applyAlignment="1" applyProtection="1">
      <alignment vertical="center" wrapText="1"/>
      <protection locked="0"/>
    </xf>
    <xf numFmtId="191" fontId="10" fillId="40" borderId="179" xfId="10" applyNumberFormat="1" applyFont="1" applyFill="1" applyBorder="1" applyAlignment="1" applyProtection="1">
      <alignment vertical="center" wrapText="1"/>
      <protection locked="0"/>
    </xf>
    <xf numFmtId="0" fontId="10" fillId="40" borderId="48" xfId="0" applyFont="1" applyFill="1" applyBorder="1" applyAlignment="1" applyProtection="1">
      <alignment vertical="center" wrapText="1"/>
      <protection locked="0"/>
    </xf>
    <xf numFmtId="0" fontId="10" fillId="40" borderId="46" xfId="0" applyFont="1" applyFill="1" applyBorder="1" applyAlignment="1" applyProtection="1">
      <alignment vertical="center" wrapText="1"/>
      <protection locked="0"/>
    </xf>
    <xf numFmtId="0" fontId="0" fillId="40" borderId="11" xfId="0" applyFont="1" applyFill="1" applyBorder="1" applyAlignment="1" applyProtection="1">
      <alignment vertical="center" wrapText="1"/>
      <protection locked="0"/>
    </xf>
    <xf numFmtId="0" fontId="0" fillId="40" borderId="184" xfId="0" applyFont="1" applyFill="1" applyBorder="1" applyAlignment="1" applyProtection="1">
      <alignment vertical="center" wrapText="1"/>
      <protection locked="0"/>
    </xf>
    <xf numFmtId="0" fontId="0" fillId="40" borderId="179" xfId="0" applyFont="1" applyFill="1" applyBorder="1" applyAlignment="1" applyProtection="1">
      <alignment vertical="center" wrapText="1"/>
      <protection locked="0"/>
    </xf>
    <xf numFmtId="0" fontId="0" fillId="40" borderId="48" xfId="0" applyFont="1" applyFill="1" applyBorder="1" applyAlignment="1" applyProtection="1">
      <alignment vertical="center" wrapText="1"/>
      <protection locked="0"/>
    </xf>
    <xf numFmtId="0" fontId="0" fillId="40" borderId="46" xfId="0" applyFont="1" applyFill="1" applyBorder="1" applyAlignment="1" applyProtection="1">
      <alignment vertical="center" wrapText="1"/>
      <protection locked="0"/>
    </xf>
    <xf numFmtId="0" fontId="0" fillId="40" borderId="184" xfId="0" applyFont="1" applyFill="1" applyBorder="1" applyAlignment="1" applyProtection="1">
      <alignment horizontal="center" vertical="center" wrapText="1"/>
      <protection locked="0"/>
    </xf>
    <xf numFmtId="0" fontId="0" fillId="40" borderId="179" xfId="0" applyFont="1" applyFill="1" applyBorder="1" applyAlignment="1" applyProtection="1">
      <alignment horizontal="center" vertical="center" wrapText="1"/>
      <protection locked="0"/>
    </xf>
    <xf numFmtId="0" fontId="0" fillId="40" borderId="48" xfId="0" applyFont="1" applyFill="1" applyBorder="1" applyAlignment="1" applyProtection="1">
      <alignment horizontal="center" vertical="center" wrapText="1"/>
      <protection locked="0"/>
    </xf>
    <xf numFmtId="9" fontId="0" fillId="40" borderId="184" xfId="5" applyFont="1" applyFill="1" applyBorder="1" applyAlignment="1" applyProtection="1">
      <alignment horizontal="center" vertical="center"/>
      <protection locked="0"/>
    </xf>
    <xf numFmtId="4" fontId="0" fillId="40" borderId="184" xfId="0" applyNumberFormat="1" applyFont="1" applyFill="1" applyBorder="1" applyAlignment="1" applyProtection="1">
      <alignment horizontal="center" vertical="center"/>
      <protection locked="0"/>
    </xf>
    <xf numFmtId="4" fontId="0" fillId="40" borderId="179" xfId="0" applyNumberFormat="1" applyFont="1" applyFill="1" applyBorder="1" applyAlignment="1" applyProtection="1">
      <alignment horizontal="center" vertical="center"/>
      <protection locked="0"/>
    </xf>
    <xf numFmtId="191" fontId="0" fillId="40" borderId="48" xfId="10" applyNumberFormat="1" applyFont="1" applyFill="1" applyBorder="1" applyAlignment="1" applyProtection="1">
      <alignment horizontal="center" vertical="center"/>
      <protection locked="0"/>
    </xf>
    <xf numFmtId="191" fontId="0" fillId="40" borderId="11" xfId="10" applyNumberFormat="1" applyFont="1" applyFill="1" applyBorder="1" applyAlignment="1" applyProtection="1">
      <alignment horizontal="center" vertical="center"/>
      <protection locked="0"/>
    </xf>
    <xf numFmtId="191" fontId="0" fillId="40" borderId="184" xfId="10" applyNumberFormat="1" applyFont="1" applyFill="1" applyBorder="1" applyAlignment="1" applyProtection="1">
      <alignment horizontal="center" vertical="center"/>
      <protection locked="0"/>
    </xf>
    <xf numFmtId="191" fontId="0" fillId="40" borderId="179" xfId="10" applyNumberFormat="1" applyFont="1" applyFill="1" applyBorder="1" applyAlignment="1" applyProtection="1">
      <alignment horizontal="center" vertical="center"/>
      <protection locked="0"/>
    </xf>
    <xf numFmtId="4" fontId="0" fillId="40" borderId="48" xfId="0" applyNumberFormat="1" applyFont="1" applyFill="1" applyBorder="1" applyAlignment="1" applyProtection="1">
      <alignment horizontal="center" vertical="center"/>
      <protection locked="0"/>
    </xf>
    <xf numFmtId="4" fontId="0" fillId="40" borderId="46" xfId="0" applyNumberFormat="1" applyFont="1" applyFill="1" applyBorder="1" applyAlignment="1" applyProtection="1">
      <alignment horizontal="center" vertical="center"/>
      <protection locked="0"/>
    </xf>
    <xf numFmtId="4" fontId="0" fillId="40" borderId="29" xfId="0" applyNumberFormat="1" applyFont="1" applyFill="1" applyBorder="1" applyAlignment="1" applyProtection="1">
      <alignment horizontal="center" vertical="center"/>
      <protection locked="0"/>
    </xf>
    <xf numFmtId="9" fontId="0" fillId="40" borderId="30" xfId="5" applyFont="1" applyFill="1" applyBorder="1" applyAlignment="1" applyProtection="1">
      <alignment horizontal="center" vertical="center"/>
      <protection locked="0"/>
    </xf>
    <xf numFmtId="4" fontId="0" fillId="40" borderId="30" xfId="0" applyNumberFormat="1" applyFont="1" applyFill="1" applyBorder="1" applyAlignment="1" applyProtection="1">
      <alignment horizontal="center" vertical="center"/>
      <protection locked="0"/>
    </xf>
    <xf numFmtId="4" fontId="0" fillId="40" borderId="66" xfId="0" applyNumberFormat="1" applyFont="1" applyFill="1" applyBorder="1" applyAlignment="1" applyProtection="1">
      <alignment horizontal="center" vertical="center"/>
      <protection locked="0"/>
    </xf>
    <xf numFmtId="191" fontId="0" fillId="40" borderId="50" xfId="10" applyNumberFormat="1" applyFont="1" applyFill="1" applyBorder="1" applyAlignment="1" applyProtection="1">
      <alignment horizontal="center" vertical="center"/>
      <protection locked="0"/>
    </xf>
    <xf numFmtId="191" fontId="0" fillId="40" borderId="29" xfId="10" applyNumberFormat="1" applyFont="1" applyFill="1" applyBorder="1" applyAlignment="1" applyProtection="1">
      <alignment horizontal="center" vertical="center"/>
      <protection locked="0"/>
    </xf>
    <xf numFmtId="191" fontId="0" fillId="40" borderId="30" xfId="10" applyNumberFormat="1" applyFont="1" applyFill="1" applyBorder="1" applyAlignment="1" applyProtection="1">
      <alignment horizontal="center" vertical="center"/>
      <protection locked="0"/>
    </xf>
    <xf numFmtId="191" fontId="0" fillId="40" borderId="66" xfId="10" applyNumberFormat="1" applyFont="1" applyFill="1" applyBorder="1" applyAlignment="1" applyProtection="1">
      <alignment horizontal="center" vertical="center"/>
      <protection locked="0"/>
    </xf>
    <xf numFmtId="4" fontId="0" fillId="40" borderId="50" xfId="0" applyNumberFormat="1" applyFont="1" applyFill="1" applyBorder="1" applyAlignment="1" applyProtection="1">
      <alignment horizontal="center" vertical="center"/>
      <protection locked="0"/>
    </xf>
    <xf numFmtId="4" fontId="0" fillId="40" borderId="177" xfId="0" applyNumberFormat="1" applyFont="1" applyFill="1" applyBorder="1" applyAlignment="1" applyProtection="1">
      <alignment horizontal="center" vertical="center"/>
      <protection locked="0"/>
    </xf>
    <xf numFmtId="0" fontId="0" fillId="40" borderId="43" xfId="0" applyFont="1" applyFill="1" applyBorder="1" applyAlignment="1" applyProtection="1">
      <alignment horizontal="justify" vertical="center" wrapText="1"/>
      <protection locked="0"/>
    </xf>
    <xf numFmtId="0" fontId="0" fillId="44" borderId="52" xfId="0" applyFont="1" applyFill="1" applyBorder="1" applyAlignment="1" applyProtection="1">
      <alignment horizontal="justify" vertical="center" wrapText="1"/>
      <protection locked="0"/>
    </xf>
    <xf numFmtId="9" fontId="0" fillId="44" borderId="51" xfId="0" applyNumberFormat="1" applyFont="1" applyFill="1" applyBorder="1" applyAlignment="1" applyProtection="1">
      <alignment vertical="center"/>
      <protection locked="0"/>
    </xf>
    <xf numFmtId="9" fontId="0" fillId="44" borderId="32" xfId="5" applyFont="1" applyFill="1" applyBorder="1" applyAlignment="1" applyProtection="1">
      <alignment vertical="center"/>
      <protection locked="0"/>
    </xf>
    <xf numFmtId="9" fontId="0" fillId="44" borderId="32" xfId="0" applyNumberFormat="1" applyFont="1" applyFill="1" applyBorder="1" applyAlignment="1" applyProtection="1">
      <alignment vertical="center"/>
      <protection locked="0"/>
    </xf>
    <xf numFmtId="9" fontId="0" fillId="44" borderId="38" xfId="0" applyNumberFormat="1" applyFont="1" applyFill="1" applyBorder="1" applyAlignment="1" applyProtection="1">
      <alignment vertical="center"/>
      <protection locked="0"/>
    </xf>
    <xf numFmtId="191" fontId="0" fillId="44" borderId="99" xfId="10" applyNumberFormat="1" applyFont="1" applyFill="1" applyBorder="1" applyAlignment="1" applyProtection="1">
      <alignment vertical="center"/>
      <protection locked="0"/>
    </xf>
    <xf numFmtId="191" fontId="0" fillId="44" borderId="51" xfId="10" applyNumberFormat="1" applyFont="1" applyFill="1" applyBorder="1" applyAlignment="1" applyProtection="1">
      <alignment vertical="center"/>
      <protection locked="0"/>
    </xf>
    <xf numFmtId="191" fontId="0" fillId="44" borderId="32" xfId="10" applyNumberFormat="1" applyFont="1" applyFill="1" applyBorder="1" applyAlignment="1" applyProtection="1">
      <alignment vertical="center"/>
      <protection locked="0"/>
    </xf>
    <xf numFmtId="191" fontId="0" fillId="44" borderId="38" xfId="10" applyNumberFormat="1" applyFont="1" applyFill="1" applyBorder="1" applyAlignment="1" applyProtection="1">
      <alignment vertical="center"/>
      <protection locked="0"/>
    </xf>
    <xf numFmtId="9" fontId="0" fillId="44" borderId="99" xfId="0" applyNumberFormat="1" applyFont="1" applyFill="1" applyBorder="1" applyAlignment="1" applyProtection="1">
      <alignment vertical="center"/>
      <protection locked="0"/>
    </xf>
    <xf numFmtId="9" fontId="0" fillId="44" borderId="60" xfId="0" applyNumberFormat="1" applyFont="1" applyFill="1" applyBorder="1" applyAlignment="1" applyProtection="1">
      <alignment vertical="center"/>
      <protection locked="0"/>
    </xf>
    <xf numFmtId="0" fontId="0" fillId="44" borderId="94" xfId="0" applyFont="1" applyFill="1" applyBorder="1" applyAlignment="1" applyProtection="1">
      <alignment horizontal="justify" vertical="center" wrapText="1"/>
      <protection locked="0"/>
    </xf>
    <xf numFmtId="9" fontId="0" fillId="44" borderId="11" xfId="0" applyNumberFormat="1" applyFont="1" applyFill="1" applyBorder="1" applyAlignment="1" applyProtection="1">
      <alignment vertical="center"/>
      <protection locked="0"/>
    </xf>
    <xf numFmtId="9" fontId="0" fillId="44" borderId="184" xfId="5" applyFont="1" applyFill="1" applyBorder="1" applyAlignment="1" applyProtection="1">
      <alignment vertical="center"/>
      <protection locked="0"/>
    </xf>
    <xf numFmtId="9" fontId="0" fillId="44" borderId="184" xfId="0" applyNumberFormat="1" applyFont="1" applyFill="1" applyBorder="1" applyAlignment="1" applyProtection="1">
      <alignment vertical="center"/>
      <protection locked="0"/>
    </xf>
    <xf numFmtId="9" fontId="0" fillId="44" borderId="179" xfId="0" applyNumberFormat="1" applyFont="1" applyFill="1" applyBorder="1" applyAlignment="1" applyProtection="1">
      <alignment vertical="center"/>
      <protection locked="0"/>
    </xf>
    <xf numFmtId="191" fontId="0" fillId="44" borderId="48" xfId="10" applyNumberFormat="1" applyFont="1" applyFill="1" applyBorder="1" applyAlignment="1" applyProtection="1">
      <alignment vertical="center"/>
      <protection locked="0"/>
    </xf>
    <xf numFmtId="191" fontId="0" fillId="44" borderId="11" xfId="10" applyNumberFormat="1" applyFont="1" applyFill="1" applyBorder="1" applyAlignment="1" applyProtection="1">
      <alignment vertical="center"/>
      <protection locked="0"/>
    </xf>
    <xf numFmtId="191" fontId="0" fillId="44" borderId="184" xfId="10" applyNumberFormat="1" applyFont="1" applyFill="1" applyBorder="1" applyAlignment="1" applyProtection="1">
      <alignment vertical="center"/>
      <protection locked="0"/>
    </xf>
    <xf numFmtId="191" fontId="0" fillId="44" borderId="179" xfId="10" applyNumberFormat="1" applyFont="1" applyFill="1" applyBorder="1" applyAlignment="1" applyProtection="1">
      <alignment vertical="center"/>
      <protection locked="0"/>
    </xf>
    <xf numFmtId="9" fontId="0" fillId="44" borderId="48" xfId="0" applyNumberFormat="1" applyFont="1" applyFill="1" applyBorder="1" applyAlignment="1" applyProtection="1">
      <alignment vertical="center"/>
      <protection locked="0"/>
    </xf>
    <xf numFmtId="9" fontId="0" fillId="44" borderId="46" xfId="0" applyNumberFormat="1" applyFont="1" applyFill="1" applyBorder="1" applyAlignment="1" applyProtection="1">
      <alignment vertical="center"/>
      <protection locked="0"/>
    </xf>
    <xf numFmtId="4" fontId="0" fillId="44" borderId="11" xfId="0" applyNumberFormat="1" applyFont="1" applyFill="1" applyBorder="1" applyAlignment="1" applyProtection="1">
      <alignment horizontal="center" vertical="center"/>
      <protection locked="0"/>
    </xf>
    <xf numFmtId="9" fontId="0" fillId="44" borderId="184" xfId="5" applyFont="1" applyFill="1" applyBorder="1" applyAlignment="1" applyProtection="1">
      <alignment horizontal="center" vertical="center"/>
      <protection locked="0"/>
    </xf>
    <xf numFmtId="4" fontId="0" fillId="44" borderId="184" xfId="0" applyNumberFormat="1" applyFont="1" applyFill="1" applyBorder="1" applyAlignment="1" applyProtection="1">
      <alignment horizontal="center" vertical="center"/>
      <protection locked="0"/>
    </xf>
    <xf numFmtId="4" fontId="0" fillId="44" borderId="179" xfId="0" applyNumberFormat="1" applyFont="1" applyFill="1" applyBorder="1" applyAlignment="1" applyProtection="1">
      <alignment horizontal="center" vertical="center"/>
      <protection locked="0"/>
    </xf>
    <xf numFmtId="191" fontId="0" fillId="44" borderId="48" xfId="10" applyNumberFormat="1" applyFont="1" applyFill="1" applyBorder="1" applyAlignment="1" applyProtection="1">
      <alignment horizontal="center" vertical="center"/>
      <protection locked="0"/>
    </xf>
    <xf numFmtId="191" fontId="0" fillId="44" borderId="11" xfId="10" applyNumberFormat="1" applyFont="1" applyFill="1" applyBorder="1" applyAlignment="1" applyProtection="1">
      <alignment horizontal="center" vertical="center"/>
      <protection locked="0"/>
    </xf>
    <xf numFmtId="191" fontId="0" fillId="44" borderId="184" xfId="10" applyNumberFormat="1" applyFont="1" applyFill="1" applyBorder="1" applyAlignment="1" applyProtection="1">
      <alignment horizontal="center" vertical="center"/>
      <protection locked="0"/>
    </xf>
    <xf numFmtId="191" fontId="0" fillId="44" borderId="179" xfId="10" applyNumberFormat="1" applyFont="1" applyFill="1" applyBorder="1" applyAlignment="1" applyProtection="1">
      <alignment horizontal="center" vertical="center"/>
      <protection locked="0"/>
    </xf>
    <xf numFmtId="4" fontId="0" fillId="44" borderId="48" xfId="0" applyNumberFormat="1" applyFont="1" applyFill="1" applyBorder="1" applyAlignment="1" applyProtection="1">
      <alignment horizontal="center" vertical="center"/>
      <protection locked="0"/>
    </xf>
    <xf numFmtId="4" fontId="0" fillId="44" borderId="46" xfId="0" applyNumberFormat="1" applyFont="1" applyFill="1" applyBorder="1" applyAlignment="1" applyProtection="1">
      <alignment horizontal="center" vertical="center"/>
      <protection locked="0"/>
    </xf>
    <xf numFmtId="0" fontId="0" fillId="44" borderId="11" xfId="0" applyFont="1" applyFill="1" applyBorder="1" applyAlignment="1" applyProtection="1">
      <alignment vertical="center" wrapText="1"/>
      <protection locked="0"/>
    </xf>
    <xf numFmtId="9" fontId="0" fillId="44" borderId="184" xfId="5" applyFont="1" applyFill="1" applyBorder="1" applyAlignment="1" applyProtection="1">
      <alignment vertical="center" wrapText="1"/>
      <protection locked="0"/>
    </xf>
    <xf numFmtId="0" fontId="0" fillId="44" borderId="184" xfId="0" applyFont="1" applyFill="1" applyBorder="1" applyAlignment="1" applyProtection="1">
      <alignment vertical="center" wrapText="1"/>
      <protection locked="0"/>
    </xf>
    <xf numFmtId="0" fontId="0" fillId="44" borderId="179" xfId="0" applyFont="1" applyFill="1" applyBorder="1" applyAlignment="1" applyProtection="1">
      <alignment vertical="center" wrapText="1"/>
      <protection locked="0"/>
    </xf>
    <xf numFmtId="191" fontId="0" fillId="44" borderId="48" xfId="10" applyNumberFormat="1" applyFont="1" applyFill="1" applyBorder="1" applyAlignment="1" applyProtection="1">
      <alignment vertical="center" wrapText="1"/>
      <protection locked="0"/>
    </xf>
    <xf numFmtId="191" fontId="0" fillId="44" borderId="11" xfId="10" applyNumberFormat="1" applyFont="1" applyFill="1" applyBorder="1" applyAlignment="1" applyProtection="1">
      <alignment vertical="center" wrapText="1"/>
      <protection locked="0"/>
    </xf>
    <xf numFmtId="191" fontId="0" fillId="44" borderId="184" xfId="10" applyNumberFormat="1" applyFont="1" applyFill="1" applyBorder="1" applyAlignment="1" applyProtection="1">
      <alignment vertical="center" wrapText="1"/>
      <protection locked="0"/>
    </xf>
    <xf numFmtId="191" fontId="0" fillId="44" borderId="179" xfId="10" applyNumberFormat="1" applyFont="1" applyFill="1" applyBorder="1" applyAlignment="1" applyProtection="1">
      <alignment vertical="center" wrapText="1"/>
      <protection locked="0"/>
    </xf>
    <xf numFmtId="0" fontId="0" fillId="44" borderId="48" xfId="0" applyFont="1" applyFill="1" applyBorder="1" applyAlignment="1" applyProtection="1">
      <alignment vertical="center" wrapText="1"/>
      <protection locked="0"/>
    </xf>
    <xf numFmtId="0" fontId="0" fillId="44" borderId="46" xfId="0" applyFont="1" applyFill="1" applyBorder="1" applyAlignment="1" applyProtection="1">
      <alignment vertical="center" wrapText="1"/>
      <protection locked="0"/>
    </xf>
    <xf numFmtId="0" fontId="0" fillId="44" borderId="31" xfId="0" applyFont="1" applyFill="1" applyBorder="1" applyAlignment="1" applyProtection="1">
      <alignment horizontal="justify" vertical="center" wrapText="1"/>
      <protection locked="0"/>
    </xf>
    <xf numFmtId="0" fontId="0" fillId="44" borderId="29" xfId="0" applyFont="1" applyFill="1" applyBorder="1" applyAlignment="1" applyProtection="1">
      <alignment vertical="center" wrapText="1"/>
      <protection locked="0"/>
    </xf>
    <xf numFmtId="9" fontId="0" fillId="44" borderId="30" xfId="5" applyFont="1" applyFill="1" applyBorder="1" applyAlignment="1" applyProtection="1">
      <alignment vertical="center" wrapText="1"/>
      <protection locked="0"/>
    </xf>
    <xf numFmtId="0" fontId="0" fillId="44" borderId="30" xfId="0" applyFont="1" applyFill="1" applyBorder="1" applyAlignment="1" applyProtection="1">
      <alignment vertical="center" wrapText="1"/>
      <protection locked="0"/>
    </xf>
    <xf numFmtId="0" fontId="0" fillId="44" borderId="66" xfId="0" applyFont="1" applyFill="1" applyBorder="1" applyAlignment="1" applyProtection="1">
      <alignment vertical="center" wrapText="1"/>
      <protection locked="0"/>
    </xf>
    <xf numFmtId="191" fontId="0" fillId="44" borderId="50" xfId="10" applyNumberFormat="1" applyFont="1" applyFill="1" applyBorder="1" applyAlignment="1" applyProtection="1">
      <alignment vertical="center" wrapText="1"/>
      <protection locked="0"/>
    </xf>
    <xf numFmtId="191" fontId="0" fillId="44" borderId="29" xfId="10" applyNumberFormat="1" applyFont="1" applyFill="1" applyBorder="1" applyAlignment="1" applyProtection="1">
      <alignment vertical="center" wrapText="1"/>
      <protection locked="0"/>
    </xf>
    <xf numFmtId="191" fontId="0" fillId="44" borderId="30" xfId="10" applyNumberFormat="1" applyFont="1" applyFill="1" applyBorder="1" applyAlignment="1" applyProtection="1">
      <alignment vertical="center" wrapText="1"/>
      <protection locked="0"/>
    </xf>
    <xf numFmtId="191" fontId="0" fillId="44" borderId="66" xfId="10" applyNumberFormat="1" applyFont="1" applyFill="1" applyBorder="1" applyAlignment="1" applyProtection="1">
      <alignment vertical="center" wrapText="1"/>
      <protection locked="0"/>
    </xf>
    <xf numFmtId="0" fontId="0" fillId="44" borderId="50" xfId="0" applyFont="1" applyFill="1" applyBorder="1" applyAlignment="1" applyProtection="1">
      <alignment vertical="center" wrapText="1"/>
      <protection locked="0"/>
    </xf>
    <xf numFmtId="0" fontId="0" fillId="44" borderId="177" xfId="0" applyFont="1" applyFill="1" applyBorder="1" applyAlignment="1" applyProtection="1">
      <alignment vertical="center" wrapText="1"/>
      <protection locked="0"/>
    </xf>
    <xf numFmtId="0" fontId="0" fillId="38" borderId="51" xfId="0" applyFont="1" applyFill="1" applyBorder="1" applyAlignment="1" applyProtection="1">
      <alignment horizontal="center" vertical="center" wrapText="1"/>
      <protection locked="0"/>
    </xf>
    <xf numFmtId="0" fontId="0" fillId="38" borderId="52" xfId="0" applyFont="1" applyFill="1" applyBorder="1" applyAlignment="1" applyProtection="1">
      <alignment horizontal="justify" vertical="center" wrapText="1"/>
      <protection locked="0"/>
    </xf>
    <xf numFmtId="0" fontId="0" fillId="38" borderId="51" xfId="0" applyFont="1" applyFill="1" applyBorder="1" applyAlignment="1" applyProtection="1">
      <alignment vertical="center" wrapText="1"/>
      <protection locked="0"/>
    </xf>
    <xf numFmtId="9" fontId="0" fillId="38" borderId="32" xfId="5" applyFont="1" applyFill="1" applyBorder="1" applyAlignment="1" applyProtection="1">
      <alignment vertical="center" wrapText="1"/>
      <protection locked="0"/>
    </xf>
    <xf numFmtId="0" fontId="0" fillId="38" borderId="32" xfId="0" applyFont="1" applyFill="1" applyBorder="1" applyAlignment="1" applyProtection="1">
      <alignment vertical="center" wrapText="1"/>
      <protection locked="0"/>
    </xf>
    <xf numFmtId="0" fontId="0" fillId="38" borderId="38" xfId="0" applyFont="1" applyFill="1" applyBorder="1" applyAlignment="1" applyProtection="1">
      <alignment vertical="center" wrapText="1"/>
      <protection locked="0"/>
    </xf>
    <xf numFmtId="191" fontId="0" fillId="38" borderId="99" xfId="10" applyNumberFormat="1" applyFont="1" applyFill="1" applyBorder="1" applyAlignment="1" applyProtection="1">
      <alignment vertical="center" wrapText="1"/>
      <protection locked="0"/>
    </xf>
    <xf numFmtId="191" fontId="0" fillId="38" borderId="51" xfId="10" applyNumberFormat="1" applyFont="1" applyFill="1" applyBorder="1" applyAlignment="1" applyProtection="1">
      <alignment vertical="center" wrapText="1"/>
      <protection locked="0"/>
    </xf>
    <xf numFmtId="191" fontId="0" fillId="38" borderId="32" xfId="10" applyNumberFormat="1" applyFont="1" applyFill="1" applyBorder="1" applyAlignment="1" applyProtection="1">
      <alignment vertical="center" wrapText="1"/>
      <protection locked="0"/>
    </xf>
    <xf numFmtId="191" fontId="0" fillId="38" borderId="38" xfId="10" applyNumberFormat="1" applyFont="1" applyFill="1" applyBorder="1" applyAlignment="1" applyProtection="1">
      <alignment vertical="center" wrapText="1"/>
      <protection locked="0"/>
    </xf>
    <xf numFmtId="0" fontId="0" fillId="38" borderId="99" xfId="0" applyFont="1" applyFill="1" applyBorder="1" applyAlignment="1" applyProtection="1">
      <alignment vertical="center" wrapText="1"/>
      <protection locked="0"/>
    </xf>
    <xf numFmtId="0" fontId="0" fillId="38" borderId="60" xfId="0" applyFont="1" applyFill="1" applyBorder="1" applyAlignment="1" applyProtection="1">
      <alignment vertical="center" wrapText="1"/>
      <protection locked="0"/>
    </xf>
    <xf numFmtId="0" fontId="0" fillId="38" borderId="11" xfId="0" applyFont="1" applyFill="1" applyBorder="1" applyAlignment="1" applyProtection="1">
      <alignment horizontal="center" vertical="center" wrapText="1"/>
      <protection locked="0"/>
    </xf>
    <xf numFmtId="0" fontId="0" fillId="38" borderId="11" xfId="0" applyFont="1" applyFill="1" applyBorder="1" applyAlignment="1" applyProtection="1">
      <alignment vertical="center" wrapText="1"/>
      <protection locked="0"/>
    </xf>
    <xf numFmtId="0" fontId="0" fillId="38" borderId="184" xfId="0" applyFont="1" applyFill="1" applyBorder="1" applyAlignment="1" applyProtection="1">
      <alignment vertical="center" wrapText="1"/>
      <protection locked="0"/>
    </xf>
    <xf numFmtId="0" fontId="0" fillId="38" borderId="179" xfId="0" applyFont="1" applyFill="1" applyBorder="1" applyAlignment="1" applyProtection="1">
      <alignment vertical="center" wrapText="1"/>
      <protection locked="0"/>
    </xf>
    <xf numFmtId="0" fontId="0" fillId="38" borderId="48" xfId="0" applyFont="1" applyFill="1" applyBorder="1" applyAlignment="1" applyProtection="1">
      <alignment vertical="center" wrapText="1"/>
      <protection locked="0"/>
    </xf>
    <xf numFmtId="0" fontId="0" fillId="38" borderId="46" xfId="0" applyFont="1" applyFill="1" applyBorder="1" applyAlignment="1" applyProtection="1">
      <alignment vertical="center" wrapText="1"/>
      <protection locked="0"/>
    </xf>
    <xf numFmtId="0" fontId="0" fillId="38" borderId="155" xfId="0" applyFont="1" applyFill="1" applyBorder="1" applyAlignment="1" applyProtection="1">
      <alignment horizontal="center" vertical="center" wrapText="1"/>
      <protection locked="0"/>
    </xf>
    <xf numFmtId="9" fontId="0" fillId="38" borderId="11" xfId="0" applyNumberFormat="1" applyFont="1" applyFill="1" applyBorder="1" applyAlignment="1" applyProtection="1">
      <alignment horizontal="center" vertical="center"/>
      <protection locked="0"/>
    </xf>
    <xf numFmtId="9" fontId="0" fillId="38" borderId="184" xfId="0" applyNumberFormat="1" applyFont="1" applyFill="1" applyBorder="1" applyAlignment="1" applyProtection="1">
      <alignment horizontal="center" vertical="center"/>
      <protection locked="0"/>
    </xf>
    <xf numFmtId="9" fontId="0" fillId="38" borderId="179" xfId="0" applyNumberFormat="1" applyFont="1" applyFill="1" applyBorder="1" applyAlignment="1" applyProtection="1">
      <alignment horizontal="center" vertical="center"/>
      <protection locked="0"/>
    </xf>
    <xf numFmtId="9" fontId="0" fillId="38" borderId="48" xfId="0" applyNumberFormat="1" applyFont="1" applyFill="1" applyBorder="1" applyAlignment="1" applyProtection="1">
      <alignment horizontal="center" vertical="center"/>
      <protection locked="0"/>
    </xf>
    <xf numFmtId="9" fontId="0" fillId="38" borderId="46" xfId="0" applyNumberFormat="1" applyFont="1" applyFill="1" applyBorder="1" applyAlignment="1" applyProtection="1">
      <alignment horizontal="center" vertical="center"/>
      <protection locked="0"/>
    </xf>
    <xf numFmtId="9" fontId="0" fillId="38" borderId="184" xfId="5" applyFont="1" applyFill="1" applyBorder="1" applyAlignment="1" applyProtection="1">
      <alignment horizontal="center" vertical="center" wrapText="1"/>
      <protection locked="0"/>
    </xf>
    <xf numFmtId="0" fontId="0" fillId="38" borderId="184" xfId="0" applyFont="1" applyFill="1" applyBorder="1" applyAlignment="1" applyProtection="1">
      <alignment horizontal="center" vertical="center" wrapText="1"/>
      <protection locked="0"/>
    </xf>
    <xf numFmtId="0" fontId="0" fillId="38" borderId="179" xfId="0" applyFont="1" applyFill="1" applyBorder="1" applyAlignment="1" applyProtection="1">
      <alignment horizontal="center" vertical="center" wrapText="1"/>
      <protection locked="0"/>
    </xf>
    <xf numFmtId="191" fontId="0" fillId="38" borderId="48" xfId="10" applyNumberFormat="1" applyFont="1" applyFill="1" applyBorder="1" applyAlignment="1" applyProtection="1">
      <alignment horizontal="center" vertical="center" wrapText="1"/>
      <protection locked="0"/>
    </xf>
    <xf numFmtId="191" fontId="0" fillId="38" borderId="11" xfId="10" applyNumberFormat="1" applyFont="1" applyFill="1" applyBorder="1" applyAlignment="1" applyProtection="1">
      <alignment horizontal="center" vertical="center" wrapText="1"/>
      <protection locked="0"/>
    </xf>
    <xf numFmtId="191" fontId="0" fillId="38" borderId="184" xfId="10" applyNumberFormat="1" applyFont="1" applyFill="1" applyBorder="1" applyAlignment="1" applyProtection="1">
      <alignment horizontal="center" vertical="center" wrapText="1"/>
      <protection locked="0"/>
    </xf>
    <xf numFmtId="191" fontId="0" fillId="38" borderId="179" xfId="10" applyNumberFormat="1" applyFont="1" applyFill="1" applyBorder="1" applyAlignment="1" applyProtection="1">
      <alignment horizontal="center" vertical="center" wrapText="1"/>
      <protection locked="0"/>
    </xf>
    <xf numFmtId="0" fontId="0" fillId="38" borderId="48" xfId="0" applyFont="1" applyFill="1" applyBorder="1" applyAlignment="1" applyProtection="1">
      <alignment horizontal="center" vertical="center" wrapText="1"/>
      <protection locked="0"/>
    </xf>
    <xf numFmtId="0" fontId="0" fillId="38" borderId="11" xfId="0" applyFont="1" applyFill="1" applyBorder="1" applyAlignment="1" applyProtection="1">
      <alignment horizontal="left" vertical="center" wrapText="1"/>
      <protection locked="0"/>
    </xf>
    <xf numFmtId="9" fontId="0" fillId="38" borderId="184" xfId="5" applyFont="1" applyFill="1" applyBorder="1" applyAlignment="1" applyProtection="1">
      <alignment horizontal="left" vertical="center" wrapText="1"/>
      <protection locked="0"/>
    </xf>
    <xf numFmtId="0" fontId="0" fillId="38" borderId="184" xfId="0" applyFont="1" applyFill="1" applyBorder="1" applyAlignment="1" applyProtection="1">
      <alignment horizontal="left" vertical="center" wrapText="1"/>
      <protection locked="0"/>
    </xf>
    <xf numFmtId="0" fontId="0" fillId="38" borderId="179" xfId="0" applyFont="1" applyFill="1" applyBorder="1" applyAlignment="1" applyProtection="1">
      <alignment horizontal="left" vertical="center" wrapText="1"/>
      <protection locked="0"/>
    </xf>
    <xf numFmtId="191" fontId="0" fillId="38" borderId="48" xfId="10" applyNumberFormat="1" applyFont="1" applyFill="1" applyBorder="1" applyAlignment="1" applyProtection="1">
      <alignment horizontal="left" vertical="center" wrapText="1"/>
      <protection locked="0"/>
    </xf>
    <xf numFmtId="191" fontId="0" fillId="38" borderId="11" xfId="10" applyNumberFormat="1" applyFont="1" applyFill="1" applyBorder="1" applyAlignment="1" applyProtection="1">
      <alignment horizontal="left" vertical="center" wrapText="1"/>
      <protection locked="0"/>
    </xf>
    <xf numFmtId="191" fontId="0" fillId="38" borderId="184" xfId="10" applyNumberFormat="1" applyFont="1" applyFill="1" applyBorder="1" applyAlignment="1" applyProtection="1">
      <alignment horizontal="left" vertical="center" wrapText="1"/>
      <protection locked="0"/>
    </xf>
    <xf numFmtId="191" fontId="0" fillId="38" borderId="179" xfId="10" applyNumberFormat="1" applyFont="1" applyFill="1" applyBorder="1" applyAlignment="1" applyProtection="1">
      <alignment horizontal="left" vertical="center" wrapText="1"/>
      <protection locked="0"/>
    </xf>
    <xf numFmtId="0" fontId="0" fillId="38" borderId="48" xfId="0" applyFont="1" applyFill="1" applyBorder="1" applyAlignment="1" applyProtection="1">
      <alignment horizontal="left" vertical="center" wrapText="1"/>
      <protection locked="0"/>
    </xf>
    <xf numFmtId="0" fontId="0" fillId="38" borderId="46" xfId="0" applyFont="1" applyFill="1" applyBorder="1" applyAlignment="1" applyProtection="1">
      <alignment horizontal="left" vertical="center" wrapText="1"/>
      <protection locked="0"/>
    </xf>
    <xf numFmtId="0" fontId="0" fillId="38" borderId="177" xfId="0" applyFont="1" applyFill="1" applyBorder="1" applyAlignment="1" applyProtection="1">
      <alignment horizontal="center" vertical="center" wrapText="1"/>
      <protection locked="0"/>
    </xf>
    <xf numFmtId="0" fontId="0" fillId="38" borderId="161" xfId="0" applyFont="1" applyFill="1" applyBorder="1" applyAlignment="1" applyProtection="1">
      <alignment horizontal="center" vertical="center" wrapText="1"/>
      <protection locked="0"/>
    </xf>
    <xf numFmtId="0" fontId="0" fillId="38" borderId="29" xfId="0" applyFont="1" applyFill="1" applyBorder="1" applyAlignment="1" applyProtection="1">
      <alignment horizontal="center" vertical="center" wrapText="1"/>
      <protection locked="0"/>
    </xf>
    <xf numFmtId="9" fontId="0" fillId="38" borderId="30" xfId="5" applyFont="1" applyFill="1" applyBorder="1" applyAlignment="1" applyProtection="1">
      <alignment horizontal="center" vertical="center" wrapText="1"/>
      <protection locked="0"/>
    </xf>
    <xf numFmtId="0" fontId="0" fillId="38" borderId="30" xfId="0" applyFont="1" applyFill="1" applyBorder="1" applyAlignment="1" applyProtection="1">
      <alignment horizontal="center" vertical="center" wrapText="1"/>
      <protection locked="0"/>
    </xf>
    <xf numFmtId="0" fontId="0" fillId="38" borderId="66" xfId="0" applyFont="1" applyFill="1" applyBorder="1" applyAlignment="1" applyProtection="1">
      <alignment horizontal="center" vertical="center" wrapText="1"/>
      <protection locked="0"/>
    </xf>
    <xf numFmtId="191" fontId="0" fillId="38" borderId="50" xfId="10" applyNumberFormat="1" applyFont="1" applyFill="1" applyBorder="1" applyAlignment="1" applyProtection="1">
      <alignment horizontal="center" vertical="center" wrapText="1"/>
      <protection locked="0"/>
    </xf>
    <xf numFmtId="191" fontId="0" fillId="38" borderId="29" xfId="10" applyNumberFormat="1" applyFont="1" applyFill="1" applyBorder="1" applyAlignment="1" applyProtection="1">
      <alignment horizontal="center" vertical="center" wrapText="1"/>
      <protection locked="0"/>
    </xf>
    <xf numFmtId="191" fontId="0" fillId="38" borderId="30" xfId="10" applyNumberFormat="1" applyFont="1" applyFill="1" applyBorder="1" applyAlignment="1" applyProtection="1">
      <alignment horizontal="center" vertical="center" wrapText="1"/>
      <protection locked="0"/>
    </xf>
    <xf numFmtId="191" fontId="0" fillId="38" borderId="66" xfId="10" applyNumberFormat="1" applyFont="1" applyFill="1" applyBorder="1" applyAlignment="1" applyProtection="1">
      <alignment horizontal="center" vertical="center" wrapText="1"/>
      <protection locked="0"/>
    </xf>
    <xf numFmtId="0" fontId="0" fillId="38" borderId="50" xfId="0" applyFont="1" applyFill="1" applyBorder="1" applyAlignment="1" applyProtection="1">
      <alignment horizontal="center" vertical="center" wrapText="1"/>
      <protection locked="0"/>
    </xf>
    <xf numFmtId="0" fontId="0" fillId="7" borderId="60" xfId="0" applyFont="1" applyFill="1" applyBorder="1" applyAlignment="1" applyProtection="1">
      <alignment horizontal="center" vertical="center" wrapText="1"/>
      <protection locked="0"/>
    </xf>
    <xf numFmtId="0" fontId="0" fillId="7" borderId="100" xfId="0" applyFont="1" applyFill="1" applyBorder="1" applyAlignment="1" applyProtection="1">
      <alignment horizontal="center" vertical="center" wrapText="1"/>
      <protection locked="0"/>
    </xf>
    <xf numFmtId="0" fontId="0" fillId="7" borderId="52" xfId="0" applyFont="1" applyFill="1" applyBorder="1" applyAlignment="1" applyProtection="1">
      <alignment horizontal="justify" vertical="center" wrapText="1"/>
      <protection locked="0"/>
    </xf>
    <xf numFmtId="9" fontId="0" fillId="7" borderId="51" xfId="5" applyFont="1" applyFill="1" applyBorder="1" applyAlignment="1" applyProtection="1">
      <alignment horizontal="center" vertical="center" wrapText="1"/>
      <protection locked="0"/>
    </xf>
    <xf numFmtId="9" fontId="0" fillId="7" borderId="38" xfId="5" applyFont="1" applyFill="1" applyBorder="1" applyAlignment="1" applyProtection="1">
      <alignment horizontal="center" vertical="center" wrapText="1"/>
      <protection locked="0"/>
    </xf>
    <xf numFmtId="9" fontId="0" fillId="7" borderId="99" xfId="5" applyFont="1" applyFill="1" applyBorder="1" applyAlignment="1" applyProtection="1">
      <alignment horizontal="center" vertical="center" wrapText="1"/>
      <protection locked="0"/>
    </xf>
    <xf numFmtId="9" fontId="0" fillId="7" borderId="60" xfId="5" applyFont="1" applyFill="1" applyBorder="1" applyAlignment="1" applyProtection="1">
      <alignment horizontal="center" vertical="center" wrapText="1"/>
      <protection locked="0"/>
    </xf>
    <xf numFmtId="0" fontId="0" fillId="7" borderId="46" xfId="0" applyFont="1" applyFill="1" applyBorder="1" applyAlignment="1" applyProtection="1">
      <alignment horizontal="center" vertical="center" wrapText="1"/>
      <protection locked="0"/>
    </xf>
    <xf numFmtId="0" fontId="0" fillId="7" borderId="155" xfId="0" applyFont="1" applyFill="1" applyBorder="1" applyAlignment="1" applyProtection="1">
      <alignment horizontal="center" vertical="center" wrapText="1"/>
      <protection locked="0"/>
    </xf>
    <xf numFmtId="9" fontId="0" fillId="7" borderId="11" xfId="0" applyNumberFormat="1" applyFont="1" applyFill="1" applyBorder="1" applyAlignment="1" applyProtection="1">
      <alignment horizontal="center" vertical="center" wrapText="1"/>
      <protection locked="0"/>
    </xf>
    <xf numFmtId="0" fontId="0" fillId="7" borderId="94" xfId="0" applyFont="1" applyFill="1" applyBorder="1" applyAlignment="1" applyProtection="1">
      <alignment horizontal="justify" vertical="center" wrapText="1"/>
      <protection locked="0"/>
    </xf>
    <xf numFmtId="9" fontId="0" fillId="7" borderId="184" xfId="5" applyFont="1" applyFill="1" applyBorder="1" applyAlignment="1" applyProtection="1">
      <alignment horizontal="center" vertical="center" wrapText="1"/>
      <protection locked="0"/>
    </xf>
    <xf numFmtId="9" fontId="0" fillId="7" borderId="184" xfId="0" applyNumberFormat="1" applyFont="1" applyFill="1" applyBorder="1" applyAlignment="1" applyProtection="1">
      <alignment horizontal="center" vertical="center" wrapText="1"/>
      <protection locked="0"/>
    </xf>
    <xf numFmtId="9" fontId="0" fillId="7" borderId="179" xfId="0" applyNumberFormat="1" applyFont="1" applyFill="1" applyBorder="1" applyAlignment="1" applyProtection="1">
      <alignment horizontal="center" vertical="center" wrapText="1"/>
      <protection locked="0"/>
    </xf>
    <xf numFmtId="191" fontId="0" fillId="7" borderId="48" xfId="10" applyNumberFormat="1" applyFont="1" applyFill="1" applyBorder="1" applyAlignment="1" applyProtection="1">
      <alignment horizontal="center" vertical="center" wrapText="1"/>
      <protection locked="0"/>
    </xf>
    <xf numFmtId="191" fontId="0" fillId="7" borderId="11" xfId="10" applyNumberFormat="1" applyFont="1" applyFill="1" applyBorder="1" applyAlignment="1" applyProtection="1">
      <alignment horizontal="center" vertical="center" wrapText="1"/>
      <protection locked="0"/>
    </xf>
    <xf numFmtId="191" fontId="0" fillId="7" borderId="184" xfId="10" applyNumberFormat="1" applyFont="1" applyFill="1" applyBorder="1" applyAlignment="1" applyProtection="1">
      <alignment horizontal="center" vertical="center" wrapText="1"/>
      <protection locked="0"/>
    </xf>
    <xf numFmtId="191" fontId="0" fillId="7" borderId="179" xfId="10" applyNumberFormat="1" applyFont="1" applyFill="1" applyBorder="1" applyAlignment="1" applyProtection="1">
      <alignment horizontal="center" vertical="center" wrapText="1"/>
      <protection locked="0"/>
    </xf>
    <xf numFmtId="9" fontId="0" fillId="7" borderId="48" xfId="0" applyNumberFormat="1" applyFont="1" applyFill="1" applyBorder="1" applyAlignment="1" applyProtection="1">
      <alignment horizontal="center" vertical="center" wrapText="1"/>
      <protection locked="0"/>
    </xf>
    <xf numFmtId="9" fontId="0" fillId="7" borderId="46" xfId="0" applyNumberFormat="1" applyFont="1" applyFill="1" applyBorder="1" applyAlignment="1" applyProtection="1">
      <alignment horizontal="center" vertical="center" wrapText="1"/>
      <protection locked="0"/>
    </xf>
    <xf numFmtId="4" fontId="0" fillId="7" borderId="11" xfId="0" applyNumberFormat="1" applyFont="1" applyFill="1" applyBorder="1" applyAlignment="1" applyProtection="1">
      <alignment horizontal="center" vertical="center"/>
      <protection locked="0"/>
    </xf>
    <xf numFmtId="4" fontId="0" fillId="7" borderId="11" xfId="0" applyNumberFormat="1" applyFont="1" applyFill="1" applyBorder="1" applyAlignment="1" applyProtection="1">
      <alignment vertical="center"/>
      <protection locked="0"/>
    </xf>
    <xf numFmtId="9" fontId="0" fillId="7" borderId="184" xfId="5" applyFont="1" applyFill="1" applyBorder="1" applyAlignment="1" applyProtection="1">
      <alignment vertical="center"/>
      <protection locked="0"/>
    </xf>
    <xf numFmtId="4" fontId="0" fillId="7" borderId="184" xfId="0" applyNumberFormat="1" applyFont="1" applyFill="1" applyBorder="1" applyAlignment="1" applyProtection="1">
      <alignment vertical="center"/>
      <protection locked="0"/>
    </xf>
    <xf numFmtId="4" fontId="0" fillId="7" borderId="179" xfId="0" applyNumberFormat="1" applyFont="1" applyFill="1" applyBorder="1" applyAlignment="1" applyProtection="1">
      <alignment vertical="center"/>
      <protection locked="0"/>
    </xf>
    <xf numFmtId="191" fontId="0" fillId="7" borderId="48" xfId="10" applyNumberFormat="1" applyFont="1" applyFill="1" applyBorder="1" applyAlignment="1" applyProtection="1">
      <alignment vertical="center"/>
      <protection locked="0"/>
    </xf>
    <xf numFmtId="191" fontId="0" fillId="7" borderId="11" xfId="10" applyNumberFormat="1" applyFont="1" applyFill="1" applyBorder="1" applyAlignment="1" applyProtection="1">
      <alignment vertical="center"/>
      <protection locked="0"/>
    </xf>
    <xf numFmtId="191" fontId="0" fillId="7" borderId="184" xfId="10" applyNumberFormat="1" applyFont="1" applyFill="1" applyBorder="1" applyAlignment="1" applyProtection="1">
      <alignment vertical="center"/>
      <protection locked="0"/>
    </xf>
    <xf numFmtId="191" fontId="0" fillId="7" borderId="179" xfId="10" applyNumberFormat="1" applyFont="1" applyFill="1" applyBorder="1" applyAlignment="1" applyProtection="1">
      <alignment vertical="center"/>
      <protection locked="0"/>
    </xf>
    <xf numFmtId="4" fontId="0" fillId="7" borderId="48" xfId="0" applyNumberFormat="1" applyFont="1" applyFill="1" applyBorder="1" applyAlignment="1" applyProtection="1">
      <alignment vertical="center"/>
      <protection locked="0"/>
    </xf>
    <xf numFmtId="4" fontId="0" fillId="7" borderId="46" xfId="0" applyNumberFormat="1" applyFont="1" applyFill="1" applyBorder="1" applyAlignment="1" applyProtection="1">
      <alignment vertical="center"/>
      <protection locked="0"/>
    </xf>
    <xf numFmtId="10" fontId="0" fillId="7" borderId="11" xfId="0" applyNumberFormat="1" applyFont="1" applyFill="1" applyBorder="1" applyAlignment="1" applyProtection="1">
      <alignment vertical="center" wrapText="1"/>
      <protection locked="0"/>
    </xf>
    <xf numFmtId="9" fontId="0" fillId="7" borderId="184" xfId="5" applyFont="1" applyFill="1" applyBorder="1" applyAlignment="1" applyProtection="1">
      <alignment vertical="center" wrapText="1"/>
      <protection locked="0"/>
    </xf>
    <xf numFmtId="10" fontId="0" fillId="7" borderId="184" xfId="0" applyNumberFormat="1" applyFont="1" applyFill="1" applyBorder="1" applyAlignment="1" applyProtection="1">
      <alignment vertical="center" wrapText="1"/>
      <protection locked="0"/>
    </xf>
    <xf numFmtId="10" fontId="0" fillId="7" borderId="179" xfId="0" applyNumberFormat="1" applyFont="1" applyFill="1" applyBorder="1" applyAlignment="1" applyProtection="1">
      <alignment vertical="center" wrapText="1"/>
      <protection locked="0"/>
    </xf>
    <xf numFmtId="191" fontId="0" fillId="7" borderId="48" xfId="10" applyNumberFormat="1" applyFont="1" applyFill="1" applyBorder="1" applyAlignment="1" applyProtection="1">
      <alignment vertical="center" wrapText="1"/>
      <protection locked="0"/>
    </xf>
    <xf numFmtId="191" fontId="0" fillId="7" borderId="11" xfId="10" applyNumberFormat="1" applyFont="1" applyFill="1" applyBorder="1" applyAlignment="1" applyProtection="1">
      <alignment vertical="center" wrapText="1"/>
      <protection locked="0"/>
    </xf>
    <xf numFmtId="191" fontId="0" fillId="7" borderId="184" xfId="10" applyNumberFormat="1" applyFont="1" applyFill="1" applyBorder="1" applyAlignment="1" applyProtection="1">
      <alignment vertical="center" wrapText="1"/>
      <protection locked="0"/>
    </xf>
    <xf numFmtId="191" fontId="0" fillId="7" borderId="179" xfId="10" applyNumberFormat="1" applyFont="1" applyFill="1" applyBorder="1" applyAlignment="1" applyProtection="1">
      <alignment vertical="center" wrapText="1"/>
      <protection locked="0"/>
    </xf>
    <xf numFmtId="10" fontId="0" fillId="7" borderId="48" xfId="0" applyNumberFormat="1" applyFont="1" applyFill="1" applyBorder="1" applyAlignment="1" applyProtection="1">
      <alignment vertical="center" wrapText="1"/>
      <protection locked="0"/>
    </xf>
    <xf numFmtId="10" fontId="0" fillId="7" borderId="46" xfId="0" applyNumberFormat="1" applyFont="1" applyFill="1" applyBorder="1" applyAlignment="1" applyProtection="1">
      <alignment vertical="center" wrapText="1"/>
      <protection locked="0"/>
    </xf>
    <xf numFmtId="9" fontId="0" fillId="7" borderId="184" xfId="5" applyFont="1" applyFill="1" applyBorder="1" applyAlignment="1" applyProtection="1">
      <alignment horizontal="center" vertical="center"/>
      <protection locked="0"/>
    </xf>
    <xf numFmtId="4" fontId="0" fillId="7" borderId="184" xfId="0" applyNumberFormat="1" applyFont="1" applyFill="1" applyBorder="1" applyAlignment="1" applyProtection="1">
      <alignment horizontal="center" vertical="center"/>
      <protection locked="0"/>
    </xf>
    <xf numFmtId="4" fontId="0" fillId="7" borderId="179" xfId="0" applyNumberFormat="1" applyFont="1" applyFill="1" applyBorder="1" applyAlignment="1" applyProtection="1">
      <alignment horizontal="center" vertical="center"/>
      <protection locked="0"/>
    </xf>
    <xf numFmtId="191" fontId="0" fillId="7" borderId="48" xfId="10" applyNumberFormat="1" applyFont="1" applyFill="1" applyBorder="1" applyAlignment="1" applyProtection="1">
      <alignment horizontal="center" vertical="center"/>
      <protection locked="0"/>
    </xf>
    <xf numFmtId="191" fontId="0" fillId="7" borderId="11" xfId="10" applyNumberFormat="1" applyFont="1" applyFill="1" applyBorder="1" applyAlignment="1" applyProtection="1">
      <alignment horizontal="center" vertical="center"/>
      <protection locked="0"/>
    </xf>
    <xf numFmtId="191" fontId="0" fillId="7" borderId="184" xfId="10" applyNumberFormat="1" applyFont="1" applyFill="1" applyBorder="1" applyAlignment="1" applyProtection="1">
      <alignment horizontal="center" vertical="center"/>
      <protection locked="0"/>
    </xf>
    <xf numFmtId="191" fontId="0" fillId="7" borderId="179" xfId="10" applyNumberFormat="1" applyFont="1" applyFill="1" applyBorder="1" applyAlignment="1" applyProtection="1">
      <alignment horizontal="center" vertical="center"/>
      <protection locked="0"/>
    </xf>
    <xf numFmtId="4" fontId="0" fillId="7" borderId="48" xfId="0" applyNumberFormat="1" applyFont="1" applyFill="1" applyBorder="1" applyAlignment="1" applyProtection="1">
      <alignment horizontal="center" vertical="center"/>
      <protection locked="0"/>
    </xf>
    <xf numFmtId="4" fontId="0" fillId="7" borderId="46" xfId="0" applyNumberFormat="1" applyFont="1" applyFill="1" applyBorder="1" applyAlignment="1" applyProtection="1">
      <alignment horizontal="center" vertical="center"/>
      <protection locked="0"/>
    </xf>
    <xf numFmtId="4" fontId="0" fillId="7" borderId="11" xfId="5" applyNumberFormat="1" applyFont="1" applyFill="1" applyBorder="1" applyAlignment="1" applyProtection="1">
      <alignment vertical="center"/>
      <protection locked="0"/>
    </xf>
    <xf numFmtId="4" fontId="0" fillId="7" borderId="184" xfId="5" applyNumberFormat="1" applyFont="1" applyFill="1" applyBorder="1" applyAlignment="1" applyProtection="1">
      <alignment vertical="center"/>
      <protection locked="0"/>
    </xf>
    <xf numFmtId="4" fontId="0" fillId="7" borderId="179" xfId="5" applyNumberFormat="1" applyFont="1" applyFill="1" applyBorder="1" applyAlignment="1" applyProtection="1">
      <alignment vertical="center"/>
      <protection locked="0"/>
    </xf>
    <xf numFmtId="4" fontId="0" fillId="7" borderId="48" xfId="5" applyNumberFormat="1" applyFont="1" applyFill="1" applyBorder="1" applyAlignment="1" applyProtection="1">
      <alignment vertical="center"/>
      <protection locked="0"/>
    </xf>
    <xf numFmtId="4" fontId="0" fillId="7" borderId="46" xfId="5" applyNumberFormat="1" applyFont="1" applyFill="1" applyBorder="1" applyAlignment="1" applyProtection="1">
      <alignment vertical="center"/>
      <protection locked="0"/>
    </xf>
    <xf numFmtId="0" fontId="0" fillId="7" borderId="177" xfId="0" applyFont="1" applyFill="1" applyBorder="1" applyAlignment="1" applyProtection="1">
      <alignment horizontal="center" vertical="center"/>
      <protection locked="0"/>
    </xf>
    <xf numFmtId="0" fontId="0" fillId="7" borderId="161" xfId="0" applyFont="1" applyFill="1" applyBorder="1" applyAlignment="1" applyProtection="1">
      <alignment horizontal="center" vertical="center"/>
      <protection locked="0"/>
    </xf>
    <xf numFmtId="198" fontId="0" fillId="7" borderId="29" xfId="13" applyNumberFormat="1" applyFont="1" applyFill="1" applyBorder="1" applyAlignment="1" applyProtection="1">
      <alignment horizontal="center" vertical="center"/>
      <protection locked="0"/>
    </xf>
    <xf numFmtId="0" fontId="0" fillId="7" borderId="31" xfId="0" applyFont="1" applyFill="1" applyBorder="1" applyAlignment="1" applyProtection="1">
      <alignment horizontal="justify" vertical="center" wrapText="1"/>
      <protection locked="0"/>
    </xf>
    <xf numFmtId="198" fontId="0" fillId="7" borderId="30" xfId="13" applyNumberFormat="1" applyFont="1" applyFill="1" applyBorder="1" applyAlignment="1" applyProtection="1">
      <alignment horizontal="center" vertical="center"/>
      <protection locked="0"/>
    </xf>
    <xf numFmtId="198" fontId="0" fillId="7" borderId="66" xfId="13" applyNumberFormat="1" applyFont="1" applyFill="1" applyBorder="1" applyAlignment="1" applyProtection="1">
      <alignment horizontal="center" vertical="center"/>
      <protection locked="0"/>
    </xf>
    <xf numFmtId="191" fontId="0" fillId="7" borderId="50" xfId="10" applyNumberFormat="1" applyFont="1" applyFill="1" applyBorder="1" applyAlignment="1" applyProtection="1">
      <alignment horizontal="center" vertical="center"/>
      <protection locked="0"/>
    </xf>
    <xf numFmtId="191" fontId="0" fillId="7" borderId="29" xfId="10" applyNumberFormat="1" applyFont="1" applyFill="1" applyBorder="1" applyAlignment="1" applyProtection="1">
      <alignment horizontal="center" vertical="center"/>
      <protection locked="0"/>
    </xf>
    <xf numFmtId="191" fontId="0" fillId="7" borderId="66" xfId="10" applyNumberFormat="1" applyFont="1" applyFill="1" applyBorder="1" applyAlignment="1" applyProtection="1">
      <alignment horizontal="center" vertical="center"/>
      <protection locked="0"/>
    </xf>
    <xf numFmtId="198" fontId="0" fillId="7" borderId="50" xfId="13" applyNumberFormat="1" applyFont="1" applyFill="1" applyBorder="1" applyAlignment="1" applyProtection="1">
      <alignment horizontal="center" vertical="center"/>
      <protection locked="0"/>
    </xf>
    <xf numFmtId="198" fontId="0" fillId="7" borderId="177" xfId="13" applyNumberFormat="1" applyFont="1" applyFill="1" applyBorder="1" applyAlignment="1" applyProtection="1">
      <alignment horizontal="center" vertical="center"/>
      <protection locked="0"/>
    </xf>
    <xf numFmtId="0" fontId="0" fillId="41" borderId="52" xfId="0" applyFont="1" applyFill="1" applyBorder="1" applyAlignment="1" applyProtection="1">
      <alignment horizontal="justify" vertical="center" wrapText="1"/>
      <protection locked="0"/>
    </xf>
    <xf numFmtId="9" fontId="0" fillId="41" borderId="51" xfId="0" applyNumberFormat="1" applyFont="1" applyFill="1" applyBorder="1" applyAlignment="1" applyProtection="1">
      <alignment vertical="center"/>
      <protection locked="0"/>
    </xf>
    <xf numFmtId="9" fontId="0" fillId="41" borderId="32" xfId="5" applyFont="1" applyFill="1" applyBorder="1" applyAlignment="1" applyProtection="1">
      <alignment vertical="center"/>
      <protection locked="0"/>
    </xf>
    <xf numFmtId="9" fontId="0" fillId="41" borderId="32" xfId="0" applyNumberFormat="1" applyFont="1" applyFill="1" applyBorder="1" applyAlignment="1" applyProtection="1">
      <alignment vertical="center"/>
      <protection locked="0"/>
    </xf>
    <xf numFmtId="9" fontId="0" fillId="41" borderId="38" xfId="0" applyNumberFormat="1" applyFont="1" applyFill="1" applyBorder="1" applyAlignment="1" applyProtection="1">
      <alignment vertical="center"/>
      <protection locked="0"/>
    </xf>
    <xf numFmtId="191" fontId="0" fillId="41" borderId="99" xfId="10" applyNumberFormat="1" applyFont="1" applyFill="1" applyBorder="1" applyAlignment="1" applyProtection="1">
      <alignment vertical="center"/>
      <protection locked="0"/>
    </xf>
    <xf numFmtId="191" fontId="0" fillId="41" borderId="51" xfId="10" applyNumberFormat="1" applyFont="1" applyFill="1" applyBorder="1" applyAlignment="1" applyProtection="1">
      <alignment vertical="center"/>
      <protection locked="0"/>
    </xf>
    <xf numFmtId="191" fontId="0" fillId="41" borderId="32" xfId="10" applyNumberFormat="1" applyFont="1" applyFill="1" applyBorder="1" applyAlignment="1" applyProtection="1">
      <alignment vertical="center"/>
      <protection locked="0"/>
    </xf>
    <xf numFmtId="191" fontId="0" fillId="41" borderId="38" xfId="10" applyNumberFormat="1" applyFont="1" applyFill="1" applyBorder="1" applyAlignment="1" applyProtection="1">
      <alignment vertical="center"/>
      <protection locked="0"/>
    </xf>
    <xf numFmtId="9" fontId="0" fillId="41" borderId="99" xfId="0" applyNumberFormat="1" applyFont="1" applyFill="1" applyBorder="1" applyAlignment="1" applyProtection="1">
      <alignment vertical="center"/>
      <protection locked="0"/>
    </xf>
    <xf numFmtId="9" fontId="0" fillId="41" borderId="60" xfId="0" applyNumberFormat="1" applyFont="1" applyFill="1" applyBorder="1" applyAlignment="1" applyProtection="1">
      <alignment vertical="center"/>
      <protection locked="0"/>
    </xf>
    <xf numFmtId="0" fontId="0" fillId="41" borderId="94" xfId="0" applyFont="1" applyFill="1" applyBorder="1" applyAlignment="1" applyProtection="1">
      <alignment horizontal="justify" vertical="center" wrapText="1"/>
      <protection locked="0"/>
    </xf>
    <xf numFmtId="9" fontId="0" fillId="41" borderId="11" xfId="0" applyNumberFormat="1" applyFont="1" applyFill="1" applyBorder="1" applyAlignment="1" applyProtection="1">
      <alignment vertical="center"/>
      <protection locked="0"/>
    </xf>
    <xf numFmtId="9" fontId="0" fillId="41" borderId="184" xfId="5" applyFont="1" applyFill="1" applyBorder="1" applyAlignment="1" applyProtection="1">
      <alignment vertical="center"/>
      <protection locked="0"/>
    </xf>
    <xf numFmtId="9" fontId="0" fillId="41" borderId="184" xfId="0" applyNumberFormat="1" applyFont="1" applyFill="1" applyBorder="1" applyAlignment="1" applyProtection="1">
      <alignment vertical="center"/>
      <protection locked="0"/>
    </xf>
    <xf numFmtId="9" fontId="0" fillId="41" borderId="179" xfId="0" applyNumberFormat="1" applyFont="1" applyFill="1" applyBorder="1" applyAlignment="1" applyProtection="1">
      <alignment vertical="center"/>
      <protection locked="0"/>
    </xf>
    <xf numFmtId="191" fontId="0" fillId="41" borderId="48" xfId="10" applyNumberFormat="1" applyFont="1" applyFill="1" applyBorder="1" applyAlignment="1" applyProtection="1">
      <alignment vertical="center"/>
      <protection locked="0"/>
    </xf>
    <xf numFmtId="191" fontId="0" fillId="41" borderId="11" xfId="10" applyNumberFormat="1" applyFont="1" applyFill="1" applyBorder="1" applyAlignment="1" applyProtection="1">
      <alignment vertical="center"/>
      <protection locked="0"/>
    </xf>
    <xf numFmtId="191" fontId="0" fillId="41" borderId="184" xfId="10" applyNumberFormat="1" applyFont="1" applyFill="1" applyBorder="1" applyAlignment="1" applyProtection="1">
      <alignment vertical="center"/>
      <protection locked="0"/>
    </xf>
    <xf numFmtId="191" fontId="0" fillId="41" borderId="179" xfId="10" applyNumberFormat="1" applyFont="1" applyFill="1" applyBorder="1" applyAlignment="1" applyProtection="1">
      <alignment vertical="center"/>
      <protection locked="0"/>
    </xf>
    <xf numFmtId="9" fontId="0" fillId="41" borderId="48" xfId="0" applyNumberFormat="1" applyFont="1" applyFill="1" applyBorder="1" applyAlignment="1" applyProtection="1">
      <alignment vertical="center"/>
      <protection locked="0"/>
    </xf>
    <xf numFmtId="9" fontId="0" fillId="41" borderId="46" xfId="0" applyNumberFormat="1" applyFont="1" applyFill="1" applyBorder="1" applyAlignment="1" applyProtection="1">
      <alignment vertical="center"/>
      <protection locked="0"/>
    </xf>
    <xf numFmtId="0" fontId="0" fillId="41" borderId="11" xfId="0" applyFont="1" applyFill="1" applyBorder="1" applyAlignment="1" applyProtection="1">
      <alignment horizontal="center" vertical="center" wrapText="1"/>
      <protection locked="0"/>
    </xf>
    <xf numFmtId="0" fontId="0" fillId="41" borderId="11" xfId="0" applyFont="1" applyFill="1" applyBorder="1" applyAlignment="1" applyProtection="1">
      <alignment vertical="center" wrapText="1"/>
      <protection locked="0"/>
    </xf>
    <xf numFmtId="0" fontId="0" fillId="41" borderId="184" xfId="0" applyFont="1" applyFill="1" applyBorder="1" applyAlignment="1" applyProtection="1">
      <alignment vertical="center" wrapText="1"/>
      <protection locked="0"/>
    </xf>
    <xf numFmtId="0" fontId="0" fillId="41" borderId="179" xfId="0" applyFont="1" applyFill="1" applyBorder="1" applyAlignment="1" applyProtection="1">
      <alignment vertical="center" wrapText="1"/>
      <protection locked="0"/>
    </xf>
    <xf numFmtId="0" fontId="0" fillId="41" borderId="48" xfId="0" applyFont="1" applyFill="1" applyBorder="1" applyAlignment="1" applyProtection="1">
      <alignment vertical="center" wrapText="1"/>
      <protection locked="0"/>
    </xf>
    <xf numFmtId="0" fontId="0" fillId="41" borderId="46" xfId="0" applyFont="1" applyFill="1" applyBorder="1" applyAlignment="1" applyProtection="1">
      <alignment vertical="center" wrapText="1"/>
      <protection locked="0"/>
    </xf>
    <xf numFmtId="0" fontId="0" fillId="41" borderId="46" xfId="0" applyFont="1" applyFill="1" applyBorder="1" applyAlignment="1" applyProtection="1">
      <alignment horizontal="center" vertical="center" wrapText="1"/>
      <protection locked="0"/>
    </xf>
    <xf numFmtId="0" fontId="0" fillId="41" borderId="155" xfId="0" applyFont="1" applyFill="1" applyBorder="1" applyAlignment="1" applyProtection="1">
      <alignment horizontal="center" vertical="center" wrapText="1"/>
      <protection locked="0"/>
    </xf>
    <xf numFmtId="9" fontId="0" fillId="41" borderId="184" xfId="5" applyFont="1" applyFill="1" applyBorder="1" applyAlignment="1" applyProtection="1">
      <alignment horizontal="center" vertical="center" wrapText="1"/>
      <protection locked="0"/>
    </xf>
    <xf numFmtId="0" fontId="0" fillId="41" borderId="184" xfId="0" applyFont="1" applyFill="1" applyBorder="1" applyAlignment="1" applyProtection="1">
      <alignment horizontal="center" vertical="center" wrapText="1"/>
      <protection locked="0"/>
    </xf>
    <xf numFmtId="0" fontId="0" fillId="41" borderId="179" xfId="0" applyFont="1" applyFill="1" applyBorder="1" applyAlignment="1" applyProtection="1">
      <alignment horizontal="center" vertical="center" wrapText="1"/>
      <protection locked="0"/>
    </xf>
    <xf numFmtId="191" fontId="0" fillId="41" borderId="48" xfId="10" applyNumberFormat="1" applyFont="1" applyFill="1" applyBorder="1" applyAlignment="1" applyProtection="1">
      <alignment horizontal="center" vertical="center" wrapText="1"/>
      <protection locked="0"/>
    </xf>
    <xf numFmtId="191" fontId="0" fillId="41" borderId="11" xfId="10" applyNumberFormat="1" applyFont="1" applyFill="1" applyBorder="1" applyAlignment="1" applyProtection="1">
      <alignment horizontal="center" vertical="center" wrapText="1"/>
      <protection locked="0"/>
    </xf>
    <xf numFmtId="191" fontId="0" fillId="41" borderId="184" xfId="10" applyNumberFormat="1" applyFont="1" applyFill="1" applyBorder="1" applyAlignment="1" applyProtection="1">
      <alignment horizontal="center" vertical="center" wrapText="1"/>
      <protection locked="0"/>
    </xf>
    <xf numFmtId="191" fontId="0" fillId="41" borderId="179" xfId="10" applyNumberFormat="1" applyFont="1" applyFill="1" applyBorder="1" applyAlignment="1" applyProtection="1">
      <alignment horizontal="center" vertical="center" wrapText="1"/>
      <protection locked="0"/>
    </xf>
    <xf numFmtId="0" fontId="0" fillId="41" borderId="48" xfId="0" applyFont="1" applyFill="1" applyBorder="1" applyAlignment="1" applyProtection="1">
      <alignment horizontal="center" vertical="center" wrapText="1"/>
      <protection locked="0"/>
    </xf>
    <xf numFmtId="0" fontId="0" fillId="41" borderId="159" xfId="0" applyFont="1" applyFill="1" applyBorder="1" applyAlignment="1" applyProtection="1">
      <alignment horizontal="justify" vertical="center" wrapText="1"/>
      <protection locked="0"/>
    </xf>
    <xf numFmtId="0" fontId="0" fillId="41" borderId="29" xfId="0" applyFont="1" applyFill="1" applyBorder="1" applyAlignment="1" applyProtection="1">
      <alignment vertical="center" wrapText="1"/>
      <protection locked="0"/>
    </xf>
    <xf numFmtId="0" fontId="0" fillId="41" borderId="30" xfId="0" applyFont="1" applyFill="1" applyBorder="1" applyAlignment="1" applyProtection="1">
      <alignment vertical="center" wrapText="1"/>
      <protection locked="0"/>
    </xf>
    <xf numFmtId="0" fontId="0" fillId="41" borderId="66" xfId="0" applyFont="1" applyFill="1" applyBorder="1" applyAlignment="1" applyProtection="1">
      <alignment vertical="center" wrapText="1"/>
      <protection locked="0"/>
    </xf>
    <xf numFmtId="0" fontId="0" fillId="41" borderId="50" xfId="0" applyFont="1" applyFill="1" applyBorder="1" applyAlignment="1" applyProtection="1">
      <alignment vertical="center" wrapText="1"/>
      <protection locked="0"/>
    </xf>
    <xf numFmtId="0" fontId="0" fillId="41" borderId="177" xfId="0" applyFont="1" applyFill="1" applyBorder="1" applyAlignment="1" applyProtection="1">
      <alignment vertical="center" wrapText="1"/>
      <protection locked="0"/>
    </xf>
    <xf numFmtId="0" fontId="0" fillId="43" borderId="24" xfId="0" applyFont="1" applyFill="1" applyBorder="1" applyAlignment="1" applyProtection="1">
      <alignment horizontal="center"/>
      <protection locked="0"/>
    </xf>
    <xf numFmtId="0" fontId="0" fillId="43" borderId="40" xfId="0" applyFont="1" applyFill="1" applyBorder="1" applyAlignment="1" applyProtection="1">
      <alignment horizontal="center"/>
      <protection locked="0"/>
    </xf>
    <xf numFmtId="0" fontId="0" fillId="43" borderId="9" xfId="0" applyFont="1" applyFill="1" applyBorder="1" applyAlignment="1" applyProtection="1">
      <alignment horizontal="justify" vertical="center" wrapText="1"/>
      <protection locked="0"/>
    </xf>
    <xf numFmtId="0" fontId="0" fillId="43" borderId="51" xfId="0" applyFont="1" applyFill="1" applyBorder="1" applyAlignment="1" applyProtection="1">
      <alignment vertical="top" wrapText="1"/>
      <protection locked="0"/>
    </xf>
    <xf numFmtId="9" fontId="0" fillId="43" borderId="32" xfId="5" applyFont="1" applyFill="1" applyBorder="1" applyAlignment="1" applyProtection="1">
      <alignment vertical="top" wrapText="1"/>
      <protection locked="0"/>
    </xf>
    <xf numFmtId="0" fontId="0" fillId="43" borderId="32" xfId="0" applyFont="1" applyFill="1" applyBorder="1" applyAlignment="1" applyProtection="1">
      <alignment vertical="top" wrapText="1"/>
      <protection locked="0"/>
    </xf>
    <xf numFmtId="0" fontId="0" fillId="43" borderId="38" xfId="0" applyFont="1" applyFill="1" applyBorder="1" applyAlignment="1" applyProtection="1">
      <alignment vertical="top" wrapText="1"/>
      <protection locked="0"/>
    </xf>
    <xf numFmtId="191" fontId="0" fillId="43" borderId="99" xfId="10" applyNumberFormat="1" applyFont="1" applyFill="1" applyBorder="1" applyAlignment="1" applyProtection="1">
      <alignment vertical="top" wrapText="1"/>
      <protection locked="0"/>
    </xf>
    <xf numFmtId="191" fontId="0" fillId="43" borderId="51" xfId="10" applyNumberFormat="1" applyFont="1" applyFill="1" applyBorder="1" applyAlignment="1" applyProtection="1">
      <alignment vertical="top" wrapText="1"/>
      <protection locked="0"/>
    </xf>
    <xf numFmtId="191" fontId="0" fillId="43" borderId="32" xfId="10" applyNumberFormat="1" applyFont="1" applyFill="1" applyBorder="1" applyAlignment="1" applyProtection="1">
      <alignment vertical="top" wrapText="1"/>
      <protection locked="0"/>
    </xf>
    <xf numFmtId="191" fontId="0" fillId="43" borderId="38" xfId="10" applyNumberFormat="1" applyFont="1" applyFill="1" applyBorder="1" applyAlignment="1" applyProtection="1">
      <alignment vertical="top" wrapText="1"/>
      <protection locked="0"/>
    </xf>
    <xf numFmtId="0" fontId="0" fillId="43" borderId="99" xfId="0" applyFont="1" applyFill="1" applyBorder="1" applyAlignment="1" applyProtection="1">
      <alignment vertical="top" wrapText="1"/>
      <protection locked="0"/>
    </xf>
    <xf numFmtId="0" fontId="0" fillId="43" borderId="60" xfId="0" applyFont="1" applyFill="1" applyBorder="1" applyAlignment="1" applyProtection="1">
      <alignment vertical="top" wrapText="1"/>
      <protection locked="0"/>
    </xf>
    <xf numFmtId="0" fontId="0" fillId="43" borderId="94" xfId="0" applyFont="1" applyFill="1" applyBorder="1" applyAlignment="1" applyProtection="1">
      <alignment horizontal="justify" vertical="center" wrapText="1"/>
      <protection locked="0"/>
    </xf>
    <xf numFmtId="0" fontId="0" fillId="43" borderId="11" xfId="0" applyFont="1" applyFill="1" applyBorder="1" applyAlignment="1" applyProtection="1">
      <alignment vertical="top" wrapText="1"/>
      <protection locked="0"/>
    </xf>
    <xf numFmtId="9" fontId="0" fillId="43" borderId="184" xfId="5" applyFont="1" applyFill="1" applyBorder="1" applyAlignment="1" applyProtection="1">
      <alignment vertical="top" wrapText="1"/>
      <protection locked="0"/>
    </xf>
    <xf numFmtId="0" fontId="0" fillId="43" borderId="184" xfId="0" applyFont="1" applyFill="1" applyBorder="1" applyAlignment="1" applyProtection="1">
      <alignment vertical="top" wrapText="1"/>
      <protection locked="0"/>
    </xf>
    <xf numFmtId="0" fontId="0" fillId="43" borderId="179" xfId="0" applyFont="1" applyFill="1" applyBorder="1" applyAlignment="1" applyProtection="1">
      <alignment vertical="top" wrapText="1"/>
      <protection locked="0"/>
    </xf>
    <xf numFmtId="191" fontId="0" fillId="43" borderId="48" xfId="10" applyNumberFormat="1" applyFont="1" applyFill="1" applyBorder="1" applyAlignment="1" applyProtection="1">
      <alignment vertical="top" wrapText="1"/>
      <protection locked="0"/>
    </xf>
    <xf numFmtId="191" fontId="0" fillId="43" borderId="11" xfId="10" applyNumberFormat="1" applyFont="1" applyFill="1" applyBorder="1" applyAlignment="1" applyProtection="1">
      <alignment vertical="top" wrapText="1"/>
      <protection locked="0"/>
    </xf>
    <xf numFmtId="191" fontId="0" fillId="43" borderId="184" xfId="10" applyNumberFormat="1" applyFont="1" applyFill="1" applyBorder="1" applyAlignment="1" applyProtection="1">
      <alignment vertical="top" wrapText="1"/>
      <protection locked="0"/>
    </xf>
    <xf numFmtId="191" fontId="0" fillId="43" borderId="179" xfId="10" applyNumberFormat="1" applyFont="1" applyFill="1" applyBorder="1" applyAlignment="1" applyProtection="1">
      <alignment vertical="top" wrapText="1"/>
      <protection locked="0"/>
    </xf>
    <xf numFmtId="0" fontId="0" fillId="43" borderId="48" xfId="0" applyFont="1" applyFill="1" applyBorder="1" applyAlignment="1" applyProtection="1">
      <alignment vertical="top" wrapText="1"/>
      <protection locked="0"/>
    </xf>
    <xf numFmtId="0" fontId="0" fillId="43" borderId="46" xfId="0" applyFont="1" applyFill="1" applyBorder="1" applyAlignment="1" applyProtection="1">
      <alignment vertical="top" wrapText="1"/>
      <protection locked="0"/>
    </xf>
    <xf numFmtId="0" fontId="0" fillId="43" borderId="11" xfId="0" applyFont="1" applyFill="1" applyBorder="1" applyAlignment="1" applyProtection="1">
      <alignment horizontal="left" vertical="top" wrapText="1"/>
      <protection locked="0"/>
    </xf>
    <xf numFmtId="9" fontId="0" fillId="43" borderId="184" xfId="5" applyFont="1" applyFill="1" applyBorder="1" applyAlignment="1" applyProtection="1">
      <alignment horizontal="left" vertical="top" wrapText="1"/>
      <protection locked="0"/>
    </xf>
    <xf numFmtId="0" fontId="0" fillId="43" borderId="184" xfId="0" applyFont="1" applyFill="1" applyBorder="1" applyAlignment="1" applyProtection="1">
      <alignment horizontal="left" vertical="top" wrapText="1"/>
      <protection locked="0"/>
    </xf>
    <xf numFmtId="0" fontId="0" fillId="43" borderId="179" xfId="0" applyFont="1" applyFill="1" applyBorder="1" applyAlignment="1" applyProtection="1">
      <alignment horizontal="left" vertical="top" wrapText="1"/>
      <protection locked="0"/>
    </xf>
    <xf numFmtId="191" fontId="0" fillId="43" borderId="48" xfId="10" applyNumberFormat="1" applyFont="1" applyFill="1" applyBorder="1" applyAlignment="1" applyProtection="1">
      <alignment horizontal="left" vertical="top" wrapText="1"/>
      <protection locked="0"/>
    </xf>
    <xf numFmtId="191" fontId="0" fillId="43" borderId="11" xfId="10" applyNumberFormat="1" applyFont="1" applyFill="1" applyBorder="1" applyAlignment="1" applyProtection="1">
      <alignment horizontal="left" vertical="top" wrapText="1"/>
      <protection locked="0"/>
    </xf>
    <xf numFmtId="191" fontId="0" fillId="43" borderId="184" xfId="10" applyNumberFormat="1" applyFont="1" applyFill="1" applyBorder="1" applyAlignment="1" applyProtection="1">
      <alignment horizontal="left" vertical="top" wrapText="1"/>
      <protection locked="0"/>
    </xf>
    <xf numFmtId="191" fontId="0" fillId="43" borderId="179" xfId="10" applyNumberFormat="1" applyFont="1" applyFill="1" applyBorder="1" applyAlignment="1" applyProtection="1">
      <alignment horizontal="left" vertical="top" wrapText="1"/>
      <protection locked="0"/>
    </xf>
    <xf numFmtId="0" fontId="0" fillId="43" borderId="48" xfId="0" applyFont="1" applyFill="1" applyBorder="1" applyAlignment="1" applyProtection="1">
      <alignment horizontal="left" vertical="top" wrapText="1"/>
      <protection locked="0"/>
    </xf>
    <xf numFmtId="0" fontId="0" fillId="43" borderId="46" xfId="0" applyFont="1" applyFill="1" applyBorder="1" applyAlignment="1" applyProtection="1">
      <alignment horizontal="left" vertical="top" wrapText="1"/>
      <protection locked="0"/>
    </xf>
    <xf numFmtId="0" fontId="0" fillId="43" borderId="11" xfId="0" applyFont="1" applyFill="1" applyBorder="1" applyAlignment="1" applyProtection="1">
      <alignment horizontal="center" vertical="top" wrapText="1"/>
      <protection locked="0"/>
    </xf>
    <xf numFmtId="9" fontId="0" fillId="43" borderId="184" xfId="5" applyFont="1" applyFill="1" applyBorder="1" applyAlignment="1" applyProtection="1">
      <alignment horizontal="center" vertical="top" wrapText="1"/>
      <protection locked="0"/>
    </xf>
    <xf numFmtId="0" fontId="0" fillId="43" borderId="184" xfId="0" applyFont="1" applyFill="1" applyBorder="1" applyAlignment="1" applyProtection="1">
      <alignment horizontal="center" vertical="top" wrapText="1"/>
      <protection locked="0"/>
    </xf>
    <xf numFmtId="0" fontId="0" fillId="43" borderId="179" xfId="0" applyFont="1" applyFill="1" applyBorder="1" applyAlignment="1" applyProtection="1">
      <alignment horizontal="center" vertical="top" wrapText="1"/>
      <protection locked="0"/>
    </xf>
    <xf numFmtId="191" fontId="0" fillId="43" borderId="48" xfId="10" applyNumberFormat="1" applyFont="1" applyFill="1" applyBorder="1" applyAlignment="1" applyProtection="1">
      <alignment horizontal="center" vertical="top" wrapText="1"/>
      <protection locked="0"/>
    </xf>
    <xf numFmtId="191" fontId="0" fillId="43" borderId="11" xfId="10" applyNumberFormat="1" applyFont="1" applyFill="1" applyBorder="1" applyAlignment="1" applyProtection="1">
      <alignment horizontal="center" vertical="top" wrapText="1"/>
      <protection locked="0"/>
    </xf>
    <xf numFmtId="191" fontId="0" fillId="43" borderId="184" xfId="10" applyNumberFormat="1" applyFont="1" applyFill="1" applyBorder="1" applyAlignment="1" applyProtection="1">
      <alignment horizontal="center" vertical="top" wrapText="1"/>
      <protection locked="0"/>
    </xf>
    <xf numFmtId="191" fontId="0" fillId="43" borderId="179" xfId="10" applyNumberFormat="1" applyFont="1" applyFill="1" applyBorder="1" applyAlignment="1" applyProtection="1">
      <alignment horizontal="center" vertical="top" wrapText="1"/>
      <protection locked="0"/>
    </xf>
    <xf numFmtId="0" fontId="0" fillId="43" borderId="48" xfId="0" applyFont="1" applyFill="1" applyBorder="1" applyAlignment="1" applyProtection="1">
      <alignment horizontal="center" vertical="top" wrapText="1"/>
      <protection locked="0"/>
    </xf>
    <xf numFmtId="0" fontId="0" fillId="43" borderId="46" xfId="0" applyFont="1" applyFill="1" applyBorder="1" applyAlignment="1" applyProtection="1">
      <alignment horizontal="center" vertical="top" wrapText="1"/>
      <protection locked="0"/>
    </xf>
    <xf numFmtId="0" fontId="0" fillId="43" borderId="43" xfId="0" applyFont="1" applyFill="1" applyBorder="1" applyAlignment="1" applyProtection="1">
      <alignment horizontal="center"/>
      <protection locked="0"/>
    </xf>
    <xf numFmtId="0" fontId="0" fillId="43" borderId="64" xfId="0" applyFont="1" applyFill="1" applyBorder="1" applyAlignment="1" applyProtection="1">
      <alignment horizontal="center"/>
      <protection locked="0"/>
    </xf>
    <xf numFmtId="0" fontId="0" fillId="43" borderId="31" xfId="0" applyFont="1" applyFill="1" applyBorder="1" applyAlignment="1" applyProtection="1">
      <alignment horizontal="justify" vertical="center" wrapText="1"/>
      <protection locked="0"/>
    </xf>
    <xf numFmtId="0" fontId="0" fillId="43" borderId="29" xfId="0" applyFont="1" applyFill="1" applyBorder="1" applyAlignment="1" applyProtection="1">
      <alignment vertical="top" wrapText="1"/>
      <protection locked="0"/>
    </xf>
    <xf numFmtId="9" fontId="0" fillId="43" borderId="30" xfId="5" applyFont="1" applyFill="1" applyBorder="1" applyAlignment="1" applyProtection="1">
      <alignment vertical="top" wrapText="1"/>
      <protection locked="0"/>
    </xf>
    <xf numFmtId="0" fontId="0" fillId="43" borderId="30" xfId="0" applyFont="1" applyFill="1" applyBorder="1" applyAlignment="1" applyProtection="1">
      <alignment vertical="top" wrapText="1"/>
      <protection locked="0"/>
    </xf>
    <xf numFmtId="0" fontId="0" fillId="43" borderId="66" xfId="0" applyFont="1" applyFill="1" applyBorder="1" applyAlignment="1" applyProtection="1">
      <alignment vertical="top" wrapText="1"/>
      <protection locked="0"/>
    </xf>
    <xf numFmtId="191" fontId="0" fillId="43" borderId="50" xfId="10" applyNumberFormat="1" applyFont="1" applyFill="1" applyBorder="1" applyAlignment="1" applyProtection="1">
      <alignment vertical="top" wrapText="1"/>
      <protection locked="0"/>
    </xf>
    <xf numFmtId="191" fontId="0" fillId="43" borderId="29" xfId="10" applyNumberFormat="1" applyFont="1" applyFill="1" applyBorder="1" applyAlignment="1" applyProtection="1">
      <alignment vertical="top" wrapText="1"/>
      <protection locked="0"/>
    </xf>
    <xf numFmtId="191" fontId="0" fillId="43" borderId="30" xfId="10" applyNumberFormat="1" applyFont="1" applyFill="1" applyBorder="1" applyAlignment="1" applyProtection="1">
      <alignment vertical="top" wrapText="1"/>
      <protection locked="0"/>
    </xf>
    <xf numFmtId="191" fontId="0" fillId="43" borderId="66" xfId="10" applyNumberFormat="1" applyFont="1" applyFill="1" applyBorder="1" applyAlignment="1" applyProtection="1">
      <alignment vertical="top" wrapText="1"/>
      <protection locked="0"/>
    </xf>
    <xf numFmtId="0" fontId="0" fillId="43" borderId="50" xfId="0" applyFont="1" applyFill="1" applyBorder="1" applyAlignment="1" applyProtection="1">
      <alignment vertical="top" wrapText="1"/>
      <protection locked="0"/>
    </xf>
    <xf numFmtId="0" fontId="0" fillId="43" borderId="177" xfId="0" applyFont="1" applyFill="1" applyBorder="1" applyAlignment="1" applyProtection="1">
      <alignment vertical="top" wrapText="1"/>
      <protection locked="0"/>
    </xf>
    <xf numFmtId="0" fontId="0" fillId="51" borderId="60" xfId="0" applyFont="1" applyFill="1" applyBorder="1" applyAlignment="1" applyProtection="1">
      <alignment horizontal="center" vertical="center" wrapText="1"/>
      <protection locked="0"/>
    </xf>
    <xf numFmtId="0" fontId="0" fillId="51" borderId="100" xfId="0" applyFont="1" applyFill="1" applyBorder="1" applyAlignment="1" applyProtection="1">
      <alignment horizontal="center" vertical="center" wrapText="1"/>
      <protection locked="0"/>
    </xf>
    <xf numFmtId="0" fontId="0" fillId="51" borderId="9" xfId="0" applyFont="1" applyFill="1" applyBorder="1" applyAlignment="1" applyProtection="1">
      <alignment horizontal="justify" vertical="center" wrapText="1"/>
      <protection locked="0"/>
    </xf>
    <xf numFmtId="0" fontId="0" fillId="51" borderId="51" xfId="0" applyFont="1" applyFill="1" applyBorder="1" applyAlignment="1" applyProtection="1">
      <alignment horizontal="left" vertical="top" wrapText="1"/>
      <protection locked="0"/>
    </xf>
    <xf numFmtId="9" fontId="0" fillId="51" borderId="32" xfId="5" applyFont="1" applyFill="1" applyBorder="1" applyAlignment="1" applyProtection="1">
      <alignment horizontal="left" vertical="top" wrapText="1"/>
      <protection locked="0"/>
    </xf>
    <xf numFmtId="0" fontId="0" fillId="51" borderId="32" xfId="0" applyFont="1" applyFill="1" applyBorder="1" applyAlignment="1" applyProtection="1">
      <alignment horizontal="left" vertical="top" wrapText="1"/>
      <protection locked="0"/>
    </xf>
    <xf numFmtId="0" fontId="0" fillId="51" borderId="38" xfId="0" applyFont="1" applyFill="1" applyBorder="1" applyAlignment="1" applyProtection="1">
      <alignment horizontal="left" vertical="top" wrapText="1"/>
      <protection locked="0"/>
    </xf>
    <xf numFmtId="191" fontId="0" fillId="51" borderId="99" xfId="10" applyNumberFormat="1" applyFont="1" applyFill="1" applyBorder="1" applyAlignment="1" applyProtection="1">
      <alignment horizontal="left" vertical="top" wrapText="1"/>
      <protection locked="0"/>
    </xf>
    <xf numFmtId="191" fontId="0" fillId="51" borderId="51" xfId="10" applyNumberFormat="1" applyFont="1" applyFill="1" applyBorder="1" applyAlignment="1" applyProtection="1">
      <alignment horizontal="left" vertical="top" wrapText="1"/>
      <protection locked="0"/>
    </xf>
    <xf numFmtId="191" fontId="0" fillId="51" borderId="32" xfId="10" applyNumberFormat="1" applyFont="1" applyFill="1" applyBorder="1" applyAlignment="1" applyProtection="1">
      <alignment horizontal="left" vertical="top" wrapText="1"/>
      <protection locked="0"/>
    </xf>
    <xf numFmtId="191" fontId="0" fillId="51" borderId="38" xfId="10" applyNumberFormat="1" applyFont="1" applyFill="1" applyBorder="1" applyAlignment="1" applyProtection="1">
      <alignment horizontal="left" vertical="top" wrapText="1"/>
      <protection locked="0"/>
    </xf>
    <xf numFmtId="0" fontId="0" fillId="51" borderId="99" xfId="0" applyFont="1" applyFill="1" applyBorder="1" applyAlignment="1" applyProtection="1">
      <alignment horizontal="left" vertical="top" wrapText="1"/>
      <protection locked="0"/>
    </xf>
    <xf numFmtId="0" fontId="0" fillId="51" borderId="60" xfId="0" applyFont="1" applyFill="1" applyBorder="1" applyAlignment="1" applyProtection="1">
      <alignment horizontal="left" vertical="top" wrapText="1"/>
      <protection locked="0"/>
    </xf>
    <xf numFmtId="0" fontId="0" fillId="51" borderId="46" xfId="0" applyFont="1" applyFill="1" applyBorder="1" applyAlignment="1" applyProtection="1">
      <alignment horizontal="center" vertical="center" wrapText="1"/>
      <protection locked="0"/>
    </xf>
    <xf numFmtId="0" fontId="0" fillId="51" borderId="155" xfId="0" applyFont="1" applyFill="1" applyBorder="1" applyAlignment="1" applyProtection="1">
      <alignment horizontal="center" vertical="center" wrapText="1"/>
      <protection locked="0"/>
    </xf>
    <xf numFmtId="0" fontId="0" fillId="51" borderId="94" xfId="0" applyFont="1" applyFill="1" applyBorder="1" applyAlignment="1" applyProtection="1">
      <alignment horizontal="justify" vertical="center" wrapText="1"/>
      <protection locked="0"/>
    </xf>
    <xf numFmtId="0" fontId="0" fillId="51" borderId="11" xfId="0" applyFont="1" applyFill="1" applyBorder="1" applyAlignment="1" applyProtection="1">
      <alignment horizontal="left" vertical="top" wrapText="1"/>
      <protection locked="0"/>
    </xf>
    <xf numFmtId="9" fontId="0" fillId="51" borderId="184" xfId="5" applyFont="1" applyFill="1" applyBorder="1" applyAlignment="1" applyProtection="1">
      <alignment horizontal="left" vertical="top" wrapText="1"/>
      <protection locked="0"/>
    </xf>
    <xf numFmtId="0" fontId="0" fillId="51" borderId="184" xfId="0" applyFont="1" applyFill="1" applyBorder="1" applyAlignment="1" applyProtection="1">
      <alignment horizontal="left" vertical="top" wrapText="1"/>
      <protection locked="0"/>
    </xf>
    <xf numFmtId="0" fontId="0" fillId="51" borderId="179" xfId="0" applyFont="1" applyFill="1" applyBorder="1" applyAlignment="1" applyProtection="1">
      <alignment horizontal="left" vertical="top" wrapText="1"/>
      <protection locked="0"/>
    </xf>
    <xf numFmtId="191" fontId="0" fillId="51" borderId="48" xfId="10" applyNumberFormat="1" applyFont="1" applyFill="1" applyBorder="1" applyAlignment="1" applyProtection="1">
      <alignment horizontal="left" vertical="top" wrapText="1"/>
      <protection locked="0"/>
    </xf>
    <xf numFmtId="191" fontId="0" fillId="51" borderId="11" xfId="10" applyNumberFormat="1" applyFont="1" applyFill="1" applyBorder="1" applyAlignment="1" applyProtection="1">
      <alignment horizontal="left" vertical="top" wrapText="1"/>
      <protection locked="0"/>
    </xf>
    <xf numFmtId="191" fontId="0" fillId="51" borderId="184" xfId="10" applyNumberFormat="1" applyFont="1" applyFill="1" applyBorder="1" applyAlignment="1" applyProtection="1">
      <alignment horizontal="left" vertical="top" wrapText="1"/>
      <protection locked="0"/>
    </xf>
    <xf numFmtId="191" fontId="0" fillId="51" borderId="179" xfId="10" applyNumberFormat="1" applyFont="1" applyFill="1" applyBorder="1" applyAlignment="1" applyProtection="1">
      <alignment horizontal="left" vertical="top" wrapText="1"/>
      <protection locked="0"/>
    </xf>
    <xf numFmtId="0" fontId="0" fillId="51" borderId="48" xfId="0" applyFont="1" applyFill="1" applyBorder="1" applyAlignment="1" applyProtection="1">
      <alignment horizontal="left" vertical="top" wrapText="1"/>
      <protection locked="0"/>
    </xf>
    <xf numFmtId="0" fontId="0" fillId="51" borderId="46" xfId="0" applyFont="1" applyFill="1" applyBorder="1" applyAlignment="1" applyProtection="1">
      <alignment horizontal="left" vertical="top" wrapText="1"/>
      <protection locked="0"/>
    </xf>
    <xf numFmtId="0" fontId="0" fillId="51" borderId="11" xfId="0" applyFont="1" applyFill="1" applyBorder="1" applyAlignment="1" applyProtection="1">
      <alignment vertical="top" wrapText="1"/>
      <protection locked="0"/>
    </xf>
    <xf numFmtId="9" fontId="0" fillId="51" borderId="184" xfId="5" applyFont="1" applyFill="1" applyBorder="1" applyAlignment="1" applyProtection="1">
      <alignment vertical="top" wrapText="1"/>
      <protection locked="0"/>
    </xf>
    <xf numFmtId="0" fontId="0" fillId="51" borderId="184" xfId="0" applyFont="1" applyFill="1" applyBorder="1" applyAlignment="1" applyProtection="1">
      <alignment vertical="top" wrapText="1"/>
      <protection locked="0"/>
    </xf>
    <xf numFmtId="0" fontId="0" fillId="51" borderId="179" xfId="0" applyFont="1" applyFill="1" applyBorder="1" applyAlignment="1" applyProtection="1">
      <alignment vertical="top" wrapText="1"/>
      <protection locked="0"/>
    </xf>
    <xf numFmtId="191" fontId="0" fillId="51" borderId="48" xfId="10" applyNumberFormat="1" applyFont="1" applyFill="1" applyBorder="1" applyAlignment="1" applyProtection="1">
      <alignment vertical="top" wrapText="1"/>
      <protection locked="0"/>
    </xf>
    <xf numFmtId="191" fontId="0" fillId="51" borderId="11" xfId="10" applyNumberFormat="1" applyFont="1" applyFill="1" applyBorder="1" applyAlignment="1" applyProtection="1">
      <alignment vertical="top" wrapText="1"/>
      <protection locked="0"/>
    </xf>
    <xf numFmtId="191" fontId="0" fillId="51" borderId="184" xfId="10" applyNumberFormat="1" applyFont="1" applyFill="1" applyBorder="1" applyAlignment="1" applyProtection="1">
      <alignment vertical="top" wrapText="1"/>
      <protection locked="0"/>
    </xf>
    <xf numFmtId="191" fontId="0" fillId="51" borderId="179" xfId="10" applyNumberFormat="1" applyFont="1" applyFill="1" applyBorder="1" applyAlignment="1" applyProtection="1">
      <alignment vertical="top" wrapText="1"/>
      <protection locked="0"/>
    </xf>
    <xf numFmtId="0" fontId="0" fillId="51" borderId="48" xfId="0" applyFont="1" applyFill="1" applyBorder="1" applyAlignment="1" applyProtection="1">
      <alignment vertical="top" wrapText="1"/>
      <protection locked="0"/>
    </xf>
    <xf numFmtId="0" fontId="0" fillId="51" borderId="46" xfId="0" applyFont="1" applyFill="1" applyBorder="1" applyAlignment="1" applyProtection="1">
      <alignment vertical="top" wrapText="1"/>
      <protection locked="0"/>
    </xf>
    <xf numFmtId="0" fontId="0" fillId="51" borderId="177" xfId="0" applyFont="1" applyFill="1" applyBorder="1" applyAlignment="1" applyProtection="1">
      <alignment horizontal="center" vertical="center" wrapText="1"/>
      <protection locked="0"/>
    </xf>
    <xf numFmtId="0" fontId="0" fillId="51" borderId="161" xfId="0" applyFont="1" applyFill="1" applyBorder="1" applyAlignment="1" applyProtection="1">
      <alignment horizontal="center" vertical="center" wrapText="1"/>
      <protection locked="0"/>
    </xf>
    <xf numFmtId="0" fontId="0" fillId="51" borderId="31" xfId="0" applyFont="1" applyFill="1" applyBorder="1" applyAlignment="1" applyProtection="1">
      <alignment horizontal="justify" vertical="center" wrapText="1"/>
      <protection locked="0"/>
    </xf>
    <xf numFmtId="0" fontId="0" fillId="51" borderId="29" xfId="0" applyFont="1" applyFill="1" applyBorder="1" applyAlignment="1" applyProtection="1">
      <alignment vertical="top" wrapText="1"/>
      <protection locked="0"/>
    </xf>
    <xf numFmtId="9" fontId="0" fillId="51" borderId="30" xfId="5" applyFont="1" applyFill="1" applyBorder="1" applyAlignment="1" applyProtection="1">
      <alignment vertical="top" wrapText="1"/>
      <protection locked="0"/>
    </xf>
    <xf numFmtId="0" fontId="0" fillId="51" borderId="30" xfId="0" applyFont="1" applyFill="1" applyBorder="1" applyAlignment="1" applyProtection="1">
      <alignment vertical="top" wrapText="1"/>
      <protection locked="0"/>
    </xf>
    <xf numFmtId="0" fontId="0" fillId="51" borderId="66" xfId="0" applyFont="1" applyFill="1" applyBorder="1" applyAlignment="1" applyProtection="1">
      <alignment vertical="top" wrapText="1"/>
      <protection locked="0"/>
    </xf>
    <xf numFmtId="191" fontId="0" fillId="51" borderId="50" xfId="10" applyNumberFormat="1" applyFont="1" applyFill="1" applyBorder="1" applyAlignment="1" applyProtection="1">
      <alignment vertical="top" wrapText="1"/>
      <protection locked="0"/>
    </xf>
    <xf numFmtId="191" fontId="0" fillId="51" borderId="29" xfId="10" applyNumberFormat="1" applyFont="1" applyFill="1" applyBorder="1" applyAlignment="1" applyProtection="1">
      <alignment vertical="top" wrapText="1"/>
      <protection locked="0"/>
    </xf>
    <xf numFmtId="191" fontId="0" fillId="51" borderId="30" xfId="10" applyNumberFormat="1" applyFont="1" applyFill="1" applyBorder="1" applyAlignment="1" applyProtection="1">
      <alignment vertical="top" wrapText="1"/>
      <protection locked="0"/>
    </xf>
    <xf numFmtId="191" fontId="0" fillId="51" borderId="66" xfId="10" applyNumberFormat="1" applyFont="1" applyFill="1" applyBorder="1" applyAlignment="1" applyProtection="1">
      <alignment vertical="top" wrapText="1"/>
      <protection locked="0"/>
    </xf>
    <xf numFmtId="0" fontId="0" fillId="51" borderId="50" xfId="0" applyFont="1" applyFill="1" applyBorder="1" applyAlignment="1" applyProtection="1">
      <alignment vertical="top" wrapText="1"/>
      <protection locked="0"/>
    </xf>
    <xf numFmtId="0" fontId="0" fillId="51" borderId="177" xfId="0" applyFont="1" applyFill="1" applyBorder="1" applyAlignment="1" applyProtection="1">
      <alignment vertical="top" wrapText="1"/>
      <protection locked="0"/>
    </xf>
    <xf numFmtId="0" fontId="0" fillId="29" borderId="60" xfId="0" applyFont="1" applyFill="1" applyBorder="1" applyAlignment="1" applyProtection="1">
      <alignment horizontal="center" vertical="center" wrapText="1"/>
      <protection locked="0"/>
    </xf>
    <xf numFmtId="0" fontId="0" fillId="29" borderId="100" xfId="0" applyFont="1" applyFill="1" applyBorder="1" applyAlignment="1" applyProtection="1">
      <alignment horizontal="center" vertical="center" wrapText="1"/>
      <protection locked="0"/>
    </xf>
    <xf numFmtId="0" fontId="0" fillId="29" borderId="51" xfId="0" applyFont="1" applyFill="1" applyBorder="1" applyAlignment="1" applyProtection="1">
      <alignment vertical="top" wrapText="1"/>
      <protection locked="0"/>
    </xf>
    <xf numFmtId="9" fontId="0" fillId="29" borderId="32" xfId="5" applyFont="1" applyFill="1" applyBorder="1" applyAlignment="1" applyProtection="1">
      <alignment vertical="top" wrapText="1"/>
      <protection locked="0"/>
    </xf>
    <xf numFmtId="0" fontId="0" fillId="29" borderId="32" xfId="0" applyFont="1" applyFill="1" applyBorder="1" applyAlignment="1" applyProtection="1">
      <alignment vertical="top" wrapText="1"/>
      <protection locked="0"/>
    </xf>
    <xf numFmtId="0" fontId="0" fillId="29" borderId="38" xfId="0" applyFont="1" applyFill="1" applyBorder="1" applyAlignment="1" applyProtection="1">
      <alignment vertical="top" wrapText="1"/>
      <protection locked="0"/>
    </xf>
    <xf numFmtId="191" fontId="0" fillId="29" borderId="99" xfId="10" applyNumberFormat="1" applyFont="1" applyFill="1" applyBorder="1" applyAlignment="1" applyProtection="1">
      <alignment vertical="top" wrapText="1"/>
      <protection locked="0"/>
    </xf>
    <xf numFmtId="191" fontId="0" fillId="29" borderId="51" xfId="10" applyNumberFormat="1" applyFont="1" applyFill="1" applyBorder="1" applyAlignment="1" applyProtection="1">
      <alignment vertical="top" wrapText="1"/>
      <protection locked="0"/>
    </xf>
    <xf numFmtId="191" fontId="0" fillId="29" borderId="32" xfId="10" applyNumberFormat="1" applyFont="1" applyFill="1" applyBorder="1" applyAlignment="1" applyProtection="1">
      <alignment vertical="top" wrapText="1"/>
      <protection locked="0"/>
    </xf>
    <xf numFmtId="191" fontId="0" fillId="29" borderId="38" xfId="10" applyNumberFormat="1" applyFont="1" applyFill="1" applyBorder="1" applyAlignment="1" applyProtection="1">
      <alignment vertical="top" wrapText="1"/>
      <protection locked="0"/>
    </xf>
    <xf numFmtId="0" fontId="0" fillId="29" borderId="99" xfId="0" applyFont="1" applyFill="1" applyBorder="1" applyAlignment="1" applyProtection="1">
      <alignment vertical="top" wrapText="1"/>
      <protection locked="0"/>
    </xf>
    <xf numFmtId="0" fontId="0" fillId="29" borderId="60" xfId="0" applyFont="1" applyFill="1" applyBorder="1" applyAlignment="1" applyProtection="1">
      <alignment vertical="top" wrapText="1"/>
      <protection locked="0"/>
    </xf>
    <xf numFmtId="0" fontId="0" fillId="29" borderId="155" xfId="0" applyFont="1" applyFill="1" applyBorder="1" applyAlignment="1" applyProtection="1">
      <alignment horizontal="center" vertical="center" wrapText="1"/>
      <protection locked="0"/>
    </xf>
    <xf numFmtId="0" fontId="0" fillId="29" borderId="11" xfId="0" applyFont="1" applyFill="1" applyBorder="1" applyAlignment="1" applyProtection="1">
      <alignment vertical="top" wrapText="1"/>
      <protection locked="0"/>
    </xf>
    <xf numFmtId="9" fontId="0" fillId="29" borderId="184" xfId="5" applyFont="1" applyFill="1" applyBorder="1" applyAlignment="1" applyProtection="1">
      <alignment vertical="top" wrapText="1"/>
      <protection locked="0"/>
    </xf>
    <xf numFmtId="0" fontId="0" fillId="29" borderId="184" xfId="0" applyFont="1" applyFill="1" applyBorder="1" applyAlignment="1" applyProtection="1">
      <alignment vertical="top" wrapText="1"/>
      <protection locked="0"/>
    </xf>
    <xf numFmtId="0" fontId="0" fillId="29" borderId="179" xfId="0" applyFont="1" applyFill="1" applyBorder="1" applyAlignment="1" applyProtection="1">
      <alignment vertical="top" wrapText="1"/>
      <protection locked="0"/>
    </xf>
    <xf numFmtId="191" fontId="0" fillId="29" borderId="48" xfId="10" applyNumberFormat="1" applyFont="1" applyFill="1" applyBorder="1" applyAlignment="1" applyProtection="1">
      <alignment vertical="top" wrapText="1"/>
      <protection locked="0"/>
    </xf>
    <xf numFmtId="191" fontId="0" fillId="29" borderId="11" xfId="10" applyNumberFormat="1" applyFont="1" applyFill="1" applyBorder="1" applyAlignment="1" applyProtection="1">
      <alignment vertical="top" wrapText="1"/>
      <protection locked="0"/>
    </xf>
    <xf numFmtId="191" fontId="0" fillId="29" borderId="184" xfId="10" applyNumberFormat="1" applyFont="1" applyFill="1" applyBorder="1" applyAlignment="1" applyProtection="1">
      <alignment vertical="top" wrapText="1"/>
      <protection locked="0"/>
    </xf>
    <xf numFmtId="191" fontId="0" fillId="29" borderId="179" xfId="10" applyNumberFormat="1" applyFont="1" applyFill="1" applyBorder="1" applyAlignment="1" applyProtection="1">
      <alignment vertical="top" wrapText="1"/>
      <protection locked="0"/>
    </xf>
    <xf numFmtId="0" fontId="0" fillId="29" borderId="48" xfId="0" applyFont="1" applyFill="1" applyBorder="1" applyAlignment="1" applyProtection="1">
      <alignment vertical="top" wrapText="1"/>
      <protection locked="0"/>
    </xf>
    <xf numFmtId="0" fontId="0" fillId="29" borderId="46" xfId="0" applyFont="1" applyFill="1" applyBorder="1" applyAlignment="1" applyProtection="1">
      <alignment vertical="top" wrapText="1"/>
      <protection locked="0"/>
    </xf>
    <xf numFmtId="0" fontId="0" fillId="29" borderId="11" xfId="0" applyFont="1" applyFill="1" applyBorder="1" applyAlignment="1" applyProtection="1">
      <alignment wrapText="1"/>
      <protection locked="0"/>
    </xf>
    <xf numFmtId="9" fontId="0" fillId="29" borderId="184" xfId="5" applyFont="1" applyFill="1" applyBorder="1" applyAlignment="1" applyProtection="1">
      <alignment wrapText="1"/>
      <protection locked="0"/>
    </xf>
    <xf numFmtId="0" fontId="0" fillId="29" borderId="184" xfId="0" applyFont="1" applyFill="1" applyBorder="1" applyAlignment="1" applyProtection="1">
      <alignment wrapText="1"/>
      <protection locked="0"/>
    </xf>
    <xf numFmtId="0" fontId="0" fillId="29" borderId="179" xfId="0" applyFont="1" applyFill="1" applyBorder="1" applyAlignment="1" applyProtection="1">
      <alignment wrapText="1"/>
      <protection locked="0"/>
    </xf>
    <xf numFmtId="191" fontId="0" fillId="29" borderId="48" xfId="10" applyNumberFormat="1" applyFont="1" applyFill="1" applyBorder="1" applyAlignment="1" applyProtection="1">
      <alignment wrapText="1"/>
      <protection locked="0"/>
    </xf>
    <xf numFmtId="191" fontId="0" fillId="29" borderId="11" xfId="10" applyNumberFormat="1" applyFont="1" applyFill="1" applyBorder="1" applyAlignment="1" applyProtection="1">
      <alignment wrapText="1"/>
      <protection locked="0"/>
    </xf>
    <xf numFmtId="191" fontId="0" fillId="29" borderId="184" xfId="10" applyNumberFormat="1" applyFont="1" applyFill="1" applyBorder="1" applyAlignment="1" applyProtection="1">
      <alignment wrapText="1"/>
      <protection locked="0"/>
    </xf>
    <xf numFmtId="191" fontId="0" fillId="29" borderId="179" xfId="10" applyNumberFormat="1" applyFont="1" applyFill="1" applyBorder="1" applyAlignment="1" applyProtection="1">
      <alignment wrapText="1"/>
      <protection locked="0"/>
    </xf>
    <xf numFmtId="0" fontId="0" fillId="29" borderId="48" xfId="0" applyFont="1" applyFill="1" applyBorder="1" applyAlignment="1" applyProtection="1">
      <alignment wrapText="1"/>
      <protection locked="0"/>
    </xf>
    <xf numFmtId="0" fontId="0" fillId="29" borderId="46" xfId="0" applyFont="1" applyFill="1" applyBorder="1" applyAlignment="1" applyProtection="1">
      <alignment wrapText="1"/>
      <protection locked="0"/>
    </xf>
    <xf numFmtId="0" fontId="0" fillId="29" borderId="161" xfId="0" applyFont="1" applyFill="1" applyBorder="1" applyAlignment="1" applyProtection="1">
      <alignment horizontal="center" vertical="center" wrapText="1"/>
      <protection locked="0"/>
    </xf>
    <xf numFmtId="0" fontId="0" fillId="29" borderId="29" xfId="0" applyFont="1" applyFill="1" applyBorder="1" applyAlignment="1" applyProtection="1">
      <alignment vertical="top" wrapText="1"/>
      <protection locked="0"/>
    </xf>
    <xf numFmtId="9" fontId="0" fillId="29" borderId="30" xfId="5" applyFont="1" applyFill="1" applyBorder="1" applyAlignment="1" applyProtection="1">
      <alignment vertical="top" wrapText="1"/>
      <protection locked="0"/>
    </xf>
    <xf numFmtId="0" fontId="0" fillId="29" borderId="30" xfId="0" applyFont="1" applyFill="1" applyBorder="1" applyAlignment="1" applyProtection="1">
      <alignment vertical="top" wrapText="1"/>
      <protection locked="0"/>
    </xf>
    <xf numFmtId="0" fontId="0" fillId="29" borderId="66" xfId="0" applyFont="1" applyFill="1" applyBorder="1" applyAlignment="1" applyProtection="1">
      <alignment vertical="top" wrapText="1"/>
      <protection locked="0"/>
    </xf>
    <xf numFmtId="191" fontId="0" fillId="29" borderId="50" xfId="10" applyNumberFormat="1" applyFont="1" applyFill="1" applyBorder="1" applyAlignment="1" applyProtection="1">
      <alignment vertical="top" wrapText="1"/>
      <protection locked="0"/>
    </xf>
    <xf numFmtId="191" fontId="0" fillId="29" borderId="29" xfId="10" applyNumberFormat="1" applyFont="1" applyFill="1" applyBorder="1" applyAlignment="1" applyProtection="1">
      <alignment vertical="top" wrapText="1"/>
      <protection locked="0"/>
    </xf>
    <xf numFmtId="191" fontId="0" fillId="29" borderId="30" xfId="10" applyNumberFormat="1" applyFont="1" applyFill="1" applyBorder="1" applyAlignment="1" applyProtection="1">
      <alignment vertical="top" wrapText="1"/>
      <protection locked="0"/>
    </xf>
    <xf numFmtId="191" fontId="0" fillId="29" borderId="66" xfId="10" applyNumberFormat="1" applyFont="1" applyFill="1" applyBorder="1" applyAlignment="1" applyProtection="1">
      <alignment vertical="top" wrapText="1"/>
      <protection locked="0"/>
    </xf>
    <xf numFmtId="0" fontId="0" fillId="29" borderId="50" xfId="0" applyFont="1" applyFill="1" applyBorder="1" applyAlignment="1" applyProtection="1">
      <alignment vertical="top" wrapText="1"/>
      <protection locked="0"/>
    </xf>
    <xf numFmtId="0" fontId="0" fillId="29" borderId="177" xfId="0" applyFont="1" applyFill="1" applyBorder="1" applyAlignment="1" applyProtection="1">
      <alignment vertical="top" wrapText="1"/>
      <protection locked="0"/>
    </xf>
    <xf numFmtId="0" fontId="0" fillId="42" borderId="60" xfId="0" applyFont="1" applyFill="1" applyBorder="1" applyAlignment="1" applyProtection="1">
      <alignment horizontal="center" vertical="center" wrapText="1"/>
      <protection locked="0"/>
    </xf>
    <xf numFmtId="0" fontId="0" fillId="42" borderId="100" xfId="0" applyFont="1" applyFill="1" applyBorder="1" applyAlignment="1" applyProtection="1">
      <alignment horizontal="center" vertical="center" wrapText="1"/>
      <protection locked="0"/>
    </xf>
    <xf numFmtId="0" fontId="0" fillId="42" borderId="52" xfId="0" applyFont="1" applyFill="1" applyBorder="1" applyAlignment="1" applyProtection="1">
      <alignment horizontal="justify" vertical="center" wrapText="1"/>
      <protection locked="0"/>
    </xf>
    <xf numFmtId="0" fontId="0" fillId="42" borderId="51" xfId="0" applyFont="1" applyFill="1" applyBorder="1" applyAlignment="1" applyProtection="1">
      <alignment vertical="top" wrapText="1"/>
      <protection locked="0"/>
    </xf>
    <xf numFmtId="9" fontId="0" fillId="42" borderId="32" xfId="5" applyFont="1" applyFill="1" applyBorder="1" applyAlignment="1" applyProtection="1">
      <alignment vertical="top" wrapText="1"/>
      <protection locked="0"/>
    </xf>
    <xf numFmtId="0" fontId="0" fillId="42" borderId="32" xfId="0" applyFont="1" applyFill="1" applyBorder="1" applyAlignment="1" applyProtection="1">
      <alignment vertical="top" wrapText="1"/>
      <protection locked="0"/>
    </xf>
    <xf numFmtId="0" fontId="0" fillId="42" borderId="38" xfId="0" applyFont="1" applyFill="1" applyBorder="1" applyAlignment="1" applyProtection="1">
      <alignment vertical="top" wrapText="1"/>
      <protection locked="0"/>
    </xf>
    <xf numFmtId="191" fontId="0" fillId="42" borderId="99" xfId="10" applyNumberFormat="1" applyFont="1" applyFill="1" applyBorder="1" applyAlignment="1" applyProtection="1">
      <alignment vertical="top" wrapText="1"/>
      <protection locked="0"/>
    </xf>
    <xf numFmtId="191" fontId="0" fillId="42" borderId="51" xfId="10" applyNumberFormat="1" applyFont="1" applyFill="1" applyBorder="1" applyAlignment="1" applyProtection="1">
      <alignment vertical="top" wrapText="1"/>
      <protection locked="0"/>
    </xf>
    <xf numFmtId="191" fontId="0" fillId="42" borderId="32" xfId="10" applyNumberFormat="1" applyFont="1" applyFill="1" applyBorder="1" applyAlignment="1" applyProtection="1">
      <alignment vertical="top" wrapText="1"/>
      <protection locked="0"/>
    </xf>
    <xf numFmtId="191" fontId="0" fillId="42" borderId="38" xfId="10" applyNumberFormat="1" applyFont="1" applyFill="1" applyBorder="1" applyAlignment="1" applyProtection="1">
      <alignment vertical="top" wrapText="1"/>
      <protection locked="0"/>
    </xf>
    <xf numFmtId="0" fontId="0" fillId="42" borderId="99" xfId="0" applyFont="1" applyFill="1" applyBorder="1" applyAlignment="1" applyProtection="1">
      <alignment vertical="top" wrapText="1"/>
      <protection locked="0"/>
    </xf>
    <xf numFmtId="0" fontId="0" fillId="42" borderId="60" xfId="0" applyFont="1" applyFill="1" applyBorder="1" applyAlignment="1" applyProtection="1">
      <alignment vertical="top" wrapText="1"/>
      <protection locked="0"/>
    </xf>
    <xf numFmtId="0" fontId="0" fillId="42" borderId="46" xfId="0" applyFont="1" applyFill="1" applyBorder="1" applyAlignment="1" applyProtection="1">
      <alignment horizontal="center" vertical="center" wrapText="1"/>
      <protection locked="0"/>
    </xf>
    <xf numFmtId="0" fontId="0" fillId="42" borderId="155" xfId="0" applyFont="1" applyFill="1" applyBorder="1" applyAlignment="1" applyProtection="1">
      <alignment horizontal="center" vertical="center" wrapText="1"/>
      <protection locked="0"/>
    </xf>
    <xf numFmtId="0" fontId="0" fillId="42" borderId="94" xfId="0" applyFont="1" applyFill="1" applyBorder="1" applyAlignment="1" applyProtection="1">
      <alignment horizontal="justify" vertical="center" wrapText="1"/>
      <protection locked="0"/>
    </xf>
    <xf numFmtId="0" fontId="0" fillId="42" borderId="11" xfId="0" applyFont="1" applyFill="1" applyBorder="1" applyAlignment="1" applyProtection="1">
      <alignment vertical="top" wrapText="1"/>
      <protection locked="0"/>
    </xf>
    <xf numFmtId="9" fontId="0" fillId="42" borderId="184" xfId="5" applyFont="1" applyFill="1" applyBorder="1" applyAlignment="1" applyProtection="1">
      <alignment vertical="top" wrapText="1"/>
      <protection locked="0"/>
    </xf>
    <xf numFmtId="0" fontId="0" fillId="42" borderId="184" xfId="0" applyFont="1" applyFill="1" applyBorder="1" applyAlignment="1" applyProtection="1">
      <alignment vertical="top" wrapText="1"/>
      <protection locked="0"/>
    </xf>
    <xf numFmtId="0" fontId="0" fillId="42" borderId="179" xfId="0" applyFont="1" applyFill="1" applyBorder="1" applyAlignment="1" applyProtection="1">
      <alignment vertical="top" wrapText="1"/>
      <protection locked="0"/>
    </xf>
    <xf numFmtId="191" fontId="0" fillId="42" borderId="48" xfId="10" applyNumberFormat="1" applyFont="1" applyFill="1" applyBorder="1" applyAlignment="1" applyProtection="1">
      <alignment vertical="top" wrapText="1"/>
      <protection locked="0"/>
    </xf>
    <xf numFmtId="191" fontId="0" fillId="42" borderId="11" xfId="10" applyNumberFormat="1" applyFont="1" applyFill="1" applyBorder="1" applyAlignment="1" applyProtection="1">
      <alignment vertical="top" wrapText="1"/>
      <protection locked="0"/>
    </xf>
    <xf numFmtId="191" fontId="0" fillId="42" borderId="184" xfId="10" applyNumberFormat="1" applyFont="1" applyFill="1" applyBorder="1" applyAlignment="1" applyProtection="1">
      <alignment vertical="top" wrapText="1"/>
      <protection locked="0"/>
    </xf>
    <xf numFmtId="191" fontId="0" fillId="42" borderId="179" xfId="10" applyNumberFormat="1" applyFont="1" applyFill="1" applyBorder="1" applyAlignment="1" applyProtection="1">
      <alignment vertical="top" wrapText="1"/>
      <protection locked="0"/>
    </xf>
    <xf numFmtId="0" fontId="0" fillId="42" borderId="48" xfId="0" applyFont="1" applyFill="1" applyBorder="1" applyAlignment="1" applyProtection="1">
      <alignment vertical="top" wrapText="1"/>
      <protection locked="0"/>
    </xf>
    <xf numFmtId="0" fontId="0" fillId="42" borderId="46" xfId="0" applyFont="1" applyFill="1" applyBorder="1" applyAlignment="1" applyProtection="1">
      <alignment vertical="top" wrapText="1"/>
      <protection locked="0"/>
    </xf>
    <xf numFmtId="0" fontId="0" fillId="42" borderId="177" xfId="0" applyFont="1" applyFill="1" applyBorder="1" applyAlignment="1" applyProtection="1">
      <alignment horizontal="center" vertical="center" wrapText="1"/>
      <protection locked="0"/>
    </xf>
    <xf numFmtId="0" fontId="0" fillId="42" borderId="161" xfId="0" applyFont="1" applyFill="1" applyBorder="1" applyAlignment="1" applyProtection="1">
      <alignment horizontal="center" vertical="center" wrapText="1"/>
      <protection locked="0"/>
    </xf>
    <xf numFmtId="0" fontId="0" fillId="42" borderId="31" xfId="0" applyFont="1" applyFill="1" applyBorder="1" applyAlignment="1" applyProtection="1">
      <alignment horizontal="justify" vertical="center" wrapText="1"/>
      <protection locked="0"/>
    </xf>
    <xf numFmtId="0" fontId="0" fillId="42" borderId="29" xfId="0" applyFont="1" applyFill="1" applyBorder="1" applyAlignment="1" applyProtection="1">
      <alignment vertical="top" wrapText="1"/>
      <protection locked="0"/>
    </xf>
    <xf numFmtId="9" fontId="0" fillId="42" borderId="30" xfId="5" applyFont="1" applyFill="1" applyBorder="1" applyAlignment="1" applyProtection="1">
      <alignment vertical="top" wrapText="1"/>
      <protection locked="0"/>
    </xf>
    <xf numFmtId="0" fontId="0" fillId="42" borderId="30" xfId="0" applyFont="1" applyFill="1" applyBorder="1" applyAlignment="1" applyProtection="1">
      <alignment vertical="top" wrapText="1"/>
      <protection locked="0"/>
    </xf>
    <xf numFmtId="0" fontId="0" fillId="42" borderId="66" xfId="0" applyFont="1" applyFill="1" applyBorder="1" applyAlignment="1" applyProtection="1">
      <alignment vertical="top" wrapText="1"/>
      <protection locked="0"/>
    </xf>
    <xf numFmtId="191" fontId="0" fillId="42" borderId="50" xfId="10" applyNumberFormat="1" applyFont="1" applyFill="1" applyBorder="1" applyAlignment="1" applyProtection="1">
      <alignment vertical="top" wrapText="1"/>
      <protection locked="0"/>
    </xf>
    <xf numFmtId="191" fontId="0" fillId="42" borderId="29" xfId="10" applyNumberFormat="1" applyFont="1" applyFill="1" applyBorder="1" applyAlignment="1" applyProtection="1">
      <alignment vertical="top" wrapText="1"/>
      <protection locked="0"/>
    </xf>
    <xf numFmtId="191" fontId="0" fillId="42" borderId="30" xfId="10" applyNumberFormat="1" applyFont="1" applyFill="1" applyBorder="1" applyAlignment="1" applyProtection="1">
      <alignment vertical="top" wrapText="1"/>
      <protection locked="0"/>
    </xf>
    <xf numFmtId="191" fontId="0" fillId="42" borderId="66" xfId="10" applyNumberFormat="1" applyFont="1" applyFill="1" applyBorder="1" applyAlignment="1" applyProtection="1">
      <alignment vertical="top" wrapText="1"/>
      <protection locked="0"/>
    </xf>
    <xf numFmtId="0" fontId="0" fillId="42" borderId="50" xfId="0" applyFont="1" applyFill="1" applyBorder="1" applyAlignment="1" applyProtection="1">
      <alignment vertical="top" wrapText="1"/>
      <protection locked="0"/>
    </xf>
    <xf numFmtId="0" fontId="0" fillId="42" borderId="177" xfId="0" applyFont="1" applyFill="1" applyBorder="1" applyAlignment="1" applyProtection="1">
      <alignment vertical="top" wrapText="1"/>
      <protection locked="0"/>
    </xf>
    <xf numFmtId="0" fontId="0" fillId="38" borderId="60" xfId="0" applyFont="1" applyFill="1" applyBorder="1" applyAlignment="1" applyProtection="1">
      <alignment horizontal="center" vertical="center" wrapText="1"/>
      <protection locked="0"/>
    </xf>
    <xf numFmtId="0" fontId="0" fillId="38" borderId="100" xfId="0" applyFont="1" applyFill="1" applyBorder="1" applyAlignment="1" applyProtection="1">
      <alignment horizontal="center" vertical="center" wrapText="1"/>
      <protection locked="0"/>
    </xf>
    <xf numFmtId="0" fontId="0" fillId="38" borderId="51" xfId="0" applyFont="1" applyFill="1" applyBorder="1" applyAlignment="1" applyProtection="1">
      <alignment vertical="top" wrapText="1"/>
      <protection locked="0"/>
    </xf>
    <xf numFmtId="9" fontId="0" fillId="38" borderId="32" xfId="5" applyFont="1" applyFill="1" applyBorder="1" applyAlignment="1" applyProtection="1">
      <alignment vertical="top" wrapText="1"/>
      <protection locked="0"/>
    </xf>
    <xf numFmtId="0" fontId="0" fillId="38" borderId="32" xfId="0" applyFont="1" applyFill="1" applyBorder="1" applyAlignment="1" applyProtection="1">
      <alignment vertical="top" wrapText="1"/>
      <protection locked="0"/>
    </xf>
    <xf numFmtId="0" fontId="0" fillId="38" borderId="38" xfId="0" applyFont="1" applyFill="1" applyBorder="1" applyAlignment="1" applyProtection="1">
      <alignment vertical="top" wrapText="1"/>
      <protection locked="0"/>
    </xf>
    <xf numFmtId="191" fontId="0" fillId="38" borderId="99" xfId="10" applyNumberFormat="1" applyFont="1" applyFill="1" applyBorder="1" applyAlignment="1" applyProtection="1">
      <alignment vertical="top" wrapText="1"/>
      <protection locked="0"/>
    </xf>
    <xf numFmtId="191" fontId="0" fillId="38" borderId="51" xfId="10" applyNumberFormat="1" applyFont="1" applyFill="1" applyBorder="1" applyAlignment="1" applyProtection="1">
      <alignment vertical="top" wrapText="1"/>
      <protection locked="0"/>
    </xf>
    <xf numFmtId="191" fontId="0" fillId="38" borderId="32" xfId="10" applyNumberFormat="1" applyFont="1" applyFill="1" applyBorder="1" applyAlignment="1" applyProtection="1">
      <alignment vertical="top" wrapText="1"/>
      <protection locked="0"/>
    </xf>
    <xf numFmtId="191" fontId="0" fillId="38" borderId="38" xfId="10" applyNumberFormat="1" applyFont="1" applyFill="1" applyBorder="1" applyAlignment="1" applyProtection="1">
      <alignment vertical="top" wrapText="1"/>
      <protection locked="0"/>
    </xf>
    <xf numFmtId="0" fontId="0" fillId="38" borderId="99" xfId="0" applyFont="1" applyFill="1" applyBorder="1" applyAlignment="1" applyProtection="1">
      <alignment vertical="top" wrapText="1"/>
      <protection locked="0"/>
    </xf>
    <xf numFmtId="0" fontId="0" fillId="38" borderId="60" xfId="0" applyFont="1" applyFill="1" applyBorder="1" applyAlignment="1" applyProtection="1">
      <alignment vertical="top" wrapText="1"/>
      <protection locked="0"/>
    </xf>
    <xf numFmtId="0" fontId="0" fillId="38" borderId="11" xfId="0" applyFont="1" applyFill="1" applyBorder="1" applyAlignment="1" applyProtection="1">
      <alignment vertical="top" wrapText="1"/>
      <protection locked="0"/>
    </xf>
    <xf numFmtId="9" fontId="0" fillId="38" borderId="184" xfId="5" applyFont="1" applyFill="1" applyBorder="1" applyAlignment="1" applyProtection="1">
      <alignment vertical="top" wrapText="1"/>
      <protection locked="0"/>
    </xf>
    <xf numFmtId="0" fontId="0" fillId="38" borderId="184" xfId="0" applyFont="1" applyFill="1" applyBorder="1" applyAlignment="1" applyProtection="1">
      <alignment vertical="top" wrapText="1"/>
      <protection locked="0"/>
    </xf>
    <xf numFmtId="0" fontId="0" fillId="38" borderId="179" xfId="0" applyFont="1" applyFill="1" applyBorder="1" applyAlignment="1" applyProtection="1">
      <alignment vertical="top" wrapText="1"/>
      <protection locked="0"/>
    </xf>
    <xf numFmtId="191" fontId="0" fillId="38" borderId="48" xfId="10" applyNumberFormat="1" applyFont="1" applyFill="1" applyBorder="1" applyAlignment="1" applyProtection="1">
      <alignment vertical="top" wrapText="1"/>
      <protection locked="0"/>
    </xf>
    <xf numFmtId="191" fontId="0" fillId="38" borderId="11" xfId="10" applyNumberFormat="1" applyFont="1" applyFill="1" applyBorder="1" applyAlignment="1" applyProtection="1">
      <alignment vertical="top" wrapText="1"/>
      <protection locked="0"/>
    </xf>
    <xf numFmtId="191" fontId="0" fillId="38" borderId="184" xfId="10" applyNumberFormat="1" applyFont="1" applyFill="1" applyBorder="1" applyAlignment="1" applyProtection="1">
      <alignment vertical="top" wrapText="1"/>
      <protection locked="0"/>
    </xf>
    <xf numFmtId="191" fontId="0" fillId="38" borderId="179" xfId="10" applyNumberFormat="1" applyFont="1" applyFill="1" applyBorder="1" applyAlignment="1" applyProtection="1">
      <alignment vertical="top" wrapText="1"/>
      <protection locked="0"/>
    </xf>
    <xf numFmtId="0" fontId="0" fillId="38" borderId="48" xfId="0" applyFont="1" applyFill="1" applyBorder="1" applyAlignment="1" applyProtection="1">
      <alignment vertical="top" wrapText="1"/>
      <protection locked="0"/>
    </xf>
    <xf numFmtId="0" fontId="0" fillId="38" borderId="46" xfId="0" applyFont="1" applyFill="1" applyBorder="1" applyAlignment="1" applyProtection="1">
      <alignment vertical="top" wrapText="1"/>
      <protection locked="0"/>
    </xf>
    <xf numFmtId="0" fontId="0" fillId="38" borderId="11" xfId="0" applyFont="1" applyFill="1" applyBorder="1" applyAlignment="1" applyProtection="1">
      <alignment wrapText="1"/>
      <protection locked="0"/>
    </xf>
    <xf numFmtId="9" fontId="0" fillId="38" borderId="184" xfId="5" applyFont="1" applyFill="1" applyBorder="1" applyAlignment="1" applyProtection="1">
      <alignment wrapText="1"/>
      <protection locked="0"/>
    </xf>
    <xf numFmtId="0" fontId="0" fillId="38" borderId="184" xfId="0" applyFont="1" applyFill="1" applyBorder="1" applyAlignment="1" applyProtection="1">
      <alignment wrapText="1"/>
      <protection locked="0"/>
    </xf>
    <xf numFmtId="0" fontId="0" fillId="38" borderId="179" xfId="0" applyFont="1" applyFill="1" applyBorder="1" applyAlignment="1" applyProtection="1">
      <alignment wrapText="1"/>
      <protection locked="0"/>
    </xf>
    <xf numFmtId="191" fontId="0" fillId="38" borderId="48" xfId="10" applyNumberFormat="1" applyFont="1" applyFill="1" applyBorder="1" applyAlignment="1" applyProtection="1">
      <alignment wrapText="1"/>
      <protection locked="0"/>
    </xf>
    <xf numFmtId="191" fontId="0" fillId="38" borderId="11" xfId="10" applyNumberFormat="1" applyFont="1" applyFill="1" applyBorder="1" applyAlignment="1" applyProtection="1">
      <alignment wrapText="1"/>
      <protection locked="0"/>
    </xf>
    <xf numFmtId="191" fontId="0" fillId="38" borderId="184" xfId="10" applyNumberFormat="1" applyFont="1" applyFill="1" applyBorder="1" applyAlignment="1" applyProtection="1">
      <alignment wrapText="1"/>
      <protection locked="0"/>
    </xf>
    <xf numFmtId="191" fontId="0" fillId="38" borderId="179" xfId="10" applyNumberFormat="1" applyFont="1" applyFill="1" applyBorder="1" applyAlignment="1" applyProtection="1">
      <alignment wrapText="1"/>
      <protection locked="0"/>
    </xf>
    <xf numFmtId="0" fontId="0" fillId="38" borderId="48" xfId="0" applyFont="1" applyFill="1" applyBorder="1" applyAlignment="1" applyProtection="1">
      <alignment wrapText="1"/>
      <protection locked="0"/>
    </xf>
    <xf numFmtId="0" fontId="0" fillId="38" borderId="46" xfId="0" applyFont="1" applyFill="1" applyBorder="1" applyAlignment="1" applyProtection="1">
      <alignment wrapText="1"/>
      <protection locked="0"/>
    </xf>
    <xf numFmtId="0" fontId="0" fillId="38" borderId="11" xfId="0" applyFont="1" applyFill="1" applyBorder="1" applyAlignment="1" applyProtection="1">
      <alignment horizontal="left" vertical="top" wrapText="1"/>
      <protection locked="0"/>
    </xf>
    <xf numFmtId="9" fontId="0" fillId="38" borderId="184" xfId="5" applyFont="1" applyFill="1" applyBorder="1" applyAlignment="1" applyProtection="1">
      <alignment horizontal="left" vertical="top" wrapText="1"/>
      <protection locked="0"/>
    </xf>
    <xf numFmtId="0" fontId="0" fillId="38" borderId="184" xfId="0" applyFont="1" applyFill="1" applyBorder="1" applyAlignment="1" applyProtection="1">
      <alignment horizontal="left" vertical="top" wrapText="1"/>
      <protection locked="0"/>
    </xf>
    <xf numFmtId="0" fontId="0" fillId="38" borderId="179" xfId="0" applyFont="1" applyFill="1" applyBorder="1" applyAlignment="1" applyProtection="1">
      <alignment horizontal="left" vertical="top" wrapText="1"/>
      <protection locked="0"/>
    </xf>
    <xf numFmtId="191" fontId="0" fillId="38" borderId="48" xfId="10" applyNumberFormat="1" applyFont="1" applyFill="1" applyBorder="1" applyAlignment="1" applyProtection="1">
      <alignment horizontal="left" vertical="top" wrapText="1"/>
      <protection locked="0"/>
    </xf>
    <xf numFmtId="191" fontId="0" fillId="38" borderId="11" xfId="10" applyNumberFormat="1" applyFont="1" applyFill="1" applyBorder="1" applyAlignment="1" applyProtection="1">
      <alignment horizontal="left" vertical="top" wrapText="1"/>
      <protection locked="0"/>
    </xf>
    <xf numFmtId="191" fontId="0" fillId="38" borderId="184" xfId="10" applyNumberFormat="1" applyFont="1" applyFill="1" applyBorder="1" applyAlignment="1" applyProtection="1">
      <alignment horizontal="left" vertical="top" wrapText="1"/>
      <protection locked="0"/>
    </xf>
    <xf numFmtId="191" fontId="0" fillId="38" borderId="179" xfId="10" applyNumberFormat="1" applyFont="1" applyFill="1" applyBorder="1" applyAlignment="1" applyProtection="1">
      <alignment horizontal="left" vertical="top" wrapText="1"/>
      <protection locked="0"/>
    </xf>
    <xf numFmtId="0" fontId="0" fillId="38" borderId="48" xfId="0" applyFont="1" applyFill="1" applyBorder="1" applyAlignment="1" applyProtection="1">
      <alignment horizontal="left" vertical="top" wrapText="1"/>
      <protection locked="0"/>
    </xf>
    <xf numFmtId="0" fontId="0" fillId="38" borderId="46" xfId="0" applyFont="1" applyFill="1" applyBorder="1" applyAlignment="1" applyProtection="1">
      <alignment horizontal="left" vertical="top" wrapText="1"/>
      <protection locked="0"/>
    </xf>
    <xf numFmtId="0" fontId="0" fillId="38" borderId="29" xfId="0" applyFont="1" applyFill="1" applyBorder="1" applyAlignment="1" applyProtection="1">
      <alignment horizontal="left" vertical="top" wrapText="1"/>
      <protection locked="0"/>
    </xf>
    <xf numFmtId="9" fontId="0" fillId="38" borderId="30" xfId="5" applyFont="1" applyFill="1" applyBorder="1" applyAlignment="1" applyProtection="1">
      <alignment horizontal="left" vertical="top" wrapText="1"/>
      <protection locked="0"/>
    </xf>
    <xf numFmtId="0" fontId="0" fillId="38" borderId="30" xfId="0" applyFont="1" applyFill="1" applyBorder="1" applyAlignment="1" applyProtection="1">
      <alignment horizontal="left" vertical="top" wrapText="1"/>
      <protection locked="0"/>
    </xf>
    <xf numFmtId="0" fontId="0" fillId="38" borderId="66" xfId="0" applyFont="1" applyFill="1" applyBorder="1" applyAlignment="1" applyProtection="1">
      <alignment horizontal="left" vertical="top" wrapText="1"/>
      <protection locked="0"/>
    </xf>
    <xf numFmtId="191" fontId="0" fillId="38" borderId="50" xfId="10" applyNumberFormat="1" applyFont="1" applyFill="1" applyBorder="1" applyAlignment="1" applyProtection="1">
      <alignment horizontal="left" vertical="top" wrapText="1"/>
      <protection locked="0"/>
    </xf>
    <xf numFmtId="191" fontId="0" fillId="38" borderId="29" xfId="10" applyNumberFormat="1" applyFont="1" applyFill="1" applyBorder="1" applyAlignment="1" applyProtection="1">
      <alignment horizontal="left" vertical="top" wrapText="1"/>
      <protection locked="0"/>
    </xf>
    <xf numFmtId="191" fontId="0" fillId="38" borderId="30" xfId="10" applyNumberFormat="1" applyFont="1" applyFill="1" applyBorder="1" applyAlignment="1" applyProtection="1">
      <alignment horizontal="left" vertical="top" wrapText="1"/>
      <protection locked="0"/>
    </xf>
    <xf numFmtId="191" fontId="0" fillId="38" borderId="66" xfId="10" applyNumberFormat="1" applyFont="1" applyFill="1" applyBorder="1" applyAlignment="1" applyProtection="1">
      <alignment horizontal="left" vertical="top" wrapText="1"/>
      <protection locked="0"/>
    </xf>
    <xf numFmtId="0" fontId="0" fillId="38" borderId="50" xfId="0" applyFont="1" applyFill="1" applyBorder="1" applyAlignment="1" applyProtection="1">
      <alignment horizontal="left" vertical="top" wrapText="1"/>
      <protection locked="0"/>
    </xf>
    <xf numFmtId="0" fontId="0" fillId="38" borderId="177" xfId="0" applyFont="1" applyFill="1" applyBorder="1" applyAlignment="1" applyProtection="1">
      <alignment horizontal="left" vertical="top" wrapText="1"/>
      <protection locked="0"/>
    </xf>
    <xf numFmtId="0" fontId="0" fillId="29" borderId="45" xfId="0" applyFont="1" applyFill="1" applyBorder="1" applyAlignment="1" applyProtection="1">
      <alignment horizontal="center" vertical="top" wrapText="1"/>
      <protection locked="0"/>
    </xf>
    <xf numFmtId="0" fontId="0" fillId="29" borderId="15" xfId="0" applyFont="1" applyFill="1" applyBorder="1" applyAlignment="1" applyProtection="1">
      <alignment horizontal="center" vertical="top" wrapText="1"/>
      <protection locked="0"/>
    </xf>
    <xf numFmtId="0" fontId="0" fillId="29" borderId="46" xfId="0" applyFont="1" applyFill="1" applyBorder="1" applyAlignment="1" applyProtection="1">
      <alignment horizontal="center" vertical="top" wrapText="1"/>
      <protection locked="0"/>
    </xf>
    <xf numFmtId="0" fontId="0" fillId="29" borderId="155" xfId="0" applyFont="1" applyFill="1" applyBorder="1" applyAlignment="1" applyProtection="1">
      <alignment horizontal="center" vertical="top" wrapText="1"/>
      <protection locked="0"/>
    </xf>
    <xf numFmtId="0" fontId="0" fillId="29" borderId="46" xfId="0" applyFont="1" applyFill="1" applyBorder="1" applyAlignment="1" applyProtection="1">
      <alignment horizontal="center" wrapText="1"/>
      <protection locked="0"/>
    </xf>
    <xf numFmtId="0" fontId="0" fillId="29" borderId="155" xfId="0" applyFont="1" applyFill="1" applyBorder="1" applyAlignment="1" applyProtection="1">
      <alignment horizontal="center" wrapText="1"/>
      <protection locked="0"/>
    </xf>
    <xf numFmtId="0" fontId="0" fillId="29" borderId="11" xfId="0" applyFont="1" applyFill="1" applyBorder="1" applyAlignment="1" applyProtection="1">
      <alignment horizontal="left" vertical="top" wrapText="1"/>
      <protection locked="0"/>
    </xf>
    <xf numFmtId="9" fontId="0" fillId="29" borderId="184" xfId="5" applyFont="1" applyFill="1" applyBorder="1" applyAlignment="1" applyProtection="1">
      <alignment horizontal="left" vertical="top" wrapText="1"/>
      <protection locked="0"/>
    </xf>
    <xf numFmtId="0" fontId="0" fillId="29" borderId="184" xfId="0" applyFont="1" applyFill="1" applyBorder="1" applyAlignment="1" applyProtection="1">
      <alignment horizontal="left" vertical="top" wrapText="1"/>
      <protection locked="0"/>
    </xf>
    <xf numFmtId="0" fontId="0" fillId="29" borderId="179" xfId="0" applyFont="1" applyFill="1" applyBorder="1" applyAlignment="1" applyProtection="1">
      <alignment horizontal="left" vertical="top" wrapText="1"/>
      <protection locked="0"/>
    </xf>
    <xf numFmtId="191" fontId="0" fillId="29" borderId="48" xfId="10" applyNumberFormat="1" applyFont="1" applyFill="1" applyBorder="1" applyAlignment="1" applyProtection="1">
      <alignment horizontal="left" vertical="top" wrapText="1"/>
      <protection locked="0"/>
    </xf>
    <xf numFmtId="191" fontId="0" fillId="29" borderId="11" xfId="10" applyNumberFormat="1" applyFont="1" applyFill="1" applyBorder="1" applyAlignment="1" applyProtection="1">
      <alignment horizontal="left" vertical="top" wrapText="1"/>
      <protection locked="0"/>
    </xf>
    <xf numFmtId="191" fontId="0" fillId="29" borderId="184" xfId="10" applyNumberFormat="1" applyFont="1" applyFill="1" applyBorder="1" applyAlignment="1" applyProtection="1">
      <alignment horizontal="left" vertical="top" wrapText="1"/>
      <protection locked="0"/>
    </xf>
    <xf numFmtId="191" fontId="0" fillId="29" borderId="179" xfId="10" applyNumberFormat="1" applyFont="1" applyFill="1" applyBorder="1" applyAlignment="1" applyProtection="1">
      <alignment horizontal="left" vertical="top" wrapText="1"/>
      <protection locked="0"/>
    </xf>
    <xf numFmtId="0" fontId="0" fillId="29" borderId="48" xfId="0" applyFont="1" applyFill="1" applyBorder="1" applyAlignment="1" applyProtection="1">
      <alignment horizontal="left" vertical="top" wrapText="1"/>
      <protection locked="0"/>
    </xf>
    <xf numFmtId="0" fontId="0" fillId="29" borderId="46" xfId="0" applyFont="1" applyFill="1" applyBorder="1" applyAlignment="1" applyProtection="1">
      <alignment horizontal="left" vertical="top" wrapText="1"/>
      <protection locked="0"/>
    </xf>
    <xf numFmtId="0" fontId="0" fillId="29" borderId="177" xfId="0" applyFont="1" applyFill="1" applyBorder="1" applyAlignment="1" applyProtection="1">
      <alignment horizontal="center" vertical="top" wrapText="1"/>
      <protection locked="0"/>
    </xf>
    <xf numFmtId="0" fontId="0" fillId="29" borderId="161" xfId="0" applyFont="1" applyFill="1" applyBorder="1" applyAlignment="1" applyProtection="1">
      <alignment horizontal="center" vertical="top" wrapText="1"/>
      <protection locked="0"/>
    </xf>
    <xf numFmtId="0" fontId="0" fillId="39" borderId="60" xfId="0" applyFont="1" applyFill="1" applyBorder="1" applyAlignment="1" applyProtection="1">
      <alignment horizontal="center" vertical="top" wrapText="1"/>
      <protection locked="0"/>
    </xf>
    <xf numFmtId="0" fontId="0" fillId="39" borderId="100" xfId="0" applyFont="1" applyFill="1" applyBorder="1" applyAlignment="1" applyProtection="1">
      <alignment horizontal="center" vertical="top" wrapText="1"/>
      <protection locked="0"/>
    </xf>
    <xf numFmtId="0" fontId="0" fillId="39" borderId="60" xfId="0" applyFont="1" applyFill="1" applyBorder="1" applyAlignment="1" applyProtection="1">
      <alignment horizontal="center" vertical="center" wrapText="1"/>
      <protection locked="0"/>
    </xf>
    <xf numFmtId="0" fontId="0" fillId="39" borderId="52" xfId="0" applyFont="1" applyFill="1" applyBorder="1" applyAlignment="1" applyProtection="1">
      <alignment horizontal="justify" vertical="center" wrapText="1"/>
      <protection locked="0"/>
    </xf>
    <xf numFmtId="0" fontId="0" fillId="39" borderId="51" xfId="0" applyFont="1" applyFill="1" applyBorder="1" applyAlignment="1" applyProtection="1">
      <alignment wrapText="1"/>
      <protection locked="0"/>
    </xf>
    <xf numFmtId="9" fontId="0" fillId="39" borderId="32" xfId="5" applyFont="1" applyFill="1" applyBorder="1" applyAlignment="1" applyProtection="1">
      <alignment wrapText="1"/>
      <protection locked="0"/>
    </xf>
    <xf numFmtId="0" fontId="0" fillId="39" borderId="32" xfId="0" applyFont="1" applyFill="1" applyBorder="1" applyAlignment="1" applyProtection="1">
      <alignment wrapText="1"/>
      <protection locked="0"/>
    </xf>
    <xf numFmtId="0" fontId="0" fillId="39" borderId="38" xfId="0" applyFont="1" applyFill="1" applyBorder="1" applyAlignment="1" applyProtection="1">
      <alignment wrapText="1"/>
      <protection locked="0"/>
    </xf>
    <xf numFmtId="191" fontId="0" fillId="39" borderId="99" xfId="10" applyNumberFormat="1" applyFont="1" applyFill="1" applyBorder="1" applyAlignment="1" applyProtection="1">
      <alignment wrapText="1"/>
      <protection locked="0"/>
    </xf>
    <xf numFmtId="191" fontId="0" fillId="39" borderId="51" xfId="10" applyNumberFormat="1" applyFont="1" applyFill="1" applyBorder="1" applyAlignment="1" applyProtection="1">
      <alignment wrapText="1"/>
      <protection locked="0"/>
    </xf>
    <xf numFmtId="191" fontId="0" fillId="39" borderId="32" xfId="10" applyNumberFormat="1" applyFont="1" applyFill="1" applyBorder="1" applyAlignment="1" applyProtection="1">
      <alignment wrapText="1"/>
      <protection locked="0"/>
    </xf>
    <xf numFmtId="191" fontId="0" fillId="39" borderId="38" xfId="10" applyNumberFormat="1" applyFont="1" applyFill="1" applyBorder="1" applyAlignment="1" applyProtection="1">
      <alignment wrapText="1"/>
      <protection locked="0"/>
    </xf>
    <xf numFmtId="0" fontId="0" fillId="39" borderId="99" xfId="0" applyFont="1" applyFill="1" applyBorder="1" applyAlignment="1" applyProtection="1">
      <alignment wrapText="1"/>
      <protection locked="0"/>
    </xf>
    <xf numFmtId="0" fontId="0" fillId="39" borderId="60" xfId="0" applyFont="1" applyFill="1" applyBorder="1" applyAlignment="1" applyProtection="1">
      <alignment wrapText="1"/>
      <protection locked="0"/>
    </xf>
    <xf numFmtId="0" fontId="0" fillId="39" borderId="46" xfId="0" applyFont="1" applyFill="1" applyBorder="1" applyAlignment="1" applyProtection="1">
      <alignment horizontal="center" vertical="top" wrapText="1"/>
      <protection locked="0"/>
    </xf>
    <xf numFmtId="0" fontId="0" fillId="39" borderId="155" xfId="0" applyFont="1" applyFill="1" applyBorder="1" applyAlignment="1" applyProtection="1">
      <alignment horizontal="center" vertical="top" wrapText="1"/>
      <protection locked="0"/>
    </xf>
    <xf numFmtId="0" fontId="0" fillId="39" borderId="46" xfId="0" applyFont="1" applyFill="1" applyBorder="1" applyAlignment="1" applyProtection="1">
      <alignment horizontal="center" vertical="center" wrapText="1"/>
      <protection locked="0"/>
    </xf>
    <xf numFmtId="9" fontId="0" fillId="39" borderId="184" xfId="5" applyFont="1" applyFill="1" applyBorder="1" applyAlignment="1" applyProtection="1">
      <alignment horizontal="justify" vertical="center" wrapText="1"/>
      <protection locked="0"/>
    </xf>
    <xf numFmtId="0" fontId="0" fillId="39" borderId="94" xfId="0" applyFont="1" applyFill="1" applyBorder="1" applyAlignment="1" applyProtection="1">
      <alignment horizontal="justify" vertical="center" wrapText="1"/>
      <protection locked="0"/>
    </xf>
    <xf numFmtId="0" fontId="0" fillId="39" borderId="11" xfId="0" applyFont="1" applyFill="1" applyBorder="1" applyAlignment="1" applyProtection="1">
      <alignment vertical="top" wrapText="1"/>
      <protection locked="0"/>
    </xf>
    <xf numFmtId="9" fontId="0" fillId="39" borderId="184" xfId="5" applyFont="1" applyFill="1" applyBorder="1" applyAlignment="1" applyProtection="1">
      <alignment vertical="top" wrapText="1"/>
      <protection locked="0"/>
    </xf>
    <xf numFmtId="0" fontId="0" fillId="39" borderId="184" xfId="0" applyFont="1" applyFill="1" applyBorder="1" applyAlignment="1" applyProtection="1">
      <alignment vertical="top" wrapText="1"/>
      <protection locked="0"/>
    </xf>
    <xf numFmtId="0" fontId="0" fillId="39" borderId="179" xfId="0" applyFont="1" applyFill="1" applyBorder="1" applyAlignment="1" applyProtection="1">
      <alignment vertical="top" wrapText="1"/>
      <protection locked="0"/>
    </xf>
    <xf numFmtId="191" fontId="0" fillId="39" borderId="48" xfId="10" applyNumberFormat="1" applyFont="1" applyFill="1" applyBorder="1" applyAlignment="1" applyProtection="1">
      <alignment vertical="top" wrapText="1"/>
      <protection locked="0"/>
    </xf>
    <xf numFmtId="191" fontId="0" fillId="39" borderId="11" xfId="10" applyNumberFormat="1" applyFont="1" applyFill="1" applyBorder="1" applyAlignment="1" applyProtection="1">
      <alignment vertical="top" wrapText="1"/>
      <protection locked="0"/>
    </xf>
    <xf numFmtId="191" fontId="0" fillId="39" borderId="184" xfId="10" applyNumberFormat="1" applyFont="1" applyFill="1" applyBorder="1" applyAlignment="1" applyProtection="1">
      <alignment vertical="top" wrapText="1"/>
      <protection locked="0"/>
    </xf>
    <xf numFmtId="191" fontId="0" fillId="39" borderId="179" xfId="10" applyNumberFormat="1" applyFont="1" applyFill="1" applyBorder="1" applyAlignment="1" applyProtection="1">
      <alignment vertical="top" wrapText="1"/>
      <protection locked="0"/>
    </xf>
    <xf numFmtId="0" fontId="0" fillId="39" borderId="48" xfId="0" applyFont="1" applyFill="1" applyBorder="1" applyAlignment="1" applyProtection="1">
      <alignment vertical="top" wrapText="1"/>
      <protection locked="0"/>
    </xf>
    <xf numFmtId="0" fontId="0" fillId="39" borderId="46" xfId="0" applyFont="1" applyFill="1" applyBorder="1" applyAlignment="1" applyProtection="1">
      <alignment vertical="top" wrapText="1"/>
      <protection locked="0"/>
    </xf>
    <xf numFmtId="0" fontId="0" fillId="39" borderId="177" xfId="0" applyFont="1" applyFill="1" applyBorder="1" applyAlignment="1" applyProtection="1">
      <alignment horizontal="center" vertical="top" wrapText="1"/>
      <protection locked="0"/>
    </xf>
    <xf numFmtId="0" fontId="0" fillId="39" borderId="161" xfId="0" applyFont="1" applyFill="1" applyBorder="1" applyAlignment="1" applyProtection="1">
      <alignment horizontal="center" vertical="top" wrapText="1"/>
      <protection locked="0"/>
    </xf>
    <xf numFmtId="0" fontId="0" fillId="39" borderId="159" xfId="0" applyFont="1" applyFill="1" applyBorder="1" applyAlignment="1" applyProtection="1">
      <alignment horizontal="justify" vertical="center" wrapText="1"/>
      <protection locked="0"/>
    </xf>
    <xf numFmtId="0" fontId="0" fillId="39" borderId="29" xfId="0" applyFont="1" applyFill="1" applyBorder="1" applyAlignment="1" applyProtection="1">
      <alignment wrapText="1"/>
      <protection locked="0"/>
    </xf>
    <xf numFmtId="9" fontId="0" fillId="39" borderId="30" xfId="5" applyFont="1" applyFill="1" applyBorder="1" applyAlignment="1" applyProtection="1">
      <alignment wrapText="1"/>
      <protection locked="0"/>
    </xf>
    <xf numFmtId="0" fontId="0" fillId="39" borderId="30" xfId="0" applyFont="1" applyFill="1" applyBorder="1" applyAlignment="1" applyProtection="1">
      <alignment wrapText="1"/>
      <protection locked="0"/>
    </xf>
    <xf numFmtId="0" fontId="0" fillId="39" borderId="66" xfId="0" applyFont="1" applyFill="1" applyBorder="1" applyAlignment="1" applyProtection="1">
      <alignment wrapText="1"/>
      <protection locked="0"/>
    </xf>
    <xf numFmtId="191" fontId="0" fillId="39" borderId="50" xfId="10" applyNumberFormat="1" applyFont="1" applyFill="1" applyBorder="1" applyAlignment="1" applyProtection="1">
      <alignment wrapText="1"/>
      <protection locked="0"/>
    </xf>
    <xf numFmtId="191" fontId="0" fillId="39" borderId="29" xfId="10" applyNumberFormat="1" applyFont="1" applyFill="1" applyBorder="1" applyAlignment="1" applyProtection="1">
      <alignment wrapText="1"/>
      <protection locked="0"/>
    </xf>
    <xf numFmtId="191" fontId="0" fillId="39" borderId="30" xfId="10" applyNumberFormat="1" applyFont="1" applyFill="1" applyBorder="1" applyAlignment="1" applyProtection="1">
      <alignment wrapText="1"/>
      <protection locked="0"/>
    </xf>
    <xf numFmtId="191" fontId="0" fillId="39" borderId="66" xfId="10" applyNumberFormat="1" applyFont="1" applyFill="1" applyBorder="1" applyAlignment="1" applyProtection="1">
      <alignment wrapText="1"/>
      <protection locked="0"/>
    </xf>
    <xf numFmtId="0" fontId="0" fillId="39" borderId="50" xfId="0" applyFont="1" applyFill="1" applyBorder="1" applyAlignment="1" applyProtection="1">
      <alignment wrapText="1"/>
      <protection locked="0"/>
    </xf>
    <xf numFmtId="0" fontId="0" fillId="39" borderId="177" xfId="0" applyFont="1" applyFill="1" applyBorder="1" applyAlignment="1" applyProtection="1">
      <alignment wrapText="1"/>
      <protection locked="0"/>
    </xf>
    <xf numFmtId="0" fontId="11" fillId="38" borderId="51" xfId="0" applyFont="1" applyFill="1" applyBorder="1" applyAlignment="1" applyProtection="1">
      <alignment vertical="center" wrapText="1"/>
      <protection locked="0"/>
    </xf>
    <xf numFmtId="9" fontId="11" fillId="38" borderId="32" xfId="5" applyFont="1" applyFill="1" applyBorder="1" applyAlignment="1" applyProtection="1">
      <alignment vertical="center" wrapText="1"/>
      <protection locked="0"/>
    </xf>
    <xf numFmtId="0" fontId="11" fillId="38" borderId="32" xfId="0" applyFont="1" applyFill="1" applyBorder="1" applyAlignment="1" applyProtection="1">
      <alignment vertical="center" wrapText="1"/>
      <protection locked="0"/>
    </xf>
    <xf numFmtId="0" fontId="11" fillId="38" borderId="38" xfId="0" applyFont="1" applyFill="1" applyBorder="1" applyAlignment="1" applyProtection="1">
      <alignment vertical="center" wrapText="1"/>
      <protection locked="0"/>
    </xf>
    <xf numFmtId="191" fontId="11" fillId="38" borderId="99" xfId="10" applyNumberFormat="1" applyFont="1" applyFill="1" applyBorder="1" applyAlignment="1" applyProtection="1">
      <alignment vertical="center" wrapText="1"/>
      <protection locked="0"/>
    </xf>
    <xf numFmtId="191" fontId="11" fillId="38" borderId="51" xfId="10" applyNumberFormat="1" applyFont="1" applyFill="1" applyBorder="1" applyAlignment="1" applyProtection="1">
      <alignment vertical="center" wrapText="1"/>
      <protection locked="0"/>
    </xf>
    <xf numFmtId="191" fontId="11" fillId="38" borderId="32" xfId="10" applyNumberFormat="1" applyFont="1" applyFill="1" applyBorder="1" applyAlignment="1" applyProtection="1">
      <alignment vertical="center" wrapText="1"/>
      <protection locked="0"/>
    </xf>
    <xf numFmtId="191" fontId="11" fillId="38" borderId="38" xfId="10" applyNumberFormat="1" applyFont="1" applyFill="1" applyBorder="1" applyAlignment="1" applyProtection="1">
      <alignment vertical="center" wrapText="1"/>
      <protection locked="0"/>
    </xf>
    <xf numFmtId="0" fontId="11" fillId="38" borderId="99" xfId="0" applyFont="1" applyFill="1" applyBorder="1" applyAlignment="1" applyProtection="1">
      <alignment vertical="center" wrapText="1"/>
      <protection locked="0"/>
    </xf>
    <xf numFmtId="0" fontId="11" fillId="38" borderId="60" xfId="0" applyFont="1" applyFill="1" applyBorder="1" applyAlignment="1" applyProtection="1">
      <alignment vertical="center" wrapText="1"/>
      <protection locked="0"/>
    </xf>
    <xf numFmtId="0" fontId="11" fillId="38" borderId="9" xfId="0" applyFont="1" applyFill="1" applyBorder="1" applyAlignment="1" applyProtection="1">
      <alignment horizontal="justify" vertical="center" wrapText="1"/>
      <protection locked="0"/>
    </xf>
    <xf numFmtId="9" fontId="11" fillId="38" borderId="11" xfId="0" applyNumberFormat="1" applyFont="1" applyFill="1" applyBorder="1" applyAlignment="1" applyProtection="1">
      <alignment vertical="center" wrapText="1"/>
      <protection locked="0"/>
    </xf>
    <xf numFmtId="9" fontId="11" fillId="38" borderId="184" xfId="0" applyNumberFormat="1" applyFont="1" applyFill="1" applyBorder="1" applyAlignment="1" applyProtection="1">
      <alignment vertical="center" wrapText="1"/>
      <protection locked="0"/>
    </xf>
    <xf numFmtId="9" fontId="11" fillId="38" borderId="179" xfId="0" applyNumberFormat="1" applyFont="1" applyFill="1" applyBorder="1" applyAlignment="1" applyProtection="1">
      <alignment vertical="center" wrapText="1"/>
      <protection locked="0"/>
    </xf>
    <xf numFmtId="9" fontId="11" fillId="38" borderId="48" xfId="0" applyNumberFormat="1" applyFont="1" applyFill="1" applyBorder="1" applyAlignment="1" applyProtection="1">
      <alignment vertical="center" wrapText="1"/>
      <protection locked="0"/>
    </xf>
    <xf numFmtId="9" fontId="11" fillId="38" borderId="46" xfId="0" applyNumberFormat="1" applyFont="1" applyFill="1" applyBorder="1" applyAlignment="1" applyProtection="1">
      <alignment vertical="center" wrapText="1"/>
      <protection locked="0"/>
    </xf>
    <xf numFmtId="9" fontId="11" fillId="38" borderId="29" xfId="0" applyNumberFormat="1" applyFont="1" applyFill="1" applyBorder="1" applyAlignment="1" applyProtection="1">
      <alignment vertical="center" wrapText="1"/>
      <protection locked="0"/>
    </xf>
    <xf numFmtId="9" fontId="11" fillId="38" borderId="30" xfId="0" applyNumberFormat="1" applyFont="1" applyFill="1" applyBorder="1" applyAlignment="1" applyProtection="1">
      <alignment vertical="center" wrapText="1"/>
      <protection locked="0"/>
    </xf>
    <xf numFmtId="9" fontId="11" fillId="38" borderId="66" xfId="0" applyNumberFormat="1" applyFont="1" applyFill="1" applyBorder="1" applyAlignment="1" applyProtection="1">
      <alignment vertical="center" wrapText="1"/>
      <protection locked="0"/>
    </xf>
    <xf numFmtId="9" fontId="11" fillId="38" borderId="50" xfId="0" applyNumberFormat="1" applyFont="1" applyFill="1" applyBorder="1" applyAlignment="1" applyProtection="1">
      <alignment vertical="center" wrapText="1"/>
      <protection locked="0"/>
    </xf>
    <xf numFmtId="9" fontId="11" fillId="38" borderId="177" xfId="0" applyNumberFormat="1" applyFont="1" applyFill="1" applyBorder="1" applyAlignment="1" applyProtection="1">
      <alignment vertical="center" wrapText="1"/>
      <protection locked="0"/>
    </xf>
    <xf numFmtId="0" fontId="11" fillId="41" borderId="51" xfId="0" applyFont="1" applyFill="1" applyBorder="1" applyAlignment="1" applyProtection="1">
      <alignment horizontal="center" vertical="center" wrapText="1"/>
      <protection locked="0"/>
    </xf>
    <xf numFmtId="0" fontId="11" fillId="41" borderId="32" xfId="0" applyFont="1" applyFill="1" applyBorder="1" applyAlignment="1" applyProtection="1">
      <alignment horizontal="justify" vertical="center" wrapText="1"/>
      <protection locked="0"/>
    </xf>
    <xf numFmtId="0" fontId="11" fillId="41" borderId="51" xfId="0" applyFont="1" applyFill="1" applyBorder="1" applyAlignment="1" applyProtection="1">
      <alignment vertical="center" wrapText="1"/>
      <protection locked="0"/>
    </xf>
    <xf numFmtId="9" fontId="11" fillId="41" borderId="32" xfId="5" applyFont="1" applyFill="1" applyBorder="1" applyAlignment="1" applyProtection="1">
      <alignment vertical="center" wrapText="1"/>
      <protection locked="0"/>
    </xf>
    <xf numFmtId="0" fontId="11" fillId="41" borderId="32" xfId="0" applyFont="1" applyFill="1" applyBorder="1" applyAlignment="1" applyProtection="1">
      <alignment vertical="center" wrapText="1"/>
      <protection locked="0"/>
    </xf>
    <xf numFmtId="0" fontId="11" fillId="41" borderId="38" xfId="0" applyFont="1" applyFill="1" applyBorder="1" applyAlignment="1" applyProtection="1">
      <alignment vertical="center" wrapText="1"/>
      <protection locked="0"/>
    </xf>
    <xf numFmtId="191" fontId="11" fillId="41" borderId="99" xfId="10" applyNumberFormat="1" applyFont="1" applyFill="1" applyBorder="1" applyAlignment="1" applyProtection="1">
      <alignment vertical="center" wrapText="1"/>
      <protection locked="0"/>
    </xf>
    <xf numFmtId="191" fontId="11" fillId="41" borderId="51" xfId="10" applyNumberFormat="1" applyFont="1" applyFill="1" applyBorder="1" applyAlignment="1" applyProtection="1">
      <alignment vertical="center" wrapText="1"/>
      <protection locked="0"/>
    </xf>
    <xf numFmtId="191" fontId="11" fillId="41" borderId="32" xfId="10" applyNumberFormat="1" applyFont="1" applyFill="1" applyBorder="1" applyAlignment="1" applyProtection="1">
      <alignment vertical="center" wrapText="1"/>
      <protection locked="0"/>
    </xf>
    <xf numFmtId="191" fontId="11" fillId="41" borderId="38" xfId="10" applyNumberFormat="1" applyFont="1" applyFill="1" applyBorder="1" applyAlignment="1" applyProtection="1">
      <alignment vertical="center" wrapText="1"/>
      <protection locked="0"/>
    </xf>
    <xf numFmtId="0" fontId="11" fillId="41" borderId="99" xfId="0" applyFont="1" applyFill="1" applyBorder="1" applyAlignment="1" applyProtection="1">
      <alignment vertical="center" wrapText="1"/>
      <protection locked="0"/>
    </xf>
    <xf numFmtId="0" fontId="11" fillId="41" borderId="60" xfId="0" applyFont="1" applyFill="1" applyBorder="1" applyAlignment="1" applyProtection="1">
      <alignment vertical="center" wrapText="1"/>
      <protection locked="0"/>
    </xf>
    <xf numFmtId="0" fontId="11" fillId="41" borderId="27" xfId="0" applyFont="1" applyFill="1" applyBorder="1" applyAlignment="1" applyProtection="1">
      <alignment horizontal="justify" vertical="center" wrapText="1"/>
      <protection locked="0"/>
    </xf>
    <xf numFmtId="0" fontId="11" fillId="41" borderId="11" xfId="0" applyFont="1" applyFill="1" applyBorder="1" applyAlignment="1" applyProtection="1">
      <alignment horizontal="center" vertical="center" wrapText="1"/>
      <protection locked="0"/>
    </xf>
    <xf numFmtId="0" fontId="11" fillId="41" borderId="184" xfId="0" applyFont="1" applyFill="1" applyBorder="1" applyAlignment="1" applyProtection="1">
      <alignment horizontal="justify" vertical="center" wrapText="1"/>
      <protection locked="0"/>
    </xf>
    <xf numFmtId="0" fontId="11" fillId="41" borderId="11" xfId="0" applyFont="1" applyFill="1" applyBorder="1" applyAlignment="1" applyProtection="1">
      <alignment vertical="center" wrapText="1"/>
      <protection locked="0"/>
    </xf>
    <xf numFmtId="9" fontId="11" fillId="41" borderId="184" xfId="5" applyFont="1" applyFill="1" applyBorder="1" applyAlignment="1" applyProtection="1">
      <alignment vertical="center" wrapText="1"/>
      <protection locked="0"/>
    </xf>
    <xf numFmtId="0" fontId="11" fillId="41" borderId="184" xfId="0" applyFont="1" applyFill="1" applyBorder="1" applyAlignment="1" applyProtection="1">
      <alignment vertical="center" wrapText="1"/>
      <protection locked="0"/>
    </xf>
    <xf numFmtId="0" fontId="11" fillId="41" borderId="179" xfId="0" applyFont="1" applyFill="1" applyBorder="1" applyAlignment="1" applyProtection="1">
      <alignment vertical="center" wrapText="1"/>
      <protection locked="0"/>
    </xf>
    <xf numFmtId="191" fontId="11" fillId="41" borderId="48" xfId="10" applyNumberFormat="1" applyFont="1" applyFill="1" applyBorder="1" applyAlignment="1" applyProtection="1">
      <alignment vertical="center" wrapText="1"/>
      <protection locked="0"/>
    </xf>
    <xf numFmtId="191" fontId="11" fillId="41" borderId="11" xfId="10" applyNumberFormat="1" applyFont="1" applyFill="1" applyBorder="1" applyAlignment="1" applyProtection="1">
      <alignment vertical="center" wrapText="1"/>
      <protection locked="0"/>
    </xf>
    <xf numFmtId="191" fontId="11" fillId="41" borderId="184" xfId="10" applyNumberFormat="1" applyFont="1" applyFill="1" applyBorder="1" applyAlignment="1" applyProtection="1">
      <alignment vertical="center" wrapText="1"/>
      <protection locked="0"/>
    </xf>
    <xf numFmtId="191" fontId="11" fillId="41" borderId="179" xfId="10" applyNumberFormat="1" applyFont="1" applyFill="1" applyBorder="1" applyAlignment="1" applyProtection="1">
      <alignment vertical="center" wrapText="1"/>
      <protection locked="0"/>
    </xf>
    <xf numFmtId="0" fontId="11" fillId="41" borderId="48" xfId="0" applyFont="1" applyFill="1" applyBorder="1" applyAlignment="1" applyProtection="1">
      <alignment vertical="center" wrapText="1"/>
      <protection locked="0"/>
    </xf>
    <xf numFmtId="0" fontId="11" fillId="41" borderId="46" xfId="0" applyFont="1" applyFill="1" applyBorder="1" applyAlignment="1" applyProtection="1">
      <alignment vertical="center" wrapText="1"/>
      <protection locked="0"/>
    </xf>
    <xf numFmtId="0" fontId="11" fillId="41" borderId="52" xfId="0" applyFont="1" applyFill="1" applyBorder="1" applyAlignment="1" applyProtection="1">
      <alignment horizontal="justify" vertical="center" wrapText="1"/>
      <protection locked="0"/>
    </xf>
    <xf numFmtId="0" fontId="11" fillId="41" borderId="46" xfId="0" applyFont="1" applyFill="1" applyBorder="1" applyAlignment="1" applyProtection="1">
      <alignment horizontal="center" vertical="center" wrapText="1"/>
      <protection locked="0"/>
    </xf>
    <xf numFmtId="0" fontId="11" fillId="41" borderId="155" xfId="0" applyFont="1" applyFill="1" applyBorder="1" applyAlignment="1" applyProtection="1">
      <alignment horizontal="center" vertical="center" wrapText="1"/>
      <protection locked="0"/>
    </xf>
    <xf numFmtId="0" fontId="11" fillId="41" borderId="94" xfId="0" applyFont="1" applyFill="1" applyBorder="1" applyAlignment="1" applyProtection="1">
      <alignment horizontal="justify" vertical="center" wrapText="1"/>
      <protection locked="0"/>
    </xf>
    <xf numFmtId="9" fontId="11" fillId="41" borderId="184" xfId="5" applyFont="1" applyFill="1" applyBorder="1" applyAlignment="1" applyProtection="1">
      <alignment horizontal="center" vertical="center" wrapText="1"/>
      <protection locked="0"/>
    </xf>
    <xf numFmtId="0" fontId="11" fillId="41" borderId="184" xfId="0" applyFont="1" applyFill="1" applyBorder="1" applyAlignment="1" applyProtection="1">
      <alignment horizontal="center" vertical="center" wrapText="1"/>
      <protection locked="0"/>
    </xf>
    <xf numFmtId="0" fontId="11" fillId="41" borderId="179" xfId="0" applyFont="1" applyFill="1" applyBorder="1" applyAlignment="1" applyProtection="1">
      <alignment horizontal="center" vertical="center" wrapText="1"/>
      <protection locked="0"/>
    </xf>
    <xf numFmtId="191" fontId="11" fillId="41" borderId="48" xfId="10" applyNumberFormat="1" applyFont="1" applyFill="1" applyBorder="1" applyAlignment="1" applyProtection="1">
      <alignment horizontal="center" vertical="center" wrapText="1"/>
      <protection locked="0"/>
    </xf>
    <xf numFmtId="191" fontId="11" fillId="41" borderId="11" xfId="10" applyNumberFormat="1" applyFont="1" applyFill="1" applyBorder="1" applyAlignment="1" applyProtection="1">
      <alignment horizontal="center" vertical="center" wrapText="1"/>
      <protection locked="0"/>
    </xf>
    <xf numFmtId="191" fontId="11" fillId="41" borderId="184" xfId="10" applyNumberFormat="1" applyFont="1" applyFill="1" applyBorder="1" applyAlignment="1" applyProtection="1">
      <alignment horizontal="center" vertical="center" wrapText="1"/>
      <protection locked="0"/>
    </xf>
    <xf numFmtId="191" fontId="11" fillId="41" borderId="179" xfId="10" applyNumberFormat="1" applyFont="1" applyFill="1" applyBorder="1" applyAlignment="1" applyProtection="1">
      <alignment horizontal="center" vertical="center" wrapText="1"/>
      <protection locked="0"/>
    </xf>
    <xf numFmtId="0" fontId="11" fillId="41" borderId="48" xfId="0" applyFont="1" applyFill="1" applyBorder="1" applyAlignment="1" applyProtection="1">
      <alignment horizontal="center" vertical="center" wrapText="1"/>
      <protection locked="0"/>
    </xf>
    <xf numFmtId="9" fontId="11" fillId="41" borderId="11" xfId="0" applyNumberFormat="1" applyFont="1" applyFill="1" applyBorder="1" applyAlignment="1" applyProtection="1">
      <alignment vertical="center" wrapText="1"/>
      <protection locked="0"/>
    </xf>
    <xf numFmtId="9" fontId="11" fillId="41" borderId="184" xfId="0" applyNumberFormat="1" applyFont="1" applyFill="1" applyBorder="1" applyAlignment="1" applyProtection="1">
      <alignment vertical="center" wrapText="1"/>
      <protection locked="0"/>
    </xf>
    <xf numFmtId="9" fontId="11" fillId="41" borderId="179" xfId="0" applyNumberFormat="1" applyFont="1" applyFill="1" applyBorder="1" applyAlignment="1" applyProtection="1">
      <alignment vertical="center" wrapText="1"/>
      <protection locked="0"/>
    </xf>
    <xf numFmtId="9" fontId="11" fillId="41" borderId="48" xfId="0" applyNumberFormat="1" applyFont="1" applyFill="1" applyBorder="1" applyAlignment="1" applyProtection="1">
      <alignment vertical="center" wrapText="1"/>
      <protection locked="0"/>
    </xf>
    <xf numFmtId="9" fontId="11" fillId="41" borderId="46" xfId="0" applyNumberFormat="1" applyFont="1" applyFill="1" applyBorder="1" applyAlignment="1" applyProtection="1">
      <alignment vertical="center" wrapText="1"/>
      <protection locked="0"/>
    </xf>
    <xf numFmtId="9" fontId="11" fillId="41" borderId="11" xfId="0" applyNumberFormat="1" applyFont="1" applyFill="1" applyBorder="1" applyAlignment="1" applyProtection="1">
      <alignment horizontal="center" vertical="center" wrapText="1"/>
      <protection locked="0"/>
    </xf>
    <xf numFmtId="9" fontId="11" fillId="41" borderId="184" xfId="0" applyNumberFormat="1" applyFont="1" applyFill="1" applyBorder="1" applyAlignment="1" applyProtection="1">
      <alignment horizontal="center" vertical="center" wrapText="1"/>
      <protection locked="0"/>
    </xf>
    <xf numFmtId="9" fontId="11" fillId="41" borderId="179" xfId="0" applyNumberFormat="1" applyFont="1" applyFill="1" applyBorder="1" applyAlignment="1" applyProtection="1">
      <alignment horizontal="center" vertical="center" wrapText="1"/>
      <protection locked="0"/>
    </xf>
    <xf numFmtId="9" fontId="11" fillId="41" borderId="48" xfId="0" applyNumberFormat="1" applyFont="1" applyFill="1" applyBorder="1" applyAlignment="1" applyProtection="1">
      <alignment horizontal="center" vertical="center" wrapText="1"/>
      <protection locked="0"/>
    </xf>
    <xf numFmtId="9" fontId="11" fillId="41" borderId="46" xfId="0" applyNumberFormat="1" applyFont="1" applyFill="1" applyBorder="1" applyAlignment="1" applyProtection="1">
      <alignment horizontal="center" vertical="center" wrapText="1"/>
      <protection locked="0"/>
    </xf>
    <xf numFmtId="9" fontId="11" fillId="41" borderId="29" xfId="0" applyNumberFormat="1" applyFont="1" applyFill="1" applyBorder="1" applyAlignment="1" applyProtection="1">
      <alignment vertical="center" wrapText="1"/>
      <protection locked="0"/>
    </xf>
    <xf numFmtId="9" fontId="11" fillId="41" borderId="30" xfId="5" applyFont="1" applyFill="1" applyBorder="1" applyAlignment="1" applyProtection="1">
      <alignment vertical="center" wrapText="1"/>
      <protection locked="0"/>
    </xf>
    <xf numFmtId="9" fontId="11" fillId="41" borderId="30" xfId="0" applyNumberFormat="1" applyFont="1" applyFill="1" applyBorder="1" applyAlignment="1" applyProtection="1">
      <alignment vertical="center" wrapText="1"/>
      <protection locked="0"/>
    </xf>
    <xf numFmtId="9" fontId="11" fillId="41" borderId="66" xfId="0" applyNumberFormat="1" applyFont="1" applyFill="1" applyBorder="1" applyAlignment="1" applyProtection="1">
      <alignment vertical="center" wrapText="1"/>
      <protection locked="0"/>
    </xf>
    <xf numFmtId="191" fontId="11" fillId="41" borderId="50" xfId="10" applyNumberFormat="1" applyFont="1" applyFill="1" applyBorder="1" applyAlignment="1" applyProtection="1">
      <alignment vertical="center" wrapText="1"/>
      <protection locked="0"/>
    </xf>
    <xf numFmtId="191" fontId="11" fillId="41" borderId="29" xfId="10" applyNumberFormat="1" applyFont="1" applyFill="1" applyBorder="1" applyAlignment="1" applyProtection="1">
      <alignment vertical="center" wrapText="1"/>
      <protection locked="0"/>
    </xf>
    <xf numFmtId="191" fontId="11" fillId="41" borderId="30" xfId="10" applyNumberFormat="1" applyFont="1" applyFill="1" applyBorder="1" applyAlignment="1" applyProtection="1">
      <alignment vertical="center" wrapText="1"/>
      <protection locked="0"/>
    </xf>
    <xf numFmtId="191" fontId="11" fillId="41" borderId="66" xfId="10" applyNumberFormat="1" applyFont="1" applyFill="1" applyBorder="1" applyAlignment="1" applyProtection="1">
      <alignment vertical="center" wrapText="1"/>
      <protection locked="0"/>
    </xf>
    <xf numFmtId="9" fontId="11" fillId="41" borderId="50" xfId="0" applyNumberFormat="1" applyFont="1" applyFill="1" applyBorder="1" applyAlignment="1" applyProtection="1">
      <alignment vertical="center" wrapText="1"/>
      <protection locked="0"/>
    </xf>
    <xf numFmtId="9" fontId="11" fillId="41" borderId="177" xfId="0" applyNumberFormat="1" applyFont="1" applyFill="1" applyBorder="1" applyAlignment="1" applyProtection="1">
      <alignment vertical="center" wrapText="1"/>
      <protection locked="0"/>
    </xf>
    <xf numFmtId="0" fontId="11" fillId="41" borderId="31" xfId="0" applyFont="1" applyFill="1" applyBorder="1" applyAlignment="1" applyProtection="1">
      <alignment horizontal="justify" vertical="center" wrapText="1"/>
      <protection locked="0"/>
    </xf>
    <xf numFmtId="0" fontId="11" fillId="7" borderId="52" xfId="0" applyFont="1" applyFill="1" applyBorder="1" applyAlignment="1" applyProtection="1">
      <alignment horizontal="justify" vertical="center" wrapText="1"/>
      <protection locked="0"/>
    </xf>
    <xf numFmtId="0" fontId="11" fillId="7" borderId="11" xfId="0" applyFont="1" applyFill="1" applyBorder="1" applyAlignment="1" applyProtection="1">
      <alignment horizontal="center" vertical="center" wrapText="1"/>
      <protection locked="0"/>
    </xf>
    <xf numFmtId="9" fontId="11" fillId="7" borderId="11" xfId="0" applyNumberFormat="1" applyFont="1" applyFill="1" applyBorder="1" applyAlignment="1" applyProtection="1">
      <alignment vertical="center" wrapText="1"/>
      <protection locked="0"/>
    </xf>
    <xf numFmtId="9" fontId="11" fillId="7" borderId="184" xfId="5" applyFont="1" applyFill="1" applyBorder="1" applyAlignment="1" applyProtection="1">
      <alignment vertical="center" wrapText="1"/>
      <protection locked="0"/>
    </xf>
    <xf numFmtId="9" fontId="11" fillId="7" borderId="184" xfId="0" applyNumberFormat="1" applyFont="1" applyFill="1" applyBorder="1" applyAlignment="1" applyProtection="1">
      <alignment vertical="center" wrapText="1"/>
      <protection locked="0"/>
    </xf>
    <xf numFmtId="9" fontId="11" fillId="7" borderId="179" xfId="0" applyNumberFormat="1" applyFont="1" applyFill="1" applyBorder="1" applyAlignment="1" applyProtection="1">
      <alignment vertical="center" wrapText="1"/>
      <protection locked="0"/>
    </xf>
    <xf numFmtId="191" fontId="11" fillId="7" borderId="48" xfId="10" applyNumberFormat="1" applyFont="1" applyFill="1" applyBorder="1" applyAlignment="1" applyProtection="1">
      <alignment vertical="center" wrapText="1"/>
      <protection locked="0"/>
    </xf>
    <xf numFmtId="191" fontId="11" fillId="7" borderId="11" xfId="10" applyNumberFormat="1" applyFont="1" applyFill="1" applyBorder="1" applyAlignment="1" applyProtection="1">
      <alignment vertical="center" wrapText="1"/>
      <protection locked="0"/>
    </xf>
    <xf numFmtId="191" fontId="11" fillId="7" borderId="184" xfId="10" applyNumberFormat="1" applyFont="1" applyFill="1" applyBorder="1" applyAlignment="1" applyProtection="1">
      <alignment vertical="center" wrapText="1"/>
      <protection locked="0"/>
    </xf>
    <xf numFmtId="191" fontId="11" fillId="7" borderId="179" xfId="10" applyNumberFormat="1" applyFont="1" applyFill="1" applyBorder="1" applyAlignment="1" applyProtection="1">
      <alignment vertical="center" wrapText="1"/>
      <protection locked="0"/>
    </xf>
    <xf numFmtId="9" fontId="11" fillId="7" borderId="48" xfId="0" applyNumberFormat="1" applyFont="1" applyFill="1" applyBorder="1" applyAlignment="1" applyProtection="1">
      <alignment vertical="center" wrapText="1"/>
      <protection locked="0"/>
    </xf>
    <xf numFmtId="9" fontId="11" fillId="7" borderId="46" xfId="0" applyNumberFormat="1" applyFont="1" applyFill="1" applyBorder="1" applyAlignment="1" applyProtection="1">
      <alignment vertical="center" wrapText="1"/>
      <protection locked="0"/>
    </xf>
    <xf numFmtId="0" fontId="11" fillId="7" borderId="94" xfId="0" applyFont="1" applyFill="1" applyBorder="1" applyAlignment="1" applyProtection="1">
      <alignment horizontal="justify" vertical="center" wrapText="1"/>
      <protection locked="0"/>
    </xf>
    <xf numFmtId="0" fontId="11" fillId="7" borderId="46" xfId="0" applyFont="1" applyFill="1" applyBorder="1" applyAlignment="1" applyProtection="1">
      <alignment horizontal="center" vertical="center" wrapText="1"/>
      <protection locked="0"/>
    </xf>
    <xf numFmtId="0" fontId="11" fillId="7" borderId="155" xfId="0" applyFont="1" applyFill="1" applyBorder="1" applyAlignment="1" applyProtection="1">
      <alignment horizontal="center" vertical="center" wrapText="1"/>
      <protection locked="0"/>
    </xf>
    <xf numFmtId="9" fontId="11" fillId="7" borderId="11" xfId="0" applyNumberFormat="1" applyFont="1" applyFill="1" applyBorder="1" applyAlignment="1" applyProtection="1">
      <alignment horizontal="center" vertical="center" wrapText="1"/>
      <protection locked="0"/>
    </xf>
    <xf numFmtId="9" fontId="11" fillId="7" borderId="184" xfId="5" applyFont="1" applyFill="1" applyBorder="1" applyAlignment="1" applyProtection="1">
      <alignment horizontal="center" vertical="center" wrapText="1"/>
      <protection locked="0"/>
    </xf>
    <xf numFmtId="9" fontId="11" fillId="7" borderId="184" xfId="0" applyNumberFormat="1" applyFont="1" applyFill="1" applyBorder="1" applyAlignment="1" applyProtection="1">
      <alignment horizontal="center" vertical="center" wrapText="1"/>
      <protection locked="0"/>
    </xf>
    <xf numFmtId="9" fontId="11" fillId="7" borderId="179" xfId="0" applyNumberFormat="1" applyFont="1" applyFill="1" applyBorder="1" applyAlignment="1" applyProtection="1">
      <alignment horizontal="center" vertical="center" wrapText="1"/>
      <protection locked="0"/>
    </xf>
    <xf numFmtId="191" fontId="11" fillId="7" borderId="48" xfId="10" applyNumberFormat="1" applyFont="1" applyFill="1" applyBorder="1" applyAlignment="1" applyProtection="1">
      <alignment horizontal="center" vertical="center" wrapText="1"/>
      <protection locked="0"/>
    </xf>
    <xf numFmtId="191" fontId="11" fillId="7" borderId="11" xfId="10" applyNumberFormat="1" applyFont="1" applyFill="1" applyBorder="1" applyAlignment="1" applyProtection="1">
      <alignment horizontal="center" vertical="center" wrapText="1"/>
      <protection locked="0"/>
    </xf>
    <xf numFmtId="191" fontId="11" fillId="7" borderId="184" xfId="10" applyNumberFormat="1" applyFont="1" applyFill="1" applyBorder="1" applyAlignment="1" applyProtection="1">
      <alignment horizontal="center" vertical="center" wrapText="1"/>
      <protection locked="0"/>
    </xf>
    <xf numFmtId="191" fontId="11" fillId="7" borderId="179" xfId="10" applyNumberFormat="1" applyFont="1" applyFill="1" applyBorder="1" applyAlignment="1" applyProtection="1">
      <alignment horizontal="center" vertical="center" wrapText="1"/>
      <protection locked="0"/>
    </xf>
    <xf numFmtId="9" fontId="11" fillId="7" borderId="48" xfId="0" applyNumberFormat="1" applyFont="1" applyFill="1" applyBorder="1" applyAlignment="1" applyProtection="1">
      <alignment horizontal="center" vertical="center" wrapText="1"/>
      <protection locked="0"/>
    </xf>
    <xf numFmtId="9" fontId="11" fillId="7" borderId="46" xfId="0" applyNumberFormat="1" applyFont="1" applyFill="1" applyBorder="1" applyAlignment="1" applyProtection="1">
      <alignment horizontal="center" vertical="center" wrapText="1"/>
      <protection locked="0"/>
    </xf>
    <xf numFmtId="0" fontId="11" fillId="7" borderId="159" xfId="0" applyFont="1" applyFill="1" applyBorder="1" applyAlignment="1" applyProtection="1">
      <alignment horizontal="justify" vertical="center" wrapText="1"/>
      <protection locked="0"/>
    </xf>
    <xf numFmtId="9" fontId="11" fillId="7" borderId="29" xfId="0" applyNumberFormat="1" applyFont="1" applyFill="1" applyBorder="1" applyAlignment="1" applyProtection="1">
      <alignment horizontal="center" vertical="center" wrapText="1"/>
      <protection locked="0"/>
    </xf>
    <xf numFmtId="9" fontId="11" fillId="7" borderId="30" xfId="5" applyFont="1" applyFill="1" applyBorder="1" applyAlignment="1" applyProtection="1">
      <alignment horizontal="center" vertical="center" wrapText="1"/>
      <protection locked="0"/>
    </xf>
    <xf numFmtId="9" fontId="11" fillId="7" borderId="30" xfId="0" applyNumberFormat="1" applyFont="1" applyFill="1" applyBorder="1" applyAlignment="1" applyProtection="1">
      <alignment horizontal="center" vertical="center" wrapText="1"/>
      <protection locked="0"/>
    </xf>
    <xf numFmtId="9" fontId="11" fillId="7" borderId="66" xfId="0" applyNumberFormat="1" applyFont="1" applyFill="1" applyBorder="1" applyAlignment="1" applyProtection="1">
      <alignment horizontal="center" vertical="center" wrapText="1"/>
      <protection locked="0"/>
    </xf>
    <xf numFmtId="191" fontId="11" fillId="7" borderId="50" xfId="10" applyNumberFormat="1" applyFont="1" applyFill="1" applyBorder="1" applyAlignment="1" applyProtection="1">
      <alignment horizontal="center" vertical="center" wrapText="1"/>
      <protection locked="0"/>
    </xf>
    <xf numFmtId="191" fontId="11" fillId="7" borderId="29" xfId="10" applyNumberFormat="1" applyFont="1" applyFill="1" applyBorder="1" applyAlignment="1" applyProtection="1">
      <alignment horizontal="center" vertical="center" wrapText="1"/>
      <protection locked="0"/>
    </xf>
    <xf numFmtId="191" fontId="11" fillId="7" borderId="30" xfId="10" applyNumberFormat="1" applyFont="1" applyFill="1" applyBorder="1" applyAlignment="1" applyProtection="1">
      <alignment horizontal="center" vertical="center" wrapText="1"/>
      <protection locked="0"/>
    </xf>
    <xf numFmtId="191" fontId="11" fillId="7" borderId="66" xfId="10" applyNumberFormat="1" applyFont="1" applyFill="1" applyBorder="1" applyAlignment="1" applyProtection="1">
      <alignment horizontal="center" vertical="center" wrapText="1"/>
      <protection locked="0"/>
    </xf>
    <xf numFmtId="9" fontId="11" fillId="7" borderId="50" xfId="0" applyNumberFormat="1" applyFont="1" applyFill="1" applyBorder="1" applyAlignment="1" applyProtection="1">
      <alignment horizontal="center" vertical="center" wrapText="1"/>
      <protection locked="0"/>
    </xf>
    <xf numFmtId="9" fontId="11" fillId="7" borderId="177" xfId="0" applyNumberFormat="1" applyFont="1" applyFill="1" applyBorder="1" applyAlignment="1" applyProtection="1">
      <alignment horizontal="center" vertical="center" wrapText="1"/>
      <protection locked="0"/>
    </xf>
    <xf numFmtId="0" fontId="11" fillId="51" borderId="9" xfId="0" applyFont="1" applyFill="1" applyBorder="1" applyAlignment="1" applyProtection="1">
      <alignment horizontal="justify" vertical="center" wrapText="1"/>
      <protection locked="0"/>
    </xf>
    <xf numFmtId="0" fontId="11" fillId="51" borderId="51" xfId="0" applyFont="1" applyFill="1" applyBorder="1" applyAlignment="1" applyProtection="1">
      <alignment horizontal="center" vertical="center" wrapText="1"/>
      <protection locked="0"/>
    </xf>
    <xf numFmtId="9" fontId="11" fillId="51" borderId="32" xfId="5" applyFont="1" applyFill="1" applyBorder="1" applyAlignment="1" applyProtection="1">
      <alignment horizontal="center" vertical="center" wrapText="1"/>
      <protection locked="0"/>
    </xf>
    <xf numFmtId="0" fontId="11" fillId="51" borderId="32" xfId="0" applyFont="1" applyFill="1" applyBorder="1" applyAlignment="1" applyProtection="1">
      <alignment horizontal="center" vertical="center" wrapText="1"/>
      <protection locked="0"/>
    </xf>
    <xf numFmtId="0" fontId="11" fillId="51" borderId="38" xfId="0" applyFont="1" applyFill="1" applyBorder="1" applyAlignment="1" applyProtection="1">
      <alignment horizontal="center" vertical="center" wrapText="1"/>
      <protection locked="0"/>
    </xf>
    <xf numFmtId="191" fontId="11" fillId="51" borderId="99" xfId="10" applyNumberFormat="1" applyFont="1" applyFill="1" applyBorder="1" applyAlignment="1" applyProtection="1">
      <alignment horizontal="center" vertical="center" wrapText="1"/>
      <protection locked="0"/>
    </xf>
    <xf numFmtId="191" fontId="11" fillId="51" borderId="51" xfId="10" applyNumberFormat="1" applyFont="1" applyFill="1" applyBorder="1" applyAlignment="1" applyProtection="1">
      <alignment horizontal="center" vertical="center" wrapText="1"/>
      <protection locked="0"/>
    </xf>
    <xf numFmtId="191" fontId="11" fillId="51" borderId="32" xfId="10" applyNumberFormat="1" applyFont="1" applyFill="1" applyBorder="1" applyAlignment="1" applyProtection="1">
      <alignment horizontal="center" vertical="center" wrapText="1"/>
      <protection locked="0"/>
    </xf>
    <xf numFmtId="191" fontId="11" fillId="51" borderId="38" xfId="10" applyNumberFormat="1" applyFont="1" applyFill="1" applyBorder="1" applyAlignment="1" applyProtection="1">
      <alignment horizontal="center" vertical="center" wrapText="1"/>
      <protection locked="0"/>
    </xf>
    <xf numFmtId="0" fontId="11" fillId="51" borderId="99" xfId="0" applyFont="1" applyFill="1" applyBorder="1" applyAlignment="1" applyProtection="1">
      <alignment horizontal="center" vertical="center" wrapText="1"/>
      <protection locked="0"/>
    </xf>
    <xf numFmtId="0" fontId="11" fillId="51" borderId="11" xfId="0" applyFont="1" applyFill="1" applyBorder="1" applyAlignment="1" applyProtection="1">
      <alignment horizontal="center" vertical="center" wrapText="1"/>
      <protection locked="0"/>
    </xf>
    <xf numFmtId="9" fontId="11" fillId="51" borderId="184" xfId="5" applyFont="1" applyFill="1" applyBorder="1" applyAlignment="1" applyProtection="1">
      <alignment horizontal="center" vertical="center" wrapText="1"/>
      <protection locked="0"/>
    </xf>
    <xf numFmtId="0" fontId="11" fillId="51" borderId="184" xfId="0" applyFont="1" applyFill="1" applyBorder="1" applyAlignment="1" applyProtection="1">
      <alignment horizontal="center" vertical="center" wrapText="1"/>
      <protection locked="0"/>
    </xf>
    <xf numFmtId="0" fontId="11" fillId="51" borderId="179" xfId="0" applyFont="1" applyFill="1" applyBorder="1" applyAlignment="1" applyProtection="1">
      <alignment horizontal="center" vertical="center" wrapText="1"/>
      <protection locked="0"/>
    </xf>
    <xf numFmtId="191" fontId="11" fillId="51" borderId="48" xfId="10" applyNumberFormat="1" applyFont="1" applyFill="1" applyBorder="1" applyAlignment="1" applyProtection="1">
      <alignment horizontal="center" vertical="center" wrapText="1"/>
      <protection locked="0"/>
    </xf>
    <xf numFmtId="191" fontId="11" fillId="51" borderId="11" xfId="10" applyNumberFormat="1" applyFont="1" applyFill="1" applyBorder="1" applyAlignment="1" applyProtection="1">
      <alignment horizontal="center" vertical="center" wrapText="1"/>
      <protection locked="0"/>
    </xf>
    <xf numFmtId="191" fontId="11" fillId="51" borderId="184" xfId="10" applyNumberFormat="1" applyFont="1" applyFill="1" applyBorder="1" applyAlignment="1" applyProtection="1">
      <alignment horizontal="center" vertical="center" wrapText="1"/>
      <protection locked="0"/>
    </xf>
    <xf numFmtId="191" fontId="11" fillId="51" borderId="179" xfId="10" applyNumberFormat="1" applyFont="1" applyFill="1" applyBorder="1" applyAlignment="1" applyProtection="1">
      <alignment horizontal="center" vertical="center" wrapText="1"/>
      <protection locked="0"/>
    </xf>
    <xf numFmtId="0" fontId="11" fillId="51" borderId="48" xfId="0" applyFont="1" applyFill="1" applyBorder="1" applyAlignment="1" applyProtection="1">
      <alignment horizontal="center" vertical="center" wrapText="1"/>
      <protection locked="0"/>
    </xf>
    <xf numFmtId="9" fontId="11" fillId="51" borderId="29" xfId="0" applyNumberFormat="1" applyFont="1" applyFill="1" applyBorder="1" applyAlignment="1" applyProtection="1">
      <alignment horizontal="center" vertical="center" wrapText="1"/>
      <protection locked="0"/>
    </xf>
    <xf numFmtId="9" fontId="11" fillId="51" borderId="30" xfId="5" applyFont="1" applyFill="1" applyBorder="1" applyAlignment="1" applyProtection="1">
      <alignment horizontal="center" vertical="center" wrapText="1"/>
      <protection locked="0"/>
    </xf>
    <xf numFmtId="9" fontId="11" fillId="51" borderId="30" xfId="0" applyNumberFormat="1" applyFont="1" applyFill="1" applyBorder="1" applyAlignment="1" applyProtection="1">
      <alignment horizontal="center" vertical="center" wrapText="1"/>
      <protection locked="0"/>
    </xf>
    <xf numFmtId="9" fontId="11" fillId="51" borderId="66" xfId="0" applyNumberFormat="1" applyFont="1" applyFill="1" applyBorder="1" applyAlignment="1" applyProtection="1">
      <alignment horizontal="center" vertical="center" wrapText="1"/>
      <protection locked="0"/>
    </xf>
    <xf numFmtId="191" fontId="11" fillId="51" borderId="50" xfId="10" applyNumberFormat="1" applyFont="1" applyFill="1" applyBorder="1" applyAlignment="1" applyProtection="1">
      <alignment horizontal="center" vertical="center" wrapText="1"/>
      <protection locked="0"/>
    </xf>
    <xf numFmtId="191" fontId="11" fillId="51" borderId="29" xfId="10" applyNumberFormat="1" applyFont="1" applyFill="1" applyBorder="1" applyAlignment="1" applyProtection="1">
      <alignment horizontal="center" vertical="center" wrapText="1"/>
      <protection locked="0"/>
    </xf>
    <xf numFmtId="191" fontId="11" fillId="51" borderId="30" xfId="10" applyNumberFormat="1" applyFont="1" applyFill="1" applyBorder="1" applyAlignment="1" applyProtection="1">
      <alignment horizontal="center" vertical="center" wrapText="1"/>
      <protection locked="0"/>
    </xf>
    <xf numFmtId="191" fontId="11" fillId="51" borderId="66" xfId="10" applyNumberFormat="1" applyFont="1" applyFill="1" applyBorder="1" applyAlignment="1" applyProtection="1">
      <alignment horizontal="center" vertical="center" wrapText="1"/>
      <protection locked="0"/>
    </xf>
    <xf numFmtId="9" fontId="11" fillId="51" borderId="50" xfId="0" applyNumberFormat="1" applyFont="1" applyFill="1" applyBorder="1" applyAlignment="1" applyProtection="1">
      <alignment horizontal="center" vertical="center" wrapText="1"/>
      <protection locked="0"/>
    </xf>
    <xf numFmtId="9" fontId="11" fillId="51" borderId="177" xfId="0" applyNumberFormat="1" applyFont="1" applyFill="1" applyBorder="1" applyAlignment="1" applyProtection="1">
      <alignment horizontal="center" vertical="center" wrapText="1"/>
      <protection locked="0"/>
    </xf>
    <xf numFmtId="0" fontId="11" fillId="51" borderId="31" xfId="0" applyFont="1" applyFill="1" applyBorder="1" applyAlignment="1" applyProtection="1">
      <alignment horizontal="justify" vertical="center" wrapText="1"/>
      <protection locked="0"/>
    </xf>
    <xf numFmtId="0" fontId="11" fillId="66" borderId="60" xfId="0" applyFont="1" applyFill="1" applyBorder="1" applyAlignment="1" applyProtection="1">
      <alignment horizontal="center" vertical="center" wrapText="1"/>
      <protection locked="0"/>
    </xf>
    <xf numFmtId="0" fontId="11" fillId="66" borderId="100" xfId="0" applyFont="1" applyFill="1" applyBorder="1" applyAlignment="1" applyProtection="1">
      <alignment horizontal="center" vertical="center" wrapText="1"/>
      <protection locked="0"/>
    </xf>
    <xf numFmtId="0" fontId="11" fillId="66" borderId="52" xfId="0" applyFont="1" applyFill="1" applyBorder="1" applyAlignment="1" applyProtection="1">
      <alignment horizontal="justify" vertical="center" wrapText="1"/>
      <protection locked="0"/>
    </xf>
    <xf numFmtId="9" fontId="11" fillId="66" borderId="51" xfId="0" applyNumberFormat="1" applyFont="1" applyFill="1" applyBorder="1" applyAlignment="1" applyProtection="1">
      <alignment horizontal="center" vertical="center" wrapText="1"/>
      <protection locked="0"/>
    </xf>
    <xf numFmtId="9" fontId="11" fillId="66" borderId="32" xfId="5" applyFont="1" applyFill="1" applyBorder="1" applyAlignment="1" applyProtection="1">
      <alignment horizontal="center" vertical="center" wrapText="1"/>
      <protection locked="0"/>
    </xf>
    <xf numFmtId="9" fontId="11" fillId="66" borderId="32" xfId="0" applyNumberFormat="1" applyFont="1" applyFill="1" applyBorder="1" applyAlignment="1" applyProtection="1">
      <alignment horizontal="center" vertical="center" wrapText="1"/>
      <protection locked="0"/>
    </xf>
    <xf numFmtId="9" fontId="11" fillId="66" borderId="38" xfId="0" applyNumberFormat="1" applyFont="1" applyFill="1" applyBorder="1" applyAlignment="1" applyProtection="1">
      <alignment horizontal="center" vertical="center" wrapText="1"/>
      <protection locked="0"/>
    </xf>
    <xf numFmtId="191" fontId="11" fillId="66" borderId="99" xfId="10" applyNumberFormat="1" applyFont="1" applyFill="1" applyBorder="1" applyAlignment="1" applyProtection="1">
      <alignment horizontal="center" vertical="center" wrapText="1"/>
      <protection locked="0"/>
    </xf>
    <xf numFmtId="191" fontId="11" fillId="66" borderId="51" xfId="10" applyNumberFormat="1" applyFont="1" applyFill="1" applyBorder="1" applyAlignment="1" applyProtection="1">
      <alignment horizontal="center" vertical="center" wrapText="1"/>
      <protection locked="0"/>
    </xf>
    <xf numFmtId="191" fontId="11" fillId="66" borderId="32" xfId="10" applyNumberFormat="1" applyFont="1" applyFill="1" applyBorder="1" applyAlignment="1" applyProtection="1">
      <alignment horizontal="center" vertical="center" wrapText="1"/>
      <protection locked="0"/>
    </xf>
    <xf numFmtId="191" fontId="11" fillId="66" borderId="38" xfId="10" applyNumberFormat="1" applyFont="1" applyFill="1" applyBorder="1" applyAlignment="1" applyProtection="1">
      <alignment horizontal="center" vertical="center" wrapText="1"/>
      <protection locked="0"/>
    </xf>
    <xf numFmtId="9" fontId="11" fillId="66" borderId="99" xfId="0" applyNumberFormat="1" applyFont="1" applyFill="1" applyBorder="1" applyAlignment="1" applyProtection="1">
      <alignment horizontal="center" vertical="center" wrapText="1"/>
      <protection locked="0"/>
    </xf>
    <xf numFmtId="9" fontId="11" fillId="66" borderId="60" xfId="0" applyNumberFormat="1" applyFont="1" applyFill="1" applyBorder="1" applyAlignment="1" applyProtection="1">
      <alignment horizontal="center" vertical="center" wrapText="1"/>
      <protection locked="0"/>
    </xf>
    <xf numFmtId="0" fontId="11" fillId="66" borderId="46" xfId="0" applyFont="1" applyFill="1" applyBorder="1" applyAlignment="1" applyProtection="1">
      <alignment horizontal="center" vertical="center" wrapText="1"/>
      <protection locked="0"/>
    </xf>
    <xf numFmtId="0" fontId="11" fillId="66" borderId="155" xfId="0" applyFont="1" applyFill="1" applyBorder="1" applyAlignment="1" applyProtection="1">
      <alignment horizontal="center" vertical="center" wrapText="1"/>
      <protection locked="0"/>
    </xf>
    <xf numFmtId="0" fontId="11" fillId="66" borderId="11" xfId="0" applyFont="1" applyFill="1" applyBorder="1" applyAlignment="1" applyProtection="1">
      <alignment horizontal="center" vertical="center" wrapText="1"/>
      <protection locked="0"/>
    </xf>
    <xf numFmtId="0" fontId="11" fillId="66" borderId="94" xfId="0" applyFont="1" applyFill="1" applyBorder="1" applyAlignment="1" applyProtection="1">
      <alignment horizontal="justify" vertical="center" wrapText="1"/>
      <protection locked="0"/>
    </xf>
    <xf numFmtId="9" fontId="11" fillId="66" borderId="11" xfId="0" applyNumberFormat="1" applyFont="1" applyFill="1" applyBorder="1" applyAlignment="1" applyProtection="1">
      <alignment horizontal="center" vertical="center" wrapText="1"/>
      <protection locked="0"/>
    </xf>
    <xf numFmtId="9" fontId="11" fillId="66" borderId="184" xfId="5" applyFont="1" applyFill="1" applyBorder="1" applyAlignment="1" applyProtection="1">
      <alignment horizontal="center" vertical="center" wrapText="1"/>
      <protection locked="0"/>
    </xf>
    <xf numFmtId="9" fontId="11" fillId="66" borderId="184" xfId="0" applyNumberFormat="1" applyFont="1" applyFill="1" applyBorder="1" applyAlignment="1" applyProtection="1">
      <alignment horizontal="center" vertical="center" wrapText="1"/>
      <protection locked="0"/>
    </xf>
    <xf numFmtId="9" fontId="11" fillId="66" borderId="179" xfId="0" applyNumberFormat="1" applyFont="1" applyFill="1" applyBorder="1" applyAlignment="1" applyProtection="1">
      <alignment horizontal="center" vertical="center" wrapText="1"/>
      <protection locked="0"/>
    </xf>
    <xf numFmtId="191" fontId="11" fillId="66" borderId="48" xfId="10" applyNumberFormat="1" applyFont="1" applyFill="1" applyBorder="1" applyAlignment="1" applyProtection="1">
      <alignment horizontal="center" vertical="center" wrapText="1"/>
      <protection locked="0"/>
    </xf>
    <xf numFmtId="191" fontId="11" fillId="66" borderId="11" xfId="10" applyNumberFormat="1" applyFont="1" applyFill="1" applyBorder="1" applyAlignment="1" applyProtection="1">
      <alignment horizontal="center" vertical="center" wrapText="1"/>
      <protection locked="0"/>
    </xf>
    <xf numFmtId="191" fontId="11" fillId="66" borderId="184" xfId="10" applyNumberFormat="1" applyFont="1" applyFill="1" applyBorder="1" applyAlignment="1" applyProtection="1">
      <alignment horizontal="center" vertical="center" wrapText="1"/>
      <protection locked="0"/>
    </xf>
    <xf numFmtId="191" fontId="11" fillId="66" borderId="179" xfId="10" applyNumberFormat="1" applyFont="1" applyFill="1" applyBorder="1" applyAlignment="1" applyProtection="1">
      <alignment horizontal="center" vertical="center" wrapText="1"/>
      <protection locked="0"/>
    </xf>
    <xf numFmtId="9" fontId="11" fillId="66" borderId="48" xfId="0" applyNumberFormat="1" applyFont="1" applyFill="1" applyBorder="1" applyAlignment="1" applyProtection="1">
      <alignment horizontal="center" vertical="center" wrapText="1"/>
      <protection locked="0"/>
    </xf>
    <xf numFmtId="9" fontId="11" fillId="66" borderId="46" xfId="0" applyNumberFormat="1" applyFont="1" applyFill="1" applyBorder="1" applyAlignment="1" applyProtection="1">
      <alignment horizontal="center" vertical="center" wrapText="1"/>
      <protection locked="0"/>
    </xf>
    <xf numFmtId="0" fontId="11" fillId="66" borderId="184" xfId="0" applyFont="1" applyFill="1" applyBorder="1" applyAlignment="1" applyProtection="1">
      <alignment horizontal="center" vertical="center" wrapText="1"/>
      <protection locked="0"/>
    </xf>
    <xf numFmtId="0" fontId="11" fillId="66" borderId="179" xfId="0" applyFont="1" applyFill="1" applyBorder="1" applyAlignment="1" applyProtection="1">
      <alignment horizontal="center" vertical="center" wrapText="1"/>
      <protection locked="0"/>
    </xf>
    <xf numFmtId="0" fontId="11" fillId="66" borderId="48" xfId="0" applyFont="1" applyFill="1" applyBorder="1" applyAlignment="1" applyProtection="1">
      <alignment horizontal="center" vertical="center" wrapText="1"/>
      <protection locked="0"/>
    </xf>
    <xf numFmtId="9" fontId="11" fillId="66" borderId="11" xfId="0" applyNumberFormat="1" applyFont="1" applyFill="1" applyBorder="1" applyAlignment="1" applyProtection="1">
      <alignment vertical="center" wrapText="1"/>
      <protection locked="0"/>
    </xf>
    <xf numFmtId="9" fontId="11" fillId="66" borderId="184" xfId="5" applyFont="1" applyFill="1" applyBorder="1" applyAlignment="1" applyProtection="1">
      <alignment vertical="center" wrapText="1"/>
      <protection locked="0"/>
    </xf>
    <xf numFmtId="9" fontId="11" fillId="66" borderId="184" xfId="0" applyNumberFormat="1" applyFont="1" applyFill="1" applyBorder="1" applyAlignment="1" applyProtection="1">
      <alignment vertical="center" wrapText="1"/>
      <protection locked="0"/>
    </xf>
    <xf numFmtId="9" fontId="11" fillId="66" borderId="179" xfId="0" applyNumberFormat="1" applyFont="1" applyFill="1" applyBorder="1" applyAlignment="1" applyProtection="1">
      <alignment vertical="center" wrapText="1"/>
      <protection locked="0"/>
    </xf>
    <xf numFmtId="191" fontId="11" fillId="66" borderId="48" xfId="10" applyNumberFormat="1" applyFont="1" applyFill="1" applyBorder="1" applyAlignment="1" applyProtection="1">
      <alignment vertical="center" wrapText="1"/>
      <protection locked="0"/>
    </xf>
    <xf numFmtId="191" fontId="11" fillId="66" borderId="11" xfId="10" applyNumberFormat="1" applyFont="1" applyFill="1" applyBorder="1" applyAlignment="1" applyProtection="1">
      <alignment vertical="center" wrapText="1"/>
      <protection locked="0"/>
    </xf>
    <xf numFmtId="191" fontId="11" fillId="66" borderId="184" xfId="10" applyNumberFormat="1" applyFont="1" applyFill="1" applyBorder="1" applyAlignment="1" applyProtection="1">
      <alignment vertical="center" wrapText="1"/>
      <protection locked="0"/>
    </xf>
    <xf numFmtId="191" fontId="11" fillId="66" borderId="179" xfId="10" applyNumberFormat="1" applyFont="1" applyFill="1" applyBorder="1" applyAlignment="1" applyProtection="1">
      <alignment vertical="center" wrapText="1"/>
      <protection locked="0"/>
    </xf>
    <xf numFmtId="9" fontId="11" fillId="66" borderId="48" xfId="0" applyNumberFormat="1" applyFont="1" applyFill="1" applyBorder="1" applyAlignment="1" applyProtection="1">
      <alignment vertical="center" wrapText="1"/>
      <protection locked="0"/>
    </xf>
    <xf numFmtId="9" fontId="11" fillId="66" borderId="46" xfId="0" applyNumberFormat="1" applyFont="1" applyFill="1" applyBorder="1" applyAlignment="1" applyProtection="1">
      <alignment vertical="center" wrapText="1"/>
      <protection locked="0"/>
    </xf>
    <xf numFmtId="0" fontId="11" fillId="66" borderId="159" xfId="0" applyFont="1" applyFill="1" applyBorder="1" applyAlignment="1" applyProtection="1">
      <alignment horizontal="justify" vertical="center" wrapText="1"/>
      <protection locked="0"/>
    </xf>
    <xf numFmtId="0" fontId="11" fillId="66" borderId="27" xfId="0" applyFont="1" applyFill="1" applyBorder="1" applyAlignment="1" applyProtection="1">
      <alignment horizontal="justify" vertical="center" wrapText="1"/>
      <protection locked="0"/>
    </xf>
    <xf numFmtId="0" fontId="11" fillId="66" borderId="11" xfId="0" applyFont="1" applyFill="1" applyBorder="1" applyAlignment="1" applyProtection="1">
      <alignment vertical="center" wrapText="1"/>
      <protection locked="0"/>
    </xf>
    <xf numFmtId="0" fontId="11" fillId="66" borderId="184" xfId="0" applyFont="1" applyFill="1" applyBorder="1" applyAlignment="1" applyProtection="1">
      <alignment vertical="center" wrapText="1"/>
      <protection locked="0"/>
    </xf>
    <xf numFmtId="0" fontId="11" fillId="66" borderId="179" xfId="0" applyFont="1" applyFill="1" applyBorder="1" applyAlignment="1" applyProtection="1">
      <alignment vertical="center" wrapText="1"/>
      <protection locked="0"/>
    </xf>
    <xf numFmtId="0" fontId="11" fillId="66" borderId="48" xfId="0" applyFont="1" applyFill="1" applyBorder="1" applyAlignment="1" applyProtection="1">
      <alignment vertical="center" wrapText="1"/>
      <protection locked="0"/>
    </xf>
    <xf numFmtId="0" fontId="11" fillId="66" borderId="46" xfId="0" applyFont="1" applyFill="1" applyBorder="1" applyAlignment="1" applyProtection="1">
      <alignment vertical="center" wrapText="1"/>
      <protection locked="0"/>
    </xf>
    <xf numFmtId="0" fontId="11" fillId="66" borderId="29" xfId="0" applyFont="1" applyFill="1" applyBorder="1" applyAlignment="1" applyProtection="1">
      <alignment vertical="center" wrapText="1"/>
      <protection locked="0"/>
    </xf>
    <xf numFmtId="9" fontId="11" fillId="66" borderId="30" xfId="5" applyFont="1" applyFill="1" applyBorder="1" applyAlignment="1" applyProtection="1">
      <alignment vertical="center" wrapText="1"/>
      <protection locked="0"/>
    </xf>
    <xf numFmtId="0" fontId="11" fillId="66" borderId="30" xfId="0" applyFont="1" applyFill="1" applyBorder="1" applyAlignment="1" applyProtection="1">
      <alignment vertical="center" wrapText="1"/>
      <protection locked="0"/>
    </xf>
    <xf numFmtId="0" fontId="11" fillId="66" borderId="66" xfId="0" applyFont="1" applyFill="1" applyBorder="1" applyAlignment="1" applyProtection="1">
      <alignment vertical="center" wrapText="1"/>
      <protection locked="0"/>
    </xf>
    <xf numFmtId="191" fontId="11" fillId="66" borderId="50" xfId="10" applyNumberFormat="1" applyFont="1" applyFill="1" applyBorder="1" applyAlignment="1" applyProtection="1">
      <alignment vertical="center" wrapText="1"/>
      <protection locked="0"/>
    </xf>
    <xf numFmtId="191" fontId="11" fillId="66" borderId="29" xfId="10" applyNumberFormat="1" applyFont="1" applyFill="1" applyBorder="1" applyAlignment="1" applyProtection="1">
      <alignment vertical="center" wrapText="1"/>
      <protection locked="0"/>
    </xf>
    <xf numFmtId="191" fontId="11" fillId="66" borderId="30" xfId="10" applyNumberFormat="1" applyFont="1" applyFill="1" applyBorder="1" applyAlignment="1" applyProtection="1">
      <alignment vertical="center" wrapText="1"/>
      <protection locked="0"/>
    </xf>
    <xf numFmtId="191" fontId="11" fillId="66" borderId="66" xfId="10" applyNumberFormat="1" applyFont="1" applyFill="1" applyBorder="1" applyAlignment="1" applyProtection="1">
      <alignment vertical="center" wrapText="1"/>
      <protection locked="0"/>
    </xf>
    <xf numFmtId="0" fontId="11" fillId="66" borderId="50" xfId="0" applyFont="1" applyFill="1" applyBorder="1" applyAlignment="1" applyProtection="1">
      <alignment vertical="center" wrapText="1"/>
      <protection locked="0"/>
    </xf>
    <xf numFmtId="0" fontId="11" fillId="66" borderId="177" xfId="0" applyFont="1" applyFill="1" applyBorder="1" applyAlignment="1" applyProtection="1">
      <alignment vertical="center" wrapText="1"/>
      <protection locked="0"/>
    </xf>
    <xf numFmtId="0" fontId="11" fillId="66" borderId="57" xfId="0" applyFont="1" applyFill="1" applyBorder="1" applyAlignment="1" applyProtection="1">
      <alignment horizontal="justify" vertical="center" wrapText="1"/>
      <protection locked="0"/>
    </xf>
    <xf numFmtId="9" fontId="11" fillId="29" borderId="51" xfId="0" applyNumberFormat="1" applyFont="1" applyFill="1" applyBorder="1" applyAlignment="1" applyProtection="1">
      <alignment vertical="center"/>
      <protection locked="0"/>
    </xf>
    <xf numFmtId="9" fontId="11" fillId="29" borderId="32" xfId="5" applyFont="1" applyFill="1" applyBorder="1" applyAlignment="1" applyProtection="1">
      <alignment vertical="center"/>
      <protection locked="0"/>
    </xf>
    <xf numFmtId="9" fontId="11" fillId="29" borderId="32" xfId="0" applyNumberFormat="1" applyFont="1" applyFill="1" applyBorder="1" applyAlignment="1" applyProtection="1">
      <alignment vertical="center"/>
      <protection locked="0"/>
    </xf>
    <xf numFmtId="9" fontId="11" fillId="29" borderId="38" xfId="0" applyNumberFormat="1" applyFont="1" applyFill="1" applyBorder="1" applyAlignment="1" applyProtection="1">
      <alignment vertical="center"/>
      <protection locked="0"/>
    </xf>
    <xf numFmtId="191" fontId="11" fillId="29" borderId="99" xfId="10" applyNumberFormat="1" applyFont="1" applyFill="1" applyBorder="1" applyAlignment="1" applyProtection="1">
      <alignment vertical="center"/>
      <protection locked="0"/>
    </xf>
    <xf numFmtId="191" fontId="11" fillId="29" borderId="51" xfId="10" applyNumberFormat="1" applyFont="1" applyFill="1" applyBorder="1" applyAlignment="1" applyProtection="1">
      <alignment vertical="center"/>
      <protection locked="0"/>
    </xf>
    <xf numFmtId="191" fontId="11" fillId="29" borderId="32" xfId="10" applyNumberFormat="1" applyFont="1" applyFill="1" applyBorder="1" applyAlignment="1" applyProtection="1">
      <alignment vertical="center"/>
      <protection locked="0"/>
    </xf>
    <xf numFmtId="191" fontId="11" fillId="29" borderId="38" xfId="10" applyNumberFormat="1" applyFont="1" applyFill="1" applyBorder="1" applyAlignment="1" applyProtection="1">
      <alignment vertical="center"/>
      <protection locked="0"/>
    </xf>
    <xf numFmtId="9" fontId="11" fillId="29" borderId="99" xfId="0" applyNumberFormat="1" applyFont="1" applyFill="1" applyBorder="1" applyAlignment="1" applyProtection="1">
      <alignment vertical="center"/>
      <protection locked="0"/>
    </xf>
    <xf numFmtId="9" fontId="11" fillId="29" borderId="60" xfId="0" applyNumberFormat="1" applyFont="1" applyFill="1" applyBorder="1" applyAlignment="1" applyProtection="1">
      <alignment vertical="center"/>
      <protection locked="0"/>
    </xf>
    <xf numFmtId="0" fontId="11" fillId="29" borderId="52" xfId="0" applyFont="1" applyFill="1" applyBorder="1" applyAlignment="1" applyProtection="1">
      <alignment horizontal="justify" vertical="center" wrapText="1"/>
      <protection locked="0"/>
    </xf>
    <xf numFmtId="9" fontId="11" fillId="29" borderId="11" xfId="0" applyNumberFormat="1" applyFont="1" applyFill="1" applyBorder="1" applyAlignment="1" applyProtection="1">
      <alignment vertical="center"/>
      <protection locked="0"/>
    </xf>
    <xf numFmtId="9" fontId="11" fillId="29" borderId="184" xfId="5" applyFont="1" applyFill="1" applyBorder="1" applyAlignment="1" applyProtection="1">
      <alignment vertical="center"/>
      <protection locked="0"/>
    </xf>
    <xf numFmtId="9" fontId="11" fillId="29" borderId="184" xfId="0" applyNumberFormat="1" applyFont="1" applyFill="1" applyBorder="1" applyAlignment="1" applyProtection="1">
      <alignment vertical="center"/>
      <protection locked="0"/>
    </xf>
    <xf numFmtId="9" fontId="11" fillId="29" borderId="179" xfId="0" applyNumberFormat="1" applyFont="1" applyFill="1" applyBorder="1" applyAlignment="1" applyProtection="1">
      <alignment vertical="center"/>
      <protection locked="0"/>
    </xf>
    <xf numFmtId="191" fontId="11" fillId="29" borderId="48" xfId="10" applyNumberFormat="1" applyFont="1" applyFill="1" applyBorder="1" applyAlignment="1" applyProtection="1">
      <alignment vertical="center"/>
      <protection locked="0"/>
    </xf>
    <xf numFmtId="191" fontId="11" fillId="29" borderId="11" xfId="10" applyNumberFormat="1" applyFont="1" applyFill="1" applyBorder="1" applyAlignment="1" applyProtection="1">
      <alignment vertical="center"/>
      <protection locked="0"/>
    </xf>
    <xf numFmtId="191" fontId="11" fillId="29" borderId="184" xfId="10" applyNumberFormat="1" applyFont="1" applyFill="1" applyBorder="1" applyAlignment="1" applyProtection="1">
      <alignment vertical="center"/>
      <protection locked="0"/>
    </xf>
    <xf numFmtId="191" fontId="11" fillId="29" borderId="179" xfId="10" applyNumberFormat="1" applyFont="1" applyFill="1" applyBorder="1" applyAlignment="1" applyProtection="1">
      <alignment vertical="center"/>
      <protection locked="0"/>
    </xf>
    <xf numFmtId="9" fontId="11" fillId="29" borderId="48" xfId="0" applyNumberFormat="1" applyFont="1" applyFill="1" applyBorder="1" applyAlignment="1" applyProtection="1">
      <alignment vertical="center"/>
      <protection locked="0"/>
    </xf>
    <xf numFmtId="9" fontId="11" fillId="29" borderId="46" xfId="0" applyNumberFormat="1" applyFont="1" applyFill="1" applyBorder="1" applyAlignment="1" applyProtection="1">
      <alignment vertical="center"/>
      <protection locked="0"/>
    </xf>
    <xf numFmtId="0" fontId="11" fillId="29" borderId="94" xfId="0" applyFont="1" applyFill="1" applyBorder="1" applyAlignment="1" applyProtection="1">
      <alignment horizontal="justify" vertical="center" wrapText="1"/>
      <protection locked="0"/>
    </xf>
    <xf numFmtId="0" fontId="11" fillId="29" borderId="46" xfId="0" applyFont="1" applyFill="1" applyBorder="1" applyAlignment="1" applyProtection="1">
      <alignment horizontal="center" vertical="center" wrapText="1"/>
      <protection locked="0"/>
    </xf>
    <xf numFmtId="0" fontId="11" fillId="29" borderId="155" xfId="0" applyFont="1" applyFill="1" applyBorder="1" applyAlignment="1" applyProtection="1">
      <alignment horizontal="center" vertical="center" wrapText="1"/>
      <protection locked="0"/>
    </xf>
    <xf numFmtId="0" fontId="11" fillId="29" borderId="11" xfId="0" applyFont="1" applyFill="1" applyBorder="1" applyAlignment="1" applyProtection="1">
      <alignment horizontal="center" vertical="center"/>
      <protection locked="0"/>
    </xf>
    <xf numFmtId="9" fontId="11" fillId="29" borderId="184" xfId="5" applyFont="1" applyFill="1" applyBorder="1" applyAlignment="1" applyProtection="1">
      <alignment horizontal="center" vertical="center"/>
      <protection locked="0"/>
    </xf>
    <xf numFmtId="0" fontId="11" fillId="29" borderId="184" xfId="0" applyFont="1" applyFill="1" applyBorder="1" applyAlignment="1" applyProtection="1">
      <alignment horizontal="center" vertical="center"/>
      <protection locked="0"/>
    </xf>
    <xf numFmtId="0" fontId="11" fillId="29" borderId="179" xfId="0" applyFont="1" applyFill="1" applyBorder="1" applyAlignment="1" applyProtection="1">
      <alignment horizontal="center" vertical="center"/>
      <protection locked="0"/>
    </xf>
    <xf numFmtId="191" fontId="11" fillId="29" borderId="48" xfId="10" applyNumberFormat="1" applyFont="1" applyFill="1" applyBorder="1" applyAlignment="1" applyProtection="1">
      <alignment horizontal="center" vertical="center"/>
      <protection locked="0"/>
    </xf>
    <xf numFmtId="191" fontId="11" fillId="29" borderId="11" xfId="10" applyNumberFormat="1" applyFont="1" applyFill="1" applyBorder="1" applyAlignment="1" applyProtection="1">
      <alignment horizontal="center" vertical="center"/>
      <protection locked="0"/>
    </xf>
    <xf numFmtId="191" fontId="11" fillId="29" borderId="184" xfId="10" applyNumberFormat="1" applyFont="1" applyFill="1" applyBorder="1" applyAlignment="1" applyProtection="1">
      <alignment horizontal="center" vertical="center"/>
      <protection locked="0"/>
    </xf>
    <xf numFmtId="191" fontId="11" fillId="29" borderId="179" xfId="10" applyNumberFormat="1" applyFont="1" applyFill="1" applyBorder="1" applyAlignment="1" applyProtection="1">
      <alignment horizontal="center" vertical="center"/>
      <protection locked="0"/>
    </xf>
    <xf numFmtId="0" fontId="11" fillId="29" borderId="48" xfId="0" applyFont="1" applyFill="1" applyBorder="1" applyAlignment="1" applyProtection="1">
      <alignment horizontal="center" vertical="center"/>
      <protection locked="0"/>
    </xf>
    <xf numFmtId="0" fontId="11" fillId="29" borderId="46" xfId="0" applyFont="1" applyFill="1" applyBorder="1" applyAlignment="1" applyProtection="1">
      <alignment horizontal="center" vertical="center"/>
      <protection locked="0"/>
    </xf>
    <xf numFmtId="0" fontId="11" fillId="29" borderId="11" xfId="0" applyFont="1" applyFill="1" applyBorder="1" applyAlignment="1" applyProtection="1">
      <alignment vertical="center"/>
      <protection locked="0"/>
    </xf>
    <xf numFmtId="0" fontId="11" fillId="29" borderId="184" xfId="0" applyFont="1" applyFill="1" applyBorder="1" applyAlignment="1" applyProtection="1">
      <alignment vertical="center"/>
      <protection locked="0"/>
    </xf>
    <xf numFmtId="0" fontId="11" fillId="29" borderId="179" xfId="0" applyFont="1" applyFill="1" applyBorder="1" applyAlignment="1" applyProtection="1">
      <alignment vertical="center"/>
      <protection locked="0"/>
    </xf>
    <xf numFmtId="0" fontId="11" fillId="29" borderId="48" xfId="0" applyFont="1" applyFill="1" applyBorder="1" applyAlignment="1" applyProtection="1">
      <alignment vertical="center"/>
      <protection locked="0"/>
    </xf>
    <xf numFmtId="0" fontId="11" fillId="29" borderId="46" xfId="0" applyFont="1" applyFill="1" applyBorder="1" applyAlignment="1" applyProtection="1">
      <alignment vertical="center"/>
      <protection locked="0"/>
    </xf>
    <xf numFmtId="0" fontId="11" fillId="29" borderId="159" xfId="0" applyFont="1" applyFill="1" applyBorder="1" applyAlignment="1" applyProtection="1">
      <alignment horizontal="justify" vertical="center" wrapText="1"/>
      <protection locked="0"/>
    </xf>
    <xf numFmtId="0" fontId="11" fillId="29" borderId="29" xfId="0" applyFont="1" applyFill="1" applyBorder="1" applyAlignment="1" applyProtection="1">
      <alignment vertical="center"/>
      <protection locked="0"/>
    </xf>
    <xf numFmtId="9" fontId="11" fillId="29" borderId="30" xfId="5" applyFont="1" applyFill="1" applyBorder="1" applyAlignment="1" applyProtection="1">
      <alignment vertical="center"/>
      <protection locked="0"/>
    </xf>
    <xf numFmtId="0" fontId="11" fillId="29" borderId="30" xfId="0" applyFont="1" applyFill="1" applyBorder="1" applyAlignment="1" applyProtection="1">
      <alignment vertical="center"/>
      <protection locked="0"/>
    </xf>
    <xf numFmtId="0" fontId="11" fillId="29" borderId="66" xfId="0" applyFont="1" applyFill="1" applyBorder="1" applyAlignment="1" applyProtection="1">
      <alignment vertical="center"/>
      <protection locked="0"/>
    </xf>
    <xf numFmtId="191" fontId="11" fillId="29" borderId="50" xfId="10" applyNumberFormat="1" applyFont="1" applyFill="1" applyBorder="1" applyAlignment="1" applyProtection="1">
      <alignment vertical="center"/>
      <protection locked="0"/>
    </xf>
    <xf numFmtId="191" fontId="11" fillId="29" borderId="29" xfId="10" applyNumberFormat="1" applyFont="1" applyFill="1" applyBorder="1" applyAlignment="1" applyProtection="1">
      <alignment vertical="center"/>
      <protection locked="0"/>
    </xf>
    <xf numFmtId="191" fontId="11" fillId="29" borderId="30" xfId="10" applyNumberFormat="1" applyFont="1" applyFill="1" applyBorder="1" applyAlignment="1" applyProtection="1">
      <alignment vertical="center"/>
      <protection locked="0"/>
    </xf>
    <xf numFmtId="191" fontId="11" fillId="29" borderId="66" xfId="10" applyNumberFormat="1" applyFont="1" applyFill="1" applyBorder="1" applyAlignment="1" applyProtection="1">
      <alignment vertical="center"/>
      <protection locked="0"/>
    </xf>
    <xf numFmtId="0" fontId="11" fillId="29" borderId="50" xfId="0" applyFont="1" applyFill="1" applyBorder="1" applyAlignment="1" applyProtection="1">
      <alignment vertical="center"/>
      <protection locked="0"/>
    </xf>
    <xf numFmtId="0" fontId="11" fillId="29" borderId="177" xfId="0" applyFont="1" applyFill="1" applyBorder="1" applyAlignment="1" applyProtection="1">
      <alignment vertical="center"/>
      <protection locked="0"/>
    </xf>
    <xf numFmtId="0" fontId="11" fillId="29" borderId="57" xfId="0" applyFont="1" applyFill="1" applyBorder="1" applyAlignment="1" applyProtection="1">
      <alignment horizontal="justify" vertical="center" wrapText="1"/>
      <protection locked="0"/>
    </xf>
    <xf numFmtId="0" fontId="11" fillId="39" borderId="60" xfId="0" applyFont="1" applyFill="1" applyBorder="1" applyAlignment="1" applyProtection="1">
      <alignment horizontal="center" vertical="center" wrapText="1"/>
      <protection locked="0"/>
    </xf>
    <xf numFmtId="0" fontId="11" fillId="39" borderId="100" xfId="0" applyFont="1" applyFill="1" applyBorder="1" applyAlignment="1" applyProtection="1">
      <alignment horizontal="center" vertical="center" wrapText="1"/>
      <protection locked="0"/>
    </xf>
    <xf numFmtId="0" fontId="11" fillId="39" borderId="52" xfId="0" applyFont="1" applyFill="1" applyBorder="1" applyAlignment="1" applyProtection="1">
      <alignment horizontal="justify" vertical="center" wrapText="1"/>
      <protection locked="0"/>
    </xf>
    <xf numFmtId="9" fontId="11" fillId="39" borderId="51" xfId="0" applyNumberFormat="1" applyFont="1" applyFill="1" applyBorder="1" applyAlignment="1" applyProtection="1">
      <alignment horizontal="center" vertical="center" wrapText="1"/>
      <protection locked="0"/>
    </xf>
    <xf numFmtId="9" fontId="11" fillId="39" borderId="32" xfId="5" applyFont="1" applyFill="1" applyBorder="1" applyAlignment="1" applyProtection="1">
      <alignment horizontal="center" vertical="center" wrapText="1"/>
      <protection locked="0"/>
    </xf>
    <xf numFmtId="9" fontId="11" fillId="39" borderId="32" xfId="0" applyNumberFormat="1" applyFont="1" applyFill="1" applyBorder="1" applyAlignment="1" applyProtection="1">
      <alignment horizontal="center" vertical="center" wrapText="1"/>
      <protection locked="0"/>
    </xf>
    <xf numFmtId="9" fontId="11" fillId="39" borderId="38" xfId="0" applyNumberFormat="1" applyFont="1" applyFill="1" applyBorder="1" applyAlignment="1" applyProtection="1">
      <alignment horizontal="center" vertical="center" wrapText="1"/>
      <protection locked="0"/>
    </xf>
    <xf numFmtId="191" fontId="11" fillId="39" borderId="99" xfId="10" applyNumberFormat="1" applyFont="1" applyFill="1" applyBorder="1" applyAlignment="1" applyProtection="1">
      <alignment horizontal="center" vertical="center" wrapText="1"/>
      <protection locked="0"/>
    </xf>
    <xf numFmtId="191" fontId="11" fillId="39" borderId="51" xfId="10" applyNumberFormat="1" applyFont="1" applyFill="1" applyBorder="1" applyAlignment="1" applyProtection="1">
      <alignment horizontal="center" vertical="center" wrapText="1"/>
      <protection locked="0"/>
    </xf>
    <xf numFmtId="191" fontId="11" fillId="39" borderId="32" xfId="10" applyNumberFormat="1" applyFont="1" applyFill="1" applyBorder="1" applyAlignment="1" applyProtection="1">
      <alignment horizontal="center" vertical="center" wrapText="1"/>
      <protection locked="0"/>
    </xf>
    <xf numFmtId="191" fontId="11" fillId="39" borderId="38" xfId="10" applyNumberFormat="1" applyFont="1" applyFill="1" applyBorder="1" applyAlignment="1" applyProtection="1">
      <alignment horizontal="center" vertical="center" wrapText="1"/>
      <protection locked="0"/>
    </xf>
    <xf numFmtId="9" fontId="11" fillId="39" borderId="99" xfId="0" applyNumberFormat="1" applyFont="1" applyFill="1" applyBorder="1" applyAlignment="1" applyProtection="1">
      <alignment horizontal="center" vertical="center" wrapText="1"/>
      <protection locked="0"/>
    </xf>
    <xf numFmtId="9" fontId="11" fillId="39" borderId="60" xfId="0" applyNumberFormat="1" applyFont="1" applyFill="1" applyBorder="1" applyAlignment="1" applyProtection="1">
      <alignment horizontal="center" vertical="center" wrapText="1"/>
      <protection locked="0"/>
    </xf>
    <xf numFmtId="0" fontId="11" fillId="39" borderId="46" xfId="0" applyFont="1" applyFill="1" applyBorder="1" applyAlignment="1" applyProtection="1">
      <alignment horizontal="center" vertical="center" wrapText="1"/>
      <protection locked="0"/>
    </xf>
    <xf numFmtId="0" fontId="11" fillId="39" borderId="155" xfId="0" applyFont="1" applyFill="1" applyBorder="1" applyAlignment="1" applyProtection="1">
      <alignment horizontal="center" vertical="center" wrapText="1"/>
      <protection locked="0"/>
    </xf>
    <xf numFmtId="0" fontId="11" fillId="39" borderId="11" xfId="0" applyFont="1" applyFill="1" applyBorder="1" applyAlignment="1" applyProtection="1">
      <alignment horizontal="center" vertical="center" wrapText="1"/>
      <protection locked="0"/>
    </xf>
    <xf numFmtId="0" fontId="11" fillId="39" borderId="94" xfId="0" applyFont="1" applyFill="1" applyBorder="1" applyAlignment="1" applyProtection="1">
      <alignment horizontal="justify" vertical="center" wrapText="1"/>
      <protection locked="0"/>
    </xf>
    <xf numFmtId="9" fontId="11" fillId="39" borderId="184" xfId="5" applyFont="1" applyFill="1" applyBorder="1" applyAlignment="1" applyProtection="1">
      <alignment horizontal="center" vertical="center" wrapText="1"/>
      <protection locked="0"/>
    </xf>
    <xf numFmtId="0" fontId="11" fillId="39" borderId="184" xfId="0" applyFont="1" applyFill="1" applyBorder="1" applyAlignment="1" applyProtection="1">
      <alignment horizontal="center" vertical="center" wrapText="1"/>
      <protection locked="0"/>
    </xf>
    <xf numFmtId="0" fontId="11" fillId="39" borderId="179" xfId="0" applyFont="1" applyFill="1" applyBorder="1" applyAlignment="1" applyProtection="1">
      <alignment horizontal="center" vertical="center" wrapText="1"/>
      <protection locked="0"/>
    </xf>
    <xf numFmtId="191" fontId="11" fillId="39" borderId="48" xfId="10" applyNumberFormat="1" applyFont="1" applyFill="1" applyBorder="1" applyAlignment="1" applyProtection="1">
      <alignment horizontal="center" vertical="center" wrapText="1"/>
      <protection locked="0"/>
    </xf>
    <xf numFmtId="191" fontId="11" fillId="39" borderId="11" xfId="10" applyNumberFormat="1" applyFont="1" applyFill="1" applyBorder="1" applyAlignment="1" applyProtection="1">
      <alignment horizontal="center" vertical="center" wrapText="1"/>
      <protection locked="0"/>
    </xf>
    <xf numFmtId="191" fontId="11" fillId="39" borderId="184" xfId="10" applyNumberFormat="1" applyFont="1" applyFill="1" applyBorder="1" applyAlignment="1" applyProtection="1">
      <alignment horizontal="center" vertical="center" wrapText="1"/>
      <protection locked="0"/>
    </xf>
    <xf numFmtId="191" fontId="11" fillId="39" borderId="179" xfId="10" applyNumberFormat="1" applyFont="1" applyFill="1" applyBorder="1" applyAlignment="1" applyProtection="1">
      <alignment horizontal="center" vertical="center" wrapText="1"/>
      <protection locked="0"/>
    </xf>
    <xf numFmtId="0" fontId="11" fillId="39" borderId="48" xfId="0" applyFont="1" applyFill="1" applyBorder="1" applyAlignment="1" applyProtection="1">
      <alignment horizontal="center" vertical="center" wrapText="1"/>
      <protection locked="0"/>
    </xf>
    <xf numFmtId="0" fontId="11" fillId="39" borderId="11" xfId="0" applyFont="1" applyFill="1" applyBorder="1" applyAlignment="1" applyProtection="1">
      <alignment vertical="center" wrapText="1"/>
      <protection locked="0"/>
    </xf>
    <xf numFmtId="9" fontId="11" fillId="39" borderId="184" xfId="5" applyFont="1" applyFill="1" applyBorder="1" applyAlignment="1" applyProtection="1">
      <alignment vertical="center" wrapText="1"/>
      <protection locked="0"/>
    </xf>
    <xf numFmtId="0" fontId="11" fillId="39" borderId="184" xfId="0" applyFont="1" applyFill="1" applyBorder="1" applyAlignment="1" applyProtection="1">
      <alignment vertical="center" wrapText="1"/>
      <protection locked="0"/>
    </xf>
    <xf numFmtId="0" fontId="11" fillId="39" borderId="179" xfId="0" applyFont="1" applyFill="1" applyBorder="1" applyAlignment="1" applyProtection="1">
      <alignment vertical="center" wrapText="1"/>
      <protection locked="0"/>
    </xf>
    <xf numFmtId="191" fontId="11" fillId="39" borderId="48" xfId="10" applyNumberFormat="1" applyFont="1" applyFill="1" applyBorder="1" applyAlignment="1" applyProtection="1">
      <alignment vertical="center" wrapText="1"/>
      <protection locked="0"/>
    </xf>
    <xf numFmtId="191" fontId="11" fillId="39" borderId="11" xfId="10" applyNumberFormat="1" applyFont="1" applyFill="1" applyBorder="1" applyAlignment="1" applyProtection="1">
      <alignment vertical="center" wrapText="1"/>
      <protection locked="0"/>
    </xf>
    <xf numFmtId="191" fontId="11" fillId="39" borderId="184" xfId="10" applyNumberFormat="1" applyFont="1" applyFill="1" applyBorder="1" applyAlignment="1" applyProtection="1">
      <alignment vertical="center" wrapText="1"/>
      <protection locked="0"/>
    </xf>
    <xf numFmtId="191" fontId="11" fillId="39" borderId="179" xfId="10" applyNumberFormat="1" applyFont="1" applyFill="1" applyBorder="1" applyAlignment="1" applyProtection="1">
      <alignment vertical="center" wrapText="1"/>
      <protection locked="0"/>
    </xf>
    <xf numFmtId="0" fontId="11" fillId="39" borderId="48" xfId="0" applyFont="1" applyFill="1" applyBorder="1" applyAlignment="1" applyProtection="1">
      <alignment vertical="center" wrapText="1"/>
      <protection locked="0"/>
    </xf>
    <xf numFmtId="0" fontId="11" fillId="39" borderId="46" xfId="0" applyFont="1" applyFill="1" applyBorder="1" applyAlignment="1" applyProtection="1">
      <alignment vertical="center" wrapText="1"/>
      <protection locked="0"/>
    </xf>
    <xf numFmtId="0" fontId="7" fillId="39" borderId="94" xfId="0" applyFont="1" applyFill="1" applyBorder="1" applyAlignment="1" applyProtection="1">
      <alignment horizontal="justify" vertical="center" wrapText="1"/>
      <protection locked="0"/>
    </xf>
    <xf numFmtId="0" fontId="11" fillId="39" borderId="29" xfId="0" applyFont="1" applyFill="1" applyBorder="1" applyAlignment="1" applyProtection="1">
      <alignment vertical="center" wrapText="1"/>
      <protection locked="0"/>
    </xf>
    <xf numFmtId="9" fontId="11" fillId="39" borderId="30" xfId="5" applyFont="1" applyFill="1" applyBorder="1" applyAlignment="1" applyProtection="1">
      <alignment vertical="center" wrapText="1"/>
      <protection locked="0"/>
    </xf>
    <xf numFmtId="0" fontId="11" fillId="39" borderId="30" xfId="0" applyFont="1" applyFill="1" applyBorder="1" applyAlignment="1" applyProtection="1">
      <alignment vertical="center" wrapText="1"/>
      <protection locked="0"/>
    </xf>
    <xf numFmtId="0" fontId="11" fillId="39" borderId="66" xfId="0" applyFont="1" applyFill="1" applyBorder="1" applyAlignment="1" applyProtection="1">
      <alignment vertical="center" wrapText="1"/>
      <protection locked="0"/>
    </xf>
    <xf numFmtId="191" fontId="11" fillId="39" borderId="50" xfId="10" applyNumberFormat="1" applyFont="1" applyFill="1" applyBorder="1" applyAlignment="1" applyProtection="1">
      <alignment vertical="center" wrapText="1"/>
      <protection locked="0"/>
    </xf>
    <xf numFmtId="191" fontId="11" fillId="39" borderId="29" xfId="10" applyNumberFormat="1" applyFont="1" applyFill="1" applyBorder="1" applyAlignment="1" applyProtection="1">
      <alignment vertical="center" wrapText="1"/>
      <protection locked="0"/>
    </xf>
    <xf numFmtId="191" fontId="11" fillId="39" borderId="30" xfId="10" applyNumberFormat="1" applyFont="1" applyFill="1" applyBorder="1" applyAlignment="1" applyProtection="1">
      <alignment vertical="center" wrapText="1"/>
      <protection locked="0"/>
    </xf>
    <xf numFmtId="191" fontId="11" fillId="39" borderId="66" xfId="10" applyNumberFormat="1" applyFont="1" applyFill="1" applyBorder="1" applyAlignment="1" applyProtection="1">
      <alignment vertical="center" wrapText="1"/>
      <protection locked="0"/>
    </xf>
    <xf numFmtId="0" fontId="11" fillId="39" borderId="50" xfId="0" applyFont="1" applyFill="1" applyBorder="1" applyAlignment="1" applyProtection="1">
      <alignment vertical="center" wrapText="1"/>
      <protection locked="0"/>
    </xf>
    <xf numFmtId="0" fontId="11" fillId="39" borderId="177" xfId="0" applyFont="1" applyFill="1" applyBorder="1" applyAlignment="1" applyProtection="1">
      <alignment vertical="center" wrapText="1"/>
      <protection locked="0"/>
    </xf>
    <xf numFmtId="0" fontId="11" fillId="39" borderId="31" xfId="0" applyFont="1" applyFill="1" applyBorder="1" applyAlignment="1" applyProtection="1">
      <alignment horizontal="justify" vertical="center" wrapText="1"/>
      <protection locked="0"/>
    </xf>
    <xf numFmtId="9" fontId="11" fillId="38" borderId="51" xfId="0" applyNumberFormat="1" applyFont="1" applyFill="1" applyBorder="1" applyAlignment="1" applyProtection="1">
      <alignment horizontal="center" vertical="center" wrapText="1"/>
      <protection locked="0"/>
    </xf>
    <xf numFmtId="9" fontId="11" fillId="38" borderId="32" xfId="5" applyFont="1" applyFill="1" applyBorder="1" applyAlignment="1" applyProtection="1">
      <alignment horizontal="center" vertical="center" wrapText="1"/>
      <protection locked="0"/>
    </xf>
    <xf numFmtId="9" fontId="11" fillId="38" borderId="38" xfId="0" applyNumberFormat="1" applyFont="1" applyFill="1" applyBorder="1" applyAlignment="1" applyProtection="1">
      <alignment horizontal="center" vertical="center" wrapText="1"/>
      <protection locked="0"/>
    </xf>
    <xf numFmtId="191" fontId="11" fillId="38" borderId="99" xfId="10" applyNumberFormat="1" applyFont="1" applyFill="1" applyBorder="1" applyAlignment="1" applyProtection="1">
      <alignment horizontal="center" vertical="center" wrapText="1"/>
      <protection locked="0"/>
    </xf>
    <xf numFmtId="191" fontId="11" fillId="38" borderId="51" xfId="10" applyNumberFormat="1" applyFont="1" applyFill="1" applyBorder="1" applyAlignment="1" applyProtection="1">
      <alignment horizontal="center" vertical="center" wrapText="1"/>
      <protection locked="0"/>
    </xf>
    <xf numFmtId="191" fontId="11" fillId="38" borderId="32" xfId="10" applyNumberFormat="1" applyFont="1" applyFill="1" applyBorder="1" applyAlignment="1" applyProtection="1">
      <alignment horizontal="center" vertical="center" wrapText="1"/>
      <protection locked="0"/>
    </xf>
    <xf numFmtId="191" fontId="11" fillId="38" borderId="38" xfId="10" applyNumberFormat="1" applyFont="1" applyFill="1" applyBorder="1" applyAlignment="1" applyProtection="1">
      <alignment horizontal="center" vertical="center" wrapText="1"/>
      <protection locked="0"/>
    </xf>
    <xf numFmtId="9" fontId="11" fillId="38" borderId="99" xfId="0" applyNumberFormat="1" applyFont="1" applyFill="1" applyBorder="1" applyAlignment="1" applyProtection="1">
      <alignment horizontal="center" vertical="center" wrapText="1"/>
      <protection locked="0"/>
    </xf>
    <xf numFmtId="9" fontId="11" fillId="38" borderId="60" xfId="0" applyNumberFormat="1" applyFont="1" applyFill="1" applyBorder="1" applyAlignment="1" applyProtection="1">
      <alignment horizontal="center" vertical="center" wrapText="1"/>
      <protection locked="0"/>
    </xf>
    <xf numFmtId="9" fontId="11" fillId="38" borderId="11" xfId="0" applyNumberFormat="1" applyFont="1" applyFill="1" applyBorder="1" applyAlignment="1" applyProtection="1">
      <alignment horizontal="center" vertical="center" wrapText="1"/>
      <protection locked="0"/>
    </xf>
    <xf numFmtId="9" fontId="11" fillId="38" borderId="184" xfId="0" applyNumberFormat="1" applyFont="1" applyFill="1" applyBorder="1" applyAlignment="1" applyProtection="1">
      <alignment horizontal="center" vertical="center" wrapText="1"/>
      <protection locked="0"/>
    </xf>
    <xf numFmtId="9" fontId="11" fillId="38" borderId="179" xfId="0" applyNumberFormat="1" applyFont="1" applyFill="1" applyBorder="1" applyAlignment="1" applyProtection="1">
      <alignment horizontal="center" vertical="center" wrapText="1"/>
      <protection locked="0"/>
    </xf>
    <xf numFmtId="9" fontId="11" fillId="38" borderId="48" xfId="0" applyNumberFormat="1" applyFont="1" applyFill="1" applyBorder="1" applyAlignment="1" applyProtection="1">
      <alignment horizontal="center" vertical="center" wrapText="1"/>
      <protection locked="0"/>
    </xf>
    <xf numFmtId="9" fontId="11" fillId="38" borderId="46" xfId="0" applyNumberFormat="1" applyFont="1" applyFill="1" applyBorder="1" applyAlignment="1" applyProtection="1">
      <alignment horizontal="center" vertical="center" wrapText="1"/>
      <protection locked="0"/>
    </xf>
    <xf numFmtId="0" fontId="11" fillId="17" borderId="51" xfId="0" applyFont="1" applyFill="1" applyBorder="1" applyAlignment="1" applyProtection="1">
      <alignment vertical="center" wrapText="1"/>
      <protection locked="0"/>
    </xf>
    <xf numFmtId="9" fontId="11" fillId="17" borderId="32" xfId="5" applyFont="1" applyFill="1" applyBorder="1" applyAlignment="1" applyProtection="1">
      <alignment vertical="center" wrapText="1"/>
      <protection locked="0"/>
    </xf>
    <xf numFmtId="0" fontId="11" fillId="17" borderId="32" xfId="0" applyFont="1" applyFill="1" applyBorder="1" applyAlignment="1" applyProtection="1">
      <alignment vertical="center" wrapText="1"/>
      <protection locked="0"/>
    </xf>
    <xf numFmtId="0" fontId="11" fillId="17" borderId="38" xfId="0" applyFont="1" applyFill="1" applyBorder="1" applyAlignment="1" applyProtection="1">
      <alignment vertical="center" wrapText="1"/>
      <protection locked="0"/>
    </xf>
    <xf numFmtId="191" fontId="11" fillId="17" borderId="99" xfId="10" applyNumberFormat="1" applyFont="1" applyFill="1" applyBorder="1" applyAlignment="1" applyProtection="1">
      <alignment vertical="center" wrapText="1"/>
      <protection locked="0"/>
    </xf>
    <xf numFmtId="191" fontId="11" fillId="17" borderId="51" xfId="10" applyNumberFormat="1" applyFont="1" applyFill="1" applyBorder="1" applyAlignment="1" applyProtection="1">
      <alignment vertical="center" wrapText="1"/>
      <protection locked="0"/>
    </xf>
    <xf numFmtId="191" fontId="11" fillId="17" borderId="32" xfId="10" applyNumberFormat="1" applyFont="1" applyFill="1" applyBorder="1" applyAlignment="1" applyProtection="1">
      <alignment vertical="center" wrapText="1"/>
      <protection locked="0"/>
    </xf>
    <xf numFmtId="191" fontId="11" fillId="17" borderId="38" xfId="10" applyNumberFormat="1" applyFont="1" applyFill="1" applyBorder="1" applyAlignment="1" applyProtection="1">
      <alignment vertical="center" wrapText="1"/>
      <protection locked="0"/>
    </xf>
    <xf numFmtId="0" fontId="11" fillId="17" borderId="99" xfId="0" applyFont="1" applyFill="1" applyBorder="1" applyAlignment="1" applyProtection="1">
      <alignment vertical="center" wrapText="1"/>
      <protection locked="0"/>
    </xf>
    <xf numFmtId="0" fontId="11" fillId="17" borderId="60" xfId="0" applyFont="1" applyFill="1" applyBorder="1" applyAlignment="1" applyProtection="1">
      <alignment vertical="center" wrapText="1"/>
      <protection locked="0"/>
    </xf>
    <xf numFmtId="0" fontId="11" fillId="17" borderId="14" xfId="0" applyFont="1" applyFill="1" applyBorder="1" applyAlignment="1" applyProtection="1">
      <alignment horizontal="justify" vertical="center" wrapText="1"/>
      <protection locked="0"/>
    </xf>
    <xf numFmtId="0" fontId="11" fillId="17" borderId="11" xfId="0" applyFont="1" applyFill="1" applyBorder="1" applyAlignment="1" applyProtection="1">
      <alignment horizontal="center" vertical="center" wrapText="1"/>
      <protection locked="0"/>
    </xf>
    <xf numFmtId="0" fontId="11" fillId="17" borderId="11" xfId="0" applyFont="1" applyFill="1" applyBorder="1" applyAlignment="1" applyProtection="1">
      <alignment vertical="center" wrapText="1"/>
      <protection locked="0"/>
    </xf>
    <xf numFmtId="9" fontId="11" fillId="17" borderId="184" xfId="5" applyFont="1" applyFill="1" applyBorder="1" applyAlignment="1" applyProtection="1">
      <alignment vertical="center" wrapText="1"/>
      <protection locked="0"/>
    </xf>
    <xf numFmtId="0" fontId="11" fillId="17" borderId="184" xfId="0" applyFont="1" applyFill="1" applyBorder="1" applyAlignment="1" applyProtection="1">
      <alignment vertical="center" wrapText="1"/>
      <protection locked="0"/>
    </xf>
    <xf numFmtId="0" fontId="11" fillId="17" borderId="179" xfId="0" applyFont="1" applyFill="1" applyBorder="1" applyAlignment="1" applyProtection="1">
      <alignment vertical="center" wrapText="1"/>
      <protection locked="0"/>
    </xf>
    <xf numFmtId="191" fontId="11" fillId="17" borderId="48" xfId="10" applyNumberFormat="1" applyFont="1" applyFill="1" applyBorder="1" applyAlignment="1" applyProtection="1">
      <alignment vertical="center" wrapText="1"/>
      <protection locked="0"/>
    </xf>
    <xf numFmtId="191" fontId="11" fillId="17" borderId="11" xfId="10" applyNumberFormat="1" applyFont="1" applyFill="1" applyBorder="1" applyAlignment="1" applyProtection="1">
      <alignment vertical="center" wrapText="1"/>
      <protection locked="0"/>
    </xf>
    <xf numFmtId="191" fontId="11" fillId="17" borderId="184" xfId="10" applyNumberFormat="1" applyFont="1" applyFill="1" applyBorder="1" applyAlignment="1" applyProtection="1">
      <alignment vertical="center" wrapText="1"/>
      <protection locked="0"/>
    </xf>
    <xf numFmtId="191" fontId="11" fillId="17" borderId="179" xfId="10" applyNumberFormat="1" applyFont="1" applyFill="1" applyBorder="1" applyAlignment="1" applyProtection="1">
      <alignment vertical="center" wrapText="1"/>
      <protection locked="0"/>
    </xf>
    <xf numFmtId="0" fontId="11" fillId="17" borderId="48" xfId="0" applyFont="1" applyFill="1" applyBorder="1" applyAlignment="1" applyProtection="1">
      <alignment vertical="center" wrapText="1"/>
      <protection locked="0"/>
    </xf>
    <xf numFmtId="0" fontId="11" fillId="17" borderId="46" xfId="0" applyFont="1" applyFill="1" applyBorder="1" applyAlignment="1" applyProtection="1">
      <alignment vertical="center" wrapText="1"/>
      <protection locked="0"/>
    </xf>
    <xf numFmtId="0" fontId="11" fillId="17" borderId="52" xfId="0" applyFont="1" applyFill="1" applyBorder="1" applyAlignment="1" applyProtection="1">
      <alignment horizontal="justify" vertical="center" wrapText="1"/>
      <protection locked="0"/>
    </xf>
    <xf numFmtId="0" fontId="11" fillId="17" borderId="46" xfId="0" applyFont="1" applyFill="1" applyBorder="1" applyAlignment="1" applyProtection="1">
      <alignment horizontal="center" vertical="center" wrapText="1"/>
      <protection locked="0"/>
    </xf>
    <xf numFmtId="0" fontId="11" fillId="17" borderId="155" xfId="0" applyFont="1" applyFill="1" applyBorder="1" applyAlignment="1" applyProtection="1">
      <alignment horizontal="center" vertical="center" wrapText="1"/>
      <protection locked="0"/>
    </xf>
    <xf numFmtId="0" fontId="11" fillId="17" borderId="94" xfId="0" applyFont="1" applyFill="1" applyBorder="1" applyAlignment="1" applyProtection="1">
      <alignment horizontal="justify" vertical="center" wrapText="1"/>
      <protection locked="0"/>
    </xf>
    <xf numFmtId="9" fontId="11" fillId="17" borderId="11" xfId="0" applyNumberFormat="1" applyFont="1" applyFill="1" applyBorder="1" applyAlignment="1" applyProtection="1">
      <alignment horizontal="center" vertical="center" wrapText="1"/>
      <protection locked="0"/>
    </xf>
    <xf numFmtId="9" fontId="11" fillId="17" borderId="184" xfId="5" applyFont="1" applyFill="1" applyBorder="1" applyAlignment="1" applyProtection="1">
      <alignment horizontal="center" vertical="center" wrapText="1"/>
      <protection locked="0"/>
    </xf>
    <xf numFmtId="9" fontId="11" fillId="17" borderId="184" xfId="0" applyNumberFormat="1" applyFont="1" applyFill="1" applyBorder="1" applyAlignment="1" applyProtection="1">
      <alignment horizontal="center" vertical="center" wrapText="1"/>
      <protection locked="0"/>
    </xf>
    <xf numFmtId="9" fontId="11" fillId="17" borderId="179" xfId="0" applyNumberFormat="1" applyFont="1" applyFill="1" applyBorder="1" applyAlignment="1" applyProtection="1">
      <alignment horizontal="center" vertical="center" wrapText="1"/>
      <protection locked="0"/>
    </xf>
    <xf numFmtId="191" fontId="11" fillId="17" borderId="48" xfId="10" applyNumberFormat="1" applyFont="1" applyFill="1" applyBorder="1" applyAlignment="1" applyProtection="1">
      <alignment horizontal="center" vertical="center" wrapText="1"/>
      <protection locked="0"/>
    </xf>
    <xf numFmtId="191" fontId="11" fillId="17" borderId="11" xfId="10" applyNumberFormat="1" applyFont="1" applyFill="1" applyBorder="1" applyAlignment="1" applyProtection="1">
      <alignment horizontal="center" vertical="center" wrapText="1"/>
      <protection locked="0"/>
    </xf>
    <xf numFmtId="191" fontId="11" fillId="17" borderId="184" xfId="10" applyNumberFormat="1" applyFont="1" applyFill="1" applyBorder="1" applyAlignment="1" applyProtection="1">
      <alignment horizontal="center" vertical="center" wrapText="1"/>
      <protection locked="0"/>
    </xf>
    <xf numFmtId="191" fontId="11" fillId="17" borderId="179" xfId="10" applyNumberFormat="1" applyFont="1" applyFill="1" applyBorder="1" applyAlignment="1" applyProtection="1">
      <alignment horizontal="center" vertical="center" wrapText="1"/>
      <protection locked="0"/>
    </xf>
    <xf numFmtId="9" fontId="11" fillId="17" borderId="48" xfId="0" applyNumberFormat="1" applyFont="1" applyFill="1" applyBorder="1" applyAlignment="1" applyProtection="1">
      <alignment horizontal="center" vertical="center" wrapText="1"/>
      <protection locked="0"/>
    </xf>
    <xf numFmtId="9" fontId="11" fillId="17" borderId="46" xfId="0" applyNumberFormat="1" applyFont="1" applyFill="1" applyBorder="1" applyAlignment="1" applyProtection="1">
      <alignment horizontal="center" vertical="center" wrapText="1"/>
      <protection locked="0"/>
    </xf>
    <xf numFmtId="0" fontId="11" fillId="17" borderId="184" xfId="0" applyFont="1" applyFill="1" applyBorder="1" applyAlignment="1" applyProtection="1">
      <alignment horizontal="center" vertical="center" wrapText="1"/>
      <protection locked="0"/>
    </xf>
    <xf numFmtId="0" fontId="11" fillId="17" borderId="179" xfId="0" applyFont="1" applyFill="1" applyBorder="1" applyAlignment="1" applyProtection="1">
      <alignment horizontal="center" vertical="center" wrapText="1"/>
      <protection locked="0"/>
    </xf>
    <xf numFmtId="0" fontId="11" fillId="17" borderId="48" xfId="0" applyFont="1" applyFill="1" applyBorder="1" applyAlignment="1" applyProtection="1">
      <alignment horizontal="center" vertical="center" wrapText="1"/>
      <protection locked="0"/>
    </xf>
    <xf numFmtId="0" fontId="11" fillId="17" borderId="159" xfId="0" applyFont="1" applyFill="1" applyBorder="1" applyAlignment="1" applyProtection="1">
      <alignment horizontal="justify" vertical="center" wrapText="1"/>
      <protection locked="0"/>
    </xf>
    <xf numFmtId="0" fontId="11" fillId="17" borderId="177" xfId="0" applyFont="1" applyFill="1" applyBorder="1" applyAlignment="1" applyProtection="1">
      <alignment horizontal="center" vertical="center" wrapText="1"/>
      <protection locked="0"/>
    </xf>
    <xf numFmtId="0" fontId="11" fillId="17" borderId="161" xfId="0" applyFont="1" applyFill="1" applyBorder="1" applyAlignment="1" applyProtection="1">
      <alignment horizontal="center" vertical="center" wrapText="1"/>
      <protection locked="0"/>
    </xf>
    <xf numFmtId="0" fontId="11" fillId="17" borderId="31" xfId="0" applyFont="1" applyFill="1" applyBorder="1" applyAlignment="1" applyProtection="1">
      <alignment horizontal="justify" vertical="center" wrapText="1"/>
      <protection locked="0"/>
    </xf>
    <xf numFmtId="9" fontId="11" fillId="17" borderId="29" xfId="0" applyNumberFormat="1" applyFont="1" applyFill="1" applyBorder="1" applyAlignment="1" applyProtection="1">
      <alignment horizontal="center" vertical="center" wrapText="1"/>
      <protection locked="0"/>
    </xf>
    <xf numFmtId="9" fontId="11" fillId="17" borderId="30" xfId="5" applyFont="1" applyFill="1" applyBorder="1" applyAlignment="1" applyProtection="1">
      <alignment horizontal="center" vertical="center" wrapText="1"/>
      <protection locked="0"/>
    </xf>
    <xf numFmtId="9" fontId="11" fillId="17" borderId="30" xfId="0" applyNumberFormat="1" applyFont="1" applyFill="1" applyBorder="1" applyAlignment="1" applyProtection="1">
      <alignment horizontal="center" vertical="center" wrapText="1"/>
      <protection locked="0"/>
    </xf>
    <xf numFmtId="9" fontId="11" fillId="17" borderId="66" xfId="0" applyNumberFormat="1" applyFont="1" applyFill="1" applyBorder="1" applyAlignment="1" applyProtection="1">
      <alignment horizontal="center" vertical="center" wrapText="1"/>
      <protection locked="0"/>
    </xf>
    <xf numFmtId="191" fontId="11" fillId="17" borderId="50" xfId="10" applyNumberFormat="1" applyFont="1" applyFill="1" applyBorder="1" applyAlignment="1" applyProtection="1">
      <alignment horizontal="center" vertical="center" wrapText="1"/>
      <protection locked="0"/>
    </xf>
    <xf numFmtId="191" fontId="11" fillId="17" borderId="29" xfId="10" applyNumberFormat="1" applyFont="1" applyFill="1" applyBorder="1" applyAlignment="1" applyProtection="1">
      <alignment horizontal="center" vertical="center" wrapText="1"/>
      <protection locked="0"/>
    </xf>
    <xf numFmtId="191" fontId="11" fillId="17" borderId="30" xfId="10" applyNumberFormat="1" applyFont="1" applyFill="1" applyBorder="1" applyAlignment="1" applyProtection="1">
      <alignment horizontal="center" vertical="center" wrapText="1"/>
      <protection locked="0"/>
    </xf>
    <xf numFmtId="191" fontId="11" fillId="17" borderId="66" xfId="10" applyNumberFormat="1" applyFont="1" applyFill="1" applyBorder="1" applyAlignment="1" applyProtection="1">
      <alignment horizontal="center" vertical="center" wrapText="1"/>
      <protection locked="0"/>
    </xf>
    <xf numFmtId="9" fontId="11" fillId="17" borderId="50" xfId="0" applyNumberFormat="1" applyFont="1" applyFill="1" applyBorder="1" applyAlignment="1" applyProtection="1">
      <alignment horizontal="center" vertical="center" wrapText="1"/>
      <protection locked="0"/>
    </xf>
    <xf numFmtId="9" fontId="11" fillId="17" borderId="177" xfId="0" applyNumberFormat="1" applyFont="1" applyFill="1" applyBorder="1" applyAlignment="1" applyProtection="1">
      <alignment horizontal="center" vertical="center" wrapText="1"/>
      <protection locked="0"/>
    </xf>
    <xf numFmtId="9" fontId="11" fillId="69" borderId="51" xfId="0" applyNumberFormat="1" applyFont="1" applyFill="1" applyBorder="1" applyAlignment="1" applyProtection="1">
      <alignment vertical="center" wrapText="1"/>
      <protection locked="0"/>
    </xf>
    <xf numFmtId="9" fontId="11" fillId="69" borderId="32" xfId="5" applyFont="1" applyFill="1" applyBorder="1" applyAlignment="1" applyProtection="1">
      <alignment vertical="center" wrapText="1"/>
      <protection locked="0"/>
    </xf>
    <xf numFmtId="9" fontId="11" fillId="69" borderId="32" xfId="0" applyNumberFormat="1" applyFont="1" applyFill="1" applyBorder="1" applyAlignment="1" applyProtection="1">
      <alignment vertical="center" wrapText="1"/>
      <protection locked="0"/>
    </xf>
    <xf numFmtId="9" fontId="11" fillId="69" borderId="38" xfId="0" applyNumberFormat="1" applyFont="1" applyFill="1" applyBorder="1" applyAlignment="1" applyProtection="1">
      <alignment vertical="center" wrapText="1"/>
      <protection locked="0"/>
    </xf>
    <xf numFmtId="191" fontId="11" fillId="69" borderId="99" xfId="10" applyNumberFormat="1" applyFont="1" applyFill="1" applyBorder="1" applyAlignment="1" applyProtection="1">
      <alignment vertical="center" wrapText="1"/>
      <protection locked="0"/>
    </xf>
    <xf numFmtId="191" fontId="11" fillId="69" borderId="51" xfId="10" applyNumberFormat="1" applyFont="1" applyFill="1" applyBorder="1" applyAlignment="1" applyProtection="1">
      <alignment vertical="center" wrapText="1"/>
      <protection locked="0"/>
    </xf>
    <xf numFmtId="191" fontId="11" fillId="69" borderId="32" xfId="10" applyNumberFormat="1" applyFont="1" applyFill="1" applyBorder="1" applyAlignment="1" applyProtection="1">
      <alignment vertical="center" wrapText="1"/>
      <protection locked="0"/>
    </xf>
    <xf numFmtId="191" fontId="11" fillId="69" borderId="38" xfId="10" applyNumberFormat="1" applyFont="1" applyFill="1" applyBorder="1" applyAlignment="1" applyProtection="1">
      <alignment vertical="center" wrapText="1"/>
      <protection locked="0"/>
    </xf>
    <xf numFmtId="9" fontId="11" fillId="69" borderId="99" xfId="0" applyNumberFormat="1" applyFont="1" applyFill="1" applyBorder="1" applyAlignment="1" applyProtection="1">
      <alignment vertical="center" wrapText="1"/>
      <protection locked="0"/>
    </xf>
    <xf numFmtId="9" fontId="11" fillId="69" borderId="60" xfId="0" applyNumberFormat="1" applyFont="1" applyFill="1" applyBorder="1" applyAlignment="1" applyProtection="1">
      <alignment vertical="center" wrapText="1"/>
      <protection locked="0"/>
    </xf>
    <xf numFmtId="0" fontId="11" fillId="69" borderId="52" xfId="0" applyFont="1" applyFill="1" applyBorder="1" applyAlignment="1" applyProtection="1">
      <alignment horizontal="justify" vertical="center" wrapText="1"/>
      <protection locked="0"/>
    </xf>
    <xf numFmtId="9" fontId="11" fillId="69" borderId="11" xfId="0" applyNumberFormat="1" applyFont="1" applyFill="1" applyBorder="1" applyAlignment="1" applyProtection="1">
      <alignment vertical="center" wrapText="1"/>
      <protection locked="0"/>
    </xf>
    <xf numFmtId="9" fontId="11" fillId="69" borderId="184" xfId="5" applyFont="1" applyFill="1" applyBorder="1" applyAlignment="1" applyProtection="1">
      <alignment vertical="center" wrapText="1"/>
      <protection locked="0"/>
    </xf>
    <xf numFmtId="9" fontId="11" fillId="69" borderId="184" xfId="0" applyNumberFormat="1" applyFont="1" applyFill="1" applyBorder="1" applyAlignment="1" applyProtection="1">
      <alignment vertical="center" wrapText="1"/>
      <protection locked="0"/>
    </xf>
    <xf numFmtId="9" fontId="11" fillId="69" borderId="179" xfId="0" applyNumberFormat="1" applyFont="1" applyFill="1" applyBorder="1" applyAlignment="1" applyProtection="1">
      <alignment vertical="center" wrapText="1"/>
      <protection locked="0"/>
    </xf>
    <xf numFmtId="191" fontId="11" fillId="69" borderId="48" xfId="10" applyNumberFormat="1" applyFont="1" applyFill="1" applyBorder="1" applyAlignment="1" applyProtection="1">
      <alignment vertical="center" wrapText="1"/>
      <protection locked="0"/>
    </xf>
    <xf numFmtId="191" fontId="11" fillId="69" borderId="11" xfId="10" applyNumberFormat="1" applyFont="1" applyFill="1" applyBorder="1" applyAlignment="1" applyProtection="1">
      <alignment vertical="center" wrapText="1"/>
      <protection locked="0"/>
    </xf>
    <xf numFmtId="191" fontId="11" fillId="69" borderId="184" xfId="10" applyNumberFormat="1" applyFont="1" applyFill="1" applyBorder="1" applyAlignment="1" applyProtection="1">
      <alignment vertical="center" wrapText="1"/>
      <protection locked="0"/>
    </xf>
    <xf numFmtId="191" fontId="11" fillId="69" borderId="179" xfId="10" applyNumberFormat="1" applyFont="1" applyFill="1" applyBorder="1" applyAlignment="1" applyProtection="1">
      <alignment vertical="center" wrapText="1"/>
      <protection locked="0"/>
    </xf>
    <xf numFmtId="9" fontId="11" fillId="69" borderId="48" xfId="0" applyNumberFormat="1" applyFont="1" applyFill="1" applyBorder="1" applyAlignment="1" applyProtection="1">
      <alignment vertical="center" wrapText="1"/>
      <protection locked="0"/>
    </xf>
    <xf numFmtId="9" fontId="11" fillId="69" borderId="46" xfId="0" applyNumberFormat="1" applyFont="1" applyFill="1" applyBorder="1" applyAlignment="1" applyProtection="1">
      <alignment vertical="center" wrapText="1"/>
      <protection locked="0"/>
    </xf>
    <xf numFmtId="0" fontId="11" fillId="69" borderId="94" xfId="0" applyFont="1" applyFill="1" applyBorder="1" applyAlignment="1" applyProtection="1">
      <alignment horizontal="justify" vertical="center" wrapText="1"/>
      <protection locked="0"/>
    </xf>
    <xf numFmtId="0" fontId="11" fillId="69" borderId="11" xfId="0" applyFont="1" applyFill="1" applyBorder="1" applyAlignment="1" applyProtection="1">
      <alignment vertical="center" wrapText="1"/>
      <protection locked="0"/>
    </xf>
    <xf numFmtId="0" fontId="11" fillId="69" borderId="184" xfId="0" applyFont="1" applyFill="1" applyBorder="1" applyAlignment="1" applyProtection="1">
      <alignment vertical="center" wrapText="1"/>
      <protection locked="0"/>
    </xf>
    <xf numFmtId="0" fontId="11" fillId="69" borderId="179" xfId="0" applyFont="1" applyFill="1" applyBorder="1" applyAlignment="1" applyProtection="1">
      <alignment vertical="center" wrapText="1"/>
      <protection locked="0"/>
    </xf>
    <xf numFmtId="0" fontId="11" fillId="69" borderId="48" xfId="0" applyFont="1" applyFill="1" applyBorder="1" applyAlignment="1" applyProtection="1">
      <alignment vertical="center" wrapText="1"/>
      <protection locked="0"/>
    </xf>
    <xf numFmtId="0" fontId="11" fillId="69" borderId="46" xfId="0" applyFont="1" applyFill="1" applyBorder="1" applyAlignment="1" applyProtection="1">
      <alignment vertical="center" wrapText="1"/>
      <protection locked="0"/>
    </xf>
    <xf numFmtId="0" fontId="11" fillId="69" borderId="29" xfId="0" applyFont="1" applyFill="1" applyBorder="1" applyAlignment="1" applyProtection="1">
      <alignment vertical="center" wrapText="1"/>
      <protection locked="0"/>
    </xf>
    <xf numFmtId="9" fontId="11" fillId="69" borderId="30" xfId="5" applyFont="1" applyFill="1" applyBorder="1" applyAlignment="1" applyProtection="1">
      <alignment vertical="center" wrapText="1"/>
      <protection locked="0"/>
    </xf>
    <xf numFmtId="0" fontId="11" fillId="69" borderId="30" xfId="0" applyFont="1" applyFill="1" applyBorder="1" applyAlignment="1" applyProtection="1">
      <alignment vertical="center" wrapText="1"/>
      <protection locked="0"/>
    </xf>
    <xf numFmtId="0" fontId="11" fillId="69" borderId="66" xfId="0" applyFont="1" applyFill="1" applyBorder="1" applyAlignment="1" applyProtection="1">
      <alignment vertical="center" wrapText="1"/>
      <protection locked="0"/>
    </xf>
    <xf numFmtId="191" fontId="11" fillId="69" borderId="50" xfId="10" applyNumberFormat="1" applyFont="1" applyFill="1" applyBorder="1" applyAlignment="1" applyProtection="1">
      <alignment vertical="center" wrapText="1"/>
      <protection locked="0"/>
    </xf>
    <xf numFmtId="191" fontId="11" fillId="69" borderId="29" xfId="10" applyNumberFormat="1" applyFont="1" applyFill="1" applyBorder="1" applyAlignment="1" applyProtection="1">
      <alignment vertical="center" wrapText="1"/>
      <protection locked="0"/>
    </xf>
    <xf numFmtId="191" fontId="11" fillId="69" borderId="30" xfId="10" applyNumberFormat="1" applyFont="1" applyFill="1" applyBorder="1" applyAlignment="1" applyProtection="1">
      <alignment vertical="center" wrapText="1"/>
      <protection locked="0"/>
    </xf>
    <xf numFmtId="191" fontId="11" fillId="69" borderId="66" xfId="10" applyNumberFormat="1" applyFont="1" applyFill="1" applyBorder="1" applyAlignment="1" applyProtection="1">
      <alignment vertical="center" wrapText="1"/>
      <protection locked="0"/>
    </xf>
    <xf numFmtId="0" fontId="11" fillId="69" borderId="50" xfId="0" applyFont="1" applyFill="1" applyBorder="1" applyAlignment="1" applyProtection="1">
      <alignment vertical="center" wrapText="1"/>
      <protection locked="0"/>
    </xf>
    <xf numFmtId="0" fontId="11" fillId="69" borderId="177" xfId="0" applyFont="1" applyFill="1" applyBorder="1" applyAlignment="1" applyProtection="1">
      <alignment vertical="center" wrapText="1"/>
      <protection locked="0"/>
    </xf>
    <xf numFmtId="0" fontId="11" fillId="69" borderId="31" xfId="0" applyFont="1" applyFill="1" applyBorder="1" applyAlignment="1" applyProtection="1">
      <alignment horizontal="justify" vertical="center" wrapText="1"/>
      <protection locked="0"/>
    </xf>
    <xf numFmtId="0" fontId="11" fillId="41" borderId="14" xfId="8" applyFont="1" applyFill="1" applyBorder="1" applyAlignment="1" applyProtection="1">
      <alignment horizontal="justify" vertical="center" wrapText="1"/>
      <protection locked="0"/>
    </xf>
    <xf numFmtId="0" fontId="11" fillId="41" borderId="27" xfId="8" applyFont="1" applyFill="1" applyBorder="1" applyAlignment="1" applyProtection="1">
      <alignment horizontal="justify" vertical="center" wrapText="1"/>
      <protection locked="0"/>
    </xf>
    <xf numFmtId="0" fontId="11" fillId="41" borderId="52" xfId="8" applyFont="1" applyFill="1" applyBorder="1" applyAlignment="1" applyProtection="1">
      <alignment horizontal="justify" vertical="center" wrapText="1"/>
      <protection locked="0"/>
    </xf>
    <xf numFmtId="0" fontId="11" fillId="41" borderId="159" xfId="8" applyFont="1" applyFill="1" applyBorder="1" applyAlignment="1" applyProtection="1">
      <alignment horizontal="justify" vertical="center" wrapText="1"/>
      <protection locked="0"/>
    </xf>
    <xf numFmtId="0" fontId="11" fillId="41" borderId="57" xfId="8" applyFont="1" applyFill="1" applyBorder="1" applyAlignment="1" applyProtection="1">
      <alignment horizontal="justify" vertical="center" wrapText="1"/>
      <protection locked="0"/>
    </xf>
    <xf numFmtId="0" fontId="11" fillId="103" borderId="60" xfId="8" applyFont="1" applyFill="1" applyBorder="1" applyAlignment="1" applyProtection="1">
      <alignment horizontal="center" vertical="center" wrapText="1"/>
      <protection locked="0"/>
    </xf>
    <xf numFmtId="0" fontId="11" fillId="103" borderId="100" xfId="8" applyFont="1" applyFill="1" applyBorder="1" applyAlignment="1" applyProtection="1">
      <alignment horizontal="center" vertical="center" wrapText="1"/>
      <protection locked="0"/>
    </xf>
    <xf numFmtId="0" fontId="11" fillId="103" borderId="52" xfId="8" applyFont="1" applyFill="1" applyBorder="1" applyAlignment="1" applyProtection="1">
      <alignment horizontal="justify" vertical="center" wrapText="1"/>
      <protection locked="0"/>
    </xf>
    <xf numFmtId="0" fontId="0" fillId="103" borderId="7" xfId="8" applyFont="1" applyFill="1" applyBorder="1" applyAlignment="1" applyProtection="1">
      <alignment horizontal="center" vertical="center"/>
      <protection locked="0"/>
    </xf>
    <xf numFmtId="9" fontId="0" fillId="103" borderId="8" xfId="5" applyFont="1" applyFill="1" applyBorder="1" applyAlignment="1" applyProtection="1">
      <alignment horizontal="center" vertical="center"/>
      <protection locked="0"/>
    </xf>
    <xf numFmtId="0" fontId="0" fillId="103" borderId="8" xfId="8" applyFont="1" applyFill="1" applyBorder="1" applyAlignment="1" applyProtection="1">
      <alignment horizontal="center" vertical="center"/>
      <protection locked="0"/>
    </xf>
    <xf numFmtId="0" fontId="0" fillId="103" borderId="36" xfId="8" applyFont="1" applyFill="1" applyBorder="1" applyAlignment="1" applyProtection="1">
      <alignment horizontal="center" vertical="center"/>
      <protection locked="0"/>
    </xf>
    <xf numFmtId="191" fontId="0" fillId="103" borderId="16" xfId="10" applyNumberFormat="1" applyFont="1" applyFill="1" applyBorder="1" applyAlignment="1" applyProtection="1">
      <alignment horizontal="center" vertical="center"/>
      <protection locked="0"/>
    </xf>
    <xf numFmtId="191" fontId="0" fillId="103" borderId="7" xfId="10" applyNumberFormat="1" applyFont="1" applyFill="1" applyBorder="1" applyAlignment="1" applyProtection="1">
      <alignment horizontal="center" vertical="center"/>
      <protection locked="0"/>
    </xf>
    <xf numFmtId="191" fontId="0" fillId="103" borderId="8" xfId="10" applyNumberFormat="1" applyFont="1" applyFill="1" applyBorder="1" applyAlignment="1" applyProtection="1">
      <alignment horizontal="center" vertical="center"/>
      <protection locked="0"/>
    </xf>
    <xf numFmtId="191" fontId="0" fillId="103" borderId="36" xfId="10" applyNumberFormat="1" applyFont="1" applyFill="1" applyBorder="1" applyAlignment="1" applyProtection="1">
      <alignment horizontal="center" vertical="center"/>
      <protection locked="0"/>
    </xf>
    <xf numFmtId="0" fontId="0" fillId="103" borderId="16" xfId="8" applyFont="1" applyFill="1" applyBorder="1" applyAlignment="1" applyProtection="1">
      <alignment horizontal="center" vertical="center"/>
      <protection locked="0"/>
    </xf>
    <xf numFmtId="0" fontId="0" fillId="103" borderId="45" xfId="8" applyFont="1" applyFill="1" applyBorder="1" applyAlignment="1" applyProtection="1">
      <alignment horizontal="center" vertical="center"/>
      <protection locked="0"/>
    </xf>
    <xf numFmtId="0" fontId="11" fillId="103" borderId="46" xfId="8" applyFont="1" applyFill="1" applyBorder="1" applyAlignment="1" applyProtection="1">
      <alignment horizontal="center" vertical="center" wrapText="1"/>
      <protection locked="0"/>
    </xf>
    <xf numFmtId="0" fontId="11" fillId="103" borderId="155" xfId="8" applyFont="1" applyFill="1" applyBorder="1" applyAlignment="1" applyProtection="1">
      <alignment horizontal="center" vertical="center" wrapText="1"/>
      <protection locked="0"/>
    </xf>
    <xf numFmtId="0" fontId="0" fillId="103" borderId="11" xfId="8" applyFont="1" applyFill="1" applyBorder="1" applyAlignment="1" applyProtection="1">
      <alignment horizontal="center" vertical="center" wrapText="1"/>
      <protection locked="0"/>
    </xf>
    <xf numFmtId="0" fontId="11" fillId="103" borderId="94" xfId="8" applyFont="1" applyFill="1" applyBorder="1" applyAlignment="1" applyProtection="1">
      <alignment horizontal="justify" vertical="center" wrapText="1"/>
      <protection locked="0"/>
    </xf>
    <xf numFmtId="0" fontId="0" fillId="103" borderId="184" xfId="8" applyFont="1" applyFill="1" applyBorder="1" applyAlignment="1" applyProtection="1">
      <alignment horizontal="center" vertical="center" wrapText="1"/>
      <protection locked="0"/>
    </xf>
    <xf numFmtId="0" fontId="0" fillId="103" borderId="179" xfId="8" applyFont="1" applyFill="1" applyBorder="1" applyAlignment="1" applyProtection="1">
      <alignment horizontal="center" vertical="center" wrapText="1"/>
      <protection locked="0"/>
    </xf>
    <xf numFmtId="0" fontId="0" fillId="103" borderId="48" xfId="8" applyFont="1" applyFill="1" applyBorder="1" applyAlignment="1" applyProtection="1">
      <alignment horizontal="center" vertical="center" wrapText="1"/>
      <protection locked="0"/>
    </xf>
    <xf numFmtId="0" fontId="0" fillId="103" borderId="46" xfId="8" applyFont="1" applyFill="1" applyBorder="1" applyAlignment="1" applyProtection="1">
      <alignment horizontal="center" vertical="center" wrapText="1"/>
      <protection locked="0"/>
    </xf>
    <xf numFmtId="0" fontId="0" fillId="103" borderId="11" xfId="8" applyFont="1" applyFill="1" applyBorder="1" applyAlignment="1" applyProtection="1">
      <alignment vertical="center"/>
      <protection locked="0"/>
    </xf>
    <xf numFmtId="0" fontId="0" fillId="103" borderId="184" xfId="8" applyFont="1" applyFill="1" applyBorder="1" applyAlignment="1" applyProtection="1">
      <alignment vertical="center"/>
      <protection locked="0"/>
    </xf>
    <xf numFmtId="0" fontId="0" fillId="103" borderId="179" xfId="8" applyFont="1" applyFill="1" applyBorder="1" applyAlignment="1" applyProtection="1">
      <alignment vertical="center"/>
      <protection locked="0"/>
    </xf>
    <xf numFmtId="0" fontId="0" fillId="103" borderId="48" xfId="8" applyFont="1" applyFill="1" applyBorder="1" applyAlignment="1" applyProtection="1">
      <alignment vertical="center"/>
      <protection locked="0"/>
    </xf>
    <xf numFmtId="0" fontId="0" fillId="103" borderId="46" xfId="8" applyFont="1" applyFill="1" applyBorder="1" applyAlignment="1" applyProtection="1">
      <alignment vertical="center"/>
      <protection locked="0"/>
    </xf>
    <xf numFmtId="0" fontId="11" fillId="103" borderId="159" xfId="8" applyFont="1" applyFill="1" applyBorder="1" applyAlignment="1" applyProtection="1">
      <alignment horizontal="justify" vertical="center" wrapText="1"/>
      <protection locked="0"/>
    </xf>
    <xf numFmtId="0" fontId="11" fillId="103" borderId="177" xfId="8" applyFont="1" applyFill="1" applyBorder="1" applyAlignment="1" applyProtection="1">
      <alignment horizontal="center" vertical="center" wrapText="1"/>
      <protection locked="0"/>
    </xf>
    <xf numFmtId="0" fontId="11" fillId="103" borderId="161" xfId="8" applyFont="1" applyFill="1" applyBorder="1" applyAlignment="1" applyProtection="1">
      <alignment horizontal="center" vertical="center" wrapText="1"/>
      <protection locked="0"/>
    </xf>
    <xf numFmtId="0" fontId="11" fillId="103" borderId="31" xfId="8" applyFont="1" applyFill="1" applyBorder="1" applyAlignment="1" applyProtection="1">
      <alignment horizontal="justify" vertical="center" wrapText="1"/>
      <protection locked="0"/>
    </xf>
    <xf numFmtId="0" fontId="0" fillId="103" borderId="29" xfId="8" applyFont="1" applyFill="1" applyBorder="1" applyAlignment="1" applyProtection="1">
      <alignment horizontal="center" vertical="center"/>
      <protection locked="0"/>
    </xf>
    <xf numFmtId="9" fontId="0" fillId="103" borderId="30" xfId="5" applyFont="1" applyFill="1" applyBorder="1" applyAlignment="1" applyProtection="1">
      <alignment horizontal="center" vertical="center"/>
      <protection locked="0"/>
    </xf>
    <xf numFmtId="0" fontId="0" fillId="103" borderId="30" xfId="8" applyFont="1" applyFill="1" applyBorder="1" applyAlignment="1" applyProtection="1">
      <alignment horizontal="center" vertical="center"/>
      <protection locked="0"/>
    </xf>
    <xf numFmtId="0" fontId="0" fillId="103" borderId="66" xfId="8" applyFont="1" applyFill="1" applyBorder="1" applyAlignment="1" applyProtection="1">
      <alignment horizontal="center" vertical="center"/>
      <protection locked="0"/>
    </xf>
    <xf numFmtId="191" fontId="0" fillId="103" borderId="50" xfId="10" applyNumberFormat="1" applyFont="1" applyFill="1" applyBorder="1" applyAlignment="1" applyProtection="1">
      <alignment horizontal="center" vertical="center"/>
      <protection locked="0"/>
    </xf>
    <xf numFmtId="191" fontId="0" fillId="103" borderId="29" xfId="10" applyNumberFormat="1" applyFont="1" applyFill="1" applyBorder="1" applyAlignment="1" applyProtection="1">
      <alignment horizontal="center" vertical="center"/>
      <protection locked="0"/>
    </xf>
    <xf numFmtId="191" fontId="0" fillId="103" borderId="30" xfId="10" applyNumberFormat="1" applyFont="1" applyFill="1" applyBorder="1" applyAlignment="1" applyProtection="1">
      <alignment horizontal="center" vertical="center"/>
      <protection locked="0"/>
    </xf>
    <xf numFmtId="191" fontId="0" fillId="103" borderId="66" xfId="10" applyNumberFormat="1" applyFont="1" applyFill="1" applyBorder="1" applyAlignment="1" applyProtection="1">
      <alignment horizontal="center" vertical="center"/>
      <protection locked="0"/>
    </xf>
    <xf numFmtId="0" fontId="0" fillId="103" borderId="50" xfId="8" applyFont="1" applyFill="1" applyBorder="1" applyAlignment="1" applyProtection="1">
      <alignment horizontal="center" vertical="center"/>
      <protection locked="0"/>
    </xf>
    <xf numFmtId="0" fontId="0" fillId="103" borderId="177" xfId="8" applyFont="1" applyFill="1" applyBorder="1" applyAlignment="1" applyProtection="1">
      <alignment horizontal="center" vertical="center"/>
      <protection locked="0"/>
    </xf>
    <xf numFmtId="0" fontId="0" fillId="43" borderId="51" xfId="8" applyFont="1" applyFill="1" applyBorder="1" applyAlignment="1" applyProtection="1">
      <alignment vertical="center"/>
      <protection locked="0"/>
    </xf>
    <xf numFmtId="9" fontId="0" fillId="43" borderId="32" xfId="5" applyFont="1" applyFill="1" applyBorder="1" applyAlignment="1" applyProtection="1">
      <alignment vertical="center"/>
      <protection locked="0"/>
    </xf>
    <xf numFmtId="0" fontId="0" fillId="43" borderId="32" xfId="8" applyFont="1" applyFill="1" applyBorder="1" applyAlignment="1" applyProtection="1">
      <alignment vertical="center"/>
      <protection locked="0"/>
    </xf>
    <xf numFmtId="0" fontId="0" fillId="43" borderId="38" xfId="8" applyFont="1" applyFill="1" applyBorder="1" applyAlignment="1" applyProtection="1">
      <alignment vertical="center"/>
      <protection locked="0"/>
    </xf>
    <xf numFmtId="191" fontId="0" fillId="43" borderId="99" xfId="10" applyNumberFormat="1" applyFont="1" applyFill="1" applyBorder="1" applyAlignment="1" applyProtection="1">
      <alignment vertical="center"/>
      <protection locked="0"/>
    </xf>
    <xf numFmtId="191" fontId="0" fillId="43" borderId="51" xfId="10" applyNumberFormat="1" applyFont="1" applyFill="1" applyBorder="1" applyAlignment="1" applyProtection="1">
      <alignment vertical="center"/>
      <protection locked="0"/>
    </xf>
    <xf numFmtId="191" fontId="0" fillId="43" borderId="32" xfId="10" applyNumberFormat="1" applyFont="1" applyFill="1" applyBorder="1" applyAlignment="1" applyProtection="1">
      <alignment vertical="center"/>
      <protection locked="0"/>
    </xf>
    <xf numFmtId="191" fontId="0" fillId="43" borderId="38" xfId="10" applyNumberFormat="1" applyFont="1" applyFill="1" applyBorder="1" applyAlignment="1" applyProtection="1">
      <alignment vertical="center"/>
      <protection locked="0"/>
    </xf>
    <xf numFmtId="0" fontId="0" fillId="43" borderId="99" xfId="8" applyFont="1" applyFill="1" applyBorder="1" applyAlignment="1" applyProtection="1">
      <alignment vertical="center"/>
      <protection locked="0"/>
    </xf>
    <xf numFmtId="0" fontId="0" fillId="43" borderId="60" xfId="8" applyFont="1" applyFill="1" applyBorder="1" applyAlignment="1" applyProtection="1">
      <alignment vertical="center"/>
      <protection locked="0"/>
    </xf>
    <xf numFmtId="0" fontId="11" fillId="43" borderId="14" xfId="8" applyFont="1" applyFill="1" applyBorder="1" applyAlignment="1" applyProtection="1">
      <alignment horizontal="justify" vertical="center" wrapText="1"/>
      <protection locked="0"/>
    </xf>
    <xf numFmtId="0" fontId="0" fillId="43" borderId="11" xfId="8" applyFont="1" applyFill="1" applyBorder="1" applyAlignment="1" applyProtection="1">
      <alignment vertical="center"/>
      <protection locked="0"/>
    </xf>
    <xf numFmtId="9" fontId="0" fillId="43" borderId="184" xfId="5" applyFont="1" applyFill="1" applyBorder="1" applyAlignment="1" applyProtection="1">
      <alignment vertical="center"/>
      <protection locked="0"/>
    </xf>
    <xf numFmtId="0" fontId="0" fillId="43" borderId="184" xfId="8" applyFont="1" applyFill="1" applyBorder="1" applyAlignment="1" applyProtection="1">
      <alignment vertical="center"/>
      <protection locked="0"/>
    </xf>
    <xf numFmtId="0" fontId="0" fillId="43" borderId="179" xfId="8" applyFont="1" applyFill="1" applyBorder="1" applyAlignment="1" applyProtection="1">
      <alignment vertical="center"/>
      <protection locked="0"/>
    </xf>
    <xf numFmtId="191" fontId="0" fillId="43" borderId="48" xfId="10" applyNumberFormat="1" applyFont="1" applyFill="1" applyBorder="1" applyAlignment="1" applyProtection="1">
      <alignment vertical="center"/>
      <protection locked="0"/>
    </xf>
    <xf numFmtId="191" fontId="0" fillId="43" borderId="11" xfId="10" applyNumberFormat="1" applyFont="1" applyFill="1" applyBorder="1" applyAlignment="1" applyProtection="1">
      <alignment vertical="center"/>
      <protection locked="0"/>
    </xf>
    <xf numFmtId="191" fontId="0" fillId="43" borderId="184" xfId="10" applyNumberFormat="1" applyFont="1" applyFill="1" applyBorder="1" applyAlignment="1" applyProtection="1">
      <alignment vertical="center"/>
      <protection locked="0"/>
    </xf>
    <xf numFmtId="191" fontId="0" fillId="43" borderId="179" xfId="10" applyNumberFormat="1" applyFont="1" applyFill="1" applyBorder="1" applyAlignment="1" applyProtection="1">
      <alignment vertical="center"/>
      <protection locked="0"/>
    </xf>
    <xf numFmtId="0" fontId="0" fillId="43" borderId="48" xfId="8" applyFont="1" applyFill="1" applyBorder="1" applyAlignment="1" applyProtection="1">
      <alignment vertical="center"/>
      <protection locked="0"/>
    </xf>
    <xf numFmtId="0" fontId="0" fillId="43" borderId="46" xfId="8" applyFont="1" applyFill="1" applyBorder="1" applyAlignment="1" applyProtection="1">
      <alignment vertical="center"/>
      <protection locked="0"/>
    </xf>
    <xf numFmtId="0" fontId="11" fillId="43" borderId="52" xfId="8" applyFont="1" applyFill="1" applyBorder="1" applyAlignment="1" applyProtection="1">
      <alignment horizontal="justify" vertical="center" wrapText="1"/>
      <protection locked="0"/>
    </xf>
    <xf numFmtId="0" fontId="11" fillId="43" borderId="159" xfId="8" applyFont="1" applyFill="1" applyBorder="1" applyAlignment="1" applyProtection="1">
      <alignment horizontal="justify" vertical="center" wrapText="1"/>
      <protection locked="0"/>
    </xf>
    <xf numFmtId="0" fontId="11" fillId="43" borderId="27" xfId="8" applyFont="1" applyFill="1" applyBorder="1" applyAlignment="1" applyProtection="1">
      <alignment horizontal="justify" vertical="center" wrapText="1"/>
      <protection locked="0"/>
    </xf>
    <xf numFmtId="0" fontId="0" fillId="43" borderId="11" xfId="8" applyFont="1" applyFill="1" applyBorder="1" applyAlignment="1" applyProtection="1">
      <alignment vertical="center" wrapText="1"/>
      <protection locked="0"/>
    </xf>
    <xf numFmtId="9" fontId="0" fillId="43" borderId="184" xfId="5" applyFont="1" applyFill="1" applyBorder="1" applyAlignment="1" applyProtection="1">
      <alignment vertical="center" wrapText="1"/>
      <protection locked="0"/>
    </xf>
    <xf numFmtId="0" fontId="0" fillId="43" borderId="184" xfId="8" applyFont="1" applyFill="1" applyBorder="1" applyAlignment="1" applyProtection="1">
      <alignment vertical="center" wrapText="1"/>
      <protection locked="0"/>
    </xf>
    <xf numFmtId="0" fontId="0" fillId="43" borderId="179" xfId="8" applyFont="1" applyFill="1" applyBorder="1" applyAlignment="1" applyProtection="1">
      <alignment vertical="center" wrapText="1"/>
      <protection locked="0"/>
    </xf>
    <xf numFmtId="191" fontId="0" fillId="43" borderId="48" xfId="10" applyNumberFormat="1" applyFont="1" applyFill="1" applyBorder="1" applyAlignment="1" applyProtection="1">
      <alignment vertical="center" wrapText="1"/>
      <protection locked="0"/>
    </xf>
    <xf numFmtId="191" fontId="0" fillId="43" borderId="11" xfId="10" applyNumberFormat="1" applyFont="1" applyFill="1" applyBorder="1" applyAlignment="1" applyProtection="1">
      <alignment vertical="center" wrapText="1"/>
      <protection locked="0"/>
    </xf>
    <xf numFmtId="191" fontId="0" fillId="43" borderId="184" xfId="10" applyNumberFormat="1" applyFont="1" applyFill="1" applyBorder="1" applyAlignment="1" applyProtection="1">
      <alignment vertical="center" wrapText="1"/>
      <protection locked="0"/>
    </xf>
    <xf numFmtId="191" fontId="0" fillId="43" borderId="179" xfId="10" applyNumberFormat="1" applyFont="1" applyFill="1" applyBorder="1" applyAlignment="1" applyProtection="1">
      <alignment vertical="center" wrapText="1"/>
      <protection locked="0"/>
    </xf>
    <xf numFmtId="0" fontId="0" fillId="43" borderId="48" xfId="8" applyFont="1" applyFill="1" applyBorder="1" applyAlignment="1" applyProtection="1">
      <alignment vertical="center" wrapText="1"/>
      <protection locked="0"/>
    </xf>
    <xf numFmtId="0" fontId="0" fillId="43" borderId="46" xfId="8" applyFont="1" applyFill="1" applyBorder="1" applyAlignment="1" applyProtection="1">
      <alignment vertical="center" wrapText="1"/>
      <protection locked="0"/>
    </xf>
    <xf numFmtId="0" fontId="0" fillId="43" borderId="29" xfId="8" applyFont="1" applyFill="1" applyBorder="1" applyAlignment="1" applyProtection="1">
      <alignment vertical="center" wrapText="1"/>
      <protection locked="0"/>
    </xf>
    <xf numFmtId="9" fontId="0" fillId="43" borderId="30" xfId="5" applyFont="1" applyFill="1" applyBorder="1" applyAlignment="1" applyProtection="1">
      <alignment vertical="center" wrapText="1"/>
      <protection locked="0"/>
    </xf>
    <xf numFmtId="0" fontId="0" fillId="43" borderId="30" xfId="8" applyFont="1" applyFill="1" applyBorder="1" applyAlignment="1" applyProtection="1">
      <alignment vertical="center" wrapText="1"/>
      <protection locked="0"/>
    </xf>
    <xf numFmtId="0" fontId="0" fillId="43" borderId="66" xfId="8" applyFont="1" applyFill="1" applyBorder="1" applyAlignment="1" applyProtection="1">
      <alignment vertical="center" wrapText="1"/>
      <protection locked="0"/>
    </xf>
    <xf numFmtId="191" fontId="0" fillId="43" borderId="50" xfId="10" applyNumberFormat="1" applyFont="1" applyFill="1" applyBorder="1" applyAlignment="1" applyProtection="1">
      <alignment vertical="center" wrapText="1"/>
      <protection locked="0"/>
    </xf>
    <xf numFmtId="191" fontId="0" fillId="43" borderId="29" xfId="10" applyNumberFormat="1" applyFont="1" applyFill="1" applyBorder="1" applyAlignment="1" applyProtection="1">
      <alignment vertical="center" wrapText="1"/>
      <protection locked="0"/>
    </xf>
    <xf numFmtId="191" fontId="0" fillId="43" borderId="30" xfId="10" applyNumberFormat="1" applyFont="1" applyFill="1" applyBorder="1" applyAlignment="1" applyProtection="1">
      <alignment vertical="center" wrapText="1"/>
      <protection locked="0"/>
    </xf>
    <xf numFmtId="191" fontId="0" fillId="43" borderId="66" xfId="10" applyNumberFormat="1" applyFont="1" applyFill="1" applyBorder="1" applyAlignment="1" applyProtection="1">
      <alignment vertical="center" wrapText="1"/>
      <protection locked="0"/>
    </xf>
    <xf numFmtId="0" fontId="0" fillId="43" borderId="50" xfId="8" applyFont="1" applyFill="1" applyBorder="1" applyAlignment="1" applyProtection="1">
      <alignment vertical="center" wrapText="1"/>
      <protection locked="0"/>
    </xf>
    <xf numFmtId="0" fontId="0" fillId="43" borderId="177" xfId="8" applyFont="1" applyFill="1" applyBorder="1" applyAlignment="1" applyProtection="1">
      <alignment vertical="center" wrapText="1"/>
      <protection locked="0"/>
    </xf>
    <xf numFmtId="0" fontId="11" fillId="43" borderId="57" xfId="8" applyFont="1" applyFill="1" applyBorder="1" applyAlignment="1" applyProtection="1">
      <alignment horizontal="justify" vertical="center" wrapText="1"/>
      <protection locked="0"/>
    </xf>
    <xf numFmtId="0" fontId="11" fillId="29" borderId="60" xfId="8" applyFont="1" applyFill="1" applyBorder="1" applyAlignment="1" applyProtection="1">
      <alignment horizontal="center" vertical="center" wrapText="1"/>
      <protection locked="0"/>
    </xf>
    <xf numFmtId="0" fontId="11" fillId="29" borderId="100" xfId="8" applyFont="1" applyFill="1" applyBorder="1" applyAlignment="1" applyProtection="1">
      <alignment horizontal="center" vertical="center" wrapText="1"/>
      <protection locked="0"/>
    </xf>
    <xf numFmtId="0" fontId="11" fillId="29" borderId="52" xfId="8" applyFont="1" applyFill="1" applyBorder="1" applyAlignment="1" applyProtection="1">
      <alignment horizontal="justify" vertical="center" wrapText="1"/>
      <protection locked="0"/>
    </xf>
    <xf numFmtId="0" fontId="0" fillId="29" borderId="51" xfId="8" applyFont="1" applyFill="1" applyBorder="1" applyAlignment="1" applyProtection="1">
      <alignment horizontal="center" vertical="center"/>
      <protection locked="0"/>
    </xf>
    <xf numFmtId="9" fontId="0" fillId="29" borderId="32" xfId="5" applyFont="1" applyFill="1" applyBorder="1" applyAlignment="1" applyProtection="1">
      <alignment horizontal="center" vertical="center"/>
      <protection locked="0"/>
    </xf>
    <xf numFmtId="0" fontId="0" fillId="29" borderId="32" xfId="8" applyFont="1" applyFill="1" applyBorder="1" applyAlignment="1" applyProtection="1">
      <alignment horizontal="center" vertical="center"/>
      <protection locked="0"/>
    </xf>
    <xf numFmtId="0" fontId="0" fillId="29" borderId="38" xfId="8" applyFont="1" applyFill="1" applyBorder="1" applyAlignment="1" applyProtection="1">
      <alignment horizontal="center" vertical="center"/>
      <protection locked="0"/>
    </xf>
    <xf numFmtId="191" fontId="0" fillId="29" borderId="99" xfId="10" applyNumberFormat="1" applyFont="1" applyFill="1" applyBorder="1" applyAlignment="1" applyProtection="1">
      <alignment horizontal="center" vertical="center"/>
      <protection locked="0"/>
    </xf>
    <xf numFmtId="191" fontId="0" fillId="29" borderId="51" xfId="10" applyNumberFormat="1" applyFont="1" applyFill="1" applyBorder="1" applyAlignment="1" applyProtection="1">
      <alignment horizontal="center" vertical="center"/>
      <protection locked="0"/>
    </xf>
    <xf numFmtId="191" fontId="0" fillId="29" borderId="32" xfId="10" applyNumberFormat="1" applyFont="1" applyFill="1" applyBorder="1" applyAlignment="1" applyProtection="1">
      <alignment horizontal="center" vertical="center"/>
      <protection locked="0"/>
    </xf>
    <xf numFmtId="191" fontId="0" fillId="29" borderId="38" xfId="10" applyNumberFormat="1" applyFont="1" applyFill="1" applyBorder="1" applyAlignment="1" applyProtection="1">
      <alignment horizontal="center" vertical="center"/>
      <protection locked="0"/>
    </xf>
    <xf numFmtId="0" fontId="0" fillId="29" borderId="99" xfId="8" applyFont="1" applyFill="1" applyBorder="1" applyAlignment="1" applyProtection="1">
      <alignment horizontal="center" vertical="center"/>
      <protection locked="0"/>
    </xf>
    <xf numFmtId="0" fontId="0" fillId="29" borderId="60" xfId="8" applyFont="1" applyFill="1" applyBorder="1" applyAlignment="1" applyProtection="1">
      <alignment horizontal="center" vertical="center"/>
      <protection locked="0"/>
    </xf>
    <xf numFmtId="0" fontId="0" fillId="29" borderId="11" xfId="8" applyFont="1" applyFill="1" applyBorder="1" applyAlignment="1" applyProtection="1">
      <alignment vertical="center"/>
      <protection locked="0"/>
    </xf>
    <xf numFmtId="0" fontId="0" fillId="29" borderId="184" xfId="8" applyFont="1" applyFill="1" applyBorder="1" applyAlignment="1" applyProtection="1">
      <alignment vertical="center"/>
      <protection locked="0"/>
    </xf>
    <xf numFmtId="0" fontId="0" fillId="29" borderId="179" xfId="8" applyFont="1" applyFill="1" applyBorder="1" applyAlignment="1" applyProtection="1">
      <alignment vertical="center"/>
      <protection locked="0"/>
    </xf>
    <xf numFmtId="0" fontId="0" fillId="29" borderId="48" xfId="8" applyFont="1" applyFill="1" applyBorder="1" applyAlignment="1" applyProtection="1">
      <alignment vertical="center"/>
      <protection locked="0"/>
    </xf>
    <xf numFmtId="0" fontId="0" fillId="29" borderId="46" xfId="8" applyFont="1" applyFill="1" applyBorder="1" applyAlignment="1" applyProtection="1">
      <alignment vertical="center"/>
      <protection locked="0"/>
    </xf>
    <xf numFmtId="0" fontId="11" fillId="29" borderId="159" xfId="8" applyFont="1" applyFill="1" applyBorder="1" applyAlignment="1" applyProtection="1">
      <alignment horizontal="justify" vertical="center" wrapText="1"/>
      <protection locked="0"/>
    </xf>
    <xf numFmtId="0" fontId="11" fillId="29" borderId="27" xfId="8" applyFont="1" applyFill="1" applyBorder="1" applyAlignment="1" applyProtection="1">
      <alignment horizontal="justify" vertical="center" wrapText="1"/>
      <protection locked="0"/>
    </xf>
    <xf numFmtId="0" fontId="11" fillId="29" borderId="46" xfId="8" applyFont="1" applyFill="1" applyBorder="1" applyAlignment="1" applyProtection="1">
      <alignment horizontal="center" vertical="center" wrapText="1"/>
      <protection locked="0"/>
    </xf>
    <xf numFmtId="0" fontId="11" fillId="29" borderId="155" xfId="8" applyFont="1" applyFill="1" applyBorder="1" applyAlignment="1" applyProtection="1">
      <alignment horizontal="center" vertical="center" wrapText="1"/>
      <protection locked="0"/>
    </xf>
    <xf numFmtId="0" fontId="11" fillId="29" borderId="94" xfId="8" applyFont="1" applyFill="1" applyBorder="1" applyAlignment="1" applyProtection="1">
      <alignment horizontal="justify" vertical="center" wrapText="1"/>
      <protection locked="0"/>
    </xf>
    <xf numFmtId="0" fontId="0" fillId="29" borderId="11" xfId="8" applyFont="1" applyFill="1" applyBorder="1" applyAlignment="1" applyProtection="1">
      <alignment horizontal="center" vertical="center"/>
      <protection locked="0"/>
    </xf>
    <xf numFmtId="0" fontId="0" fillId="29" borderId="184" xfId="8" applyFont="1" applyFill="1" applyBorder="1" applyAlignment="1" applyProtection="1">
      <alignment horizontal="center" vertical="center"/>
      <protection locked="0"/>
    </xf>
    <xf numFmtId="0" fontId="0" fillId="29" borderId="179" xfId="8" applyFont="1" applyFill="1" applyBorder="1" applyAlignment="1" applyProtection="1">
      <alignment horizontal="center" vertical="center"/>
      <protection locked="0"/>
    </xf>
    <xf numFmtId="0" fontId="0" fillId="29" borderId="48" xfId="8" applyFont="1" applyFill="1" applyBorder="1" applyAlignment="1" applyProtection="1">
      <alignment horizontal="center" vertical="center"/>
      <protection locked="0"/>
    </xf>
    <xf numFmtId="0" fontId="0" fillId="29" borderId="46" xfId="8" applyFont="1" applyFill="1" applyBorder="1" applyAlignment="1" applyProtection="1">
      <alignment horizontal="center" vertical="center"/>
      <protection locked="0"/>
    </xf>
    <xf numFmtId="0" fontId="0" fillId="29" borderId="29" xfId="8" applyFont="1" applyFill="1" applyBorder="1" applyAlignment="1" applyProtection="1">
      <alignment vertical="center"/>
      <protection locked="0"/>
    </xf>
    <xf numFmtId="9" fontId="0" fillId="29" borderId="30" xfId="5" applyFont="1" applyFill="1" applyBorder="1" applyAlignment="1" applyProtection="1">
      <alignment vertical="center"/>
      <protection locked="0"/>
    </xf>
    <xf numFmtId="0" fontId="0" fillId="29" borderId="30" xfId="8" applyFont="1" applyFill="1" applyBorder="1" applyAlignment="1" applyProtection="1">
      <alignment vertical="center"/>
      <protection locked="0"/>
    </xf>
    <xf numFmtId="0" fontId="0" fillId="29" borderId="66" xfId="8" applyFont="1" applyFill="1" applyBorder="1" applyAlignment="1" applyProtection="1">
      <alignment vertical="center"/>
      <protection locked="0"/>
    </xf>
    <xf numFmtId="191" fontId="0" fillId="29" borderId="50" xfId="10" applyNumberFormat="1" applyFont="1" applyFill="1" applyBorder="1" applyAlignment="1" applyProtection="1">
      <alignment vertical="center"/>
      <protection locked="0"/>
    </xf>
    <xf numFmtId="191" fontId="0" fillId="29" borderId="29" xfId="10" applyNumberFormat="1" applyFont="1" applyFill="1" applyBorder="1" applyAlignment="1" applyProtection="1">
      <alignment vertical="center"/>
      <protection locked="0"/>
    </xf>
    <xf numFmtId="191" fontId="0" fillId="29" borderId="30" xfId="10" applyNumberFormat="1" applyFont="1" applyFill="1" applyBorder="1" applyAlignment="1" applyProtection="1">
      <alignment vertical="center"/>
      <protection locked="0"/>
    </xf>
    <xf numFmtId="191" fontId="0" fillId="29" borderId="66" xfId="10" applyNumberFormat="1" applyFont="1" applyFill="1" applyBorder="1" applyAlignment="1" applyProtection="1">
      <alignment vertical="center"/>
      <protection locked="0"/>
    </xf>
    <xf numFmtId="0" fontId="0" fillId="29" borderId="50" xfId="8" applyFont="1" applyFill="1" applyBorder="1" applyAlignment="1" applyProtection="1">
      <alignment vertical="center"/>
      <protection locked="0"/>
    </xf>
    <xf numFmtId="0" fontId="0" fillId="29" borderId="177" xfId="8" applyFont="1" applyFill="1" applyBorder="1" applyAlignment="1" applyProtection="1">
      <alignment vertical="center"/>
      <protection locked="0"/>
    </xf>
    <xf numFmtId="0" fontId="11" fillId="29" borderId="57" xfId="8" applyFont="1" applyFill="1" applyBorder="1" applyAlignment="1" applyProtection="1">
      <alignment horizontal="justify" vertical="center" wrapText="1"/>
      <protection locked="0"/>
    </xf>
    <xf numFmtId="0" fontId="3" fillId="39" borderId="51" xfId="8" applyFont="1" applyFill="1" applyBorder="1" applyAlignment="1" applyProtection="1">
      <alignment vertical="center"/>
      <protection locked="0"/>
    </xf>
    <xf numFmtId="9" fontId="3" fillId="39" borderId="32" xfId="5" applyFont="1" applyFill="1" applyBorder="1" applyAlignment="1" applyProtection="1">
      <alignment vertical="center"/>
      <protection locked="0"/>
    </xf>
    <xf numFmtId="0" fontId="3" fillId="39" borderId="32" xfId="8" applyFont="1" applyFill="1" applyBorder="1" applyAlignment="1" applyProtection="1">
      <alignment vertical="center"/>
      <protection locked="0"/>
    </xf>
    <xf numFmtId="0" fontId="3" fillId="39" borderId="38" xfId="8" applyFont="1" applyFill="1" applyBorder="1" applyAlignment="1" applyProtection="1">
      <alignment vertical="center"/>
      <protection locked="0"/>
    </xf>
    <xf numFmtId="191" fontId="3" fillId="39" borderId="99" xfId="10" applyNumberFormat="1" applyFont="1" applyFill="1" applyBorder="1" applyAlignment="1" applyProtection="1">
      <alignment vertical="center"/>
      <protection locked="0"/>
    </xf>
    <xf numFmtId="191" fontId="3" fillId="39" borderId="51" xfId="10" applyNumberFormat="1" applyFont="1" applyFill="1" applyBorder="1" applyAlignment="1" applyProtection="1">
      <alignment vertical="center"/>
      <protection locked="0"/>
    </xf>
    <xf numFmtId="191" fontId="3" fillId="39" borderId="32" xfId="10" applyNumberFormat="1" applyFont="1" applyFill="1" applyBorder="1" applyAlignment="1" applyProtection="1">
      <alignment vertical="center"/>
      <protection locked="0"/>
    </xf>
    <xf numFmtId="191" fontId="3" fillId="39" borderId="38" xfId="10" applyNumberFormat="1" applyFont="1" applyFill="1" applyBorder="1" applyAlignment="1" applyProtection="1">
      <alignment vertical="center"/>
      <protection locked="0"/>
    </xf>
    <xf numFmtId="0" fontId="3" fillId="39" borderId="99" xfId="8" applyFont="1" applyFill="1" applyBorder="1" applyAlignment="1" applyProtection="1">
      <alignment vertical="center"/>
      <protection locked="0"/>
    </xf>
    <xf numFmtId="0" fontId="3" fillId="39" borderId="60" xfId="8" applyFont="1" applyFill="1" applyBorder="1" applyAlignment="1" applyProtection="1">
      <alignment vertical="center"/>
      <protection locked="0"/>
    </xf>
    <xf numFmtId="0" fontId="11" fillId="39" borderId="14" xfId="8" applyFont="1" applyFill="1" applyBorder="1" applyAlignment="1" applyProtection="1">
      <alignment horizontal="justify" vertical="center" wrapText="1"/>
      <protection locked="0"/>
    </xf>
    <xf numFmtId="0" fontId="3" fillId="39" borderId="11" xfId="8" applyFont="1" applyFill="1" applyBorder="1" applyAlignment="1" applyProtection="1">
      <alignment vertical="center"/>
      <protection locked="0"/>
    </xf>
    <xf numFmtId="9" fontId="3" fillId="39" borderId="184" xfId="5" applyFont="1" applyFill="1" applyBorder="1" applyAlignment="1" applyProtection="1">
      <alignment vertical="center"/>
      <protection locked="0"/>
    </xf>
    <xf numFmtId="0" fontId="3" fillId="39" borderId="184" xfId="8" applyFont="1" applyFill="1" applyBorder="1" applyAlignment="1" applyProtection="1">
      <alignment vertical="center"/>
      <protection locked="0"/>
    </xf>
    <xf numFmtId="0" fontId="3" fillId="39" borderId="179" xfId="8" applyFont="1" applyFill="1" applyBorder="1" applyAlignment="1" applyProtection="1">
      <alignment vertical="center"/>
      <protection locked="0"/>
    </xf>
    <xf numFmtId="191" fontId="3" fillId="39" borderId="48" xfId="10" applyNumberFormat="1" applyFont="1" applyFill="1" applyBorder="1" applyAlignment="1" applyProtection="1">
      <alignment vertical="center"/>
      <protection locked="0"/>
    </xf>
    <xf numFmtId="191" fontId="3" fillId="39" borderId="11" xfId="10" applyNumberFormat="1" applyFont="1" applyFill="1" applyBorder="1" applyAlignment="1" applyProtection="1">
      <alignment vertical="center"/>
      <protection locked="0"/>
    </xf>
    <xf numFmtId="191" fontId="3" fillId="39" borderId="184" xfId="10" applyNumberFormat="1" applyFont="1" applyFill="1" applyBorder="1" applyAlignment="1" applyProtection="1">
      <alignment vertical="center"/>
      <protection locked="0"/>
    </xf>
    <xf numFmtId="191" fontId="3" fillId="39" borderId="179" xfId="10" applyNumberFormat="1" applyFont="1" applyFill="1" applyBorder="1" applyAlignment="1" applyProtection="1">
      <alignment vertical="center"/>
      <protection locked="0"/>
    </xf>
    <xf numFmtId="0" fontId="3" fillId="39" borderId="48" xfId="8" applyFont="1" applyFill="1" applyBorder="1" applyAlignment="1" applyProtection="1">
      <alignment vertical="center"/>
      <protection locked="0"/>
    </xf>
    <xf numFmtId="0" fontId="3" fillId="39" borderId="46" xfId="8" applyFont="1" applyFill="1" applyBorder="1" applyAlignment="1" applyProtection="1">
      <alignment vertical="center"/>
      <protection locked="0"/>
    </xf>
    <xf numFmtId="0" fontId="11" fillId="39" borderId="52" xfId="8" applyFont="1" applyFill="1" applyBorder="1" applyAlignment="1" applyProtection="1">
      <alignment horizontal="justify" vertical="center" wrapText="1"/>
      <protection locked="0"/>
    </xf>
    <xf numFmtId="0" fontId="0" fillId="39" borderId="11" xfId="8" applyFont="1" applyFill="1" applyBorder="1" applyAlignment="1" applyProtection="1">
      <alignment horizontal="center" vertical="center" wrapText="1"/>
      <protection locked="0"/>
    </xf>
    <xf numFmtId="0" fontId="0" fillId="39" borderId="184" xfId="8" applyFont="1" applyFill="1" applyBorder="1" applyAlignment="1" applyProtection="1">
      <alignment horizontal="justify" vertical="center" wrapText="1"/>
      <protection locked="0"/>
    </xf>
    <xf numFmtId="0" fontId="11" fillId="39" borderId="159" xfId="8" applyFont="1" applyFill="1" applyBorder="1" applyAlignment="1" applyProtection="1">
      <alignment horizontal="justify" vertical="center" wrapText="1"/>
      <protection locked="0"/>
    </xf>
    <xf numFmtId="0" fontId="11" fillId="39" borderId="46" xfId="8" applyFont="1" applyFill="1" applyBorder="1" applyAlignment="1" applyProtection="1">
      <alignment horizontal="center" vertical="center" wrapText="1"/>
      <protection locked="0"/>
    </xf>
    <xf numFmtId="0" fontId="11" fillId="39" borderId="155" xfId="8" applyFont="1" applyFill="1" applyBorder="1" applyAlignment="1" applyProtection="1">
      <alignment horizontal="center" vertical="center" wrapText="1"/>
      <protection locked="0"/>
    </xf>
    <xf numFmtId="0" fontId="11" fillId="39" borderId="94" xfId="8" applyFont="1" applyFill="1" applyBorder="1" applyAlignment="1" applyProtection="1">
      <alignment horizontal="justify" vertical="center" wrapText="1"/>
      <protection locked="0"/>
    </xf>
    <xf numFmtId="0" fontId="3" fillId="39" borderId="11" xfId="8" applyFont="1" applyFill="1" applyBorder="1" applyAlignment="1" applyProtection="1">
      <alignment horizontal="center" vertical="center"/>
      <protection locked="0"/>
    </xf>
    <xf numFmtId="9" fontId="3" fillId="39" borderId="184" xfId="5" applyFont="1" applyFill="1" applyBorder="1" applyAlignment="1" applyProtection="1">
      <alignment horizontal="center" vertical="center"/>
      <protection locked="0"/>
    </xf>
    <xf numFmtId="0" fontId="3" fillId="39" borderId="184" xfId="8" applyFont="1" applyFill="1" applyBorder="1" applyAlignment="1" applyProtection="1">
      <alignment horizontal="center" vertical="center"/>
      <protection locked="0"/>
    </xf>
    <xf numFmtId="0" fontId="3" fillId="39" borderId="179" xfId="8" applyFont="1" applyFill="1" applyBorder="1" applyAlignment="1" applyProtection="1">
      <alignment horizontal="center" vertical="center"/>
      <protection locked="0"/>
    </xf>
    <xf numFmtId="191" fontId="3" fillId="39" borderId="48" xfId="10" applyNumberFormat="1" applyFont="1" applyFill="1" applyBorder="1" applyAlignment="1" applyProtection="1">
      <alignment horizontal="center" vertical="center"/>
      <protection locked="0"/>
    </xf>
    <xf numFmtId="191" fontId="3" fillId="39" borderId="11" xfId="10" applyNumberFormat="1" applyFont="1" applyFill="1" applyBorder="1" applyAlignment="1" applyProtection="1">
      <alignment horizontal="center" vertical="center"/>
      <protection locked="0"/>
    </xf>
    <xf numFmtId="191" fontId="3" fillId="39" borderId="184" xfId="10" applyNumberFormat="1" applyFont="1" applyFill="1" applyBorder="1" applyAlignment="1" applyProtection="1">
      <alignment horizontal="center" vertical="center"/>
      <protection locked="0"/>
    </xf>
    <xf numFmtId="191" fontId="3" fillId="39" borderId="179" xfId="10" applyNumberFormat="1" applyFont="1" applyFill="1" applyBorder="1" applyAlignment="1" applyProtection="1">
      <alignment horizontal="center" vertical="center"/>
      <protection locked="0"/>
    </xf>
    <xf numFmtId="0" fontId="3" fillId="39" borderId="48" xfId="8" applyFont="1" applyFill="1" applyBorder="1" applyAlignment="1" applyProtection="1">
      <alignment horizontal="center" vertical="center"/>
      <protection locked="0"/>
    </xf>
    <xf numFmtId="0" fontId="3" fillId="39" borderId="46" xfId="8" applyFont="1" applyFill="1" applyBorder="1" applyAlignment="1" applyProtection="1">
      <alignment horizontal="center" vertical="center"/>
      <protection locked="0"/>
    </xf>
    <xf numFmtId="0" fontId="0" fillId="39" borderId="11" xfId="8" applyFont="1" applyFill="1" applyBorder="1" applyAlignment="1" applyProtection="1">
      <alignment horizontal="justify" vertical="center" wrapText="1"/>
      <protection locked="0"/>
    </xf>
    <xf numFmtId="0" fontId="0" fillId="39" borderId="179" xfId="8" applyFont="1" applyFill="1" applyBorder="1" applyAlignment="1" applyProtection="1">
      <alignment horizontal="justify" vertical="center" wrapText="1"/>
      <protection locked="0"/>
    </xf>
    <xf numFmtId="191" fontId="0" fillId="39" borderId="48" xfId="10" applyNumberFormat="1" applyFont="1" applyFill="1" applyBorder="1" applyAlignment="1" applyProtection="1">
      <alignment horizontal="justify" vertical="center" wrapText="1"/>
      <protection locked="0"/>
    </xf>
    <xf numFmtId="191" fontId="0" fillId="39" borderId="11" xfId="10" applyNumberFormat="1" applyFont="1" applyFill="1" applyBorder="1" applyAlignment="1" applyProtection="1">
      <alignment horizontal="justify" vertical="center" wrapText="1"/>
      <protection locked="0"/>
    </xf>
    <xf numFmtId="191" fontId="0" fillId="39" borderId="184" xfId="10" applyNumberFormat="1" applyFont="1" applyFill="1" applyBorder="1" applyAlignment="1" applyProtection="1">
      <alignment horizontal="justify" vertical="center" wrapText="1"/>
      <protection locked="0"/>
    </xf>
    <xf numFmtId="191" fontId="0" fillId="39" borderId="179" xfId="10" applyNumberFormat="1" applyFont="1" applyFill="1" applyBorder="1" applyAlignment="1" applyProtection="1">
      <alignment horizontal="justify" vertical="center" wrapText="1"/>
      <protection locked="0"/>
    </xf>
    <xf numFmtId="0" fontId="0" fillId="39" borderId="48" xfId="8" applyFont="1" applyFill="1" applyBorder="1" applyAlignment="1" applyProtection="1">
      <alignment horizontal="justify" vertical="center" wrapText="1"/>
      <protection locked="0"/>
    </xf>
    <xf numFmtId="0" fontId="0" fillId="39" borderId="46" xfId="8" applyFont="1" applyFill="1" applyBorder="1" applyAlignment="1" applyProtection="1">
      <alignment horizontal="justify" vertical="center" wrapText="1"/>
      <protection locked="0"/>
    </xf>
    <xf numFmtId="0" fontId="0" fillId="39" borderId="11" xfId="8" applyFont="1" applyFill="1" applyBorder="1" applyAlignment="1" applyProtection="1">
      <alignment vertical="center" wrapText="1"/>
      <protection locked="0"/>
    </xf>
    <xf numFmtId="9" fontId="0" fillId="39" borderId="184" xfId="5" applyFont="1" applyFill="1" applyBorder="1" applyAlignment="1" applyProtection="1">
      <alignment vertical="center" wrapText="1"/>
      <protection locked="0"/>
    </xf>
    <xf numFmtId="0" fontId="0" fillId="39" borderId="184" xfId="8" applyFont="1" applyFill="1" applyBorder="1" applyAlignment="1" applyProtection="1">
      <alignment vertical="center" wrapText="1"/>
      <protection locked="0"/>
    </xf>
    <xf numFmtId="0" fontId="0" fillId="39" borderId="179" xfId="8" applyFont="1" applyFill="1" applyBorder="1" applyAlignment="1" applyProtection="1">
      <alignment vertical="center" wrapText="1"/>
      <protection locked="0"/>
    </xf>
    <xf numFmtId="191" fontId="0" fillId="39" borderId="48" xfId="10" applyNumberFormat="1" applyFont="1" applyFill="1" applyBorder="1" applyAlignment="1" applyProtection="1">
      <alignment vertical="center" wrapText="1"/>
      <protection locked="0"/>
    </xf>
    <xf numFmtId="191" fontId="0" fillId="39" borderId="11" xfId="10" applyNumberFormat="1" applyFont="1" applyFill="1" applyBorder="1" applyAlignment="1" applyProtection="1">
      <alignment vertical="center" wrapText="1"/>
      <protection locked="0"/>
    </xf>
    <xf numFmtId="191" fontId="0" fillId="39" borderId="184" xfId="10" applyNumberFormat="1" applyFont="1" applyFill="1" applyBorder="1" applyAlignment="1" applyProtection="1">
      <alignment vertical="center" wrapText="1"/>
      <protection locked="0"/>
    </xf>
    <xf numFmtId="191" fontId="0" fillId="39" borderId="179" xfId="10" applyNumberFormat="1" applyFont="1" applyFill="1" applyBorder="1" applyAlignment="1" applyProtection="1">
      <alignment vertical="center" wrapText="1"/>
      <protection locked="0"/>
    </xf>
    <xf numFmtId="0" fontId="0" fillId="39" borderId="48" xfId="8" applyFont="1" applyFill="1" applyBorder="1" applyAlignment="1" applyProtection="1">
      <alignment vertical="center" wrapText="1"/>
      <protection locked="0"/>
    </xf>
    <xf numFmtId="0" fontId="0" fillId="39" borderId="46" xfId="8" applyFont="1" applyFill="1" applyBorder="1" applyAlignment="1" applyProtection="1">
      <alignment vertical="center" wrapText="1"/>
      <protection locked="0"/>
    </xf>
    <xf numFmtId="0" fontId="11" fillId="39" borderId="27" xfId="8" applyFont="1" applyFill="1" applyBorder="1" applyAlignment="1" applyProtection="1">
      <alignment horizontal="justify" vertical="center" wrapText="1"/>
      <protection locked="0"/>
    </xf>
    <xf numFmtId="0" fontId="0" fillId="39" borderId="11" xfId="8" applyFont="1" applyFill="1" applyBorder="1" applyAlignment="1" applyProtection="1">
      <alignment vertical="center"/>
      <protection locked="0"/>
    </xf>
    <xf numFmtId="9" fontId="0" fillId="39" borderId="184" xfId="5" applyFont="1" applyFill="1" applyBorder="1" applyAlignment="1" applyProtection="1">
      <alignment vertical="center"/>
      <protection locked="0"/>
    </xf>
    <xf numFmtId="0" fontId="0" fillId="39" borderId="184" xfId="8" applyFont="1" applyFill="1" applyBorder="1" applyAlignment="1" applyProtection="1">
      <alignment vertical="center"/>
      <protection locked="0"/>
    </xf>
    <xf numFmtId="0" fontId="0" fillId="39" borderId="179" xfId="8" applyFont="1" applyFill="1" applyBorder="1" applyAlignment="1" applyProtection="1">
      <alignment vertical="center"/>
      <protection locked="0"/>
    </xf>
    <xf numFmtId="191" fontId="0" fillId="39" borderId="48" xfId="10" applyNumberFormat="1" applyFont="1" applyFill="1" applyBorder="1" applyAlignment="1" applyProtection="1">
      <alignment vertical="center"/>
      <protection locked="0"/>
    </xf>
    <xf numFmtId="191" fontId="0" fillId="39" borderId="11" xfId="10" applyNumberFormat="1" applyFont="1" applyFill="1" applyBorder="1" applyAlignment="1" applyProtection="1">
      <alignment vertical="center"/>
      <protection locked="0"/>
    </xf>
    <xf numFmtId="191" fontId="0" fillId="39" borderId="184" xfId="10" applyNumberFormat="1" applyFont="1" applyFill="1" applyBorder="1" applyAlignment="1" applyProtection="1">
      <alignment vertical="center"/>
      <protection locked="0"/>
    </xf>
    <xf numFmtId="191" fontId="0" fillId="39" borderId="179" xfId="10" applyNumberFormat="1" applyFont="1" applyFill="1" applyBorder="1" applyAlignment="1" applyProtection="1">
      <alignment vertical="center"/>
      <protection locked="0"/>
    </xf>
    <xf numFmtId="0" fontId="0" fillId="39" borderId="48" xfId="8" applyFont="1" applyFill="1" applyBorder="1" applyAlignment="1" applyProtection="1">
      <alignment vertical="center"/>
      <protection locked="0"/>
    </xf>
    <xf numFmtId="0" fontId="0" fillId="39" borderId="46" xfId="8" applyFont="1" applyFill="1" applyBorder="1" applyAlignment="1" applyProtection="1">
      <alignment vertical="center"/>
      <protection locked="0"/>
    </xf>
    <xf numFmtId="9" fontId="0" fillId="39" borderId="184" xfId="5" applyFont="1" applyFill="1" applyBorder="1" applyAlignment="1" applyProtection="1">
      <alignment horizontal="center" vertical="center" wrapText="1"/>
      <protection locked="0"/>
    </xf>
    <xf numFmtId="0" fontId="0" fillId="39" borderId="184" xfId="8" applyFont="1" applyFill="1" applyBorder="1" applyAlignment="1" applyProtection="1">
      <alignment horizontal="center" vertical="center" wrapText="1"/>
      <protection locked="0"/>
    </xf>
    <xf numFmtId="0" fontId="0" fillId="39" borderId="179" xfId="8" applyFont="1" applyFill="1" applyBorder="1" applyAlignment="1" applyProtection="1">
      <alignment horizontal="center" vertical="center" wrapText="1"/>
      <protection locked="0"/>
    </xf>
    <xf numFmtId="191" fontId="0" fillId="39" borderId="48" xfId="10" applyNumberFormat="1" applyFont="1" applyFill="1" applyBorder="1" applyAlignment="1" applyProtection="1">
      <alignment horizontal="center" vertical="center" wrapText="1"/>
      <protection locked="0"/>
    </xf>
    <xf numFmtId="191" fontId="0" fillId="39" borderId="11" xfId="10" applyNumberFormat="1" applyFont="1" applyFill="1" applyBorder="1" applyAlignment="1" applyProtection="1">
      <alignment horizontal="center" vertical="center" wrapText="1"/>
      <protection locked="0"/>
    </xf>
    <xf numFmtId="191" fontId="0" fillId="39" borderId="184" xfId="10" applyNumberFormat="1" applyFont="1" applyFill="1" applyBorder="1" applyAlignment="1" applyProtection="1">
      <alignment horizontal="center" vertical="center" wrapText="1"/>
      <protection locked="0"/>
    </xf>
    <xf numFmtId="191" fontId="0" fillId="39" borderId="179" xfId="10" applyNumberFormat="1" applyFont="1" applyFill="1" applyBorder="1" applyAlignment="1" applyProtection="1">
      <alignment horizontal="center" vertical="center" wrapText="1"/>
      <protection locked="0"/>
    </xf>
    <xf numFmtId="0" fontId="0" fillId="39" borderId="48" xfId="8" applyFont="1" applyFill="1" applyBorder="1" applyAlignment="1" applyProtection="1">
      <alignment horizontal="center" vertical="center" wrapText="1"/>
      <protection locked="0"/>
    </xf>
    <xf numFmtId="0" fontId="0" fillId="39" borderId="46" xfId="8" applyFont="1" applyFill="1" applyBorder="1" applyAlignment="1" applyProtection="1">
      <alignment horizontal="center" vertical="center" wrapText="1"/>
      <protection locked="0"/>
    </xf>
    <xf numFmtId="0" fontId="11" fillId="39" borderId="156" xfId="8" applyFont="1" applyFill="1" applyBorder="1" applyAlignment="1" applyProtection="1">
      <alignment horizontal="center" vertical="center" wrapText="1"/>
      <protection locked="0"/>
    </xf>
    <xf numFmtId="0" fontId="11" fillId="39" borderId="185" xfId="8" applyFont="1" applyFill="1" applyBorder="1" applyAlignment="1" applyProtection="1">
      <alignment horizontal="center" vertical="center" wrapText="1"/>
      <protection locked="0"/>
    </xf>
    <xf numFmtId="0" fontId="11" fillId="39" borderId="177" xfId="8" applyFont="1" applyFill="1" applyBorder="1" applyAlignment="1" applyProtection="1">
      <alignment horizontal="center" vertical="center" wrapText="1"/>
      <protection locked="0"/>
    </xf>
    <xf numFmtId="0" fontId="11" fillId="39" borderId="161" xfId="8" applyFont="1" applyFill="1" applyBorder="1" applyAlignment="1" applyProtection="1">
      <alignment horizontal="center" vertical="center" wrapText="1"/>
      <protection locked="0"/>
    </xf>
    <xf numFmtId="0" fontId="0" fillId="39" borderId="29" xfId="8" applyFont="1" applyFill="1" applyBorder="1" applyAlignment="1" applyProtection="1">
      <alignment horizontal="center" vertical="center" wrapText="1"/>
      <protection locked="0"/>
    </xf>
    <xf numFmtId="0" fontId="11" fillId="39" borderId="31" xfId="8" applyFont="1" applyFill="1" applyBorder="1" applyAlignment="1" applyProtection="1">
      <alignment horizontal="justify" vertical="center" wrapText="1"/>
      <protection locked="0"/>
    </xf>
    <xf numFmtId="9" fontId="0" fillId="39" borderId="30" xfId="5" applyFont="1" applyFill="1" applyBorder="1" applyAlignment="1" applyProtection="1">
      <alignment horizontal="center" vertical="center" wrapText="1"/>
      <protection locked="0"/>
    </xf>
    <xf numFmtId="0" fontId="0" fillId="39" borderId="30" xfId="8" applyFont="1" applyFill="1" applyBorder="1" applyAlignment="1" applyProtection="1">
      <alignment horizontal="center" vertical="center" wrapText="1"/>
      <protection locked="0"/>
    </xf>
    <xf numFmtId="0" fontId="0" fillId="39" borderId="66" xfId="8" applyFont="1" applyFill="1" applyBorder="1" applyAlignment="1" applyProtection="1">
      <alignment horizontal="center" vertical="center" wrapText="1"/>
      <protection locked="0"/>
    </xf>
    <xf numFmtId="191" fontId="0" fillId="39" borderId="50" xfId="10" applyNumberFormat="1" applyFont="1" applyFill="1" applyBorder="1" applyAlignment="1" applyProtection="1">
      <alignment horizontal="center" vertical="center" wrapText="1"/>
      <protection locked="0"/>
    </xf>
    <xf numFmtId="191" fontId="0" fillId="39" borderId="29" xfId="10" applyNumberFormat="1" applyFont="1" applyFill="1" applyBorder="1" applyAlignment="1" applyProtection="1">
      <alignment horizontal="center" vertical="center" wrapText="1"/>
      <protection locked="0"/>
    </xf>
    <xf numFmtId="191" fontId="0" fillId="39" borderId="30" xfId="10" applyNumberFormat="1" applyFont="1" applyFill="1" applyBorder="1" applyAlignment="1" applyProtection="1">
      <alignment horizontal="center" vertical="center" wrapText="1"/>
      <protection locked="0"/>
    </xf>
    <xf numFmtId="191" fontId="0" fillId="39" borderId="66" xfId="10" applyNumberFormat="1" applyFont="1" applyFill="1" applyBorder="1" applyAlignment="1" applyProtection="1">
      <alignment horizontal="center" vertical="center" wrapText="1"/>
      <protection locked="0"/>
    </xf>
    <xf numFmtId="0" fontId="0" fillId="39" borderId="50" xfId="8" applyFont="1" applyFill="1" applyBorder="1" applyAlignment="1" applyProtection="1">
      <alignment horizontal="center" vertical="center" wrapText="1"/>
      <protection locked="0"/>
    </xf>
    <xf numFmtId="0" fontId="0" fillId="39" borderId="177" xfId="8" applyFont="1" applyFill="1" applyBorder="1" applyAlignment="1" applyProtection="1">
      <alignment horizontal="center" vertical="center" wrapText="1"/>
      <protection locked="0"/>
    </xf>
    <xf numFmtId="0" fontId="11" fillId="38" borderId="60" xfId="8" applyFont="1" applyFill="1" applyBorder="1" applyAlignment="1" applyProtection="1">
      <alignment horizontal="center" vertical="center" wrapText="1"/>
      <protection locked="0"/>
    </xf>
    <xf numFmtId="0" fontId="11" fillId="38" borderId="100" xfId="8" applyFont="1" applyFill="1" applyBorder="1" applyAlignment="1" applyProtection="1">
      <alignment horizontal="center" vertical="center" wrapText="1"/>
      <protection locked="0"/>
    </xf>
    <xf numFmtId="0" fontId="0" fillId="38" borderId="51" xfId="8" applyFont="1" applyFill="1" applyBorder="1" applyAlignment="1" applyProtection="1">
      <alignment horizontal="center" vertical="center" wrapText="1"/>
      <protection locked="0"/>
    </xf>
    <xf numFmtId="0" fontId="11" fillId="38" borderId="52" xfId="8" applyFont="1" applyFill="1" applyBorder="1" applyAlignment="1" applyProtection="1">
      <alignment horizontal="justify" vertical="center" wrapText="1"/>
      <protection locked="0"/>
    </xf>
    <xf numFmtId="9" fontId="0" fillId="38" borderId="32" xfId="5" applyFont="1" applyFill="1" applyBorder="1" applyAlignment="1" applyProtection="1">
      <alignment horizontal="center" vertical="center" wrapText="1"/>
      <protection locked="0"/>
    </xf>
    <xf numFmtId="0" fontId="0" fillId="38" borderId="32" xfId="8" applyFont="1" applyFill="1" applyBorder="1" applyAlignment="1" applyProtection="1">
      <alignment horizontal="center" vertical="center" wrapText="1"/>
      <protection locked="0"/>
    </xf>
    <xf numFmtId="0" fontId="0" fillId="38" borderId="38" xfId="8" applyFont="1" applyFill="1" applyBorder="1" applyAlignment="1" applyProtection="1">
      <alignment horizontal="center" vertical="center" wrapText="1"/>
      <protection locked="0"/>
    </xf>
    <xf numFmtId="191" fontId="0" fillId="38" borderId="99" xfId="10" applyNumberFormat="1" applyFont="1" applyFill="1" applyBorder="1" applyAlignment="1" applyProtection="1">
      <alignment horizontal="center" vertical="center" wrapText="1"/>
      <protection locked="0"/>
    </xf>
    <xf numFmtId="191" fontId="0" fillId="38" borderId="51" xfId="10" applyNumberFormat="1" applyFont="1" applyFill="1" applyBorder="1" applyAlignment="1" applyProtection="1">
      <alignment horizontal="center" vertical="center" wrapText="1"/>
      <protection locked="0"/>
    </xf>
    <xf numFmtId="191" fontId="0" fillId="38" borderId="32" xfId="10" applyNumberFormat="1" applyFont="1" applyFill="1" applyBorder="1" applyAlignment="1" applyProtection="1">
      <alignment horizontal="center" vertical="center" wrapText="1"/>
      <protection locked="0"/>
    </xf>
    <xf numFmtId="191" fontId="0" fillId="38" borderId="38" xfId="10" applyNumberFormat="1" applyFont="1" applyFill="1" applyBorder="1" applyAlignment="1" applyProtection="1">
      <alignment horizontal="center" vertical="center" wrapText="1"/>
      <protection locked="0"/>
    </xf>
    <xf numFmtId="0" fontId="0" fillId="38" borderId="99" xfId="8" applyFont="1" applyFill="1" applyBorder="1" applyAlignment="1" applyProtection="1">
      <alignment horizontal="center" vertical="center" wrapText="1"/>
      <protection locked="0"/>
    </xf>
    <xf numFmtId="0" fontId="0" fillId="38" borderId="60" xfId="8" applyFont="1" applyFill="1" applyBorder="1" applyAlignment="1" applyProtection="1">
      <alignment horizontal="center" vertical="center" wrapText="1"/>
      <protection locked="0"/>
    </xf>
    <xf numFmtId="0" fontId="0" fillId="38" borderId="11" xfId="8" applyFont="1" applyFill="1" applyBorder="1" applyAlignment="1" applyProtection="1">
      <alignment horizontal="center" vertical="center" wrapText="1"/>
      <protection locked="0"/>
    </xf>
    <xf numFmtId="0" fontId="0" fillId="38" borderId="11" xfId="8" applyFont="1" applyFill="1" applyBorder="1" applyAlignment="1" applyProtection="1">
      <alignment vertical="center" wrapText="1"/>
      <protection locked="0"/>
    </xf>
    <xf numFmtId="0" fontId="0" fillId="38" borderId="184" xfId="8" applyFont="1" applyFill="1" applyBorder="1" applyAlignment="1" applyProtection="1">
      <alignment vertical="center" wrapText="1"/>
      <protection locked="0"/>
    </xf>
    <xf numFmtId="0" fontId="0" fillId="38" borderId="179" xfId="8" applyFont="1" applyFill="1" applyBorder="1" applyAlignment="1" applyProtection="1">
      <alignment vertical="center" wrapText="1"/>
      <protection locked="0"/>
    </xf>
    <xf numFmtId="0" fontId="0" fillId="38" borderId="48" xfId="8" applyFont="1" applyFill="1" applyBorder="1" applyAlignment="1" applyProtection="1">
      <alignment vertical="center" wrapText="1"/>
      <protection locked="0"/>
    </xf>
    <xf numFmtId="0" fontId="0" fillId="38" borderId="46" xfId="8" applyFont="1" applyFill="1" applyBorder="1" applyAlignment="1" applyProtection="1">
      <alignment vertical="center" wrapText="1"/>
      <protection locked="0"/>
    </xf>
    <xf numFmtId="0" fontId="11" fillId="38" borderId="159" xfId="8" applyFont="1" applyFill="1" applyBorder="1" applyAlignment="1" applyProtection="1">
      <alignment horizontal="justify" vertical="center" wrapText="1"/>
      <protection locked="0"/>
    </xf>
    <xf numFmtId="0" fontId="11" fillId="38" borderId="46" xfId="8" applyFont="1" applyFill="1" applyBorder="1" applyAlignment="1" applyProtection="1">
      <alignment horizontal="center" vertical="center" wrapText="1"/>
      <protection locked="0"/>
    </xf>
    <xf numFmtId="0" fontId="11" fillId="38" borderId="155" xfId="8" applyFont="1" applyFill="1" applyBorder="1" applyAlignment="1" applyProtection="1">
      <alignment horizontal="center" vertical="center" wrapText="1"/>
      <protection locked="0"/>
    </xf>
    <xf numFmtId="0" fontId="11" fillId="38" borderId="94" xfId="8" applyFont="1" applyFill="1" applyBorder="1" applyAlignment="1" applyProtection="1">
      <alignment horizontal="justify" vertical="center" wrapText="1"/>
      <protection locked="0"/>
    </xf>
    <xf numFmtId="0" fontId="0" fillId="38" borderId="184" xfId="8" applyFont="1" applyFill="1" applyBorder="1" applyAlignment="1" applyProtection="1">
      <alignment horizontal="center" vertical="center" wrapText="1"/>
      <protection locked="0"/>
    </xf>
    <xf numFmtId="0" fontId="0" fillId="38" borderId="179" xfId="8" applyFont="1" applyFill="1" applyBorder="1" applyAlignment="1" applyProtection="1">
      <alignment horizontal="center" vertical="center" wrapText="1"/>
      <protection locked="0"/>
    </xf>
    <xf numFmtId="0" fontId="0" fillId="38" borderId="48" xfId="8" applyFont="1" applyFill="1" applyBorder="1" applyAlignment="1" applyProtection="1">
      <alignment horizontal="center" vertical="center" wrapText="1"/>
      <protection locked="0"/>
    </xf>
    <xf numFmtId="0" fontId="0" fillId="38" borderId="46" xfId="8" applyFont="1" applyFill="1" applyBorder="1" applyAlignment="1" applyProtection="1">
      <alignment horizontal="center" vertical="center" wrapText="1"/>
      <protection locked="0"/>
    </xf>
    <xf numFmtId="0" fontId="11" fillId="38" borderId="177" xfId="8" applyFont="1" applyFill="1" applyBorder="1" applyAlignment="1" applyProtection="1">
      <alignment horizontal="center" vertical="center" wrapText="1"/>
      <protection locked="0"/>
    </xf>
    <xf numFmtId="0" fontId="11" fillId="38" borderId="161" xfId="8" applyFont="1" applyFill="1" applyBorder="1" applyAlignment="1" applyProtection="1">
      <alignment horizontal="center" vertical="center" wrapText="1"/>
      <protection locked="0"/>
    </xf>
    <xf numFmtId="0" fontId="0" fillId="38" borderId="29" xfId="8" applyFont="1" applyFill="1" applyBorder="1" applyAlignment="1" applyProtection="1">
      <alignment horizontal="center" vertical="center" wrapText="1"/>
      <protection locked="0"/>
    </xf>
    <xf numFmtId="0" fontId="11" fillId="38" borderId="31" xfId="8" applyFont="1" applyFill="1" applyBorder="1" applyAlignment="1" applyProtection="1">
      <alignment horizontal="justify" vertical="center" wrapText="1"/>
      <protection locked="0"/>
    </xf>
    <xf numFmtId="0" fontId="0" fillId="38" borderId="30" xfId="8" applyFont="1" applyFill="1" applyBorder="1" applyAlignment="1" applyProtection="1">
      <alignment horizontal="center" vertical="center" wrapText="1"/>
      <protection locked="0"/>
    </xf>
    <xf numFmtId="0" fontId="0" fillId="38" borderId="66" xfId="8" applyFont="1" applyFill="1" applyBorder="1" applyAlignment="1" applyProtection="1">
      <alignment horizontal="center" vertical="center" wrapText="1"/>
      <protection locked="0"/>
    </xf>
    <xf numFmtId="0" fontId="0" fillId="38" borderId="50" xfId="8" applyFont="1" applyFill="1" applyBorder="1" applyAlignment="1" applyProtection="1">
      <alignment horizontal="center" vertical="center" wrapText="1"/>
      <protection locked="0"/>
    </xf>
    <xf numFmtId="0" fontId="0" fillId="38" borderId="177" xfId="8" applyFont="1" applyFill="1" applyBorder="1" applyAlignment="1" applyProtection="1">
      <alignment horizontal="center" vertical="center" wrapText="1"/>
      <protection locked="0"/>
    </xf>
    <xf numFmtId="0" fontId="0" fillId="41" borderId="60" xfId="8" applyFont="1" applyFill="1" applyBorder="1" applyAlignment="1" applyProtection="1">
      <alignment vertical="center"/>
      <protection locked="0"/>
    </xf>
    <xf numFmtId="0" fontId="0" fillId="41" borderId="46" xfId="8" applyFont="1" applyFill="1" applyBorder="1" applyAlignment="1" applyProtection="1">
      <alignment vertical="center"/>
      <protection locked="0"/>
    </xf>
    <xf numFmtId="0" fontId="11" fillId="41" borderId="46" xfId="8" applyFont="1" applyFill="1" applyBorder="1" applyAlignment="1" applyProtection="1">
      <alignment horizontal="center" vertical="center" wrapText="1"/>
      <protection locked="0"/>
    </xf>
    <xf numFmtId="0" fontId="11" fillId="41" borderId="155" xfId="8" applyFont="1" applyFill="1" applyBorder="1" applyAlignment="1" applyProtection="1">
      <alignment horizontal="center" vertical="center" wrapText="1"/>
      <protection locked="0"/>
    </xf>
    <xf numFmtId="0" fontId="11" fillId="41" borderId="94" xfId="8" applyFont="1" applyFill="1" applyBorder="1" applyAlignment="1" applyProtection="1">
      <alignment horizontal="justify" vertical="center" wrapText="1"/>
      <protection locked="0"/>
    </xf>
    <xf numFmtId="0" fontId="0" fillId="41" borderId="46" xfId="8" applyFont="1" applyFill="1" applyBorder="1" applyAlignment="1" applyProtection="1">
      <alignment horizontal="center" vertical="center"/>
      <protection locked="0"/>
    </xf>
    <xf numFmtId="0" fontId="11" fillId="41" borderId="159" xfId="0" applyFont="1" applyFill="1" applyBorder="1" applyAlignment="1" applyProtection="1">
      <alignment horizontal="justify" vertical="center" wrapText="1"/>
      <protection locked="0"/>
    </xf>
    <xf numFmtId="0" fontId="0" fillId="40" borderId="51" xfId="8" applyFont="1" applyFill="1" applyBorder="1" applyAlignment="1" applyProtection="1">
      <alignment vertical="center" wrapText="1"/>
      <protection locked="0"/>
    </xf>
    <xf numFmtId="9" fontId="0" fillId="40" borderId="32" xfId="5" applyFont="1" applyFill="1" applyBorder="1" applyAlignment="1" applyProtection="1">
      <alignment vertical="center" wrapText="1"/>
      <protection locked="0"/>
    </xf>
    <xf numFmtId="0" fontId="0" fillId="40" borderId="32" xfId="8" applyFont="1" applyFill="1" applyBorder="1" applyAlignment="1" applyProtection="1">
      <alignment vertical="center" wrapText="1"/>
      <protection locked="0"/>
    </xf>
    <xf numFmtId="0" fontId="0" fillId="40" borderId="38" xfId="8" applyFont="1" applyFill="1" applyBorder="1" applyAlignment="1" applyProtection="1">
      <alignment vertical="center" wrapText="1"/>
      <protection locked="0"/>
    </xf>
    <xf numFmtId="191" fontId="0" fillId="40" borderId="99" xfId="10" applyNumberFormat="1" applyFont="1" applyFill="1" applyBorder="1" applyAlignment="1" applyProtection="1">
      <alignment vertical="center" wrapText="1"/>
      <protection locked="0"/>
    </xf>
    <xf numFmtId="191" fontId="0" fillId="40" borderId="51" xfId="10" applyNumberFormat="1" applyFont="1" applyFill="1" applyBorder="1" applyAlignment="1" applyProtection="1">
      <alignment vertical="center" wrapText="1"/>
      <protection locked="0"/>
    </xf>
    <xf numFmtId="191" fontId="0" fillId="40" borderId="32" xfId="10" applyNumberFormat="1" applyFont="1" applyFill="1" applyBorder="1" applyAlignment="1" applyProtection="1">
      <alignment vertical="center" wrapText="1"/>
      <protection locked="0"/>
    </xf>
    <xf numFmtId="191" fontId="0" fillId="40" borderId="38" xfId="10" applyNumberFormat="1" applyFont="1" applyFill="1" applyBorder="1" applyAlignment="1" applyProtection="1">
      <alignment vertical="center" wrapText="1"/>
      <protection locked="0"/>
    </xf>
    <xf numFmtId="0" fontId="0" fillId="40" borderId="99" xfId="8" applyFont="1" applyFill="1" applyBorder="1" applyAlignment="1" applyProtection="1">
      <alignment vertical="center" wrapText="1"/>
      <protection locked="0"/>
    </xf>
    <xf numFmtId="0" fontId="0" fillId="40" borderId="60" xfId="8" applyFont="1" applyFill="1" applyBorder="1" applyAlignment="1" applyProtection="1">
      <alignment vertical="center" wrapText="1"/>
      <protection locked="0"/>
    </xf>
    <xf numFmtId="0" fontId="11" fillId="40" borderId="14" xfId="8" applyFont="1" applyFill="1" applyBorder="1" applyAlignment="1" applyProtection="1">
      <alignment horizontal="justify" vertical="center" wrapText="1"/>
      <protection locked="0"/>
    </xf>
    <xf numFmtId="0" fontId="0" fillId="40" borderId="11" xfId="8" applyFont="1" applyFill="1" applyBorder="1" applyAlignment="1" applyProtection="1">
      <alignment vertical="center" wrapText="1"/>
      <protection locked="0"/>
    </xf>
    <xf numFmtId="0" fontId="0" fillId="40" borderId="184" xfId="8" applyFont="1" applyFill="1" applyBorder="1" applyAlignment="1" applyProtection="1">
      <alignment vertical="center" wrapText="1"/>
      <protection locked="0"/>
    </xf>
    <xf numFmtId="0" fontId="0" fillId="40" borderId="179" xfId="8" applyFont="1" applyFill="1" applyBorder="1" applyAlignment="1" applyProtection="1">
      <alignment vertical="center" wrapText="1"/>
      <protection locked="0"/>
    </xf>
    <xf numFmtId="0" fontId="0" fillId="40" borderId="48" xfId="8" applyFont="1" applyFill="1" applyBorder="1" applyAlignment="1" applyProtection="1">
      <alignment vertical="center" wrapText="1"/>
      <protection locked="0"/>
    </xf>
    <xf numFmtId="0" fontId="0" fillId="40" borderId="46" xfId="8" applyFont="1" applyFill="1" applyBorder="1" applyAlignment="1" applyProtection="1">
      <alignment vertical="center" wrapText="1"/>
      <protection locked="0"/>
    </xf>
    <xf numFmtId="0" fontId="11" fillId="40" borderId="52" xfId="8" applyFont="1" applyFill="1" applyBorder="1" applyAlignment="1" applyProtection="1">
      <alignment horizontal="justify" vertical="center" wrapText="1"/>
      <protection locked="0"/>
    </xf>
    <xf numFmtId="0" fontId="11" fillId="40" borderId="159" xfId="8" applyFont="1" applyFill="1" applyBorder="1" applyAlignment="1" applyProtection="1">
      <alignment horizontal="justify" vertical="center" wrapText="1"/>
      <protection locked="0"/>
    </xf>
    <xf numFmtId="0" fontId="11" fillId="40" borderId="27" xfId="8" applyFont="1" applyFill="1" applyBorder="1" applyAlignment="1" applyProtection="1">
      <alignment horizontal="justify" vertical="center" wrapText="1"/>
      <protection locked="0"/>
    </xf>
    <xf numFmtId="0" fontId="0" fillId="40" borderId="158" xfId="8" applyFont="1" applyFill="1" applyBorder="1" applyAlignment="1" applyProtection="1">
      <alignment vertical="center" wrapText="1"/>
      <protection locked="0"/>
    </xf>
    <xf numFmtId="9" fontId="0" fillId="40" borderId="180" xfId="5" applyFont="1" applyFill="1" applyBorder="1" applyAlignment="1" applyProtection="1">
      <alignment vertical="center" wrapText="1"/>
      <protection locked="0"/>
    </xf>
    <xf numFmtId="0" fontId="0" fillId="40" borderId="180" xfId="8" applyFont="1" applyFill="1" applyBorder="1" applyAlignment="1" applyProtection="1">
      <alignment vertical="center" wrapText="1"/>
      <protection locked="0"/>
    </xf>
    <xf numFmtId="0" fontId="0" fillId="40" borderId="181" xfId="8" applyFont="1" applyFill="1" applyBorder="1" applyAlignment="1" applyProtection="1">
      <alignment vertical="center" wrapText="1"/>
      <protection locked="0"/>
    </xf>
    <xf numFmtId="191" fontId="0" fillId="40" borderId="151" xfId="10" applyNumberFormat="1" applyFont="1" applyFill="1" applyBorder="1" applyAlignment="1" applyProtection="1">
      <alignment vertical="center" wrapText="1"/>
      <protection locked="0"/>
    </xf>
    <xf numFmtId="191" fontId="0" fillId="40" borderId="158" xfId="10" applyNumberFormat="1" applyFont="1" applyFill="1" applyBorder="1" applyAlignment="1" applyProtection="1">
      <alignment vertical="center" wrapText="1"/>
      <protection locked="0"/>
    </xf>
    <xf numFmtId="191" fontId="0" fillId="40" borderId="180" xfId="10" applyNumberFormat="1" applyFont="1" applyFill="1" applyBorder="1" applyAlignment="1" applyProtection="1">
      <alignment vertical="center" wrapText="1"/>
      <protection locked="0"/>
    </xf>
    <xf numFmtId="191" fontId="0" fillId="40" borderId="181" xfId="10" applyNumberFormat="1" applyFont="1" applyFill="1" applyBorder="1" applyAlignment="1" applyProtection="1">
      <alignment vertical="center" wrapText="1"/>
      <protection locked="0"/>
    </xf>
    <xf numFmtId="0" fontId="0" fillId="40" borderId="151" xfId="8" applyFont="1" applyFill="1" applyBorder="1" applyAlignment="1" applyProtection="1">
      <alignment vertical="center" wrapText="1"/>
      <protection locked="0"/>
    </xf>
    <xf numFmtId="0" fontId="0" fillId="40" borderId="156" xfId="8" applyFont="1" applyFill="1" applyBorder="1" applyAlignment="1" applyProtection="1">
      <alignment vertical="center" wrapText="1"/>
      <protection locked="0"/>
    </xf>
    <xf numFmtId="0" fontId="11" fillId="40" borderId="57" xfId="8" applyFont="1" applyFill="1" applyBorder="1" applyAlignment="1" applyProtection="1">
      <alignment horizontal="justify" vertical="center" wrapText="1"/>
      <protection locked="0"/>
    </xf>
    <xf numFmtId="0" fontId="10" fillId="69" borderId="7" xfId="8" applyFont="1" applyFill="1" applyBorder="1" applyAlignment="1" applyProtection="1">
      <alignment vertical="center" wrapText="1"/>
      <protection locked="0"/>
    </xf>
    <xf numFmtId="9" fontId="10" fillId="69" borderId="8" xfId="5" applyFont="1" applyFill="1" applyBorder="1" applyAlignment="1" applyProtection="1">
      <alignment vertical="center" wrapText="1"/>
      <protection locked="0"/>
    </xf>
    <xf numFmtId="0" fontId="10" fillId="69" borderId="8" xfId="8" applyFont="1" applyFill="1" applyBorder="1" applyAlignment="1" applyProtection="1">
      <alignment vertical="center" wrapText="1"/>
      <protection locked="0"/>
    </xf>
    <xf numFmtId="0" fontId="10" fillId="69" borderId="36" xfId="8" applyFont="1" applyFill="1" applyBorder="1" applyAlignment="1" applyProtection="1">
      <alignment vertical="center" wrapText="1"/>
      <protection locked="0"/>
    </xf>
    <xf numFmtId="191" fontId="10" fillId="69" borderId="16" xfId="10" applyNumberFormat="1" applyFont="1" applyFill="1" applyBorder="1" applyAlignment="1" applyProtection="1">
      <alignment vertical="center" wrapText="1"/>
      <protection locked="0"/>
    </xf>
    <xf numFmtId="191" fontId="10" fillId="69" borderId="7" xfId="10" applyNumberFormat="1" applyFont="1" applyFill="1" applyBorder="1" applyAlignment="1" applyProtection="1">
      <alignment vertical="center" wrapText="1"/>
      <protection locked="0"/>
    </xf>
    <xf numFmtId="191" fontId="10" fillId="69" borderId="8" xfId="10" applyNumberFormat="1" applyFont="1" applyFill="1" applyBorder="1" applyAlignment="1" applyProtection="1">
      <alignment vertical="center" wrapText="1"/>
      <protection locked="0"/>
    </xf>
    <xf numFmtId="191" fontId="10" fillId="69" borderId="36" xfId="10" applyNumberFormat="1" applyFont="1" applyFill="1" applyBorder="1" applyAlignment="1" applyProtection="1">
      <alignment vertical="center" wrapText="1"/>
      <protection locked="0"/>
    </xf>
    <xf numFmtId="0" fontId="10" fillId="69" borderId="16" xfId="8" applyFont="1" applyFill="1" applyBorder="1" applyAlignment="1" applyProtection="1">
      <alignment vertical="center" wrapText="1"/>
      <protection locked="0"/>
    </xf>
    <xf numFmtId="0" fontId="10" fillId="69" borderId="45" xfId="8" applyFont="1" applyFill="1" applyBorder="1" applyAlignment="1" applyProtection="1">
      <alignment vertical="center" wrapText="1"/>
      <protection locked="0"/>
    </xf>
    <xf numFmtId="0" fontId="11" fillId="69" borderId="9" xfId="8" applyFont="1" applyFill="1" applyBorder="1" applyAlignment="1" applyProtection="1">
      <alignment horizontal="justify" vertical="center" wrapText="1"/>
      <protection locked="0"/>
    </xf>
    <xf numFmtId="0" fontId="10" fillId="69" borderId="11" xfId="8" applyFont="1" applyFill="1" applyBorder="1" applyAlignment="1" applyProtection="1">
      <alignment vertical="center" wrapText="1"/>
      <protection locked="0"/>
    </xf>
    <xf numFmtId="9" fontId="10" fillId="69" borderId="184" xfId="5" applyFont="1" applyFill="1" applyBorder="1" applyAlignment="1" applyProtection="1">
      <alignment vertical="center" wrapText="1"/>
      <protection locked="0"/>
    </xf>
    <xf numFmtId="0" fontId="10" fillId="69" borderId="184" xfId="8" applyFont="1" applyFill="1" applyBorder="1" applyAlignment="1" applyProtection="1">
      <alignment vertical="center" wrapText="1"/>
      <protection locked="0"/>
    </xf>
    <xf numFmtId="0" fontId="10" fillId="69" borderId="179" xfId="8" applyFont="1" applyFill="1" applyBorder="1" applyAlignment="1" applyProtection="1">
      <alignment vertical="center" wrapText="1"/>
      <protection locked="0"/>
    </xf>
    <xf numFmtId="191" fontId="10" fillId="69" borderId="48" xfId="10" applyNumberFormat="1" applyFont="1" applyFill="1" applyBorder="1" applyAlignment="1" applyProtection="1">
      <alignment vertical="center" wrapText="1"/>
      <protection locked="0"/>
    </xf>
    <xf numFmtId="191" fontId="10" fillId="69" borderId="11" xfId="10" applyNumberFormat="1" applyFont="1" applyFill="1" applyBorder="1" applyAlignment="1" applyProtection="1">
      <alignment vertical="center" wrapText="1"/>
      <protection locked="0"/>
    </xf>
    <xf numFmtId="191" fontId="10" fillId="69" borderId="184" xfId="10" applyNumberFormat="1" applyFont="1" applyFill="1" applyBorder="1" applyAlignment="1" applyProtection="1">
      <alignment vertical="center" wrapText="1"/>
      <protection locked="0"/>
    </xf>
    <xf numFmtId="191" fontId="10" fillId="69" borderId="179" xfId="10" applyNumberFormat="1" applyFont="1" applyFill="1" applyBorder="1" applyAlignment="1" applyProtection="1">
      <alignment vertical="center" wrapText="1"/>
      <protection locked="0"/>
    </xf>
    <xf numFmtId="0" fontId="10" fillId="69" borderId="48" xfId="8" applyFont="1" applyFill="1" applyBorder="1" applyAlignment="1" applyProtection="1">
      <alignment vertical="center" wrapText="1"/>
      <protection locked="0"/>
    </xf>
    <xf numFmtId="0" fontId="10" fillId="69" borderId="46" xfId="8" applyFont="1" applyFill="1" applyBorder="1" applyAlignment="1" applyProtection="1">
      <alignment vertical="center" wrapText="1"/>
      <protection locked="0"/>
    </xf>
    <xf numFmtId="0" fontId="11" fillId="69" borderId="94" xfId="8" applyFont="1" applyFill="1" applyBorder="1" applyAlignment="1" applyProtection="1">
      <alignment horizontal="justify" vertical="center" wrapText="1"/>
      <protection locked="0"/>
    </xf>
    <xf numFmtId="0" fontId="10" fillId="69" borderId="29" xfId="8" applyFont="1" applyFill="1" applyBorder="1" applyAlignment="1" applyProtection="1">
      <alignment vertical="center" wrapText="1"/>
      <protection locked="0"/>
    </xf>
    <xf numFmtId="9" fontId="10" fillId="69" borderId="30" xfId="5" applyFont="1" applyFill="1" applyBorder="1" applyAlignment="1" applyProtection="1">
      <alignment vertical="center" wrapText="1"/>
      <protection locked="0"/>
    </xf>
    <xf numFmtId="0" fontId="10" fillId="69" borderId="30" xfId="8" applyFont="1" applyFill="1" applyBorder="1" applyAlignment="1" applyProtection="1">
      <alignment vertical="center" wrapText="1"/>
      <protection locked="0"/>
    </xf>
    <xf numFmtId="0" fontId="10" fillId="69" borderId="66" xfId="8" applyFont="1" applyFill="1" applyBorder="1" applyAlignment="1" applyProtection="1">
      <alignment vertical="center" wrapText="1"/>
      <protection locked="0"/>
    </xf>
    <xf numFmtId="191" fontId="10" fillId="69" borderId="50" xfId="10" applyNumberFormat="1" applyFont="1" applyFill="1" applyBorder="1" applyAlignment="1" applyProtection="1">
      <alignment vertical="center" wrapText="1"/>
      <protection locked="0"/>
    </xf>
    <xf numFmtId="191" fontId="10" fillId="69" borderId="29" xfId="10" applyNumberFormat="1" applyFont="1" applyFill="1" applyBorder="1" applyAlignment="1" applyProtection="1">
      <alignment vertical="center" wrapText="1"/>
      <protection locked="0"/>
    </xf>
    <xf numFmtId="191" fontId="10" fillId="69" borderId="30" xfId="10" applyNumberFormat="1" applyFont="1" applyFill="1" applyBorder="1" applyAlignment="1" applyProtection="1">
      <alignment vertical="center" wrapText="1"/>
      <protection locked="0"/>
    </xf>
    <xf numFmtId="191" fontId="10" fillId="69" borderId="66" xfId="10" applyNumberFormat="1" applyFont="1" applyFill="1" applyBorder="1" applyAlignment="1" applyProtection="1">
      <alignment vertical="center" wrapText="1"/>
      <protection locked="0"/>
    </xf>
    <xf numFmtId="0" fontId="10" fillId="69" borderId="50" xfId="8" applyFont="1" applyFill="1" applyBorder="1" applyAlignment="1" applyProtection="1">
      <alignment vertical="center" wrapText="1"/>
      <protection locked="0"/>
    </xf>
    <xf numFmtId="0" fontId="10" fillId="69" borderId="177" xfId="8" applyFont="1" applyFill="1" applyBorder="1" applyAlignment="1" applyProtection="1">
      <alignment vertical="center" wrapText="1"/>
      <protection locked="0"/>
    </xf>
    <xf numFmtId="0" fontId="11" fillId="69" borderId="31" xfId="8" applyFont="1" applyFill="1" applyBorder="1" applyAlignment="1" applyProtection="1">
      <alignment horizontal="justify" vertical="center" wrapText="1"/>
      <protection locked="0"/>
    </xf>
    <xf numFmtId="0" fontId="11" fillId="7" borderId="45" xfId="0" applyFont="1" applyFill="1" applyBorder="1" applyAlignment="1" applyProtection="1">
      <alignment horizontal="center" vertical="center" wrapText="1"/>
      <protection locked="0"/>
    </xf>
    <xf numFmtId="0" fontId="11" fillId="7" borderId="15" xfId="0" applyFont="1" applyFill="1" applyBorder="1" applyAlignment="1" applyProtection="1">
      <alignment horizontal="center" vertical="center" wrapText="1"/>
      <protection locked="0"/>
    </xf>
    <xf numFmtId="9" fontId="11" fillId="7" borderId="51" xfId="0" applyNumberFormat="1" applyFont="1" applyFill="1" applyBorder="1" applyAlignment="1" applyProtection="1">
      <alignment horizontal="center" vertical="center" wrapText="1"/>
      <protection locked="0"/>
    </xf>
    <xf numFmtId="9" fontId="11" fillId="7" borderId="32" xfId="5" applyFont="1" applyFill="1" applyBorder="1" applyAlignment="1" applyProtection="1">
      <alignment horizontal="center" vertical="center" wrapText="1"/>
      <protection locked="0"/>
    </xf>
    <xf numFmtId="9" fontId="11" fillId="7" borderId="32" xfId="0" applyNumberFormat="1" applyFont="1" applyFill="1" applyBorder="1" applyAlignment="1" applyProtection="1">
      <alignment horizontal="center" vertical="center" wrapText="1"/>
      <protection locked="0"/>
    </xf>
    <xf numFmtId="9" fontId="11" fillId="7" borderId="38" xfId="0" applyNumberFormat="1" applyFont="1" applyFill="1" applyBorder="1" applyAlignment="1" applyProtection="1">
      <alignment horizontal="center" vertical="center" wrapText="1"/>
      <protection locked="0"/>
    </xf>
    <xf numFmtId="191" fontId="11" fillId="7" borderId="99" xfId="10" applyNumberFormat="1" applyFont="1" applyFill="1" applyBorder="1" applyAlignment="1" applyProtection="1">
      <alignment horizontal="center" vertical="center" wrapText="1"/>
      <protection locked="0"/>
    </xf>
    <xf numFmtId="191" fontId="11" fillId="7" borderId="51" xfId="10" applyNumberFormat="1" applyFont="1" applyFill="1" applyBorder="1" applyAlignment="1" applyProtection="1">
      <alignment horizontal="center" vertical="center" wrapText="1"/>
      <protection locked="0"/>
    </xf>
    <xf numFmtId="191" fontId="11" fillId="7" borderId="32" xfId="10" applyNumberFormat="1" applyFont="1" applyFill="1" applyBorder="1" applyAlignment="1" applyProtection="1">
      <alignment horizontal="center" vertical="center" wrapText="1"/>
      <protection locked="0"/>
    </xf>
    <xf numFmtId="191" fontId="11" fillId="7" borderId="38" xfId="10" applyNumberFormat="1" applyFont="1" applyFill="1" applyBorder="1" applyAlignment="1" applyProtection="1">
      <alignment horizontal="center" vertical="center" wrapText="1"/>
      <protection locked="0"/>
    </xf>
    <xf numFmtId="9" fontId="11" fillId="7" borderId="99" xfId="0" applyNumberFormat="1" applyFont="1" applyFill="1" applyBorder="1" applyAlignment="1" applyProtection="1">
      <alignment horizontal="center" vertical="center" wrapText="1"/>
      <protection locked="0"/>
    </xf>
    <xf numFmtId="9" fontId="11" fillId="7" borderId="60" xfId="0" applyNumberFormat="1" applyFont="1" applyFill="1" applyBorder="1" applyAlignment="1" applyProtection="1">
      <alignment horizontal="center" vertical="center" wrapText="1"/>
      <protection locked="0"/>
    </xf>
    <xf numFmtId="0" fontId="11" fillId="7" borderId="184" xfId="0" applyFont="1" applyFill="1" applyBorder="1" applyAlignment="1" applyProtection="1">
      <alignment horizontal="center" vertical="center" wrapText="1"/>
      <protection locked="0"/>
    </xf>
    <xf numFmtId="0" fontId="11" fillId="7" borderId="179" xfId="0" applyFont="1" applyFill="1" applyBorder="1" applyAlignment="1" applyProtection="1">
      <alignment horizontal="center" vertical="center" wrapText="1"/>
      <protection locked="0"/>
    </xf>
    <xf numFmtId="0" fontId="11" fillId="7" borderId="48" xfId="0" applyFont="1" applyFill="1" applyBorder="1" applyAlignment="1" applyProtection="1">
      <alignment horizontal="center" vertical="center" wrapText="1"/>
      <protection locked="0"/>
    </xf>
    <xf numFmtId="0" fontId="11" fillId="7" borderId="11" xfId="0" applyFont="1" applyFill="1" applyBorder="1" applyAlignment="1" applyProtection="1">
      <alignment vertical="center" wrapText="1"/>
      <protection locked="0"/>
    </xf>
    <xf numFmtId="0" fontId="11" fillId="7" borderId="184" xfId="0" applyFont="1" applyFill="1" applyBorder="1" applyAlignment="1" applyProtection="1">
      <alignment vertical="center" wrapText="1"/>
      <protection locked="0"/>
    </xf>
    <xf numFmtId="0" fontId="11" fillId="7" borderId="179" xfId="0" applyFont="1" applyFill="1" applyBorder="1" applyAlignment="1" applyProtection="1">
      <alignment vertical="center" wrapText="1"/>
      <protection locked="0"/>
    </xf>
    <xf numFmtId="0" fontId="11" fillId="7" borderId="48" xfId="0" applyFont="1" applyFill="1" applyBorder="1" applyAlignment="1" applyProtection="1">
      <alignment vertical="center" wrapText="1"/>
      <protection locked="0"/>
    </xf>
    <xf numFmtId="0" fontId="11" fillId="7" borderId="46" xfId="0" applyFont="1" applyFill="1" applyBorder="1" applyAlignment="1" applyProtection="1">
      <alignment vertical="center" wrapText="1"/>
      <protection locked="0"/>
    </xf>
    <xf numFmtId="0" fontId="11" fillId="7" borderId="29" xfId="0" applyFont="1" applyFill="1" applyBorder="1" applyAlignment="1" applyProtection="1">
      <alignment horizontal="center" vertical="center" wrapText="1"/>
      <protection locked="0"/>
    </xf>
    <xf numFmtId="0" fontId="11" fillId="7" borderId="29" xfId="0" applyFont="1" applyFill="1" applyBorder="1" applyAlignment="1" applyProtection="1">
      <alignment vertical="center" wrapText="1"/>
      <protection locked="0"/>
    </xf>
    <xf numFmtId="9" fontId="11" fillId="7" borderId="30" xfId="5" applyFont="1" applyFill="1" applyBorder="1" applyAlignment="1" applyProtection="1">
      <alignment vertical="center" wrapText="1"/>
      <protection locked="0"/>
    </xf>
    <xf numFmtId="0" fontId="11" fillId="7" borderId="30" xfId="0" applyFont="1" applyFill="1" applyBorder="1" applyAlignment="1" applyProtection="1">
      <alignment vertical="center" wrapText="1"/>
      <protection locked="0"/>
    </xf>
    <xf numFmtId="0" fontId="11" fillId="7" borderId="66" xfId="0" applyFont="1" applyFill="1" applyBorder="1" applyAlignment="1" applyProtection="1">
      <alignment vertical="center" wrapText="1"/>
      <protection locked="0"/>
    </xf>
    <xf numFmtId="191" fontId="11" fillId="7" borderId="50" xfId="10" applyNumberFormat="1" applyFont="1" applyFill="1" applyBorder="1" applyAlignment="1" applyProtection="1">
      <alignment vertical="center" wrapText="1"/>
      <protection locked="0"/>
    </xf>
    <xf numFmtId="191" fontId="11" fillId="7" borderId="29" xfId="10" applyNumberFormat="1" applyFont="1" applyFill="1" applyBorder="1" applyAlignment="1" applyProtection="1">
      <alignment vertical="center" wrapText="1"/>
      <protection locked="0"/>
    </xf>
    <xf numFmtId="191" fontId="11" fillId="7" borderId="30" xfId="10" applyNumberFormat="1" applyFont="1" applyFill="1" applyBorder="1" applyAlignment="1" applyProtection="1">
      <alignment vertical="center" wrapText="1"/>
      <protection locked="0"/>
    </xf>
    <xf numFmtId="191" fontId="11" fillId="7" borderId="66" xfId="10" applyNumberFormat="1" applyFont="1" applyFill="1" applyBorder="1" applyAlignment="1" applyProtection="1">
      <alignment vertical="center" wrapText="1"/>
      <protection locked="0"/>
    </xf>
    <xf numFmtId="0" fontId="11" fillId="7" borderId="50" xfId="0" applyFont="1" applyFill="1" applyBorder="1" applyAlignment="1" applyProtection="1">
      <alignment vertical="center" wrapText="1"/>
      <protection locked="0"/>
    </xf>
    <xf numFmtId="0" fontId="11" fillId="7" borderId="177" xfId="0" applyFont="1" applyFill="1" applyBorder="1" applyAlignment="1" applyProtection="1">
      <alignment vertical="center" wrapText="1"/>
      <protection locked="0"/>
    </xf>
    <xf numFmtId="0" fontId="0" fillId="51" borderId="52" xfId="0" applyFont="1" applyFill="1" applyBorder="1" applyAlignment="1" applyProtection="1">
      <alignment horizontal="justify" vertical="center" wrapText="1"/>
      <protection locked="0"/>
    </xf>
    <xf numFmtId="0" fontId="0" fillId="51" borderId="32" xfId="0" applyFont="1" applyFill="1" applyBorder="1" applyAlignment="1" applyProtection="1">
      <alignment horizontal="center" vertical="center" wrapText="1"/>
      <protection locked="0"/>
    </xf>
    <xf numFmtId="0" fontId="0" fillId="51" borderId="38" xfId="0" applyFont="1" applyFill="1" applyBorder="1" applyAlignment="1" applyProtection="1">
      <alignment horizontal="center" vertical="center" wrapText="1"/>
      <protection locked="0"/>
    </xf>
    <xf numFmtId="0" fontId="0" fillId="51" borderId="99" xfId="0" applyFont="1" applyFill="1" applyBorder="1" applyAlignment="1" applyProtection="1">
      <alignment horizontal="center" vertical="center" wrapText="1"/>
      <protection locked="0"/>
    </xf>
    <xf numFmtId="0" fontId="0" fillId="51" borderId="184" xfId="0" applyFont="1" applyFill="1" applyBorder="1" applyAlignment="1" applyProtection="1">
      <alignment horizontal="center" vertical="center" wrapText="1"/>
      <protection locked="0"/>
    </xf>
    <xf numFmtId="0" fontId="0" fillId="51" borderId="179" xfId="0" applyFont="1" applyFill="1" applyBorder="1" applyAlignment="1" applyProtection="1">
      <alignment horizontal="center" vertical="center" wrapText="1"/>
      <protection locked="0"/>
    </xf>
    <xf numFmtId="0" fontId="0" fillId="51" borderId="48" xfId="0" applyFont="1" applyFill="1" applyBorder="1" applyAlignment="1" applyProtection="1">
      <alignment horizontal="center" vertical="center" wrapText="1"/>
      <protection locked="0"/>
    </xf>
    <xf numFmtId="9" fontId="0" fillId="51" borderId="11" xfId="0" applyNumberFormat="1" applyFont="1" applyFill="1" applyBorder="1" applyAlignment="1" applyProtection="1">
      <alignment vertical="center" wrapText="1"/>
      <protection locked="0"/>
    </xf>
    <xf numFmtId="9" fontId="0" fillId="51" borderId="184" xfId="5" applyFont="1" applyFill="1" applyBorder="1" applyAlignment="1" applyProtection="1">
      <alignment vertical="center" wrapText="1"/>
      <protection locked="0"/>
    </xf>
    <xf numFmtId="9" fontId="0" fillId="51" borderId="184" xfId="0" applyNumberFormat="1" applyFont="1" applyFill="1" applyBorder="1" applyAlignment="1" applyProtection="1">
      <alignment vertical="center" wrapText="1"/>
      <protection locked="0"/>
    </xf>
    <xf numFmtId="9" fontId="0" fillId="51" borderId="179" xfId="0" applyNumberFormat="1" applyFont="1" applyFill="1" applyBorder="1" applyAlignment="1" applyProtection="1">
      <alignment vertical="center" wrapText="1"/>
      <protection locked="0"/>
    </xf>
    <xf numFmtId="191" fontId="0" fillId="51" borderId="48" xfId="10" applyNumberFormat="1" applyFont="1" applyFill="1" applyBorder="1" applyAlignment="1" applyProtection="1">
      <alignment vertical="center" wrapText="1"/>
      <protection locked="0"/>
    </xf>
    <xf numFmtId="191" fontId="0" fillId="51" borderId="11" xfId="10" applyNumberFormat="1" applyFont="1" applyFill="1" applyBorder="1" applyAlignment="1" applyProtection="1">
      <alignment vertical="center" wrapText="1"/>
      <protection locked="0"/>
    </xf>
    <xf numFmtId="191" fontId="0" fillId="51" borderId="184" xfId="10" applyNumberFormat="1" applyFont="1" applyFill="1" applyBorder="1" applyAlignment="1" applyProtection="1">
      <alignment vertical="center" wrapText="1"/>
      <protection locked="0"/>
    </xf>
    <xf numFmtId="191" fontId="0" fillId="51" borderId="179" xfId="10" applyNumberFormat="1" applyFont="1" applyFill="1" applyBorder="1" applyAlignment="1" applyProtection="1">
      <alignment vertical="center" wrapText="1"/>
      <protection locked="0"/>
    </xf>
    <xf numFmtId="9" fontId="0" fillId="51" borderId="48" xfId="0" applyNumberFormat="1" applyFont="1" applyFill="1" applyBorder="1" applyAlignment="1" applyProtection="1">
      <alignment vertical="center" wrapText="1"/>
      <protection locked="0"/>
    </xf>
    <xf numFmtId="9" fontId="0" fillId="51" borderId="46" xfId="0" applyNumberFormat="1" applyFont="1" applyFill="1" applyBorder="1" applyAlignment="1" applyProtection="1">
      <alignment vertical="center" wrapText="1"/>
      <protection locked="0"/>
    </xf>
    <xf numFmtId="0" fontId="0" fillId="51" borderId="11" xfId="0" applyFont="1" applyFill="1" applyBorder="1" applyAlignment="1" applyProtection="1">
      <alignment vertical="center" wrapText="1"/>
      <protection locked="0"/>
    </xf>
    <xf numFmtId="0" fontId="0" fillId="51" borderId="184" xfId="0" applyFont="1" applyFill="1" applyBorder="1" applyAlignment="1" applyProtection="1">
      <alignment vertical="center" wrapText="1"/>
      <protection locked="0"/>
    </xf>
    <xf numFmtId="0" fontId="0" fillId="51" borderId="179" xfId="0" applyFont="1" applyFill="1" applyBorder="1" applyAlignment="1" applyProtection="1">
      <alignment vertical="center" wrapText="1"/>
      <protection locked="0"/>
    </xf>
    <xf numFmtId="0" fontId="0" fillId="51" borderId="48" xfId="0" applyFont="1" applyFill="1" applyBorder="1" applyAlignment="1" applyProtection="1">
      <alignment vertical="center" wrapText="1"/>
      <protection locked="0"/>
    </xf>
    <xf numFmtId="0" fontId="0" fillId="51" borderId="46" xfId="0" applyFont="1" applyFill="1" applyBorder="1" applyAlignment="1" applyProtection="1">
      <alignment vertical="center" wrapText="1"/>
      <protection locked="0"/>
    </xf>
    <xf numFmtId="9" fontId="0" fillId="51" borderId="29" xfId="0" applyNumberFormat="1" applyFont="1" applyFill="1" applyBorder="1" applyAlignment="1" applyProtection="1">
      <alignment vertical="center" wrapText="1"/>
      <protection locked="0"/>
    </xf>
    <xf numFmtId="9" fontId="0" fillId="51" borderId="30" xfId="5" applyFont="1" applyFill="1" applyBorder="1" applyAlignment="1" applyProtection="1">
      <alignment vertical="center" wrapText="1"/>
      <protection locked="0"/>
    </xf>
    <xf numFmtId="9" fontId="0" fillId="51" borderId="30" xfId="0" applyNumberFormat="1" applyFont="1" applyFill="1" applyBorder="1" applyAlignment="1" applyProtection="1">
      <alignment vertical="center" wrapText="1"/>
      <protection locked="0"/>
    </xf>
    <xf numFmtId="9" fontId="0" fillId="51" borderId="66" xfId="0" applyNumberFormat="1" applyFont="1" applyFill="1" applyBorder="1" applyAlignment="1" applyProtection="1">
      <alignment vertical="center" wrapText="1"/>
      <protection locked="0"/>
    </xf>
    <xf numFmtId="191" fontId="0" fillId="51" borderId="50" xfId="10" applyNumberFormat="1" applyFont="1" applyFill="1" applyBorder="1" applyAlignment="1" applyProtection="1">
      <alignment vertical="center" wrapText="1"/>
      <protection locked="0"/>
    </xf>
    <xf numFmtId="191" fontId="0" fillId="51" borderId="29" xfId="10" applyNumberFormat="1" applyFont="1" applyFill="1" applyBorder="1" applyAlignment="1" applyProtection="1">
      <alignment vertical="center" wrapText="1"/>
      <protection locked="0"/>
    </xf>
    <xf numFmtId="191" fontId="0" fillId="51" borderId="30" xfId="10" applyNumberFormat="1" applyFont="1" applyFill="1" applyBorder="1" applyAlignment="1" applyProtection="1">
      <alignment vertical="center" wrapText="1"/>
      <protection locked="0"/>
    </xf>
    <xf numFmtId="191" fontId="0" fillId="51" borderId="66" xfId="10" applyNumberFormat="1" applyFont="1" applyFill="1" applyBorder="1" applyAlignment="1" applyProtection="1">
      <alignment vertical="center" wrapText="1"/>
      <protection locked="0"/>
    </xf>
    <xf numFmtId="9" fontId="0" fillId="51" borderId="50" xfId="0" applyNumberFormat="1" applyFont="1" applyFill="1" applyBorder="1" applyAlignment="1" applyProtection="1">
      <alignment vertical="center" wrapText="1"/>
      <protection locked="0"/>
    </xf>
    <xf numFmtId="9" fontId="0" fillId="51" borderId="177" xfId="0" applyNumberFormat="1" applyFont="1" applyFill="1" applyBorder="1" applyAlignment="1" applyProtection="1">
      <alignment vertical="center" wrapText="1"/>
      <protection locked="0"/>
    </xf>
    <xf numFmtId="0" fontId="11" fillId="17" borderId="60" xfId="0" applyFont="1" applyFill="1" applyBorder="1" applyAlignment="1" applyProtection="1">
      <alignment horizontal="center" vertical="center" wrapText="1"/>
      <protection locked="0"/>
    </xf>
    <xf numFmtId="0" fontId="11" fillId="17" borderId="100" xfId="0" applyFont="1" applyFill="1" applyBorder="1" applyAlignment="1" applyProtection="1">
      <alignment horizontal="center" vertical="center" wrapText="1"/>
      <protection locked="0"/>
    </xf>
    <xf numFmtId="9" fontId="11" fillId="17" borderId="51" xfId="0" applyNumberFormat="1" applyFont="1" applyFill="1" applyBorder="1" applyAlignment="1" applyProtection="1">
      <alignment horizontal="center" vertical="center" wrapText="1"/>
      <protection locked="0"/>
    </xf>
    <xf numFmtId="9" fontId="11" fillId="17" borderId="32" xfId="5" applyFont="1" applyFill="1" applyBorder="1" applyAlignment="1" applyProtection="1">
      <alignment horizontal="center" vertical="center" wrapText="1"/>
      <protection locked="0"/>
    </xf>
    <xf numFmtId="9" fontId="11" fillId="17" borderId="32" xfId="0" applyNumberFormat="1" applyFont="1" applyFill="1" applyBorder="1" applyAlignment="1" applyProtection="1">
      <alignment horizontal="center" vertical="center" wrapText="1"/>
      <protection locked="0"/>
    </xf>
    <xf numFmtId="9" fontId="11" fillId="17" borderId="38" xfId="0" applyNumberFormat="1" applyFont="1" applyFill="1" applyBorder="1" applyAlignment="1" applyProtection="1">
      <alignment horizontal="center" vertical="center" wrapText="1"/>
      <protection locked="0"/>
    </xf>
    <xf numFmtId="191" fontId="11" fillId="17" borderId="99" xfId="10" applyNumberFormat="1" applyFont="1" applyFill="1" applyBorder="1" applyAlignment="1" applyProtection="1">
      <alignment horizontal="center" vertical="center" wrapText="1"/>
      <protection locked="0"/>
    </xf>
    <xf numFmtId="191" fontId="11" fillId="17" borderId="51" xfId="10" applyNumberFormat="1" applyFont="1" applyFill="1" applyBorder="1" applyAlignment="1" applyProtection="1">
      <alignment horizontal="center" vertical="center" wrapText="1"/>
      <protection locked="0"/>
    </xf>
    <xf numFmtId="191" fontId="11" fillId="17" borderId="32" xfId="10" applyNumberFormat="1" applyFont="1" applyFill="1" applyBorder="1" applyAlignment="1" applyProtection="1">
      <alignment horizontal="center" vertical="center" wrapText="1"/>
      <protection locked="0"/>
    </xf>
    <xf numFmtId="191" fontId="11" fillId="17" borderId="38" xfId="10" applyNumberFormat="1" applyFont="1" applyFill="1" applyBorder="1" applyAlignment="1" applyProtection="1">
      <alignment horizontal="center" vertical="center" wrapText="1"/>
      <protection locked="0"/>
    </xf>
    <xf numFmtId="9" fontId="11" fillId="17" borderId="99" xfId="0" applyNumberFormat="1" applyFont="1" applyFill="1" applyBorder="1" applyAlignment="1" applyProtection="1">
      <alignment horizontal="center" vertical="center" wrapText="1"/>
      <protection locked="0"/>
    </xf>
    <xf numFmtId="9" fontId="11" fillId="17" borderId="60" xfId="0" applyNumberFormat="1" applyFont="1" applyFill="1" applyBorder="1" applyAlignment="1" applyProtection="1">
      <alignment horizontal="center" vertical="center" wrapText="1"/>
      <protection locked="0"/>
    </xf>
    <xf numFmtId="0" fontId="11" fillId="17" borderId="11" xfId="0" applyFont="1" applyFill="1" applyBorder="1" applyAlignment="1" applyProtection="1">
      <alignment horizontal="center" vertical="center"/>
      <protection locked="0"/>
    </xf>
    <xf numFmtId="9" fontId="11" fillId="17" borderId="184" xfId="5" applyFont="1" applyFill="1" applyBorder="1" applyAlignment="1" applyProtection="1">
      <alignment horizontal="center" vertical="center"/>
      <protection locked="0"/>
    </xf>
    <xf numFmtId="0" fontId="11" fillId="17" borderId="184" xfId="0" applyFont="1" applyFill="1" applyBorder="1" applyAlignment="1" applyProtection="1">
      <alignment horizontal="center" vertical="center"/>
      <protection locked="0"/>
    </xf>
    <xf numFmtId="0" fontId="11" fillId="17" borderId="179" xfId="0" applyFont="1" applyFill="1" applyBorder="1" applyAlignment="1" applyProtection="1">
      <alignment horizontal="center" vertical="center"/>
      <protection locked="0"/>
    </xf>
    <xf numFmtId="191" fontId="11" fillId="17" borderId="48" xfId="10" applyNumberFormat="1" applyFont="1" applyFill="1" applyBorder="1" applyAlignment="1" applyProtection="1">
      <alignment horizontal="center" vertical="center"/>
      <protection locked="0"/>
    </xf>
    <xf numFmtId="191" fontId="11" fillId="17" borderId="11" xfId="10" applyNumberFormat="1" applyFont="1" applyFill="1" applyBorder="1" applyAlignment="1" applyProtection="1">
      <alignment horizontal="center" vertical="center"/>
      <protection locked="0"/>
    </xf>
    <xf numFmtId="191" fontId="11" fillId="17" borderId="184" xfId="10" applyNumberFormat="1" applyFont="1" applyFill="1" applyBorder="1" applyAlignment="1" applyProtection="1">
      <alignment horizontal="center" vertical="center"/>
      <protection locked="0"/>
    </xf>
    <xf numFmtId="191" fontId="11" fillId="17" borderId="179" xfId="10" applyNumberFormat="1" applyFont="1" applyFill="1" applyBorder="1" applyAlignment="1" applyProtection="1">
      <alignment horizontal="center" vertical="center"/>
      <protection locked="0"/>
    </xf>
    <xf numFmtId="0" fontId="11" fillId="17" borderId="48" xfId="0" applyFont="1" applyFill="1" applyBorder="1" applyAlignment="1" applyProtection="1">
      <alignment horizontal="center" vertical="center"/>
      <protection locked="0"/>
    </xf>
    <xf numFmtId="0" fontId="11" fillId="17" borderId="46" xfId="0" applyFont="1" applyFill="1" applyBorder="1" applyAlignment="1" applyProtection="1">
      <alignment horizontal="center" vertical="center"/>
      <protection locked="0"/>
    </xf>
    <xf numFmtId="0" fontId="11" fillId="17" borderId="11" xfId="0" applyFont="1" applyFill="1" applyBorder="1" applyAlignment="1" applyProtection="1">
      <alignment vertical="center"/>
      <protection locked="0"/>
    </xf>
    <xf numFmtId="9" fontId="11" fillId="17" borderId="184" xfId="5" applyFont="1" applyFill="1" applyBorder="1" applyAlignment="1" applyProtection="1">
      <alignment vertical="center"/>
      <protection locked="0"/>
    </xf>
    <xf numFmtId="0" fontId="11" fillId="17" borderId="184" xfId="0" applyFont="1" applyFill="1" applyBorder="1" applyAlignment="1" applyProtection="1">
      <alignment vertical="center"/>
      <protection locked="0"/>
    </xf>
    <xf numFmtId="0" fontId="11" fillId="17" borderId="179" xfId="0" applyFont="1" applyFill="1" applyBorder="1" applyAlignment="1" applyProtection="1">
      <alignment vertical="center"/>
      <protection locked="0"/>
    </xf>
    <xf numFmtId="191" fontId="11" fillId="17" borderId="48" xfId="10" applyNumberFormat="1" applyFont="1" applyFill="1" applyBorder="1" applyAlignment="1" applyProtection="1">
      <alignment vertical="center"/>
      <protection locked="0"/>
    </xf>
    <xf numFmtId="191" fontId="11" fillId="17" borderId="11" xfId="10" applyNumberFormat="1" applyFont="1" applyFill="1" applyBorder="1" applyAlignment="1" applyProtection="1">
      <alignment vertical="center"/>
      <protection locked="0"/>
    </xf>
    <xf numFmtId="191" fontId="11" fillId="17" borderId="184" xfId="10" applyNumberFormat="1" applyFont="1" applyFill="1" applyBorder="1" applyAlignment="1" applyProtection="1">
      <alignment vertical="center"/>
      <protection locked="0"/>
    </xf>
    <xf numFmtId="191" fontId="11" fillId="17" borderId="179" xfId="10" applyNumberFormat="1" applyFont="1" applyFill="1" applyBorder="1" applyAlignment="1" applyProtection="1">
      <alignment vertical="center"/>
      <protection locked="0"/>
    </xf>
    <xf numFmtId="0" fontId="11" fillId="17" borderId="48" xfId="0" applyFont="1" applyFill="1" applyBorder="1" applyAlignment="1" applyProtection="1">
      <alignment vertical="center"/>
      <protection locked="0"/>
    </xf>
    <xf numFmtId="0" fontId="11" fillId="17" borderId="46" xfId="0" applyFont="1" applyFill="1" applyBorder="1" applyAlignment="1" applyProtection="1">
      <alignment vertical="center"/>
      <protection locked="0"/>
    </xf>
    <xf numFmtId="9" fontId="11" fillId="17" borderId="11" xfId="0" applyNumberFormat="1" applyFont="1" applyFill="1" applyBorder="1" applyAlignment="1" applyProtection="1">
      <alignment vertical="center"/>
      <protection locked="0"/>
    </xf>
    <xf numFmtId="9" fontId="11" fillId="17" borderId="184" xfId="0" applyNumberFormat="1" applyFont="1" applyFill="1" applyBorder="1" applyAlignment="1" applyProtection="1">
      <alignment vertical="center"/>
      <protection locked="0"/>
    </xf>
    <xf numFmtId="9" fontId="11" fillId="17" borderId="179" xfId="0" applyNumberFormat="1" applyFont="1" applyFill="1" applyBorder="1" applyAlignment="1" applyProtection="1">
      <alignment vertical="center"/>
      <protection locked="0"/>
    </xf>
    <xf numFmtId="9" fontId="11" fillId="17" borderId="48" xfId="0" applyNumberFormat="1" applyFont="1" applyFill="1" applyBorder="1" applyAlignment="1" applyProtection="1">
      <alignment vertical="center"/>
      <protection locked="0"/>
    </xf>
    <xf numFmtId="9" fontId="11" fillId="17" borderId="46" xfId="0" applyNumberFormat="1" applyFont="1" applyFill="1" applyBorder="1" applyAlignment="1" applyProtection="1">
      <alignment vertical="center"/>
      <protection locked="0"/>
    </xf>
    <xf numFmtId="0" fontId="11" fillId="17" borderId="29" xfId="0" applyFont="1" applyFill="1" applyBorder="1" applyAlignment="1" applyProtection="1">
      <alignment vertical="center"/>
      <protection locked="0"/>
    </xf>
    <xf numFmtId="9" fontId="11" fillId="17" borderId="30" xfId="5" applyFont="1" applyFill="1" applyBorder="1" applyAlignment="1" applyProtection="1">
      <alignment vertical="center"/>
      <protection locked="0"/>
    </xf>
    <xf numFmtId="0" fontId="11" fillId="17" borderId="30" xfId="0" applyFont="1" applyFill="1" applyBorder="1" applyAlignment="1" applyProtection="1">
      <alignment vertical="center"/>
      <protection locked="0"/>
    </xf>
    <xf numFmtId="0" fontId="11" fillId="17" borderId="66" xfId="0" applyFont="1" applyFill="1" applyBorder="1" applyAlignment="1" applyProtection="1">
      <alignment vertical="center"/>
      <protection locked="0"/>
    </xf>
    <xf numFmtId="191" fontId="11" fillId="17" borderId="50" xfId="10" applyNumberFormat="1" applyFont="1" applyFill="1" applyBorder="1" applyAlignment="1" applyProtection="1">
      <alignment vertical="center"/>
      <protection locked="0"/>
    </xf>
    <xf numFmtId="191" fontId="11" fillId="17" borderId="29" xfId="10" applyNumberFormat="1" applyFont="1" applyFill="1" applyBorder="1" applyAlignment="1" applyProtection="1">
      <alignment vertical="center"/>
      <protection locked="0"/>
    </xf>
    <xf numFmtId="191" fontId="11" fillId="17" borderId="30" xfId="10" applyNumberFormat="1" applyFont="1" applyFill="1" applyBorder="1" applyAlignment="1" applyProtection="1">
      <alignment vertical="center"/>
      <protection locked="0"/>
    </xf>
    <xf numFmtId="191" fontId="11" fillId="17" borderId="66" xfId="10" applyNumberFormat="1" applyFont="1" applyFill="1" applyBorder="1" applyAlignment="1" applyProtection="1">
      <alignment vertical="center"/>
      <protection locked="0"/>
    </xf>
    <xf numFmtId="0" fontId="11" fillId="17" borderId="50" xfId="0" applyFont="1" applyFill="1" applyBorder="1" applyAlignment="1" applyProtection="1">
      <alignment vertical="center"/>
      <protection locked="0"/>
    </xf>
    <xf numFmtId="0" fontId="11" fillId="17" borderId="177" xfId="0" applyFont="1" applyFill="1" applyBorder="1" applyAlignment="1" applyProtection="1">
      <alignment vertical="center"/>
      <protection locked="0"/>
    </xf>
    <xf numFmtId="0" fontId="11" fillId="38" borderId="51" xfId="0" applyFont="1" applyFill="1" applyBorder="1" applyAlignment="1" applyProtection="1">
      <alignment horizontal="center" vertical="center"/>
      <protection locked="0"/>
    </xf>
    <xf numFmtId="9" fontId="11" fillId="38" borderId="32" xfId="5" applyFont="1" applyFill="1" applyBorder="1" applyAlignment="1" applyProtection="1">
      <alignment horizontal="center" vertical="center"/>
      <protection locked="0"/>
    </xf>
    <xf numFmtId="0" fontId="11" fillId="38" borderId="32" xfId="0" applyFont="1" applyFill="1" applyBorder="1" applyAlignment="1" applyProtection="1">
      <alignment horizontal="center" vertical="center"/>
      <protection locked="0"/>
    </xf>
    <xf numFmtId="0" fontId="11" fillId="38" borderId="38" xfId="0" applyFont="1" applyFill="1" applyBorder="1" applyAlignment="1" applyProtection="1">
      <alignment horizontal="center" vertical="center"/>
      <protection locked="0"/>
    </xf>
    <xf numFmtId="191" fontId="11" fillId="38" borderId="99" xfId="10" applyNumberFormat="1" applyFont="1" applyFill="1" applyBorder="1" applyAlignment="1" applyProtection="1">
      <alignment horizontal="center" vertical="center"/>
      <protection locked="0"/>
    </xf>
    <xf numFmtId="191" fontId="11" fillId="38" borderId="51" xfId="10" applyNumberFormat="1" applyFont="1" applyFill="1" applyBorder="1" applyAlignment="1" applyProtection="1">
      <alignment horizontal="center" vertical="center"/>
      <protection locked="0"/>
    </xf>
    <xf numFmtId="191" fontId="11" fillId="38" borderId="32" xfId="10" applyNumberFormat="1" applyFont="1" applyFill="1" applyBorder="1" applyAlignment="1" applyProtection="1">
      <alignment horizontal="center" vertical="center"/>
      <protection locked="0"/>
    </xf>
    <xf numFmtId="191" fontId="11" fillId="38" borderId="38" xfId="10" applyNumberFormat="1" applyFont="1" applyFill="1" applyBorder="1" applyAlignment="1" applyProtection="1">
      <alignment horizontal="center" vertical="center"/>
      <protection locked="0"/>
    </xf>
    <xf numFmtId="0" fontId="11" fillId="38" borderId="99" xfId="0" applyFont="1" applyFill="1" applyBorder="1" applyAlignment="1" applyProtection="1">
      <alignment horizontal="center" vertical="center"/>
      <protection locked="0"/>
    </xf>
    <xf numFmtId="0" fontId="11" fillId="38" borderId="60" xfId="0" applyFont="1" applyFill="1" applyBorder="1" applyAlignment="1" applyProtection="1">
      <alignment horizontal="center" vertical="center"/>
      <protection locked="0"/>
    </xf>
    <xf numFmtId="0" fontId="11" fillId="38" borderId="11" xfId="0" applyFont="1" applyFill="1" applyBorder="1" applyAlignment="1" applyProtection="1">
      <alignment horizontal="center" vertical="center"/>
      <protection locked="0"/>
    </xf>
    <xf numFmtId="9" fontId="11" fillId="38" borderId="184" xfId="5" applyFont="1" applyFill="1" applyBorder="1" applyAlignment="1" applyProtection="1">
      <alignment horizontal="center" vertical="center"/>
      <protection locked="0"/>
    </xf>
    <xf numFmtId="0" fontId="11" fillId="38" borderId="184" xfId="0" applyFont="1" applyFill="1" applyBorder="1" applyAlignment="1" applyProtection="1">
      <alignment horizontal="center" vertical="center"/>
      <protection locked="0"/>
    </xf>
    <xf numFmtId="0" fontId="11" fillId="38" borderId="179" xfId="0" applyFont="1" applyFill="1" applyBorder="1" applyAlignment="1" applyProtection="1">
      <alignment horizontal="center" vertical="center"/>
      <protection locked="0"/>
    </xf>
    <xf numFmtId="191" fontId="11" fillId="38" borderId="48" xfId="10" applyNumberFormat="1" applyFont="1" applyFill="1" applyBorder="1" applyAlignment="1" applyProtection="1">
      <alignment horizontal="center" vertical="center"/>
      <protection locked="0"/>
    </xf>
    <xf numFmtId="191" fontId="11" fillId="38" borderId="11" xfId="10" applyNumberFormat="1" applyFont="1" applyFill="1" applyBorder="1" applyAlignment="1" applyProtection="1">
      <alignment horizontal="center" vertical="center"/>
      <protection locked="0"/>
    </xf>
    <xf numFmtId="191" fontId="11" fillId="38" borderId="184" xfId="10" applyNumberFormat="1" applyFont="1" applyFill="1" applyBorder="1" applyAlignment="1" applyProtection="1">
      <alignment horizontal="center" vertical="center"/>
      <protection locked="0"/>
    </xf>
    <xf numFmtId="191" fontId="11" fillId="38" borderId="179" xfId="10" applyNumberFormat="1" applyFont="1" applyFill="1" applyBorder="1" applyAlignment="1" applyProtection="1">
      <alignment horizontal="center" vertical="center"/>
      <protection locked="0"/>
    </xf>
    <xf numFmtId="0" fontId="11" fillId="38" borderId="48" xfId="0" applyFont="1" applyFill="1" applyBorder="1" applyAlignment="1" applyProtection="1">
      <alignment horizontal="center" vertical="center"/>
      <protection locked="0"/>
    </xf>
    <xf numFmtId="0" fontId="11" fillId="38" borderId="46" xfId="0" applyFont="1" applyFill="1" applyBorder="1" applyAlignment="1" applyProtection="1">
      <alignment horizontal="center" vertical="center"/>
      <protection locked="0"/>
    </xf>
    <xf numFmtId="0" fontId="11" fillId="38" borderId="29" xfId="0" applyFont="1" applyFill="1" applyBorder="1" applyAlignment="1" applyProtection="1">
      <alignment horizontal="center" vertical="center" wrapText="1"/>
      <protection locked="0"/>
    </xf>
    <xf numFmtId="0" fontId="11" fillId="40" borderId="51" xfId="0" applyFont="1" applyFill="1" applyBorder="1" applyAlignment="1" applyProtection="1">
      <alignment vertical="center" wrapText="1"/>
      <protection locked="0"/>
    </xf>
    <xf numFmtId="9" fontId="11" fillId="40" borderId="32" xfId="5" applyFont="1" applyFill="1" applyBorder="1" applyAlignment="1" applyProtection="1">
      <alignment vertical="center" wrapText="1"/>
      <protection locked="0"/>
    </xf>
    <xf numFmtId="0" fontId="11" fillId="40" borderId="32" xfId="0" applyFont="1" applyFill="1" applyBorder="1" applyAlignment="1" applyProtection="1">
      <alignment vertical="center" wrapText="1"/>
      <protection locked="0"/>
    </xf>
    <xf numFmtId="0" fontId="11" fillId="40" borderId="38" xfId="0" applyFont="1" applyFill="1" applyBorder="1" applyAlignment="1" applyProtection="1">
      <alignment vertical="center" wrapText="1"/>
      <protection locked="0"/>
    </xf>
    <xf numFmtId="191" fontId="11" fillId="40" borderId="99" xfId="10" applyNumberFormat="1" applyFont="1" applyFill="1" applyBorder="1" applyAlignment="1" applyProtection="1">
      <alignment vertical="center" wrapText="1"/>
      <protection locked="0"/>
    </xf>
    <xf numFmtId="191" fontId="11" fillId="40" borderId="51" xfId="10" applyNumberFormat="1" applyFont="1" applyFill="1" applyBorder="1" applyAlignment="1" applyProtection="1">
      <alignment vertical="center" wrapText="1"/>
      <protection locked="0"/>
    </xf>
    <xf numFmtId="191" fontId="11" fillId="40" borderId="32" xfId="10" applyNumberFormat="1" applyFont="1" applyFill="1" applyBorder="1" applyAlignment="1" applyProtection="1">
      <alignment vertical="center" wrapText="1"/>
      <protection locked="0"/>
    </xf>
    <xf numFmtId="191" fontId="11" fillId="40" borderId="38" xfId="10" applyNumberFormat="1" applyFont="1" applyFill="1" applyBorder="1" applyAlignment="1" applyProtection="1">
      <alignment vertical="center" wrapText="1"/>
      <protection locked="0"/>
    </xf>
    <xf numFmtId="0" fontId="11" fillId="40" borderId="99" xfId="0" applyFont="1" applyFill="1" applyBorder="1" applyAlignment="1" applyProtection="1">
      <alignment vertical="center" wrapText="1"/>
      <protection locked="0"/>
    </xf>
    <xf numFmtId="0" fontId="11" fillId="40" borderId="60" xfId="0" applyFont="1" applyFill="1" applyBorder="1" applyAlignment="1" applyProtection="1">
      <alignment vertical="center" wrapText="1"/>
      <protection locked="0"/>
    </xf>
    <xf numFmtId="0" fontId="11" fillId="40" borderId="52" xfId="0" applyFont="1" applyFill="1" applyBorder="1" applyAlignment="1" applyProtection="1">
      <alignment horizontal="justify" vertical="center" wrapText="1"/>
      <protection locked="0"/>
    </xf>
    <xf numFmtId="0" fontId="11" fillId="40" borderId="11" xfId="0" applyFont="1" applyFill="1" applyBorder="1" applyAlignment="1" applyProtection="1">
      <alignment vertical="center" wrapText="1"/>
      <protection locked="0"/>
    </xf>
    <xf numFmtId="0" fontId="11" fillId="40" borderId="184" xfId="0" applyFont="1" applyFill="1" applyBorder="1" applyAlignment="1" applyProtection="1">
      <alignment vertical="center" wrapText="1"/>
      <protection locked="0"/>
    </xf>
    <xf numFmtId="0" fontId="11" fillId="40" borderId="179" xfId="0" applyFont="1" applyFill="1" applyBorder="1" applyAlignment="1" applyProtection="1">
      <alignment vertical="center" wrapText="1"/>
      <protection locked="0"/>
    </xf>
    <xf numFmtId="0" fontId="11" fillId="40" borderId="48" xfId="0" applyFont="1" applyFill="1" applyBorder="1" applyAlignment="1" applyProtection="1">
      <alignment vertical="center" wrapText="1"/>
      <protection locked="0"/>
    </xf>
    <xf numFmtId="0" fontId="11" fillId="40" borderId="46" xfId="0" applyFont="1" applyFill="1" applyBorder="1" applyAlignment="1" applyProtection="1">
      <alignment vertical="center" wrapText="1"/>
      <protection locked="0"/>
    </xf>
    <xf numFmtId="0" fontId="11" fillId="40" borderId="29" xfId="0" applyFont="1" applyFill="1" applyBorder="1" applyAlignment="1" applyProtection="1">
      <alignment vertical="center" wrapText="1"/>
      <protection locked="0"/>
    </xf>
    <xf numFmtId="9" fontId="11" fillId="40" borderId="30" xfId="5" applyFont="1" applyFill="1" applyBorder="1" applyAlignment="1" applyProtection="1">
      <alignment vertical="center" wrapText="1"/>
      <protection locked="0"/>
    </xf>
    <xf numFmtId="0" fontId="11" fillId="40" borderId="30" xfId="0" applyFont="1" applyFill="1" applyBorder="1" applyAlignment="1" applyProtection="1">
      <alignment vertical="center" wrapText="1"/>
      <protection locked="0"/>
    </xf>
    <xf numFmtId="0" fontId="11" fillId="40" borderId="66" xfId="0" applyFont="1" applyFill="1" applyBorder="1" applyAlignment="1" applyProtection="1">
      <alignment vertical="center" wrapText="1"/>
      <protection locked="0"/>
    </xf>
    <xf numFmtId="191" fontId="11" fillId="40" borderId="50" xfId="10" applyNumberFormat="1" applyFont="1" applyFill="1" applyBorder="1" applyAlignment="1" applyProtection="1">
      <alignment vertical="center" wrapText="1"/>
      <protection locked="0"/>
    </xf>
    <xf numFmtId="191" fontId="11" fillId="40" borderId="29" xfId="10" applyNumberFormat="1" applyFont="1" applyFill="1" applyBorder="1" applyAlignment="1" applyProtection="1">
      <alignment vertical="center" wrapText="1"/>
      <protection locked="0"/>
    </xf>
    <xf numFmtId="191" fontId="11" fillId="40" borderId="30" xfId="10" applyNumberFormat="1" applyFont="1" applyFill="1" applyBorder="1" applyAlignment="1" applyProtection="1">
      <alignment vertical="center" wrapText="1"/>
      <protection locked="0"/>
    </xf>
    <xf numFmtId="191" fontId="11" fillId="40" borderId="66" xfId="10" applyNumberFormat="1" applyFont="1" applyFill="1" applyBorder="1" applyAlignment="1" applyProtection="1">
      <alignment vertical="center" wrapText="1"/>
      <protection locked="0"/>
    </xf>
    <xf numFmtId="0" fontId="11" fillId="40" borderId="50" xfId="0" applyFont="1" applyFill="1" applyBorder="1" applyAlignment="1" applyProtection="1">
      <alignment vertical="center" wrapText="1"/>
      <protection locked="0"/>
    </xf>
    <xf numFmtId="0" fontId="11" fillId="40" borderId="177" xfId="0" applyFont="1" applyFill="1" applyBorder="1" applyAlignment="1" applyProtection="1">
      <alignment vertical="center" wrapText="1"/>
      <protection locked="0"/>
    </xf>
    <xf numFmtId="0" fontId="11" fillId="41" borderId="60" xfId="0" applyFont="1" applyFill="1" applyBorder="1" applyAlignment="1" applyProtection="1">
      <alignment horizontal="center" vertical="center" wrapText="1"/>
      <protection locked="0"/>
    </xf>
    <xf numFmtId="0" fontId="11" fillId="41" borderId="100" xfId="0" applyFont="1" applyFill="1" applyBorder="1" applyAlignment="1" applyProtection="1">
      <alignment horizontal="center" vertical="center" wrapText="1"/>
      <protection locked="0"/>
    </xf>
    <xf numFmtId="9" fontId="11" fillId="41" borderId="32" xfId="5" applyFont="1" applyFill="1" applyBorder="1" applyAlignment="1" applyProtection="1">
      <alignment horizontal="center" vertical="center" wrapText="1"/>
      <protection locked="0"/>
    </xf>
    <xf numFmtId="0" fontId="11" fillId="41" borderId="38" xfId="0" applyFont="1" applyFill="1" applyBorder="1" applyAlignment="1" applyProtection="1">
      <alignment horizontal="center" vertical="center" wrapText="1"/>
      <protection locked="0"/>
    </xf>
    <xf numFmtId="191" fontId="11" fillId="41" borderId="99" xfId="10" applyNumberFormat="1" applyFont="1" applyFill="1" applyBorder="1" applyAlignment="1" applyProtection="1">
      <alignment horizontal="center" vertical="center" wrapText="1"/>
      <protection locked="0"/>
    </xf>
    <xf numFmtId="191" fontId="11" fillId="41" borderId="51" xfId="10" applyNumberFormat="1" applyFont="1" applyFill="1" applyBorder="1" applyAlignment="1" applyProtection="1">
      <alignment horizontal="center" vertical="center" wrapText="1"/>
      <protection locked="0"/>
    </xf>
    <xf numFmtId="191" fontId="11" fillId="41" borderId="32" xfId="10" applyNumberFormat="1" applyFont="1" applyFill="1" applyBorder="1" applyAlignment="1" applyProtection="1">
      <alignment horizontal="center" vertical="center" wrapText="1"/>
      <protection locked="0"/>
    </xf>
    <xf numFmtId="191" fontId="11" fillId="41" borderId="38" xfId="10" applyNumberFormat="1" applyFont="1" applyFill="1" applyBorder="1" applyAlignment="1" applyProtection="1">
      <alignment horizontal="center" vertical="center" wrapText="1"/>
      <protection locked="0"/>
    </xf>
    <xf numFmtId="0" fontId="11" fillId="41" borderId="99" xfId="0" applyFont="1" applyFill="1" applyBorder="1" applyAlignment="1" applyProtection="1">
      <alignment horizontal="center" vertical="center" wrapText="1"/>
      <protection locked="0"/>
    </xf>
    <xf numFmtId="0" fontId="11" fillId="41" borderId="29" xfId="0" applyFont="1" applyFill="1" applyBorder="1" applyAlignment="1" applyProtection="1">
      <alignment vertical="center" wrapText="1"/>
      <protection locked="0"/>
    </xf>
    <xf numFmtId="0" fontId="11" fillId="41" borderId="30" xfId="0" applyFont="1" applyFill="1" applyBorder="1" applyAlignment="1" applyProtection="1">
      <alignment vertical="center" wrapText="1"/>
      <protection locked="0"/>
    </xf>
    <xf numFmtId="0" fontId="11" fillId="41" borderId="66" xfId="0" applyFont="1" applyFill="1" applyBorder="1" applyAlignment="1" applyProtection="1">
      <alignment vertical="center" wrapText="1"/>
      <protection locked="0"/>
    </xf>
    <xf numFmtId="0" fontId="11" fillId="41" borderId="50" xfId="0" applyFont="1" applyFill="1" applyBorder="1" applyAlignment="1" applyProtection="1">
      <alignment vertical="center" wrapText="1"/>
      <protection locked="0"/>
    </xf>
    <xf numFmtId="0" fontId="11" fillId="41" borderId="177" xfId="0" applyFont="1" applyFill="1" applyBorder="1" applyAlignment="1" applyProtection="1">
      <alignment vertical="center" wrapText="1"/>
      <protection locked="0"/>
    </xf>
    <xf numFmtId="0" fontId="0" fillId="42" borderId="51" xfId="0" applyFont="1" applyFill="1" applyBorder="1" applyAlignment="1" applyProtection="1">
      <alignment horizontal="center" vertical="center" wrapText="1"/>
      <protection locked="0"/>
    </xf>
    <xf numFmtId="9" fontId="0" fillId="42" borderId="32" xfId="5" applyFont="1" applyFill="1" applyBorder="1" applyAlignment="1" applyProtection="1">
      <alignment horizontal="center" vertical="center" wrapText="1"/>
      <protection locked="0"/>
    </xf>
    <xf numFmtId="0" fontId="0" fillId="42" borderId="32" xfId="0" applyFont="1" applyFill="1" applyBorder="1" applyAlignment="1" applyProtection="1">
      <alignment horizontal="center" vertical="center" wrapText="1"/>
      <protection locked="0"/>
    </xf>
    <xf numFmtId="0" fontId="0" fillId="42" borderId="38" xfId="0" applyFont="1" applyFill="1" applyBorder="1" applyAlignment="1" applyProtection="1">
      <alignment horizontal="center" vertical="center" wrapText="1"/>
      <protection locked="0"/>
    </xf>
    <xf numFmtId="191" fontId="0" fillId="42" borderId="99" xfId="10" applyNumberFormat="1" applyFont="1" applyFill="1" applyBorder="1" applyAlignment="1" applyProtection="1">
      <alignment horizontal="center" vertical="center" wrapText="1"/>
      <protection locked="0"/>
    </xf>
    <xf numFmtId="191" fontId="0" fillId="42" borderId="51" xfId="10" applyNumberFormat="1" applyFont="1" applyFill="1" applyBorder="1" applyAlignment="1" applyProtection="1">
      <alignment horizontal="center" vertical="center" wrapText="1"/>
      <protection locked="0"/>
    </xf>
    <xf numFmtId="191" fontId="0" fillId="42" borderId="32" xfId="10" applyNumberFormat="1" applyFont="1" applyFill="1" applyBorder="1" applyAlignment="1" applyProtection="1">
      <alignment horizontal="center" vertical="center" wrapText="1"/>
      <protection locked="0"/>
    </xf>
    <xf numFmtId="191" fontId="0" fillId="42" borderId="38" xfId="10" applyNumberFormat="1" applyFont="1" applyFill="1" applyBorder="1" applyAlignment="1" applyProtection="1">
      <alignment horizontal="center" vertical="center" wrapText="1"/>
      <protection locked="0"/>
    </xf>
    <xf numFmtId="0" fontId="0" fillId="42" borderId="99" xfId="0" applyFont="1" applyFill="1" applyBorder="1" applyAlignment="1" applyProtection="1">
      <alignment horizontal="center" vertical="center" wrapText="1"/>
      <protection locked="0"/>
    </xf>
    <xf numFmtId="0" fontId="0" fillId="42" borderId="11" xfId="0" applyFont="1" applyFill="1" applyBorder="1" applyAlignment="1" applyProtection="1">
      <alignment horizontal="center" vertical="center" wrapText="1"/>
      <protection locked="0"/>
    </xf>
    <xf numFmtId="9" fontId="0" fillId="42" borderId="184" xfId="5" applyFont="1" applyFill="1" applyBorder="1" applyAlignment="1" applyProtection="1">
      <alignment horizontal="center" vertical="center" wrapText="1"/>
      <protection locked="0"/>
    </xf>
    <xf numFmtId="0" fontId="0" fillId="42" borderId="184" xfId="0" applyFont="1" applyFill="1" applyBorder="1" applyAlignment="1" applyProtection="1">
      <alignment horizontal="center" vertical="center" wrapText="1"/>
      <protection locked="0"/>
    </xf>
    <xf numFmtId="0" fontId="0" fillId="42" borderId="179" xfId="0" applyFont="1" applyFill="1" applyBorder="1" applyAlignment="1" applyProtection="1">
      <alignment horizontal="center" vertical="center" wrapText="1"/>
      <protection locked="0"/>
    </xf>
    <xf numFmtId="191" fontId="0" fillId="42" borderId="48" xfId="10" applyNumberFormat="1" applyFont="1" applyFill="1" applyBorder="1" applyAlignment="1" applyProtection="1">
      <alignment horizontal="center" vertical="center" wrapText="1"/>
      <protection locked="0"/>
    </xf>
    <xf numFmtId="191" fontId="0" fillId="42" borderId="11" xfId="10" applyNumberFormat="1" applyFont="1" applyFill="1" applyBorder="1" applyAlignment="1" applyProtection="1">
      <alignment horizontal="center" vertical="center" wrapText="1"/>
      <protection locked="0"/>
    </xf>
    <xf numFmtId="191" fontId="0" fillId="42" borderId="184" xfId="10" applyNumberFormat="1" applyFont="1" applyFill="1" applyBorder="1" applyAlignment="1" applyProtection="1">
      <alignment horizontal="center" vertical="center" wrapText="1"/>
      <protection locked="0"/>
    </xf>
    <xf numFmtId="191" fontId="0" fillId="42" borderId="179" xfId="10" applyNumberFormat="1" applyFont="1" applyFill="1" applyBorder="1" applyAlignment="1" applyProtection="1">
      <alignment horizontal="center" vertical="center" wrapText="1"/>
      <protection locked="0"/>
    </xf>
    <xf numFmtId="0" fontId="0" fillId="42" borderId="48" xfId="0" applyFont="1" applyFill="1" applyBorder="1" applyAlignment="1" applyProtection="1">
      <alignment horizontal="center" vertical="center" wrapText="1"/>
      <protection locked="0"/>
    </xf>
    <xf numFmtId="0" fontId="0" fillId="42" borderId="11" xfId="0" applyFont="1" applyFill="1" applyBorder="1" applyAlignment="1" applyProtection="1">
      <alignment vertical="center" wrapText="1"/>
      <protection locked="0"/>
    </xf>
    <xf numFmtId="9" fontId="0" fillId="42" borderId="184" xfId="5" applyFont="1" applyFill="1" applyBorder="1" applyAlignment="1" applyProtection="1">
      <alignment vertical="center" wrapText="1"/>
      <protection locked="0"/>
    </xf>
    <xf numFmtId="0" fontId="0" fillId="42" borderId="184" xfId="0" applyFont="1" applyFill="1" applyBorder="1" applyAlignment="1" applyProtection="1">
      <alignment vertical="center" wrapText="1"/>
      <protection locked="0"/>
    </xf>
    <xf numFmtId="0" fontId="0" fillId="42" borderId="179" xfId="0" applyFont="1" applyFill="1" applyBorder="1" applyAlignment="1" applyProtection="1">
      <alignment vertical="center" wrapText="1"/>
      <protection locked="0"/>
    </xf>
    <xf numFmtId="191" fontId="0" fillId="42" borderId="48" xfId="10" applyNumberFormat="1" applyFont="1" applyFill="1" applyBorder="1" applyAlignment="1" applyProtection="1">
      <alignment vertical="center" wrapText="1"/>
      <protection locked="0"/>
    </xf>
    <xf numFmtId="191" fontId="0" fillId="42" borderId="11" xfId="10" applyNumberFormat="1" applyFont="1" applyFill="1" applyBorder="1" applyAlignment="1" applyProtection="1">
      <alignment vertical="center" wrapText="1"/>
      <protection locked="0"/>
    </xf>
    <xf numFmtId="191" fontId="0" fillId="42" borderId="184" xfId="10" applyNumberFormat="1" applyFont="1" applyFill="1" applyBorder="1" applyAlignment="1" applyProtection="1">
      <alignment vertical="center" wrapText="1"/>
      <protection locked="0"/>
    </xf>
    <xf numFmtId="191" fontId="0" fillId="42" borderId="179" xfId="10" applyNumberFormat="1" applyFont="1" applyFill="1" applyBorder="1" applyAlignment="1" applyProtection="1">
      <alignment vertical="center" wrapText="1"/>
      <protection locked="0"/>
    </xf>
    <xf numFmtId="0" fontId="0" fillId="42" borderId="48" xfId="0" applyFont="1" applyFill="1" applyBorder="1" applyAlignment="1" applyProtection="1">
      <alignment vertical="center" wrapText="1"/>
      <protection locked="0"/>
    </xf>
    <xf numFmtId="0" fontId="0" fillId="42" borderId="46" xfId="0" applyFont="1" applyFill="1" applyBorder="1" applyAlignment="1" applyProtection="1">
      <alignment vertical="center" wrapText="1"/>
      <protection locked="0"/>
    </xf>
    <xf numFmtId="9" fontId="0" fillId="42" borderId="11" xfId="0" applyNumberFormat="1" applyFont="1" applyFill="1" applyBorder="1" applyAlignment="1" applyProtection="1">
      <alignment vertical="center" wrapText="1"/>
      <protection locked="0"/>
    </xf>
    <xf numFmtId="9" fontId="0" fillId="42" borderId="184" xfId="0" applyNumberFormat="1" applyFont="1" applyFill="1" applyBorder="1" applyAlignment="1" applyProtection="1">
      <alignment vertical="center" wrapText="1"/>
      <protection locked="0"/>
    </xf>
    <xf numFmtId="9" fontId="0" fillId="42" borderId="179" xfId="0" applyNumberFormat="1" applyFont="1" applyFill="1" applyBorder="1" applyAlignment="1" applyProtection="1">
      <alignment vertical="center" wrapText="1"/>
      <protection locked="0"/>
    </xf>
    <xf numFmtId="9" fontId="0" fillId="42" borderId="48" xfId="0" applyNumberFormat="1" applyFont="1" applyFill="1" applyBorder="1" applyAlignment="1" applyProtection="1">
      <alignment vertical="center" wrapText="1"/>
      <protection locked="0"/>
    </xf>
    <xf numFmtId="9" fontId="0" fillId="42" borderId="46" xfId="0" applyNumberFormat="1" applyFont="1" applyFill="1" applyBorder="1" applyAlignment="1" applyProtection="1">
      <alignment vertical="center" wrapText="1"/>
      <protection locked="0"/>
    </xf>
    <xf numFmtId="9" fontId="0" fillId="42" borderId="11" xfId="0" applyNumberFormat="1" applyFont="1" applyFill="1" applyBorder="1" applyAlignment="1" applyProtection="1">
      <alignment horizontal="center" vertical="center" wrapText="1"/>
      <protection locked="0"/>
    </xf>
    <xf numFmtId="9" fontId="0" fillId="42" borderId="184" xfId="0" applyNumberFormat="1" applyFont="1" applyFill="1" applyBorder="1" applyAlignment="1" applyProtection="1">
      <alignment horizontal="center" vertical="center" wrapText="1"/>
      <protection locked="0"/>
    </xf>
    <xf numFmtId="9" fontId="0" fillId="42" borderId="179" xfId="0" applyNumberFormat="1" applyFont="1" applyFill="1" applyBorder="1" applyAlignment="1" applyProtection="1">
      <alignment horizontal="center" vertical="center" wrapText="1"/>
      <protection locked="0"/>
    </xf>
    <xf numFmtId="9" fontId="0" fillId="42" borderId="48" xfId="0" applyNumberFormat="1" applyFont="1" applyFill="1" applyBorder="1" applyAlignment="1" applyProtection="1">
      <alignment horizontal="center" vertical="center" wrapText="1"/>
      <protection locked="0"/>
    </xf>
    <xf numFmtId="9" fontId="0" fillId="42" borderId="46" xfId="0" applyNumberFormat="1" applyFont="1" applyFill="1" applyBorder="1" applyAlignment="1" applyProtection="1">
      <alignment horizontal="center" vertical="center" wrapText="1"/>
      <protection locked="0"/>
    </xf>
    <xf numFmtId="0" fontId="0" fillId="42" borderId="29" xfId="0" applyFont="1" applyFill="1" applyBorder="1" applyAlignment="1" applyProtection="1">
      <alignment vertical="center" wrapText="1"/>
      <protection locked="0"/>
    </xf>
    <xf numFmtId="9" fontId="0" fillId="42" borderId="30" xfId="5" applyFont="1" applyFill="1" applyBorder="1" applyAlignment="1" applyProtection="1">
      <alignment vertical="center" wrapText="1"/>
      <protection locked="0"/>
    </xf>
    <xf numFmtId="0" fontId="0" fillId="42" borderId="30" xfId="0" applyFont="1" applyFill="1" applyBorder="1" applyAlignment="1" applyProtection="1">
      <alignment vertical="center" wrapText="1"/>
      <protection locked="0"/>
    </xf>
    <xf numFmtId="0" fontId="0" fillId="42" borderId="66" xfId="0" applyFont="1" applyFill="1" applyBorder="1" applyAlignment="1" applyProtection="1">
      <alignment vertical="center" wrapText="1"/>
      <protection locked="0"/>
    </xf>
    <xf numFmtId="191" fontId="0" fillId="42" borderId="50" xfId="10" applyNumberFormat="1" applyFont="1" applyFill="1" applyBorder="1" applyAlignment="1" applyProtection="1">
      <alignment vertical="center" wrapText="1"/>
      <protection locked="0"/>
    </xf>
    <xf numFmtId="191" fontId="0" fillId="42" borderId="29" xfId="10" applyNumberFormat="1" applyFont="1" applyFill="1" applyBorder="1" applyAlignment="1" applyProtection="1">
      <alignment vertical="center" wrapText="1"/>
      <protection locked="0"/>
    </xf>
    <xf numFmtId="191" fontId="0" fillId="42" borderId="30" xfId="10" applyNumberFormat="1" applyFont="1" applyFill="1" applyBorder="1" applyAlignment="1" applyProtection="1">
      <alignment vertical="center" wrapText="1"/>
      <protection locked="0"/>
    </xf>
    <xf numFmtId="191" fontId="0" fillId="42" borderId="66" xfId="10" applyNumberFormat="1" applyFont="1" applyFill="1" applyBorder="1" applyAlignment="1" applyProtection="1">
      <alignment vertical="center" wrapText="1"/>
      <protection locked="0"/>
    </xf>
    <xf numFmtId="0" fontId="0" fillId="42" borderId="50" xfId="0" applyFont="1" applyFill="1" applyBorder="1" applyAlignment="1" applyProtection="1">
      <alignment vertical="center" wrapText="1"/>
      <protection locked="0"/>
    </xf>
    <xf numFmtId="0" fontId="0" fillId="42" borderId="177" xfId="0" applyFont="1" applyFill="1" applyBorder="1" applyAlignment="1" applyProtection="1">
      <alignment vertical="center" wrapText="1"/>
      <protection locked="0"/>
    </xf>
    <xf numFmtId="0" fontId="11" fillId="41" borderId="51" xfId="0" applyFont="1" applyFill="1" applyBorder="1" applyAlignment="1" applyProtection="1">
      <alignment horizontal="center" vertical="center"/>
      <protection locked="0"/>
    </xf>
    <xf numFmtId="9" fontId="11" fillId="41" borderId="32" xfId="5" applyFont="1" applyFill="1" applyBorder="1" applyAlignment="1" applyProtection="1">
      <alignment horizontal="center" vertical="center"/>
      <protection locked="0"/>
    </xf>
    <xf numFmtId="0" fontId="11" fillId="41" borderId="32" xfId="0" applyFont="1" applyFill="1" applyBorder="1" applyAlignment="1" applyProtection="1">
      <alignment horizontal="center" vertical="center"/>
      <protection locked="0"/>
    </xf>
    <xf numFmtId="0" fontId="11" fillId="41" borderId="38" xfId="0" applyFont="1" applyFill="1" applyBorder="1" applyAlignment="1" applyProtection="1">
      <alignment horizontal="center" vertical="center"/>
      <protection locked="0"/>
    </xf>
    <xf numFmtId="191" fontId="11" fillId="41" borderId="99" xfId="10" applyNumberFormat="1" applyFont="1" applyFill="1" applyBorder="1" applyAlignment="1" applyProtection="1">
      <alignment horizontal="center" vertical="center"/>
      <protection locked="0"/>
    </xf>
    <xf numFmtId="191" fontId="11" fillId="41" borderId="51" xfId="10" applyNumberFormat="1" applyFont="1" applyFill="1" applyBorder="1" applyAlignment="1" applyProtection="1">
      <alignment horizontal="center" vertical="center"/>
      <protection locked="0"/>
    </xf>
    <xf numFmtId="191" fontId="11" fillId="41" borderId="32" xfId="10" applyNumberFormat="1" applyFont="1" applyFill="1" applyBorder="1" applyAlignment="1" applyProtection="1">
      <alignment horizontal="center" vertical="center"/>
      <protection locked="0"/>
    </xf>
    <xf numFmtId="191" fontId="11" fillId="41" borderId="38" xfId="10" applyNumberFormat="1" applyFont="1" applyFill="1" applyBorder="1" applyAlignment="1" applyProtection="1">
      <alignment horizontal="center" vertical="center"/>
      <protection locked="0"/>
    </xf>
    <xf numFmtId="0" fontId="11" fillId="41" borderId="99" xfId="0" applyFont="1" applyFill="1" applyBorder="1" applyAlignment="1" applyProtection="1">
      <alignment horizontal="center" vertical="center"/>
      <protection locked="0"/>
    </xf>
    <xf numFmtId="0" fontId="11" fillId="41" borderId="60" xfId="0" applyFont="1" applyFill="1" applyBorder="1" applyAlignment="1" applyProtection="1">
      <alignment horizontal="center" vertical="center"/>
      <protection locked="0"/>
    </xf>
    <xf numFmtId="9" fontId="11" fillId="41" borderId="11" xfId="0" applyNumberFormat="1" applyFont="1" applyFill="1" applyBorder="1" applyAlignment="1" applyProtection="1">
      <alignment vertical="center"/>
      <protection locked="0"/>
    </xf>
    <xf numFmtId="9" fontId="11" fillId="41" borderId="184" xfId="5" applyFont="1" applyFill="1" applyBorder="1" applyAlignment="1" applyProtection="1">
      <alignment vertical="center"/>
      <protection locked="0"/>
    </xf>
    <xf numFmtId="9" fontId="11" fillId="41" borderId="184" xfId="0" applyNumberFormat="1" applyFont="1" applyFill="1" applyBorder="1" applyAlignment="1" applyProtection="1">
      <alignment vertical="center"/>
      <protection locked="0"/>
    </xf>
    <xf numFmtId="9" fontId="11" fillId="41" borderId="179" xfId="0" applyNumberFormat="1" applyFont="1" applyFill="1" applyBorder="1" applyAlignment="1" applyProtection="1">
      <alignment vertical="center"/>
      <protection locked="0"/>
    </xf>
    <xf numFmtId="191" fontId="11" fillId="41" borderId="48" xfId="10" applyNumberFormat="1" applyFont="1" applyFill="1" applyBorder="1" applyAlignment="1" applyProtection="1">
      <alignment vertical="center"/>
      <protection locked="0"/>
    </xf>
    <xf numFmtId="191" fontId="11" fillId="41" borderId="11" xfId="10" applyNumberFormat="1" applyFont="1" applyFill="1" applyBorder="1" applyAlignment="1" applyProtection="1">
      <alignment vertical="center"/>
      <protection locked="0"/>
    </xf>
    <xf numFmtId="191" fontId="11" fillId="41" borderId="184" xfId="10" applyNumberFormat="1" applyFont="1" applyFill="1" applyBorder="1" applyAlignment="1" applyProtection="1">
      <alignment vertical="center"/>
      <protection locked="0"/>
    </xf>
    <xf numFmtId="191" fontId="11" fillId="41" borderId="179" xfId="10" applyNumberFormat="1" applyFont="1" applyFill="1" applyBorder="1" applyAlignment="1" applyProtection="1">
      <alignment vertical="center"/>
      <protection locked="0"/>
    </xf>
    <xf numFmtId="9" fontId="11" fillId="41" borderId="48" xfId="0" applyNumberFormat="1" applyFont="1" applyFill="1" applyBorder="1" applyAlignment="1" applyProtection="1">
      <alignment vertical="center"/>
      <protection locked="0"/>
    </xf>
    <xf numFmtId="9" fontId="11" fillId="41" borderId="46" xfId="0" applyNumberFormat="1" applyFont="1" applyFill="1" applyBorder="1" applyAlignment="1" applyProtection="1">
      <alignment vertical="center"/>
      <protection locked="0"/>
    </xf>
    <xf numFmtId="0" fontId="11" fillId="41" borderId="156" xfId="0" applyFont="1" applyFill="1" applyBorder="1" applyAlignment="1" applyProtection="1">
      <alignment horizontal="center" vertical="center" wrapText="1"/>
      <protection locked="0"/>
    </xf>
    <xf numFmtId="0" fontId="11" fillId="41" borderId="185" xfId="0" applyFont="1" applyFill="1" applyBorder="1" applyAlignment="1" applyProtection="1">
      <alignment horizontal="center" vertical="center" wrapText="1"/>
      <protection locked="0"/>
    </xf>
    <xf numFmtId="0" fontId="11" fillId="41" borderId="29" xfId="0" applyFont="1" applyFill="1" applyBorder="1" applyAlignment="1" applyProtection="1">
      <alignment horizontal="center" vertical="center"/>
      <protection locked="0"/>
    </xf>
    <xf numFmtId="9" fontId="11" fillId="41" borderId="30" xfId="5" applyFont="1" applyFill="1" applyBorder="1" applyAlignment="1" applyProtection="1">
      <alignment horizontal="center" vertical="center"/>
      <protection locked="0"/>
    </xf>
    <xf numFmtId="0" fontId="11" fillId="41" borderId="30" xfId="0" applyFont="1" applyFill="1" applyBorder="1" applyAlignment="1" applyProtection="1">
      <alignment horizontal="center" vertical="center"/>
      <protection locked="0"/>
    </xf>
    <xf numFmtId="0" fontId="11" fillId="41" borderId="66" xfId="0" applyFont="1" applyFill="1" applyBorder="1" applyAlignment="1" applyProtection="1">
      <alignment horizontal="center" vertical="center"/>
      <protection locked="0"/>
    </xf>
    <xf numFmtId="191" fontId="11" fillId="41" borderId="50" xfId="10" applyNumberFormat="1" applyFont="1" applyFill="1" applyBorder="1" applyAlignment="1" applyProtection="1">
      <alignment horizontal="center" vertical="center"/>
      <protection locked="0"/>
    </xf>
    <xf numFmtId="191" fontId="11" fillId="41" borderId="29" xfId="10" applyNumberFormat="1" applyFont="1" applyFill="1" applyBorder="1" applyAlignment="1" applyProtection="1">
      <alignment horizontal="center" vertical="center"/>
      <protection locked="0"/>
    </xf>
    <xf numFmtId="191" fontId="11" fillId="41" borderId="30" xfId="10" applyNumberFormat="1" applyFont="1" applyFill="1" applyBorder="1" applyAlignment="1" applyProtection="1">
      <alignment horizontal="center" vertical="center"/>
      <protection locked="0"/>
    </xf>
    <xf numFmtId="191" fontId="11" fillId="41" borderId="66" xfId="10" applyNumberFormat="1" applyFont="1" applyFill="1" applyBorder="1" applyAlignment="1" applyProtection="1">
      <alignment horizontal="center" vertical="center"/>
      <protection locked="0"/>
    </xf>
    <xf numFmtId="0" fontId="11" fillId="41" borderId="50" xfId="0" applyFont="1" applyFill="1" applyBorder="1" applyAlignment="1" applyProtection="1">
      <alignment horizontal="center" vertical="center"/>
      <protection locked="0"/>
    </xf>
    <xf numFmtId="0" fontId="11" fillId="41" borderId="177" xfId="0" applyFont="1" applyFill="1" applyBorder="1" applyAlignment="1" applyProtection="1">
      <alignment horizontal="center" vertical="center"/>
      <protection locked="0"/>
    </xf>
    <xf numFmtId="0" fontId="0" fillId="28" borderId="51" xfId="0" applyFont="1" applyFill="1" applyBorder="1" applyAlignment="1" applyProtection="1">
      <alignment vertical="center" wrapText="1"/>
      <protection locked="0"/>
    </xf>
    <xf numFmtId="9" fontId="0" fillId="28" borderId="32" xfId="5" applyFont="1" applyFill="1" applyBorder="1" applyAlignment="1" applyProtection="1">
      <alignment vertical="center" wrapText="1"/>
      <protection locked="0"/>
    </xf>
    <xf numFmtId="0" fontId="0" fillId="28" borderId="32" xfId="0" applyFont="1" applyFill="1" applyBorder="1" applyAlignment="1" applyProtection="1">
      <alignment vertical="center" wrapText="1"/>
      <protection locked="0"/>
    </xf>
    <xf numFmtId="0" fontId="0" fillId="28" borderId="38" xfId="0" applyFont="1" applyFill="1" applyBorder="1" applyAlignment="1" applyProtection="1">
      <alignment vertical="center" wrapText="1"/>
      <protection locked="0"/>
    </xf>
    <xf numFmtId="191" fontId="0" fillId="28" borderId="99" xfId="10" applyNumberFormat="1" applyFont="1" applyFill="1" applyBorder="1" applyAlignment="1" applyProtection="1">
      <alignment vertical="center" wrapText="1"/>
      <protection locked="0"/>
    </xf>
    <xf numFmtId="191" fontId="0" fillId="28" borderId="51" xfId="10" applyNumberFormat="1" applyFont="1" applyFill="1" applyBorder="1" applyAlignment="1" applyProtection="1">
      <alignment vertical="center" wrapText="1"/>
      <protection locked="0"/>
    </xf>
    <xf numFmtId="191" fontId="0" fillId="28" borderId="32" xfId="10" applyNumberFormat="1" applyFont="1" applyFill="1" applyBorder="1" applyAlignment="1" applyProtection="1">
      <alignment vertical="center" wrapText="1"/>
      <protection locked="0"/>
    </xf>
    <xf numFmtId="191" fontId="0" fillId="28" borderId="38" xfId="10" applyNumberFormat="1" applyFont="1" applyFill="1" applyBorder="1" applyAlignment="1" applyProtection="1">
      <alignment vertical="center" wrapText="1"/>
      <protection locked="0"/>
    </xf>
    <xf numFmtId="0" fontId="0" fillId="28" borderId="99" xfId="0" applyFont="1" applyFill="1" applyBorder="1" applyAlignment="1" applyProtection="1">
      <alignment vertical="center" wrapText="1"/>
      <protection locked="0"/>
    </xf>
    <xf numFmtId="0" fontId="0" fillId="28" borderId="60" xfId="0" applyFont="1" applyFill="1" applyBorder="1" applyAlignment="1" applyProtection="1">
      <alignment vertical="center" wrapText="1"/>
      <protection locked="0"/>
    </xf>
    <xf numFmtId="0" fontId="10" fillId="17" borderId="9" xfId="0" applyFont="1" applyFill="1" applyBorder="1" applyAlignment="1" applyProtection="1">
      <alignment horizontal="justify" vertical="center" wrapText="1"/>
      <protection locked="0"/>
    </xf>
    <xf numFmtId="0" fontId="0" fillId="28" borderId="11" xfId="0" applyFont="1" applyFill="1" applyBorder="1" applyAlignment="1" applyProtection="1">
      <alignment vertical="center" wrapText="1"/>
      <protection locked="0"/>
    </xf>
    <xf numFmtId="0" fontId="0" fillId="28" borderId="184" xfId="0" applyFont="1" applyFill="1" applyBorder="1" applyAlignment="1" applyProtection="1">
      <alignment vertical="center" wrapText="1"/>
      <protection locked="0"/>
    </xf>
    <xf numFmtId="0" fontId="0" fillId="28" borderId="179" xfId="0" applyFont="1" applyFill="1" applyBorder="1" applyAlignment="1" applyProtection="1">
      <alignment vertical="center" wrapText="1"/>
      <protection locked="0"/>
    </xf>
    <xf numFmtId="191" fontId="0" fillId="28" borderId="48" xfId="10" applyNumberFormat="1" applyFont="1" applyFill="1" applyBorder="1" applyAlignment="1" applyProtection="1">
      <alignment vertical="center" wrapText="1"/>
      <protection locked="0"/>
    </xf>
    <xf numFmtId="191" fontId="0" fillId="28" borderId="11" xfId="10" applyNumberFormat="1" applyFont="1" applyFill="1" applyBorder="1" applyAlignment="1" applyProtection="1">
      <alignment vertical="center" wrapText="1"/>
      <protection locked="0"/>
    </xf>
    <xf numFmtId="191" fontId="0" fillId="28" borderId="184" xfId="10" applyNumberFormat="1" applyFont="1" applyFill="1" applyBorder="1" applyAlignment="1" applyProtection="1">
      <alignment vertical="center" wrapText="1"/>
      <protection locked="0"/>
    </xf>
    <xf numFmtId="191" fontId="0" fillId="28" borderId="179" xfId="10" applyNumberFormat="1" applyFont="1" applyFill="1" applyBorder="1" applyAlignment="1" applyProtection="1">
      <alignment vertical="center" wrapText="1"/>
      <protection locked="0"/>
    </xf>
    <xf numFmtId="0" fontId="0" fillId="28" borderId="48" xfId="0" applyFont="1" applyFill="1" applyBorder="1" applyAlignment="1" applyProtection="1">
      <alignment vertical="center" wrapText="1"/>
      <protection locked="0"/>
    </xf>
    <xf numFmtId="0" fontId="0" fillId="28" borderId="46" xfId="0" applyFont="1" applyFill="1" applyBorder="1" applyAlignment="1" applyProtection="1">
      <alignment vertical="center" wrapText="1"/>
      <protection locked="0"/>
    </xf>
    <xf numFmtId="0" fontId="10" fillId="17" borderId="94" xfId="0" applyFont="1" applyFill="1" applyBorder="1" applyAlignment="1" applyProtection="1">
      <alignment horizontal="justify" vertical="center" wrapText="1"/>
      <protection locked="0"/>
    </xf>
    <xf numFmtId="0" fontId="0" fillId="17" borderId="177" xfId="0" applyFont="1" applyFill="1" applyBorder="1" applyAlignment="1" applyProtection="1">
      <alignment horizontal="center" vertical="center"/>
      <protection locked="0"/>
    </xf>
    <xf numFmtId="0" fontId="0" fillId="17" borderId="161" xfId="0" applyFont="1" applyFill="1" applyBorder="1" applyAlignment="1" applyProtection="1">
      <alignment horizontal="center" vertical="center"/>
      <protection locked="0"/>
    </xf>
    <xf numFmtId="0" fontId="10" fillId="17" borderId="159" xfId="0" applyFont="1" applyFill="1" applyBorder="1" applyAlignment="1" applyProtection="1">
      <alignment horizontal="justify" vertical="center" wrapText="1"/>
      <protection locked="0"/>
    </xf>
    <xf numFmtId="0" fontId="10" fillId="38" borderId="45" xfId="0" applyFont="1" applyFill="1" applyBorder="1" applyAlignment="1" applyProtection="1">
      <alignment horizontal="center" vertical="center" wrapText="1"/>
      <protection locked="0"/>
    </xf>
    <xf numFmtId="0" fontId="10" fillId="38" borderId="15" xfId="0" applyFont="1" applyFill="1" applyBorder="1" applyAlignment="1" applyProtection="1">
      <alignment horizontal="center" vertical="center" wrapText="1"/>
      <protection locked="0"/>
    </xf>
    <xf numFmtId="0" fontId="10" fillId="38" borderId="9" xfId="0" applyFont="1" applyFill="1" applyBorder="1" applyAlignment="1" applyProtection="1">
      <alignment horizontal="justify" vertical="center" wrapText="1"/>
      <protection locked="0"/>
    </xf>
    <xf numFmtId="0" fontId="0" fillId="38" borderId="38" xfId="0" applyFont="1" applyFill="1" applyBorder="1" applyAlignment="1" applyProtection="1">
      <alignment horizontal="center" vertical="center" wrapText="1"/>
      <protection locked="0"/>
    </xf>
    <xf numFmtId="0" fontId="0" fillId="38" borderId="99" xfId="0" applyFont="1" applyFill="1" applyBorder="1" applyAlignment="1" applyProtection="1">
      <alignment horizontal="center" vertical="center" wrapText="1"/>
      <protection locked="0"/>
    </xf>
    <xf numFmtId="9" fontId="0" fillId="38" borderId="11" xfId="0" applyNumberFormat="1" applyFont="1" applyFill="1" applyBorder="1" applyAlignment="1" applyProtection="1">
      <alignment horizontal="center" vertical="center" wrapText="1"/>
      <protection locked="0"/>
    </xf>
    <xf numFmtId="0" fontId="10" fillId="38" borderId="94" xfId="0" applyFont="1" applyFill="1" applyBorder="1" applyAlignment="1" applyProtection="1">
      <alignment horizontal="justify" vertical="center" wrapText="1"/>
      <protection locked="0"/>
    </xf>
    <xf numFmtId="0" fontId="0" fillId="38" borderId="29" xfId="0" applyFont="1" applyFill="1" applyBorder="1" applyAlignment="1" applyProtection="1">
      <alignment vertical="center" wrapText="1"/>
      <protection locked="0"/>
    </xf>
    <xf numFmtId="9" fontId="0" fillId="38" borderId="30" xfId="5" applyFont="1" applyFill="1" applyBorder="1" applyAlignment="1" applyProtection="1">
      <alignment vertical="center" wrapText="1"/>
      <protection locked="0"/>
    </xf>
    <xf numFmtId="0" fontId="0" fillId="38" borderId="30" xfId="0" applyFont="1" applyFill="1" applyBorder="1" applyAlignment="1" applyProtection="1">
      <alignment vertical="center" wrapText="1"/>
      <protection locked="0"/>
    </xf>
    <xf numFmtId="0" fontId="0" fillId="38" borderId="66" xfId="0" applyFont="1" applyFill="1" applyBorder="1" applyAlignment="1" applyProtection="1">
      <alignment vertical="center" wrapText="1"/>
      <protection locked="0"/>
    </xf>
    <xf numFmtId="191" fontId="0" fillId="38" borderId="50" xfId="10" applyNumberFormat="1" applyFont="1" applyFill="1" applyBorder="1" applyAlignment="1" applyProtection="1">
      <alignment vertical="center" wrapText="1"/>
      <protection locked="0"/>
    </xf>
    <xf numFmtId="191" fontId="0" fillId="38" borderId="29" xfId="10" applyNumberFormat="1" applyFont="1" applyFill="1" applyBorder="1" applyAlignment="1" applyProtection="1">
      <alignment vertical="center" wrapText="1"/>
      <protection locked="0"/>
    </xf>
    <xf numFmtId="191" fontId="0" fillId="38" borderId="30" xfId="10" applyNumberFormat="1" applyFont="1" applyFill="1" applyBorder="1" applyAlignment="1" applyProtection="1">
      <alignment vertical="center" wrapText="1"/>
      <protection locked="0"/>
    </xf>
    <xf numFmtId="191" fontId="0" fillId="38" borderId="66" xfId="10" applyNumberFormat="1" applyFont="1" applyFill="1" applyBorder="1" applyAlignment="1" applyProtection="1">
      <alignment vertical="center" wrapText="1"/>
      <protection locked="0"/>
    </xf>
    <xf numFmtId="0" fontId="0" fillId="38" borderId="50" xfId="0" applyFont="1" applyFill="1" applyBorder="1" applyAlignment="1" applyProtection="1">
      <alignment vertical="center" wrapText="1"/>
      <protection locked="0"/>
    </xf>
    <xf numFmtId="0" fontId="0" fillId="38" borderId="177" xfId="0" applyFont="1" applyFill="1" applyBorder="1" applyAlignment="1" applyProtection="1">
      <alignment vertical="center" wrapText="1"/>
      <protection locked="0"/>
    </xf>
    <xf numFmtId="0" fontId="10" fillId="38" borderId="31" xfId="0" applyFont="1" applyFill="1" applyBorder="1" applyAlignment="1" applyProtection="1">
      <alignment horizontal="justify" vertical="center" wrapText="1"/>
      <protection locked="0"/>
    </xf>
    <xf numFmtId="0" fontId="0" fillId="29" borderId="51" xfId="0" applyFont="1" applyFill="1" applyBorder="1" applyAlignment="1" applyProtection="1">
      <alignment horizontal="center" vertical="center" wrapText="1"/>
      <protection locked="0"/>
    </xf>
    <xf numFmtId="9" fontId="0" fillId="29" borderId="32" xfId="5" applyFont="1" applyFill="1" applyBorder="1" applyAlignment="1" applyProtection="1">
      <alignment horizontal="center" vertical="center" wrapText="1"/>
      <protection locked="0"/>
    </xf>
    <xf numFmtId="0" fontId="0" fillId="29" borderId="32" xfId="0" applyFont="1" applyFill="1" applyBorder="1" applyAlignment="1" applyProtection="1">
      <alignment horizontal="center" vertical="center" wrapText="1"/>
      <protection locked="0"/>
    </xf>
    <xf numFmtId="0" fontId="0" fillId="29" borderId="38" xfId="0" applyFont="1" applyFill="1" applyBorder="1" applyAlignment="1" applyProtection="1">
      <alignment horizontal="center" vertical="center" wrapText="1"/>
      <protection locked="0"/>
    </xf>
    <xf numFmtId="191" fontId="0" fillId="29" borderId="99" xfId="10" applyNumberFormat="1" applyFont="1" applyFill="1" applyBorder="1" applyAlignment="1" applyProtection="1">
      <alignment horizontal="center" vertical="center" wrapText="1"/>
      <protection locked="0"/>
    </xf>
    <xf numFmtId="191" fontId="0" fillId="29" borderId="51" xfId="10" applyNumberFormat="1" applyFont="1" applyFill="1" applyBorder="1" applyAlignment="1" applyProtection="1">
      <alignment horizontal="center" vertical="center" wrapText="1"/>
      <protection locked="0"/>
    </xf>
    <xf numFmtId="191" fontId="0" fillId="29" borderId="32" xfId="10" applyNumberFormat="1" applyFont="1" applyFill="1" applyBorder="1" applyAlignment="1" applyProtection="1">
      <alignment horizontal="center" vertical="center" wrapText="1"/>
      <protection locked="0"/>
    </xf>
    <xf numFmtId="191" fontId="0" fillId="29" borderId="38" xfId="10" applyNumberFormat="1" applyFont="1" applyFill="1" applyBorder="1" applyAlignment="1" applyProtection="1">
      <alignment horizontal="center" vertical="center" wrapText="1"/>
      <protection locked="0"/>
    </xf>
    <xf numFmtId="0" fontId="0" fillId="29" borderId="99" xfId="0" applyFont="1" applyFill="1" applyBorder="1" applyAlignment="1" applyProtection="1">
      <alignment horizontal="center" vertical="center" wrapText="1"/>
      <protection locked="0"/>
    </xf>
    <xf numFmtId="0" fontId="10" fillId="29" borderId="27" xfId="0" applyFont="1" applyFill="1" applyBorder="1" applyAlignment="1" applyProtection="1">
      <alignment horizontal="justify" vertical="center" wrapText="1"/>
      <protection locked="0"/>
    </xf>
    <xf numFmtId="9" fontId="0" fillId="29" borderId="11" xfId="0" applyNumberFormat="1" applyFont="1" applyFill="1" applyBorder="1" applyAlignment="1" applyProtection="1">
      <alignment horizontal="center" vertical="center" wrapText="1"/>
      <protection locked="0"/>
    </xf>
    <xf numFmtId="9" fontId="0" fillId="29" borderId="184" xfId="5" applyFont="1" applyFill="1" applyBorder="1" applyAlignment="1" applyProtection="1">
      <alignment horizontal="center" vertical="center" wrapText="1"/>
      <protection locked="0"/>
    </xf>
    <xf numFmtId="9" fontId="0" fillId="29" borderId="184" xfId="0" applyNumberFormat="1" applyFont="1" applyFill="1" applyBorder="1" applyAlignment="1" applyProtection="1">
      <alignment horizontal="center" vertical="center" wrapText="1"/>
      <protection locked="0"/>
    </xf>
    <xf numFmtId="9" fontId="0" fillId="29" borderId="179" xfId="0" applyNumberFormat="1" applyFont="1" applyFill="1" applyBorder="1" applyAlignment="1" applyProtection="1">
      <alignment horizontal="center" vertical="center" wrapText="1"/>
      <protection locked="0"/>
    </xf>
    <xf numFmtId="191" fontId="0" fillId="29" borderId="48" xfId="10" applyNumberFormat="1" applyFont="1" applyFill="1" applyBorder="1" applyAlignment="1" applyProtection="1">
      <alignment horizontal="center" vertical="center" wrapText="1"/>
      <protection locked="0"/>
    </xf>
    <xf numFmtId="191" fontId="0" fillId="29" borderId="11" xfId="10" applyNumberFormat="1" applyFont="1" applyFill="1" applyBorder="1" applyAlignment="1" applyProtection="1">
      <alignment horizontal="center" vertical="center" wrapText="1"/>
      <protection locked="0"/>
    </xf>
    <xf numFmtId="191" fontId="0" fillId="29" borderId="184" xfId="10" applyNumberFormat="1" applyFont="1" applyFill="1" applyBorder="1" applyAlignment="1" applyProtection="1">
      <alignment horizontal="center" vertical="center" wrapText="1"/>
      <protection locked="0"/>
    </xf>
    <xf numFmtId="191" fontId="0" fillId="29" borderId="179" xfId="10" applyNumberFormat="1" applyFont="1" applyFill="1" applyBorder="1" applyAlignment="1" applyProtection="1">
      <alignment horizontal="center" vertical="center" wrapText="1"/>
      <protection locked="0"/>
    </xf>
    <xf numFmtId="9" fontId="0" fillId="29" borderId="48" xfId="0" applyNumberFormat="1" applyFont="1" applyFill="1" applyBorder="1" applyAlignment="1" applyProtection="1">
      <alignment horizontal="center" vertical="center" wrapText="1"/>
      <protection locked="0"/>
    </xf>
    <xf numFmtId="9" fontId="0" fillId="29" borderId="46" xfId="0" applyNumberFormat="1" applyFont="1" applyFill="1" applyBorder="1" applyAlignment="1" applyProtection="1">
      <alignment horizontal="center" vertical="center" wrapText="1"/>
      <protection locked="0"/>
    </xf>
    <xf numFmtId="0" fontId="10" fillId="29" borderId="52" xfId="0" applyFont="1" applyFill="1" applyBorder="1" applyAlignment="1" applyProtection="1">
      <alignment horizontal="justify" vertical="center" wrapText="1"/>
      <protection locked="0"/>
    </xf>
    <xf numFmtId="0" fontId="10" fillId="29" borderId="46" xfId="0" applyFont="1" applyFill="1" applyBorder="1" applyAlignment="1" applyProtection="1">
      <alignment horizontal="center" vertical="center" wrapText="1"/>
      <protection locked="0"/>
    </xf>
    <xf numFmtId="0" fontId="10" fillId="29" borderId="155" xfId="0" applyFont="1" applyFill="1" applyBorder="1" applyAlignment="1" applyProtection="1">
      <alignment horizontal="center" vertical="center" wrapText="1"/>
      <protection locked="0"/>
    </xf>
    <xf numFmtId="0" fontId="0" fillId="29" borderId="11" xfId="0" applyFont="1" applyFill="1" applyBorder="1" applyAlignment="1" applyProtection="1">
      <alignment horizontal="center" vertical="center" wrapText="1"/>
      <protection locked="0"/>
    </xf>
    <xf numFmtId="0" fontId="10" fillId="29" borderId="94" xfId="0" applyFont="1" applyFill="1" applyBorder="1" applyAlignment="1" applyProtection="1">
      <alignment horizontal="justify" vertical="center" wrapText="1"/>
      <protection locked="0"/>
    </xf>
    <xf numFmtId="0" fontId="0" fillId="29" borderId="184" xfId="0" applyFont="1" applyFill="1" applyBorder="1" applyAlignment="1" applyProtection="1">
      <alignment horizontal="center" vertical="center" wrapText="1"/>
      <protection locked="0"/>
    </xf>
    <xf numFmtId="0" fontId="0" fillId="29" borderId="179" xfId="0" applyFont="1" applyFill="1" applyBorder="1" applyAlignment="1" applyProtection="1">
      <alignment horizontal="center" vertical="center" wrapText="1"/>
      <protection locked="0"/>
    </xf>
    <xf numFmtId="0" fontId="0" fillId="29" borderId="48" xfId="0" applyFont="1" applyFill="1" applyBorder="1" applyAlignment="1" applyProtection="1">
      <alignment horizontal="center" vertical="center" wrapText="1"/>
      <protection locked="0"/>
    </xf>
    <xf numFmtId="0" fontId="10" fillId="29" borderId="177" xfId="0" applyFont="1" applyFill="1" applyBorder="1" applyAlignment="1" applyProtection="1">
      <alignment horizontal="center" vertical="center" wrapText="1"/>
      <protection locked="0"/>
    </xf>
    <xf numFmtId="0" fontId="10" fillId="29" borderId="161" xfId="0" applyFont="1" applyFill="1" applyBorder="1" applyAlignment="1" applyProtection="1">
      <alignment horizontal="center" vertical="center" wrapText="1"/>
      <protection locked="0"/>
    </xf>
    <xf numFmtId="0" fontId="0" fillId="29" borderId="29" xfId="0" applyFont="1" applyFill="1" applyBorder="1" applyAlignment="1" applyProtection="1">
      <alignment horizontal="center" vertical="center" wrapText="1"/>
      <protection locked="0"/>
    </xf>
    <xf numFmtId="0" fontId="10" fillId="29" borderId="31" xfId="0" applyFont="1" applyFill="1" applyBorder="1" applyAlignment="1" applyProtection="1">
      <alignment horizontal="justify" vertical="center" wrapText="1"/>
      <protection locked="0"/>
    </xf>
    <xf numFmtId="9" fontId="0" fillId="29" borderId="30" xfId="5" applyFont="1" applyFill="1" applyBorder="1" applyAlignment="1" applyProtection="1">
      <alignment horizontal="center" vertical="center" wrapText="1"/>
      <protection locked="0"/>
    </xf>
    <xf numFmtId="0" fontId="0" fillId="29" borderId="30" xfId="0" applyFont="1" applyFill="1" applyBorder="1" applyAlignment="1" applyProtection="1">
      <alignment horizontal="center" vertical="center" wrapText="1"/>
      <protection locked="0"/>
    </xf>
    <xf numFmtId="0" fontId="0" fillId="29" borderId="66" xfId="0" applyFont="1" applyFill="1" applyBorder="1" applyAlignment="1" applyProtection="1">
      <alignment horizontal="center" vertical="center" wrapText="1"/>
      <protection locked="0"/>
    </xf>
    <xf numFmtId="191" fontId="0" fillId="29" borderId="50" xfId="10" applyNumberFormat="1" applyFont="1" applyFill="1" applyBorder="1" applyAlignment="1" applyProtection="1">
      <alignment horizontal="center" vertical="center" wrapText="1"/>
      <protection locked="0"/>
    </xf>
    <xf numFmtId="191" fontId="0" fillId="29" borderId="29" xfId="10" applyNumberFormat="1" applyFont="1" applyFill="1" applyBorder="1" applyAlignment="1" applyProtection="1">
      <alignment horizontal="center" vertical="center" wrapText="1"/>
      <protection locked="0"/>
    </xf>
    <xf numFmtId="191" fontId="0" fillId="29" borderId="30" xfId="10" applyNumberFormat="1" applyFont="1" applyFill="1" applyBorder="1" applyAlignment="1" applyProtection="1">
      <alignment horizontal="center" vertical="center" wrapText="1"/>
      <protection locked="0"/>
    </xf>
    <xf numFmtId="191" fontId="0" fillId="29" borderId="66" xfId="10" applyNumberFormat="1" applyFont="1" applyFill="1" applyBorder="1" applyAlignment="1" applyProtection="1">
      <alignment horizontal="center" vertical="center" wrapText="1"/>
      <protection locked="0"/>
    </xf>
    <xf numFmtId="0" fontId="0" fillId="29" borderId="50" xfId="0" applyFont="1" applyFill="1" applyBorder="1" applyAlignment="1" applyProtection="1">
      <alignment horizontal="center" vertical="center" wrapText="1"/>
      <protection locked="0"/>
    </xf>
    <xf numFmtId="0" fontId="0" fillId="7" borderId="51" xfId="0" applyFont="1" applyFill="1" applyBorder="1" applyAlignment="1" applyProtection="1">
      <alignment vertical="center" wrapText="1"/>
      <protection locked="0"/>
    </xf>
    <xf numFmtId="9" fontId="0" fillId="7" borderId="32" xfId="5" applyFont="1" applyFill="1" applyBorder="1" applyAlignment="1" applyProtection="1">
      <alignment vertical="center" wrapText="1"/>
      <protection locked="0"/>
    </xf>
    <xf numFmtId="0" fontId="0" fillId="7" borderId="38" xfId="0" applyFont="1" applyFill="1" applyBorder="1" applyAlignment="1" applyProtection="1">
      <alignment vertical="center" wrapText="1"/>
      <protection locked="0"/>
    </xf>
    <xf numFmtId="191" fontId="0" fillId="7" borderId="99" xfId="10" applyNumberFormat="1" applyFont="1" applyFill="1" applyBorder="1" applyAlignment="1" applyProtection="1">
      <alignment vertical="center" wrapText="1"/>
      <protection locked="0"/>
    </xf>
    <xf numFmtId="191" fontId="0" fillId="7" borderId="51" xfId="10" applyNumberFormat="1" applyFont="1" applyFill="1" applyBorder="1" applyAlignment="1" applyProtection="1">
      <alignment vertical="center" wrapText="1"/>
      <protection locked="0"/>
    </xf>
    <xf numFmtId="191" fontId="0" fillId="7" borderId="32" xfId="10" applyNumberFormat="1" applyFont="1" applyFill="1" applyBorder="1" applyAlignment="1" applyProtection="1">
      <alignment vertical="center" wrapText="1"/>
      <protection locked="0"/>
    </xf>
    <xf numFmtId="191" fontId="0" fillId="7" borderId="38" xfId="10" applyNumberFormat="1" applyFont="1" applyFill="1" applyBorder="1" applyAlignment="1" applyProtection="1">
      <alignment vertical="center" wrapText="1"/>
      <protection locked="0"/>
    </xf>
    <xf numFmtId="0" fontId="0" fillId="7" borderId="99" xfId="0" applyFont="1" applyFill="1" applyBorder="1" applyAlignment="1" applyProtection="1">
      <alignment vertical="center" wrapText="1"/>
      <protection locked="0"/>
    </xf>
    <xf numFmtId="0" fontId="0" fillId="7" borderId="60" xfId="0" applyFont="1" applyFill="1" applyBorder="1" applyAlignment="1" applyProtection="1">
      <alignment vertical="center" wrapText="1"/>
      <protection locked="0"/>
    </xf>
    <xf numFmtId="0" fontId="10" fillId="7" borderId="52" xfId="0" applyFont="1" applyFill="1" applyBorder="1" applyAlignment="1" applyProtection="1">
      <alignment horizontal="justify" vertical="center" wrapText="1"/>
      <protection locked="0"/>
    </xf>
    <xf numFmtId="0" fontId="0" fillId="7" borderId="11" xfId="0" applyFont="1" applyFill="1" applyBorder="1" applyAlignment="1" applyProtection="1">
      <alignment horizontal="center" vertical="center" wrapText="1"/>
      <protection locked="0"/>
    </xf>
    <xf numFmtId="0" fontId="0" fillId="7" borderId="11" xfId="0" applyFont="1" applyFill="1" applyBorder="1" applyAlignment="1" applyProtection="1">
      <alignment vertical="center" wrapText="1"/>
      <protection locked="0"/>
    </xf>
    <xf numFmtId="0" fontId="0" fillId="7" borderId="184" xfId="0" applyFont="1" applyFill="1" applyBorder="1" applyAlignment="1" applyProtection="1">
      <alignment vertical="center" wrapText="1"/>
      <protection locked="0"/>
    </xf>
    <xf numFmtId="0" fontId="0" fillId="7" borderId="179" xfId="0" applyFont="1" applyFill="1" applyBorder="1" applyAlignment="1" applyProtection="1">
      <alignment vertical="center" wrapText="1"/>
      <protection locked="0"/>
    </xf>
    <xf numFmtId="0" fontId="0" fillId="7" borderId="48" xfId="0" applyFont="1" applyFill="1" applyBorder="1" applyAlignment="1" applyProtection="1">
      <alignment vertical="center" wrapText="1"/>
      <protection locked="0"/>
    </xf>
    <xf numFmtId="0" fontId="0" fillId="7" borderId="46" xfId="0" applyFont="1" applyFill="1" applyBorder="1" applyAlignment="1" applyProtection="1">
      <alignment vertical="center" wrapText="1"/>
      <protection locked="0"/>
    </xf>
    <xf numFmtId="0" fontId="10" fillId="7" borderId="94" xfId="0" applyFont="1" applyFill="1" applyBorder="1" applyAlignment="1" applyProtection="1">
      <alignment horizontal="justify" vertical="center" wrapText="1"/>
      <protection locked="0"/>
    </xf>
    <xf numFmtId="0" fontId="10" fillId="7" borderId="46" xfId="0" applyFont="1" applyFill="1" applyBorder="1" applyAlignment="1" applyProtection="1">
      <alignment horizontal="center" vertical="center" wrapText="1"/>
      <protection locked="0"/>
    </xf>
    <xf numFmtId="0" fontId="10" fillId="7" borderId="155" xfId="0" applyFont="1" applyFill="1" applyBorder="1" applyAlignment="1" applyProtection="1">
      <alignment horizontal="center" vertical="center" wrapText="1"/>
      <protection locked="0"/>
    </xf>
    <xf numFmtId="0" fontId="0" fillId="7" borderId="184" xfId="0" applyFont="1" applyFill="1" applyBorder="1" applyAlignment="1" applyProtection="1">
      <alignment horizontal="center" vertical="center" wrapText="1"/>
      <protection locked="0"/>
    </xf>
    <xf numFmtId="0" fontId="0" fillId="7" borderId="179" xfId="0" applyFont="1" applyFill="1" applyBorder="1" applyAlignment="1" applyProtection="1">
      <alignment horizontal="center" vertical="center" wrapText="1"/>
      <protection locked="0"/>
    </xf>
    <xf numFmtId="0" fontId="0" fillId="7" borderId="48" xfId="0" applyFont="1" applyFill="1" applyBorder="1" applyAlignment="1" applyProtection="1">
      <alignment horizontal="center" vertical="center" wrapText="1"/>
      <protection locked="0"/>
    </xf>
    <xf numFmtId="0" fontId="10" fillId="7" borderId="177" xfId="0" applyFont="1" applyFill="1" applyBorder="1" applyAlignment="1" applyProtection="1">
      <alignment horizontal="center" vertical="center" wrapText="1"/>
      <protection locked="0"/>
    </xf>
    <xf numFmtId="0" fontId="10" fillId="7" borderId="161" xfId="0" applyFont="1" applyFill="1" applyBorder="1" applyAlignment="1" applyProtection="1">
      <alignment horizontal="center" vertical="center" wrapText="1"/>
      <protection locked="0"/>
    </xf>
    <xf numFmtId="0" fontId="10" fillId="7" borderId="31" xfId="0" applyFont="1" applyFill="1" applyBorder="1" applyAlignment="1" applyProtection="1">
      <alignment horizontal="justify" vertical="center" wrapText="1"/>
      <protection locked="0"/>
    </xf>
    <xf numFmtId="0" fontId="0" fillId="7" borderId="30" xfId="0" applyFont="1" applyFill="1" applyBorder="1" applyAlignment="1" applyProtection="1">
      <alignment horizontal="center" vertical="center" wrapText="1"/>
      <protection locked="0"/>
    </xf>
    <xf numFmtId="0" fontId="0" fillId="7" borderId="66" xfId="0" applyFont="1" applyFill="1" applyBorder="1" applyAlignment="1" applyProtection="1">
      <alignment horizontal="center" vertical="center" wrapText="1"/>
      <protection locked="0"/>
    </xf>
    <xf numFmtId="0" fontId="0" fillId="7" borderId="50" xfId="0" applyFont="1" applyFill="1" applyBorder="1" applyAlignment="1" applyProtection="1">
      <alignment horizontal="center" vertical="center" wrapText="1"/>
      <protection locked="0"/>
    </xf>
    <xf numFmtId="0" fontId="0" fillId="7" borderId="177" xfId="0" applyFont="1" applyFill="1" applyBorder="1" applyAlignment="1" applyProtection="1">
      <alignment horizontal="center" vertical="center" wrapText="1"/>
      <protection locked="0"/>
    </xf>
    <xf numFmtId="0" fontId="10" fillId="51" borderId="60" xfId="0" applyFont="1" applyFill="1" applyBorder="1" applyAlignment="1" applyProtection="1">
      <alignment horizontal="center" vertical="center" wrapText="1"/>
      <protection locked="0"/>
    </xf>
    <xf numFmtId="0" fontId="10" fillId="51" borderId="100" xfId="0" applyFont="1" applyFill="1" applyBorder="1" applyAlignment="1" applyProtection="1">
      <alignment horizontal="center" vertical="center" wrapText="1"/>
      <protection locked="0"/>
    </xf>
    <xf numFmtId="0" fontId="10" fillId="51" borderId="52" xfId="0" applyFont="1" applyFill="1" applyBorder="1" applyAlignment="1" applyProtection="1">
      <alignment horizontal="justify" vertical="center" wrapText="1"/>
      <protection locked="0"/>
    </xf>
    <xf numFmtId="0" fontId="10" fillId="51" borderId="177" xfId="0" applyFont="1" applyFill="1" applyBorder="1" applyAlignment="1" applyProtection="1">
      <alignment horizontal="center" vertical="center" wrapText="1"/>
      <protection locked="0"/>
    </xf>
    <xf numFmtId="0" fontId="10" fillId="51" borderId="161" xfId="0" applyFont="1" applyFill="1" applyBorder="1" applyAlignment="1" applyProtection="1">
      <alignment horizontal="center" vertical="center" wrapText="1"/>
      <protection locked="0"/>
    </xf>
    <xf numFmtId="0" fontId="10" fillId="51" borderId="31" xfId="0" applyFont="1" applyFill="1" applyBorder="1" applyAlignment="1" applyProtection="1">
      <alignment horizontal="justify" vertical="center" wrapText="1"/>
      <protection locked="0"/>
    </xf>
    <xf numFmtId="0" fontId="0" fillId="51" borderId="30" xfId="0" applyFont="1" applyFill="1" applyBorder="1" applyAlignment="1" applyProtection="1">
      <alignment horizontal="center" vertical="center" wrapText="1"/>
      <protection locked="0"/>
    </xf>
    <xf numFmtId="0" fontId="0" fillId="51" borderId="66" xfId="0" applyFont="1" applyFill="1" applyBorder="1" applyAlignment="1" applyProtection="1">
      <alignment horizontal="center" vertical="center" wrapText="1"/>
      <protection locked="0"/>
    </xf>
    <xf numFmtId="0" fontId="0" fillId="51" borderId="50" xfId="0" applyFont="1" applyFill="1" applyBorder="1" applyAlignment="1" applyProtection="1">
      <alignment horizontal="center" vertical="center" wrapText="1"/>
      <protection locked="0"/>
    </xf>
    <xf numFmtId="0" fontId="10" fillId="38" borderId="46" xfId="0" applyFont="1" applyFill="1" applyBorder="1" applyAlignment="1" applyProtection="1">
      <alignment horizontal="center" vertical="center" wrapText="1"/>
      <protection locked="0"/>
    </xf>
    <xf numFmtId="0" fontId="10" fillId="38" borderId="155" xfId="0" applyFont="1" applyFill="1" applyBorder="1" applyAlignment="1" applyProtection="1">
      <alignment horizontal="center" vertical="center" wrapText="1"/>
      <protection locked="0"/>
    </xf>
    <xf numFmtId="0" fontId="10" fillId="17" borderId="45" xfId="0" applyFont="1" applyFill="1" applyBorder="1" applyAlignment="1" applyProtection="1">
      <alignment horizontal="center" vertical="center" wrapText="1"/>
      <protection locked="0"/>
    </xf>
    <xf numFmtId="0" fontId="10" fillId="17" borderId="15" xfId="0" applyFont="1" applyFill="1" applyBorder="1" applyAlignment="1" applyProtection="1">
      <alignment horizontal="center" vertical="center" wrapText="1"/>
      <protection locked="0"/>
    </xf>
    <xf numFmtId="0" fontId="0" fillId="17" borderId="51" xfId="0" applyFont="1" applyFill="1" applyBorder="1" applyAlignment="1" applyProtection="1">
      <alignment horizontal="center" vertical="center" wrapText="1"/>
      <protection locked="0"/>
    </xf>
    <xf numFmtId="0" fontId="10" fillId="17" borderId="52" xfId="0" applyFont="1" applyFill="1" applyBorder="1" applyAlignment="1" applyProtection="1">
      <alignment horizontal="justify" vertical="center" wrapText="1"/>
      <protection locked="0"/>
    </xf>
    <xf numFmtId="9" fontId="0" fillId="17" borderId="32" xfId="5" applyFont="1" applyFill="1" applyBorder="1" applyAlignment="1" applyProtection="1">
      <alignment horizontal="center" vertical="center" wrapText="1"/>
      <protection locked="0"/>
    </xf>
    <xf numFmtId="0" fontId="0" fillId="17" borderId="32" xfId="0" applyFont="1" applyFill="1" applyBorder="1" applyAlignment="1" applyProtection="1">
      <alignment horizontal="center" vertical="center" wrapText="1"/>
      <protection locked="0"/>
    </xf>
    <xf numFmtId="0" fontId="0" fillId="17" borderId="38" xfId="0" applyFont="1" applyFill="1" applyBorder="1" applyAlignment="1" applyProtection="1">
      <alignment horizontal="center" vertical="center" wrapText="1"/>
      <protection locked="0"/>
    </xf>
    <xf numFmtId="191" fontId="0" fillId="17" borderId="99" xfId="10" applyNumberFormat="1" applyFont="1" applyFill="1" applyBorder="1" applyAlignment="1" applyProtection="1">
      <alignment horizontal="center" vertical="center" wrapText="1"/>
      <protection locked="0"/>
    </xf>
    <xf numFmtId="191" fontId="0" fillId="17" borderId="51" xfId="10" applyNumberFormat="1" applyFont="1" applyFill="1" applyBorder="1" applyAlignment="1" applyProtection="1">
      <alignment horizontal="center" vertical="center" wrapText="1"/>
      <protection locked="0"/>
    </xf>
    <xf numFmtId="191" fontId="0" fillId="17" borderId="32" xfId="10" applyNumberFormat="1" applyFont="1" applyFill="1" applyBorder="1" applyAlignment="1" applyProtection="1">
      <alignment horizontal="center" vertical="center" wrapText="1"/>
      <protection locked="0"/>
    </xf>
    <xf numFmtId="191" fontId="0" fillId="17" borderId="38" xfId="10" applyNumberFormat="1" applyFont="1" applyFill="1" applyBorder="1" applyAlignment="1" applyProtection="1">
      <alignment horizontal="center" vertical="center" wrapText="1"/>
      <protection locked="0"/>
    </xf>
    <xf numFmtId="0" fontId="0" fillId="17" borderId="99" xfId="0" applyFont="1" applyFill="1" applyBorder="1" applyAlignment="1" applyProtection="1">
      <alignment horizontal="center" vertical="center" wrapText="1"/>
      <protection locked="0"/>
    </xf>
    <xf numFmtId="0" fontId="0" fillId="17" borderId="60" xfId="0" applyFont="1" applyFill="1" applyBorder="1" applyAlignment="1" applyProtection="1">
      <alignment horizontal="center" vertical="center" wrapText="1"/>
      <protection locked="0"/>
    </xf>
    <xf numFmtId="0" fontId="0" fillId="17" borderId="11" xfId="0" applyFont="1" applyFill="1" applyBorder="1" applyAlignment="1" applyProtection="1">
      <alignment vertical="center" wrapText="1"/>
      <protection locked="0"/>
    </xf>
    <xf numFmtId="9" fontId="0" fillId="17" borderId="184" xfId="5" applyFont="1" applyFill="1" applyBorder="1" applyAlignment="1" applyProtection="1">
      <alignment vertical="center" wrapText="1"/>
      <protection locked="0"/>
    </xf>
    <xf numFmtId="0" fontId="0" fillId="17" borderId="184" xfId="0" applyFont="1" applyFill="1" applyBorder="1" applyAlignment="1" applyProtection="1">
      <alignment vertical="center" wrapText="1"/>
      <protection locked="0"/>
    </xf>
    <xf numFmtId="0" fontId="0" fillId="17" borderId="179" xfId="0" applyFont="1" applyFill="1" applyBorder="1" applyAlignment="1" applyProtection="1">
      <alignment vertical="center" wrapText="1"/>
      <protection locked="0"/>
    </xf>
    <xf numFmtId="191" fontId="0" fillId="17" borderId="48" xfId="10" applyNumberFormat="1" applyFont="1" applyFill="1" applyBorder="1" applyAlignment="1" applyProtection="1">
      <alignment vertical="center" wrapText="1"/>
      <protection locked="0"/>
    </xf>
    <xf numFmtId="191" fontId="0" fillId="17" borderId="11" xfId="10" applyNumberFormat="1" applyFont="1" applyFill="1" applyBorder="1" applyAlignment="1" applyProtection="1">
      <alignment vertical="center" wrapText="1"/>
      <protection locked="0"/>
    </xf>
    <xf numFmtId="191" fontId="0" fillId="17" borderId="184" xfId="10" applyNumberFormat="1" applyFont="1" applyFill="1" applyBorder="1" applyAlignment="1" applyProtection="1">
      <alignment vertical="center" wrapText="1"/>
      <protection locked="0"/>
    </xf>
    <xf numFmtId="191" fontId="0" fillId="17" borderId="179" xfId="10" applyNumberFormat="1" applyFont="1" applyFill="1" applyBorder="1" applyAlignment="1" applyProtection="1">
      <alignment vertical="center" wrapText="1"/>
      <protection locked="0"/>
    </xf>
    <xf numFmtId="0" fontId="0" fillId="17" borderId="48" xfId="0" applyFont="1" applyFill="1" applyBorder="1" applyAlignment="1" applyProtection="1">
      <alignment vertical="center" wrapText="1"/>
      <protection locked="0"/>
    </xf>
    <xf numFmtId="0" fontId="0" fillId="17" borderId="46" xfId="0" applyFont="1" applyFill="1" applyBorder="1" applyAlignment="1" applyProtection="1">
      <alignment vertical="center" wrapText="1"/>
      <protection locked="0"/>
    </xf>
    <xf numFmtId="0" fontId="0" fillId="17" borderId="29" xfId="0" applyFont="1" applyFill="1" applyBorder="1" applyAlignment="1" applyProtection="1">
      <alignment vertical="center" wrapText="1"/>
      <protection locked="0"/>
    </xf>
    <xf numFmtId="9" fontId="0" fillId="17" borderId="30" xfId="5" applyFont="1" applyFill="1" applyBorder="1" applyAlignment="1" applyProtection="1">
      <alignment vertical="center" wrapText="1"/>
      <protection locked="0"/>
    </xf>
    <xf numFmtId="0" fontId="0" fillId="17" borderId="30" xfId="0" applyFont="1" applyFill="1" applyBorder="1" applyAlignment="1" applyProtection="1">
      <alignment vertical="center" wrapText="1"/>
      <protection locked="0"/>
    </xf>
    <xf numFmtId="0" fontId="0" fillId="17" borderId="66" xfId="0" applyFont="1" applyFill="1" applyBorder="1" applyAlignment="1" applyProtection="1">
      <alignment vertical="center" wrapText="1"/>
      <protection locked="0"/>
    </xf>
    <xf numFmtId="191" fontId="0" fillId="17" borderId="50" xfId="10" applyNumberFormat="1" applyFont="1" applyFill="1" applyBorder="1" applyAlignment="1" applyProtection="1">
      <alignment vertical="center" wrapText="1"/>
      <protection locked="0"/>
    </xf>
    <xf numFmtId="191" fontId="0" fillId="17" borderId="29" xfId="10" applyNumberFormat="1" applyFont="1" applyFill="1" applyBorder="1" applyAlignment="1" applyProtection="1">
      <alignment vertical="center" wrapText="1"/>
      <protection locked="0"/>
    </xf>
    <xf numFmtId="191" fontId="0" fillId="17" borderId="30" xfId="10" applyNumberFormat="1" applyFont="1" applyFill="1" applyBorder="1" applyAlignment="1" applyProtection="1">
      <alignment vertical="center" wrapText="1"/>
      <protection locked="0"/>
    </xf>
    <xf numFmtId="191" fontId="0" fillId="17" borderId="66" xfId="10" applyNumberFormat="1" applyFont="1" applyFill="1" applyBorder="1" applyAlignment="1" applyProtection="1">
      <alignment vertical="center" wrapText="1"/>
      <protection locked="0"/>
    </xf>
    <xf numFmtId="0" fontId="0" fillId="17" borderId="50" xfId="0" applyFont="1" applyFill="1" applyBorder="1" applyAlignment="1" applyProtection="1">
      <alignment vertical="center" wrapText="1"/>
      <protection locked="0"/>
    </xf>
    <xf numFmtId="0" fontId="0" fillId="17" borderId="177" xfId="0" applyFont="1" applyFill="1" applyBorder="1" applyAlignment="1" applyProtection="1">
      <alignment vertical="center" wrapText="1"/>
      <protection locked="0"/>
    </xf>
    <xf numFmtId="0" fontId="10" fillId="17" borderId="31" xfId="0" applyFont="1" applyFill="1" applyBorder="1" applyAlignment="1" applyProtection="1">
      <alignment horizontal="justify" vertical="center" wrapText="1"/>
      <protection locked="0"/>
    </xf>
    <xf numFmtId="0" fontId="10" fillId="94" borderId="46" xfId="0" applyFont="1" applyFill="1" applyBorder="1" applyAlignment="1" applyProtection="1">
      <alignment horizontal="center" vertical="center" wrapText="1"/>
      <protection locked="0"/>
    </xf>
    <xf numFmtId="0" fontId="10" fillId="94" borderId="155" xfId="0" applyFont="1" applyFill="1" applyBorder="1" applyAlignment="1" applyProtection="1">
      <alignment horizontal="center" vertical="center" wrapText="1"/>
      <protection locked="0"/>
    </xf>
    <xf numFmtId="0" fontId="10" fillId="94" borderId="94" xfId="0" applyFont="1" applyFill="1" applyBorder="1" applyAlignment="1" applyProtection="1">
      <alignment horizontal="justify" vertical="center" wrapText="1"/>
      <protection locked="0"/>
    </xf>
    <xf numFmtId="0" fontId="0" fillId="7" borderId="29" xfId="0" applyFont="1" applyFill="1" applyBorder="1" applyAlignment="1" applyProtection="1">
      <alignment vertical="center" wrapText="1"/>
      <protection locked="0"/>
    </xf>
    <xf numFmtId="9" fontId="0" fillId="7" borderId="30" xfId="5" applyFont="1" applyFill="1" applyBorder="1" applyAlignment="1" applyProtection="1">
      <alignment vertical="center" wrapText="1"/>
      <protection locked="0"/>
    </xf>
    <xf numFmtId="0" fontId="0" fillId="7" borderId="66" xfId="0" applyFont="1" applyFill="1" applyBorder="1" applyAlignment="1" applyProtection="1">
      <alignment vertical="center" wrapText="1"/>
      <protection locked="0"/>
    </xf>
    <xf numFmtId="191" fontId="0" fillId="7" borderId="50" xfId="10" applyNumberFormat="1" applyFont="1" applyFill="1" applyBorder="1" applyAlignment="1" applyProtection="1">
      <alignment vertical="center" wrapText="1"/>
      <protection locked="0"/>
    </xf>
    <xf numFmtId="191" fontId="0" fillId="7" borderId="29" xfId="10" applyNumberFormat="1" applyFont="1" applyFill="1" applyBorder="1" applyAlignment="1" applyProtection="1">
      <alignment vertical="center" wrapText="1"/>
      <protection locked="0"/>
    </xf>
    <xf numFmtId="191" fontId="0" fillId="7" borderId="30" xfId="10" applyNumberFormat="1" applyFont="1" applyFill="1" applyBorder="1" applyAlignment="1" applyProtection="1">
      <alignment vertical="center" wrapText="1"/>
      <protection locked="0"/>
    </xf>
    <xf numFmtId="191" fontId="0" fillId="7" borderId="66" xfId="10" applyNumberFormat="1" applyFont="1" applyFill="1" applyBorder="1" applyAlignment="1" applyProtection="1">
      <alignment vertical="center" wrapText="1"/>
      <protection locked="0"/>
    </xf>
    <xf numFmtId="0" fontId="0" fillId="7" borderId="50" xfId="0" applyFont="1" applyFill="1" applyBorder="1" applyAlignment="1" applyProtection="1">
      <alignment vertical="center" wrapText="1"/>
      <protection locked="0"/>
    </xf>
    <xf numFmtId="0" fontId="0" fillId="7" borderId="177" xfId="0" applyFont="1" applyFill="1" applyBorder="1" applyAlignment="1" applyProtection="1">
      <alignment vertical="center" wrapText="1"/>
      <protection locked="0"/>
    </xf>
    <xf numFmtId="0" fontId="10" fillId="95" borderId="60" xfId="0" applyFont="1" applyFill="1" applyBorder="1" applyAlignment="1" applyProtection="1">
      <alignment horizontal="center" vertical="center" wrapText="1"/>
      <protection locked="0"/>
    </xf>
    <xf numFmtId="0" fontId="10" fillId="95" borderId="100" xfId="0" applyFont="1" applyFill="1" applyBorder="1" applyAlignment="1" applyProtection="1">
      <alignment horizontal="center" vertical="center" wrapText="1"/>
      <protection locked="0"/>
    </xf>
    <xf numFmtId="0" fontId="10" fillId="95" borderId="52" xfId="0" applyFont="1" applyFill="1" applyBorder="1" applyAlignment="1" applyProtection="1">
      <alignment horizontal="justify" vertical="center" wrapText="1"/>
      <protection locked="0"/>
    </xf>
    <xf numFmtId="0" fontId="10" fillId="51" borderId="94" xfId="0" applyFont="1" applyFill="1" applyBorder="1" applyAlignment="1" applyProtection="1">
      <alignment horizontal="justify" vertical="center" wrapText="1"/>
      <protection locked="0"/>
    </xf>
    <xf numFmtId="0" fontId="0" fillId="51" borderId="29" xfId="0" applyFont="1" applyFill="1" applyBorder="1" applyAlignment="1" applyProtection="1">
      <alignment vertical="center" wrapText="1"/>
      <protection locked="0"/>
    </xf>
    <xf numFmtId="0" fontId="0" fillId="51" borderId="30" xfId="0" applyFont="1" applyFill="1" applyBorder="1" applyAlignment="1" applyProtection="1">
      <alignment vertical="center" wrapText="1"/>
      <protection locked="0"/>
    </xf>
    <xf numFmtId="0" fontId="0" fillId="51" borderId="66" xfId="0" applyFont="1" applyFill="1" applyBorder="1" applyAlignment="1" applyProtection="1">
      <alignment vertical="center" wrapText="1"/>
      <protection locked="0"/>
    </xf>
    <xf numFmtId="0" fontId="0" fillId="51" borderId="50" xfId="0" applyFont="1" applyFill="1" applyBorder="1" applyAlignment="1" applyProtection="1">
      <alignment vertical="center" wrapText="1"/>
      <protection locked="0"/>
    </xf>
    <xf numFmtId="0" fontId="0" fillId="51" borderId="177" xfId="0" applyFont="1" applyFill="1" applyBorder="1" applyAlignment="1" applyProtection="1">
      <alignment vertical="center" wrapText="1"/>
      <protection locked="0"/>
    </xf>
    <xf numFmtId="0" fontId="0" fillId="72" borderId="51" xfId="0" applyFont="1" applyFill="1" applyBorder="1" applyAlignment="1" applyProtection="1">
      <alignment horizontal="center" vertical="center" wrapText="1"/>
      <protection locked="0"/>
    </xf>
    <xf numFmtId="9" fontId="0" fillId="72" borderId="32" xfId="5" applyFont="1" applyFill="1" applyBorder="1" applyAlignment="1" applyProtection="1">
      <alignment horizontal="center" vertical="center" wrapText="1"/>
      <protection locked="0"/>
    </xf>
    <xf numFmtId="0" fontId="0" fillId="72" borderId="32" xfId="0" applyFont="1" applyFill="1" applyBorder="1" applyAlignment="1" applyProtection="1">
      <alignment horizontal="center" vertical="center" wrapText="1"/>
      <protection locked="0"/>
    </xf>
    <xf numFmtId="0" fontId="0" fillId="72" borderId="38" xfId="0" applyFont="1" applyFill="1" applyBorder="1" applyAlignment="1" applyProtection="1">
      <alignment horizontal="center" vertical="center" wrapText="1"/>
      <protection locked="0"/>
    </xf>
    <xf numFmtId="191" fontId="0" fillId="72" borderId="99" xfId="10" applyNumberFormat="1" applyFont="1" applyFill="1" applyBorder="1" applyAlignment="1" applyProtection="1">
      <alignment horizontal="center" vertical="center" wrapText="1"/>
      <protection locked="0"/>
    </xf>
    <xf numFmtId="191" fontId="0" fillId="72" borderId="51" xfId="10" applyNumberFormat="1" applyFont="1" applyFill="1" applyBorder="1" applyAlignment="1" applyProtection="1">
      <alignment horizontal="center" vertical="center" wrapText="1"/>
      <protection locked="0"/>
    </xf>
    <xf numFmtId="191" fontId="0" fillId="72" borderId="32" xfId="10" applyNumberFormat="1" applyFont="1" applyFill="1" applyBorder="1" applyAlignment="1" applyProtection="1">
      <alignment horizontal="center" vertical="center" wrapText="1"/>
      <protection locked="0"/>
    </xf>
    <xf numFmtId="191" fontId="0" fillId="72" borderId="38" xfId="10" applyNumberFormat="1" applyFont="1" applyFill="1" applyBorder="1" applyAlignment="1" applyProtection="1">
      <alignment horizontal="center" vertical="center" wrapText="1"/>
      <protection locked="0"/>
    </xf>
    <xf numFmtId="0" fontId="0" fillId="72" borderId="99" xfId="0" applyFont="1" applyFill="1" applyBorder="1" applyAlignment="1" applyProtection="1">
      <alignment horizontal="center" vertical="center" wrapText="1"/>
      <protection locked="0"/>
    </xf>
    <xf numFmtId="0" fontId="0" fillId="72" borderId="60" xfId="0" applyFont="1" applyFill="1" applyBorder="1" applyAlignment="1" applyProtection="1">
      <alignment horizontal="center" vertical="center" wrapText="1"/>
      <protection locked="0"/>
    </xf>
    <xf numFmtId="0" fontId="10" fillId="72" borderId="52" xfId="0" applyFont="1" applyFill="1" applyBorder="1" applyAlignment="1" applyProtection="1">
      <alignment horizontal="justify" vertical="center" wrapText="1"/>
      <protection locked="0"/>
    </xf>
    <xf numFmtId="0" fontId="0" fillId="72" borderId="11" xfId="0" applyFont="1" applyFill="1" applyBorder="1" applyAlignment="1" applyProtection="1">
      <alignment horizontal="center" vertical="center" wrapText="1"/>
      <protection locked="0"/>
    </xf>
    <xf numFmtId="9" fontId="0" fillId="72" borderId="184" xfId="5" applyFont="1" applyFill="1" applyBorder="1" applyAlignment="1" applyProtection="1">
      <alignment horizontal="center" vertical="center" wrapText="1"/>
      <protection locked="0"/>
    </xf>
    <xf numFmtId="0" fontId="0" fillId="72" borderId="184" xfId="0" applyFont="1" applyFill="1" applyBorder="1" applyAlignment="1" applyProtection="1">
      <alignment horizontal="center" vertical="center" wrapText="1"/>
      <protection locked="0"/>
    </xf>
    <xf numFmtId="0" fontId="0" fillId="72" borderId="179" xfId="0" applyFont="1" applyFill="1" applyBorder="1" applyAlignment="1" applyProtection="1">
      <alignment horizontal="center" vertical="center" wrapText="1"/>
      <protection locked="0"/>
    </xf>
    <xf numFmtId="191" fontId="0" fillId="72" borderId="48" xfId="10" applyNumberFormat="1" applyFont="1" applyFill="1" applyBorder="1" applyAlignment="1" applyProtection="1">
      <alignment horizontal="center" vertical="center" wrapText="1"/>
      <protection locked="0"/>
    </xf>
    <xf numFmtId="191" fontId="0" fillId="72" borderId="11" xfId="10" applyNumberFormat="1" applyFont="1" applyFill="1" applyBorder="1" applyAlignment="1" applyProtection="1">
      <alignment horizontal="center" vertical="center" wrapText="1"/>
      <protection locked="0"/>
    </xf>
    <xf numFmtId="191" fontId="0" fillId="72" borderId="184" xfId="10" applyNumberFormat="1" applyFont="1" applyFill="1" applyBorder="1" applyAlignment="1" applyProtection="1">
      <alignment horizontal="center" vertical="center" wrapText="1"/>
      <protection locked="0"/>
    </xf>
    <xf numFmtId="191" fontId="0" fillId="72" borderId="179" xfId="10" applyNumberFormat="1" applyFont="1" applyFill="1" applyBorder="1" applyAlignment="1" applyProtection="1">
      <alignment horizontal="center" vertical="center" wrapText="1"/>
      <protection locked="0"/>
    </xf>
    <xf numFmtId="0" fontId="0" fillId="72" borderId="48" xfId="0" applyFont="1" applyFill="1" applyBorder="1" applyAlignment="1" applyProtection="1">
      <alignment horizontal="center" vertical="center" wrapText="1"/>
      <protection locked="0"/>
    </xf>
    <xf numFmtId="0" fontId="0" fillId="72" borderId="46" xfId="0" applyFont="1" applyFill="1" applyBorder="1" applyAlignment="1" applyProtection="1">
      <alignment horizontal="center" vertical="center" wrapText="1"/>
      <protection locked="0"/>
    </xf>
    <xf numFmtId="0" fontId="10" fillId="72" borderId="94" xfId="0" applyFont="1" applyFill="1" applyBorder="1" applyAlignment="1" applyProtection="1">
      <alignment horizontal="justify" vertical="center" wrapText="1"/>
      <protection locked="0"/>
    </xf>
    <xf numFmtId="0" fontId="10" fillId="72" borderId="46" xfId="0" applyFont="1" applyFill="1" applyBorder="1" applyAlignment="1" applyProtection="1">
      <alignment horizontal="center" vertical="center" wrapText="1"/>
      <protection locked="0"/>
    </xf>
    <xf numFmtId="0" fontId="10" fillId="72" borderId="155" xfId="0" applyFont="1" applyFill="1" applyBorder="1" applyAlignment="1" applyProtection="1">
      <alignment horizontal="center" vertical="center" wrapText="1"/>
      <protection locked="0"/>
    </xf>
    <xf numFmtId="0" fontId="10" fillId="72" borderId="177" xfId="0" applyFont="1" applyFill="1" applyBorder="1" applyAlignment="1" applyProtection="1">
      <alignment horizontal="center" vertical="center" wrapText="1"/>
      <protection locked="0"/>
    </xf>
    <xf numFmtId="0" fontId="10" fillId="72" borderId="161" xfId="0" applyFont="1" applyFill="1" applyBorder="1" applyAlignment="1" applyProtection="1">
      <alignment horizontal="center" vertical="center" wrapText="1"/>
      <protection locked="0"/>
    </xf>
    <xf numFmtId="0" fontId="0" fillId="72" borderId="29" xfId="0" applyFont="1" applyFill="1" applyBorder="1" applyAlignment="1" applyProtection="1">
      <alignment horizontal="center" vertical="center" wrapText="1"/>
      <protection locked="0"/>
    </xf>
    <xf numFmtId="0" fontId="10" fillId="72" borderId="31" xfId="0" applyFont="1" applyFill="1" applyBorder="1" applyAlignment="1" applyProtection="1">
      <alignment horizontal="justify" vertical="center" wrapText="1"/>
      <protection locked="0"/>
    </xf>
    <xf numFmtId="9" fontId="0" fillId="72" borderId="30" xfId="5" applyFont="1" applyFill="1" applyBorder="1" applyAlignment="1" applyProtection="1">
      <alignment horizontal="center" vertical="center" wrapText="1"/>
      <protection locked="0"/>
    </xf>
    <xf numFmtId="0" fontId="0" fillId="72" borderId="30" xfId="0" applyFont="1" applyFill="1" applyBorder="1" applyAlignment="1" applyProtection="1">
      <alignment horizontal="center" vertical="center" wrapText="1"/>
      <protection locked="0"/>
    </xf>
    <xf numFmtId="0" fontId="0" fillId="72" borderId="66" xfId="0" applyFont="1" applyFill="1" applyBorder="1" applyAlignment="1" applyProtection="1">
      <alignment horizontal="center" vertical="center" wrapText="1"/>
      <protection locked="0"/>
    </xf>
    <xf numFmtId="191" fontId="0" fillId="72" borderId="50" xfId="10" applyNumberFormat="1" applyFont="1" applyFill="1" applyBorder="1" applyAlignment="1" applyProtection="1">
      <alignment horizontal="center" vertical="center" wrapText="1"/>
      <protection locked="0"/>
    </xf>
    <xf numFmtId="191" fontId="0" fillId="72" borderId="29" xfId="10" applyNumberFormat="1" applyFont="1" applyFill="1" applyBorder="1" applyAlignment="1" applyProtection="1">
      <alignment horizontal="center" vertical="center" wrapText="1"/>
      <protection locked="0"/>
    </xf>
    <xf numFmtId="191" fontId="0" fillId="72" borderId="30" xfId="10" applyNumberFormat="1" applyFont="1" applyFill="1" applyBorder="1" applyAlignment="1" applyProtection="1">
      <alignment horizontal="center" vertical="center" wrapText="1"/>
      <protection locked="0"/>
    </xf>
    <xf numFmtId="191" fontId="0" fillId="72" borderId="66" xfId="10" applyNumberFormat="1" applyFont="1" applyFill="1" applyBorder="1" applyAlignment="1" applyProtection="1">
      <alignment horizontal="center" vertical="center" wrapText="1"/>
      <protection locked="0"/>
    </xf>
    <xf numFmtId="0" fontId="0" fillId="72" borderId="50" xfId="0" applyFont="1" applyFill="1" applyBorder="1" applyAlignment="1" applyProtection="1">
      <alignment horizontal="center" vertical="center" wrapText="1"/>
      <protection locked="0"/>
    </xf>
    <xf numFmtId="0" fontId="0" fillId="72" borderId="177" xfId="0" applyFont="1" applyFill="1" applyBorder="1" applyAlignment="1" applyProtection="1">
      <alignment horizontal="center" vertical="center" wrapText="1"/>
      <protection locked="0"/>
    </xf>
    <xf numFmtId="0" fontId="10" fillId="38" borderId="52" xfId="0" applyFont="1" applyFill="1" applyBorder="1" applyAlignment="1" applyProtection="1">
      <alignment horizontal="justify" vertical="center" wrapText="1"/>
      <protection locked="0"/>
    </xf>
    <xf numFmtId="0" fontId="10" fillId="41" borderId="60" xfId="0" applyFont="1" applyFill="1" applyBorder="1" applyAlignment="1" applyProtection="1">
      <alignment horizontal="center" vertical="center" wrapText="1"/>
      <protection locked="0"/>
    </xf>
    <xf numFmtId="0" fontId="10" fillId="41" borderId="100" xfId="0" applyFont="1" applyFill="1" applyBorder="1" applyAlignment="1" applyProtection="1">
      <alignment horizontal="center" vertical="center" wrapText="1"/>
      <protection locked="0"/>
    </xf>
    <xf numFmtId="0" fontId="0" fillId="41" borderId="51" xfId="0" applyFont="1" applyFill="1" applyBorder="1" applyAlignment="1" applyProtection="1">
      <alignment horizontal="center" vertical="center" wrapText="1"/>
      <protection locked="0"/>
    </xf>
    <xf numFmtId="0" fontId="10" fillId="41" borderId="52" xfId="0" applyFont="1" applyFill="1" applyBorder="1" applyAlignment="1" applyProtection="1">
      <alignment horizontal="justify" vertical="center" wrapText="1"/>
      <protection locked="0"/>
    </xf>
    <xf numFmtId="9" fontId="0" fillId="41" borderId="32" xfId="5" applyFont="1" applyFill="1" applyBorder="1" applyAlignment="1" applyProtection="1">
      <alignment horizontal="center" vertical="center" wrapText="1"/>
      <protection locked="0"/>
    </xf>
    <xf numFmtId="0" fontId="0" fillId="41" borderId="32" xfId="0" applyFont="1" applyFill="1" applyBorder="1" applyAlignment="1" applyProtection="1">
      <alignment horizontal="center" vertical="center" wrapText="1"/>
      <protection locked="0"/>
    </xf>
    <xf numFmtId="0" fontId="0" fillId="41" borderId="38" xfId="0" applyFont="1" applyFill="1" applyBorder="1" applyAlignment="1" applyProtection="1">
      <alignment horizontal="center" vertical="center" wrapText="1"/>
      <protection locked="0"/>
    </xf>
    <xf numFmtId="191" fontId="0" fillId="41" borderId="99" xfId="10" applyNumberFormat="1" applyFont="1" applyFill="1" applyBorder="1" applyAlignment="1" applyProtection="1">
      <alignment horizontal="center" vertical="center" wrapText="1"/>
      <protection locked="0"/>
    </xf>
    <xf numFmtId="191" fontId="0" fillId="41" borderId="51" xfId="10" applyNumberFormat="1" applyFont="1" applyFill="1" applyBorder="1" applyAlignment="1" applyProtection="1">
      <alignment horizontal="center" vertical="center" wrapText="1"/>
      <protection locked="0"/>
    </xf>
    <xf numFmtId="191" fontId="0" fillId="41" borderId="32" xfId="10" applyNumberFormat="1" applyFont="1" applyFill="1" applyBorder="1" applyAlignment="1" applyProtection="1">
      <alignment horizontal="center" vertical="center" wrapText="1"/>
      <protection locked="0"/>
    </xf>
    <xf numFmtId="191" fontId="0" fillId="41" borderId="38" xfId="10" applyNumberFormat="1" applyFont="1" applyFill="1" applyBorder="1" applyAlignment="1" applyProtection="1">
      <alignment horizontal="center" vertical="center" wrapText="1"/>
      <protection locked="0"/>
    </xf>
    <xf numFmtId="0" fontId="0" fillId="41" borderId="99" xfId="0" applyFont="1" applyFill="1" applyBorder="1" applyAlignment="1" applyProtection="1">
      <alignment horizontal="center" vertical="center" wrapText="1"/>
      <protection locked="0"/>
    </xf>
    <xf numFmtId="0" fontId="0" fillId="41" borderId="60" xfId="0" applyFont="1" applyFill="1" applyBorder="1" applyAlignment="1" applyProtection="1">
      <alignment horizontal="center" vertical="center" wrapText="1"/>
      <protection locked="0"/>
    </xf>
    <xf numFmtId="0" fontId="10" fillId="41" borderId="46" xfId="0" applyFont="1" applyFill="1" applyBorder="1" applyAlignment="1" applyProtection="1">
      <alignment horizontal="center" vertical="center" wrapText="1"/>
      <protection locked="0"/>
    </xf>
    <xf numFmtId="0" fontId="10" fillId="41" borderId="155" xfId="0" applyFont="1" applyFill="1" applyBorder="1" applyAlignment="1" applyProtection="1">
      <alignment horizontal="center" vertical="center" wrapText="1"/>
      <protection locked="0"/>
    </xf>
    <xf numFmtId="0" fontId="10" fillId="41" borderId="94" xfId="0" applyFont="1" applyFill="1" applyBorder="1" applyAlignment="1" applyProtection="1">
      <alignment horizontal="justify" vertical="center" wrapText="1"/>
      <protection locked="0"/>
    </xf>
    <xf numFmtId="0" fontId="10" fillId="41" borderId="11" xfId="0" applyFont="1" applyFill="1" applyBorder="1" applyAlignment="1" applyProtection="1">
      <alignment vertical="center"/>
      <protection locked="0"/>
    </xf>
    <xf numFmtId="9" fontId="10" fillId="41" borderId="184" xfId="5" applyFont="1" applyFill="1" applyBorder="1" applyAlignment="1" applyProtection="1">
      <alignment vertical="center"/>
      <protection locked="0"/>
    </xf>
    <xf numFmtId="0" fontId="10" fillId="41" borderId="184" xfId="0" applyFont="1" applyFill="1" applyBorder="1" applyAlignment="1" applyProtection="1">
      <alignment vertical="center"/>
      <protection locked="0"/>
    </xf>
    <xf numFmtId="0" fontId="10" fillId="41" borderId="179" xfId="0" applyFont="1" applyFill="1" applyBorder="1" applyAlignment="1" applyProtection="1">
      <alignment vertical="center"/>
      <protection locked="0"/>
    </xf>
    <xf numFmtId="191" fontId="10" fillId="41" borderId="48" xfId="10" applyNumberFormat="1" applyFont="1" applyFill="1" applyBorder="1" applyAlignment="1" applyProtection="1">
      <alignment vertical="center"/>
      <protection locked="0"/>
    </xf>
    <xf numFmtId="191" fontId="10" fillId="41" borderId="11" xfId="10" applyNumberFormat="1" applyFont="1" applyFill="1" applyBorder="1" applyAlignment="1" applyProtection="1">
      <alignment vertical="center"/>
      <protection locked="0"/>
    </xf>
    <xf numFmtId="191" fontId="10" fillId="41" borderId="184" xfId="10" applyNumberFormat="1" applyFont="1" applyFill="1" applyBorder="1" applyAlignment="1" applyProtection="1">
      <alignment vertical="center"/>
      <protection locked="0"/>
    </xf>
    <xf numFmtId="191" fontId="10" fillId="41" borderId="179" xfId="10" applyNumberFormat="1" applyFont="1" applyFill="1" applyBorder="1" applyAlignment="1" applyProtection="1">
      <alignment vertical="center"/>
      <protection locked="0"/>
    </xf>
    <xf numFmtId="0" fontId="10" fillId="41" borderId="48" xfId="0" applyFont="1" applyFill="1" applyBorder="1" applyAlignment="1" applyProtection="1">
      <alignment vertical="center"/>
      <protection locked="0"/>
    </xf>
    <xf numFmtId="0" fontId="10" fillId="41" borderId="46" xfId="0" applyFont="1" applyFill="1" applyBorder="1" applyAlignment="1" applyProtection="1">
      <alignment vertical="center"/>
      <protection locked="0"/>
    </xf>
    <xf numFmtId="0" fontId="10" fillId="41" borderId="29" xfId="0" applyFont="1" applyFill="1" applyBorder="1" applyAlignment="1" applyProtection="1">
      <alignment vertical="center"/>
      <protection locked="0"/>
    </xf>
    <xf numFmtId="9" fontId="10" fillId="41" borderId="30" xfId="5" applyFont="1" applyFill="1" applyBorder="1" applyAlignment="1" applyProtection="1">
      <alignment vertical="center"/>
      <protection locked="0"/>
    </xf>
    <xf numFmtId="0" fontId="10" fillId="41" borderId="30" xfId="0" applyFont="1" applyFill="1" applyBorder="1" applyAlignment="1" applyProtection="1">
      <alignment vertical="center"/>
      <protection locked="0"/>
    </xf>
    <xf numFmtId="0" fontId="10" fillId="41" borderId="66" xfId="0" applyFont="1" applyFill="1" applyBorder="1" applyAlignment="1" applyProtection="1">
      <alignment vertical="center"/>
      <protection locked="0"/>
    </xf>
    <xf numFmtId="191" fontId="10" fillId="41" borderId="50" xfId="10" applyNumberFormat="1" applyFont="1" applyFill="1" applyBorder="1" applyAlignment="1" applyProtection="1">
      <alignment vertical="center"/>
      <protection locked="0"/>
    </xf>
    <xf numFmtId="191" fontId="10" fillId="41" borderId="29" xfId="10" applyNumberFormat="1" applyFont="1" applyFill="1" applyBorder="1" applyAlignment="1" applyProtection="1">
      <alignment vertical="center"/>
      <protection locked="0"/>
    </xf>
    <xf numFmtId="191" fontId="10" fillId="41" borderId="30" xfId="10" applyNumberFormat="1" applyFont="1" applyFill="1" applyBorder="1" applyAlignment="1" applyProtection="1">
      <alignment vertical="center"/>
      <protection locked="0"/>
    </xf>
    <xf numFmtId="191" fontId="10" fillId="41" borderId="66" xfId="10" applyNumberFormat="1" applyFont="1" applyFill="1" applyBorder="1" applyAlignment="1" applyProtection="1">
      <alignment vertical="center"/>
      <protection locked="0"/>
    </xf>
    <xf numFmtId="0" fontId="10" fillId="41" borderId="50" xfId="0" applyFont="1" applyFill="1" applyBorder="1" applyAlignment="1" applyProtection="1">
      <alignment vertical="center"/>
      <protection locked="0"/>
    </xf>
    <xf numFmtId="0" fontId="10" fillId="41" borderId="177" xfId="0" applyFont="1" applyFill="1" applyBorder="1" applyAlignment="1" applyProtection="1">
      <alignment vertical="center"/>
      <protection locked="0"/>
    </xf>
    <xf numFmtId="0" fontId="10" fillId="41" borderId="31" xfId="0" applyFont="1" applyFill="1" applyBorder="1" applyAlignment="1" applyProtection="1">
      <alignment horizontal="justify" vertical="center" wrapText="1"/>
      <protection locked="0"/>
    </xf>
    <xf numFmtId="0" fontId="0" fillId="33" borderId="51" xfId="0" applyFont="1" applyFill="1" applyBorder="1" applyAlignment="1" applyProtection="1">
      <alignment vertical="center" wrapText="1"/>
      <protection locked="0"/>
    </xf>
    <xf numFmtId="9" fontId="0" fillId="33" borderId="32" xfId="5" applyFont="1" applyFill="1" applyBorder="1" applyAlignment="1" applyProtection="1">
      <alignment vertical="center" wrapText="1"/>
      <protection locked="0"/>
    </xf>
    <xf numFmtId="0" fontId="0" fillId="33" borderId="38" xfId="0" applyFont="1" applyFill="1" applyBorder="1" applyAlignment="1" applyProtection="1">
      <alignment vertical="center" wrapText="1"/>
      <protection locked="0"/>
    </xf>
    <xf numFmtId="191" fontId="0" fillId="33" borderId="99" xfId="10" applyNumberFormat="1" applyFont="1" applyFill="1" applyBorder="1" applyAlignment="1" applyProtection="1">
      <alignment vertical="center" wrapText="1"/>
      <protection locked="0"/>
    </xf>
    <xf numFmtId="191" fontId="0" fillId="33" borderId="51" xfId="10" applyNumberFormat="1" applyFont="1" applyFill="1" applyBorder="1" applyAlignment="1" applyProtection="1">
      <alignment vertical="center" wrapText="1"/>
      <protection locked="0"/>
    </xf>
    <xf numFmtId="191" fontId="0" fillId="33" borderId="32" xfId="10" applyNumberFormat="1" applyFont="1" applyFill="1" applyBorder="1" applyAlignment="1" applyProtection="1">
      <alignment vertical="center" wrapText="1"/>
      <protection locked="0"/>
    </xf>
    <xf numFmtId="191" fontId="0" fillId="33" borderId="38" xfId="10" applyNumberFormat="1" applyFont="1" applyFill="1" applyBorder="1" applyAlignment="1" applyProtection="1">
      <alignment vertical="center" wrapText="1"/>
      <protection locked="0"/>
    </xf>
    <xf numFmtId="0" fontId="0" fillId="33" borderId="99" xfId="0" applyFont="1" applyFill="1" applyBorder="1" applyAlignment="1" applyProtection="1">
      <alignment vertical="center" wrapText="1"/>
      <protection locked="0"/>
    </xf>
    <xf numFmtId="0" fontId="0" fillId="33" borderId="60" xfId="0" applyFont="1" applyFill="1" applyBorder="1" applyAlignment="1" applyProtection="1">
      <alignment vertical="center" wrapText="1"/>
      <protection locked="0"/>
    </xf>
    <xf numFmtId="0" fontId="10" fillId="33" borderId="52" xfId="0" applyFont="1" applyFill="1" applyBorder="1" applyAlignment="1" applyProtection="1">
      <alignment horizontal="justify" vertical="center" wrapText="1"/>
      <protection locked="0"/>
    </xf>
    <xf numFmtId="0" fontId="0" fillId="33" borderId="11" xfId="0" applyFont="1" applyFill="1" applyBorder="1" applyAlignment="1" applyProtection="1">
      <alignment vertical="center" wrapText="1"/>
      <protection locked="0"/>
    </xf>
    <xf numFmtId="9" fontId="0" fillId="33" borderId="184" xfId="5" applyFont="1" applyFill="1" applyBorder="1" applyAlignment="1" applyProtection="1">
      <alignment vertical="center" wrapText="1"/>
      <protection locked="0"/>
    </xf>
    <xf numFmtId="0" fontId="0" fillId="33" borderId="184" xfId="0" applyFont="1" applyFill="1" applyBorder="1" applyAlignment="1" applyProtection="1">
      <alignment vertical="center" wrapText="1"/>
      <protection locked="0"/>
    </xf>
    <xf numFmtId="0" fontId="0" fillId="33" borderId="179" xfId="0" applyFont="1" applyFill="1" applyBorder="1" applyAlignment="1" applyProtection="1">
      <alignment vertical="center" wrapText="1"/>
      <protection locked="0"/>
    </xf>
    <xf numFmtId="191" fontId="0" fillId="33" borderId="48" xfId="10" applyNumberFormat="1" applyFont="1" applyFill="1" applyBorder="1" applyAlignment="1" applyProtection="1">
      <alignment vertical="center" wrapText="1"/>
      <protection locked="0"/>
    </xf>
    <xf numFmtId="191" fontId="0" fillId="33" borderId="11" xfId="10" applyNumberFormat="1" applyFont="1" applyFill="1" applyBorder="1" applyAlignment="1" applyProtection="1">
      <alignment vertical="center" wrapText="1"/>
      <protection locked="0"/>
    </xf>
    <xf numFmtId="191" fontId="0" fillId="33" borderId="184" xfId="10" applyNumberFormat="1" applyFont="1" applyFill="1" applyBorder="1" applyAlignment="1" applyProtection="1">
      <alignment vertical="center" wrapText="1"/>
      <protection locked="0"/>
    </xf>
    <xf numFmtId="191" fontId="0" fillId="33" borderId="179" xfId="10" applyNumberFormat="1" applyFont="1" applyFill="1" applyBorder="1" applyAlignment="1" applyProtection="1">
      <alignment vertical="center" wrapText="1"/>
      <protection locked="0"/>
    </xf>
    <xf numFmtId="0" fontId="0" fillId="33" borderId="48" xfId="0" applyFont="1" applyFill="1" applyBorder="1" applyAlignment="1" applyProtection="1">
      <alignment vertical="center" wrapText="1"/>
      <protection locked="0"/>
    </xf>
    <xf numFmtId="0" fontId="0" fillId="33" borderId="46" xfId="0" applyFont="1" applyFill="1" applyBorder="1" applyAlignment="1" applyProtection="1">
      <alignment vertical="center" wrapText="1"/>
      <protection locked="0"/>
    </xf>
    <xf numFmtId="0" fontId="10" fillId="33" borderId="94" xfId="0" applyFont="1" applyFill="1" applyBorder="1" applyAlignment="1" applyProtection="1">
      <alignment horizontal="justify" vertical="center" wrapText="1"/>
      <protection locked="0"/>
    </xf>
    <xf numFmtId="0" fontId="0" fillId="33" borderId="29" xfId="0" applyFont="1" applyFill="1" applyBorder="1" applyAlignment="1" applyProtection="1">
      <alignment vertical="center" wrapText="1"/>
      <protection locked="0"/>
    </xf>
    <xf numFmtId="9" fontId="0" fillId="33" borderId="30" xfId="5" applyFont="1" applyFill="1" applyBorder="1" applyAlignment="1" applyProtection="1">
      <alignment vertical="center" wrapText="1"/>
      <protection locked="0"/>
    </xf>
    <xf numFmtId="0" fontId="0" fillId="33" borderId="66" xfId="0" applyFont="1" applyFill="1" applyBorder="1" applyAlignment="1" applyProtection="1">
      <alignment vertical="center" wrapText="1"/>
      <protection locked="0"/>
    </xf>
    <xf numFmtId="191" fontId="0" fillId="33" borderId="50" xfId="10" applyNumberFormat="1" applyFont="1" applyFill="1" applyBorder="1" applyAlignment="1" applyProtection="1">
      <alignment vertical="center" wrapText="1"/>
      <protection locked="0"/>
    </xf>
    <xf numFmtId="191" fontId="0" fillId="33" borderId="29" xfId="10" applyNumberFormat="1" applyFont="1" applyFill="1" applyBorder="1" applyAlignment="1" applyProtection="1">
      <alignment vertical="center" wrapText="1"/>
      <protection locked="0"/>
    </xf>
    <xf numFmtId="191" fontId="0" fillId="33" borderId="30" xfId="10" applyNumberFormat="1" applyFont="1" applyFill="1" applyBorder="1" applyAlignment="1" applyProtection="1">
      <alignment vertical="center" wrapText="1"/>
      <protection locked="0"/>
    </xf>
    <xf numFmtId="191" fontId="0" fillId="33" borderId="66" xfId="10" applyNumberFormat="1" applyFont="1" applyFill="1" applyBorder="1" applyAlignment="1" applyProtection="1">
      <alignment vertical="center" wrapText="1"/>
      <protection locked="0"/>
    </xf>
    <xf numFmtId="0" fontId="0" fillId="33" borderId="50" xfId="0" applyFont="1" applyFill="1" applyBorder="1" applyAlignment="1" applyProtection="1">
      <alignment vertical="center" wrapText="1"/>
      <protection locked="0"/>
    </xf>
    <xf numFmtId="0" fontId="0" fillId="33" borderId="177" xfId="0" applyFont="1" applyFill="1" applyBorder="1" applyAlignment="1" applyProtection="1">
      <alignment vertical="center" wrapText="1"/>
      <protection locked="0"/>
    </xf>
    <xf numFmtId="0" fontId="10" fillId="33" borderId="31" xfId="0" applyFont="1" applyFill="1" applyBorder="1" applyAlignment="1" applyProtection="1">
      <alignment horizontal="justify" vertical="center" wrapText="1"/>
      <protection locked="0"/>
    </xf>
    <xf numFmtId="0" fontId="10" fillId="40" borderId="60" xfId="0" applyFont="1" applyFill="1" applyBorder="1" applyAlignment="1" applyProtection="1">
      <alignment horizontal="center" vertical="center" wrapText="1"/>
      <protection locked="0"/>
    </xf>
    <xf numFmtId="0" fontId="10" fillId="40" borderId="100" xfId="0" applyFont="1" applyFill="1" applyBorder="1" applyAlignment="1" applyProtection="1">
      <alignment horizontal="center" vertical="center" wrapText="1"/>
      <protection locked="0"/>
    </xf>
    <xf numFmtId="0" fontId="10" fillId="40" borderId="9" xfId="0" applyFont="1" applyFill="1" applyBorder="1" applyAlignment="1" applyProtection="1">
      <alignment horizontal="justify" vertical="center" wrapText="1"/>
      <protection locked="0"/>
    </xf>
    <xf numFmtId="0" fontId="0" fillId="40" borderId="51" xfId="0" applyFont="1" applyFill="1" applyBorder="1" applyAlignment="1" applyProtection="1">
      <alignment horizontal="center" vertical="center" wrapText="1"/>
      <protection locked="0"/>
    </xf>
    <xf numFmtId="0" fontId="0" fillId="40" borderId="32" xfId="0" applyFont="1" applyFill="1" applyBorder="1" applyAlignment="1" applyProtection="1">
      <alignment horizontal="center" vertical="center" wrapText="1"/>
      <protection locked="0"/>
    </xf>
    <xf numFmtId="0" fontId="0" fillId="40" borderId="38" xfId="0" applyFont="1" applyFill="1" applyBorder="1" applyAlignment="1" applyProtection="1">
      <alignment horizontal="center" vertical="center" wrapText="1"/>
      <protection locked="0"/>
    </xf>
    <xf numFmtId="0" fontId="0" fillId="40" borderId="99" xfId="0" applyFont="1" applyFill="1" applyBorder="1" applyAlignment="1" applyProtection="1">
      <alignment horizontal="center" vertical="center" wrapText="1"/>
      <protection locked="0"/>
    </xf>
    <xf numFmtId="0" fontId="0" fillId="40" borderId="60" xfId="0" applyFont="1" applyFill="1" applyBorder="1" applyAlignment="1" applyProtection="1">
      <alignment horizontal="center" vertical="center" wrapText="1"/>
      <protection locked="0"/>
    </xf>
    <xf numFmtId="0" fontId="3" fillId="40" borderId="11" xfId="0" applyFont="1" applyFill="1" applyBorder="1" applyAlignment="1" applyProtection="1">
      <alignment vertical="center" wrapText="1"/>
      <protection locked="0"/>
    </xf>
    <xf numFmtId="9" fontId="3" fillId="40" borderId="184" xfId="5" applyFont="1" applyFill="1" applyBorder="1" applyAlignment="1" applyProtection="1">
      <alignment vertical="center" wrapText="1"/>
      <protection locked="0"/>
    </xf>
    <xf numFmtId="0" fontId="3" fillId="40" borderId="184" xfId="0" applyFont="1" applyFill="1" applyBorder="1" applyAlignment="1" applyProtection="1">
      <alignment vertical="center" wrapText="1"/>
      <protection locked="0"/>
    </xf>
    <xf numFmtId="0" fontId="3" fillId="40" borderId="179" xfId="0" applyFont="1" applyFill="1" applyBorder="1" applyAlignment="1" applyProtection="1">
      <alignment vertical="center" wrapText="1"/>
      <protection locked="0"/>
    </xf>
    <xf numFmtId="191" fontId="3" fillId="40" borderId="48" xfId="10" applyNumberFormat="1" applyFont="1" applyFill="1" applyBorder="1" applyAlignment="1" applyProtection="1">
      <alignment vertical="center" wrapText="1"/>
      <protection locked="0"/>
    </xf>
    <xf numFmtId="191" fontId="3" fillId="40" borderId="11" xfId="10" applyNumberFormat="1" applyFont="1" applyFill="1" applyBorder="1" applyAlignment="1" applyProtection="1">
      <alignment vertical="center" wrapText="1"/>
      <protection locked="0"/>
    </xf>
    <xf numFmtId="191" fontId="3" fillId="40" borderId="184" xfId="10" applyNumberFormat="1" applyFont="1" applyFill="1" applyBorder="1" applyAlignment="1" applyProtection="1">
      <alignment vertical="center" wrapText="1"/>
      <protection locked="0"/>
    </xf>
    <xf numFmtId="191" fontId="3" fillId="40" borderId="179" xfId="10" applyNumberFormat="1" applyFont="1" applyFill="1" applyBorder="1" applyAlignment="1" applyProtection="1">
      <alignment vertical="center" wrapText="1"/>
      <protection locked="0"/>
    </xf>
    <xf numFmtId="0" fontId="3" fillId="40" borderId="48" xfId="0" applyFont="1" applyFill="1" applyBorder="1" applyAlignment="1" applyProtection="1">
      <alignment vertical="center" wrapText="1"/>
      <protection locked="0"/>
    </xf>
    <xf numFmtId="0" fontId="3" fillId="40" borderId="46" xfId="0" applyFont="1" applyFill="1" applyBorder="1" applyAlignment="1" applyProtection="1">
      <alignment vertical="center" wrapText="1"/>
      <protection locked="0"/>
    </xf>
    <xf numFmtId="0" fontId="10" fillId="40" borderId="155" xfId="0" applyFont="1" applyFill="1" applyBorder="1" applyAlignment="1" applyProtection="1">
      <alignment horizontal="center" vertical="center" wrapText="1"/>
      <protection locked="0"/>
    </xf>
    <xf numFmtId="0" fontId="3" fillId="40" borderId="11" xfId="0" applyFont="1" applyFill="1" applyBorder="1" applyAlignment="1" applyProtection="1">
      <alignment horizontal="center" vertical="center" wrapText="1"/>
      <protection locked="0"/>
    </xf>
    <xf numFmtId="9" fontId="3" fillId="40" borderId="184" xfId="5" applyFont="1" applyFill="1" applyBorder="1" applyAlignment="1" applyProtection="1">
      <alignment horizontal="center" vertical="center" wrapText="1"/>
      <protection locked="0"/>
    </xf>
    <xf numFmtId="0" fontId="3" fillId="40" borderId="184" xfId="0" applyFont="1" applyFill="1" applyBorder="1" applyAlignment="1" applyProtection="1">
      <alignment horizontal="center" vertical="center" wrapText="1"/>
      <protection locked="0"/>
    </xf>
    <xf numFmtId="0" fontId="3" fillId="40" borderId="179" xfId="0" applyFont="1" applyFill="1" applyBorder="1" applyAlignment="1" applyProtection="1">
      <alignment horizontal="center" vertical="center" wrapText="1"/>
      <protection locked="0"/>
    </xf>
    <xf numFmtId="191" fontId="3" fillId="40" borderId="48" xfId="10" applyNumberFormat="1" applyFont="1" applyFill="1" applyBorder="1" applyAlignment="1" applyProtection="1">
      <alignment horizontal="center" vertical="center" wrapText="1"/>
      <protection locked="0"/>
    </xf>
    <xf numFmtId="191" fontId="3" fillId="40" borderId="11" xfId="10" applyNumberFormat="1" applyFont="1" applyFill="1" applyBorder="1" applyAlignment="1" applyProtection="1">
      <alignment horizontal="center" vertical="center" wrapText="1"/>
      <protection locked="0"/>
    </xf>
    <xf numFmtId="191" fontId="3" fillId="40" borderId="184" xfId="10" applyNumberFormat="1" applyFont="1" applyFill="1" applyBorder="1" applyAlignment="1" applyProtection="1">
      <alignment horizontal="center" vertical="center" wrapText="1"/>
      <protection locked="0"/>
    </xf>
    <xf numFmtId="191" fontId="3" fillId="40" borderId="179" xfId="10" applyNumberFormat="1" applyFont="1" applyFill="1" applyBorder="1" applyAlignment="1" applyProtection="1">
      <alignment horizontal="center" vertical="center" wrapText="1"/>
      <protection locked="0"/>
    </xf>
    <xf numFmtId="0" fontId="3" fillId="40" borderId="48" xfId="0" applyFont="1" applyFill="1" applyBorder="1" applyAlignment="1" applyProtection="1">
      <alignment horizontal="center" vertical="center" wrapText="1"/>
      <protection locked="0"/>
    </xf>
    <xf numFmtId="0" fontId="3" fillId="40" borderId="46" xfId="0" applyFont="1" applyFill="1" applyBorder="1" applyAlignment="1" applyProtection="1">
      <alignment horizontal="center" vertical="center" wrapText="1"/>
      <protection locked="0"/>
    </xf>
    <xf numFmtId="0" fontId="0" fillId="40" borderId="29" xfId="0" applyFont="1" applyFill="1" applyBorder="1" applyAlignment="1" applyProtection="1">
      <alignment vertical="center" wrapText="1"/>
      <protection locked="0"/>
    </xf>
    <xf numFmtId="9" fontId="0" fillId="40" borderId="30" xfId="5" applyFont="1" applyFill="1" applyBorder="1" applyAlignment="1" applyProtection="1">
      <alignment vertical="center" wrapText="1"/>
      <protection locked="0"/>
    </xf>
    <xf numFmtId="0" fontId="0" fillId="40" borderId="30" xfId="0" applyFont="1" applyFill="1" applyBorder="1" applyAlignment="1" applyProtection="1">
      <alignment vertical="center" wrapText="1"/>
      <protection locked="0"/>
    </xf>
    <xf numFmtId="0" fontId="0" fillId="40" borderId="66" xfId="0" applyFont="1" applyFill="1" applyBorder="1" applyAlignment="1" applyProtection="1">
      <alignment vertical="center" wrapText="1"/>
      <protection locked="0"/>
    </xf>
    <xf numFmtId="191" fontId="0" fillId="40" borderId="50" xfId="10" applyNumberFormat="1" applyFont="1" applyFill="1" applyBorder="1" applyAlignment="1" applyProtection="1">
      <alignment vertical="center" wrapText="1"/>
      <protection locked="0"/>
    </xf>
    <xf numFmtId="191" fontId="0" fillId="40" borderId="29" xfId="10" applyNumberFormat="1" applyFont="1" applyFill="1" applyBorder="1" applyAlignment="1" applyProtection="1">
      <alignment vertical="center" wrapText="1"/>
      <protection locked="0"/>
    </xf>
    <xf numFmtId="191" fontId="0" fillId="40" borderId="30" xfId="10" applyNumberFormat="1" applyFont="1" applyFill="1" applyBorder="1" applyAlignment="1" applyProtection="1">
      <alignment vertical="center" wrapText="1"/>
      <protection locked="0"/>
    </xf>
    <xf numFmtId="191" fontId="0" fillId="40" borderId="66" xfId="10" applyNumberFormat="1" applyFont="1" applyFill="1" applyBorder="1" applyAlignment="1" applyProtection="1">
      <alignment vertical="center" wrapText="1"/>
      <protection locked="0"/>
    </xf>
    <xf numFmtId="0" fontId="0" fillId="40" borderId="50" xfId="0" applyFont="1" applyFill="1" applyBorder="1" applyAlignment="1" applyProtection="1">
      <alignment vertical="center" wrapText="1"/>
      <protection locked="0"/>
    </xf>
    <xf numFmtId="0" fontId="0" fillId="40" borderId="177" xfId="0" applyFont="1" applyFill="1" applyBorder="1" applyAlignment="1" applyProtection="1">
      <alignment vertical="center" wrapText="1"/>
      <protection locked="0"/>
    </xf>
    <xf numFmtId="0" fontId="10" fillId="40" borderId="31" xfId="0" applyFont="1" applyFill="1" applyBorder="1" applyAlignment="1" applyProtection="1">
      <alignment horizontal="justify" vertical="center" wrapText="1"/>
      <protection locked="0"/>
    </xf>
    <xf numFmtId="0" fontId="0" fillId="51" borderId="51" xfId="0" applyFont="1" applyFill="1" applyBorder="1" applyAlignment="1" applyProtection="1">
      <alignment vertical="center" wrapText="1"/>
      <protection locked="0"/>
    </xf>
    <xf numFmtId="9" fontId="0" fillId="51" borderId="32" xfId="5" applyFont="1" applyFill="1" applyBorder="1" applyAlignment="1" applyProtection="1">
      <alignment vertical="center" wrapText="1"/>
      <protection locked="0"/>
    </xf>
    <xf numFmtId="0" fontId="0" fillId="51" borderId="32" xfId="0" applyFont="1" applyFill="1" applyBorder="1" applyAlignment="1" applyProtection="1">
      <alignment vertical="center" wrapText="1"/>
      <protection locked="0"/>
    </xf>
    <xf numFmtId="0" fontId="0" fillId="51" borderId="38" xfId="0" applyFont="1" applyFill="1" applyBorder="1" applyAlignment="1" applyProtection="1">
      <alignment vertical="center" wrapText="1"/>
      <protection locked="0"/>
    </xf>
    <xf numFmtId="191" fontId="0" fillId="51" borderId="99" xfId="10" applyNumberFormat="1" applyFont="1" applyFill="1" applyBorder="1" applyAlignment="1" applyProtection="1">
      <alignment vertical="center" wrapText="1"/>
      <protection locked="0"/>
    </xf>
    <xf numFmtId="191" fontId="0" fillId="51" borderId="51" xfId="10" applyNumberFormat="1" applyFont="1" applyFill="1" applyBorder="1" applyAlignment="1" applyProtection="1">
      <alignment vertical="center" wrapText="1"/>
      <protection locked="0"/>
    </xf>
    <xf numFmtId="191" fontId="0" fillId="51" borderId="32" xfId="10" applyNumberFormat="1" applyFont="1" applyFill="1" applyBorder="1" applyAlignment="1" applyProtection="1">
      <alignment vertical="center" wrapText="1"/>
      <protection locked="0"/>
    </xf>
    <xf numFmtId="191" fontId="0" fillId="51" borderId="38" xfId="10" applyNumberFormat="1" applyFont="1" applyFill="1" applyBorder="1" applyAlignment="1" applyProtection="1">
      <alignment vertical="center" wrapText="1"/>
      <protection locked="0"/>
    </xf>
    <xf numFmtId="0" fontId="0" fillId="51" borderId="99" xfId="0" applyFont="1" applyFill="1" applyBorder="1" applyAlignment="1" applyProtection="1">
      <alignment vertical="center" wrapText="1"/>
      <protection locked="0"/>
    </xf>
    <xf numFmtId="0" fontId="0" fillId="51" borderId="60" xfId="0" applyFont="1" applyFill="1" applyBorder="1" applyAlignment="1" applyProtection="1">
      <alignment vertical="center" wrapText="1"/>
      <protection locked="0"/>
    </xf>
    <xf numFmtId="0" fontId="10" fillId="38" borderId="177" xfId="0" applyFont="1" applyFill="1" applyBorder="1" applyAlignment="1" applyProtection="1">
      <alignment horizontal="center" vertical="center" wrapText="1"/>
      <protection locked="0"/>
    </xf>
    <xf numFmtId="0" fontId="10" fillId="38" borderId="161" xfId="0" applyFont="1" applyFill="1" applyBorder="1" applyAlignment="1" applyProtection="1">
      <alignment horizontal="center" vertical="center" wrapText="1"/>
      <protection locked="0"/>
    </xf>
    <xf numFmtId="0" fontId="0" fillId="39" borderId="51" xfId="0" applyFont="1" applyFill="1" applyBorder="1" applyAlignment="1" applyProtection="1">
      <alignment horizontal="center" vertical="center" wrapText="1"/>
      <protection locked="0"/>
    </xf>
    <xf numFmtId="0" fontId="0" fillId="39" borderId="51" xfId="0" applyFont="1" applyFill="1" applyBorder="1" applyAlignment="1" applyProtection="1">
      <alignment vertical="center" wrapText="1"/>
      <protection locked="0"/>
    </xf>
    <xf numFmtId="9" fontId="0" fillId="39" borderId="32" xfId="5" applyFont="1" applyFill="1" applyBorder="1" applyAlignment="1" applyProtection="1">
      <alignment vertical="center" wrapText="1"/>
      <protection locked="0"/>
    </xf>
    <xf numFmtId="0" fontId="0" fillId="39" borderId="32" xfId="0" applyFont="1" applyFill="1" applyBorder="1" applyAlignment="1" applyProtection="1">
      <alignment vertical="center" wrapText="1"/>
      <protection locked="0"/>
    </xf>
    <xf numFmtId="0" fontId="0" fillId="39" borderId="38" xfId="0" applyFont="1" applyFill="1" applyBorder="1" applyAlignment="1" applyProtection="1">
      <alignment vertical="center" wrapText="1"/>
      <protection locked="0"/>
    </xf>
    <xf numFmtId="191" fontId="0" fillId="39" borderId="99" xfId="10" applyNumberFormat="1" applyFont="1" applyFill="1" applyBorder="1" applyAlignment="1" applyProtection="1">
      <alignment vertical="center" wrapText="1"/>
      <protection locked="0"/>
    </xf>
    <xf numFmtId="191" fontId="0" fillId="39" borderId="51" xfId="10" applyNumberFormat="1" applyFont="1" applyFill="1" applyBorder="1" applyAlignment="1" applyProtection="1">
      <alignment vertical="center" wrapText="1"/>
      <protection locked="0"/>
    </xf>
    <xf numFmtId="191" fontId="0" fillId="39" borderId="32" xfId="10" applyNumberFormat="1" applyFont="1" applyFill="1" applyBorder="1" applyAlignment="1" applyProtection="1">
      <alignment vertical="center" wrapText="1"/>
      <protection locked="0"/>
    </xf>
    <xf numFmtId="191" fontId="0" fillId="39" borderId="38" xfId="10" applyNumberFormat="1" applyFont="1" applyFill="1" applyBorder="1" applyAlignment="1" applyProtection="1">
      <alignment vertical="center" wrapText="1"/>
      <protection locked="0"/>
    </xf>
    <xf numFmtId="0" fontId="0" fillId="39" borderId="99" xfId="0" applyFont="1" applyFill="1" applyBorder="1" applyAlignment="1" applyProtection="1">
      <alignment vertical="center" wrapText="1"/>
      <protection locked="0"/>
    </xf>
    <xf numFmtId="0" fontId="0" fillId="39" borderId="60" xfId="0" applyFont="1" applyFill="1" applyBorder="1" applyAlignment="1" applyProtection="1">
      <alignment vertical="center" wrapText="1"/>
      <protection locked="0"/>
    </xf>
    <xf numFmtId="0" fontId="10" fillId="39" borderId="52" xfId="0" applyFont="1" applyFill="1" applyBorder="1" applyAlignment="1" applyProtection="1">
      <alignment horizontal="justify" vertical="center" wrapText="1"/>
      <protection locked="0"/>
    </xf>
    <xf numFmtId="0" fontId="0" fillId="39" borderId="11" xfId="0" applyFont="1" applyFill="1" applyBorder="1" applyAlignment="1" applyProtection="1">
      <alignment horizontal="center" vertical="center" wrapText="1"/>
      <protection locked="0"/>
    </xf>
    <xf numFmtId="0" fontId="0" fillId="39" borderId="11" xfId="0" applyFont="1" applyFill="1" applyBorder="1" applyAlignment="1" applyProtection="1">
      <alignment vertical="center" wrapText="1"/>
      <protection locked="0"/>
    </xf>
    <xf numFmtId="0" fontId="0" fillId="39" borderId="184" xfId="0" applyFont="1" applyFill="1" applyBorder="1" applyAlignment="1" applyProtection="1">
      <alignment vertical="center" wrapText="1"/>
      <protection locked="0"/>
    </xf>
    <xf numFmtId="0" fontId="0" fillId="39" borderId="179" xfId="0" applyFont="1" applyFill="1" applyBorder="1" applyAlignment="1" applyProtection="1">
      <alignment vertical="center" wrapText="1"/>
      <protection locked="0"/>
    </xf>
    <xf numFmtId="0" fontId="0" fillId="39" borderId="48" xfId="0" applyFont="1" applyFill="1" applyBorder="1" applyAlignment="1" applyProtection="1">
      <alignment vertical="center" wrapText="1"/>
      <protection locked="0"/>
    </xf>
    <xf numFmtId="0" fontId="0" fillId="39" borderId="46" xfId="0" applyFont="1" applyFill="1" applyBorder="1" applyAlignment="1" applyProtection="1">
      <alignment vertical="center" wrapText="1"/>
      <protection locked="0"/>
    </xf>
    <xf numFmtId="0" fontId="10" fillId="39" borderId="94" xfId="0" applyFont="1" applyFill="1" applyBorder="1" applyAlignment="1" applyProtection="1">
      <alignment horizontal="justify" vertical="center" wrapText="1"/>
      <protection locked="0"/>
    </xf>
    <xf numFmtId="0" fontId="10" fillId="39" borderId="184" xfId="0" applyFont="1" applyFill="1" applyBorder="1" applyAlignment="1" applyProtection="1">
      <alignment horizontal="justify" vertical="center" wrapText="1"/>
      <protection locked="0"/>
    </xf>
    <xf numFmtId="9" fontId="0" fillId="39" borderId="11" xfId="0" applyNumberFormat="1" applyFont="1" applyFill="1" applyBorder="1" applyAlignment="1" applyProtection="1">
      <alignment vertical="center" wrapText="1"/>
      <protection locked="0"/>
    </xf>
    <xf numFmtId="9" fontId="0" fillId="39" borderId="184" xfId="0" applyNumberFormat="1" applyFont="1" applyFill="1" applyBorder="1" applyAlignment="1" applyProtection="1">
      <alignment vertical="center" wrapText="1"/>
      <protection locked="0"/>
    </xf>
    <xf numFmtId="9" fontId="0" fillId="39" borderId="179" xfId="0" applyNumberFormat="1" applyFont="1" applyFill="1" applyBorder="1" applyAlignment="1" applyProtection="1">
      <alignment vertical="center" wrapText="1"/>
      <protection locked="0"/>
    </xf>
    <xf numFmtId="9" fontId="0" fillId="39" borderId="48" xfId="0" applyNumberFormat="1" applyFont="1" applyFill="1" applyBorder="1" applyAlignment="1" applyProtection="1">
      <alignment vertical="center" wrapText="1"/>
      <protection locked="0"/>
    </xf>
    <xf numFmtId="9" fontId="0" fillId="39" borderId="46" xfId="0" applyNumberFormat="1" applyFont="1" applyFill="1" applyBorder="1" applyAlignment="1" applyProtection="1">
      <alignment vertical="center" wrapText="1"/>
      <protection locked="0"/>
    </xf>
    <xf numFmtId="0" fontId="10" fillId="39" borderId="177" xfId="0" applyFont="1" applyFill="1" applyBorder="1" applyAlignment="1" applyProtection="1">
      <alignment horizontal="center" vertical="center" wrapText="1"/>
      <protection locked="0"/>
    </xf>
    <xf numFmtId="0" fontId="10" fillId="39" borderId="161" xfId="0" applyFont="1" applyFill="1" applyBorder="1" applyAlignment="1" applyProtection="1">
      <alignment horizontal="center" vertical="center" wrapText="1"/>
      <protection locked="0"/>
    </xf>
    <xf numFmtId="0" fontId="0" fillId="39" borderId="29" xfId="0" applyFont="1" applyFill="1" applyBorder="1" applyAlignment="1" applyProtection="1">
      <alignment horizontal="center" vertical="center" wrapText="1"/>
      <protection locked="0"/>
    </xf>
    <xf numFmtId="0" fontId="10" fillId="39" borderId="31" xfId="0" applyFont="1" applyFill="1" applyBorder="1" applyAlignment="1" applyProtection="1">
      <alignment horizontal="justify" vertical="center" wrapText="1"/>
      <protection locked="0"/>
    </xf>
    <xf numFmtId="0" fontId="0" fillId="39" borderId="66" xfId="0" applyFont="1" applyFill="1" applyBorder="1" applyAlignment="1" applyProtection="1">
      <alignment horizontal="center" vertical="center" wrapText="1"/>
      <protection locked="0"/>
    </xf>
    <xf numFmtId="0" fontId="0" fillId="39" borderId="50" xfId="0" applyFont="1" applyFill="1" applyBorder="1" applyAlignment="1" applyProtection="1">
      <alignment horizontal="center" vertical="center" wrapText="1"/>
      <protection locked="0"/>
    </xf>
    <xf numFmtId="0" fontId="0" fillId="39" borderId="177" xfId="0" applyFont="1" applyFill="1" applyBorder="1" applyAlignment="1" applyProtection="1">
      <alignment horizontal="center" vertical="center" wrapText="1"/>
      <protection locked="0"/>
    </xf>
    <xf numFmtId="0" fontId="10" fillId="41" borderId="45" xfId="0" applyFont="1" applyFill="1" applyBorder="1" applyAlignment="1" applyProtection="1">
      <alignment horizontal="center" vertical="center" wrapText="1"/>
      <protection locked="0"/>
    </xf>
    <xf numFmtId="0" fontId="10" fillId="41" borderId="15" xfId="0" applyFont="1" applyFill="1" applyBorder="1" applyAlignment="1" applyProtection="1">
      <alignment horizontal="center" vertical="center" wrapText="1"/>
      <protection locked="0"/>
    </xf>
    <xf numFmtId="0" fontId="10" fillId="41" borderId="9" xfId="0" applyFont="1" applyFill="1" applyBorder="1" applyAlignment="1" applyProtection="1">
      <alignment horizontal="justify" vertical="center" wrapText="1"/>
      <protection locked="0"/>
    </xf>
    <xf numFmtId="9" fontId="0" fillId="41" borderId="11" xfId="0" applyNumberFormat="1" applyFont="1" applyFill="1" applyBorder="1" applyAlignment="1" applyProtection="1">
      <alignment horizontal="center" vertical="center" wrapText="1"/>
      <protection locked="0"/>
    </xf>
    <xf numFmtId="9" fontId="0" fillId="41" borderId="11" xfId="0" applyNumberFormat="1" applyFont="1" applyFill="1" applyBorder="1" applyAlignment="1" applyProtection="1">
      <alignment vertical="center" wrapText="1"/>
      <protection locked="0"/>
    </xf>
    <xf numFmtId="9" fontId="0" fillId="41" borderId="184" xfId="0" applyNumberFormat="1" applyFont="1" applyFill="1" applyBorder="1" applyAlignment="1" applyProtection="1">
      <alignment vertical="center" wrapText="1"/>
      <protection locked="0"/>
    </xf>
    <xf numFmtId="9" fontId="0" fillId="41" borderId="179" xfId="0" applyNumberFormat="1" applyFont="1" applyFill="1" applyBorder="1" applyAlignment="1" applyProtection="1">
      <alignment vertical="center" wrapText="1"/>
      <protection locked="0"/>
    </xf>
    <xf numFmtId="9" fontId="0" fillId="41" borderId="48" xfId="0" applyNumberFormat="1" applyFont="1" applyFill="1" applyBorder="1" applyAlignment="1" applyProtection="1">
      <alignment vertical="center" wrapText="1"/>
      <protection locked="0"/>
    </xf>
    <xf numFmtId="9" fontId="0" fillId="41" borderId="46" xfId="0" applyNumberFormat="1" applyFont="1" applyFill="1" applyBorder="1" applyAlignment="1" applyProtection="1">
      <alignment vertical="center" wrapText="1"/>
      <protection locked="0"/>
    </xf>
    <xf numFmtId="0" fontId="11" fillId="42" borderId="51" xfId="0" applyFont="1" applyFill="1" applyBorder="1" applyAlignment="1" applyProtection="1">
      <alignment vertical="center" wrapText="1"/>
      <protection locked="0"/>
    </xf>
    <xf numFmtId="9" fontId="11" fillId="42" borderId="32" xfId="5" applyFont="1" applyFill="1" applyBorder="1" applyAlignment="1" applyProtection="1">
      <alignment vertical="center" wrapText="1"/>
      <protection locked="0"/>
    </xf>
    <xf numFmtId="0" fontId="11" fillId="42" borderId="32" xfId="0" applyFont="1" applyFill="1" applyBorder="1" applyAlignment="1" applyProtection="1">
      <alignment vertical="center" wrapText="1"/>
      <protection locked="0"/>
    </xf>
    <xf numFmtId="0" fontId="11" fillId="42" borderId="38" xfId="0" applyFont="1" applyFill="1" applyBorder="1" applyAlignment="1" applyProtection="1">
      <alignment vertical="center" wrapText="1"/>
      <protection locked="0"/>
    </xf>
    <xf numFmtId="191" fontId="11" fillId="42" borderId="99" xfId="10" applyNumberFormat="1" applyFont="1" applyFill="1" applyBorder="1" applyAlignment="1" applyProtection="1">
      <alignment vertical="center" wrapText="1"/>
      <protection locked="0"/>
    </xf>
    <xf numFmtId="191" fontId="11" fillId="42" borderId="51" xfId="10" applyNumberFormat="1" applyFont="1" applyFill="1" applyBorder="1" applyAlignment="1" applyProtection="1">
      <alignment vertical="center" wrapText="1"/>
      <protection locked="0"/>
    </xf>
    <xf numFmtId="191" fontId="11" fillId="42" borderId="32" xfId="10" applyNumberFormat="1" applyFont="1" applyFill="1" applyBorder="1" applyAlignment="1" applyProtection="1">
      <alignment vertical="center" wrapText="1"/>
      <protection locked="0"/>
    </xf>
    <xf numFmtId="191" fontId="11" fillId="42" borderId="38" xfId="10" applyNumberFormat="1" applyFont="1" applyFill="1" applyBorder="1" applyAlignment="1" applyProtection="1">
      <alignment vertical="center" wrapText="1"/>
      <protection locked="0"/>
    </xf>
    <xf numFmtId="0" fontId="11" fillId="42" borderId="99" xfId="0" applyFont="1" applyFill="1" applyBorder="1" applyAlignment="1" applyProtection="1">
      <alignment vertical="center" wrapText="1"/>
      <protection locked="0"/>
    </xf>
    <xf numFmtId="0" fontId="11" fillId="42" borderId="60" xfId="0" applyFont="1" applyFill="1" applyBorder="1" applyAlignment="1" applyProtection="1">
      <alignment vertical="center" wrapText="1"/>
      <protection locked="0"/>
    </xf>
    <xf numFmtId="0" fontId="11" fillId="42" borderId="11" xfId="0" applyFont="1" applyFill="1" applyBorder="1" applyAlignment="1" applyProtection="1">
      <alignment vertical="center" wrapText="1"/>
      <protection locked="0"/>
    </xf>
    <xf numFmtId="9" fontId="11" fillId="42" borderId="184" xfId="5" applyFont="1" applyFill="1" applyBorder="1" applyAlignment="1" applyProtection="1">
      <alignment vertical="center" wrapText="1"/>
      <protection locked="0"/>
    </xf>
    <xf numFmtId="0" fontId="11" fillId="42" borderId="184" xfId="0" applyFont="1" applyFill="1" applyBorder="1" applyAlignment="1" applyProtection="1">
      <alignment vertical="center" wrapText="1"/>
      <protection locked="0"/>
    </xf>
    <xf numFmtId="0" fontId="11" fillId="42" borderId="179" xfId="0" applyFont="1" applyFill="1" applyBorder="1" applyAlignment="1" applyProtection="1">
      <alignment vertical="center" wrapText="1"/>
      <protection locked="0"/>
    </xf>
    <xf numFmtId="191" fontId="11" fillId="42" borderId="48" xfId="10" applyNumberFormat="1" applyFont="1" applyFill="1" applyBorder="1" applyAlignment="1" applyProtection="1">
      <alignment vertical="center" wrapText="1"/>
      <protection locked="0"/>
    </xf>
    <xf numFmtId="191" fontId="11" fillId="42" borderId="11" xfId="10" applyNumberFormat="1" applyFont="1" applyFill="1" applyBorder="1" applyAlignment="1" applyProtection="1">
      <alignment vertical="center" wrapText="1"/>
      <protection locked="0"/>
    </xf>
    <xf numFmtId="191" fontId="11" fillId="42" borderId="184" xfId="10" applyNumberFormat="1" applyFont="1" applyFill="1" applyBorder="1" applyAlignment="1" applyProtection="1">
      <alignment vertical="center" wrapText="1"/>
      <protection locked="0"/>
    </xf>
    <xf numFmtId="191" fontId="11" fillId="42" borderId="179" xfId="10" applyNumberFormat="1" applyFont="1" applyFill="1" applyBorder="1" applyAlignment="1" applyProtection="1">
      <alignment vertical="center" wrapText="1"/>
      <protection locked="0"/>
    </xf>
    <xf numFmtId="0" fontId="11" fillId="42" borderId="48" xfId="0" applyFont="1" applyFill="1" applyBorder="1" applyAlignment="1" applyProtection="1">
      <alignment vertical="center" wrapText="1"/>
      <protection locked="0"/>
    </xf>
    <xf numFmtId="0" fontId="11" fillId="42" borderId="46" xfId="0" applyFont="1" applyFill="1" applyBorder="1" applyAlignment="1" applyProtection="1">
      <alignment vertical="center" wrapText="1"/>
      <protection locked="0"/>
    </xf>
    <xf numFmtId="0" fontId="11" fillId="42" borderId="94" xfId="0" applyFont="1" applyFill="1" applyBorder="1" applyAlignment="1" applyProtection="1">
      <alignment horizontal="justify" vertical="center" wrapText="1"/>
      <protection locked="0"/>
    </xf>
    <xf numFmtId="0" fontId="11" fillId="42" borderId="46" xfId="0" applyFont="1" applyFill="1" applyBorder="1" applyAlignment="1" applyProtection="1">
      <alignment horizontal="center" vertical="center" wrapText="1"/>
      <protection locked="0"/>
    </xf>
    <xf numFmtId="0" fontId="11" fillId="42" borderId="155" xfId="0" applyFont="1" applyFill="1" applyBorder="1" applyAlignment="1" applyProtection="1">
      <alignment horizontal="center" vertical="center" wrapText="1"/>
      <protection locked="0"/>
    </xf>
    <xf numFmtId="0" fontId="11" fillId="42" borderId="29" xfId="0" applyFont="1" applyFill="1" applyBorder="1" applyAlignment="1" applyProtection="1">
      <alignment vertical="center" wrapText="1"/>
      <protection locked="0"/>
    </xf>
    <xf numFmtId="9" fontId="11" fillId="42" borderId="30" xfId="5" applyFont="1" applyFill="1" applyBorder="1" applyAlignment="1" applyProtection="1">
      <alignment vertical="center" wrapText="1"/>
      <protection locked="0"/>
    </xf>
    <xf numFmtId="0" fontId="11" fillId="42" borderId="30" xfId="0" applyFont="1" applyFill="1" applyBorder="1" applyAlignment="1" applyProtection="1">
      <alignment vertical="center" wrapText="1"/>
      <protection locked="0"/>
    </xf>
    <xf numFmtId="0" fontId="11" fillId="42" borderId="66" xfId="0" applyFont="1" applyFill="1" applyBorder="1" applyAlignment="1" applyProtection="1">
      <alignment vertical="center" wrapText="1"/>
      <protection locked="0"/>
    </xf>
    <xf numFmtId="191" fontId="11" fillId="42" borderId="50" xfId="10" applyNumberFormat="1" applyFont="1" applyFill="1" applyBorder="1" applyAlignment="1" applyProtection="1">
      <alignment vertical="center" wrapText="1"/>
      <protection locked="0"/>
    </xf>
    <xf numFmtId="191" fontId="11" fillId="42" borderId="29" xfId="10" applyNumberFormat="1" applyFont="1" applyFill="1" applyBorder="1" applyAlignment="1" applyProtection="1">
      <alignment vertical="center" wrapText="1"/>
      <protection locked="0"/>
    </xf>
    <xf numFmtId="191" fontId="11" fillId="42" borderId="30" xfId="10" applyNumberFormat="1" applyFont="1" applyFill="1" applyBorder="1" applyAlignment="1" applyProtection="1">
      <alignment vertical="center" wrapText="1"/>
      <protection locked="0"/>
    </xf>
    <xf numFmtId="191" fontId="11" fillId="42" borderId="66" xfId="10" applyNumberFormat="1" applyFont="1" applyFill="1" applyBorder="1" applyAlignment="1" applyProtection="1">
      <alignment vertical="center" wrapText="1"/>
      <protection locked="0"/>
    </xf>
    <xf numFmtId="0" fontId="11" fillId="42" borderId="50" xfId="0" applyFont="1" applyFill="1" applyBorder="1" applyAlignment="1" applyProtection="1">
      <alignment vertical="center" wrapText="1"/>
      <protection locked="0"/>
    </xf>
    <xf numFmtId="0" fontId="11" fillId="42" borderId="177" xfId="0" applyFont="1" applyFill="1" applyBorder="1" applyAlignment="1" applyProtection="1">
      <alignment vertical="center" wrapText="1"/>
      <protection locked="0"/>
    </xf>
    <xf numFmtId="0" fontId="11" fillId="42" borderId="31" xfId="0" applyFont="1" applyFill="1" applyBorder="1" applyAlignment="1" applyProtection="1">
      <alignment horizontal="justify" vertical="center" wrapText="1"/>
      <protection locked="0"/>
    </xf>
    <xf numFmtId="0" fontId="11" fillId="39" borderId="51" xfId="0" applyFont="1" applyFill="1" applyBorder="1" applyAlignment="1" applyProtection="1">
      <alignment vertical="center" wrapText="1"/>
      <protection locked="0"/>
    </xf>
    <xf numFmtId="9" fontId="11" fillId="39" borderId="32" xfId="5" applyFont="1" applyFill="1" applyBorder="1" applyAlignment="1" applyProtection="1">
      <alignment vertical="center" wrapText="1"/>
      <protection locked="0"/>
    </xf>
    <xf numFmtId="0" fontId="11" fillId="39" borderId="32" xfId="0" applyFont="1" applyFill="1" applyBorder="1" applyAlignment="1" applyProtection="1">
      <alignment vertical="center" wrapText="1"/>
      <protection locked="0"/>
    </xf>
    <xf numFmtId="0" fontId="11" fillId="39" borderId="38" xfId="0" applyFont="1" applyFill="1" applyBorder="1" applyAlignment="1" applyProtection="1">
      <alignment vertical="center" wrapText="1"/>
      <protection locked="0"/>
    </xf>
    <xf numFmtId="191" fontId="11" fillId="39" borderId="99" xfId="10" applyNumberFormat="1" applyFont="1" applyFill="1" applyBorder="1" applyAlignment="1" applyProtection="1">
      <alignment vertical="center" wrapText="1"/>
      <protection locked="0"/>
    </xf>
    <xf numFmtId="191" fontId="11" fillId="39" borderId="51" xfId="10" applyNumberFormat="1" applyFont="1" applyFill="1" applyBorder="1" applyAlignment="1" applyProtection="1">
      <alignment vertical="center" wrapText="1"/>
      <protection locked="0"/>
    </xf>
    <xf numFmtId="191" fontId="11" fillId="39" borderId="32" xfId="10" applyNumberFormat="1" applyFont="1" applyFill="1" applyBorder="1" applyAlignment="1" applyProtection="1">
      <alignment vertical="center" wrapText="1"/>
      <protection locked="0"/>
    </xf>
    <xf numFmtId="191" fontId="11" fillId="39" borderId="38" xfId="10" applyNumberFormat="1" applyFont="1" applyFill="1" applyBorder="1" applyAlignment="1" applyProtection="1">
      <alignment vertical="center" wrapText="1"/>
      <protection locked="0"/>
    </xf>
    <xf numFmtId="0" fontId="11" fillId="39" borderId="99" xfId="0" applyFont="1" applyFill="1" applyBorder="1" applyAlignment="1" applyProtection="1">
      <alignment vertical="center" wrapText="1"/>
      <protection locked="0"/>
    </xf>
    <xf numFmtId="0" fontId="11" fillId="39" borderId="60" xfId="0" applyFont="1" applyFill="1" applyBorder="1" applyAlignment="1" applyProtection="1">
      <alignment vertical="center" wrapText="1"/>
      <protection locked="0"/>
    </xf>
    <xf numFmtId="0" fontId="11" fillId="39" borderId="29" xfId="0" applyFont="1" applyFill="1" applyBorder="1" applyAlignment="1" applyProtection="1">
      <alignment horizontal="center" vertical="center" wrapText="1"/>
      <protection locked="0"/>
    </xf>
    <xf numFmtId="0" fontId="0" fillId="39" borderId="29" xfId="0" applyFont="1" applyFill="1" applyBorder="1" applyAlignment="1" applyProtection="1">
      <alignment vertical="center" wrapText="1"/>
      <protection locked="0"/>
    </xf>
    <xf numFmtId="9" fontId="0" fillId="39" borderId="30" xfId="5" applyFont="1" applyFill="1" applyBorder="1" applyAlignment="1" applyProtection="1">
      <alignment vertical="center" wrapText="1"/>
      <protection locked="0"/>
    </xf>
    <xf numFmtId="0" fontId="0" fillId="39" borderId="30" xfId="0" applyFont="1" applyFill="1" applyBorder="1" applyAlignment="1" applyProtection="1">
      <alignment vertical="center" wrapText="1"/>
      <protection locked="0"/>
    </xf>
    <xf numFmtId="0" fontId="0" fillId="39" borderId="66" xfId="0" applyFont="1" applyFill="1" applyBorder="1" applyAlignment="1" applyProtection="1">
      <alignment vertical="center" wrapText="1"/>
      <protection locked="0"/>
    </xf>
    <xf numFmtId="191" fontId="0" fillId="39" borderId="50" xfId="10" applyNumberFormat="1" applyFont="1" applyFill="1" applyBorder="1" applyAlignment="1" applyProtection="1">
      <alignment vertical="center" wrapText="1"/>
      <protection locked="0"/>
    </xf>
    <xf numFmtId="191" fontId="0" fillId="39" borderId="29" xfId="10" applyNumberFormat="1" applyFont="1" applyFill="1" applyBorder="1" applyAlignment="1" applyProtection="1">
      <alignment vertical="center" wrapText="1"/>
      <protection locked="0"/>
    </xf>
    <xf numFmtId="191" fontId="0" fillId="39" borderId="30" xfId="10" applyNumberFormat="1" applyFont="1" applyFill="1" applyBorder="1" applyAlignment="1" applyProtection="1">
      <alignment vertical="center" wrapText="1"/>
      <protection locked="0"/>
    </xf>
    <xf numFmtId="191" fontId="0" fillId="39" borderId="66" xfId="10" applyNumberFormat="1" applyFont="1" applyFill="1" applyBorder="1" applyAlignment="1" applyProtection="1">
      <alignment vertical="center" wrapText="1"/>
      <protection locked="0"/>
    </xf>
    <xf numFmtId="0" fontId="0" fillId="39" borderId="50" xfId="0" applyFont="1" applyFill="1" applyBorder="1" applyAlignment="1" applyProtection="1">
      <alignment vertical="center" wrapText="1"/>
      <protection locked="0"/>
    </xf>
    <xf numFmtId="0" fontId="0" fillId="39" borderId="177" xfId="0" applyFont="1" applyFill="1" applyBorder="1" applyAlignment="1" applyProtection="1">
      <alignment vertical="center" wrapText="1"/>
      <protection locked="0"/>
    </xf>
    <xf numFmtId="0" fontId="0" fillId="43" borderId="51" xfId="0" applyFont="1" applyFill="1" applyBorder="1" applyAlignment="1" applyProtection="1">
      <alignment vertical="center" wrapText="1"/>
      <protection locked="0"/>
    </xf>
    <xf numFmtId="9" fontId="0" fillId="43" borderId="32" xfId="5" applyFont="1" applyFill="1" applyBorder="1" applyAlignment="1" applyProtection="1">
      <alignment vertical="center" wrapText="1"/>
      <protection locked="0"/>
    </xf>
    <xf numFmtId="0" fontId="0" fillId="43" borderId="32" xfId="0" applyFont="1" applyFill="1" applyBorder="1" applyAlignment="1" applyProtection="1">
      <alignment vertical="center" wrapText="1"/>
      <protection locked="0"/>
    </xf>
    <xf numFmtId="0" fontId="0" fillId="43" borderId="38" xfId="0" applyFont="1" applyFill="1" applyBorder="1" applyAlignment="1" applyProtection="1">
      <alignment vertical="center" wrapText="1"/>
      <protection locked="0"/>
    </xf>
    <xf numFmtId="191" fontId="0" fillId="43" borderId="99" xfId="10" applyNumberFormat="1" applyFont="1" applyFill="1" applyBorder="1" applyAlignment="1" applyProtection="1">
      <alignment vertical="center" wrapText="1"/>
      <protection locked="0"/>
    </xf>
    <xf numFmtId="191" fontId="0" fillId="43" borderId="51" xfId="10" applyNumberFormat="1" applyFont="1" applyFill="1" applyBorder="1" applyAlignment="1" applyProtection="1">
      <alignment vertical="center" wrapText="1"/>
      <protection locked="0"/>
    </xf>
    <xf numFmtId="191" fontId="0" fillId="43" borderId="32" xfId="10" applyNumberFormat="1" applyFont="1" applyFill="1" applyBorder="1" applyAlignment="1" applyProtection="1">
      <alignment vertical="center" wrapText="1"/>
      <protection locked="0"/>
    </xf>
    <xf numFmtId="191" fontId="0" fillId="43" borderId="38" xfId="10" applyNumberFormat="1" applyFont="1" applyFill="1" applyBorder="1" applyAlignment="1" applyProtection="1">
      <alignment vertical="center" wrapText="1"/>
      <protection locked="0"/>
    </xf>
    <xf numFmtId="0" fontId="0" fillId="43" borderId="99" xfId="0" applyFont="1" applyFill="1" applyBorder="1" applyAlignment="1" applyProtection="1">
      <alignment vertical="center" wrapText="1"/>
      <protection locked="0"/>
    </xf>
    <xf numFmtId="0" fontId="0" fillId="43" borderId="60" xfId="0" applyFont="1" applyFill="1" applyBorder="1" applyAlignment="1" applyProtection="1">
      <alignment vertical="center" wrapText="1"/>
      <protection locked="0"/>
    </xf>
    <xf numFmtId="0" fontId="0" fillId="43" borderId="11" xfId="0" applyFont="1" applyFill="1" applyBorder="1" applyAlignment="1" applyProtection="1">
      <alignment vertical="center" wrapText="1"/>
      <protection locked="0"/>
    </xf>
    <xf numFmtId="0" fontId="0" fillId="43" borderId="184" xfId="0" applyFont="1" applyFill="1" applyBorder="1" applyAlignment="1" applyProtection="1">
      <alignment vertical="center" wrapText="1"/>
      <protection locked="0"/>
    </xf>
    <xf numFmtId="0" fontId="0" fillId="43" borderId="179" xfId="0" applyFont="1" applyFill="1" applyBorder="1" applyAlignment="1" applyProtection="1">
      <alignment vertical="center" wrapText="1"/>
      <protection locked="0"/>
    </xf>
    <xf numFmtId="0" fontId="0" fillId="43" borderId="48" xfId="0" applyFont="1" applyFill="1" applyBorder="1" applyAlignment="1" applyProtection="1">
      <alignment vertical="center" wrapText="1"/>
      <protection locked="0"/>
    </xf>
    <xf numFmtId="0" fontId="0" fillId="43" borderId="46" xfId="0" applyFont="1" applyFill="1" applyBorder="1" applyAlignment="1" applyProtection="1">
      <alignment vertical="center" wrapText="1"/>
      <protection locked="0"/>
    </xf>
    <xf numFmtId="0" fontId="11" fillId="43" borderId="94" xfId="0" applyFont="1" applyFill="1" applyBorder="1" applyAlignment="1" applyProtection="1">
      <alignment horizontal="justify" vertical="center" wrapText="1"/>
      <protection locked="0"/>
    </xf>
    <xf numFmtId="0" fontId="0" fillId="43" borderId="29" xfId="0" applyFont="1" applyFill="1" applyBorder="1" applyAlignment="1" applyProtection="1">
      <alignment vertical="center" wrapText="1"/>
      <protection locked="0"/>
    </xf>
    <xf numFmtId="0" fontId="0" fillId="43" borderId="30" xfId="0" applyFont="1" applyFill="1" applyBorder="1" applyAlignment="1" applyProtection="1">
      <alignment vertical="center" wrapText="1"/>
      <protection locked="0"/>
    </xf>
    <xf numFmtId="0" fontId="0" fillId="43" borderId="66" xfId="0" applyFont="1" applyFill="1" applyBorder="1" applyAlignment="1" applyProtection="1">
      <alignment vertical="center" wrapText="1"/>
      <protection locked="0"/>
    </xf>
    <xf numFmtId="0" fontId="0" fillId="43" borderId="50" xfId="0" applyFont="1" applyFill="1" applyBorder="1" applyAlignment="1" applyProtection="1">
      <alignment vertical="center" wrapText="1"/>
      <protection locked="0"/>
    </xf>
    <xf numFmtId="0" fontId="0" fillId="43" borderId="177" xfId="0" applyFont="1" applyFill="1" applyBorder="1" applyAlignment="1" applyProtection="1">
      <alignment vertical="center" wrapText="1"/>
      <protection locked="0"/>
    </xf>
    <xf numFmtId="0" fontId="11" fillId="43" borderId="31" xfId="0" applyFont="1" applyFill="1" applyBorder="1" applyAlignment="1" applyProtection="1">
      <alignment horizontal="justify" vertical="center" wrapText="1"/>
      <protection locked="0"/>
    </xf>
    <xf numFmtId="0" fontId="0" fillId="44" borderId="51" xfId="0" applyFont="1" applyFill="1" applyBorder="1" applyAlignment="1" applyProtection="1">
      <alignment horizontal="justify" vertical="center" wrapText="1"/>
      <protection locked="0"/>
    </xf>
    <xf numFmtId="9" fontId="0" fillId="44" borderId="32" xfId="5" applyFont="1" applyFill="1" applyBorder="1" applyAlignment="1" applyProtection="1">
      <alignment horizontal="justify" vertical="center" wrapText="1"/>
      <protection locked="0"/>
    </xf>
    <xf numFmtId="0" fontId="0" fillId="44" borderId="32" xfId="0" applyFont="1" applyFill="1" applyBorder="1" applyAlignment="1" applyProtection="1">
      <alignment horizontal="justify" vertical="center" wrapText="1"/>
      <protection locked="0"/>
    </xf>
    <xf numFmtId="0" fontId="0" fillId="44" borderId="38" xfId="0" applyFont="1" applyFill="1" applyBorder="1" applyAlignment="1" applyProtection="1">
      <alignment horizontal="justify" vertical="center" wrapText="1"/>
      <protection locked="0"/>
    </xf>
    <xf numFmtId="191" fontId="0" fillId="44" borderId="99" xfId="10" applyNumberFormat="1" applyFont="1" applyFill="1" applyBorder="1" applyAlignment="1" applyProtection="1">
      <alignment horizontal="justify" vertical="center" wrapText="1"/>
      <protection locked="0"/>
    </xf>
    <xf numFmtId="191" fontId="0" fillId="44" borderId="51" xfId="10" applyNumberFormat="1" applyFont="1" applyFill="1" applyBorder="1" applyAlignment="1" applyProtection="1">
      <alignment horizontal="justify" vertical="center" wrapText="1"/>
      <protection locked="0"/>
    </xf>
    <xf numFmtId="191" fontId="0" fillId="44" borderId="32" xfId="10" applyNumberFormat="1" applyFont="1" applyFill="1" applyBorder="1" applyAlignment="1" applyProtection="1">
      <alignment horizontal="justify" vertical="center" wrapText="1"/>
      <protection locked="0"/>
    </xf>
    <xf numFmtId="191" fontId="0" fillId="44" borderId="38" xfId="10" applyNumberFormat="1" applyFont="1" applyFill="1" applyBorder="1" applyAlignment="1" applyProtection="1">
      <alignment horizontal="justify" vertical="center" wrapText="1"/>
      <protection locked="0"/>
    </xf>
    <xf numFmtId="0" fontId="0" fillId="44" borderId="99" xfId="0" applyFont="1" applyFill="1" applyBorder="1" applyAlignment="1" applyProtection="1">
      <alignment horizontal="justify" vertical="center" wrapText="1"/>
      <protection locked="0"/>
    </xf>
    <xf numFmtId="0" fontId="0" fillId="44" borderId="60" xfId="0" applyFont="1" applyFill="1" applyBorder="1" applyAlignment="1" applyProtection="1">
      <alignment horizontal="justify" vertical="center" wrapText="1"/>
      <protection locked="0"/>
    </xf>
    <xf numFmtId="0" fontId="10" fillId="44" borderId="11" xfId="0" applyFont="1" applyFill="1" applyBorder="1" applyAlignment="1" applyProtection="1">
      <alignment horizontal="center" vertical="center" wrapText="1"/>
      <protection locked="0"/>
    </xf>
    <xf numFmtId="0" fontId="0" fillId="39" borderId="7" xfId="0" applyFont="1" applyFill="1" applyBorder="1" applyAlignment="1" applyProtection="1">
      <alignment vertical="center" wrapText="1"/>
      <protection locked="0"/>
    </xf>
    <xf numFmtId="9" fontId="0" fillId="39" borderId="8" xfId="5" applyFont="1" applyFill="1" applyBorder="1" applyAlignment="1" applyProtection="1">
      <alignment vertical="center" wrapText="1"/>
      <protection locked="0"/>
    </xf>
    <xf numFmtId="0" fontId="0" fillId="39" borderId="8" xfId="0" applyFont="1" applyFill="1" applyBorder="1" applyAlignment="1" applyProtection="1">
      <alignment vertical="center" wrapText="1"/>
      <protection locked="0"/>
    </xf>
    <xf numFmtId="0" fontId="0" fillId="39" borderId="36" xfId="0" applyFont="1" applyFill="1" applyBorder="1" applyAlignment="1" applyProtection="1">
      <alignment vertical="center" wrapText="1"/>
      <protection locked="0"/>
    </xf>
    <xf numFmtId="191" fontId="0" fillId="39" borderId="16" xfId="10" applyNumberFormat="1" applyFont="1" applyFill="1" applyBorder="1" applyAlignment="1" applyProtection="1">
      <alignment vertical="center" wrapText="1"/>
      <protection locked="0"/>
    </xf>
    <xf numFmtId="191" fontId="0" fillId="39" borderId="7" xfId="10" applyNumberFormat="1" applyFont="1" applyFill="1" applyBorder="1" applyAlignment="1" applyProtection="1">
      <alignment vertical="center" wrapText="1"/>
      <protection locked="0"/>
    </xf>
    <xf numFmtId="191" fontId="0" fillId="39" borderId="8" xfId="10" applyNumberFormat="1" applyFont="1" applyFill="1" applyBorder="1" applyAlignment="1" applyProtection="1">
      <alignment vertical="center" wrapText="1"/>
      <protection locked="0"/>
    </xf>
    <xf numFmtId="191" fontId="0" fillId="39" borderId="36" xfId="10" applyNumberFormat="1" applyFont="1" applyFill="1" applyBorder="1" applyAlignment="1" applyProtection="1">
      <alignment vertical="center" wrapText="1"/>
      <protection locked="0"/>
    </xf>
    <xf numFmtId="0" fontId="0" fillId="39" borderId="16" xfId="0" applyFont="1" applyFill="1" applyBorder="1" applyAlignment="1" applyProtection="1">
      <alignment vertical="center" wrapText="1"/>
      <protection locked="0"/>
    </xf>
    <xf numFmtId="0" fontId="0" fillId="39" borderId="45" xfId="0" applyFont="1" applyFill="1" applyBorder="1" applyAlignment="1" applyProtection="1">
      <alignment vertical="center" wrapText="1"/>
      <protection locked="0"/>
    </xf>
    <xf numFmtId="0" fontId="10" fillId="39" borderId="46" xfId="0" applyFont="1" applyFill="1" applyBorder="1" applyAlignment="1" applyProtection="1">
      <alignment horizontal="center" vertical="center" wrapText="1"/>
      <protection locked="0"/>
    </xf>
    <xf numFmtId="0" fontId="10" fillId="39" borderId="155" xfId="0" applyFont="1" applyFill="1" applyBorder="1" applyAlignment="1" applyProtection="1">
      <alignment horizontal="center" vertical="center" wrapText="1"/>
      <protection locked="0"/>
    </xf>
    <xf numFmtId="0" fontId="10" fillId="39" borderId="11" xfId="0" applyFont="1" applyFill="1" applyBorder="1" applyAlignment="1" applyProtection="1">
      <alignment horizontal="center" vertical="center" wrapText="1"/>
      <protection locked="0"/>
    </xf>
    <xf numFmtId="0" fontId="0" fillId="39" borderId="31" xfId="0" applyFont="1" applyFill="1" applyBorder="1" applyAlignment="1" applyProtection="1">
      <alignment horizontal="justify" vertical="center" wrapText="1"/>
      <protection locked="0"/>
    </xf>
    <xf numFmtId="0" fontId="0" fillId="42" borderId="51" xfId="0" applyFont="1" applyFill="1" applyBorder="1" applyAlignment="1" applyProtection="1">
      <alignment vertical="center" wrapText="1"/>
      <protection locked="0"/>
    </xf>
    <xf numFmtId="9" fontId="0" fillId="42" borderId="32" xfId="5" applyFont="1" applyFill="1" applyBorder="1" applyAlignment="1" applyProtection="1">
      <alignment vertical="center" wrapText="1"/>
      <protection locked="0"/>
    </xf>
    <xf numFmtId="0" fontId="0" fillId="42" borderId="32" xfId="0" applyFont="1" applyFill="1" applyBorder="1" applyAlignment="1" applyProtection="1">
      <alignment vertical="center" wrapText="1"/>
      <protection locked="0"/>
    </xf>
    <xf numFmtId="0" fontId="0" fillId="42" borderId="38" xfId="0" applyFont="1" applyFill="1" applyBorder="1" applyAlignment="1" applyProtection="1">
      <alignment vertical="center" wrapText="1"/>
      <protection locked="0"/>
    </xf>
    <xf numFmtId="191" fontId="0" fillId="42" borderId="99" xfId="10" applyNumberFormat="1" applyFont="1" applyFill="1" applyBorder="1" applyAlignment="1" applyProtection="1">
      <alignment vertical="center" wrapText="1"/>
      <protection locked="0"/>
    </xf>
    <xf numFmtId="191" fontId="0" fillId="42" borderId="51" xfId="10" applyNumberFormat="1" applyFont="1" applyFill="1" applyBorder="1" applyAlignment="1" applyProtection="1">
      <alignment vertical="center" wrapText="1"/>
      <protection locked="0"/>
    </xf>
    <xf numFmtId="191" fontId="0" fillId="42" borderId="32" xfId="10" applyNumberFormat="1" applyFont="1" applyFill="1" applyBorder="1" applyAlignment="1" applyProtection="1">
      <alignment vertical="center" wrapText="1"/>
      <protection locked="0"/>
    </xf>
    <xf numFmtId="191" fontId="0" fillId="42" borderId="38" xfId="10" applyNumberFormat="1" applyFont="1" applyFill="1" applyBorder="1" applyAlignment="1" applyProtection="1">
      <alignment vertical="center" wrapText="1"/>
      <protection locked="0"/>
    </xf>
    <xf numFmtId="0" fontId="0" fillId="42" borderId="99" xfId="0" applyFont="1" applyFill="1" applyBorder="1" applyAlignment="1" applyProtection="1">
      <alignment vertical="center" wrapText="1"/>
      <protection locked="0"/>
    </xf>
    <xf numFmtId="0" fontId="0" fillId="42" borderId="60" xfId="0" applyFont="1" applyFill="1" applyBorder="1" applyAlignment="1" applyProtection="1">
      <alignment vertical="center" wrapText="1"/>
      <protection locked="0"/>
    </xf>
    <xf numFmtId="0" fontId="0" fillId="42" borderId="9" xfId="0" applyFont="1" applyFill="1" applyBorder="1" applyAlignment="1" applyProtection="1">
      <alignment horizontal="justify" vertical="center" wrapText="1"/>
      <protection locked="0"/>
    </xf>
    <xf numFmtId="0" fontId="0" fillId="42" borderId="46" xfId="0" applyFont="1" applyFill="1" applyBorder="1" applyAlignment="1" applyProtection="1">
      <alignment horizontal="center" vertical="top" wrapText="1"/>
      <protection locked="0"/>
    </xf>
    <xf numFmtId="0" fontId="0" fillId="42" borderId="155" xfId="0" applyFont="1" applyFill="1" applyBorder="1" applyAlignment="1" applyProtection="1">
      <alignment horizontal="center" vertical="top" wrapText="1"/>
      <protection locked="0"/>
    </xf>
    <xf numFmtId="0" fontId="10" fillId="42" borderId="94" xfId="0" applyFont="1" applyFill="1" applyBorder="1" applyAlignment="1" applyProtection="1">
      <alignment horizontal="justify" vertical="center" wrapText="1"/>
      <protection locked="0"/>
    </xf>
    <xf numFmtId="0" fontId="10" fillId="42" borderId="31" xfId="0" applyFont="1" applyFill="1" applyBorder="1" applyAlignment="1" applyProtection="1">
      <alignment horizontal="justify" vertical="center" wrapText="1"/>
      <protection locked="0"/>
    </xf>
    <xf numFmtId="0" fontId="0" fillId="39" borderId="100" xfId="0" applyFont="1" applyFill="1" applyBorder="1" applyAlignment="1" applyProtection="1">
      <alignment horizontal="center" vertical="center" wrapText="1"/>
      <protection locked="0"/>
    </xf>
    <xf numFmtId="9" fontId="0" fillId="39" borderId="32" xfId="5" applyFont="1" applyFill="1" applyBorder="1" applyAlignment="1" applyProtection="1">
      <alignment horizontal="center" vertical="center" wrapText="1"/>
      <protection locked="0"/>
    </xf>
    <xf numFmtId="0" fontId="0" fillId="39" borderId="38" xfId="0" applyFont="1" applyFill="1" applyBorder="1" applyAlignment="1" applyProtection="1">
      <alignment horizontal="center" vertical="center" wrapText="1"/>
      <protection locked="0"/>
    </xf>
    <xf numFmtId="191" fontId="0" fillId="39" borderId="99" xfId="10" applyNumberFormat="1" applyFont="1" applyFill="1" applyBorder="1" applyAlignment="1" applyProtection="1">
      <alignment horizontal="center" vertical="center" wrapText="1"/>
      <protection locked="0"/>
    </xf>
    <xf numFmtId="191" fontId="0" fillId="39" borderId="51" xfId="10" applyNumberFormat="1" applyFont="1" applyFill="1" applyBorder="1" applyAlignment="1" applyProtection="1">
      <alignment horizontal="center" vertical="center" wrapText="1"/>
      <protection locked="0"/>
    </xf>
    <xf numFmtId="191" fontId="0" fillId="39" borderId="32" xfId="10" applyNumberFormat="1" applyFont="1" applyFill="1" applyBorder="1" applyAlignment="1" applyProtection="1">
      <alignment horizontal="center" vertical="center" wrapText="1"/>
      <protection locked="0"/>
    </xf>
    <xf numFmtId="191" fontId="0" fillId="39" borderId="38" xfId="10" applyNumberFormat="1" applyFont="1" applyFill="1" applyBorder="1" applyAlignment="1" applyProtection="1">
      <alignment horizontal="center" vertical="center" wrapText="1"/>
      <protection locked="0"/>
    </xf>
    <xf numFmtId="0" fontId="0" fillId="39" borderId="99" xfId="0" applyFont="1" applyFill="1" applyBorder="1" applyAlignment="1" applyProtection="1">
      <alignment horizontal="center" vertical="center" wrapText="1"/>
      <protection locked="0"/>
    </xf>
    <xf numFmtId="0" fontId="0" fillId="39" borderId="155" xfId="0" applyFont="1" applyFill="1" applyBorder="1" applyAlignment="1" applyProtection="1">
      <alignment horizontal="center" vertical="center" wrapText="1"/>
      <protection locked="0"/>
    </xf>
    <xf numFmtId="0" fontId="0" fillId="39" borderId="184" xfId="0" applyFont="1" applyFill="1" applyBorder="1" applyAlignment="1" applyProtection="1">
      <alignment horizontal="center" vertical="center" wrapText="1"/>
      <protection locked="0"/>
    </xf>
    <xf numFmtId="0" fontId="0" fillId="39" borderId="179" xfId="0" applyFont="1" applyFill="1" applyBorder="1" applyAlignment="1" applyProtection="1">
      <alignment horizontal="center" vertical="center" wrapText="1"/>
      <protection locked="0"/>
    </xf>
    <xf numFmtId="0" fontId="0" fillId="39" borderId="48" xfId="0" applyFont="1" applyFill="1" applyBorder="1" applyAlignment="1" applyProtection="1">
      <alignment horizontal="center" vertical="center" wrapText="1"/>
      <protection locked="0"/>
    </xf>
    <xf numFmtId="0" fontId="7" fillId="39" borderId="46" xfId="0" applyFont="1" applyFill="1" applyBorder="1" applyAlignment="1" applyProtection="1">
      <alignment horizontal="center" vertical="center" wrapText="1"/>
      <protection locked="0"/>
    </xf>
    <xf numFmtId="0" fontId="7" fillId="39" borderId="155" xfId="0" applyFont="1" applyFill="1" applyBorder="1" applyAlignment="1" applyProtection="1">
      <alignment horizontal="center" vertical="center" wrapText="1"/>
      <protection locked="0"/>
    </xf>
    <xf numFmtId="0" fontId="10" fillId="39" borderId="11" xfId="0" applyFont="1" applyFill="1" applyBorder="1" applyAlignment="1" applyProtection="1">
      <alignment vertical="center" wrapText="1"/>
      <protection locked="0"/>
    </xf>
    <xf numFmtId="9" fontId="10" fillId="39" borderId="184" xfId="5" applyFont="1" applyFill="1" applyBorder="1" applyAlignment="1" applyProtection="1">
      <alignment vertical="center" wrapText="1"/>
      <protection locked="0"/>
    </xf>
    <xf numFmtId="0" fontId="10" fillId="39" borderId="184" xfId="0" applyFont="1" applyFill="1" applyBorder="1" applyAlignment="1" applyProtection="1">
      <alignment vertical="center" wrapText="1"/>
      <protection locked="0"/>
    </xf>
    <xf numFmtId="0" fontId="10" fillId="39" borderId="179" xfId="0" applyFont="1" applyFill="1" applyBorder="1" applyAlignment="1" applyProtection="1">
      <alignment vertical="center" wrapText="1"/>
      <protection locked="0"/>
    </xf>
    <xf numFmtId="191" fontId="10" fillId="39" borderId="48" xfId="10" applyNumberFormat="1" applyFont="1" applyFill="1" applyBorder="1" applyAlignment="1" applyProtection="1">
      <alignment vertical="center" wrapText="1"/>
      <protection locked="0"/>
    </xf>
    <xf numFmtId="191" fontId="10" fillId="39" borderId="11" xfId="10" applyNumberFormat="1" applyFont="1" applyFill="1" applyBorder="1" applyAlignment="1" applyProtection="1">
      <alignment vertical="center" wrapText="1"/>
      <protection locked="0"/>
    </xf>
    <xf numFmtId="191" fontId="10" fillId="39" borderId="184" xfId="10" applyNumberFormat="1" applyFont="1" applyFill="1" applyBorder="1" applyAlignment="1" applyProtection="1">
      <alignment vertical="center" wrapText="1"/>
      <protection locked="0"/>
    </xf>
    <xf numFmtId="191" fontId="10" fillId="39" borderId="179" xfId="10" applyNumberFormat="1" applyFont="1" applyFill="1" applyBorder="1" applyAlignment="1" applyProtection="1">
      <alignment vertical="center" wrapText="1"/>
      <protection locked="0"/>
    </xf>
    <xf numFmtId="0" fontId="10" fillId="39" borderId="48" xfId="0" applyFont="1" applyFill="1" applyBorder="1" applyAlignment="1" applyProtection="1">
      <alignment vertical="center" wrapText="1"/>
      <protection locked="0"/>
    </xf>
    <xf numFmtId="0" fontId="10" fillId="39" borderId="46" xfId="0" applyFont="1" applyFill="1" applyBorder="1" applyAlignment="1" applyProtection="1">
      <alignment vertical="center" wrapText="1"/>
      <protection locked="0"/>
    </xf>
    <xf numFmtId="0" fontId="10" fillId="39" borderId="11" xfId="0" applyFont="1" applyFill="1" applyBorder="1" applyAlignment="1" applyProtection="1">
      <alignment horizontal="justify" vertical="center" wrapText="1"/>
      <protection locked="0"/>
    </xf>
    <xf numFmtId="9" fontId="10" fillId="39" borderId="184" xfId="5" applyFont="1" applyFill="1" applyBorder="1" applyAlignment="1" applyProtection="1">
      <alignment horizontal="justify" vertical="center" wrapText="1"/>
      <protection locked="0"/>
    </xf>
    <xf numFmtId="0" fontId="10" fillId="39" borderId="179" xfId="0" applyFont="1" applyFill="1" applyBorder="1" applyAlignment="1" applyProtection="1">
      <alignment horizontal="justify" vertical="center" wrapText="1"/>
      <protection locked="0"/>
    </xf>
    <xf numFmtId="191" fontId="10" fillId="39" borderId="48" xfId="10" applyNumberFormat="1" applyFont="1" applyFill="1" applyBorder="1" applyAlignment="1" applyProtection="1">
      <alignment horizontal="justify" vertical="center" wrapText="1"/>
      <protection locked="0"/>
    </xf>
    <xf numFmtId="191" fontId="10" fillId="39" borderId="11" xfId="10" applyNumberFormat="1" applyFont="1" applyFill="1" applyBorder="1" applyAlignment="1" applyProtection="1">
      <alignment horizontal="justify" vertical="center" wrapText="1"/>
      <protection locked="0"/>
    </xf>
    <xf numFmtId="191" fontId="10" fillId="39" borderId="184" xfId="10" applyNumberFormat="1" applyFont="1" applyFill="1" applyBorder="1" applyAlignment="1" applyProtection="1">
      <alignment horizontal="justify" vertical="center" wrapText="1"/>
      <protection locked="0"/>
    </xf>
    <xf numFmtId="191" fontId="10" fillId="39" borderId="179" xfId="10" applyNumberFormat="1" applyFont="1" applyFill="1" applyBorder="1" applyAlignment="1" applyProtection="1">
      <alignment horizontal="justify" vertical="center" wrapText="1"/>
      <protection locked="0"/>
    </xf>
    <xf numFmtId="0" fontId="10" fillId="39" borderId="48" xfId="0" applyFont="1" applyFill="1" applyBorder="1" applyAlignment="1" applyProtection="1">
      <alignment horizontal="justify" vertical="center" wrapText="1"/>
      <protection locked="0"/>
    </xf>
    <xf numFmtId="0" fontId="10" fillId="39" borderId="46" xfId="0" applyFont="1" applyFill="1" applyBorder="1" applyAlignment="1" applyProtection="1">
      <alignment horizontal="justify" vertical="center" wrapText="1"/>
      <protection locked="0"/>
    </xf>
    <xf numFmtId="0" fontId="0" fillId="39" borderId="161" xfId="0" applyFont="1" applyFill="1" applyBorder="1" applyAlignment="1" applyProtection="1">
      <alignment horizontal="center" vertical="center" wrapText="1"/>
      <protection locked="0"/>
    </xf>
    <xf numFmtId="0" fontId="10" fillId="39" borderId="29" xfId="0" applyFont="1" applyFill="1" applyBorder="1" applyAlignment="1" applyProtection="1">
      <alignment horizontal="justify" vertical="center" wrapText="1"/>
      <protection locked="0"/>
    </xf>
    <xf numFmtId="9" fontId="10" fillId="39" borderId="30" xfId="5" applyFont="1" applyFill="1" applyBorder="1" applyAlignment="1" applyProtection="1">
      <alignment horizontal="justify" vertical="center" wrapText="1"/>
      <protection locked="0"/>
    </xf>
    <xf numFmtId="0" fontId="10" fillId="39" borderId="30" xfId="0" applyFont="1" applyFill="1" applyBorder="1" applyAlignment="1" applyProtection="1">
      <alignment horizontal="justify" vertical="center" wrapText="1"/>
      <protection locked="0"/>
    </xf>
    <xf numFmtId="0" fontId="10" fillId="39" borderId="66" xfId="0" applyFont="1" applyFill="1" applyBorder="1" applyAlignment="1" applyProtection="1">
      <alignment horizontal="justify" vertical="center" wrapText="1"/>
      <protection locked="0"/>
    </xf>
    <xf numFmtId="191" fontId="10" fillId="39" borderId="50" xfId="10" applyNumberFormat="1" applyFont="1" applyFill="1" applyBorder="1" applyAlignment="1" applyProtection="1">
      <alignment horizontal="justify" vertical="center" wrapText="1"/>
      <protection locked="0"/>
    </xf>
    <xf numFmtId="191" fontId="10" fillId="39" borderId="29" xfId="10" applyNumberFormat="1" applyFont="1" applyFill="1" applyBorder="1" applyAlignment="1" applyProtection="1">
      <alignment horizontal="justify" vertical="center" wrapText="1"/>
      <protection locked="0"/>
    </xf>
    <xf numFmtId="191" fontId="10" fillId="39" borderId="30" xfId="10" applyNumberFormat="1" applyFont="1" applyFill="1" applyBorder="1" applyAlignment="1" applyProtection="1">
      <alignment horizontal="justify" vertical="center" wrapText="1"/>
      <protection locked="0"/>
    </xf>
    <xf numFmtId="191" fontId="10" fillId="39" borderId="66" xfId="10" applyNumberFormat="1" applyFont="1" applyFill="1" applyBorder="1" applyAlignment="1" applyProtection="1">
      <alignment horizontal="justify" vertical="center" wrapText="1"/>
      <protection locked="0"/>
    </xf>
    <xf numFmtId="0" fontId="10" fillId="39" borderId="50" xfId="0" applyFont="1" applyFill="1" applyBorder="1" applyAlignment="1" applyProtection="1">
      <alignment horizontal="justify" vertical="center" wrapText="1"/>
      <protection locked="0"/>
    </xf>
    <xf numFmtId="0" fontId="10" fillId="39" borderId="177" xfId="0" applyFont="1" applyFill="1" applyBorder="1" applyAlignment="1" applyProtection="1">
      <alignment horizontal="justify" vertical="center" wrapText="1"/>
      <protection locked="0"/>
    </xf>
    <xf numFmtId="0" fontId="0" fillId="41" borderId="100" xfId="0" applyFont="1" applyFill="1" applyBorder="1" applyAlignment="1" applyProtection="1">
      <alignment horizontal="center" vertical="center" wrapText="1"/>
      <protection locked="0"/>
    </xf>
    <xf numFmtId="0" fontId="11" fillId="41" borderId="51" xfId="0" applyFont="1" applyFill="1" applyBorder="1" applyAlignment="1" applyProtection="1">
      <alignment horizontal="justify" vertical="center" wrapText="1"/>
      <protection locked="0"/>
    </xf>
    <xf numFmtId="9" fontId="11" fillId="41" borderId="32" xfId="5" applyFont="1" applyFill="1" applyBorder="1" applyAlignment="1" applyProtection="1">
      <alignment horizontal="justify" vertical="center" wrapText="1"/>
      <protection locked="0"/>
    </xf>
    <xf numFmtId="0" fontId="11" fillId="41" borderId="38" xfId="0" applyFont="1" applyFill="1" applyBorder="1" applyAlignment="1" applyProtection="1">
      <alignment horizontal="justify" vertical="center" wrapText="1"/>
      <protection locked="0"/>
    </xf>
    <xf numFmtId="191" fontId="11" fillId="41" borderId="99" xfId="10" applyNumberFormat="1" applyFont="1" applyFill="1" applyBorder="1" applyAlignment="1" applyProtection="1">
      <alignment horizontal="justify" vertical="center" wrapText="1"/>
      <protection locked="0"/>
    </xf>
    <xf numFmtId="191" fontId="11" fillId="41" borderId="51" xfId="10" applyNumberFormat="1" applyFont="1" applyFill="1" applyBorder="1" applyAlignment="1" applyProtection="1">
      <alignment horizontal="justify" vertical="center" wrapText="1"/>
      <protection locked="0"/>
    </xf>
    <xf numFmtId="191" fontId="11" fillId="41" borderId="32" xfId="10" applyNumberFormat="1" applyFont="1" applyFill="1" applyBorder="1" applyAlignment="1" applyProtection="1">
      <alignment horizontal="justify" vertical="center" wrapText="1"/>
      <protection locked="0"/>
    </xf>
    <xf numFmtId="191" fontId="11" fillId="41" borderId="38" xfId="10" applyNumberFormat="1" applyFont="1" applyFill="1" applyBorder="1" applyAlignment="1" applyProtection="1">
      <alignment horizontal="justify" vertical="center" wrapText="1"/>
      <protection locked="0"/>
    </xf>
    <xf numFmtId="0" fontId="11" fillId="41" borderId="99" xfId="0" applyFont="1" applyFill="1" applyBorder="1" applyAlignment="1" applyProtection="1">
      <alignment horizontal="justify" vertical="center" wrapText="1"/>
      <protection locked="0"/>
    </xf>
    <xf numFmtId="0" fontId="11" fillId="41" borderId="60" xfId="0" applyFont="1" applyFill="1" applyBorder="1" applyAlignment="1" applyProtection="1">
      <alignment horizontal="justify" vertical="center" wrapText="1"/>
      <protection locked="0"/>
    </xf>
    <xf numFmtId="0" fontId="11" fillId="41" borderId="11" xfId="0" applyFont="1" applyFill="1" applyBorder="1" applyAlignment="1" applyProtection="1">
      <alignment horizontal="justify" vertical="center" wrapText="1"/>
      <protection locked="0"/>
    </xf>
    <xf numFmtId="9" fontId="11" fillId="41" borderId="184" xfId="5" applyFont="1" applyFill="1" applyBorder="1" applyAlignment="1" applyProtection="1">
      <alignment horizontal="justify" vertical="center" wrapText="1"/>
      <protection locked="0"/>
    </xf>
    <xf numFmtId="0" fontId="11" fillId="41" borderId="179" xfId="0" applyFont="1" applyFill="1" applyBorder="1" applyAlignment="1" applyProtection="1">
      <alignment horizontal="justify" vertical="center" wrapText="1"/>
      <protection locked="0"/>
    </xf>
    <xf numFmtId="191" fontId="11" fillId="41" borderId="48" xfId="10" applyNumberFormat="1" applyFont="1" applyFill="1" applyBorder="1" applyAlignment="1" applyProtection="1">
      <alignment horizontal="justify" vertical="center" wrapText="1"/>
      <protection locked="0"/>
    </xf>
    <xf numFmtId="191" fontId="11" fillId="41" borderId="11" xfId="10" applyNumberFormat="1" applyFont="1" applyFill="1" applyBorder="1" applyAlignment="1" applyProtection="1">
      <alignment horizontal="justify" vertical="center" wrapText="1"/>
      <protection locked="0"/>
    </xf>
    <xf numFmtId="191" fontId="11" fillId="41" borderId="184" xfId="10" applyNumberFormat="1" applyFont="1" applyFill="1" applyBorder="1" applyAlignment="1" applyProtection="1">
      <alignment horizontal="justify" vertical="center" wrapText="1"/>
      <protection locked="0"/>
    </xf>
    <xf numFmtId="191" fontId="11" fillId="41" borderId="179" xfId="10" applyNumberFormat="1" applyFont="1" applyFill="1" applyBorder="1" applyAlignment="1" applyProtection="1">
      <alignment horizontal="justify" vertical="center" wrapText="1"/>
      <protection locked="0"/>
    </xf>
    <xf numFmtId="0" fontId="11" fillId="41" borderId="48" xfId="0" applyFont="1" applyFill="1" applyBorder="1" applyAlignment="1" applyProtection="1">
      <alignment horizontal="justify" vertical="center" wrapText="1"/>
      <protection locked="0"/>
    </xf>
    <xf numFmtId="0" fontId="11" fillId="41" borderId="46" xfId="0" applyFont="1" applyFill="1" applyBorder="1" applyAlignment="1" applyProtection="1">
      <alignment horizontal="justify" vertical="center" wrapText="1"/>
      <protection locked="0"/>
    </xf>
    <xf numFmtId="0" fontId="7" fillId="41" borderId="177" xfId="0" applyFont="1" applyFill="1" applyBorder="1" applyAlignment="1" applyProtection="1">
      <alignment horizontal="center"/>
      <protection locked="0"/>
    </xf>
    <xf numFmtId="0" fontId="7" fillId="41" borderId="161" xfId="0" applyFont="1" applyFill="1" applyBorder="1" applyAlignment="1" applyProtection="1">
      <alignment horizontal="center"/>
      <protection locked="0"/>
    </xf>
    <xf numFmtId="0" fontId="7" fillId="41" borderId="31" xfId="0" applyFont="1" applyFill="1" applyBorder="1" applyAlignment="1" applyProtection="1">
      <alignment horizontal="justify" vertical="center"/>
      <protection locked="0"/>
    </xf>
    <xf numFmtId="0" fontId="0" fillId="43" borderId="60" xfId="0" applyFont="1" applyFill="1" applyBorder="1" applyAlignment="1" applyProtection="1">
      <alignment horizontal="center" vertical="center"/>
      <protection locked="0"/>
    </xf>
    <xf numFmtId="0" fontId="0" fillId="43" borderId="100" xfId="0" applyFont="1" applyFill="1" applyBorder="1" applyAlignment="1" applyProtection="1">
      <alignment horizontal="center" vertical="center"/>
      <protection locked="0"/>
    </xf>
    <xf numFmtId="0" fontId="0" fillId="43" borderId="52" xfId="0" applyFont="1" applyFill="1" applyBorder="1" applyAlignment="1" applyProtection="1">
      <alignment horizontal="justify" vertical="center"/>
      <protection locked="0"/>
    </xf>
    <xf numFmtId="0" fontId="11" fillId="43" borderId="11" xfId="0" applyFont="1" applyFill="1" applyBorder="1" applyAlignment="1" applyProtection="1">
      <alignment vertical="center" wrapText="1"/>
      <protection locked="0"/>
    </xf>
    <xf numFmtId="9" fontId="11" fillId="43" borderId="184" xfId="5" applyFont="1" applyFill="1" applyBorder="1" applyAlignment="1" applyProtection="1">
      <alignment vertical="center" wrapText="1"/>
      <protection locked="0"/>
    </xf>
    <xf numFmtId="0" fontId="11" fillId="43" borderId="184" xfId="0" applyFont="1" applyFill="1" applyBorder="1" applyAlignment="1" applyProtection="1">
      <alignment vertical="center" wrapText="1"/>
      <protection locked="0"/>
    </xf>
    <xf numFmtId="0" fontId="11" fillId="43" borderId="179" xfId="0" applyFont="1" applyFill="1" applyBorder="1" applyAlignment="1" applyProtection="1">
      <alignment vertical="center" wrapText="1"/>
      <protection locked="0"/>
    </xf>
    <xf numFmtId="191" fontId="11" fillId="43" borderId="48" xfId="10" applyNumberFormat="1" applyFont="1" applyFill="1" applyBorder="1" applyAlignment="1" applyProtection="1">
      <alignment vertical="center" wrapText="1"/>
      <protection locked="0"/>
    </xf>
    <xf numFmtId="191" fontId="11" fillId="43" borderId="11" xfId="10" applyNumberFormat="1" applyFont="1" applyFill="1" applyBorder="1" applyAlignment="1" applyProtection="1">
      <alignment vertical="center" wrapText="1"/>
      <protection locked="0"/>
    </xf>
    <xf numFmtId="191" fontId="11" fillId="43" borderId="184" xfId="10" applyNumberFormat="1" applyFont="1" applyFill="1" applyBorder="1" applyAlignment="1" applyProtection="1">
      <alignment vertical="center" wrapText="1"/>
      <protection locked="0"/>
    </xf>
    <xf numFmtId="191" fontId="11" fillId="43" borderId="179" xfId="10" applyNumberFormat="1" applyFont="1" applyFill="1" applyBorder="1" applyAlignment="1" applyProtection="1">
      <alignment vertical="center" wrapText="1"/>
      <protection locked="0"/>
    </xf>
    <xf numFmtId="0" fontId="11" fillId="43" borderId="48" xfId="0" applyFont="1" applyFill="1" applyBorder="1" applyAlignment="1" applyProtection="1">
      <alignment vertical="center" wrapText="1"/>
      <protection locked="0"/>
    </xf>
    <xf numFmtId="0" fontId="11" fillId="43" borderId="46" xfId="0" applyFont="1" applyFill="1" applyBorder="1" applyAlignment="1" applyProtection="1">
      <alignment vertical="center" wrapText="1"/>
      <protection locked="0"/>
    </xf>
    <xf numFmtId="0" fontId="11" fillId="43" borderId="177" xfId="0" applyFont="1" applyFill="1" applyBorder="1" applyAlignment="1" applyProtection="1">
      <alignment horizontal="center" vertical="center" wrapText="1"/>
      <protection locked="0"/>
    </xf>
    <xf numFmtId="0" fontId="11" fillId="43" borderId="161" xfId="0" applyFont="1" applyFill="1" applyBorder="1" applyAlignment="1" applyProtection="1">
      <alignment horizontal="center" vertical="center" wrapText="1"/>
      <protection locked="0"/>
    </xf>
    <xf numFmtId="0" fontId="11" fillId="43" borderId="29" xfId="0" applyFont="1" applyFill="1" applyBorder="1" applyAlignment="1" applyProtection="1">
      <alignment vertical="center" wrapText="1"/>
      <protection locked="0"/>
    </xf>
    <xf numFmtId="9" fontId="11" fillId="43" borderId="30" xfId="5" applyFont="1" applyFill="1" applyBorder="1" applyAlignment="1" applyProtection="1">
      <alignment vertical="center" wrapText="1"/>
      <protection locked="0"/>
    </xf>
    <xf numFmtId="0" fontId="11" fillId="43" borderId="30" xfId="0" applyFont="1" applyFill="1" applyBorder="1" applyAlignment="1" applyProtection="1">
      <alignment vertical="center" wrapText="1"/>
      <protection locked="0"/>
    </xf>
    <xf numFmtId="0" fontId="11" fillId="43" borderId="66" xfId="0" applyFont="1" applyFill="1" applyBorder="1" applyAlignment="1" applyProtection="1">
      <alignment vertical="center" wrapText="1"/>
      <protection locked="0"/>
    </xf>
    <xf numFmtId="191" fontId="11" fillId="43" borderId="50" xfId="10" applyNumberFormat="1" applyFont="1" applyFill="1" applyBorder="1" applyAlignment="1" applyProtection="1">
      <alignment vertical="center" wrapText="1"/>
      <protection locked="0"/>
    </xf>
    <xf numFmtId="191" fontId="11" fillId="43" borderId="29" xfId="10" applyNumberFormat="1" applyFont="1" applyFill="1" applyBorder="1" applyAlignment="1" applyProtection="1">
      <alignment vertical="center" wrapText="1"/>
      <protection locked="0"/>
    </xf>
    <xf numFmtId="191" fontId="11" fillId="43" borderId="30" xfId="10" applyNumberFormat="1" applyFont="1" applyFill="1" applyBorder="1" applyAlignment="1" applyProtection="1">
      <alignment vertical="center" wrapText="1"/>
      <protection locked="0"/>
    </xf>
    <xf numFmtId="191" fontId="11" fillId="43" borderId="66" xfId="10" applyNumberFormat="1" applyFont="1" applyFill="1" applyBorder="1" applyAlignment="1" applyProtection="1">
      <alignment vertical="center" wrapText="1"/>
      <protection locked="0"/>
    </xf>
    <xf numFmtId="0" fontId="11" fillId="43" borderId="50" xfId="0" applyFont="1" applyFill="1" applyBorder="1" applyAlignment="1" applyProtection="1">
      <alignment vertical="center" wrapText="1"/>
      <protection locked="0"/>
    </xf>
    <xf numFmtId="0" fontId="11" fillId="43" borderId="177" xfId="0" applyFont="1" applyFill="1" applyBorder="1" applyAlignment="1" applyProtection="1">
      <alignment vertical="center" wrapText="1"/>
      <protection locked="0"/>
    </xf>
    <xf numFmtId="0" fontId="10" fillId="42" borderId="11" xfId="0" applyFont="1" applyFill="1" applyBorder="1" applyAlignment="1" applyProtection="1">
      <alignment vertical="center" wrapText="1"/>
      <protection locked="0"/>
    </xf>
    <xf numFmtId="9" fontId="10" fillId="42" borderId="184" xfId="5" applyFont="1" applyFill="1" applyBorder="1" applyAlignment="1" applyProtection="1">
      <alignment vertical="center" wrapText="1"/>
      <protection locked="0"/>
    </xf>
    <xf numFmtId="0" fontId="10" fillId="42" borderId="184" xfId="0" applyFont="1" applyFill="1" applyBorder="1" applyAlignment="1" applyProtection="1">
      <alignment vertical="center" wrapText="1"/>
      <protection locked="0"/>
    </xf>
    <xf numFmtId="0" fontId="10" fillId="42" borderId="179" xfId="0" applyFont="1" applyFill="1" applyBorder="1" applyAlignment="1" applyProtection="1">
      <alignment vertical="center" wrapText="1"/>
      <protection locked="0"/>
    </xf>
    <xf numFmtId="191" fontId="10" fillId="42" borderId="48" xfId="10" applyNumberFormat="1" applyFont="1" applyFill="1" applyBorder="1" applyAlignment="1" applyProtection="1">
      <alignment vertical="center" wrapText="1"/>
      <protection locked="0"/>
    </xf>
    <xf numFmtId="191" fontId="10" fillId="42" borderId="11" xfId="10" applyNumberFormat="1" applyFont="1" applyFill="1" applyBorder="1" applyAlignment="1" applyProtection="1">
      <alignment vertical="center" wrapText="1"/>
      <protection locked="0"/>
    </xf>
    <xf numFmtId="191" fontId="10" fillId="42" borderId="184" xfId="10" applyNumberFormat="1" applyFont="1" applyFill="1" applyBorder="1" applyAlignment="1" applyProtection="1">
      <alignment vertical="center" wrapText="1"/>
      <protection locked="0"/>
    </xf>
    <xf numFmtId="191" fontId="10" fillId="42" borderId="179" xfId="10" applyNumberFormat="1" applyFont="1" applyFill="1" applyBorder="1" applyAlignment="1" applyProtection="1">
      <alignment vertical="center" wrapText="1"/>
      <protection locked="0"/>
    </xf>
    <xf numFmtId="0" fontId="10" fillId="42" borderId="48" xfId="0" applyFont="1" applyFill="1" applyBorder="1" applyAlignment="1" applyProtection="1">
      <alignment vertical="center" wrapText="1"/>
      <protection locked="0"/>
    </xf>
    <xf numFmtId="0" fontId="10" fillId="42" borderId="46" xfId="0" applyFont="1" applyFill="1" applyBorder="1" applyAlignment="1" applyProtection="1">
      <alignment vertical="center" wrapText="1"/>
      <protection locked="0"/>
    </xf>
    <xf numFmtId="0" fontId="10" fillId="42" borderId="11" xfId="0" applyFont="1" applyFill="1" applyBorder="1" applyAlignment="1" applyProtection="1">
      <alignment horizontal="left" vertical="center" wrapText="1"/>
      <protection locked="0"/>
    </xf>
    <xf numFmtId="9" fontId="10" fillId="42" borderId="184" xfId="5" applyFont="1" applyFill="1" applyBorder="1" applyAlignment="1" applyProtection="1">
      <alignment horizontal="left" vertical="center" wrapText="1"/>
      <protection locked="0"/>
    </xf>
    <xf numFmtId="0" fontId="10" fillId="42" borderId="184" xfId="0" applyFont="1" applyFill="1" applyBorder="1" applyAlignment="1" applyProtection="1">
      <alignment horizontal="left" vertical="center" wrapText="1"/>
      <protection locked="0"/>
    </xf>
    <xf numFmtId="0" fontId="10" fillId="42" borderId="179" xfId="0" applyFont="1" applyFill="1" applyBorder="1" applyAlignment="1" applyProtection="1">
      <alignment horizontal="left" vertical="center" wrapText="1"/>
      <protection locked="0"/>
    </xf>
    <xf numFmtId="191" fontId="10" fillId="42" borderId="48" xfId="10" applyNumberFormat="1" applyFont="1" applyFill="1" applyBorder="1" applyAlignment="1" applyProtection="1">
      <alignment horizontal="left" vertical="center" wrapText="1"/>
      <protection locked="0"/>
    </xf>
    <xf numFmtId="191" fontId="10" fillId="42" borderId="11" xfId="10" applyNumberFormat="1" applyFont="1" applyFill="1" applyBorder="1" applyAlignment="1" applyProtection="1">
      <alignment horizontal="left" vertical="center" wrapText="1"/>
      <protection locked="0"/>
    </xf>
    <xf numFmtId="191" fontId="10" fillId="42" borderId="184" xfId="10" applyNumberFormat="1" applyFont="1" applyFill="1" applyBorder="1" applyAlignment="1" applyProtection="1">
      <alignment horizontal="left" vertical="center" wrapText="1"/>
      <protection locked="0"/>
    </xf>
    <xf numFmtId="191" fontId="10" fillId="42" borderId="179" xfId="10" applyNumberFormat="1" applyFont="1" applyFill="1" applyBorder="1" applyAlignment="1" applyProtection="1">
      <alignment horizontal="left" vertical="center" wrapText="1"/>
      <protection locked="0"/>
    </xf>
    <xf numFmtId="0" fontId="10" fillId="42" borderId="48" xfId="0" applyFont="1" applyFill="1" applyBorder="1" applyAlignment="1" applyProtection="1">
      <alignment horizontal="left" vertical="center" wrapText="1"/>
      <protection locked="0"/>
    </xf>
    <xf numFmtId="0" fontId="10" fillId="42" borderId="46" xfId="0" applyFont="1" applyFill="1" applyBorder="1" applyAlignment="1" applyProtection="1">
      <alignment horizontal="left" vertical="center" wrapText="1"/>
      <protection locked="0"/>
    </xf>
    <xf numFmtId="0" fontId="0" fillId="41" borderId="11" xfId="2" applyFont="1" applyFill="1" applyBorder="1" applyAlignment="1" applyProtection="1">
      <alignment horizontal="center" vertical="center" wrapText="1"/>
      <protection locked="0"/>
    </xf>
    <xf numFmtId="0" fontId="0" fillId="41" borderId="184" xfId="2" applyFont="1" applyFill="1" applyBorder="1" applyAlignment="1" applyProtection="1">
      <alignment horizontal="center" vertical="center" wrapText="1"/>
      <protection locked="0"/>
    </xf>
    <xf numFmtId="0" fontId="0" fillId="41" borderId="179" xfId="2" applyFont="1" applyFill="1" applyBorder="1" applyAlignment="1" applyProtection="1">
      <alignment horizontal="center" vertical="center" wrapText="1"/>
      <protection locked="0"/>
    </xf>
    <xf numFmtId="0" fontId="0" fillId="41" borderId="48" xfId="2" applyFont="1" applyFill="1" applyBorder="1" applyAlignment="1" applyProtection="1">
      <alignment horizontal="center" vertical="center" wrapText="1"/>
      <protection locked="0"/>
    </xf>
    <xf numFmtId="0" fontId="0" fillId="41" borderId="46" xfId="2" applyFont="1" applyFill="1" applyBorder="1" applyAlignment="1" applyProtection="1">
      <alignment horizontal="center" vertical="center" wrapText="1"/>
      <protection locked="0"/>
    </xf>
    <xf numFmtId="0" fontId="0" fillId="41" borderId="11" xfId="2" applyFont="1" applyFill="1" applyBorder="1" applyAlignment="1" applyProtection="1">
      <alignment vertical="center" wrapText="1"/>
      <protection locked="0"/>
    </xf>
    <xf numFmtId="0" fontId="0" fillId="41" borderId="184" xfId="2" applyFont="1" applyFill="1" applyBorder="1" applyAlignment="1" applyProtection="1">
      <alignment vertical="center" wrapText="1"/>
      <protection locked="0"/>
    </xf>
    <xf numFmtId="0" fontId="0" fillId="41" borderId="179" xfId="2" applyFont="1" applyFill="1" applyBorder="1" applyAlignment="1" applyProtection="1">
      <alignment vertical="center" wrapText="1"/>
      <protection locked="0"/>
    </xf>
    <xf numFmtId="0" fontId="0" fillId="41" borderId="48" xfId="2" applyFont="1" applyFill="1" applyBorder="1" applyAlignment="1" applyProtection="1">
      <alignment vertical="center" wrapText="1"/>
      <protection locked="0"/>
    </xf>
    <xf numFmtId="0" fontId="0" fillId="41" borderId="46" xfId="2" applyFont="1" applyFill="1" applyBorder="1" applyAlignment="1" applyProtection="1">
      <alignment vertical="center" wrapText="1"/>
      <protection locked="0"/>
    </xf>
    <xf numFmtId="0" fontId="0" fillId="41" borderId="177" xfId="0" applyFont="1" applyFill="1" applyBorder="1" applyAlignment="1" applyProtection="1">
      <alignment horizontal="center" vertical="center" wrapText="1"/>
      <protection locked="0"/>
    </xf>
    <xf numFmtId="0" fontId="0" fillId="41" borderId="161" xfId="0" applyFont="1" applyFill="1" applyBorder="1" applyAlignment="1" applyProtection="1">
      <alignment horizontal="center" vertical="center" wrapText="1"/>
      <protection locked="0"/>
    </xf>
    <xf numFmtId="0" fontId="0" fillId="41" borderId="29" xfId="2" applyFont="1" applyFill="1" applyBorder="1" applyAlignment="1" applyProtection="1">
      <alignment horizontal="center" vertical="center" wrapText="1"/>
      <protection locked="0"/>
    </xf>
    <xf numFmtId="0" fontId="0" fillId="41" borderId="31" xfId="0" applyFont="1" applyFill="1" applyBorder="1" applyAlignment="1" applyProtection="1">
      <alignment horizontal="justify" vertical="center" wrapText="1"/>
      <protection locked="0"/>
    </xf>
    <xf numFmtId="9" fontId="0" fillId="41" borderId="30" xfId="5" applyFont="1" applyFill="1" applyBorder="1" applyAlignment="1" applyProtection="1">
      <alignment horizontal="center" vertical="center" wrapText="1"/>
      <protection locked="0"/>
    </xf>
    <xf numFmtId="0" fontId="0" fillId="41" borderId="30" xfId="2" applyFont="1" applyFill="1" applyBorder="1" applyAlignment="1" applyProtection="1">
      <alignment horizontal="center" vertical="center" wrapText="1"/>
      <protection locked="0"/>
    </xf>
    <xf numFmtId="0" fontId="0" fillId="41" borderId="66" xfId="2" applyFont="1" applyFill="1" applyBorder="1" applyAlignment="1" applyProtection="1">
      <alignment horizontal="center" vertical="center" wrapText="1"/>
      <protection locked="0"/>
    </xf>
    <xf numFmtId="191" fontId="0" fillId="41" borderId="50" xfId="10" applyNumberFormat="1" applyFont="1" applyFill="1" applyBorder="1" applyAlignment="1" applyProtection="1">
      <alignment horizontal="center" vertical="center" wrapText="1"/>
      <protection locked="0"/>
    </xf>
    <xf numFmtId="191" fontId="0" fillId="41" borderId="29" xfId="10" applyNumberFormat="1" applyFont="1" applyFill="1" applyBorder="1" applyAlignment="1" applyProtection="1">
      <alignment horizontal="center" vertical="center" wrapText="1"/>
      <protection locked="0"/>
    </xf>
    <xf numFmtId="191" fontId="0" fillId="41" borderId="30" xfId="10" applyNumberFormat="1" applyFont="1" applyFill="1" applyBorder="1" applyAlignment="1" applyProtection="1">
      <alignment horizontal="center" vertical="center" wrapText="1"/>
      <protection locked="0"/>
    </xf>
    <xf numFmtId="191" fontId="0" fillId="41" borderId="66" xfId="10" applyNumberFormat="1" applyFont="1" applyFill="1" applyBorder="1" applyAlignment="1" applyProtection="1">
      <alignment horizontal="center" vertical="center" wrapText="1"/>
      <protection locked="0"/>
    </xf>
    <xf numFmtId="0" fontId="0" fillId="41" borderId="50" xfId="2" applyFont="1" applyFill="1" applyBorder="1" applyAlignment="1" applyProtection="1">
      <alignment horizontal="center" vertical="center" wrapText="1"/>
      <protection locked="0"/>
    </xf>
    <xf numFmtId="0" fontId="0" fillId="41" borderId="177" xfId="2" applyFont="1" applyFill="1" applyBorder="1" applyAlignment="1" applyProtection="1">
      <alignment horizontal="center" vertical="center" wrapText="1"/>
      <protection locked="0"/>
    </xf>
    <xf numFmtId="0" fontId="0" fillId="39" borderId="60" xfId="2" applyFont="1" applyFill="1" applyBorder="1" applyAlignment="1" applyProtection="1">
      <alignment vertical="center"/>
      <protection locked="0"/>
    </xf>
    <xf numFmtId="0" fontId="0" fillId="39" borderId="46" xfId="2" applyFont="1" applyFill="1" applyBorder="1" applyAlignment="1" applyProtection="1">
      <alignment vertical="center"/>
      <protection locked="0"/>
    </xf>
    <xf numFmtId="3" fontId="0" fillId="39" borderId="94" xfId="0" applyNumberFormat="1" applyFont="1" applyFill="1" applyBorder="1" applyAlignment="1" applyProtection="1">
      <alignment horizontal="justify" vertical="center" wrapText="1"/>
      <protection locked="0"/>
    </xf>
    <xf numFmtId="3" fontId="0" fillId="39" borderId="46" xfId="0" applyNumberFormat="1" applyFont="1" applyFill="1" applyBorder="1" applyAlignment="1" applyProtection="1">
      <alignment horizontal="center" vertical="center" wrapText="1"/>
      <protection locked="0"/>
    </xf>
    <xf numFmtId="3" fontId="0" fillId="39" borderId="155" xfId="0" applyNumberFormat="1" applyFont="1" applyFill="1" applyBorder="1" applyAlignment="1" applyProtection="1">
      <alignment horizontal="center" vertical="center" wrapText="1"/>
      <protection locked="0"/>
    </xf>
    <xf numFmtId="0" fontId="0" fillId="39" borderId="46" xfId="2" applyFont="1" applyFill="1" applyBorder="1" applyAlignment="1" applyProtection="1">
      <alignment horizontal="center" vertical="center"/>
      <protection locked="0"/>
    </xf>
    <xf numFmtId="3" fontId="0" fillId="39" borderId="11" xfId="0" applyNumberFormat="1" applyFont="1" applyFill="1" applyBorder="1" applyAlignment="1" applyProtection="1">
      <alignment vertical="center" wrapText="1"/>
      <protection locked="0"/>
    </xf>
    <xf numFmtId="3" fontId="0" fillId="39" borderId="184" xfId="0" applyNumberFormat="1" applyFont="1" applyFill="1" applyBorder="1" applyAlignment="1" applyProtection="1">
      <alignment vertical="center" wrapText="1"/>
      <protection locked="0"/>
    </xf>
    <xf numFmtId="3" fontId="0" fillId="39" borderId="179" xfId="0" applyNumberFormat="1" applyFont="1" applyFill="1" applyBorder="1" applyAlignment="1" applyProtection="1">
      <alignment vertical="center" wrapText="1"/>
      <protection locked="0"/>
    </xf>
    <xf numFmtId="3" fontId="0" fillId="39" borderId="48" xfId="0" applyNumberFormat="1" applyFont="1" applyFill="1" applyBorder="1" applyAlignment="1" applyProtection="1">
      <alignment vertical="center" wrapText="1"/>
      <protection locked="0"/>
    </xf>
    <xf numFmtId="3" fontId="0" fillId="39" borderId="46" xfId="0" applyNumberFormat="1" applyFont="1" applyFill="1" applyBorder="1" applyAlignment="1" applyProtection="1">
      <alignment vertical="center" wrapText="1"/>
      <protection locked="0"/>
    </xf>
    <xf numFmtId="3" fontId="0" fillId="39" borderId="177" xfId="0" applyNumberFormat="1" applyFont="1" applyFill="1" applyBorder="1" applyAlignment="1" applyProtection="1">
      <alignment horizontal="center" vertical="center" wrapText="1"/>
      <protection locked="0"/>
    </xf>
    <xf numFmtId="3" fontId="0" fillId="39" borderId="161" xfId="0" applyNumberFormat="1" applyFont="1" applyFill="1" applyBorder="1" applyAlignment="1" applyProtection="1">
      <alignment horizontal="center" vertical="center" wrapText="1"/>
      <protection locked="0"/>
    </xf>
    <xf numFmtId="3" fontId="0" fillId="39" borderId="31" xfId="0" applyNumberFormat="1" applyFont="1" applyFill="1" applyBorder="1" applyAlignment="1" applyProtection="1">
      <alignment horizontal="justify" vertical="center" wrapText="1"/>
      <protection locked="0"/>
    </xf>
    <xf numFmtId="0" fontId="0" fillId="39" borderId="177" xfId="2" applyFont="1" applyFill="1" applyBorder="1" applyAlignment="1" applyProtection="1">
      <alignment horizontal="center" vertical="center"/>
      <protection locked="0"/>
    </xf>
    <xf numFmtId="0" fontId="15" fillId="38" borderId="60" xfId="2" applyFont="1" applyFill="1" applyBorder="1" applyAlignment="1" applyProtection="1">
      <alignment horizontal="center" vertical="center" wrapText="1"/>
      <protection locked="0"/>
    </xf>
    <xf numFmtId="0" fontId="15" fillId="38" borderId="100" xfId="2" applyFont="1" applyFill="1" applyBorder="1" applyAlignment="1" applyProtection="1">
      <alignment horizontal="center" vertical="center" wrapText="1"/>
      <protection locked="0"/>
    </xf>
    <xf numFmtId="0" fontId="0" fillId="38" borderId="51" xfId="2" applyFont="1" applyFill="1" applyBorder="1" applyAlignment="1" applyProtection="1">
      <alignment horizontal="center" vertical="center" wrapText="1"/>
      <protection locked="0"/>
    </xf>
    <xf numFmtId="0" fontId="15" fillId="38" borderId="52" xfId="2" applyFont="1" applyFill="1" applyBorder="1" applyAlignment="1" applyProtection="1">
      <alignment horizontal="justify" vertical="center" wrapText="1"/>
      <protection locked="0"/>
    </xf>
    <xf numFmtId="0" fontId="3" fillId="38" borderId="51" xfId="2" applyFont="1" applyFill="1" applyBorder="1" applyAlignment="1" applyProtection="1">
      <alignment horizontal="center" vertical="center"/>
      <protection locked="0"/>
    </xf>
    <xf numFmtId="9" fontId="3" fillId="38" borderId="32" xfId="5" applyFont="1" applyFill="1" applyBorder="1" applyAlignment="1" applyProtection="1">
      <alignment horizontal="center" vertical="center"/>
      <protection locked="0"/>
    </xf>
    <xf numFmtId="0" fontId="3" fillId="38" borderId="32" xfId="2" applyFont="1" applyFill="1" applyBorder="1" applyAlignment="1" applyProtection="1">
      <alignment horizontal="center" vertical="center"/>
      <protection locked="0"/>
    </xf>
    <xf numFmtId="0" fontId="3" fillId="38" borderId="38" xfId="2" applyFont="1" applyFill="1" applyBorder="1" applyAlignment="1" applyProtection="1">
      <alignment horizontal="center" vertical="center"/>
      <protection locked="0"/>
    </xf>
    <xf numFmtId="191" fontId="3" fillId="38" borderId="99" xfId="10" applyNumberFormat="1" applyFont="1" applyFill="1" applyBorder="1" applyAlignment="1" applyProtection="1">
      <alignment horizontal="center" vertical="center"/>
      <protection locked="0"/>
    </xf>
    <xf numFmtId="191" fontId="3" fillId="38" borderId="51" xfId="10" applyNumberFormat="1" applyFont="1" applyFill="1" applyBorder="1" applyAlignment="1" applyProtection="1">
      <alignment horizontal="center" vertical="center"/>
      <protection locked="0"/>
    </xf>
    <xf numFmtId="191" fontId="3" fillId="38" borderId="32" xfId="10" applyNumberFormat="1" applyFont="1" applyFill="1" applyBorder="1" applyAlignment="1" applyProtection="1">
      <alignment horizontal="center" vertical="center"/>
      <protection locked="0"/>
    </xf>
    <xf numFmtId="191" fontId="3" fillId="38" borderId="38" xfId="10" applyNumberFormat="1" applyFont="1" applyFill="1" applyBorder="1" applyAlignment="1" applyProtection="1">
      <alignment horizontal="center" vertical="center"/>
      <protection locked="0"/>
    </xf>
    <xf numFmtId="0" fontId="3" fillId="38" borderId="99" xfId="2" applyFont="1" applyFill="1" applyBorder="1" applyAlignment="1" applyProtection="1">
      <alignment horizontal="center" vertical="center"/>
      <protection locked="0"/>
    </xf>
    <xf numFmtId="0" fontId="3" fillId="38" borderId="60" xfId="2" applyFont="1" applyFill="1" applyBorder="1" applyAlignment="1" applyProtection="1">
      <alignment horizontal="center" vertical="center"/>
      <protection locked="0"/>
    </xf>
    <xf numFmtId="0" fontId="15" fillId="38" borderId="46" xfId="2" applyFont="1" applyFill="1" applyBorder="1" applyAlignment="1" applyProtection="1">
      <alignment horizontal="center" vertical="center" wrapText="1"/>
      <protection locked="0"/>
    </xf>
    <xf numFmtId="0" fontId="15" fillId="38" borderId="155" xfId="2" applyFont="1" applyFill="1" applyBorder="1" applyAlignment="1" applyProtection="1">
      <alignment horizontal="center" vertical="center" wrapText="1"/>
      <protection locked="0"/>
    </xf>
    <xf numFmtId="0" fontId="0" fillId="38" borderId="11" xfId="2" applyFont="1" applyFill="1" applyBorder="1" applyAlignment="1" applyProtection="1">
      <alignment horizontal="center" vertical="center" wrapText="1"/>
      <protection locked="0"/>
    </xf>
    <xf numFmtId="0" fontId="15" fillId="38" borderId="94" xfId="2" applyFont="1" applyFill="1" applyBorder="1" applyAlignment="1" applyProtection="1">
      <alignment horizontal="justify" vertical="center" wrapText="1"/>
      <protection locked="0"/>
    </xf>
    <xf numFmtId="0" fontId="3" fillId="38" borderId="11" xfId="2" applyFont="1" applyFill="1" applyBorder="1" applyAlignment="1" applyProtection="1">
      <alignment horizontal="center" vertical="center"/>
      <protection locked="0"/>
    </xf>
    <xf numFmtId="9" fontId="3" fillId="38" borderId="184" xfId="5" applyFont="1" applyFill="1" applyBorder="1" applyAlignment="1" applyProtection="1">
      <alignment horizontal="center" vertical="center"/>
      <protection locked="0"/>
    </xf>
    <xf numFmtId="0" fontId="3" fillId="38" borderId="184" xfId="2" applyFont="1" applyFill="1" applyBorder="1" applyAlignment="1" applyProtection="1">
      <alignment horizontal="center" vertical="center"/>
      <protection locked="0"/>
    </xf>
    <xf numFmtId="0" fontId="3" fillId="38" borderId="179" xfId="2" applyFont="1" applyFill="1" applyBorder="1" applyAlignment="1" applyProtection="1">
      <alignment horizontal="center" vertical="center"/>
      <protection locked="0"/>
    </xf>
    <xf numFmtId="191" fontId="3" fillId="38" borderId="48" xfId="10" applyNumberFormat="1" applyFont="1" applyFill="1" applyBorder="1" applyAlignment="1" applyProtection="1">
      <alignment horizontal="center" vertical="center"/>
      <protection locked="0"/>
    </xf>
    <xf numFmtId="191" fontId="3" fillId="38" borderId="11" xfId="10" applyNumberFormat="1" applyFont="1" applyFill="1" applyBorder="1" applyAlignment="1" applyProtection="1">
      <alignment horizontal="center" vertical="center"/>
      <protection locked="0"/>
    </xf>
    <xf numFmtId="191" fontId="3" fillId="38" borderId="184" xfId="10" applyNumberFormat="1" applyFont="1" applyFill="1" applyBorder="1" applyAlignment="1" applyProtection="1">
      <alignment horizontal="center" vertical="center"/>
      <protection locked="0"/>
    </xf>
    <xf numFmtId="191" fontId="3" fillId="38" borderId="179" xfId="10" applyNumberFormat="1" applyFont="1" applyFill="1" applyBorder="1" applyAlignment="1" applyProtection="1">
      <alignment horizontal="center" vertical="center"/>
      <protection locked="0"/>
    </xf>
    <xf numFmtId="0" fontId="3" fillId="38" borderId="48" xfId="2" applyFont="1" applyFill="1" applyBorder="1" applyAlignment="1" applyProtection="1">
      <alignment horizontal="center" vertical="center"/>
      <protection locked="0"/>
    </xf>
    <xf numFmtId="0" fontId="3" fillId="38" borderId="46" xfId="2" applyFont="1" applyFill="1" applyBorder="1" applyAlignment="1" applyProtection="1">
      <alignment horizontal="center" vertical="center"/>
      <protection locked="0"/>
    </xf>
    <xf numFmtId="9" fontId="3" fillId="38" borderId="11" xfId="2" applyNumberFormat="1" applyFont="1" applyFill="1" applyBorder="1" applyAlignment="1" applyProtection="1">
      <alignment horizontal="center" vertical="center"/>
      <protection locked="0"/>
    </xf>
    <xf numFmtId="9" fontId="3" fillId="38" borderId="184" xfId="2" applyNumberFormat="1" applyFont="1" applyFill="1" applyBorder="1" applyAlignment="1" applyProtection="1">
      <alignment horizontal="center" vertical="center"/>
      <protection locked="0"/>
    </xf>
    <xf numFmtId="9" fontId="3" fillId="38" borderId="179" xfId="2" applyNumberFormat="1" applyFont="1" applyFill="1" applyBorder="1" applyAlignment="1" applyProtection="1">
      <alignment horizontal="center" vertical="center"/>
      <protection locked="0"/>
    </xf>
    <xf numFmtId="9" fontId="3" fillId="38" borderId="48" xfId="2" applyNumberFormat="1" applyFont="1" applyFill="1" applyBorder="1" applyAlignment="1" applyProtection="1">
      <alignment horizontal="center" vertical="center"/>
      <protection locked="0"/>
    </xf>
    <xf numFmtId="9" fontId="3" fillId="38" borderId="46" xfId="2" applyNumberFormat="1" applyFont="1" applyFill="1" applyBorder="1" applyAlignment="1" applyProtection="1">
      <alignment horizontal="center" vertical="center"/>
      <protection locked="0"/>
    </xf>
    <xf numFmtId="0" fontId="0" fillId="38" borderId="184" xfId="2" applyFont="1" applyFill="1" applyBorder="1" applyAlignment="1" applyProtection="1">
      <alignment horizontal="center" vertical="center" wrapText="1"/>
      <protection locked="0"/>
    </xf>
    <xf numFmtId="0" fontId="0" fillId="38" borderId="179" xfId="2" applyFont="1" applyFill="1" applyBorder="1" applyAlignment="1" applyProtection="1">
      <alignment horizontal="center" vertical="center" wrapText="1"/>
      <protection locked="0"/>
    </xf>
    <xf numFmtId="0" fontId="0" fillId="38" borderId="48" xfId="2" applyFont="1" applyFill="1" applyBorder="1" applyAlignment="1" applyProtection="1">
      <alignment horizontal="center" vertical="center" wrapText="1"/>
      <protection locked="0"/>
    </xf>
    <xf numFmtId="0" fontId="0" fillId="38" borderId="46" xfId="2" applyFont="1" applyFill="1" applyBorder="1" applyAlignment="1" applyProtection="1">
      <alignment horizontal="center" vertical="center" wrapText="1"/>
      <protection locked="0"/>
    </xf>
    <xf numFmtId="0" fontId="0" fillId="38" borderId="11" xfId="2" applyFont="1" applyFill="1" applyBorder="1" applyAlignment="1" applyProtection="1">
      <alignment horizontal="center" vertical="center"/>
      <protection locked="0"/>
    </xf>
    <xf numFmtId="0" fontId="0" fillId="38" borderId="184" xfId="2" applyFont="1" applyFill="1" applyBorder="1" applyAlignment="1" applyProtection="1">
      <alignment horizontal="center" vertical="center"/>
      <protection locked="0"/>
    </xf>
    <xf numFmtId="0" fontId="0" fillId="38" borderId="179" xfId="2" applyFont="1" applyFill="1" applyBorder="1" applyAlignment="1" applyProtection="1">
      <alignment horizontal="center" vertical="center"/>
      <protection locked="0"/>
    </xf>
    <xf numFmtId="0" fontId="0" fillId="38" borderId="48" xfId="2" applyFont="1" applyFill="1" applyBorder="1" applyAlignment="1" applyProtection="1">
      <alignment horizontal="center" vertical="center"/>
      <protection locked="0"/>
    </xf>
    <xf numFmtId="0" fontId="0" fillId="38" borderId="46" xfId="2" applyFont="1" applyFill="1" applyBorder="1" applyAlignment="1" applyProtection="1">
      <alignment horizontal="center" vertical="center"/>
      <protection locked="0"/>
    </xf>
    <xf numFmtId="0" fontId="0" fillId="38" borderId="11" xfId="2" applyFont="1" applyFill="1" applyBorder="1" applyAlignment="1" applyProtection="1">
      <alignment vertical="center"/>
      <protection locked="0"/>
    </xf>
    <xf numFmtId="0" fontId="0" fillId="38" borderId="184" xfId="2" applyFont="1" applyFill="1" applyBorder="1" applyAlignment="1" applyProtection="1">
      <alignment vertical="center"/>
      <protection locked="0"/>
    </xf>
    <xf numFmtId="0" fontId="0" fillId="38" borderId="179" xfId="2" applyFont="1" applyFill="1" applyBorder="1" applyAlignment="1" applyProtection="1">
      <alignment vertical="center"/>
      <protection locked="0"/>
    </xf>
    <xf numFmtId="0" fontId="0" fillId="38" borderId="48" xfId="2" applyFont="1" applyFill="1" applyBorder="1" applyAlignment="1" applyProtection="1">
      <alignment vertical="center"/>
      <protection locked="0"/>
    </xf>
    <xf numFmtId="0" fontId="0" fillId="38" borderId="46" xfId="2" applyFont="1" applyFill="1" applyBorder="1" applyAlignment="1" applyProtection="1">
      <alignment vertical="center"/>
      <protection locked="0"/>
    </xf>
    <xf numFmtId="3" fontId="0" fillId="38" borderId="94" xfId="0" applyNumberFormat="1" applyFont="1" applyFill="1" applyBorder="1" applyAlignment="1" applyProtection="1">
      <alignment horizontal="justify" vertical="center" wrapText="1"/>
      <protection locked="0"/>
    </xf>
    <xf numFmtId="0" fontId="0" fillId="38" borderId="11" xfId="2" applyFont="1" applyFill="1" applyBorder="1" applyAlignment="1" applyProtection="1">
      <alignment vertical="center" wrapText="1"/>
      <protection locked="0"/>
    </xf>
    <xf numFmtId="0" fontId="0" fillId="38" borderId="184" xfId="2" applyFont="1" applyFill="1" applyBorder="1" applyAlignment="1" applyProtection="1">
      <alignment vertical="center" wrapText="1"/>
      <protection locked="0"/>
    </xf>
    <xf numFmtId="0" fontId="0" fillId="38" borderId="179" xfId="2" applyFont="1" applyFill="1" applyBorder="1" applyAlignment="1" applyProtection="1">
      <alignment vertical="center" wrapText="1"/>
      <protection locked="0"/>
    </xf>
    <xf numFmtId="0" fontId="0" fillId="38" borderId="48" xfId="2" applyFont="1" applyFill="1" applyBorder="1" applyAlignment="1" applyProtection="1">
      <alignment vertical="center" wrapText="1"/>
      <protection locked="0"/>
    </xf>
    <xf numFmtId="0" fontId="0" fillId="38" borderId="46" xfId="2" applyFont="1" applyFill="1" applyBorder="1" applyAlignment="1" applyProtection="1">
      <alignment vertical="center" wrapText="1"/>
      <protection locked="0"/>
    </xf>
    <xf numFmtId="0" fontId="15" fillId="38" borderId="159" xfId="2" applyFont="1" applyFill="1" applyBorder="1" applyAlignment="1" applyProtection="1">
      <alignment horizontal="justify" vertical="center" wrapText="1"/>
      <protection locked="0"/>
    </xf>
    <xf numFmtId="0" fontId="0" fillId="38" borderId="29" xfId="2" applyFont="1" applyFill="1" applyBorder="1" applyAlignment="1" applyProtection="1">
      <alignment horizontal="center" vertical="center" wrapText="1"/>
      <protection locked="0"/>
    </xf>
    <xf numFmtId="0" fontId="0" fillId="38" borderId="30" xfId="2" applyFont="1" applyFill="1" applyBorder="1" applyAlignment="1" applyProtection="1">
      <alignment horizontal="center" vertical="center" wrapText="1"/>
      <protection locked="0"/>
    </xf>
    <xf numFmtId="0" fontId="0" fillId="38" borderId="66" xfId="2" applyFont="1" applyFill="1" applyBorder="1" applyAlignment="1" applyProtection="1">
      <alignment horizontal="center" vertical="center" wrapText="1"/>
      <protection locked="0"/>
    </xf>
    <xf numFmtId="0" fontId="0" fillId="38" borderId="50" xfId="2" applyFont="1" applyFill="1" applyBorder="1" applyAlignment="1" applyProtection="1">
      <alignment horizontal="center" vertical="center" wrapText="1"/>
      <protection locked="0"/>
    </xf>
    <xf numFmtId="0" fontId="0" fillId="38" borderId="177" xfId="2" applyFont="1" applyFill="1" applyBorder="1" applyAlignment="1" applyProtection="1">
      <alignment horizontal="center" vertical="center" wrapText="1"/>
      <protection locked="0"/>
    </xf>
    <xf numFmtId="0" fontId="0" fillId="33" borderId="52" xfId="0" applyFont="1" applyFill="1" applyBorder="1" applyAlignment="1" applyProtection="1">
      <alignment horizontal="justify" vertical="center" wrapText="1"/>
      <protection locked="0"/>
    </xf>
    <xf numFmtId="0" fontId="0" fillId="33" borderId="94" xfId="0" applyFont="1" applyFill="1" applyBorder="1" applyAlignment="1" applyProtection="1">
      <alignment horizontal="justify" vertical="center" wrapText="1"/>
      <protection locked="0"/>
    </xf>
    <xf numFmtId="0" fontId="0" fillId="33" borderId="46" xfId="0" applyFont="1" applyFill="1" applyBorder="1" applyAlignment="1" applyProtection="1">
      <alignment horizontal="center" vertical="center" wrapText="1"/>
      <protection locked="0"/>
    </xf>
    <xf numFmtId="0" fontId="0" fillId="33" borderId="155" xfId="0" applyFont="1" applyFill="1" applyBorder="1" applyAlignment="1" applyProtection="1">
      <alignment horizontal="center" vertical="center" wrapText="1"/>
      <protection locked="0"/>
    </xf>
    <xf numFmtId="0" fontId="0" fillId="33" borderId="11" xfId="2" applyFont="1" applyFill="1" applyBorder="1" applyAlignment="1" applyProtection="1">
      <alignment horizontal="center" vertical="center"/>
      <protection locked="0"/>
    </xf>
    <xf numFmtId="9" fontId="0" fillId="33" borderId="184" xfId="5" applyFont="1" applyFill="1" applyBorder="1" applyAlignment="1" applyProtection="1">
      <alignment horizontal="center" vertical="center"/>
      <protection locked="0"/>
    </xf>
    <xf numFmtId="0" fontId="0" fillId="33" borderId="184" xfId="2" applyFont="1" applyFill="1" applyBorder="1" applyAlignment="1" applyProtection="1">
      <alignment horizontal="center" vertical="center"/>
      <protection locked="0"/>
    </xf>
    <xf numFmtId="0" fontId="0" fillId="33" borderId="179" xfId="2" applyFont="1" applyFill="1" applyBorder="1" applyAlignment="1" applyProtection="1">
      <alignment horizontal="center" vertical="center"/>
      <protection locked="0"/>
    </xf>
    <xf numFmtId="191" fontId="0" fillId="33" borderId="48" xfId="10" applyNumberFormat="1" applyFont="1" applyFill="1" applyBorder="1" applyAlignment="1" applyProtection="1">
      <alignment horizontal="center" vertical="center"/>
      <protection locked="0"/>
    </xf>
    <xf numFmtId="191" fontId="0" fillId="33" borderId="11" xfId="10" applyNumberFormat="1" applyFont="1" applyFill="1" applyBorder="1" applyAlignment="1" applyProtection="1">
      <alignment horizontal="center" vertical="center"/>
      <protection locked="0"/>
    </xf>
    <xf numFmtId="191" fontId="0" fillId="33" borderId="184" xfId="10" applyNumberFormat="1" applyFont="1" applyFill="1" applyBorder="1" applyAlignment="1" applyProtection="1">
      <alignment horizontal="center" vertical="center"/>
      <protection locked="0"/>
    </xf>
    <xf numFmtId="191" fontId="0" fillId="33" borderId="179" xfId="10" applyNumberFormat="1" applyFont="1" applyFill="1" applyBorder="1" applyAlignment="1" applyProtection="1">
      <alignment horizontal="center" vertical="center"/>
      <protection locked="0"/>
    </xf>
    <xf numFmtId="0" fontId="0" fillId="33" borderId="48" xfId="2" applyFont="1" applyFill="1" applyBorder="1" applyAlignment="1" applyProtection="1">
      <alignment horizontal="center" vertical="center"/>
      <protection locked="0"/>
    </xf>
    <xf numFmtId="0" fontId="0" fillId="33" borderId="46" xfId="2" applyFont="1" applyFill="1" applyBorder="1" applyAlignment="1" applyProtection="1">
      <alignment horizontal="center" vertical="center"/>
      <protection locked="0"/>
    </xf>
    <xf numFmtId="0" fontId="0" fillId="33" borderId="177" xfId="0" applyFont="1" applyFill="1" applyBorder="1" applyAlignment="1" applyProtection="1">
      <alignment horizontal="center" vertical="center" wrapText="1"/>
      <protection locked="0"/>
    </xf>
    <xf numFmtId="0" fontId="0" fillId="33" borderId="161" xfId="0" applyFont="1" applyFill="1" applyBorder="1" applyAlignment="1" applyProtection="1">
      <alignment horizontal="center" vertical="center" wrapText="1"/>
      <protection locked="0"/>
    </xf>
    <xf numFmtId="0" fontId="0" fillId="33" borderId="31" xfId="0" applyFont="1" applyFill="1" applyBorder="1" applyAlignment="1" applyProtection="1">
      <alignment horizontal="justify" vertical="center" wrapText="1"/>
      <protection locked="0"/>
    </xf>
    <xf numFmtId="0" fontId="0" fillId="33" borderId="29" xfId="2" applyFont="1" applyFill="1" applyBorder="1" applyAlignment="1" applyProtection="1">
      <alignment horizontal="center" vertical="center"/>
      <protection locked="0"/>
    </xf>
    <xf numFmtId="9" fontId="0" fillId="33" borderId="30" xfId="5" applyFont="1" applyFill="1" applyBorder="1" applyAlignment="1" applyProtection="1">
      <alignment horizontal="center" vertical="center"/>
      <protection locked="0"/>
    </xf>
    <xf numFmtId="0" fontId="0" fillId="33" borderId="30" xfId="2" applyFont="1" applyFill="1" applyBorder="1" applyAlignment="1" applyProtection="1">
      <alignment horizontal="center" vertical="center"/>
      <protection locked="0"/>
    </xf>
    <xf numFmtId="0" fontId="0" fillId="33" borderId="66" xfId="2" applyFont="1" applyFill="1" applyBorder="1" applyAlignment="1" applyProtection="1">
      <alignment horizontal="center" vertical="center"/>
      <protection locked="0"/>
    </xf>
    <xf numFmtId="191" fontId="0" fillId="33" borderId="50" xfId="10" applyNumberFormat="1" applyFont="1" applyFill="1" applyBorder="1" applyAlignment="1" applyProtection="1">
      <alignment horizontal="center" vertical="center"/>
      <protection locked="0"/>
    </xf>
    <xf numFmtId="191" fontId="0" fillId="33" borderId="29" xfId="10" applyNumberFormat="1" applyFont="1" applyFill="1" applyBorder="1" applyAlignment="1" applyProtection="1">
      <alignment horizontal="center" vertical="center"/>
      <protection locked="0"/>
    </xf>
    <xf numFmtId="191" fontId="0" fillId="33" borderId="30" xfId="10" applyNumberFormat="1" applyFont="1" applyFill="1" applyBorder="1" applyAlignment="1" applyProtection="1">
      <alignment horizontal="center" vertical="center"/>
      <protection locked="0"/>
    </xf>
    <xf numFmtId="191" fontId="0" fillId="33" borderId="66" xfId="10" applyNumberFormat="1" applyFont="1" applyFill="1" applyBorder="1" applyAlignment="1" applyProtection="1">
      <alignment horizontal="center" vertical="center"/>
      <protection locked="0"/>
    </xf>
    <xf numFmtId="0" fontId="0" fillId="33" borderId="50" xfId="2" applyFont="1" applyFill="1" applyBorder="1" applyAlignment="1" applyProtection="1">
      <alignment horizontal="center" vertical="center"/>
      <protection locked="0"/>
    </xf>
    <xf numFmtId="0" fontId="0" fillId="33" borderId="177" xfId="2" applyFont="1" applyFill="1" applyBorder="1" applyAlignment="1" applyProtection="1">
      <alignment horizontal="center" vertical="center"/>
      <protection locked="0"/>
    </xf>
    <xf numFmtId="0" fontId="0" fillId="51" borderId="11" xfId="2" applyFont="1" applyFill="1" applyBorder="1" applyAlignment="1" applyProtection="1">
      <alignment horizontal="center" vertical="center" wrapText="1"/>
      <protection locked="0"/>
    </xf>
    <xf numFmtId="0" fontId="0" fillId="51" borderId="11" xfId="2" applyFont="1" applyFill="1" applyBorder="1" applyAlignment="1" applyProtection="1">
      <alignment horizontal="center" vertical="center"/>
      <protection locked="0"/>
    </xf>
    <xf numFmtId="9" fontId="0" fillId="51" borderId="184" xfId="5" applyFont="1" applyFill="1" applyBorder="1" applyAlignment="1" applyProtection="1">
      <alignment horizontal="center" vertical="center"/>
      <protection locked="0"/>
    </xf>
    <xf numFmtId="0" fontId="0" fillId="51" borderId="184" xfId="2" applyFont="1" applyFill="1" applyBorder="1" applyAlignment="1" applyProtection="1">
      <alignment horizontal="center" vertical="center"/>
      <protection locked="0"/>
    </xf>
    <xf numFmtId="0" fontId="0" fillId="51" borderId="179" xfId="2" applyFont="1" applyFill="1" applyBorder="1" applyAlignment="1" applyProtection="1">
      <alignment horizontal="center" vertical="center"/>
      <protection locked="0"/>
    </xf>
    <xf numFmtId="191" fontId="0" fillId="51" borderId="48" xfId="10" applyNumberFormat="1" applyFont="1" applyFill="1" applyBorder="1" applyAlignment="1" applyProtection="1">
      <alignment horizontal="center" vertical="center"/>
      <protection locked="0"/>
    </xf>
    <xf numFmtId="191" fontId="0" fillId="51" borderId="11" xfId="10" applyNumberFormat="1" applyFont="1" applyFill="1" applyBorder="1" applyAlignment="1" applyProtection="1">
      <alignment horizontal="center" vertical="center"/>
      <protection locked="0"/>
    </xf>
    <xf numFmtId="191" fontId="0" fillId="51" borderId="184" xfId="10" applyNumberFormat="1" applyFont="1" applyFill="1" applyBorder="1" applyAlignment="1" applyProtection="1">
      <alignment horizontal="center" vertical="center"/>
      <protection locked="0"/>
    </xf>
    <xf numFmtId="191" fontId="0" fillId="51" borderId="179" xfId="10" applyNumberFormat="1" applyFont="1" applyFill="1" applyBorder="1" applyAlignment="1" applyProtection="1">
      <alignment horizontal="center" vertical="center"/>
      <protection locked="0"/>
    </xf>
    <xf numFmtId="0" fontId="0" fillId="51" borderId="48" xfId="2" applyFont="1" applyFill="1" applyBorder="1" applyAlignment="1" applyProtection="1">
      <alignment horizontal="center" vertical="center"/>
      <protection locked="0"/>
    </xf>
    <xf numFmtId="0" fontId="0" fillId="51" borderId="46" xfId="2" applyFont="1" applyFill="1" applyBorder="1" applyAlignment="1" applyProtection="1">
      <alignment horizontal="center" vertical="center"/>
      <protection locked="0"/>
    </xf>
    <xf numFmtId="0" fontId="0" fillId="51" borderId="184" xfId="2" applyFont="1" applyFill="1" applyBorder="1" applyAlignment="1" applyProtection="1">
      <alignment horizontal="center" vertical="center" wrapText="1"/>
      <protection locked="0"/>
    </xf>
    <xf numFmtId="0" fontId="0" fillId="51" borderId="179" xfId="2" applyFont="1" applyFill="1" applyBorder="1" applyAlignment="1" applyProtection="1">
      <alignment horizontal="center" vertical="center" wrapText="1"/>
      <protection locked="0"/>
    </xf>
    <xf numFmtId="0" fontId="0" fillId="51" borderId="48" xfId="2" applyFont="1" applyFill="1" applyBorder="1" applyAlignment="1" applyProtection="1">
      <alignment horizontal="center" vertical="center" wrapText="1"/>
      <protection locked="0"/>
    </xf>
    <xf numFmtId="0" fontId="0" fillId="51" borderId="46" xfId="2" applyFont="1" applyFill="1" applyBorder="1" applyAlignment="1" applyProtection="1">
      <alignment horizontal="center" vertical="center" wrapText="1"/>
      <protection locked="0"/>
    </xf>
    <xf numFmtId="0" fontId="0" fillId="51" borderId="29" xfId="2" applyFont="1" applyFill="1" applyBorder="1" applyAlignment="1" applyProtection="1">
      <alignment horizontal="center" vertical="center"/>
      <protection locked="0"/>
    </xf>
    <xf numFmtId="9" fontId="0" fillId="51" borderId="30" xfId="5" applyFont="1" applyFill="1" applyBorder="1" applyAlignment="1" applyProtection="1">
      <alignment horizontal="center" vertical="center"/>
      <protection locked="0"/>
    </xf>
    <xf numFmtId="0" fontId="0" fillId="51" borderId="30" xfId="2" applyFont="1" applyFill="1" applyBorder="1" applyAlignment="1" applyProtection="1">
      <alignment horizontal="center" vertical="center"/>
      <protection locked="0"/>
    </xf>
    <xf numFmtId="0" fontId="0" fillId="51" borderId="66" xfId="2" applyFont="1" applyFill="1" applyBorder="1" applyAlignment="1" applyProtection="1">
      <alignment horizontal="center" vertical="center"/>
      <protection locked="0"/>
    </xf>
    <xf numFmtId="191" fontId="0" fillId="51" borderId="50" xfId="10" applyNumberFormat="1" applyFont="1" applyFill="1" applyBorder="1" applyAlignment="1" applyProtection="1">
      <alignment horizontal="center" vertical="center"/>
      <protection locked="0"/>
    </xf>
    <xf numFmtId="191" fontId="0" fillId="51" borderId="29" xfId="10" applyNumberFormat="1" applyFont="1" applyFill="1" applyBorder="1" applyAlignment="1" applyProtection="1">
      <alignment horizontal="center" vertical="center"/>
      <protection locked="0"/>
    </xf>
    <xf numFmtId="191" fontId="0" fillId="51" borderId="30" xfId="10" applyNumberFormat="1" applyFont="1" applyFill="1" applyBorder="1" applyAlignment="1" applyProtection="1">
      <alignment horizontal="center" vertical="center"/>
      <protection locked="0"/>
    </xf>
    <xf numFmtId="191" fontId="0" fillId="51" borderId="66" xfId="10" applyNumberFormat="1" applyFont="1" applyFill="1" applyBorder="1" applyAlignment="1" applyProtection="1">
      <alignment horizontal="center" vertical="center"/>
      <protection locked="0"/>
    </xf>
    <xf numFmtId="0" fontId="0" fillId="51" borderId="50" xfId="2" applyFont="1" applyFill="1" applyBorder="1" applyAlignment="1" applyProtection="1">
      <alignment horizontal="center" vertical="center"/>
      <protection locked="0"/>
    </xf>
    <xf numFmtId="0" fontId="0" fillId="51" borderId="177" xfId="2" applyFont="1" applyFill="1" applyBorder="1" applyAlignment="1" applyProtection="1">
      <alignment horizontal="center" vertical="center"/>
      <protection locked="0"/>
    </xf>
    <xf numFmtId="0" fontId="0" fillId="7" borderId="51" xfId="2" applyFont="1" applyFill="1" applyBorder="1" applyAlignment="1" applyProtection="1">
      <alignment horizontal="center" vertical="center"/>
      <protection locked="0"/>
    </xf>
    <xf numFmtId="0" fontId="0" fillId="7" borderId="32" xfId="2" applyFont="1" applyFill="1" applyBorder="1" applyAlignment="1" applyProtection="1">
      <alignment horizontal="center" vertical="center"/>
      <protection locked="0"/>
    </xf>
    <xf numFmtId="0" fontId="0" fillId="7" borderId="38" xfId="2" applyFont="1" applyFill="1" applyBorder="1" applyAlignment="1" applyProtection="1">
      <alignment horizontal="center" vertical="center"/>
      <protection locked="0"/>
    </xf>
    <xf numFmtId="191" fontId="0" fillId="7" borderId="99" xfId="10" applyNumberFormat="1" applyFont="1" applyFill="1" applyBorder="1" applyAlignment="1" applyProtection="1">
      <alignment horizontal="center" vertical="center"/>
      <protection locked="0"/>
    </xf>
    <xf numFmtId="191" fontId="0" fillId="7" borderId="51" xfId="10" applyNumberFormat="1" applyFont="1" applyFill="1" applyBorder="1" applyAlignment="1" applyProtection="1">
      <alignment horizontal="center" vertical="center"/>
      <protection locked="0"/>
    </xf>
    <xf numFmtId="191" fontId="0" fillId="7" borderId="32" xfId="10" applyNumberFormat="1" applyFont="1" applyFill="1" applyBorder="1" applyAlignment="1" applyProtection="1">
      <alignment horizontal="center" vertical="center"/>
      <protection locked="0"/>
    </xf>
    <xf numFmtId="191" fontId="0" fillId="7" borderId="38" xfId="10" applyNumberFormat="1" applyFont="1" applyFill="1" applyBorder="1" applyAlignment="1" applyProtection="1">
      <alignment horizontal="center" vertical="center"/>
      <protection locked="0"/>
    </xf>
    <xf numFmtId="0" fontId="0" fillId="7" borderId="99" xfId="2" applyFont="1" applyFill="1" applyBorder="1" applyAlignment="1" applyProtection="1">
      <alignment horizontal="center" vertical="center"/>
      <protection locked="0"/>
    </xf>
    <xf numFmtId="0" fontId="0" fillId="7" borderId="60" xfId="2" applyFont="1" applyFill="1" applyBorder="1" applyAlignment="1" applyProtection="1">
      <alignment horizontal="center" vertical="center"/>
      <protection locked="0"/>
    </xf>
    <xf numFmtId="0" fontId="0" fillId="38" borderId="32" xfId="2" applyFont="1" applyFill="1" applyBorder="1" applyAlignment="1" applyProtection="1">
      <alignment horizontal="center" vertical="center" wrapText="1"/>
      <protection locked="0"/>
    </xf>
    <xf numFmtId="0" fontId="0" fillId="38" borderId="38" xfId="2" applyFont="1" applyFill="1" applyBorder="1" applyAlignment="1" applyProtection="1">
      <alignment horizontal="center" vertical="center" wrapText="1"/>
      <protection locked="0"/>
    </xf>
    <xf numFmtId="0" fontId="0" fillId="38" borderId="99" xfId="2" applyFont="1" applyFill="1" applyBorder="1" applyAlignment="1" applyProtection="1">
      <alignment horizontal="center" vertical="center" wrapText="1"/>
      <protection locked="0"/>
    </xf>
    <xf numFmtId="0" fontId="0" fillId="38" borderId="60" xfId="2" applyFont="1" applyFill="1" applyBorder="1" applyAlignment="1" applyProtection="1">
      <alignment horizontal="center" vertical="center" wrapText="1"/>
      <protection locked="0"/>
    </xf>
    <xf numFmtId="0" fontId="10" fillId="42" borderId="45" xfId="0" applyFont="1" applyFill="1" applyBorder="1" applyAlignment="1" applyProtection="1">
      <alignment horizontal="center" vertical="center" wrapText="1"/>
      <protection locked="0"/>
    </xf>
    <xf numFmtId="0" fontId="10" fillId="42" borderId="15" xfId="0" applyFont="1" applyFill="1" applyBorder="1" applyAlignment="1" applyProtection="1">
      <alignment horizontal="center" vertical="center" wrapText="1"/>
      <protection locked="0"/>
    </xf>
    <xf numFmtId="0" fontId="10" fillId="42" borderId="52" xfId="0" applyFont="1" applyFill="1" applyBorder="1" applyAlignment="1" applyProtection="1">
      <alignment horizontal="justify" vertical="center" wrapText="1"/>
      <protection locked="0"/>
    </xf>
    <xf numFmtId="2" fontId="10" fillId="42" borderId="60" xfId="0" applyNumberFormat="1" applyFont="1" applyFill="1" applyBorder="1" applyAlignment="1" applyProtection="1">
      <alignment horizontal="center" vertical="center" wrapText="1"/>
      <protection locked="0"/>
    </xf>
    <xf numFmtId="10" fontId="10" fillId="42" borderId="46" xfId="0" applyNumberFormat="1" applyFont="1" applyFill="1" applyBorder="1" applyAlignment="1" applyProtection="1">
      <alignment horizontal="center" vertical="center" wrapText="1"/>
      <protection locked="0"/>
    </xf>
    <xf numFmtId="0" fontId="10" fillId="42" borderId="46" xfId="0" applyFont="1" applyFill="1" applyBorder="1" applyAlignment="1" applyProtection="1">
      <alignment horizontal="center" vertical="center" wrapText="1"/>
      <protection locked="0"/>
    </xf>
    <xf numFmtId="0" fontId="10" fillId="42" borderId="155" xfId="0" applyFont="1" applyFill="1" applyBorder="1" applyAlignment="1" applyProtection="1">
      <alignment horizontal="center" vertical="center" wrapText="1"/>
      <protection locked="0"/>
    </xf>
    <xf numFmtId="9" fontId="10" fillId="42" borderId="46" xfId="0" applyNumberFormat="1" applyFont="1" applyFill="1" applyBorder="1" applyAlignment="1" applyProtection="1">
      <alignment horizontal="center" vertical="center" wrapText="1"/>
      <protection locked="0"/>
    </xf>
    <xf numFmtId="2" fontId="10" fillId="42" borderId="46" xfId="0" applyNumberFormat="1" applyFont="1" applyFill="1" applyBorder="1" applyAlignment="1" applyProtection="1">
      <alignment horizontal="center" vertical="center" wrapText="1"/>
      <protection locked="0"/>
    </xf>
    <xf numFmtId="0" fontId="10" fillId="42" borderId="177" xfId="0" applyFont="1" applyFill="1" applyBorder="1" applyAlignment="1" applyProtection="1">
      <alignment horizontal="center" vertical="center" wrapText="1"/>
      <protection locked="0"/>
    </xf>
    <xf numFmtId="0" fontId="10" fillId="42" borderId="161" xfId="0" applyFont="1" applyFill="1" applyBorder="1" applyAlignment="1" applyProtection="1">
      <alignment horizontal="center" vertical="center" wrapText="1"/>
      <protection locked="0"/>
    </xf>
    <xf numFmtId="2" fontId="10" fillId="42" borderId="177" xfId="0" applyNumberFormat="1" applyFont="1" applyFill="1" applyBorder="1" applyAlignment="1" applyProtection="1">
      <alignment horizontal="center" vertical="center" wrapText="1"/>
      <protection locked="0"/>
    </xf>
    <xf numFmtId="9" fontId="10" fillId="51" borderId="32" xfId="5" applyFont="1" applyFill="1" applyBorder="1" applyAlignment="1" applyProtection="1">
      <alignment horizontal="center" vertical="center" wrapText="1"/>
      <protection locked="0"/>
    </xf>
    <xf numFmtId="191" fontId="10" fillId="51" borderId="99" xfId="10" applyNumberFormat="1" applyFont="1" applyFill="1" applyBorder="1" applyAlignment="1" applyProtection="1">
      <alignment horizontal="center" vertical="center" wrapText="1"/>
      <protection locked="0"/>
    </xf>
    <xf numFmtId="191" fontId="10" fillId="51" borderId="51" xfId="10" applyNumberFormat="1" applyFont="1" applyFill="1" applyBorder="1" applyAlignment="1" applyProtection="1">
      <alignment horizontal="center" vertical="center" wrapText="1"/>
      <protection locked="0"/>
    </xf>
    <xf numFmtId="191" fontId="10" fillId="51" borderId="32" xfId="10" applyNumberFormat="1" applyFont="1" applyFill="1" applyBorder="1" applyAlignment="1" applyProtection="1">
      <alignment horizontal="center" vertical="center" wrapText="1"/>
      <protection locked="0"/>
    </xf>
    <xf numFmtId="191" fontId="10" fillId="51" borderId="38" xfId="10" applyNumberFormat="1" applyFont="1" applyFill="1" applyBorder="1" applyAlignment="1" applyProtection="1">
      <alignment horizontal="center" vertical="center" wrapText="1"/>
      <protection locked="0"/>
    </xf>
    <xf numFmtId="10" fontId="10" fillId="51" borderId="60" xfId="0" applyNumberFormat="1" applyFont="1" applyFill="1" applyBorder="1" applyAlignment="1" applyProtection="1">
      <alignment horizontal="center" vertical="center" wrapText="1"/>
      <protection locked="0"/>
    </xf>
    <xf numFmtId="9" fontId="10" fillId="51" borderId="184" xfId="5" applyFont="1" applyFill="1" applyBorder="1" applyAlignment="1" applyProtection="1">
      <alignment horizontal="center" vertical="center" wrapText="1"/>
      <protection locked="0"/>
    </xf>
    <xf numFmtId="191" fontId="10" fillId="51" borderId="48" xfId="10" applyNumberFormat="1" applyFont="1" applyFill="1" applyBorder="1" applyAlignment="1" applyProtection="1">
      <alignment horizontal="center" vertical="center" wrapText="1"/>
      <protection locked="0"/>
    </xf>
    <xf numFmtId="191" fontId="10" fillId="51" borderId="11" xfId="10" applyNumberFormat="1" applyFont="1" applyFill="1" applyBorder="1" applyAlignment="1" applyProtection="1">
      <alignment horizontal="center" vertical="center" wrapText="1"/>
      <protection locked="0"/>
    </xf>
    <xf numFmtId="191" fontId="10" fillId="51" borderId="184" xfId="10" applyNumberFormat="1" applyFont="1" applyFill="1" applyBorder="1" applyAlignment="1" applyProtection="1">
      <alignment horizontal="center" vertical="center" wrapText="1"/>
      <protection locked="0"/>
    </xf>
    <xf numFmtId="191" fontId="10" fillId="51" borderId="179" xfId="10" applyNumberFormat="1" applyFont="1" applyFill="1" applyBorder="1" applyAlignment="1" applyProtection="1">
      <alignment horizontal="center" vertical="center" wrapText="1"/>
      <protection locked="0"/>
    </xf>
    <xf numFmtId="2" fontId="10" fillId="51" borderId="46" xfId="0" applyNumberFormat="1" applyFont="1" applyFill="1" applyBorder="1" applyAlignment="1" applyProtection="1">
      <alignment horizontal="center" vertical="center" wrapText="1"/>
      <protection locked="0"/>
    </xf>
    <xf numFmtId="0" fontId="10" fillId="38" borderId="60" xfId="0" applyFont="1" applyFill="1" applyBorder="1" applyAlignment="1" applyProtection="1">
      <alignment horizontal="center" vertical="center" wrapText="1"/>
      <protection locked="0"/>
    </xf>
    <xf numFmtId="0" fontId="10" fillId="38" borderId="100" xfId="0" applyFont="1" applyFill="1" applyBorder="1" applyAlignment="1" applyProtection="1">
      <alignment horizontal="center" vertical="center" wrapText="1"/>
      <protection locked="0"/>
    </xf>
    <xf numFmtId="9" fontId="10" fillId="38" borderId="51" xfId="0" applyNumberFormat="1" applyFont="1" applyFill="1" applyBorder="1" applyAlignment="1" applyProtection="1">
      <alignment horizontal="center" vertical="center" wrapText="1"/>
      <protection locked="0"/>
    </xf>
    <xf numFmtId="9" fontId="10" fillId="38" borderId="38" xfId="0" applyNumberFormat="1" applyFont="1" applyFill="1" applyBorder="1" applyAlignment="1" applyProtection="1">
      <alignment horizontal="center" vertical="center" wrapText="1"/>
      <protection locked="0"/>
    </xf>
    <xf numFmtId="191" fontId="10" fillId="38" borderId="99" xfId="10" applyNumberFormat="1" applyFont="1" applyFill="1" applyBorder="1" applyAlignment="1" applyProtection="1">
      <alignment horizontal="center" vertical="center" wrapText="1"/>
      <protection locked="0"/>
    </xf>
    <xf numFmtId="191" fontId="10" fillId="38" borderId="51" xfId="10" applyNumberFormat="1" applyFont="1" applyFill="1" applyBorder="1" applyAlignment="1" applyProtection="1">
      <alignment horizontal="center" vertical="center" wrapText="1"/>
      <protection locked="0"/>
    </xf>
    <xf numFmtId="191" fontId="10" fillId="38" borderId="32" xfId="10" applyNumberFormat="1" applyFont="1" applyFill="1" applyBorder="1" applyAlignment="1" applyProtection="1">
      <alignment horizontal="center" vertical="center" wrapText="1"/>
      <protection locked="0"/>
    </xf>
    <xf numFmtId="191" fontId="10" fillId="38" borderId="38" xfId="10" applyNumberFormat="1" applyFont="1" applyFill="1" applyBorder="1" applyAlignment="1" applyProtection="1">
      <alignment horizontal="center" vertical="center" wrapText="1"/>
      <protection locked="0"/>
    </xf>
    <xf numFmtId="9" fontId="10" fillId="38" borderId="99" xfId="0" applyNumberFormat="1" applyFont="1" applyFill="1" applyBorder="1" applyAlignment="1" applyProtection="1">
      <alignment horizontal="center" vertical="center" wrapText="1"/>
      <protection locked="0"/>
    </xf>
    <xf numFmtId="9" fontId="10" fillId="38" borderId="60" xfId="0" applyNumberFormat="1" applyFont="1" applyFill="1" applyBorder="1" applyAlignment="1" applyProtection="1">
      <alignment horizontal="center" vertical="center" wrapText="1"/>
      <protection locked="0"/>
    </xf>
    <xf numFmtId="9" fontId="10" fillId="38" borderId="184" xfId="5" applyFont="1" applyFill="1" applyBorder="1" applyAlignment="1" applyProtection="1">
      <alignment horizontal="center" vertical="center" wrapText="1"/>
      <protection locked="0"/>
    </xf>
    <xf numFmtId="191" fontId="10" fillId="38" borderId="48" xfId="10" applyNumberFormat="1" applyFont="1" applyFill="1" applyBorder="1" applyAlignment="1" applyProtection="1">
      <alignment horizontal="center" vertical="center" wrapText="1"/>
      <protection locked="0"/>
    </xf>
    <xf numFmtId="191" fontId="10" fillId="38" borderId="11" xfId="10" applyNumberFormat="1" applyFont="1" applyFill="1" applyBorder="1" applyAlignment="1" applyProtection="1">
      <alignment horizontal="center" vertical="center" wrapText="1"/>
      <protection locked="0"/>
    </xf>
    <xf numFmtId="191" fontId="10" fillId="38" borderId="184" xfId="10" applyNumberFormat="1" applyFont="1" applyFill="1" applyBorder="1" applyAlignment="1" applyProtection="1">
      <alignment horizontal="center" vertical="center" wrapText="1"/>
      <protection locked="0"/>
    </xf>
    <xf numFmtId="191" fontId="10" fillId="38" borderId="179" xfId="10" applyNumberFormat="1" applyFont="1" applyFill="1" applyBorder="1" applyAlignment="1" applyProtection="1">
      <alignment horizontal="center" vertical="center" wrapText="1"/>
      <protection locked="0"/>
    </xf>
    <xf numFmtId="2" fontId="10" fillId="38" borderId="46" xfId="0" applyNumberFormat="1" applyFont="1" applyFill="1" applyBorder="1" applyAlignment="1" applyProtection="1">
      <alignment horizontal="center" vertical="center" wrapText="1"/>
      <protection locked="0"/>
    </xf>
    <xf numFmtId="9" fontId="10" fillId="38" borderId="30" xfId="5" applyFont="1" applyFill="1" applyBorder="1" applyAlignment="1" applyProtection="1">
      <alignment horizontal="center" vertical="center" wrapText="1"/>
      <protection locked="0"/>
    </xf>
    <xf numFmtId="191" fontId="10" fillId="38" borderId="50" xfId="10" applyNumberFormat="1" applyFont="1" applyFill="1" applyBorder="1" applyAlignment="1" applyProtection="1">
      <alignment horizontal="center" vertical="center" wrapText="1"/>
      <protection locked="0"/>
    </xf>
    <xf numFmtId="191" fontId="10" fillId="38" borderId="29" xfId="10" applyNumberFormat="1" applyFont="1" applyFill="1" applyBorder="1" applyAlignment="1" applyProtection="1">
      <alignment horizontal="center" vertical="center" wrapText="1"/>
      <protection locked="0"/>
    </xf>
    <xf numFmtId="191" fontId="10" fillId="38" borderId="30" xfId="10" applyNumberFormat="1" applyFont="1" applyFill="1" applyBorder="1" applyAlignment="1" applyProtection="1">
      <alignment horizontal="center" vertical="center" wrapText="1"/>
      <protection locked="0"/>
    </xf>
    <xf numFmtId="191" fontId="10" fillId="38" borderId="66" xfId="10" applyNumberFormat="1" applyFont="1" applyFill="1" applyBorder="1" applyAlignment="1" applyProtection="1">
      <alignment horizontal="center" vertical="center" wrapText="1"/>
      <protection locked="0"/>
    </xf>
    <xf numFmtId="2" fontId="10" fillId="38" borderId="177" xfId="0" applyNumberFormat="1" applyFont="1" applyFill="1" applyBorder="1" applyAlignment="1" applyProtection="1">
      <alignment horizontal="center" vertical="center" wrapText="1"/>
      <protection locked="0"/>
    </xf>
    <xf numFmtId="0" fontId="10" fillId="39" borderId="45" xfId="0" applyFont="1" applyFill="1" applyBorder="1" applyAlignment="1" applyProtection="1">
      <alignment horizontal="center" vertical="center" wrapText="1"/>
      <protection locked="0"/>
    </xf>
    <xf numFmtId="0" fontId="10" fillId="39" borderId="15" xfId="0" applyFont="1" applyFill="1" applyBorder="1" applyAlignment="1" applyProtection="1">
      <alignment horizontal="center" vertical="center" wrapText="1"/>
      <protection locked="0"/>
    </xf>
    <xf numFmtId="0" fontId="10" fillId="39" borderId="9" xfId="0" applyFont="1" applyFill="1" applyBorder="1" applyAlignment="1" applyProtection="1">
      <alignment horizontal="justify" vertical="center" wrapText="1"/>
      <protection locked="0"/>
    </xf>
    <xf numFmtId="9" fontId="10" fillId="39" borderId="32" xfId="5" applyFont="1" applyFill="1" applyBorder="1" applyAlignment="1" applyProtection="1">
      <alignment horizontal="center" vertical="center" wrapText="1"/>
      <protection locked="0"/>
    </xf>
    <xf numFmtId="191" fontId="10" fillId="39" borderId="99" xfId="10" applyNumberFormat="1" applyFont="1" applyFill="1" applyBorder="1" applyAlignment="1" applyProtection="1">
      <alignment horizontal="center" vertical="center" wrapText="1"/>
      <protection locked="0"/>
    </xf>
    <xf numFmtId="191" fontId="10" fillId="39" borderId="51" xfId="10" applyNumberFormat="1" applyFont="1" applyFill="1" applyBorder="1" applyAlignment="1" applyProtection="1">
      <alignment horizontal="center" vertical="center" wrapText="1"/>
      <protection locked="0"/>
    </xf>
    <xf numFmtId="191" fontId="10" fillId="39" borderId="32" xfId="10" applyNumberFormat="1" applyFont="1" applyFill="1" applyBorder="1" applyAlignment="1" applyProtection="1">
      <alignment horizontal="center" vertical="center" wrapText="1"/>
      <protection locked="0"/>
    </xf>
    <xf numFmtId="191" fontId="10" fillId="39" borderId="38" xfId="10" applyNumberFormat="1" applyFont="1" applyFill="1" applyBorder="1" applyAlignment="1" applyProtection="1">
      <alignment horizontal="center" vertical="center" wrapText="1"/>
      <protection locked="0"/>
    </xf>
    <xf numFmtId="2" fontId="10" fillId="39" borderId="60" xfId="0" applyNumberFormat="1" applyFont="1" applyFill="1" applyBorder="1" applyAlignment="1" applyProtection="1">
      <alignment horizontal="center" vertical="center" wrapText="1"/>
      <protection locked="0"/>
    </xf>
    <xf numFmtId="10" fontId="10" fillId="39" borderId="46" xfId="0" applyNumberFormat="1" applyFont="1" applyFill="1" applyBorder="1" applyAlignment="1" applyProtection="1">
      <alignment horizontal="center" vertical="center" wrapText="1"/>
      <protection locked="0"/>
    </xf>
    <xf numFmtId="0" fontId="10" fillId="39" borderId="29" xfId="0" applyFont="1" applyFill="1" applyBorder="1" applyAlignment="1" applyProtection="1">
      <alignment horizontal="center" vertical="center"/>
      <protection locked="0"/>
    </xf>
    <xf numFmtId="9" fontId="10" fillId="39" borderId="30" xfId="5" applyFont="1" applyFill="1" applyBorder="1" applyAlignment="1" applyProtection="1">
      <alignment horizontal="center" vertical="center"/>
      <protection locked="0"/>
    </xf>
    <xf numFmtId="0" fontId="10" fillId="39" borderId="30" xfId="0" applyFont="1" applyFill="1" applyBorder="1" applyAlignment="1" applyProtection="1">
      <alignment horizontal="center" vertical="center"/>
      <protection locked="0"/>
    </xf>
    <xf numFmtId="0" fontId="10" fillId="39" borderId="66" xfId="0" applyFont="1" applyFill="1" applyBorder="1" applyAlignment="1" applyProtection="1">
      <alignment horizontal="center" vertical="center"/>
      <protection locked="0"/>
    </xf>
    <xf numFmtId="191" fontId="10" fillId="39" borderId="50" xfId="10" applyNumberFormat="1" applyFont="1" applyFill="1" applyBorder="1" applyAlignment="1" applyProtection="1">
      <alignment horizontal="center" vertical="center"/>
      <protection locked="0"/>
    </xf>
    <xf numFmtId="191" fontId="10" fillId="39" borderId="29" xfId="10" applyNumberFormat="1" applyFont="1" applyFill="1" applyBorder="1" applyAlignment="1" applyProtection="1">
      <alignment horizontal="center" vertical="center"/>
      <protection locked="0"/>
    </xf>
    <xf numFmtId="191" fontId="10" fillId="39" borderId="30" xfId="10" applyNumberFormat="1" applyFont="1" applyFill="1" applyBorder="1" applyAlignment="1" applyProtection="1">
      <alignment horizontal="center" vertical="center"/>
      <protection locked="0"/>
    </xf>
    <xf numFmtId="191" fontId="10" fillId="39" borderId="66" xfId="10" applyNumberFormat="1" applyFont="1" applyFill="1" applyBorder="1" applyAlignment="1" applyProtection="1">
      <alignment horizontal="center" vertical="center"/>
      <protection locked="0"/>
    </xf>
    <xf numFmtId="0" fontId="10" fillId="39" borderId="50" xfId="0" applyFont="1" applyFill="1" applyBorder="1" applyAlignment="1" applyProtection="1">
      <alignment horizontal="center" vertical="center"/>
      <protection locked="0"/>
    </xf>
    <xf numFmtId="0" fontId="10" fillId="39" borderId="177" xfId="0" applyFont="1" applyFill="1" applyBorder="1" applyAlignment="1" applyProtection="1">
      <alignment horizontal="center" vertical="center"/>
      <protection locked="0"/>
    </xf>
    <xf numFmtId="0" fontId="10" fillId="44" borderId="46" xfId="0" applyFont="1" applyFill="1" applyBorder="1" applyAlignment="1" applyProtection="1">
      <alignment horizontal="center" vertical="center" wrapText="1"/>
      <protection locked="0"/>
    </xf>
    <xf numFmtId="175" fontId="10" fillId="44" borderId="15" xfId="0" applyNumberFormat="1" applyFont="1" applyFill="1" applyBorder="1" applyAlignment="1" applyProtection="1">
      <alignment horizontal="center" vertical="center" wrapText="1"/>
      <protection locked="0"/>
    </xf>
    <xf numFmtId="175" fontId="10" fillId="44" borderId="9" xfId="0" applyNumberFormat="1" applyFont="1" applyFill="1" applyBorder="1" applyAlignment="1" applyProtection="1">
      <alignment horizontal="justify" vertical="center" wrapText="1"/>
      <protection locked="0"/>
    </xf>
    <xf numFmtId="3" fontId="10" fillId="44" borderId="51" xfId="2" applyNumberFormat="1" applyFont="1" applyFill="1" applyBorder="1" applyAlignment="1" applyProtection="1">
      <alignment horizontal="center" vertical="center" wrapText="1"/>
      <protection locked="0"/>
    </xf>
    <xf numFmtId="9" fontId="10" fillId="44" borderId="32" xfId="5" applyFont="1" applyFill="1" applyBorder="1" applyAlignment="1" applyProtection="1">
      <alignment horizontal="center" vertical="center" wrapText="1"/>
      <protection locked="0"/>
    </xf>
    <xf numFmtId="3" fontId="10" fillId="44" borderId="32" xfId="2" applyNumberFormat="1" applyFont="1" applyFill="1" applyBorder="1" applyAlignment="1" applyProtection="1">
      <alignment horizontal="center" vertical="center" wrapText="1"/>
      <protection locked="0"/>
    </xf>
    <xf numFmtId="3" fontId="10" fillId="44" borderId="38" xfId="2" applyNumberFormat="1" applyFont="1" applyFill="1" applyBorder="1" applyAlignment="1" applyProtection="1">
      <alignment horizontal="center" vertical="center" wrapText="1"/>
      <protection locked="0"/>
    </xf>
    <xf numFmtId="191" fontId="10" fillId="44" borderId="99" xfId="10" applyNumberFormat="1" applyFont="1" applyFill="1" applyBorder="1" applyAlignment="1" applyProtection="1">
      <alignment horizontal="center" vertical="center" wrapText="1"/>
      <protection locked="0"/>
    </xf>
    <xf numFmtId="191" fontId="10" fillId="44" borderId="51" xfId="10" applyNumberFormat="1" applyFont="1" applyFill="1" applyBorder="1" applyAlignment="1" applyProtection="1">
      <alignment horizontal="center" vertical="center" wrapText="1"/>
      <protection locked="0"/>
    </xf>
    <xf numFmtId="191" fontId="10" fillId="44" borderId="32" xfId="10" applyNumberFormat="1" applyFont="1" applyFill="1" applyBorder="1" applyAlignment="1" applyProtection="1">
      <alignment horizontal="center" vertical="center" wrapText="1"/>
      <protection locked="0"/>
    </xf>
    <xf numFmtId="191" fontId="10" fillId="44" borderId="38" xfId="10" applyNumberFormat="1" applyFont="1" applyFill="1" applyBorder="1" applyAlignment="1" applyProtection="1">
      <alignment horizontal="center" vertical="center" wrapText="1"/>
      <protection locked="0"/>
    </xf>
    <xf numFmtId="3" fontId="10" fillId="44" borderId="99" xfId="2" applyNumberFormat="1" applyFont="1" applyFill="1" applyBorder="1" applyAlignment="1" applyProtection="1">
      <alignment horizontal="center" vertical="center" wrapText="1"/>
      <protection locked="0"/>
    </xf>
    <xf numFmtId="3" fontId="10" fillId="44" borderId="60" xfId="2" applyNumberFormat="1" applyFont="1" applyFill="1" applyBorder="1" applyAlignment="1" applyProtection="1">
      <alignment horizontal="center" vertical="center" wrapText="1"/>
      <protection locked="0"/>
    </xf>
    <xf numFmtId="3" fontId="10" fillId="44" borderId="11" xfId="0" applyNumberFormat="1" applyFont="1" applyFill="1" applyBorder="1" applyAlignment="1" applyProtection="1">
      <alignment horizontal="center" vertical="center" wrapText="1"/>
      <protection locked="0"/>
    </xf>
    <xf numFmtId="9" fontId="10" fillId="44" borderId="184" xfId="5" applyFont="1" applyFill="1" applyBorder="1" applyAlignment="1" applyProtection="1">
      <alignment horizontal="center" vertical="center" wrapText="1"/>
      <protection locked="0"/>
    </xf>
    <xf numFmtId="3" fontId="10" fillId="44" borderId="184" xfId="0" applyNumberFormat="1" applyFont="1" applyFill="1" applyBorder="1" applyAlignment="1" applyProtection="1">
      <alignment horizontal="center" vertical="center" wrapText="1"/>
      <protection locked="0"/>
    </xf>
    <xf numFmtId="3" fontId="10" fillId="44" borderId="179" xfId="0" applyNumberFormat="1" applyFont="1" applyFill="1" applyBorder="1" applyAlignment="1" applyProtection="1">
      <alignment horizontal="center" vertical="center" wrapText="1"/>
      <protection locked="0"/>
    </xf>
    <xf numFmtId="191" fontId="10" fillId="44" borderId="48" xfId="10" applyNumberFormat="1" applyFont="1" applyFill="1" applyBorder="1" applyAlignment="1" applyProtection="1">
      <alignment horizontal="center" vertical="center" wrapText="1"/>
      <protection locked="0"/>
    </xf>
    <xf numFmtId="191" fontId="10" fillId="44" borderId="11" xfId="10" applyNumberFormat="1" applyFont="1" applyFill="1" applyBorder="1" applyAlignment="1" applyProtection="1">
      <alignment horizontal="center" vertical="center" wrapText="1"/>
      <protection locked="0"/>
    </xf>
    <xf numFmtId="191" fontId="10" fillId="44" borderId="184" xfId="10" applyNumberFormat="1" applyFont="1" applyFill="1" applyBorder="1" applyAlignment="1" applyProtection="1">
      <alignment horizontal="center" vertical="center" wrapText="1"/>
      <protection locked="0"/>
    </xf>
    <xf numFmtId="191" fontId="10" fillId="44" borderId="179" xfId="10" applyNumberFormat="1" applyFont="1" applyFill="1" applyBorder="1" applyAlignment="1" applyProtection="1">
      <alignment horizontal="center" vertical="center" wrapText="1"/>
      <protection locked="0"/>
    </xf>
    <xf numFmtId="3" fontId="10" fillId="44" borderId="48" xfId="0" applyNumberFormat="1" applyFont="1" applyFill="1" applyBorder="1" applyAlignment="1" applyProtection="1">
      <alignment horizontal="center" vertical="center" wrapText="1"/>
      <protection locked="0"/>
    </xf>
    <xf numFmtId="3" fontId="10" fillId="44" borderId="46" xfId="0" applyNumberFormat="1" applyFont="1" applyFill="1" applyBorder="1" applyAlignment="1" applyProtection="1">
      <alignment horizontal="center" vertical="center" wrapText="1"/>
      <protection locked="0"/>
    </xf>
    <xf numFmtId="0" fontId="10" fillId="44" borderId="155" xfId="0" applyFont="1" applyFill="1" applyBorder="1" applyAlignment="1" applyProtection="1">
      <alignment horizontal="center" vertical="center" wrapText="1"/>
      <protection locked="0"/>
    </xf>
    <xf numFmtId="9" fontId="10" fillId="44" borderId="11" xfId="5" applyFont="1" applyFill="1" applyBorder="1" applyAlignment="1" applyProtection="1">
      <alignment horizontal="center" vertical="center" wrapText="1"/>
      <protection locked="0"/>
    </xf>
    <xf numFmtId="9" fontId="10" fillId="44" borderId="179" xfId="5" applyFont="1" applyFill="1" applyBorder="1" applyAlignment="1" applyProtection="1">
      <alignment horizontal="center" vertical="center" wrapText="1"/>
      <protection locked="0"/>
    </xf>
    <xf numFmtId="9" fontId="10" fillId="44" borderId="48" xfId="5" applyFont="1" applyFill="1" applyBorder="1" applyAlignment="1" applyProtection="1">
      <alignment horizontal="center" vertical="center" wrapText="1"/>
      <protection locked="0"/>
    </xf>
    <xf numFmtId="9" fontId="10" fillId="44" borderId="46" xfId="5" applyFont="1" applyFill="1" applyBorder="1" applyAlignment="1" applyProtection="1">
      <alignment horizontal="center" vertical="center" wrapText="1"/>
      <protection locked="0"/>
    </xf>
    <xf numFmtId="175" fontId="10" fillId="44" borderId="155" xfId="0" applyNumberFormat="1" applyFont="1" applyFill="1" applyBorder="1" applyAlignment="1" applyProtection="1">
      <alignment horizontal="center" vertical="center" wrapText="1"/>
      <protection locked="0"/>
    </xf>
    <xf numFmtId="175" fontId="10" fillId="44" borderId="94" xfId="0" applyNumberFormat="1" applyFont="1" applyFill="1" applyBorder="1" applyAlignment="1" applyProtection="1">
      <alignment horizontal="justify" vertical="center" wrapText="1"/>
      <protection locked="0"/>
    </xf>
    <xf numFmtId="9" fontId="10" fillId="44" borderId="11" xfId="0" applyNumberFormat="1" applyFont="1" applyFill="1" applyBorder="1" applyAlignment="1" applyProtection="1">
      <alignment horizontal="center" vertical="center" wrapText="1"/>
      <protection locked="0"/>
    </xf>
    <xf numFmtId="9" fontId="10" fillId="44" borderId="184" xfId="0" applyNumberFormat="1" applyFont="1" applyFill="1" applyBorder="1" applyAlignment="1" applyProtection="1">
      <alignment horizontal="center" vertical="center" wrapText="1"/>
      <protection locked="0"/>
    </xf>
    <xf numFmtId="9" fontId="10" fillId="44" borderId="179" xfId="0" applyNumberFormat="1" applyFont="1" applyFill="1" applyBorder="1" applyAlignment="1" applyProtection="1">
      <alignment horizontal="center" vertical="center" wrapText="1"/>
      <protection locked="0"/>
    </xf>
    <xf numFmtId="9" fontId="10" fillId="44" borderId="48" xfId="0" applyNumberFormat="1" applyFont="1" applyFill="1" applyBorder="1" applyAlignment="1" applyProtection="1">
      <alignment horizontal="center" vertical="center" wrapText="1"/>
      <protection locked="0"/>
    </xf>
    <xf numFmtId="9" fontId="10" fillId="44" borderId="46" xfId="0" applyNumberFormat="1" applyFont="1" applyFill="1" applyBorder="1" applyAlignment="1" applyProtection="1">
      <alignment horizontal="center" vertical="center" wrapText="1"/>
      <protection locked="0"/>
    </xf>
    <xf numFmtId="1" fontId="10" fillId="44" borderId="46" xfId="0" applyNumberFormat="1" applyFont="1" applyFill="1" applyBorder="1" applyAlignment="1" applyProtection="1">
      <alignment horizontal="center" vertical="center" wrapText="1"/>
      <protection locked="0"/>
    </xf>
    <xf numFmtId="1" fontId="10" fillId="44" borderId="155" xfId="0" applyNumberFormat="1" applyFont="1" applyFill="1" applyBorder="1" applyAlignment="1" applyProtection="1">
      <alignment horizontal="center" vertical="center" wrapText="1"/>
      <protection locked="0"/>
    </xf>
    <xf numFmtId="1" fontId="10" fillId="44" borderId="94" xfId="0" applyNumberFormat="1" applyFont="1" applyFill="1" applyBorder="1" applyAlignment="1" applyProtection="1">
      <alignment horizontal="justify" vertical="center" wrapText="1"/>
      <protection locked="0"/>
    </xf>
    <xf numFmtId="0" fontId="10" fillId="44" borderId="184" xfId="0" applyFont="1" applyFill="1" applyBorder="1" applyAlignment="1" applyProtection="1">
      <alignment horizontal="center" vertical="center" wrapText="1"/>
      <protection locked="0"/>
    </xf>
    <xf numFmtId="0" fontId="10" fillId="44" borderId="179" xfId="0" applyFont="1" applyFill="1" applyBorder="1" applyAlignment="1" applyProtection="1">
      <alignment horizontal="center" vertical="center" wrapText="1"/>
      <protection locked="0"/>
    </xf>
    <xf numFmtId="0" fontId="10" fillId="44" borderId="48" xfId="0" applyFont="1" applyFill="1" applyBorder="1" applyAlignment="1" applyProtection="1">
      <alignment horizontal="center" vertical="center" wrapText="1"/>
      <protection locked="0"/>
    </xf>
    <xf numFmtId="1" fontId="10" fillId="44" borderId="177" xfId="0" applyNumberFormat="1" applyFont="1" applyFill="1" applyBorder="1" applyAlignment="1" applyProtection="1">
      <alignment horizontal="center" vertical="center" wrapText="1"/>
      <protection locked="0"/>
    </xf>
    <xf numFmtId="175" fontId="10" fillId="44" borderId="161" xfId="0" applyNumberFormat="1" applyFont="1" applyFill="1" applyBorder="1" applyAlignment="1" applyProtection="1">
      <alignment horizontal="center" vertical="center" wrapText="1"/>
      <protection locked="0"/>
    </xf>
    <xf numFmtId="175" fontId="10" fillId="44" borderId="31" xfId="0" applyNumberFormat="1" applyFont="1" applyFill="1" applyBorder="1" applyAlignment="1" applyProtection="1">
      <alignment horizontal="justify" vertical="center" wrapText="1"/>
      <protection locked="0"/>
    </xf>
    <xf numFmtId="3" fontId="10" fillId="44" borderId="29" xfId="0" applyNumberFormat="1" applyFont="1" applyFill="1" applyBorder="1" applyAlignment="1" applyProtection="1">
      <alignment horizontal="center" vertical="center" wrapText="1"/>
      <protection locked="0"/>
    </xf>
    <xf numFmtId="9" fontId="10" fillId="44" borderId="30" xfId="5" applyFont="1" applyFill="1" applyBorder="1" applyAlignment="1" applyProtection="1">
      <alignment horizontal="center" vertical="center" wrapText="1"/>
      <protection locked="0"/>
    </xf>
    <xf numFmtId="3" fontId="10" fillId="44" borderId="30" xfId="0" applyNumberFormat="1" applyFont="1" applyFill="1" applyBorder="1" applyAlignment="1" applyProtection="1">
      <alignment horizontal="center" vertical="center" wrapText="1"/>
      <protection locked="0"/>
    </xf>
    <xf numFmtId="3" fontId="10" fillId="44" borderId="66" xfId="0" applyNumberFormat="1" applyFont="1" applyFill="1" applyBorder="1" applyAlignment="1" applyProtection="1">
      <alignment horizontal="center" vertical="center" wrapText="1"/>
      <protection locked="0"/>
    </xf>
    <xf numFmtId="191" fontId="10" fillId="44" borderId="50" xfId="10" applyNumberFormat="1" applyFont="1" applyFill="1" applyBorder="1" applyAlignment="1" applyProtection="1">
      <alignment horizontal="center" vertical="center" wrapText="1"/>
      <protection locked="0"/>
    </xf>
    <xf numFmtId="191" fontId="10" fillId="44" borderId="29" xfId="10" applyNumberFormat="1" applyFont="1" applyFill="1" applyBorder="1" applyAlignment="1" applyProtection="1">
      <alignment horizontal="center" vertical="center" wrapText="1"/>
      <protection locked="0"/>
    </xf>
    <xf numFmtId="191" fontId="10" fillId="44" borderId="30" xfId="10" applyNumberFormat="1" applyFont="1" applyFill="1" applyBorder="1" applyAlignment="1" applyProtection="1">
      <alignment horizontal="center" vertical="center" wrapText="1"/>
      <protection locked="0"/>
    </xf>
    <xf numFmtId="191" fontId="10" fillId="44" borderId="66" xfId="10" applyNumberFormat="1" applyFont="1" applyFill="1" applyBorder="1" applyAlignment="1" applyProtection="1">
      <alignment horizontal="center" vertical="center" wrapText="1"/>
      <protection locked="0"/>
    </xf>
    <xf numFmtId="3" fontId="10" fillId="44" borderId="50" xfId="0" applyNumberFormat="1" applyFont="1" applyFill="1" applyBorder="1" applyAlignment="1" applyProtection="1">
      <alignment horizontal="center" vertical="center" wrapText="1"/>
      <protection locked="0"/>
    </xf>
    <xf numFmtId="3" fontId="10" fillId="44" borderId="177" xfId="0" applyNumberFormat="1" applyFont="1" applyFill="1" applyBorder="1" applyAlignment="1" applyProtection="1">
      <alignment horizontal="center" vertical="center" wrapText="1"/>
      <protection locked="0"/>
    </xf>
    <xf numFmtId="1" fontId="10" fillId="39" borderId="60" xfId="0" applyNumberFormat="1" applyFont="1" applyFill="1" applyBorder="1" applyAlignment="1" applyProtection="1">
      <alignment horizontal="center" vertical="center" wrapText="1"/>
      <protection locked="0"/>
    </xf>
    <xf numFmtId="1" fontId="10" fillId="39" borderId="100" xfId="0" applyNumberFormat="1" applyFont="1" applyFill="1" applyBorder="1" applyAlignment="1" applyProtection="1">
      <alignment horizontal="center" vertical="center" wrapText="1"/>
      <protection locked="0"/>
    </xf>
    <xf numFmtId="1" fontId="10" fillId="39" borderId="52" xfId="0" applyNumberFormat="1" applyFont="1" applyFill="1" applyBorder="1" applyAlignment="1" applyProtection="1">
      <alignment horizontal="justify" vertical="center" wrapText="1"/>
      <protection locked="0"/>
    </xf>
    <xf numFmtId="3" fontId="10" fillId="39" borderId="51" xfId="0" applyNumberFormat="1" applyFont="1" applyFill="1" applyBorder="1" applyAlignment="1" applyProtection="1">
      <alignment horizontal="center" vertical="center" wrapText="1"/>
      <protection locked="0"/>
    </xf>
    <xf numFmtId="3" fontId="10" fillId="39" borderId="32" xfId="0" applyNumberFormat="1" applyFont="1" applyFill="1" applyBorder="1" applyAlignment="1" applyProtection="1">
      <alignment horizontal="center" vertical="center" wrapText="1"/>
      <protection locked="0"/>
    </xf>
    <xf numFmtId="3" fontId="10" fillId="39" borderId="38" xfId="0" applyNumberFormat="1" applyFont="1" applyFill="1" applyBorder="1" applyAlignment="1" applyProtection="1">
      <alignment horizontal="center" vertical="center" wrapText="1"/>
      <protection locked="0"/>
    </xf>
    <xf numFmtId="3" fontId="10" fillId="39" borderId="99" xfId="0" applyNumberFormat="1" applyFont="1" applyFill="1" applyBorder="1" applyAlignment="1" applyProtection="1">
      <alignment horizontal="center" vertical="center" wrapText="1"/>
      <protection locked="0"/>
    </xf>
    <xf numFmtId="3" fontId="10" fillId="39" borderId="60" xfId="0" applyNumberFormat="1" applyFont="1" applyFill="1" applyBorder="1" applyAlignment="1" applyProtection="1">
      <alignment horizontal="center" vertical="center" wrapText="1"/>
      <protection locked="0"/>
    </xf>
    <xf numFmtId="1" fontId="10" fillId="39" borderId="46" xfId="0" applyNumberFormat="1" applyFont="1" applyFill="1" applyBorder="1" applyAlignment="1" applyProtection="1">
      <alignment horizontal="center" vertical="center" wrapText="1"/>
      <protection locked="0"/>
    </xf>
    <xf numFmtId="1" fontId="10" fillId="39" borderId="155" xfId="0" applyNumberFormat="1" applyFont="1" applyFill="1" applyBorder="1" applyAlignment="1" applyProtection="1">
      <alignment horizontal="center" vertical="center" wrapText="1"/>
      <protection locked="0"/>
    </xf>
    <xf numFmtId="1" fontId="10" fillId="39" borderId="94" xfId="0" applyNumberFormat="1" applyFont="1" applyFill="1" applyBorder="1" applyAlignment="1" applyProtection="1">
      <alignment horizontal="justify" vertical="center" wrapText="1"/>
      <protection locked="0"/>
    </xf>
    <xf numFmtId="3" fontId="10" fillId="39" borderId="11" xfId="0" applyNumberFormat="1" applyFont="1" applyFill="1" applyBorder="1" applyAlignment="1" applyProtection="1">
      <alignment horizontal="center" vertical="center" wrapText="1"/>
      <protection locked="0"/>
    </xf>
    <xf numFmtId="3" fontId="10" fillId="39" borderId="184" xfId="0" applyNumberFormat="1" applyFont="1" applyFill="1" applyBorder="1" applyAlignment="1" applyProtection="1">
      <alignment horizontal="center" vertical="center" wrapText="1"/>
      <protection locked="0"/>
    </xf>
    <xf numFmtId="3" fontId="10" fillId="39" borderId="179" xfId="0" applyNumberFormat="1" applyFont="1" applyFill="1" applyBorder="1" applyAlignment="1" applyProtection="1">
      <alignment horizontal="center" vertical="center" wrapText="1"/>
      <protection locked="0"/>
    </xf>
    <xf numFmtId="3" fontId="10" fillId="39" borderId="48" xfId="0" applyNumberFormat="1" applyFont="1" applyFill="1" applyBorder="1" applyAlignment="1" applyProtection="1">
      <alignment horizontal="center" vertical="center" wrapText="1"/>
      <protection locked="0"/>
    </xf>
    <xf numFmtId="3" fontId="10" fillId="39" borderId="46" xfId="0" applyNumberFormat="1" applyFont="1" applyFill="1" applyBorder="1" applyAlignment="1" applyProtection="1">
      <alignment horizontal="center" vertical="center" wrapText="1"/>
      <protection locked="0"/>
    </xf>
    <xf numFmtId="0" fontId="10" fillId="39" borderId="184" xfId="0" applyFont="1" applyFill="1" applyBorder="1" applyAlignment="1" applyProtection="1">
      <alignment horizontal="center" vertical="center" wrapText="1"/>
      <protection locked="0"/>
    </xf>
    <xf numFmtId="0" fontId="10" fillId="39" borderId="179" xfId="0" applyFont="1" applyFill="1" applyBorder="1" applyAlignment="1" applyProtection="1">
      <alignment horizontal="center" vertical="center" wrapText="1"/>
      <protection locked="0"/>
    </xf>
    <xf numFmtId="0" fontId="10" fillId="39" borderId="48" xfId="0" applyFont="1" applyFill="1" applyBorder="1" applyAlignment="1" applyProtection="1">
      <alignment horizontal="center" vertical="center" wrapText="1"/>
      <protection locked="0"/>
    </xf>
    <xf numFmtId="1" fontId="10" fillId="39" borderId="177" xfId="0" applyNumberFormat="1" applyFont="1" applyFill="1" applyBorder="1" applyAlignment="1" applyProtection="1">
      <alignment horizontal="center" vertical="center" wrapText="1"/>
      <protection locked="0"/>
    </xf>
    <xf numFmtId="1" fontId="10" fillId="39" borderId="161" xfId="0" applyNumberFormat="1" applyFont="1" applyFill="1" applyBorder="1" applyAlignment="1" applyProtection="1">
      <alignment horizontal="center" vertical="center" wrapText="1"/>
      <protection locked="0"/>
    </xf>
    <xf numFmtId="1" fontId="10" fillId="39" borderId="31" xfId="0" applyNumberFormat="1" applyFont="1" applyFill="1" applyBorder="1" applyAlignment="1" applyProtection="1">
      <alignment horizontal="justify" vertical="center" wrapText="1"/>
      <protection locked="0"/>
    </xf>
    <xf numFmtId="3" fontId="10" fillId="39" borderId="29" xfId="0" applyNumberFormat="1" applyFont="1" applyFill="1" applyBorder="1" applyAlignment="1" applyProtection="1">
      <alignment horizontal="center" vertical="center" wrapText="1"/>
      <protection locked="0"/>
    </xf>
    <xf numFmtId="9" fontId="10" fillId="39" borderId="30" xfId="5" applyFont="1" applyFill="1" applyBorder="1" applyAlignment="1" applyProtection="1">
      <alignment horizontal="center" vertical="center" wrapText="1"/>
      <protection locked="0"/>
    </xf>
    <xf numFmtId="3" fontId="10" fillId="39" borderId="30" xfId="0" applyNumberFormat="1" applyFont="1" applyFill="1" applyBorder="1" applyAlignment="1" applyProtection="1">
      <alignment horizontal="center" vertical="center" wrapText="1"/>
      <protection locked="0"/>
    </xf>
    <xf numFmtId="3" fontId="10" fillId="39" borderId="66" xfId="0" applyNumberFormat="1" applyFont="1" applyFill="1" applyBorder="1" applyAlignment="1" applyProtection="1">
      <alignment horizontal="center" vertical="center" wrapText="1"/>
      <protection locked="0"/>
    </xf>
    <xf numFmtId="191" fontId="10" fillId="39" borderId="50" xfId="10" applyNumberFormat="1" applyFont="1" applyFill="1" applyBorder="1" applyAlignment="1" applyProtection="1">
      <alignment horizontal="center" vertical="center" wrapText="1"/>
      <protection locked="0"/>
    </xf>
    <xf numFmtId="191" fontId="10" fillId="39" borderId="29" xfId="10" applyNumberFormat="1" applyFont="1" applyFill="1" applyBorder="1" applyAlignment="1" applyProtection="1">
      <alignment horizontal="center" vertical="center" wrapText="1"/>
      <protection locked="0"/>
    </xf>
    <xf numFmtId="191" fontId="10" fillId="39" borderId="30" xfId="10" applyNumberFormat="1" applyFont="1" applyFill="1" applyBorder="1" applyAlignment="1" applyProtection="1">
      <alignment horizontal="center" vertical="center" wrapText="1"/>
      <protection locked="0"/>
    </xf>
    <xf numFmtId="191" fontId="10" fillId="39" borderId="66" xfId="10" applyNumberFormat="1" applyFont="1" applyFill="1" applyBorder="1" applyAlignment="1" applyProtection="1">
      <alignment horizontal="center" vertical="center" wrapText="1"/>
      <protection locked="0"/>
    </xf>
    <xf numFmtId="3" fontId="10" fillId="39" borderId="50" xfId="0" applyNumberFormat="1" applyFont="1" applyFill="1" applyBorder="1" applyAlignment="1" applyProtection="1">
      <alignment horizontal="center" vertical="center" wrapText="1"/>
      <protection locked="0"/>
    </xf>
    <xf numFmtId="3" fontId="10" fillId="39" borderId="177" xfId="0" applyNumberFormat="1" applyFont="1" applyFill="1" applyBorder="1" applyAlignment="1" applyProtection="1">
      <alignment horizontal="center" vertical="center" wrapText="1"/>
      <protection locked="0"/>
    </xf>
    <xf numFmtId="175" fontId="10" fillId="38" borderId="100" xfId="0" applyNumberFormat="1" applyFont="1" applyFill="1" applyBorder="1" applyAlignment="1" applyProtection="1">
      <alignment horizontal="center" vertical="center" wrapText="1"/>
      <protection locked="0"/>
    </xf>
    <xf numFmtId="175" fontId="10" fillId="38" borderId="52" xfId="0" applyNumberFormat="1" applyFont="1" applyFill="1" applyBorder="1" applyAlignment="1" applyProtection="1">
      <alignment horizontal="justify" vertical="center" wrapText="1"/>
      <protection locked="0"/>
    </xf>
    <xf numFmtId="175" fontId="10" fillId="38" borderId="155" xfId="0" applyNumberFormat="1" applyFont="1" applyFill="1" applyBorder="1" applyAlignment="1" applyProtection="1">
      <alignment horizontal="center" vertical="center" wrapText="1"/>
      <protection locked="0"/>
    </xf>
    <xf numFmtId="0" fontId="10" fillId="38" borderId="11" xfId="0" applyFont="1" applyFill="1" applyBorder="1" applyAlignment="1" applyProtection="1">
      <alignment horizontal="center" vertical="center" wrapText="1"/>
      <protection locked="0"/>
    </xf>
    <xf numFmtId="175" fontId="10" fillId="38" borderId="94" xfId="0" applyNumberFormat="1" applyFont="1" applyFill="1" applyBorder="1" applyAlignment="1" applyProtection="1">
      <alignment horizontal="justify" vertical="center" wrapText="1"/>
      <protection locked="0"/>
    </xf>
    <xf numFmtId="3" fontId="10" fillId="38" borderId="11" xfId="0" applyNumberFormat="1" applyFont="1" applyFill="1" applyBorder="1" applyAlignment="1" applyProtection="1">
      <alignment horizontal="center" vertical="center" wrapText="1"/>
      <protection locked="0"/>
    </xf>
    <xf numFmtId="3" fontId="10" fillId="38" borderId="184" xfId="0" applyNumberFormat="1" applyFont="1" applyFill="1" applyBorder="1" applyAlignment="1" applyProtection="1">
      <alignment horizontal="center" vertical="center" wrapText="1"/>
      <protection locked="0"/>
    </xf>
    <xf numFmtId="3" fontId="10" fillId="38" borderId="179" xfId="0" applyNumberFormat="1" applyFont="1" applyFill="1" applyBorder="1" applyAlignment="1" applyProtection="1">
      <alignment horizontal="center" vertical="center" wrapText="1"/>
      <protection locked="0"/>
    </xf>
    <xf numFmtId="3" fontId="10" fillId="38" borderId="48" xfId="0" applyNumberFormat="1" applyFont="1" applyFill="1" applyBorder="1" applyAlignment="1" applyProtection="1">
      <alignment horizontal="center" vertical="center" wrapText="1"/>
      <protection locked="0"/>
    </xf>
    <xf numFmtId="3" fontId="10" fillId="38" borderId="46" xfId="0" applyNumberFormat="1" applyFont="1" applyFill="1" applyBorder="1" applyAlignment="1" applyProtection="1">
      <alignment horizontal="center" vertical="center" wrapText="1"/>
      <protection locked="0"/>
    </xf>
    <xf numFmtId="9" fontId="10" fillId="38" borderId="11" xfId="5" applyFont="1" applyFill="1" applyBorder="1" applyAlignment="1" applyProtection="1">
      <alignment horizontal="center" vertical="center" wrapText="1"/>
      <protection locked="0"/>
    </xf>
    <xf numFmtId="9" fontId="10" fillId="38" borderId="179" xfId="5" applyFont="1" applyFill="1" applyBorder="1" applyAlignment="1" applyProtection="1">
      <alignment horizontal="center" vertical="center" wrapText="1"/>
      <protection locked="0"/>
    </xf>
    <xf numFmtId="9" fontId="10" fillId="38" borderId="48" xfId="5" applyFont="1" applyFill="1" applyBorder="1" applyAlignment="1" applyProtection="1">
      <alignment horizontal="center" vertical="center" wrapText="1"/>
      <protection locked="0"/>
    </xf>
    <xf numFmtId="9" fontId="10" fillId="38" borderId="46" xfId="5" applyFont="1" applyFill="1" applyBorder="1" applyAlignment="1" applyProtection="1">
      <alignment horizontal="center" vertical="center" wrapText="1"/>
      <protection locked="0"/>
    </xf>
    <xf numFmtId="1" fontId="10" fillId="38" borderId="46" xfId="0" applyNumberFormat="1" applyFont="1" applyFill="1" applyBorder="1" applyAlignment="1" applyProtection="1">
      <alignment horizontal="center" vertical="center" wrapText="1"/>
      <protection locked="0"/>
    </xf>
    <xf numFmtId="1" fontId="10" fillId="38" borderId="155" xfId="0" applyNumberFormat="1" applyFont="1" applyFill="1" applyBorder="1" applyAlignment="1" applyProtection="1">
      <alignment horizontal="center" vertical="center" wrapText="1"/>
      <protection locked="0"/>
    </xf>
    <xf numFmtId="1" fontId="10" fillId="38" borderId="94" xfId="0" applyNumberFormat="1" applyFont="1" applyFill="1" applyBorder="1" applyAlignment="1" applyProtection="1">
      <alignment horizontal="justify" vertical="center" wrapText="1"/>
      <protection locked="0"/>
    </xf>
    <xf numFmtId="0" fontId="10" fillId="38" borderId="184" xfId="0" applyFont="1" applyFill="1" applyBorder="1" applyAlignment="1" applyProtection="1">
      <alignment horizontal="center" vertical="center" wrapText="1"/>
      <protection locked="0"/>
    </xf>
    <xf numFmtId="0" fontId="10" fillId="38" borderId="179" xfId="0" applyFont="1" applyFill="1" applyBorder="1" applyAlignment="1" applyProtection="1">
      <alignment horizontal="center" vertical="center" wrapText="1"/>
      <protection locked="0"/>
    </xf>
    <xf numFmtId="0" fontId="10" fillId="38" borderId="48" xfId="0" applyFont="1" applyFill="1" applyBorder="1" applyAlignment="1" applyProtection="1">
      <alignment horizontal="center" vertical="center" wrapText="1"/>
      <protection locked="0"/>
    </xf>
    <xf numFmtId="177" fontId="10" fillId="38" borderId="11" xfId="10" applyNumberFormat="1" applyFont="1" applyFill="1" applyBorder="1" applyAlignment="1" applyProtection="1">
      <alignment horizontal="center" vertical="center" wrapText="1"/>
      <protection locked="0"/>
    </xf>
    <xf numFmtId="177" fontId="10" fillId="38" borderId="184" xfId="10" applyNumberFormat="1" applyFont="1" applyFill="1" applyBorder="1" applyAlignment="1" applyProtection="1">
      <alignment horizontal="center" vertical="center" wrapText="1"/>
      <protection locked="0"/>
    </xf>
    <xf numFmtId="177" fontId="10" fillId="38" borderId="179" xfId="10" applyNumberFormat="1" applyFont="1" applyFill="1" applyBorder="1" applyAlignment="1" applyProtection="1">
      <alignment horizontal="center" vertical="center" wrapText="1"/>
      <protection locked="0"/>
    </xf>
    <xf numFmtId="177" fontId="10" fillId="38" borderId="48" xfId="10" applyNumberFormat="1" applyFont="1" applyFill="1" applyBorder="1" applyAlignment="1" applyProtection="1">
      <alignment horizontal="center" vertical="center" wrapText="1"/>
      <protection locked="0"/>
    </xf>
    <xf numFmtId="177" fontId="10" fillId="38" borderId="46" xfId="10" applyNumberFormat="1" applyFont="1" applyFill="1" applyBorder="1" applyAlignment="1" applyProtection="1">
      <alignment horizontal="center" vertical="center" wrapText="1"/>
      <protection locked="0"/>
    </xf>
    <xf numFmtId="175" fontId="10" fillId="38" borderId="11" xfId="0" applyNumberFormat="1" applyFont="1" applyFill="1" applyBorder="1" applyAlignment="1" applyProtection="1">
      <alignment horizontal="center" vertical="center" wrapText="1"/>
      <protection locked="0"/>
    </xf>
    <xf numFmtId="175" fontId="10" fillId="38" borderId="184" xfId="0" applyNumberFormat="1" applyFont="1" applyFill="1" applyBorder="1" applyAlignment="1" applyProtection="1">
      <alignment horizontal="center" vertical="center" wrapText="1"/>
      <protection locked="0"/>
    </xf>
    <xf numFmtId="175" fontId="10" fillId="38" borderId="179" xfId="0" applyNumberFormat="1" applyFont="1" applyFill="1" applyBorder="1" applyAlignment="1" applyProtection="1">
      <alignment horizontal="center" vertical="center" wrapText="1"/>
      <protection locked="0"/>
    </xf>
    <xf numFmtId="175" fontId="10" fillId="38" borderId="48" xfId="0" applyNumberFormat="1" applyFont="1" applyFill="1" applyBorder="1" applyAlignment="1" applyProtection="1">
      <alignment horizontal="center" vertical="center" wrapText="1"/>
      <protection locked="0"/>
    </xf>
    <xf numFmtId="175" fontId="10" fillId="38" borderId="46" xfId="0" applyNumberFormat="1" applyFont="1" applyFill="1" applyBorder="1" applyAlignment="1" applyProtection="1">
      <alignment horizontal="center" vertical="center" wrapText="1"/>
      <protection locked="0"/>
    </xf>
    <xf numFmtId="1" fontId="10" fillId="38" borderId="11" xfId="0" applyNumberFormat="1" applyFont="1" applyFill="1" applyBorder="1" applyAlignment="1" applyProtection="1">
      <alignment vertical="center" wrapText="1"/>
      <protection locked="0"/>
    </xf>
    <xf numFmtId="9" fontId="10" fillId="38" borderId="184" xfId="5" applyFont="1" applyFill="1" applyBorder="1" applyAlignment="1" applyProtection="1">
      <alignment vertical="center" wrapText="1"/>
      <protection locked="0"/>
    </xf>
    <xf numFmtId="1" fontId="10" fillId="38" borderId="184" xfId="0" applyNumberFormat="1" applyFont="1" applyFill="1" applyBorder="1" applyAlignment="1" applyProtection="1">
      <alignment vertical="center" wrapText="1"/>
      <protection locked="0"/>
    </xf>
    <xf numFmtId="1" fontId="10" fillId="38" borderId="179" xfId="0" applyNumberFormat="1" applyFont="1" applyFill="1" applyBorder="1" applyAlignment="1" applyProtection="1">
      <alignment vertical="center" wrapText="1"/>
      <protection locked="0"/>
    </xf>
    <xf numFmtId="191" fontId="10" fillId="38" borderId="48" xfId="10" applyNumberFormat="1" applyFont="1" applyFill="1" applyBorder="1" applyAlignment="1" applyProtection="1">
      <alignment vertical="center" wrapText="1"/>
      <protection locked="0"/>
    </xf>
    <xf numFmtId="191" fontId="10" fillId="38" borderId="11" xfId="10" applyNumberFormat="1" applyFont="1" applyFill="1" applyBorder="1" applyAlignment="1" applyProtection="1">
      <alignment vertical="center" wrapText="1"/>
      <protection locked="0"/>
    </xf>
    <xf numFmtId="191" fontId="10" fillId="38" borderId="184" xfId="10" applyNumberFormat="1" applyFont="1" applyFill="1" applyBorder="1" applyAlignment="1" applyProtection="1">
      <alignment vertical="center" wrapText="1"/>
      <protection locked="0"/>
    </xf>
    <xf numFmtId="191" fontId="10" fillId="38" borderId="179" xfId="10" applyNumberFormat="1" applyFont="1" applyFill="1" applyBorder="1" applyAlignment="1" applyProtection="1">
      <alignment vertical="center" wrapText="1"/>
      <protection locked="0"/>
    </xf>
    <xf numFmtId="1" fontId="10" fillId="38" borderId="48" xfId="0" applyNumberFormat="1" applyFont="1" applyFill="1" applyBorder="1" applyAlignment="1" applyProtection="1">
      <alignment vertical="center" wrapText="1"/>
      <protection locked="0"/>
    </xf>
    <xf numFmtId="1" fontId="10" fillId="38" borderId="46" xfId="0" applyNumberFormat="1" applyFont="1" applyFill="1" applyBorder="1" applyAlignment="1" applyProtection="1">
      <alignment vertical="center" wrapText="1"/>
      <protection locked="0"/>
    </xf>
    <xf numFmtId="1" fontId="10" fillId="38" borderId="11" xfId="5" applyNumberFormat="1" applyFont="1" applyFill="1" applyBorder="1" applyAlignment="1" applyProtection="1">
      <alignment horizontal="center" vertical="center" wrapText="1"/>
      <protection locked="0"/>
    </xf>
    <xf numFmtId="1" fontId="10" fillId="38" borderId="184" xfId="5" applyNumberFormat="1" applyFont="1" applyFill="1" applyBorder="1" applyAlignment="1" applyProtection="1">
      <alignment horizontal="center" vertical="center" wrapText="1"/>
      <protection locked="0"/>
    </xf>
    <xf numFmtId="1" fontId="10" fillId="38" borderId="179" xfId="5" applyNumberFormat="1" applyFont="1" applyFill="1" applyBorder="1" applyAlignment="1" applyProtection="1">
      <alignment horizontal="center" vertical="center" wrapText="1"/>
      <protection locked="0"/>
    </xf>
    <xf numFmtId="1" fontId="10" fillId="38" borderId="48" xfId="5" applyNumberFormat="1" applyFont="1" applyFill="1" applyBorder="1" applyAlignment="1" applyProtection="1">
      <alignment horizontal="center" vertical="center" wrapText="1"/>
      <protection locked="0"/>
    </xf>
    <xf numFmtId="1" fontId="10" fillId="38" borderId="46" xfId="5" applyNumberFormat="1" applyFont="1" applyFill="1" applyBorder="1" applyAlignment="1" applyProtection="1">
      <alignment horizontal="center" vertical="center" wrapText="1"/>
      <protection locked="0"/>
    </xf>
    <xf numFmtId="0" fontId="10" fillId="38" borderId="11" xfId="5" applyNumberFormat="1" applyFont="1" applyFill="1" applyBorder="1" applyAlignment="1" applyProtection="1">
      <alignment horizontal="center" vertical="center" wrapText="1"/>
      <protection locked="0"/>
    </xf>
    <xf numFmtId="0" fontId="10" fillId="38" borderId="184" xfId="5" applyNumberFormat="1" applyFont="1" applyFill="1" applyBorder="1" applyAlignment="1" applyProtection="1">
      <alignment horizontal="center" vertical="center" wrapText="1"/>
      <protection locked="0"/>
    </xf>
    <xf numFmtId="0" fontId="10" fillId="38" borderId="179" xfId="5" applyNumberFormat="1" applyFont="1" applyFill="1" applyBorder="1" applyAlignment="1" applyProtection="1">
      <alignment horizontal="center" vertical="center" wrapText="1"/>
      <protection locked="0"/>
    </xf>
    <xf numFmtId="0" fontId="10" fillId="38" borderId="48" xfId="5" applyNumberFormat="1" applyFont="1" applyFill="1" applyBorder="1" applyAlignment="1" applyProtection="1">
      <alignment horizontal="center" vertical="center" wrapText="1"/>
      <protection locked="0"/>
    </xf>
    <xf numFmtId="0" fontId="10" fillId="38" borderId="46" xfId="5" applyNumberFormat="1" applyFont="1" applyFill="1" applyBorder="1" applyAlignment="1" applyProtection="1">
      <alignment horizontal="center" vertical="center" wrapText="1"/>
      <protection locked="0"/>
    </xf>
    <xf numFmtId="9" fontId="10" fillId="38" borderId="11" xfId="0" applyNumberFormat="1" applyFont="1" applyFill="1" applyBorder="1" applyAlignment="1" applyProtection="1">
      <alignment horizontal="center" vertical="center" wrapText="1"/>
      <protection locked="0"/>
    </xf>
    <xf numFmtId="9" fontId="10" fillId="38" borderId="184" xfId="0" applyNumberFormat="1" applyFont="1" applyFill="1" applyBorder="1" applyAlignment="1" applyProtection="1">
      <alignment horizontal="center" vertical="center" wrapText="1"/>
      <protection locked="0"/>
    </xf>
    <xf numFmtId="9" fontId="10" fillId="38" borderId="179" xfId="0" applyNumberFormat="1" applyFont="1" applyFill="1" applyBorder="1" applyAlignment="1" applyProtection="1">
      <alignment horizontal="center" vertical="center" wrapText="1"/>
      <protection locked="0"/>
    </xf>
    <xf numFmtId="9" fontId="10" fillId="38" borderId="48" xfId="0" applyNumberFormat="1" applyFont="1" applyFill="1" applyBorder="1" applyAlignment="1" applyProtection="1">
      <alignment horizontal="center" vertical="center" wrapText="1"/>
      <protection locked="0"/>
    </xf>
    <xf numFmtId="9" fontId="10" fillId="38" borderId="46" xfId="0" applyNumberFormat="1" applyFont="1" applyFill="1" applyBorder="1" applyAlignment="1" applyProtection="1">
      <alignment horizontal="center" vertical="center" wrapText="1"/>
      <protection locked="0"/>
    </xf>
    <xf numFmtId="1" fontId="10" fillId="38" borderId="177" xfId="0" applyNumberFormat="1" applyFont="1" applyFill="1" applyBorder="1" applyAlignment="1" applyProtection="1">
      <alignment horizontal="center" vertical="center" wrapText="1"/>
      <protection locked="0"/>
    </xf>
    <xf numFmtId="1" fontId="10" fillId="38" borderId="161" xfId="0" applyNumberFormat="1" applyFont="1" applyFill="1" applyBorder="1" applyAlignment="1" applyProtection="1">
      <alignment horizontal="center" vertical="center" wrapText="1"/>
      <protection locked="0"/>
    </xf>
    <xf numFmtId="0" fontId="10" fillId="38" borderId="29" xfId="0" applyFont="1" applyFill="1" applyBorder="1" applyAlignment="1" applyProtection="1">
      <alignment horizontal="center" vertical="center" wrapText="1"/>
      <protection locked="0"/>
    </xf>
    <xf numFmtId="1" fontId="10" fillId="38" borderId="31" xfId="0" applyNumberFormat="1" applyFont="1" applyFill="1" applyBorder="1" applyAlignment="1" applyProtection="1">
      <alignment horizontal="justify" vertical="center" wrapText="1"/>
      <protection locked="0"/>
    </xf>
    <xf numFmtId="0" fontId="10" fillId="103" borderId="45" xfId="0" applyFont="1" applyFill="1" applyBorder="1" applyAlignment="1" applyProtection="1">
      <alignment horizontal="center" vertical="center"/>
      <protection locked="0"/>
    </xf>
    <xf numFmtId="0" fontId="10" fillId="103" borderId="15" xfId="0" applyFont="1" applyFill="1" applyBorder="1" applyAlignment="1" applyProtection="1">
      <alignment horizontal="center" vertical="center"/>
      <protection locked="0"/>
    </xf>
    <xf numFmtId="0" fontId="10" fillId="103" borderId="9" xfId="0" applyFont="1" applyFill="1" applyBorder="1" applyAlignment="1" applyProtection="1">
      <alignment horizontal="justify" vertical="center"/>
      <protection locked="0"/>
    </xf>
    <xf numFmtId="3" fontId="0" fillId="103" borderId="7" xfId="0" applyNumberFormat="1" applyFont="1" applyFill="1" applyBorder="1" applyAlignment="1" applyProtection="1">
      <alignment horizontal="center" vertical="center" wrapText="1"/>
      <protection locked="0"/>
    </xf>
    <xf numFmtId="9" fontId="0" fillId="103" borderId="8" xfId="5" applyFont="1" applyFill="1" applyBorder="1" applyAlignment="1" applyProtection="1">
      <alignment horizontal="center" vertical="center" wrapText="1"/>
      <protection locked="0"/>
    </xf>
    <xf numFmtId="3" fontId="0" fillId="103" borderId="8" xfId="0" applyNumberFormat="1" applyFont="1" applyFill="1" applyBorder="1" applyAlignment="1" applyProtection="1">
      <alignment horizontal="center" vertical="center" wrapText="1"/>
      <protection locked="0"/>
    </xf>
    <xf numFmtId="3" fontId="0" fillId="103" borderId="36" xfId="0" applyNumberFormat="1" applyFont="1" applyFill="1" applyBorder="1" applyAlignment="1" applyProtection="1">
      <alignment horizontal="center" vertical="center" wrapText="1"/>
      <protection locked="0"/>
    </xf>
    <xf numFmtId="191" fontId="0" fillId="103" borderId="16" xfId="10" applyNumberFormat="1" applyFont="1" applyFill="1" applyBorder="1" applyAlignment="1" applyProtection="1">
      <alignment horizontal="center" vertical="center" wrapText="1"/>
      <protection locked="0"/>
    </xf>
    <xf numFmtId="191" fontId="0" fillId="103" borderId="7" xfId="10" applyNumberFormat="1" applyFont="1" applyFill="1" applyBorder="1" applyAlignment="1" applyProtection="1">
      <alignment horizontal="center" vertical="center" wrapText="1"/>
      <protection locked="0"/>
    </xf>
    <xf numFmtId="191" fontId="0" fillId="103" borderId="8" xfId="10" applyNumberFormat="1" applyFont="1" applyFill="1" applyBorder="1" applyAlignment="1" applyProtection="1">
      <alignment horizontal="center" vertical="center" wrapText="1"/>
      <protection locked="0"/>
    </xf>
    <xf numFmtId="191" fontId="0" fillId="103" borderId="36" xfId="10" applyNumberFormat="1" applyFont="1" applyFill="1" applyBorder="1" applyAlignment="1" applyProtection="1">
      <alignment horizontal="center" vertical="center" wrapText="1"/>
      <protection locked="0"/>
    </xf>
    <xf numFmtId="3" fontId="0" fillId="103" borderId="16" xfId="0" applyNumberFormat="1" applyFont="1" applyFill="1" applyBorder="1" applyAlignment="1" applyProtection="1">
      <alignment horizontal="center" vertical="center" wrapText="1"/>
      <protection locked="0"/>
    </xf>
    <xf numFmtId="3" fontId="0" fillId="103" borderId="45" xfId="0" applyNumberFormat="1" applyFont="1" applyFill="1" applyBorder="1" applyAlignment="1" applyProtection="1">
      <alignment horizontal="center" vertical="center" wrapText="1"/>
      <protection locked="0"/>
    </xf>
    <xf numFmtId="0" fontId="0" fillId="103" borderId="94" xfId="0" applyFont="1" applyFill="1" applyBorder="1" applyAlignment="1" applyProtection="1">
      <alignment horizontal="justify" vertical="center"/>
      <protection locked="0"/>
    </xf>
    <xf numFmtId="0" fontId="10" fillId="103" borderId="46" xfId="0" applyFont="1" applyFill="1" applyBorder="1" applyAlignment="1" applyProtection="1">
      <alignment horizontal="center" vertical="center" wrapText="1"/>
      <protection locked="0"/>
    </xf>
    <xf numFmtId="0" fontId="10" fillId="103" borderId="155" xfId="0" applyFont="1" applyFill="1" applyBorder="1" applyAlignment="1" applyProtection="1">
      <alignment horizontal="center" vertical="center" wrapText="1"/>
      <protection locked="0"/>
    </xf>
    <xf numFmtId="0" fontId="10" fillId="103" borderId="94" xfId="0" applyFont="1" applyFill="1" applyBorder="1" applyAlignment="1" applyProtection="1">
      <alignment horizontal="justify" vertical="center" wrapText="1"/>
      <protection locked="0"/>
    </xf>
    <xf numFmtId="3" fontId="0" fillId="103" borderId="11" xfId="0" applyNumberFormat="1" applyFont="1" applyFill="1" applyBorder="1" applyAlignment="1" applyProtection="1">
      <alignment horizontal="center" vertical="center" wrapText="1"/>
      <protection locked="0"/>
    </xf>
    <xf numFmtId="3" fontId="0" fillId="103" borderId="184" xfId="0" applyNumberFormat="1" applyFont="1" applyFill="1" applyBorder="1" applyAlignment="1" applyProtection="1">
      <alignment horizontal="center" vertical="center" wrapText="1"/>
      <protection locked="0"/>
    </xf>
    <xf numFmtId="3" fontId="0" fillId="103" borderId="179" xfId="0" applyNumberFormat="1" applyFont="1" applyFill="1" applyBorder="1" applyAlignment="1" applyProtection="1">
      <alignment horizontal="center" vertical="center" wrapText="1"/>
      <protection locked="0"/>
    </xf>
    <xf numFmtId="3" fontId="0" fillId="103" borderId="48" xfId="0" applyNumberFormat="1" applyFont="1" applyFill="1" applyBorder="1" applyAlignment="1" applyProtection="1">
      <alignment horizontal="center" vertical="center" wrapText="1"/>
      <protection locked="0"/>
    </xf>
    <xf numFmtId="3" fontId="0" fillId="103" borderId="46" xfId="0" applyNumberFormat="1" applyFont="1" applyFill="1" applyBorder="1" applyAlignment="1" applyProtection="1">
      <alignment horizontal="center" vertical="center" wrapText="1"/>
      <protection locked="0"/>
    </xf>
    <xf numFmtId="0" fontId="10" fillId="103" borderId="11" xfId="0" applyFont="1" applyFill="1" applyBorder="1" applyAlignment="1" applyProtection="1">
      <alignment vertical="center" wrapText="1"/>
      <protection locked="0"/>
    </xf>
    <xf numFmtId="9" fontId="10" fillId="103" borderId="184" xfId="5" applyFont="1" applyFill="1" applyBorder="1" applyAlignment="1" applyProtection="1">
      <alignment vertical="center" wrapText="1"/>
      <protection locked="0"/>
    </xf>
    <xf numFmtId="0" fontId="10" fillId="103" borderId="184" xfId="0" applyFont="1" applyFill="1" applyBorder="1" applyAlignment="1" applyProtection="1">
      <alignment vertical="center" wrapText="1"/>
      <protection locked="0"/>
    </xf>
    <xf numFmtId="0" fontId="10" fillId="103" borderId="179" xfId="0" applyFont="1" applyFill="1" applyBorder="1" applyAlignment="1" applyProtection="1">
      <alignment vertical="center" wrapText="1"/>
      <protection locked="0"/>
    </xf>
    <xf numFmtId="191" fontId="10" fillId="103" borderId="48" xfId="10" applyNumberFormat="1" applyFont="1" applyFill="1" applyBorder="1" applyAlignment="1" applyProtection="1">
      <alignment vertical="center" wrapText="1"/>
      <protection locked="0"/>
    </xf>
    <xf numFmtId="191" fontId="10" fillId="103" borderId="11" xfId="10" applyNumberFormat="1" applyFont="1" applyFill="1" applyBorder="1" applyAlignment="1" applyProtection="1">
      <alignment vertical="center" wrapText="1"/>
      <protection locked="0"/>
    </xf>
    <xf numFmtId="191" fontId="10" fillId="103" borderId="184" xfId="10" applyNumberFormat="1" applyFont="1" applyFill="1" applyBorder="1" applyAlignment="1" applyProtection="1">
      <alignment vertical="center" wrapText="1"/>
      <protection locked="0"/>
    </xf>
    <xf numFmtId="191" fontId="10" fillId="103" borderId="179" xfId="10" applyNumberFormat="1" applyFont="1" applyFill="1" applyBorder="1" applyAlignment="1" applyProtection="1">
      <alignment vertical="center" wrapText="1"/>
      <protection locked="0"/>
    </xf>
    <xf numFmtId="0" fontId="10" fillId="103" borderId="48" xfId="0" applyFont="1" applyFill="1" applyBorder="1" applyAlignment="1" applyProtection="1">
      <alignment vertical="center" wrapText="1"/>
      <protection locked="0"/>
    </xf>
    <xf numFmtId="0" fontId="10" fillId="103" borderId="46" xfId="0" applyFont="1" applyFill="1" applyBorder="1" applyAlignment="1" applyProtection="1">
      <alignment vertical="center" wrapText="1"/>
      <protection locked="0"/>
    </xf>
    <xf numFmtId="0" fontId="10" fillId="103" borderId="11" xfId="0" applyFont="1" applyFill="1" applyBorder="1" applyAlignment="1" applyProtection="1">
      <alignment horizontal="center" vertical="center" wrapText="1"/>
      <protection locked="0"/>
    </xf>
    <xf numFmtId="9" fontId="10" fillId="103" borderId="184" xfId="5" applyFont="1" applyFill="1" applyBorder="1" applyAlignment="1" applyProtection="1">
      <alignment horizontal="center" vertical="center" wrapText="1"/>
      <protection locked="0"/>
    </xf>
    <xf numFmtId="0" fontId="10" fillId="103" borderId="184" xfId="0" applyFont="1" applyFill="1" applyBorder="1" applyAlignment="1" applyProtection="1">
      <alignment horizontal="center" vertical="center" wrapText="1"/>
      <protection locked="0"/>
    </xf>
    <xf numFmtId="0" fontId="10" fillId="103" borderId="179" xfId="0" applyFont="1" applyFill="1" applyBorder="1" applyAlignment="1" applyProtection="1">
      <alignment horizontal="center" vertical="center" wrapText="1"/>
      <protection locked="0"/>
    </xf>
    <xf numFmtId="191" fontId="10" fillId="103" borderId="48" xfId="10" applyNumberFormat="1" applyFont="1" applyFill="1" applyBorder="1" applyAlignment="1" applyProtection="1">
      <alignment horizontal="center" vertical="center" wrapText="1"/>
      <protection locked="0"/>
    </xf>
    <xf numFmtId="191" fontId="10" fillId="103" borderId="11" xfId="10" applyNumberFormat="1" applyFont="1" applyFill="1" applyBorder="1" applyAlignment="1" applyProtection="1">
      <alignment horizontal="center" vertical="center" wrapText="1"/>
      <protection locked="0"/>
    </xf>
    <xf numFmtId="191" fontId="10" fillId="103" borderId="184" xfId="10" applyNumberFormat="1" applyFont="1" applyFill="1" applyBorder="1" applyAlignment="1" applyProtection="1">
      <alignment horizontal="center" vertical="center" wrapText="1"/>
      <protection locked="0"/>
    </xf>
    <xf numFmtId="191" fontId="10" fillId="103" borderId="179" xfId="10" applyNumberFormat="1" applyFont="1" applyFill="1" applyBorder="1" applyAlignment="1" applyProtection="1">
      <alignment horizontal="center" vertical="center" wrapText="1"/>
      <protection locked="0"/>
    </xf>
    <xf numFmtId="0" fontId="10" fillId="103" borderId="48" xfId="0" applyFont="1" applyFill="1" applyBorder="1" applyAlignment="1" applyProtection="1">
      <alignment horizontal="center" vertical="center" wrapText="1"/>
      <protection locked="0"/>
    </xf>
    <xf numFmtId="0" fontId="10" fillId="103" borderId="177" xfId="0" applyFont="1" applyFill="1" applyBorder="1" applyAlignment="1" applyProtection="1">
      <alignment horizontal="center" vertical="center" wrapText="1"/>
      <protection locked="0"/>
    </xf>
    <xf numFmtId="0" fontId="10" fillId="103" borderId="161" xfId="0" applyFont="1" applyFill="1" applyBorder="1" applyAlignment="1" applyProtection="1">
      <alignment horizontal="center" vertical="center" wrapText="1"/>
      <protection locked="0"/>
    </xf>
    <xf numFmtId="0" fontId="10" fillId="103" borderId="31" xfId="0" applyFont="1" applyFill="1" applyBorder="1" applyAlignment="1" applyProtection="1">
      <alignment horizontal="justify" vertical="center" wrapText="1"/>
      <protection locked="0"/>
    </xf>
    <xf numFmtId="9" fontId="0" fillId="103" borderId="29" xfId="5" applyFont="1" applyFill="1" applyBorder="1" applyAlignment="1" applyProtection="1">
      <alignment horizontal="center" vertical="center" wrapText="1"/>
      <protection locked="0"/>
    </xf>
    <xf numFmtId="9" fontId="0" fillId="103" borderId="30" xfId="5" applyFont="1" applyFill="1" applyBorder="1" applyAlignment="1" applyProtection="1">
      <alignment horizontal="center" vertical="center" wrapText="1"/>
      <protection locked="0"/>
    </xf>
    <xf numFmtId="9" fontId="0" fillId="103" borderId="66" xfId="5" applyFont="1" applyFill="1" applyBorder="1" applyAlignment="1" applyProtection="1">
      <alignment horizontal="center" vertical="center" wrapText="1"/>
      <protection locked="0"/>
    </xf>
    <xf numFmtId="191" fontId="0" fillId="103" borderId="50" xfId="10" applyNumberFormat="1" applyFont="1" applyFill="1" applyBorder="1" applyAlignment="1" applyProtection="1">
      <alignment horizontal="center" vertical="center" wrapText="1"/>
      <protection locked="0"/>
    </xf>
    <xf numFmtId="191" fontId="0" fillId="103" borderId="29" xfId="10" applyNumberFormat="1" applyFont="1" applyFill="1" applyBorder="1" applyAlignment="1" applyProtection="1">
      <alignment horizontal="center" vertical="center" wrapText="1"/>
      <protection locked="0"/>
    </xf>
    <xf numFmtId="191" fontId="0" fillId="103" borderId="30" xfId="10" applyNumberFormat="1" applyFont="1" applyFill="1" applyBorder="1" applyAlignment="1" applyProtection="1">
      <alignment horizontal="center" vertical="center" wrapText="1"/>
      <protection locked="0"/>
    </xf>
    <xf numFmtId="191" fontId="0" fillId="103" borderId="66" xfId="10" applyNumberFormat="1" applyFont="1" applyFill="1" applyBorder="1" applyAlignment="1" applyProtection="1">
      <alignment horizontal="center" vertical="center" wrapText="1"/>
      <protection locked="0"/>
    </xf>
    <xf numFmtId="9" fontId="0" fillId="103" borderId="50" xfId="5" applyFont="1" applyFill="1" applyBorder="1" applyAlignment="1" applyProtection="1">
      <alignment horizontal="center" vertical="center" wrapText="1"/>
      <protection locked="0"/>
    </xf>
    <xf numFmtId="9" fontId="0" fillId="103" borderId="177" xfId="5" applyFont="1" applyFill="1" applyBorder="1" applyAlignment="1" applyProtection="1">
      <alignment horizontal="center" vertical="center" wrapText="1"/>
      <protection locked="0"/>
    </xf>
    <xf numFmtId="0" fontId="0" fillId="41" borderId="45" xfId="0" applyFont="1" applyFill="1" applyBorder="1" applyAlignment="1" applyProtection="1">
      <alignment horizontal="center" vertical="center" wrapText="1"/>
      <protection locked="0"/>
    </xf>
    <xf numFmtId="0" fontId="0" fillId="41" borderId="15" xfId="0" applyFont="1" applyFill="1" applyBorder="1" applyAlignment="1" applyProtection="1">
      <alignment horizontal="center" vertical="center" wrapText="1"/>
      <protection locked="0"/>
    </xf>
    <xf numFmtId="0" fontId="0" fillId="41" borderId="9" xfId="0" applyFont="1" applyFill="1" applyBorder="1" applyAlignment="1" applyProtection="1">
      <alignment horizontal="justify" vertical="center" wrapText="1"/>
      <protection locked="0"/>
    </xf>
    <xf numFmtId="9" fontId="0" fillId="41" borderId="51" xfId="5" applyFont="1" applyFill="1" applyBorder="1" applyAlignment="1" applyProtection="1">
      <alignment horizontal="center" vertical="center" wrapText="1"/>
      <protection locked="0"/>
    </xf>
    <xf numFmtId="9" fontId="0" fillId="41" borderId="38" xfId="5" applyFont="1" applyFill="1" applyBorder="1" applyAlignment="1" applyProtection="1">
      <alignment horizontal="center" vertical="center" wrapText="1"/>
      <protection locked="0"/>
    </xf>
    <xf numFmtId="9" fontId="0" fillId="41" borderId="99" xfId="5" applyFont="1" applyFill="1" applyBorder="1" applyAlignment="1" applyProtection="1">
      <alignment horizontal="center" vertical="center" wrapText="1"/>
      <protection locked="0"/>
    </xf>
    <xf numFmtId="9" fontId="0" fillId="41" borderId="60" xfId="5" applyFont="1" applyFill="1" applyBorder="1" applyAlignment="1" applyProtection="1">
      <alignment horizontal="center" vertical="center" wrapText="1"/>
      <protection locked="0"/>
    </xf>
    <xf numFmtId="9" fontId="0" fillId="41" borderId="11" xfId="5" applyFont="1" applyFill="1" applyBorder="1" applyAlignment="1" applyProtection="1">
      <alignment horizontal="center" vertical="center" wrapText="1"/>
      <protection locked="0"/>
    </xf>
    <xf numFmtId="9" fontId="0" fillId="41" borderId="179" xfId="5" applyFont="1" applyFill="1" applyBorder="1" applyAlignment="1" applyProtection="1">
      <alignment horizontal="center" vertical="center" wrapText="1"/>
      <protection locked="0"/>
    </xf>
    <xf numFmtId="9" fontId="0" fillId="41" borderId="48" xfId="5" applyFont="1" applyFill="1" applyBorder="1" applyAlignment="1" applyProtection="1">
      <alignment horizontal="center" vertical="center" wrapText="1"/>
      <protection locked="0"/>
    </xf>
    <xf numFmtId="9" fontId="0" fillId="41" borderId="46" xfId="5" applyFont="1" applyFill="1" applyBorder="1" applyAlignment="1" applyProtection="1">
      <alignment horizontal="center" vertical="center" wrapText="1"/>
      <protection locked="0"/>
    </xf>
    <xf numFmtId="0" fontId="10" fillId="41" borderId="46" xfId="0" applyFont="1" applyFill="1" applyBorder="1" applyAlignment="1" applyProtection="1">
      <alignment horizontal="center" vertical="center"/>
      <protection locked="0"/>
    </xf>
    <xf numFmtId="0" fontId="10" fillId="41" borderId="155" xfId="0" applyFont="1" applyFill="1" applyBorder="1" applyAlignment="1" applyProtection="1">
      <alignment horizontal="center" vertical="center"/>
      <protection locked="0"/>
    </xf>
    <xf numFmtId="0" fontId="10" fillId="41" borderId="94" xfId="0" applyFont="1" applyFill="1" applyBorder="1" applyAlignment="1" applyProtection="1">
      <alignment horizontal="justify" vertical="center"/>
      <protection locked="0"/>
    </xf>
    <xf numFmtId="0" fontId="10" fillId="41" borderId="11" xfId="0" applyFont="1" applyFill="1" applyBorder="1" applyAlignment="1" applyProtection="1">
      <alignment vertical="center" wrapText="1"/>
      <protection locked="0"/>
    </xf>
    <xf numFmtId="9" fontId="10" fillId="41" borderId="184" xfId="5" applyFont="1" applyFill="1" applyBorder="1" applyAlignment="1" applyProtection="1">
      <alignment vertical="center" wrapText="1"/>
      <protection locked="0"/>
    </xf>
    <xf numFmtId="0" fontId="10" fillId="41" borderId="184" xfId="0" applyFont="1" applyFill="1" applyBorder="1" applyAlignment="1" applyProtection="1">
      <alignment vertical="center" wrapText="1"/>
      <protection locked="0"/>
    </xf>
    <xf numFmtId="0" fontId="10" fillId="41" borderId="179" xfId="0" applyFont="1" applyFill="1" applyBorder="1" applyAlignment="1" applyProtection="1">
      <alignment vertical="center" wrapText="1"/>
      <protection locked="0"/>
    </xf>
    <xf numFmtId="191" fontId="10" fillId="41" borderId="48" xfId="10" applyNumberFormat="1" applyFont="1" applyFill="1" applyBorder="1" applyAlignment="1" applyProtection="1">
      <alignment vertical="center" wrapText="1"/>
      <protection locked="0"/>
    </xf>
    <xf numFmtId="191" fontId="10" fillId="41" borderId="11" xfId="10" applyNumberFormat="1" applyFont="1" applyFill="1" applyBorder="1" applyAlignment="1" applyProtection="1">
      <alignment vertical="center" wrapText="1"/>
      <protection locked="0"/>
    </xf>
    <xf numFmtId="191" fontId="10" fillId="41" borderId="184" xfId="10" applyNumberFormat="1" applyFont="1" applyFill="1" applyBorder="1" applyAlignment="1" applyProtection="1">
      <alignment vertical="center" wrapText="1"/>
      <protection locked="0"/>
    </xf>
    <xf numFmtId="191" fontId="10" fillId="41" borderId="179" xfId="10" applyNumberFormat="1" applyFont="1" applyFill="1" applyBorder="1" applyAlignment="1" applyProtection="1">
      <alignment vertical="center" wrapText="1"/>
      <protection locked="0"/>
    </xf>
    <xf numFmtId="0" fontId="10" fillId="41" borderId="48" xfId="0" applyFont="1" applyFill="1" applyBorder="1" applyAlignment="1" applyProtection="1">
      <alignment vertical="center" wrapText="1"/>
      <protection locked="0"/>
    </xf>
    <xf numFmtId="0" fontId="10" fillId="41" borderId="46" xfId="0" applyFont="1" applyFill="1" applyBorder="1" applyAlignment="1" applyProtection="1">
      <alignment vertical="center" wrapText="1"/>
      <protection locked="0"/>
    </xf>
    <xf numFmtId="9" fontId="0" fillId="41" borderId="184" xfId="0" applyNumberFormat="1" applyFont="1" applyFill="1" applyBorder="1" applyAlignment="1" applyProtection="1">
      <alignment horizontal="center" vertical="center" wrapText="1"/>
      <protection locked="0"/>
    </xf>
    <xf numFmtId="9" fontId="0" fillId="41" borderId="179" xfId="0" applyNumberFormat="1" applyFont="1" applyFill="1" applyBorder="1" applyAlignment="1" applyProtection="1">
      <alignment horizontal="center" vertical="center" wrapText="1"/>
      <protection locked="0"/>
    </xf>
    <xf numFmtId="9" fontId="0" fillId="41" borderId="48" xfId="0" applyNumberFormat="1" applyFont="1" applyFill="1" applyBorder="1" applyAlignment="1" applyProtection="1">
      <alignment horizontal="center" vertical="center" wrapText="1"/>
      <protection locked="0"/>
    </xf>
    <xf numFmtId="9" fontId="0" fillId="41" borderId="46" xfId="0" applyNumberFormat="1" applyFont="1" applyFill="1" applyBorder="1" applyAlignment="1" applyProtection="1">
      <alignment horizontal="center" vertical="center" wrapText="1"/>
      <protection locked="0"/>
    </xf>
    <xf numFmtId="0" fontId="0" fillId="38" borderId="45" xfId="0" applyFont="1" applyFill="1" applyBorder="1" applyAlignment="1" applyProtection="1">
      <alignment horizontal="center" vertical="center" wrapText="1"/>
      <protection locked="0"/>
    </xf>
    <xf numFmtId="0" fontId="0" fillId="38" borderId="15" xfId="0" applyFont="1" applyFill="1" applyBorder="1" applyAlignment="1" applyProtection="1">
      <alignment horizontal="center" vertical="center" wrapText="1"/>
      <protection locked="0"/>
    </xf>
    <xf numFmtId="9" fontId="0" fillId="38" borderId="51" xfId="0" applyNumberFormat="1" applyFont="1" applyFill="1" applyBorder="1" applyAlignment="1" applyProtection="1">
      <alignment horizontal="center" vertical="center" wrapText="1"/>
      <protection locked="0"/>
    </xf>
    <xf numFmtId="9" fontId="0" fillId="38" borderId="32" xfId="0" applyNumberFormat="1" applyFont="1" applyFill="1" applyBorder="1" applyAlignment="1" applyProtection="1">
      <alignment horizontal="center" vertical="center" wrapText="1"/>
      <protection locked="0"/>
    </xf>
    <xf numFmtId="9" fontId="0" fillId="38" borderId="38" xfId="0" applyNumberFormat="1" applyFont="1" applyFill="1" applyBorder="1" applyAlignment="1" applyProtection="1">
      <alignment horizontal="center" vertical="center" wrapText="1"/>
      <protection locked="0"/>
    </xf>
    <xf numFmtId="9" fontId="0" fillId="38" borderId="99" xfId="0" applyNumberFormat="1" applyFont="1" applyFill="1" applyBorder="1" applyAlignment="1" applyProtection="1">
      <alignment horizontal="center" vertical="center" wrapText="1"/>
      <protection locked="0"/>
    </xf>
    <xf numFmtId="9" fontId="0" fillId="38" borderId="60" xfId="0" applyNumberFormat="1" applyFont="1" applyFill="1" applyBorder="1" applyAlignment="1" applyProtection="1">
      <alignment horizontal="center" vertical="center" wrapText="1"/>
      <protection locked="0"/>
    </xf>
    <xf numFmtId="9" fontId="0" fillId="38" borderId="184" xfId="0" applyNumberFormat="1" applyFont="1" applyFill="1" applyBorder="1" applyAlignment="1" applyProtection="1">
      <alignment horizontal="center" vertical="center" wrapText="1"/>
      <protection locked="0"/>
    </xf>
    <xf numFmtId="9" fontId="0" fillId="38" borderId="179" xfId="0" applyNumberFormat="1" applyFont="1" applyFill="1" applyBorder="1" applyAlignment="1" applyProtection="1">
      <alignment horizontal="center" vertical="center" wrapText="1"/>
      <protection locked="0"/>
    </xf>
    <xf numFmtId="9" fontId="0" fillId="38" borderId="48" xfId="0" applyNumberFormat="1" applyFont="1" applyFill="1" applyBorder="1" applyAlignment="1" applyProtection="1">
      <alignment horizontal="center" vertical="center" wrapText="1"/>
      <protection locked="0"/>
    </xf>
    <xf numFmtId="9" fontId="0" fillId="38" borderId="46" xfId="0" applyNumberFormat="1" applyFont="1" applyFill="1" applyBorder="1" applyAlignment="1" applyProtection="1">
      <alignment horizontal="center" vertical="center" wrapText="1"/>
      <protection locked="0"/>
    </xf>
    <xf numFmtId="1" fontId="0" fillId="38" borderId="11" xfId="0" applyNumberFormat="1" applyFont="1" applyFill="1" applyBorder="1" applyAlignment="1" applyProtection="1">
      <alignment horizontal="center" vertical="center" wrapText="1"/>
      <protection locked="0"/>
    </xf>
    <xf numFmtId="1" fontId="0" fillId="38" borderId="184" xfId="0" applyNumberFormat="1" applyFont="1" applyFill="1" applyBorder="1" applyAlignment="1" applyProtection="1">
      <alignment horizontal="center" vertical="center" wrapText="1"/>
      <protection locked="0"/>
    </xf>
    <xf numFmtId="1" fontId="0" fillId="38" borderId="179" xfId="0" applyNumberFormat="1" applyFont="1" applyFill="1" applyBorder="1" applyAlignment="1" applyProtection="1">
      <alignment horizontal="center" vertical="center" wrapText="1"/>
      <protection locked="0"/>
    </xf>
    <xf numFmtId="1" fontId="0" fillId="38" borderId="48" xfId="0" applyNumberFormat="1" applyFont="1" applyFill="1" applyBorder="1" applyAlignment="1" applyProtection="1">
      <alignment horizontal="center" vertical="center" wrapText="1"/>
      <protection locked="0"/>
    </xf>
    <xf numFmtId="1" fontId="0" fillId="38" borderId="46" xfId="0" applyNumberFormat="1" applyFont="1" applyFill="1" applyBorder="1" applyAlignment="1" applyProtection="1">
      <alignment horizontal="center" vertical="center" wrapText="1"/>
      <protection locked="0"/>
    </xf>
    <xf numFmtId="9" fontId="0" fillId="38" borderId="29" xfId="0" applyNumberFormat="1" applyFont="1" applyFill="1" applyBorder="1" applyAlignment="1" applyProtection="1">
      <alignment horizontal="center" vertical="center" wrapText="1"/>
      <protection locked="0"/>
    </xf>
    <xf numFmtId="9" fontId="0" fillId="38" borderId="30" xfId="0" applyNumberFormat="1" applyFont="1" applyFill="1" applyBorder="1" applyAlignment="1" applyProtection="1">
      <alignment horizontal="center" vertical="center" wrapText="1"/>
      <protection locked="0"/>
    </xf>
    <xf numFmtId="9" fontId="0" fillId="38" borderId="66" xfId="0" applyNumberFormat="1" applyFont="1" applyFill="1" applyBorder="1" applyAlignment="1" applyProtection="1">
      <alignment horizontal="center" vertical="center" wrapText="1"/>
      <protection locked="0"/>
    </xf>
    <xf numFmtId="9" fontId="0" fillId="38" borderId="50" xfId="0" applyNumberFormat="1" applyFont="1" applyFill="1" applyBorder="1" applyAlignment="1" applyProtection="1">
      <alignment horizontal="center" vertical="center" wrapText="1"/>
      <protection locked="0"/>
    </xf>
    <xf numFmtId="9" fontId="0" fillId="38" borderId="177" xfId="0" applyNumberFormat="1" applyFont="1" applyFill="1" applyBorder="1" applyAlignment="1" applyProtection="1">
      <alignment horizontal="center" vertical="center" wrapText="1"/>
      <protection locked="0"/>
    </xf>
    <xf numFmtId="0" fontId="10" fillId="103" borderId="51" xfId="0" applyFont="1" applyFill="1" applyBorder="1" applyAlignment="1" applyProtection="1">
      <alignment vertical="center" wrapText="1"/>
      <protection locked="0"/>
    </xf>
    <xf numFmtId="0" fontId="10" fillId="103" borderId="32" xfId="0" applyFont="1" applyFill="1" applyBorder="1" applyAlignment="1" applyProtection="1">
      <alignment vertical="center" wrapText="1"/>
      <protection locked="0"/>
    </xf>
    <xf numFmtId="0" fontId="10" fillId="103" borderId="38" xfId="0" applyFont="1" applyFill="1" applyBorder="1" applyAlignment="1" applyProtection="1">
      <alignment vertical="center" wrapText="1"/>
      <protection locked="0"/>
    </xf>
    <xf numFmtId="191" fontId="10" fillId="103" borderId="99" xfId="10" applyNumberFormat="1" applyFont="1" applyFill="1" applyBorder="1" applyAlignment="1" applyProtection="1">
      <alignment vertical="center" wrapText="1"/>
      <protection locked="0"/>
    </xf>
    <xf numFmtId="191" fontId="10" fillId="103" borderId="51" xfId="10" applyNumberFormat="1" applyFont="1" applyFill="1" applyBorder="1" applyAlignment="1" applyProtection="1">
      <alignment vertical="center" wrapText="1"/>
      <protection locked="0"/>
    </xf>
    <xf numFmtId="191" fontId="10" fillId="103" borderId="32" xfId="10" applyNumberFormat="1" applyFont="1" applyFill="1" applyBorder="1" applyAlignment="1" applyProtection="1">
      <alignment vertical="center" wrapText="1"/>
      <protection locked="0"/>
    </xf>
    <xf numFmtId="191" fontId="10" fillId="103" borderId="38" xfId="10" applyNumberFormat="1" applyFont="1" applyFill="1" applyBorder="1" applyAlignment="1" applyProtection="1">
      <alignment vertical="center" wrapText="1"/>
      <protection locked="0"/>
    </xf>
    <xf numFmtId="0" fontId="10" fillId="103" borderId="99" xfId="0" applyFont="1" applyFill="1" applyBorder="1" applyAlignment="1" applyProtection="1">
      <alignment vertical="center" wrapText="1"/>
      <protection locked="0"/>
    </xf>
    <xf numFmtId="0" fontId="10" fillId="103" borderId="60" xfId="0" applyFont="1" applyFill="1" applyBorder="1" applyAlignment="1" applyProtection="1">
      <alignment vertical="center" wrapText="1"/>
      <protection locked="0"/>
    </xf>
    <xf numFmtId="0" fontId="10" fillId="103" borderId="29" xfId="0" applyFont="1" applyFill="1" applyBorder="1" applyAlignment="1" applyProtection="1">
      <alignment vertical="center" wrapText="1"/>
      <protection locked="0"/>
    </xf>
    <xf numFmtId="9" fontId="10" fillId="103" borderId="30" xfId="5" applyFont="1" applyFill="1" applyBorder="1" applyAlignment="1" applyProtection="1">
      <alignment vertical="center" wrapText="1"/>
      <protection locked="0"/>
    </xf>
    <xf numFmtId="0" fontId="10" fillId="103" borderId="30" xfId="0" applyFont="1" applyFill="1" applyBorder="1" applyAlignment="1" applyProtection="1">
      <alignment vertical="center" wrapText="1"/>
      <protection locked="0"/>
    </xf>
    <xf numFmtId="0" fontId="10" fillId="103" borderId="66" xfId="0" applyFont="1" applyFill="1" applyBorder="1" applyAlignment="1" applyProtection="1">
      <alignment vertical="center" wrapText="1"/>
      <protection locked="0"/>
    </xf>
    <xf numFmtId="191" fontId="10" fillId="103" borderId="50" xfId="10" applyNumberFormat="1" applyFont="1" applyFill="1" applyBorder="1" applyAlignment="1" applyProtection="1">
      <alignment vertical="center" wrapText="1"/>
      <protection locked="0"/>
    </xf>
    <xf numFmtId="191" fontId="10" fillId="103" borderId="29" xfId="10" applyNumberFormat="1" applyFont="1" applyFill="1" applyBorder="1" applyAlignment="1" applyProtection="1">
      <alignment vertical="center" wrapText="1"/>
      <protection locked="0"/>
    </xf>
    <xf numFmtId="191" fontId="10" fillId="103" borderId="30" xfId="10" applyNumberFormat="1" applyFont="1" applyFill="1" applyBorder="1" applyAlignment="1" applyProtection="1">
      <alignment vertical="center" wrapText="1"/>
      <protection locked="0"/>
    </xf>
    <xf numFmtId="191" fontId="10" fillId="103" borderId="66" xfId="10" applyNumberFormat="1" applyFont="1" applyFill="1" applyBorder="1" applyAlignment="1" applyProtection="1">
      <alignment vertical="center" wrapText="1"/>
      <protection locked="0"/>
    </xf>
    <xf numFmtId="0" fontId="10" fillId="103" borderId="50" xfId="0" applyFont="1" applyFill="1" applyBorder="1" applyAlignment="1" applyProtection="1">
      <alignment vertical="center" wrapText="1"/>
      <protection locked="0"/>
    </xf>
    <xf numFmtId="0" fontId="10" fillId="103" borderId="177" xfId="0" applyFont="1" applyFill="1" applyBorder="1" applyAlignment="1" applyProtection="1">
      <alignment vertical="center" wrapText="1"/>
      <protection locked="0"/>
    </xf>
    <xf numFmtId="0" fontId="10" fillId="51" borderId="51" xfId="0" applyFont="1" applyFill="1" applyBorder="1" applyAlignment="1" applyProtection="1">
      <alignment horizontal="center" vertical="center" wrapText="1"/>
      <protection locked="0"/>
    </xf>
    <xf numFmtId="0" fontId="10" fillId="51" borderId="38" xfId="0" applyFont="1" applyFill="1" applyBorder="1" applyAlignment="1" applyProtection="1">
      <alignment horizontal="center" vertical="center" wrapText="1"/>
      <protection locked="0"/>
    </xf>
    <xf numFmtId="0" fontId="10" fillId="51" borderId="99" xfId="0" applyFont="1" applyFill="1" applyBorder="1" applyAlignment="1" applyProtection="1">
      <alignment horizontal="center" vertical="center" wrapText="1"/>
      <protection locked="0"/>
    </xf>
    <xf numFmtId="0" fontId="10" fillId="51" borderId="11" xfId="0" applyFont="1" applyFill="1" applyBorder="1" applyAlignment="1" applyProtection="1">
      <alignment horizontal="center" vertical="center" wrapText="1"/>
      <protection locked="0"/>
    </xf>
    <xf numFmtId="0" fontId="10" fillId="51" borderId="184" xfId="0" applyFont="1" applyFill="1" applyBorder="1" applyAlignment="1" applyProtection="1">
      <alignment horizontal="center" vertical="center" wrapText="1"/>
      <protection locked="0"/>
    </xf>
    <xf numFmtId="0" fontId="10" fillId="51" borderId="179" xfId="0" applyFont="1" applyFill="1" applyBorder="1" applyAlignment="1" applyProtection="1">
      <alignment horizontal="center" vertical="center" wrapText="1"/>
      <protection locked="0"/>
    </xf>
    <xf numFmtId="0" fontId="10" fillId="51" borderId="48" xfId="0" applyFont="1" applyFill="1" applyBorder="1" applyAlignment="1" applyProtection="1">
      <alignment horizontal="center" vertical="center" wrapText="1"/>
      <protection locked="0"/>
    </xf>
    <xf numFmtId="0" fontId="10" fillId="51" borderId="11" xfId="0" applyFont="1" applyFill="1" applyBorder="1" applyAlignment="1" applyProtection="1">
      <alignment vertical="center" wrapText="1"/>
      <protection locked="0"/>
    </xf>
    <xf numFmtId="9" fontId="10" fillId="51" borderId="184" xfId="5" applyFont="1" applyFill="1" applyBorder="1" applyAlignment="1" applyProtection="1">
      <alignment vertical="center" wrapText="1"/>
      <protection locked="0"/>
    </xf>
    <xf numFmtId="0" fontId="10" fillId="51" borderId="184" xfId="0" applyFont="1" applyFill="1" applyBorder="1" applyAlignment="1" applyProtection="1">
      <alignment vertical="center" wrapText="1"/>
      <protection locked="0"/>
    </xf>
    <xf numFmtId="0" fontId="10" fillId="51" borderId="179" xfId="0" applyFont="1" applyFill="1" applyBorder="1" applyAlignment="1" applyProtection="1">
      <alignment vertical="center" wrapText="1"/>
      <protection locked="0"/>
    </xf>
    <xf numFmtId="191" fontId="10" fillId="51" borderId="48" xfId="10" applyNumberFormat="1" applyFont="1" applyFill="1" applyBorder="1" applyAlignment="1" applyProtection="1">
      <alignment vertical="center" wrapText="1"/>
      <protection locked="0"/>
    </xf>
    <xf numFmtId="191" fontId="10" fillId="51" borderId="11" xfId="10" applyNumberFormat="1" applyFont="1" applyFill="1" applyBorder="1" applyAlignment="1" applyProtection="1">
      <alignment vertical="center" wrapText="1"/>
      <protection locked="0"/>
    </xf>
    <xf numFmtId="191" fontId="10" fillId="51" borderId="184" xfId="10" applyNumberFormat="1" applyFont="1" applyFill="1" applyBorder="1" applyAlignment="1" applyProtection="1">
      <alignment vertical="center" wrapText="1"/>
      <protection locked="0"/>
    </xf>
    <xf numFmtId="191" fontId="10" fillId="51" borderId="179" xfId="10" applyNumberFormat="1" applyFont="1" applyFill="1" applyBorder="1" applyAlignment="1" applyProtection="1">
      <alignment vertical="center" wrapText="1"/>
      <protection locked="0"/>
    </xf>
    <xf numFmtId="0" fontId="10" fillId="51" borderId="48" xfId="0" applyFont="1" applyFill="1" applyBorder="1" applyAlignment="1" applyProtection="1">
      <alignment vertical="center" wrapText="1"/>
      <protection locked="0"/>
    </xf>
    <xf numFmtId="0" fontId="10" fillId="51" borderId="46" xfId="0" applyFont="1" applyFill="1" applyBorder="1" applyAlignment="1" applyProtection="1">
      <alignment vertical="center" wrapText="1"/>
      <protection locked="0"/>
    </xf>
    <xf numFmtId="0" fontId="10" fillId="38" borderId="11" xfId="0" applyFont="1" applyFill="1" applyBorder="1" applyAlignment="1" applyProtection="1">
      <alignment vertical="center" wrapText="1"/>
      <protection locked="0"/>
    </xf>
    <xf numFmtId="0" fontId="10" fillId="38" borderId="184" xfId="0" applyFont="1" applyFill="1" applyBorder="1" applyAlignment="1" applyProtection="1">
      <alignment vertical="center" wrapText="1"/>
      <protection locked="0"/>
    </xf>
    <xf numFmtId="0" fontId="10" fillId="38" borderId="179" xfId="0" applyFont="1" applyFill="1" applyBorder="1" applyAlignment="1" applyProtection="1">
      <alignment vertical="center" wrapText="1"/>
      <protection locked="0"/>
    </xf>
    <xf numFmtId="0" fontId="10" fillId="38" borderId="48" xfId="0" applyFont="1" applyFill="1" applyBorder="1" applyAlignment="1" applyProtection="1">
      <alignment vertical="center" wrapText="1"/>
      <protection locked="0"/>
    </xf>
    <xf numFmtId="0" fontId="10" fillId="38" borderId="46" xfId="0" applyFont="1" applyFill="1" applyBorder="1" applyAlignment="1" applyProtection="1">
      <alignment vertical="center" wrapText="1"/>
      <protection locked="0"/>
    </xf>
    <xf numFmtId="0" fontId="10" fillId="38" borderId="66" xfId="0" applyFont="1" applyFill="1" applyBorder="1" applyAlignment="1" applyProtection="1">
      <alignment horizontal="center" vertical="center" wrapText="1"/>
      <protection locked="0"/>
    </xf>
    <xf numFmtId="0" fontId="10" fillId="38" borderId="50" xfId="0" applyFont="1" applyFill="1" applyBorder="1" applyAlignment="1" applyProtection="1">
      <alignment horizontal="center" vertical="center" wrapText="1"/>
      <protection locked="0"/>
    </xf>
    <xf numFmtId="0" fontId="0" fillId="39" borderId="45" xfId="0" applyFont="1" applyFill="1" applyBorder="1" applyAlignment="1" applyProtection="1">
      <alignment horizontal="center" vertical="top" wrapText="1"/>
      <protection locked="0"/>
    </xf>
    <xf numFmtId="0" fontId="0" fillId="39" borderId="15" xfId="0" applyFont="1" applyFill="1" applyBorder="1" applyAlignment="1" applyProtection="1">
      <alignment horizontal="center" vertical="top" wrapText="1"/>
      <protection locked="0"/>
    </xf>
    <xf numFmtId="0" fontId="0" fillId="39" borderId="9" xfId="0" applyFont="1" applyFill="1" applyBorder="1" applyAlignment="1" applyProtection="1">
      <alignment horizontal="justify" vertical="center" wrapText="1"/>
      <protection locked="0"/>
    </xf>
    <xf numFmtId="0" fontId="10" fillId="39" borderId="177" xfId="0" applyFont="1" applyFill="1" applyBorder="1" applyAlignment="1" applyProtection="1">
      <alignment vertical="center" wrapText="1"/>
      <protection locked="0"/>
    </xf>
    <xf numFmtId="0" fontId="0" fillId="51" borderId="60" xfId="0" applyFont="1" applyFill="1" applyBorder="1" applyAlignment="1" applyProtection="1">
      <alignment horizontal="center" vertical="top" wrapText="1"/>
      <protection locked="0"/>
    </xf>
    <xf numFmtId="0" fontId="0" fillId="51" borderId="100" xfId="0" applyFont="1" applyFill="1" applyBorder="1" applyAlignment="1" applyProtection="1">
      <alignment horizontal="center" vertical="top" wrapText="1"/>
      <protection locked="0"/>
    </xf>
    <xf numFmtId="9" fontId="10" fillId="51" borderId="11" xfId="0" applyNumberFormat="1" applyFont="1" applyFill="1" applyBorder="1" applyAlignment="1" applyProtection="1">
      <alignment vertical="center" wrapText="1"/>
      <protection locked="0"/>
    </xf>
    <xf numFmtId="9" fontId="10" fillId="51" borderId="184" xfId="0" applyNumberFormat="1" applyFont="1" applyFill="1" applyBorder="1" applyAlignment="1" applyProtection="1">
      <alignment vertical="center" wrapText="1"/>
      <protection locked="0"/>
    </xf>
    <xf numFmtId="9" fontId="10" fillId="51" borderId="179" xfId="0" applyNumberFormat="1" applyFont="1" applyFill="1" applyBorder="1" applyAlignment="1" applyProtection="1">
      <alignment vertical="center" wrapText="1"/>
      <protection locked="0"/>
    </xf>
    <xf numFmtId="9" fontId="10" fillId="51" borderId="48" xfId="0" applyNumberFormat="1" applyFont="1" applyFill="1" applyBorder="1" applyAlignment="1" applyProtection="1">
      <alignment vertical="center" wrapText="1"/>
      <protection locked="0"/>
    </xf>
    <xf numFmtId="9" fontId="10" fillId="51" borderId="46" xfId="0" applyNumberFormat="1" applyFont="1" applyFill="1" applyBorder="1" applyAlignment="1" applyProtection="1">
      <alignment vertical="center" wrapText="1"/>
      <protection locked="0"/>
    </xf>
    <xf numFmtId="0" fontId="10" fillId="51" borderId="11" xfId="0" applyFont="1" applyFill="1" applyBorder="1" applyAlignment="1" applyProtection="1">
      <alignment vertical="top" wrapText="1"/>
      <protection locked="0"/>
    </xf>
    <xf numFmtId="9" fontId="10" fillId="51" borderId="184" xfId="5" applyFont="1" applyFill="1" applyBorder="1" applyAlignment="1" applyProtection="1">
      <alignment vertical="top" wrapText="1"/>
      <protection locked="0"/>
    </xf>
    <xf numFmtId="0" fontId="10" fillId="51" borderId="184" xfId="0" applyFont="1" applyFill="1" applyBorder="1" applyAlignment="1" applyProtection="1">
      <alignment vertical="top" wrapText="1"/>
      <protection locked="0"/>
    </xf>
    <xf numFmtId="0" fontId="10" fillId="51" borderId="179" xfId="0" applyFont="1" applyFill="1" applyBorder="1" applyAlignment="1" applyProtection="1">
      <alignment vertical="top" wrapText="1"/>
      <protection locked="0"/>
    </xf>
    <xf numFmtId="191" fontId="10" fillId="51" borderId="48" xfId="10" applyNumberFormat="1" applyFont="1" applyFill="1" applyBorder="1" applyAlignment="1" applyProtection="1">
      <alignment vertical="top" wrapText="1"/>
      <protection locked="0"/>
    </xf>
    <xf numFmtId="191" fontId="10" fillId="51" borderId="11" xfId="10" applyNumberFormat="1" applyFont="1" applyFill="1" applyBorder="1" applyAlignment="1" applyProtection="1">
      <alignment vertical="top" wrapText="1"/>
      <protection locked="0"/>
    </xf>
    <xf numFmtId="191" fontId="10" fillId="51" borderId="184" xfId="10" applyNumberFormat="1" applyFont="1" applyFill="1" applyBorder="1" applyAlignment="1" applyProtection="1">
      <alignment vertical="top" wrapText="1"/>
      <protection locked="0"/>
    </xf>
    <xf numFmtId="191" fontId="10" fillId="51" borderId="179" xfId="10" applyNumberFormat="1" applyFont="1" applyFill="1" applyBorder="1" applyAlignment="1" applyProtection="1">
      <alignment vertical="top" wrapText="1"/>
      <protection locked="0"/>
    </xf>
    <xf numFmtId="0" fontId="10" fillId="51" borderId="48" xfId="0" applyFont="1" applyFill="1" applyBorder="1" applyAlignment="1" applyProtection="1">
      <alignment vertical="top" wrapText="1"/>
      <protection locked="0"/>
    </xf>
    <xf numFmtId="0" fontId="10" fillId="51" borderId="46" xfId="0" applyFont="1" applyFill="1" applyBorder="1" applyAlignment="1" applyProtection="1">
      <alignment vertical="top" wrapText="1"/>
      <protection locked="0"/>
    </xf>
    <xf numFmtId="0" fontId="10" fillId="51" borderId="29" xfId="0" applyFont="1" applyFill="1" applyBorder="1" applyAlignment="1" applyProtection="1">
      <alignment vertical="center" wrapText="1"/>
      <protection locked="0"/>
    </xf>
    <xf numFmtId="9" fontId="10" fillId="51" borderId="30" xfId="5" applyFont="1" applyFill="1" applyBorder="1" applyAlignment="1" applyProtection="1">
      <alignment vertical="center" wrapText="1"/>
      <protection locked="0"/>
    </xf>
    <xf numFmtId="0" fontId="10" fillId="51" borderId="30" xfId="0" applyFont="1" applyFill="1" applyBorder="1" applyAlignment="1" applyProtection="1">
      <alignment vertical="center" wrapText="1"/>
      <protection locked="0"/>
    </xf>
    <xf numFmtId="0" fontId="10" fillId="51" borderId="66" xfId="0" applyFont="1" applyFill="1" applyBorder="1" applyAlignment="1" applyProtection="1">
      <alignment vertical="center" wrapText="1"/>
      <protection locked="0"/>
    </xf>
    <xf numFmtId="191" fontId="10" fillId="51" borderId="50" xfId="10" applyNumberFormat="1" applyFont="1" applyFill="1" applyBorder="1" applyAlignment="1" applyProtection="1">
      <alignment vertical="center" wrapText="1"/>
      <protection locked="0"/>
    </xf>
    <xf numFmtId="191" fontId="10" fillId="51" borderId="29" xfId="10" applyNumberFormat="1" applyFont="1" applyFill="1" applyBorder="1" applyAlignment="1" applyProtection="1">
      <alignment vertical="center" wrapText="1"/>
      <protection locked="0"/>
    </xf>
    <xf numFmtId="191" fontId="10" fillId="51" borderId="30" xfId="10" applyNumberFormat="1" applyFont="1" applyFill="1" applyBorder="1" applyAlignment="1" applyProtection="1">
      <alignment vertical="center" wrapText="1"/>
      <protection locked="0"/>
    </xf>
    <xf numFmtId="191" fontId="10" fillId="51" borderId="66" xfId="10" applyNumberFormat="1" applyFont="1" applyFill="1" applyBorder="1" applyAlignment="1" applyProtection="1">
      <alignment vertical="center" wrapText="1"/>
      <protection locked="0"/>
    </xf>
    <xf numFmtId="0" fontId="10" fillId="51" borderId="50" xfId="0" applyFont="1" applyFill="1" applyBorder="1" applyAlignment="1" applyProtection="1">
      <alignment vertical="center" wrapText="1"/>
      <protection locked="0"/>
    </xf>
    <xf numFmtId="0" fontId="10" fillId="51" borderId="177" xfId="0" applyFont="1" applyFill="1" applyBorder="1" applyAlignment="1" applyProtection="1">
      <alignment vertical="center" wrapText="1"/>
      <protection locked="0"/>
    </xf>
    <xf numFmtId="0" fontId="10" fillId="38" borderId="51" xfId="0" applyFont="1" applyFill="1" applyBorder="1" applyAlignment="1" applyProtection="1">
      <alignment vertical="center" wrapText="1"/>
      <protection locked="0"/>
    </xf>
    <xf numFmtId="9" fontId="10" fillId="38" borderId="32" xfId="5" applyFont="1" applyFill="1" applyBorder="1" applyAlignment="1" applyProtection="1">
      <alignment vertical="center" wrapText="1"/>
      <protection locked="0"/>
    </xf>
    <xf numFmtId="0" fontId="10" fillId="38" borderId="32" xfId="0" applyFont="1" applyFill="1" applyBorder="1" applyAlignment="1" applyProtection="1">
      <alignment vertical="center" wrapText="1"/>
      <protection locked="0"/>
    </xf>
    <xf numFmtId="0" fontId="10" fillId="38" borderId="38" xfId="0" applyFont="1" applyFill="1" applyBorder="1" applyAlignment="1" applyProtection="1">
      <alignment vertical="center" wrapText="1"/>
      <protection locked="0"/>
    </xf>
    <xf numFmtId="191" fontId="10" fillId="38" borderId="99" xfId="10" applyNumberFormat="1" applyFont="1" applyFill="1" applyBorder="1" applyAlignment="1" applyProtection="1">
      <alignment vertical="center" wrapText="1"/>
      <protection locked="0"/>
    </xf>
    <xf numFmtId="191" fontId="10" fillId="38" borderId="51" xfId="10" applyNumberFormat="1" applyFont="1" applyFill="1" applyBorder="1" applyAlignment="1" applyProtection="1">
      <alignment vertical="center" wrapText="1"/>
      <protection locked="0"/>
    </xf>
    <xf numFmtId="191" fontId="10" fillId="38" borderId="32" xfId="10" applyNumberFormat="1" applyFont="1" applyFill="1" applyBorder="1" applyAlignment="1" applyProtection="1">
      <alignment vertical="center" wrapText="1"/>
      <protection locked="0"/>
    </xf>
    <xf numFmtId="191" fontId="10" fillId="38" borderId="38" xfId="10" applyNumberFormat="1" applyFont="1" applyFill="1" applyBorder="1" applyAlignment="1" applyProtection="1">
      <alignment vertical="center" wrapText="1"/>
      <protection locked="0"/>
    </xf>
    <xf numFmtId="0" fontId="10" fillId="38" borderId="99" xfId="0" applyFont="1" applyFill="1" applyBorder="1" applyAlignment="1" applyProtection="1">
      <alignment vertical="center" wrapText="1"/>
      <protection locked="0"/>
    </xf>
    <xf numFmtId="0" fontId="10" fillId="38" borderId="60" xfId="0" applyFont="1" applyFill="1" applyBorder="1" applyAlignment="1" applyProtection="1">
      <alignment vertical="center" wrapText="1"/>
      <protection locked="0"/>
    </xf>
    <xf numFmtId="0" fontId="10" fillId="69" borderId="51" xfId="0" applyFont="1" applyFill="1" applyBorder="1" applyAlignment="1" applyProtection="1">
      <alignment vertical="center" wrapText="1"/>
      <protection locked="0"/>
    </xf>
    <xf numFmtId="9" fontId="10" fillId="69" borderId="32" xfId="5" applyFont="1" applyFill="1" applyBorder="1" applyAlignment="1" applyProtection="1">
      <alignment vertical="center" wrapText="1"/>
      <protection locked="0"/>
    </xf>
    <xf numFmtId="0" fontId="10" fillId="69" borderId="32" xfId="0" applyFont="1" applyFill="1" applyBorder="1" applyAlignment="1" applyProtection="1">
      <alignment vertical="center" wrapText="1"/>
      <protection locked="0"/>
    </xf>
    <xf numFmtId="0" fontId="10" fillId="69" borderId="38" xfId="0" applyFont="1" applyFill="1" applyBorder="1" applyAlignment="1" applyProtection="1">
      <alignment vertical="center" wrapText="1"/>
      <protection locked="0"/>
    </xf>
    <xf numFmtId="191" fontId="10" fillId="69" borderId="99" xfId="10" applyNumberFormat="1" applyFont="1" applyFill="1" applyBorder="1" applyAlignment="1" applyProtection="1">
      <alignment vertical="center" wrapText="1"/>
      <protection locked="0"/>
    </xf>
    <xf numFmtId="191" fontId="10" fillId="69" borderId="51" xfId="10" applyNumberFormat="1" applyFont="1" applyFill="1" applyBorder="1" applyAlignment="1" applyProtection="1">
      <alignment vertical="center" wrapText="1"/>
      <protection locked="0"/>
    </xf>
    <xf numFmtId="191" fontId="10" fillId="69" borderId="32" xfId="10" applyNumberFormat="1" applyFont="1" applyFill="1" applyBorder="1" applyAlignment="1" applyProtection="1">
      <alignment vertical="center" wrapText="1"/>
      <protection locked="0"/>
    </xf>
    <xf numFmtId="191" fontId="10" fillId="69" borderId="38" xfId="10" applyNumberFormat="1" applyFont="1" applyFill="1" applyBorder="1" applyAlignment="1" applyProtection="1">
      <alignment vertical="center" wrapText="1"/>
      <protection locked="0"/>
    </xf>
    <xf numFmtId="0" fontId="10" fillId="69" borderId="99" xfId="0" applyFont="1" applyFill="1" applyBorder="1" applyAlignment="1" applyProtection="1">
      <alignment vertical="center" wrapText="1"/>
      <protection locked="0"/>
    </xf>
    <xf numFmtId="0" fontId="10" fillId="69" borderId="60" xfId="0" applyFont="1" applyFill="1" applyBorder="1" applyAlignment="1" applyProtection="1">
      <alignment vertical="center" wrapText="1"/>
      <protection locked="0"/>
    </xf>
    <xf numFmtId="0" fontId="0" fillId="69" borderId="52" xfId="0" applyFont="1" applyFill="1" applyBorder="1" applyAlignment="1" applyProtection="1">
      <alignment horizontal="justify" vertical="center" wrapText="1"/>
      <protection locked="0"/>
    </xf>
    <xf numFmtId="0" fontId="10" fillId="69" borderId="11" xfId="0" applyFont="1" applyFill="1" applyBorder="1" applyAlignment="1" applyProtection="1">
      <alignment vertical="center" wrapText="1"/>
      <protection locked="0"/>
    </xf>
    <xf numFmtId="0" fontId="10" fillId="69" borderId="184" xfId="0" applyFont="1" applyFill="1" applyBorder="1" applyAlignment="1" applyProtection="1">
      <alignment vertical="center" wrapText="1"/>
      <protection locked="0"/>
    </xf>
    <xf numFmtId="0" fontId="10" fillId="69" borderId="179" xfId="0" applyFont="1" applyFill="1" applyBorder="1" applyAlignment="1" applyProtection="1">
      <alignment vertical="center" wrapText="1"/>
      <protection locked="0"/>
    </xf>
    <xf numFmtId="0" fontId="10" fillId="69" borderId="48" xfId="0" applyFont="1" applyFill="1" applyBorder="1" applyAlignment="1" applyProtection="1">
      <alignment vertical="center" wrapText="1"/>
      <protection locked="0"/>
    </xf>
    <xf numFmtId="0" fontId="10" fillId="69" borderId="46" xfId="0" applyFont="1" applyFill="1" applyBorder="1" applyAlignment="1" applyProtection="1">
      <alignment vertical="center" wrapText="1"/>
      <protection locked="0"/>
    </xf>
    <xf numFmtId="0" fontId="0" fillId="69" borderId="94" xfId="0" applyFont="1" applyFill="1" applyBorder="1" applyAlignment="1" applyProtection="1">
      <alignment horizontal="justify" vertical="center" wrapText="1"/>
      <protection locked="0"/>
    </xf>
    <xf numFmtId="0" fontId="10" fillId="69" borderId="29" xfId="0" applyFont="1" applyFill="1" applyBorder="1" applyAlignment="1" applyProtection="1">
      <alignment vertical="center" wrapText="1"/>
      <protection locked="0"/>
    </xf>
    <xf numFmtId="0" fontId="10" fillId="69" borderId="30" xfId="0" applyFont="1" applyFill="1" applyBorder="1" applyAlignment="1" applyProtection="1">
      <alignment vertical="center" wrapText="1"/>
      <protection locked="0"/>
    </xf>
    <xf numFmtId="0" fontId="10" fillId="69" borderId="66" xfId="0" applyFont="1" applyFill="1" applyBorder="1" applyAlignment="1" applyProtection="1">
      <alignment vertical="center" wrapText="1"/>
      <protection locked="0"/>
    </xf>
    <xf numFmtId="0" fontId="10" fillId="69" borderId="50" xfId="0" applyFont="1" applyFill="1" applyBorder="1" applyAlignment="1" applyProtection="1">
      <alignment vertical="center" wrapText="1"/>
      <protection locked="0"/>
    </xf>
    <xf numFmtId="0" fontId="10" fillId="69" borderId="177" xfId="0" applyFont="1" applyFill="1" applyBorder="1" applyAlignment="1" applyProtection="1">
      <alignment vertical="center" wrapText="1"/>
      <protection locked="0"/>
    </xf>
    <xf numFmtId="0" fontId="0" fillId="69" borderId="31" xfId="0" applyFont="1" applyFill="1" applyBorder="1" applyAlignment="1" applyProtection="1">
      <alignment horizontal="justify" vertical="center" wrapText="1"/>
      <protection locked="0"/>
    </xf>
    <xf numFmtId="0" fontId="10" fillId="12" borderId="51" xfId="0" applyFont="1" applyFill="1" applyBorder="1" applyAlignment="1" applyProtection="1">
      <alignment vertical="center" wrapText="1"/>
      <protection locked="0"/>
    </xf>
    <xf numFmtId="9" fontId="10" fillId="12" borderId="32" xfId="5" applyFont="1" applyFill="1" applyBorder="1" applyAlignment="1" applyProtection="1">
      <alignment vertical="center" wrapText="1"/>
      <protection locked="0"/>
    </xf>
    <xf numFmtId="0" fontId="10" fillId="12" borderId="32" xfId="0" applyFont="1" applyFill="1" applyBorder="1" applyAlignment="1" applyProtection="1">
      <alignment vertical="center" wrapText="1"/>
      <protection locked="0"/>
    </xf>
    <xf numFmtId="0" fontId="10" fillId="12" borderId="38" xfId="0" applyFont="1" applyFill="1" applyBorder="1" applyAlignment="1" applyProtection="1">
      <alignment vertical="center" wrapText="1"/>
      <protection locked="0"/>
    </xf>
    <xf numFmtId="191" fontId="10" fillId="12" borderId="99" xfId="10" applyNumberFormat="1" applyFont="1" applyFill="1" applyBorder="1" applyAlignment="1" applyProtection="1">
      <alignment vertical="center" wrapText="1"/>
      <protection locked="0"/>
    </xf>
    <xf numFmtId="191" fontId="10" fillId="12" borderId="51" xfId="10" applyNumberFormat="1" applyFont="1" applyFill="1" applyBorder="1" applyAlignment="1" applyProtection="1">
      <alignment vertical="center" wrapText="1"/>
      <protection locked="0"/>
    </xf>
    <xf numFmtId="191" fontId="10" fillId="12" borderId="32" xfId="10" applyNumberFormat="1" applyFont="1" applyFill="1" applyBorder="1" applyAlignment="1" applyProtection="1">
      <alignment vertical="center" wrapText="1"/>
      <protection locked="0"/>
    </xf>
    <xf numFmtId="191" fontId="10" fillId="12" borderId="38" xfId="10" applyNumberFormat="1" applyFont="1" applyFill="1" applyBorder="1" applyAlignment="1" applyProtection="1">
      <alignment vertical="center" wrapText="1"/>
      <protection locked="0"/>
    </xf>
    <xf numFmtId="0" fontId="10" fillId="12" borderId="99" xfId="0" applyFont="1" applyFill="1" applyBorder="1" applyAlignment="1" applyProtection="1">
      <alignment vertical="center" wrapText="1"/>
      <protection locked="0"/>
    </xf>
    <xf numFmtId="0" fontId="10" fillId="12" borderId="60" xfId="0" applyFont="1" applyFill="1" applyBorder="1" applyAlignment="1" applyProtection="1">
      <alignment vertical="center" wrapText="1"/>
      <protection locked="0"/>
    </xf>
    <xf numFmtId="0" fontId="0" fillId="12" borderId="52" xfId="0" applyFont="1" applyFill="1" applyBorder="1" applyAlignment="1" applyProtection="1">
      <alignment horizontal="justify" vertical="center" wrapText="1"/>
      <protection locked="0"/>
    </xf>
    <xf numFmtId="0" fontId="10" fillId="12" borderId="11" xfId="0" applyFont="1" applyFill="1" applyBorder="1" applyAlignment="1" applyProtection="1">
      <alignment horizontal="center" vertical="center" wrapText="1"/>
      <protection locked="0"/>
    </xf>
    <xf numFmtId="0" fontId="10" fillId="12" borderId="11" xfId="0" applyFont="1" applyFill="1" applyBorder="1" applyAlignment="1" applyProtection="1">
      <alignment vertical="center" wrapText="1"/>
      <protection locked="0"/>
    </xf>
    <xf numFmtId="9" fontId="10" fillId="12" borderId="184" xfId="5" applyFont="1" applyFill="1" applyBorder="1" applyAlignment="1" applyProtection="1">
      <alignment vertical="center" wrapText="1"/>
      <protection locked="0"/>
    </xf>
    <xf numFmtId="0" fontId="10" fillId="12" borderId="184" xfId="0" applyFont="1" applyFill="1" applyBorder="1" applyAlignment="1" applyProtection="1">
      <alignment vertical="center" wrapText="1"/>
      <protection locked="0"/>
    </xf>
    <xf numFmtId="0" fontId="10" fillId="12" borderId="179" xfId="0" applyFont="1" applyFill="1" applyBorder="1" applyAlignment="1" applyProtection="1">
      <alignment vertical="center" wrapText="1"/>
      <protection locked="0"/>
    </xf>
    <xf numFmtId="191" fontId="10" fillId="12" borderId="48" xfId="10" applyNumberFormat="1" applyFont="1" applyFill="1" applyBorder="1" applyAlignment="1" applyProtection="1">
      <alignment vertical="center" wrapText="1"/>
      <protection locked="0"/>
    </xf>
    <xf numFmtId="191" fontId="10" fillId="12" borderId="11" xfId="10" applyNumberFormat="1" applyFont="1" applyFill="1" applyBorder="1" applyAlignment="1" applyProtection="1">
      <alignment vertical="center" wrapText="1"/>
      <protection locked="0"/>
    </xf>
    <xf numFmtId="191" fontId="10" fillId="12" borderId="184" xfId="10" applyNumberFormat="1" applyFont="1" applyFill="1" applyBorder="1" applyAlignment="1" applyProtection="1">
      <alignment vertical="center" wrapText="1"/>
      <protection locked="0"/>
    </xf>
    <xf numFmtId="191" fontId="10" fillId="12" borderId="179" xfId="10" applyNumberFormat="1" applyFont="1" applyFill="1" applyBorder="1" applyAlignment="1" applyProtection="1">
      <alignment vertical="center" wrapText="1"/>
      <protection locked="0"/>
    </xf>
    <xf numFmtId="0" fontId="10" fillId="12" borderId="48" xfId="0" applyFont="1" applyFill="1" applyBorder="1" applyAlignment="1" applyProtection="1">
      <alignment vertical="center" wrapText="1"/>
      <protection locked="0"/>
    </xf>
    <xf numFmtId="0" fontId="10" fillId="12" borderId="46" xfId="0" applyFont="1" applyFill="1" applyBorder="1" applyAlignment="1" applyProtection="1">
      <alignment vertical="center" wrapText="1"/>
      <protection locked="0"/>
    </xf>
    <xf numFmtId="0" fontId="0" fillId="12" borderId="94" xfId="0" applyFont="1" applyFill="1" applyBorder="1" applyAlignment="1" applyProtection="1">
      <alignment horizontal="justify" vertical="center" wrapText="1"/>
      <protection locked="0"/>
    </xf>
    <xf numFmtId="0" fontId="0" fillId="12" borderId="46" xfId="0" applyFont="1" applyFill="1" applyBorder="1" applyAlignment="1" applyProtection="1">
      <alignment horizontal="center" vertical="center" wrapText="1"/>
      <protection locked="0"/>
    </xf>
    <xf numFmtId="0" fontId="0" fillId="12" borderId="155" xfId="0" applyFont="1" applyFill="1" applyBorder="1" applyAlignment="1" applyProtection="1">
      <alignment horizontal="center" vertical="center" wrapText="1"/>
      <protection locked="0"/>
    </xf>
    <xf numFmtId="0" fontId="10" fillId="12" borderId="11" xfId="0" applyFont="1" applyFill="1" applyBorder="1" applyAlignment="1" applyProtection="1">
      <alignment vertical="top" wrapText="1"/>
      <protection locked="0"/>
    </xf>
    <xf numFmtId="9" fontId="10" fillId="12" borderId="184" xfId="5" applyFont="1" applyFill="1" applyBorder="1" applyAlignment="1" applyProtection="1">
      <alignment vertical="top" wrapText="1"/>
      <protection locked="0"/>
    </xf>
    <xf numFmtId="0" fontId="10" fillId="12" borderId="184" xfId="0" applyFont="1" applyFill="1" applyBorder="1" applyAlignment="1" applyProtection="1">
      <alignment vertical="top" wrapText="1"/>
      <protection locked="0"/>
    </xf>
    <xf numFmtId="0" fontId="10" fillId="12" borderId="179" xfId="0" applyFont="1" applyFill="1" applyBorder="1" applyAlignment="1" applyProtection="1">
      <alignment vertical="top" wrapText="1"/>
      <protection locked="0"/>
    </xf>
    <xf numFmtId="191" fontId="10" fillId="12" borderId="48" xfId="10" applyNumberFormat="1" applyFont="1" applyFill="1" applyBorder="1" applyAlignment="1" applyProtection="1">
      <alignment vertical="top" wrapText="1"/>
      <protection locked="0"/>
    </xf>
    <xf numFmtId="191" fontId="10" fillId="12" borderId="11" xfId="10" applyNumberFormat="1" applyFont="1" applyFill="1" applyBorder="1" applyAlignment="1" applyProtection="1">
      <alignment vertical="top" wrapText="1"/>
      <protection locked="0"/>
    </xf>
    <xf numFmtId="191" fontId="10" fillId="12" borderId="184" xfId="10" applyNumberFormat="1" applyFont="1" applyFill="1" applyBorder="1" applyAlignment="1" applyProtection="1">
      <alignment vertical="top" wrapText="1"/>
      <protection locked="0"/>
    </xf>
    <xf numFmtId="191" fontId="10" fillId="12" borderId="179" xfId="10" applyNumberFormat="1" applyFont="1" applyFill="1" applyBorder="1" applyAlignment="1" applyProtection="1">
      <alignment vertical="top" wrapText="1"/>
      <protection locked="0"/>
    </xf>
    <xf numFmtId="0" fontId="10" fillId="12" borderId="48" xfId="0" applyFont="1" applyFill="1" applyBorder="1" applyAlignment="1" applyProtection="1">
      <alignment vertical="top" wrapText="1"/>
      <protection locked="0"/>
    </xf>
    <xf numFmtId="0" fontId="10" fillId="12" borderId="46" xfId="0" applyFont="1" applyFill="1" applyBorder="1" applyAlignment="1" applyProtection="1">
      <alignment vertical="top" wrapText="1"/>
      <protection locked="0"/>
    </xf>
    <xf numFmtId="9" fontId="10" fillId="12" borderId="184" xfId="5" applyFont="1" applyFill="1" applyBorder="1" applyAlignment="1" applyProtection="1">
      <alignment horizontal="center" vertical="center" wrapText="1"/>
      <protection locked="0"/>
    </xf>
    <xf numFmtId="0" fontId="10" fillId="12" borderId="184" xfId="0" applyFont="1" applyFill="1" applyBorder="1" applyAlignment="1" applyProtection="1">
      <alignment horizontal="center" vertical="center" wrapText="1"/>
      <protection locked="0"/>
    </xf>
    <xf numFmtId="0" fontId="10" fillId="12" borderId="179" xfId="0" applyFont="1" applyFill="1" applyBorder="1" applyAlignment="1" applyProtection="1">
      <alignment horizontal="center" vertical="center" wrapText="1"/>
      <protection locked="0"/>
    </xf>
    <xf numFmtId="191" fontId="10" fillId="12" borderId="48" xfId="10" applyNumberFormat="1" applyFont="1" applyFill="1" applyBorder="1" applyAlignment="1" applyProtection="1">
      <alignment horizontal="center" vertical="center" wrapText="1"/>
      <protection locked="0"/>
    </xf>
    <xf numFmtId="191" fontId="10" fillId="12" borderId="11" xfId="10" applyNumberFormat="1" applyFont="1" applyFill="1" applyBorder="1" applyAlignment="1" applyProtection="1">
      <alignment horizontal="center" vertical="center" wrapText="1"/>
      <protection locked="0"/>
    </xf>
    <xf numFmtId="191" fontId="10" fillId="12" borderId="184" xfId="10" applyNumberFormat="1" applyFont="1" applyFill="1" applyBorder="1" applyAlignment="1" applyProtection="1">
      <alignment horizontal="center" vertical="center" wrapText="1"/>
      <protection locked="0"/>
    </xf>
    <xf numFmtId="191" fontId="10" fillId="12" borderId="179" xfId="10" applyNumberFormat="1" applyFont="1" applyFill="1" applyBorder="1" applyAlignment="1" applyProtection="1">
      <alignment horizontal="center" vertical="center" wrapText="1"/>
      <protection locked="0"/>
    </xf>
    <xf numFmtId="0" fontId="10" fillId="12" borderId="48" xfId="0" applyFont="1" applyFill="1" applyBorder="1" applyAlignment="1" applyProtection="1">
      <alignment horizontal="center" vertical="center" wrapText="1"/>
      <protection locked="0"/>
    </xf>
    <xf numFmtId="0" fontId="10" fillId="12" borderId="46" xfId="0" applyFont="1" applyFill="1" applyBorder="1" applyAlignment="1" applyProtection="1">
      <alignment horizontal="center" vertical="center" wrapText="1"/>
      <protection locked="0"/>
    </xf>
    <xf numFmtId="0" fontId="0" fillId="12" borderId="177" xfId="0" applyFont="1" applyFill="1" applyBorder="1" applyAlignment="1" applyProtection="1">
      <alignment horizontal="center" vertical="center" wrapText="1"/>
      <protection locked="0"/>
    </xf>
    <xf numFmtId="0" fontId="0" fillId="12" borderId="161" xfId="0" applyFont="1" applyFill="1" applyBorder="1" applyAlignment="1" applyProtection="1">
      <alignment horizontal="center" vertical="center" wrapText="1"/>
      <protection locked="0"/>
    </xf>
    <xf numFmtId="0" fontId="0" fillId="12" borderId="31" xfId="0" applyFont="1" applyFill="1" applyBorder="1" applyAlignment="1" applyProtection="1">
      <alignment horizontal="justify" vertical="center" wrapText="1"/>
      <protection locked="0"/>
    </xf>
    <xf numFmtId="0" fontId="10" fillId="12" borderId="29" xfId="0" applyFont="1" applyFill="1" applyBorder="1" applyAlignment="1" applyProtection="1">
      <alignment vertical="center" wrapText="1"/>
      <protection locked="0"/>
    </xf>
    <xf numFmtId="9" fontId="10" fillId="12" borderId="30" xfId="5" applyFont="1" applyFill="1" applyBorder="1" applyAlignment="1" applyProtection="1">
      <alignment vertical="center" wrapText="1"/>
      <protection locked="0"/>
    </xf>
    <xf numFmtId="0" fontId="10" fillId="12" borderId="30" xfId="0" applyFont="1" applyFill="1" applyBorder="1" applyAlignment="1" applyProtection="1">
      <alignment vertical="center" wrapText="1"/>
      <protection locked="0"/>
    </xf>
    <xf numFmtId="0" fontId="10" fillId="12" borderId="66" xfId="0" applyFont="1" applyFill="1" applyBorder="1" applyAlignment="1" applyProtection="1">
      <alignment vertical="center" wrapText="1"/>
      <protection locked="0"/>
    </xf>
    <xf numFmtId="191" fontId="10" fillId="12" borderId="50" xfId="10" applyNumberFormat="1" applyFont="1" applyFill="1" applyBorder="1" applyAlignment="1" applyProtection="1">
      <alignment vertical="center" wrapText="1"/>
      <protection locked="0"/>
    </xf>
    <xf numFmtId="191" fontId="10" fillId="12" borderId="29" xfId="10" applyNumberFormat="1" applyFont="1" applyFill="1" applyBorder="1" applyAlignment="1" applyProtection="1">
      <alignment vertical="center" wrapText="1"/>
      <protection locked="0"/>
    </xf>
    <xf numFmtId="191" fontId="10" fillId="12" borderId="30" xfId="10" applyNumberFormat="1" applyFont="1" applyFill="1" applyBorder="1" applyAlignment="1" applyProtection="1">
      <alignment vertical="center" wrapText="1"/>
      <protection locked="0"/>
    </xf>
    <xf numFmtId="191" fontId="10" fillId="12" borderId="66" xfId="10" applyNumberFormat="1" applyFont="1" applyFill="1" applyBorder="1" applyAlignment="1" applyProtection="1">
      <alignment vertical="center" wrapText="1"/>
      <protection locked="0"/>
    </xf>
    <xf numFmtId="0" fontId="10" fillId="12" borderId="50" xfId="0" applyFont="1" applyFill="1" applyBorder="1" applyAlignment="1" applyProtection="1">
      <alignment vertical="center" wrapText="1"/>
      <protection locked="0"/>
    </xf>
    <xf numFmtId="0" fontId="10" fillId="12" borderId="177" xfId="0" applyFont="1" applyFill="1" applyBorder="1" applyAlignment="1" applyProtection="1">
      <alignment vertical="center" wrapText="1"/>
      <protection locked="0"/>
    </xf>
    <xf numFmtId="0" fontId="0" fillId="69" borderId="9" xfId="0" applyFont="1" applyFill="1" applyBorder="1" applyAlignment="1" applyProtection="1">
      <alignment horizontal="justify" vertical="center" wrapText="1"/>
      <protection locked="0"/>
    </xf>
    <xf numFmtId="0" fontId="10" fillId="116" borderId="51" xfId="0" applyFont="1" applyFill="1" applyBorder="1" applyAlignment="1" applyProtection="1">
      <alignment vertical="center" wrapText="1"/>
      <protection locked="0"/>
    </xf>
    <xf numFmtId="9" fontId="10" fillId="116" borderId="32" xfId="5" applyFont="1" applyFill="1" applyBorder="1" applyAlignment="1" applyProtection="1">
      <alignment vertical="center" wrapText="1"/>
      <protection locked="0"/>
    </xf>
    <xf numFmtId="0" fontId="10" fillId="116" borderId="32" xfId="0" applyFont="1" applyFill="1" applyBorder="1" applyAlignment="1" applyProtection="1">
      <alignment vertical="center" wrapText="1"/>
      <protection locked="0"/>
    </xf>
    <xf numFmtId="0" fontId="10" fillId="116" borderId="38" xfId="0" applyFont="1" applyFill="1" applyBorder="1" applyAlignment="1" applyProtection="1">
      <alignment vertical="center" wrapText="1"/>
      <protection locked="0"/>
    </xf>
    <xf numFmtId="191" fontId="10" fillId="116" borderId="99" xfId="10" applyNumberFormat="1" applyFont="1" applyFill="1" applyBorder="1" applyAlignment="1" applyProtection="1">
      <alignment vertical="center" wrapText="1"/>
      <protection locked="0"/>
    </xf>
    <xf numFmtId="191" fontId="10" fillId="116" borderId="51" xfId="10" applyNumberFormat="1" applyFont="1" applyFill="1" applyBorder="1" applyAlignment="1" applyProtection="1">
      <alignment vertical="center" wrapText="1"/>
      <protection locked="0"/>
    </xf>
    <xf numFmtId="191" fontId="10" fillId="116" borderId="32" xfId="10" applyNumberFormat="1" applyFont="1" applyFill="1" applyBorder="1" applyAlignment="1" applyProtection="1">
      <alignment vertical="center" wrapText="1"/>
      <protection locked="0"/>
    </xf>
    <xf numFmtId="191" fontId="10" fillId="116" borderId="38" xfId="10" applyNumberFormat="1" applyFont="1" applyFill="1" applyBorder="1" applyAlignment="1" applyProtection="1">
      <alignment vertical="center" wrapText="1"/>
      <protection locked="0"/>
    </xf>
    <xf numFmtId="0" fontId="10" fillId="116" borderId="99" xfId="0" applyFont="1" applyFill="1" applyBorder="1" applyAlignment="1" applyProtection="1">
      <alignment vertical="center" wrapText="1"/>
      <protection locked="0"/>
    </xf>
    <xf numFmtId="0" fontId="10" fillId="116" borderId="60" xfId="0" applyFont="1" applyFill="1" applyBorder="1" applyAlignment="1" applyProtection="1">
      <alignment vertical="center" wrapText="1"/>
      <protection locked="0"/>
    </xf>
    <xf numFmtId="0" fontId="0" fillId="116" borderId="52" xfId="0" applyFont="1" applyFill="1" applyBorder="1" applyAlignment="1" applyProtection="1">
      <alignment horizontal="justify" vertical="center" wrapText="1"/>
      <protection locked="0"/>
    </xf>
    <xf numFmtId="0" fontId="10" fillId="116" borderId="11" xfId="0" applyFont="1" applyFill="1" applyBorder="1" applyAlignment="1" applyProtection="1">
      <alignment vertical="center" wrapText="1"/>
      <protection locked="0"/>
    </xf>
    <xf numFmtId="9" fontId="10" fillId="116" borderId="184" xfId="5" applyFont="1" applyFill="1" applyBorder="1" applyAlignment="1" applyProtection="1">
      <alignment vertical="center" wrapText="1"/>
      <protection locked="0"/>
    </xf>
    <xf numFmtId="0" fontId="10" fillId="116" borderId="184" xfId="0" applyFont="1" applyFill="1" applyBorder="1" applyAlignment="1" applyProtection="1">
      <alignment vertical="center" wrapText="1"/>
      <protection locked="0"/>
    </xf>
    <xf numFmtId="0" fontId="10" fillId="116" borderId="179" xfId="0" applyFont="1" applyFill="1" applyBorder="1" applyAlignment="1" applyProtection="1">
      <alignment vertical="center" wrapText="1"/>
      <protection locked="0"/>
    </xf>
    <xf numFmtId="191" fontId="10" fillId="116" borderId="48" xfId="10" applyNumberFormat="1" applyFont="1" applyFill="1" applyBorder="1" applyAlignment="1" applyProtection="1">
      <alignment vertical="center" wrapText="1"/>
      <protection locked="0"/>
    </xf>
    <xf numFmtId="191" fontId="10" fillId="116" borderId="11" xfId="10" applyNumberFormat="1" applyFont="1" applyFill="1" applyBorder="1" applyAlignment="1" applyProtection="1">
      <alignment vertical="center" wrapText="1"/>
      <protection locked="0"/>
    </xf>
    <xf numFmtId="191" fontId="10" fillId="116" borderId="184" xfId="10" applyNumberFormat="1" applyFont="1" applyFill="1" applyBorder="1" applyAlignment="1" applyProtection="1">
      <alignment vertical="center" wrapText="1"/>
      <protection locked="0"/>
    </xf>
    <xf numFmtId="191" fontId="10" fillId="116" borderId="179" xfId="10" applyNumberFormat="1" applyFont="1" applyFill="1" applyBorder="1" applyAlignment="1" applyProtection="1">
      <alignment vertical="center" wrapText="1"/>
      <protection locked="0"/>
    </xf>
    <xf numFmtId="0" fontId="10" fillId="116" borderId="48" xfId="0" applyFont="1" applyFill="1" applyBorder="1" applyAlignment="1" applyProtection="1">
      <alignment vertical="center" wrapText="1"/>
      <protection locked="0"/>
    </xf>
    <xf numFmtId="0" fontId="10" fillId="116" borderId="46" xfId="0" applyFont="1" applyFill="1" applyBorder="1" applyAlignment="1" applyProtection="1">
      <alignment vertical="center" wrapText="1"/>
      <protection locked="0"/>
    </xf>
    <xf numFmtId="0" fontId="0" fillId="116" borderId="94" xfId="0" applyFont="1" applyFill="1" applyBorder="1" applyAlignment="1" applyProtection="1">
      <alignment horizontal="justify" vertical="center" wrapText="1"/>
      <protection locked="0"/>
    </xf>
    <xf numFmtId="0" fontId="0" fillId="116" borderId="177" xfId="0" applyFont="1" applyFill="1" applyBorder="1" applyAlignment="1" applyProtection="1">
      <alignment horizontal="center" vertical="center" wrapText="1"/>
      <protection locked="0"/>
    </xf>
    <xf numFmtId="0" fontId="0" fillId="116" borderId="161" xfId="0" applyFont="1" applyFill="1" applyBorder="1" applyAlignment="1" applyProtection="1">
      <alignment horizontal="center" vertical="center" wrapText="1"/>
      <protection locked="0"/>
    </xf>
    <xf numFmtId="0" fontId="10" fillId="116" borderId="29" xfId="0" applyFont="1" applyFill="1" applyBorder="1" applyAlignment="1" applyProtection="1">
      <alignment horizontal="center" vertical="center" wrapText="1"/>
      <protection locked="0"/>
    </xf>
    <xf numFmtId="0" fontId="0" fillId="116" borderId="31" xfId="0" applyFont="1" applyFill="1" applyBorder="1" applyAlignment="1" applyProtection="1">
      <alignment horizontal="justify" vertical="center" wrapText="1"/>
      <protection locked="0"/>
    </xf>
    <xf numFmtId="0" fontId="10" fillId="116" borderId="29" xfId="0" applyFont="1" applyFill="1" applyBorder="1" applyAlignment="1" applyProtection="1">
      <alignment vertical="center" wrapText="1"/>
      <protection locked="0"/>
    </xf>
    <xf numFmtId="9" fontId="10" fillId="116" borderId="30" xfId="5" applyFont="1" applyFill="1" applyBorder="1" applyAlignment="1" applyProtection="1">
      <alignment vertical="center" wrapText="1"/>
      <protection locked="0"/>
    </xf>
    <xf numFmtId="0" fontId="10" fillId="116" borderId="30" xfId="0" applyFont="1" applyFill="1" applyBorder="1" applyAlignment="1" applyProtection="1">
      <alignment vertical="center" wrapText="1"/>
      <protection locked="0"/>
    </xf>
    <xf numFmtId="0" fontId="10" fillId="116" borderId="66" xfId="0" applyFont="1" applyFill="1" applyBorder="1" applyAlignment="1" applyProtection="1">
      <alignment vertical="center" wrapText="1"/>
      <protection locked="0"/>
    </xf>
    <xf numFmtId="191" fontId="10" fillId="116" borderId="50" xfId="10" applyNumberFormat="1" applyFont="1" applyFill="1" applyBorder="1" applyAlignment="1" applyProtection="1">
      <alignment vertical="center" wrapText="1"/>
      <protection locked="0"/>
    </xf>
    <xf numFmtId="191" fontId="10" fillId="116" borderId="29" xfId="10" applyNumberFormat="1" applyFont="1" applyFill="1" applyBorder="1" applyAlignment="1" applyProtection="1">
      <alignment vertical="center" wrapText="1"/>
      <protection locked="0"/>
    </xf>
    <xf numFmtId="191" fontId="10" fillId="116" borderId="30" xfId="10" applyNumberFormat="1" applyFont="1" applyFill="1" applyBorder="1" applyAlignment="1" applyProtection="1">
      <alignment vertical="center" wrapText="1"/>
      <protection locked="0"/>
    </xf>
    <xf numFmtId="191" fontId="10" fillId="116" borderId="66" xfId="10" applyNumberFormat="1" applyFont="1" applyFill="1" applyBorder="1" applyAlignment="1" applyProtection="1">
      <alignment vertical="center" wrapText="1"/>
      <protection locked="0"/>
    </xf>
    <xf numFmtId="0" fontId="10" fillId="116" borderId="50" xfId="0" applyFont="1" applyFill="1" applyBorder="1" applyAlignment="1" applyProtection="1">
      <alignment vertical="center" wrapText="1"/>
      <protection locked="0"/>
    </xf>
    <xf numFmtId="0" fontId="10" fillId="116" borderId="177" xfId="0" applyFont="1" applyFill="1" applyBorder="1" applyAlignment="1" applyProtection="1">
      <alignment vertical="center" wrapText="1"/>
      <protection locked="0"/>
    </xf>
    <xf numFmtId="0" fontId="0" fillId="27" borderId="60" xfId="0" applyFont="1" applyFill="1" applyBorder="1" applyAlignment="1" applyProtection="1">
      <alignment horizontal="center" vertical="center" wrapText="1"/>
      <protection locked="0"/>
    </xf>
    <xf numFmtId="0" fontId="0" fillId="27" borderId="100" xfId="0" applyFont="1" applyFill="1" applyBorder="1" applyAlignment="1" applyProtection="1">
      <alignment horizontal="center" vertical="center" wrapText="1"/>
      <protection locked="0"/>
    </xf>
    <xf numFmtId="0" fontId="10" fillId="27" borderId="51" xfId="0" applyFont="1" applyFill="1" applyBorder="1" applyAlignment="1" applyProtection="1">
      <alignment horizontal="center" vertical="center" wrapText="1"/>
      <protection locked="0"/>
    </xf>
    <xf numFmtId="0" fontId="0" fillId="27" borderId="52" xfId="0" applyFont="1" applyFill="1" applyBorder="1" applyAlignment="1" applyProtection="1">
      <alignment horizontal="justify" vertical="center" wrapText="1"/>
      <protection locked="0"/>
    </xf>
    <xf numFmtId="9" fontId="10" fillId="27" borderId="32" xfId="5" applyFont="1" applyFill="1" applyBorder="1" applyAlignment="1" applyProtection="1">
      <alignment horizontal="center" vertical="center" wrapText="1"/>
      <protection locked="0"/>
    </xf>
    <xf numFmtId="0" fontId="10" fillId="27" borderId="32" xfId="0" applyFont="1" applyFill="1" applyBorder="1" applyAlignment="1" applyProtection="1">
      <alignment horizontal="center" vertical="center" wrapText="1"/>
      <protection locked="0"/>
    </xf>
    <xf numFmtId="0" fontId="10" fillId="27" borderId="38" xfId="0" applyFont="1" applyFill="1" applyBorder="1" applyAlignment="1" applyProtection="1">
      <alignment horizontal="center" vertical="center" wrapText="1"/>
      <protection locked="0"/>
    </xf>
    <xf numFmtId="191" fontId="10" fillId="27" borderId="99" xfId="10" applyNumberFormat="1" applyFont="1" applyFill="1" applyBorder="1" applyAlignment="1" applyProtection="1">
      <alignment horizontal="center" vertical="center" wrapText="1"/>
      <protection locked="0"/>
    </xf>
    <xf numFmtId="191" fontId="10" fillId="27" borderId="51" xfId="10" applyNumberFormat="1" applyFont="1" applyFill="1" applyBorder="1" applyAlignment="1" applyProtection="1">
      <alignment horizontal="center" vertical="center" wrapText="1"/>
      <protection locked="0"/>
    </xf>
    <xf numFmtId="191" fontId="10" fillId="27" borderId="32" xfId="10" applyNumberFormat="1" applyFont="1" applyFill="1" applyBorder="1" applyAlignment="1" applyProtection="1">
      <alignment horizontal="center" vertical="center" wrapText="1"/>
      <protection locked="0"/>
    </xf>
    <xf numFmtId="191" fontId="10" fillId="27" borderId="38" xfId="10" applyNumberFormat="1" applyFont="1" applyFill="1" applyBorder="1" applyAlignment="1" applyProtection="1">
      <alignment horizontal="center" vertical="center" wrapText="1"/>
      <protection locked="0"/>
    </xf>
    <xf numFmtId="0" fontId="10" fillId="27" borderId="99" xfId="0" applyFont="1" applyFill="1" applyBorder="1" applyAlignment="1" applyProtection="1">
      <alignment horizontal="center" vertical="center" wrapText="1"/>
      <protection locked="0"/>
    </xf>
    <xf numFmtId="0" fontId="10" fillId="27" borderId="60" xfId="0" applyFont="1" applyFill="1" applyBorder="1" applyAlignment="1" applyProtection="1">
      <alignment horizontal="center" vertical="center" wrapText="1"/>
      <protection locked="0"/>
    </xf>
    <xf numFmtId="0" fontId="0" fillId="27" borderId="46" xfId="0" applyFont="1" applyFill="1" applyBorder="1" applyAlignment="1" applyProtection="1">
      <alignment horizontal="center" vertical="center" wrapText="1"/>
      <protection locked="0"/>
    </xf>
    <xf numFmtId="0" fontId="0" fillId="27" borderId="155" xfId="0" applyFont="1" applyFill="1" applyBorder="1" applyAlignment="1" applyProtection="1">
      <alignment horizontal="center" vertical="center" wrapText="1"/>
      <protection locked="0"/>
    </xf>
    <xf numFmtId="0" fontId="10" fillId="27" borderId="11" xfId="0" applyFont="1" applyFill="1" applyBorder="1" applyAlignment="1" applyProtection="1">
      <alignment horizontal="center" vertical="center" wrapText="1"/>
      <protection locked="0"/>
    </xf>
    <xf numFmtId="0" fontId="0" fillId="27" borderId="94" xfId="0" applyFont="1" applyFill="1" applyBorder="1" applyAlignment="1" applyProtection="1">
      <alignment horizontal="justify" vertical="center" wrapText="1"/>
      <protection locked="0"/>
    </xf>
    <xf numFmtId="9" fontId="10" fillId="27" borderId="184" xfId="5" applyFont="1" applyFill="1" applyBorder="1" applyAlignment="1" applyProtection="1">
      <alignment horizontal="center" vertical="center" wrapText="1"/>
      <protection locked="0"/>
    </xf>
    <xf numFmtId="0" fontId="10" fillId="27" borderId="184" xfId="0" applyFont="1" applyFill="1" applyBorder="1" applyAlignment="1" applyProtection="1">
      <alignment horizontal="center" vertical="center" wrapText="1"/>
      <protection locked="0"/>
    </xf>
    <xf numFmtId="0" fontId="10" fillId="27" borderId="179" xfId="0" applyFont="1" applyFill="1" applyBorder="1" applyAlignment="1" applyProtection="1">
      <alignment horizontal="center" vertical="center" wrapText="1"/>
      <protection locked="0"/>
    </xf>
    <xf numFmtId="191" fontId="10" fillId="27" borderId="48" xfId="10" applyNumberFormat="1" applyFont="1" applyFill="1" applyBorder="1" applyAlignment="1" applyProtection="1">
      <alignment horizontal="center" vertical="center" wrapText="1"/>
      <protection locked="0"/>
    </xf>
    <xf numFmtId="191" fontId="10" fillId="27" borderId="11" xfId="10" applyNumberFormat="1" applyFont="1" applyFill="1" applyBorder="1" applyAlignment="1" applyProtection="1">
      <alignment horizontal="center" vertical="center" wrapText="1"/>
      <protection locked="0"/>
    </xf>
    <xf numFmtId="191" fontId="10" fillId="27" borderId="184" xfId="10" applyNumberFormat="1" applyFont="1" applyFill="1" applyBorder="1" applyAlignment="1" applyProtection="1">
      <alignment horizontal="center" vertical="center" wrapText="1"/>
      <protection locked="0"/>
    </xf>
    <xf numFmtId="191" fontId="10" fillId="27" borderId="179" xfId="10" applyNumberFormat="1" applyFont="1" applyFill="1" applyBorder="1" applyAlignment="1" applyProtection="1">
      <alignment horizontal="center" vertical="center" wrapText="1"/>
      <protection locked="0"/>
    </xf>
    <xf numFmtId="0" fontId="10" fillId="27" borderId="48" xfId="0" applyFont="1" applyFill="1" applyBorder="1" applyAlignment="1" applyProtection="1">
      <alignment horizontal="center" vertical="center" wrapText="1"/>
      <protection locked="0"/>
    </xf>
    <xf numFmtId="0" fontId="10" fillId="27" borderId="46" xfId="0" applyFont="1" applyFill="1" applyBorder="1" applyAlignment="1" applyProtection="1">
      <alignment horizontal="center" vertical="center" wrapText="1"/>
      <protection locked="0"/>
    </xf>
    <xf numFmtId="0" fontId="0" fillId="27" borderId="177" xfId="0" applyFont="1" applyFill="1" applyBorder="1" applyAlignment="1" applyProtection="1">
      <alignment horizontal="center" vertical="center" wrapText="1"/>
      <protection locked="0"/>
    </xf>
    <xf numFmtId="0" fontId="0" fillId="27" borderId="161" xfId="0" applyFont="1" applyFill="1" applyBorder="1" applyAlignment="1" applyProtection="1">
      <alignment horizontal="center" vertical="center" wrapText="1"/>
      <protection locked="0"/>
    </xf>
    <xf numFmtId="0" fontId="10" fillId="27" borderId="29" xfId="0" applyFont="1" applyFill="1" applyBorder="1" applyAlignment="1" applyProtection="1">
      <alignment horizontal="center" vertical="center" wrapText="1"/>
      <protection locked="0"/>
    </xf>
    <xf numFmtId="0" fontId="0" fillId="27" borderId="31" xfId="0" applyFont="1" applyFill="1" applyBorder="1" applyAlignment="1" applyProtection="1">
      <alignment horizontal="justify" vertical="center" wrapText="1"/>
      <protection locked="0"/>
    </xf>
    <xf numFmtId="9" fontId="10" fillId="27" borderId="30" xfId="5" applyFont="1" applyFill="1" applyBorder="1" applyAlignment="1" applyProtection="1">
      <alignment horizontal="center" vertical="center" wrapText="1"/>
      <protection locked="0"/>
    </xf>
    <xf numFmtId="0" fontId="10" fillId="27" borderId="30" xfId="0" applyFont="1" applyFill="1" applyBorder="1" applyAlignment="1" applyProtection="1">
      <alignment horizontal="center" vertical="center" wrapText="1"/>
      <protection locked="0"/>
    </xf>
    <xf numFmtId="0" fontId="10" fillId="27" borderId="66" xfId="0" applyFont="1" applyFill="1" applyBorder="1" applyAlignment="1" applyProtection="1">
      <alignment horizontal="center" vertical="center" wrapText="1"/>
      <protection locked="0"/>
    </xf>
    <xf numFmtId="191" fontId="10" fillId="27" borderId="50" xfId="10" applyNumberFormat="1" applyFont="1" applyFill="1" applyBorder="1" applyAlignment="1" applyProtection="1">
      <alignment horizontal="center" vertical="center" wrapText="1"/>
      <protection locked="0"/>
    </xf>
    <xf numFmtId="191" fontId="10" fillId="27" borderId="29" xfId="10" applyNumberFormat="1" applyFont="1" applyFill="1" applyBorder="1" applyAlignment="1" applyProtection="1">
      <alignment horizontal="center" vertical="center" wrapText="1"/>
      <protection locked="0"/>
    </xf>
    <xf numFmtId="191" fontId="10" fillId="27" borderId="30" xfId="10" applyNumberFormat="1" applyFont="1" applyFill="1" applyBorder="1" applyAlignment="1" applyProtection="1">
      <alignment horizontal="center" vertical="center" wrapText="1"/>
      <protection locked="0"/>
    </xf>
    <xf numFmtId="191" fontId="10" fillId="27" borderId="66" xfId="10" applyNumberFormat="1" applyFont="1" applyFill="1" applyBorder="1" applyAlignment="1" applyProtection="1">
      <alignment horizontal="center" vertical="center" wrapText="1"/>
      <protection locked="0"/>
    </xf>
    <xf numFmtId="0" fontId="10" fillId="27" borderId="50" xfId="0" applyFont="1" applyFill="1" applyBorder="1" applyAlignment="1" applyProtection="1">
      <alignment horizontal="center" vertical="center" wrapText="1"/>
      <protection locked="0"/>
    </xf>
    <xf numFmtId="0" fontId="10" fillId="27" borderId="177" xfId="0" applyFont="1" applyFill="1" applyBorder="1" applyAlignment="1" applyProtection="1">
      <alignment horizontal="center" vertical="center" wrapText="1"/>
      <protection locked="0"/>
    </xf>
    <xf numFmtId="0" fontId="0" fillId="68" borderId="60" xfId="0" applyFont="1" applyFill="1" applyBorder="1" applyAlignment="1" applyProtection="1">
      <alignment horizontal="center" vertical="center" wrapText="1"/>
      <protection locked="0"/>
    </xf>
    <xf numFmtId="0" fontId="0" fillId="68" borderId="100" xfId="0" applyFont="1" applyFill="1" applyBorder="1" applyAlignment="1" applyProtection="1">
      <alignment horizontal="center" vertical="center" wrapText="1"/>
      <protection locked="0"/>
    </xf>
    <xf numFmtId="0" fontId="10" fillId="68" borderId="51" xfId="0" applyFont="1" applyFill="1" applyBorder="1" applyAlignment="1" applyProtection="1">
      <alignment horizontal="center" vertical="center" wrapText="1"/>
      <protection locked="0"/>
    </xf>
    <xf numFmtId="0" fontId="0" fillId="68" borderId="52" xfId="0" applyFont="1" applyFill="1" applyBorder="1" applyAlignment="1" applyProtection="1">
      <alignment horizontal="justify" vertical="center" wrapText="1"/>
      <protection locked="0"/>
    </xf>
    <xf numFmtId="9" fontId="10" fillId="68" borderId="32" xfId="5" applyFont="1" applyFill="1" applyBorder="1" applyAlignment="1" applyProtection="1">
      <alignment horizontal="center" vertical="center" wrapText="1"/>
      <protection locked="0"/>
    </xf>
    <xf numFmtId="0" fontId="10" fillId="68" borderId="32" xfId="0" applyFont="1" applyFill="1" applyBorder="1" applyAlignment="1" applyProtection="1">
      <alignment horizontal="center" vertical="center" wrapText="1"/>
      <protection locked="0"/>
    </xf>
    <xf numFmtId="0" fontId="10" fillId="68" borderId="38" xfId="0" applyFont="1" applyFill="1" applyBorder="1" applyAlignment="1" applyProtection="1">
      <alignment horizontal="center" vertical="center" wrapText="1"/>
      <protection locked="0"/>
    </xf>
    <xf numFmtId="191" fontId="10" fillId="68" borderId="99" xfId="10" applyNumberFormat="1" applyFont="1" applyFill="1" applyBorder="1" applyAlignment="1" applyProtection="1">
      <alignment horizontal="center" vertical="center" wrapText="1"/>
      <protection locked="0"/>
    </xf>
    <xf numFmtId="191" fontId="10" fillId="68" borderId="51" xfId="10" applyNumberFormat="1" applyFont="1" applyFill="1" applyBorder="1" applyAlignment="1" applyProtection="1">
      <alignment horizontal="center" vertical="center" wrapText="1"/>
      <protection locked="0"/>
    </xf>
    <xf numFmtId="191" fontId="10" fillId="68" borderId="32" xfId="10" applyNumberFormat="1" applyFont="1" applyFill="1" applyBorder="1" applyAlignment="1" applyProtection="1">
      <alignment horizontal="center" vertical="center" wrapText="1"/>
      <protection locked="0"/>
    </xf>
    <xf numFmtId="191" fontId="10" fillId="68" borderId="38" xfId="10" applyNumberFormat="1" applyFont="1" applyFill="1" applyBorder="1" applyAlignment="1" applyProtection="1">
      <alignment horizontal="center" vertical="center" wrapText="1"/>
      <protection locked="0"/>
    </xf>
    <xf numFmtId="0" fontId="10" fillId="68" borderId="99" xfId="0" applyFont="1" applyFill="1" applyBorder="1" applyAlignment="1" applyProtection="1">
      <alignment horizontal="center" vertical="center" wrapText="1"/>
      <protection locked="0"/>
    </xf>
    <xf numFmtId="0" fontId="10" fillId="68" borderId="60" xfId="0" applyFont="1" applyFill="1" applyBorder="1" applyAlignment="1" applyProtection="1">
      <alignment horizontal="center" vertical="center" wrapText="1"/>
      <protection locked="0"/>
    </xf>
    <xf numFmtId="0" fontId="10" fillId="68" borderId="11" xfId="0" applyFont="1" applyFill="1" applyBorder="1" applyAlignment="1" applyProtection="1">
      <alignment vertical="top" wrapText="1"/>
      <protection locked="0"/>
    </xf>
    <xf numFmtId="9" fontId="10" fillId="68" borderId="184" xfId="5" applyFont="1" applyFill="1" applyBorder="1" applyAlignment="1" applyProtection="1">
      <alignment vertical="top" wrapText="1"/>
      <protection locked="0"/>
    </xf>
    <xf numFmtId="0" fontId="10" fillId="68" borderId="184" xfId="0" applyFont="1" applyFill="1" applyBorder="1" applyAlignment="1" applyProtection="1">
      <alignment vertical="top" wrapText="1"/>
      <protection locked="0"/>
    </xf>
    <xf numFmtId="0" fontId="10" fillId="68" borderId="179" xfId="0" applyFont="1" applyFill="1" applyBorder="1" applyAlignment="1" applyProtection="1">
      <alignment vertical="top" wrapText="1"/>
      <protection locked="0"/>
    </xf>
    <xf numFmtId="191" fontId="10" fillId="68" borderId="48" xfId="10" applyNumberFormat="1" applyFont="1" applyFill="1" applyBorder="1" applyAlignment="1" applyProtection="1">
      <alignment vertical="top" wrapText="1"/>
      <protection locked="0"/>
    </xf>
    <xf numFmtId="191" fontId="10" fillId="68" borderId="11" xfId="10" applyNumberFormat="1" applyFont="1" applyFill="1" applyBorder="1" applyAlignment="1" applyProtection="1">
      <alignment vertical="top" wrapText="1"/>
      <protection locked="0"/>
    </xf>
    <xf numFmtId="191" fontId="10" fillId="68" borderId="184" xfId="10" applyNumberFormat="1" applyFont="1" applyFill="1" applyBorder="1" applyAlignment="1" applyProtection="1">
      <alignment vertical="top" wrapText="1"/>
      <protection locked="0"/>
    </xf>
    <xf numFmtId="191" fontId="10" fillId="68" borderId="179" xfId="10" applyNumberFormat="1" applyFont="1" applyFill="1" applyBorder="1" applyAlignment="1" applyProtection="1">
      <alignment vertical="top" wrapText="1"/>
      <protection locked="0"/>
    </xf>
    <xf numFmtId="0" fontId="10" fillId="68" borderId="48" xfId="0" applyFont="1" applyFill="1" applyBorder="1" applyAlignment="1" applyProtection="1">
      <alignment vertical="top" wrapText="1"/>
      <protection locked="0"/>
    </xf>
    <xf numFmtId="0" fontId="10" fillId="68" borderId="46" xfId="0" applyFont="1" applyFill="1" applyBorder="1" applyAlignment="1" applyProtection="1">
      <alignment vertical="top" wrapText="1"/>
      <protection locked="0"/>
    </xf>
    <xf numFmtId="0" fontId="0" fillId="68" borderId="94" xfId="0" applyFont="1" applyFill="1" applyBorder="1" applyAlignment="1" applyProtection="1">
      <alignment horizontal="justify" vertical="center" wrapText="1"/>
      <protection locked="0"/>
    </xf>
    <xf numFmtId="0" fontId="10" fillId="68" borderId="11" xfId="0" applyFont="1" applyFill="1" applyBorder="1" applyAlignment="1" applyProtection="1">
      <alignment vertical="center" wrapText="1"/>
      <protection locked="0"/>
    </xf>
    <xf numFmtId="9" fontId="10" fillId="68" borderId="184" xfId="5" applyFont="1" applyFill="1" applyBorder="1" applyAlignment="1" applyProtection="1">
      <alignment vertical="center" wrapText="1"/>
      <protection locked="0"/>
    </xf>
    <xf numFmtId="0" fontId="10" fillId="68" borderId="184" xfId="0" applyFont="1" applyFill="1" applyBorder="1" applyAlignment="1" applyProtection="1">
      <alignment vertical="center" wrapText="1"/>
      <protection locked="0"/>
    </xf>
    <xf numFmtId="0" fontId="10" fillId="68" borderId="179" xfId="0" applyFont="1" applyFill="1" applyBorder="1" applyAlignment="1" applyProtection="1">
      <alignment vertical="center" wrapText="1"/>
      <protection locked="0"/>
    </xf>
    <xf numFmtId="191" fontId="10" fillId="68" borderId="48" xfId="10" applyNumberFormat="1" applyFont="1" applyFill="1" applyBorder="1" applyAlignment="1" applyProtection="1">
      <alignment vertical="center" wrapText="1"/>
      <protection locked="0"/>
    </xf>
    <xf numFmtId="191" fontId="10" fillId="68" borderId="11" xfId="10" applyNumberFormat="1" applyFont="1" applyFill="1" applyBorder="1" applyAlignment="1" applyProtection="1">
      <alignment vertical="center" wrapText="1"/>
      <protection locked="0"/>
    </xf>
    <xf numFmtId="191" fontId="10" fillId="68" borderId="184" xfId="10" applyNumberFormat="1" applyFont="1" applyFill="1" applyBorder="1" applyAlignment="1" applyProtection="1">
      <alignment vertical="center" wrapText="1"/>
      <protection locked="0"/>
    </xf>
    <xf numFmtId="191" fontId="10" fillId="68" borderId="179" xfId="10" applyNumberFormat="1" applyFont="1" applyFill="1" applyBorder="1" applyAlignment="1" applyProtection="1">
      <alignment vertical="center" wrapText="1"/>
      <protection locked="0"/>
    </xf>
    <xf numFmtId="0" fontId="10" fillId="68" borderId="48" xfId="0" applyFont="1" applyFill="1" applyBorder="1" applyAlignment="1" applyProtection="1">
      <alignment vertical="center" wrapText="1"/>
      <protection locked="0"/>
    </xf>
    <xf numFmtId="0" fontId="10" fillId="68" borderId="46" xfId="0" applyFont="1" applyFill="1" applyBorder="1" applyAlignment="1" applyProtection="1">
      <alignment vertical="center" wrapText="1"/>
      <protection locked="0"/>
    </xf>
    <xf numFmtId="0" fontId="0" fillId="68" borderId="177" xfId="0" applyFont="1" applyFill="1" applyBorder="1" applyAlignment="1" applyProtection="1">
      <alignment horizontal="center" vertical="center" wrapText="1"/>
      <protection locked="0"/>
    </xf>
    <xf numFmtId="0" fontId="0" fillId="68" borderId="161" xfId="0" applyFont="1" applyFill="1" applyBorder="1" applyAlignment="1" applyProtection="1">
      <alignment horizontal="center" vertical="center" wrapText="1"/>
      <protection locked="0"/>
    </xf>
    <xf numFmtId="0" fontId="0" fillId="68" borderId="31" xfId="0" applyFont="1" applyFill="1" applyBorder="1" applyAlignment="1" applyProtection="1">
      <alignment horizontal="justify" vertical="center" wrapText="1"/>
      <protection locked="0"/>
    </xf>
    <xf numFmtId="0" fontId="10" fillId="68" borderId="29" xfId="0" applyFont="1" applyFill="1" applyBorder="1" applyAlignment="1" applyProtection="1">
      <alignment vertical="center" wrapText="1"/>
      <protection locked="0"/>
    </xf>
    <xf numFmtId="9" fontId="10" fillId="68" borderId="30" xfId="5" applyFont="1" applyFill="1" applyBorder="1" applyAlignment="1" applyProtection="1">
      <alignment vertical="center" wrapText="1"/>
      <protection locked="0"/>
    </xf>
    <xf numFmtId="0" fontId="10" fillId="68" borderId="30" xfId="0" applyFont="1" applyFill="1" applyBorder="1" applyAlignment="1" applyProtection="1">
      <alignment vertical="center" wrapText="1"/>
      <protection locked="0"/>
    </xf>
    <xf numFmtId="0" fontId="10" fillId="68" borderId="66" xfId="0" applyFont="1" applyFill="1" applyBorder="1" applyAlignment="1" applyProtection="1">
      <alignment vertical="center" wrapText="1"/>
      <protection locked="0"/>
    </xf>
    <xf numFmtId="191" fontId="10" fillId="68" borderId="50" xfId="10" applyNumberFormat="1" applyFont="1" applyFill="1" applyBorder="1" applyAlignment="1" applyProtection="1">
      <alignment vertical="center" wrapText="1"/>
      <protection locked="0"/>
    </xf>
    <xf numFmtId="191" fontId="10" fillId="68" borderId="29" xfId="10" applyNumberFormat="1" applyFont="1" applyFill="1" applyBorder="1" applyAlignment="1" applyProtection="1">
      <alignment vertical="center" wrapText="1"/>
      <protection locked="0"/>
    </xf>
    <xf numFmtId="191" fontId="10" fillId="68" borderId="30" xfId="10" applyNumberFormat="1" applyFont="1" applyFill="1" applyBorder="1" applyAlignment="1" applyProtection="1">
      <alignment vertical="center" wrapText="1"/>
      <protection locked="0"/>
    </xf>
    <xf numFmtId="191" fontId="10" fillId="68" borderId="66" xfId="10" applyNumberFormat="1" applyFont="1" applyFill="1" applyBorder="1" applyAlignment="1" applyProtection="1">
      <alignment vertical="center" wrapText="1"/>
      <protection locked="0"/>
    </xf>
    <xf numFmtId="0" fontId="10" fillId="68" borderId="50" xfId="0" applyFont="1" applyFill="1" applyBorder="1" applyAlignment="1" applyProtection="1">
      <alignment vertical="center" wrapText="1"/>
      <protection locked="0"/>
    </xf>
    <xf numFmtId="0" fontId="10" fillId="68" borderId="177" xfId="0" applyFont="1" applyFill="1" applyBorder="1" applyAlignment="1" applyProtection="1">
      <alignment vertical="center" wrapText="1"/>
      <protection locked="0"/>
    </xf>
    <xf numFmtId="0" fontId="0" fillId="116" borderId="60" xfId="0" applyFont="1" applyFill="1" applyBorder="1" applyAlignment="1" applyProtection="1">
      <alignment horizontal="center" vertical="center" wrapText="1"/>
      <protection locked="0"/>
    </xf>
    <xf numFmtId="0" fontId="0" fillId="116" borderId="100" xfId="0" applyFont="1" applyFill="1" applyBorder="1" applyAlignment="1" applyProtection="1">
      <alignment horizontal="center" vertical="center" wrapText="1"/>
      <protection locked="0"/>
    </xf>
    <xf numFmtId="9" fontId="10" fillId="116" borderId="30" xfId="5" applyFont="1" applyFill="1" applyBorder="1" applyAlignment="1" applyProtection="1">
      <alignment horizontal="center" vertical="center" wrapText="1"/>
      <protection locked="0"/>
    </xf>
    <xf numFmtId="0" fontId="10" fillId="116" borderId="30" xfId="0" applyFont="1" applyFill="1" applyBorder="1" applyAlignment="1" applyProtection="1">
      <alignment horizontal="center" vertical="center" wrapText="1"/>
      <protection locked="0"/>
    </xf>
    <xf numFmtId="0" fontId="10" fillId="116" borderId="66" xfId="0" applyFont="1" applyFill="1" applyBorder="1" applyAlignment="1" applyProtection="1">
      <alignment horizontal="center" vertical="center" wrapText="1"/>
      <protection locked="0"/>
    </xf>
    <xf numFmtId="191" fontId="10" fillId="116" borderId="50" xfId="10" applyNumberFormat="1" applyFont="1" applyFill="1" applyBorder="1" applyAlignment="1" applyProtection="1">
      <alignment horizontal="center" vertical="center" wrapText="1"/>
      <protection locked="0"/>
    </xf>
    <xf numFmtId="191" fontId="10" fillId="116" borderId="29" xfId="10" applyNumberFormat="1" applyFont="1" applyFill="1" applyBorder="1" applyAlignment="1" applyProtection="1">
      <alignment horizontal="center" vertical="center" wrapText="1"/>
      <protection locked="0"/>
    </xf>
    <xf numFmtId="191" fontId="10" fillId="116" borderId="30" xfId="10" applyNumberFormat="1" applyFont="1" applyFill="1" applyBorder="1" applyAlignment="1" applyProtection="1">
      <alignment horizontal="center" vertical="center" wrapText="1"/>
      <protection locked="0"/>
    </xf>
    <xf numFmtId="191" fontId="10" fillId="116" borderId="66" xfId="10" applyNumberFormat="1" applyFont="1" applyFill="1" applyBorder="1" applyAlignment="1" applyProtection="1">
      <alignment horizontal="center" vertical="center" wrapText="1"/>
      <protection locked="0"/>
    </xf>
    <xf numFmtId="0" fontId="10" fillId="116" borderId="50" xfId="0" applyFont="1" applyFill="1" applyBorder="1" applyAlignment="1" applyProtection="1">
      <alignment horizontal="center" vertical="center" wrapText="1"/>
      <protection locked="0"/>
    </xf>
    <xf numFmtId="0" fontId="10" fillId="116" borderId="177" xfId="0" applyFont="1" applyFill="1" applyBorder="1" applyAlignment="1" applyProtection="1">
      <alignment horizontal="center" vertical="center" wrapText="1"/>
      <protection locked="0"/>
    </xf>
    <xf numFmtId="9" fontId="11" fillId="38" borderId="30" xfId="5" applyFont="1" applyFill="1" applyBorder="1" applyAlignment="1" applyProtection="1">
      <alignment horizontal="center" vertical="center" wrapText="1"/>
      <protection locked="0"/>
    </xf>
    <xf numFmtId="0" fontId="11" fillId="38" borderId="66" xfId="0" applyFont="1" applyFill="1" applyBorder="1" applyAlignment="1" applyProtection="1">
      <alignment horizontal="center" vertical="center" wrapText="1"/>
      <protection locked="0"/>
    </xf>
    <xf numFmtId="191" fontId="11" fillId="38" borderId="50" xfId="10" applyNumberFormat="1" applyFont="1" applyFill="1" applyBorder="1" applyAlignment="1" applyProtection="1">
      <alignment horizontal="center" vertical="center" wrapText="1"/>
      <protection locked="0"/>
    </xf>
    <xf numFmtId="191" fontId="11" fillId="38" borderId="29" xfId="10" applyNumberFormat="1" applyFont="1" applyFill="1" applyBorder="1" applyAlignment="1" applyProtection="1">
      <alignment horizontal="center" vertical="center" wrapText="1"/>
      <protection locked="0"/>
    </xf>
    <xf numFmtId="191" fontId="11" fillId="38" borderId="30" xfId="10" applyNumberFormat="1" applyFont="1" applyFill="1" applyBorder="1" applyAlignment="1" applyProtection="1">
      <alignment horizontal="center" vertical="center" wrapText="1"/>
      <protection locked="0"/>
    </xf>
    <xf numFmtId="191" fontId="11" fillId="38" borderId="66" xfId="10" applyNumberFormat="1" applyFont="1" applyFill="1" applyBorder="1" applyAlignment="1" applyProtection="1">
      <alignment horizontal="center" vertical="center" wrapText="1"/>
      <protection locked="0"/>
    </xf>
    <xf numFmtId="0" fontId="11" fillId="38" borderId="50" xfId="0" applyFont="1" applyFill="1" applyBorder="1" applyAlignment="1" applyProtection="1">
      <alignment horizontal="center" vertical="center" wrapText="1"/>
      <protection locked="0"/>
    </xf>
    <xf numFmtId="0" fontId="11" fillId="39" borderId="9" xfId="0" applyFont="1" applyFill="1" applyBorder="1" applyAlignment="1" applyProtection="1">
      <alignment horizontal="justify" vertical="center" wrapText="1"/>
      <protection locked="0"/>
    </xf>
    <xf numFmtId="9" fontId="11" fillId="39" borderId="11" xfId="0" applyNumberFormat="1" applyFont="1" applyFill="1" applyBorder="1" applyAlignment="1" applyProtection="1">
      <alignment vertical="center" wrapText="1"/>
      <protection locked="0"/>
    </xf>
    <xf numFmtId="9" fontId="11" fillId="39" borderId="184" xfId="0" applyNumberFormat="1" applyFont="1" applyFill="1" applyBorder="1" applyAlignment="1" applyProtection="1">
      <alignment vertical="center" wrapText="1"/>
      <protection locked="0"/>
    </xf>
    <xf numFmtId="9" fontId="11" fillId="39" borderId="179" xfId="0" applyNumberFormat="1" applyFont="1" applyFill="1" applyBorder="1" applyAlignment="1" applyProtection="1">
      <alignment vertical="center" wrapText="1"/>
      <protection locked="0"/>
    </xf>
    <xf numFmtId="9" fontId="11" fillId="39" borderId="48" xfId="0" applyNumberFormat="1" applyFont="1" applyFill="1" applyBorder="1" applyAlignment="1" applyProtection="1">
      <alignment vertical="center" wrapText="1"/>
      <protection locked="0"/>
    </xf>
    <xf numFmtId="9" fontId="11" fillId="39" borderId="46" xfId="0" applyNumberFormat="1" applyFont="1" applyFill="1" applyBorder="1" applyAlignment="1" applyProtection="1">
      <alignment vertical="center" wrapText="1"/>
      <protection locked="0"/>
    </xf>
    <xf numFmtId="0" fontId="11" fillId="39" borderId="177" xfId="0" applyFont="1" applyFill="1" applyBorder="1" applyAlignment="1" applyProtection="1">
      <alignment horizontal="center" vertical="center" wrapText="1"/>
      <protection locked="0"/>
    </xf>
    <xf numFmtId="0" fontId="11" fillId="39" borderId="161" xfId="0" applyFont="1" applyFill="1" applyBorder="1" applyAlignment="1" applyProtection="1">
      <alignment horizontal="center" vertical="center" wrapText="1"/>
      <protection locked="0"/>
    </xf>
    <xf numFmtId="9" fontId="11" fillId="39" borderId="30" xfId="5" applyFont="1" applyFill="1" applyBorder="1" applyAlignment="1" applyProtection="1">
      <alignment horizontal="center" vertical="center" wrapText="1"/>
      <protection locked="0"/>
    </xf>
    <xf numFmtId="0" fontId="11" fillId="39" borderId="30" xfId="0" applyFont="1" applyFill="1" applyBorder="1" applyAlignment="1" applyProtection="1">
      <alignment horizontal="center" vertical="center" wrapText="1"/>
      <protection locked="0"/>
    </xf>
    <xf numFmtId="0" fontId="11" fillId="39" borderId="66" xfId="0" applyFont="1" applyFill="1" applyBorder="1" applyAlignment="1" applyProtection="1">
      <alignment horizontal="center" vertical="center" wrapText="1"/>
      <protection locked="0"/>
    </xf>
    <xf numFmtId="191" fontId="11" fillId="39" borderId="50" xfId="10" applyNumberFormat="1" applyFont="1" applyFill="1" applyBorder="1" applyAlignment="1" applyProtection="1">
      <alignment horizontal="center" vertical="center" wrapText="1"/>
      <protection locked="0"/>
    </xf>
    <xf numFmtId="191" fontId="11" fillId="39" borderId="29" xfId="10" applyNumberFormat="1" applyFont="1" applyFill="1" applyBorder="1" applyAlignment="1" applyProtection="1">
      <alignment horizontal="center" vertical="center" wrapText="1"/>
      <protection locked="0"/>
    </xf>
    <xf numFmtId="191" fontId="11" fillId="39" borderId="30" xfId="10" applyNumberFormat="1" applyFont="1" applyFill="1" applyBorder="1" applyAlignment="1" applyProtection="1">
      <alignment horizontal="center" vertical="center" wrapText="1"/>
      <protection locked="0"/>
    </xf>
    <xf numFmtId="191" fontId="11" fillId="39" borderId="66" xfId="10" applyNumberFormat="1" applyFont="1" applyFill="1" applyBorder="1" applyAlignment="1" applyProtection="1">
      <alignment horizontal="center" vertical="center" wrapText="1"/>
      <protection locked="0"/>
    </xf>
    <xf numFmtId="0" fontId="11" fillId="39" borderId="50" xfId="0" applyFont="1" applyFill="1" applyBorder="1" applyAlignment="1" applyProtection="1">
      <alignment horizontal="center" vertical="center" wrapText="1"/>
      <protection locked="0"/>
    </xf>
    <xf numFmtId="0" fontId="11" fillId="51" borderId="51" xfId="0" applyFont="1" applyFill="1" applyBorder="1" applyAlignment="1" applyProtection="1">
      <alignment vertical="center" wrapText="1"/>
      <protection locked="0"/>
    </xf>
    <xf numFmtId="9" fontId="11" fillId="51" borderId="32" xfId="5" applyFont="1" applyFill="1" applyBorder="1" applyAlignment="1" applyProtection="1">
      <alignment vertical="center" wrapText="1"/>
      <protection locked="0"/>
    </xf>
    <xf numFmtId="0" fontId="11" fillId="51" borderId="32" xfId="0" applyFont="1" applyFill="1" applyBorder="1" applyAlignment="1" applyProtection="1">
      <alignment vertical="center" wrapText="1"/>
      <protection locked="0"/>
    </xf>
    <xf numFmtId="0" fontId="11" fillId="51" borderId="38" xfId="0" applyFont="1" applyFill="1" applyBorder="1" applyAlignment="1" applyProtection="1">
      <alignment vertical="center" wrapText="1"/>
      <protection locked="0"/>
    </xf>
    <xf numFmtId="191" fontId="11" fillId="51" borderId="99" xfId="10" applyNumberFormat="1" applyFont="1" applyFill="1" applyBorder="1" applyAlignment="1" applyProtection="1">
      <alignment vertical="center" wrapText="1"/>
      <protection locked="0"/>
    </xf>
    <xf numFmtId="191" fontId="11" fillId="51" borderId="51" xfId="10" applyNumberFormat="1" applyFont="1" applyFill="1" applyBorder="1" applyAlignment="1" applyProtection="1">
      <alignment vertical="center" wrapText="1"/>
      <protection locked="0"/>
    </xf>
    <xf numFmtId="191" fontId="11" fillId="51" borderId="32" xfId="10" applyNumberFormat="1" applyFont="1" applyFill="1" applyBorder="1" applyAlignment="1" applyProtection="1">
      <alignment vertical="center" wrapText="1"/>
      <protection locked="0"/>
    </xf>
    <xf numFmtId="191" fontId="11" fillId="51" borderId="38" xfId="10" applyNumberFormat="1" applyFont="1" applyFill="1" applyBorder="1" applyAlignment="1" applyProtection="1">
      <alignment vertical="center" wrapText="1"/>
      <protection locked="0"/>
    </xf>
    <xf numFmtId="0" fontId="11" fillId="51" borderId="99" xfId="0" applyFont="1" applyFill="1" applyBorder="1" applyAlignment="1" applyProtection="1">
      <alignment vertical="center" wrapText="1"/>
      <protection locked="0"/>
    </xf>
    <xf numFmtId="0" fontId="11" fillId="51" borderId="60" xfId="0" applyFont="1" applyFill="1" applyBorder="1" applyAlignment="1" applyProtection="1">
      <alignment vertical="center" wrapText="1"/>
      <protection locked="0"/>
    </xf>
    <xf numFmtId="0" fontId="11" fillId="51" borderId="11" xfId="0" applyFont="1" applyFill="1" applyBorder="1" applyAlignment="1" applyProtection="1">
      <alignment vertical="center" wrapText="1"/>
      <protection locked="0"/>
    </xf>
    <xf numFmtId="9" fontId="11" fillId="51" borderId="184" xfId="5" applyFont="1" applyFill="1" applyBorder="1" applyAlignment="1" applyProtection="1">
      <alignment vertical="center" wrapText="1"/>
      <protection locked="0"/>
    </xf>
    <xf numFmtId="0" fontId="11" fillId="51" borderId="184" xfId="0" applyFont="1" applyFill="1" applyBorder="1" applyAlignment="1" applyProtection="1">
      <alignment vertical="center" wrapText="1"/>
      <protection locked="0"/>
    </xf>
    <xf numFmtId="0" fontId="11" fillId="51" borderId="179" xfId="0" applyFont="1" applyFill="1" applyBorder="1" applyAlignment="1" applyProtection="1">
      <alignment vertical="center" wrapText="1"/>
      <protection locked="0"/>
    </xf>
    <xf numFmtId="191" fontId="11" fillId="51" borderId="48" xfId="10" applyNumberFormat="1" applyFont="1" applyFill="1" applyBorder="1" applyAlignment="1" applyProtection="1">
      <alignment vertical="center" wrapText="1"/>
      <protection locked="0"/>
    </xf>
    <xf numFmtId="191" fontId="11" fillId="51" borderId="11" xfId="10" applyNumberFormat="1" applyFont="1" applyFill="1" applyBorder="1" applyAlignment="1" applyProtection="1">
      <alignment vertical="center" wrapText="1"/>
      <protection locked="0"/>
    </xf>
    <xf numFmtId="191" fontId="11" fillId="51" borderId="184" xfId="10" applyNumberFormat="1" applyFont="1" applyFill="1" applyBorder="1" applyAlignment="1" applyProtection="1">
      <alignment vertical="center" wrapText="1"/>
      <protection locked="0"/>
    </xf>
    <xf numFmtId="191" fontId="11" fillId="51" borderId="179" xfId="10" applyNumberFormat="1" applyFont="1" applyFill="1" applyBorder="1" applyAlignment="1" applyProtection="1">
      <alignment vertical="center" wrapText="1"/>
      <protection locked="0"/>
    </xf>
    <xf numFmtId="0" fontId="11" fillId="51" borderId="48" xfId="0" applyFont="1" applyFill="1" applyBorder="1" applyAlignment="1" applyProtection="1">
      <alignment vertical="center" wrapText="1"/>
      <protection locked="0"/>
    </xf>
    <xf numFmtId="0" fontId="11" fillId="51" borderId="46" xfId="0" applyFont="1" applyFill="1" applyBorder="1" applyAlignment="1" applyProtection="1">
      <alignment vertical="center" wrapText="1"/>
      <protection locked="0"/>
    </xf>
    <xf numFmtId="0" fontId="11" fillId="51" borderId="185" xfId="0" applyFont="1" applyFill="1" applyBorder="1" applyAlignment="1" applyProtection="1">
      <alignment vertical="center" wrapText="1"/>
      <protection locked="0"/>
    </xf>
    <xf numFmtId="9" fontId="11" fillId="51" borderId="11" xfId="0" applyNumberFormat="1" applyFont="1" applyFill="1" applyBorder="1" applyAlignment="1" applyProtection="1">
      <alignment horizontal="center" vertical="center" wrapText="1"/>
      <protection locked="0"/>
    </xf>
    <xf numFmtId="9" fontId="11" fillId="51" borderId="184" xfId="0" applyNumberFormat="1" applyFont="1" applyFill="1" applyBorder="1" applyAlignment="1" applyProtection="1">
      <alignment horizontal="center" vertical="center" wrapText="1"/>
      <protection locked="0"/>
    </xf>
    <xf numFmtId="9" fontId="11" fillId="51" borderId="179" xfId="0" applyNumberFormat="1" applyFont="1" applyFill="1" applyBorder="1" applyAlignment="1" applyProtection="1">
      <alignment horizontal="center" vertical="center" wrapText="1"/>
      <protection locked="0"/>
    </xf>
    <xf numFmtId="9" fontId="11" fillId="51" borderId="48" xfId="0" applyNumberFormat="1" applyFont="1" applyFill="1" applyBorder="1" applyAlignment="1" applyProtection="1">
      <alignment horizontal="center" vertical="center" wrapText="1"/>
      <protection locked="0"/>
    </xf>
    <xf numFmtId="9" fontId="11" fillId="51" borderId="46" xfId="0" applyNumberFormat="1" applyFont="1" applyFill="1" applyBorder="1" applyAlignment="1" applyProtection="1">
      <alignment horizontal="center" vertical="center" wrapText="1"/>
      <protection locked="0"/>
    </xf>
    <xf numFmtId="0" fontId="11" fillId="51" borderId="177" xfId="0" applyFont="1" applyFill="1" applyBorder="1" applyAlignment="1" applyProtection="1">
      <alignment horizontal="center" vertical="center" wrapText="1"/>
      <protection locked="0"/>
    </xf>
    <xf numFmtId="0" fontId="11" fillId="51" borderId="161" xfId="0" applyFont="1" applyFill="1" applyBorder="1" applyAlignment="1" applyProtection="1">
      <alignment horizontal="center" vertical="center" wrapText="1"/>
      <protection locked="0"/>
    </xf>
    <xf numFmtId="0" fontId="11" fillId="7" borderId="51" xfId="0" applyFont="1" applyFill="1" applyBorder="1" applyAlignment="1" applyProtection="1">
      <alignment horizontal="center" vertical="center" wrapText="1"/>
      <protection locked="0"/>
    </xf>
    <xf numFmtId="0" fontId="11" fillId="7" borderId="32" xfId="0" applyFont="1" applyFill="1" applyBorder="1" applyAlignment="1" applyProtection="1">
      <alignment horizontal="center" vertical="center" wrapText="1"/>
      <protection locked="0"/>
    </xf>
    <xf numFmtId="0" fontId="11" fillId="7" borderId="38" xfId="0" applyFont="1" applyFill="1" applyBorder="1" applyAlignment="1" applyProtection="1">
      <alignment horizontal="center" vertical="center" wrapText="1"/>
      <protection locked="0"/>
    </xf>
    <xf numFmtId="0" fontId="11" fillId="7" borderId="99" xfId="0" applyFont="1" applyFill="1" applyBorder="1" applyAlignment="1" applyProtection="1">
      <alignment horizontal="center" vertical="center" wrapText="1"/>
      <protection locked="0"/>
    </xf>
    <xf numFmtId="0" fontId="11" fillId="7" borderId="30" xfId="0" applyFont="1" applyFill="1" applyBorder="1" applyAlignment="1" applyProtection="1">
      <alignment horizontal="center" vertical="center" wrapText="1"/>
      <protection locked="0"/>
    </xf>
    <xf numFmtId="0" fontId="11" fillId="7" borderId="66" xfId="0" applyFont="1" applyFill="1" applyBorder="1" applyAlignment="1" applyProtection="1">
      <alignment horizontal="center" vertical="center" wrapText="1"/>
      <protection locked="0"/>
    </xf>
    <xf numFmtId="0" fontId="11" fillId="7" borderId="50" xfId="0" applyFont="1" applyFill="1" applyBorder="1" applyAlignment="1" applyProtection="1">
      <alignment horizontal="center" vertical="center" wrapText="1"/>
      <protection locked="0"/>
    </xf>
    <xf numFmtId="9" fontId="11" fillId="41" borderId="51" xfId="0" applyNumberFormat="1" applyFont="1" applyFill="1" applyBorder="1" applyAlignment="1" applyProtection="1">
      <alignment horizontal="center" vertical="center" wrapText="1"/>
      <protection locked="0"/>
    </xf>
    <xf numFmtId="9" fontId="11" fillId="41" borderId="32" xfId="0" applyNumberFormat="1" applyFont="1" applyFill="1" applyBorder="1" applyAlignment="1" applyProtection="1">
      <alignment horizontal="center" vertical="center" wrapText="1"/>
      <protection locked="0"/>
    </xf>
    <xf numFmtId="9" fontId="11" fillId="41" borderId="38" xfId="0" applyNumberFormat="1" applyFont="1" applyFill="1" applyBorder="1" applyAlignment="1" applyProtection="1">
      <alignment horizontal="center" vertical="center" wrapText="1"/>
      <protection locked="0"/>
    </xf>
    <xf numFmtId="9" fontId="11" fillId="41" borderId="99" xfId="0" applyNumberFormat="1" applyFont="1" applyFill="1" applyBorder="1" applyAlignment="1" applyProtection="1">
      <alignment horizontal="center" vertical="center" wrapText="1"/>
      <protection locked="0"/>
    </xf>
    <xf numFmtId="9" fontId="11" fillId="41" borderId="60" xfId="0" applyNumberFormat="1" applyFont="1" applyFill="1" applyBorder="1" applyAlignment="1" applyProtection="1">
      <alignment horizontal="center" vertical="center" wrapText="1"/>
      <protection locked="0"/>
    </xf>
    <xf numFmtId="0" fontId="10" fillId="38" borderId="60" xfId="6" applyFont="1" applyFill="1" applyBorder="1" applyAlignment="1" applyProtection="1">
      <alignment horizontal="center" vertical="center"/>
      <protection locked="0"/>
    </xf>
    <xf numFmtId="0" fontId="10" fillId="38" borderId="11" xfId="6" applyFont="1" applyFill="1" applyBorder="1" applyAlignment="1" applyProtection="1">
      <alignment horizontal="center" vertical="center"/>
      <protection locked="0"/>
    </xf>
    <xf numFmtId="9" fontId="10" fillId="38" borderId="184" xfId="5" applyFont="1" applyFill="1" applyBorder="1" applyAlignment="1" applyProtection="1">
      <alignment horizontal="center" vertical="center"/>
      <protection locked="0"/>
    </xf>
    <xf numFmtId="0" fontId="10" fillId="38" borderId="184" xfId="6" applyFont="1" applyFill="1" applyBorder="1" applyAlignment="1" applyProtection="1">
      <alignment horizontal="center" vertical="center"/>
      <protection locked="0"/>
    </xf>
    <xf numFmtId="0" fontId="10" fillId="38" borderId="179" xfId="6" applyFont="1" applyFill="1" applyBorder="1" applyAlignment="1" applyProtection="1">
      <alignment horizontal="center" vertical="center"/>
      <protection locked="0"/>
    </xf>
    <xf numFmtId="191" fontId="10" fillId="38" borderId="48" xfId="10" applyNumberFormat="1" applyFont="1" applyFill="1" applyBorder="1" applyAlignment="1" applyProtection="1">
      <alignment horizontal="center" vertical="center"/>
      <protection locked="0"/>
    </xf>
    <xf numFmtId="191" fontId="10" fillId="38" borderId="11" xfId="10" applyNumberFormat="1" applyFont="1" applyFill="1" applyBorder="1" applyAlignment="1" applyProtection="1">
      <alignment horizontal="center" vertical="center"/>
      <protection locked="0"/>
    </xf>
    <xf numFmtId="191" fontId="10" fillId="38" borderId="184" xfId="10" applyNumberFormat="1" applyFont="1" applyFill="1" applyBorder="1" applyAlignment="1" applyProtection="1">
      <alignment horizontal="center" vertical="center"/>
      <protection locked="0"/>
    </xf>
    <xf numFmtId="191" fontId="10" fillId="38" borderId="179" xfId="10" applyNumberFormat="1" applyFont="1" applyFill="1" applyBorder="1" applyAlignment="1" applyProtection="1">
      <alignment horizontal="center" vertical="center"/>
      <protection locked="0"/>
    </xf>
    <xf numFmtId="0" fontId="10" fillId="38" borderId="48" xfId="6" applyFont="1" applyFill="1" applyBorder="1" applyAlignment="1" applyProtection="1">
      <alignment horizontal="center" vertical="center"/>
      <protection locked="0"/>
    </xf>
    <xf numFmtId="0" fontId="10" fillId="38" borderId="46" xfId="6" applyFont="1" applyFill="1" applyBorder="1" applyAlignment="1" applyProtection="1">
      <alignment horizontal="center" vertical="center"/>
      <protection locked="0"/>
    </xf>
    <xf numFmtId="9" fontId="10" fillId="38" borderId="46" xfId="5" applyFont="1" applyFill="1" applyBorder="1" applyAlignment="1" applyProtection="1">
      <alignment horizontal="center" vertical="center"/>
      <protection locked="0"/>
    </xf>
    <xf numFmtId="9" fontId="10" fillId="38" borderId="11" xfId="5" applyFont="1" applyFill="1" applyBorder="1" applyAlignment="1" applyProtection="1">
      <alignment vertical="center"/>
      <protection locked="0"/>
    </xf>
    <xf numFmtId="9" fontId="10" fillId="38" borderId="184" xfId="5" applyFont="1" applyFill="1" applyBorder="1" applyAlignment="1" applyProtection="1">
      <alignment vertical="center"/>
      <protection locked="0"/>
    </xf>
    <xf numFmtId="9" fontId="10" fillId="38" borderId="179" xfId="5" applyFont="1" applyFill="1" applyBorder="1" applyAlignment="1" applyProtection="1">
      <alignment vertical="center"/>
      <protection locked="0"/>
    </xf>
    <xf numFmtId="191" fontId="10" fillId="38" borderId="48" xfId="10" applyNumberFormat="1" applyFont="1" applyFill="1" applyBorder="1" applyAlignment="1" applyProtection="1">
      <alignment vertical="center"/>
      <protection locked="0"/>
    </xf>
    <xf numFmtId="191" fontId="10" fillId="38" borderId="11" xfId="10" applyNumberFormat="1" applyFont="1" applyFill="1" applyBorder="1" applyAlignment="1" applyProtection="1">
      <alignment vertical="center"/>
      <protection locked="0"/>
    </xf>
    <xf numFmtId="191" fontId="10" fillId="38" borderId="184" xfId="10" applyNumberFormat="1" applyFont="1" applyFill="1" applyBorder="1" applyAlignment="1" applyProtection="1">
      <alignment vertical="center"/>
      <protection locked="0"/>
    </xf>
    <xf numFmtId="191" fontId="10" fillId="38" borderId="179" xfId="10" applyNumberFormat="1" applyFont="1" applyFill="1" applyBorder="1" applyAlignment="1" applyProtection="1">
      <alignment vertical="center"/>
      <protection locked="0"/>
    </xf>
    <xf numFmtId="9" fontId="10" fillId="38" borderId="48" xfId="5" applyFont="1" applyFill="1" applyBorder="1" applyAlignment="1" applyProtection="1">
      <alignment vertical="center"/>
      <protection locked="0"/>
    </xf>
    <xf numFmtId="9" fontId="10" fillId="38" borderId="46" xfId="5" applyFont="1" applyFill="1" applyBorder="1" applyAlignment="1" applyProtection="1">
      <alignment vertical="center"/>
      <protection locked="0"/>
    </xf>
    <xf numFmtId="0" fontId="10" fillId="38" borderId="29" xfId="6" applyFont="1" applyFill="1" applyBorder="1" applyAlignment="1" applyProtection="1">
      <alignment horizontal="center" vertical="center"/>
      <protection locked="0"/>
    </xf>
    <xf numFmtId="9" fontId="10" fillId="38" borderId="30" xfId="5" applyFont="1" applyFill="1" applyBorder="1" applyAlignment="1" applyProtection="1">
      <alignment horizontal="center" vertical="center"/>
      <protection locked="0"/>
    </xf>
    <xf numFmtId="0" fontId="10" fillId="38" borderId="30" xfId="6" applyFont="1" applyFill="1" applyBorder="1" applyAlignment="1" applyProtection="1">
      <alignment horizontal="center" vertical="center"/>
      <protection locked="0"/>
    </xf>
    <xf numFmtId="0" fontId="10" fillId="38" borderId="66" xfId="6" applyFont="1" applyFill="1" applyBorder="1" applyAlignment="1" applyProtection="1">
      <alignment horizontal="center" vertical="center"/>
      <protection locked="0"/>
    </xf>
    <xf numFmtId="191" fontId="10" fillId="38" borderId="50" xfId="10" applyNumberFormat="1" applyFont="1" applyFill="1" applyBorder="1" applyAlignment="1" applyProtection="1">
      <alignment horizontal="center" vertical="center"/>
      <protection locked="0"/>
    </xf>
    <xf numFmtId="191" fontId="10" fillId="38" borderId="29" xfId="10" applyNumberFormat="1" applyFont="1" applyFill="1" applyBorder="1" applyAlignment="1" applyProtection="1">
      <alignment horizontal="center" vertical="center"/>
      <protection locked="0"/>
    </xf>
    <xf numFmtId="191" fontId="10" fillId="38" borderId="30" xfId="10" applyNumberFormat="1" applyFont="1" applyFill="1" applyBorder="1" applyAlignment="1" applyProtection="1">
      <alignment horizontal="center" vertical="center"/>
      <protection locked="0"/>
    </xf>
    <xf numFmtId="191" fontId="10" fillId="38" borderId="66" xfId="10" applyNumberFormat="1" applyFont="1" applyFill="1" applyBorder="1" applyAlignment="1" applyProtection="1">
      <alignment horizontal="center" vertical="center"/>
      <protection locked="0"/>
    </xf>
    <xf numFmtId="0" fontId="10" fillId="38" borderId="50" xfId="6" applyFont="1" applyFill="1" applyBorder="1" applyAlignment="1" applyProtection="1">
      <alignment horizontal="center" vertical="center"/>
      <protection locked="0"/>
    </xf>
    <xf numFmtId="0" fontId="10" fillId="38" borderId="177" xfId="6" applyFont="1" applyFill="1" applyBorder="1" applyAlignment="1" applyProtection="1">
      <alignment horizontal="center" vertical="center"/>
      <protection locked="0"/>
    </xf>
    <xf numFmtId="0" fontId="10" fillId="51" borderId="51" xfId="6" applyFont="1" applyFill="1" applyBorder="1" applyAlignment="1" applyProtection="1">
      <alignment horizontal="center" vertical="center"/>
      <protection locked="0"/>
    </xf>
    <xf numFmtId="9" fontId="10" fillId="51" borderId="32" xfId="5" applyFont="1" applyFill="1" applyBorder="1" applyAlignment="1" applyProtection="1">
      <alignment horizontal="center" vertical="center"/>
      <protection locked="0"/>
    </xf>
    <xf numFmtId="0" fontId="10" fillId="51" borderId="32" xfId="6" applyFont="1" applyFill="1" applyBorder="1" applyAlignment="1" applyProtection="1">
      <alignment horizontal="center" vertical="center"/>
      <protection locked="0"/>
    </xf>
    <xf numFmtId="0" fontId="10" fillId="51" borderId="38" xfId="6" applyFont="1" applyFill="1" applyBorder="1" applyAlignment="1" applyProtection="1">
      <alignment horizontal="center" vertical="center"/>
      <protection locked="0"/>
    </xf>
    <xf numFmtId="191" fontId="10" fillId="51" borderId="99" xfId="10" applyNumberFormat="1" applyFont="1" applyFill="1" applyBorder="1" applyAlignment="1" applyProtection="1">
      <alignment horizontal="center" vertical="center"/>
      <protection locked="0"/>
    </xf>
    <xf numFmtId="191" fontId="10" fillId="51" borderId="51" xfId="10" applyNumberFormat="1" applyFont="1" applyFill="1" applyBorder="1" applyAlignment="1" applyProtection="1">
      <alignment horizontal="center" vertical="center"/>
      <protection locked="0"/>
    </xf>
    <xf numFmtId="191" fontId="10" fillId="51" borderId="32" xfId="10" applyNumberFormat="1" applyFont="1" applyFill="1" applyBorder="1" applyAlignment="1" applyProtection="1">
      <alignment horizontal="center" vertical="center"/>
      <protection locked="0"/>
    </xf>
    <xf numFmtId="191" fontId="10" fillId="51" borderId="38" xfId="10" applyNumberFormat="1" applyFont="1" applyFill="1" applyBorder="1" applyAlignment="1" applyProtection="1">
      <alignment horizontal="center" vertical="center"/>
      <protection locked="0"/>
    </xf>
    <xf numFmtId="0" fontId="10" fillId="51" borderId="99" xfId="6" applyFont="1" applyFill="1" applyBorder="1" applyAlignment="1" applyProtection="1">
      <alignment horizontal="center" vertical="center"/>
      <protection locked="0"/>
    </xf>
    <xf numFmtId="0" fontId="10" fillId="51" borderId="60" xfId="6" applyFont="1" applyFill="1" applyBorder="1" applyAlignment="1" applyProtection="1">
      <alignment horizontal="center" vertical="center"/>
      <protection locked="0"/>
    </xf>
    <xf numFmtId="0" fontId="10" fillId="51" borderId="11" xfId="6" applyFont="1" applyFill="1" applyBorder="1" applyAlignment="1" applyProtection="1">
      <alignment horizontal="center" vertical="center"/>
      <protection locked="0"/>
    </xf>
    <xf numFmtId="9" fontId="10" fillId="51" borderId="184" xfId="5" applyFont="1" applyFill="1" applyBorder="1" applyAlignment="1" applyProtection="1">
      <alignment horizontal="center" vertical="center"/>
      <protection locked="0"/>
    </xf>
    <xf numFmtId="0" fontId="10" fillId="51" borderId="184" xfId="6" applyFont="1" applyFill="1" applyBorder="1" applyAlignment="1" applyProtection="1">
      <alignment horizontal="center" vertical="center"/>
      <protection locked="0"/>
    </xf>
    <xf numFmtId="0" fontId="10" fillId="51" borderId="179" xfId="6" applyFont="1" applyFill="1" applyBorder="1" applyAlignment="1" applyProtection="1">
      <alignment horizontal="center" vertical="center"/>
      <protection locked="0"/>
    </xf>
    <xf numFmtId="191" fontId="10" fillId="51" borderId="48" xfId="10" applyNumberFormat="1" applyFont="1" applyFill="1" applyBorder="1" applyAlignment="1" applyProtection="1">
      <alignment horizontal="center" vertical="center"/>
      <protection locked="0"/>
    </xf>
    <xf numFmtId="191" fontId="10" fillId="51" borderId="11" xfId="10" applyNumberFormat="1" applyFont="1" applyFill="1" applyBorder="1" applyAlignment="1" applyProtection="1">
      <alignment horizontal="center" vertical="center"/>
      <protection locked="0"/>
    </xf>
    <xf numFmtId="191" fontId="10" fillId="51" borderId="184" xfId="10" applyNumberFormat="1" applyFont="1" applyFill="1" applyBorder="1" applyAlignment="1" applyProtection="1">
      <alignment horizontal="center" vertical="center"/>
      <protection locked="0"/>
    </xf>
    <xf numFmtId="191" fontId="10" fillId="51" borderId="179" xfId="10" applyNumberFormat="1" applyFont="1" applyFill="1" applyBorder="1" applyAlignment="1" applyProtection="1">
      <alignment horizontal="center" vertical="center"/>
      <protection locked="0"/>
    </xf>
    <xf numFmtId="0" fontId="10" fillId="51" borderId="48" xfId="6" applyFont="1" applyFill="1" applyBorder="1" applyAlignment="1" applyProtection="1">
      <alignment horizontal="center" vertical="center"/>
      <protection locked="0"/>
    </xf>
    <xf numFmtId="0" fontId="10" fillId="51" borderId="46" xfId="6" applyFont="1" applyFill="1" applyBorder="1" applyAlignment="1" applyProtection="1">
      <alignment horizontal="center" vertical="center"/>
      <protection locked="0"/>
    </xf>
    <xf numFmtId="9" fontId="10" fillId="51" borderId="11" xfId="5" applyFont="1" applyFill="1" applyBorder="1" applyAlignment="1" applyProtection="1">
      <alignment horizontal="center" vertical="center"/>
      <protection locked="0"/>
    </xf>
    <xf numFmtId="9" fontId="10" fillId="51" borderId="179" xfId="5" applyFont="1" applyFill="1" applyBorder="1" applyAlignment="1" applyProtection="1">
      <alignment horizontal="center" vertical="center"/>
      <protection locked="0"/>
    </xf>
    <xf numFmtId="9" fontId="10" fillId="51" borderId="48" xfId="5" applyFont="1" applyFill="1" applyBorder="1" applyAlignment="1" applyProtection="1">
      <alignment horizontal="center" vertical="center"/>
      <protection locked="0"/>
    </xf>
    <xf numFmtId="9" fontId="10" fillId="51" borderId="46" xfId="5" applyFont="1" applyFill="1" applyBorder="1" applyAlignment="1" applyProtection="1">
      <alignment horizontal="center" vertical="center"/>
      <protection locked="0"/>
    </xf>
    <xf numFmtId="0" fontId="10" fillId="51" borderId="46" xfId="0" applyFont="1" applyFill="1" applyBorder="1" applyAlignment="1" applyProtection="1">
      <alignment horizontal="center" vertical="top" wrapText="1"/>
      <protection locked="0"/>
    </xf>
    <xf numFmtId="0" fontId="10" fillId="51" borderId="155" xfId="0" applyFont="1" applyFill="1" applyBorder="1" applyAlignment="1" applyProtection="1">
      <alignment horizontal="center" vertical="top" wrapText="1"/>
      <protection locked="0"/>
    </xf>
    <xf numFmtId="0" fontId="10" fillId="51" borderId="11" xfId="6" applyFont="1" applyFill="1" applyBorder="1" applyAlignment="1" applyProtection="1">
      <alignment vertical="center"/>
      <protection locked="0"/>
    </xf>
    <xf numFmtId="9" fontId="10" fillId="51" borderId="184" xfId="5" applyFont="1" applyFill="1" applyBorder="1" applyAlignment="1" applyProtection="1">
      <alignment vertical="center"/>
      <protection locked="0"/>
    </xf>
    <xf numFmtId="0" fontId="10" fillId="51" borderId="184" xfId="6" applyFont="1" applyFill="1" applyBorder="1" applyAlignment="1" applyProtection="1">
      <alignment vertical="center"/>
      <protection locked="0"/>
    </xf>
    <xf numFmtId="0" fontId="10" fillId="51" borderId="179" xfId="6" applyFont="1" applyFill="1" applyBorder="1" applyAlignment="1" applyProtection="1">
      <alignment vertical="center"/>
      <protection locked="0"/>
    </xf>
    <xf numFmtId="191" fontId="10" fillId="51" borderId="48" xfId="10" applyNumberFormat="1" applyFont="1" applyFill="1" applyBorder="1" applyAlignment="1" applyProtection="1">
      <alignment vertical="center"/>
      <protection locked="0"/>
    </xf>
    <xf numFmtId="191" fontId="10" fillId="51" borderId="11" xfId="10" applyNumberFormat="1" applyFont="1" applyFill="1" applyBorder="1" applyAlignment="1" applyProtection="1">
      <alignment vertical="center"/>
      <protection locked="0"/>
    </xf>
    <xf numFmtId="191" fontId="10" fillId="51" borderId="184" xfId="10" applyNumberFormat="1" applyFont="1" applyFill="1" applyBorder="1" applyAlignment="1" applyProtection="1">
      <alignment vertical="center"/>
      <protection locked="0"/>
    </xf>
    <xf numFmtId="191" fontId="10" fillId="51" borderId="179" xfId="10" applyNumberFormat="1" applyFont="1" applyFill="1" applyBorder="1" applyAlignment="1" applyProtection="1">
      <alignment vertical="center"/>
      <protection locked="0"/>
    </xf>
    <xf numFmtId="0" fontId="10" fillId="51" borderId="48" xfId="6" applyFont="1" applyFill="1" applyBorder="1" applyAlignment="1" applyProtection="1">
      <alignment vertical="center"/>
      <protection locked="0"/>
    </xf>
    <xf numFmtId="0" fontId="10" fillId="51" borderId="46" xfId="6" applyFont="1" applyFill="1" applyBorder="1" applyAlignment="1" applyProtection="1">
      <alignment vertical="center"/>
      <protection locked="0"/>
    </xf>
    <xf numFmtId="0" fontId="10" fillId="51" borderId="11" xfId="0" applyFont="1" applyFill="1" applyBorder="1" applyAlignment="1" applyProtection="1">
      <alignment vertical="center"/>
      <protection locked="0"/>
    </xf>
    <xf numFmtId="0" fontId="10" fillId="51" borderId="184" xfId="0" applyFont="1" applyFill="1" applyBorder="1" applyAlignment="1" applyProtection="1">
      <alignment vertical="center"/>
      <protection locked="0"/>
    </xf>
    <xf numFmtId="0" fontId="10" fillId="51" borderId="179" xfId="0" applyFont="1" applyFill="1" applyBorder="1" applyAlignment="1" applyProtection="1">
      <alignment vertical="center"/>
      <protection locked="0"/>
    </xf>
    <xf numFmtId="0" fontId="10" fillId="51" borderId="48" xfId="0" applyFont="1" applyFill="1" applyBorder="1" applyAlignment="1" applyProtection="1">
      <alignment vertical="center"/>
      <protection locked="0"/>
    </xf>
    <xf numFmtId="0" fontId="10" fillId="51" borderId="46" xfId="0" applyFont="1" applyFill="1" applyBorder="1" applyAlignment="1" applyProtection="1">
      <alignment vertical="center"/>
      <protection locked="0"/>
    </xf>
    <xf numFmtId="0" fontId="10" fillId="51" borderId="11" xfId="0" applyFont="1" applyFill="1" applyBorder="1" applyAlignment="1" applyProtection="1">
      <alignment horizontal="center" vertical="center"/>
      <protection locked="0"/>
    </xf>
    <xf numFmtId="0" fontId="10" fillId="51" borderId="184" xfId="0" applyFont="1" applyFill="1" applyBorder="1" applyAlignment="1" applyProtection="1">
      <alignment horizontal="center" vertical="center"/>
      <protection locked="0"/>
    </xf>
    <xf numFmtId="0" fontId="10" fillId="51" borderId="179" xfId="0" applyFont="1" applyFill="1" applyBorder="1" applyAlignment="1" applyProtection="1">
      <alignment horizontal="center" vertical="center"/>
      <protection locked="0"/>
    </xf>
    <xf numFmtId="0" fontId="10" fillId="51" borderId="48" xfId="0" applyFont="1" applyFill="1" applyBorder="1" applyAlignment="1" applyProtection="1">
      <alignment horizontal="center" vertical="center"/>
      <protection locked="0"/>
    </xf>
    <xf numFmtId="0" fontId="10" fillId="51" borderId="46" xfId="0" applyFont="1" applyFill="1" applyBorder="1" applyAlignment="1" applyProtection="1">
      <alignment horizontal="center" vertical="center"/>
      <protection locked="0"/>
    </xf>
    <xf numFmtId="0" fontId="40" fillId="51" borderId="11" xfId="0" applyFont="1" applyFill="1" applyBorder="1" applyAlignment="1" applyProtection="1">
      <alignment horizontal="center" vertical="center"/>
      <protection locked="0"/>
    </xf>
    <xf numFmtId="9" fontId="40" fillId="51" borderId="184" xfId="5" applyFont="1" applyFill="1" applyBorder="1" applyAlignment="1" applyProtection="1">
      <alignment horizontal="center" vertical="center"/>
      <protection locked="0"/>
    </xf>
    <xf numFmtId="0" fontId="40" fillId="51" borderId="184" xfId="0" applyFont="1" applyFill="1" applyBorder="1" applyAlignment="1" applyProtection="1">
      <alignment horizontal="center" vertical="center"/>
      <protection locked="0"/>
    </xf>
    <xf numFmtId="0" fontId="40" fillId="51" borderId="179" xfId="0" applyFont="1" applyFill="1" applyBorder="1" applyAlignment="1" applyProtection="1">
      <alignment horizontal="center" vertical="center"/>
      <protection locked="0"/>
    </xf>
    <xf numFmtId="191" fontId="40" fillId="51" borderId="48" xfId="10" applyNumberFormat="1" applyFont="1" applyFill="1" applyBorder="1" applyAlignment="1" applyProtection="1">
      <alignment horizontal="center" vertical="center"/>
      <protection locked="0"/>
    </xf>
    <xf numFmtId="191" fontId="40" fillId="51" borderId="11" xfId="10" applyNumberFormat="1" applyFont="1" applyFill="1" applyBorder="1" applyAlignment="1" applyProtection="1">
      <alignment horizontal="center" vertical="center"/>
      <protection locked="0"/>
    </xf>
    <xf numFmtId="191" fontId="40" fillId="51" borderId="184" xfId="10" applyNumberFormat="1" applyFont="1" applyFill="1" applyBorder="1" applyAlignment="1" applyProtection="1">
      <alignment horizontal="center" vertical="center"/>
      <protection locked="0"/>
    </xf>
    <xf numFmtId="191" fontId="40" fillId="51" borderId="179" xfId="10" applyNumberFormat="1" applyFont="1" applyFill="1" applyBorder="1" applyAlignment="1" applyProtection="1">
      <alignment horizontal="center" vertical="center"/>
      <protection locked="0"/>
    </xf>
    <xf numFmtId="0" fontId="40" fillId="51" borderId="48" xfId="0" applyFont="1" applyFill="1" applyBorder="1" applyAlignment="1" applyProtection="1">
      <alignment horizontal="center" vertical="center"/>
      <protection locked="0"/>
    </xf>
    <xf numFmtId="0" fontId="40" fillId="51" borderId="46" xfId="0" applyFont="1" applyFill="1" applyBorder="1" applyAlignment="1" applyProtection="1">
      <alignment horizontal="center" vertical="center"/>
      <protection locked="0"/>
    </xf>
    <xf numFmtId="1" fontId="10" fillId="51" borderId="11" xfId="5" applyNumberFormat="1" applyFont="1" applyFill="1" applyBorder="1" applyAlignment="1" applyProtection="1">
      <alignment horizontal="center" vertical="center"/>
      <protection locked="0"/>
    </xf>
    <xf numFmtId="1" fontId="10" fillId="51" borderId="184" xfId="5" applyNumberFormat="1" applyFont="1" applyFill="1" applyBorder="1" applyAlignment="1" applyProtection="1">
      <alignment horizontal="center" vertical="center"/>
      <protection locked="0"/>
    </xf>
    <xf numFmtId="1" fontId="10" fillId="51" borderId="179" xfId="5" applyNumberFormat="1" applyFont="1" applyFill="1" applyBorder="1" applyAlignment="1" applyProtection="1">
      <alignment horizontal="center" vertical="center"/>
      <protection locked="0"/>
    </xf>
    <xf numFmtId="1" fontId="10" fillId="51" borderId="48" xfId="5" applyNumberFormat="1" applyFont="1" applyFill="1" applyBorder="1" applyAlignment="1" applyProtection="1">
      <alignment horizontal="center" vertical="center"/>
      <protection locked="0"/>
    </xf>
    <xf numFmtId="1" fontId="10" fillId="51" borderId="46" xfId="5" applyNumberFormat="1" applyFont="1" applyFill="1" applyBorder="1" applyAlignment="1" applyProtection="1">
      <alignment horizontal="center" vertical="center"/>
      <protection locked="0"/>
    </xf>
    <xf numFmtId="1" fontId="10" fillId="51" borderId="29" xfId="5" applyNumberFormat="1" applyFont="1" applyFill="1" applyBorder="1" applyAlignment="1" applyProtection="1">
      <alignment horizontal="center" vertical="center"/>
      <protection locked="0"/>
    </xf>
    <xf numFmtId="9" fontId="10" fillId="51" borderId="30" xfId="5" applyFont="1" applyFill="1" applyBorder="1" applyAlignment="1" applyProtection="1">
      <alignment horizontal="center" vertical="center"/>
      <protection locked="0"/>
    </xf>
    <xf numFmtId="1" fontId="10" fillId="51" borderId="30" xfId="5" applyNumberFormat="1" applyFont="1" applyFill="1" applyBorder="1" applyAlignment="1" applyProtection="1">
      <alignment horizontal="center" vertical="center"/>
      <protection locked="0"/>
    </xf>
    <xf numFmtId="1" fontId="10" fillId="51" borderId="66" xfId="5" applyNumberFormat="1" applyFont="1" applyFill="1" applyBorder="1" applyAlignment="1" applyProtection="1">
      <alignment horizontal="center" vertical="center"/>
      <protection locked="0"/>
    </xf>
    <xf numFmtId="191" fontId="10" fillId="51" borderId="50" xfId="10" applyNumberFormat="1" applyFont="1" applyFill="1" applyBorder="1" applyAlignment="1" applyProtection="1">
      <alignment horizontal="center" vertical="center"/>
      <protection locked="0"/>
    </xf>
    <xf numFmtId="191" fontId="10" fillId="51" borderId="29" xfId="10" applyNumberFormat="1" applyFont="1" applyFill="1" applyBorder="1" applyAlignment="1" applyProtection="1">
      <alignment horizontal="center" vertical="center"/>
      <protection locked="0"/>
    </xf>
    <xf numFmtId="191" fontId="10" fillId="51" borderId="30" xfId="10" applyNumberFormat="1" applyFont="1" applyFill="1" applyBorder="1" applyAlignment="1" applyProtection="1">
      <alignment horizontal="center" vertical="center"/>
      <protection locked="0"/>
    </xf>
    <xf numFmtId="191" fontId="10" fillId="51" borderId="66" xfId="10" applyNumberFormat="1" applyFont="1" applyFill="1" applyBorder="1" applyAlignment="1" applyProtection="1">
      <alignment horizontal="center" vertical="center"/>
      <protection locked="0"/>
    </xf>
    <xf numFmtId="1" fontId="10" fillId="51" borderId="50" xfId="5" applyNumberFormat="1" applyFont="1" applyFill="1" applyBorder="1" applyAlignment="1" applyProtection="1">
      <alignment horizontal="center" vertical="center"/>
      <protection locked="0"/>
    </xf>
    <xf numFmtId="1" fontId="10" fillId="51" borderId="177" xfId="5" applyNumberFormat="1" applyFont="1" applyFill="1" applyBorder="1" applyAlignment="1" applyProtection="1">
      <alignment horizontal="center" vertical="center"/>
      <protection locked="0"/>
    </xf>
    <xf numFmtId="0" fontId="10" fillId="103" borderId="45" xfId="0" applyFont="1" applyFill="1" applyBorder="1" applyAlignment="1" applyProtection="1">
      <alignment horizontal="center" vertical="center" wrapText="1"/>
      <protection locked="0"/>
    </xf>
    <xf numFmtId="0" fontId="10" fillId="103" borderId="15" xfId="0" applyFont="1" applyFill="1" applyBorder="1" applyAlignment="1" applyProtection="1">
      <alignment horizontal="center" vertical="center" wrapText="1"/>
      <protection locked="0"/>
    </xf>
    <xf numFmtId="0" fontId="10" fillId="103" borderId="52" xfId="0" applyFont="1" applyFill="1" applyBorder="1" applyAlignment="1" applyProtection="1">
      <alignment horizontal="justify" vertical="center" wrapText="1"/>
      <protection locked="0"/>
    </xf>
    <xf numFmtId="9" fontId="10" fillId="103" borderId="51" xfId="5" applyFont="1" applyFill="1" applyBorder="1" applyAlignment="1" applyProtection="1">
      <alignment horizontal="center" vertical="center"/>
      <protection locked="0"/>
    </xf>
    <xf numFmtId="9" fontId="10" fillId="103" borderId="32" xfId="5" applyFont="1" applyFill="1" applyBorder="1" applyAlignment="1" applyProtection="1">
      <alignment horizontal="center" vertical="center"/>
      <protection locked="0"/>
    </xf>
    <xf numFmtId="9" fontId="10" fillId="103" borderId="38" xfId="5" applyFont="1" applyFill="1" applyBorder="1" applyAlignment="1" applyProtection="1">
      <alignment horizontal="center" vertical="center"/>
      <protection locked="0"/>
    </xf>
    <xf numFmtId="191" fontId="10" fillId="103" borderId="99" xfId="10" applyNumberFormat="1" applyFont="1" applyFill="1" applyBorder="1" applyAlignment="1" applyProtection="1">
      <alignment horizontal="center" vertical="center"/>
      <protection locked="0"/>
    </xf>
    <xf numFmtId="191" fontId="10" fillId="103" borderId="51" xfId="10" applyNumberFormat="1" applyFont="1" applyFill="1" applyBorder="1" applyAlignment="1" applyProtection="1">
      <alignment horizontal="center" vertical="center"/>
      <protection locked="0"/>
    </xf>
    <xf numFmtId="191" fontId="10" fillId="103" borderId="32" xfId="10" applyNumberFormat="1" applyFont="1" applyFill="1" applyBorder="1" applyAlignment="1" applyProtection="1">
      <alignment horizontal="center" vertical="center"/>
      <protection locked="0"/>
    </xf>
    <xf numFmtId="191" fontId="10" fillId="103" borderId="38" xfId="10" applyNumberFormat="1" applyFont="1" applyFill="1" applyBorder="1" applyAlignment="1" applyProtection="1">
      <alignment horizontal="center" vertical="center"/>
      <protection locked="0"/>
    </xf>
    <xf numFmtId="9" fontId="10" fillId="103" borderId="99" xfId="5" applyFont="1" applyFill="1" applyBorder="1" applyAlignment="1" applyProtection="1">
      <alignment horizontal="center" vertical="center"/>
      <protection locked="0"/>
    </xf>
    <xf numFmtId="9" fontId="10" fillId="103" borderId="60" xfId="5" applyFont="1" applyFill="1" applyBorder="1" applyAlignment="1" applyProtection="1">
      <alignment horizontal="center" vertical="center"/>
      <protection locked="0"/>
    </xf>
    <xf numFmtId="0" fontId="10" fillId="103" borderId="11" xfId="0" applyFont="1" applyFill="1" applyBorder="1" applyAlignment="1" applyProtection="1">
      <alignment horizontal="center" vertical="center"/>
      <protection locked="0"/>
    </xf>
    <xf numFmtId="9" fontId="10" fillId="103" borderId="184" xfId="5" applyFont="1" applyFill="1" applyBorder="1" applyAlignment="1" applyProtection="1">
      <alignment horizontal="center" vertical="center"/>
      <protection locked="0"/>
    </xf>
    <xf numFmtId="0" fontId="10" fillId="103" borderId="184" xfId="0" applyFont="1" applyFill="1" applyBorder="1" applyAlignment="1" applyProtection="1">
      <alignment horizontal="center" vertical="center"/>
      <protection locked="0"/>
    </xf>
    <xf numFmtId="0" fontId="10" fillId="103" borderId="179" xfId="0" applyFont="1" applyFill="1" applyBorder="1" applyAlignment="1" applyProtection="1">
      <alignment horizontal="center" vertical="center"/>
      <protection locked="0"/>
    </xf>
    <xf numFmtId="191" fontId="10" fillId="103" borderId="48" xfId="10" applyNumberFormat="1" applyFont="1" applyFill="1" applyBorder="1" applyAlignment="1" applyProtection="1">
      <alignment horizontal="center" vertical="center"/>
      <protection locked="0"/>
    </xf>
    <xf numFmtId="191" fontId="10" fillId="103" borderId="11" xfId="10" applyNumberFormat="1" applyFont="1" applyFill="1" applyBorder="1" applyAlignment="1" applyProtection="1">
      <alignment horizontal="center" vertical="center"/>
      <protection locked="0"/>
    </xf>
    <xf numFmtId="191" fontId="10" fillId="103" borderId="184" xfId="10" applyNumberFormat="1" applyFont="1" applyFill="1" applyBorder="1" applyAlignment="1" applyProtection="1">
      <alignment horizontal="center" vertical="center"/>
      <protection locked="0"/>
    </xf>
    <xf numFmtId="191" fontId="10" fillId="103" borderId="179" xfId="10" applyNumberFormat="1" applyFont="1" applyFill="1" applyBorder="1" applyAlignment="1" applyProtection="1">
      <alignment horizontal="center" vertical="center"/>
      <protection locked="0"/>
    </xf>
    <xf numFmtId="0" fontId="10" fillId="103" borderId="48" xfId="0" applyFont="1" applyFill="1" applyBorder="1" applyAlignment="1" applyProtection="1">
      <alignment horizontal="center" vertical="center"/>
      <protection locked="0"/>
    </xf>
    <xf numFmtId="0" fontId="10" fillId="103" borderId="46" xfId="0" applyFont="1" applyFill="1" applyBorder="1" applyAlignment="1" applyProtection="1">
      <alignment horizontal="center" vertical="center"/>
      <protection locked="0"/>
    </xf>
    <xf numFmtId="9" fontId="10" fillId="103" borderId="11" xfId="5" applyFont="1" applyFill="1" applyBorder="1" applyAlignment="1" applyProtection="1">
      <alignment vertical="center"/>
      <protection locked="0"/>
    </xf>
    <xf numFmtId="9" fontId="10" fillId="103" borderId="184" xfId="5" applyFont="1" applyFill="1" applyBorder="1" applyAlignment="1" applyProtection="1">
      <alignment vertical="center"/>
      <protection locked="0"/>
    </xf>
    <xf numFmtId="9" fontId="10" fillId="103" borderId="179" xfId="5" applyFont="1" applyFill="1" applyBorder="1" applyAlignment="1" applyProtection="1">
      <alignment vertical="center"/>
      <protection locked="0"/>
    </xf>
    <xf numFmtId="191" fontId="10" fillId="103" borderId="48" xfId="10" applyNumberFormat="1" applyFont="1" applyFill="1" applyBorder="1" applyAlignment="1" applyProtection="1">
      <alignment vertical="center"/>
      <protection locked="0"/>
    </xf>
    <xf numFmtId="191" fontId="10" fillId="103" borderId="11" xfId="10" applyNumberFormat="1" applyFont="1" applyFill="1" applyBorder="1" applyAlignment="1" applyProtection="1">
      <alignment vertical="center"/>
      <protection locked="0"/>
    </xf>
    <xf numFmtId="191" fontId="10" fillId="103" borderId="184" xfId="10" applyNumberFormat="1" applyFont="1" applyFill="1" applyBorder="1" applyAlignment="1" applyProtection="1">
      <alignment vertical="center"/>
      <protection locked="0"/>
    </xf>
    <xf numFmtId="191" fontId="10" fillId="103" borderId="179" xfId="10" applyNumberFormat="1" applyFont="1" applyFill="1" applyBorder="1" applyAlignment="1" applyProtection="1">
      <alignment vertical="center"/>
      <protection locked="0"/>
    </xf>
    <xf numFmtId="9" fontId="10" fillId="103" borderId="48" xfId="5" applyFont="1" applyFill="1" applyBorder="1" applyAlignment="1" applyProtection="1">
      <alignment vertical="center"/>
      <protection locked="0"/>
    </xf>
    <xf numFmtId="9" fontId="10" fillId="103" borderId="46" xfId="5" applyFont="1" applyFill="1" applyBorder="1" applyAlignment="1" applyProtection="1">
      <alignment vertical="center"/>
      <protection locked="0"/>
    </xf>
    <xf numFmtId="0" fontId="10" fillId="103" borderId="11" xfId="0" applyFont="1" applyFill="1" applyBorder="1" applyAlignment="1" applyProtection="1">
      <alignment vertical="center"/>
      <protection locked="0"/>
    </xf>
    <xf numFmtId="0" fontId="10" fillId="103" borderId="184" xfId="0" applyFont="1" applyFill="1" applyBorder="1" applyAlignment="1" applyProtection="1">
      <alignment vertical="center"/>
      <protection locked="0"/>
    </xf>
    <xf numFmtId="0" fontId="10" fillId="103" borderId="179" xfId="0" applyFont="1" applyFill="1" applyBorder="1" applyAlignment="1" applyProtection="1">
      <alignment vertical="center"/>
      <protection locked="0"/>
    </xf>
    <xf numFmtId="0" fontId="10" fillId="103" borderId="48" xfId="0" applyFont="1" applyFill="1" applyBorder="1" applyAlignment="1" applyProtection="1">
      <alignment vertical="center"/>
      <protection locked="0"/>
    </xf>
    <xf numFmtId="0" fontId="10" fillId="103" borderId="46" xfId="0" applyFont="1" applyFill="1" applyBorder="1" applyAlignment="1" applyProtection="1">
      <alignment vertical="center"/>
      <protection locked="0"/>
    </xf>
    <xf numFmtId="9" fontId="10" fillId="103" borderId="11" xfId="0" applyNumberFormat="1" applyFont="1" applyFill="1" applyBorder="1" applyAlignment="1" applyProtection="1">
      <alignment vertical="center"/>
      <protection locked="0"/>
    </xf>
    <xf numFmtId="9" fontId="10" fillId="103" borderId="184" xfId="0" applyNumberFormat="1" applyFont="1" applyFill="1" applyBorder="1" applyAlignment="1" applyProtection="1">
      <alignment vertical="center"/>
      <protection locked="0"/>
    </xf>
    <xf numFmtId="9" fontId="10" fillId="103" borderId="179" xfId="0" applyNumberFormat="1" applyFont="1" applyFill="1" applyBorder="1" applyAlignment="1" applyProtection="1">
      <alignment vertical="center"/>
      <protection locked="0"/>
    </xf>
    <xf numFmtId="9" fontId="10" fillId="103" borderId="48" xfId="0" applyNumberFormat="1" applyFont="1" applyFill="1" applyBorder="1" applyAlignment="1" applyProtection="1">
      <alignment vertical="center"/>
      <protection locked="0"/>
    </xf>
    <xf numFmtId="9" fontId="10" fillId="103" borderId="46" xfId="0" applyNumberFormat="1" applyFont="1" applyFill="1" applyBorder="1" applyAlignment="1" applyProtection="1">
      <alignment vertical="center"/>
      <protection locked="0"/>
    </xf>
    <xf numFmtId="9" fontId="10" fillId="103" borderId="29" xfId="5" applyFont="1" applyFill="1" applyBorder="1" applyAlignment="1" applyProtection="1">
      <alignment vertical="center"/>
      <protection locked="0"/>
    </xf>
    <xf numFmtId="9" fontId="10" fillId="103" borderId="30" xfId="5" applyFont="1" applyFill="1" applyBorder="1" applyAlignment="1" applyProtection="1">
      <alignment vertical="center"/>
      <protection locked="0"/>
    </xf>
    <xf numFmtId="9" fontId="10" fillId="103" borderId="66" xfId="5" applyFont="1" applyFill="1" applyBorder="1" applyAlignment="1" applyProtection="1">
      <alignment vertical="center"/>
      <protection locked="0"/>
    </xf>
    <xf numFmtId="191" fontId="10" fillId="103" borderId="50" xfId="10" applyNumberFormat="1" applyFont="1" applyFill="1" applyBorder="1" applyAlignment="1" applyProtection="1">
      <alignment vertical="center"/>
      <protection locked="0"/>
    </xf>
    <xf numFmtId="191" fontId="10" fillId="103" borderId="29" xfId="10" applyNumberFormat="1" applyFont="1" applyFill="1" applyBorder="1" applyAlignment="1" applyProtection="1">
      <alignment vertical="center"/>
      <protection locked="0"/>
    </xf>
    <xf numFmtId="191" fontId="10" fillId="103" borderId="30" xfId="10" applyNumberFormat="1" applyFont="1" applyFill="1" applyBorder="1" applyAlignment="1" applyProtection="1">
      <alignment vertical="center"/>
      <protection locked="0"/>
    </xf>
    <xf numFmtId="191" fontId="10" fillId="103" borderId="66" xfId="10" applyNumberFormat="1" applyFont="1" applyFill="1" applyBorder="1" applyAlignment="1" applyProtection="1">
      <alignment vertical="center"/>
      <protection locked="0"/>
    </xf>
    <xf numFmtId="9" fontId="10" fillId="103" borderId="50" xfId="5" applyFont="1" applyFill="1" applyBorder="1" applyAlignment="1" applyProtection="1">
      <alignment vertical="center"/>
      <protection locked="0"/>
    </xf>
    <xf numFmtId="9" fontId="10" fillId="103" borderId="177" xfId="5" applyFont="1" applyFill="1" applyBorder="1" applyAlignment="1" applyProtection="1">
      <alignment vertical="center"/>
      <protection locked="0"/>
    </xf>
    <xf numFmtId="0" fontId="10" fillId="66" borderId="51" xfId="0" applyFont="1" applyFill="1" applyBorder="1" applyAlignment="1" applyProtection="1">
      <alignment vertical="center"/>
      <protection locked="0"/>
    </xf>
    <xf numFmtId="9" fontId="10" fillId="66" borderId="32" xfId="5" applyFont="1" applyFill="1" applyBorder="1" applyAlignment="1" applyProtection="1">
      <alignment vertical="center"/>
      <protection locked="0"/>
    </xf>
    <xf numFmtId="0" fontId="10" fillId="66" borderId="32" xfId="0" applyFont="1" applyFill="1" applyBorder="1" applyAlignment="1" applyProtection="1">
      <alignment vertical="center"/>
      <protection locked="0"/>
    </xf>
    <xf numFmtId="0" fontId="10" fillId="66" borderId="38" xfId="0" applyFont="1" applyFill="1" applyBorder="1" applyAlignment="1" applyProtection="1">
      <alignment vertical="center"/>
      <protection locked="0"/>
    </xf>
    <xf numFmtId="191" fontId="10" fillId="66" borderId="99" xfId="10" applyNumberFormat="1" applyFont="1" applyFill="1" applyBorder="1" applyAlignment="1" applyProtection="1">
      <alignment vertical="center"/>
      <protection locked="0"/>
    </xf>
    <xf numFmtId="191" fontId="10" fillId="66" borderId="51" xfId="10" applyNumberFormat="1" applyFont="1" applyFill="1" applyBorder="1" applyAlignment="1" applyProtection="1">
      <alignment vertical="center"/>
      <protection locked="0"/>
    </xf>
    <xf numFmtId="191" fontId="10" fillId="66" borderId="32" xfId="10" applyNumberFormat="1" applyFont="1" applyFill="1" applyBorder="1" applyAlignment="1" applyProtection="1">
      <alignment vertical="center"/>
      <protection locked="0"/>
    </xf>
    <xf numFmtId="191" fontId="10" fillId="66" borderId="38" xfId="10" applyNumberFormat="1" applyFont="1" applyFill="1" applyBorder="1" applyAlignment="1" applyProtection="1">
      <alignment vertical="center"/>
      <protection locked="0"/>
    </xf>
    <xf numFmtId="0" fontId="10" fillId="66" borderId="99" xfId="0" applyFont="1" applyFill="1" applyBorder="1" applyAlignment="1" applyProtection="1">
      <alignment vertical="center"/>
      <protection locked="0"/>
    </xf>
    <xf numFmtId="0" fontId="10" fillId="66" borderId="60" xfId="0" applyFont="1" applyFill="1" applyBorder="1" applyAlignment="1" applyProtection="1">
      <alignment vertical="center"/>
      <protection locked="0"/>
    </xf>
    <xf numFmtId="0" fontId="10" fillId="66" borderId="52" xfId="0" applyFont="1" applyFill="1" applyBorder="1" applyAlignment="1" applyProtection="1">
      <alignment horizontal="justify" vertical="center" wrapText="1"/>
      <protection locked="0"/>
    </xf>
    <xf numFmtId="0" fontId="10" fillId="66" borderId="11" xfId="0" applyFont="1" applyFill="1" applyBorder="1" applyAlignment="1" applyProtection="1">
      <alignment horizontal="center" vertical="center"/>
      <protection locked="0"/>
    </xf>
    <xf numFmtId="0" fontId="10" fillId="66" borderId="11" xfId="0" applyFont="1" applyFill="1" applyBorder="1" applyAlignment="1" applyProtection="1">
      <alignment vertical="center"/>
      <protection locked="0"/>
    </xf>
    <xf numFmtId="9" fontId="10" fillId="66" borderId="184" xfId="5" applyFont="1" applyFill="1" applyBorder="1" applyAlignment="1" applyProtection="1">
      <alignment vertical="center"/>
      <protection locked="0"/>
    </xf>
    <xf numFmtId="0" fontId="10" fillId="66" borderId="184" xfId="0" applyFont="1" applyFill="1" applyBorder="1" applyAlignment="1" applyProtection="1">
      <alignment vertical="center"/>
      <protection locked="0"/>
    </xf>
    <xf numFmtId="0" fontId="10" fillId="66" borderId="179" xfId="0" applyFont="1" applyFill="1" applyBorder="1" applyAlignment="1" applyProtection="1">
      <alignment vertical="center"/>
      <protection locked="0"/>
    </xf>
    <xf numFmtId="191" fontId="10" fillId="66" borderId="48" xfId="10" applyNumberFormat="1" applyFont="1" applyFill="1" applyBorder="1" applyAlignment="1" applyProtection="1">
      <alignment vertical="center"/>
      <protection locked="0"/>
    </xf>
    <xf numFmtId="191" fontId="10" fillId="66" borderId="11" xfId="10" applyNumberFormat="1" applyFont="1" applyFill="1" applyBorder="1" applyAlignment="1" applyProtection="1">
      <alignment vertical="center"/>
      <protection locked="0"/>
    </xf>
    <xf numFmtId="191" fontId="10" fillId="66" borderId="184" xfId="10" applyNumberFormat="1" applyFont="1" applyFill="1" applyBorder="1" applyAlignment="1" applyProtection="1">
      <alignment vertical="center"/>
      <protection locked="0"/>
    </xf>
    <xf numFmtId="191" fontId="10" fillId="66" borderId="179" xfId="10" applyNumberFormat="1" applyFont="1" applyFill="1" applyBorder="1" applyAlignment="1" applyProtection="1">
      <alignment vertical="center"/>
      <protection locked="0"/>
    </xf>
    <xf numFmtId="0" fontId="10" fillId="66" borderId="48" xfId="0" applyFont="1" applyFill="1" applyBorder="1" applyAlignment="1" applyProtection="1">
      <alignment vertical="center"/>
      <protection locked="0"/>
    </xf>
    <xf numFmtId="0" fontId="10" fillId="66" borderId="46" xfId="0" applyFont="1" applyFill="1" applyBorder="1" applyAlignment="1" applyProtection="1">
      <alignment vertical="center"/>
      <protection locked="0"/>
    </xf>
    <xf numFmtId="0" fontId="10" fillId="66" borderId="94" xfId="0" applyFont="1" applyFill="1" applyBorder="1" applyAlignment="1" applyProtection="1">
      <alignment horizontal="justify" vertical="center" wrapText="1"/>
      <protection locked="0"/>
    </xf>
    <xf numFmtId="0" fontId="10" fillId="66" borderId="46" xfId="0" applyFont="1" applyFill="1" applyBorder="1" applyAlignment="1" applyProtection="1">
      <alignment horizontal="center" vertical="center" wrapText="1"/>
      <protection locked="0"/>
    </xf>
    <xf numFmtId="0" fontId="10" fillId="66" borderId="155" xfId="0" applyFont="1" applyFill="1" applyBorder="1" applyAlignment="1" applyProtection="1">
      <alignment horizontal="center" vertical="center" wrapText="1"/>
      <protection locked="0"/>
    </xf>
    <xf numFmtId="9" fontId="10" fillId="66" borderId="11" xfId="5" applyFont="1" applyFill="1" applyBorder="1" applyAlignment="1" applyProtection="1">
      <alignment vertical="center"/>
      <protection locked="0"/>
    </xf>
    <xf numFmtId="9" fontId="10" fillId="66" borderId="179" xfId="5" applyFont="1" applyFill="1" applyBorder="1" applyAlignment="1" applyProtection="1">
      <alignment vertical="center"/>
      <protection locked="0"/>
    </xf>
    <xf numFmtId="9" fontId="10" fillId="66" borderId="48" xfId="5" applyFont="1" applyFill="1" applyBorder="1" applyAlignment="1" applyProtection="1">
      <alignment vertical="center"/>
      <protection locked="0"/>
    </xf>
    <xf numFmtId="9" fontId="10" fillId="66" borderId="46" xfId="5" applyFont="1" applyFill="1" applyBorder="1" applyAlignment="1" applyProtection="1">
      <alignment vertical="center"/>
      <protection locked="0"/>
    </xf>
    <xf numFmtId="9" fontId="10" fillId="66" borderId="184" xfId="5" applyFont="1" applyFill="1" applyBorder="1" applyAlignment="1" applyProtection="1">
      <alignment horizontal="center" vertical="center"/>
      <protection locked="0"/>
    </xf>
    <xf numFmtId="0" fontId="10" fillId="66" borderId="184" xfId="0" applyFont="1" applyFill="1" applyBorder="1" applyAlignment="1" applyProtection="1">
      <alignment horizontal="center" vertical="center"/>
      <protection locked="0"/>
    </xf>
    <xf numFmtId="0" fontId="10" fillId="66" borderId="179" xfId="0" applyFont="1" applyFill="1" applyBorder="1" applyAlignment="1" applyProtection="1">
      <alignment horizontal="center" vertical="center"/>
      <protection locked="0"/>
    </xf>
    <xf numFmtId="191" fontId="10" fillId="66" borderId="48" xfId="10" applyNumberFormat="1" applyFont="1" applyFill="1" applyBorder="1" applyAlignment="1" applyProtection="1">
      <alignment horizontal="center" vertical="center"/>
      <protection locked="0"/>
    </xf>
    <xf numFmtId="191" fontId="10" fillId="66" borderId="11" xfId="10" applyNumberFormat="1" applyFont="1" applyFill="1" applyBorder="1" applyAlignment="1" applyProtection="1">
      <alignment horizontal="center" vertical="center"/>
      <protection locked="0"/>
    </xf>
    <xf numFmtId="191" fontId="10" fillId="66" borderId="184" xfId="10" applyNumberFormat="1" applyFont="1" applyFill="1" applyBorder="1" applyAlignment="1" applyProtection="1">
      <alignment horizontal="center" vertical="center"/>
      <protection locked="0"/>
    </xf>
    <xf numFmtId="191" fontId="10" fillId="66" borderId="179" xfId="10" applyNumberFormat="1" applyFont="1" applyFill="1" applyBorder="1" applyAlignment="1" applyProtection="1">
      <alignment horizontal="center" vertical="center"/>
      <protection locked="0"/>
    </xf>
    <xf numFmtId="0" fontId="10" fillId="66" borderId="48" xfId="0" applyFont="1" applyFill="1" applyBorder="1" applyAlignment="1" applyProtection="1">
      <alignment horizontal="center" vertical="center"/>
      <protection locked="0"/>
    </xf>
    <xf numFmtId="0" fontId="10" fillId="66" borderId="46" xfId="0" applyFont="1" applyFill="1" applyBorder="1" applyAlignment="1" applyProtection="1">
      <alignment horizontal="center" vertical="center"/>
      <protection locked="0"/>
    </xf>
    <xf numFmtId="0" fontId="10" fillId="66" borderId="177" xfId="0" applyFont="1" applyFill="1" applyBorder="1" applyAlignment="1" applyProtection="1">
      <alignment horizontal="center" vertical="center" wrapText="1"/>
      <protection locked="0"/>
    </xf>
    <xf numFmtId="0" fontId="10" fillId="66" borderId="161" xfId="0" applyFont="1" applyFill="1" applyBorder="1" applyAlignment="1" applyProtection="1">
      <alignment horizontal="center" vertical="center" wrapText="1"/>
      <protection locked="0"/>
    </xf>
    <xf numFmtId="0" fontId="10" fillId="66" borderId="31" xfId="0" applyFont="1" applyFill="1" applyBorder="1" applyAlignment="1" applyProtection="1">
      <alignment horizontal="justify" vertical="center" wrapText="1"/>
      <protection locked="0"/>
    </xf>
    <xf numFmtId="0" fontId="10" fillId="66" borderId="29" xfId="0" applyFont="1" applyFill="1" applyBorder="1" applyAlignment="1" applyProtection="1">
      <alignment vertical="center"/>
      <protection locked="0"/>
    </xf>
    <xf numFmtId="9" fontId="10" fillId="66" borderId="30" xfId="5" applyFont="1" applyFill="1" applyBorder="1" applyAlignment="1" applyProtection="1">
      <alignment vertical="center"/>
      <protection locked="0"/>
    </xf>
    <xf numFmtId="0" fontId="10" fillId="66" borderId="30" xfId="0" applyFont="1" applyFill="1" applyBorder="1" applyAlignment="1" applyProtection="1">
      <alignment vertical="center"/>
      <protection locked="0"/>
    </xf>
    <xf numFmtId="0" fontId="10" fillId="66" borderId="66" xfId="0" applyFont="1" applyFill="1" applyBorder="1" applyAlignment="1" applyProtection="1">
      <alignment vertical="center"/>
      <protection locked="0"/>
    </xf>
    <xf numFmtId="191" fontId="10" fillId="66" borderId="50" xfId="10" applyNumberFormat="1" applyFont="1" applyFill="1" applyBorder="1" applyAlignment="1" applyProtection="1">
      <alignment vertical="center"/>
      <protection locked="0"/>
    </xf>
    <xf numFmtId="191" fontId="10" fillId="66" borderId="29" xfId="10" applyNumberFormat="1" applyFont="1" applyFill="1" applyBorder="1" applyAlignment="1" applyProtection="1">
      <alignment vertical="center"/>
      <protection locked="0"/>
    </xf>
    <xf numFmtId="191" fontId="10" fillId="66" borderId="30" xfId="10" applyNumberFormat="1" applyFont="1" applyFill="1" applyBorder="1" applyAlignment="1" applyProtection="1">
      <alignment vertical="center"/>
      <protection locked="0"/>
    </xf>
    <xf numFmtId="191" fontId="10" fillId="66" borderId="66" xfId="10" applyNumberFormat="1" applyFont="1" applyFill="1" applyBorder="1" applyAlignment="1" applyProtection="1">
      <alignment vertical="center"/>
      <protection locked="0"/>
    </xf>
    <xf numFmtId="0" fontId="10" fillId="66" borderId="50" xfId="0" applyFont="1" applyFill="1" applyBorder="1" applyAlignment="1" applyProtection="1">
      <alignment vertical="center"/>
      <protection locked="0"/>
    </xf>
    <xf numFmtId="0" fontId="10" fillId="66" borderId="177" xfId="0" applyFont="1" applyFill="1" applyBorder="1" applyAlignment="1" applyProtection="1">
      <alignment vertical="center"/>
      <protection locked="0"/>
    </xf>
    <xf numFmtId="0" fontId="0" fillId="69" borderId="60" xfId="0" applyFont="1" applyFill="1" applyBorder="1" applyAlignment="1" applyProtection="1">
      <alignment horizontal="center" vertical="center" wrapText="1"/>
      <protection locked="0"/>
    </xf>
    <xf numFmtId="0" fontId="0" fillId="69" borderId="100" xfId="0" applyFont="1" applyFill="1" applyBorder="1" applyAlignment="1" applyProtection="1">
      <alignment horizontal="center" vertical="center" wrapText="1"/>
      <protection locked="0"/>
    </xf>
    <xf numFmtId="0" fontId="0" fillId="69" borderId="100" xfId="0" applyFont="1" applyFill="1" applyBorder="1" applyAlignment="1" applyProtection="1">
      <alignment horizontal="justify" vertical="center" wrapText="1"/>
      <protection locked="0"/>
    </xf>
    <xf numFmtId="0" fontId="0" fillId="69" borderId="51" xfId="0" applyFont="1" applyFill="1" applyBorder="1" applyProtection="1">
      <protection locked="0"/>
    </xf>
    <xf numFmtId="9" fontId="0" fillId="69" borderId="32" xfId="5" applyFont="1" applyFill="1" applyBorder="1" applyProtection="1">
      <protection locked="0"/>
    </xf>
    <xf numFmtId="0" fontId="0" fillId="69" borderId="32" xfId="0" applyFont="1" applyFill="1" applyBorder="1" applyProtection="1">
      <protection locked="0"/>
    </xf>
    <xf numFmtId="0" fontId="0" fillId="69" borderId="38" xfId="0" applyFont="1" applyFill="1" applyBorder="1" applyProtection="1">
      <protection locked="0"/>
    </xf>
    <xf numFmtId="191" fontId="0" fillId="69" borderId="99" xfId="10" applyNumberFormat="1" applyFont="1" applyFill="1" applyBorder="1" applyProtection="1">
      <protection locked="0"/>
    </xf>
    <xf numFmtId="191" fontId="0" fillId="69" borderId="51" xfId="10" applyNumberFormat="1" applyFont="1" applyFill="1" applyBorder="1" applyProtection="1">
      <protection locked="0"/>
    </xf>
    <xf numFmtId="191" fontId="0" fillId="69" borderId="32" xfId="10" applyNumberFormat="1" applyFont="1" applyFill="1" applyBorder="1" applyProtection="1">
      <protection locked="0"/>
    </xf>
    <xf numFmtId="191" fontId="0" fillId="69" borderId="38" xfId="10" applyNumberFormat="1" applyFont="1" applyFill="1" applyBorder="1" applyProtection="1">
      <protection locked="0"/>
    </xf>
    <xf numFmtId="0" fontId="0" fillId="69" borderId="99" xfId="0" applyFont="1" applyFill="1" applyBorder="1" applyProtection="1">
      <protection locked="0"/>
    </xf>
    <xf numFmtId="0" fontId="0" fillId="69" borderId="60" xfId="0" applyFont="1" applyFill="1" applyBorder="1" applyProtection="1">
      <protection locked="0"/>
    </xf>
    <xf numFmtId="0" fontId="0" fillId="69" borderId="46" xfId="0" applyFont="1" applyFill="1" applyBorder="1" applyAlignment="1" applyProtection="1">
      <alignment horizontal="center" vertical="center" wrapText="1"/>
      <protection locked="0"/>
    </xf>
    <xf numFmtId="0" fontId="0" fillId="69" borderId="155" xfId="0" applyFont="1" applyFill="1" applyBorder="1" applyAlignment="1" applyProtection="1">
      <alignment horizontal="center" vertical="center" wrapText="1"/>
      <protection locked="0"/>
    </xf>
    <xf numFmtId="0" fontId="0" fillId="69" borderId="155" xfId="0" applyFont="1" applyFill="1" applyBorder="1" applyAlignment="1" applyProtection="1">
      <alignment horizontal="justify" vertical="center" wrapText="1"/>
      <protection locked="0"/>
    </xf>
    <xf numFmtId="0" fontId="0" fillId="69" borderId="11" xfId="0" applyFont="1" applyFill="1" applyBorder="1" applyProtection="1">
      <protection locked="0"/>
    </xf>
    <xf numFmtId="9" fontId="0" fillId="69" borderId="184" xfId="5" applyFont="1" applyFill="1" applyBorder="1" applyProtection="1">
      <protection locked="0"/>
    </xf>
    <xf numFmtId="0" fontId="0" fillId="69" borderId="184" xfId="0" applyFont="1" applyFill="1" applyBorder="1" applyProtection="1">
      <protection locked="0"/>
    </xf>
    <xf numFmtId="0" fontId="0" fillId="69" borderId="179" xfId="0" applyFont="1" applyFill="1" applyBorder="1" applyProtection="1">
      <protection locked="0"/>
    </xf>
    <xf numFmtId="191" fontId="0" fillId="69" borderId="48" xfId="10" applyNumberFormat="1" applyFont="1" applyFill="1" applyBorder="1" applyProtection="1">
      <protection locked="0"/>
    </xf>
    <xf numFmtId="191" fontId="0" fillId="69" borderId="11" xfId="10" applyNumberFormat="1" applyFont="1" applyFill="1" applyBorder="1" applyProtection="1">
      <protection locked="0"/>
    </xf>
    <xf numFmtId="191" fontId="0" fillId="69" borderId="184" xfId="10" applyNumberFormat="1" applyFont="1" applyFill="1" applyBorder="1" applyProtection="1">
      <protection locked="0"/>
    </xf>
    <xf numFmtId="191" fontId="0" fillId="69" borderId="179" xfId="10" applyNumberFormat="1" applyFont="1" applyFill="1" applyBorder="1" applyProtection="1">
      <protection locked="0"/>
    </xf>
    <xf numFmtId="0" fontId="0" fillId="69" borderId="48" xfId="0" applyFont="1" applyFill="1" applyBorder="1" applyProtection="1">
      <protection locked="0"/>
    </xf>
    <xf numFmtId="0" fontId="0" fillId="69" borderId="46" xfId="0" applyFont="1" applyFill="1" applyBorder="1" applyProtection="1">
      <protection locked="0"/>
    </xf>
    <xf numFmtId="0" fontId="0" fillId="69" borderId="177" xfId="0" applyFont="1" applyFill="1" applyBorder="1" applyAlignment="1" applyProtection="1">
      <alignment horizontal="center" vertical="center" wrapText="1"/>
      <protection locked="0"/>
    </xf>
    <xf numFmtId="0" fontId="0" fillId="69" borderId="161" xfId="0" applyFont="1" applyFill="1" applyBorder="1" applyAlignment="1" applyProtection="1">
      <alignment horizontal="center" vertical="center" wrapText="1"/>
      <protection locked="0"/>
    </xf>
    <xf numFmtId="0" fontId="0" fillId="69" borderId="161" xfId="0" applyFont="1" applyFill="1" applyBorder="1" applyAlignment="1" applyProtection="1">
      <alignment horizontal="justify" vertical="center" wrapText="1"/>
      <protection locked="0"/>
    </xf>
    <xf numFmtId="0" fontId="0" fillId="69" borderId="29" xfId="0" applyFont="1" applyFill="1" applyBorder="1" applyProtection="1">
      <protection locked="0"/>
    </xf>
    <xf numFmtId="9" fontId="0" fillId="69" borderId="30" xfId="5" applyFont="1" applyFill="1" applyBorder="1" applyProtection="1">
      <protection locked="0"/>
    </xf>
    <xf numFmtId="0" fontId="0" fillId="69" borderId="30" xfId="0" applyFont="1" applyFill="1" applyBorder="1" applyProtection="1">
      <protection locked="0"/>
    </xf>
    <xf numFmtId="0" fontId="0" fillId="69" borderId="66" xfId="0" applyFont="1" applyFill="1" applyBorder="1" applyProtection="1">
      <protection locked="0"/>
    </xf>
    <xf numFmtId="191" fontId="0" fillId="69" borderId="50" xfId="10" applyNumberFormat="1" applyFont="1" applyFill="1" applyBorder="1" applyProtection="1">
      <protection locked="0"/>
    </xf>
    <xf numFmtId="191" fontId="0" fillId="69" borderId="29" xfId="10" applyNumberFormat="1" applyFont="1" applyFill="1" applyBorder="1" applyProtection="1">
      <protection locked="0"/>
    </xf>
    <xf numFmtId="191" fontId="0" fillId="69" borderId="30" xfId="10" applyNumberFormat="1" applyFont="1" applyFill="1" applyBorder="1" applyProtection="1">
      <protection locked="0"/>
    </xf>
    <xf numFmtId="191" fontId="0" fillId="69" borderId="66" xfId="10" applyNumberFormat="1" applyFont="1" applyFill="1" applyBorder="1" applyProtection="1">
      <protection locked="0"/>
    </xf>
    <xf numFmtId="0" fontId="0" fillId="69" borderId="50" xfId="0" applyFont="1" applyFill="1" applyBorder="1" applyProtection="1">
      <protection locked="0"/>
    </xf>
    <xf numFmtId="0" fontId="0" fillId="69" borderId="177" xfId="0" applyFont="1" applyFill="1" applyBorder="1" applyProtection="1">
      <protection locked="0"/>
    </xf>
    <xf numFmtId="0" fontId="0" fillId="12" borderId="43" xfId="0" applyFont="1" applyFill="1" applyBorder="1" applyAlignment="1" applyProtection="1">
      <alignment horizontal="center" vertical="center" wrapText="1"/>
      <protection locked="0"/>
    </xf>
    <xf numFmtId="0" fontId="0" fillId="12" borderId="64" xfId="0" applyFont="1" applyFill="1" applyBorder="1" applyAlignment="1" applyProtection="1">
      <alignment horizontal="center" vertical="center" wrapText="1"/>
      <protection locked="0"/>
    </xf>
    <xf numFmtId="0" fontId="0" fillId="12" borderId="64" xfId="0" applyFont="1" applyFill="1" applyBorder="1" applyAlignment="1" applyProtection="1">
      <alignment horizontal="justify" vertical="center" wrapText="1"/>
      <protection locked="0"/>
    </xf>
    <xf numFmtId="0" fontId="0" fillId="12" borderId="55" xfId="0" applyFont="1" applyFill="1" applyBorder="1" applyProtection="1">
      <protection locked="0"/>
    </xf>
    <xf numFmtId="9" fontId="0" fillId="12" borderId="56" xfId="5" applyFont="1" applyFill="1" applyBorder="1" applyProtection="1">
      <protection locked="0"/>
    </xf>
    <xf numFmtId="0" fontId="0" fillId="12" borderId="56" xfId="0" applyFont="1" applyFill="1" applyBorder="1" applyProtection="1">
      <protection locked="0"/>
    </xf>
    <xf numFmtId="0" fontId="0" fillId="12" borderId="114" xfId="0" applyFont="1" applyFill="1" applyBorder="1" applyProtection="1">
      <protection locked="0"/>
    </xf>
    <xf numFmtId="191" fontId="0" fillId="12" borderId="63" xfId="10" applyNumberFormat="1" applyFont="1" applyFill="1" applyBorder="1" applyProtection="1">
      <protection locked="0"/>
    </xf>
    <xf numFmtId="191" fontId="0" fillId="12" borderId="55" xfId="10" applyNumberFormat="1" applyFont="1" applyFill="1" applyBorder="1" applyProtection="1">
      <protection locked="0"/>
    </xf>
    <xf numFmtId="191" fontId="0" fillId="12" borderId="56" xfId="10" applyNumberFormat="1" applyFont="1" applyFill="1" applyBorder="1" applyProtection="1">
      <protection locked="0"/>
    </xf>
    <xf numFmtId="191" fontId="0" fillId="12" borderId="114" xfId="10" applyNumberFormat="1" applyFont="1" applyFill="1" applyBorder="1" applyProtection="1">
      <protection locked="0"/>
    </xf>
    <xf numFmtId="0" fontId="0" fillId="12" borderId="63" xfId="0" applyFont="1" applyFill="1" applyBorder="1" applyProtection="1">
      <protection locked="0"/>
    </xf>
    <xf numFmtId="0" fontId="0" fillId="12" borderId="43" xfId="0" applyFont="1" applyFill="1" applyBorder="1" applyProtection="1">
      <protection locked="0"/>
    </xf>
    <xf numFmtId="0" fontId="0" fillId="27" borderId="100" xfId="0" applyFont="1" applyFill="1" applyBorder="1" applyAlignment="1" applyProtection="1">
      <alignment horizontal="justify" vertical="center" wrapText="1"/>
      <protection locked="0"/>
    </xf>
    <xf numFmtId="0" fontId="0" fillId="27" borderId="51" xfId="0" applyFont="1" applyFill="1" applyBorder="1" applyProtection="1">
      <protection locked="0"/>
    </xf>
    <xf numFmtId="9" fontId="0" fillId="27" borderId="32" xfId="5" applyFont="1" applyFill="1" applyBorder="1" applyProtection="1">
      <protection locked="0"/>
    </xf>
    <xf numFmtId="0" fontId="0" fillId="27" borderId="32" xfId="0" applyFont="1" applyFill="1" applyBorder="1" applyProtection="1">
      <protection locked="0"/>
    </xf>
    <xf numFmtId="0" fontId="0" fillId="27" borderId="38" xfId="0" applyFont="1" applyFill="1" applyBorder="1" applyProtection="1">
      <protection locked="0"/>
    </xf>
    <xf numFmtId="191" fontId="0" fillId="27" borderId="99" xfId="10" applyNumberFormat="1" applyFont="1" applyFill="1" applyBorder="1" applyProtection="1">
      <protection locked="0"/>
    </xf>
    <xf numFmtId="191" fontId="0" fillId="27" borderId="51" xfId="10" applyNumberFormat="1" applyFont="1" applyFill="1" applyBorder="1" applyProtection="1">
      <protection locked="0"/>
    </xf>
    <xf numFmtId="191" fontId="0" fillId="27" borderId="32" xfId="10" applyNumberFormat="1" applyFont="1" applyFill="1" applyBorder="1" applyProtection="1">
      <protection locked="0"/>
    </xf>
    <xf numFmtId="191" fontId="0" fillId="27" borderId="38" xfId="10" applyNumberFormat="1" applyFont="1" applyFill="1" applyBorder="1" applyProtection="1">
      <protection locked="0"/>
    </xf>
    <xf numFmtId="0" fontId="0" fillId="27" borderId="99" xfId="0" applyFont="1" applyFill="1" applyBorder="1" applyProtection="1">
      <protection locked="0"/>
    </xf>
    <xf numFmtId="0" fontId="0" fillId="27" borderId="60" xfId="0" applyFont="1" applyFill="1" applyBorder="1" applyProtection="1">
      <protection locked="0"/>
    </xf>
    <xf numFmtId="0" fontId="0" fillId="27" borderId="155" xfId="0" applyFont="1" applyFill="1" applyBorder="1" applyAlignment="1" applyProtection="1">
      <alignment horizontal="justify" vertical="center" wrapText="1"/>
      <protection locked="0"/>
    </xf>
    <xf numFmtId="0" fontId="0" fillId="27" borderId="11" xfId="0" applyFont="1" applyFill="1" applyBorder="1" applyProtection="1">
      <protection locked="0"/>
    </xf>
    <xf numFmtId="9" fontId="0" fillId="27" borderId="184" xfId="5" applyFont="1" applyFill="1" applyBorder="1" applyProtection="1">
      <protection locked="0"/>
    </xf>
    <xf numFmtId="0" fontId="0" fillId="27" borderId="184" xfId="0" applyFont="1" applyFill="1" applyBorder="1" applyProtection="1">
      <protection locked="0"/>
    </xf>
    <xf numFmtId="0" fontId="0" fillId="27" borderId="179" xfId="0" applyFont="1" applyFill="1" applyBorder="1" applyProtection="1">
      <protection locked="0"/>
    </xf>
    <xf numFmtId="191" fontId="0" fillId="27" borderId="48" xfId="10" applyNumberFormat="1" applyFont="1" applyFill="1" applyBorder="1" applyProtection="1">
      <protection locked="0"/>
    </xf>
    <xf numFmtId="191" fontId="0" fillId="27" borderId="11" xfId="10" applyNumberFormat="1" applyFont="1" applyFill="1" applyBorder="1" applyProtection="1">
      <protection locked="0"/>
    </xf>
    <xf numFmtId="191" fontId="0" fillId="27" borderId="184" xfId="10" applyNumberFormat="1" applyFont="1" applyFill="1" applyBorder="1" applyProtection="1">
      <protection locked="0"/>
    </xf>
    <xf numFmtId="191" fontId="0" fillId="27" borderId="179" xfId="10" applyNumberFormat="1" applyFont="1" applyFill="1" applyBorder="1" applyProtection="1">
      <protection locked="0"/>
    </xf>
    <xf numFmtId="0" fontId="0" fillId="27" borderId="48" xfId="0" applyFont="1" applyFill="1" applyBorder="1" applyProtection="1">
      <protection locked="0"/>
    </xf>
    <xf numFmtId="0" fontId="0" fillId="27" borderId="46" xfId="0" applyFont="1" applyFill="1" applyBorder="1" applyProtection="1">
      <protection locked="0"/>
    </xf>
    <xf numFmtId="9" fontId="0" fillId="27" borderId="155" xfId="0" applyNumberFormat="1" applyFont="1" applyFill="1" applyBorder="1" applyAlignment="1" applyProtection="1">
      <alignment horizontal="center" vertical="center" wrapText="1"/>
      <protection locked="0"/>
    </xf>
    <xf numFmtId="9" fontId="0" fillId="27" borderId="155" xfId="0" applyNumberFormat="1" applyFont="1" applyFill="1" applyBorder="1" applyAlignment="1" applyProtection="1">
      <alignment horizontal="justify" vertical="center" wrapText="1"/>
      <protection locked="0"/>
    </xf>
    <xf numFmtId="0" fontId="0" fillId="27" borderId="161" xfId="0" applyFont="1" applyFill="1" applyBorder="1" applyAlignment="1" applyProtection="1">
      <alignment horizontal="justify" vertical="center" wrapText="1"/>
      <protection locked="0"/>
    </xf>
    <xf numFmtId="0" fontId="0" fillId="27" borderId="29" xfId="0" applyFont="1" applyFill="1" applyBorder="1" applyProtection="1">
      <protection locked="0"/>
    </xf>
    <xf numFmtId="9" fontId="0" fillId="27" borderId="30" xfId="5" applyFont="1" applyFill="1" applyBorder="1" applyProtection="1">
      <protection locked="0"/>
    </xf>
    <xf numFmtId="0" fontId="0" fillId="27" borderId="30" xfId="0" applyFont="1" applyFill="1" applyBorder="1" applyProtection="1">
      <protection locked="0"/>
    </xf>
    <xf numFmtId="0" fontId="0" fillId="27" borderId="66" xfId="0" applyFont="1" applyFill="1" applyBorder="1" applyProtection="1">
      <protection locked="0"/>
    </xf>
    <xf numFmtId="191" fontId="0" fillId="27" borderId="50" xfId="10" applyNumberFormat="1" applyFont="1" applyFill="1" applyBorder="1" applyProtection="1">
      <protection locked="0"/>
    </xf>
    <xf numFmtId="191" fontId="0" fillId="27" borderId="29" xfId="10" applyNumberFormat="1" applyFont="1" applyFill="1" applyBorder="1" applyProtection="1">
      <protection locked="0"/>
    </xf>
    <xf numFmtId="191" fontId="0" fillId="27" borderId="30" xfId="10" applyNumberFormat="1" applyFont="1" applyFill="1" applyBorder="1" applyProtection="1">
      <protection locked="0"/>
    </xf>
    <xf numFmtId="191" fontId="0" fillId="27" borderId="66" xfId="10" applyNumberFormat="1" applyFont="1" applyFill="1" applyBorder="1" applyProtection="1">
      <protection locked="0"/>
    </xf>
    <xf numFmtId="0" fontId="0" fillId="27" borderId="50" xfId="0" applyFont="1" applyFill="1" applyBorder="1" applyProtection="1">
      <protection locked="0"/>
    </xf>
    <xf numFmtId="0" fontId="0" fillId="27" borderId="177" xfId="0" applyFont="1" applyFill="1" applyBorder="1" applyProtection="1">
      <protection locked="0"/>
    </xf>
    <xf numFmtId="0" fontId="0" fillId="17" borderId="43" xfId="0" applyFont="1" applyFill="1" applyBorder="1" applyAlignment="1" applyProtection="1">
      <alignment horizontal="center" vertical="center" wrapText="1"/>
      <protection locked="0"/>
    </xf>
    <xf numFmtId="0" fontId="0" fillId="17" borderId="64" xfId="0" applyFont="1" applyFill="1" applyBorder="1" applyAlignment="1" applyProtection="1">
      <alignment horizontal="center" vertical="center" wrapText="1"/>
      <protection locked="0"/>
    </xf>
    <xf numFmtId="0" fontId="0" fillId="17" borderId="57" xfId="0" applyFont="1" applyFill="1" applyBorder="1" applyAlignment="1" applyProtection="1">
      <alignment horizontal="justify" vertical="center" wrapText="1"/>
      <protection locked="0"/>
    </xf>
    <xf numFmtId="0" fontId="0" fillId="17" borderId="55" xfId="0" applyFont="1" applyFill="1" applyBorder="1" applyProtection="1">
      <protection locked="0"/>
    </xf>
    <xf numFmtId="9" fontId="0" fillId="17" borderId="56" xfId="5" applyFont="1" applyFill="1" applyBorder="1" applyProtection="1">
      <protection locked="0"/>
    </xf>
    <xf numFmtId="0" fontId="0" fillId="17" borderId="56" xfId="0" applyFont="1" applyFill="1" applyBorder="1" applyProtection="1">
      <protection locked="0"/>
    </xf>
    <xf numFmtId="0" fontId="0" fillId="17" borderId="114" xfId="0" applyFont="1" applyFill="1" applyBorder="1" applyProtection="1">
      <protection locked="0"/>
    </xf>
    <xf numFmtId="191" fontId="0" fillId="17" borderId="63" xfId="10" applyNumberFormat="1" applyFont="1" applyFill="1" applyBorder="1" applyProtection="1">
      <protection locked="0"/>
    </xf>
    <xf numFmtId="191" fontId="0" fillId="17" borderId="55" xfId="10" applyNumberFormat="1" applyFont="1" applyFill="1" applyBorder="1" applyProtection="1">
      <protection locked="0"/>
    </xf>
    <xf numFmtId="191" fontId="0" fillId="17" borderId="56" xfId="10" applyNumberFormat="1" applyFont="1" applyFill="1" applyBorder="1" applyProtection="1">
      <protection locked="0"/>
    </xf>
    <xf numFmtId="191" fontId="0" fillId="17" borderId="114" xfId="10" applyNumberFormat="1" applyFont="1" applyFill="1" applyBorder="1" applyProtection="1">
      <protection locked="0"/>
    </xf>
    <xf numFmtId="0" fontId="0" fillId="17" borderId="63" xfId="0" applyFont="1" applyFill="1" applyBorder="1" applyProtection="1">
      <protection locked="0"/>
    </xf>
    <xf numFmtId="0" fontId="0" fillId="17" borderId="43" xfId="0" applyFont="1" applyFill="1" applyBorder="1" applyProtection="1">
      <protection locked="0"/>
    </xf>
    <xf numFmtId="0" fontId="0" fillId="103" borderId="51" xfId="0" applyFont="1" applyFill="1" applyBorder="1" applyProtection="1">
      <protection locked="0"/>
    </xf>
    <xf numFmtId="9" fontId="0" fillId="103" borderId="32" xfId="5" applyFont="1" applyFill="1" applyBorder="1" applyProtection="1">
      <protection locked="0"/>
    </xf>
    <xf numFmtId="0" fontId="0" fillId="103" borderId="32" xfId="0" applyFont="1" applyFill="1" applyBorder="1" applyProtection="1">
      <protection locked="0"/>
    </xf>
    <xf numFmtId="0" fontId="0" fillId="103" borderId="38" xfId="0" applyFont="1" applyFill="1" applyBorder="1" applyProtection="1">
      <protection locked="0"/>
    </xf>
    <xf numFmtId="191" fontId="0" fillId="103" borderId="99" xfId="10" applyNumberFormat="1" applyFont="1" applyFill="1" applyBorder="1" applyProtection="1">
      <protection locked="0"/>
    </xf>
    <xf numFmtId="191" fontId="0" fillId="103" borderId="51" xfId="10" applyNumberFormat="1" applyFont="1" applyFill="1" applyBorder="1" applyProtection="1">
      <protection locked="0"/>
    </xf>
    <xf numFmtId="191" fontId="0" fillId="103" borderId="32" xfId="10" applyNumberFormat="1" applyFont="1" applyFill="1" applyBorder="1" applyProtection="1">
      <protection locked="0"/>
    </xf>
    <xf numFmtId="191" fontId="0" fillId="103" borderId="38" xfId="10" applyNumberFormat="1" applyFont="1" applyFill="1" applyBorder="1" applyProtection="1">
      <protection locked="0"/>
    </xf>
    <xf numFmtId="0" fontId="0" fillId="103" borderId="99" xfId="0" applyFont="1" applyFill="1" applyBorder="1" applyProtection="1">
      <protection locked="0"/>
    </xf>
    <xf numFmtId="0" fontId="0" fillId="103" borderId="60" xfId="0" applyFont="1" applyFill="1" applyBorder="1" applyProtection="1">
      <protection locked="0"/>
    </xf>
    <xf numFmtId="0" fontId="0" fillId="103" borderId="27" xfId="0" applyFont="1" applyFill="1" applyBorder="1" applyAlignment="1" applyProtection="1">
      <alignment horizontal="justify" vertical="center" wrapText="1"/>
      <protection locked="0"/>
    </xf>
    <xf numFmtId="0" fontId="0" fillId="103" borderId="11" xfId="0" applyFont="1" applyFill="1" applyBorder="1" applyProtection="1">
      <protection locked="0"/>
    </xf>
    <xf numFmtId="9" fontId="0" fillId="103" borderId="184" xfId="5" applyFont="1" applyFill="1" applyBorder="1" applyProtection="1">
      <protection locked="0"/>
    </xf>
    <xf numFmtId="0" fontId="0" fillId="103" borderId="184" xfId="0" applyFont="1" applyFill="1" applyBorder="1" applyProtection="1">
      <protection locked="0"/>
    </xf>
    <xf numFmtId="0" fontId="0" fillId="103" borderId="179" xfId="0" applyFont="1" applyFill="1" applyBorder="1" applyProtection="1">
      <protection locked="0"/>
    </xf>
    <xf numFmtId="191" fontId="0" fillId="103" borderId="48" xfId="10" applyNumberFormat="1" applyFont="1" applyFill="1" applyBorder="1" applyProtection="1">
      <protection locked="0"/>
    </xf>
    <xf numFmtId="191" fontId="0" fillId="103" borderId="11" xfId="10" applyNumberFormat="1" applyFont="1" applyFill="1" applyBorder="1" applyProtection="1">
      <protection locked="0"/>
    </xf>
    <xf numFmtId="191" fontId="0" fillId="103" borderId="184" xfId="10" applyNumberFormat="1" applyFont="1" applyFill="1" applyBorder="1" applyProtection="1">
      <protection locked="0"/>
    </xf>
    <xf numFmtId="191" fontId="0" fillId="103" borderId="179" xfId="10" applyNumberFormat="1" applyFont="1" applyFill="1" applyBorder="1" applyProtection="1">
      <protection locked="0"/>
    </xf>
    <xf numFmtId="0" fontId="0" fillId="103" borderId="48" xfId="0" applyFont="1" applyFill="1" applyBorder="1" applyProtection="1">
      <protection locked="0"/>
    </xf>
    <xf numFmtId="0" fontId="0" fillId="103" borderId="46" xfId="0" applyFont="1" applyFill="1" applyBorder="1" applyProtection="1">
      <protection locked="0"/>
    </xf>
    <xf numFmtId="0" fontId="0" fillId="103" borderId="155" xfId="0" applyFont="1" applyFill="1" applyBorder="1" applyAlignment="1" applyProtection="1">
      <alignment horizontal="center" vertical="center" wrapText="1"/>
      <protection locked="0"/>
    </xf>
    <xf numFmtId="0" fontId="0" fillId="103" borderId="155" xfId="0" applyFont="1" applyFill="1" applyBorder="1" applyAlignment="1" applyProtection="1">
      <alignment horizontal="justify" vertical="center" wrapText="1"/>
      <protection locked="0"/>
    </xf>
    <xf numFmtId="0" fontId="0" fillId="103" borderId="177" xfId="0" applyFont="1" applyFill="1" applyBorder="1" applyAlignment="1" applyProtection="1">
      <alignment horizontal="center" vertical="center" wrapText="1"/>
      <protection locked="0"/>
    </xf>
    <xf numFmtId="0" fontId="0" fillId="103" borderId="161" xfId="0" applyFont="1" applyFill="1" applyBorder="1" applyAlignment="1" applyProtection="1">
      <alignment horizontal="center" vertical="center" wrapText="1"/>
      <protection locked="0"/>
    </xf>
    <xf numFmtId="0" fontId="0" fillId="103" borderId="161" xfId="0" applyFont="1" applyFill="1" applyBorder="1" applyAlignment="1" applyProtection="1">
      <alignment horizontal="justify" vertical="center" wrapText="1"/>
      <protection locked="0"/>
    </xf>
    <xf numFmtId="0" fontId="0" fillId="103" borderId="29" xfId="0" applyFont="1" applyFill="1" applyBorder="1" applyProtection="1">
      <protection locked="0"/>
    </xf>
    <xf numFmtId="9" fontId="0" fillId="103" borderId="30" xfId="5" applyFont="1" applyFill="1" applyBorder="1" applyProtection="1">
      <protection locked="0"/>
    </xf>
    <xf numFmtId="0" fontId="0" fillId="103" borderId="30" xfId="0" applyFont="1" applyFill="1" applyBorder="1" applyProtection="1">
      <protection locked="0"/>
    </xf>
    <xf numFmtId="0" fontId="0" fillId="103" borderId="66" xfId="0" applyFont="1" applyFill="1" applyBorder="1" applyProtection="1">
      <protection locked="0"/>
    </xf>
    <xf numFmtId="191" fontId="0" fillId="103" borderId="50" xfId="10" applyNumberFormat="1" applyFont="1" applyFill="1" applyBorder="1" applyProtection="1">
      <protection locked="0"/>
    </xf>
    <xf numFmtId="191" fontId="0" fillId="103" borderId="29" xfId="10" applyNumberFormat="1" applyFont="1" applyFill="1" applyBorder="1" applyProtection="1">
      <protection locked="0"/>
    </xf>
    <xf numFmtId="191" fontId="0" fillId="103" borderId="30" xfId="10" applyNumberFormat="1" applyFont="1" applyFill="1" applyBorder="1" applyProtection="1">
      <protection locked="0"/>
    </xf>
    <xf numFmtId="191" fontId="0" fillId="103" borderId="66" xfId="10" applyNumberFormat="1" applyFont="1" applyFill="1" applyBorder="1" applyProtection="1">
      <protection locked="0"/>
    </xf>
    <xf numFmtId="0" fontId="0" fillId="103" borderId="50" xfId="0" applyFont="1" applyFill="1" applyBorder="1" applyProtection="1">
      <protection locked="0"/>
    </xf>
    <xf numFmtId="0" fontId="0" fillId="103" borderId="177" xfId="0" applyFont="1" applyFill="1" applyBorder="1" applyProtection="1">
      <protection locked="0"/>
    </xf>
    <xf numFmtId="0" fontId="0" fillId="69" borderId="159" xfId="0" applyFont="1" applyFill="1" applyBorder="1" applyAlignment="1" applyProtection="1">
      <alignment horizontal="justify" vertical="center" wrapText="1"/>
      <protection locked="0"/>
    </xf>
    <xf numFmtId="9" fontId="0" fillId="0" borderId="0" xfId="5" applyFont="1" applyProtection="1">
      <protection locked="0"/>
    </xf>
    <xf numFmtId="191" fontId="0" fillId="0" borderId="0" xfId="10" applyNumberFormat="1" applyFont="1" applyProtection="1">
      <protection locked="0"/>
    </xf>
    <xf numFmtId="0" fontId="0" fillId="0" borderId="0" xfId="0" applyProtection="1"/>
    <xf numFmtId="0" fontId="0" fillId="0" borderId="0" xfId="0" applyFont="1" applyAlignment="1" applyProtection="1">
      <alignment horizontal="justify" vertical="center"/>
    </xf>
    <xf numFmtId="0" fontId="3" fillId="17" borderId="13" xfId="0" applyFont="1" applyFill="1" applyBorder="1" applyAlignment="1" applyProtection="1">
      <alignment horizontal="center" vertical="center" wrapText="1"/>
    </xf>
    <xf numFmtId="0" fontId="3" fillId="17" borderId="108" xfId="0" applyFont="1" applyFill="1" applyBorder="1" applyAlignment="1" applyProtection="1">
      <alignment horizontal="center" vertical="center"/>
    </xf>
    <xf numFmtId="0" fontId="3" fillId="17" borderId="108" xfId="0" applyFont="1" applyFill="1" applyBorder="1" applyAlignment="1" applyProtection="1">
      <alignment horizontal="justify" vertical="center"/>
    </xf>
    <xf numFmtId="0" fontId="3" fillId="17" borderId="108" xfId="0" applyFont="1" applyFill="1" applyBorder="1" applyAlignment="1" applyProtection="1">
      <alignment horizontal="center" vertical="center" wrapText="1"/>
    </xf>
    <xf numFmtId="0" fontId="0" fillId="38" borderId="19" xfId="0" applyFont="1" applyFill="1" applyBorder="1" applyAlignment="1" applyProtection="1">
      <alignment horizontal="center" vertical="center" wrapText="1"/>
    </xf>
    <xf numFmtId="0" fontId="0" fillId="38" borderId="8" xfId="0" applyFont="1" applyFill="1" applyBorder="1" applyAlignment="1" applyProtection="1">
      <alignment horizontal="justify" vertical="center" wrapText="1"/>
    </xf>
    <xf numFmtId="0" fontId="0" fillId="38" borderId="154" xfId="0" applyFont="1" applyFill="1" applyBorder="1" applyAlignment="1" applyProtection="1">
      <alignment horizontal="center" vertical="center" wrapText="1"/>
    </xf>
    <xf numFmtId="0" fontId="0" fillId="38" borderId="94" xfId="0" applyFont="1" applyFill="1" applyBorder="1" applyAlignment="1" applyProtection="1">
      <alignment horizontal="justify" vertical="center" wrapText="1"/>
    </xf>
    <xf numFmtId="0" fontId="0" fillId="38" borderId="154" xfId="0" applyFont="1" applyFill="1" applyBorder="1" applyAlignment="1" applyProtection="1">
      <alignment horizontal="justify" vertical="center" wrapText="1"/>
    </xf>
    <xf numFmtId="0" fontId="0" fillId="38" borderId="94" xfId="0" applyFont="1" applyFill="1" applyBorder="1" applyAlignment="1" applyProtection="1">
      <alignment horizontal="center" vertical="center"/>
    </xf>
    <xf numFmtId="0" fontId="0" fillId="38" borderId="53" xfId="0" applyFont="1" applyFill="1" applyBorder="1" applyAlignment="1" applyProtection="1">
      <alignment horizontal="center" vertical="center" wrapText="1"/>
    </xf>
    <xf numFmtId="0" fontId="0" fillId="29" borderId="54" xfId="0" applyFont="1" applyFill="1" applyBorder="1" applyAlignment="1" applyProtection="1">
      <alignment horizontal="center" vertical="center" wrapText="1"/>
    </xf>
    <xf numFmtId="0" fontId="0" fillId="29" borderId="32" xfId="0" applyFont="1" applyFill="1" applyBorder="1" applyAlignment="1" applyProtection="1">
      <alignment horizontal="justify" vertical="center" wrapText="1"/>
    </xf>
    <xf numFmtId="0" fontId="0" fillId="29" borderId="154" xfId="0" applyFont="1" applyFill="1" applyBorder="1" applyAlignment="1" applyProtection="1">
      <alignment horizontal="center" vertical="center" wrapText="1"/>
    </xf>
    <xf numFmtId="0" fontId="0" fillId="29" borderId="184" xfId="0" applyFont="1" applyFill="1" applyBorder="1" applyAlignment="1" applyProtection="1">
      <alignment horizontal="justify" vertical="center" wrapText="1"/>
    </xf>
    <xf numFmtId="0" fontId="0" fillId="29" borderId="94" xfId="0" applyFont="1" applyFill="1" applyBorder="1" applyAlignment="1" applyProtection="1">
      <alignment horizontal="justify" vertical="center" wrapText="1"/>
    </xf>
    <xf numFmtId="0" fontId="0" fillId="29" borderId="154" xfId="0" applyFont="1" applyFill="1" applyBorder="1" applyAlignment="1" applyProtection="1">
      <alignment horizontal="justify" vertical="center" wrapText="1"/>
    </xf>
    <xf numFmtId="9" fontId="0" fillId="29" borderId="94" xfId="0" applyNumberFormat="1" applyFont="1" applyFill="1" applyBorder="1" applyAlignment="1" applyProtection="1">
      <alignment horizontal="center" vertical="center"/>
    </xf>
    <xf numFmtId="0" fontId="0" fillId="29" borderId="53" xfId="0" applyFont="1" applyFill="1" applyBorder="1" applyAlignment="1" applyProtection="1">
      <alignment horizontal="center" vertical="center" wrapText="1"/>
    </xf>
    <xf numFmtId="0" fontId="0" fillId="29" borderId="30" xfId="0" applyFont="1" applyFill="1" applyBorder="1" applyAlignment="1" applyProtection="1">
      <alignment horizontal="justify" vertical="center" wrapText="1"/>
    </xf>
    <xf numFmtId="0" fontId="0" fillId="29" borderId="31" xfId="0" applyFont="1" applyFill="1" applyBorder="1" applyAlignment="1" applyProtection="1">
      <alignment horizontal="justify" vertical="center" wrapText="1"/>
    </xf>
    <xf numFmtId="0" fontId="0" fillId="29" borderId="53" xfId="0" applyFont="1" applyFill="1" applyBorder="1" applyAlignment="1" applyProtection="1">
      <alignment horizontal="justify" vertical="center" wrapText="1"/>
    </xf>
    <xf numFmtId="0" fontId="0" fillId="29" borderId="31" xfId="0" applyFont="1" applyFill="1" applyBorder="1" applyAlignment="1" applyProtection="1">
      <alignment horizontal="center" vertical="center"/>
    </xf>
    <xf numFmtId="0" fontId="0" fillId="103" borderId="54" xfId="0" applyFont="1" applyFill="1" applyBorder="1" applyAlignment="1" applyProtection="1">
      <alignment horizontal="center" vertical="center" wrapText="1"/>
    </xf>
    <xf numFmtId="0" fontId="0" fillId="103" borderId="32" xfId="0" applyFont="1" applyFill="1" applyBorder="1" applyAlignment="1" applyProtection="1">
      <alignment horizontal="justify" vertical="center" wrapText="1"/>
    </xf>
    <xf numFmtId="0" fontId="0" fillId="103" borderId="154" xfId="0" applyFont="1" applyFill="1" applyBorder="1" applyAlignment="1" applyProtection="1">
      <alignment horizontal="center" vertical="center" wrapText="1"/>
    </xf>
    <xf numFmtId="0" fontId="0" fillId="103" borderId="184" xfId="0" applyFont="1" applyFill="1" applyBorder="1" applyAlignment="1" applyProtection="1">
      <alignment horizontal="justify" vertical="center" wrapText="1"/>
    </xf>
    <xf numFmtId="0" fontId="0" fillId="103" borderId="94" xfId="0" applyFont="1" applyFill="1" applyBorder="1" applyAlignment="1" applyProtection="1">
      <alignment horizontal="justify" vertical="center" wrapText="1"/>
    </xf>
    <xf numFmtId="0" fontId="0" fillId="103" borderId="154" xfId="0" applyFont="1" applyFill="1" applyBorder="1" applyAlignment="1" applyProtection="1">
      <alignment horizontal="justify" vertical="center" wrapText="1"/>
    </xf>
    <xf numFmtId="9" fontId="0" fillId="103" borderId="94" xfId="0" applyNumberFormat="1" applyFont="1" applyFill="1" applyBorder="1" applyAlignment="1" applyProtection="1">
      <alignment horizontal="center" vertical="center"/>
    </xf>
    <xf numFmtId="0" fontId="0" fillId="103" borderId="184" xfId="0" applyFont="1" applyFill="1" applyBorder="1" applyAlignment="1" applyProtection="1">
      <alignment horizontal="justify" vertical="center"/>
    </xf>
    <xf numFmtId="0" fontId="0" fillId="103" borderId="94" xfId="0" applyFont="1" applyFill="1" applyBorder="1" applyAlignment="1" applyProtection="1">
      <alignment horizontal="center" vertical="center"/>
    </xf>
    <xf numFmtId="0" fontId="0" fillId="103" borderId="182" xfId="0" applyFont="1" applyFill="1" applyBorder="1" applyAlignment="1" applyProtection="1">
      <alignment horizontal="center" vertical="center" wrapText="1"/>
    </xf>
    <xf numFmtId="0" fontId="0" fillId="103" borderId="180" xfId="0" applyFont="1" applyFill="1" applyBorder="1" applyAlignment="1" applyProtection="1">
      <alignment horizontal="justify" vertical="center" wrapText="1"/>
    </xf>
    <xf numFmtId="0" fontId="0" fillId="40" borderId="7" xfId="0" applyFont="1" applyFill="1" applyBorder="1" applyAlignment="1" applyProtection="1">
      <alignment horizontal="center" vertical="center" wrapText="1"/>
    </xf>
    <xf numFmtId="0" fontId="0" fillId="40" borderId="8" xfId="0" applyFont="1" applyFill="1" applyBorder="1" applyAlignment="1" applyProtection="1">
      <alignment horizontal="justify" vertical="center"/>
    </xf>
    <xf numFmtId="0" fontId="11" fillId="40" borderId="9" xfId="0" applyFont="1" applyFill="1" applyBorder="1" applyAlignment="1" applyProtection="1">
      <alignment horizontal="justify" vertical="center" wrapText="1"/>
    </xf>
    <xf numFmtId="0" fontId="11" fillId="40" borderId="19" xfId="0" applyFont="1" applyFill="1" applyBorder="1" applyAlignment="1" applyProtection="1">
      <alignment horizontal="justify" vertical="center" wrapText="1"/>
    </xf>
    <xf numFmtId="0" fontId="0" fillId="40" borderId="9" xfId="0" applyFont="1" applyFill="1" applyBorder="1" applyAlignment="1" applyProtection="1">
      <alignment horizontal="center" vertical="center" wrapText="1"/>
    </xf>
    <xf numFmtId="0" fontId="0" fillId="40" borderId="11" xfId="0" applyFont="1" applyFill="1" applyBorder="1" applyAlignment="1" applyProtection="1">
      <alignment horizontal="center" vertical="center" wrapText="1"/>
    </xf>
    <xf numFmtId="0" fontId="0" fillId="40" borderId="184" xfId="0" applyFont="1" applyFill="1" applyBorder="1" applyAlignment="1" applyProtection="1">
      <alignment horizontal="justify" vertical="center"/>
    </xf>
    <xf numFmtId="0" fontId="11" fillId="40" borderId="94" xfId="0" applyFont="1" applyFill="1" applyBorder="1" applyAlignment="1" applyProtection="1">
      <alignment horizontal="justify" vertical="center" wrapText="1"/>
    </xf>
    <xf numFmtId="0" fontId="10" fillId="40" borderId="154" xfId="0" applyFont="1" applyFill="1" applyBorder="1" applyAlignment="1" applyProtection="1">
      <alignment horizontal="justify" vertical="center" wrapText="1"/>
    </xf>
    <xf numFmtId="0" fontId="0" fillId="40" borderId="94" xfId="0" applyFont="1" applyFill="1" applyBorder="1" applyAlignment="1" applyProtection="1">
      <alignment horizontal="center" vertical="center"/>
    </xf>
    <xf numFmtId="0" fontId="11" fillId="40" borderId="154" xfId="0" applyFont="1" applyFill="1" applyBorder="1" applyAlignment="1" applyProtection="1">
      <alignment horizontal="justify" vertical="center" wrapText="1"/>
    </xf>
    <xf numFmtId="0" fontId="0" fillId="40" borderId="94" xfId="0" applyFont="1" applyFill="1" applyBorder="1" applyAlignment="1" applyProtection="1">
      <alignment horizontal="center" vertical="center" wrapText="1"/>
    </xf>
    <xf numFmtId="0" fontId="0" fillId="40" borderId="154" xfId="0" applyFont="1" applyFill="1" applyBorder="1" applyAlignment="1" applyProtection="1">
      <alignment horizontal="justify" vertical="center" wrapText="1"/>
    </xf>
    <xf numFmtId="0" fontId="10" fillId="40" borderId="94" xfId="0" applyFont="1" applyFill="1" applyBorder="1" applyAlignment="1" applyProtection="1">
      <alignment horizontal="justify" vertical="center" wrapText="1"/>
    </xf>
    <xf numFmtId="0" fontId="11" fillId="40" borderId="94" xfId="0" applyFont="1" applyFill="1" applyBorder="1" applyAlignment="1" applyProtection="1">
      <alignment horizontal="center" vertical="center" wrapText="1"/>
    </xf>
    <xf numFmtId="9" fontId="0" fillId="40" borderId="94" xfId="0" applyNumberFormat="1" applyFont="1" applyFill="1" applyBorder="1" applyAlignment="1" applyProtection="1">
      <alignment horizontal="center" vertical="center"/>
    </xf>
    <xf numFmtId="0" fontId="0" fillId="40" borderId="29" xfId="0" applyFont="1" applyFill="1" applyBorder="1" applyAlignment="1" applyProtection="1">
      <alignment horizontal="center" vertical="center" wrapText="1"/>
    </xf>
    <xf numFmtId="0" fontId="0" fillId="40" borderId="30" xfId="0" applyFont="1" applyFill="1" applyBorder="1" applyAlignment="1" applyProtection="1">
      <alignment horizontal="justify" vertical="center"/>
    </xf>
    <xf numFmtId="0" fontId="0" fillId="40" borderId="53" xfId="0" applyFont="1" applyFill="1" applyBorder="1" applyAlignment="1" applyProtection="1">
      <alignment horizontal="justify" vertical="center" wrapText="1"/>
    </xf>
    <xf numFmtId="0" fontId="0" fillId="40" borderId="31" xfId="0" applyFont="1" applyFill="1" applyBorder="1" applyAlignment="1" applyProtection="1">
      <alignment horizontal="center" vertical="center" wrapText="1"/>
    </xf>
    <xf numFmtId="0" fontId="0" fillId="44" borderId="51" xfId="0" applyFont="1" applyFill="1" applyBorder="1" applyAlignment="1" applyProtection="1">
      <alignment horizontal="center" vertical="center" wrapText="1"/>
    </xf>
    <xf numFmtId="0" fontId="0" fillId="44" borderId="32" xfId="0" applyFont="1" applyFill="1" applyBorder="1" applyAlignment="1" applyProtection="1">
      <alignment horizontal="justify" vertical="center"/>
    </xf>
    <xf numFmtId="0" fontId="10" fillId="44" borderId="52" xfId="0" applyFont="1" applyFill="1" applyBorder="1" applyAlignment="1" applyProtection="1">
      <alignment horizontal="justify" vertical="center" wrapText="1"/>
    </xf>
    <xf numFmtId="0" fontId="0" fillId="44" borderId="54" xfId="0" applyFont="1" applyFill="1" applyBorder="1" applyAlignment="1" applyProtection="1">
      <alignment horizontal="justify" vertical="center" wrapText="1"/>
    </xf>
    <xf numFmtId="9" fontId="0" fillId="44" borderId="52" xfId="0" applyNumberFormat="1" applyFont="1" applyFill="1" applyBorder="1" applyAlignment="1" applyProtection="1">
      <alignment horizontal="center" vertical="center" wrapText="1"/>
    </xf>
    <xf numFmtId="0" fontId="0" fillId="44" borderId="11" xfId="0" applyFont="1" applyFill="1" applyBorder="1" applyAlignment="1" applyProtection="1">
      <alignment horizontal="center" vertical="center" wrapText="1"/>
    </xf>
    <xf numFmtId="0" fontId="0" fillId="44" borderId="184" xfId="0" applyFont="1" applyFill="1" applyBorder="1" applyAlignment="1" applyProtection="1">
      <alignment horizontal="justify" vertical="center"/>
    </xf>
    <xf numFmtId="0" fontId="10" fillId="44" borderId="94" xfId="0" applyFont="1" applyFill="1" applyBorder="1" applyAlignment="1" applyProtection="1">
      <alignment horizontal="justify" vertical="center" wrapText="1"/>
    </xf>
    <xf numFmtId="0" fontId="0" fillId="44" borderId="154" xfId="0" applyFont="1" applyFill="1" applyBorder="1" applyAlignment="1" applyProtection="1">
      <alignment horizontal="justify" vertical="center" wrapText="1"/>
    </xf>
    <xf numFmtId="9" fontId="0" fillId="44" borderId="94" xfId="0" applyNumberFormat="1" applyFont="1" applyFill="1" applyBorder="1" applyAlignment="1" applyProtection="1">
      <alignment horizontal="center" vertical="center" wrapText="1"/>
    </xf>
    <xf numFmtId="0" fontId="11" fillId="44" borderId="94" xfId="0" applyFont="1" applyFill="1" applyBorder="1" applyAlignment="1" applyProtection="1">
      <alignment horizontal="justify" vertical="center" wrapText="1"/>
    </xf>
    <xf numFmtId="0" fontId="11" fillId="44" borderId="154" xfId="0" applyFont="1" applyFill="1" applyBorder="1" applyAlignment="1" applyProtection="1">
      <alignment horizontal="justify" vertical="center" wrapText="1"/>
    </xf>
    <xf numFmtId="0" fontId="0" fillId="44" borderId="154" xfId="0" applyFont="1" applyFill="1" applyBorder="1" applyAlignment="1" applyProtection="1">
      <alignment horizontal="justify" vertical="center"/>
    </xf>
    <xf numFmtId="9" fontId="0" fillId="44" borderId="94" xfId="0" applyNumberFormat="1" applyFont="1" applyFill="1" applyBorder="1" applyAlignment="1" applyProtection="1">
      <alignment horizontal="center" vertical="top" wrapText="1"/>
    </xf>
    <xf numFmtId="0" fontId="0" fillId="44" borderId="158" xfId="0" applyFont="1" applyFill="1" applyBorder="1" applyAlignment="1" applyProtection="1">
      <alignment horizontal="center" vertical="center" wrapText="1"/>
    </xf>
    <xf numFmtId="0" fontId="0" fillId="44" borderId="180" xfId="0" applyFont="1" applyFill="1" applyBorder="1" applyAlignment="1" applyProtection="1">
      <alignment horizontal="justify" vertical="center"/>
    </xf>
    <xf numFmtId="0" fontId="11" fillId="44" borderId="159" xfId="0" applyFont="1" applyFill="1" applyBorder="1" applyAlignment="1" applyProtection="1">
      <alignment horizontal="justify" vertical="center" wrapText="1"/>
    </xf>
    <xf numFmtId="0" fontId="11" fillId="44" borderId="182" xfId="0" applyFont="1" applyFill="1" applyBorder="1" applyAlignment="1" applyProtection="1">
      <alignment horizontal="justify" vertical="center" wrapText="1"/>
    </xf>
    <xf numFmtId="9" fontId="0" fillId="44" borderId="159" xfId="0" applyNumberFormat="1"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7" borderId="8" xfId="0" applyFont="1" applyFill="1" applyBorder="1" applyAlignment="1" applyProtection="1">
      <alignment horizontal="justify" vertical="center" wrapText="1"/>
    </xf>
    <xf numFmtId="0" fontId="11" fillId="7" borderId="9" xfId="0" applyFont="1" applyFill="1" applyBorder="1" applyAlignment="1" applyProtection="1">
      <alignment horizontal="justify" vertical="center" wrapText="1"/>
    </xf>
    <xf numFmtId="0" fontId="11" fillId="7" borderId="19" xfId="0" applyFont="1" applyFill="1" applyBorder="1" applyAlignment="1" applyProtection="1">
      <alignment horizontal="justify" vertical="center" wrapText="1"/>
    </xf>
    <xf numFmtId="9" fontId="0" fillId="7" borderId="9" xfId="0" applyNumberFormat="1" applyFont="1" applyFill="1" applyBorder="1" applyAlignment="1" applyProtection="1">
      <alignment horizontal="center" vertical="center" wrapText="1"/>
    </xf>
    <xf numFmtId="0" fontId="0" fillId="7" borderId="29" xfId="0" applyFont="1" applyFill="1" applyBorder="1" applyAlignment="1" applyProtection="1">
      <alignment horizontal="center" vertical="center" wrapText="1"/>
    </xf>
    <xf numFmtId="0" fontId="11" fillId="7" borderId="31" xfId="0" applyFont="1" applyFill="1" applyBorder="1" applyAlignment="1" applyProtection="1">
      <alignment horizontal="justify" vertical="center" wrapText="1"/>
    </xf>
    <xf numFmtId="0" fontId="11" fillId="7" borderId="53" xfId="0" applyFont="1" applyFill="1" applyBorder="1" applyAlignment="1" applyProtection="1">
      <alignment horizontal="justify" vertical="center" wrapText="1"/>
    </xf>
    <xf numFmtId="9" fontId="0" fillId="7" borderId="31" xfId="0" applyNumberFormat="1" applyFont="1" applyFill="1" applyBorder="1" applyAlignment="1" applyProtection="1">
      <alignment horizontal="center" vertical="center" wrapText="1"/>
    </xf>
    <xf numFmtId="0" fontId="0" fillId="51" borderId="51" xfId="0" applyFont="1" applyFill="1" applyBorder="1" applyAlignment="1" applyProtection="1">
      <alignment horizontal="center" vertical="center" wrapText="1"/>
    </xf>
    <xf numFmtId="0" fontId="0" fillId="51" borderId="32" xfId="0" applyFont="1" applyFill="1" applyBorder="1" applyAlignment="1" applyProtection="1">
      <alignment horizontal="justify" vertical="center" wrapText="1"/>
    </xf>
    <xf numFmtId="0" fontId="11" fillId="51" borderId="52" xfId="0" applyFont="1" applyFill="1" applyBorder="1" applyAlignment="1" applyProtection="1">
      <alignment horizontal="justify" vertical="center" wrapText="1"/>
    </xf>
    <xf numFmtId="0" fontId="11" fillId="51" borderId="54" xfId="0" applyFont="1" applyFill="1" applyBorder="1" applyAlignment="1" applyProtection="1">
      <alignment horizontal="justify" vertical="center" wrapText="1"/>
    </xf>
    <xf numFmtId="9" fontId="0" fillId="51" borderId="52" xfId="0" applyNumberFormat="1" applyFont="1" applyFill="1" applyBorder="1" applyAlignment="1" applyProtection="1">
      <alignment horizontal="center" vertical="center" wrapText="1"/>
    </xf>
    <xf numFmtId="0" fontId="0" fillId="51" borderId="11" xfId="0" applyFont="1" applyFill="1" applyBorder="1" applyAlignment="1" applyProtection="1">
      <alignment horizontal="center" vertical="center" wrapText="1"/>
    </xf>
    <xf numFmtId="0" fontId="11" fillId="51" borderId="94" xfId="0" applyFont="1" applyFill="1" applyBorder="1" applyAlignment="1" applyProtection="1">
      <alignment horizontal="justify" vertical="center" wrapText="1"/>
    </xf>
    <xf numFmtId="0" fontId="10" fillId="51" borderId="154" xfId="0" applyFont="1" applyFill="1" applyBorder="1" applyAlignment="1" applyProtection="1">
      <alignment horizontal="justify" vertical="center" wrapText="1"/>
    </xf>
    <xf numFmtId="9" fontId="0" fillId="51" borderId="94" xfId="0" applyNumberFormat="1" applyFont="1" applyFill="1" applyBorder="1" applyAlignment="1" applyProtection="1">
      <alignment horizontal="center" vertical="center" wrapText="1"/>
    </xf>
    <xf numFmtId="0" fontId="11" fillId="51" borderId="154" xfId="0" applyFont="1" applyFill="1" applyBorder="1" applyAlignment="1" applyProtection="1">
      <alignment horizontal="justify" vertical="center" wrapText="1"/>
    </xf>
    <xf numFmtId="0" fontId="0" fillId="51" borderId="94" xfId="0" applyFont="1" applyFill="1" applyBorder="1" applyAlignment="1" applyProtection="1">
      <alignment horizontal="center" wrapText="1"/>
    </xf>
    <xf numFmtId="0" fontId="0" fillId="51" borderId="29" xfId="0" applyFont="1" applyFill="1" applyBorder="1" applyAlignment="1" applyProtection="1">
      <alignment horizontal="center" vertical="center" wrapText="1"/>
    </xf>
    <xf numFmtId="0" fontId="11" fillId="51" borderId="53" xfId="0" applyFont="1" applyFill="1" applyBorder="1" applyAlignment="1" applyProtection="1">
      <alignment horizontal="justify" vertical="center" wrapText="1"/>
    </xf>
    <xf numFmtId="9" fontId="0" fillId="51" borderId="31" xfId="0" applyNumberFormat="1" applyFont="1" applyFill="1" applyBorder="1" applyAlignment="1" applyProtection="1">
      <alignment horizontal="center" vertical="center" wrapText="1"/>
    </xf>
    <xf numFmtId="0" fontId="0" fillId="69" borderId="55" xfId="0" applyFont="1" applyFill="1" applyBorder="1" applyAlignment="1" applyProtection="1">
      <alignment horizontal="center" vertical="center" wrapText="1"/>
    </xf>
    <xf numFmtId="0" fontId="0" fillId="69" borderId="56" xfId="0" applyFont="1" applyFill="1" applyBorder="1" applyAlignment="1" applyProtection="1">
      <alignment horizontal="justify" vertical="center" wrapText="1"/>
    </xf>
    <xf numFmtId="0" fontId="11" fillId="69" borderId="57" xfId="0" applyFont="1" applyFill="1" applyBorder="1" applyAlignment="1" applyProtection="1">
      <alignment horizontal="justify" vertical="center" wrapText="1"/>
    </xf>
    <xf numFmtId="0" fontId="11" fillId="69" borderId="178" xfId="0" applyFont="1" applyFill="1" applyBorder="1" applyAlignment="1" applyProtection="1">
      <alignment horizontal="justify" vertical="center" wrapText="1"/>
    </xf>
    <xf numFmtId="9" fontId="0" fillId="69" borderId="57" xfId="0" applyNumberFormat="1" applyFont="1" applyFill="1" applyBorder="1" applyAlignment="1" applyProtection="1">
      <alignment horizontal="center" vertical="center" wrapText="1"/>
    </xf>
    <xf numFmtId="4" fontId="0" fillId="40" borderId="51" xfId="0" applyNumberFormat="1" applyFont="1" applyFill="1" applyBorder="1" applyAlignment="1" applyProtection="1">
      <alignment horizontal="center" vertical="center"/>
    </xf>
    <xf numFmtId="0" fontId="10" fillId="40" borderId="32" xfId="0" applyFont="1" applyFill="1" applyBorder="1" applyAlignment="1" applyProtection="1">
      <alignment horizontal="justify" vertical="center" wrapText="1"/>
    </xf>
    <xf numFmtId="0" fontId="10" fillId="40" borderId="52" xfId="0" applyFont="1" applyFill="1" applyBorder="1" applyAlignment="1" applyProtection="1">
      <alignment horizontal="justify" vertical="center" wrapText="1"/>
    </xf>
    <xf numFmtId="0" fontId="0" fillId="40" borderId="52" xfId="0" applyFont="1" applyFill="1" applyBorder="1" applyAlignment="1" applyProtection="1">
      <alignment horizontal="justify" vertical="center" wrapText="1"/>
    </xf>
    <xf numFmtId="0" fontId="0" fillId="40" borderId="54" xfId="0" applyFont="1" applyFill="1" applyBorder="1" applyAlignment="1" applyProtection="1">
      <alignment horizontal="justify" vertical="center" wrapText="1"/>
    </xf>
    <xf numFmtId="4" fontId="0" fillId="40" borderId="52" xfId="0" applyNumberFormat="1" applyFont="1" applyFill="1" applyBorder="1" applyAlignment="1" applyProtection="1">
      <alignment horizontal="center" vertical="center"/>
    </xf>
    <xf numFmtId="4" fontId="0" fillId="40" borderId="11" xfId="0" applyNumberFormat="1" applyFont="1" applyFill="1" applyBorder="1" applyAlignment="1" applyProtection="1">
      <alignment horizontal="center" vertical="center"/>
    </xf>
    <xf numFmtId="0" fontId="10" fillId="40" borderId="184" xfId="0" applyFont="1" applyFill="1" applyBorder="1" applyAlignment="1" applyProtection="1">
      <alignment horizontal="justify" vertical="center" wrapText="1"/>
    </xf>
    <xf numFmtId="0" fontId="0" fillId="40" borderId="94" xfId="0" applyFont="1" applyFill="1" applyBorder="1" applyAlignment="1" applyProtection="1">
      <alignment horizontal="justify" vertical="center" wrapText="1"/>
    </xf>
    <xf numFmtId="0" fontId="10" fillId="40" borderId="94" xfId="0" applyFont="1" applyFill="1" applyBorder="1" applyAlignment="1" applyProtection="1">
      <alignment horizontal="center" vertical="center" wrapText="1"/>
    </xf>
    <xf numFmtId="0" fontId="10" fillId="40" borderId="94" xfId="0" applyFont="1" applyFill="1" applyBorder="1" applyAlignment="1" applyProtection="1">
      <alignment horizontal="justify" vertical="center"/>
    </xf>
    <xf numFmtId="4" fontId="11" fillId="40" borderId="94" xfId="0" applyNumberFormat="1" applyFont="1" applyFill="1" applyBorder="1" applyAlignment="1" applyProtection="1">
      <alignment horizontal="center" vertical="center"/>
    </xf>
    <xf numFmtId="0" fontId="7" fillId="40" borderId="94" xfId="0" applyFont="1" applyFill="1" applyBorder="1" applyAlignment="1" applyProtection="1">
      <alignment horizontal="justify" vertical="center" wrapText="1"/>
    </xf>
    <xf numFmtId="0" fontId="7" fillId="40" borderId="154" xfId="0" applyFont="1" applyFill="1" applyBorder="1" applyAlignment="1" applyProtection="1">
      <alignment horizontal="justify" vertical="center" wrapText="1"/>
    </xf>
    <xf numFmtId="4" fontId="0" fillId="40" borderId="94" xfId="0" applyNumberFormat="1" applyFont="1" applyFill="1" applyBorder="1" applyAlignment="1" applyProtection="1">
      <alignment horizontal="center" vertical="center"/>
    </xf>
    <xf numFmtId="4" fontId="0" fillId="40" borderId="29" xfId="0" applyNumberFormat="1" applyFont="1" applyFill="1" applyBorder="1" applyAlignment="1" applyProtection="1">
      <alignment horizontal="center" vertical="center"/>
    </xf>
    <xf numFmtId="0" fontId="10" fillId="40" borderId="30" xfId="0" applyFont="1" applyFill="1" applyBorder="1" applyAlignment="1" applyProtection="1">
      <alignment horizontal="justify" vertical="center" wrapText="1"/>
    </xf>
    <xf numFmtId="0" fontId="7" fillId="40" borderId="31" xfId="0" applyFont="1" applyFill="1" applyBorder="1" applyAlignment="1" applyProtection="1">
      <alignment horizontal="justify" vertical="center" wrapText="1"/>
    </xf>
    <xf numFmtId="0" fontId="7" fillId="40" borderId="53" xfId="0" applyFont="1" applyFill="1" applyBorder="1" applyAlignment="1" applyProtection="1">
      <alignment horizontal="justify" vertical="center" wrapText="1"/>
    </xf>
    <xf numFmtId="4" fontId="0" fillId="40" borderId="31" xfId="0" applyNumberFormat="1" applyFont="1" applyFill="1" applyBorder="1" applyAlignment="1" applyProtection="1">
      <alignment horizontal="center" vertical="center"/>
    </xf>
    <xf numFmtId="9" fontId="0" fillId="44" borderId="51" xfId="0" applyNumberFormat="1" applyFont="1" applyFill="1" applyBorder="1" applyAlignment="1" applyProtection="1">
      <alignment horizontal="center" vertical="center"/>
    </xf>
    <xf numFmtId="0" fontId="10" fillId="44" borderId="32" xfId="0" applyFont="1" applyFill="1" applyBorder="1" applyAlignment="1" applyProtection="1">
      <alignment horizontal="justify" vertical="center" wrapText="1"/>
    </xf>
    <xf numFmtId="0" fontId="0" fillId="44" borderId="52" xfId="0" applyFont="1" applyFill="1" applyBorder="1" applyAlignment="1" applyProtection="1">
      <alignment horizontal="justify" vertical="center" wrapText="1"/>
    </xf>
    <xf numFmtId="9" fontId="0" fillId="44" borderId="11" xfId="0" applyNumberFormat="1" applyFont="1" applyFill="1" applyBorder="1" applyAlignment="1" applyProtection="1">
      <alignment horizontal="center" vertical="center"/>
    </xf>
    <xf numFmtId="0" fontId="10" fillId="44" borderId="184" xfId="0" applyFont="1" applyFill="1" applyBorder="1" applyAlignment="1" applyProtection="1">
      <alignment horizontal="justify" vertical="center" wrapText="1"/>
    </xf>
    <xf numFmtId="0" fontId="0" fillId="44" borderId="94" xfId="0" applyFont="1" applyFill="1" applyBorder="1" applyAlignment="1" applyProtection="1">
      <alignment horizontal="justify" vertical="center" wrapText="1"/>
    </xf>
    <xf numFmtId="4" fontId="0" fillId="44" borderId="11" xfId="0" applyNumberFormat="1" applyFont="1" applyFill="1" applyBorder="1" applyAlignment="1" applyProtection="1">
      <alignment horizontal="center" vertical="center"/>
    </xf>
    <xf numFmtId="4" fontId="0" fillId="44" borderId="94" xfId="0" applyNumberFormat="1" applyFont="1" applyFill="1" applyBorder="1" applyAlignment="1" applyProtection="1">
      <alignment horizontal="center" vertical="center"/>
    </xf>
    <xf numFmtId="0" fontId="0" fillId="44" borderId="184" xfId="0" applyFont="1" applyFill="1" applyBorder="1" applyAlignment="1" applyProtection="1">
      <alignment horizontal="justify" vertical="center" wrapText="1"/>
    </xf>
    <xf numFmtId="0" fontId="0" fillId="44" borderId="94" xfId="0" applyFont="1" applyFill="1" applyBorder="1" applyAlignment="1" applyProtection="1">
      <alignment horizontal="center" vertical="center" wrapText="1"/>
    </xf>
    <xf numFmtId="0" fontId="0" fillId="44" borderId="29" xfId="0" applyFont="1" applyFill="1" applyBorder="1" applyAlignment="1" applyProtection="1">
      <alignment horizontal="center" vertical="center" wrapText="1"/>
    </xf>
    <xf numFmtId="0" fontId="0" fillId="44" borderId="30" xfId="0" applyFont="1" applyFill="1" applyBorder="1" applyAlignment="1" applyProtection="1">
      <alignment horizontal="justify" vertical="center" wrapText="1"/>
    </xf>
    <xf numFmtId="0" fontId="0" fillId="44" borderId="31" xfId="0" applyFont="1" applyFill="1" applyBorder="1" applyAlignment="1" applyProtection="1">
      <alignment horizontal="justify" vertical="center" wrapText="1"/>
    </xf>
    <xf numFmtId="0" fontId="0" fillId="38" borderId="51" xfId="0" applyFont="1" applyFill="1" applyBorder="1" applyAlignment="1" applyProtection="1">
      <alignment horizontal="center" vertical="center" wrapText="1"/>
    </xf>
    <xf numFmtId="0" fontId="0" fillId="38" borderId="32" xfId="0" applyFont="1" applyFill="1" applyBorder="1" applyAlignment="1" applyProtection="1">
      <alignment horizontal="justify" vertical="center" wrapText="1"/>
    </xf>
    <xf numFmtId="0" fontId="0" fillId="38" borderId="52" xfId="0" applyFont="1" applyFill="1" applyBorder="1" applyAlignment="1" applyProtection="1">
      <alignment horizontal="justify" vertical="center" wrapText="1"/>
    </xf>
    <xf numFmtId="0" fontId="0" fillId="38" borderId="11" xfId="0" applyFont="1" applyFill="1" applyBorder="1" applyAlignment="1" applyProtection="1">
      <alignment horizontal="center" vertical="center" wrapText="1"/>
    </xf>
    <xf numFmtId="0" fontId="0" fillId="38" borderId="94" xfId="0" applyFont="1" applyFill="1" applyBorder="1" applyAlignment="1" applyProtection="1">
      <alignment horizontal="center" vertical="center" wrapText="1"/>
    </xf>
    <xf numFmtId="9" fontId="0" fillId="38" borderId="11" xfId="0" applyNumberFormat="1" applyFont="1" applyFill="1" applyBorder="1" applyAlignment="1" applyProtection="1">
      <alignment horizontal="center" vertical="center"/>
    </xf>
    <xf numFmtId="0" fontId="0" fillId="38" borderId="29" xfId="0" applyFont="1" applyFill="1" applyBorder="1" applyAlignment="1" applyProtection="1">
      <alignment horizontal="center" vertical="center" wrapText="1"/>
    </xf>
    <xf numFmtId="0" fontId="0" fillId="38" borderId="31" xfId="0" applyFont="1" applyFill="1" applyBorder="1" applyAlignment="1" applyProtection="1">
      <alignment horizontal="justify" vertical="center" wrapText="1"/>
    </xf>
    <xf numFmtId="0" fontId="0" fillId="38" borderId="31" xfId="0" applyFont="1" applyFill="1" applyBorder="1" applyAlignment="1" applyProtection="1">
      <alignment horizontal="center" vertical="center" wrapText="1"/>
    </xf>
    <xf numFmtId="9" fontId="0" fillId="7" borderId="51" xfId="0" applyNumberFormat="1" applyFont="1" applyFill="1" applyBorder="1" applyAlignment="1" applyProtection="1">
      <alignment horizontal="center" vertical="center" wrapText="1"/>
    </xf>
    <xf numFmtId="0" fontId="0" fillId="7" borderId="32" xfId="0" applyFont="1" applyFill="1" applyBorder="1" applyAlignment="1" applyProtection="1">
      <alignment horizontal="justify" vertical="center" wrapText="1"/>
    </xf>
    <xf numFmtId="0" fontId="0" fillId="7" borderId="52" xfId="0" applyFont="1" applyFill="1" applyBorder="1" applyAlignment="1" applyProtection="1">
      <alignment horizontal="justify" vertical="center" wrapText="1"/>
    </xf>
    <xf numFmtId="0" fontId="0" fillId="7" borderId="54" xfId="0" applyFont="1" applyFill="1" applyBorder="1" applyAlignment="1" applyProtection="1">
      <alignment horizontal="justify" vertical="center" wrapText="1"/>
    </xf>
    <xf numFmtId="9" fontId="0" fillId="7" borderId="52" xfId="5" applyFont="1" applyFill="1" applyBorder="1" applyAlignment="1" applyProtection="1">
      <alignment horizontal="center" vertical="center" wrapText="1"/>
    </xf>
    <xf numFmtId="9" fontId="0" fillId="7" borderId="11" xfId="0" applyNumberFormat="1" applyFont="1" applyFill="1" applyBorder="1" applyAlignment="1" applyProtection="1">
      <alignment horizontal="center" vertical="center" wrapText="1"/>
    </xf>
    <xf numFmtId="0" fontId="0" fillId="7" borderId="94" xfId="0" applyFont="1" applyFill="1" applyBorder="1" applyAlignment="1" applyProtection="1">
      <alignment horizontal="justify" vertical="center" wrapText="1"/>
    </xf>
    <xf numFmtId="9" fontId="0" fillId="7" borderId="94" xfId="0" applyNumberFormat="1" applyFont="1" applyFill="1" applyBorder="1" applyAlignment="1" applyProtection="1">
      <alignment horizontal="center" vertical="center" wrapText="1"/>
    </xf>
    <xf numFmtId="4" fontId="0" fillId="7" borderId="11" xfId="0" applyNumberFormat="1" applyFont="1" applyFill="1" applyBorder="1" applyAlignment="1" applyProtection="1">
      <alignment horizontal="center" vertical="center"/>
    </xf>
    <xf numFmtId="0" fontId="10" fillId="7" borderId="184" xfId="0" applyFont="1" applyFill="1" applyBorder="1" applyAlignment="1" applyProtection="1">
      <alignment horizontal="justify" vertical="center" wrapText="1"/>
    </xf>
    <xf numFmtId="4" fontId="0" fillId="7" borderId="11" xfId="5" applyNumberFormat="1" applyFont="1" applyFill="1" applyBorder="1" applyAlignment="1" applyProtection="1">
      <alignment horizontal="center" vertical="center"/>
    </xf>
    <xf numFmtId="198" fontId="0" fillId="7" borderId="29" xfId="13" applyNumberFormat="1" applyFont="1" applyFill="1" applyBorder="1" applyAlignment="1" applyProtection="1">
      <alignment horizontal="center" vertical="center"/>
    </xf>
    <xf numFmtId="0" fontId="0" fillId="7" borderId="31" xfId="0" applyFont="1" applyFill="1" applyBorder="1" applyAlignment="1" applyProtection="1">
      <alignment horizontal="justify" vertical="center" wrapText="1"/>
    </xf>
    <xf numFmtId="0" fontId="0" fillId="7" borderId="53" xfId="0" applyFont="1" applyFill="1" applyBorder="1" applyAlignment="1" applyProtection="1">
      <alignment horizontal="justify" vertical="center"/>
    </xf>
    <xf numFmtId="198" fontId="0" fillId="7" borderId="31" xfId="13" applyNumberFormat="1" applyFont="1" applyFill="1" applyBorder="1" applyAlignment="1" applyProtection="1">
      <alignment horizontal="center" vertical="center"/>
    </xf>
    <xf numFmtId="9" fontId="0" fillId="41" borderId="51" xfId="0" applyNumberFormat="1" applyFont="1" applyFill="1" applyBorder="1" applyAlignment="1" applyProtection="1">
      <alignment horizontal="center" vertical="center"/>
    </xf>
    <xf numFmtId="0" fontId="10" fillId="41" borderId="32" xfId="0" applyFont="1" applyFill="1" applyBorder="1" applyAlignment="1" applyProtection="1">
      <alignment horizontal="justify" vertical="center" wrapText="1"/>
    </xf>
    <xf numFmtId="0" fontId="0" fillId="41" borderId="52" xfId="0" applyFont="1" applyFill="1" applyBorder="1" applyAlignment="1" applyProtection="1">
      <alignment horizontal="justify" vertical="center" wrapText="1"/>
    </xf>
    <xf numFmtId="9" fontId="0" fillId="41" borderId="11" xfId="0" applyNumberFormat="1" applyFont="1" applyFill="1" applyBorder="1" applyAlignment="1" applyProtection="1">
      <alignment horizontal="center" vertical="center"/>
    </xf>
    <xf numFmtId="0" fontId="10" fillId="41" borderId="184" xfId="0" applyFont="1" applyFill="1" applyBorder="1" applyAlignment="1" applyProtection="1">
      <alignment horizontal="justify" vertical="center" wrapText="1"/>
    </xf>
    <xf numFmtId="0" fontId="0" fillId="41" borderId="94" xfId="0" applyFont="1" applyFill="1" applyBorder="1" applyAlignment="1" applyProtection="1">
      <alignment horizontal="justify" vertical="center" wrapText="1"/>
    </xf>
    <xf numFmtId="0" fontId="0" fillId="41" borderId="11" xfId="0" applyFont="1" applyFill="1" applyBorder="1" applyAlignment="1" applyProtection="1">
      <alignment horizontal="center" vertical="center" wrapText="1"/>
    </xf>
    <xf numFmtId="0" fontId="0" fillId="41" borderId="184" xfId="0" applyFont="1" applyFill="1" applyBorder="1" applyAlignment="1" applyProtection="1">
      <alignment horizontal="justify" vertical="center" wrapText="1"/>
    </xf>
    <xf numFmtId="0" fontId="0" fillId="41" borderId="154" xfId="0" applyFont="1" applyFill="1" applyBorder="1" applyAlignment="1" applyProtection="1">
      <alignment horizontal="justify" vertical="center" wrapText="1"/>
    </xf>
    <xf numFmtId="0" fontId="0" fillId="41" borderId="94" xfId="0" applyFont="1" applyFill="1" applyBorder="1" applyAlignment="1" applyProtection="1">
      <alignment horizontal="center" vertical="center" wrapText="1"/>
    </xf>
    <xf numFmtId="0" fontId="0" fillId="41" borderId="158" xfId="0" applyFont="1" applyFill="1" applyBorder="1" applyAlignment="1" applyProtection="1">
      <alignment horizontal="center" vertical="center" wrapText="1"/>
    </xf>
    <xf numFmtId="0" fontId="10" fillId="41" borderId="180" xfId="0" applyFont="1" applyFill="1" applyBorder="1" applyAlignment="1" applyProtection="1">
      <alignment horizontal="justify" vertical="center" wrapText="1"/>
    </xf>
    <xf numFmtId="0" fontId="0" fillId="41" borderId="159" xfId="0" applyFont="1" applyFill="1" applyBorder="1" applyAlignment="1" applyProtection="1">
      <alignment horizontal="justify" vertical="center" wrapText="1"/>
    </xf>
    <xf numFmtId="0" fontId="0" fillId="43" borderId="7" xfId="0" applyFont="1" applyFill="1" applyBorder="1" applyAlignment="1" applyProtection="1">
      <alignment horizontal="center" vertical="center" wrapText="1"/>
    </xf>
    <xf numFmtId="0" fontId="0" fillId="43" borderId="8" xfId="0" applyFont="1" applyFill="1" applyBorder="1" applyAlignment="1" applyProtection="1">
      <alignment horizontal="justify" vertical="center"/>
    </xf>
    <xf numFmtId="0" fontId="0" fillId="43" borderId="9" xfId="0" applyFont="1" applyFill="1" applyBorder="1" applyAlignment="1" applyProtection="1">
      <alignment horizontal="justify" vertical="center" wrapText="1"/>
    </xf>
    <xf numFmtId="0" fontId="0" fillId="43" borderId="19" xfId="0" applyFont="1" applyFill="1" applyBorder="1" applyAlignment="1" applyProtection="1">
      <alignment horizontal="justify" vertical="center"/>
    </xf>
    <xf numFmtId="0" fontId="0" fillId="43" borderId="9" xfId="0" applyFont="1" applyFill="1" applyBorder="1" applyAlignment="1" applyProtection="1">
      <alignment horizontal="center" vertical="top" wrapText="1"/>
    </xf>
    <xf numFmtId="0" fontId="0" fillId="43" borderId="11" xfId="0" applyFont="1" applyFill="1" applyBorder="1" applyAlignment="1" applyProtection="1">
      <alignment horizontal="center" vertical="center" wrapText="1"/>
    </xf>
    <xf numFmtId="0" fontId="0" fillId="43" borderId="184" xfId="0" applyFont="1" applyFill="1" applyBorder="1" applyAlignment="1" applyProtection="1">
      <alignment horizontal="justify" vertical="center"/>
    </xf>
    <xf numFmtId="0" fontId="0" fillId="43" borderId="94" xfId="0" applyFont="1" applyFill="1" applyBorder="1" applyAlignment="1" applyProtection="1">
      <alignment horizontal="justify" vertical="center" wrapText="1"/>
    </xf>
    <xf numFmtId="0" fontId="0" fillId="43" borderId="154" xfId="0" applyFont="1" applyFill="1" applyBorder="1" applyAlignment="1" applyProtection="1">
      <alignment horizontal="justify" vertical="center"/>
    </xf>
    <xf numFmtId="0" fontId="0" fillId="43" borderId="94" xfId="0" applyFont="1" applyFill="1" applyBorder="1" applyAlignment="1" applyProtection="1">
      <alignment horizontal="center" vertical="top" wrapText="1"/>
    </xf>
    <xf numFmtId="0" fontId="0" fillId="43" borderId="29" xfId="0" applyFont="1" applyFill="1" applyBorder="1" applyAlignment="1" applyProtection="1">
      <alignment horizontal="center" vertical="center" wrapText="1"/>
    </xf>
    <xf numFmtId="0" fontId="0" fillId="43" borderId="30" xfId="0" applyFont="1" applyFill="1" applyBorder="1" applyAlignment="1" applyProtection="1">
      <alignment horizontal="justify" vertical="center"/>
    </xf>
    <xf numFmtId="0" fontId="0" fillId="43" borderId="31" xfId="0" applyFont="1" applyFill="1" applyBorder="1" applyAlignment="1" applyProtection="1">
      <alignment horizontal="justify" vertical="center" wrapText="1"/>
    </xf>
    <xf numFmtId="0" fontId="0" fillId="43" borderId="53" xfId="0" applyFont="1" applyFill="1" applyBorder="1" applyAlignment="1" applyProtection="1">
      <alignment horizontal="justify" vertical="center"/>
    </xf>
    <xf numFmtId="0" fontId="0" fillId="43" borderId="31" xfId="0" applyFont="1" applyFill="1" applyBorder="1" applyAlignment="1" applyProtection="1">
      <alignment horizontal="center" vertical="top" wrapText="1"/>
    </xf>
    <xf numFmtId="0" fontId="0" fillId="51" borderId="45" xfId="0" applyFont="1" applyFill="1" applyBorder="1" applyAlignment="1" applyProtection="1">
      <alignment horizontal="center" vertical="center" wrapText="1"/>
    </xf>
    <xf numFmtId="9" fontId="0" fillId="51" borderId="8" xfId="5" applyFont="1" applyFill="1" applyBorder="1" applyAlignment="1" applyProtection="1">
      <alignment horizontal="justify" vertical="center" wrapText="1"/>
    </xf>
    <xf numFmtId="0" fontId="0" fillId="51" borderId="9" xfId="0" applyFont="1" applyFill="1" applyBorder="1" applyAlignment="1" applyProtection="1">
      <alignment horizontal="justify" vertical="center" wrapText="1"/>
    </xf>
    <xf numFmtId="9" fontId="0" fillId="51" borderId="19" xfId="5" applyFont="1" applyFill="1" applyBorder="1" applyAlignment="1" applyProtection="1">
      <alignment horizontal="justify" vertical="center" wrapText="1"/>
    </xf>
    <xf numFmtId="0" fontId="0" fillId="51" borderId="9" xfId="0" applyFont="1" applyFill="1" applyBorder="1" applyAlignment="1" applyProtection="1">
      <alignment horizontal="center" vertical="top" wrapText="1"/>
    </xf>
    <xf numFmtId="0" fontId="0" fillId="51" borderId="46" xfId="0" applyFont="1" applyFill="1" applyBorder="1" applyAlignment="1" applyProtection="1">
      <alignment horizontal="center" vertical="center" wrapText="1"/>
    </xf>
    <xf numFmtId="9" fontId="0" fillId="51" borderId="184" xfId="5" applyFont="1" applyFill="1" applyBorder="1" applyAlignment="1" applyProtection="1">
      <alignment horizontal="justify" vertical="center" wrapText="1"/>
    </xf>
    <xf numFmtId="0" fontId="0" fillId="51" borderId="94" xfId="0" applyFont="1" applyFill="1" applyBorder="1" applyAlignment="1" applyProtection="1">
      <alignment horizontal="justify" vertical="center" wrapText="1"/>
    </xf>
    <xf numFmtId="9" fontId="0" fillId="51" borderId="154" xfId="5" applyFont="1" applyFill="1" applyBorder="1" applyAlignment="1" applyProtection="1">
      <alignment horizontal="justify" vertical="center" wrapText="1"/>
    </xf>
    <xf numFmtId="0" fontId="0" fillId="51" borderId="94" xfId="0" applyFont="1" applyFill="1" applyBorder="1" applyAlignment="1" applyProtection="1">
      <alignment horizontal="center" vertical="top" wrapText="1"/>
    </xf>
    <xf numFmtId="0" fontId="0" fillId="51" borderId="177" xfId="0" applyFont="1" applyFill="1" applyBorder="1" applyAlignment="1" applyProtection="1">
      <alignment horizontal="center" vertical="center" wrapText="1"/>
    </xf>
    <xf numFmtId="9" fontId="0" fillId="51" borderId="30" xfId="5" applyFont="1" applyFill="1" applyBorder="1" applyAlignment="1" applyProtection="1">
      <alignment horizontal="justify" vertical="center" wrapText="1"/>
    </xf>
    <xf numFmtId="0" fontId="0" fillId="51" borderId="31" xfId="0" applyFont="1" applyFill="1" applyBorder="1" applyAlignment="1" applyProtection="1">
      <alignment horizontal="justify" vertical="center" wrapText="1"/>
    </xf>
    <xf numFmtId="9" fontId="0" fillId="51" borderId="53" xfId="5" applyFont="1" applyFill="1" applyBorder="1" applyAlignment="1" applyProtection="1">
      <alignment horizontal="justify" vertical="center" wrapText="1"/>
    </xf>
    <xf numFmtId="0" fontId="0" fillId="51" borderId="31" xfId="0" applyFont="1" applyFill="1" applyBorder="1" applyAlignment="1" applyProtection="1">
      <alignment horizontal="center" vertical="top" wrapText="1"/>
    </xf>
    <xf numFmtId="0" fontId="0" fillId="29" borderId="60" xfId="0" applyFont="1" applyFill="1" applyBorder="1" applyAlignment="1" applyProtection="1">
      <alignment horizontal="center" vertical="center" wrapText="1"/>
    </xf>
    <xf numFmtId="9" fontId="0" fillId="29" borderId="32" xfId="5" applyFont="1" applyFill="1" applyBorder="1" applyAlignment="1" applyProtection="1">
      <alignment horizontal="justify" vertical="center" wrapText="1"/>
    </xf>
    <xf numFmtId="9" fontId="0" fillId="29" borderId="54" xfId="5" applyFont="1" applyFill="1" applyBorder="1" applyAlignment="1" applyProtection="1">
      <alignment horizontal="justify" vertical="center" wrapText="1"/>
    </xf>
    <xf numFmtId="0" fontId="0" fillId="29" borderId="52" xfId="0" applyFont="1" applyFill="1" applyBorder="1" applyAlignment="1" applyProtection="1">
      <alignment horizontal="center" vertical="top" wrapText="1"/>
    </xf>
    <xf numFmtId="0" fontId="0" fillId="29" borderId="46" xfId="0" applyFont="1" applyFill="1" applyBorder="1" applyAlignment="1" applyProtection="1">
      <alignment horizontal="center" vertical="center" wrapText="1"/>
    </xf>
    <xf numFmtId="9" fontId="0" fillId="29" borderId="184" xfId="5" applyFont="1" applyFill="1" applyBorder="1" applyAlignment="1" applyProtection="1">
      <alignment horizontal="justify" vertical="center" wrapText="1"/>
    </xf>
    <xf numFmtId="9" fontId="0" fillId="29" borderId="154" xfId="5" applyFont="1" applyFill="1" applyBorder="1" applyAlignment="1" applyProtection="1">
      <alignment horizontal="justify" vertical="center" wrapText="1"/>
    </xf>
    <xf numFmtId="0" fontId="0" fillId="29" borderId="94" xfId="0" applyFont="1" applyFill="1" applyBorder="1" applyAlignment="1" applyProtection="1">
      <alignment horizontal="center" vertical="top" wrapText="1"/>
    </xf>
    <xf numFmtId="0" fontId="0" fillId="29" borderId="94" xfId="0" applyFont="1" applyFill="1" applyBorder="1" applyAlignment="1" applyProtection="1">
      <alignment horizontal="center" wrapText="1"/>
    </xf>
    <xf numFmtId="0" fontId="0" fillId="29" borderId="177" xfId="0" applyFont="1" applyFill="1" applyBorder="1" applyAlignment="1" applyProtection="1">
      <alignment horizontal="center" vertical="center" wrapText="1"/>
    </xf>
    <xf numFmtId="9" fontId="0" fillId="29" borderId="30" xfId="5" applyFont="1" applyFill="1" applyBorder="1" applyAlignment="1" applyProtection="1">
      <alignment horizontal="justify" vertical="center" wrapText="1"/>
    </xf>
    <xf numFmtId="9" fontId="0" fillId="29" borderId="53" xfId="5" applyFont="1" applyFill="1" applyBorder="1" applyAlignment="1" applyProtection="1">
      <alignment horizontal="justify" vertical="center" wrapText="1"/>
    </xf>
    <xf numFmtId="0" fontId="0" fillId="29" borderId="31" xfId="0" applyFont="1" applyFill="1" applyBorder="1" applyAlignment="1" applyProtection="1">
      <alignment horizontal="center" vertical="top" wrapText="1"/>
    </xf>
    <xf numFmtId="0" fontId="0" fillId="42" borderId="60" xfId="0" applyFont="1" applyFill="1" applyBorder="1" applyAlignment="1" applyProtection="1">
      <alignment horizontal="center" vertical="center" wrapText="1"/>
    </xf>
    <xf numFmtId="9" fontId="0" fillId="42" borderId="32" xfId="5" applyFont="1" applyFill="1" applyBorder="1" applyAlignment="1" applyProtection="1">
      <alignment horizontal="justify" vertical="center" wrapText="1"/>
    </xf>
    <xf numFmtId="0" fontId="0" fillId="42" borderId="52" xfId="0" applyFont="1" applyFill="1" applyBorder="1" applyAlignment="1" applyProtection="1">
      <alignment horizontal="justify" vertical="center" wrapText="1"/>
    </xf>
    <xf numFmtId="9" fontId="0" fillId="42" borderId="54" xfId="5" applyFont="1" applyFill="1" applyBorder="1" applyAlignment="1" applyProtection="1">
      <alignment horizontal="justify" vertical="center" wrapText="1"/>
    </xf>
    <xf numFmtId="0" fontId="0" fillId="42" borderId="52" xfId="0" applyFont="1" applyFill="1" applyBorder="1" applyAlignment="1" applyProtection="1">
      <alignment horizontal="center" vertical="top" wrapText="1"/>
    </xf>
    <xf numFmtId="0" fontId="0" fillId="42" borderId="46" xfId="0" applyFont="1" applyFill="1" applyBorder="1" applyAlignment="1" applyProtection="1">
      <alignment horizontal="center" vertical="center" wrapText="1"/>
    </xf>
    <xf numFmtId="9" fontId="0" fillId="42" borderId="184" xfId="5" applyFont="1" applyFill="1" applyBorder="1" applyAlignment="1" applyProtection="1">
      <alignment horizontal="justify" vertical="center" wrapText="1"/>
    </xf>
    <xf numFmtId="0" fontId="0" fillId="42" borderId="94" xfId="0" applyFont="1" applyFill="1" applyBorder="1" applyAlignment="1" applyProtection="1">
      <alignment horizontal="justify" vertical="center" wrapText="1"/>
    </xf>
    <xf numFmtId="9" fontId="0" fillId="42" borderId="154" xfId="5" applyFont="1" applyFill="1" applyBorder="1" applyAlignment="1" applyProtection="1">
      <alignment horizontal="justify" vertical="center" wrapText="1"/>
    </xf>
    <xf numFmtId="0" fontId="0" fillId="42" borderId="94" xfId="0" applyFont="1" applyFill="1" applyBorder="1" applyAlignment="1" applyProtection="1">
      <alignment horizontal="center" vertical="top" wrapText="1"/>
    </xf>
    <xf numFmtId="0" fontId="0" fillId="42" borderId="177" xfId="0" applyFont="1" applyFill="1" applyBorder="1" applyAlignment="1" applyProtection="1">
      <alignment horizontal="center" vertical="center" wrapText="1"/>
    </xf>
    <xf numFmtId="9" fontId="0" fillId="42" borderId="30" xfId="5" applyFont="1" applyFill="1" applyBorder="1" applyAlignment="1" applyProtection="1">
      <alignment horizontal="justify" vertical="center" wrapText="1"/>
    </xf>
    <xf numFmtId="0" fontId="0" fillId="42" borderId="31" xfId="0" applyFont="1" applyFill="1" applyBorder="1" applyAlignment="1" applyProtection="1">
      <alignment horizontal="justify" vertical="center" wrapText="1"/>
    </xf>
    <xf numFmtId="9" fontId="0" fillId="42" borderId="53" xfId="5" applyFont="1" applyFill="1" applyBorder="1" applyAlignment="1" applyProtection="1">
      <alignment horizontal="justify" vertical="center" wrapText="1"/>
    </xf>
    <xf numFmtId="0" fontId="0" fillId="42" borderId="31" xfId="0" applyFont="1" applyFill="1" applyBorder="1" applyAlignment="1" applyProtection="1">
      <alignment horizontal="center" vertical="top" wrapText="1"/>
    </xf>
    <xf numFmtId="0" fontId="0" fillId="38" borderId="60" xfId="0" applyFont="1" applyFill="1" applyBorder="1" applyAlignment="1" applyProtection="1">
      <alignment horizontal="center" vertical="center" wrapText="1"/>
    </xf>
    <xf numFmtId="9" fontId="0" fillId="38" borderId="32" xfId="5" applyFont="1" applyFill="1" applyBorder="1" applyAlignment="1" applyProtection="1">
      <alignment horizontal="justify" vertical="center" wrapText="1"/>
    </xf>
    <xf numFmtId="9" fontId="0" fillId="38" borderId="54" xfId="5" applyFont="1" applyFill="1" applyBorder="1" applyAlignment="1" applyProtection="1">
      <alignment horizontal="justify" vertical="center" wrapText="1"/>
    </xf>
    <xf numFmtId="0" fontId="0" fillId="38" borderId="52" xfId="0" applyFont="1" applyFill="1" applyBorder="1" applyAlignment="1" applyProtection="1">
      <alignment horizontal="center" vertical="top" wrapText="1"/>
    </xf>
    <xf numFmtId="0" fontId="0" fillId="38" borderId="46" xfId="0" applyFont="1" applyFill="1" applyBorder="1" applyAlignment="1" applyProtection="1">
      <alignment horizontal="center" vertical="center" wrapText="1"/>
    </xf>
    <xf numFmtId="9" fontId="0" fillId="38" borderId="184" xfId="5" applyFont="1" applyFill="1" applyBorder="1" applyAlignment="1" applyProtection="1">
      <alignment horizontal="justify" vertical="center" wrapText="1"/>
    </xf>
    <xf numFmtId="9" fontId="0" fillId="38" borderId="154" xfId="5" applyFont="1" applyFill="1" applyBorder="1" applyAlignment="1" applyProtection="1">
      <alignment horizontal="justify" vertical="center" wrapText="1"/>
    </xf>
    <xf numFmtId="0" fontId="0" fillId="38" borderId="94" xfId="0" applyFont="1" applyFill="1" applyBorder="1" applyAlignment="1" applyProtection="1">
      <alignment horizontal="center" vertical="top" wrapText="1"/>
    </xf>
    <xf numFmtId="0" fontId="0" fillId="38" borderId="94" xfId="0" applyFont="1" applyFill="1" applyBorder="1" applyAlignment="1" applyProtection="1">
      <alignment horizontal="center" wrapText="1"/>
    </xf>
    <xf numFmtId="0" fontId="0" fillId="38" borderId="177" xfId="0" applyFont="1" applyFill="1" applyBorder="1" applyAlignment="1" applyProtection="1">
      <alignment horizontal="center" vertical="center" wrapText="1"/>
    </xf>
    <xf numFmtId="9" fontId="0" fillId="38" borderId="30" xfId="5" applyFont="1" applyFill="1" applyBorder="1" applyAlignment="1" applyProtection="1">
      <alignment horizontal="justify" vertical="center" wrapText="1"/>
    </xf>
    <xf numFmtId="9" fontId="0" fillId="38" borderId="53" xfId="5" applyFont="1" applyFill="1" applyBorder="1" applyAlignment="1" applyProtection="1">
      <alignment horizontal="justify" vertical="center" wrapText="1"/>
    </xf>
    <xf numFmtId="0" fontId="0" fillId="38" borderId="31" xfId="0" applyFont="1" applyFill="1" applyBorder="1" applyAlignment="1" applyProtection="1">
      <alignment horizontal="center" vertical="top" wrapText="1"/>
    </xf>
    <xf numFmtId="0" fontId="0" fillId="39" borderId="60" xfId="0" applyFont="1" applyFill="1" applyBorder="1" applyAlignment="1" applyProtection="1">
      <alignment horizontal="center" vertical="center" wrapText="1"/>
    </xf>
    <xf numFmtId="9" fontId="0" fillId="39" borderId="32" xfId="5" applyFont="1" applyFill="1" applyBorder="1" applyAlignment="1" applyProtection="1">
      <alignment horizontal="justify" vertical="center" wrapText="1"/>
    </xf>
    <xf numFmtId="0" fontId="0" fillId="39" borderId="52" xfId="0" applyFont="1" applyFill="1" applyBorder="1" applyAlignment="1" applyProtection="1">
      <alignment horizontal="justify" vertical="center" wrapText="1"/>
    </xf>
    <xf numFmtId="9" fontId="0" fillId="39" borderId="54" xfId="5" applyFont="1" applyFill="1" applyBorder="1" applyAlignment="1" applyProtection="1">
      <alignment horizontal="justify" vertical="center" wrapText="1"/>
    </xf>
    <xf numFmtId="0" fontId="0" fillId="39" borderId="52" xfId="0" applyFont="1" applyFill="1" applyBorder="1" applyAlignment="1" applyProtection="1">
      <alignment horizontal="center" wrapText="1"/>
    </xf>
    <xf numFmtId="0" fontId="0" fillId="39" borderId="46" xfId="0" applyFont="1" applyFill="1" applyBorder="1" applyAlignment="1" applyProtection="1">
      <alignment horizontal="center" vertical="center" wrapText="1"/>
    </xf>
    <xf numFmtId="9" fontId="0" fillId="39" borderId="184" xfId="5" applyFont="1" applyFill="1" applyBorder="1" applyAlignment="1" applyProtection="1">
      <alignment horizontal="justify" vertical="center" wrapText="1"/>
    </xf>
    <xf numFmtId="0" fontId="0" fillId="39" borderId="94" xfId="0" applyFont="1" applyFill="1" applyBorder="1" applyAlignment="1" applyProtection="1">
      <alignment horizontal="justify" vertical="center" wrapText="1"/>
    </xf>
    <xf numFmtId="9" fontId="0" fillId="39" borderId="154" xfId="5" applyFont="1" applyFill="1" applyBorder="1" applyAlignment="1" applyProtection="1">
      <alignment horizontal="justify" vertical="center" wrapText="1"/>
    </xf>
    <xf numFmtId="0" fontId="0" fillId="39" borderId="94" xfId="0" applyFont="1" applyFill="1" applyBorder="1" applyAlignment="1" applyProtection="1">
      <alignment horizontal="center" vertical="top" wrapText="1"/>
    </xf>
    <xf numFmtId="0" fontId="0" fillId="39" borderId="156" xfId="0" applyFont="1" applyFill="1" applyBorder="1" applyAlignment="1" applyProtection="1">
      <alignment horizontal="center" vertical="center" wrapText="1"/>
    </xf>
    <xf numFmtId="9" fontId="0" fillId="39" borderId="180" xfId="5" applyFont="1" applyFill="1" applyBorder="1" applyAlignment="1" applyProtection="1">
      <alignment horizontal="justify" vertical="center" wrapText="1"/>
    </xf>
    <xf numFmtId="0" fontId="0" fillId="39" borderId="159" xfId="0" applyFont="1" applyFill="1" applyBorder="1" applyAlignment="1" applyProtection="1">
      <alignment horizontal="justify" vertical="center" wrapText="1"/>
    </xf>
    <xf numFmtId="9" fontId="0" fillId="39" borderId="182" xfId="5" applyFont="1" applyFill="1" applyBorder="1" applyAlignment="1" applyProtection="1">
      <alignment horizontal="justify" vertical="center" wrapText="1"/>
    </xf>
    <xf numFmtId="0" fontId="0" fillId="39" borderId="159" xfId="0" applyFont="1" applyFill="1" applyBorder="1" applyAlignment="1" applyProtection="1">
      <alignment horizontal="center" wrapText="1"/>
    </xf>
    <xf numFmtId="9" fontId="11" fillId="38" borderId="7" xfId="5" applyFont="1" applyFill="1" applyBorder="1" applyAlignment="1" applyProtection="1">
      <alignment horizontal="center" vertical="center" wrapText="1"/>
    </xf>
    <xf numFmtId="0" fontId="11" fillId="38" borderId="8" xfId="0" applyFont="1" applyFill="1" applyBorder="1" applyAlignment="1" applyProtection="1">
      <alignment horizontal="justify" vertical="center" wrapText="1"/>
    </xf>
    <xf numFmtId="9" fontId="11" fillId="38" borderId="11" xfId="5" applyFont="1" applyFill="1" applyBorder="1" applyAlignment="1" applyProtection="1">
      <alignment horizontal="center" vertical="center" wrapText="1"/>
    </xf>
    <xf numFmtId="0" fontId="11" fillId="38" borderId="94" xfId="0" applyFont="1" applyFill="1" applyBorder="1" applyAlignment="1" applyProtection="1">
      <alignment horizontal="justify" vertical="center" wrapText="1"/>
    </xf>
    <xf numFmtId="0" fontId="11" fillId="38" borderId="154" xfId="0" applyFont="1" applyFill="1" applyBorder="1" applyAlignment="1" applyProtection="1">
      <alignment horizontal="justify" vertical="center" wrapText="1"/>
    </xf>
    <xf numFmtId="0" fontId="11" fillId="38" borderId="94" xfId="0" applyFont="1" applyFill="1" applyBorder="1" applyAlignment="1" applyProtection="1">
      <alignment horizontal="center" vertical="center" wrapText="1"/>
    </xf>
    <xf numFmtId="9" fontId="11" fillId="38" borderId="29" xfId="5" applyFont="1" applyFill="1" applyBorder="1" applyAlignment="1" applyProtection="1">
      <alignment horizontal="center" vertical="center" wrapText="1"/>
    </xf>
    <xf numFmtId="0" fontId="11" fillId="38" borderId="30" xfId="0" applyFont="1" applyFill="1" applyBorder="1" applyAlignment="1" applyProtection="1">
      <alignment horizontal="justify" vertical="center" wrapText="1"/>
    </xf>
    <xf numFmtId="0" fontId="11" fillId="41" borderId="51" xfId="0" applyFont="1" applyFill="1" applyBorder="1" applyAlignment="1" applyProtection="1">
      <alignment horizontal="center" vertical="center" wrapText="1"/>
    </xf>
    <xf numFmtId="0" fontId="11" fillId="41" borderId="11" xfId="0" applyFont="1" applyFill="1" applyBorder="1" applyAlignment="1" applyProtection="1">
      <alignment horizontal="center" vertical="center" wrapText="1"/>
    </xf>
    <xf numFmtId="0" fontId="11" fillId="41" borderId="26" xfId="0" applyFont="1" applyFill="1" applyBorder="1" applyAlignment="1" applyProtection="1">
      <alignment horizontal="justify" vertical="center" wrapText="1"/>
    </xf>
    <xf numFmtId="0" fontId="11" fillId="41" borderId="94" xfId="0" applyFont="1" applyFill="1" applyBorder="1" applyAlignment="1" applyProtection="1">
      <alignment horizontal="justify" vertical="center" wrapText="1"/>
    </xf>
    <xf numFmtId="0" fontId="11" fillId="41" borderId="154" xfId="0" applyFont="1" applyFill="1" applyBorder="1" applyAlignment="1" applyProtection="1">
      <alignment horizontal="justify" vertical="center" wrapText="1"/>
    </xf>
    <xf numFmtId="0" fontId="11" fillId="41" borderId="159" xfId="0" applyFont="1" applyFill="1" applyBorder="1" applyAlignment="1" applyProtection="1">
      <alignment horizontal="center" vertical="center" wrapText="1"/>
    </xf>
    <xf numFmtId="0" fontId="11" fillId="41" borderId="158" xfId="0" applyFont="1" applyFill="1" applyBorder="1" applyAlignment="1" applyProtection="1">
      <alignment horizontal="center" vertical="center" wrapText="1"/>
    </xf>
    <xf numFmtId="9" fontId="11" fillId="41" borderId="94" xfId="0" applyNumberFormat="1" applyFont="1" applyFill="1" applyBorder="1" applyAlignment="1" applyProtection="1">
      <alignment horizontal="center" vertical="center" wrapText="1"/>
    </xf>
    <xf numFmtId="0" fontId="11" fillId="41" borderId="35" xfId="0" applyFont="1" applyFill="1" applyBorder="1" applyAlignment="1" applyProtection="1">
      <alignment horizontal="center" vertical="center" wrapText="1"/>
    </xf>
    <xf numFmtId="0" fontId="11" fillId="41" borderId="55" xfId="0" applyFont="1" applyFill="1" applyBorder="1" applyAlignment="1" applyProtection="1">
      <alignment horizontal="center" vertical="center" wrapText="1"/>
    </xf>
    <xf numFmtId="0" fontId="11" fillId="7" borderId="11" xfId="0" applyFont="1" applyFill="1" applyBorder="1" applyAlignment="1" applyProtection="1">
      <alignment horizontal="center" vertical="center" wrapText="1"/>
    </xf>
    <xf numFmtId="0" fontId="11" fillId="7" borderId="94" xfId="0" applyFont="1" applyFill="1" applyBorder="1" applyAlignment="1" applyProtection="1">
      <alignment horizontal="justify" vertical="center" wrapText="1"/>
    </xf>
    <xf numFmtId="0" fontId="11" fillId="7" borderId="154" xfId="0" applyFont="1" applyFill="1" applyBorder="1" applyAlignment="1" applyProtection="1">
      <alignment horizontal="justify" vertical="center" wrapText="1"/>
    </xf>
    <xf numFmtId="9" fontId="11" fillId="7" borderId="94" xfId="0" applyNumberFormat="1" applyFont="1" applyFill="1" applyBorder="1" applyAlignment="1" applyProtection="1">
      <alignment horizontal="center" vertical="center" wrapText="1"/>
    </xf>
    <xf numFmtId="0" fontId="11" fillId="7" borderId="158" xfId="0" applyFont="1" applyFill="1" applyBorder="1" applyAlignment="1" applyProtection="1">
      <alignment horizontal="center" vertical="center" wrapText="1"/>
    </xf>
    <xf numFmtId="0" fontId="11" fillId="7" borderId="180" xfId="0" applyFont="1" applyFill="1" applyBorder="1" applyAlignment="1" applyProtection="1">
      <alignment horizontal="justify" vertical="center" wrapText="1"/>
    </xf>
    <xf numFmtId="0" fontId="11" fillId="7" borderId="159" xfId="0" applyFont="1" applyFill="1" applyBorder="1" applyAlignment="1" applyProtection="1">
      <alignment horizontal="justify" vertical="center" wrapText="1"/>
    </xf>
    <xf numFmtId="0" fontId="11" fillId="7" borderId="182" xfId="0" applyFont="1" applyFill="1" applyBorder="1" applyAlignment="1" applyProtection="1">
      <alignment horizontal="justify" vertical="center" wrapText="1"/>
    </xf>
    <xf numFmtId="9" fontId="11" fillId="7" borderId="159" xfId="0" applyNumberFormat="1" applyFont="1" applyFill="1" applyBorder="1" applyAlignment="1" applyProtection="1">
      <alignment horizontal="center" vertical="center" wrapText="1"/>
    </xf>
    <xf numFmtId="0" fontId="11" fillId="51" borderId="7" xfId="0" applyFont="1" applyFill="1" applyBorder="1" applyAlignment="1" applyProtection="1">
      <alignment horizontal="center" vertical="center" wrapText="1"/>
    </xf>
    <xf numFmtId="0" fontId="11" fillId="51" borderId="8" xfId="0" applyFont="1" applyFill="1" applyBorder="1" applyAlignment="1" applyProtection="1">
      <alignment horizontal="justify" vertical="center" wrapText="1"/>
    </xf>
    <xf numFmtId="0" fontId="11" fillId="51" borderId="9" xfId="0" applyFont="1" applyFill="1" applyBorder="1" applyAlignment="1" applyProtection="1">
      <alignment horizontal="justify" vertical="center" wrapText="1"/>
    </xf>
    <xf numFmtId="0" fontId="11" fillId="51" borderId="19" xfId="0" applyFont="1" applyFill="1" applyBorder="1" applyAlignment="1" applyProtection="1">
      <alignment horizontal="justify" vertical="center" wrapText="1"/>
    </xf>
    <xf numFmtId="0" fontId="11" fillId="51" borderId="9" xfId="0" applyFont="1" applyFill="1" applyBorder="1" applyAlignment="1" applyProtection="1">
      <alignment horizontal="center" vertical="center" wrapText="1"/>
    </xf>
    <xf numFmtId="0" fontId="11" fillId="51" borderId="11" xfId="0" applyFont="1" applyFill="1" applyBorder="1" applyAlignment="1" applyProtection="1">
      <alignment horizontal="center" vertical="center" wrapText="1"/>
    </xf>
    <xf numFmtId="0" fontId="11" fillId="51" borderId="184" xfId="0" applyFont="1" applyFill="1" applyBorder="1" applyAlignment="1" applyProtection="1">
      <alignment horizontal="justify" vertical="center" wrapText="1"/>
    </xf>
    <xf numFmtId="0" fontId="11" fillId="51" borderId="94" xfId="0" applyFont="1" applyFill="1" applyBorder="1" applyAlignment="1" applyProtection="1">
      <alignment horizontal="center" vertical="center" wrapText="1"/>
    </xf>
    <xf numFmtId="0" fontId="11" fillId="51" borderId="29" xfId="0" applyFont="1" applyFill="1" applyBorder="1" applyAlignment="1" applyProtection="1">
      <alignment horizontal="center" vertical="center" wrapText="1"/>
    </xf>
    <xf numFmtId="0" fontId="11" fillId="51" borderId="30" xfId="0" applyFont="1" applyFill="1" applyBorder="1" applyAlignment="1" applyProtection="1">
      <alignment horizontal="justify" vertical="center" wrapText="1"/>
    </xf>
    <xf numFmtId="9" fontId="11" fillId="51" borderId="31" xfId="0" applyNumberFormat="1" applyFont="1" applyFill="1" applyBorder="1" applyAlignment="1" applyProtection="1">
      <alignment horizontal="center" vertical="center" wrapText="1"/>
    </xf>
    <xf numFmtId="0" fontId="11" fillId="66" borderId="51" xfId="0" applyFont="1" applyFill="1" applyBorder="1" applyAlignment="1" applyProtection="1">
      <alignment horizontal="center" vertical="center" wrapText="1"/>
    </xf>
    <xf numFmtId="0" fontId="11" fillId="66" borderId="32" xfId="0" applyFont="1" applyFill="1" applyBorder="1" applyAlignment="1" applyProtection="1">
      <alignment horizontal="justify" vertical="center" wrapText="1"/>
    </xf>
    <xf numFmtId="0" fontId="11" fillId="66" borderId="52" xfId="0" applyFont="1" applyFill="1" applyBorder="1" applyAlignment="1" applyProtection="1">
      <alignment horizontal="justify" vertical="center" wrapText="1"/>
    </xf>
    <xf numFmtId="0" fontId="11" fillId="66" borderId="54" xfId="0" applyFont="1" applyFill="1" applyBorder="1" applyAlignment="1" applyProtection="1">
      <alignment horizontal="justify" vertical="center" wrapText="1"/>
    </xf>
    <xf numFmtId="9" fontId="11" fillId="66" borderId="52" xfId="0" applyNumberFormat="1" applyFont="1" applyFill="1" applyBorder="1" applyAlignment="1" applyProtection="1">
      <alignment horizontal="center" vertical="center" wrapText="1"/>
    </xf>
    <xf numFmtId="0" fontId="11" fillId="66" borderId="11" xfId="0" applyFont="1" applyFill="1" applyBorder="1" applyAlignment="1" applyProtection="1">
      <alignment horizontal="center" vertical="center" wrapText="1"/>
    </xf>
    <xf numFmtId="0" fontId="11" fillId="66" borderId="184" xfId="0" applyFont="1" applyFill="1" applyBorder="1" applyAlignment="1" applyProtection="1">
      <alignment horizontal="justify" vertical="center" wrapText="1"/>
    </xf>
    <xf numFmtId="0" fontId="11" fillId="66" borderId="94" xfId="0" applyFont="1" applyFill="1" applyBorder="1" applyAlignment="1" applyProtection="1">
      <alignment horizontal="justify" vertical="center" wrapText="1"/>
    </xf>
    <xf numFmtId="0" fontId="11" fillId="66" borderId="154" xfId="0" applyFont="1" applyFill="1" applyBorder="1" applyAlignment="1" applyProtection="1">
      <alignment horizontal="justify" vertical="center" wrapText="1"/>
    </xf>
    <xf numFmtId="9" fontId="11" fillId="66" borderId="94" xfId="0" applyNumberFormat="1" applyFont="1" applyFill="1" applyBorder="1" applyAlignment="1" applyProtection="1">
      <alignment horizontal="center" vertical="center" wrapText="1"/>
    </xf>
    <xf numFmtId="0" fontId="11" fillId="66" borderId="94" xfId="0" applyFont="1" applyFill="1" applyBorder="1" applyAlignment="1" applyProtection="1">
      <alignment horizontal="center" vertical="center" wrapText="1"/>
    </xf>
    <xf numFmtId="0" fontId="11" fillId="66" borderId="158" xfId="0" applyFont="1" applyFill="1" applyBorder="1" applyAlignment="1" applyProtection="1">
      <alignment horizontal="center" vertical="center" wrapText="1"/>
    </xf>
    <xf numFmtId="0" fontId="11" fillId="66" borderId="180" xfId="0" applyFont="1" applyFill="1" applyBorder="1" applyAlignment="1" applyProtection="1">
      <alignment horizontal="justify" vertical="center" wrapText="1"/>
    </xf>
    <xf numFmtId="0" fontId="11" fillId="66" borderId="29" xfId="0" applyFont="1" applyFill="1" applyBorder="1" applyAlignment="1" applyProtection="1">
      <alignment horizontal="center" vertical="center" wrapText="1"/>
    </xf>
    <xf numFmtId="0" fontId="11" fillId="66" borderId="30" xfId="0" applyFont="1" applyFill="1" applyBorder="1" applyAlignment="1" applyProtection="1">
      <alignment horizontal="justify" vertical="center" wrapText="1"/>
    </xf>
    <xf numFmtId="0" fontId="11" fillId="29" borderId="35" xfId="0" applyFont="1" applyFill="1" applyBorder="1" applyAlignment="1" applyProtection="1">
      <alignment horizontal="center" vertical="center" wrapText="1"/>
    </xf>
    <xf numFmtId="0" fontId="11" fillId="29" borderId="32" xfId="0" applyFont="1" applyFill="1" applyBorder="1" applyAlignment="1" applyProtection="1">
      <alignment horizontal="justify" vertical="center" wrapText="1"/>
    </xf>
    <xf numFmtId="0" fontId="11" fillId="29" borderId="51" xfId="0" applyFont="1" applyFill="1" applyBorder="1" applyAlignment="1" applyProtection="1">
      <alignment horizontal="center" vertical="center" wrapText="1"/>
    </xf>
    <xf numFmtId="0" fontId="11" fillId="29" borderId="184" xfId="0" applyFont="1" applyFill="1" applyBorder="1" applyAlignment="1" applyProtection="1">
      <alignment horizontal="justify" vertical="center" wrapText="1"/>
    </xf>
    <xf numFmtId="0" fontId="11" fillId="29" borderId="11" xfId="0" applyFont="1" applyFill="1" applyBorder="1" applyAlignment="1" applyProtection="1">
      <alignment horizontal="center" vertical="center" wrapText="1"/>
    </xf>
    <xf numFmtId="0" fontId="11" fillId="29" borderId="94" xfId="0" applyFont="1" applyFill="1" applyBorder="1" applyAlignment="1" applyProtection="1">
      <alignment horizontal="justify" vertical="center" wrapText="1"/>
    </xf>
    <xf numFmtId="0" fontId="11" fillId="29" borderId="154" xfId="0" applyFont="1" applyFill="1" applyBorder="1" applyAlignment="1" applyProtection="1">
      <alignment horizontal="justify" vertical="center" wrapText="1"/>
    </xf>
    <xf numFmtId="0" fontId="11" fillId="29" borderId="94" xfId="0" applyFont="1" applyFill="1" applyBorder="1" applyAlignment="1" applyProtection="1">
      <alignment horizontal="center" vertical="center"/>
    </xf>
    <xf numFmtId="0" fontId="11" fillId="29" borderId="158" xfId="0" applyFont="1" applyFill="1" applyBorder="1" applyAlignment="1" applyProtection="1">
      <alignment horizontal="center" vertical="center" wrapText="1"/>
    </xf>
    <xf numFmtId="0" fontId="11" fillId="29" borderId="159" xfId="0" applyFont="1" applyFill="1" applyBorder="1" applyAlignment="1" applyProtection="1">
      <alignment horizontal="justify" vertical="center" wrapText="1"/>
    </xf>
    <xf numFmtId="0" fontId="11" fillId="29" borderId="55" xfId="0" applyFont="1" applyFill="1" applyBorder="1" applyAlignment="1" applyProtection="1">
      <alignment horizontal="center" vertical="center" wrapText="1"/>
    </xf>
    <xf numFmtId="0" fontId="11" fillId="29" borderId="30" xfId="0" applyFont="1" applyFill="1" applyBorder="1" applyAlignment="1" applyProtection="1">
      <alignment horizontal="justify" vertical="center" wrapText="1"/>
    </xf>
    <xf numFmtId="0" fontId="11" fillId="39" borderId="51" xfId="0" applyFont="1" applyFill="1" applyBorder="1" applyAlignment="1" applyProtection="1">
      <alignment horizontal="center" vertical="center" wrapText="1"/>
    </xf>
    <xf numFmtId="0" fontId="11" fillId="39" borderId="52" xfId="0" applyFont="1" applyFill="1" applyBorder="1" applyAlignment="1" applyProtection="1">
      <alignment horizontal="justify" vertical="center" wrapText="1"/>
    </xf>
    <xf numFmtId="0" fontId="11" fillId="39" borderId="54" xfId="0" applyFont="1" applyFill="1" applyBorder="1" applyAlignment="1" applyProtection="1">
      <alignment horizontal="justify" vertical="center" wrapText="1"/>
    </xf>
    <xf numFmtId="9" fontId="11" fillId="39" borderId="52" xfId="0" applyNumberFormat="1" applyFont="1" applyFill="1" applyBorder="1" applyAlignment="1" applyProtection="1">
      <alignment horizontal="center" vertical="center" wrapText="1"/>
    </xf>
    <xf numFmtId="0" fontId="11" fillId="39" borderId="11" xfId="0" applyFont="1" applyFill="1" applyBorder="1" applyAlignment="1" applyProtection="1">
      <alignment horizontal="center" vertical="center" wrapText="1"/>
    </xf>
    <xf numFmtId="0" fontId="11" fillId="39" borderId="94" xfId="0" applyFont="1" applyFill="1" applyBorder="1" applyAlignment="1" applyProtection="1">
      <alignment horizontal="justify" vertical="center" wrapText="1"/>
    </xf>
    <xf numFmtId="0" fontId="11" fillId="39" borderId="154" xfId="0" applyFont="1" applyFill="1" applyBorder="1" applyAlignment="1" applyProtection="1">
      <alignment horizontal="justify" vertical="center" wrapText="1"/>
    </xf>
    <xf numFmtId="0" fontId="11" fillId="39" borderId="94" xfId="0" applyFont="1" applyFill="1" applyBorder="1" applyAlignment="1" applyProtection="1">
      <alignment horizontal="center" vertical="center" wrapText="1"/>
    </xf>
    <xf numFmtId="0" fontId="11" fillId="39" borderId="158" xfId="0" applyFont="1" applyFill="1" applyBorder="1" applyAlignment="1" applyProtection="1">
      <alignment horizontal="center" vertical="center" wrapText="1"/>
    </xf>
    <xf numFmtId="0" fontId="11" fillId="39" borderId="55" xfId="0" applyFont="1" applyFill="1" applyBorder="1" applyAlignment="1" applyProtection="1">
      <alignment horizontal="center" vertical="center" wrapText="1"/>
    </xf>
    <xf numFmtId="0" fontId="11" fillId="39" borderId="30" xfId="0" applyFont="1" applyFill="1" applyBorder="1" applyAlignment="1" applyProtection="1">
      <alignment horizontal="justify" vertical="center" wrapText="1"/>
    </xf>
    <xf numFmtId="0" fontId="11" fillId="38" borderId="51" xfId="0" applyFont="1" applyFill="1" applyBorder="1" applyAlignment="1" applyProtection="1">
      <alignment horizontal="center" vertical="center" wrapText="1"/>
    </xf>
    <xf numFmtId="0" fontId="11" fillId="38" borderId="52" xfId="0" applyFont="1" applyFill="1" applyBorder="1" applyAlignment="1" applyProtection="1">
      <alignment horizontal="justify" vertical="center" wrapText="1"/>
    </xf>
    <xf numFmtId="0" fontId="11" fillId="38" borderId="54" xfId="0" applyFont="1" applyFill="1" applyBorder="1" applyAlignment="1" applyProtection="1">
      <alignment horizontal="justify" vertical="center" wrapText="1"/>
    </xf>
    <xf numFmtId="9" fontId="11" fillId="38" borderId="52" xfId="0" applyNumberFormat="1" applyFont="1" applyFill="1" applyBorder="1" applyAlignment="1" applyProtection="1">
      <alignment horizontal="center" vertical="center" wrapText="1"/>
    </xf>
    <xf numFmtId="0" fontId="11" fillId="38" borderId="11" xfId="0" applyFont="1" applyFill="1" applyBorder="1" applyAlignment="1" applyProtection="1">
      <alignment horizontal="center" vertical="center" wrapText="1"/>
    </xf>
    <xf numFmtId="9" fontId="11" fillId="38" borderId="94" xfId="0" applyNumberFormat="1" applyFont="1" applyFill="1" applyBorder="1" applyAlignment="1" applyProtection="1">
      <alignment horizontal="center" vertical="center" wrapText="1"/>
    </xf>
    <xf numFmtId="0" fontId="11" fillId="38" borderId="158" xfId="0" applyFont="1" applyFill="1" applyBorder="1" applyAlignment="1" applyProtection="1">
      <alignment horizontal="center" vertical="center" wrapText="1"/>
    </xf>
    <xf numFmtId="0" fontId="11" fillId="38" borderId="55" xfId="0" applyFont="1" applyFill="1" applyBorder="1" applyAlignment="1" applyProtection="1">
      <alignment horizontal="center" vertical="center" wrapText="1"/>
    </xf>
    <xf numFmtId="0" fontId="0" fillId="38" borderId="37" xfId="0" applyFont="1" applyFill="1" applyBorder="1" applyAlignment="1" applyProtection="1">
      <alignment horizontal="justify" vertical="center"/>
    </xf>
    <xf numFmtId="0" fontId="11" fillId="17" borderId="7" xfId="0" applyFont="1" applyFill="1" applyBorder="1" applyAlignment="1" applyProtection="1">
      <alignment horizontal="center" vertical="center" wrapText="1"/>
    </xf>
    <xf numFmtId="0" fontId="11" fillId="17" borderId="8" xfId="0" applyFont="1" applyFill="1" applyBorder="1" applyAlignment="1" applyProtection="1">
      <alignment horizontal="justify" vertical="center" wrapText="1"/>
    </xf>
    <xf numFmtId="0" fontId="11" fillId="17" borderId="11" xfId="0" applyFont="1" applyFill="1" applyBorder="1" applyAlignment="1" applyProtection="1">
      <alignment horizontal="center" vertical="center" wrapText="1"/>
    </xf>
    <xf numFmtId="0" fontId="11" fillId="17" borderId="184" xfId="0" applyFont="1" applyFill="1" applyBorder="1" applyAlignment="1" applyProtection="1">
      <alignment horizontal="justify" vertical="center" wrapText="1"/>
    </xf>
    <xf numFmtId="0" fontId="11" fillId="17" borderId="94" xfId="0" applyFont="1" applyFill="1" applyBorder="1" applyAlignment="1" applyProtection="1">
      <alignment horizontal="justify" vertical="center" wrapText="1"/>
    </xf>
    <xf numFmtId="0" fontId="11" fillId="17" borderId="154" xfId="0" applyFont="1" applyFill="1" applyBorder="1" applyAlignment="1" applyProtection="1">
      <alignment horizontal="justify" vertical="center" wrapText="1"/>
    </xf>
    <xf numFmtId="9" fontId="11" fillId="17" borderId="94" xfId="0" applyNumberFormat="1" applyFont="1" applyFill="1" applyBorder="1" applyAlignment="1" applyProtection="1">
      <alignment horizontal="center" vertical="center" wrapText="1"/>
    </xf>
    <xf numFmtId="0" fontId="11" fillId="17" borderId="94" xfId="0" applyFont="1" applyFill="1" applyBorder="1" applyAlignment="1" applyProtection="1">
      <alignment horizontal="center" vertical="center" wrapText="1"/>
    </xf>
    <xf numFmtId="0" fontId="11" fillId="17" borderId="29" xfId="0" applyFont="1" applyFill="1" applyBorder="1" applyAlignment="1" applyProtection="1">
      <alignment horizontal="center" vertical="center" wrapText="1"/>
    </xf>
    <xf numFmtId="0" fontId="11" fillId="17" borderId="30" xfId="0" applyFont="1" applyFill="1" applyBorder="1" applyAlignment="1" applyProtection="1">
      <alignment horizontal="justify" vertical="center" wrapText="1"/>
    </xf>
    <xf numFmtId="0" fontId="11" fillId="17" borderId="31" xfId="0" applyFont="1" applyFill="1" applyBorder="1" applyAlignment="1" applyProtection="1">
      <alignment horizontal="justify" vertical="center" wrapText="1"/>
    </xf>
    <xf numFmtId="0" fontId="11" fillId="17" borderId="53" xfId="0" applyFont="1" applyFill="1" applyBorder="1" applyAlignment="1" applyProtection="1">
      <alignment horizontal="justify" vertical="center" wrapText="1"/>
    </xf>
    <xf numFmtId="9" fontId="11" fillId="17" borderId="31" xfId="0" applyNumberFormat="1" applyFont="1" applyFill="1" applyBorder="1" applyAlignment="1" applyProtection="1">
      <alignment horizontal="center" vertical="center" wrapText="1"/>
    </xf>
    <xf numFmtId="0" fontId="11" fillId="69" borderId="51" xfId="0" applyFont="1" applyFill="1" applyBorder="1" applyAlignment="1" applyProtection="1">
      <alignment horizontal="center" vertical="center" wrapText="1"/>
    </xf>
    <xf numFmtId="0" fontId="11" fillId="69" borderId="32" xfId="0" applyFont="1" applyFill="1" applyBorder="1" applyAlignment="1" applyProtection="1">
      <alignment horizontal="justify" vertical="center" wrapText="1"/>
    </xf>
    <xf numFmtId="0" fontId="11" fillId="69" borderId="11" xfId="0" applyFont="1" applyFill="1" applyBorder="1" applyAlignment="1" applyProtection="1">
      <alignment horizontal="center" vertical="center" wrapText="1"/>
    </xf>
    <xf numFmtId="0" fontId="11" fillId="69" borderId="184" xfId="0" applyFont="1" applyFill="1" applyBorder="1" applyAlignment="1" applyProtection="1">
      <alignment horizontal="justify" vertical="center" wrapText="1"/>
    </xf>
    <xf numFmtId="0" fontId="11" fillId="69" borderId="29" xfId="0" applyFont="1" applyFill="1" applyBorder="1" applyAlignment="1" applyProtection="1">
      <alignment horizontal="center" vertical="center" wrapText="1"/>
    </xf>
    <xf numFmtId="0" fontId="0" fillId="69" borderId="30" xfId="0" applyFont="1" applyFill="1" applyBorder="1" applyAlignment="1" applyProtection="1">
      <alignment horizontal="justify" vertical="center"/>
    </xf>
    <xf numFmtId="0" fontId="11" fillId="69" borderId="30" xfId="0" applyFont="1" applyFill="1" applyBorder="1" applyAlignment="1" applyProtection="1">
      <alignment horizontal="justify" vertical="center" wrapText="1"/>
    </xf>
    <xf numFmtId="0" fontId="0" fillId="41" borderId="7" xfId="8" applyFont="1" applyFill="1" applyBorder="1" applyAlignment="1" applyProtection="1">
      <alignment horizontal="center" vertical="center" wrapText="1"/>
    </xf>
    <xf numFmtId="0" fontId="0" fillId="41" borderId="8" xfId="8" applyFont="1" applyFill="1" applyBorder="1" applyAlignment="1" applyProtection="1">
      <alignment horizontal="justify" vertical="center" wrapText="1"/>
    </xf>
    <xf numFmtId="0" fontId="0" fillId="41" borderId="51" xfId="8" applyFont="1" applyFill="1" applyBorder="1" applyAlignment="1" applyProtection="1">
      <alignment horizontal="center" vertical="center" wrapText="1"/>
    </xf>
    <xf numFmtId="0" fontId="0" fillId="41" borderId="32" xfId="8" applyFont="1" applyFill="1" applyBorder="1" applyAlignment="1" applyProtection="1">
      <alignment horizontal="justify" vertical="center" wrapText="1"/>
    </xf>
    <xf numFmtId="0" fontId="0" fillId="41" borderId="184" xfId="8" applyFont="1" applyFill="1" applyBorder="1" applyAlignment="1" applyProtection="1">
      <alignment horizontal="justify" vertical="center" wrapText="1"/>
    </xf>
    <xf numFmtId="0" fontId="0" fillId="41" borderId="180" xfId="8" applyFont="1" applyFill="1" applyBorder="1" applyAlignment="1" applyProtection="1">
      <alignment horizontal="justify" vertical="center" wrapText="1"/>
    </xf>
    <xf numFmtId="0" fontId="0" fillId="41" borderId="158" xfId="8" applyFont="1" applyFill="1" applyBorder="1" applyAlignment="1" applyProtection="1">
      <alignment horizontal="center" vertical="center" wrapText="1"/>
    </xf>
    <xf numFmtId="0" fontId="0" fillId="41" borderId="26" xfId="8" applyFont="1" applyFill="1" applyBorder="1" applyAlignment="1" applyProtection="1">
      <alignment horizontal="justify" vertical="center" wrapText="1"/>
    </xf>
    <xf numFmtId="0" fontId="0" fillId="41" borderId="55" xfId="8" applyFont="1" applyFill="1" applyBorder="1" applyAlignment="1" applyProtection="1">
      <alignment horizontal="center" vertical="center" wrapText="1"/>
    </xf>
    <xf numFmtId="0" fontId="0" fillId="41" borderId="30" xfId="8" applyFont="1" applyFill="1" applyBorder="1" applyAlignment="1" applyProtection="1">
      <alignment horizontal="justify" vertical="center" wrapText="1"/>
    </xf>
    <xf numFmtId="0" fontId="0" fillId="103" borderId="51" xfId="8" applyFont="1" applyFill="1" applyBorder="1" applyAlignment="1" applyProtection="1">
      <alignment horizontal="center" vertical="center" wrapText="1"/>
    </xf>
    <xf numFmtId="0" fontId="0" fillId="103" borderId="32" xfId="8" applyFont="1" applyFill="1" applyBorder="1" applyAlignment="1" applyProtection="1">
      <alignment horizontal="justify" vertical="center" wrapText="1"/>
    </xf>
    <xf numFmtId="0" fontId="7" fillId="103" borderId="32" xfId="8" applyFont="1" applyFill="1" applyBorder="1" applyAlignment="1" applyProtection="1">
      <alignment horizontal="justify" vertical="center" wrapText="1"/>
    </xf>
    <xf numFmtId="0" fontId="11" fillId="103" borderId="52" xfId="8" applyFont="1" applyFill="1" applyBorder="1" applyAlignment="1" applyProtection="1">
      <alignment horizontal="justify" vertical="center" wrapText="1"/>
    </xf>
    <xf numFmtId="0" fontId="11" fillId="103" borderId="54" xfId="8" applyFont="1" applyFill="1" applyBorder="1" applyAlignment="1" applyProtection="1">
      <alignment horizontal="justify" vertical="center" wrapText="1"/>
    </xf>
    <xf numFmtId="0" fontId="0" fillId="103" borderId="52" xfId="8" applyFont="1" applyFill="1" applyBorder="1" applyAlignment="1" applyProtection="1">
      <alignment horizontal="center" vertical="center"/>
    </xf>
    <xf numFmtId="0" fontId="0" fillId="103" borderId="11" xfId="8" applyFont="1" applyFill="1" applyBorder="1" applyAlignment="1" applyProtection="1">
      <alignment horizontal="center" vertical="center" wrapText="1"/>
    </xf>
    <xf numFmtId="0" fontId="0" fillId="103" borderId="184" xfId="8" applyFont="1" applyFill="1" applyBorder="1" applyAlignment="1" applyProtection="1">
      <alignment horizontal="justify" vertical="center" wrapText="1"/>
    </xf>
    <xf numFmtId="0" fontId="7" fillId="103" borderId="184" xfId="8" applyFont="1" applyFill="1" applyBorder="1" applyAlignment="1" applyProtection="1">
      <alignment horizontal="justify" vertical="center" wrapText="1"/>
    </xf>
    <xf numFmtId="0" fontId="11" fillId="103" borderId="94" xfId="8" applyFont="1" applyFill="1" applyBorder="1" applyAlignment="1" applyProtection="1">
      <alignment horizontal="justify" vertical="center" wrapText="1"/>
    </xf>
    <xf numFmtId="0" fontId="11" fillId="103" borderId="154" xfId="8" applyFont="1" applyFill="1" applyBorder="1" applyAlignment="1" applyProtection="1">
      <alignment horizontal="justify" vertical="center" wrapText="1"/>
    </xf>
    <xf numFmtId="0" fontId="0" fillId="103" borderId="94" xfId="8" applyFont="1" applyFill="1" applyBorder="1" applyAlignment="1" applyProtection="1">
      <alignment horizontal="center" vertical="center" wrapText="1"/>
    </xf>
    <xf numFmtId="0" fontId="0" fillId="103" borderId="158" xfId="8" applyFont="1" applyFill="1" applyBorder="1" applyAlignment="1" applyProtection="1">
      <alignment horizontal="center" vertical="center" wrapText="1"/>
    </xf>
    <xf numFmtId="0" fontId="0" fillId="103" borderId="180" xfId="8" applyFont="1" applyFill="1" applyBorder="1" applyAlignment="1" applyProtection="1">
      <alignment horizontal="justify" vertical="center" wrapText="1"/>
    </xf>
    <xf numFmtId="0" fontId="0" fillId="103" borderId="29" xfId="8" applyFont="1" applyFill="1" applyBorder="1" applyAlignment="1" applyProtection="1">
      <alignment horizontal="center" vertical="center" wrapText="1"/>
    </xf>
    <xf numFmtId="0" fontId="0" fillId="103" borderId="30" xfId="8" applyFont="1" applyFill="1" applyBorder="1" applyAlignment="1" applyProtection="1">
      <alignment horizontal="justify" vertical="center" wrapText="1"/>
    </xf>
    <xf numFmtId="0" fontId="7" fillId="103" borderId="30" xfId="8" applyFont="1" applyFill="1" applyBorder="1" applyAlignment="1" applyProtection="1">
      <alignment horizontal="justify" vertical="center" wrapText="1"/>
    </xf>
    <xf numFmtId="0" fontId="11" fillId="103" borderId="31" xfId="8" applyFont="1" applyFill="1" applyBorder="1" applyAlignment="1" applyProtection="1">
      <alignment horizontal="justify" vertical="center" wrapText="1"/>
    </xf>
    <xf numFmtId="0" fontId="11" fillId="103" borderId="53" xfId="8" applyFont="1" applyFill="1" applyBorder="1" applyAlignment="1" applyProtection="1">
      <alignment horizontal="justify" vertical="center" wrapText="1"/>
    </xf>
    <xf numFmtId="0" fontId="0" fillId="103" borderId="31" xfId="8" applyFont="1" applyFill="1" applyBorder="1" applyAlignment="1" applyProtection="1">
      <alignment horizontal="center" vertical="center"/>
    </xf>
    <xf numFmtId="0" fontId="0" fillId="43" borderId="7" xfId="8" applyFont="1" applyFill="1" applyBorder="1" applyAlignment="1" applyProtection="1">
      <alignment horizontal="center" vertical="center" wrapText="1"/>
    </xf>
    <xf numFmtId="0" fontId="0" fillId="43" borderId="8" xfId="8" applyFont="1" applyFill="1" applyBorder="1" applyAlignment="1" applyProtection="1">
      <alignment horizontal="justify" vertical="center" wrapText="1"/>
    </xf>
    <xf numFmtId="0" fontId="0" fillId="43" borderId="51" xfId="8" applyFont="1" applyFill="1" applyBorder="1" applyAlignment="1" applyProtection="1">
      <alignment horizontal="center" vertical="center" wrapText="1"/>
    </xf>
    <xf numFmtId="0" fontId="0" fillId="43" borderId="32" xfId="8" applyFont="1" applyFill="1" applyBorder="1" applyAlignment="1" applyProtection="1">
      <alignment horizontal="justify" vertical="center" wrapText="1"/>
    </xf>
    <xf numFmtId="0" fontId="0" fillId="43" borderId="11" xfId="8" applyFont="1" applyFill="1" applyBorder="1" applyAlignment="1" applyProtection="1">
      <alignment horizontal="center" vertical="center" wrapText="1"/>
    </xf>
    <xf numFmtId="0" fontId="0" fillId="43" borderId="184" xfId="8" applyFont="1" applyFill="1" applyBorder="1" applyAlignment="1" applyProtection="1">
      <alignment horizontal="justify" vertical="center" wrapText="1"/>
    </xf>
    <xf numFmtId="0" fontId="0" fillId="43" borderId="158" xfId="8" applyFont="1" applyFill="1" applyBorder="1" applyAlignment="1" applyProtection="1">
      <alignment horizontal="center" vertical="center" wrapText="1"/>
    </xf>
    <xf numFmtId="0" fontId="0" fillId="43" borderId="180" xfId="8" applyFont="1" applyFill="1" applyBorder="1" applyAlignment="1" applyProtection="1">
      <alignment horizontal="justify" vertical="center" wrapText="1"/>
    </xf>
    <xf numFmtId="0" fontId="0" fillId="43" borderId="29" xfId="8" applyFont="1" applyFill="1" applyBorder="1" applyAlignment="1" applyProtection="1">
      <alignment horizontal="center" vertical="center" wrapText="1"/>
    </xf>
    <xf numFmtId="0" fontId="0" fillId="43" borderId="30" xfId="8" applyFont="1" applyFill="1" applyBorder="1" applyAlignment="1" applyProtection="1">
      <alignment horizontal="justify" vertical="center" wrapText="1"/>
    </xf>
    <xf numFmtId="0" fontId="0" fillId="29" borderId="51" xfId="8" applyFont="1" applyFill="1" applyBorder="1" applyAlignment="1" applyProtection="1">
      <alignment horizontal="center" vertical="center" wrapText="1"/>
    </xf>
    <xf numFmtId="0" fontId="0" fillId="29" borderId="32" xfId="8" applyFont="1" applyFill="1" applyBorder="1" applyAlignment="1" applyProtection="1">
      <alignment horizontal="justify" vertical="center" wrapText="1"/>
    </xf>
    <xf numFmtId="0" fontId="11" fillId="29" borderId="52" xfId="8" applyFont="1" applyFill="1" applyBorder="1" applyAlignment="1" applyProtection="1">
      <alignment horizontal="justify" vertical="center" wrapText="1"/>
    </xf>
    <xf numFmtId="0" fontId="11" fillId="29" borderId="54" xfId="8" applyFont="1" applyFill="1" applyBorder="1" applyAlignment="1" applyProtection="1">
      <alignment horizontal="justify" vertical="center" wrapText="1"/>
    </xf>
    <xf numFmtId="0" fontId="0" fillId="29" borderId="52" xfId="8" applyFont="1" applyFill="1" applyBorder="1" applyAlignment="1" applyProtection="1">
      <alignment horizontal="center" vertical="center"/>
    </xf>
    <xf numFmtId="0" fontId="0" fillId="29" borderId="11" xfId="8" applyFont="1" applyFill="1" applyBorder="1" applyAlignment="1" applyProtection="1">
      <alignment horizontal="center" vertical="center" wrapText="1"/>
    </xf>
    <xf numFmtId="0" fontId="0" fillId="29" borderId="184" xfId="8" applyFont="1" applyFill="1" applyBorder="1" applyAlignment="1" applyProtection="1">
      <alignment horizontal="justify" vertical="center" wrapText="1"/>
    </xf>
    <xf numFmtId="0" fontId="7" fillId="29" borderId="184" xfId="8" applyFont="1" applyFill="1" applyBorder="1" applyAlignment="1" applyProtection="1">
      <alignment horizontal="justify" vertical="center" wrapText="1"/>
    </xf>
    <xf numFmtId="0" fontId="11" fillId="29" borderId="94" xfId="8" applyFont="1" applyFill="1" applyBorder="1" applyAlignment="1" applyProtection="1">
      <alignment horizontal="justify" vertical="center" wrapText="1"/>
    </xf>
    <xf numFmtId="0" fontId="11" fillId="29" borderId="154" xfId="8" applyFont="1" applyFill="1" applyBorder="1" applyAlignment="1" applyProtection="1">
      <alignment horizontal="justify" vertical="center" wrapText="1"/>
    </xf>
    <xf numFmtId="0" fontId="0" fillId="29" borderId="94" xfId="8" applyFont="1" applyFill="1" applyBorder="1" applyAlignment="1" applyProtection="1">
      <alignment horizontal="center" vertical="center"/>
    </xf>
    <xf numFmtId="0" fontId="0" fillId="29" borderId="158" xfId="8" applyFont="1" applyFill="1" applyBorder="1" applyAlignment="1" applyProtection="1">
      <alignment horizontal="center" vertical="center" wrapText="1"/>
    </xf>
    <xf numFmtId="0" fontId="0" fillId="29" borderId="180" xfId="8" applyFont="1" applyFill="1" applyBorder="1" applyAlignment="1" applyProtection="1">
      <alignment horizontal="justify" vertical="center" wrapText="1"/>
    </xf>
    <xf numFmtId="0" fontId="0" fillId="29" borderId="29" xfId="8" applyFont="1" applyFill="1" applyBorder="1" applyAlignment="1" applyProtection="1">
      <alignment horizontal="center" vertical="center" wrapText="1"/>
    </xf>
    <xf numFmtId="0" fontId="0" fillId="29" borderId="30" xfId="8" applyFont="1" applyFill="1" applyBorder="1" applyAlignment="1" applyProtection="1">
      <alignment horizontal="justify" vertical="center" wrapText="1"/>
    </xf>
    <xf numFmtId="0" fontId="0" fillId="39" borderId="7" xfId="8" applyFont="1" applyFill="1" applyBorder="1" applyAlignment="1" applyProtection="1">
      <alignment horizontal="center" vertical="center" wrapText="1"/>
    </xf>
    <xf numFmtId="0" fontId="0" fillId="39" borderId="8" xfId="8" applyFont="1" applyFill="1" applyBorder="1" applyAlignment="1" applyProtection="1">
      <alignment horizontal="justify" vertical="center" wrapText="1"/>
    </xf>
    <xf numFmtId="0" fontId="0" fillId="39" borderId="51" xfId="8" applyFont="1" applyFill="1" applyBorder="1" applyAlignment="1" applyProtection="1">
      <alignment horizontal="center" vertical="center" wrapText="1"/>
    </xf>
    <xf numFmtId="0" fontId="0" fillId="39" borderId="32" xfId="8" applyFont="1" applyFill="1" applyBorder="1" applyAlignment="1" applyProtection="1">
      <alignment horizontal="justify" vertical="center" wrapText="1"/>
    </xf>
    <xf numFmtId="0" fontId="0" fillId="39" borderId="11" xfId="8" applyFont="1" applyFill="1" applyBorder="1" applyAlignment="1" applyProtection="1">
      <alignment horizontal="center" vertical="center" wrapText="1"/>
    </xf>
    <xf numFmtId="0" fontId="0" fillId="39" borderId="184" xfId="8" applyFont="1" applyFill="1" applyBorder="1" applyAlignment="1" applyProtection="1">
      <alignment horizontal="justify" vertical="center" wrapText="1"/>
    </xf>
    <xf numFmtId="0" fontId="11" fillId="39" borderId="94" xfId="8" applyFont="1" applyFill="1" applyBorder="1" applyAlignment="1" applyProtection="1">
      <alignment horizontal="justify" vertical="center" wrapText="1"/>
    </xf>
    <xf numFmtId="0" fontId="11" fillId="39" borderId="154" xfId="8" applyFont="1" applyFill="1" applyBorder="1" applyAlignment="1" applyProtection="1">
      <alignment horizontal="justify" vertical="center" wrapText="1"/>
    </xf>
    <xf numFmtId="0" fontId="3" fillId="39" borderId="94" xfId="8" applyFont="1" applyFill="1" applyBorder="1" applyAlignment="1" applyProtection="1">
      <alignment horizontal="center" vertical="center"/>
    </xf>
    <xf numFmtId="0" fontId="0" fillId="39" borderId="94" xfId="8" applyFont="1" applyFill="1" applyBorder="1" applyAlignment="1" applyProtection="1">
      <alignment horizontal="center" vertical="center" wrapText="1"/>
    </xf>
    <xf numFmtId="0" fontId="0" fillId="39" borderId="94" xfId="8" applyFont="1" applyFill="1" applyBorder="1" applyAlignment="1" applyProtection="1">
      <alignment horizontal="center" vertical="center"/>
    </xf>
    <xf numFmtId="0" fontId="7" fillId="39" borderId="184" xfId="8" applyFont="1" applyFill="1" applyBorder="1" applyAlignment="1" applyProtection="1">
      <alignment horizontal="justify" vertical="center" wrapText="1"/>
    </xf>
    <xf numFmtId="0" fontId="11" fillId="39" borderId="159" xfId="8" applyFont="1" applyFill="1" applyBorder="1" applyAlignment="1" applyProtection="1">
      <alignment horizontal="justify" vertical="center" wrapText="1"/>
    </xf>
    <xf numFmtId="0" fontId="11" fillId="39" borderId="182" xfId="8" applyFont="1" applyFill="1" applyBorder="1" applyAlignment="1" applyProtection="1">
      <alignment horizontal="justify" vertical="center" wrapText="1"/>
    </xf>
    <xf numFmtId="0" fontId="0" fillId="39" borderId="159" xfId="8" applyFont="1" applyFill="1" applyBorder="1" applyAlignment="1" applyProtection="1">
      <alignment horizontal="center" vertical="center" wrapText="1"/>
    </xf>
    <xf numFmtId="0" fontId="0" fillId="39" borderId="29" xfId="8" applyFont="1" applyFill="1" applyBorder="1" applyAlignment="1" applyProtection="1">
      <alignment horizontal="center" vertical="center" wrapText="1"/>
    </xf>
    <xf numFmtId="0" fontId="0" fillId="39" borderId="30" xfId="8" applyFont="1" applyFill="1" applyBorder="1" applyAlignment="1" applyProtection="1">
      <alignment horizontal="justify" vertical="center" wrapText="1"/>
    </xf>
    <xf numFmtId="0" fontId="7" fillId="39" borderId="30" xfId="8" applyFont="1" applyFill="1" applyBorder="1" applyAlignment="1" applyProtection="1">
      <alignment horizontal="justify" vertical="center" wrapText="1"/>
    </xf>
    <xf numFmtId="0" fontId="11" fillId="39" borderId="31" xfId="8" applyFont="1" applyFill="1" applyBorder="1" applyAlignment="1" applyProtection="1">
      <alignment horizontal="justify" vertical="center" wrapText="1"/>
    </xf>
    <xf numFmtId="0" fontId="11" fillId="39" borderId="53" xfId="8" applyFont="1" applyFill="1" applyBorder="1" applyAlignment="1" applyProtection="1">
      <alignment horizontal="justify" vertical="center" wrapText="1"/>
    </xf>
    <xf numFmtId="0" fontId="0" fillId="39" borderId="31" xfId="8" applyFont="1" applyFill="1" applyBorder="1" applyAlignment="1" applyProtection="1">
      <alignment horizontal="center" vertical="center" wrapText="1"/>
    </xf>
    <xf numFmtId="0" fontId="0" fillId="38" borderId="51" xfId="8" applyFont="1" applyFill="1" applyBorder="1" applyAlignment="1" applyProtection="1">
      <alignment horizontal="center" vertical="center" wrapText="1"/>
    </xf>
    <xf numFmtId="0" fontId="0" fillId="38" borderId="32" xfId="8" applyFont="1" applyFill="1" applyBorder="1" applyAlignment="1" applyProtection="1">
      <alignment horizontal="justify" vertical="center" wrapText="1"/>
    </xf>
    <xf numFmtId="0" fontId="11" fillId="38" borderId="52" xfId="8" applyFont="1" applyFill="1" applyBorder="1" applyAlignment="1" applyProtection="1">
      <alignment horizontal="justify" vertical="center" wrapText="1"/>
    </xf>
    <xf numFmtId="0" fontId="11" fillId="38" borderId="54" xfId="8" applyFont="1" applyFill="1" applyBorder="1" applyAlignment="1" applyProtection="1">
      <alignment horizontal="justify" vertical="center" wrapText="1"/>
    </xf>
    <xf numFmtId="0" fontId="0" fillId="38" borderId="52" xfId="8" applyFont="1" applyFill="1" applyBorder="1" applyAlignment="1" applyProtection="1">
      <alignment horizontal="center" vertical="center" wrapText="1"/>
    </xf>
    <xf numFmtId="0" fontId="0" fillId="38" borderId="11" xfId="8" applyFont="1" applyFill="1" applyBorder="1" applyAlignment="1" applyProtection="1">
      <alignment horizontal="center" vertical="center" wrapText="1"/>
    </xf>
    <xf numFmtId="0" fontId="0" fillId="38" borderId="184" xfId="8" applyFont="1" applyFill="1" applyBorder="1" applyAlignment="1" applyProtection="1">
      <alignment horizontal="justify" vertical="center" wrapText="1"/>
    </xf>
    <xf numFmtId="0" fontId="11" fillId="38" borderId="94" xfId="8" applyFont="1" applyFill="1" applyBorder="1" applyAlignment="1" applyProtection="1">
      <alignment horizontal="justify" vertical="center" wrapText="1"/>
    </xf>
    <xf numFmtId="0" fontId="11" fillId="38" borderId="154" xfId="8" applyFont="1" applyFill="1" applyBorder="1" applyAlignment="1" applyProtection="1">
      <alignment horizontal="justify" vertical="center" wrapText="1"/>
    </xf>
    <xf numFmtId="0" fontId="0" fillId="38" borderId="94" xfId="8" applyFont="1" applyFill="1" applyBorder="1" applyAlignment="1" applyProtection="1">
      <alignment horizontal="center" vertical="center" wrapText="1"/>
    </xf>
    <xf numFmtId="0" fontId="0" fillId="38" borderId="29" xfId="8" applyFont="1" applyFill="1" applyBorder="1" applyAlignment="1" applyProtection="1">
      <alignment horizontal="center" vertical="center" wrapText="1"/>
    </xf>
    <xf numFmtId="0" fontId="0" fillId="38" borderId="30" xfId="8" applyFont="1" applyFill="1" applyBorder="1" applyAlignment="1" applyProtection="1">
      <alignment horizontal="justify" vertical="center" wrapText="1"/>
    </xf>
    <xf numFmtId="0" fontId="11" fillId="38" borderId="31" xfId="8" applyFont="1" applyFill="1" applyBorder="1" applyAlignment="1" applyProtection="1">
      <alignment horizontal="justify" vertical="center" wrapText="1"/>
    </xf>
    <xf numFmtId="0" fontId="11" fillId="38" borderId="53" xfId="8" applyFont="1" applyFill="1" applyBorder="1" applyAlignment="1" applyProtection="1">
      <alignment horizontal="justify" vertical="center" wrapText="1"/>
    </xf>
    <xf numFmtId="0" fontId="0" fillId="38" borderId="31" xfId="8" applyFont="1" applyFill="1" applyBorder="1" applyAlignment="1" applyProtection="1">
      <alignment horizontal="center" vertical="center" wrapText="1"/>
    </xf>
    <xf numFmtId="0" fontId="0" fillId="41" borderId="11" xfId="8" applyFont="1" applyFill="1" applyBorder="1" applyAlignment="1" applyProtection="1">
      <alignment horizontal="center" vertical="center" wrapText="1"/>
    </xf>
    <xf numFmtId="0" fontId="11" fillId="41" borderId="94" xfId="8" applyFont="1" applyFill="1" applyBorder="1" applyAlignment="1" applyProtection="1">
      <alignment horizontal="justify" vertical="center" wrapText="1"/>
    </xf>
    <xf numFmtId="0" fontId="11" fillId="41" borderId="154" xfId="8" applyFont="1" applyFill="1" applyBorder="1" applyAlignment="1" applyProtection="1">
      <alignment horizontal="justify" vertical="center" wrapText="1"/>
    </xf>
    <xf numFmtId="0" fontId="0" fillId="41" borderId="94" xfId="8" applyFont="1" applyFill="1" applyBorder="1" applyAlignment="1" applyProtection="1">
      <alignment horizontal="center" vertical="center"/>
    </xf>
    <xf numFmtId="0" fontId="0" fillId="41" borderId="29" xfId="8" applyFont="1" applyFill="1" applyBorder="1" applyAlignment="1" applyProtection="1">
      <alignment horizontal="center" vertical="center" wrapText="1"/>
    </xf>
    <xf numFmtId="0" fontId="0" fillId="40" borderId="7" xfId="8" applyFont="1" applyFill="1" applyBorder="1" applyAlignment="1" applyProtection="1">
      <alignment horizontal="center" vertical="center" wrapText="1"/>
    </xf>
    <xf numFmtId="0" fontId="0" fillId="40" borderId="8" xfId="8" applyFont="1" applyFill="1" applyBorder="1" applyAlignment="1" applyProtection="1">
      <alignment horizontal="justify" vertical="center" wrapText="1"/>
    </xf>
    <xf numFmtId="0" fontId="0" fillId="40" borderId="51" xfId="8" applyFont="1" applyFill="1" applyBorder="1" applyAlignment="1" applyProtection="1">
      <alignment horizontal="center" vertical="center" wrapText="1"/>
    </xf>
    <xf numFmtId="0" fontId="0" fillId="40" borderId="32" xfId="8" applyFont="1" applyFill="1" applyBorder="1" applyAlignment="1" applyProtection="1">
      <alignment horizontal="justify" vertical="center" wrapText="1"/>
    </xf>
    <xf numFmtId="0" fontId="0" fillId="40" borderId="11" xfId="8" applyFont="1" applyFill="1" applyBorder="1" applyAlignment="1" applyProtection="1">
      <alignment horizontal="center" vertical="center" wrapText="1"/>
    </xf>
    <xf numFmtId="0" fontId="0" fillId="40" borderId="184" xfId="8" applyFont="1" applyFill="1" applyBorder="1" applyAlignment="1" applyProtection="1">
      <alignment horizontal="justify" vertical="center" wrapText="1"/>
    </xf>
    <xf numFmtId="0" fontId="10" fillId="40" borderId="11" xfId="8" applyFont="1" applyFill="1" applyBorder="1" applyAlignment="1" applyProtection="1">
      <alignment horizontal="center" vertical="center" wrapText="1"/>
    </xf>
    <xf numFmtId="0" fontId="10" fillId="40" borderId="184" xfId="8" applyFont="1" applyFill="1" applyBorder="1" applyAlignment="1" applyProtection="1">
      <alignment horizontal="justify" vertical="center" wrapText="1"/>
    </xf>
    <xf numFmtId="0" fontId="10" fillId="40" borderId="158" xfId="8" applyFont="1" applyFill="1" applyBorder="1" applyAlignment="1" applyProtection="1">
      <alignment horizontal="center" vertical="center" wrapText="1"/>
    </xf>
    <xf numFmtId="0" fontId="10" fillId="40" borderId="180" xfId="8" applyFont="1" applyFill="1" applyBorder="1" applyAlignment="1" applyProtection="1">
      <alignment horizontal="justify" vertical="center" wrapText="1"/>
    </xf>
    <xf numFmtId="0" fontId="0" fillId="40" borderId="180" xfId="8" applyFont="1" applyFill="1" applyBorder="1" applyAlignment="1" applyProtection="1">
      <alignment horizontal="justify" vertical="center" wrapText="1"/>
    </xf>
    <xf numFmtId="0" fontId="10" fillId="40" borderId="29" xfId="8" applyFont="1" applyFill="1" applyBorder="1" applyAlignment="1" applyProtection="1">
      <alignment horizontal="center" vertical="center" wrapText="1"/>
    </xf>
    <xf numFmtId="0" fontId="10" fillId="40" borderId="30" xfId="8" applyFont="1" applyFill="1" applyBorder="1" applyAlignment="1" applyProtection="1">
      <alignment horizontal="justify" vertical="center" wrapText="1"/>
    </xf>
    <xf numFmtId="0" fontId="0" fillId="40" borderId="30" xfId="8" applyFont="1" applyFill="1" applyBorder="1" applyAlignment="1" applyProtection="1">
      <alignment horizontal="justify" vertical="center" wrapText="1"/>
    </xf>
    <xf numFmtId="0" fontId="0" fillId="69" borderId="7" xfId="8" applyFont="1" applyFill="1" applyBorder="1" applyAlignment="1" applyProtection="1">
      <alignment horizontal="center" vertical="center" wrapText="1"/>
    </xf>
    <xf numFmtId="0" fontId="0" fillId="69" borderId="8" xfId="8" applyFont="1" applyFill="1" applyBorder="1" applyAlignment="1" applyProtection="1">
      <alignment horizontal="justify" vertical="center" wrapText="1"/>
    </xf>
    <xf numFmtId="0" fontId="0" fillId="69" borderId="11" xfId="8" applyFont="1" applyFill="1" applyBorder="1" applyAlignment="1" applyProtection="1">
      <alignment horizontal="center" vertical="center" wrapText="1"/>
    </xf>
    <xf numFmtId="0" fontId="0" fillId="69" borderId="184" xfId="8" applyFont="1" applyFill="1" applyBorder="1" applyAlignment="1" applyProtection="1">
      <alignment horizontal="justify" vertical="center" wrapText="1"/>
    </xf>
    <xf numFmtId="0" fontId="0" fillId="69" borderId="29" xfId="8" applyFont="1" applyFill="1" applyBorder="1" applyAlignment="1" applyProtection="1">
      <alignment horizontal="center" vertical="center" wrapText="1"/>
    </xf>
    <xf numFmtId="0" fontId="0" fillId="69" borderId="30" xfId="8" applyFont="1" applyFill="1" applyBorder="1" applyAlignment="1" applyProtection="1">
      <alignment horizontal="justify" vertical="center" wrapText="1"/>
    </xf>
    <xf numFmtId="0" fontId="11" fillId="7" borderId="7" xfId="0" applyFont="1" applyFill="1" applyBorder="1" applyAlignment="1" applyProtection="1">
      <alignment horizontal="center" vertical="center" wrapText="1"/>
    </xf>
    <xf numFmtId="0" fontId="11" fillId="7" borderId="8" xfId="0" applyFont="1" applyFill="1" applyBorder="1" applyAlignment="1" applyProtection="1">
      <alignment horizontal="justify" vertical="center" wrapText="1"/>
    </xf>
    <xf numFmtId="9" fontId="11" fillId="7" borderId="9" xfId="0" applyNumberFormat="1" applyFont="1" applyFill="1" applyBorder="1" applyAlignment="1" applyProtection="1">
      <alignment horizontal="center" vertical="center" wrapText="1"/>
    </xf>
    <xf numFmtId="0" fontId="11" fillId="7" borderId="94" xfId="0" applyFont="1" applyFill="1" applyBorder="1" applyAlignment="1" applyProtection="1">
      <alignment horizontal="center" vertical="center" wrapText="1"/>
    </xf>
    <xf numFmtId="0" fontId="11" fillId="7" borderId="29" xfId="0" applyFont="1" applyFill="1" applyBorder="1" applyAlignment="1" applyProtection="1">
      <alignment horizontal="center" vertical="center" wrapText="1"/>
    </xf>
    <xf numFmtId="0" fontId="11" fillId="7" borderId="30" xfId="0" applyFont="1" applyFill="1" applyBorder="1" applyAlignment="1" applyProtection="1">
      <alignment horizontal="justify" vertical="center" wrapText="1"/>
    </xf>
    <xf numFmtId="0" fontId="0" fillId="51" borderId="52" xfId="0" applyFont="1" applyFill="1" applyBorder="1" applyAlignment="1" applyProtection="1">
      <alignment horizontal="justify" vertical="center" wrapText="1"/>
    </xf>
    <xf numFmtId="0" fontId="0" fillId="51" borderId="52" xfId="0" applyFont="1" applyFill="1" applyBorder="1" applyAlignment="1" applyProtection="1">
      <alignment horizontal="center" vertical="center" wrapText="1"/>
    </xf>
    <xf numFmtId="0" fontId="0" fillId="51" borderId="154" xfId="0" applyFont="1" applyFill="1" applyBorder="1" applyAlignment="1" applyProtection="1">
      <alignment horizontal="justify" vertical="center" wrapText="1"/>
    </xf>
    <xf numFmtId="0" fontId="0" fillId="51" borderId="94" xfId="0" applyFont="1" applyFill="1" applyBorder="1" applyAlignment="1" applyProtection="1">
      <alignment horizontal="center" vertical="center" wrapText="1"/>
    </xf>
    <xf numFmtId="0" fontId="11" fillId="17" borderId="51" xfId="0" applyFont="1" applyFill="1" applyBorder="1" applyAlignment="1" applyProtection="1">
      <alignment horizontal="center" vertical="center" wrapText="1"/>
    </xf>
    <xf numFmtId="0" fontId="11" fillId="17" borderId="32" xfId="0" applyFont="1" applyFill="1" applyBorder="1" applyAlignment="1" applyProtection="1">
      <alignment horizontal="justify" vertical="center" wrapText="1"/>
    </xf>
    <xf numFmtId="0" fontId="11" fillId="17" borderId="52" xfId="0" applyFont="1" applyFill="1" applyBorder="1" applyAlignment="1" applyProtection="1">
      <alignment horizontal="justify" vertical="center" wrapText="1"/>
    </xf>
    <xf numFmtId="0" fontId="11" fillId="17" borderId="54" xfId="0" applyFont="1" applyFill="1" applyBorder="1" applyAlignment="1" applyProtection="1">
      <alignment horizontal="justify" vertical="center" wrapText="1"/>
    </xf>
    <xf numFmtId="9" fontId="11" fillId="17" borderId="52" xfId="0" applyNumberFormat="1" applyFont="1" applyFill="1" applyBorder="1" applyAlignment="1" applyProtection="1">
      <alignment horizontal="center" vertical="center" wrapText="1"/>
    </xf>
    <xf numFmtId="0" fontId="11" fillId="17" borderId="94" xfId="0" applyFont="1" applyFill="1" applyBorder="1" applyAlignment="1" applyProtection="1">
      <alignment horizontal="center" vertical="center"/>
    </xf>
    <xf numFmtId="0" fontId="0" fillId="17" borderId="184" xfId="0" applyFont="1" applyFill="1" applyBorder="1" applyAlignment="1" applyProtection="1">
      <alignment horizontal="justify" vertical="center" wrapText="1"/>
    </xf>
    <xf numFmtId="0" fontId="11" fillId="38" borderId="52" xfId="0" applyFont="1" applyFill="1" applyBorder="1" applyAlignment="1" applyProtection="1">
      <alignment horizontal="center" vertical="center"/>
    </xf>
    <xf numFmtId="0" fontId="11" fillId="38" borderId="94" xfId="0" applyFont="1" applyFill="1" applyBorder="1" applyAlignment="1" applyProtection="1">
      <alignment horizontal="center" vertical="center"/>
    </xf>
    <xf numFmtId="0" fontId="11" fillId="38" borderId="29" xfId="0" applyFont="1" applyFill="1" applyBorder="1" applyAlignment="1" applyProtection="1">
      <alignment horizontal="center" vertical="center" wrapText="1"/>
    </xf>
    <xf numFmtId="0" fontId="11" fillId="40" borderId="51" xfId="0" applyFont="1" applyFill="1" applyBorder="1" applyAlignment="1" applyProtection="1">
      <alignment horizontal="center" vertical="center" wrapText="1"/>
    </xf>
    <xf numFmtId="0" fontId="11" fillId="40" borderId="32" xfId="0" applyFont="1" applyFill="1" applyBorder="1" applyAlignment="1" applyProtection="1">
      <alignment horizontal="justify" vertical="center" wrapText="1"/>
    </xf>
    <xf numFmtId="0" fontId="11" fillId="40" borderId="11" xfId="0" applyFont="1" applyFill="1" applyBorder="1" applyAlignment="1" applyProtection="1">
      <alignment horizontal="center" vertical="center" wrapText="1"/>
    </xf>
    <xf numFmtId="0" fontId="11" fillId="40" borderId="184" xfId="0" applyFont="1" applyFill="1" applyBorder="1" applyAlignment="1" applyProtection="1">
      <alignment horizontal="justify" vertical="center" wrapText="1"/>
    </xf>
    <xf numFmtId="0" fontId="11" fillId="40" borderId="29" xfId="0" applyFont="1" applyFill="1" applyBorder="1" applyAlignment="1" applyProtection="1">
      <alignment horizontal="center" vertical="center" wrapText="1"/>
    </xf>
    <xf numFmtId="0" fontId="11" fillId="40" borderId="30" xfId="0" applyFont="1" applyFill="1" applyBorder="1" applyAlignment="1" applyProtection="1">
      <alignment horizontal="justify" vertical="center" wrapText="1"/>
    </xf>
    <xf numFmtId="0" fontId="11" fillId="41" borderId="52" xfId="0" applyFont="1" applyFill="1" applyBorder="1" applyAlignment="1" applyProtection="1">
      <alignment horizontal="justify" vertical="center" wrapText="1"/>
    </xf>
    <xf numFmtId="0" fontId="11" fillId="41" borderId="54" xfId="0" applyFont="1" applyFill="1" applyBorder="1" applyAlignment="1" applyProtection="1">
      <alignment horizontal="justify" vertical="center" wrapText="1"/>
    </xf>
    <xf numFmtId="0" fontId="11" fillId="41" borderId="52" xfId="0" applyFont="1" applyFill="1" applyBorder="1" applyAlignment="1" applyProtection="1">
      <alignment horizontal="center" vertical="center" wrapText="1"/>
    </xf>
    <xf numFmtId="0" fontId="11" fillId="41" borderId="94" xfId="0" applyFont="1" applyFill="1" applyBorder="1" applyAlignment="1" applyProtection="1">
      <alignment horizontal="center" vertical="center" wrapText="1"/>
    </xf>
    <xf numFmtId="0" fontId="11" fillId="41" borderId="29" xfId="0" applyFont="1" applyFill="1" applyBorder="1" applyAlignment="1" applyProtection="1">
      <alignment horizontal="center" vertical="center" wrapText="1"/>
    </xf>
    <xf numFmtId="0" fontId="0" fillId="42" borderId="51" xfId="0" applyFont="1" applyFill="1" applyBorder="1" applyAlignment="1" applyProtection="1">
      <alignment horizontal="center" vertical="center" wrapText="1"/>
    </xf>
    <xf numFmtId="0" fontId="0" fillId="42" borderId="32" xfId="0" applyFont="1" applyFill="1" applyBorder="1" applyAlignment="1" applyProtection="1">
      <alignment horizontal="justify" vertical="center" wrapText="1"/>
    </xf>
    <xf numFmtId="0" fontId="0" fillId="42" borderId="54" xfId="0" applyFont="1" applyFill="1" applyBorder="1" applyAlignment="1" applyProtection="1">
      <alignment horizontal="justify" vertical="center" wrapText="1"/>
    </xf>
    <xf numFmtId="0" fontId="0" fillId="42" borderId="52" xfId="0" applyFont="1" applyFill="1" applyBorder="1" applyAlignment="1" applyProtection="1">
      <alignment horizontal="center" vertical="center" wrapText="1"/>
    </xf>
    <xf numFmtId="0" fontId="0" fillId="42" borderId="11" xfId="0" applyFont="1" applyFill="1" applyBorder="1" applyAlignment="1" applyProtection="1">
      <alignment horizontal="center" vertical="center" wrapText="1"/>
    </xf>
    <xf numFmtId="0" fontId="0" fillId="42" borderId="184" xfId="0" applyFont="1" applyFill="1" applyBorder="1" applyAlignment="1" applyProtection="1">
      <alignment horizontal="justify" vertical="center" wrapText="1"/>
    </xf>
    <xf numFmtId="0" fontId="0" fillId="42" borderId="154" xfId="0" applyFont="1" applyFill="1" applyBorder="1" applyAlignment="1" applyProtection="1">
      <alignment horizontal="justify" vertical="center" wrapText="1"/>
    </xf>
    <xf numFmtId="0" fontId="0" fillId="42" borderId="94" xfId="0" applyFont="1" applyFill="1" applyBorder="1" applyAlignment="1" applyProtection="1">
      <alignment horizontal="center" vertical="center" wrapText="1"/>
    </xf>
    <xf numFmtId="9" fontId="0" fillId="42" borderId="94" xfId="0" applyNumberFormat="1" applyFont="1" applyFill="1" applyBorder="1" applyAlignment="1" applyProtection="1">
      <alignment horizontal="center" vertical="center" wrapText="1"/>
    </xf>
    <xf numFmtId="0" fontId="11" fillId="42" borderId="184" xfId="0" applyFont="1" applyFill="1" applyBorder="1" applyAlignment="1" applyProtection="1">
      <alignment horizontal="justify" vertical="center" wrapText="1"/>
    </xf>
    <xf numFmtId="0" fontId="0" fillId="42" borderId="29" xfId="0" applyFont="1" applyFill="1" applyBorder="1" applyAlignment="1" applyProtection="1">
      <alignment horizontal="center" vertical="center" wrapText="1"/>
    </xf>
    <xf numFmtId="0" fontId="11" fillId="42" borderId="30" xfId="0" applyFont="1" applyFill="1" applyBorder="1" applyAlignment="1" applyProtection="1">
      <alignment horizontal="justify" vertical="center" wrapText="1"/>
    </xf>
    <xf numFmtId="0" fontId="0" fillId="42" borderId="30" xfId="0" applyFont="1" applyFill="1" applyBorder="1" applyAlignment="1" applyProtection="1">
      <alignment horizontal="justify" vertical="center" wrapText="1"/>
    </xf>
    <xf numFmtId="0" fontId="0" fillId="41" borderId="32" xfId="0" applyFont="1" applyFill="1" applyBorder="1" applyAlignment="1" applyProtection="1">
      <alignment horizontal="justify" vertical="center" wrapText="1"/>
    </xf>
    <xf numFmtId="0" fontId="11" fillId="41" borderId="52" xfId="0" applyFont="1" applyFill="1" applyBorder="1" applyAlignment="1" applyProtection="1">
      <alignment horizontal="center" vertical="center"/>
    </xf>
    <xf numFmtId="0" fontId="0" fillId="41" borderId="180" xfId="0" applyFont="1" applyFill="1" applyBorder="1" applyAlignment="1" applyProtection="1">
      <alignment horizontal="justify" vertical="center" wrapText="1"/>
    </xf>
    <xf numFmtId="0" fontId="11" fillId="41" borderId="180" xfId="0" applyFont="1" applyFill="1" applyBorder="1" applyAlignment="1" applyProtection="1">
      <alignment horizontal="justify" vertical="center" wrapText="1"/>
    </xf>
    <xf numFmtId="0" fontId="11" fillId="41" borderId="159" xfId="0" applyFont="1" applyFill="1" applyBorder="1" applyAlignment="1" applyProtection="1">
      <alignment horizontal="justify" vertical="center" wrapText="1"/>
    </xf>
    <xf numFmtId="0" fontId="11" fillId="41" borderId="182" xfId="0" applyFont="1" applyFill="1" applyBorder="1" applyAlignment="1" applyProtection="1">
      <alignment horizontal="justify" vertical="center" wrapText="1"/>
    </xf>
    <xf numFmtId="0" fontId="11" fillId="41" borderId="159" xfId="0" applyFont="1" applyFill="1" applyBorder="1" applyAlignment="1" applyProtection="1">
      <alignment horizontal="center" vertical="center"/>
    </xf>
    <xf numFmtId="0" fontId="0" fillId="17" borderId="7" xfId="0" applyFont="1" applyFill="1" applyBorder="1" applyAlignment="1" applyProtection="1">
      <alignment horizontal="center" vertical="center" wrapText="1"/>
    </xf>
    <xf numFmtId="0" fontId="0" fillId="17" borderId="8" xfId="0" applyFont="1" applyFill="1" applyBorder="1" applyAlignment="1" applyProtection="1">
      <alignment horizontal="justify" vertical="center" wrapText="1"/>
    </xf>
    <xf numFmtId="0" fontId="0" fillId="17" borderId="11" xfId="0" applyFont="1" applyFill="1" applyBorder="1" applyAlignment="1" applyProtection="1">
      <alignment horizontal="center" vertical="center" wrapText="1"/>
    </xf>
    <xf numFmtId="0" fontId="0" fillId="17" borderId="158" xfId="0" applyFont="1" applyFill="1" applyBorder="1" applyAlignment="1" applyProtection="1">
      <alignment horizontal="center" vertical="center" wrapText="1"/>
    </xf>
    <xf numFmtId="0" fontId="0" fillId="17" borderId="180" xfId="0" applyFont="1" applyFill="1" applyBorder="1" applyAlignment="1" applyProtection="1">
      <alignment horizontal="justify" vertical="center" wrapText="1"/>
    </xf>
    <xf numFmtId="0" fontId="11" fillId="17" borderId="180" xfId="0" applyFont="1" applyFill="1" applyBorder="1" applyAlignment="1" applyProtection="1">
      <alignment horizontal="justify" vertical="center" wrapText="1"/>
    </xf>
    <xf numFmtId="0" fontId="10" fillId="17" borderId="159" xfId="0" applyFont="1" applyFill="1" applyBorder="1" applyAlignment="1" applyProtection="1">
      <alignment horizontal="justify" vertical="center" wrapText="1"/>
    </xf>
    <xf numFmtId="0" fontId="10" fillId="28" borderId="53" xfId="0" applyFont="1" applyFill="1" applyBorder="1" applyAlignment="1" applyProtection="1">
      <alignment horizontal="justify" vertical="center" wrapText="1"/>
    </xf>
    <xf numFmtId="0" fontId="0" fillId="17" borderId="159" xfId="0" applyFont="1" applyFill="1" applyBorder="1" applyAlignment="1" applyProtection="1">
      <alignment horizontal="center" vertical="center" wrapText="1"/>
    </xf>
    <xf numFmtId="0" fontId="0" fillId="38" borderId="7" xfId="0" applyFont="1" applyFill="1" applyBorder="1" applyAlignment="1" applyProtection="1">
      <alignment horizontal="center" vertical="center" wrapText="1"/>
    </xf>
    <xf numFmtId="0" fontId="10" fillId="38" borderId="9" xfId="0" applyFont="1" applyFill="1" applyBorder="1" applyAlignment="1" applyProtection="1">
      <alignment horizontal="justify" vertical="center" wrapText="1"/>
    </xf>
    <xf numFmtId="0" fontId="10" fillId="38" borderId="54" xfId="0" applyFont="1" applyFill="1" applyBorder="1" applyAlignment="1" applyProtection="1">
      <alignment horizontal="justify" vertical="center" wrapText="1"/>
    </xf>
    <xf numFmtId="0" fontId="0" fillId="38" borderId="9" xfId="0" applyFont="1" applyFill="1" applyBorder="1" applyAlignment="1" applyProtection="1">
      <alignment horizontal="center" vertical="center" wrapText="1"/>
    </xf>
    <xf numFmtId="9" fontId="0" fillId="38" borderId="11" xfId="0" applyNumberFormat="1" applyFont="1" applyFill="1" applyBorder="1" applyAlignment="1" applyProtection="1">
      <alignment horizontal="center" vertical="center" wrapText="1"/>
    </xf>
    <xf numFmtId="0" fontId="0" fillId="29" borderId="51" xfId="0" applyFont="1" applyFill="1" applyBorder="1" applyAlignment="1" applyProtection="1">
      <alignment horizontal="center" vertical="center" wrapText="1"/>
    </xf>
    <xf numFmtId="0" fontId="0" fillId="29" borderId="32" xfId="6" applyFont="1" applyFill="1" applyBorder="1" applyAlignment="1" applyProtection="1">
      <alignment horizontal="justify" vertical="center" wrapText="1"/>
    </xf>
    <xf numFmtId="0" fontId="10" fillId="29" borderId="54" xfId="0" applyFont="1" applyFill="1" applyBorder="1" applyAlignment="1" applyProtection="1">
      <alignment horizontal="justify" vertical="center" wrapText="1"/>
    </xf>
    <xf numFmtId="0" fontId="0" fillId="29" borderId="52" xfId="0" applyFont="1" applyFill="1" applyBorder="1" applyAlignment="1" applyProtection="1">
      <alignment horizontal="center" vertical="center" wrapText="1"/>
    </xf>
    <xf numFmtId="9" fontId="0" fillId="29" borderId="11" xfId="0" applyNumberFormat="1" applyFont="1" applyFill="1" applyBorder="1" applyAlignment="1" applyProtection="1">
      <alignment horizontal="center" vertical="center" wrapText="1"/>
    </xf>
    <xf numFmtId="0" fontId="0" fillId="29" borderId="184" xfId="6" applyFont="1" applyFill="1" applyBorder="1" applyAlignment="1" applyProtection="1">
      <alignment horizontal="justify" vertical="center" wrapText="1"/>
    </xf>
    <xf numFmtId="0" fontId="10" fillId="29" borderId="154" xfId="0" applyFont="1" applyFill="1" applyBorder="1" applyAlignment="1" applyProtection="1">
      <alignment horizontal="justify" vertical="center" wrapText="1"/>
    </xf>
    <xf numFmtId="9" fontId="0" fillId="29" borderId="94" xfId="0" applyNumberFormat="1" applyFont="1" applyFill="1" applyBorder="1" applyAlignment="1" applyProtection="1">
      <alignment horizontal="center" vertical="center" wrapText="1"/>
    </xf>
    <xf numFmtId="0" fontId="0" fillId="29" borderId="11" xfId="0" applyFont="1" applyFill="1" applyBorder="1" applyAlignment="1" applyProtection="1">
      <alignment horizontal="center" vertical="center" wrapText="1"/>
    </xf>
    <xf numFmtId="0" fontId="10" fillId="29" borderId="94" xfId="0" applyFont="1" applyFill="1" applyBorder="1" applyAlignment="1" applyProtection="1">
      <alignment horizontal="justify" vertical="center" wrapText="1"/>
    </xf>
    <xf numFmtId="0" fontId="0" fillId="29" borderId="94" xfId="0" applyFont="1" applyFill="1" applyBorder="1" applyAlignment="1" applyProtection="1">
      <alignment horizontal="center" vertical="center" wrapText="1"/>
    </xf>
    <xf numFmtId="0" fontId="0" fillId="29" borderId="29" xfId="0" applyFont="1" applyFill="1" applyBorder="1" applyAlignment="1" applyProtection="1">
      <alignment horizontal="center" vertical="center" wrapText="1"/>
    </xf>
    <xf numFmtId="0" fontId="0" fillId="29" borderId="30" xfId="6" applyFont="1" applyFill="1" applyBorder="1" applyAlignment="1" applyProtection="1">
      <alignment horizontal="justify" vertical="center" wrapText="1"/>
    </xf>
    <xf numFmtId="0" fontId="10" fillId="29" borderId="31" xfId="0" applyFont="1" applyFill="1" applyBorder="1" applyAlignment="1" applyProtection="1">
      <alignment horizontal="justify" vertical="center" wrapText="1"/>
    </xf>
    <xf numFmtId="0" fontId="10" fillId="29" borderId="53" xfId="0" applyFont="1" applyFill="1" applyBorder="1" applyAlignment="1" applyProtection="1">
      <alignment horizontal="justify" vertical="center" wrapText="1"/>
    </xf>
    <xf numFmtId="0" fontId="0" fillId="29" borderId="31" xfId="0" applyFont="1" applyFill="1" applyBorder="1" applyAlignment="1" applyProtection="1">
      <alignment horizontal="center" vertical="center" wrapText="1"/>
    </xf>
    <xf numFmtId="0" fontId="0" fillId="7" borderId="51" xfId="0" applyFont="1" applyFill="1" applyBorder="1" applyAlignment="1" applyProtection="1">
      <alignment horizontal="center" vertical="center" wrapText="1"/>
    </xf>
    <xf numFmtId="0" fontId="0" fillId="7" borderId="32" xfId="6" applyFont="1" applyFill="1" applyBorder="1" applyAlignment="1" applyProtection="1">
      <alignment horizontal="justify" vertical="center" wrapText="1"/>
    </xf>
    <xf numFmtId="0" fontId="0" fillId="7" borderId="11" xfId="0" applyFont="1" applyFill="1" applyBorder="1" applyAlignment="1" applyProtection="1">
      <alignment horizontal="center" vertical="center" wrapText="1"/>
    </xf>
    <xf numFmtId="0" fontId="0" fillId="7" borderId="184" xfId="6" applyFont="1" applyFill="1" applyBorder="1" applyAlignment="1" applyProtection="1">
      <alignment horizontal="justify" vertical="center" wrapText="1"/>
    </xf>
    <xf numFmtId="0" fontId="10" fillId="7" borderId="94" xfId="0" applyFont="1" applyFill="1" applyBorder="1" applyAlignment="1" applyProtection="1">
      <alignment horizontal="justify" vertical="center" wrapText="1"/>
    </xf>
    <xf numFmtId="0" fontId="10" fillId="7" borderId="154" xfId="0" applyFont="1" applyFill="1" applyBorder="1" applyAlignment="1" applyProtection="1">
      <alignment horizontal="justify" vertical="center" wrapText="1"/>
    </xf>
    <xf numFmtId="0" fontId="0" fillId="7" borderId="94" xfId="0" applyFont="1" applyFill="1" applyBorder="1" applyAlignment="1" applyProtection="1">
      <alignment horizontal="center" vertical="center" wrapText="1"/>
    </xf>
    <xf numFmtId="0" fontId="0" fillId="7" borderId="30" xfId="6" applyFont="1" applyFill="1" applyBorder="1" applyAlignment="1" applyProtection="1">
      <alignment horizontal="justify" vertical="center" wrapText="1"/>
    </xf>
    <xf numFmtId="0" fontId="10" fillId="7" borderId="31" xfId="0" applyFont="1" applyFill="1" applyBorder="1" applyAlignment="1" applyProtection="1">
      <alignment horizontal="justify" vertical="center" wrapText="1"/>
    </xf>
    <xf numFmtId="0" fontId="10" fillId="7" borderId="53" xfId="0" applyFont="1" applyFill="1" applyBorder="1" applyAlignment="1" applyProtection="1">
      <alignment horizontal="justify" vertical="center" wrapText="1"/>
    </xf>
    <xf numFmtId="0" fontId="0" fillId="7" borderId="31" xfId="0" applyFont="1" applyFill="1" applyBorder="1" applyAlignment="1" applyProtection="1">
      <alignment horizontal="center" vertical="center" wrapText="1"/>
    </xf>
    <xf numFmtId="0" fontId="0" fillId="51" borderId="32" xfId="6" applyFont="1" applyFill="1" applyBorder="1" applyAlignment="1" applyProtection="1">
      <alignment horizontal="justify" vertical="center" wrapText="1"/>
    </xf>
    <xf numFmtId="0" fontId="11" fillId="51" borderId="32" xfId="0" applyFont="1" applyFill="1" applyBorder="1" applyAlignment="1" applyProtection="1">
      <alignment horizontal="justify" vertical="center" wrapText="1"/>
    </xf>
    <xf numFmtId="0" fontId="10" fillId="51" borderId="52" xfId="0" applyFont="1" applyFill="1" applyBorder="1" applyAlignment="1" applyProtection="1">
      <alignment horizontal="justify" vertical="center" wrapText="1"/>
    </xf>
    <xf numFmtId="0" fontId="10" fillId="51" borderId="54" xfId="0" applyFont="1" applyFill="1" applyBorder="1" applyAlignment="1" applyProtection="1">
      <alignment horizontal="justify" vertical="center" wrapText="1"/>
    </xf>
    <xf numFmtId="0" fontId="0" fillId="51" borderId="30" xfId="6" applyFont="1" applyFill="1" applyBorder="1" applyAlignment="1" applyProtection="1">
      <alignment horizontal="justify" vertical="center" wrapText="1"/>
    </xf>
    <xf numFmtId="0" fontId="10" fillId="51" borderId="31" xfId="0" applyFont="1" applyFill="1" applyBorder="1" applyAlignment="1" applyProtection="1">
      <alignment horizontal="justify" vertical="center" wrapText="1"/>
    </xf>
    <xf numFmtId="0" fontId="10" fillId="51" borderId="53" xfId="0" applyFont="1" applyFill="1" applyBorder="1" applyAlignment="1" applyProtection="1">
      <alignment horizontal="justify" vertical="center" wrapText="1"/>
    </xf>
    <xf numFmtId="0" fontId="0" fillId="51" borderId="31" xfId="0" applyFont="1" applyFill="1" applyBorder="1" applyAlignment="1" applyProtection="1">
      <alignment horizontal="center" vertical="center" wrapText="1"/>
    </xf>
    <xf numFmtId="0" fontId="0" fillId="38" borderId="8" xfId="6" applyFont="1" applyFill="1" applyBorder="1" applyAlignment="1" applyProtection="1">
      <alignment horizontal="justify" vertical="center" wrapText="1"/>
    </xf>
    <xf numFmtId="0" fontId="0" fillId="38" borderId="184" xfId="6" applyFont="1" applyFill="1" applyBorder="1" applyAlignment="1" applyProtection="1">
      <alignment horizontal="justify" vertical="center" wrapText="1"/>
    </xf>
    <xf numFmtId="0" fontId="10" fillId="38" borderId="94" xfId="0" applyFont="1" applyFill="1" applyBorder="1" applyAlignment="1" applyProtection="1">
      <alignment horizontal="justify" vertical="center" wrapText="1"/>
    </xf>
    <xf numFmtId="0" fontId="10" fillId="38" borderId="154" xfId="0" applyFont="1" applyFill="1" applyBorder="1" applyAlignment="1" applyProtection="1">
      <alignment horizontal="justify" vertical="center" wrapText="1"/>
    </xf>
    <xf numFmtId="0" fontId="0" fillId="38" borderId="30" xfId="6" applyFont="1" applyFill="1" applyBorder="1" applyAlignment="1" applyProtection="1">
      <alignment horizontal="justify" vertical="center" wrapText="1"/>
    </xf>
    <xf numFmtId="0" fontId="0" fillId="17" borderId="51" xfId="0" applyFont="1" applyFill="1" applyBorder="1" applyAlignment="1" applyProtection="1">
      <alignment horizontal="center" vertical="center" wrapText="1"/>
    </xf>
    <xf numFmtId="0" fontId="0" fillId="17" borderId="32" xfId="6" applyFont="1" applyFill="1" applyBorder="1" applyAlignment="1" applyProtection="1">
      <alignment horizontal="justify" vertical="center" wrapText="1"/>
    </xf>
    <xf numFmtId="0" fontId="10" fillId="17" borderId="52" xfId="0" applyFont="1" applyFill="1" applyBorder="1" applyAlignment="1" applyProtection="1">
      <alignment horizontal="justify" vertical="center" wrapText="1"/>
    </xf>
    <xf numFmtId="0" fontId="10" fillId="17" borderId="54" xfId="0" applyFont="1" applyFill="1" applyBorder="1" applyAlignment="1" applyProtection="1">
      <alignment horizontal="justify" vertical="center" wrapText="1"/>
    </xf>
    <xf numFmtId="0" fontId="0" fillId="17" borderId="52" xfId="0" applyFont="1" applyFill="1" applyBorder="1" applyAlignment="1" applyProtection="1">
      <alignment horizontal="center" vertical="center" wrapText="1"/>
    </xf>
    <xf numFmtId="0" fontId="0" fillId="17" borderId="184" xfId="6" applyFont="1" applyFill="1" applyBorder="1" applyAlignment="1" applyProtection="1">
      <alignment horizontal="justify" vertical="center" wrapText="1"/>
    </xf>
    <xf numFmtId="0" fontId="0" fillId="17" borderId="29" xfId="0" applyFont="1" applyFill="1" applyBorder="1" applyAlignment="1" applyProtection="1">
      <alignment horizontal="center" vertical="center" wrapText="1"/>
    </xf>
    <xf numFmtId="0" fontId="0" fillId="17" borderId="30" xfId="6" applyFont="1" applyFill="1" applyBorder="1" applyAlignment="1" applyProtection="1">
      <alignment horizontal="justify" vertical="center" wrapText="1"/>
    </xf>
    <xf numFmtId="0" fontId="0" fillId="17" borderId="30" xfId="0" applyFont="1" applyFill="1" applyBorder="1" applyAlignment="1" applyProtection="1">
      <alignment horizontal="justify" vertical="center" wrapText="1"/>
    </xf>
    <xf numFmtId="0" fontId="10" fillId="94" borderId="94" xfId="0" applyFont="1" applyFill="1" applyBorder="1" applyAlignment="1" applyProtection="1">
      <alignment horizontal="justify" vertical="center" wrapText="1"/>
    </xf>
    <xf numFmtId="0" fontId="10" fillId="95" borderId="52" xfId="0" applyFont="1" applyFill="1" applyBorder="1" applyAlignment="1" applyProtection="1">
      <alignment horizontal="justify" vertical="center" wrapText="1"/>
    </xf>
    <xf numFmtId="0" fontId="0" fillId="51" borderId="184" xfId="6" applyFont="1" applyFill="1" applyBorder="1" applyAlignment="1" applyProtection="1">
      <alignment horizontal="justify" vertical="center" wrapText="1"/>
    </xf>
    <xf numFmtId="0" fontId="10" fillId="51" borderId="94" xfId="0" applyFont="1" applyFill="1" applyBorder="1" applyAlignment="1" applyProtection="1">
      <alignment horizontal="justify" vertical="center" wrapText="1"/>
    </xf>
    <xf numFmtId="0" fontId="0" fillId="72" borderId="51" xfId="0" applyFont="1" applyFill="1" applyBorder="1" applyAlignment="1" applyProtection="1">
      <alignment horizontal="center" vertical="center" wrapText="1"/>
    </xf>
    <xf numFmtId="0" fontId="0" fillId="72" borderId="32" xfId="6" applyFont="1" applyFill="1" applyBorder="1" applyAlignment="1" applyProtection="1">
      <alignment horizontal="justify" vertical="center" wrapText="1"/>
    </xf>
    <xf numFmtId="0" fontId="0" fillId="72" borderId="32" xfId="0" applyFont="1" applyFill="1" applyBorder="1" applyAlignment="1" applyProtection="1">
      <alignment horizontal="justify" vertical="center" wrapText="1"/>
    </xf>
    <xf numFmtId="0" fontId="0" fillId="72" borderId="52" xfId="0" applyFont="1" applyFill="1" applyBorder="1" applyAlignment="1" applyProtection="1">
      <alignment horizontal="center" vertical="center" wrapText="1"/>
    </xf>
    <xf numFmtId="0" fontId="0" fillId="72" borderId="11" xfId="0" applyFont="1" applyFill="1" applyBorder="1" applyAlignment="1" applyProtection="1">
      <alignment horizontal="center" vertical="center" wrapText="1"/>
    </xf>
    <xf numFmtId="0" fontId="0" fillId="72" borderId="184" xfId="6" applyFont="1" applyFill="1" applyBorder="1" applyAlignment="1" applyProtection="1">
      <alignment horizontal="justify" vertical="center" wrapText="1"/>
    </xf>
    <xf numFmtId="0" fontId="0" fillId="72" borderId="184" xfId="0" applyFont="1" applyFill="1" applyBorder="1" applyAlignment="1" applyProtection="1">
      <alignment horizontal="justify" vertical="center" wrapText="1"/>
    </xf>
    <xf numFmtId="0" fontId="0" fillId="72" borderId="94" xfId="0" applyFont="1" applyFill="1" applyBorder="1" applyAlignment="1" applyProtection="1">
      <alignment horizontal="center" vertical="center" wrapText="1"/>
    </xf>
    <xf numFmtId="0" fontId="10" fillId="72" borderId="94" xfId="0" applyFont="1" applyFill="1" applyBorder="1" applyAlignment="1" applyProtection="1">
      <alignment horizontal="justify" vertical="center" wrapText="1"/>
    </xf>
    <xf numFmtId="0" fontId="10" fillId="72" borderId="154" xfId="0" applyFont="1" applyFill="1" applyBorder="1" applyAlignment="1" applyProtection="1">
      <alignment horizontal="justify" vertical="center" wrapText="1"/>
    </xf>
    <xf numFmtId="0" fontId="0" fillId="72" borderId="29" xfId="0" applyFont="1" applyFill="1" applyBorder="1" applyAlignment="1" applyProtection="1">
      <alignment horizontal="center" vertical="center" wrapText="1"/>
    </xf>
    <xf numFmtId="0" fontId="0" fillId="72" borderId="30" xfId="6" applyFont="1" applyFill="1" applyBorder="1" applyAlignment="1" applyProtection="1">
      <alignment horizontal="justify" vertical="center" wrapText="1"/>
    </xf>
    <xf numFmtId="0" fontId="0" fillId="72" borderId="30" xfId="0" applyFont="1" applyFill="1" applyBorder="1" applyAlignment="1" applyProtection="1">
      <alignment horizontal="justify" vertical="center" wrapText="1"/>
    </xf>
    <xf numFmtId="0" fontId="10" fillId="72" borderId="31" xfId="0" applyFont="1" applyFill="1" applyBorder="1" applyAlignment="1" applyProtection="1">
      <alignment horizontal="justify" vertical="center" wrapText="1"/>
    </xf>
    <xf numFmtId="0" fontId="10" fillId="72" borderId="53" xfId="0" applyFont="1" applyFill="1" applyBorder="1" applyAlignment="1" applyProtection="1">
      <alignment horizontal="justify" vertical="center" wrapText="1"/>
    </xf>
    <xf numFmtId="0" fontId="0" fillId="72" borderId="31" xfId="0" applyFont="1" applyFill="1" applyBorder="1" applyAlignment="1" applyProtection="1">
      <alignment horizontal="center" vertical="center" wrapText="1"/>
    </xf>
    <xf numFmtId="0" fontId="0" fillId="38" borderId="32" xfId="6" applyFont="1" applyFill="1" applyBorder="1" applyAlignment="1" applyProtection="1">
      <alignment horizontal="justify" vertical="center" wrapText="1"/>
    </xf>
    <xf numFmtId="0" fontId="10" fillId="38" borderId="52" xfId="0" applyFont="1" applyFill="1" applyBorder="1" applyAlignment="1" applyProtection="1">
      <alignment horizontal="justify" vertical="center" wrapText="1"/>
    </xf>
    <xf numFmtId="0" fontId="0" fillId="38" borderId="52" xfId="0" applyFont="1" applyFill="1" applyBorder="1" applyAlignment="1" applyProtection="1">
      <alignment horizontal="center" vertical="center" wrapText="1"/>
    </xf>
    <xf numFmtId="0" fontId="0" fillId="41" borderId="51" xfId="0" applyFont="1" applyFill="1" applyBorder="1" applyAlignment="1" applyProtection="1">
      <alignment horizontal="center" vertical="center" wrapText="1"/>
    </xf>
    <xf numFmtId="0" fontId="0" fillId="41" borderId="32" xfId="6" applyFont="1" applyFill="1" applyBorder="1" applyAlignment="1" applyProtection="1">
      <alignment horizontal="justify" vertical="center" wrapText="1"/>
    </xf>
    <xf numFmtId="0" fontId="7" fillId="41" borderId="32" xfId="0" applyFont="1" applyFill="1" applyBorder="1" applyAlignment="1" applyProtection="1">
      <alignment horizontal="justify" vertical="center" wrapText="1"/>
    </xf>
    <xf numFmtId="0" fontId="10" fillId="41" borderId="52" xfId="0" applyFont="1" applyFill="1" applyBorder="1" applyAlignment="1" applyProtection="1">
      <alignment horizontal="justify" vertical="center" wrapText="1"/>
    </xf>
    <xf numFmtId="0" fontId="10" fillId="41" borderId="54" xfId="0" applyFont="1" applyFill="1" applyBorder="1" applyAlignment="1" applyProtection="1">
      <alignment horizontal="justify" vertical="center" wrapText="1"/>
    </xf>
    <xf numFmtId="0" fontId="0" fillId="41" borderId="52" xfId="0" applyFont="1" applyFill="1" applyBorder="1" applyAlignment="1" applyProtection="1">
      <alignment horizontal="center" vertical="center" wrapText="1"/>
    </xf>
    <xf numFmtId="0" fontId="0" fillId="41" borderId="184" xfId="6" applyFont="1" applyFill="1" applyBorder="1" applyAlignment="1" applyProtection="1">
      <alignment horizontal="justify" vertical="center" wrapText="1"/>
    </xf>
    <xf numFmtId="0" fontId="7" fillId="41" borderId="184" xfId="0" applyFont="1" applyFill="1" applyBorder="1" applyAlignment="1" applyProtection="1">
      <alignment horizontal="justify" vertical="center" wrapText="1"/>
    </xf>
    <xf numFmtId="0" fontId="10" fillId="41" borderId="94" xfId="0" applyFont="1" applyFill="1" applyBorder="1" applyAlignment="1" applyProtection="1">
      <alignment horizontal="justify" vertical="center" wrapText="1"/>
    </xf>
    <xf numFmtId="0" fontId="10" fillId="41" borderId="154" xfId="0" applyFont="1" applyFill="1" applyBorder="1" applyAlignment="1" applyProtection="1">
      <alignment horizontal="justify" vertical="center" wrapText="1"/>
    </xf>
    <xf numFmtId="0" fontId="0" fillId="41" borderId="29" xfId="0" applyFont="1" applyFill="1" applyBorder="1" applyAlignment="1" applyProtection="1">
      <alignment horizontal="center" vertical="center" wrapText="1"/>
    </xf>
    <xf numFmtId="0" fontId="0" fillId="41" borderId="30" xfId="6" applyFont="1" applyFill="1" applyBorder="1" applyAlignment="1" applyProtection="1">
      <alignment horizontal="justify" vertical="center" wrapText="1"/>
    </xf>
    <xf numFmtId="0" fontId="0" fillId="33" borderId="51" xfId="0" applyFont="1" applyFill="1" applyBorder="1" applyAlignment="1" applyProtection="1">
      <alignment horizontal="center" vertical="center" wrapText="1"/>
    </xf>
    <xf numFmtId="0" fontId="0" fillId="33" borderId="32" xfId="6" applyFont="1" applyFill="1" applyBorder="1" applyAlignment="1" applyProtection="1">
      <alignment horizontal="justify" vertical="center" wrapText="1"/>
    </xf>
    <xf numFmtId="0" fontId="11" fillId="33" borderId="32" xfId="0" applyFont="1" applyFill="1" applyBorder="1" applyAlignment="1" applyProtection="1">
      <alignment horizontal="justify" vertical="center" wrapText="1"/>
    </xf>
    <xf numFmtId="0" fontId="0" fillId="33" borderId="11" xfId="0" applyFont="1" applyFill="1" applyBorder="1" applyAlignment="1" applyProtection="1">
      <alignment horizontal="center" vertical="center" wrapText="1"/>
    </xf>
    <xf numFmtId="0" fontId="0" fillId="33" borderId="184" xfId="6" applyFont="1" applyFill="1" applyBorder="1" applyAlignment="1" applyProtection="1">
      <alignment horizontal="justify" vertical="center" wrapText="1"/>
    </xf>
    <xf numFmtId="0" fontId="11" fillId="33" borderId="184" xfId="0" applyFont="1" applyFill="1" applyBorder="1" applyAlignment="1" applyProtection="1">
      <alignment horizontal="justify" vertical="center" wrapText="1"/>
    </xf>
    <xf numFmtId="0" fontId="0" fillId="33" borderId="29" xfId="0" applyFont="1" applyFill="1" applyBorder="1" applyAlignment="1" applyProtection="1">
      <alignment horizontal="center" vertical="center" wrapText="1"/>
    </xf>
    <xf numFmtId="0" fontId="0" fillId="33" borderId="30" xfId="6" applyFont="1" applyFill="1" applyBorder="1" applyAlignment="1" applyProtection="1">
      <alignment horizontal="justify" vertical="center" wrapText="1"/>
    </xf>
    <xf numFmtId="0" fontId="11" fillId="33" borderId="30" xfId="0" applyFont="1" applyFill="1" applyBorder="1" applyAlignment="1" applyProtection="1">
      <alignment horizontal="justify" vertical="center" wrapText="1"/>
    </xf>
    <xf numFmtId="0" fontId="7" fillId="29" borderId="184" xfId="0" applyFont="1" applyFill="1" applyBorder="1" applyAlignment="1" applyProtection="1">
      <alignment horizontal="justify" vertical="center" wrapText="1"/>
    </xf>
    <xf numFmtId="0" fontId="7" fillId="29" borderId="30" xfId="0" applyFont="1" applyFill="1" applyBorder="1" applyAlignment="1" applyProtection="1">
      <alignment horizontal="justify" vertical="center" wrapText="1"/>
    </xf>
    <xf numFmtId="0" fontId="0" fillId="40" borderId="8" xfId="6" applyFont="1" applyFill="1" applyBorder="1" applyAlignment="1" applyProtection="1">
      <alignment horizontal="justify" vertical="center" wrapText="1"/>
    </xf>
    <xf numFmtId="0" fontId="11" fillId="40" borderId="8" xfId="0" applyFont="1" applyFill="1" applyBorder="1" applyAlignment="1" applyProtection="1">
      <alignment horizontal="justify" vertical="center" wrapText="1"/>
    </xf>
    <xf numFmtId="0" fontId="10" fillId="40" borderId="9" xfId="0" applyFont="1" applyFill="1" applyBorder="1" applyAlignment="1" applyProtection="1">
      <alignment horizontal="justify" vertical="center" wrapText="1"/>
    </xf>
    <xf numFmtId="0" fontId="10" fillId="40" borderId="19" xfId="0" applyFont="1" applyFill="1" applyBorder="1" applyAlignment="1" applyProtection="1">
      <alignment horizontal="justify" vertical="center" wrapText="1"/>
    </xf>
    <xf numFmtId="0" fontId="0" fillId="40" borderId="184" xfId="6" applyFont="1" applyFill="1" applyBorder="1" applyAlignment="1" applyProtection="1">
      <alignment horizontal="justify" vertical="center" wrapText="1"/>
    </xf>
    <xf numFmtId="0" fontId="3" fillId="40" borderId="94" xfId="0" applyFont="1" applyFill="1" applyBorder="1" applyAlignment="1" applyProtection="1">
      <alignment horizontal="center" vertical="center" wrapText="1"/>
    </xf>
    <xf numFmtId="0" fontId="0" fillId="40" borderId="30" xfId="6" applyFont="1" applyFill="1" applyBorder="1" applyAlignment="1" applyProtection="1">
      <alignment horizontal="justify" vertical="center" wrapText="1"/>
    </xf>
    <xf numFmtId="9" fontId="0" fillId="51" borderId="11" xfId="0" applyNumberFormat="1" applyFont="1" applyFill="1" applyBorder="1" applyAlignment="1" applyProtection="1">
      <alignment horizontal="center" vertical="center" wrapText="1"/>
    </xf>
    <xf numFmtId="0" fontId="10" fillId="51" borderId="154" xfId="0" applyFont="1" applyFill="1" applyBorder="1" applyAlignment="1" applyProtection="1">
      <alignment horizontal="justify" vertical="center"/>
    </xf>
    <xf numFmtId="0" fontId="10" fillId="51" borderId="53" xfId="0" applyFont="1" applyFill="1" applyBorder="1" applyAlignment="1" applyProtection="1">
      <alignment horizontal="justify" vertical="center"/>
    </xf>
    <xf numFmtId="0" fontId="10" fillId="38" borderId="31" xfId="0" applyFont="1" applyFill="1" applyBorder="1" applyAlignment="1" applyProtection="1">
      <alignment horizontal="justify" vertical="center" wrapText="1"/>
    </xf>
    <xf numFmtId="0" fontId="10" fillId="38" borderId="53" xfId="0" applyFont="1" applyFill="1" applyBorder="1" applyAlignment="1" applyProtection="1">
      <alignment horizontal="justify" vertical="center" wrapText="1"/>
    </xf>
    <xf numFmtId="0" fontId="0" fillId="39" borderId="51" xfId="0" applyFont="1" applyFill="1" applyBorder="1" applyAlignment="1" applyProtection="1">
      <alignment horizontal="center" vertical="center" wrapText="1"/>
    </xf>
    <xf numFmtId="0" fontId="0" fillId="39" borderId="32" xfId="6" applyFont="1" applyFill="1" applyBorder="1" applyAlignment="1" applyProtection="1">
      <alignment horizontal="justify" vertical="center" wrapText="1"/>
    </xf>
    <xf numFmtId="0" fontId="0" fillId="39" borderId="11" xfId="0" applyFont="1" applyFill="1" applyBorder="1" applyAlignment="1" applyProtection="1">
      <alignment horizontal="center" vertical="center" wrapText="1"/>
    </xf>
    <xf numFmtId="0" fontId="0" fillId="39" borderId="184" xfId="6" applyFont="1" applyFill="1" applyBorder="1" applyAlignment="1" applyProtection="1">
      <alignment horizontal="justify" vertical="center" wrapText="1"/>
    </xf>
    <xf numFmtId="0" fontId="10" fillId="39" borderId="184" xfId="0" applyFont="1" applyFill="1" applyBorder="1" applyAlignment="1" applyProtection="1">
      <alignment horizontal="justify" vertical="center" wrapText="1"/>
    </xf>
    <xf numFmtId="9" fontId="0" fillId="39" borderId="11" xfId="0" applyNumberFormat="1" applyFont="1" applyFill="1" applyBorder="1" applyAlignment="1" applyProtection="1">
      <alignment horizontal="center" vertical="center" wrapText="1"/>
    </xf>
    <xf numFmtId="0" fontId="0" fillId="39" borderId="29" xfId="0" applyFont="1" applyFill="1" applyBorder="1" applyAlignment="1" applyProtection="1">
      <alignment horizontal="center" vertical="center" wrapText="1"/>
    </xf>
    <xf numFmtId="0" fontId="0" fillId="39" borderId="30" xfId="6" applyFont="1" applyFill="1" applyBorder="1" applyAlignment="1" applyProtection="1">
      <alignment horizontal="justify" vertical="center" wrapText="1"/>
    </xf>
    <xf numFmtId="0" fontId="10" fillId="39" borderId="31" xfId="0" applyFont="1" applyFill="1" applyBorder="1" applyAlignment="1" applyProtection="1">
      <alignment horizontal="justify" vertical="center" wrapText="1"/>
    </xf>
    <xf numFmtId="0" fontId="10" fillId="39" borderId="53" xfId="0" applyFont="1" applyFill="1" applyBorder="1" applyAlignment="1" applyProtection="1">
      <alignment horizontal="justify" vertical="center" wrapText="1"/>
    </xf>
    <xf numFmtId="0" fontId="0" fillId="39" borderId="31" xfId="0" applyFont="1" applyFill="1" applyBorder="1" applyAlignment="1" applyProtection="1">
      <alignment horizontal="center" vertical="center" wrapText="1"/>
    </xf>
    <xf numFmtId="0" fontId="0" fillId="41" borderId="7" xfId="0" applyFont="1" applyFill="1" applyBorder="1" applyAlignment="1" applyProtection="1">
      <alignment horizontal="center" vertical="center" wrapText="1"/>
    </xf>
    <xf numFmtId="0" fontId="0" fillId="41" borderId="8" xfId="6" applyFont="1" applyFill="1" applyBorder="1" applyAlignment="1" applyProtection="1">
      <alignment horizontal="justify" vertical="center" wrapText="1"/>
    </xf>
    <xf numFmtId="0" fontId="11" fillId="41" borderId="8" xfId="0" applyFont="1" applyFill="1" applyBorder="1" applyAlignment="1" applyProtection="1">
      <alignment horizontal="justify" vertical="center" wrapText="1"/>
    </xf>
    <xf numFmtId="0" fontId="10" fillId="41" borderId="9" xfId="0" applyFont="1" applyFill="1" applyBorder="1" applyAlignment="1" applyProtection="1">
      <alignment horizontal="justify" vertical="center" wrapText="1"/>
    </xf>
    <xf numFmtId="0" fontId="10" fillId="41" borderId="19" xfId="0" applyFont="1" applyFill="1" applyBorder="1" applyAlignment="1" applyProtection="1">
      <alignment horizontal="justify" vertical="center" wrapText="1"/>
    </xf>
    <xf numFmtId="0" fontId="0" fillId="41" borderId="9" xfId="0" applyFont="1" applyFill="1" applyBorder="1" applyAlignment="1" applyProtection="1">
      <alignment horizontal="center" vertical="center" wrapText="1"/>
    </xf>
    <xf numFmtId="9" fontId="0" fillId="41" borderId="11" xfId="0" applyNumberFormat="1" applyFont="1" applyFill="1" applyBorder="1" applyAlignment="1" applyProtection="1">
      <alignment horizontal="center" vertical="center" wrapText="1"/>
    </xf>
    <xf numFmtId="0" fontId="0" fillId="41" borderId="30" xfId="0" applyFont="1" applyFill="1" applyBorder="1" applyAlignment="1" applyProtection="1">
      <alignment horizontal="justify" vertical="center" wrapText="1"/>
    </xf>
    <xf numFmtId="0" fontId="7" fillId="38" borderId="30" xfId="0" applyFont="1" applyFill="1" applyBorder="1" applyAlignment="1" applyProtection="1">
      <alignment horizontal="justify" vertical="center" wrapText="1"/>
    </xf>
    <xf numFmtId="0" fontId="7" fillId="7" borderId="184" xfId="0" applyFont="1" applyFill="1" applyBorder="1" applyAlignment="1" applyProtection="1">
      <alignment horizontal="justify" vertical="center" wrapText="1"/>
    </xf>
    <xf numFmtId="0" fontId="11" fillId="42" borderId="51" xfId="0" applyFont="1" applyFill="1" applyBorder="1" applyAlignment="1" applyProtection="1">
      <alignment horizontal="center" vertical="center" wrapText="1"/>
    </xf>
    <xf numFmtId="0" fontId="11" fillId="42" borderId="32" xfId="0" applyFont="1" applyFill="1" applyBorder="1" applyAlignment="1" applyProtection="1">
      <alignment horizontal="justify" vertical="center" wrapText="1"/>
    </xf>
    <xf numFmtId="0" fontId="11" fillId="42" borderId="11" xfId="0" applyFont="1" applyFill="1" applyBorder="1" applyAlignment="1" applyProtection="1">
      <alignment horizontal="center" vertical="center" wrapText="1"/>
    </xf>
    <xf numFmtId="0" fontId="11" fillId="42" borderId="94" xfId="0" applyFont="1" applyFill="1" applyBorder="1" applyAlignment="1" applyProtection="1">
      <alignment horizontal="justify" vertical="center" wrapText="1"/>
    </xf>
    <xf numFmtId="0" fontId="11" fillId="42" borderId="154" xfId="0" applyFont="1" applyFill="1" applyBorder="1" applyAlignment="1" applyProtection="1">
      <alignment horizontal="justify" vertical="center" wrapText="1"/>
    </xf>
    <xf numFmtId="0" fontId="11" fillId="42" borderId="29" xfId="0" applyFont="1" applyFill="1" applyBorder="1" applyAlignment="1" applyProtection="1">
      <alignment horizontal="center" vertical="center" wrapText="1"/>
    </xf>
    <xf numFmtId="0" fontId="11" fillId="39" borderId="29" xfId="0" applyFont="1" applyFill="1" applyBorder="1" applyAlignment="1" applyProtection="1">
      <alignment horizontal="center" vertical="center" wrapText="1"/>
    </xf>
    <xf numFmtId="0" fontId="11" fillId="43" borderId="51" xfId="0" applyFont="1" applyFill="1" applyBorder="1" applyAlignment="1" applyProtection="1">
      <alignment horizontal="center" vertical="center" wrapText="1"/>
    </xf>
    <xf numFmtId="0" fontId="11" fillId="43" borderId="32" xfId="0" applyFont="1" applyFill="1" applyBorder="1" applyAlignment="1" applyProtection="1">
      <alignment horizontal="justify" vertical="center" wrapText="1"/>
    </xf>
    <xf numFmtId="0" fontId="11" fillId="43" borderId="11" xfId="0" applyFont="1" applyFill="1" applyBorder="1" applyAlignment="1" applyProtection="1">
      <alignment horizontal="center" vertical="center" wrapText="1"/>
    </xf>
    <xf numFmtId="0" fontId="11" fillId="43" borderId="184" xfId="0" applyFont="1" applyFill="1" applyBorder="1" applyAlignment="1" applyProtection="1">
      <alignment horizontal="justify" vertical="center" wrapText="1"/>
    </xf>
    <xf numFmtId="0" fontId="11" fillId="43" borderId="29" xfId="0" applyFont="1" applyFill="1" applyBorder="1" applyAlignment="1" applyProtection="1">
      <alignment horizontal="center" vertical="center" wrapText="1"/>
    </xf>
    <xf numFmtId="0" fontId="11" fillId="43" borderId="30" xfId="0" applyFont="1" applyFill="1" applyBorder="1" applyAlignment="1" applyProtection="1">
      <alignment horizontal="justify" vertical="center" wrapText="1"/>
    </xf>
    <xf numFmtId="0" fontId="11" fillId="44" borderId="51" xfId="0" applyFont="1" applyFill="1" applyBorder="1" applyAlignment="1" applyProtection="1">
      <alignment horizontal="center" vertical="center" wrapText="1"/>
    </xf>
    <xf numFmtId="0" fontId="11" fillId="44" borderId="32" xfId="0" applyFont="1" applyFill="1" applyBorder="1" applyAlignment="1" applyProtection="1">
      <alignment horizontal="justify" vertical="center" wrapText="1"/>
    </xf>
    <xf numFmtId="0" fontId="7" fillId="44" borderId="32" xfId="0" applyFont="1" applyFill="1" applyBorder="1" applyAlignment="1" applyProtection="1">
      <alignment horizontal="justify" vertical="center" wrapText="1"/>
    </xf>
    <xf numFmtId="0" fontId="0" fillId="44" borderId="52" xfId="0" applyFont="1" applyFill="1" applyBorder="1" applyAlignment="1" applyProtection="1">
      <alignment horizontal="center" vertical="center" wrapText="1"/>
    </xf>
    <xf numFmtId="0" fontId="11" fillId="44" borderId="11" xfId="0" applyFont="1" applyFill="1" applyBorder="1" applyAlignment="1" applyProtection="1">
      <alignment horizontal="center" vertical="center" wrapText="1"/>
    </xf>
    <xf numFmtId="0" fontId="11" fillId="44" borderId="184" xfId="0" applyFont="1" applyFill="1" applyBorder="1" applyAlignment="1" applyProtection="1">
      <alignment horizontal="justify" vertical="center" wrapText="1"/>
    </xf>
    <xf numFmtId="0" fontId="7" fillId="44" borderId="184" xfId="0" applyFont="1" applyFill="1" applyBorder="1" applyAlignment="1" applyProtection="1">
      <alignment horizontal="justify" vertical="center" wrapText="1"/>
    </xf>
    <xf numFmtId="0" fontId="10" fillId="44" borderId="11" xfId="0" applyFont="1" applyFill="1" applyBorder="1" applyAlignment="1" applyProtection="1">
      <alignment horizontal="center" vertical="center" wrapText="1"/>
    </xf>
    <xf numFmtId="0" fontId="11" fillId="44" borderId="30" xfId="0" applyFont="1" applyFill="1" applyBorder="1" applyAlignment="1" applyProtection="1">
      <alignment horizontal="justify" vertical="center" wrapText="1"/>
    </xf>
    <xf numFmtId="0" fontId="10" fillId="39" borderId="11" xfId="0" applyFont="1" applyFill="1" applyBorder="1" applyAlignment="1" applyProtection="1">
      <alignment horizontal="center" vertical="center" wrapText="1"/>
    </xf>
    <xf numFmtId="0" fontId="10" fillId="39" borderId="94" xfId="0" applyFont="1" applyFill="1" applyBorder="1" applyAlignment="1" applyProtection="1">
      <alignment horizontal="justify" vertical="center" wrapText="1"/>
    </xf>
    <xf numFmtId="0" fontId="10" fillId="39" borderId="154" xfId="0" applyFont="1" applyFill="1" applyBorder="1" applyAlignment="1" applyProtection="1">
      <alignment horizontal="justify" vertical="center" wrapText="1"/>
    </xf>
    <xf numFmtId="0" fontId="0" fillId="42" borderId="7" xfId="0" applyFont="1" applyFill="1" applyBorder="1" applyAlignment="1" applyProtection="1">
      <alignment horizontal="center" vertical="center" wrapText="1"/>
    </xf>
    <xf numFmtId="0" fontId="11" fillId="42" borderId="8" xfId="0" applyFont="1" applyFill="1" applyBorder="1" applyAlignment="1" applyProtection="1">
      <alignment horizontal="justify" vertical="center" wrapText="1"/>
    </xf>
    <xf numFmtId="0" fontId="10" fillId="42" borderId="11" xfId="0" applyFont="1" applyFill="1" applyBorder="1" applyAlignment="1" applyProtection="1">
      <alignment horizontal="center" vertical="center" wrapText="1"/>
    </xf>
    <xf numFmtId="0" fontId="10" fillId="42" borderId="29" xfId="0" applyFont="1" applyFill="1" applyBorder="1" applyAlignment="1" applyProtection="1">
      <alignment horizontal="center" vertical="center" wrapText="1"/>
    </xf>
    <xf numFmtId="0" fontId="0" fillId="39" borderId="54" xfId="0" applyFont="1" applyFill="1" applyBorder="1" applyAlignment="1" applyProtection="1">
      <alignment horizontal="justify" vertical="center" wrapText="1"/>
    </xf>
    <xf numFmtId="0" fontId="0" fillId="39" borderId="52" xfId="0" applyFont="1" applyFill="1" applyBorder="1" applyAlignment="1" applyProtection="1">
      <alignment horizontal="center" vertical="center" wrapText="1"/>
    </xf>
    <xf numFmtId="0" fontId="0" fillId="39" borderId="154" xfId="0" applyFont="1" applyFill="1" applyBorder="1" applyAlignment="1" applyProtection="1">
      <alignment horizontal="justify" vertical="center" wrapText="1"/>
    </xf>
    <xf numFmtId="0" fontId="0" fillId="39" borderId="94" xfId="0" applyFont="1" applyFill="1" applyBorder="1" applyAlignment="1" applyProtection="1">
      <alignment horizontal="center" vertical="center" wrapText="1"/>
    </xf>
    <xf numFmtId="0" fontId="0" fillId="39" borderId="11" xfId="0" applyFont="1" applyFill="1" applyBorder="1" applyAlignment="1" applyProtection="1">
      <alignment horizontal="center" vertical="center"/>
    </xf>
    <xf numFmtId="0" fontId="7" fillId="39" borderId="94" xfId="0" applyFont="1" applyFill="1" applyBorder="1" applyAlignment="1" applyProtection="1">
      <alignment horizontal="justify" vertical="center" wrapText="1"/>
    </xf>
    <xf numFmtId="0" fontId="7" fillId="39" borderId="154" xfId="0" applyFont="1" applyFill="1" applyBorder="1" applyAlignment="1" applyProtection="1">
      <alignment horizontal="justify" vertical="center" wrapText="1"/>
    </xf>
    <xf numFmtId="0" fontId="10" fillId="39" borderId="94" xfId="0" applyFont="1" applyFill="1" applyBorder="1" applyAlignment="1" applyProtection="1">
      <alignment horizontal="center" vertical="center" wrapText="1"/>
    </xf>
    <xf numFmtId="0" fontId="0" fillId="39" borderId="31" xfId="0" applyFont="1" applyFill="1" applyBorder="1" applyAlignment="1" applyProtection="1">
      <alignment horizontal="justify" vertical="center" wrapText="1"/>
    </xf>
    <xf numFmtId="0" fontId="0" fillId="39" borderId="53" xfId="0" applyFont="1" applyFill="1" applyBorder="1" applyAlignment="1" applyProtection="1">
      <alignment horizontal="justify" vertical="center" wrapText="1"/>
    </xf>
    <xf numFmtId="0" fontId="10" fillId="39" borderId="31" xfId="0" applyFont="1" applyFill="1" applyBorder="1" applyAlignment="1" applyProtection="1">
      <alignment horizontal="center" vertical="center" wrapText="1"/>
    </xf>
    <xf numFmtId="0" fontId="0" fillId="41" borderId="54" xfId="0" applyFont="1" applyFill="1" applyBorder="1" applyAlignment="1" applyProtection="1">
      <alignment horizontal="justify" vertical="center" wrapText="1"/>
    </xf>
    <xf numFmtId="0" fontId="0" fillId="41" borderId="29" xfId="0" applyFont="1" applyFill="1" applyBorder="1" applyAlignment="1" applyProtection="1">
      <alignment horizontal="center" vertical="center"/>
    </xf>
    <xf numFmtId="0" fontId="7" fillId="41" borderId="31" xfId="0" applyFont="1" applyFill="1" applyBorder="1" applyAlignment="1" applyProtection="1">
      <alignment horizontal="justify" vertical="center"/>
    </xf>
    <xf numFmtId="0" fontId="7" fillId="41" borderId="53" xfId="0" applyFont="1" applyFill="1" applyBorder="1" applyAlignment="1" applyProtection="1">
      <alignment horizontal="justify" vertical="center"/>
    </xf>
    <xf numFmtId="0" fontId="11" fillId="41" borderId="31" xfId="0" applyFont="1" applyFill="1" applyBorder="1" applyAlignment="1" applyProtection="1">
      <alignment horizontal="center" vertical="center" wrapText="1"/>
    </xf>
    <xf numFmtId="0" fontId="0" fillId="43" borderId="51" xfId="0" applyFont="1" applyFill="1" applyBorder="1" applyAlignment="1" applyProtection="1">
      <alignment horizontal="center" vertical="center"/>
    </xf>
    <xf numFmtId="0" fontId="0" fillId="43" borderId="52" xfId="0" applyFont="1" applyFill="1" applyBorder="1" applyAlignment="1" applyProtection="1">
      <alignment horizontal="justify" vertical="center"/>
    </xf>
    <xf numFmtId="0" fontId="0" fillId="43" borderId="54" xfId="0" applyFont="1" applyFill="1" applyBorder="1" applyAlignment="1" applyProtection="1">
      <alignment horizontal="justify" vertical="center"/>
    </xf>
    <xf numFmtId="0" fontId="11" fillId="43" borderId="31" xfId="0" applyFont="1" applyFill="1" applyBorder="1" applyAlignment="1" applyProtection="1">
      <alignment horizontal="justify" vertical="center" wrapText="1"/>
    </xf>
    <xf numFmtId="0" fontId="11" fillId="43" borderId="53" xfId="0" applyFont="1" applyFill="1" applyBorder="1" applyAlignment="1" applyProtection="1">
      <alignment horizontal="justify" vertical="center" wrapText="1"/>
    </xf>
    <xf numFmtId="0" fontId="10" fillId="29" borderId="52" xfId="0" applyFont="1" applyFill="1" applyBorder="1" applyAlignment="1" applyProtection="1">
      <alignment horizontal="center" vertical="center" wrapText="1"/>
    </xf>
    <xf numFmtId="0" fontId="10" fillId="29" borderId="94" xfId="0" applyFont="1" applyFill="1" applyBorder="1" applyAlignment="1" applyProtection="1">
      <alignment horizontal="center" vertical="center" wrapText="1"/>
    </xf>
    <xf numFmtId="0" fontId="10" fillId="29" borderId="31" xfId="0" applyFont="1" applyFill="1" applyBorder="1" applyAlignment="1" applyProtection="1">
      <alignment horizontal="center" vertical="center" wrapText="1"/>
    </xf>
    <xf numFmtId="0" fontId="10" fillId="42" borderId="52" xfId="0" applyFont="1" applyFill="1" applyBorder="1" applyAlignment="1" applyProtection="1">
      <alignment horizontal="center" vertical="center" wrapText="1"/>
    </xf>
    <xf numFmtId="0" fontId="10" fillId="42" borderId="94" xfId="0" applyFont="1" applyFill="1" applyBorder="1" applyAlignment="1" applyProtection="1">
      <alignment horizontal="center" vertical="center" wrapText="1"/>
    </xf>
    <xf numFmtId="0" fontId="0" fillId="42" borderId="53" xfId="0" applyFont="1" applyFill="1" applyBorder="1" applyAlignment="1" applyProtection="1">
      <alignment horizontal="justify" vertical="center" wrapText="1"/>
    </xf>
    <xf numFmtId="0" fontId="10" fillId="42" borderId="31" xfId="0" applyFont="1" applyFill="1" applyBorder="1" applyAlignment="1" applyProtection="1">
      <alignment horizontal="center" vertical="center" wrapText="1"/>
    </xf>
    <xf numFmtId="0" fontId="0" fillId="41" borderId="31" xfId="0" applyFont="1" applyFill="1" applyBorder="1" applyAlignment="1" applyProtection="1">
      <alignment horizontal="justify" vertical="center" wrapText="1"/>
    </xf>
    <xf numFmtId="0" fontId="0" fillId="39" borderId="184" xfId="0" applyFont="1" applyFill="1" applyBorder="1" applyAlignment="1" applyProtection="1">
      <alignment horizontal="justify" vertical="center"/>
    </xf>
    <xf numFmtId="3" fontId="0" fillId="39" borderId="31" xfId="0" applyNumberFormat="1" applyFont="1" applyFill="1" applyBorder="1" applyAlignment="1" applyProtection="1">
      <alignment horizontal="justify" vertical="center" wrapText="1"/>
    </xf>
    <xf numFmtId="0" fontId="15" fillId="38" borderId="52" xfId="2" applyFont="1" applyFill="1" applyBorder="1" applyAlignment="1" applyProtection="1">
      <alignment horizontal="justify" vertical="center" wrapText="1"/>
    </xf>
    <xf numFmtId="0" fontId="15" fillId="38" borderId="94" xfId="2" applyFont="1" applyFill="1" applyBorder="1" applyAlignment="1" applyProtection="1">
      <alignment horizontal="justify" vertical="center" wrapText="1"/>
    </xf>
    <xf numFmtId="0" fontId="0" fillId="33" borderId="32" xfId="0" applyFont="1" applyFill="1" applyBorder="1" applyAlignment="1" applyProtection="1">
      <alignment horizontal="justify" vertical="center"/>
    </xf>
    <xf numFmtId="0" fontId="0" fillId="33" borderId="94" xfId="0" applyFont="1" applyFill="1" applyBorder="1" applyAlignment="1" applyProtection="1">
      <alignment horizontal="justify" vertical="center" wrapText="1"/>
    </xf>
    <xf numFmtId="0" fontId="0" fillId="33" borderId="184" xfId="0" applyFont="1" applyFill="1" applyBorder="1" applyAlignment="1" applyProtection="1">
      <alignment horizontal="justify" vertical="center"/>
    </xf>
    <xf numFmtId="0" fontId="0" fillId="33" borderId="31" xfId="0" applyFont="1" applyFill="1" applyBorder="1" applyAlignment="1" applyProtection="1">
      <alignment horizontal="justify" vertical="center" wrapText="1"/>
    </xf>
    <xf numFmtId="0" fontId="0" fillId="51" borderId="32" xfId="0" applyFont="1" applyFill="1" applyBorder="1" applyAlignment="1" applyProtection="1">
      <alignment horizontal="justify" vertical="center"/>
    </xf>
    <xf numFmtId="0" fontId="0" fillId="7" borderId="184" xfId="0" applyFont="1" applyFill="1" applyBorder="1" applyAlignment="1" applyProtection="1">
      <alignment horizontal="justify" vertical="center"/>
    </xf>
    <xf numFmtId="2" fontId="10" fillId="42" borderId="51" xfId="0" applyNumberFormat="1" applyFont="1" applyFill="1" applyBorder="1" applyAlignment="1" applyProtection="1">
      <alignment horizontal="center" vertical="center" wrapText="1"/>
    </xf>
    <xf numFmtId="0" fontId="10" fillId="42" borderId="32" xfId="0" applyFont="1" applyFill="1" applyBorder="1" applyAlignment="1" applyProtection="1">
      <alignment horizontal="justify" vertical="center" wrapText="1"/>
    </xf>
    <xf numFmtId="0" fontId="10" fillId="42" borderId="32" xfId="0" applyFont="1" applyFill="1" applyBorder="1" applyAlignment="1" applyProtection="1">
      <alignment horizontal="justify" vertical="center"/>
    </xf>
    <xf numFmtId="0" fontId="10" fillId="42" borderId="52" xfId="0" applyFont="1" applyFill="1" applyBorder="1" applyAlignment="1" applyProtection="1">
      <alignment horizontal="justify" vertical="center" wrapText="1"/>
    </xf>
    <xf numFmtId="0" fontId="10" fillId="42" borderId="19" xfId="0" applyFont="1" applyFill="1" applyBorder="1" applyAlignment="1" applyProtection="1">
      <alignment horizontal="justify" vertical="center" wrapText="1"/>
    </xf>
    <xf numFmtId="2" fontId="10" fillId="42" borderId="52" xfId="0" applyNumberFormat="1" applyFont="1" applyFill="1" applyBorder="1" applyAlignment="1" applyProtection="1">
      <alignment horizontal="center" vertical="center" wrapText="1"/>
    </xf>
    <xf numFmtId="10" fontId="10" fillId="42" borderId="11" xfId="0" applyNumberFormat="1" applyFont="1" applyFill="1" applyBorder="1" applyAlignment="1" applyProtection="1">
      <alignment horizontal="center" vertical="center" wrapText="1"/>
    </xf>
    <xf numFmtId="0" fontId="10" fillId="42" borderId="184" xfId="0" applyFont="1" applyFill="1" applyBorder="1" applyAlignment="1" applyProtection="1">
      <alignment horizontal="justify" vertical="center" wrapText="1"/>
    </xf>
    <xf numFmtId="0" fontId="0" fillId="42" borderId="184" xfId="0" applyFont="1" applyFill="1" applyBorder="1" applyAlignment="1" applyProtection="1">
      <alignment horizontal="justify" vertical="center"/>
    </xf>
    <xf numFmtId="10" fontId="10" fillId="42" borderId="94" xfId="0" applyNumberFormat="1" applyFont="1" applyFill="1" applyBorder="1" applyAlignment="1" applyProtection="1">
      <alignment horizontal="center" vertical="center" wrapText="1"/>
    </xf>
    <xf numFmtId="9" fontId="10" fillId="42" borderId="11" xfId="0" applyNumberFormat="1" applyFont="1" applyFill="1" applyBorder="1" applyAlignment="1" applyProtection="1">
      <alignment horizontal="center" vertical="center" wrapText="1"/>
    </xf>
    <xf numFmtId="0" fontId="10" fillId="42" borderId="184" xfId="0" applyFont="1" applyFill="1" applyBorder="1" applyAlignment="1" applyProtection="1">
      <alignment horizontal="justify" vertical="center"/>
    </xf>
    <xf numFmtId="9" fontId="10" fillId="42" borderId="94" xfId="0" applyNumberFormat="1" applyFont="1" applyFill="1" applyBorder="1" applyAlignment="1" applyProtection="1">
      <alignment horizontal="center" vertical="center" wrapText="1"/>
    </xf>
    <xf numFmtId="2" fontId="10" fillId="42" borderId="11" xfId="0" applyNumberFormat="1" applyFont="1" applyFill="1" applyBorder="1" applyAlignment="1" applyProtection="1">
      <alignment horizontal="center" vertical="center" wrapText="1"/>
    </xf>
    <xf numFmtId="2" fontId="10" fillId="42" borderId="94" xfId="0" applyNumberFormat="1" applyFont="1" applyFill="1" applyBorder="1" applyAlignment="1" applyProtection="1">
      <alignment horizontal="center" vertical="center" wrapText="1"/>
    </xf>
    <xf numFmtId="2" fontId="10" fillId="42" borderId="29" xfId="0" applyNumberFormat="1" applyFont="1" applyFill="1" applyBorder="1" applyAlignment="1" applyProtection="1">
      <alignment horizontal="center" vertical="center" wrapText="1"/>
    </xf>
    <xf numFmtId="0" fontId="10" fillId="42" borderId="30" xfId="0" applyFont="1" applyFill="1" applyBorder="1" applyAlignment="1" applyProtection="1">
      <alignment horizontal="justify" vertical="center" wrapText="1"/>
    </xf>
    <xf numFmtId="0" fontId="10" fillId="42" borderId="30" xfId="0" applyFont="1" applyFill="1" applyBorder="1" applyAlignment="1" applyProtection="1">
      <alignment horizontal="justify" vertical="center"/>
    </xf>
    <xf numFmtId="2" fontId="10" fillId="42" borderId="31" xfId="0" applyNumberFormat="1" applyFont="1" applyFill="1" applyBorder="1" applyAlignment="1" applyProtection="1">
      <alignment horizontal="center" vertical="center" wrapText="1"/>
    </xf>
    <xf numFmtId="10" fontId="10" fillId="51" borderId="51" xfId="0" applyNumberFormat="1" applyFont="1" applyFill="1" applyBorder="1" applyAlignment="1" applyProtection="1">
      <alignment horizontal="center" vertical="center" wrapText="1"/>
    </xf>
    <xf numFmtId="0" fontId="10" fillId="51" borderId="32" xfId="0" applyFont="1" applyFill="1" applyBorder="1" applyAlignment="1" applyProtection="1">
      <alignment horizontal="justify" vertical="center" wrapText="1"/>
    </xf>
    <xf numFmtId="0" fontId="10" fillId="51" borderId="32" xfId="0" applyFont="1" applyFill="1" applyBorder="1" applyAlignment="1" applyProtection="1">
      <alignment horizontal="justify" vertical="center"/>
    </xf>
    <xf numFmtId="10" fontId="10" fillId="51" borderId="52" xfId="0" applyNumberFormat="1" applyFont="1" applyFill="1" applyBorder="1" applyAlignment="1" applyProtection="1">
      <alignment horizontal="center" vertical="center" wrapText="1"/>
    </xf>
    <xf numFmtId="2" fontId="10" fillId="51" borderId="11" xfId="0" applyNumberFormat="1" applyFont="1" applyFill="1" applyBorder="1" applyAlignment="1" applyProtection="1">
      <alignment horizontal="center" vertical="center" wrapText="1"/>
    </xf>
    <xf numFmtId="0" fontId="10" fillId="51" borderId="184" xfId="0" applyFont="1" applyFill="1" applyBorder="1" applyAlignment="1" applyProtection="1">
      <alignment horizontal="justify" vertical="center" wrapText="1"/>
    </xf>
    <xf numFmtId="0" fontId="0" fillId="51" borderId="184" xfId="0" applyFont="1" applyFill="1" applyBorder="1" applyAlignment="1" applyProtection="1">
      <alignment horizontal="justify" vertical="center"/>
    </xf>
    <xf numFmtId="2" fontId="10" fillId="51" borderId="94" xfId="0" applyNumberFormat="1" applyFont="1" applyFill="1" applyBorder="1" applyAlignment="1" applyProtection="1">
      <alignment horizontal="center" vertical="center" wrapText="1"/>
    </xf>
    <xf numFmtId="2" fontId="10" fillId="51" borderId="29" xfId="0" applyNumberFormat="1" applyFont="1" applyFill="1" applyBorder="1" applyAlignment="1" applyProtection="1">
      <alignment horizontal="center" vertical="center" wrapText="1"/>
    </xf>
    <xf numFmtId="0" fontId="10" fillId="51" borderId="30" xfId="0" applyFont="1" applyFill="1" applyBorder="1" applyAlignment="1" applyProtection="1">
      <alignment horizontal="justify" vertical="center" wrapText="1"/>
    </xf>
    <xf numFmtId="0" fontId="10" fillId="51" borderId="30" xfId="0" applyFont="1" applyFill="1" applyBorder="1" applyAlignment="1" applyProtection="1">
      <alignment horizontal="justify" vertical="center"/>
    </xf>
    <xf numFmtId="2" fontId="10" fillId="51" borderId="31" xfId="0" applyNumberFormat="1" applyFont="1" applyFill="1" applyBorder="1" applyAlignment="1" applyProtection="1">
      <alignment horizontal="center" vertical="center" wrapText="1"/>
    </xf>
    <xf numFmtId="9" fontId="10" fillId="38" borderId="51" xfId="0" applyNumberFormat="1" applyFont="1" applyFill="1" applyBorder="1" applyAlignment="1" applyProtection="1">
      <alignment horizontal="center" vertical="center" wrapText="1"/>
    </xf>
    <xf numFmtId="0" fontId="10" fillId="38" borderId="32" xfId="0" applyFont="1" applyFill="1" applyBorder="1" applyAlignment="1" applyProtection="1">
      <alignment horizontal="justify" vertical="center" wrapText="1"/>
    </xf>
    <xf numFmtId="0" fontId="10" fillId="38" borderId="32" xfId="0" applyFont="1" applyFill="1" applyBorder="1" applyAlignment="1" applyProtection="1">
      <alignment horizontal="justify" vertical="center"/>
    </xf>
    <xf numFmtId="9" fontId="10" fillId="38" borderId="52" xfId="0" applyNumberFormat="1" applyFont="1" applyFill="1" applyBorder="1" applyAlignment="1" applyProtection="1">
      <alignment horizontal="center" vertical="center" wrapText="1"/>
    </xf>
    <xf numFmtId="2" fontId="10" fillId="38" borderId="11" xfId="0" applyNumberFormat="1" applyFont="1" applyFill="1" applyBorder="1" applyAlignment="1" applyProtection="1">
      <alignment horizontal="center" vertical="center" wrapText="1"/>
    </xf>
    <xf numFmtId="0" fontId="10" fillId="38" borderId="184" xfId="0" applyFont="1" applyFill="1" applyBorder="1" applyAlignment="1" applyProtection="1">
      <alignment horizontal="justify" vertical="center" wrapText="1"/>
    </xf>
    <xf numFmtId="0" fontId="10" fillId="38" borderId="184" xfId="0" applyFont="1" applyFill="1" applyBorder="1" applyAlignment="1" applyProtection="1">
      <alignment horizontal="justify" vertical="center"/>
    </xf>
    <xf numFmtId="2" fontId="10" fillId="38" borderId="94" xfId="0" applyNumberFormat="1" applyFont="1" applyFill="1" applyBorder="1" applyAlignment="1" applyProtection="1">
      <alignment horizontal="center" vertical="center" wrapText="1"/>
    </xf>
    <xf numFmtId="2" fontId="10" fillId="38" borderId="29" xfId="0" applyNumberFormat="1" applyFont="1" applyFill="1" applyBorder="1" applyAlignment="1" applyProtection="1">
      <alignment horizontal="center" vertical="center" wrapText="1"/>
    </xf>
    <xf numFmtId="0" fontId="10" fillId="38" borderId="30" xfId="0" applyFont="1" applyFill="1" applyBorder="1" applyAlignment="1" applyProtection="1">
      <alignment horizontal="justify" vertical="center" wrapText="1"/>
    </xf>
    <xf numFmtId="0" fontId="10" fillId="38" borderId="30" xfId="0" applyFont="1" applyFill="1" applyBorder="1" applyAlignment="1" applyProtection="1">
      <alignment horizontal="justify" vertical="center"/>
    </xf>
    <xf numFmtId="2" fontId="10" fillId="38" borderId="31" xfId="0" applyNumberFormat="1" applyFont="1" applyFill="1" applyBorder="1" applyAlignment="1" applyProtection="1">
      <alignment horizontal="center" vertical="center" wrapText="1"/>
    </xf>
    <xf numFmtId="2" fontId="10" fillId="39" borderId="7" xfId="0" applyNumberFormat="1" applyFont="1" applyFill="1" applyBorder="1" applyAlignment="1" applyProtection="1">
      <alignment horizontal="center" vertical="center" wrapText="1"/>
    </xf>
    <xf numFmtId="0" fontId="10" fillId="39" borderId="8" xfId="0" applyFont="1" applyFill="1" applyBorder="1" applyAlignment="1" applyProtection="1">
      <alignment horizontal="justify" vertical="center" wrapText="1"/>
    </xf>
    <xf numFmtId="0" fontId="10" fillId="39" borderId="8" xfId="0" applyFont="1" applyFill="1" applyBorder="1" applyAlignment="1" applyProtection="1">
      <alignment horizontal="justify" vertical="center"/>
    </xf>
    <xf numFmtId="0" fontId="10" fillId="39" borderId="9" xfId="0" applyFont="1" applyFill="1" applyBorder="1" applyAlignment="1" applyProtection="1">
      <alignment horizontal="justify" vertical="center" wrapText="1"/>
    </xf>
    <xf numFmtId="0" fontId="10" fillId="39" borderId="54" xfId="0" applyFont="1" applyFill="1" applyBorder="1" applyAlignment="1" applyProtection="1">
      <alignment horizontal="justify" vertical="center" wrapText="1"/>
    </xf>
    <xf numFmtId="2" fontId="10" fillId="39" borderId="9" xfId="0" applyNumberFormat="1" applyFont="1" applyFill="1" applyBorder="1" applyAlignment="1" applyProtection="1">
      <alignment horizontal="center" vertical="center" wrapText="1"/>
    </xf>
    <xf numFmtId="2" fontId="10" fillId="39" borderId="11" xfId="0" applyNumberFormat="1" applyFont="1" applyFill="1" applyBorder="1" applyAlignment="1" applyProtection="1">
      <alignment horizontal="center" vertical="center" wrapText="1"/>
    </xf>
    <xf numFmtId="0" fontId="10" fillId="39" borderId="184" xfId="0" applyFont="1" applyFill="1" applyBorder="1" applyAlignment="1" applyProtection="1">
      <alignment horizontal="justify" vertical="center"/>
    </xf>
    <xf numFmtId="2" fontId="10" fillId="39" borderId="94" xfId="0" applyNumberFormat="1" applyFont="1" applyFill="1" applyBorder="1" applyAlignment="1" applyProtection="1">
      <alignment horizontal="center" vertical="center" wrapText="1"/>
    </xf>
    <xf numFmtId="10" fontId="10" fillId="39" borderId="11" xfId="0" applyNumberFormat="1" applyFont="1" applyFill="1" applyBorder="1" applyAlignment="1" applyProtection="1">
      <alignment horizontal="center" vertical="center" wrapText="1"/>
    </xf>
    <xf numFmtId="10" fontId="10" fillId="39" borderId="94" xfId="0" applyNumberFormat="1" applyFont="1" applyFill="1" applyBorder="1" applyAlignment="1" applyProtection="1">
      <alignment horizontal="center" vertical="center" wrapText="1"/>
    </xf>
    <xf numFmtId="10" fontId="10" fillId="39" borderId="29" xfId="0" applyNumberFormat="1" applyFont="1" applyFill="1" applyBorder="1" applyAlignment="1" applyProtection="1">
      <alignment horizontal="center" vertical="center" wrapText="1"/>
    </xf>
    <xf numFmtId="0" fontId="10" fillId="39" borderId="30" xfId="0" applyFont="1" applyFill="1" applyBorder="1" applyAlignment="1" applyProtection="1">
      <alignment horizontal="justify" vertical="center"/>
    </xf>
    <xf numFmtId="0" fontId="10" fillId="39" borderId="31" xfId="0" applyFont="1" applyFill="1" applyBorder="1" applyAlignment="1" applyProtection="1">
      <alignment horizontal="center" vertical="center"/>
    </xf>
    <xf numFmtId="0" fontId="10" fillId="44" borderId="7" xfId="0" applyFont="1" applyFill="1" applyBorder="1" applyAlignment="1" applyProtection="1">
      <alignment horizontal="center" vertical="center" wrapText="1"/>
    </xf>
    <xf numFmtId="0" fontId="10" fillId="44" borderId="8" xfId="0" applyFont="1" applyFill="1" applyBorder="1" applyAlignment="1" applyProtection="1">
      <alignment horizontal="justify" vertical="center" wrapText="1"/>
    </xf>
    <xf numFmtId="0" fontId="10" fillId="44" borderId="9" xfId="0" applyFont="1" applyFill="1" applyBorder="1" applyAlignment="1" applyProtection="1">
      <alignment horizontal="justify" vertical="center" wrapText="1"/>
    </xf>
    <xf numFmtId="175" fontId="10" fillId="44" borderId="9" xfId="0" applyNumberFormat="1" applyFont="1" applyFill="1" applyBorder="1" applyAlignment="1" applyProtection="1">
      <alignment horizontal="justify" vertical="center" wrapText="1"/>
    </xf>
    <xf numFmtId="0" fontId="10" fillId="44" borderId="19" xfId="0" applyFont="1" applyFill="1" applyBorder="1" applyAlignment="1" applyProtection="1">
      <alignment horizontal="justify" vertical="center" wrapText="1"/>
    </xf>
    <xf numFmtId="3" fontId="10" fillId="44" borderId="9" xfId="2" applyNumberFormat="1" applyFont="1" applyFill="1" applyBorder="1" applyAlignment="1" applyProtection="1">
      <alignment horizontal="center" vertical="center" wrapText="1"/>
    </xf>
    <xf numFmtId="0" fontId="10" fillId="44" borderId="154" xfId="0" applyFont="1" applyFill="1" applyBorder="1" applyAlignment="1" applyProtection="1">
      <alignment horizontal="justify" vertical="center" wrapText="1"/>
    </xf>
    <xf numFmtId="3" fontId="10" fillId="44" borderId="94" xfId="0" applyNumberFormat="1" applyFont="1" applyFill="1" applyBorder="1" applyAlignment="1" applyProtection="1">
      <alignment horizontal="center" vertical="center" wrapText="1"/>
    </xf>
    <xf numFmtId="9" fontId="10" fillId="44" borderId="94" xfId="5" applyFont="1" applyFill="1" applyBorder="1" applyAlignment="1" applyProtection="1">
      <alignment horizontal="center" vertical="center" wrapText="1"/>
    </xf>
    <xf numFmtId="175" fontId="10" fillId="44" borderId="94" xfId="0" applyNumberFormat="1" applyFont="1" applyFill="1" applyBorder="1" applyAlignment="1" applyProtection="1">
      <alignment horizontal="justify" vertical="center" wrapText="1"/>
    </xf>
    <xf numFmtId="175" fontId="10" fillId="44" borderId="154" xfId="0" applyNumberFormat="1" applyFont="1" applyFill="1" applyBorder="1" applyAlignment="1" applyProtection="1">
      <alignment horizontal="justify" vertical="center" wrapText="1"/>
    </xf>
    <xf numFmtId="9" fontId="10" fillId="44" borderId="94" xfId="0" applyNumberFormat="1" applyFont="1" applyFill="1" applyBorder="1" applyAlignment="1" applyProtection="1">
      <alignment horizontal="center" vertical="center" wrapText="1"/>
    </xf>
    <xf numFmtId="1" fontId="10" fillId="44" borderId="94" xfId="0" applyNumberFormat="1" applyFont="1" applyFill="1" applyBorder="1" applyAlignment="1" applyProtection="1">
      <alignment horizontal="justify" vertical="center" wrapText="1"/>
    </xf>
    <xf numFmtId="0" fontId="10" fillId="44" borderId="94" xfId="0" applyFont="1" applyFill="1" applyBorder="1" applyAlignment="1" applyProtection="1">
      <alignment horizontal="center" vertical="center" wrapText="1"/>
    </xf>
    <xf numFmtId="0" fontId="10" fillId="44" borderId="29" xfId="0" applyFont="1" applyFill="1" applyBorder="1" applyAlignment="1" applyProtection="1">
      <alignment horizontal="center" vertical="center" wrapText="1"/>
    </xf>
    <xf numFmtId="0" fontId="10" fillId="44" borderId="30" xfId="0" applyFont="1" applyFill="1" applyBorder="1" applyAlignment="1" applyProtection="1">
      <alignment horizontal="justify" vertical="center" wrapText="1"/>
    </xf>
    <xf numFmtId="0" fontId="10" fillId="44" borderId="31" xfId="0" applyFont="1" applyFill="1" applyBorder="1" applyAlignment="1" applyProtection="1">
      <alignment horizontal="justify" vertical="center" wrapText="1"/>
    </xf>
    <xf numFmtId="175" fontId="10" fillId="44" borderId="31" xfId="0" applyNumberFormat="1" applyFont="1" applyFill="1" applyBorder="1" applyAlignment="1" applyProtection="1">
      <alignment horizontal="justify" vertical="center" wrapText="1"/>
    </xf>
    <xf numFmtId="0" fontId="10" fillId="44" borderId="53" xfId="0" applyFont="1" applyFill="1" applyBorder="1" applyAlignment="1" applyProtection="1">
      <alignment horizontal="justify" vertical="center" wrapText="1"/>
    </xf>
    <xf numFmtId="3" fontId="10" fillId="44" borderId="31" xfId="0" applyNumberFormat="1" applyFont="1" applyFill="1" applyBorder="1" applyAlignment="1" applyProtection="1">
      <alignment horizontal="center" vertical="center" wrapText="1"/>
    </xf>
    <xf numFmtId="0" fontId="10" fillId="39" borderId="51" xfId="0" applyFont="1" applyFill="1" applyBorder="1" applyAlignment="1" applyProtection="1">
      <alignment horizontal="center" vertical="center" wrapText="1"/>
    </xf>
    <xf numFmtId="0" fontId="10" fillId="39" borderId="32" xfId="0" applyFont="1" applyFill="1" applyBorder="1" applyAlignment="1" applyProtection="1">
      <alignment horizontal="justify" vertical="center" wrapText="1"/>
    </xf>
    <xf numFmtId="0" fontId="10" fillId="39" borderId="52" xfId="0" applyFont="1" applyFill="1" applyBorder="1" applyAlignment="1" applyProtection="1">
      <alignment horizontal="justify" vertical="center" wrapText="1"/>
    </xf>
    <xf numFmtId="1" fontId="10" fillId="39" borderId="52" xfId="0" applyNumberFormat="1" applyFont="1" applyFill="1" applyBorder="1" applyAlignment="1" applyProtection="1">
      <alignment horizontal="justify" vertical="center" wrapText="1"/>
    </xf>
    <xf numFmtId="3" fontId="10" fillId="39" borderId="52" xfId="0" applyNumberFormat="1" applyFont="1" applyFill="1" applyBorder="1" applyAlignment="1" applyProtection="1">
      <alignment horizontal="center" vertical="center" wrapText="1"/>
    </xf>
    <xf numFmtId="1" fontId="10" fillId="39" borderId="94" xfId="0" applyNumberFormat="1" applyFont="1" applyFill="1" applyBorder="1" applyAlignment="1" applyProtection="1">
      <alignment horizontal="justify" vertical="center" wrapText="1"/>
    </xf>
    <xf numFmtId="3" fontId="10" fillId="39" borderId="94" xfId="0" applyNumberFormat="1" applyFont="1" applyFill="1" applyBorder="1" applyAlignment="1" applyProtection="1">
      <alignment horizontal="center" vertical="center" wrapText="1"/>
    </xf>
    <xf numFmtId="0" fontId="10" fillId="39" borderId="29" xfId="0" applyFont="1" applyFill="1" applyBorder="1" applyAlignment="1" applyProtection="1">
      <alignment horizontal="center" vertical="center" wrapText="1"/>
    </xf>
    <xf numFmtId="0" fontId="10" fillId="39" borderId="30" xfId="0" applyFont="1" applyFill="1" applyBorder="1" applyAlignment="1" applyProtection="1">
      <alignment horizontal="justify" vertical="center" wrapText="1"/>
    </xf>
    <xf numFmtId="1" fontId="10" fillId="39" borderId="31" xfId="0" applyNumberFormat="1" applyFont="1" applyFill="1" applyBorder="1" applyAlignment="1" applyProtection="1">
      <alignment horizontal="justify" vertical="center" wrapText="1"/>
    </xf>
    <xf numFmtId="3" fontId="10" fillId="39" borderId="31" xfId="0" applyNumberFormat="1" applyFont="1" applyFill="1" applyBorder="1" applyAlignment="1" applyProtection="1">
      <alignment horizontal="center" vertical="center" wrapText="1"/>
    </xf>
    <xf numFmtId="0" fontId="10" fillId="38" borderId="51" xfId="0" applyFont="1" applyFill="1" applyBorder="1" applyAlignment="1" applyProtection="1">
      <alignment horizontal="center" vertical="center" wrapText="1"/>
    </xf>
    <xf numFmtId="175" fontId="10" fillId="38" borderId="52" xfId="0" applyNumberFormat="1" applyFont="1" applyFill="1" applyBorder="1" applyAlignment="1" applyProtection="1">
      <alignment horizontal="justify" vertical="center" wrapText="1"/>
    </xf>
    <xf numFmtId="0" fontId="10" fillId="38" borderId="11" xfId="0" applyFont="1" applyFill="1" applyBorder="1" applyAlignment="1" applyProtection="1">
      <alignment horizontal="center" vertical="center" wrapText="1"/>
    </xf>
    <xf numFmtId="175" fontId="10" fillId="38" borderId="94" xfId="0" applyNumberFormat="1" applyFont="1" applyFill="1" applyBorder="1" applyAlignment="1" applyProtection="1">
      <alignment horizontal="justify" vertical="center" wrapText="1"/>
    </xf>
    <xf numFmtId="3" fontId="10" fillId="38" borderId="94" xfId="0" applyNumberFormat="1" applyFont="1" applyFill="1" applyBorder="1" applyAlignment="1" applyProtection="1">
      <alignment horizontal="center" vertical="center" wrapText="1"/>
    </xf>
    <xf numFmtId="9" fontId="10" fillId="38" borderId="94" xfId="5" applyFont="1" applyFill="1" applyBorder="1" applyAlignment="1" applyProtection="1">
      <alignment horizontal="center" vertical="center" wrapText="1"/>
    </xf>
    <xf numFmtId="1" fontId="10" fillId="38" borderId="94" xfId="0" applyNumberFormat="1" applyFont="1" applyFill="1" applyBorder="1" applyAlignment="1" applyProtection="1">
      <alignment horizontal="justify" vertical="center" wrapText="1"/>
    </xf>
    <xf numFmtId="0" fontId="10" fillId="38" borderId="94" xfId="0" applyFont="1" applyFill="1" applyBorder="1" applyAlignment="1" applyProtection="1">
      <alignment horizontal="center" vertical="center" wrapText="1"/>
    </xf>
    <xf numFmtId="177" fontId="10" fillId="38" borderId="94" xfId="10" applyNumberFormat="1" applyFont="1" applyFill="1" applyBorder="1" applyAlignment="1" applyProtection="1">
      <alignment horizontal="center" vertical="center" wrapText="1"/>
    </xf>
    <xf numFmtId="175" fontId="10" fillId="38" borderId="94" xfId="0" applyNumberFormat="1" applyFont="1" applyFill="1" applyBorder="1" applyAlignment="1" applyProtection="1">
      <alignment horizontal="center" vertical="center" wrapText="1"/>
    </xf>
    <xf numFmtId="0" fontId="0" fillId="38" borderId="94" xfId="0" applyFont="1" applyFill="1" applyBorder="1" applyAlignment="1" applyProtection="1">
      <alignment horizontal="justify" vertical="center"/>
    </xf>
    <xf numFmtId="1" fontId="10" fillId="38" borderId="94" xfId="5" applyNumberFormat="1" applyFont="1" applyFill="1" applyBorder="1" applyAlignment="1" applyProtection="1">
      <alignment horizontal="center" vertical="center" wrapText="1"/>
    </xf>
    <xf numFmtId="0" fontId="10" fillId="38" borderId="94" xfId="5" applyNumberFormat="1" applyFont="1" applyFill="1" applyBorder="1" applyAlignment="1" applyProtection="1">
      <alignment horizontal="center" vertical="center" wrapText="1"/>
    </xf>
    <xf numFmtId="9" fontId="10" fillId="38" borderId="94" xfId="0" applyNumberFormat="1" applyFont="1" applyFill="1" applyBorder="1" applyAlignment="1" applyProtection="1">
      <alignment horizontal="center" vertical="center" wrapText="1"/>
    </xf>
    <xf numFmtId="1" fontId="10" fillId="38" borderId="154" xfId="0" applyNumberFormat="1" applyFont="1" applyFill="1" applyBorder="1" applyAlignment="1" applyProtection="1">
      <alignment horizontal="justify" vertical="center" wrapText="1"/>
    </xf>
    <xf numFmtId="0" fontId="40" fillId="30" borderId="184" xfId="0" applyFont="1" applyFill="1" applyBorder="1" applyAlignment="1" applyProtection="1">
      <alignment horizontal="justify" vertical="center" wrapText="1"/>
    </xf>
    <xf numFmtId="0" fontId="40" fillId="30" borderId="94" xfId="0" applyFont="1" applyFill="1" applyBorder="1" applyAlignment="1" applyProtection="1">
      <alignment horizontal="justify" vertical="center" wrapText="1"/>
    </xf>
    <xf numFmtId="0" fontId="10" fillId="38" borderId="29" xfId="0" applyFont="1" applyFill="1" applyBorder="1" applyAlignment="1" applyProtection="1">
      <alignment horizontal="center" vertical="center" wrapText="1"/>
    </xf>
    <xf numFmtId="1" fontId="10" fillId="38" borderId="31" xfId="0" applyNumberFormat="1" applyFont="1" applyFill="1" applyBorder="1" applyAlignment="1" applyProtection="1">
      <alignment horizontal="justify" vertical="center" wrapText="1"/>
    </xf>
    <xf numFmtId="0" fontId="10" fillId="38" borderId="31" xfId="0" applyFont="1" applyFill="1" applyBorder="1" applyAlignment="1" applyProtection="1">
      <alignment horizontal="center" vertical="center" wrapText="1"/>
    </xf>
    <xf numFmtId="0" fontId="0" fillId="103" borderId="7" xfId="0" applyFont="1" applyFill="1" applyBorder="1" applyAlignment="1" applyProtection="1">
      <alignment horizontal="center" vertical="center" wrapText="1"/>
    </xf>
    <xf numFmtId="0" fontId="0" fillId="103" borderId="8" xfId="0" applyFont="1" applyFill="1" applyBorder="1" applyAlignment="1" applyProtection="1">
      <alignment horizontal="justify" vertical="center" wrapText="1"/>
    </xf>
    <xf numFmtId="0" fontId="10" fillId="103" borderId="9" xfId="0" applyFont="1" applyFill="1" applyBorder="1" applyAlignment="1" applyProtection="1">
      <alignment horizontal="justify" vertical="center"/>
    </xf>
    <xf numFmtId="0" fontId="10" fillId="103" borderId="19" xfId="0" applyFont="1" applyFill="1" applyBorder="1" applyAlignment="1" applyProtection="1">
      <alignment horizontal="justify" vertical="center"/>
    </xf>
    <xf numFmtId="3" fontId="0" fillId="103" borderId="9" xfId="0" applyNumberFormat="1" applyFont="1" applyFill="1" applyBorder="1" applyAlignment="1" applyProtection="1">
      <alignment horizontal="center" vertical="center" wrapText="1"/>
    </xf>
    <xf numFmtId="0" fontId="0" fillId="103" borderId="11" xfId="0" applyFont="1" applyFill="1" applyBorder="1" applyAlignment="1" applyProtection="1">
      <alignment horizontal="center" vertical="center" wrapText="1"/>
    </xf>
    <xf numFmtId="0" fontId="7" fillId="103" borderId="184" xfId="0" applyFont="1" applyFill="1" applyBorder="1" applyAlignment="1" applyProtection="1">
      <alignment horizontal="justify" vertical="center" wrapText="1"/>
    </xf>
    <xf numFmtId="0" fontId="10" fillId="103" borderId="94" xfId="0" applyFont="1" applyFill="1" applyBorder="1" applyAlignment="1" applyProtection="1">
      <alignment horizontal="justify" vertical="center" wrapText="1"/>
    </xf>
    <xf numFmtId="0" fontId="10" fillId="103" borderId="154" xfId="0" applyFont="1" applyFill="1" applyBorder="1" applyAlignment="1" applyProtection="1">
      <alignment horizontal="justify" vertical="center" wrapText="1"/>
    </xf>
    <xf numFmtId="3" fontId="0" fillId="103" borderId="94" xfId="0" applyNumberFormat="1" applyFont="1" applyFill="1" applyBorder="1" applyAlignment="1" applyProtection="1">
      <alignment horizontal="center" vertical="center" wrapText="1"/>
    </xf>
    <xf numFmtId="1" fontId="0" fillId="103" borderId="94" xfId="3" applyNumberFormat="1" applyFont="1" applyFill="1" applyBorder="1" applyAlignment="1" applyProtection="1">
      <alignment horizontal="center" vertical="center" wrapText="1"/>
    </xf>
    <xf numFmtId="0" fontId="10" fillId="103" borderId="94" xfId="0" applyFont="1" applyFill="1" applyBorder="1" applyAlignment="1" applyProtection="1">
      <alignment horizontal="center" vertical="center" wrapText="1"/>
    </xf>
    <xf numFmtId="0" fontId="0" fillId="103" borderId="29" xfId="0" applyFont="1" applyFill="1" applyBorder="1" applyAlignment="1" applyProtection="1">
      <alignment horizontal="center" vertical="center" wrapText="1"/>
    </xf>
    <xf numFmtId="0" fontId="7" fillId="103" borderId="30" xfId="0" applyFont="1" applyFill="1" applyBorder="1" applyAlignment="1" applyProtection="1">
      <alignment horizontal="justify" vertical="center" wrapText="1"/>
    </xf>
    <xf numFmtId="0" fontId="10" fillId="103" borderId="31" xfId="0" applyFont="1" applyFill="1" applyBorder="1" applyAlignment="1" applyProtection="1">
      <alignment horizontal="justify" vertical="center" wrapText="1"/>
    </xf>
    <xf numFmtId="0" fontId="10" fillId="103" borderId="53" xfId="0" applyFont="1" applyFill="1" applyBorder="1" applyAlignment="1" applyProtection="1">
      <alignment horizontal="justify" vertical="center" wrapText="1"/>
    </xf>
    <xf numFmtId="9" fontId="0" fillId="103" borderId="31" xfId="5" applyFont="1" applyFill="1" applyBorder="1" applyAlignment="1" applyProtection="1">
      <alignment horizontal="center" vertical="center" wrapText="1"/>
    </xf>
    <xf numFmtId="0" fontId="0" fillId="41" borderId="8" xfId="0" applyFont="1" applyFill="1" applyBorder="1" applyAlignment="1" applyProtection="1">
      <alignment horizontal="justify" vertical="center" wrapText="1"/>
    </xf>
    <xf numFmtId="0" fontId="7" fillId="41" borderId="8" xfId="0" applyFont="1" applyFill="1" applyBorder="1" applyAlignment="1" applyProtection="1">
      <alignment horizontal="justify" vertical="center" wrapText="1"/>
    </xf>
    <xf numFmtId="0" fontId="0" fillId="41" borderId="9" xfId="0" applyFont="1" applyFill="1" applyBorder="1" applyAlignment="1" applyProtection="1">
      <alignment horizontal="justify" vertical="center" wrapText="1"/>
    </xf>
    <xf numFmtId="0" fontId="0" fillId="41" borderId="54" xfId="0" applyFill="1" applyBorder="1" applyAlignment="1" applyProtection="1">
      <alignment horizontal="justify" vertical="center" wrapText="1"/>
    </xf>
    <xf numFmtId="9" fontId="0" fillId="41" borderId="9" xfId="5" applyFont="1" applyFill="1" applyBorder="1" applyAlignment="1" applyProtection="1">
      <alignment horizontal="center" vertical="center" wrapText="1"/>
    </xf>
    <xf numFmtId="0" fontId="0" fillId="41" borderId="154" xfId="0" applyFill="1" applyBorder="1" applyAlignment="1" applyProtection="1">
      <alignment horizontal="justify" vertical="center" wrapText="1"/>
    </xf>
    <xf numFmtId="9" fontId="0" fillId="41" borderId="94" xfId="5" applyFont="1" applyFill="1" applyBorder="1" applyAlignment="1" applyProtection="1">
      <alignment horizontal="center" vertical="center" wrapText="1"/>
    </xf>
    <xf numFmtId="0" fontId="0" fillId="41" borderId="184" xfId="0" applyFont="1" applyFill="1" applyBorder="1" applyAlignment="1" applyProtection="1">
      <alignment horizontal="justify" vertical="center"/>
    </xf>
    <xf numFmtId="0" fontId="10" fillId="41" borderId="94" xfId="0" applyFont="1" applyFill="1" applyBorder="1" applyAlignment="1" applyProtection="1">
      <alignment horizontal="justify" vertical="center"/>
    </xf>
    <xf numFmtId="0" fontId="10" fillId="41" borderId="154" xfId="0" applyFont="1" applyFill="1" applyBorder="1" applyAlignment="1" applyProtection="1">
      <alignment horizontal="justify" vertical="center"/>
    </xf>
    <xf numFmtId="9" fontId="0" fillId="41" borderId="94" xfId="0" applyNumberFormat="1" applyFont="1" applyFill="1" applyBorder="1" applyAlignment="1" applyProtection="1">
      <alignment horizontal="center" vertical="center" wrapText="1"/>
    </xf>
    <xf numFmtId="0" fontId="0" fillId="38" borderId="9" xfId="0" applyFont="1" applyFill="1" applyBorder="1" applyAlignment="1" applyProtection="1">
      <alignment horizontal="justify" vertical="center" wrapText="1"/>
    </xf>
    <xf numFmtId="0" fontId="0" fillId="38" borderId="54" xfId="0" applyFill="1" applyBorder="1" applyAlignment="1" applyProtection="1">
      <alignment horizontal="justify" vertical="center" wrapText="1"/>
    </xf>
    <xf numFmtId="9" fontId="0" fillId="38" borderId="9" xfId="0" applyNumberFormat="1" applyFont="1" applyFill="1" applyBorder="1" applyAlignment="1" applyProtection="1">
      <alignment horizontal="center" vertical="center" wrapText="1"/>
    </xf>
    <xf numFmtId="0" fontId="0" fillId="38" borderId="154" xfId="0" applyFill="1" applyBorder="1" applyAlignment="1" applyProtection="1">
      <alignment horizontal="justify" vertical="center" wrapText="1"/>
    </xf>
    <xf numFmtId="9" fontId="0" fillId="38" borderId="94" xfId="0" applyNumberFormat="1" applyFont="1" applyFill="1" applyBorder="1" applyAlignment="1" applyProtection="1">
      <alignment horizontal="center" vertical="center" wrapText="1"/>
    </xf>
    <xf numFmtId="1" fontId="0" fillId="38" borderId="94" xfId="0" applyNumberFormat="1" applyFont="1" applyFill="1" applyBorder="1" applyAlignment="1" applyProtection="1">
      <alignment horizontal="center" vertical="center" wrapText="1"/>
    </xf>
    <xf numFmtId="0" fontId="0" fillId="38" borderId="53" xfId="0" applyFill="1" applyBorder="1" applyAlignment="1" applyProtection="1">
      <alignment horizontal="justify" vertical="center" wrapText="1"/>
    </xf>
    <xf numFmtId="9" fontId="0" fillId="38" borderId="31" xfId="0" applyNumberFormat="1" applyFont="1" applyFill="1" applyBorder="1" applyAlignment="1" applyProtection="1">
      <alignment horizontal="center" vertical="center" wrapText="1"/>
    </xf>
    <xf numFmtId="0" fontId="10" fillId="103" borderId="7" xfId="0" applyFont="1" applyFill="1" applyBorder="1" applyAlignment="1" applyProtection="1">
      <alignment horizontal="center" vertical="center" wrapText="1"/>
    </xf>
    <xf numFmtId="0" fontId="10" fillId="103" borderId="8" xfId="0" applyFont="1" applyFill="1" applyBorder="1" applyAlignment="1" applyProtection="1">
      <alignment horizontal="justify" vertical="center" wrapText="1"/>
    </xf>
    <xf numFmtId="0" fontId="10" fillId="103" borderId="11" xfId="0" applyFont="1" applyFill="1" applyBorder="1" applyAlignment="1" applyProtection="1">
      <alignment horizontal="center" vertical="center" wrapText="1"/>
    </xf>
    <xf numFmtId="0" fontId="10" fillId="103" borderId="184" xfId="0" applyFont="1" applyFill="1" applyBorder="1" applyAlignment="1" applyProtection="1">
      <alignment horizontal="justify" vertical="center" wrapText="1"/>
    </xf>
    <xf numFmtId="0" fontId="10" fillId="103" borderId="11" xfId="0" applyFont="1" applyFill="1" applyBorder="1" applyAlignment="1" applyProtection="1">
      <alignment horizontal="center" wrapText="1"/>
    </xf>
    <xf numFmtId="0" fontId="10" fillId="103" borderId="29" xfId="0" applyFont="1" applyFill="1" applyBorder="1" applyAlignment="1" applyProtection="1">
      <alignment horizontal="center" vertical="center" wrapText="1"/>
    </xf>
    <xf numFmtId="0" fontId="0" fillId="103" borderId="30" xfId="0" applyFont="1" applyFill="1" applyBorder="1" applyAlignment="1" applyProtection="1">
      <alignment horizontal="justify" vertical="center" wrapText="1"/>
    </xf>
    <xf numFmtId="0" fontId="10" fillId="51" borderId="51" xfId="0" applyFont="1" applyFill="1" applyBorder="1" applyAlignment="1" applyProtection="1">
      <alignment horizontal="center" vertical="center" wrapText="1"/>
    </xf>
    <xf numFmtId="0" fontId="7" fillId="51" borderId="32" xfId="0" applyFont="1" applyFill="1" applyBorder="1" applyAlignment="1" applyProtection="1">
      <alignment horizontal="justify" vertical="center" wrapText="1"/>
    </xf>
    <xf numFmtId="0" fontId="10" fillId="51" borderId="52" xfId="0" applyFont="1" applyFill="1" applyBorder="1" applyAlignment="1" applyProtection="1">
      <alignment horizontal="center" vertical="center" wrapText="1"/>
    </xf>
    <xf numFmtId="0" fontId="10" fillId="51" borderId="11" xfId="0" applyFont="1" applyFill="1" applyBorder="1" applyAlignment="1" applyProtection="1">
      <alignment horizontal="center" vertical="center" wrapText="1"/>
    </xf>
    <xf numFmtId="0" fontId="10" fillId="51" borderId="94" xfId="0" applyFont="1" applyFill="1" applyBorder="1" applyAlignment="1" applyProtection="1">
      <alignment horizontal="center" vertical="center" wrapText="1"/>
    </xf>
    <xf numFmtId="170" fontId="10" fillId="51" borderId="184" xfId="9" applyFont="1" applyFill="1" applyBorder="1" applyAlignment="1" applyProtection="1">
      <alignment horizontal="justify" vertical="center" wrapText="1"/>
    </xf>
    <xf numFmtId="170" fontId="7" fillId="51" borderId="184" xfId="9" applyFont="1" applyFill="1" applyBorder="1" applyAlignment="1" applyProtection="1">
      <alignment horizontal="justify" vertical="center" wrapText="1"/>
    </xf>
    <xf numFmtId="0" fontId="83" fillId="115" borderId="184" xfId="0" applyFont="1" applyFill="1" applyBorder="1" applyAlignment="1" applyProtection="1">
      <alignment horizontal="justify" vertical="center" wrapText="1"/>
    </xf>
    <xf numFmtId="0" fontId="10" fillId="51" borderId="184" xfId="0" applyFont="1" applyFill="1" applyBorder="1" applyAlignment="1" applyProtection="1">
      <alignment horizontal="justify" vertical="center"/>
    </xf>
    <xf numFmtId="0" fontId="3" fillId="51" borderId="184" xfId="0" applyFont="1" applyFill="1" applyBorder="1" applyAlignment="1" applyProtection="1">
      <alignment horizontal="justify" vertical="center" wrapText="1"/>
    </xf>
    <xf numFmtId="0" fontId="0" fillId="51" borderId="53" xfId="0" applyFont="1" applyFill="1" applyBorder="1" applyAlignment="1" applyProtection="1">
      <alignment horizontal="justify" vertical="center" wrapText="1"/>
    </xf>
    <xf numFmtId="0" fontId="10" fillId="39" borderId="7" xfId="0" applyFont="1" applyFill="1" applyBorder="1" applyAlignment="1" applyProtection="1">
      <alignment horizontal="center" vertical="center" wrapText="1"/>
    </xf>
    <xf numFmtId="0" fontId="0" fillId="39" borderId="9" xfId="0" applyFont="1" applyFill="1" applyBorder="1" applyAlignment="1" applyProtection="1">
      <alignment horizontal="justify" vertical="center" wrapText="1"/>
    </xf>
    <xf numFmtId="0" fontId="10" fillId="39" borderId="19" xfId="0" applyFont="1" applyFill="1" applyBorder="1" applyAlignment="1" applyProtection="1">
      <alignment horizontal="justify" vertical="center" wrapText="1"/>
    </xf>
    <xf numFmtId="0" fontId="10" fillId="39" borderId="9" xfId="0" applyFont="1" applyFill="1" applyBorder="1" applyAlignment="1" applyProtection="1">
      <alignment horizontal="center" vertical="center" wrapText="1"/>
    </xf>
    <xf numFmtId="9" fontId="10" fillId="51" borderId="94" xfId="0" applyNumberFormat="1" applyFont="1" applyFill="1" applyBorder="1" applyAlignment="1" applyProtection="1">
      <alignment horizontal="center" vertical="center" wrapText="1"/>
    </xf>
    <xf numFmtId="6" fontId="10" fillId="51" borderId="184" xfId="0" applyNumberFormat="1" applyFont="1" applyFill="1" applyBorder="1" applyAlignment="1" applyProtection="1">
      <alignment horizontal="justify" vertical="center" wrapText="1"/>
    </xf>
    <xf numFmtId="0" fontId="10" fillId="51" borderId="29" xfId="0" applyFont="1" applyFill="1" applyBorder="1" applyAlignment="1" applyProtection="1">
      <alignment horizontal="center" vertical="center" wrapText="1"/>
    </xf>
    <xf numFmtId="6" fontId="10" fillId="51" borderId="30" xfId="0" applyNumberFormat="1" applyFont="1" applyFill="1" applyBorder="1" applyAlignment="1" applyProtection="1">
      <alignment horizontal="justify" vertical="center" wrapText="1"/>
    </xf>
    <xf numFmtId="0" fontId="10" fillId="51" borderId="31" xfId="0" applyFont="1" applyFill="1" applyBorder="1" applyAlignment="1" applyProtection="1">
      <alignment horizontal="center" vertical="center" wrapText="1"/>
    </xf>
    <xf numFmtId="0" fontId="10" fillId="69" borderId="51" xfId="0" applyFont="1" applyFill="1" applyBorder="1" applyAlignment="1" applyProtection="1">
      <alignment horizontal="center" vertical="center" wrapText="1"/>
    </xf>
    <xf numFmtId="0" fontId="10" fillId="69" borderId="11" xfId="0" applyFont="1" applyFill="1" applyBorder="1" applyAlignment="1" applyProtection="1">
      <alignment horizontal="center" vertical="center" wrapText="1"/>
    </xf>
    <xf numFmtId="0" fontId="10" fillId="69" borderId="29" xfId="0" applyFont="1" applyFill="1" applyBorder="1" applyAlignment="1" applyProtection="1">
      <alignment horizontal="center" vertical="center" wrapText="1"/>
    </xf>
    <xf numFmtId="0" fontId="10" fillId="12" borderId="51" xfId="0" applyFont="1" applyFill="1" applyBorder="1" applyAlignment="1" applyProtection="1">
      <alignment horizontal="center" vertical="center" wrapText="1"/>
    </xf>
    <xf numFmtId="0" fontId="10" fillId="12" borderId="32" xfId="0" applyFont="1" applyFill="1" applyBorder="1" applyAlignment="1" applyProtection="1">
      <alignment horizontal="justify" vertical="center" wrapText="1"/>
    </xf>
    <xf numFmtId="0" fontId="10" fillId="12" borderId="32" xfId="0" applyFont="1" applyFill="1" applyBorder="1" applyAlignment="1" applyProtection="1">
      <alignment horizontal="justify" vertical="center"/>
    </xf>
    <xf numFmtId="0" fontId="10" fillId="12" borderId="11" xfId="0" applyFont="1" applyFill="1" applyBorder="1" applyAlignment="1" applyProtection="1">
      <alignment horizontal="center" vertical="center" wrapText="1"/>
    </xf>
    <xf numFmtId="0" fontId="10" fillId="12" borderId="184" xfId="0" applyFont="1" applyFill="1" applyBorder="1" applyAlignment="1" applyProtection="1">
      <alignment horizontal="justify" vertical="center" wrapText="1"/>
    </xf>
    <xf numFmtId="0" fontId="0" fillId="12" borderId="94" xfId="0" applyFont="1" applyFill="1" applyBorder="1" applyAlignment="1" applyProtection="1">
      <alignment horizontal="justify" vertical="center" wrapText="1"/>
    </xf>
    <xf numFmtId="0" fontId="10" fillId="12" borderId="154" xfId="0" applyFont="1" applyFill="1" applyBorder="1" applyAlignment="1" applyProtection="1">
      <alignment horizontal="justify" vertical="center" wrapText="1"/>
    </xf>
    <xf numFmtId="0" fontId="10" fillId="12" borderId="94" xfId="0" applyFont="1" applyFill="1" applyBorder="1" applyAlignment="1" applyProtection="1">
      <alignment horizontal="center" vertical="top" wrapText="1"/>
    </xf>
    <xf numFmtId="0" fontId="10" fillId="12" borderId="94" xfId="0" applyFont="1" applyFill="1" applyBorder="1" applyAlignment="1" applyProtection="1">
      <alignment horizontal="center" vertical="center" wrapText="1"/>
    </xf>
    <xf numFmtId="0" fontId="10" fillId="12" borderId="29" xfId="0" applyFont="1" applyFill="1" applyBorder="1" applyAlignment="1" applyProtection="1">
      <alignment horizontal="center" vertical="center" wrapText="1"/>
    </xf>
    <xf numFmtId="0" fontId="10" fillId="12" borderId="30" xfId="0" applyFont="1" applyFill="1" applyBorder="1" applyAlignment="1" applyProtection="1">
      <alignment horizontal="justify" vertical="center" wrapText="1"/>
    </xf>
    <xf numFmtId="0" fontId="0" fillId="12" borderId="31" xfId="0" applyFont="1" applyFill="1" applyBorder="1" applyAlignment="1" applyProtection="1">
      <alignment horizontal="justify" vertical="center" wrapText="1"/>
    </xf>
    <xf numFmtId="0" fontId="10" fillId="12" borderId="53" xfId="0" applyFont="1" applyFill="1" applyBorder="1" applyAlignment="1" applyProtection="1">
      <alignment horizontal="justify" vertical="center" wrapText="1"/>
    </xf>
    <xf numFmtId="0" fontId="10" fillId="12" borderId="31" xfId="0" applyFont="1" applyFill="1" applyBorder="1" applyAlignment="1" applyProtection="1">
      <alignment horizontal="center" vertical="center" wrapText="1"/>
    </xf>
    <xf numFmtId="0" fontId="10" fillId="29" borderId="51" xfId="0" applyFont="1" applyFill="1" applyBorder="1" applyAlignment="1" applyProtection="1">
      <alignment horizontal="center" vertical="center" wrapText="1"/>
    </xf>
    <xf numFmtId="0" fontId="10" fillId="29" borderId="29" xfId="0" applyFont="1" applyFill="1" applyBorder="1" applyAlignment="1" applyProtection="1">
      <alignment horizontal="center" vertical="center" wrapText="1"/>
    </xf>
    <xf numFmtId="0" fontId="10" fillId="69" borderId="7" xfId="0" applyFont="1" applyFill="1" applyBorder="1" applyAlignment="1" applyProtection="1">
      <alignment horizontal="center" vertical="center" wrapText="1"/>
    </xf>
    <xf numFmtId="0" fontId="10" fillId="69" borderId="8" xfId="0" applyFont="1" applyFill="1" applyBorder="1" applyAlignment="1" applyProtection="1">
      <alignment horizontal="justify" vertical="center" wrapText="1"/>
    </xf>
    <xf numFmtId="0" fontId="10" fillId="69" borderId="184" xfId="0" applyFont="1" applyFill="1" applyBorder="1" applyAlignment="1" applyProtection="1">
      <alignment horizontal="justify" vertical="center" wrapText="1"/>
    </xf>
    <xf numFmtId="0" fontId="10" fillId="69" borderId="184" xfId="0" applyFont="1" applyFill="1" applyBorder="1" applyAlignment="1" applyProtection="1">
      <alignment horizontal="justify" vertical="center"/>
    </xf>
    <xf numFmtId="0" fontId="10" fillId="69" borderId="30" xfId="0" applyFont="1" applyFill="1" applyBorder="1" applyAlignment="1" applyProtection="1">
      <alignment horizontal="justify" vertical="center" wrapText="1"/>
    </xf>
    <xf numFmtId="0" fontId="10" fillId="116" borderId="51" xfId="0" applyFont="1" applyFill="1" applyBorder="1" applyAlignment="1" applyProtection="1">
      <alignment horizontal="center" vertical="center" wrapText="1"/>
    </xf>
    <xf numFmtId="0" fontId="10" fillId="116" borderId="11" xfId="0" applyFont="1" applyFill="1" applyBorder="1" applyAlignment="1" applyProtection="1">
      <alignment horizontal="center" vertical="center" wrapText="1"/>
    </xf>
    <xf numFmtId="0" fontId="10" fillId="116" borderId="29" xfId="0" applyFont="1" applyFill="1" applyBorder="1" applyAlignment="1" applyProtection="1">
      <alignment horizontal="center" vertical="center" wrapText="1"/>
    </xf>
    <xf numFmtId="0" fontId="10" fillId="116" borderId="30" xfId="0" applyFont="1" applyFill="1" applyBorder="1" applyAlignment="1" applyProtection="1">
      <alignment horizontal="justify" vertical="center" wrapText="1"/>
    </xf>
    <xf numFmtId="0" fontId="0" fillId="116" borderId="31" xfId="0" applyFont="1" applyFill="1" applyBorder="1" applyAlignment="1" applyProtection="1">
      <alignment horizontal="justify" vertical="center" wrapText="1"/>
    </xf>
    <xf numFmtId="0" fontId="10" fillId="116" borderId="53" xfId="0" applyFont="1" applyFill="1" applyBorder="1" applyAlignment="1" applyProtection="1">
      <alignment horizontal="justify" vertical="center" wrapText="1"/>
    </xf>
    <xf numFmtId="0" fontId="10" fillId="116" borderId="31" xfId="0" applyFont="1" applyFill="1" applyBorder="1" applyAlignment="1" applyProtection="1">
      <alignment horizontal="center" vertical="center" wrapText="1"/>
    </xf>
    <xf numFmtId="0" fontId="10" fillId="27" borderId="51" xfId="0" applyFont="1" applyFill="1" applyBorder="1" applyAlignment="1" applyProtection="1">
      <alignment horizontal="center" vertical="center" wrapText="1"/>
    </xf>
    <xf numFmtId="0" fontId="10" fillId="27" borderId="32" xfId="0" applyFont="1" applyFill="1" applyBorder="1" applyAlignment="1" applyProtection="1">
      <alignment horizontal="justify" vertical="center" wrapText="1"/>
    </xf>
    <xf numFmtId="0" fontId="10" fillId="27" borderId="32" xfId="0" applyFont="1" applyFill="1" applyBorder="1" applyAlignment="1" applyProtection="1">
      <alignment horizontal="justify" vertical="center"/>
    </xf>
    <xf numFmtId="0" fontId="0" fillId="27" borderId="52" xfId="0" applyFont="1" applyFill="1" applyBorder="1" applyAlignment="1" applyProtection="1">
      <alignment horizontal="justify" vertical="center" wrapText="1"/>
    </xf>
    <xf numFmtId="0" fontId="10" fillId="27" borderId="54" xfId="0" applyFont="1" applyFill="1" applyBorder="1" applyAlignment="1" applyProtection="1">
      <alignment horizontal="justify" vertical="center" wrapText="1"/>
    </xf>
    <xf numFmtId="0" fontId="10" fillId="27" borderId="52" xfId="0" applyFont="1" applyFill="1" applyBorder="1" applyAlignment="1" applyProtection="1">
      <alignment horizontal="center" vertical="center" wrapText="1"/>
    </xf>
    <xf numFmtId="0" fontId="10" fillId="27" borderId="11" xfId="0" applyFont="1" applyFill="1" applyBorder="1" applyAlignment="1" applyProtection="1">
      <alignment horizontal="center" vertical="center" wrapText="1"/>
    </xf>
    <xf numFmtId="0" fontId="10" fillId="27" borderId="184" xfId="0" applyFont="1" applyFill="1" applyBorder="1" applyAlignment="1" applyProtection="1">
      <alignment horizontal="justify" vertical="center" wrapText="1"/>
    </xf>
    <xf numFmtId="0" fontId="10" fillId="27" borderId="184" xfId="0" applyFont="1" applyFill="1" applyBorder="1" applyAlignment="1" applyProtection="1">
      <alignment horizontal="justify" vertical="center"/>
    </xf>
    <xf numFmtId="0" fontId="0" fillId="27" borderId="94" xfId="0" applyFont="1" applyFill="1" applyBorder="1" applyAlignment="1" applyProtection="1">
      <alignment horizontal="justify" vertical="center" wrapText="1"/>
    </xf>
    <xf numFmtId="0" fontId="10" fillId="27" borderId="154" xfId="0" applyFont="1" applyFill="1" applyBorder="1" applyAlignment="1" applyProtection="1">
      <alignment horizontal="justify" vertical="center" wrapText="1"/>
    </xf>
    <xf numFmtId="0" fontId="10" fillId="27" borderId="94" xfId="0" applyFont="1" applyFill="1" applyBorder="1" applyAlignment="1" applyProtection="1">
      <alignment horizontal="center" vertical="center" wrapText="1"/>
    </xf>
    <xf numFmtId="0" fontId="10" fillId="27" borderId="29" xfId="0" applyFont="1" applyFill="1" applyBorder="1" applyAlignment="1" applyProtection="1">
      <alignment horizontal="center" vertical="center" wrapText="1"/>
    </xf>
    <xf numFmtId="0" fontId="10" fillId="27" borderId="30" xfId="0" applyFont="1" applyFill="1" applyBorder="1" applyAlignment="1" applyProtection="1">
      <alignment horizontal="justify" vertical="center" wrapText="1"/>
    </xf>
    <xf numFmtId="0" fontId="10" fillId="27" borderId="30" xfId="0" applyFont="1" applyFill="1" applyBorder="1" applyAlignment="1" applyProtection="1">
      <alignment horizontal="justify" vertical="center"/>
    </xf>
    <xf numFmtId="0" fontId="0" fillId="27" borderId="31" xfId="0" applyFont="1" applyFill="1" applyBorder="1" applyAlignment="1" applyProtection="1">
      <alignment horizontal="justify" vertical="center" wrapText="1"/>
    </xf>
    <xf numFmtId="0" fontId="10" fillId="27" borderId="53" xfId="0" applyFont="1" applyFill="1" applyBorder="1" applyAlignment="1" applyProtection="1">
      <alignment horizontal="justify" vertical="center" wrapText="1"/>
    </xf>
    <xf numFmtId="0" fontId="10" fillId="27" borderId="31" xfId="0" applyFont="1" applyFill="1" applyBorder="1" applyAlignment="1" applyProtection="1">
      <alignment horizontal="center" vertical="center" wrapText="1"/>
    </xf>
    <xf numFmtId="0" fontId="10" fillId="68" borderId="51" xfId="0" applyFont="1" applyFill="1" applyBorder="1" applyAlignment="1" applyProtection="1">
      <alignment horizontal="center" vertical="center" wrapText="1"/>
    </xf>
    <xf numFmtId="0" fontId="10" fillId="68" borderId="32" xfId="0" applyFont="1" applyFill="1" applyBorder="1" applyAlignment="1" applyProtection="1">
      <alignment horizontal="justify" vertical="center"/>
    </xf>
    <xf numFmtId="0" fontId="0" fillId="68" borderId="52" xfId="0" applyFont="1" applyFill="1" applyBorder="1" applyAlignment="1" applyProtection="1">
      <alignment horizontal="justify" vertical="center" wrapText="1"/>
    </xf>
    <xf numFmtId="0" fontId="10" fillId="68" borderId="54" xfId="0" applyFont="1" applyFill="1" applyBorder="1" applyAlignment="1" applyProtection="1">
      <alignment horizontal="justify" vertical="center" wrapText="1"/>
    </xf>
    <xf numFmtId="0" fontId="10" fillId="68" borderId="52" xfId="0" applyFont="1" applyFill="1" applyBorder="1" applyAlignment="1" applyProtection="1">
      <alignment horizontal="center" vertical="center" wrapText="1"/>
    </xf>
    <xf numFmtId="0" fontId="10" fillId="68" borderId="11" xfId="0" applyFont="1" applyFill="1" applyBorder="1" applyAlignment="1" applyProtection="1">
      <alignment horizontal="center" vertical="center" wrapText="1"/>
    </xf>
    <xf numFmtId="0" fontId="10" fillId="68" borderId="184" xfId="0" applyFont="1" applyFill="1" applyBorder="1" applyAlignment="1" applyProtection="1">
      <alignment horizontal="justify" vertical="center" wrapText="1"/>
    </xf>
    <xf numFmtId="0" fontId="10" fillId="68" borderId="29" xfId="0" applyFont="1" applyFill="1" applyBorder="1" applyAlignment="1" applyProtection="1">
      <alignment horizontal="center" vertical="center" wrapText="1"/>
    </xf>
    <xf numFmtId="0" fontId="10" fillId="68" borderId="30" xfId="0" applyFont="1" applyFill="1" applyBorder="1" applyAlignment="1" applyProtection="1">
      <alignment horizontal="justify" vertical="center" wrapText="1"/>
    </xf>
    <xf numFmtId="0" fontId="10" fillId="68" borderId="30" xfId="0" applyFont="1" applyFill="1" applyBorder="1" applyAlignment="1" applyProtection="1">
      <alignment horizontal="justify" vertical="center"/>
    </xf>
    <xf numFmtId="0" fontId="0" fillId="68" borderId="31" xfId="0" applyFont="1" applyFill="1" applyBorder="1" applyAlignment="1" applyProtection="1">
      <alignment horizontal="justify" vertical="center" wrapText="1"/>
    </xf>
    <xf numFmtId="0" fontId="10" fillId="68" borderId="53" xfId="0" applyFont="1" applyFill="1" applyBorder="1" applyAlignment="1" applyProtection="1">
      <alignment horizontal="justify" vertical="center" wrapText="1"/>
    </xf>
    <xf numFmtId="0" fontId="10" fillId="68" borderId="31" xfId="0" applyFont="1" applyFill="1" applyBorder="1" applyAlignment="1" applyProtection="1">
      <alignment horizontal="center" vertical="center" wrapText="1"/>
    </xf>
    <xf numFmtId="0" fontId="10" fillId="116" borderId="32" xfId="0" applyFont="1" applyFill="1" applyBorder="1" applyAlignment="1" applyProtection="1">
      <alignment horizontal="justify" vertical="center" wrapText="1"/>
    </xf>
    <xf numFmtId="0" fontId="0" fillId="116" borderId="52" xfId="0" applyFont="1" applyFill="1" applyBorder="1" applyAlignment="1" applyProtection="1">
      <alignment horizontal="justify" vertical="center" wrapText="1"/>
    </xf>
    <xf numFmtId="0" fontId="10" fillId="116" borderId="54" xfId="0" applyFont="1" applyFill="1" applyBorder="1" applyAlignment="1" applyProtection="1">
      <alignment horizontal="justify" vertical="center" wrapText="1"/>
    </xf>
    <xf numFmtId="0" fontId="10" fillId="116" borderId="52" xfId="0" applyFont="1" applyFill="1" applyBorder="1" applyAlignment="1" applyProtection="1">
      <alignment horizontal="center" vertical="center" wrapText="1"/>
    </xf>
    <xf numFmtId="0" fontId="10" fillId="116" borderId="30" xfId="0" applyFont="1" applyFill="1" applyBorder="1" applyAlignment="1" applyProtection="1">
      <alignment horizontal="justify" vertical="center"/>
    </xf>
    <xf numFmtId="0" fontId="11" fillId="38" borderId="7" xfId="0" applyFont="1" applyFill="1" applyBorder="1" applyAlignment="1" applyProtection="1">
      <alignment horizontal="center" vertical="center" wrapText="1"/>
    </xf>
    <xf numFmtId="0" fontId="11" fillId="38" borderId="53" xfId="0" applyFont="1" applyFill="1" applyBorder="1" applyAlignment="1" applyProtection="1">
      <alignment horizontal="justify" vertical="center" wrapText="1"/>
    </xf>
    <xf numFmtId="0" fontId="11" fillId="38" borderId="31" xfId="0" applyFont="1" applyFill="1" applyBorder="1" applyAlignment="1" applyProtection="1">
      <alignment horizontal="center" vertical="center" wrapText="1"/>
    </xf>
    <xf numFmtId="0" fontId="11" fillId="39" borderId="7" xfId="0" applyFont="1" applyFill="1" applyBorder="1" applyAlignment="1" applyProtection="1">
      <alignment horizontal="center" vertical="center" wrapText="1"/>
    </xf>
    <xf numFmtId="0" fontId="0" fillId="39" borderId="8" xfId="0" applyFont="1" applyFill="1" applyBorder="1" applyAlignment="1" applyProtection="1">
      <alignment horizontal="justify" vertical="center" wrapText="1"/>
    </xf>
    <xf numFmtId="0" fontId="0" fillId="39" borderId="184" xfId="0" applyFont="1" applyFill="1" applyBorder="1" applyAlignment="1" applyProtection="1">
      <alignment horizontal="justify" vertical="center" wrapText="1"/>
    </xf>
    <xf numFmtId="0" fontId="11" fillId="39" borderId="31" xfId="0" applyFont="1" applyFill="1" applyBorder="1" applyAlignment="1" applyProtection="1">
      <alignment horizontal="justify" vertical="center" wrapText="1"/>
    </xf>
    <xf numFmtId="0" fontId="11" fillId="39" borderId="53" xfId="0" applyFont="1" applyFill="1" applyBorder="1" applyAlignment="1" applyProtection="1">
      <alignment horizontal="justify" vertical="center" wrapText="1"/>
    </xf>
    <xf numFmtId="0" fontId="11" fillId="39" borderId="31" xfId="0" applyFont="1" applyFill="1" applyBorder="1" applyAlignment="1" applyProtection="1">
      <alignment horizontal="center" vertical="center" wrapText="1"/>
    </xf>
    <xf numFmtId="9" fontId="11" fillId="51" borderId="94" xfId="0" applyNumberFormat="1" applyFont="1" applyFill="1" applyBorder="1" applyAlignment="1" applyProtection="1">
      <alignment horizontal="center" vertical="center" wrapText="1"/>
    </xf>
    <xf numFmtId="0" fontId="11" fillId="51" borderId="31" xfId="0" applyFont="1" applyFill="1" applyBorder="1" applyAlignment="1" applyProtection="1">
      <alignment horizontal="justify" vertical="center" wrapText="1"/>
    </xf>
    <xf numFmtId="0" fontId="11" fillId="7" borderId="51" xfId="0" applyFont="1" applyFill="1" applyBorder="1" applyAlignment="1" applyProtection="1">
      <alignment horizontal="center" vertical="center" wrapText="1"/>
    </xf>
    <xf numFmtId="0" fontId="11" fillId="7" borderId="52" xfId="0" applyFont="1" applyFill="1" applyBorder="1" applyAlignment="1" applyProtection="1">
      <alignment horizontal="justify" vertical="center" wrapText="1"/>
    </xf>
    <xf numFmtId="0" fontId="11" fillId="7" borderId="54" xfId="0" applyFont="1" applyFill="1" applyBorder="1" applyAlignment="1" applyProtection="1">
      <alignment horizontal="justify" vertical="center" wrapText="1"/>
    </xf>
    <xf numFmtId="0" fontId="11" fillId="7" borderId="52" xfId="0" applyFont="1" applyFill="1" applyBorder="1" applyAlignment="1" applyProtection="1">
      <alignment horizontal="center" vertical="center" wrapText="1"/>
    </xf>
    <xf numFmtId="0" fontId="11" fillId="7" borderId="31" xfId="0" applyFont="1" applyFill="1" applyBorder="1" applyAlignment="1" applyProtection="1">
      <alignment horizontal="center" vertical="center" wrapText="1"/>
    </xf>
    <xf numFmtId="9" fontId="11" fillId="41" borderId="52" xfId="0" applyNumberFormat="1" applyFont="1" applyFill="1" applyBorder="1" applyAlignment="1" applyProtection="1">
      <alignment horizontal="center" vertical="center" wrapText="1"/>
    </xf>
    <xf numFmtId="0" fontId="0" fillId="41" borderId="30" xfId="0" applyFont="1" applyFill="1" applyBorder="1" applyAlignment="1" applyProtection="1">
      <alignment horizontal="justify" vertical="center"/>
    </xf>
    <xf numFmtId="0" fontId="10" fillId="38" borderId="7" xfId="6" applyFont="1" applyFill="1" applyBorder="1" applyAlignment="1" applyProtection="1">
      <alignment horizontal="center" vertical="center" wrapText="1"/>
    </xf>
    <xf numFmtId="0" fontId="10" fillId="38" borderId="8" xfId="6" applyFont="1" applyFill="1" applyBorder="1" applyAlignment="1" applyProtection="1">
      <alignment horizontal="justify" vertical="center" wrapText="1"/>
    </xf>
    <xf numFmtId="0" fontId="10" fillId="38" borderId="9" xfId="6" applyFont="1" applyFill="1" applyBorder="1" applyAlignment="1" applyProtection="1">
      <alignment horizontal="center" vertical="center"/>
    </xf>
    <xf numFmtId="0" fontId="10" fillId="38" borderId="11" xfId="6" applyFont="1" applyFill="1" applyBorder="1" applyAlignment="1" applyProtection="1">
      <alignment horizontal="center" vertical="center" wrapText="1"/>
    </xf>
    <xf numFmtId="0" fontId="10" fillId="38" borderId="184" xfId="6" applyFont="1" applyFill="1" applyBorder="1" applyAlignment="1" applyProtection="1">
      <alignment horizontal="justify" vertical="center" wrapText="1"/>
    </xf>
    <xf numFmtId="0" fontId="10" fillId="38" borderId="94" xfId="6" applyFont="1" applyFill="1" applyBorder="1" applyAlignment="1" applyProtection="1">
      <alignment horizontal="center" vertical="center"/>
    </xf>
    <xf numFmtId="0" fontId="10" fillId="38" borderId="154" xfId="6" applyFont="1" applyFill="1" applyBorder="1" applyAlignment="1" applyProtection="1">
      <alignment horizontal="justify" vertical="center" wrapText="1"/>
    </xf>
    <xf numFmtId="0" fontId="10" fillId="38" borderId="184" xfId="6" applyFont="1" applyFill="1" applyBorder="1" applyAlignment="1" applyProtection="1">
      <alignment horizontal="justify" vertical="center"/>
    </xf>
    <xf numFmtId="9" fontId="10" fillId="38" borderId="94" xfId="5" applyFont="1" applyFill="1" applyBorder="1" applyAlignment="1" applyProtection="1">
      <alignment horizontal="center" vertical="center"/>
    </xf>
    <xf numFmtId="0" fontId="10" fillId="38" borderId="29" xfId="6" applyFont="1" applyFill="1" applyBorder="1" applyAlignment="1" applyProtection="1">
      <alignment horizontal="center" vertical="center" wrapText="1"/>
    </xf>
    <xf numFmtId="0" fontId="10" fillId="38" borderId="30" xfId="6" applyFont="1" applyFill="1" applyBorder="1" applyAlignment="1" applyProtection="1">
      <alignment horizontal="justify" vertical="center" wrapText="1"/>
    </xf>
    <xf numFmtId="0" fontId="10" fillId="38" borderId="30" xfId="6" applyFont="1" applyFill="1" applyBorder="1" applyAlignment="1" applyProtection="1">
      <alignment horizontal="justify" vertical="center"/>
    </xf>
    <xf numFmtId="0" fontId="10" fillId="38" borderId="53" xfId="6" applyFont="1" applyFill="1" applyBorder="1" applyAlignment="1" applyProtection="1">
      <alignment horizontal="justify" vertical="center" wrapText="1"/>
    </xf>
    <xf numFmtId="0" fontId="10" fillId="38" borderId="31" xfId="6" applyFont="1" applyFill="1" applyBorder="1" applyAlignment="1" applyProtection="1">
      <alignment horizontal="center" vertical="center"/>
    </xf>
    <xf numFmtId="0" fontId="10" fillId="51" borderId="51" xfId="6" applyFont="1" applyFill="1" applyBorder="1" applyAlignment="1" applyProtection="1">
      <alignment horizontal="center" vertical="center" wrapText="1"/>
    </xf>
    <xf numFmtId="0" fontId="10" fillId="51" borderId="32" xfId="6" applyFont="1" applyFill="1" applyBorder="1" applyAlignment="1" applyProtection="1">
      <alignment horizontal="justify" vertical="center"/>
    </xf>
    <xf numFmtId="0" fontId="10" fillId="51" borderId="54" xfId="6" applyFont="1" applyFill="1" applyBorder="1" applyAlignment="1" applyProtection="1">
      <alignment horizontal="justify" vertical="center" wrapText="1"/>
    </xf>
    <xf numFmtId="0" fontId="10" fillId="51" borderId="52" xfId="6" applyFont="1" applyFill="1" applyBorder="1" applyAlignment="1" applyProtection="1">
      <alignment horizontal="center" vertical="center"/>
    </xf>
    <xf numFmtId="0" fontId="10" fillId="51" borderId="11" xfId="6" applyFont="1" applyFill="1" applyBorder="1" applyAlignment="1" applyProtection="1">
      <alignment horizontal="center" vertical="center"/>
    </xf>
    <xf numFmtId="0" fontId="10" fillId="51" borderId="184" xfId="6" applyFont="1" applyFill="1" applyBorder="1" applyAlignment="1" applyProtection="1">
      <alignment horizontal="justify" vertical="center" wrapText="1"/>
    </xf>
    <xf numFmtId="0" fontId="10" fillId="51" borderId="184" xfId="6" applyFont="1" applyFill="1" applyBorder="1" applyAlignment="1" applyProtection="1">
      <alignment horizontal="justify" vertical="center"/>
    </xf>
    <xf numFmtId="0" fontId="10" fillId="51" borderId="154" xfId="6" applyFont="1" applyFill="1" applyBorder="1" applyAlignment="1" applyProtection="1">
      <alignment horizontal="justify" vertical="center" wrapText="1"/>
    </xf>
    <xf numFmtId="0" fontId="10" fillId="51" borderId="94" xfId="6" applyFont="1" applyFill="1" applyBorder="1" applyAlignment="1" applyProtection="1">
      <alignment horizontal="center" vertical="center"/>
    </xf>
    <xf numFmtId="0" fontId="10" fillId="51" borderId="11" xfId="6" applyFont="1" applyFill="1" applyBorder="1" applyAlignment="1" applyProtection="1">
      <alignment horizontal="center" vertical="center" wrapText="1"/>
    </xf>
    <xf numFmtId="9" fontId="10" fillId="51" borderId="94" xfId="5" applyFont="1" applyFill="1" applyBorder="1" applyAlignment="1" applyProtection="1">
      <alignment horizontal="center" vertical="center"/>
    </xf>
    <xf numFmtId="0" fontId="10" fillId="51" borderId="94" xfId="0" applyFont="1" applyFill="1" applyBorder="1" applyAlignment="1" applyProtection="1">
      <alignment horizontal="center" vertical="center"/>
    </xf>
    <xf numFmtId="0" fontId="40" fillId="51" borderId="94" xfId="0" applyFont="1" applyFill="1" applyBorder="1" applyAlignment="1" applyProtection="1">
      <alignment horizontal="center" vertical="center"/>
    </xf>
    <xf numFmtId="1" fontId="10" fillId="51" borderId="94" xfId="5" applyNumberFormat="1" applyFont="1" applyFill="1" applyBorder="1" applyAlignment="1" applyProtection="1">
      <alignment horizontal="center" vertical="center"/>
    </xf>
    <xf numFmtId="1" fontId="10" fillId="51" borderId="31" xfId="5" applyNumberFormat="1" applyFont="1" applyFill="1" applyBorder="1" applyAlignment="1" applyProtection="1">
      <alignment horizontal="center" vertical="center"/>
    </xf>
    <xf numFmtId="0" fontId="10" fillId="103" borderId="51" xfId="0" applyFont="1" applyFill="1" applyBorder="1" applyAlignment="1" applyProtection="1">
      <alignment horizontal="center" vertical="center" wrapText="1"/>
    </xf>
    <xf numFmtId="0" fontId="10" fillId="103" borderId="32" xfId="0" applyFont="1" applyFill="1" applyBorder="1" applyAlignment="1" applyProtection="1">
      <alignment horizontal="justify" vertical="center" wrapText="1"/>
    </xf>
    <xf numFmtId="0" fontId="10" fillId="103" borderId="32" xfId="0" applyFont="1" applyFill="1" applyBorder="1" applyAlignment="1" applyProtection="1">
      <alignment horizontal="justify" vertical="center"/>
    </xf>
    <xf numFmtId="0" fontId="10" fillId="103" borderId="52" xfId="0" applyFont="1" applyFill="1" applyBorder="1" applyAlignment="1" applyProtection="1">
      <alignment horizontal="justify" vertical="center" wrapText="1"/>
    </xf>
    <xf numFmtId="0" fontId="10" fillId="103" borderId="54" xfId="0" applyFont="1" applyFill="1" applyBorder="1" applyAlignment="1" applyProtection="1">
      <alignment horizontal="justify" vertical="center" wrapText="1"/>
    </xf>
    <xf numFmtId="9" fontId="10" fillId="103" borderId="52" xfId="5" applyFont="1" applyFill="1" applyBorder="1" applyAlignment="1" applyProtection="1">
      <alignment horizontal="center" vertical="center"/>
    </xf>
    <xf numFmtId="0" fontId="10" fillId="103" borderId="11" xfId="0" applyFont="1" applyFill="1" applyBorder="1" applyAlignment="1" applyProtection="1">
      <alignment horizontal="center" vertical="center"/>
    </xf>
    <xf numFmtId="0" fontId="10" fillId="103" borderId="184" xfId="0" applyFont="1" applyFill="1" applyBorder="1" applyAlignment="1" applyProtection="1">
      <alignment horizontal="justify" vertical="center"/>
    </xf>
    <xf numFmtId="0" fontId="10" fillId="103" borderId="94" xfId="0" applyFont="1" applyFill="1" applyBorder="1" applyAlignment="1" applyProtection="1">
      <alignment horizontal="center" vertical="center"/>
    </xf>
    <xf numFmtId="9" fontId="10" fillId="103" borderId="94" xfId="5" applyFont="1" applyFill="1" applyBorder="1" applyAlignment="1" applyProtection="1">
      <alignment horizontal="center" vertical="center"/>
    </xf>
    <xf numFmtId="9" fontId="10" fillId="103" borderId="94" xfId="0" applyNumberFormat="1" applyFont="1" applyFill="1" applyBorder="1" applyAlignment="1" applyProtection="1">
      <alignment horizontal="center" vertical="center"/>
    </xf>
    <xf numFmtId="0" fontId="10" fillId="103" borderId="30" xfId="0" applyFont="1" applyFill="1" applyBorder="1" applyAlignment="1" applyProtection="1">
      <alignment horizontal="justify" vertical="center" wrapText="1"/>
    </xf>
    <xf numFmtId="9" fontId="10" fillId="103" borderId="31" xfId="5" applyFont="1" applyFill="1" applyBorder="1" applyAlignment="1" applyProtection="1">
      <alignment horizontal="center" vertical="center"/>
    </xf>
    <xf numFmtId="0" fontId="10" fillId="66" borderId="51" xfId="0" applyFont="1" applyFill="1" applyBorder="1" applyAlignment="1" applyProtection="1">
      <alignment horizontal="center" vertical="center"/>
    </xf>
    <xf numFmtId="0" fontId="10" fillId="66" borderId="32" xfId="0" applyFont="1" applyFill="1" applyBorder="1" applyAlignment="1" applyProtection="1">
      <alignment horizontal="justify" vertical="center"/>
    </xf>
    <xf numFmtId="0" fontId="10" fillId="66" borderId="52" xfId="0" applyFont="1" applyFill="1" applyBorder="1" applyAlignment="1" applyProtection="1">
      <alignment horizontal="center" vertical="center"/>
    </xf>
    <xf numFmtId="0" fontId="10" fillId="66" borderId="11" xfId="0" applyFont="1" applyFill="1" applyBorder="1" applyAlignment="1" applyProtection="1">
      <alignment horizontal="center" vertical="center"/>
    </xf>
    <xf numFmtId="0" fontId="10" fillId="66" borderId="184" xfId="0" applyFont="1" applyFill="1" applyBorder="1" applyAlignment="1" applyProtection="1">
      <alignment horizontal="justify" vertical="center"/>
    </xf>
    <xf numFmtId="0" fontId="10" fillId="66" borderId="94" xfId="0" applyFont="1" applyFill="1" applyBorder="1" applyAlignment="1" applyProtection="1">
      <alignment horizontal="center" vertical="center"/>
    </xf>
    <xf numFmtId="0" fontId="10" fillId="66" borderId="11" xfId="0" applyFont="1" applyFill="1" applyBorder="1" applyAlignment="1" applyProtection="1">
      <alignment horizontal="center" vertical="center" wrapText="1"/>
    </xf>
    <xf numFmtId="0" fontId="10" fillId="66" borderId="184" xfId="0" applyFont="1" applyFill="1" applyBorder="1" applyAlignment="1" applyProtection="1">
      <alignment horizontal="justify" vertical="center" wrapText="1"/>
    </xf>
    <xf numFmtId="0" fontId="10" fillId="66" borderId="94" xfId="0" applyFont="1" applyFill="1" applyBorder="1" applyAlignment="1" applyProtection="1">
      <alignment horizontal="justify" vertical="center" wrapText="1"/>
    </xf>
    <xf numFmtId="0" fontId="10" fillId="66" borderId="154" xfId="0" applyFont="1" applyFill="1" applyBorder="1" applyAlignment="1" applyProtection="1">
      <alignment horizontal="justify" vertical="center" wrapText="1"/>
    </xf>
    <xf numFmtId="9" fontId="10" fillId="66" borderId="94" xfId="5" applyFont="1" applyFill="1" applyBorder="1" applyAlignment="1" applyProtection="1">
      <alignment horizontal="center" vertical="center"/>
    </xf>
    <xf numFmtId="0" fontId="10" fillId="66" borderId="29" xfId="0" applyFont="1" applyFill="1" applyBorder="1" applyAlignment="1" applyProtection="1">
      <alignment horizontal="center" vertical="center" wrapText="1"/>
    </xf>
    <xf numFmtId="0" fontId="10" fillId="66" borderId="30" xfId="0" applyFont="1" applyFill="1" applyBorder="1" applyAlignment="1" applyProtection="1">
      <alignment horizontal="justify" vertical="center" wrapText="1"/>
    </xf>
    <xf numFmtId="0" fontId="10" fillId="66" borderId="30" xfId="0" applyFont="1" applyFill="1" applyBorder="1" applyAlignment="1" applyProtection="1">
      <alignment horizontal="justify" vertical="center"/>
    </xf>
    <xf numFmtId="0" fontId="10" fillId="66" borderId="31" xfId="0" applyFont="1" applyFill="1" applyBorder="1" applyAlignment="1" applyProtection="1">
      <alignment horizontal="justify" vertical="center" wrapText="1"/>
    </xf>
    <xf numFmtId="0" fontId="10" fillId="66" borderId="53" xfId="0" applyFont="1" applyFill="1" applyBorder="1" applyAlignment="1" applyProtection="1">
      <alignment horizontal="justify" vertical="center" wrapText="1"/>
    </xf>
    <xf numFmtId="9" fontId="10" fillId="66" borderId="31" xfId="5" applyFont="1" applyFill="1" applyBorder="1" applyAlignment="1" applyProtection="1">
      <alignment horizontal="center" vertical="center"/>
    </xf>
    <xf numFmtId="0" fontId="0" fillId="69" borderId="51" xfId="0" applyFont="1" applyFill="1" applyBorder="1" applyAlignment="1" applyProtection="1">
      <alignment horizontal="center" vertical="center" wrapText="1"/>
    </xf>
    <xf numFmtId="0" fontId="0" fillId="69" borderId="32" xfId="0" applyFont="1" applyFill="1" applyBorder="1" applyAlignment="1" applyProtection="1">
      <alignment horizontal="justify" vertical="center" wrapText="1"/>
    </xf>
    <xf numFmtId="0" fontId="0" fillId="69" borderId="100" xfId="0" applyFont="1" applyFill="1" applyBorder="1" applyAlignment="1" applyProtection="1">
      <alignment horizontal="justify" vertical="center" wrapText="1"/>
    </xf>
    <xf numFmtId="0" fontId="0" fillId="69" borderId="54" xfId="0" applyFont="1" applyFill="1" applyBorder="1" applyAlignment="1" applyProtection="1">
      <alignment horizontal="justify" vertical="center" wrapText="1"/>
    </xf>
    <xf numFmtId="9" fontId="0" fillId="69" borderId="52" xfId="0" applyNumberFormat="1" applyFont="1" applyFill="1" applyBorder="1" applyAlignment="1" applyProtection="1">
      <alignment horizontal="center" vertical="center"/>
    </xf>
    <xf numFmtId="0" fontId="0" fillId="69" borderId="11" xfId="0" applyFont="1" applyFill="1" applyBorder="1" applyAlignment="1" applyProtection="1">
      <alignment horizontal="center" vertical="center" wrapText="1"/>
    </xf>
    <xf numFmtId="0" fontId="0" fillId="69" borderId="184" xfId="0" applyFont="1" applyFill="1" applyBorder="1" applyAlignment="1" applyProtection="1">
      <alignment horizontal="justify" vertical="center" wrapText="1"/>
    </xf>
    <xf numFmtId="0" fontId="0" fillId="69" borderId="155" xfId="0" applyFont="1" applyFill="1" applyBorder="1" applyAlignment="1" applyProtection="1">
      <alignment horizontal="justify" vertical="center" wrapText="1"/>
    </xf>
    <xf numFmtId="0" fontId="0" fillId="69" borderId="154" xfId="0" applyFont="1" applyFill="1" applyBorder="1" applyAlignment="1" applyProtection="1">
      <alignment horizontal="justify" vertical="center" wrapText="1"/>
    </xf>
    <xf numFmtId="9" fontId="0" fillId="69" borderId="94" xfId="0" applyNumberFormat="1" applyFont="1" applyFill="1" applyBorder="1" applyAlignment="1" applyProtection="1">
      <alignment horizontal="center" vertical="center"/>
    </xf>
    <xf numFmtId="0" fontId="0" fillId="69" borderId="94" xfId="0" applyFont="1" applyFill="1" applyBorder="1" applyAlignment="1" applyProtection="1">
      <alignment horizontal="center" vertical="center" wrapText="1"/>
    </xf>
    <xf numFmtId="9" fontId="0" fillId="69" borderId="94" xfId="0" applyNumberFormat="1" applyFont="1" applyFill="1" applyBorder="1" applyAlignment="1" applyProtection="1">
      <alignment horizontal="center" vertical="center" wrapText="1"/>
    </xf>
    <xf numFmtId="0" fontId="0" fillId="69" borderId="29" xfId="0" applyFont="1" applyFill="1" applyBorder="1" applyAlignment="1" applyProtection="1">
      <alignment horizontal="center" vertical="center" wrapText="1"/>
    </xf>
    <xf numFmtId="0" fontId="0" fillId="69" borderId="161" xfId="0" applyFont="1" applyFill="1" applyBorder="1" applyAlignment="1" applyProtection="1">
      <alignment horizontal="justify" vertical="center" wrapText="1"/>
    </xf>
    <xf numFmtId="0" fontId="0" fillId="69" borderId="53" xfId="0" applyFont="1" applyFill="1" applyBorder="1" applyAlignment="1" applyProtection="1">
      <alignment horizontal="justify" vertical="center" wrapText="1"/>
    </xf>
    <xf numFmtId="9" fontId="0" fillId="69" borderId="31" xfId="0" applyNumberFormat="1" applyFont="1" applyFill="1" applyBorder="1" applyAlignment="1" applyProtection="1">
      <alignment horizontal="center" vertical="center" wrapText="1"/>
    </xf>
    <xf numFmtId="0" fontId="0" fillId="12" borderId="55" xfId="0" applyFont="1" applyFill="1" applyBorder="1" applyAlignment="1" applyProtection="1">
      <alignment horizontal="center" vertical="center" wrapText="1"/>
    </xf>
    <xf numFmtId="0" fontId="0" fillId="12" borderId="56" xfId="0" applyFont="1" applyFill="1" applyBorder="1" applyAlignment="1" applyProtection="1">
      <alignment horizontal="justify" vertical="center" wrapText="1"/>
    </xf>
    <xf numFmtId="0" fontId="0" fillId="12" borderId="64" xfId="0" applyFont="1" applyFill="1" applyBorder="1" applyAlignment="1" applyProtection="1">
      <alignment horizontal="justify" vertical="center" wrapText="1"/>
    </xf>
    <xf numFmtId="0" fontId="0" fillId="12" borderId="178" xfId="0" applyFont="1" applyFill="1" applyBorder="1" applyAlignment="1" applyProtection="1">
      <alignment horizontal="justify" vertical="center" wrapText="1"/>
    </xf>
    <xf numFmtId="9" fontId="0" fillId="12" borderId="57" xfId="0" applyNumberFormat="1" applyFont="1" applyFill="1" applyBorder="1" applyAlignment="1" applyProtection="1">
      <alignment horizontal="center" vertical="center"/>
    </xf>
    <xf numFmtId="0" fontId="0" fillId="27" borderId="51" xfId="0" applyFont="1" applyFill="1" applyBorder="1" applyAlignment="1" applyProtection="1">
      <alignment horizontal="center" vertical="center" wrapText="1"/>
    </xf>
    <xf numFmtId="0" fontId="0" fillId="27" borderId="32" xfId="0" applyFont="1" applyFill="1" applyBorder="1" applyAlignment="1" applyProtection="1">
      <alignment horizontal="justify" vertical="center" wrapText="1"/>
    </xf>
    <xf numFmtId="0" fontId="0" fillId="27" borderId="100" xfId="0" applyFont="1" applyFill="1" applyBorder="1" applyAlignment="1" applyProtection="1">
      <alignment horizontal="justify" vertical="center" wrapText="1"/>
    </xf>
    <xf numFmtId="0" fontId="0" fillId="27" borderId="54" xfId="0" applyFont="1" applyFill="1" applyBorder="1" applyAlignment="1" applyProtection="1">
      <alignment horizontal="justify" vertical="center" wrapText="1"/>
    </xf>
    <xf numFmtId="9" fontId="0" fillId="27" borderId="52" xfId="0" applyNumberFormat="1" applyFont="1" applyFill="1" applyBorder="1" applyAlignment="1" applyProtection="1">
      <alignment horizontal="center" vertical="center" wrapText="1"/>
    </xf>
    <xf numFmtId="0" fontId="0" fillId="27" borderId="11" xfId="0" applyFont="1" applyFill="1" applyBorder="1" applyAlignment="1" applyProtection="1">
      <alignment horizontal="center" vertical="center" wrapText="1"/>
    </xf>
    <xf numFmtId="0" fontId="0" fillId="27" borderId="184" xfId="0" applyFont="1" applyFill="1" applyBorder="1" applyAlignment="1" applyProtection="1">
      <alignment horizontal="justify" vertical="center" wrapText="1"/>
    </xf>
    <xf numFmtId="0" fontId="0" fillId="27" borderId="155" xfId="0" applyFont="1" applyFill="1" applyBorder="1" applyAlignment="1" applyProtection="1">
      <alignment horizontal="justify" vertical="center" wrapText="1"/>
    </xf>
    <xf numFmtId="0" fontId="0" fillId="27" borderId="154" xfId="0" applyFont="1" applyFill="1" applyBorder="1" applyAlignment="1" applyProtection="1">
      <alignment horizontal="justify" vertical="center" wrapText="1"/>
    </xf>
    <xf numFmtId="9" fontId="0" fillId="27" borderId="94" xfId="0" applyNumberFormat="1" applyFont="1" applyFill="1" applyBorder="1" applyAlignment="1" applyProtection="1">
      <alignment horizontal="center" vertical="center" wrapText="1"/>
    </xf>
    <xf numFmtId="9" fontId="0" fillId="27" borderId="94" xfId="0" applyNumberFormat="1" applyFont="1" applyFill="1" applyBorder="1" applyAlignment="1" applyProtection="1">
      <alignment horizontal="center" vertical="center"/>
    </xf>
    <xf numFmtId="1" fontId="0" fillId="27" borderId="94" xfId="0" applyNumberFormat="1" applyFont="1" applyFill="1" applyBorder="1" applyAlignment="1" applyProtection="1">
      <alignment horizontal="center" vertical="center"/>
    </xf>
    <xf numFmtId="0" fontId="0" fillId="27" borderId="94" xfId="0" applyFont="1" applyFill="1" applyBorder="1" applyAlignment="1" applyProtection="1">
      <alignment horizontal="center" vertical="center"/>
    </xf>
    <xf numFmtId="0" fontId="0" fillId="27" borderId="184" xfId="0" applyFont="1" applyFill="1" applyBorder="1" applyAlignment="1" applyProtection="1">
      <alignment horizontal="justify" vertical="center"/>
    </xf>
    <xf numFmtId="1" fontId="0" fillId="27" borderId="94" xfId="0" applyNumberFormat="1" applyFont="1" applyFill="1" applyBorder="1" applyAlignment="1" applyProtection="1">
      <alignment horizontal="center" vertical="center" wrapText="1"/>
    </xf>
    <xf numFmtId="179" fontId="0" fillId="27" borderId="94" xfId="0" applyNumberFormat="1" applyFont="1" applyFill="1" applyBorder="1" applyAlignment="1" applyProtection="1">
      <alignment horizontal="center" vertical="center"/>
    </xf>
    <xf numFmtId="3" fontId="0" fillId="27" borderId="94" xfId="0" applyNumberFormat="1" applyFont="1" applyFill="1" applyBorder="1" applyAlignment="1" applyProtection="1">
      <alignment horizontal="center" vertical="center"/>
    </xf>
    <xf numFmtId="179" fontId="0" fillId="27" borderId="94" xfId="5" applyNumberFormat="1" applyFont="1" applyFill="1" applyBorder="1" applyAlignment="1" applyProtection="1">
      <alignment horizontal="center" vertical="center"/>
    </xf>
    <xf numFmtId="9" fontId="0" fillId="27" borderId="11" xfId="0" applyNumberFormat="1" applyFont="1" applyFill="1" applyBorder="1" applyAlignment="1" applyProtection="1">
      <alignment horizontal="center" vertical="center" wrapText="1"/>
    </xf>
    <xf numFmtId="9" fontId="0" fillId="27" borderId="184" xfId="0" applyNumberFormat="1" applyFont="1" applyFill="1" applyBorder="1" applyAlignment="1" applyProtection="1">
      <alignment horizontal="justify" vertical="center" wrapText="1"/>
    </xf>
    <xf numFmtId="9" fontId="0" fillId="27" borderId="155" xfId="0" applyNumberFormat="1" applyFont="1" applyFill="1" applyBorder="1" applyAlignment="1" applyProtection="1">
      <alignment horizontal="justify" vertical="center" wrapText="1"/>
    </xf>
    <xf numFmtId="9" fontId="0" fillId="27" borderId="154" xfId="0" applyNumberFormat="1" applyFont="1" applyFill="1" applyBorder="1" applyAlignment="1" applyProtection="1">
      <alignment horizontal="justify" vertical="center" wrapText="1"/>
    </xf>
    <xf numFmtId="0" fontId="0" fillId="27" borderId="29" xfId="0" applyFont="1" applyFill="1" applyBorder="1" applyAlignment="1" applyProtection="1">
      <alignment horizontal="center" vertical="center" wrapText="1"/>
    </xf>
    <xf numFmtId="0" fontId="0" fillId="27" borderId="30" xfId="0" applyFont="1" applyFill="1" applyBorder="1" applyAlignment="1" applyProtection="1">
      <alignment horizontal="justify" vertical="center" wrapText="1"/>
    </xf>
    <xf numFmtId="0" fontId="0" fillId="27" borderId="161" xfId="0" applyFont="1" applyFill="1" applyBorder="1" applyAlignment="1" applyProtection="1">
      <alignment horizontal="justify" vertical="center" wrapText="1"/>
    </xf>
    <xf numFmtId="0" fontId="0" fillId="27" borderId="53" xfId="0" applyFont="1" applyFill="1" applyBorder="1" applyAlignment="1" applyProtection="1">
      <alignment horizontal="justify" vertical="center" wrapText="1"/>
    </xf>
    <xf numFmtId="9" fontId="0" fillId="27" borderId="31" xfId="0" applyNumberFormat="1" applyFont="1" applyFill="1" applyBorder="1" applyAlignment="1" applyProtection="1">
      <alignment horizontal="center" vertical="center" wrapText="1"/>
    </xf>
    <xf numFmtId="0" fontId="0" fillId="17" borderId="55" xfId="0" applyFont="1" applyFill="1" applyBorder="1" applyAlignment="1" applyProtection="1">
      <alignment horizontal="center" vertical="center" wrapText="1"/>
    </xf>
    <xf numFmtId="0" fontId="0" fillId="17" borderId="56" xfId="0" applyFont="1" applyFill="1" applyBorder="1" applyAlignment="1" applyProtection="1">
      <alignment horizontal="justify" vertical="center" wrapText="1"/>
    </xf>
    <xf numFmtId="0" fontId="0" fillId="17" borderId="57" xfId="0" applyFont="1" applyFill="1" applyBorder="1" applyAlignment="1" applyProtection="1">
      <alignment horizontal="justify" vertical="center" wrapText="1"/>
    </xf>
    <xf numFmtId="0" fontId="0" fillId="17" borderId="178" xfId="0" applyFont="1" applyFill="1" applyBorder="1" applyAlignment="1" applyProtection="1">
      <alignment horizontal="justify" vertical="center" wrapText="1"/>
    </xf>
    <xf numFmtId="0" fontId="0" fillId="17" borderId="57" xfId="0" applyFont="1" applyFill="1" applyBorder="1" applyAlignment="1" applyProtection="1">
      <alignment horizontal="center" vertical="center"/>
    </xf>
    <xf numFmtId="0" fontId="0" fillId="103" borderId="32" xfId="0" applyFont="1" applyFill="1" applyBorder="1" applyAlignment="1" applyProtection="1">
      <alignment horizontal="justify" vertical="center"/>
    </xf>
    <xf numFmtId="0" fontId="0" fillId="103" borderId="52" xfId="0" applyFont="1" applyFill="1" applyBorder="1" applyAlignment="1" applyProtection="1">
      <alignment horizontal="center" vertical="center"/>
    </xf>
    <xf numFmtId="0" fontId="0" fillId="103" borderId="155" xfId="0" applyFont="1" applyFill="1" applyBorder="1" applyAlignment="1" applyProtection="1">
      <alignment horizontal="justify" vertical="center" wrapText="1"/>
    </xf>
    <xf numFmtId="3" fontId="0" fillId="103" borderId="94" xfId="0" applyNumberFormat="1" applyFont="1" applyFill="1" applyBorder="1" applyAlignment="1" applyProtection="1">
      <alignment horizontal="center" vertical="center"/>
    </xf>
    <xf numFmtId="2" fontId="0" fillId="103" borderId="94" xfId="0" applyNumberFormat="1" applyFont="1" applyFill="1" applyBorder="1" applyAlignment="1" applyProtection="1">
      <alignment horizontal="center" vertical="center"/>
    </xf>
    <xf numFmtId="49" fontId="0" fillId="103" borderId="94" xfId="0" applyNumberFormat="1" applyFont="1" applyFill="1" applyBorder="1" applyAlignment="1" applyProtection="1">
      <alignment horizontal="center" vertical="center"/>
    </xf>
    <xf numFmtId="9" fontId="0" fillId="103" borderId="94" xfId="0" applyNumberFormat="1" applyFont="1" applyFill="1" applyBorder="1" applyAlignment="1" applyProtection="1">
      <alignment horizontal="center" vertical="center" wrapText="1"/>
    </xf>
    <xf numFmtId="0" fontId="0" fillId="103" borderId="161" xfId="0" applyFont="1" applyFill="1" applyBorder="1" applyAlignment="1" applyProtection="1">
      <alignment horizontal="justify" vertical="center" wrapText="1"/>
    </xf>
    <xf numFmtId="0" fontId="0" fillId="103" borderId="53" xfId="0" applyFont="1" applyFill="1" applyBorder="1" applyAlignment="1" applyProtection="1">
      <alignment horizontal="justify" vertical="center" wrapText="1"/>
    </xf>
    <xf numFmtId="0" fontId="0" fillId="103" borderId="31" xfId="0" applyFont="1" applyFill="1" applyBorder="1" applyAlignment="1" applyProtection="1">
      <alignment horizontal="center" vertical="center"/>
    </xf>
    <xf numFmtId="9" fontId="0" fillId="69" borderId="32" xfId="0" applyNumberFormat="1" applyFont="1" applyFill="1" applyBorder="1" applyAlignment="1" applyProtection="1">
      <alignment horizontal="justify" vertical="center" wrapText="1"/>
    </xf>
    <xf numFmtId="1" fontId="0" fillId="69" borderId="52" xfId="5" applyNumberFormat="1" applyFont="1" applyFill="1" applyBorder="1" applyAlignment="1" applyProtection="1">
      <alignment horizontal="center" vertical="center" wrapText="1"/>
    </xf>
    <xf numFmtId="9" fontId="0" fillId="69" borderId="184" xfId="0" applyNumberFormat="1" applyFont="1" applyFill="1" applyBorder="1" applyAlignment="1" applyProtection="1">
      <alignment horizontal="justify" vertical="center" wrapText="1"/>
    </xf>
    <xf numFmtId="9" fontId="0" fillId="69" borderId="94" xfId="5" applyFont="1" applyFill="1" applyBorder="1" applyAlignment="1" applyProtection="1">
      <alignment horizontal="center" vertical="center" wrapText="1"/>
    </xf>
    <xf numFmtId="1" fontId="0" fillId="69" borderId="94" xfId="0" applyNumberFormat="1" applyFont="1" applyFill="1" applyBorder="1" applyAlignment="1" applyProtection="1">
      <alignment horizontal="center" vertical="center" wrapText="1"/>
    </xf>
    <xf numFmtId="9" fontId="0" fillId="69" borderId="94" xfId="5" applyFont="1" applyFill="1" applyBorder="1" applyAlignment="1" applyProtection="1">
      <alignment horizontal="center" vertical="center"/>
    </xf>
    <xf numFmtId="10" fontId="0" fillId="69" borderId="94" xfId="0" applyNumberFormat="1" applyFont="1" applyFill="1" applyBorder="1" applyAlignment="1" applyProtection="1">
      <alignment horizontal="center" vertical="center" wrapText="1"/>
    </xf>
    <xf numFmtId="0" fontId="0" fillId="69" borderId="0" xfId="0" applyFont="1" applyFill="1" applyBorder="1" applyAlignment="1" applyProtection="1">
      <alignment horizontal="justify" vertical="center"/>
    </xf>
    <xf numFmtId="0" fontId="0" fillId="69" borderId="30" xfId="0" applyFont="1" applyFill="1" applyBorder="1" applyAlignment="1" applyProtection="1">
      <alignment horizontal="justify" vertical="center" wrapText="1"/>
    </xf>
    <xf numFmtId="1" fontId="0" fillId="69" borderId="31" xfId="0" applyNumberFormat="1" applyFont="1" applyFill="1" applyBorder="1" applyAlignment="1" applyProtection="1">
      <alignment horizontal="center" vertical="center" wrapText="1"/>
    </xf>
    <xf numFmtId="0" fontId="10" fillId="103" borderId="46" xfId="0" applyFont="1" applyFill="1" applyBorder="1" applyAlignment="1" applyProtection="1">
      <alignment horizontal="center" vertical="center" wrapText="1"/>
      <protection locked="0"/>
    </xf>
    <xf numFmtId="9" fontId="84" fillId="121" borderId="117" xfId="0" applyNumberFormat="1" applyFont="1" applyFill="1" applyBorder="1" applyAlignment="1" applyProtection="1">
      <alignment horizontal="center" vertical="center" wrapText="1"/>
      <protection locked="0"/>
    </xf>
    <xf numFmtId="0" fontId="10" fillId="38" borderId="7" xfId="0" applyFont="1" applyFill="1" applyBorder="1" applyAlignment="1" applyProtection="1">
      <alignment horizontal="center" vertical="center" wrapText="1"/>
      <protection locked="0"/>
    </xf>
    <xf numFmtId="0" fontId="10" fillId="38" borderId="8" xfId="0" applyFont="1" applyFill="1" applyBorder="1" applyAlignment="1" applyProtection="1">
      <alignment horizontal="center" vertical="center" wrapText="1"/>
      <protection locked="0"/>
    </xf>
    <xf numFmtId="0" fontId="10" fillId="38" borderId="9" xfId="0" applyFont="1" applyFill="1" applyBorder="1" applyAlignment="1" applyProtection="1">
      <alignment horizontal="center" vertical="center" wrapText="1"/>
      <protection locked="0"/>
    </xf>
    <xf numFmtId="0" fontId="10" fillId="38" borderId="94" xfId="0" applyFont="1" applyFill="1" applyBorder="1" applyAlignment="1" applyProtection="1">
      <alignment horizontal="center" vertical="center" wrapText="1"/>
      <protection locked="0"/>
    </xf>
    <xf numFmtId="191" fontId="10" fillId="38" borderId="46" xfId="10" applyNumberFormat="1" applyFont="1" applyFill="1" applyBorder="1" applyAlignment="1" applyProtection="1">
      <alignment horizontal="center" vertical="center" wrapText="1"/>
      <protection locked="0"/>
    </xf>
    <xf numFmtId="191" fontId="10" fillId="38" borderId="155" xfId="10" applyNumberFormat="1" applyFont="1" applyFill="1" applyBorder="1" applyAlignment="1" applyProtection="1">
      <alignment horizontal="center" vertical="center" wrapText="1"/>
      <protection locked="0"/>
    </xf>
    <xf numFmtId="3" fontId="10" fillId="38" borderId="46" xfId="0" applyNumberFormat="1" applyFont="1" applyFill="1" applyBorder="1" applyAlignment="1" applyProtection="1">
      <alignment horizontal="center" vertical="center"/>
      <protection locked="0"/>
    </xf>
    <xf numFmtId="3" fontId="10" fillId="38" borderId="94" xfId="0" applyNumberFormat="1" applyFont="1" applyFill="1" applyBorder="1" applyAlignment="1" applyProtection="1">
      <alignment horizontal="center" vertical="center"/>
      <protection locked="0"/>
    </xf>
    <xf numFmtId="3" fontId="10" fillId="38" borderId="11" xfId="0" applyNumberFormat="1" applyFont="1" applyFill="1" applyBorder="1" applyAlignment="1" applyProtection="1">
      <alignment horizontal="center" vertical="center"/>
      <protection locked="0"/>
    </xf>
    <xf numFmtId="3" fontId="10" fillId="38" borderId="48" xfId="0" applyNumberFormat="1" applyFont="1" applyFill="1" applyBorder="1" applyAlignment="1" applyProtection="1">
      <alignment horizontal="center" vertical="center"/>
      <protection locked="0"/>
    </xf>
    <xf numFmtId="3" fontId="10" fillId="38" borderId="184" xfId="0" applyNumberFormat="1" applyFont="1" applyFill="1" applyBorder="1" applyAlignment="1" applyProtection="1">
      <alignment horizontal="center" vertical="center"/>
      <protection locked="0"/>
    </xf>
    <xf numFmtId="3" fontId="10" fillId="38" borderId="160" xfId="0" applyNumberFormat="1" applyFont="1" applyFill="1" applyBorder="1" applyAlignment="1" applyProtection="1">
      <alignment horizontal="center" vertical="center"/>
      <protection locked="0"/>
    </xf>
    <xf numFmtId="3" fontId="10" fillId="38" borderId="155" xfId="0" applyNumberFormat="1" applyFont="1" applyFill="1" applyBorder="1" applyAlignment="1" applyProtection="1">
      <alignment horizontal="center" vertical="center"/>
      <protection locked="0"/>
    </xf>
    <xf numFmtId="3" fontId="10" fillId="38" borderId="193" xfId="0" applyNumberFormat="1" applyFont="1" applyFill="1" applyBorder="1" applyAlignment="1" applyProtection="1">
      <alignment horizontal="center" vertical="center"/>
      <protection locked="0"/>
    </xf>
    <xf numFmtId="191" fontId="10" fillId="38" borderId="160" xfId="10" applyNumberFormat="1" applyFont="1" applyFill="1" applyBorder="1" applyAlignment="1" applyProtection="1">
      <alignment horizontal="center" vertical="center" wrapText="1"/>
      <protection locked="0"/>
    </xf>
    <xf numFmtId="191" fontId="10" fillId="38" borderId="94" xfId="10" applyNumberFormat="1" applyFont="1" applyFill="1" applyBorder="1" applyAlignment="1" applyProtection="1">
      <alignment horizontal="center" vertical="center" wrapText="1"/>
      <protection locked="0"/>
    </xf>
    <xf numFmtId="9" fontId="85" fillId="121" borderId="195" xfId="0" applyNumberFormat="1" applyFont="1" applyFill="1" applyBorder="1" applyAlignment="1" applyProtection="1">
      <alignment horizontal="center" vertical="center" wrapText="1"/>
      <protection locked="0"/>
    </xf>
    <xf numFmtId="3" fontId="10" fillId="38" borderId="177" xfId="0" applyNumberFormat="1" applyFont="1" applyFill="1" applyBorder="1" applyAlignment="1" applyProtection="1">
      <alignment horizontal="center" vertical="center"/>
      <protection locked="0"/>
    </xf>
    <xf numFmtId="3" fontId="10" fillId="38" borderId="29" xfId="0" applyNumberFormat="1" applyFont="1" applyFill="1" applyBorder="1" applyAlignment="1" applyProtection="1">
      <alignment horizontal="center" vertical="center"/>
      <protection locked="0"/>
    </xf>
    <xf numFmtId="3" fontId="10" fillId="38" borderId="50" xfId="0" applyNumberFormat="1" applyFont="1" applyFill="1" applyBorder="1" applyAlignment="1" applyProtection="1">
      <alignment horizontal="center" vertical="center"/>
      <protection locked="0"/>
    </xf>
    <xf numFmtId="3" fontId="10" fillId="38" borderId="30" xfId="0" applyNumberFormat="1" applyFont="1" applyFill="1" applyBorder="1" applyAlignment="1" applyProtection="1">
      <alignment horizontal="center" vertical="center"/>
      <protection locked="0"/>
    </xf>
    <xf numFmtId="3" fontId="10" fillId="38" borderId="65" xfId="0" applyNumberFormat="1" applyFont="1" applyFill="1" applyBorder="1" applyAlignment="1" applyProtection="1">
      <alignment horizontal="center" vertical="center"/>
      <protection locked="0"/>
    </xf>
    <xf numFmtId="3" fontId="10" fillId="38" borderId="161" xfId="0" applyNumberFormat="1" applyFont="1" applyFill="1" applyBorder="1" applyAlignment="1" applyProtection="1">
      <alignment horizontal="center" vertical="center"/>
      <protection locked="0"/>
    </xf>
    <xf numFmtId="3" fontId="10" fillId="38" borderId="199" xfId="0" applyNumberFormat="1" applyFont="1" applyFill="1" applyBorder="1" applyAlignment="1" applyProtection="1">
      <alignment horizontal="center" vertical="center"/>
      <protection locked="0"/>
    </xf>
    <xf numFmtId="0" fontId="10" fillId="38" borderId="31" xfId="0" applyFont="1" applyFill="1" applyBorder="1" applyAlignment="1" applyProtection="1">
      <alignment horizontal="center" vertical="center" wrapText="1"/>
      <protection locked="0"/>
    </xf>
    <xf numFmtId="0" fontId="9" fillId="30" borderId="182" xfId="0" applyFont="1" applyFill="1" applyBorder="1" applyAlignment="1" applyProtection="1">
      <alignment horizontal="center" vertical="center" wrapText="1"/>
    </xf>
    <xf numFmtId="9" fontId="11" fillId="38" borderId="51" xfId="5" applyFont="1" applyFill="1" applyBorder="1" applyAlignment="1" applyProtection="1">
      <alignment horizontal="center" vertical="center" wrapText="1"/>
    </xf>
    <xf numFmtId="9" fontId="86" fillId="121" borderId="71" xfId="0" applyNumberFormat="1" applyFont="1" applyFill="1" applyBorder="1" applyAlignment="1" applyProtection="1">
      <alignment horizontal="center" wrapText="1"/>
      <protection locked="0"/>
    </xf>
    <xf numFmtId="0" fontId="86" fillId="121" borderId="71" xfId="0" applyFont="1" applyFill="1" applyBorder="1" applyAlignment="1" applyProtection="1">
      <alignment horizontal="center" wrapText="1"/>
      <protection locked="0"/>
    </xf>
    <xf numFmtId="0" fontId="0" fillId="121" borderId="71" xfId="0" applyFont="1" applyFill="1" applyBorder="1" applyAlignment="1" applyProtection="1">
      <alignment horizontal="center" wrapText="1"/>
      <protection locked="0"/>
    </xf>
    <xf numFmtId="202" fontId="0" fillId="121" borderId="71" xfId="0" applyNumberFormat="1" applyFont="1" applyFill="1" applyBorder="1" applyAlignment="1" applyProtection="1">
      <alignment horizontal="center" wrapText="1"/>
      <protection locked="0"/>
    </xf>
    <xf numFmtId="0" fontId="88" fillId="121" borderId="71" xfId="0" applyFont="1" applyFill="1" applyBorder="1" applyAlignment="1" applyProtection="1">
      <alignment horizontal="center" wrapText="1"/>
      <protection locked="0"/>
    </xf>
    <xf numFmtId="0" fontId="86" fillId="122" borderId="71" xfId="0" applyFont="1" applyFill="1" applyBorder="1" applyAlignment="1" applyProtection="1">
      <alignment horizontal="center" wrapText="1"/>
      <protection locked="0"/>
    </xf>
    <xf numFmtId="0" fontId="0" fillId="122" borderId="71" xfId="0" applyFont="1" applyFill="1" applyBorder="1" applyAlignment="1" applyProtection="1">
      <alignment horizontal="center" wrapText="1"/>
      <protection locked="0"/>
    </xf>
    <xf numFmtId="9" fontId="86" fillId="122" borderId="71" xfId="0" applyNumberFormat="1" applyFont="1" applyFill="1" applyBorder="1" applyAlignment="1" applyProtection="1">
      <alignment horizontal="center" wrapText="1"/>
      <protection locked="0"/>
    </xf>
    <xf numFmtId="0" fontId="88" fillId="122" borderId="71" xfId="0" applyFont="1" applyFill="1" applyBorder="1" applyAlignment="1" applyProtection="1">
      <alignment horizontal="center" wrapText="1"/>
      <protection locked="0"/>
    </xf>
    <xf numFmtId="49" fontId="90" fillId="123" borderId="71" xfId="0" applyNumberFormat="1" applyFont="1" applyFill="1" applyBorder="1" applyAlignment="1" applyProtection="1">
      <alignment horizontal="center" wrapText="1"/>
      <protection locked="0"/>
    </xf>
    <xf numFmtId="49" fontId="0" fillId="124" borderId="71" xfId="0" applyNumberFormat="1" applyFont="1" applyFill="1" applyBorder="1" applyAlignment="1" applyProtection="1">
      <alignment horizontal="center" wrapText="1"/>
      <protection locked="0"/>
    </xf>
    <xf numFmtId="0" fontId="90" fillId="123" borderId="71" xfId="0" applyFont="1" applyFill="1" applyBorder="1" applyAlignment="1" applyProtection="1">
      <alignment horizontal="center" wrapText="1"/>
      <protection locked="0"/>
    </xf>
    <xf numFmtId="9" fontId="0" fillId="124" borderId="71" xfId="0" applyNumberFormat="1" applyFont="1" applyFill="1" applyBorder="1" applyAlignment="1" applyProtection="1">
      <alignment horizontal="center" wrapText="1"/>
      <protection locked="0"/>
    </xf>
    <xf numFmtId="0" fontId="86" fillId="123" borderId="71" xfId="0" applyFont="1" applyFill="1" applyBorder="1" applyAlignment="1" applyProtection="1">
      <alignment horizontal="center" wrapText="1"/>
      <protection locked="0"/>
    </xf>
    <xf numFmtId="202" fontId="90" fillId="123" borderId="71" xfId="0" applyNumberFormat="1" applyFont="1" applyFill="1" applyBorder="1" applyAlignment="1" applyProtection="1">
      <alignment horizontal="center" wrapText="1"/>
      <protection locked="0"/>
    </xf>
    <xf numFmtId="202" fontId="91" fillId="123" borderId="71" xfId="0" applyNumberFormat="1" applyFont="1" applyFill="1" applyBorder="1" applyAlignment="1" applyProtection="1">
      <alignment horizontal="center" wrapText="1"/>
      <protection locked="0"/>
    </xf>
    <xf numFmtId="0" fontId="92" fillId="123" borderId="71" xfId="0" applyFont="1" applyFill="1" applyBorder="1" applyAlignment="1" applyProtection="1">
      <alignment horizontal="center" wrapText="1"/>
      <protection locked="0"/>
    </xf>
    <xf numFmtId="0" fontId="0" fillId="124" borderId="71" xfId="0" applyFont="1" applyFill="1" applyBorder="1" applyAlignment="1" applyProtection="1">
      <alignment horizontal="center" wrapText="1"/>
      <protection locked="0"/>
    </xf>
    <xf numFmtId="202" fontId="0" fillId="124" borderId="71" xfId="0" applyNumberFormat="1" applyFont="1" applyFill="1" applyBorder="1" applyAlignment="1" applyProtection="1">
      <alignment horizontal="center" wrapText="1"/>
      <protection locked="0"/>
    </xf>
    <xf numFmtId="202" fontId="87" fillId="124" borderId="71" xfId="0" applyNumberFormat="1" applyFont="1" applyFill="1" applyBorder="1" applyAlignment="1" applyProtection="1">
      <alignment horizontal="center" wrapText="1"/>
      <protection locked="0"/>
    </xf>
    <xf numFmtId="0" fontId="84" fillId="123" borderId="71" xfId="0" applyFont="1" applyFill="1" applyBorder="1" applyAlignment="1" applyProtection="1">
      <alignment horizontal="center" wrapText="1"/>
      <protection locked="0"/>
    </xf>
    <xf numFmtId="202" fontId="93" fillId="123" borderId="71" xfId="0" applyNumberFormat="1" applyFont="1" applyFill="1" applyBorder="1" applyAlignment="1" applyProtection="1">
      <alignment horizontal="center" wrapText="1"/>
      <protection locked="0"/>
    </xf>
    <xf numFmtId="0" fontId="84" fillId="123" borderId="0" xfId="0" applyFont="1" applyFill="1" applyAlignment="1" applyProtection="1">
      <alignment wrapText="1"/>
      <protection locked="0"/>
    </xf>
    <xf numFmtId="9" fontId="90" fillId="123" borderId="71" xfId="0" applyNumberFormat="1" applyFont="1" applyFill="1" applyBorder="1" applyAlignment="1" applyProtection="1">
      <alignment horizontal="center" wrapText="1"/>
      <protection locked="0"/>
    </xf>
    <xf numFmtId="0" fontId="90" fillId="124" borderId="71" xfId="0" applyFont="1" applyFill="1" applyBorder="1" applyAlignment="1" applyProtection="1">
      <alignment horizontal="center" vertical="top" wrapText="1"/>
      <protection locked="0"/>
    </xf>
    <xf numFmtId="0" fontId="90" fillId="124" borderId="71" xfId="0" applyFont="1" applyFill="1" applyBorder="1" applyAlignment="1" applyProtection="1">
      <alignment horizontal="center" wrapText="1"/>
      <protection locked="0"/>
    </xf>
    <xf numFmtId="0" fontId="90" fillId="124" borderId="77" xfId="0" applyFont="1" applyFill="1" applyBorder="1" applyAlignment="1" applyProtection="1">
      <alignment horizontal="center" wrapText="1"/>
      <protection locked="0"/>
    </xf>
    <xf numFmtId="0" fontId="90" fillId="125" borderId="71" xfId="0" applyFont="1" applyFill="1" applyBorder="1" applyAlignment="1" applyProtection="1">
      <alignment horizontal="center"/>
      <protection locked="0"/>
    </xf>
    <xf numFmtId="0" fontId="90" fillId="124" borderId="77" xfId="0" applyFont="1" applyFill="1" applyBorder="1" applyAlignment="1" applyProtection="1">
      <alignment horizontal="center"/>
      <protection locked="0"/>
    </xf>
    <xf numFmtId="49" fontId="0" fillId="126" borderId="71" xfId="0" applyNumberFormat="1" applyFont="1" applyFill="1" applyBorder="1" applyAlignment="1" applyProtection="1">
      <alignment horizontal="center" wrapText="1"/>
      <protection locked="0"/>
    </xf>
    <xf numFmtId="0" fontId="90" fillId="126" borderId="71" xfId="0" applyFont="1" applyFill="1" applyBorder="1" applyAlignment="1" applyProtection="1">
      <alignment horizontal="center" wrapText="1"/>
      <protection locked="0"/>
    </xf>
    <xf numFmtId="0" fontId="89" fillId="126" borderId="71" xfId="0" applyFont="1" applyFill="1" applyBorder="1" applyAlignment="1" applyProtection="1">
      <alignment horizontal="center" wrapText="1"/>
      <protection locked="0"/>
    </xf>
    <xf numFmtId="0" fontId="0" fillId="126" borderId="71" xfId="0" applyFont="1" applyFill="1" applyBorder="1" applyAlignment="1" applyProtection="1">
      <alignment horizontal="center" wrapText="1"/>
      <protection locked="0"/>
    </xf>
    <xf numFmtId="202" fontId="0" fillId="126" borderId="71" xfId="0" applyNumberFormat="1" applyFont="1" applyFill="1" applyBorder="1" applyAlignment="1" applyProtection="1">
      <alignment horizontal="center" wrapText="1"/>
      <protection locked="0"/>
    </xf>
    <xf numFmtId="202" fontId="87" fillId="126" borderId="71" xfId="0" applyNumberFormat="1" applyFont="1" applyFill="1" applyBorder="1" applyAlignment="1" applyProtection="1">
      <alignment horizontal="center" wrapText="1"/>
      <protection locked="0"/>
    </xf>
    <xf numFmtId="49" fontId="90" fillId="126" borderId="71" xfId="0" applyNumberFormat="1" applyFont="1" applyFill="1" applyBorder="1" applyAlignment="1" applyProtection="1">
      <alignment horizontal="center" wrapText="1"/>
      <protection locked="0"/>
    </xf>
    <xf numFmtId="202" fontId="90" fillId="126" borderId="71" xfId="0" applyNumberFormat="1" applyFont="1" applyFill="1" applyBorder="1" applyAlignment="1" applyProtection="1">
      <alignment horizontal="center" wrapText="1"/>
      <protection locked="0"/>
    </xf>
    <xf numFmtId="202" fontId="91" fillId="126" borderId="71" xfId="0" applyNumberFormat="1" applyFont="1" applyFill="1" applyBorder="1" applyAlignment="1" applyProtection="1">
      <alignment horizontal="center" wrapText="1"/>
      <protection locked="0"/>
    </xf>
    <xf numFmtId="9" fontId="90" fillId="126" borderId="71" xfId="0" applyNumberFormat="1" applyFont="1" applyFill="1" applyBorder="1" applyAlignment="1" applyProtection="1">
      <alignment horizontal="center" wrapText="1"/>
      <protection locked="0"/>
    </xf>
    <xf numFmtId="0" fontId="86" fillId="126" borderId="71" xfId="0" applyFont="1" applyFill="1" applyBorder="1" applyAlignment="1" applyProtection="1">
      <alignment horizontal="center" wrapText="1"/>
      <protection locked="0"/>
    </xf>
    <xf numFmtId="3" fontId="86" fillId="126" borderId="71" xfId="0" applyNumberFormat="1" applyFont="1" applyFill="1" applyBorder="1" applyAlignment="1" applyProtection="1">
      <alignment horizontal="center" wrapText="1"/>
      <protection locked="0"/>
    </xf>
    <xf numFmtId="3" fontId="0" fillId="126" borderId="71" xfId="0" applyNumberFormat="1" applyFont="1" applyFill="1" applyBorder="1" applyAlignment="1" applyProtection="1">
      <alignment horizontal="center" wrapText="1"/>
      <protection locked="0"/>
    </xf>
    <xf numFmtId="202" fontId="89" fillId="126" borderId="71" xfId="0" applyNumberFormat="1" applyFont="1" applyFill="1" applyBorder="1" applyAlignment="1" applyProtection="1">
      <alignment horizontal="center" wrapText="1"/>
      <protection locked="0"/>
    </xf>
    <xf numFmtId="0" fontId="90" fillId="127" borderId="75" xfId="0" applyFont="1" applyFill="1" applyBorder="1" applyAlignment="1" applyProtection="1">
      <alignment horizontal="center" wrapText="1"/>
      <protection locked="0"/>
    </xf>
    <xf numFmtId="2" fontId="90" fillId="127" borderId="75" xfId="0" applyNumberFormat="1" applyFont="1" applyFill="1" applyBorder="1" applyAlignment="1" applyProtection="1">
      <alignment horizontal="center" wrapText="1"/>
      <protection locked="0"/>
    </xf>
    <xf numFmtId="0" fontId="90" fillId="127" borderId="77" xfId="0" applyFont="1" applyFill="1" applyBorder="1" applyAlignment="1" applyProtection="1">
      <alignment horizontal="center" wrapText="1"/>
      <protection locked="0"/>
    </xf>
    <xf numFmtId="49" fontId="90" fillId="127" borderId="77" xfId="0" applyNumberFormat="1" applyFont="1" applyFill="1" applyBorder="1" applyAlignment="1" applyProtection="1">
      <alignment horizontal="center" wrapText="1"/>
      <protection locked="0"/>
    </xf>
    <xf numFmtId="9" fontId="90" fillId="127" borderId="201" xfId="0" applyNumberFormat="1" applyFont="1" applyFill="1" applyBorder="1" applyAlignment="1" applyProtection="1">
      <alignment horizontal="center" wrapText="1"/>
      <protection locked="0"/>
    </xf>
    <xf numFmtId="0" fontId="90" fillId="127" borderId="201" xfId="0" applyFont="1" applyFill="1" applyBorder="1" applyAlignment="1" applyProtection="1">
      <alignment horizontal="center" wrapText="1"/>
      <protection locked="0"/>
    </xf>
    <xf numFmtId="202" fontId="90" fillId="127" borderId="201" xfId="0" applyNumberFormat="1" applyFont="1" applyFill="1" applyBorder="1" applyAlignment="1" applyProtection="1">
      <alignment horizontal="center" wrapText="1"/>
      <protection locked="0"/>
    </xf>
    <xf numFmtId="202" fontId="91" fillId="127" borderId="201" xfId="0" applyNumberFormat="1" applyFont="1" applyFill="1" applyBorder="1" applyAlignment="1" applyProtection="1">
      <alignment horizontal="center" wrapText="1"/>
      <protection locked="0"/>
    </xf>
    <xf numFmtId="9" fontId="86" fillId="127" borderId="71" xfId="0" applyNumberFormat="1" applyFont="1" applyFill="1" applyBorder="1" applyAlignment="1" applyProtection="1">
      <alignment horizontal="center" wrapText="1"/>
      <protection locked="0"/>
    </xf>
    <xf numFmtId="9" fontId="84" fillId="127" borderId="201" xfId="0" applyNumberFormat="1" applyFont="1" applyFill="1" applyBorder="1" applyAlignment="1" applyProtection="1">
      <alignment horizontal="center" wrapText="1"/>
      <protection locked="0"/>
    </xf>
    <xf numFmtId="2" fontId="84" fillId="127" borderId="201" xfId="0" applyNumberFormat="1" applyFont="1" applyFill="1" applyBorder="1" applyAlignment="1" applyProtection="1">
      <alignment horizontal="center" wrapText="1"/>
      <protection locked="0"/>
    </xf>
    <xf numFmtId="2" fontId="90" fillId="127" borderId="201" xfId="0" applyNumberFormat="1" applyFont="1" applyFill="1" applyBorder="1" applyAlignment="1" applyProtection="1">
      <alignment horizontal="center" wrapText="1"/>
      <protection locked="0"/>
    </xf>
    <xf numFmtId="2" fontId="0" fillId="127" borderId="71" xfId="0" applyNumberFormat="1" applyFont="1" applyFill="1" applyBorder="1" applyAlignment="1" applyProtection="1">
      <alignment horizontal="center" wrapText="1"/>
      <protection locked="0"/>
    </xf>
    <xf numFmtId="0" fontId="90" fillId="128" borderId="201" xfId="0" applyFont="1" applyFill="1" applyBorder="1" applyAlignment="1" applyProtection="1">
      <alignment horizontal="center" wrapText="1"/>
      <protection locked="0"/>
    </xf>
    <xf numFmtId="0" fontId="90" fillId="128" borderId="75" xfId="0" applyFont="1" applyFill="1" applyBorder="1" applyAlignment="1" applyProtection="1">
      <alignment horizontal="center" wrapText="1"/>
      <protection locked="0"/>
    </xf>
    <xf numFmtId="2" fontId="90" fillId="128" borderId="75" xfId="0" applyNumberFormat="1" applyFont="1" applyFill="1" applyBorder="1" applyAlignment="1" applyProtection="1">
      <alignment horizontal="center" wrapText="1"/>
      <protection locked="0"/>
    </xf>
    <xf numFmtId="49" fontId="90" fillId="129" borderId="77" xfId="0" applyNumberFormat="1" applyFont="1" applyFill="1" applyBorder="1" applyAlignment="1" applyProtection="1">
      <alignment horizontal="center" wrapText="1"/>
      <protection locked="0"/>
    </xf>
    <xf numFmtId="0" fontId="90" fillId="129" borderId="201" xfId="0" applyFont="1" applyFill="1" applyBorder="1" applyAlignment="1" applyProtection="1">
      <alignment horizontal="center" wrapText="1"/>
      <protection locked="0"/>
    </xf>
    <xf numFmtId="9" fontId="90" fillId="129" borderId="201" xfId="0" applyNumberFormat="1" applyFont="1" applyFill="1" applyBorder="1" applyAlignment="1" applyProtection="1">
      <alignment horizontal="center" wrapText="1"/>
      <protection locked="0"/>
    </xf>
    <xf numFmtId="0" fontId="90" fillId="129" borderId="77" xfId="0" applyFont="1" applyFill="1" applyBorder="1" applyAlignment="1" applyProtection="1">
      <alignment horizontal="center" wrapText="1"/>
      <protection locked="0"/>
    </xf>
    <xf numFmtId="202" fontId="90" fillId="129" borderId="77" xfId="0" applyNumberFormat="1" applyFont="1" applyFill="1" applyBorder="1" applyAlignment="1" applyProtection="1">
      <alignment horizontal="center" wrapText="1"/>
      <protection locked="0"/>
    </xf>
    <xf numFmtId="202" fontId="90" fillId="129" borderId="201" xfId="0" applyNumberFormat="1" applyFont="1" applyFill="1" applyBorder="1" applyAlignment="1" applyProtection="1">
      <alignment horizontal="center" wrapText="1"/>
      <protection locked="0"/>
    </xf>
    <xf numFmtId="202" fontId="91" fillId="129" borderId="201" xfId="0" applyNumberFormat="1" applyFont="1" applyFill="1" applyBorder="1" applyAlignment="1" applyProtection="1">
      <alignment horizontal="center" wrapText="1"/>
      <protection locked="0"/>
    </xf>
    <xf numFmtId="9" fontId="86" fillId="129" borderId="71" xfId="0" applyNumberFormat="1" applyFont="1" applyFill="1" applyBorder="1" applyAlignment="1" applyProtection="1">
      <alignment horizontal="center" wrapText="1"/>
      <protection locked="0"/>
    </xf>
    <xf numFmtId="0" fontId="90" fillId="129" borderId="75" xfId="0" applyFont="1" applyFill="1" applyBorder="1" applyAlignment="1" applyProtection="1">
      <alignment horizontal="center" wrapText="1"/>
      <protection locked="0"/>
    </xf>
    <xf numFmtId="2" fontId="90" fillId="129" borderId="75" xfId="0" applyNumberFormat="1" applyFont="1" applyFill="1" applyBorder="1" applyAlignment="1" applyProtection="1">
      <alignment horizontal="center" wrapText="1"/>
      <protection locked="0"/>
    </xf>
    <xf numFmtId="2" fontId="90" fillId="129" borderId="201" xfId="0" applyNumberFormat="1" applyFont="1" applyFill="1" applyBorder="1" applyAlignment="1" applyProtection="1">
      <alignment horizontal="center" wrapText="1"/>
      <protection locked="0"/>
    </xf>
    <xf numFmtId="0" fontId="90" fillId="130" borderId="201" xfId="0" applyFont="1" applyFill="1" applyBorder="1" applyAlignment="1" applyProtection="1">
      <alignment horizontal="center" wrapText="1"/>
      <protection locked="0"/>
    </xf>
    <xf numFmtId="2" fontId="90" fillId="130" borderId="201" xfId="0" applyNumberFormat="1" applyFont="1" applyFill="1" applyBorder="1" applyAlignment="1" applyProtection="1">
      <alignment horizontal="center" wrapText="1"/>
      <protection locked="0"/>
    </xf>
    <xf numFmtId="2" fontId="90" fillId="130" borderId="77" xfId="0" applyNumberFormat="1" applyFont="1" applyFill="1" applyBorder="1" applyAlignment="1" applyProtection="1">
      <alignment horizontal="center" wrapText="1"/>
      <protection locked="0"/>
    </xf>
    <xf numFmtId="2" fontId="86" fillId="130" borderId="71" xfId="0" applyNumberFormat="1" applyFont="1" applyFill="1" applyBorder="1" applyAlignment="1" applyProtection="1">
      <alignment horizontal="center" wrapText="1"/>
      <protection locked="0"/>
    </xf>
    <xf numFmtId="49" fontId="90" fillId="130" borderId="71" xfId="0" applyNumberFormat="1" applyFont="1" applyFill="1" applyBorder="1" applyAlignment="1" applyProtection="1">
      <alignment horizontal="center" wrapText="1"/>
      <protection locked="0"/>
    </xf>
    <xf numFmtId="0" fontId="90" fillId="130" borderId="75" xfId="0" applyFont="1" applyFill="1" applyBorder="1" applyAlignment="1" applyProtection="1">
      <alignment horizontal="center" wrapText="1"/>
      <protection locked="0"/>
    </xf>
    <xf numFmtId="2" fontId="90" fillId="130" borderId="75" xfId="0" applyNumberFormat="1" applyFont="1" applyFill="1" applyBorder="1" applyAlignment="1" applyProtection="1">
      <alignment horizontal="center" wrapText="1"/>
      <protection locked="0"/>
    </xf>
    <xf numFmtId="202" fontId="90" fillId="130" borderId="75" xfId="0" applyNumberFormat="1" applyFont="1" applyFill="1" applyBorder="1" applyAlignment="1" applyProtection="1">
      <alignment horizontal="center" wrapText="1"/>
      <protection locked="0"/>
    </xf>
    <xf numFmtId="202" fontId="90" fillId="130" borderId="71" xfId="0" applyNumberFormat="1" applyFont="1" applyFill="1" applyBorder="1" applyAlignment="1" applyProtection="1">
      <alignment horizontal="center"/>
      <protection locked="0"/>
    </xf>
    <xf numFmtId="202" fontId="90" fillId="130" borderId="75" xfId="0" applyNumberFormat="1" applyFont="1" applyFill="1" applyBorder="1" applyAlignment="1" applyProtection="1">
      <alignment horizontal="center"/>
      <protection locked="0"/>
    </xf>
    <xf numFmtId="202" fontId="90" fillId="130" borderId="71" xfId="0" applyNumberFormat="1" applyFont="1" applyFill="1" applyBorder="1" applyAlignment="1" applyProtection="1">
      <alignment horizontal="center" wrapText="1"/>
      <protection locked="0"/>
    </xf>
    <xf numFmtId="0" fontId="90" fillId="131" borderId="201" xfId="0" applyFont="1" applyFill="1" applyBorder="1" applyAlignment="1" applyProtection="1">
      <alignment horizontal="center" wrapText="1"/>
      <protection locked="0"/>
    </xf>
    <xf numFmtId="2" fontId="90" fillId="131" borderId="201" xfId="0" applyNumberFormat="1" applyFont="1" applyFill="1" applyBorder="1" applyAlignment="1" applyProtection="1">
      <alignment horizontal="center" wrapText="1"/>
      <protection locked="0"/>
    </xf>
    <xf numFmtId="0" fontId="90" fillId="132" borderId="75" xfId="0" applyFont="1" applyFill="1" applyBorder="1" applyAlignment="1" applyProtection="1">
      <alignment horizontal="center" wrapText="1"/>
      <protection locked="0"/>
    </xf>
    <xf numFmtId="2" fontId="90" fillId="132" borderId="75" xfId="0" applyNumberFormat="1" applyFont="1" applyFill="1" applyBorder="1" applyAlignment="1" applyProtection="1">
      <alignment horizontal="center" wrapText="1"/>
      <protection locked="0"/>
    </xf>
    <xf numFmtId="0" fontId="0" fillId="30" borderId="11" xfId="0" applyFont="1" applyFill="1" applyBorder="1" applyAlignment="1" applyProtection="1">
      <alignment horizontal="center" vertical="center" wrapText="1"/>
      <protection locked="0"/>
    </xf>
    <xf numFmtId="9" fontId="0" fillId="30" borderId="184" xfId="5" applyFont="1" applyFill="1" applyBorder="1" applyAlignment="1" applyProtection="1">
      <alignment horizontal="center" vertical="center" wrapText="1"/>
      <protection locked="0"/>
    </xf>
    <xf numFmtId="0" fontId="0" fillId="30" borderId="184" xfId="0" applyFont="1" applyFill="1" applyBorder="1" applyAlignment="1" applyProtection="1">
      <alignment horizontal="center" vertical="center" wrapText="1"/>
      <protection locked="0"/>
    </xf>
    <xf numFmtId="0" fontId="10" fillId="103" borderId="51" xfId="0" applyFont="1" applyFill="1" applyBorder="1" applyAlignment="1" applyProtection="1">
      <alignment horizontal="center" vertical="center" wrapText="1"/>
      <protection locked="0"/>
    </xf>
    <xf numFmtId="9" fontId="10" fillId="103" borderId="32" xfId="5" applyFont="1" applyFill="1" applyBorder="1" applyAlignment="1" applyProtection="1">
      <alignment horizontal="center" vertical="center" wrapText="1"/>
      <protection locked="0"/>
    </xf>
    <xf numFmtId="0" fontId="10" fillId="103" borderId="32" xfId="0" applyFont="1" applyFill="1" applyBorder="1" applyAlignment="1" applyProtection="1">
      <alignment horizontal="left" vertical="center" wrapText="1"/>
      <protection locked="0"/>
    </xf>
    <xf numFmtId="0" fontId="10" fillId="103" borderId="184" xfId="0" applyFont="1" applyFill="1" applyBorder="1" applyAlignment="1" applyProtection="1">
      <alignment horizontal="left" vertical="center" wrapText="1"/>
      <protection locked="0"/>
    </xf>
    <xf numFmtId="0" fontId="0" fillId="28" borderId="11" xfId="0" applyFont="1" applyFill="1" applyBorder="1" applyAlignment="1" applyProtection="1">
      <alignment horizontal="center" vertical="center" wrapText="1"/>
      <protection locked="0"/>
    </xf>
    <xf numFmtId="9" fontId="0" fillId="28" borderId="184" xfId="5" applyFont="1" applyFill="1" applyBorder="1" applyAlignment="1" applyProtection="1">
      <alignment horizontal="center" vertical="center" wrapText="1"/>
      <protection locked="0"/>
    </xf>
    <xf numFmtId="0" fontId="0" fillId="28" borderId="184" xfId="0" applyFont="1" applyFill="1" applyBorder="1" applyAlignment="1" applyProtection="1">
      <alignment horizontal="center" vertical="center" wrapText="1"/>
      <protection locked="0"/>
    </xf>
    <xf numFmtId="0" fontId="94" fillId="134" borderId="179" xfId="0" applyFont="1" applyFill="1" applyBorder="1" applyAlignment="1" applyProtection="1">
      <alignment horizontal="center" vertical="center" wrapText="1"/>
      <protection locked="0"/>
    </xf>
    <xf numFmtId="0" fontId="94" fillId="37" borderId="179" xfId="0" applyFont="1" applyFill="1" applyBorder="1" applyAlignment="1" applyProtection="1">
      <alignment horizontal="center" vertical="center" wrapText="1"/>
      <protection locked="0"/>
    </xf>
    <xf numFmtId="9" fontId="94" fillId="135" borderId="179" xfId="0" applyNumberFormat="1" applyFont="1" applyFill="1" applyBorder="1" applyAlignment="1" applyProtection="1">
      <alignment horizontal="center" vertical="center" wrapText="1"/>
      <protection locked="0"/>
    </xf>
    <xf numFmtId="9" fontId="94" fillId="37" borderId="179" xfId="0" applyNumberFormat="1" applyFont="1" applyFill="1" applyBorder="1" applyAlignment="1" applyProtection="1">
      <alignment horizontal="center" vertical="center" wrapText="1"/>
      <protection locked="0"/>
    </xf>
    <xf numFmtId="0" fontId="94" fillId="135" borderId="179" xfId="0" applyFont="1" applyFill="1" applyBorder="1" applyAlignment="1" applyProtection="1">
      <alignment horizontal="center" vertical="center" wrapText="1"/>
      <protection locked="0"/>
    </xf>
    <xf numFmtId="0" fontId="94" fillId="37" borderId="184" xfId="0" applyFont="1" applyFill="1" applyBorder="1" applyAlignment="1" applyProtection="1">
      <alignment horizontal="center" vertical="center" wrapText="1"/>
      <protection locked="0"/>
    </xf>
    <xf numFmtId="49" fontId="0" fillId="18" borderId="71" xfId="0" applyNumberFormat="1" applyFont="1" applyFill="1" applyBorder="1" applyAlignment="1" applyProtection="1">
      <alignment horizontal="center" wrapText="1"/>
      <protection locked="0"/>
    </xf>
    <xf numFmtId="0" fontId="0" fillId="18" borderId="71" xfId="0" applyFont="1" applyFill="1" applyBorder="1" applyAlignment="1" applyProtection="1">
      <alignment horizontal="center" wrapText="1"/>
      <protection locked="0"/>
    </xf>
    <xf numFmtId="0" fontId="95" fillId="18" borderId="71" xfId="0" applyFont="1" applyFill="1" applyBorder="1" applyAlignment="1" applyProtection="1">
      <alignment horizontal="center" wrapText="1"/>
      <protection locked="0"/>
    </xf>
    <xf numFmtId="202" fontId="0" fillId="18" borderId="71" xfId="0" applyNumberFormat="1" applyFont="1" applyFill="1" applyBorder="1" applyAlignment="1" applyProtection="1">
      <alignment horizontal="center" wrapText="1"/>
      <protection locked="0"/>
    </xf>
    <xf numFmtId="9" fontId="0" fillId="18" borderId="71" xfId="0" applyNumberFormat="1" applyFont="1" applyFill="1" applyBorder="1" applyAlignment="1" applyProtection="1">
      <alignment horizontal="center" wrapText="1"/>
      <protection locked="0"/>
    </xf>
    <xf numFmtId="0" fontId="89" fillId="18" borderId="71" xfId="0" applyFont="1" applyFill="1" applyBorder="1" applyAlignment="1" applyProtection="1">
      <alignment horizontal="center" wrapText="1"/>
      <protection locked="0"/>
    </xf>
    <xf numFmtId="49" fontId="86" fillId="136" borderId="71" xfId="0" applyNumberFormat="1" applyFont="1" applyFill="1" applyBorder="1" applyAlignment="1" applyProtection="1">
      <alignment horizontal="center" wrapText="1"/>
      <protection locked="0"/>
    </xf>
    <xf numFmtId="0" fontId="86" fillId="136" borderId="71" xfId="0" applyFont="1" applyFill="1" applyBorder="1" applyAlignment="1" applyProtection="1">
      <alignment horizontal="center" wrapText="1"/>
      <protection locked="0"/>
    </xf>
    <xf numFmtId="202" fontId="86" fillId="136" borderId="71" xfId="0" applyNumberFormat="1" applyFont="1" applyFill="1" applyBorder="1" applyAlignment="1" applyProtection="1">
      <alignment horizontal="center" wrapText="1"/>
      <protection locked="0"/>
    </xf>
    <xf numFmtId="202" fontId="0" fillId="136" borderId="71" xfId="0" applyNumberFormat="1" applyFont="1" applyFill="1" applyBorder="1" applyAlignment="1" applyProtection="1">
      <alignment horizontal="center" wrapText="1"/>
      <protection locked="0"/>
    </xf>
    <xf numFmtId="0" fontId="0" fillId="136" borderId="71" xfId="0" applyFont="1" applyFill="1" applyBorder="1" applyAlignment="1" applyProtection="1">
      <alignment horizontal="center" wrapText="1"/>
      <protection locked="0"/>
    </xf>
    <xf numFmtId="9" fontId="86" fillId="136" borderId="71" xfId="0" applyNumberFormat="1" applyFont="1" applyFill="1" applyBorder="1" applyAlignment="1" applyProtection="1">
      <alignment horizontal="center" wrapText="1"/>
      <protection locked="0"/>
    </xf>
    <xf numFmtId="9" fontId="0" fillId="126" borderId="71" xfId="0" applyNumberFormat="1" applyFont="1" applyFill="1" applyBorder="1" applyAlignment="1" applyProtection="1">
      <alignment horizontal="center" wrapText="1"/>
      <protection locked="0"/>
    </xf>
    <xf numFmtId="49" fontId="0" fillId="137" borderId="71" xfId="0" applyNumberFormat="1" applyFont="1" applyFill="1" applyBorder="1" applyAlignment="1" applyProtection="1">
      <alignment horizontal="center" wrapText="1"/>
      <protection locked="0"/>
    </xf>
    <xf numFmtId="9" fontId="0" fillId="137" borderId="71" xfId="0" applyNumberFormat="1" applyFont="1" applyFill="1" applyBorder="1" applyAlignment="1" applyProtection="1">
      <alignment horizontal="center" wrapText="1"/>
      <protection locked="0"/>
    </xf>
    <xf numFmtId="0" fontId="0" fillId="137" borderId="71" xfId="0" applyFont="1" applyFill="1" applyBorder="1" applyAlignment="1" applyProtection="1">
      <alignment horizontal="center" wrapText="1"/>
      <protection locked="0"/>
    </xf>
    <xf numFmtId="202" fontId="0" fillId="137" borderId="71" xfId="0" applyNumberFormat="1" applyFont="1" applyFill="1" applyBorder="1" applyAlignment="1" applyProtection="1">
      <alignment horizontal="center" wrapText="1"/>
      <protection locked="0"/>
    </xf>
    <xf numFmtId="49" fontId="0" fillId="121" borderId="71" xfId="0" applyNumberFormat="1" applyFont="1" applyFill="1" applyBorder="1" applyAlignment="1" applyProtection="1">
      <alignment horizontal="center" wrapText="1"/>
      <protection locked="0"/>
    </xf>
    <xf numFmtId="9" fontId="0" fillId="121" borderId="71" xfId="0" applyNumberFormat="1" applyFont="1" applyFill="1" applyBorder="1" applyAlignment="1" applyProtection="1">
      <alignment horizontal="center" wrapText="1"/>
      <protection locked="0"/>
    </xf>
    <xf numFmtId="49" fontId="85" fillId="121" borderId="71" xfId="0" applyNumberFormat="1" applyFont="1" applyFill="1" applyBorder="1" applyAlignment="1" applyProtection="1">
      <alignment horizontal="center" wrapText="1"/>
      <protection locked="0"/>
    </xf>
    <xf numFmtId="0" fontId="89" fillId="121" borderId="71" xfId="0" applyFont="1" applyFill="1" applyBorder="1" applyAlignment="1" applyProtection="1">
      <alignment horizontal="center" wrapText="1"/>
      <protection locked="0"/>
    </xf>
    <xf numFmtId="0" fontId="84" fillId="121" borderId="71" xfId="0" applyFont="1" applyFill="1" applyBorder="1" applyAlignment="1" applyProtection="1">
      <protection locked="0"/>
    </xf>
    <xf numFmtId="0" fontId="84" fillId="121" borderId="71" xfId="0" applyFont="1" applyFill="1" applyBorder="1" applyAlignment="1" applyProtection="1">
      <alignment wrapText="1"/>
      <protection locked="0"/>
    </xf>
    <xf numFmtId="0" fontId="84" fillId="121" borderId="71" xfId="0" applyFont="1" applyFill="1" applyBorder="1" applyProtection="1">
      <protection locked="0"/>
    </xf>
    <xf numFmtId="202" fontId="90" fillId="121" borderId="71" xfId="0" applyNumberFormat="1" applyFont="1" applyFill="1" applyBorder="1" applyAlignment="1" applyProtection="1">
      <alignment horizontal="center" wrapText="1"/>
      <protection locked="0"/>
    </xf>
    <xf numFmtId="202" fontId="91" fillId="121" borderId="77" xfId="0" applyNumberFormat="1" applyFont="1" applyFill="1" applyBorder="1" applyAlignment="1" applyProtection="1">
      <alignment horizontal="center" wrapText="1"/>
      <protection locked="0"/>
    </xf>
    <xf numFmtId="202" fontId="90" fillId="121" borderId="201" xfId="0" applyNumberFormat="1" applyFont="1" applyFill="1" applyBorder="1" applyAlignment="1" applyProtection="1">
      <alignment horizontal="center" wrapText="1"/>
      <protection locked="0"/>
    </xf>
    <xf numFmtId="202" fontId="90" fillId="121" borderId="71" xfId="0" applyNumberFormat="1" applyFont="1" applyFill="1" applyBorder="1" applyAlignment="1" applyProtection="1">
      <alignment horizontal="center"/>
      <protection locked="0"/>
    </xf>
    <xf numFmtId="202" fontId="90" fillId="121" borderId="75" xfId="0" applyNumberFormat="1" applyFont="1" applyFill="1" applyBorder="1" applyAlignment="1" applyProtection="1">
      <alignment horizontal="center"/>
      <protection locked="0"/>
    </xf>
    <xf numFmtId="2" fontId="90" fillId="121" borderId="201" xfId="0" applyNumberFormat="1" applyFont="1" applyFill="1" applyBorder="1" applyAlignment="1" applyProtection="1">
      <alignment horizontal="center" wrapText="1"/>
      <protection locked="0"/>
    </xf>
    <xf numFmtId="0" fontId="84" fillId="121" borderId="0" xfId="0" applyFont="1" applyFill="1" applyProtection="1">
      <protection locked="0"/>
    </xf>
    <xf numFmtId="0" fontId="84" fillId="121" borderId="203" xfId="0" applyFont="1" applyFill="1" applyBorder="1" applyAlignment="1" applyProtection="1">
      <alignment horizontal="center" wrapText="1"/>
      <protection locked="0"/>
    </xf>
    <xf numFmtId="0" fontId="0" fillId="7" borderId="11" xfId="0" applyNumberFormat="1" applyFont="1" applyFill="1" applyBorder="1" applyAlignment="1" applyProtection="1">
      <alignment horizontal="center" vertical="center" wrapText="1"/>
      <protection locked="0"/>
    </xf>
    <xf numFmtId="0" fontId="0" fillId="51" borderId="11" xfId="0" applyFont="1" applyFill="1" applyBorder="1" applyAlignment="1" applyProtection="1">
      <alignment horizontal="center" wrapText="1"/>
      <protection locked="0"/>
    </xf>
    <xf numFmtId="191" fontId="0" fillId="51" borderId="48" xfId="10" applyNumberFormat="1" applyFont="1" applyFill="1" applyBorder="1" applyAlignment="1" applyProtection="1">
      <alignment horizontal="center" wrapText="1"/>
      <protection locked="0"/>
    </xf>
    <xf numFmtId="0" fontId="0" fillId="51" borderId="11" xfId="0" applyFont="1" applyFill="1" applyBorder="1" applyAlignment="1" applyProtection="1">
      <alignment horizontal="center" vertical="top" wrapText="1"/>
      <protection locked="0"/>
    </xf>
    <xf numFmtId="191" fontId="0" fillId="51" borderId="48" xfId="10" applyNumberFormat="1" applyFont="1" applyFill="1" applyBorder="1" applyAlignment="1" applyProtection="1">
      <alignment horizontal="center" vertical="top" wrapText="1"/>
      <protection locked="0"/>
    </xf>
    <xf numFmtId="0" fontId="0" fillId="51" borderId="29" xfId="0" applyFont="1" applyFill="1" applyBorder="1" applyAlignment="1" applyProtection="1">
      <alignment horizontal="center" vertical="top" wrapText="1"/>
      <protection locked="0"/>
    </xf>
    <xf numFmtId="191" fontId="0" fillId="51" borderId="50" xfId="10" applyNumberFormat="1" applyFont="1" applyFill="1" applyBorder="1" applyAlignment="1" applyProtection="1">
      <alignment horizontal="center" vertical="top" wrapText="1"/>
      <protection locked="0"/>
    </xf>
    <xf numFmtId="0" fontId="0" fillId="29" borderId="51" xfId="0" applyFont="1" applyFill="1" applyBorder="1" applyAlignment="1" applyProtection="1">
      <alignment horizontal="center" vertical="top" wrapText="1"/>
      <protection locked="0"/>
    </xf>
    <xf numFmtId="191" fontId="0" fillId="29" borderId="99" xfId="10" applyNumberFormat="1" applyFont="1" applyFill="1" applyBorder="1" applyAlignment="1" applyProtection="1">
      <alignment horizontal="center" vertical="top" wrapText="1"/>
      <protection locked="0"/>
    </xf>
    <xf numFmtId="0" fontId="0" fillId="29" borderId="184" xfId="0" applyFont="1" applyFill="1" applyBorder="1" applyAlignment="1" applyProtection="1">
      <alignment horizontal="center" vertical="top" wrapText="1"/>
      <protection locked="0"/>
    </xf>
    <xf numFmtId="191" fontId="0" fillId="29" borderId="48" xfId="10" applyNumberFormat="1" applyFont="1" applyFill="1" applyBorder="1" applyAlignment="1" applyProtection="1">
      <alignment horizontal="center" vertical="top" wrapText="1"/>
      <protection locked="0"/>
    </xf>
    <xf numFmtId="0" fontId="0" fillId="29" borderId="11" xfId="0" applyFont="1" applyFill="1" applyBorder="1" applyAlignment="1" applyProtection="1">
      <alignment horizontal="center" vertical="top" wrapText="1"/>
      <protection locked="0"/>
    </xf>
    <xf numFmtId="0" fontId="0" fillId="29" borderId="11" xfId="0" applyFont="1" applyFill="1" applyBorder="1" applyAlignment="1" applyProtection="1">
      <alignment horizontal="center" wrapText="1"/>
      <protection locked="0"/>
    </xf>
    <xf numFmtId="191" fontId="0" fillId="29" borderId="48" xfId="10" applyNumberFormat="1" applyFont="1" applyFill="1" applyBorder="1" applyAlignment="1" applyProtection="1">
      <alignment horizontal="center" wrapText="1"/>
      <protection locked="0"/>
    </xf>
    <xf numFmtId="0" fontId="0" fillId="29" borderId="29" xfId="0" applyFont="1" applyFill="1" applyBorder="1" applyAlignment="1" applyProtection="1">
      <alignment horizontal="center" vertical="top" wrapText="1"/>
      <protection locked="0"/>
    </xf>
    <xf numFmtId="191" fontId="0" fillId="29" borderId="50" xfId="10" applyNumberFormat="1" applyFont="1" applyFill="1" applyBorder="1" applyAlignment="1" applyProtection="1">
      <alignment horizontal="center" vertical="top" wrapText="1"/>
      <protection locked="0"/>
    </xf>
    <xf numFmtId="0" fontId="0" fillId="42" borderId="51" xfId="0" applyFont="1" applyFill="1" applyBorder="1" applyAlignment="1" applyProtection="1">
      <alignment horizontal="center" vertical="top" wrapText="1"/>
      <protection locked="0"/>
    </xf>
    <xf numFmtId="191" fontId="0" fillId="42" borderId="99" xfId="10" applyNumberFormat="1" applyFont="1" applyFill="1" applyBorder="1" applyAlignment="1" applyProtection="1">
      <alignment horizontal="center" vertical="top" wrapText="1"/>
      <protection locked="0"/>
    </xf>
    <xf numFmtId="191" fontId="0" fillId="42" borderId="48" xfId="10" applyNumberFormat="1" applyFont="1" applyFill="1" applyBorder="1" applyAlignment="1" applyProtection="1">
      <alignment horizontal="center" vertical="top" wrapText="1"/>
      <protection locked="0"/>
    </xf>
    <xf numFmtId="191" fontId="0" fillId="42" borderId="50" xfId="10" applyNumberFormat="1" applyFont="1" applyFill="1" applyBorder="1" applyAlignment="1" applyProtection="1">
      <alignment horizontal="center" vertical="top" wrapText="1"/>
      <protection locked="0"/>
    </xf>
    <xf numFmtId="191" fontId="0" fillId="38" borderId="99" xfId="10" applyNumberFormat="1" applyFont="1" applyFill="1" applyBorder="1" applyAlignment="1" applyProtection="1">
      <alignment horizontal="center" vertical="top" wrapText="1"/>
      <protection locked="0"/>
    </xf>
    <xf numFmtId="0" fontId="0" fillId="38" borderId="11" xfId="0" applyFont="1" applyFill="1" applyBorder="1" applyAlignment="1" applyProtection="1">
      <alignment horizontal="center" vertical="top" wrapText="1"/>
      <protection locked="0"/>
    </xf>
    <xf numFmtId="191" fontId="0" fillId="38" borderId="48" xfId="10" applyNumberFormat="1" applyFont="1" applyFill="1" applyBorder="1" applyAlignment="1" applyProtection="1">
      <alignment horizontal="center" vertical="top" wrapText="1"/>
      <protection locked="0"/>
    </xf>
    <xf numFmtId="191" fontId="0" fillId="38" borderId="48" xfId="10" applyNumberFormat="1" applyFont="1" applyFill="1" applyBorder="1" applyAlignment="1" applyProtection="1">
      <alignment horizontal="center" wrapText="1"/>
      <protection locked="0"/>
    </xf>
    <xf numFmtId="0" fontId="0" fillId="38" borderId="184" xfId="0" applyFont="1" applyFill="1" applyBorder="1" applyAlignment="1" applyProtection="1">
      <alignment horizontal="center" vertical="top" wrapText="1"/>
      <protection locked="0"/>
    </xf>
    <xf numFmtId="191" fontId="0" fillId="38" borderId="50" xfId="10" applyNumberFormat="1" applyFont="1" applyFill="1" applyBorder="1" applyAlignment="1" applyProtection="1">
      <alignment horizontal="center" vertical="top" wrapText="1"/>
      <protection locked="0"/>
    </xf>
    <xf numFmtId="0" fontId="0" fillId="29" borderId="94" xfId="0" applyFont="1" applyFill="1" applyBorder="1" applyAlignment="1" applyProtection="1">
      <alignment horizontal="center" vertical="top" wrapText="1"/>
      <protection locked="0"/>
    </xf>
    <xf numFmtId="9" fontId="0" fillId="39" borderId="154" xfId="5" applyFont="1" applyFill="1" applyBorder="1" applyAlignment="1" applyProtection="1">
      <alignment horizontal="center" vertical="center" wrapText="1"/>
      <protection locked="0"/>
    </xf>
    <xf numFmtId="9" fontId="0" fillId="39" borderId="154" xfId="5" applyFont="1" applyFill="1" applyBorder="1" applyAlignment="1" applyProtection="1">
      <alignment horizontal="justify" vertical="center" wrapText="1"/>
      <protection locked="0"/>
    </xf>
    <xf numFmtId="0" fontId="0" fillId="41" borderId="11" xfId="8" applyFont="1" applyFill="1" applyBorder="1" applyAlignment="1" applyProtection="1">
      <alignment horizontal="center" vertical="center" wrapText="1"/>
      <protection locked="0"/>
    </xf>
    <xf numFmtId="0" fontId="0" fillId="41" borderId="94" xfId="0" applyFont="1" applyFill="1" applyBorder="1" applyAlignment="1" applyProtection="1">
      <alignment horizontal="justify" vertical="center" wrapText="1"/>
      <protection locked="0"/>
    </xf>
    <xf numFmtId="0" fontId="0" fillId="7" borderId="31" xfId="0" applyFont="1" applyFill="1" applyBorder="1" applyAlignment="1" applyProtection="1">
      <alignment horizontal="justify" vertical="center" wrapText="1"/>
      <protection locked="0"/>
    </xf>
    <xf numFmtId="191" fontId="0" fillId="41" borderId="48" xfId="10" applyNumberFormat="1" applyFont="1" applyFill="1" applyBorder="1" applyAlignment="1" applyProtection="1">
      <alignment horizontal="center" vertical="center"/>
      <protection locked="0"/>
    </xf>
    <xf numFmtId="3" fontId="3" fillId="38" borderId="184" xfId="0" applyNumberFormat="1" applyFont="1" applyFill="1" applyBorder="1" applyAlignment="1" applyProtection="1">
      <alignment horizontal="center" vertical="center" wrapText="1"/>
      <protection locked="0"/>
    </xf>
    <xf numFmtId="0" fontId="0" fillId="41" borderId="154" xfId="0" applyFont="1" applyFill="1" applyBorder="1" applyAlignment="1" applyProtection="1">
      <alignment horizontal="justify" vertical="center" wrapText="1"/>
    </xf>
    <xf numFmtId="0" fontId="10" fillId="103" borderId="154" xfId="0" applyFont="1" applyFill="1" applyBorder="1" applyAlignment="1" applyProtection="1">
      <alignment horizontal="justify" vertical="center" wrapText="1"/>
    </xf>
    <xf numFmtId="0" fontId="11" fillId="41" borderId="154" xfId="0" applyFont="1" applyFill="1" applyBorder="1" applyAlignment="1" applyProtection="1">
      <alignment horizontal="justify" vertical="center" wrapText="1"/>
    </xf>
    <xf numFmtId="0" fontId="10" fillId="38" borderId="154" xfId="6" applyFont="1" applyFill="1" applyBorder="1" applyAlignment="1" applyProtection="1">
      <alignment horizontal="justify" vertical="center" wrapText="1"/>
    </xf>
    <xf numFmtId="0" fontId="10" fillId="38" borderId="154" xfId="0" applyFont="1" applyFill="1" applyBorder="1" applyAlignment="1" applyProtection="1">
      <alignment horizontal="justify" vertical="center" wrapText="1"/>
    </xf>
    <xf numFmtId="0" fontId="10" fillId="51" borderId="53" xfId="0" applyFont="1" applyFill="1" applyBorder="1" applyAlignment="1" applyProtection="1">
      <alignment horizontal="justify" vertical="center" wrapText="1"/>
    </xf>
    <xf numFmtId="0" fontId="0" fillId="51" borderId="154" xfId="0" applyFont="1" applyFill="1" applyBorder="1" applyAlignment="1" applyProtection="1">
      <alignment horizontal="justify" vertical="center" wrapText="1"/>
    </xf>
    <xf numFmtId="0" fontId="10" fillId="38" borderId="54" xfId="0" applyFont="1" applyFill="1" applyBorder="1" applyAlignment="1" applyProtection="1">
      <alignment horizontal="justify" vertical="center" wrapText="1"/>
    </xf>
    <xf numFmtId="0" fontId="0" fillId="38" borderId="154" xfId="0" applyFont="1" applyFill="1" applyBorder="1" applyAlignment="1" applyProtection="1">
      <alignment horizontal="justify" vertical="center" wrapText="1"/>
    </xf>
    <xf numFmtId="0" fontId="0" fillId="51" borderId="54" xfId="0" applyFont="1" applyFill="1" applyBorder="1" applyAlignment="1" applyProtection="1">
      <alignment horizontal="justify" vertical="center" wrapText="1"/>
    </xf>
    <xf numFmtId="0" fontId="10" fillId="39" borderId="154" xfId="0" applyFont="1" applyFill="1" applyBorder="1" applyAlignment="1" applyProtection="1">
      <alignment horizontal="justify" vertical="center" wrapText="1"/>
    </xf>
    <xf numFmtId="0" fontId="0" fillId="39" borderId="154" xfId="2" applyFont="1" applyFill="1" applyBorder="1" applyAlignment="1" applyProtection="1">
      <alignment horizontal="justify" vertical="center" wrapText="1"/>
    </xf>
    <xf numFmtId="0" fontId="0" fillId="7" borderId="154" xfId="0" applyFont="1" applyFill="1" applyBorder="1" applyAlignment="1" applyProtection="1">
      <alignment horizontal="justify" vertical="center" wrapText="1"/>
    </xf>
    <xf numFmtId="0" fontId="10" fillId="42" borderId="154" xfId="0" applyFont="1" applyFill="1" applyBorder="1" applyAlignment="1" applyProtection="1">
      <alignment horizontal="justify" vertical="center" wrapText="1"/>
    </xf>
    <xf numFmtId="0" fontId="10" fillId="42" borderId="53" xfId="0" applyFont="1" applyFill="1" applyBorder="1" applyAlignment="1" applyProtection="1">
      <alignment horizontal="justify" vertical="center" wrapText="1"/>
    </xf>
    <xf numFmtId="0" fontId="11" fillId="42" borderId="154" xfId="0" applyFont="1" applyFill="1" applyBorder="1" applyAlignment="1" applyProtection="1">
      <alignment horizontal="justify" vertical="center" wrapText="1"/>
    </xf>
    <xf numFmtId="0" fontId="10" fillId="51" borderId="54" xfId="0" applyFont="1" applyFill="1" applyBorder="1" applyAlignment="1" applyProtection="1">
      <alignment horizontal="justify" vertical="center" wrapText="1"/>
    </xf>
    <xf numFmtId="0" fontId="10" fillId="39" borderId="54" xfId="0" applyFont="1" applyFill="1" applyBorder="1" applyAlignment="1" applyProtection="1">
      <alignment horizontal="justify" vertical="center" wrapText="1"/>
    </xf>
    <xf numFmtId="0" fontId="10" fillId="38" borderId="53" xfId="0" applyFont="1" applyFill="1" applyBorder="1" applyAlignment="1" applyProtection="1">
      <alignment horizontal="justify" vertical="center" wrapText="1"/>
    </xf>
    <xf numFmtId="0" fontId="10" fillId="38" borderId="46" xfId="0" applyFont="1" applyFill="1" applyBorder="1" applyAlignment="1" applyProtection="1">
      <alignment horizontal="center" vertical="center" wrapText="1"/>
      <protection locked="0"/>
    </xf>
    <xf numFmtId="0" fontId="0" fillId="38" borderId="46" xfId="0" applyFont="1" applyFill="1" applyBorder="1" applyAlignment="1" applyProtection="1">
      <alignment horizontal="center" vertical="center" wrapText="1"/>
      <protection locked="0"/>
    </xf>
    <xf numFmtId="0" fontId="0" fillId="38" borderId="53" xfId="0" applyFont="1" applyFill="1" applyBorder="1" applyAlignment="1" applyProtection="1">
      <alignment horizontal="justify" vertical="center" wrapText="1"/>
    </xf>
    <xf numFmtId="0" fontId="0" fillId="103" borderId="154" xfId="0" applyFont="1" applyFill="1" applyBorder="1" applyAlignment="1" applyProtection="1">
      <alignment horizontal="justify" vertical="center" wrapText="1"/>
    </xf>
    <xf numFmtId="0" fontId="0" fillId="51" borderId="46" xfId="0" applyFont="1" applyFill="1" applyBorder="1" applyAlignment="1" applyProtection="1">
      <alignment horizontal="center" vertical="center" wrapText="1"/>
      <protection locked="0"/>
    </xf>
    <xf numFmtId="0" fontId="0" fillId="41" borderId="46" xfId="0" applyFont="1" applyFill="1" applyBorder="1" applyAlignment="1" applyProtection="1">
      <alignment horizontal="center" vertical="center" wrapText="1"/>
      <protection locked="0"/>
    </xf>
    <xf numFmtId="0" fontId="10" fillId="103" borderId="46" xfId="0" applyFont="1" applyFill="1" applyBorder="1" applyAlignment="1" applyProtection="1">
      <alignment horizontal="center" vertical="center" wrapText="1"/>
      <protection locked="0"/>
    </xf>
    <xf numFmtId="0" fontId="11" fillId="41" borderId="46" xfId="0" applyFont="1" applyFill="1" applyBorder="1" applyAlignment="1" applyProtection="1">
      <alignment horizontal="center" vertical="center" wrapText="1"/>
      <protection locked="0"/>
    </xf>
    <xf numFmtId="0" fontId="10" fillId="38" borderId="45" xfId="0" applyFont="1" applyFill="1" applyBorder="1" applyAlignment="1" applyProtection="1">
      <alignment horizontal="center" vertical="center" wrapText="1"/>
      <protection locked="0"/>
    </xf>
    <xf numFmtId="0" fontId="0" fillId="51" borderId="60" xfId="0" applyFont="1" applyFill="1" applyBorder="1" applyAlignment="1" applyProtection="1">
      <alignment horizontal="center" vertical="center" wrapText="1"/>
      <protection locked="0"/>
    </xf>
    <xf numFmtId="0" fontId="10" fillId="39" borderId="60" xfId="0" applyFont="1" applyFill="1" applyBorder="1" applyAlignment="1" applyProtection="1">
      <alignment horizontal="center" vertical="center" wrapText="1"/>
      <protection locked="0"/>
    </xf>
    <xf numFmtId="0" fontId="10" fillId="38" borderId="177" xfId="0" applyFont="1" applyFill="1" applyBorder="1" applyAlignment="1" applyProtection="1">
      <alignment horizontal="center" vertical="center" wrapText="1"/>
      <protection locked="0"/>
    </xf>
    <xf numFmtId="0" fontId="0" fillId="38" borderId="177" xfId="0" applyFont="1" applyFill="1" applyBorder="1" applyAlignment="1" applyProtection="1">
      <alignment horizontal="center" vertical="center" wrapText="1"/>
      <protection locked="0"/>
    </xf>
    <xf numFmtId="0" fontId="0" fillId="38" borderId="94" xfId="0" applyFont="1" applyFill="1" applyBorder="1" applyAlignment="1" applyProtection="1">
      <alignment horizontal="justify" vertical="center" wrapText="1"/>
    </xf>
    <xf numFmtId="0" fontId="0" fillId="38" borderId="31" xfId="0" applyFont="1" applyFill="1" applyBorder="1" applyAlignment="1" applyProtection="1">
      <alignment horizontal="justify" vertical="center" wrapText="1"/>
    </xf>
    <xf numFmtId="9" fontId="0" fillId="38" borderId="94" xfId="0" applyNumberFormat="1" applyFont="1" applyFill="1" applyBorder="1" applyAlignment="1" applyProtection="1">
      <alignment horizontal="center" vertical="center"/>
    </xf>
    <xf numFmtId="0" fontId="0" fillId="29" borderId="94" xfId="0" applyFont="1" applyFill="1" applyBorder="1" applyAlignment="1" applyProtection="1">
      <alignment horizontal="justify" vertical="center" wrapText="1"/>
    </xf>
    <xf numFmtId="0" fontId="0" fillId="29" borderId="52" xfId="0" applyFont="1" applyFill="1" applyBorder="1" applyAlignment="1" applyProtection="1">
      <alignment horizontal="justify" vertical="center" wrapText="1"/>
    </xf>
    <xf numFmtId="0" fontId="0" fillId="7" borderId="94" xfId="0" applyFont="1" applyFill="1" applyBorder="1" applyAlignment="1" applyProtection="1">
      <alignment horizontal="justify" vertical="center" wrapText="1"/>
    </xf>
    <xf numFmtId="9" fontId="0" fillId="103" borderId="94" xfId="0" applyNumberFormat="1" applyFont="1" applyFill="1" applyBorder="1" applyAlignment="1" applyProtection="1">
      <alignment horizontal="center" vertical="center"/>
    </xf>
    <xf numFmtId="0" fontId="0" fillId="38" borderId="94" xfId="0" applyFont="1" applyFill="1" applyBorder="1" applyAlignment="1" applyProtection="1">
      <alignment horizontal="center" vertical="center" wrapText="1"/>
    </xf>
    <xf numFmtId="4" fontId="0" fillId="7" borderId="94" xfId="0" applyNumberFormat="1" applyFont="1" applyFill="1" applyBorder="1" applyAlignment="1" applyProtection="1">
      <alignment horizontal="center" vertical="center"/>
    </xf>
    <xf numFmtId="0" fontId="0" fillId="38" borderId="52" xfId="0" applyFont="1" applyFill="1" applyBorder="1" applyAlignment="1" applyProtection="1">
      <alignment horizontal="justify" vertical="center" wrapText="1"/>
    </xf>
    <xf numFmtId="0" fontId="0" fillId="41" borderId="94" xfId="0" applyFont="1" applyFill="1" applyBorder="1" applyAlignment="1" applyProtection="1">
      <alignment horizontal="justify" vertical="center" wrapText="1"/>
    </xf>
    <xf numFmtId="0" fontId="11" fillId="41" borderId="94" xfId="0" applyFont="1" applyFill="1" applyBorder="1" applyAlignment="1" applyProtection="1">
      <alignment horizontal="justify" vertical="center" wrapText="1"/>
    </xf>
    <xf numFmtId="9" fontId="0" fillId="41" borderId="94" xfId="0" applyNumberFormat="1" applyFont="1" applyFill="1" applyBorder="1" applyAlignment="1" applyProtection="1">
      <alignment horizontal="center" vertical="center"/>
    </xf>
    <xf numFmtId="0" fontId="0" fillId="41" borderId="94" xfId="0" applyFont="1" applyFill="1" applyBorder="1" applyAlignment="1" applyProtection="1">
      <alignment horizontal="center" vertical="center" wrapText="1"/>
    </xf>
    <xf numFmtId="0" fontId="0" fillId="51" borderId="94" xfId="0" applyFont="1" applyFill="1" applyBorder="1" applyAlignment="1" applyProtection="1">
      <alignment horizontal="justify" vertical="center" wrapText="1"/>
    </xf>
    <xf numFmtId="0" fontId="0" fillId="42" borderId="94" xfId="0" applyFont="1" applyFill="1" applyBorder="1" applyAlignment="1" applyProtection="1">
      <alignment horizontal="justify" vertical="center" wrapText="1"/>
    </xf>
    <xf numFmtId="9" fontId="0" fillId="51" borderId="94" xfId="0" applyNumberFormat="1" applyFont="1" applyFill="1" applyBorder="1" applyAlignment="1" applyProtection="1">
      <alignment horizontal="center" vertical="center" wrapText="1"/>
    </xf>
    <xf numFmtId="0" fontId="0" fillId="51" borderId="94" xfId="0" applyFont="1" applyFill="1" applyBorder="1" applyAlignment="1" applyProtection="1">
      <alignment horizontal="center" vertical="center" wrapText="1"/>
    </xf>
    <xf numFmtId="0" fontId="0" fillId="42" borderId="31" xfId="0" applyFont="1" applyFill="1" applyBorder="1" applyAlignment="1" applyProtection="1">
      <alignment horizontal="justify" vertical="center" wrapText="1"/>
    </xf>
    <xf numFmtId="0" fontId="10" fillId="38" borderId="94" xfId="0" applyFont="1" applyFill="1" applyBorder="1" applyAlignment="1" applyProtection="1">
      <alignment horizontal="justify" vertical="center" wrapText="1"/>
    </xf>
    <xf numFmtId="0" fontId="10" fillId="38" borderId="31" xfId="0" applyFont="1" applyFill="1" applyBorder="1" applyAlignment="1" applyProtection="1">
      <alignment horizontal="justify" vertical="center" wrapText="1"/>
    </xf>
    <xf numFmtId="0" fontId="10" fillId="51" borderId="31" xfId="0" applyFont="1" applyFill="1" applyBorder="1" applyAlignment="1" applyProtection="1">
      <alignment horizontal="justify" vertical="center" wrapText="1"/>
    </xf>
    <xf numFmtId="0" fontId="10" fillId="39" borderId="94" xfId="0" applyFont="1" applyFill="1" applyBorder="1" applyAlignment="1" applyProtection="1">
      <alignment horizontal="justify" vertical="center" wrapText="1"/>
    </xf>
    <xf numFmtId="0" fontId="10" fillId="51" borderId="52" xfId="0" applyFont="1" applyFill="1" applyBorder="1" applyAlignment="1" applyProtection="1">
      <alignment horizontal="justify" vertical="center" wrapText="1"/>
    </xf>
    <xf numFmtId="0" fontId="0" fillId="38" borderId="31" xfId="0" applyFont="1" applyFill="1" applyBorder="1" applyAlignment="1" applyProtection="1">
      <alignment horizontal="center" vertical="center" wrapText="1"/>
    </xf>
    <xf numFmtId="0" fontId="10" fillId="38" borderId="52" xfId="0" applyFont="1" applyFill="1" applyBorder="1" applyAlignment="1" applyProtection="1">
      <alignment horizontal="justify" vertical="center" wrapText="1"/>
    </xf>
    <xf numFmtId="0" fontId="0" fillId="51" borderId="52" xfId="0" applyFont="1" applyFill="1" applyBorder="1" applyAlignment="1" applyProtection="1">
      <alignment horizontal="center" vertical="center" wrapText="1"/>
    </xf>
    <xf numFmtId="0" fontId="11" fillId="42" borderId="94" xfId="0" applyFont="1" applyFill="1" applyBorder="1" applyAlignment="1" applyProtection="1">
      <alignment horizontal="justify" vertical="center" wrapText="1"/>
    </xf>
    <xf numFmtId="0" fontId="0" fillId="39" borderId="94" xfId="0" applyFont="1" applyFill="1" applyBorder="1" applyAlignment="1" applyProtection="1">
      <alignment horizontal="justify" vertical="center" wrapText="1"/>
    </xf>
    <xf numFmtId="0" fontId="0" fillId="39" borderId="52" xfId="0" applyFont="1" applyFill="1" applyBorder="1" applyAlignment="1" applyProtection="1">
      <alignment horizontal="justify" vertical="center" wrapText="1"/>
    </xf>
    <xf numFmtId="0" fontId="0" fillId="29" borderId="31" xfId="0" applyFont="1" applyFill="1" applyBorder="1" applyAlignment="1" applyProtection="1">
      <alignment horizontal="justify" vertical="center" wrapText="1"/>
    </xf>
    <xf numFmtId="0" fontId="10" fillId="42" borderId="94" xfId="0" applyFont="1" applyFill="1" applyBorder="1" applyAlignment="1" applyProtection="1">
      <alignment horizontal="justify" vertical="center" wrapText="1"/>
    </xf>
    <xf numFmtId="0" fontId="10" fillId="42" borderId="31" xfId="0" applyFont="1" applyFill="1" applyBorder="1" applyAlignment="1" applyProtection="1">
      <alignment horizontal="justify" vertical="center" wrapText="1"/>
    </xf>
    <xf numFmtId="0" fontId="0" fillId="39" borderId="31" xfId="0" applyFont="1" applyFill="1" applyBorder="1" applyAlignment="1" applyProtection="1">
      <alignment horizontal="justify" vertical="center" wrapText="1"/>
    </xf>
    <xf numFmtId="3" fontId="0" fillId="39" borderId="94" xfId="0" applyNumberFormat="1" applyFont="1" applyFill="1" applyBorder="1" applyAlignment="1" applyProtection="1">
      <alignment horizontal="justify" vertical="center" wrapText="1"/>
    </xf>
    <xf numFmtId="0" fontId="0" fillId="39" borderId="94" xfId="2" applyFont="1" applyFill="1" applyBorder="1" applyAlignment="1" applyProtection="1">
      <alignment horizontal="center" vertical="center"/>
    </xf>
    <xf numFmtId="0" fontId="0" fillId="7" borderId="31" xfId="0" applyFont="1" applyFill="1" applyBorder="1" applyAlignment="1" applyProtection="1">
      <alignment horizontal="justify" vertical="center" wrapText="1"/>
    </xf>
    <xf numFmtId="0" fontId="0" fillId="51" borderId="52" xfId="0" applyFont="1" applyFill="1" applyBorder="1" applyAlignment="1" applyProtection="1">
      <alignment horizontal="justify" vertical="center" wrapText="1"/>
    </xf>
    <xf numFmtId="0" fontId="10" fillId="103" borderId="94" xfId="0" applyFont="1" applyFill="1" applyBorder="1" applyAlignment="1" applyProtection="1">
      <alignment horizontal="justify" vertical="center" wrapText="1"/>
    </xf>
    <xf numFmtId="1" fontId="10" fillId="38" borderId="94" xfId="0" applyNumberFormat="1" applyFont="1" applyFill="1" applyBorder="1" applyAlignment="1" applyProtection="1">
      <alignment horizontal="justify" vertical="center" wrapText="1"/>
    </xf>
    <xf numFmtId="0" fontId="0" fillId="51" borderId="31" xfId="0" applyFont="1" applyFill="1" applyBorder="1" applyAlignment="1" applyProtection="1">
      <alignment horizontal="justify" vertical="center" wrapText="1"/>
    </xf>
    <xf numFmtId="0" fontId="10" fillId="103" borderId="94" xfId="0" applyFont="1" applyFill="1" applyBorder="1" applyAlignment="1" applyProtection="1">
      <alignment horizontal="center" vertical="center" wrapText="1"/>
    </xf>
    <xf numFmtId="0" fontId="10" fillId="38" borderId="94" xfId="0" applyFont="1" applyFill="1" applyBorder="1" applyAlignment="1" applyProtection="1">
      <alignment horizontal="center" vertical="center" wrapText="1"/>
    </xf>
    <xf numFmtId="0" fontId="0" fillId="38" borderId="94" xfId="0" applyFont="1" applyFill="1" applyBorder="1" applyAlignment="1" applyProtection="1">
      <alignment horizontal="justify" vertical="center" wrapText="1"/>
      <protection locked="0"/>
    </xf>
    <xf numFmtId="0" fontId="0" fillId="38" borderId="31" xfId="0" applyFont="1" applyFill="1" applyBorder="1" applyAlignment="1" applyProtection="1">
      <alignment horizontal="justify" vertical="center" wrapText="1"/>
      <protection locked="0"/>
    </xf>
    <xf numFmtId="0" fontId="0" fillId="29" borderId="52" xfId="0" applyFont="1" applyFill="1" applyBorder="1" applyAlignment="1" applyProtection="1">
      <alignment horizontal="justify" vertical="center" wrapText="1"/>
      <protection locked="0"/>
    </xf>
    <xf numFmtId="0" fontId="0" fillId="29" borderId="94" xfId="0" applyFont="1" applyFill="1" applyBorder="1" applyAlignment="1" applyProtection="1">
      <alignment horizontal="justify" vertical="center" wrapText="1"/>
      <protection locked="0"/>
    </xf>
    <xf numFmtId="0" fontId="0" fillId="38" borderId="52" xfId="0" applyFont="1" applyFill="1" applyBorder="1" applyAlignment="1" applyProtection="1">
      <alignment horizontal="justify" vertical="center" wrapText="1"/>
      <protection locked="0"/>
    </xf>
    <xf numFmtId="0" fontId="0" fillId="7" borderId="94" xfId="0" applyFont="1" applyFill="1" applyBorder="1" applyAlignment="1" applyProtection="1">
      <alignment horizontal="justify" vertical="center" wrapText="1"/>
      <protection locked="0"/>
    </xf>
    <xf numFmtId="0" fontId="0" fillId="41" borderId="94" xfId="0" applyFont="1" applyFill="1" applyBorder="1" applyAlignment="1" applyProtection="1">
      <alignment horizontal="justify" vertical="center" wrapText="1"/>
      <protection locked="0"/>
    </xf>
    <xf numFmtId="0" fontId="11" fillId="38" borderId="9" xfId="0" applyFont="1" applyFill="1" applyBorder="1" applyAlignment="1" applyProtection="1">
      <alignment horizontal="justify" vertical="center" wrapText="1"/>
      <protection locked="0"/>
    </xf>
    <xf numFmtId="0" fontId="11" fillId="38" borderId="94" xfId="0" applyFont="1" applyFill="1" applyBorder="1" applyAlignment="1" applyProtection="1">
      <alignment horizontal="justify" vertical="center" wrapText="1"/>
      <protection locked="0"/>
    </xf>
    <xf numFmtId="0" fontId="11" fillId="41" borderId="27" xfId="0" applyFont="1" applyFill="1" applyBorder="1" applyAlignment="1" applyProtection="1">
      <alignment horizontal="justify" vertical="center" wrapText="1"/>
      <protection locked="0"/>
    </xf>
    <xf numFmtId="0" fontId="11" fillId="41" borderId="52" xfId="0" applyFont="1" applyFill="1" applyBorder="1" applyAlignment="1" applyProtection="1">
      <alignment horizontal="justify" vertical="center" wrapText="1"/>
      <protection locked="0"/>
    </xf>
    <xf numFmtId="0" fontId="11" fillId="41" borderId="94" xfId="0" applyFont="1" applyFill="1" applyBorder="1" applyAlignment="1" applyProtection="1">
      <alignment horizontal="justify" vertical="center" wrapText="1"/>
      <protection locked="0"/>
    </xf>
    <xf numFmtId="0" fontId="11" fillId="7" borderId="94" xfId="0" applyFont="1" applyFill="1" applyBorder="1" applyAlignment="1" applyProtection="1">
      <alignment horizontal="justify" vertical="center" wrapText="1"/>
      <protection locked="0"/>
    </xf>
    <xf numFmtId="0" fontId="11" fillId="51" borderId="94" xfId="0" applyFont="1" applyFill="1" applyBorder="1" applyAlignment="1" applyProtection="1">
      <alignment horizontal="justify" vertical="center" wrapText="1"/>
      <protection locked="0"/>
    </xf>
    <xf numFmtId="0" fontId="11" fillId="39" borderId="94" xfId="0" applyFont="1" applyFill="1" applyBorder="1" applyAlignment="1" applyProtection="1">
      <alignment horizontal="justify" vertical="center" wrapText="1"/>
      <protection locked="0"/>
    </xf>
    <xf numFmtId="0" fontId="11" fillId="41" borderId="27" xfId="8" applyFont="1" applyFill="1" applyBorder="1" applyAlignment="1" applyProtection="1">
      <alignment horizontal="justify" vertical="center" wrapText="1"/>
      <protection locked="0"/>
    </xf>
    <xf numFmtId="0" fontId="11" fillId="41" borderId="159" xfId="8" applyFont="1" applyFill="1" applyBorder="1" applyAlignment="1" applyProtection="1">
      <alignment horizontal="justify" vertical="center" wrapText="1"/>
      <protection locked="0"/>
    </xf>
    <xf numFmtId="0" fontId="11" fillId="41" borderId="159" xfId="0" applyFont="1" applyFill="1" applyBorder="1" applyAlignment="1" applyProtection="1">
      <alignment horizontal="justify" vertical="center" wrapText="1"/>
      <protection locked="0"/>
    </xf>
    <xf numFmtId="0" fontId="0" fillId="51" borderId="94" xfId="0" applyFont="1" applyFill="1" applyBorder="1" applyAlignment="1" applyProtection="1">
      <alignment horizontal="justify" vertical="center" wrapText="1"/>
      <protection locked="0"/>
    </xf>
    <xf numFmtId="0" fontId="0" fillId="42" borderId="94" xfId="0" applyFont="1" applyFill="1" applyBorder="1" applyAlignment="1" applyProtection="1">
      <alignment horizontal="justify" vertical="center" wrapText="1"/>
      <protection locked="0"/>
    </xf>
    <xf numFmtId="0" fontId="0" fillId="42" borderId="31" xfId="0" applyFont="1" applyFill="1" applyBorder="1" applyAlignment="1" applyProtection="1">
      <alignment horizontal="justify" vertical="center" wrapText="1"/>
      <protection locked="0"/>
    </xf>
    <xf numFmtId="0" fontId="10" fillId="17" borderId="94" xfId="0" applyFont="1" applyFill="1" applyBorder="1" applyAlignment="1" applyProtection="1">
      <alignment horizontal="justify" vertical="center" wrapText="1"/>
      <protection locked="0"/>
    </xf>
    <xf numFmtId="0" fontId="10" fillId="38" borderId="94" xfId="0" applyFont="1" applyFill="1" applyBorder="1" applyAlignment="1" applyProtection="1">
      <alignment horizontal="justify" vertical="center" wrapText="1"/>
      <protection locked="0"/>
    </xf>
    <xf numFmtId="0" fontId="10" fillId="38" borderId="31" xfId="0" applyFont="1" applyFill="1" applyBorder="1" applyAlignment="1" applyProtection="1">
      <alignment horizontal="justify" vertical="center" wrapText="1"/>
      <protection locked="0"/>
    </xf>
    <xf numFmtId="0" fontId="10" fillId="7" borderId="94" xfId="0" applyFont="1" applyFill="1" applyBorder="1" applyAlignment="1" applyProtection="1">
      <alignment horizontal="justify" vertical="center" wrapText="1"/>
      <protection locked="0"/>
    </xf>
    <xf numFmtId="0" fontId="10" fillId="51" borderId="94" xfId="0" applyFont="1" applyFill="1" applyBorder="1" applyAlignment="1" applyProtection="1">
      <alignment horizontal="justify" vertical="center" wrapText="1"/>
      <protection locked="0"/>
    </xf>
    <xf numFmtId="0" fontId="10" fillId="51" borderId="31" xfId="0" applyFont="1" applyFill="1" applyBorder="1" applyAlignment="1" applyProtection="1">
      <alignment horizontal="justify" vertical="center" wrapText="1"/>
      <protection locked="0"/>
    </xf>
    <xf numFmtId="0" fontId="10" fillId="41" borderId="94" xfId="0" applyFont="1" applyFill="1" applyBorder="1" applyAlignment="1" applyProtection="1">
      <alignment horizontal="justify" vertical="center" wrapText="1"/>
      <protection locked="0"/>
    </xf>
    <xf numFmtId="0" fontId="10" fillId="51" borderId="52" xfId="0" applyFont="1" applyFill="1" applyBorder="1" applyAlignment="1" applyProtection="1">
      <alignment horizontal="justify" vertical="center" wrapText="1"/>
      <protection locked="0"/>
    </xf>
    <xf numFmtId="0" fontId="10" fillId="39" borderId="94" xfId="0" applyFont="1" applyFill="1" applyBorder="1" applyAlignment="1" applyProtection="1">
      <alignment horizontal="justify" vertical="center" wrapText="1"/>
      <protection locked="0"/>
    </xf>
    <xf numFmtId="0" fontId="10" fillId="38" borderId="52" xfId="0" applyFont="1" applyFill="1" applyBorder="1" applyAlignment="1" applyProtection="1">
      <alignment horizontal="justify" vertical="center" wrapText="1"/>
      <protection locked="0"/>
    </xf>
    <xf numFmtId="0" fontId="11" fillId="42" borderId="52" xfId="0" applyFont="1" applyFill="1" applyBorder="1" applyAlignment="1" applyProtection="1">
      <alignment horizontal="justify" vertical="center" wrapText="1"/>
      <protection locked="0"/>
    </xf>
    <xf numFmtId="0" fontId="11" fillId="42" borderId="94" xfId="0" applyFont="1" applyFill="1" applyBorder="1" applyAlignment="1" applyProtection="1">
      <alignment horizontal="justify" vertical="center" wrapText="1"/>
      <protection locked="0"/>
    </xf>
    <xf numFmtId="0" fontId="11" fillId="39" borderId="52" xfId="0" applyFont="1" applyFill="1" applyBorder="1" applyAlignment="1" applyProtection="1">
      <alignment horizontal="justify" vertical="center" wrapText="1"/>
      <protection locked="0"/>
    </xf>
    <xf numFmtId="0" fontId="11" fillId="43" borderId="52" xfId="0" applyFont="1" applyFill="1" applyBorder="1" applyAlignment="1" applyProtection="1">
      <alignment horizontal="justify" vertical="center" wrapText="1"/>
      <protection locked="0"/>
    </xf>
    <xf numFmtId="0" fontId="11" fillId="43" borderId="94" xfId="0" applyFont="1" applyFill="1" applyBorder="1" applyAlignment="1" applyProtection="1">
      <alignment horizontal="justify" vertical="center" wrapText="1"/>
      <protection locked="0"/>
    </xf>
    <xf numFmtId="0" fontId="0" fillId="39" borderId="52" xfId="0" applyFont="1" applyFill="1" applyBorder="1" applyAlignment="1" applyProtection="1">
      <alignment horizontal="justify" vertical="center" wrapText="1"/>
      <protection locked="0"/>
    </xf>
    <xf numFmtId="0" fontId="0" fillId="39" borderId="94" xfId="0" applyFont="1" applyFill="1" applyBorder="1" applyAlignment="1" applyProtection="1">
      <alignment horizontal="justify" vertical="center" wrapText="1"/>
      <protection locked="0"/>
    </xf>
    <xf numFmtId="0" fontId="0" fillId="39" borderId="31" xfId="0" applyFont="1" applyFill="1" applyBorder="1" applyAlignment="1" applyProtection="1">
      <alignment horizontal="justify" vertical="center" wrapText="1"/>
      <protection locked="0"/>
    </xf>
    <xf numFmtId="0" fontId="10" fillId="42" borderId="94" xfId="0" applyFont="1" applyFill="1" applyBorder="1" applyAlignment="1" applyProtection="1">
      <alignment horizontal="justify" vertical="center" wrapText="1"/>
      <protection locked="0"/>
    </xf>
    <xf numFmtId="0" fontId="10" fillId="42" borderId="31" xfId="0" applyFont="1" applyFill="1" applyBorder="1" applyAlignment="1" applyProtection="1">
      <alignment horizontal="justify" vertical="center" wrapText="1"/>
      <protection locked="0"/>
    </xf>
    <xf numFmtId="0" fontId="0" fillId="29" borderId="31" xfId="0" applyFont="1" applyFill="1" applyBorder="1" applyAlignment="1" applyProtection="1">
      <alignment horizontal="justify" vertical="center" wrapText="1"/>
      <protection locked="0"/>
    </xf>
    <xf numFmtId="3" fontId="0" fillId="39" borderId="52" xfId="0" applyNumberFormat="1" applyFont="1" applyFill="1" applyBorder="1" applyAlignment="1" applyProtection="1">
      <alignment horizontal="justify" vertical="center" wrapText="1"/>
      <protection locked="0"/>
    </xf>
    <xf numFmtId="3" fontId="0" fillId="39" borderId="94" xfId="0" applyNumberFormat="1" applyFont="1" applyFill="1" applyBorder="1" applyAlignment="1" applyProtection="1">
      <alignment horizontal="justify" vertical="center" wrapText="1"/>
      <protection locked="0"/>
    </xf>
    <xf numFmtId="0" fontId="0" fillId="51" borderId="52" xfId="0" applyFont="1" applyFill="1" applyBorder="1" applyAlignment="1" applyProtection="1">
      <alignment horizontal="justify" vertical="center" wrapText="1"/>
      <protection locked="0"/>
    </xf>
    <xf numFmtId="0" fontId="0" fillId="7" borderId="31" xfId="0" applyFont="1" applyFill="1" applyBorder="1" applyAlignment="1" applyProtection="1">
      <alignment horizontal="justify" vertical="center" wrapText="1"/>
      <protection locked="0"/>
    </xf>
    <xf numFmtId="1" fontId="10" fillId="38" borderId="94" xfId="0" applyNumberFormat="1" applyFont="1" applyFill="1" applyBorder="1" applyAlignment="1" applyProtection="1">
      <alignment horizontal="justify" vertical="center" wrapText="1"/>
      <protection locked="0"/>
    </xf>
    <xf numFmtId="0" fontId="10" fillId="103" borderId="94" xfId="0" applyFont="1" applyFill="1" applyBorder="1" applyAlignment="1" applyProtection="1">
      <alignment horizontal="justify" vertical="center" wrapText="1"/>
      <protection locked="0"/>
    </xf>
    <xf numFmtId="0" fontId="10" fillId="103" borderId="9" xfId="0" applyFont="1" applyFill="1" applyBorder="1" applyAlignment="1" applyProtection="1">
      <alignment horizontal="justify" vertical="center" wrapText="1"/>
      <protection locked="0"/>
    </xf>
    <xf numFmtId="0" fontId="0" fillId="51" borderId="31" xfId="0" applyFont="1" applyFill="1" applyBorder="1" applyAlignment="1" applyProtection="1">
      <alignment horizontal="justify" vertical="center" wrapText="1"/>
      <protection locked="0"/>
    </xf>
    <xf numFmtId="0" fontId="10" fillId="38" borderId="9" xfId="0" applyFont="1" applyFill="1" applyBorder="1" applyAlignment="1" applyProtection="1">
      <alignment horizontal="justify" vertical="center" wrapText="1"/>
      <protection locked="0"/>
    </xf>
    <xf numFmtId="0" fontId="10" fillId="38" borderId="30" xfId="0" applyFont="1" applyFill="1" applyBorder="1" applyAlignment="1" applyProtection="1">
      <alignment horizontal="center" vertical="center" wrapText="1"/>
      <protection locked="0"/>
    </xf>
    <xf numFmtId="9" fontId="0" fillId="7" borderId="30" xfId="5" applyFont="1" applyFill="1" applyBorder="1" applyAlignment="1" applyProtection="1">
      <alignment horizontal="left" vertical="center"/>
      <protection locked="0"/>
    </xf>
    <xf numFmtId="198" fontId="0" fillId="7" borderId="30" xfId="13" applyNumberFormat="1" applyFont="1" applyFill="1" applyBorder="1" applyAlignment="1" applyProtection="1">
      <alignment horizontal="left" vertical="center" wrapText="1"/>
      <protection locked="0"/>
    </xf>
    <xf numFmtId="198" fontId="0" fillId="7" borderId="30" xfId="13" applyNumberFormat="1" applyFont="1" applyFill="1" applyBorder="1" applyAlignment="1" applyProtection="1">
      <alignment horizontal="left" vertical="center"/>
      <protection locked="0"/>
    </xf>
    <xf numFmtId="49" fontId="0" fillId="138" borderId="71" xfId="0" applyNumberFormat="1" applyFont="1" applyFill="1" applyBorder="1" applyAlignment="1" applyProtection="1">
      <alignment horizontal="center" wrapText="1"/>
      <protection locked="0"/>
    </xf>
    <xf numFmtId="9" fontId="0" fillId="138" borderId="71" xfId="0" applyNumberFormat="1" applyFont="1" applyFill="1" applyBorder="1" applyAlignment="1" applyProtection="1">
      <alignment horizontal="center" wrapText="1"/>
      <protection locked="0"/>
    </xf>
    <xf numFmtId="0" fontId="85" fillId="138" borderId="71" xfId="0" applyFont="1" applyFill="1" applyBorder="1" applyAlignment="1" applyProtection="1">
      <alignment horizontal="center" wrapText="1"/>
      <protection locked="0"/>
    </xf>
    <xf numFmtId="202" fontId="0" fillId="138" borderId="71" xfId="0" applyNumberFormat="1" applyFont="1" applyFill="1" applyBorder="1" applyAlignment="1" applyProtection="1">
      <alignment horizontal="center" wrapText="1"/>
      <protection locked="0"/>
    </xf>
    <xf numFmtId="49" fontId="0" fillId="139" borderId="71" xfId="0" applyNumberFormat="1" applyFont="1" applyFill="1" applyBorder="1" applyAlignment="1" applyProtection="1">
      <alignment horizontal="center" wrapText="1"/>
      <protection locked="0"/>
    </xf>
    <xf numFmtId="0" fontId="0" fillId="139" borderId="71" xfId="0" applyFont="1" applyFill="1" applyBorder="1" applyAlignment="1" applyProtection="1">
      <alignment horizontal="center" wrapText="1"/>
      <protection locked="0"/>
    </xf>
    <xf numFmtId="0" fontId="84" fillId="139" borderId="203" xfId="0" applyFont="1" applyFill="1" applyBorder="1" applyAlignment="1" applyProtection="1">
      <alignment horizontal="center" wrapText="1"/>
      <protection locked="0"/>
    </xf>
    <xf numFmtId="9" fontId="10" fillId="38" borderId="11" xfId="5" applyFont="1" applyFill="1" applyBorder="1" applyAlignment="1" applyProtection="1">
      <alignment horizontal="center" vertical="center"/>
      <protection locked="0"/>
    </xf>
    <xf numFmtId="9" fontId="10" fillId="38" borderId="179" xfId="5" applyFont="1" applyFill="1" applyBorder="1" applyAlignment="1" applyProtection="1">
      <alignment horizontal="center" vertical="center"/>
      <protection locked="0"/>
    </xf>
    <xf numFmtId="9" fontId="10" fillId="38" borderId="48" xfId="5" applyFont="1" applyFill="1" applyBorder="1" applyAlignment="1" applyProtection="1">
      <alignment horizontal="center" vertical="center"/>
      <protection locked="0"/>
    </xf>
    <xf numFmtId="9" fontId="0" fillId="43" borderId="29" xfId="0" applyNumberFormat="1" applyFont="1" applyFill="1" applyBorder="1" applyAlignment="1" applyProtection="1">
      <alignment horizontal="center" vertical="top" wrapText="1"/>
      <protection locked="0"/>
    </xf>
    <xf numFmtId="9" fontId="0" fillId="42" borderId="11" xfId="0" applyNumberFormat="1" applyFont="1" applyFill="1" applyBorder="1" applyAlignment="1" applyProtection="1">
      <alignment horizontal="center" vertical="top" wrapText="1"/>
      <protection locked="0"/>
    </xf>
    <xf numFmtId="9" fontId="0" fillId="38" borderId="51" xfId="0" applyNumberFormat="1" applyFont="1" applyFill="1" applyBorder="1" applyAlignment="1" applyProtection="1">
      <alignment horizontal="center" vertical="top" wrapText="1"/>
      <protection locked="0"/>
    </xf>
    <xf numFmtId="9" fontId="0" fillId="29" borderId="11" xfId="0" applyNumberFormat="1" applyFont="1" applyFill="1" applyBorder="1" applyAlignment="1" applyProtection="1">
      <alignment horizontal="center" wrapText="1"/>
      <protection locked="0"/>
    </xf>
    <xf numFmtId="9" fontId="0" fillId="29" borderId="11" xfId="0" applyNumberFormat="1" applyFont="1" applyFill="1" applyBorder="1" applyAlignment="1" applyProtection="1">
      <alignment horizontal="center" vertical="top" wrapText="1"/>
      <protection locked="0"/>
    </xf>
    <xf numFmtId="9" fontId="0" fillId="43" borderId="51" xfId="0" applyNumberFormat="1" applyFont="1" applyFill="1" applyBorder="1" applyAlignment="1" applyProtection="1">
      <alignment horizontal="center" vertical="top" wrapText="1"/>
      <protection locked="0"/>
    </xf>
    <xf numFmtId="9" fontId="0" fillId="43" borderId="11" xfId="0" applyNumberFormat="1" applyFont="1" applyFill="1" applyBorder="1" applyAlignment="1" applyProtection="1">
      <alignment horizontal="center" vertical="top" wrapText="1"/>
      <protection locked="0"/>
    </xf>
    <xf numFmtId="9" fontId="0" fillId="51" borderId="51" xfId="0" applyNumberFormat="1" applyFont="1" applyFill="1" applyBorder="1" applyAlignment="1" applyProtection="1">
      <alignment horizontal="center" vertical="top" wrapText="1"/>
      <protection locked="0"/>
    </xf>
    <xf numFmtId="9" fontId="0" fillId="39" borderId="51" xfId="0" applyNumberFormat="1" applyFont="1" applyFill="1" applyBorder="1" applyAlignment="1" applyProtection="1">
      <alignment horizontal="center" wrapText="1"/>
      <protection locked="0"/>
    </xf>
    <xf numFmtId="9" fontId="0" fillId="39" borderId="11" xfId="0" applyNumberFormat="1" applyFont="1" applyFill="1" applyBorder="1" applyAlignment="1" applyProtection="1">
      <alignment horizontal="center" vertical="top" wrapText="1"/>
      <protection locked="0"/>
    </xf>
    <xf numFmtId="0" fontId="11" fillId="42" borderId="11" xfId="0" applyFont="1" applyFill="1" applyBorder="1" applyAlignment="1" applyProtection="1">
      <alignment horizontal="center" vertical="center" wrapText="1"/>
      <protection locked="0"/>
    </xf>
    <xf numFmtId="0" fontId="11" fillId="39" borderId="51" xfId="0" applyFont="1" applyFill="1" applyBorder="1" applyAlignment="1" applyProtection="1">
      <alignment horizontal="center" vertical="center" wrapText="1"/>
      <protection locked="0"/>
    </xf>
    <xf numFmtId="0" fontId="0" fillId="43" borderId="51" xfId="0" applyFont="1" applyFill="1" applyBorder="1" applyAlignment="1" applyProtection="1">
      <alignment horizontal="center" vertical="center" wrapText="1"/>
      <protection locked="0"/>
    </xf>
    <xf numFmtId="0" fontId="0" fillId="43" borderId="11" xfId="0" applyFont="1" applyFill="1" applyBorder="1" applyAlignment="1" applyProtection="1">
      <alignment horizontal="center" vertical="center" wrapText="1"/>
      <protection locked="0"/>
    </xf>
    <xf numFmtId="0" fontId="11" fillId="43" borderId="11" xfId="0" applyFont="1" applyFill="1" applyBorder="1" applyAlignment="1" applyProtection="1">
      <alignment horizontal="center" vertical="center" wrapText="1"/>
      <protection locked="0"/>
    </xf>
    <xf numFmtId="0" fontId="10" fillId="51" borderId="11" xfId="0" applyFont="1" applyFill="1" applyBorder="1" applyAlignment="1" applyProtection="1">
      <alignment horizontal="center" vertical="top" wrapText="1"/>
      <protection locked="0"/>
    </xf>
    <xf numFmtId="9" fontId="11" fillId="41" borderId="60" xfId="0" applyNumberFormat="1" applyFont="1" applyFill="1" applyBorder="1" applyAlignment="1" applyProtection="1">
      <alignment vertical="center" wrapText="1"/>
      <protection locked="0"/>
    </xf>
    <xf numFmtId="0" fontId="0" fillId="39" borderId="51" xfId="2" applyFont="1" applyFill="1" applyBorder="1" applyAlignment="1" applyProtection="1">
      <alignment horizontal="center" vertical="center" wrapText="1"/>
    </xf>
    <xf numFmtId="0" fontId="0" fillId="126" borderId="71" xfId="0" applyNumberFormat="1" applyFont="1" applyFill="1" applyBorder="1" applyAlignment="1" applyProtection="1">
      <alignment horizontal="center"/>
      <protection locked="0"/>
    </xf>
    <xf numFmtId="0" fontId="10" fillId="38" borderId="30" xfId="6" applyFont="1" applyFill="1" applyBorder="1" applyAlignment="1" applyProtection="1">
      <alignment horizontal="center" vertical="center" wrapText="1"/>
      <protection locked="0"/>
    </xf>
    <xf numFmtId="49" fontId="11" fillId="121" borderId="71" xfId="0" applyNumberFormat="1" applyFont="1" applyFill="1" applyBorder="1" applyAlignment="1" applyProtection="1">
      <alignment horizontal="center" wrapText="1"/>
      <protection locked="0"/>
    </xf>
    <xf numFmtId="202" fontId="3" fillId="121" borderId="71" xfId="0" applyNumberFormat="1" applyFont="1" applyFill="1" applyBorder="1" applyAlignment="1" applyProtection="1">
      <alignment horizontal="center" wrapText="1"/>
      <protection locked="0"/>
    </xf>
    <xf numFmtId="0" fontId="11" fillId="121" borderId="71" xfId="0" applyFont="1" applyFill="1" applyBorder="1" applyAlignment="1" applyProtection="1">
      <alignment horizontal="center" wrapText="1"/>
      <protection locked="0"/>
    </xf>
    <xf numFmtId="202" fontId="11" fillId="121" borderId="71" xfId="0" applyNumberFormat="1" applyFont="1" applyFill="1" applyBorder="1" applyAlignment="1" applyProtection="1">
      <alignment horizontal="center" wrapText="1"/>
      <protection locked="0"/>
    </xf>
    <xf numFmtId="202" fontId="8" fillId="121" borderId="71" xfId="0" applyNumberFormat="1" applyFont="1" applyFill="1" applyBorder="1" applyAlignment="1" applyProtection="1">
      <alignment horizontal="center" wrapText="1"/>
      <protection locked="0"/>
    </xf>
    <xf numFmtId="49" fontId="11" fillId="122" borderId="71" xfId="0" applyNumberFormat="1" applyFont="1" applyFill="1" applyBorder="1" applyAlignment="1" applyProtection="1">
      <alignment horizontal="center" wrapText="1"/>
      <protection locked="0"/>
    </xf>
    <xf numFmtId="0" fontId="11" fillId="122" borderId="71" xfId="0" applyFont="1" applyFill="1" applyBorder="1" applyAlignment="1" applyProtection="1">
      <alignment horizontal="center" wrapText="1"/>
      <protection locked="0"/>
    </xf>
    <xf numFmtId="202" fontId="11" fillId="122" borderId="71" xfId="0" applyNumberFormat="1" applyFont="1" applyFill="1" applyBorder="1" applyAlignment="1" applyProtection="1">
      <alignment horizontal="center" wrapText="1"/>
      <protection locked="0"/>
    </xf>
    <xf numFmtId="202" fontId="8" fillId="122" borderId="71" xfId="0" applyNumberFormat="1" applyFont="1" applyFill="1" applyBorder="1" applyAlignment="1" applyProtection="1">
      <alignment horizontal="center" wrapText="1"/>
      <protection locked="0"/>
    </xf>
    <xf numFmtId="9" fontId="11" fillId="122" borderId="71" xfId="0" applyNumberFormat="1" applyFont="1" applyFill="1" applyBorder="1" applyAlignment="1" applyProtection="1">
      <alignment horizontal="center" wrapText="1"/>
      <protection locked="0"/>
    </xf>
    <xf numFmtId="0" fontId="11" fillId="122" borderId="71" xfId="0" applyFont="1" applyFill="1" applyBorder="1" applyAlignment="1" applyProtection="1">
      <alignment horizontal="center"/>
      <protection locked="0"/>
    </xf>
    <xf numFmtId="202" fontId="7" fillId="122" borderId="71" xfId="0" applyNumberFormat="1" applyFont="1" applyFill="1" applyBorder="1" applyAlignment="1" applyProtection="1">
      <alignment horizontal="center" wrapText="1"/>
      <protection locked="0"/>
    </xf>
    <xf numFmtId="49" fontId="11" fillId="123" borderId="71" xfId="0" applyNumberFormat="1" applyFont="1" applyFill="1" applyBorder="1" applyAlignment="1" applyProtection="1">
      <alignment horizontal="center" wrapText="1"/>
      <protection locked="0"/>
    </xf>
    <xf numFmtId="0" fontId="11" fillId="123" borderId="71" xfId="0" applyFont="1" applyFill="1" applyBorder="1" applyAlignment="1" applyProtection="1">
      <alignment horizontal="center" wrapText="1"/>
      <protection locked="0"/>
    </xf>
    <xf numFmtId="202" fontId="11" fillId="123" borderId="71" xfId="0" applyNumberFormat="1" applyFont="1" applyFill="1" applyBorder="1" applyAlignment="1" applyProtection="1">
      <alignment horizontal="center" wrapText="1"/>
      <protection locked="0"/>
    </xf>
    <xf numFmtId="202" fontId="8" fillId="123" borderId="71" xfId="0" applyNumberFormat="1" applyFont="1" applyFill="1" applyBorder="1" applyAlignment="1" applyProtection="1">
      <alignment horizontal="center" wrapText="1"/>
      <protection locked="0"/>
    </xf>
    <xf numFmtId="49" fontId="10" fillId="124" borderId="71" xfId="0" applyNumberFormat="1" applyFont="1" applyFill="1" applyBorder="1" applyAlignment="1" applyProtection="1">
      <alignment horizontal="center" wrapText="1"/>
      <protection locked="0"/>
    </xf>
    <xf numFmtId="202" fontId="10" fillId="124" borderId="71" xfId="0" applyNumberFormat="1" applyFont="1" applyFill="1" applyBorder="1" applyAlignment="1" applyProtection="1">
      <alignment horizontal="center" wrapText="1"/>
      <protection locked="0"/>
    </xf>
    <xf numFmtId="202" fontId="7" fillId="124" borderId="71" xfId="0" applyNumberFormat="1" applyFont="1" applyFill="1" applyBorder="1" applyAlignment="1" applyProtection="1">
      <alignment horizontal="center" wrapText="1"/>
      <protection locked="0"/>
    </xf>
    <xf numFmtId="202" fontId="3" fillId="124" borderId="71" xfId="0" applyNumberFormat="1" applyFont="1" applyFill="1" applyBorder="1" applyAlignment="1" applyProtection="1">
      <alignment horizontal="center" wrapText="1"/>
      <protection locked="0"/>
    </xf>
    <xf numFmtId="0" fontId="11" fillId="124" borderId="71" xfId="0" applyFont="1" applyFill="1" applyBorder="1" applyAlignment="1" applyProtection="1">
      <alignment horizontal="center" wrapText="1"/>
      <protection locked="0"/>
    </xf>
    <xf numFmtId="0" fontId="11" fillId="124" borderId="77" xfId="0" applyFont="1" applyFill="1" applyBorder="1" applyAlignment="1" applyProtection="1">
      <alignment horizontal="center" wrapText="1"/>
      <protection locked="0"/>
    </xf>
    <xf numFmtId="0" fontId="11" fillId="125" borderId="71" xfId="0" applyFont="1" applyFill="1" applyBorder="1" applyAlignment="1" applyProtection="1">
      <alignment horizontal="center"/>
      <protection locked="0"/>
    </xf>
    <xf numFmtId="0" fontId="11" fillId="124" borderId="77" xfId="0" applyFont="1" applyFill="1" applyBorder="1" applyAlignment="1" applyProtection="1">
      <alignment horizontal="center"/>
      <protection locked="0"/>
    </xf>
    <xf numFmtId="0" fontId="0" fillId="133" borderId="179" xfId="0" applyFont="1" applyFill="1" applyBorder="1" applyAlignment="1" applyProtection="1">
      <alignment horizontal="center" vertical="center" wrapText="1"/>
      <protection locked="0"/>
    </xf>
    <xf numFmtId="202" fontId="3" fillId="126" borderId="71" xfId="0" applyNumberFormat="1" applyFont="1" applyFill="1" applyBorder="1" applyAlignment="1" applyProtection="1">
      <alignment horizontal="center" wrapText="1"/>
      <protection locked="0"/>
    </xf>
    <xf numFmtId="49" fontId="11" fillId="126" borderId="71" xfId="0" applyNumberFormat="1" applyFont="1" applyFill="1" applyBorder="1" applyAlignment="1" applyProtection="1">
      <alignment horizontal="center" wrapText="1"/>
      <protection locked="0"/>
    </xf>
    <xf numFmtId="0" fontId="11" fillId="126" borderId="71" xfId="0" applyFont="1" applyFill="1" applyBorder="1" applyAlignment="1" applyProtection="1">
      <alignment horizontal="center" wrapText="1"/>
      <protection locked="0"/>
    </xf>
    <xf numFmtId="202" fontId="11" fillId="126" borderId="71" xfId="0" applyNumberFormat="1" applyFont="1" applyFill="1" applyBorder="1" applyAlignment="1" applyProtection="1">
      <alignment horizontal="center" wrapText="1"/>
      <protection locked="0"/>
    </xf>
    <xf numFmtId="202" fontId="8" fillId="126" borderId="71" xfId="0" applyNumberFormat="1" applyFont="1" applyFill="1" applyBorder="1" applyAlignment="1" applyProtection="1">
      <alignment horizontal="center" wrapText="1"/>
      <protection locked="0"/>
    </xf>
    <xf numFmtId="49" fontId="11" fillId="127" borderId="71" xfId="0" applyNumberFormat="1" applyFont="1" applyFill="1" applyBorder="1" applyAlignment="1" applyProtection="1">
      <alignment horizontal="center" wrapText="1"/>
      <protection locked="0"/>
    </xf>
    <xf numFmtId="2" fontId="11" fillId="127" borderId="75" xfId="0" applyNumberFormat="1" applyFont="1" applyFill="1" applyBorder="1" applyAlignment="1" applyProtection="1">
      <alignment horizontal="center" wrapText="1"/>
      <protection locked="0"/>
    </xf>
    <xf numFmtId="2" fontId="11" fillId="127" borderId="71" xfId="0" applyNumberFormat="1" applyFont="1" applyFill="1" applyBorder="1" applyAlignment="1" applyProtection="1">
      <alignment horizontal="center" wrapText="1"/>
      <protection locked="0"/>
    </xf>
    <xf numFmtId="202" fontId="11" fillId="127" borderId="71" xfId="0" applyNumberFormat="1" applyFont="1" applyFill="1" applyBorder="1" applyAlignment="1" applyProtection="1">
      <alignment horizontal="center" wrapText="1"/>
      <protection locked="0"/>
    </xf>
    <xf numFmtId="202" fontId="11" fillId="127" borderId="75" xfId="0" applyNumberFormat="1" applyFont="1" applyFill="1" applyBorder="1" applyAlignment="1" applyProtection="1">
      <alignment horizontal="center" wrapText="1"/>
      <protection locked="0"/>
    </xf>
    <xf numFmtId="202" fontId="8" fillId="127" borderId="75" xfId="0" applyNumberFormat="1" applyFont="1" applyFill="1" applyBorder="1" applyAlignment="1" applyProtection="1">
      <alignment horizontal="center" wrapText="1"/>
      <protection locked="0"/>
    </xf>
    <xf numFmtId="202" fontId="11" fillId="127" borderId="200" xfId="0" applyNumberFormat="1" applyFont="1" applyFill="1" applyBorder="1" applyAlignment="1" applyProtection="1">
      <alignment horizontal="center" wrapText="1"/>
      <protection locked="0"/>
    </xf>
    <xf numFmtId="2" fontId="11" fillId="127" borderId="200" xfId="0" applyNumberFormat="1" applyFont="1" applyFill="1" applyBorder="1" applyAlignment="1" applyProtection="1">
      <alignment horizontal="center" wrapText="1"/>
      <protection locked="0"/>
    </xf>
    <xf numFmtId="10" fontId="11" fillId="127" borderId="75" xfId="0" applyNumberFormat="1" applyFont="1" applyFill="1" applyBorder="1" applyAlignment="1" applyProtection="1">
      <alignment horizontal="center" wrapText="1"/>
      <protection locked="0"/>
    </xf>
    <xf numFmtId="0" fontId="11" fillId="127" borderId="77" xfId="0" applyFont="1" applyFill="1" applyBorder="1" applyAlignment="1" applyProtection="1">
      <alignment horizontal="center" wrapText="1"/>
      <protection locked="0"/>
    </xf>
    <xf numFmtId="0" fontId="11" fillId="127" borderId="75" xfId="0" applyFont="1" applyFill="1" applyBorder="1" applyAlignment="1" applyProtection="1">
      <alignment horizontal="center" wrapText="1"/>
      <protection locked="0"/>
    </xf>
    <xf numFmtId="10" fontId="11" fillId="127" borderId="71" xfId="0" applyNumberFormat="1" applyFont="1" applyFill="1" applyBorder="1" applyAlignment="1" applyProtection="1">
      <alignment horizontal="center" wrapText="1"/>
      <protection locked="0"/>
    </xf>
    <xf numFmtId="49" fontId="0" fillId="127" borderId="77" xfId="0" applyNumberFormat="1" applyFont="1" applyFill="1" applyBorder="1" applyAlignment="1" applyProtection="1">
      <alignment horizontal="center" wrapText="1"/>
      <protection locked="0"/>
    </xf>
    <xf numFmtId="49" fontId="11" fillId="127" borderId="77" xfId="0" applyNumberFormat="1" applyFont="1" applyFill="1" applyBorder="1" applyAlignment="1" applyProtection="1">
      <alignment horizontal="center" wrapText="1"/>
      <protection locked="0"/>
    </xf>
    <xf numFmtId="49" fontId="11" fillId="140" borderId="77" xfId="0" applyNumberFormat="1" applyFont="1" applyFill="1" applyBorder="1" applyAlignment="1" applyProtection="1">
      <alignment horizontal="center" wrapText="1"/>
      <protection locked="0"/>
    </xf>
    <xf numFmtId="49" fontId="11" fillId="128" borderId="71" xfId="0" applyNumberFormat="1" applyFont="1" applyFill="1" applyBorder="1" applyAlignment="1" applyProtection="1">
      <alignment horizontal="center" wrapText="1"/>
      <protection locked="0"/>
    </xf>
    <xf numFmtId="2" fontId="0" fillId="127" borderId="201" xfId="0" applyNumberFormat="1" applyFont="1" applyFill="1" applyBorder="1" applyAlignment="1" applyProtection="1">
      <alignment horizontal="center" wrapText="1"/>
      <protection locked="0"/>
    </xf>
    <xf numFmtId="2" fontId="11" fillId="127" borderId="77" xfId="0" applyNumberFormat="1" applyFont="1" applyFill="1" applyBorder="1" applyAlignment="1" applyProtection="1">
      <alignment horizontal="center" wrapText="1"/>
      <protection locked="0"/>
    </xf>
    <xf numFmtId="0" fontId="11" fillId="127" borderId="201" xfId="0" applyNumberFormat="1" applyFont="1" applyFill="1" applyBorder="1" applyAlignment="1" applyProtection="1">
      <alignment horizontal="center" wrapText="1"/>
      <protection locked="0"/>
    </xf>
    <xf numFmtId="202" fontId="11" fillId="127" borderId="201" xfId="0" applyNumberFormat="1" applyFont="1" applyFill="1" applyBorder="1" applyAlignment="1" applyProtection="1">
      <alignment horizontal="center" wrapText="1"/>
      <protection locked="0"/>
    </xf>
    <xf numFmtId="202" fontId="8" fillId="127" borderId="201" xfId="0" applyNumberFormat="1" applyFont="1" applyFill="1" applyBorder="1" applyAlignment="1" applyProtection="1">
      <alignment horizontal="center" wrapText="1"/>
      <protection locked="0"/>
    </xf>
    <xf numFmtId="2" fontId="11" fillId="127" borderId="0" xfId="0" applyNumberFormat="1" applyFont="1" applyFill="1" applyAlignment="1" applyProtection="1">
      <alignment horizontal="center" wrapText="1"/>
      <protection locked="0"/>
    </xf>
    <xf numFmtId="2" fontId="11" fillId="127" borderId="201" xfId="0" applyNumberFormat="1" applyFont="1" applyFill="1" applyBorder="1" applyAlignment="1" applyProtection="1">
      <alignment horizontal="center" wrapText="1"/>
      <protection locked="0"/>
    </xf>
    <xf numFmtId="10" fontId="11" fillId="140" borderId="201" xfId="0" applyNumberFormat="1" applyFont="1" applyFill="1" applyBorder="1" applyAlignment="1" applyProtection="1">
      <alignment horizontal="center" wrapText="1"/>
      <protection locked="0"/>
    </xf>
    <xf numFmtId="0" fontId="11" fillId="140" borderId="77" xfId="0" applyFont="1" applyFill="1" applyBorder="1" applyAlignment="1" applyProtection="1">
      <alignment horizontal="center" wrapText="1"/>
      <protection locked="0"/>
    </xf>
    <xf numFmtId="202" fontId="11" fillId="140" borderId="77" xfId="0" applyNumberFormat="1" applyFont="1" applyFill="1" applyBorder="1" applyAlignment="1" applyProtection="1">
      <alignment horizontal="center" wrapText="1"/>
      <protection locked="0"/>
    </xf>
    <xf numFmtId="202" fontId="11" fillId="140" borderId="201" xfId="0" applyNumberFormat="1" applyFont="1" applyFill="1" applyBorder="1" applyAlignment="1" applyProtection="1">
      <alignment horizontal="center" wrapText="1"/>
      <protection locked="0"/>
    </xf>
    <xf numFmtId="202" fontId="8" fillId="140" borderId="201" xfId="0" applyNumberFormat="1" applyFont="1" applyFill="1" applyBorder="1" applyAlignment="1" applyProtection="1">
      <alignment horizontal="center" wrapText="1"/>
      <protection locked="0"/>
    </xf>
    <xf numFmtId="0" fontId="11" fillId="140" borderId="201" xfId="0" applyFont="1" applyFill="1" applyBorder="1" applyAlignment="1" applyProtection="1">
      <alignment horizontal="center" wrapText="1"/>
      <protection locked="0"/>
    </xf>
    <xf numFmtId="10" fontId="11" fillId="140" borderId="71" xfId="0" applyNumberFormat="1" applyFont="1" applyFill="1" applyBorder="1" applyAlignment="1" applyProtection="1">
      <alignment horizontal="center" wrapText="1"/>
      <protection locked="0"/>
    </xf>
    <xf numFmtId="2" fontId="11" fillId="128" borderId="75" xfId="0" applyNumberFormat="1" applyFont="1" applyFill="1" applyBorder="1" applyAlignment="1" applyProtection="1">
      <alignment horizontal="center" wrapText="1"/>
      <protection locked="0"/>
    </xf>
    <xf numFmtId="2" fontId="11" fillId="128" borderId="77" xfId="0" applyNumberFormat="1" applyFont="1" applyFill="1" applyBorder="1" applyAlignment="1" applyProtection="1">
      <alignment horizontal="center" wrapText="1"/>
      <protection locked="0"/>
    </xf>
    <xf numFmtId="202" fontId="11" fillId="128" borderId="75" xfId="0" applyNumberFormat="1" applyFont="1" applyFill="1" applyBorder="1" applyAlignment="1" applyProtection="1">
      <alignment horizontal="center" wrapText="1"/>
      <protection locked="0"/>
    </xf>
    <xf numFmtId="202" fontId="8" fillId="128" borderId="75" xfId="0" applyNumberFormat="1" applyFont="1" applyFill="1" applyBorder="1" applyAlignment="1" applyProtection="1">
      <alignment horizontal="center" wrapText="1"/>
      <protection locked="0"/>
    </xf>
    <xf numFmtId="2" fontId="11" fillId="128" borderId="71" xfId="0" applyNumberFormat="1" applyFont="1" applyFill="1" applyBorder="1" applyAlignment="1" applyProtection="1">
      <alignment horizontal="center" wrapText="1"/>
      <protection locked="0"/>
    </xf>
    <xf numFmtId="202" fontId="11" fillId="128" borderId="71" xfId="0" applyNumberFormat="1" applyFont="1" applyFill="1" applyBorder="1" applyAlignment="1" applyProtection="1">
      <alignment horizontal="center" wrapText="1"/>
      <protection locked="0"/>
    </xf>
    <xf numFmtId="49" fontId="11" fillId="132" borderId="71" xfId="0" applyNumberFormat="1" applyFont="1" applyFill="1" applyBorder="1" applyAlignment="1" applyProtection="1">
      <alignment horizontal="center" wrapText="1"/>
      <protection locked="0"/>
    </xf>
    <xf numFmtId="49" fontId="11" fillId="129" borderId="77" xfId="0" applyNumberFormat="1" applyFont="1" applyFill="1" applyBorder="1" applyAlignment="1" applyProtection="1">
      <alignment horizontal="center" wrapText="1"/>
      <protection locked="0"/>
    </xf>
    <xf numFmtId="49" fontId="11" fillId="129" borderId="71" xfId="0" applyNumberFormat="1" applyFont="1" applyFill="1" applyBorder="1" applyAlignment="1" applyProtection="1">
      <alignment horizontal="center" wrapText="1"/>
      <protection locked="0"/>
    </xf>
    <xf numFmtId="49" fontId="11" fillId="131" borderId="77" xfId="0" applyNumberFormat="1" applyFont="1" applyFill="1" applyBorder="1" applyAlignment="1" applyProtection="1">
      <alignment horizontal="center" wrapText="1"/>
      <protection locked="0"/>
    </xf>
    <xf numFmtId="2" fontId="11" fillId="132" borderId="75" xfId="0" applyNumberFormat="1" applyFont="1" applyFill="1" applyBorder="1" applyAlignment="1" applyProtection="1">
      <alignment horizontal="center" wrapText="1"/>
      <protection locked="0"/>
    </xf>
    <xf numFmtId="2" fontId="11" fillId="132" borderId="77" xfId="0" applyNumberFormat="1" applyFont="1" applyFill="1" applyBorder="1" applyAlignment="1" applyProtection="1">
      <alignment horizontal="center" wrapText="1"/>
      <protection locked="0"/>
    </xf>
    <xf numFmtId="202" fontId="11" fillId="132" borderId="75" xfId="0" applyNumberFormat="1" applyFont="1" applyFill="1" applyBorder="1" applyAlignment="1" applyProtection="1">
      <alignment horizontal="center" wrapText="1"/>
      <protection locked="0"/>
    </xf>
    <xf numFmtId="202" fontId="11" fillId="132" borderId="201" xfId="0" applyNumberFormat="1" applyFont="1" applyFill="1" applyBorder="1" applyAlignment="1" applyProtection="1">
      <alignment horizontal="center" wrapText="1"/>
      <protection locked="0"/>
    </xf>
    <xf numFmtId="202" fontId="8" fillId="132" borderId="71" xfId="0" applyNumberFormat="1" applyFont="1" applyFill="1" applyBorder="1" applyAlignment="1" applyProtection="1">
      <alignment horizontal="center" wrapText="1"/>
      <protection locked="0"/>
    </xf>
    <xf numFmtId="2" fontId="11" fillId="132" borderId="71" xfId="0" applyNumberFormat="1" applyFont="1" applyFill="1" applyBorder="1" applyAlignment="1" applyProtection="1">
      <alignment horizontal="center" wrapText="1"/>
      <protection locked="0"/>
    </xf>
    <xf numFmtId="2" fontId="11" fillId="129" borderId="201" xfId="0" applyNumberFormat="1" applyFont="1" applyFill="1" applyBorder="1" applyAlignment="1" applyProtection="1">
      <alignment horizontal="center" wrapText="1"/>
      <protection locked="0"/>
    </xf>
    <xf numFmtId="2" fontId="11" fillId="129" borderId="77" xfId="0" applyNumberFormat="1" applyFont="1" applyFill="1" applyBorder="1" applyAlignment="1" applyProtection="1">
      <alignment horizontal="center" wrapText="1"/>
      <protection locked="0"/>
    </xf>
    <xf numFmtId="202" fontId="11" fillId="129" borderId="201" xfId="0" applyNumberFormat="1" applyFont="1" applyFill="1" applyBorder="1" applyAlignment="1" applyProtection="1">
      <alignment horizontal="center" wrapText="1"/>
      <protection locked="0"/>
    </xf>
    <xf numFmtId="202" fontId="8" fillId="129" borderId="77" xfId="0" applyNumberFormat="1" applyFont="1" applyFill="1" applyBorder="1" applyAlignment="1" applyProtection="1">
      <alignment horizontal="center" wrapText="1"/>
      <protection locked="0"/>
    </xf>
    <xf numFmtId="202" fontId="11" fillId="129" borderId="71" xfId="0" applyNumberFormat="1" applyFont="1" applyFill="1" applyBorder="1" applyAlignment="1" applyProtection="1">
      <alignment horizontal="center"/>
      <protection locked="0"/>
    </xf>
    <xf numFmtId="202" fontId="11" fillId="129" borderId="75" xfId="0" applyNumberFormat="1" applyFont="1" applyFill="1" applyBorder="1" applyAlignment="1" applyProtection="1">
      <alignment horizontal="center"/>
      <protection locked="0"/>
    </xf>
    <xf numFmtId="2" fontId="11" fillId="129" borderId="71" xfId="0" applyNumberFormat="1" applyFont="1" applyFill="1" applyBorder="1" applyAlignment="1" applyProtection="1">
      <alignment horizontal="center" wrapText="1"/>
      <protection locked="0"/>
    </xf>
    <xf numFmtId="202" fontId="8" fillId="129" borderId="75" xfId="0" applyNumberFormat="1" applyFont="1" applyFill="1" applyBorder="1" applyAlignment="1" applyProtection="1">
      <alignment horizontal="center" wrapText="1"/>
      <protection locked="0"/>
    </xf>
    <xf numFmtId="202" fontId="11" fillId="129" borderId="202" xfId="0" applyNumberFormat="1" applyFont="1" applyFill="1" applyBorder="1" applyAlignment="1" applyProtection="1">
      <alignment horizontal="center" wrapText="1"/>
      <protection locked="0"/>
    </xf>
    <xf numFmtId="202" fontId="11" fillId="129" borderId="71" xfId="0" applyNumberFormat="1" applyFont="1" applyFill="1" applyBorder="1" applyAlignment="1" applyProtection="1">
      <alignment horizontal="center" wrapText="1"/>
      <protection locked="0"/>
    </xf>
    <xf numFmtId="202" fontId="11" fillId="129" borderId="75" xfId="0" applyNumberFormat="1" applyFont="1" applyFill="1" applyBorder="1" applyAlignment="1" applyProtection="1">
      <alignment horizontal="center" wrapText="1"/>
      <protection locked="0"/>
    </xf>
    <xf numFmtId="2" fontId="11" fillId="129" borderId="75" xfId="0" applyNumberFormat="1" applyFont="1" applyFill="1" applyBorder="1" applyAlignment="1" applyProtection="1">
      <alignment horizontal="center" wrapText="1"/>
      <protection locked="0"/>
    </xf>
    <xf numFmtId="202" fontId="8" fillId="129" borderId="71" xfId="0" applyNumberFormat="1" applyFont="1" applyFill="1" applyBorder="1" applyAlignment="1" applyProtection="1">
      <alignment horizontal="center" wrapText="1"/>
      <protection locked="0"/>
    </xf>
    <xf numFmtId="202" fontId="11" fillId="129" borderId="77" xfId="0" applyNumberFormat="1" applyFont="1" applyFill="1" applyBorder="1" applyAlignment="1" applyProtection="1">
      <alignment horizontal="center" wrapText="1"/>
      <protection locked="0"/>
    </xf>
    <xf numFmtId="2" fontId="11" fillId="131" borderId="201" xfId="0" applyNumberFormat="1" applyFont="1" applyFill="1" applyBorder="1" applyAlignment="1" applyProtection="1">
      <alignment horizontal="center" wrapText="1"/>
      <protection locked="0"/>
    </xf>
    <xf numFmtId="2" fontId="11" fillId="131" borderId="77" xfId="0" applyNumberFormat="1" applyFont="1" applyFill="1" applyBorder="1" applyAlignment="1" applyProtection="1">
      <alignment horizontal="center" wrapText="1"/>
      <protection locked="0"/>
    </xf>
    <xf numFmtId="202" fontId="11" fillId="131" borderId="77" xfId="0" applyNumberFormat="1" applyFont="1" applyFill="1" applyBorder="1" applyAlignment="1" applyProtection="1">
      <alignment horizontal="center" wrapText="1"/>
      <protection locked="0"/>
    </xf>
    <xf numFmtId="202" fontId="11" fillId="131" borderId="201" xfId="0" applyNumberFormat="1" applyFont="1" applyFill="1" applyBorder="1" applyAlignment="1" applyProtection="1">
      <alignment horizontal="center" wrapText="1"/>
      <protection locked="0"/>
    </xf>
    <xf numFmtId="2" fontId="11" fillId="131" borderId="71" xfId="0" applyNumberFormat="1" applyFont="1" applyFill="1" applyBorder="1" applyAlignment="1" applyProtection="1">
      <alignment horizontal="center" wrapText="1"/>
      <protection locked="0"/>
    </xf>
    <xf numFmtId="49" fontId="11" fillId="130" borderId="77" xfId="0" applyNumberFormat="1" applyFont="1" applyFill="1" applyBorder="1" applyAlignment="1" applyProtection="1">
      <alignment horizontal="center" wrapText="1"/>
      <protection locked="0"/>
    </xf>
    <xf numFmtId="2" fontId="11" fillId="130" borderId="201" xfId="0" applyNumberFormat="1" applyFont="1" applyFill="1" applyBorder="1" applyAlignment="1" applyProtection="1">
      <alignment horizontal="center" wrapText="1"/>
      <protection locked="0"/>
    </xf>
    <xf numFmtId="2" fontId="11" fillId="130" borderId="77" xfId="0" applyNumberFormat="1" applyFont="1" applyFill="1" applyBorder="1" applyAlignment="1" applyProtection="1">
      <alignment horizontal="center" wrapText="1"/>
      <protection locked="0"/>
    </xf>
    <xf numFmtId="202" fontId="11" fillId="130" borderId="201" xfId="0" applyNumberFormat="1" applyFont="1" applyFill="1" applyBorder="1" applyAlignment="1" applyProtection="1">
      <alignment horizontal="center" wrapText="1"/>
      <protection locked="0"/>
    </xf>
    <xf numFmtId="2" fontId="11" fillId="130" borderId="71" xfId="0" applyNumberFormat="1" applyFont="1" applyFill="1" applyBorder="1" applyAlignment="1" applyProtection="1">
      <alignment horizontal="center" wrapText="1"/>
      <protection locked="0"/>
    </xf>
    <xf numFmtId="10" fontId="11" fillId="130" borderId="201" xfId="0" applyNumberFormat="1" applyFont="1" applyFill="1" applyBorder="1" applyAlignment="1" applyProtection="1">
      <alignment horizontal="center" wrapText="1"/>
      <protection locked="0"/>
    </xf>
    <xf numFmtId="0" fontId="11" fillId="130" borderId="77" xfId="0" applyFont="1" applyFill="1" applyBorder="1" applyAlignment="1" applyProtection="1">
      <alignment horizontal="center" wrapText="1"/>
      <protection locked="0"/>
    </xf>
    <xf numFmtId="0" fontId="11" fillId="130" borderId="201" xfId="0" applyFont="1" applyFill="1" applyBorder="1" applyAlignment="1" applyProtection="1">
      <alignment horizontal="center" wrapText="1"/>
      <protection locked="0"/>
    </xf>
    <xf numFmtId="10" fontId="11" fillId="130" borderId="71" xfId="0" applyNumberFormat="1" applyFont="1" applyFill="1" applyBorder="1" applyAlignment="1" applyProtection="1">
      <alignment horizontal="center" wrapText="1"/>
      <protection locked="0"/>
    </xf>
    <xf numFmtId="202" fontId="11" fillId="130" borderId="71" xfId="0" applyNumberFormat="1" applyFont="1" applyFill="1" applyBorder="1" applyAlignment="1" applyProtection="1">
      <alignment horizontal="center"/>
      <protection locked="0"/>
    </xf>
    <xf numFmtId="202" fontId="11" fillId="130" borderId="75" xfId="0" applyNumberFormat="1" applyFont="1" applyFill="1" applyBorder="1" applyAlignment="1" applyProtection="1">
      <alignment horizontal="center"/>
      <protection locked="0"/>
    </xf>
    <xf numFmtId="49" fontId="11" fillId="130" borderId="71" xfId="0" applyNumberFormat="1" applyFont="1" applyFill="1" applyBorder="1" applyAlignment="1" applyProtection="1">
      <alignment horizontal="center" wrapText="1"/>
      <protection locked="0"/>
    </xf>
    <xf numFmtId="2" fontId="11" fillId="130" borderId="75" xfId="0" applyNumberFormat="1" applyFont="1" applyFill="1" applyBorder="1" applyAlignment="1" applyProtection="1">
      <alignment horizontal="center" wrapText="1"/>
      <protection locked="0"/>
    </xf>
    <xf numFmtId="202" fontId="11" fillId="130" borderId="71" xfId="0" applyNumberFormat="1" applyFont="1" applyFill="1" applyBorder="1" applyAlignment="1" applyProtection="1">
      <alignment horizontal="center" wrapText="1"/>
      <protection locked="0"/>
    </xf>
    <xf numFmtId="202" fontId="11" fillId="130" borderId="75" xfId="0" applyNumberFormat="1" applyFont="1" applyFill="1" applyBorder="1" applyAlignment="1" applyProtection="1">
      <alignment horizontal="center" wrapText="1"/>
      <protection locked="0"/>
    </xf>
    <xf numFmtId="0" fontId="0" fillId="121" borderId="187" xfId="0" applyFont="1" applyFill="1" applyBorder="1" applyAlignment="1" applyProtection="1">
      <alignment horizontal="center" vertical="center" wrapText="1"/>
      <protection locked="0"/>
    </xf>
    <xf numFmtId="0" fontId="10" fillId="121" borderId="194" xfId="0" applyFont="1" applyFill="1" applyBorder="1" applyAlignment="1" applyProtection="1">
      <alignment horizontal="center" vertical="center" wrapText="1"/>
      <protection locked="0"/>
    </xf>
    <xf numFmtId="0" fontId="10" fillId="121" borderId="117" xfId="0" applyFont="1" applyFill="1" applyBorder="1" applyAlignment="1" applyProtection="1">
      <alignment horizontal="center" vertical="center" wrapText="1"/>
      <protection locked="0"/>
    </xf>
    <xf numFmtId="0" fontId="10" fillId="121" borderId="118" xfId="0" applyFont="1" applyFill="1" applyBorder="1" applyAlignment="1" applyProtection="1">
      <alignment horizontal="center" vertical="center" wrapText="1"/>
      <protection locked="0"/>
    </xf>
    <xf numFmtId="0" fontId="10" fillId="121" borderId="188" xfId="0" applyFont="1" applyFill="1" applyBorder="1" applyAlignment="1" applyProtection="1">
      <alignment horizontal="center" vertical="center" wrapText="1"/>
      <protection locked="0"/>
    </xf>
    <xf numFmtId="0" fontId="10" fillId="121" borderId="189" xfId="0" applyFont="1" applyFill="1" applyBorder="1" applyAlignment="1" applyProtection="1">
      <alignment horizontal="center" vertical="center" wrapText="1"/>
      <protection locked="0"/>
    </xf>
    <xf numFmtId="0" fontId="10" fillId="121" borderId="187" xfId="0" applyFont="1" applyFill="1" applyBorder="1" applyAlignment="1" applyProtection="1">
      <alignment horizontal="center" vertical="center" wrapText="1"/>
      <protection locked="0"/>
    </xf>
    <xf numFmtId="0" fontId="10" fillId="121" borderId="190" xfId="0" applyFont="1" applyFill="1" applyBorder="1" applyAlignment="1" applyProtection="1">
      <alignment horizontal="center" vertical="center" wrapText="1"/>
      <protection locked="0"/>
    </xf>
    <xf numFmtId="0" fontId="10" fillId="121" borderId="191" xfId="0" applyFont="1" applyFill="1" applyBorder="1" applyAlignment="1" applyProtection="1">
      <alignment horizontal="center" vertical="center" wrapText="1"/>
      <protection locked="0"/>
    </xf>
    <xf numFmtId="0" fontId="10" fillId="121" borderId="192" xfId="0" applyFont="1" applyFill="1" applyBorder="1" applyAlignment="1" applyProtection="1">
      <alignment horizontal="center" vertical="center" wrapText="1"/>
      <protection locked="0"/>
    </xf>
    <xf numFmtId="3" fontId="0" fillId="38" borderId="11" xfId="0" applyNumberFormat="1" applyFont="1" applyFill="1" applyBorder="1" applyAlignment="1" applyProtection="1">
      <alignment horizontal="center" vertical="center" wrapText="1"/>
      <protection locked="0"/>
    </xf>
    <xf numFmtId="3" fontId="0" fillId="38" borderId="94" xfId="0" applyNumberFormat="1" applyFont="1" applyFill="1" applyBorder="1" applyAlignment="1" applyProtection="1">
      <alignment horizontal="center" vertical="center" wrapText="1"/>
      <protection locked="0"/>
    </xf>
    <xf numFmtId="0" fontId="10" fillId="121" borderId="195" xfId="0" applyFont="1" applyFill="1" applyBorder="1" applyAlignment="1" applyProtection="1">
      <alignment horizontal="center" vertical="center" wrapText="1"/>
      <protection locked="0"/>
    </xf>
    <xf numFmtId="0" fontId="10" fillId="121" borderId="196" xfId="0" applyFont="1" applyFill="1" applyBorder="1" applyAlignment="1" applyProtection="1">
      <alignment horizontal="center" vertical="center" wrapText="1"/>
      <protection locked="0"/>
    </xf>
    <xf numFmtId="202" fontId="10" fillId="121" borderId="197" xfId="0" applyNumberFormat="1" applyFont="1" applyFill="1" applyBorder="1" applyAlignment="1" applyProtection="1">
      <alignment horizontal="center" vertical="center" wrapText="1"/>
      <protection locked="0"/>
    </xf>
    <xf numFmtId="202" fontId="0" fillId="121" borderId="197" xfId="0" applyNumberFormat="1" applyFont="1" applyFill="1" applyBorder="1" applyAlignment="1" applyProtection="1">
      <alignment horizontal="center" vertical="center" wrapText="1"/>
      <protection locked="0"/>
    </xf>
    <xf numFmtId="202" fontId="0" fillId="121" borderId="198" xfId="0" applyNumberFormat="1" applyFont="1" applyFill="1" applyBorder="1" applyAlignment="1" applyProtection="1">
      <alignment horizontal="center" vertical="center" wrapText="1"/>
      <protection locked="0"/>
    </xf>
    <xf numFmtId="3" fontId="0" fillId="38" borderId="31" xfId="0" applyNumberFormat="1" applyFont="1" applyFill="1" applyBorder="1" applyAlignment="1" applyProtection="1">
      <alignment horizontal="center" vertical="center" wrapText="1"/>
      <protection locked="0"/>
    </xf>
    <xf numFmtId="49" fontId="10" fillId="121" borderId="71" xfId="0" applyNumberFormat="1" applyFont="1" applyFill="1" applyBorder="1" applyAlignment="1" applyProtection="1">
      <alignment horizontal="center" wrapText="1"/>
      <protection locked="0"/>
    </xf>
    <xf numFmtId="0" fontId="0" fillId="121" borderId="203" xfId="0" applyFont="1" applyFill="1" applyBorder="1" applyAlignment="1" applyProtection="1">
      <alignment horizontal="center" wrapText="1"/>
      <protection locked="0"/>
    </xf>
    <xf numFmtId="0" fontId="0" fillId="121" borderId="204" xfId="0" applyFont="1" applyFill="1" applyBorder="1" applyAlignment="1" applyProtection="1">
      <alignment horizontal="center" wrapText="1"/>
      <protection locked="0"/>
    </xf>
    <xf numFmtId="202" fontId="0" fillId="121" borderId="204" xfId="0" applyNumberFormat="1" applyFont="1" applyFill="1" applyBorder="1" applyAlignment="1" applyProtection="1">
      <alignment horizontal="center" wrapText="1"/>
      <protection locked="0"/>
    </xf>
    <xf numFmtId="0" fontId="0" fillId="139" borderId="203" xfId="0" applyFont="1" applyFill="1" applyBorder="1" applyAlignment="1" applyProtection="1">
      <alignment horizontal="center" wrapText="1"/>
      <protection locked="0"/>
    </xf>
    <xf numFmtId="0" fontId="0" fillId="139" borderId="204" xfId="0" applyFont="1" applyFill="1" applyBorder="1" applyAlignment="1" applyProtection="1">
      <alignment horizontal="center" wrapText="1"/>
      <protection locked="0"/>
    </xf>
    <xf numFmtId="202" fontId="0" fillId="139" borderId="204" xfId="0" applyNumberFormat="1" applyFont="1" applyFill="1" applyBorder="1" applyAlignment="1" applyProtection="1">
      <alignment horizontal="center" wrapText="1"/>
      <protection locked="0"/>
    </xf>
    <xf numFmtId="0" fontId="10" fillId="138" borderId="71" xfId="0" applyFont="1" applyFill="1" applyBorder="1" applyAlignment="1" applyProtection="1">
      <alignment horizontal="center" wrapText="1"/>
      <protection locked="0"/>
    </xf>
    <xf numFmtId="0" fontId="11" fillId="18" borderId="0" xfId="0" applyFont="1" applyFill="1" applyAlignment="1" applyProtection="1">
      <protection locked="0"/>
    </xf>
    <xf numFmtId="0" fontId="27" fillId="18" borderId="71" xfId="0" applyFont="1" applyFill="1" applyBorder="1" applyAlignment="1" applyProtection="1">
      <alignment horizontal="center" wrapText="1"/>
      <protection locked="0"/>
    </xf>
    <xf numFmtId="49" fontId="11" fillId="136" borderId="71" xfId="0" applyNumberFormat="1" applyFont="1" applyFill="1" applyBorder="1" applyAlignment="1" applyProtection="1">
      <alignment horizontal="center" wrapText="1"/>
      <protection locked="0"/>
    </xf>
    <xf numFmtId="0" fontId="96" fillId="136" borderId="71" xfId="0" applyFont="1" applyFill="1" applyBorder="1" applyAlignment="1" applyProtection="1">
      <alignment horizontal="center" wrapText="1"/>
      <protection locked="0"/>
    </xf>
    <xf numFmtId="6" fontId="11" fillId="136" borderId="71" xfId="0" applyNumberFormat="1" applyFont="1" applyFill="1" applyBorder="1" applyAlignment="1" applyProtection="1">
      <alignment horizontal="center" wrapText="1"/>
      <protection locked="0"/>
    </xf>
    <xf numFmtId="202" fontId="11" fillId="136" borderId="71" xfId="0" applyNumberFormat="1" applyFont="1" applyFill="1" applyBorder="1" applyAlignment="1" applyProtection="1">
      <alignment horizontal="center" wrapText="1"/>
      <protection locked="0"/>
    </xf>
    <xf numFmtId="0" fontId="11" fillId="136" borderId="71" xfId="0" applyFont="1" applyFill="1" applyBorder="1" applyAlignment="1" applyProtection="1">
      <alignment horizontal="center" wrapText="1"/>
      <protection locked="0"/>
    </xf>
    <xf numFmtId="0" fontId="8" fillId="10" borderId="13" xfId="0" applyFont="1" applyFill="1" applyBorder="1" applyAlignment="1" applyProtection="1">
      <alignment horizontal="center" vertical="center" wrapText="1"/>
      <protection locked="0"/>
    </xf>
    <xf numFmtId="0" fontId="8" fillId="10" borderId="24" xfId="0" applyFont="1" applyFill="1" applyBorder="1" applyAlignment="1" applyProtection="1">
      <alignment horizontal="center" vertical="center" wrapText="1"/>
      <protection locked="0"/>
    </xf>
    <xf numFmtId="0" fontId="3" fillId="4" borderId="34" xfId="0" applyFont="1" applyFill="1" applyBorder="1" applyAlignment="1" applyProtection="1">
      <alignment horizontal="center" vertical="center" wrapText="1"/>
      <protection locked="0"/>
    </xf>
    <xf numFmtId="0" fontId="3" fillId="4" borderId="35" xfId="0" applyFont="1" applyFill="1" applyBorder="1" applyAlignment="1" applyProtection="1">
      <alignment horizontal="center" vertical="center" wrapText="1"/>
      <protection locked="0"/>
    </xf>
    <xf numFmtId="0" fontId="3" fillId="4" borderId="36"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8" fillId="9" borderId="16" xfId="0" applyFont="1" applyFill="1" applyBorder="1" applyAlignment="1" applyProtection="1">
      <alignment horizontal="center" vertical="center" wrapText="1"/>
      <protection locked="0"/>
    </xf>
    <xf numFmtId="0" fontId="8" fillId="9" borderId="17" xfId="0" applyFont="1" applyFill="1" applyBorder="1" applyAlignment="1" applyProtection="1">
      <alignment horizontal="center" vertical="center" wrapText="1"/>
      <protection locked="0"/>
    </xf>
    <xf numFmtId="0" fontId="8" fillId="9" borderId="15" xfId="0" applyFont="1" applyFill="1" applyBorder="1" applyAlignment="1" applyProtection="1">
      <alignment horizontal="center" vertical="center" wrapText="1"/>
      <protection locked="0"/>
    </xf>
    <xf numFmtId="0" fontId="3" fillId="4" borderId="16" xfId="0" applyFont="1" applyFill="1" applyBorder="1" applyAlignment="1" applyProtection="1">
      <alignment horizontal="center" vertical="center"/>
      <protection locked="0"/>
    </xf>
    <xf numFmtId="0" fontId="3" fillId="4" borderId="17" xfId="0" applyFont="1" applyFill="1" applyBorder="1" applyAlignment="1" applyProtection="1">
      <alignment horizontal="center" vertical="center"/>
      <protection locked="0"/>
    </xf>
    <xf numFmtId="0" fontId="3" fillId="4" borderId="15" xfId="0" applyFont="1" applyFill="1" applyBorder="1" applyAlignment="1" applyProtection="1">
      <alignment horizontal="center" vertical="center"/>
      <protection locked="0"/>
    </xf>
    <xf numFmtId="0" fontId="3" fillId="4" borderId="13" xfId="0" applyFont="1" applyFill="1" applyBorder="1" applyAlignment="1" applyProtection="1">
      <alignment horizontal="center" vertical="center" wrapText="1"/>
      <protection locked="0"/>
    </xf>
    <xf numFmtId="0" fontId="3" fillId="4" borderId="24"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protection locked="0"/>
    </xf>
    <xf numFmtId="0" fontId="8" fillId="5" borderId="5" xfId="0" applyFont="1" applyFill="1" applyBorder="1" applyAlignment="1" applyProtection="1">
      <alignment horizontal="center" vertical="center"/>
      <protection locked="0"/>
    </xf>
    <xf numFmtId="0" fontId="8" fillId="5" borderId="6" xfId="0" applyFont="1" applyFill="1" applyBorder="1" applyAlignment="1" applyProtection="1">
      <alignment horizontal="center" vertical="center"/>
      <protection locked="0"/>
    </xf>
    <xf numFmtId="0" fontId="8" fillId="6" borderId="34" xfId="0" applyFont="1" applyFill="1" applyBorder="1" applyAlignment="1" applyProtection="1">
      <alignment horizontal="center" vertical="center" wrapText="1"/>
      <protection locked="0"/>
    </xf>
    <xf numFmtId="0" fontId="8" fillId="6" borderId="35" xfId="0" applyFont="1" applyFill="1" applyBorder="1" applyAlignment="1" applyProtection="1">
      <alignment horizontal="center" vertical="center" wrapText="1"/>
      <protection locked="0"/>
    </xf>
    <xf numFmtId="0" fontId="8" fillId="6" borderId="10" xfId="0" applyFont="1" applyFill="1" applyBorder="1" applyAlignment="1" applyProtection="1">
      <alignment horizontal="center" vertical="center" wrapText="1"/>
      <protection locked="0"/>
    </xf>
    <xf numFmtId="0" fontId="8" fillId="6" borderId="26" xfId="0" applyFont="1" applyFill="1" applyBorder="1" applyAlignment="1" applyProtection="1">
      <alignment horizontal="center" vertical="center" wrapText="1"/>
      <protection locked="0"/>
    </xf>
    <xf numFmtId="0" fontId="8" fillId="6" borderId="14" xfId="0" applyFont="1" applyFill="1" applyBorder="1" applyAlignment="1" applyProtection="1">
      <alignment horizontal="center" vertical="center" wrapText="1"/>
      <protection locked="0"/>
    </xf>
    <xf numFmtId="0" fontId="8" fillId="6" borderId="27" xfId="0" applyFont="1" applyFill="1" applyBorder="1" applyAlignment="1" applyProtection="1">
      <alignment horizontal="center" vertical="center" wrapText="1"/>
      <protection locked="0"/>
    </xf>
    <xf numFmtId="0" fontId="8" fillId="6" borderId="4" xfId="0" applyFont="1" applyFill="1" applyBorder="1" applyAlignment="1" applyProtection="1">
      <alignment horizontal="center" vertical="center" wrapText="1"/>
      <protection locked="0"/>
    </xf>
    <xf numFmtId="0" fontId="8" fillId="6" borderId="5" xfId="0" applyFont="1" applyFill="1" applyBorder="1" applyAlignment="1" applyProtection="1">
      <alignment horizontal="center" vertical="center" wrapText="1"/>
      <protection locked="0"/>
    </xf>
    <xf numFmtId="0" fontId="8" fillId="6" borderId="6" xfId="0" applyFont="1" applyFill="1" applyBorder="1" applyAlignment="1" applyProtection="1">
      <alignment horizontal="center" vertical="center" wrapText="1"/>
      <protection locked="0"/>
    </xf>
    <xf numFmtId="0" fontId="8" fillId="7" borderId="4" xfId="0" applyFont="1" applyFill="1" applyBorder="1" applyAlignment="1" applyProtection="1">
      <alignment horizontal="center" vertical="center" wrapText="1"/>
      <protection locked="0"/>
    </xf>
    <xf numFmtId="0" fontId="8" fillId="7" borderId="5" xfId="0" applyFont="1" applyFill="1" applyBorder="1" applyAlignment="1" applyProtection="1">
      <alignment horizontal="center" vertical="center" wrapText="1"/>
      <protection locked="0"/>
    </xf>
    <xf numFmtId="0" fontId="8" fillId="7" borderId="6" xfId="0" applyFont="1" applyFill="1" applyBorder="1" applyAlignment="1" applyProtection="1">
      <alignment horizontal="center" vertical="center" wrapText="1"/>
      <protection locked="0"/>
    </xf>
    <xf numFmtId="0" fontId="8" fillId="7" borderId="4" xfId="0" applyFont="1" applyFill="1" applyBorder="1" applyAlignment="1" applyProtection="1">
      <alignment horizontal="center" vertical="center"/>
      <protection locked="0"/>
    </xf>
    <xf numFmtId="0" fontId="8" fillId="7" borderId="5" xfId="0" applyFont="1" applyFill="1" applyBorder="1" applyAlignment="1" applyProtection="1">
      <alignment horizontal="center" vertical="center"/>
      <protection locked="0"/>
    </xf>
    <xf numFmtId="0" fontId="8" fillId="7" borderId="6" xfId="0" applyFont="1" applyFill="1" applyBorder="1" applyAlignment="1" applyProtection="1">
      <alignment horizontal="center" vertical="center"/>
      <protection locked="0"/>
    </xf>
    <xf numFmtId="0" fontId="8" fillId="8" borderId="13" xfId="0" applyFont="1" applyFill="1" applyBorder="1" applyAlignment="1" applyProtection="1">
      <alignment horizontal="center" vertical="center" wrapText="1"/>
      <protection locked="0"/>
    </xf>
    <xf numFmtId="0" fontId="8" fillId="8" borderId="24" xfId="0" applyFont="1" applyFill="1" applyBorder="1" applyAlignment="1" applyProtection="1">
      <alignment horizontal="center" vertical="center" wrapText="1"/>
      <protection locked="0"/>
    </xf>
    <xf numFmtId="0" fontId="11" fillId="9" borderId="34" xfId="0" applyFont="1" applyFill="1" applyBorder="1" applyAlignment="1" applyProtection="1">
      <alignment horizontal="center" vertical="center" textRotation="90" wrapText="1"/>
      <protection locked="0"/>
    </xf>
    <xf numFmtId="0" fontId="11" fillId="9" borderId="35" xfId="0" applyFont="1" applyFill="1" applyBorder="1" applyAlignment="1" applyProtection="1">
      <alignment horizontal="center" vertical="center" textRotation="90" wrapText="1"/>
      <protection locked="0"/>
    </xf>
    <xf numFmtId="0" fontId="11" fillId="9" borderId="10" xfId="0" applyFont="1" applyFill="1" applyBorder="1" applyAlignment="1" applyProtection="1">
      <alignment horizontal="center" vertical="center" textRotation="90" wrapText="1"/>
      <protection locked="0"/>
    </xf>
    <xf numFmtId="0" fontId="11" fillId="9" borderId="26" xfId="0" applyFont="1" applyFill="1" applyBorder="1" applyAlignment="1" applyProtection="1">
      <alignment horizontal="center" vertical="center" textRotation="90" wrapText="1"/>
      <protection locked="0"/>
    </xf>
    <xf numFmtId="0" fontId="11" fillId="9" borderId="14" xfId="0" applyFont="1" applyFill="1" applyBorder="1" applyAlignment="1" applyProtection="1">
      <alignment horizontal="center" vertical="center" textRotation="90" wrapText="1"/>
      <protection locked="0"/>
    </xf>
    <xf numFmtId="0" fontId="11" fillId="9" borderId="27" xfId="0" applyFont="1" applyFill="1" applyBorder="1" applyAlignment="1" applyProtection="1">
      <alignment horizontal="center" vertical="center" textRotation="90" wrapText="1"/>
      <protection locked="0"/>
    </xf>
    <xf numFmtId="0" fontId="8" fillId="3" borderId="0" xfId="0" applyFont="1" applyFill="1" applyBorder="1" applyAlignment="1">
      <alignment horizontal="center" vertical="center"/>
    </xf>
    <xf numFmtId="0" fontId="8" fillId="3" borderId="40" xfId="0" applyFont="1" applyFill="1" applyBorder="1" applyAlignment="1">
      <alignment horizontal="center" vertical="center"/>
    </xf>
    <xf numFmtId="0" fontId="3" fillId="0" borderId="51" xfId="0" applyFont="1" applyBorder="1" applyAlignment="1">
      <alignment horizontal="center" vertical="center" textRotation="90" wrapText="1"/>
    </xf>
    <xf numFmtId="0" fontId="3" fillId="0" borderId="11" xfId="0" applyFont="1" applyBorder="1" applyAlignment="1">
      <alignment horizontal="center" vertical="center" textRotation="90" wrapText="1"/>
    </xf>
    <xf numFmtId="0" fontId="3" fillId="0" borderId="29" xfId="0" applyFont="1" applyBorder="1" applyAlignment="1">
      <alignment horizontal="center" vertical="center" textRotation="90" wrapText="1"/>
    </xf>
    <xf numFmtId="0" fontId="0" fillId="0" borderId="32" xfId="0" applyFont="1" applyBorder="1" applyAlignment="1">
      <alignment horizontal="left" vertical="center" wrapText="1"/>
    </xf>
    <xf numFmtId="0" fontId="0" fillId="0" borderId="3" xfId="0" applyFont="1" applyBorder="1" applyAlignment="1">
      <alignment horizontal="left" vertical="center" wrapText="1"/>
    </xf>
    <xf numFmtId="0" fontId="0" fillId="0" borderId="30" xfId="0" applyFont="1" applyBorder="1" applyAlignment="1">
      <alignment horizontal="left" vertical="center" wrapText="1"/>
    </xf>
    <xf numFmtId="0" fontId="3" fillId="0" borderId="51" xfId="0" applyFont="1" applyBorder="1" applyAlignment="1">
      <alignment horizontal="center" vertical="center" textRotation="89"/>
    </xf>
    <xf numFmtId="0" fontId="3" fillId="0" borderId="11" xfId="0" applyFont="1" applyBorder="1" applyAlignment="1">
      <alignment horizontal="center" vertical="center" textRotation="89"/>
    </xf>
    <xf numFmtId="0" fontId="3" fillId="0" borderId="29" xfId="0" applyFont="1" applyBorder="1" applyAlignment="1">
      <alignment horizontal="center" vertical="center" textRotation="89"/>
    </xf>
    <xf numFmtId="0" fontId="0" fillId="17" borderId="37" xfId="0" applyFill="1" applyBorder="1" applyAlignment="1">
      <alignment horizontal="justify" vertical="center"/>
    </xf>
    <xf numFmtId="0" fontId="3" fillId="0" borderId="7" xfId="0" applyFont="1" applyBorder="1" applyAlignment="1">
      <alignment horizontal="center" vertical="center" textRotation="90" wrapText="1"/>
    </xf>
    <xf numFmtId="0" fontId="8" fillId="12" borderId="13" xfId="0" applyFont="1" applyFill="1" applyBorder="1" applyAlignment="1">
      <alignment horizontal="center" vertical="center" wrapText="1"/>
    </xf>
    <xf numFmtId="0" fontId="8" fillId="12" borderId="24" xfId="0" applyFont="1" applyFill="1" applyBorder="1" applyAlignment="1">
      <alignment horizontal="center" vertical="center" wrapText="1"/>
    </xf>
    <xf numFmtId="0" fontId="3" fillId="13" borderId="3" xfId="0" applyFont="1" applyFill="1" applyBorder="1" applyAlignment="1">
      <alignment horizontal="center" vertical="center" wrapText="1"/>
    </xf>
    <xf numFmtId="0" fontId="3" fillId="13" borderId="20"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3" fillId="15" borderId="3" xfId="0" applyFont="1" applyFill="1" applyBorder="1" applyAlignment="1">
      <alignment horizontal="center" vertical="center" wrapText="1"/>
    </xf>
    <xf numFmtId="0" fontId="3" fillId="15" borderId="20" xfId="0" applyFont="1" applyFill="1" applyBorder="1" applyAlignment="1">
      <alignment horizontal="center" vertical="center" wrapText="1"/>
    </xf>
    <xf numFmtId="0" fontId="3" fillId="13" borderId="10" xfId="0" applyFont="1" applyFill="1" applyBorder="1" applyAlignment="1">
      <alignment horizontal="center" vertical="center" wrapText="1"/>
    </xf>
    <xf numFmtId="0" fontId="3" fillId="13" borderId="56" xfId="0" applyFont="1" applyFill="1" applyBorder="1" applyAlignment="1">
      <alignment horizontal="center" vertical="center" wrapText="1"/>
    </xf>
    <xf numFmtId="0" fontId="9" fillId="28" borderId="168" xfId="0" applyFont="1" applyFill="1" applyBorder="1" applyAlignment="1">
      <alignment horizontal="center" vertical="center" wrapText="1"/>
    </xf>
    <xf numFmtId="0" fontId="9" fillId="28" borderId="169" xfId="0" applyFont="1" applyFill="1" applyBorder="1" applyAlignment="1">
      <alignment horizontal="center" vertical="center" wrapText="1"/>
    </xf>
    <xf numFmtId="0" fontId="9" fillId="29" borderId="168" xfId="0" applyFont="1" applyFill="1" applyBorder="1" applyAlignment="1">
      <alignment horizontal="center" vertical="center" wrapText="1"/>
    </xf>
    <xf numFmtId="0" fontId="9" fillId="29" borderId="169" xfId="0" applyFont="1" applyFill="1" applyBorder="1" applyAlignment="1">
      <alignment horizontal="center" vertical="center" wrapText="1"/>
    </xf>
    <xf numFmtId="0" fontId="9" fillId="7" borderId="162" xfId="0" applyFont="1" applyFill="1" applyBorder="1" applyAlignment="1">
      <alignment horizontal="center" vertical="center" wrapText="1"/>
    </xf>
    <xf numFmtId="0" fontId="9" fillId="7" borderId="163" xfId="0" applyFont="1" applyFill="1" applyBorder="1" applyAlignment="1">
      <alignment horizontal="center" vertical="center" wrapText="1"/>
    </xf>
    <xf numFmtId="0" fontId="9" fillId="7" borderId="168" xfId="0" applyFont="1" applyFill="1" applyBorder="1" applyAlignment="1">
      <alignment horizontal="center" vertical="center" wrapText="1"/>
    </xf>
    <xf numFmtId="0" fontId="9" fillId="7" borderId="169" xfId="0" applyFont="1" applyFill="1" applyBorder="1" applyAlignment="1">
      <alignment horizontal="center" vertical="center" wrapText="1"/>
    </xf>
    <xf numFmtId="0" fontId="9" fillId="104" borderId="168" xfId="0" applyFont="1" applyFill="1" applyBorder="1" applyAlignment="1">
      <alignment horizontal="center" vertical="center" wrapText="1"/>
    </xf>
    <xf numFmtId="0" fontId="9" fillId="104" borderId="169" xfId="0" applyFont="1" applyFill="1" applyBorder="1" applyAlignment="1">
      <alignment horizontal="center" vertical="center" wrapText="1"/>
    </xf>
    <xf numFmtId="0" fontId="9" fillId="38" borderId="168" xfId="0" applyFont="1" applyFill="1" applyBorder="1" applyAlignment="1">
      <alignment horizontal="center" vertical="center" wrapText="1"/>
    </xf>
    <xf numFmtId="0" fontId="9" fillId="38" borderId="169" xfId="0" applyFont="1" applyFill="1" applyBorder="1" applyAlignment="1">
      <alignment horizontal="center" vertical="center" wrapText="1"/>
    </xf>
    <xf numFmtId="0" fontId="9" fillId="39" borderId="168" xfId="0" applyFont="1" applyFill="1" applyBorder="1" applyAlignment="1">
      <alignment horizontal="center" vertical="center" wrapText="1"/>
    </xf>
    <xf numFmtId="0" fontId="9" fillId="39" borderId="169" xfId="0" applyFont="1" applyFill="1" applyBorder="1" applyAlignment="1">
      <alignment horizontal="center" vertical="center" wrapText="1"/>
    </xf>
    <xf numFmtId="0" fontId="9" fillId="51" borderId="168" xfId="0" applyFont="1" applyFill="1" applyBorder="1" applyAlignment="1">
      <alignment horizontal="center" vertical="center" wrapText="1"/>
    </xf>
    <xf numFmtId="0" fontId="9" fillId="51" borderId="169" xfId="0" applyFont="1" applyFill="1" applyBorder="1" applyAlignment="1">
      <alignment horizontal="center" vertical="center" wrapText="1"/>
    </xf>
    <xf numFmtId="0" fontId="9" fillId="28" borderId="162" xfId="0" applyFont="1" applyFill="1" applyBorder="1" applyAlignment="1">
      <alignment horizontal="center" vertical="center" wrapText="1"/>
    </xf>
    <xf numFmtId="0" fontId="9" fillId="28" borderId="163" xfId="0" applyFont="1" applyFill="1" applyBorder="1" applyAlignment="1">
      <alignment horizontal="center" vertical="center" wrapText="1"/>
    </xf>
    <xf numFmtId="0" fontId="9" fillId="29" borderId="162" xfId="0" applyFont="1" applyFill="1" applyBorder="1" applyAlignment="1">
      <alignment horizontal="center" vertical="center" wrapText="1"/>
    </xf>
    <xf numFmtId="0" fontId="9" fillId="29" borderId="163" xfId="0" applyFont="1" applyFill="1" applyBorder="1" applyAlignment="1">
      <alignment horizontal="center" vertical="center" wrapText="1"/>
    </xf>
    <xf numFmtId="0" fontId="9" fillId="104" borderId="162" xfId="0" applyFont="1" applyFill="1" applyBorder="1" applyAlignment="1">
      <alignment horizontal="center" vertical="center" wrapText="1"/>
    </xf>
    <xf numFmtId="0" fontId="9" fillId="104" borderId="163" xfId="0" applyFont="1" applyFill="1" applyBorder="1" applyAlignment="1">
      <alignment horizontal="center" vertical="center" wrapText="1"/>
    </xf>
    <xf numFmtId="0" fontId="9" fillId="38" borderId="162" xfId="0" applyFont="1" applyFill="1" applyBorder="1" applyAlignment="1">
      <alignment horizontal="center" vertical="center" wrapText="1"/>
    </xf>
    <xf numFmtId="0" fontId="9" fillId="38" borderId="163" xfId="0" applyFont="1" applyFill="1" applyBorder="1" applyAlignment="1">
      <alignment horizontal="center" vertical="center" wrapText="1"/>
    </xf>
    <xf numFmtId="0" fontId="9" fillId="39" borderId="162" xfId="0" applyFont="1" applyFill="1" applyBorder="1" applyAlignment="1">
      <alignment horizontal="center" vertical="center" wrapText="1"/>
    </xf>
    <xf numFmtId="0" fontId="9" fillId="39" borderId="163" xfId="0" applyFont="1" applyFill="1" applyBorder="1" applyAlignment="1">
      <alignment horizontal="center" vertical="center" wrapText="1"/>
    </xf>
    <xf numFmtId="0" fontId="9" fillId="51" borderId="162" xfId="0" applyFont="1" applyFill="1" applyBorder="1" applyAlignment="1">
      <alignment horizontal="center" vertical="center" wrapText="1"/>
    </xf>
    <xf numFmtId="0" fontId="9" fillId="51" borderId="163" xfId="0" applyFont="1" applyFill="1" applyBorder="1" applyAlignment="1">
      <alignment horizontal="center" vertical="center" wrapText="1"/>
    </xf>
    <xf numFmtId="0" fontId="9" fillId="69" borderId="168" xfId="0" applyFont="1" applyFill="1" applyBorder="1" applyAlignment="1">
      <alignment horizontal="center" vertical="center"/>
    </xf>
    <xf numFmtId="0" fontId="9" fillId="69" borderId="169" xfId="0" applyFont="1" applyFill="1" applyBorder="1" applyAlignment="1">
      <alignment horizontal="center" vertical="center"/>
    </xf>
    <xf numFmtId="0" fontId="3" fillId="30" borderId="168" xfId="0" applyFont="1" applyFill="1" applyBorder="1" applyAlignment="1">
      <alignment horizontal="center" vertical="center"/>
    </xf>
    <xf numFmtId="0" fontId="3" fillId="30" borderId="169" xfId="0" applyFont="1" applyFill="1" applyBorder="1" applyAlignment="1">
      <alignment horizontal="center" vertical="center"/>
    </xf>
    <xf numFmtId="0" fontId="9" fillId="69" borderId="162" xfId="0" applyFont="1" applyFill="1" applyBorder="1" applyAlignment="1">
      <alignment horizontal="center" vertical="center" wrapText="1"/>
    </xf>
    <xf numFmtId="0" fontId="9" fillId="69" borderId="163" xfId="0" applyFont="1" applyFill="1" applyBorder="1" applyAlignment="1">
      <alignment horizontal="center" vertical="center" wrapText="1"/>
    </xf>
    <xf numFmtId="0" fontId="3" fillId="30" borderId="162" xfId="0" applyFont="1" applyFill="1" applyBorder="1" applyAlignment="1">
      <alignment horizontal="center" vertical="center"/>
    </xf>
    <xf numFmtId="0" fontId="3" fillId="30" borderId="163" xfId="0" applyFont="1" applyFill="1" applyBorder="1" applyAlignment="1">
      <alignment horizontal="center" vertical="center"/>
    </xf>
    <xf numFmtId="9" fontId="0" fillId="35" borderId="45" xfId="0" applyNumberFormat="1" applyFill="1" applyBorder="1" applyAlignment="1">
      <alignment horizontal="center" vertical="center"/>
    </xf>
    <xf numFmtId="0" fontId="0" fillId="35" borderId="46" xfId="0" applyFill="1" applyBorder="1" applyAlignment="1">
      <alignment horizontal="center" vertical="center"/>
    </xf>
    <xf numFmtId="0" fontId="0" fillId="35" borderId="177" xfId="0" applyFill="1" applyBorder="1" applyAlignment="1">
      <alignment horizontal="center" vertical="center"/>
    </xf>
    <xf numFmtId="9" fontId="0" fillId="30" borderId="45" xfId="0" applyNumberFormat="1" applyFill="1" applyBorder="1" applyAlignment="1">
      <alignment horizontal="center" vertical="center"/>
    </xf>
    <xf numFmtId="0" fontId="0" fillId="30" borderId="46" xfId="0" applyFill="1" applyBorder="1" applyAlignment="1">
      <alignment horizontal="center" vertical="center"/>
    </xf>
    <xf numFmtId="0" fontId="0" fillId="30" borderId="177" xfId="0" applyFill="1" applyBorder="1" applyAlignment="1">
      <alignment horizontal="center" vertical="center"/>
    </xf>
    <xf numFmtId="9" fontId="0" fillId="27" borderId="45" xfId="0" applyNumberFormat="1" applyFill="1" applyBorder="1" applyAlignment="1">
      <alignment horizontal="center" vertical="center"/>
    </xf>
    <xf numFmtId="0" fontId="0" fillId="27" borderId="46" xfId="0" applyFill="1" applyBorder="1" applyAlignment="1">
      <alignment horizontal="center" vertical="center"/>
    </xf>
    <xf numFmtId="0" fontId="0" fillId="27" borderId="177" xfId="0" applyFill="1"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177" xfId="0" applyBorder="1" applyAlignment="1">
      <alignment horizontal="center" vertical="center"/>
    </xf>
    <xf numFmtId="0" fontId="0" fillId="41" borderId="154" xfId="0" applyFont="1" applyFill="1" applyBorder="1" applyAlignment="1" applyProtection="1">
      <alignment horizontal="justify" vertical="center" wrapText="1"/>
    </xf>
    <xf numFmtId="0" fontId="10" fillId="103" borderId="154" xfId="0" applyFont="1" applyFill="1" applyBorder="1" applyAlignment="1" applyProtection="1">
      <alignment horizontal="justify" vertical="center" wrapText="1"/>
    </xf>
    <xf numFmtId="0" fontId="10" fillId="66" borderId="54" xfId="0" applyFont="1" applyFill="1" applyBorder="1" applyAlignment="1" applyProtection="1">
      <alignment horizontal="justify" vertical="center" wrapText="1"/>
    </xf>
    <xf numFmtId="0" fontId="10" fillId="66" borderId="154" xfId="0" applyFont="1" applyFill="1" applyBorder="1" applyAlignment="1" applyProtection="1">
      <alignment horizontal="justify" vertical="center" wrapText="1"/>
    </xf>
    <xf numFmtId="0" fontId="0" fillId="103" borderId="25" xfId="0" applyFont="1" applyFill="1" applyBorder="1" applyAlignment="1" applyProtection="1">
      <alignment horizontal="justify" vertical="center" wrapText="1"/>
    </xf>
    <xf numFmtId="0" fontId="0" fillId="103" borderId="54" xfId="0" applyFont="1" applyFill="1" applyBorder="1" applyAlignment="1" applyProtection="1">
      <alignment horizontal="justify" vertical="center" wrapText="1"/>
    </xf>
    <xf numFmtId="0" fontId="0" fillId="69" borderId="182" xfId="0" applyFont="1" applyFill="1" applyBorder="1" applyAlignment="1" applyProtection="1">
      <alignment horizontal="justify" vertical="center" wrapText="1"/>
    </xf>
    <xf numFmtId="0" fontId="0" fillId="69" borderId="54" xfId="0" applyFont="1" applyFill="1" applyBorder="1" applyAlignment="1" applyProtection="1">
      <alignment horizontal="justify" vertical="center" wrapText="1"/>
    </xf>
    <xf numFmtId="0" fontId="11" fillId="41" borderId="154" xfId="0" applyFont="1" applyFill="1" applyBorder="1" applyAlignment="1" applyProtection="1">
      <alignment horizontal="justify" vertical="center" wrapText="1"/>
    </xf>
    <xf numFmtId="0" fontId="0" fillId="41" borderId="53" xfId="0" applyFont="1" applyFill="1" applyBorder="1" applyAlignment="1" applyProtection="1">
      <alignment horizontal="justify" vertical="center" wrapText="1"/>
    </xf>
    <xf numFmtId="0" fontId="10" fillId="38" borderId="19" xfId="6" applyFont="1" applyFill="1" applyBorder="1" applyAlignment="1" applyProtection="1">
      <alignment horizontal="justify" vertical="center" wrapText="1"/>
    </xf>
    <xf numFmtId="0" fontId="10" fillId="38" borderId="154" xfId="6" applyFont="1" applyFill="1" applyBorder="1" applyAlignment="1" applyProtection="1">
      <alignment horizontal="justify" vertical="center" wrapText="1"/>
    </xf>
    <xf numFmtId="0" fontId="10" fillId="38" borderId="154" xfId="0" applyFont="1" applyFill="1" applyBorder="1" applyAlignment="1" applyProtection="1">
      <alignment horizontal="justify" vertical="center" wrapText="1"/>
    </xf>
    <xf numFmtId="0" fontId="10" fillId="51" borderId="154" xfId="6" applyFont="1" applyFill="1" applyBorder="1" applyAlignment="1" applyProtection="1">
      <alignment horizontal="justify" vertical="center" wrapText="1"/>
    </xf>
    <xf numFmtId="0" fontId="10" fillId="51" borderId="154" xfId="0" applyFont="1" applyFill="1" applyBorder="1" applyAlignment="1" applyProtection="1">
      <alignment horizontal="justify" vertical="center" wrapText="1"/>
    </xf>
    <xf numFmtId="0" fontId="10" fillId="51" borderId="53" xfId="0" applyFont="1" applyFill="1" applyBorder="1" applyAlignment="1" applyProtection="1">
      <alignment horizontal="justify" vertical="center" wrapText="1"/>
    </xf>
    <xf numFmtId="0" fontId="11" fillId="38" borderId="154" xfId="0" applyFont="1" applyFill="1" applyBorder="1" applyAlignment="1" applyProtection="1">
      <alignment horizontal="justify" vertical="center" wrapText="1"/>
    </xf>
    <xf numFmtId="0" fontId="11" fillId="39" borderId="19" xfId="0" applyFont="1" applyFill="1" applyBorder="1" applyAlignment="1" applyProtection="1">
      <alignment horizontal="justify" vertical="center" wrapText="1"/>
    </xf>
    <xf numFmtId="0" fontId="11" fillId="39" borderId="154" xfId="0" applyFont="1" applyFill="1" applyBorder="1" applyAlignment="1" applyProtection="1">
      <alignment horizontal="justify" vertical="center" wrapText="1"/>
    </xf>
    <xf numFmtId="0" fontId="11" fillId="51" borderId="19" xfId="0" applyFont="1" applyFill="1" applyBorder="1" applyAlignment="1" applyProtection="1">
      <alignment horizontal="justify" vertical="center" wrapText="1"/>
    </xf>
    <xf numFmtId="0" fontId="11" fillId="51" borderId="154" xfId="0" applyFont="1" applyFill="1" applyBorder="1" applyAlignment="1" applyProtection="1">
      <alignment horizontal="justify" vertical="center" wrapText="1"/>
    </xf>
    <xf numFmtId="0" fontId="11" fillId="7" borderId="154" xfId="0" applyFont="1" applyFill="1" applyBorder="1" applyAlignment="1" applyProtection="1">
      <alignment horizontal="justify" vertical="center" wrapText="1"/>
    </xf>
    <xf numFmtId="0" fontId="11" fillId="38" borderId="54" xfId="0" applyFont="1" applyFill="1" applyBorder="1" applyAlignment="1" applyProtection="1">
      <alignment horizontal="justify" vertical="center" wrapText="1"/>
    </xf>
    <xf numFmtId="0" fontId="0" fillId="51" borderId="154" xfId="0" applyFont="1" applyFill="1" applyBorder="1" applyAlignment="1" applyProtection="1">
      <alignment horizontal="justify" vertical="center" wrapText="1"/>
    </xf>
    <xf numFmtId="0" fontId="0" fillId="51" borderId="53" xfId="0" applyFont="1" applyFill="1" applyBorder="1" applyAlignment="1" applyProtection="1">
      <alignment horizontal="justify" vertical="center" wrapText="1"/>
    </xf>
    <xf numFmtId="0" fontId="10" fillId="38" borderId="54" xfId="0" applyFont="1" applyFill="1" applyBorder="1" applyAlignment="1" applyProtection="1">
      <alignment horizontal="justify" vertical="center" wrapText="1"/>
    </xf>
    <xf numFmtId="0" fontId="0" fillId="38" borderId="154" xfId="0" applyFont="1" applyFill="1" applyBorder="1" applyAlignment="1" applyProtection="1">
      <alignment horizontal="justify" vertical="center" wrapText="1"/>
    </xf>
    <xf numFmtId="0" fontId="0" fillId="51" borderId="54" xfId="0" applyFont="1" applyFill="1" applyBorder="1" applyAlignment="1" applyProtection="1">
      <alignment horizontal="justify" vertical="center" wrapText="1"/>
    </xf>
    <xf numFmtId="0" fontId="10" fillId="39" borderId="154" xfId="0" applyFont="1" applyFill="1" applyBorder="1" applyAlignment="1" applyProtection="1">
      <alignment horizontal="justify" vertical="center" wrapText="1"/>
    </xf>
    <xf numFmtId="0" fontId="10" fillId="51" borderId="11" xfId="0" applyFont="1" applyFill="1" applyBorder="1" applyAlignment="1" applyProtection="1">
      <alignment horizontal="justify" vertical="center" wrapText="1"/>
    </xf>
    <xf numFmtId="1" fontId="10" fillId="38" borderId="154" xfId="0" applyNumberFormat="1" applyFont="1" applyFill="1" applyBorder="1" applyAlignment="1" applyProtection="1">
      <alignment horizontal="justify" vertical="center" wrapText="1"/>
    </xf>
    <xf numFmtId="0" fontId="0" fillId="103" borderId="154" xfId="0" applyFill="1" applyBorder="1" applyAlignment="1" applyProtection="1">
      <alignment horizontal="justify" vertical="center"/>
    </xf>
    <xf numFmtId="0" fontId="0" fillId="41" borderId="154" xfId="0" applyFill="1" applyBorder="1" applyAlignment="1" applyProtection="1">
      <alignment horizontal="justify" vertical="center" wrapText="1"/>
    </xf>
    <xf numFmtId="0" fontId="10" fillId="41" borderId="154" xfId="0" applyFont="1" applyFill="1" applyBorder="1" applyAlignment="1" applyProtection="1">
      <alignment horizontal="justify" vertical="center" wrapText="1"/>
    </xf>
    <xf numFmtId="0" fontId="0" fillId="41" borderId="53" xfId="0" applyFill="1" applyBorder="1" applyAlignment="1" applyProtection="1">
      <alignment horizontal="justify" vertical="center" wrapText="1"/>
    </xf>
    <xf numFmtId="0" fontId="0" fillId="38" borderId="154" xfId="0" applyFill="1" applyBorder="1" applyAlignment="1" applyProtection="1">
      <alignment horizontal="justify" vertical="center" wrapText="1"/>
    </xf>
    <xf numFmtId="3" fontId="0" fillId="39" borderId="154" xfId="0" applyNumberFormat="1" applyFont="1" applyFill="1" applyBorder="1" applyAlignment="1" applyProtection="1">
      <alignment horizontal="justify" vertical="center" wrapText="1"/>
    </xf>
    <xf numFmtId="0" fontId="0" fillId="39" borderId="154" xfId="2" applyFont="1" applyFill="1" applyBorder="1" applyAlignment="1" applyProtection="1">
      <alignment horizontal="justify" vertical="center" wrapText="1"/>
    </xf>
    <xf numFmtId="0" fontId="0" fillId="38" borderId="154" xfId="2" applyFont="1" applyFill="1" applyBorder="1" applyAlignment="1" applyProtection="1">
      <alignment horizontal="justify" vertical="center" wrapText="1"/>
    </xf>
    <xf numFmtId="0" fontId="0" fillId="38" borderId="182" xfId="2" applyFont="1" applyFill="1" applyBorder="1" applyAlignment="1" applyProtection="1">
      <alignment horizontal="justify" vertical="center" wrapText="1"/>
    </xf>
    <xf numFmtId="0" fontId="0" fillId="38" borderId="54" xfId="2" applyFont="1" applyFill="1" applyBorder="1" applyAlignment="1" applyProtection="1">
      <alignment horizontal="justify" vertical="center" wrapText="1"/>
    </xf>
    <xf numFmtId="0" fontId="0" fillId="33" borderId="54" xfId="0" applyFont="1" applyFill="1" applyBorder="1" applyAlignment="1" applyProtection="1">
      <alignment horizontal="justify" vertical="center" wrapText="1"/>
    </xf>
    <xf numFmtId="0" fontId="0" fillId="33" borderId="154" xfId="0" applyFont="1" applyFill="1" applyBorder="1" applyAlignment="1" applyProtection="1">
      <alignment horizontal="justify" vertical="center" wrapText="1"/>
    </xf>
    <xf numFmtId="0" fontId="0" fillId="7" borderId="154" xfId="0" applyFont="1" applyFill="1" applyBorder="1" applyAlignment="1" applyProtection="1">
      <alignment horizontal="justify" vertical="center" wrapText="1"/>
    </xf>
    <xf numFmtId="0" fontId="0" fillId="7" borderId="53" xfId="0" applyFont="1" applyFill="1" applyBorder="1" applyAlignment="1" applyProtection="1">
      <alignment horizontal="justify" vertical="center" wrapText="1"/>
    </xf>
    <xf numFmtId="0" fontId="0" fillId="39" borderId="154" xfId="0" applyFont="1" applyFill="1" applyBorder="1" applyAlignment="1" applyProtection="1">
      <alignment horizontal="justify" vertical="center" wrapText="1"/>
    </xf>
    <xf numFmtId="0" fontId="0" fillId="39" borderId="53" xfId="0" applyFont="1" applyFill="1" applyBorder="1" applyAlignment="1" applyProtection="1">
      <alignment horizontal="justify" vertical="center" wrapText="1"/>
    </xf>
    <xf numFmtId="0" fontId="0" fillId="42" borderId="19" xfId="0" applyFont="1" applyFill="1" applyBorder="1" applyAlignment="1" applyProtection="1">
      <alignment horizontal="justify" vertical="center" wrapText="1"/>
    </xf>
    <xf numFmtId="0" fontId="0" fillId="42" borderId="154" xfId="0" applyFont="1" applyFill="1" applyBorder="1" applyAlignment="1" applyProtection="1">
      <alignment horizontal="justify" vertical="center" wrapText="1"/>
    </xf>
    <xf numFmtId="0" fontId="10" fillId="42" borderId="154" xfId="0" applyFont="1" applyFill="1" applyBorder="1" applyAlignment="1" applyProtection="1">
      <alignment horizontal="justify" vertical="center" wrapText="1"/>
    </xf>
    <xf numFmtId="0" fontId="10" fillId="42" borderId="53" xfId="0" applyFont="1" applyFill="1" applyBorder="1" applyAlignment="1" applyProtection="1">
      <alignment horizontal="justify" vertical="center" wrapText="1"/>
    </xf>
    <xf numFmtId="0" fontId="0" fillId="29" borderId="54" xfId="0" applyFont="1" applyFill="1" applyBorder="1" applyAlignment="1" applyProtection="1">
      <alignment horizontal="justify" vertical="center" wrapText="1"/>
    </xf>
    <xf numFmtId="0" fontId="0" fillId="29" borderId="154" xfId="0" applyFont="1" applyFill="1" applyBorder="1" applyAlignment="1" applyProtection="1">
      <alignment horizontal="justify" vertical="center" wrapText="1"/>
    </xf>
    <xf numFmtId="0" fontId="0" fillId="29" borderId="53" xfId="0" applyFont="1" applyFill="1" applyBorder="1" applyAlignment="1" applyProtection="1">
      <alignment horizontal="justify" vertical="center" wrapText="1"/>
    </xf>
    <xf numFmtId="0" fontId="0" fillId="41" borderId="154" xfId="2" applyFont="1" applyFill="1" applyBorder="1" applyAlignment="1" applyProtection="1">
      <alignment horizontal="justify" vertical="center" wrapText="1"/>
    </xf>
    <xf numFmtId="0" fontId="0" fillId="39" borderId="54" xfId="2" applyFont="1" applyFill="1" applyBorder="1" applyAlignment="1" applyProtection="1">
      <alignment horizontal="justify" vertical="center" wrapText="1"/>
    </xf>
    <xf numFmtId="0" fontId="11" fillId="41" borderId="53" xfId="0" applyFont="1" applyFill="1" applyBorder="1" applyAlignment="1" applyProtection="1">
      <alignment horizontal="justify" vertical="center" wrapText="1"/>
    </xf>
    <xf numFmtId="0" fontId="11" fillId="43" borderId="54" xfId="0" applyFont="1" applyFill="1" applyBorder="1" applyAlignment="1" applyProtection="1">
      <alignment horizontal="justify" vertical="center" wrapText="1"/>
    </xf>
    <xf numFmtId="0" fontId="11" fillId="43" borderId="154" xfId="0" applyFont="1" applyFill="1" applyBorder="1" applyAlignment="1" applyProtection="1">
      <alignment horizontal="justify" vertical="center" wrapText="1"/>
    </xf>
    <xf numFmtId="0" fontId="11" fillId="43" borderId="53" xfId="0" applyFont="1" applyFill="1" applyBorder="1" applyAlignment="1" applyProtection="1">
      <alignment horizontal="justify" vertical="center" wrapText="1"/>
    </xf>
    <xf numFmtId="0" fontId="0" fillId="44" borderId="154" xfId="0" applyFont="1" applyFill="1" applyBorder="1" applyAlignment="1" applyProtection="1">
      <alignment horizontal="justify" vertical="center" wrapText="1"/>
    </xf>
    <xf numFmtId="0" fontId="0" fillId="44" borderId="53" xfId="0" applyFont="1" applyFill="1" applyBorder="1" applyAlignment="1" applyProtection="1">
      <alignment horizontal="justify" vertical="center" wrapText="1"/>
    </xf>
    <xf numFmtId="0" fontId="0" fillId="39" borderId="54" xfId="0" applyFont="1" applyFill="1" applyBorder="1" applyAlignment="1" applyProtection="1">
      <alignment horizontal="justify" vertical="center" wrapText="1"/>
    </xf>
    <xf numFmtId="0" fontId="11" fillId="39" borderId="53" xfId="0" applyFont="1" applyFill="1" applyBorder="1" applyAlignment="1" applyProtection="1">
      <alignment horizontal="justify" vertical="center" wrapText="1"/>
    </xf>
    <xf numFmtId="0" fontId="11" fillId="41" borderId="54" xfId="0" applyFont="1" applyFill="1" applyBorder="1" applyAlignment="1" applyProtection="1">
      <alignment horizontal="justify" vertical="center" wrapText="1"/>
    </xf>
    <xf numFmtId="0" fontId="10" fillId="41" borderId="53" xfId="0" applyFont="1" applyFill="1" applyBorder="1" applyAlignment="1" applyProtection="1">
      <alignment horizontal="justify" vertical="center" wrapText="1"/>
    </xf>
    <xf numFmtId="0" fontId="10" fillId="7" borderId="54" xfId="0" applyFont="1" applyFill="1" applyBorder="1" applyAlignment="1" applyProtection="1">
      <alignment horizontal="justify" vertical="center" wrapText="1"/>
    </xf>
    <xf numFmtId="0" fontId="10" fillId="7" borderId="154" xfId="0" applyFont="1" applyFill="1" applyBorder="1" applyAlignment="1" applyProtection="1">
      <alignment horizontal="justify" vertical="center" wrapText="1"/>
    </xf>
    <xf numFmtId="0" fontId="11" fillId="42" borderId="54" xfId="0" applyFont="1" applyFill="1" applyBorder="1" applyAlignment="1" applyProtection="1">
      <alignment horizontal="justify" vertical="center" wrapText="1"/>
    </xf>
    <xf numFmtId="0" fontId="11" fillId="42" borderId="154" xfId="0" applyFont="1" applyFill="1" applyBorder="1" applyAlignment="1" applyProtection="1">
      <alignment horizontal="justify" vertical="center" wrapText="1"/>
    </xf>
    <xf numFmtId="0" fontId="11" fillId="42" borderId="53" xfId="0" applyFont="1" applyFill="1" applyBorder="1" applyAlignment="1" applyProtection="1">
      <alignment horizontal="justify" vertical="center" wrapText="1"/>
    </xf>
    <xf numFmtId="0" fontId="11" fillId="39" borderId="54" xfId="0" applyFont="1" applyFill="1" applyBorder="1" applyAlignment="1" applyProtection="1">
      <alignment horizontal="justify" vertical="center" wrapText="1"/>
    </xf>
    <xf numFmtId="0" fontId="10" fillId="40" borderId="154" xfId="0" applyFont="1" applyFill="1" applyBorder="1" applyAlignment="1" applyProtection="1">
      <alignment horizontal="justify" vertical="center" wrapText="1"/>
    </xf>
    <xf numFmtId="0" fontId="10" fillId="40" borderId="53" xfId="0" applyFont="1" applyFill="1" applyBorder="1" applyAlignment="1" applyProtection="1">
      <alignment horizontal="justify" vertical="center" wrapText="1"/>
    </xf>
    <xf numFmtId="0" fontId="10" fillId="51" borderId="54" xfId="0" applyFont="1" applyFill="1" applyBorder="1" applyAlignment="1" applyProtection="1">
      <alignment horizontal="justify" vertical="center" wrapText="1"/>
    </xf>
    <xf numFmtId="0" fontId="10" fillId="39" borderId="54" xfId="0" applyFont="1" applyFill="1" applyBorder="1" applyAlignment="1" applyProtection="1">
      <alignment horizontal="justify" vertical="center" wrapText="1"/>
    </xf>
    <xf numFmtId="0" fontId="10" fillId="17" borderId="154" xfId="0" applyFont="1" applyFill="1" applyBorder="1" applyAlignment="1" applyProtection="1">
      <alignment horizontal="justify" vertical="center" wrapText="1"/>
    </xf>
    <xf numFmtId="0" fontId="10" fillId="17" borderId="53" xfId="0" applyFont="1" applyFill="1" applyBorder="1" applyAlignment="1" applyProtection="1">
      <alignment horizontal="justify" vertical="center" wrapText="1"/>
    </xf>
    <xf numFmtId="0" fontId="10" fillId="7" borderId="53" xfId="0" applyFont="1" applyFill="1" applyBorder="1" applyAlignment="1" applyProtection="1">
      <alignment horizontal="justify" vertical="center" wrapText="1"/>
    </xf>
    <xf numFmtId="0" fontId="10" fillId="72" borderId="154" xfId="0" applyFont="1" applyFill="1" applyBorder="1" applyAlignment="1" applyProtection="1">
      <alignment horizontal="justify" vertical="center" wrapText="1"/>
    </xf>
    <xf numFmtId="0" fontId="10" fillId="38" borderId="53" xfId="0" applyFont="1" applyFill="1" applyBorder="1" applyAlignment="1" applyProtection="1">
      <alignment horizontal="justify" vertical="center" wrapText="1"/>
    </xf>
    <xf numFmtId="0" fontId="10" fillId="33" borderId="54" xfId="0" applyFont="1" applyFill="1" applyBorder="1" applyAlignment="1" applyProtection="1">
      <alignment horizontal="justify" vertical="center" wrapText="1"/>
    </xf>
    <xf numFmtId="0" fontId="10" fillId="33" borderId="154" xfId="0" applyFont="1" applyFill="1" applyBorder="1" applyAlignment="1" applyProtection="1">
      <alignment horizontal="justify" vertical="center" wrapText="1"/>
    </xf>
    <xf numFmtId="0" fontId="10" fillId="29" borderId="154" xfId="0" applyFont="1" applyFill="1" applyBorder="1" applyAlignment="1" applyProtection="1">
      <alignment horizontal="justify" vertical="center" wrapText="1"/>
    </xf>
    <xf numFmtId="0" fontId="0" fillId="42" borderId="53" xfId="0" applyFont="1" applyFill="1" applyBorder="1" applyAlignment="1" applyProtection="1">
      <alignment horizontal="justify" vertical="center" wrapText="1"/>
    </xf>
    <xf numFmtId="0" fontId="10" fillId="28" borderId="19" xfId="0" applyFont="1" applyFill="1" applyBorder="1" applyAlignment="1" applyProtection="1">
      <alignment horizontal="justify" vertical="center" wrapText="1"/>
    </xf>
    <xf numFmtId="0" fontId="10" fillId="28" borderId="154" xfId="0" applyFont="1" applyFill="1" applyBorder="1" applyAlignment="1" applyProtection="1">
      <alignment horizontal="justify" vertical="center" wrapText="1"/>
    </xf>
    <xf numFmtId="0" fontId="11" fillId="17" borderId="154" xfId="0" applyFont="1" applyFill="1" applyBorder="1" applyAlignment="1" applyProtection="1">
      <alignment horizontal="justify" vertical="center" wrapText="1"/>
    </xf>
    <xf numFmtId="0" fontId="11" fillId="17" borderId="53" xfId="0" applyFont="1" applyFill="1" applyBorder="1" applyAlignment="1" applyProtection="1">
      <alignment horizontal="justify" vertical="center" wrapText="1"/>
    </xf>
    <xf numFmtId="0" fontId="11" fillId="38" borderId="53" xfId="0" applyFont="1" applyFill="1" applyBorder="1" applyAlignment="1" applyProtection="1">
      <alignment horizontal="justify" vertical="center" wrapText="1"/>
    </xf>
    <xf numFmtId="0" fontId="11" fillId="40" borderId="54" xfId="0" applyFont="1" applyFill="1" applyBorder="1" applyAlignment="1" applyProtection="1">
      <alignment horizontal="justify" vertical="center" wrapText="1"/>
    </xf>
    <xf numFmtId="0" fontId="11" fillId="40" borderId="154" xfId="0" applyFont="1" applyFill="1" applyBorder="1" applyAlignment="1" applyProtection="1">
      <alignment horizontal="justify" vertical="center" wrapText="1"/>
    </xf>
    <xf numFmtId="0" fontId="11" fillId="40" borderId="53" xfId="0" applyFont="1" applyFill="1" applyBorder="1" applyAlignment="1" applyProtection="1">
      <alignment horizontal="justify" vertical="center" wrapText="1"/>
    </xf>
    <xf numFmtId="0" fontId="11" fillId="51" borderId="53" xfId="0" applyFont="1" applyFill="1" applyBorder="1" applyAlignment="1" applyProtection="1">
      <alignment horizontal="justify" vertical="center" wrapText="1"/>
    </xf>
    <xf numFmtId="0" fontId="11" fillId="40" borderId="42" xfId="8" applyFont="1" applyFill="1" applyBorder="1" applyAlignment="1" applyProtection="1">
      <alignment horizontal="justify" vertical="center" wrapText="1"/>
    </xf>
    <xf numFmtId="0" fontId="11" fillId="40" borderId="54" xfId="8" applyFont="1" applyFill="1" applyBorder="1" applyAlignment="1" applyProtection="1">
      <alignment horizontal="justify" vertical="center" wrapText="1"/>
    </xf>
    <xf numFmtId="0" fontId="11" fillId="40" borderId="182" xfId="8" applyFont="1" applyFill="1" applyBorder="1" applyAlignment="1" applyProtection="1">
      <alignment horizontal="justify" vertical="center" wrapText="1"/>
    </xf>
    <xf numFmtId="0" fontId="11" fillId="40" borderId="25" xfId="8" applyFont="1" applyFill="1" applyBorder="1" applyAlignment="1" applyProtection="1">
      <alignment horizontal="justify" vertical="center" wrapText="1"/>
    </xf>
    <xf numFmtId="0" fontId="11" fillId="40" borderId="178" xfId="8" applyFont="1" applyFill="1" applyBorder="1" applyAlignment="1" applyProtection="1">
      <alignment horizontal="justify" vertical="center" wrapText="1"/>
    </xf>
    <xf numFmtId="0" fontId="11" fillId="69" borderId="19" xfId="8" applyFont="1" applyFill="1" applyBorder="1" applyAlignment="1" applyProtection="1">
      <alignment horizontal="justify" vertical="center" wrapText="1"/>
    </xf>
    <xf numFmtId="0" fontId="11" fillId="69" borderId="154" xfId="8" applyFont="1" applyFill="1" applyBorder="1" applyAlignment="1" applyProtection="1">
      <alignment horizontal="justify" vertical="center" wrapText="1"/>
    </xf>
    <xf numFmtId="0" fontId="11" fillId="69" borderId="53" xfId="8" applyFont="1" applyFill="1" applyBorder="1" applyAlignment="1" applyProtection="1">
      <alignment horizontal="justify" vertical="center" wrapText="1"/>
    </xf>
    <xf numFmtId="0" fontId="11" fillId="7" borderId="53" xfId="0" applyFont="1" applyFill="1" applyBorder="1" applyAlignment="1" applyProtection="1">
      <alignment horizontal="justify" vertical="center" wrapText="1"/>
    </xf>
    <xf numFmtId="0" fontId="11" fillId="41" borderId="25" xfId="8" applyFont="1" applyFill="1" applyBorder="1" applyAlignment="1" applyProtection="1">
      <alignment horizontal="justify" vertical="center" wrapText="1"/>
    </xf>
    <xf numFmtId="0" fontId="11" fillId="41" borderId="54" xfId="8" applyFont="1" applyFill="1" applyBorder="1" applyAlignment="1" applyProtection="1">
      <alignment horizontal="justify" vertical="center" wrapText="1"/>
    </xf>
    <xf numFmtId="0" fontId="11" fillId="41" borderId="182" xfId="8" applyFont="1" applyFill="1" applyBorder="1" applyAlignment="1" applyProtection="1">
      <alignment horizontal="justify" vertical="center" wrapText="1"/>
    </xf>
    <xf numFmtId="0" fontId="11" fillId="41" borderId="178" xfId="8" applyFont="1" applyFill="1" applyBorder="1" applyAlignment="1" applyProtection="1">
      <alignment horizontal="justify" vertical="center" wrapText="1"/>
    </xf>
    <xf numFmtId="0" fontId="0" fillId="43" borderId="182" xfId="8" applyFont="1" applyFill="1" applyBorder="1" applyAlignment="1" applyProtection="1">
      <alignment horizontal="justify" vertical="center" wrapText="1"/>
    </xf>
    <xf numFmtId="0" fontId="0" fillId="43" borderId="25" xfId="8" applyFont="1" applyFill="1" applyBorder="1" applyAlignment="1" applyProtection="1">
      <alignment horizontal="justify" vertical="center" wrapText="1"/>
    </xf>
    <xf numFmtId="0" fontId="0" fillId="43" borderId="54" xfId="8" applyFont="1" applyFill="1" applyBorder="1" applyAlignment="1" applyProtection="1">
      <alignment horizontal="justify" vertical="center" wrapText="1"/>
    </xf>
    <xf numFmtId="0" fontId="11" fillId="43" borderId="182" xfId="8" applyFont="1" applyFill="1" applyBorder="1" applyAlignment="1" applyProtection="1">
      <alignment horizontal="justify" vertical="center" wrapText="1"/>
    </xf>
    <xf numFmtId="0" fontId="11" fillId="43" borderId="54" xfId="8" applyFont="1" applyFill="1" applyBorder="1" applyAlignment="1" applyProtection="1">
      <alignment horizontal="justify" vertical="center" wrapText="1"/>
    </xf>
    <xf numFmtId="0" fontId="11" fillId="43" borderId="25" xfId="8" applyFont="1" applyFill="1" applyBorder="1" applyAlignment="1" applyProtection="1">
      <alignment horizontal="justify" vertical="center" wrapText="1"/>
    </xf>
    <xf numFmtId="0" fontId="11" fillId="43" borderId="178" xfId="8" applyFont="1" applyFill="1" applyBorder="1" applyAlignment="1" applyProtection="1">
      <alignment horizontal="justify" vertical="center" wrapText="1"/>
    </xf>
    <xf numFmtId="0" fontId="11" fillId="29" borderId="182" xfId="8" applyFont="1" applyFill="1" applyBorder="1" applyAlignment="1" applyProtection="1">
      <alignment horizontal="justify" vertical="center" wrapText="1"/>
    </xf>
    <xf numFmtId="0" fontId="11" fillId="29" borderId="25" xfId="8" applyFont="1" applyFill="1" applyBorder="1" applyAlignment="1" applyProtection="1">
      <alignment horizontal="justify" vertical="center" wrapText="1"/>
    </xf>
    <xf numFmtId="0" fontId="11" fillId="29" borderId="54" xfId="8" applyFont="1" applyFill="1" applyBorder="1" applyAlignment="1" applyProtection="1">
      <alignment horizontal="justify" vertical="center" wrapText="1"/>
    </xf>
    <xf numFmtId="0" fontId="11" fillId="29" borderId="178" xfId="8" applyFont="1" applyFill="1" applyBorder="1" applyAlignment="1" applyProtection="1">
      <alignment horizontal="justify" vertical="center" wrapText="1"/>
    </xf>
    <xf numFmtId="0" fontId="11" fillId="39" borderId="42" xfId="8" applyFont="1" applyFill="1" applyBorder="1" applyAlignment="1" applyProtection="1">
      <alignment horizontal="justify" vertical="center" wrapText="1"/>
    </xf>
    <xf numFmtId="0" fontId="11" fillId="39" borderId="54" xfId="8" applyFont="1" applyFill="1" applyBorder="1" applyAlignment="1" applyProtection="1">
      <alignment horizontal="justify" vertical="center" wrapText="1"/>
    </xf>
    <xf numFmtId="0" fontId="11" fillId="39" borderId="182" xfId="8" applyFont="1" applyFill="1" applyBorder="1" applyAlignment="1" applyProtection="1">
      <alignment horizontal="justify" vertical="center" wrapText="1"/>
    </xf>
    <xf numFmtId="0" fontId="11" fillId="39" borderId="25" xfId="8" applyFont="1" applyFill="1" applyBorder="1" applyAlignment="1" applyProtection="1">
      <alignment horizontal="justify" vertical="center" wrapText="1"/>
    </xf>
    <xf numFmtId="0" fontId="11" fillId="38" borderId="182" xfId="8" applyFont="1" applyFill="1" applyBorder="1" applyAlignment="1" applyProtection="1">
      <alignment horizontal="justify" vertical="center" wrapText="1"/>
    </xf>
    <xf numFmtId="0" fontId="11" fillId="38" borderId="54" xfId="8" applyFont="1" applyFill="1" applyBorder="1" applyAlignment="1" applyProtection="1">
      <alignment horizontal="justify" vertical="center" wrapText="1"/>
    </xf>
    <xf numFmtId="0" fontId="11" fillId="17" borderId="42" xfId="0" applyFont="1" applyFill="1" applyBorder="1" applyAlignment="1" applyProtection="1">
      <alignment horizontal="justify" vertical="center" wrapText="1"/>
    </xf>
    <xf numFmtId="0" fontId="11" fillId="17" borderId="54" xfId="0" applyFont="1" applyFill="1" applyBorder="1" applyAlignment="1" applyProtection="1">
      <alignment horizontal="justify" vertical="center" wrapText="1"/>
    </xf>
    <xf numFmtId="0" fontId="11" fillId="17" borderId="182" xfId="0" applyFont="1" applyFill="1" applyBorder="1" applyAlignment="1" applyProtection="1">
      <alignment horizontal="justify" vertical="center" wrapText="1"/>
    </xf>
    <xf numFmtId="0" fontId="11" fillId="69" borderId="54" xfId="0" applyFont="1" applyFill="1" applyBorder="1" applyAlignment="1" applyProtection="1">
      <alignment horizontal="justify" vertical="center" wrapText="1"/>
    </xf>
    <xf numFmtId="0" fontId="11" fillId="69" borderId="154" xfId="0" applyFont="1" applyFill="1" applyBorder="1" applyAlignment="1" applyProtection="1">
      <alignment horizontal="justify" vertical="center" wrapText="1"/>
    </xf>
    <xf numFmtId="0" fontId="11" fillId="69" borderId="53" xfId="0" applyFont="1" applyFill="1" applyBorder="1" applyAlignment="1" applyProtection="1">
      <alignment horizontal="justify" vertical="center" wrapText="1"/>
    </xf>
    <xf numFmtId="0" fontId="11" fillId="41" borderId="42" xfId="8" applyFont="1" applyFill="1" applyBorder="1" applyAlignment="1" applyProtection="1">
      <alignment horizontal="justify" vertical="center" wrapText="1"/>
    </xf>
    <xf numFmtId="0" fontId="11" fillId="103" borderId="182" xfId="8" applyFont="1" applyFill="1" applyBorder="1" applyAlignment="1" applyProtection="1">
      <alignment horizontal="justify" vertical="center" wrapText="1"/>
    </xf>
    <xf numFmtId="0" fontId="11" fillId="103" borderId="54" xfId="8" applyFont="1" applyFill="1" applyBorder="1" applyAlignment="1" applyProtection="1">
      <alignment horizontal="justify" vertical="center" wrapText="1"/>
    </xf>
    <xf numFmtId="0" fontId="11" fillId="43" borderId="42" xfId="8" applyFont="1" applyFill="1" applyBorder="1" applyAlignment="1" applyProtection="1">
      <alignment horizontal="justify" vertical="center" wrapText="1"/>
    </xf>
    <xf numFmtId="0" fontId="10" fillId="29" borderId="27" xfId="0" applyFont="1" applyFill="1" applyBorder="1" applyAlignment="1" applyProtection="1">
      <alignment horizontal="justify" vertical="center" wrapText="1"/>
    </xf>
    <xf numFmtId="0" fontId="10" fillId="29" borderId="52" xfId="0" applyFont="1" applyFill="1" applyBorder="1" applyAlignment="1" applyProtection="1">
      <alignment horizontal="justify" vertical="center" wrapText="1"/>
    </xf>
    <xf numFmtId="0" fontId="0" fillId="68" borderId="46" xfId="0" applyFont="1" applyFill="1" applyBorder="1" applyAlignment="1" applyProtection="1">
      <alignment horizontal="center" vertical="center" wrapText="1"/>
      <protection locked="0"/>
    </xf>
    <xf numFmtId="0" fontId="0" fillId="116" borderId="46" xfId="0" applyFont="1" applyFill="1" applyBorder="1" applyAlignment="1" applyProtection="1">
      <alignment horizontal="center" vertical="center" wrapText="1"/>
      <protection locked="0"/>
    </xf>
    <xf numFmtId="0" fontId="11" fillId="38" borderId="45" xfId="0" applyFont="1" applyFill="1" applyBorder="1" applyAlignment="1" applyProtection="1">
      <alignment horizontal="center" vertical="center" wrapText="1"/>
      <protection locked="0"/>
    </xf>
    <xf numFmtId="0" fontId="11" fillId="38" borderId="46" xfId="0" applyFont="1" applyFill="1" applyBorder="1" applyAlignment="1" applyProtection="1">
      <alignment horizontal="center" vertical="center" wrapText="1"/>
      <protection locked="0"/>
    </xf>
    <xf numFmtId="0" fontId="10" fillId="38" borderId="46" xfId="0" applyFont="1" applyFill="1" applyBorder="1" applyAlignment="1" applyProtection="1">
      <alignment horizontal="center" vertical="center" wrapText="1"/>
      <protection locked="0"/>
    </xf>
    <xf numFmtId="0" fontId="0" fillId="38" borderId="46" xfId="0" applyFont="1" applyFill="1" applyBorder="1" applyAlignment="1" applyProtection="1">
      <alignment horizontal="center" vertical="center" wrapText="1"/>
      <protection locked="0"/>
    </xf>
    <xf numFmtId="0" fontId="10" fillId="51" borderId="60" xfId="0" applyFont="1" applyFill="1" applyBorder="1" applyAlignment="1" applyProtection="1">
      <alignment horizontal="center" vertical="center" wrapText="1"/>
      <protection locked="0"/>
    </xf>
    <xf numFmtId="0" fontId="10" fillId="51" borderId="46" xfId="0" applyFont="1" applyFill="1" applyBorder="1" applyAlignment="1" applyProtection="1">
      <alignment horizontal="center" vertical="center" wrapText="1"/>
      <protection locked="0"/>
    </xf>
    <xf numFmtId="0" fontId="0" fillId="38" borderId="19" xfId="0" applyFont="1" applyFill="1" applyBorder="1" applyAlignment="1" applyProtection="1">
      <alignment horizontal="justify" vertical="center" wrapText="1"/>
    </xf>
    <xf numFmtId="0" fontId="0" fillId="38" borderId="53" xfId="0" applyFont="1" applyFill="1" applyBorder="1" applyAlignment="1" applyProtection="1">
      <alignment horizontal="justify" vertical="center" wrapText="1"/>
    </xf>
    <xf numFmtId="0" fontId="0" fillId="103" borderId="154" xfId="0" applyFont="1" applyFill="1" applyBorder="1" applyAlignment="1" applyProtection="1">
      <alignment horizontal="justify" vertical="center" wrapText="1"/>
    </xf>
    <xf numFmtId="0" fontId="11" fillId="66" borderId="156" xfId="0" applyFont="1" applyFill="1" applyBorder="1" applyAlignment="1" applyProtection="1">
      <alignment horizontal="center" vertical="center" wrapText="1"/>
      <protection locked="0"/>
    </xf>
    <xf numFmtId="0" fontId="11" fillId="66" borderId="24" xfId="0" applyFont="1" applyFill="1" applyBorder="1" applyAlignment="1" applyProtection="1">
      <alignment horizontal="center" vertical="center" wrapText="1"/>
      <protection locked="0"/>
    </xf>
    <xf numFmtId="0" fontId="11" fillId="66" borderId="60" xfId="0" applyFont="1" applyFill="1" applyBorder="1" applyAlignment="1" applyProtection="1">
      <alignment horizontal="center" vertical="center" wrapText="1"/>
      <protection locked="0"/>
    </xf>
    <xf numFmtId="0" fontId="0" fillId="116" borderId="45" xfId="0" applyFont="1" applyFill="1" applyBorder="1" applyAlignment="1" applyProtection="1">
      <alignment horizontal="center" vertical="center" wrapText="1"/>
      <protection locked="0"/>
    </xf>
    <xf numFmtId="0" fontId="0" fillId="116" borderId="15" xfId="0" applyFont="1" applyFill="1" applyBorder="1" applyAlignment="1" applyProtection="1">
      <alignment horizontal="center" vertical="center" wrapText="1"/>
      <protection locked="0"/>
    </xf>
    <xf numFmtId="0" fontId="0" fillId="116" borderId="155" xfId="0" applyFont="1" applyFill="1" applyBorder="1" applyAlignment="1" applyProtection="1">
      <alignment horizontal="center" vertical="center" wrapText="1"/>
      <protection locked="0"/>
    </xf>
    <xf numFmtId="0" fontId="0" fillId="51" borderId="46" xfId="0" applyFont="1" applyFill="1" applyBorder="1" applyAlignment="1" applyProtection="1">
      <alignment horizontal="center" vertical="center" wrapText="1"/>
      <protection locked="0"/>
    </xf>
    <xf numFmtId="0" fontId="0" fillId="38" borderId="60" xfId="0" applyFont="1" applyFill="1" applyBorder="1" applyAlignment="1" applyProtection="1">
      <alignment horizontal="center" vertical="center" wrapText="1"/>
      <protection locked="0"/>
    </xf>
    <xf numFmtId="0" fontId="0" fillId="69" borderId="45" xfId="0" applyFont="1" applyFill="1" applyBorder="1" applyAlignment="1" applyProtection="1">
      <alignment horizontal="center" vertical="center" wrapText="1"/>
      <protection locked="0"/>
    </xf>
    <xf numFmtId="0" fontId="0" fillId="69" borderId="46" xfId="0" applyFont="1" applyFill="1" applyBorder="1" applyAlignment="1" applyProtection="1">
      <alignment horizontal="center" vertical="center" wrapText="1"/>
      <protection locked="0"/>
    </xf>
    <xf numFmtId="0" fontId="0" fillId="69" borderId="177" xfId="0" applyFont="1" applyFill="1" applyBorder="1" applyAlignment="1" applyProtection="1">
      <alignment horizontal="center" vertical="center" wrapText="1"/>
      <protection locked="0"/>
    </xf>
    <xf numFmtId="0" fontId="0" fillId="12" borderId="60" xfId="0" applyFont="1" applyFill="1" applyBorder="1" applyAlignment="1" applyProtection="1">
      <alignment horizontal="center" vertical="top" wrapText="1"/>
      <protection locked="0"/>
    </xf>
    <xf numFmtId="0" fontId="0" fillId="12" borderId="46" xfId="0" applyFont="1" applyFill="1" applyBorder="1" applyAlignment="1" applyProtection="1">
      <alignment horizontal="center" vertical="top" wrapText="1"/>
      <protection locked="0"/>
    </xf>
    <xf numFmtId="0" fontId="0" fillId="12" borderId="46" xfId="0" applyFont="1" applyFill="1" applyBorder="1" applyAlignment="1" applyProtection="1">
      <alignment horizontal="center" vertical="center" wrapText="1"/>
      <protection locked="0"/>
    </xf>
    <xf numFmtId="0" fontId="0" fillId="29" borderId="60" xfId="0" applyFont="1" applyFill="1" applyBorder="1" applyAlignment="1" applyProtection="1">
      <alignment horizontal="center" vertical="center" wrapText="1"/>
      <protection locked="0"/>
    </xf>
    <xf numFmtId="0" fontId="0" fillId="29" borderId="177" xfId="0" applyFont="1" applyFill="1" applyBorder="1" applyAlignment="1" applyProtection="1">
      <alignment horizontal="center" vertical="center" wrapText="1"/>
      <protection locked="0"/>
    </xf>
    <xf numFmtId="0" fontId="0" fillId="51" borderId="177" xfId="0" applyFont="1" applyFill="1" applyBorder="1" applyAlignment="1" applyProtection="1">
      <alignment horizontal="center" vertical="center" wrapText="1"/>
      <protection locked="0"/>
    </xf>
    <xf numFmtId="0" fontId="10" fillId="38" borderId="60" xfId="0" applyFont="1" applyFill="1" applyBorder="1" applyAlignment="1" applyProtection="1">
      <alignment horizontal="center" vertical="center" wrapText="1"/>
      <protection locked="0"/>
    </xf>
    <xf numFmtId="0" fontId="15" fillId="38" borderId="156" xfId="2" applyFont="1" applyFill="1" applyBorder="1" applyAlignment="1" applyProtection="1">
      <alignment horizontal="center" vertical="center" wrapText="1"/>
      <protection locked="0"/>
    </xf>
    <xf numFmtId="0" fontId="15" fillId="38" borderId="60" xfId="2" applyFont="1" applyFill="1" applyBorder="1" applyAlignment="1" applyProtection="1">
      <alignment horizontal="center" vertical="center" wrapText="1"/>
      <protection locked="0"/>
    </xf>
    <xf numFmtId="0" fontId="15" fillId="38" borderId="185" xfId="2" applyFont="1" applyFill="1" applyBorder="1" applyAlignment="1" applyProtection="1">
      <alignment horizontal="center" vertical="center" wrapText="1"/>
      <protection locked="0"/>
    </xf>
    <xf numFmtId="0" fontId="15" fillId="38" borderId="100" xfId="2" applyFont="1" applyFill="1" applyBorder="1" applyAlignment="1" applyProtection="1">
      <alignment horizontal="center" vertical="center" wrapText="1"/>
      <protection locked="0"/>
    </xf>
    <xf numFmtId="0" fontId="0" fillId="39" borderId="46" xfId="0" applyFont="1" applyFill="1" applyBorder="1" applyAlignment="1" applyProtection="1">
      <alignment horizontal="center" vertical="center" wrapText="1"/>
      <protection locked="0"/>
    </xf>
    <xf numFmtId="0" fontId="0" fillId="41" borderId="46" xfId="0" applyFont="1" applyFill="1" applyBorder="1" applyAlignment="1" applyProtection="1">
      <alignment horizontal="center" vertical="center" wrapText="1"/>
      <protection locked="0"/>
    </xf>
    <xf numFmtId="0" fontId="0" fillId="41" borderId="156" xfId="0" applyFont="1" applyFill="1" applyBorder="1" applyAlignment="1" applyProtection="1">
      <alignment horizontal="center" vertical="center" wrapText="1"/>
      <protection locked="0"/>
    </xf>
    <xf numFmtId="0" fontId="10" fillId="103" borderId="45" xfId="0" applyFont="1" applyFill="1" applyBorder="1" applyAlignment="1" applyProtection="1">
      <alignment horizontal="center" vertical="center" wrapText="1"/>
      <protection locked="0"/>
    </xf>
    <xf numFmtId="0" fontId="10" fillId="103" borderId="46" xfId="0" applyFont="1" applyFill="1" applyBorder="1" applyAlignment="1" applyProtection="1">
      <alignment horizontal="center" vertical="center" wrapText="1"/>
      <protection locked="0"/>
    </xf>
    <xf numFmtId="0" fontId="0" fillId="103" borderId="35" xfId="0" applyFont="1" applyFill="1" applyBorder="1" applyAlignment="1" applyProtection="1">
      <alignment horizontal="center" vertical="center" wrapText="1"/>
    </xf>
    <xf numFmtId="0" fontId="0" fillId="103" borderId="51" xfId="0" applyFont="1" applyFill="1" applyBorder="1" applyAlignment="1" applyProtection="1">
      <alignment horizontal="center" vertical="center" wrapText="1"/>
    </xf>
    <xf numFmtId="0" fontId="0" fillId="103" borderId="26" xfId="0" applyFont="1" applyFill="1" applyBorder="1" applyAlignment="1" applyProtection="1">
      <alignment horizontal="justify" vertical="center"/>
    </xf>
    <xf numFmtId="0" fontId="0" fillId="103" borderId="32" xfId="0" applyFont="1" applyFill="1" applyBorder="1" applyAlignment="1" applyProtection="1">
      <alignment horizontal="justify" vertical="center"/>
    </xf>
    <xf numFmtId="0" fontId="0" fillId="69" borderId="185" xfId="0" applyFont="1" applyFill="1" applyBorder="1" applyAlignment="1" applyProtection="1">
      <alignment horizontal="center" vertical="center" wrapText="1"/>
      <protection locked="0"/>
    </xf>
    <xf numFmtId="0" fontId="0" fillId="69" borderId="100" xfId="0" applyFont="1" applyFill="1" applyBorder="1" applyAlignment="1" applyProtection="1">
      <alignment horizontal="center" vertical="center" wrapText="1"/>
      <protection locked="0"/>
    </xf>
    <xf numFmtId="0" fontId="0" fillId="103" borderId="27" xfId="0" applyFont="1" applyFill="1" applyBorder="1" applyAlignment="1" applyProtection="1">
      <alignment horizontal="justify" vertical="center" wrapText="1"/>
    </xf>
    <xf numFmtId="0" fontId="0" fillId="103" borderId="52" xfId="0" applyFont="1" applyFill="1" applyBorder="1" applyAlignment="1" applyProtection="1">
      <alignment horizontal="justify" vertical="center" wrapText="1"/>
    </xf>
    <xf numFmtId="0" fontId="0" fillId="69" borderId="159" xfId="0" applyFont="1" applyFill="1" applyBorder="1" applyAlignment="1" applyProtection="1">
      <alignment horizontal="justify" vertical="center" wrapText="1"/>
    </xf>
    <xf numFmtId="0" fontId="0" fillId="69" borderId="52" xfId="0" applyFont="1" applyFill="1" applyBorder="1" applyAlignment="1" applyProtection="1">
      <alignment horizontal="justify" vertical="center" wrapText="1"/>
    </xf>
    <xf numFmtId="0" fontId="9" fillId="0" borderId="24" xfId="0" applyFont="1" applyFill="1" applyBorder="1" applyAlignment="1" applyProtection="1">
      <alignment horizontal="justify" vertical="center"/>
    </xf>
    <xf numFmtId="0" fontId="9" fillId="0" borderId="43" xfId="0" applyFont="1" applyFill="1" applyBorder="1" applyAlignment="1" applyProtection="1">
      <alignment horizontal="justify" vertical="center"/>
    </xf>
    <xf numFmtId="0" fontId="0" fillId="69" borderId="156" xfId="0" applyFont="1" applyFill="1" applyBorder="1" applyAlignment="1" applyProtection="1">
      <alignment horizontal="center" vertical="center" wrapText="1"/>
      <protection locked="0"/>
    </xf>
    <xf numFmtId="0" fontId="0" fillId="69" borderId="60" xfId="0" applyFont="1" applyFill="1" applyBorder="1" applyAlignment="1" applyProtection="1">
      <alignment horizontal="center" vertical="center" wrapText="1"/>
      <protection locked="0"/>
    </xf>
    <xf numFmtId="0" fontId="0" fillId="103" borderId="13" xfId="0" applyFont="1" applyFill="1" applyBorder="1" applyAlignment="1" applyProtection="1">
      <alignment horizontal="center" vertical="center" wrapText="1"/>
      <protection locked="0"/>
    </xf>
    <xf numFmtId="0" fontId="0" fillId="103" borderId="60" xfId="0" applyFont="1" applyFill="1" applyBorder="1" applyAlignment="1" applyProtection="1">
      <alignment horizontal="center" vertical="center" wrapText="1"/>
      <protection locked="0"/>
    </xf>
    <xf numFmtId="0" fontId="0" fillId="103" borderId="40" xfId="0" applyFont="1" applyFill="1" applyBorder="1" applyAlignment="1" applyProtection="1">
      <alignment horizontal="center" vertical="center" wrapText="1"/>
      <protection locked="0"/>
    </xf>
    <xf numFmtId="0" fontId="0" fillId="103" borderId="100" xfId="0" applyFont="1" applyFill="1" applyBorder="1" applyAlignment="1" applyProtection="1">
      <alignment horizontal="center" vertical="center" wrapText="1"/>
      <protection locked="0"/>
    </xf>
    <xf numFmtId="0" fontId="3" fillId="38" borderId="13" xfId="0" applyFont="1" applyFill="1" applyBorder="1" applyAlignment="1" applyProtection="1">
      <alignment horizontal="justify" vertical="center" wrapText="1"/>
    </xf>
    <xf numFmtId="0" fontId="3" fillId="38" borderId="24" xfId="0" applyFont="1" applyFill="1" applyBorder="1" applyAlignment="1" applyProtection="1">
      <alignment horizontal="justify" vertical="center" wrapText="1"/>
    </xf>
    <xf numFmtId="0" fontId="3" fillId="38" borderId="43" xfId="0" applyFont="1" applyFill="1" applyBorder="1" applyAlignment="1" applyProtection="1">
      <alignment horizontal="justify" vertical="center" wrapText="1"/>
    </xf>
    <xf numFmtId="0" fontId="3" fillId="40" borderId="13" xfId="0" applyFont="1" applyFill="1" applyBorder="1" applyAlignment="1" applyProtection="1">
      <alignment horizontal="justify" vertical="center" wrapText="1"/>
    </xf>
    <xf numFmtId="0" fontId="3" fillId="40" borderId="24" xfId="0" applyFont="1" applyFill="1" applyBorder="1" applyAlignment="1" applyProtection="1">
      <alignment horizontal="justify" vertical="center" wrapText="1"/>
    </xf>
    <xf numFmtId="0" fontId="3" fillId="40" borderId="43" xfId="0" applyFont="1" applyFill="1" applyBorder="1" applyAlignment="1" applyProtection="1">
      <alignment horizontal="justify" vertical="center" wrapText="1"/>
    </xf>
    <xf numFmtId="0" fontId="3" fillId="43" borderId="13" xfId="0" applyFont="1" applyFill="1" applyBorder="1" applyAlignment="1" applyProtection="1">
      <alignment horizontal="justify" vertical="center" wrapText="1"/>
    </xf>
    <xf numFmtId="0" fontId="3" fillId="43" borderId="24" xfId="0" applyFont="1" applyFill="1" applyBorder="1" applyAlignment="1" applyProtection="1">
      <alignment horizontal="justify" vertical="center" wrapText="1"/>
    </xf>
    <xf numFmtId="0" fontId="8" fillId="38" borderId="183" xfId="0" applyFont="1" applyFill="1" applyBorder="1" applyAlignment="1" applyProtection="1">
      <alignment horizontal="justify" vertical="center" wrapText="1"/>
    </xf>
    <xf numFmtId="0" fontId="8" fillId="38" borderId="24" xfId="0" applyFont="1" applyFill="1" applyBorder="1" applyAlignment="1" applyProtection="1">
      <alignment horizontal="justify" vertical="center" wrapText="1"/>
    </xf>
    <xf numFmtId="0" fontId="8" fillId="38" borderId="13" xfId="0" applyFont="1" applyFill="1" applyBorder="1" applyAlignment="1" applyProtection="1">
      <alignment horizontal="justify" vertical="center" wrapText="1"/>
    </xf>
    <xf numFmtId="0" fontId="8" fillId="38" borderId="43" xfId="0" applyFont="1" applyFill="1" applyBorder="1" applyAlignment="1" applyProtection="1">
      <alignment horizontal="justify" vertical="center" wrapText="1"/>
    </xf>
    <xf numFmtId="0" fontId="8" fillId="41" borderId="13" xfId="0" applyFont="1" applyFill="1" applyBorder="1" applyAlignment="1" applyProtection="1">
      <alignment horizontal="justify" vertical="center" wrapText="1"/>
    </xf>
    <xf numFmtId="0" fontId="8" fillId="41" borderId="24" xfId="0" applyFont="1" applyFill="1" applyBorder="1" applyAlignment="1" applyProtection="1">
      <alignment horizontal="justify" vertical="center" wrapText="1"/>
    </xf>
    <xf numFmtId="0" fontId="8" fillId="41" borderId="43" xfId="0" applyFont="1" applyFill="1" applyBorder="1" applyAlignment="1" applyProtection="1">
      <alignment horizontal="justify" vertical="center" wrapText="1"/>
    </xf>
    <xf numFmtId="0" fontId="8" fillId="7" borderId="13" xfId="0" applyFont="1" applyFill="1" applyBorder="1" applyAlignment="1" applyProtection="1">
      <alignment horizontal="justify" vertical="center" wrapText="1"/>
    </xf>
    <xf numFmtId="0" fontId="8" fillId="7" borderId="24" xfId="0" applyFont="1" applyFill="1" applyBorder="1" applyAlignment="1" applyProtection="1">
      <alignment horizontal="justify" vertical="center" wrapText="1"/>
    </xf>
    <xf numFmtId="0" fontId="8" fillId="7" borderId="43" xfId="0" applyFont="1" applyFill="1" applyBorder="1" applyAlignment="1" applyProtection="1">
      <alignment horizontal="justify" vertical="center" wrapText="1"/>
    </xf>
    <xf numFmtId="0" fontId="9" fillId="28" borderId="13" xfId="0" applyFont="1" applyFill="1" applyBorder="1" applyAlignment="1" applyProtection="1">
      <alignment horizontal="justify" vertical="center" wrapText="1"/>
    </xf>
    <xf numFmtId="0" fontId="9" fillId="28" borderId="24" xfId="0" applyFont="1" applyFill="1" applyBorder="1" applyAlignment="1" applyProtection="1">
      <alignment horizontal="justify" vertical="center" wrapText="1"/>
    </xf>
    <xf numFmtId="0" fontId="9" fillId="28" borderId="43" xfId="0" applyFont="1" applyFill="1" applyBorder="1" applyAlignment="1" applyProtection="1">
      <alignment horizontal="justify" vertical="center" wrapText="1"/>
    </xf>
    <xf numFmtId="0" fontId="8" fillId="42" borderId="24" xfId="0" applyFont="1" applyFill="1" applyBorder="1" applyAlignment="1" applyProtection="1">
      <alignment horizontal="justify" vertical="center" wrapText="1"/>
    </xf>
    <xf numFmtId="0" fontId="8" fillId="42" borderId="43" xfId="0" applyFont="1" applyFill="1" applyBorder="1" applyAlignment="1" applyProtection="1">
      <alignment horizontal="justify" vertical="center" wrapText="1"/>
    </xf>
    <xf numFmtId="0" fontId="3" fillId="41" borderId="24" xfId="0" applyFont="1" applyFill="1" applyBorder="1" applyAlignment="1" applyProtection="1">
      <alignment horizontal="justify" vertical="center" wrapText="1"/>
    </xf>
    <xf numFmtId="0" fontId="3" fillId="41" borderId="43" xfId="0" applyFont="1" applyFill="1" applyBorder="1" applyAlignment="1" applyProtection="1">
      <alignment horizontal="justify" vertical="center" wrapText="1"/>
    </xf>
    <xf numFmtId="0" fontId="9" fillId="42" borderId="24" xfId="0" applyFont="1" applyFill="1" applyBorder="1" applyAlignment="1" applyProtection="1">
      <alignment horizontal="justify" vertical="center" wrapText="1"/>
    </xf>
    <xf numFmtId="0" fontId="9" fillId="42" borderId="43" xfId="0" applyFont="1" applyFill="1" applyBorder="1" applyAlignment="1" applyProtection="1">
      <alignment horizontal="justify" vertical="center" wrapText="1"/>
    </xf>
    <xf numFmtId="0" fontId="9" fillId="44" borderId="13" xfId="0" applyFont="1" applyFill="1" applyBorder="1" applyAlignment="1" applyProtection="1">
      <alignment horizontal="justify" vertical="center" wrapText="1"/>
    </xf>
    <xf numFmtId="0" fontId="9" fillId="44" borderId="24" xfId="0" applyFont="1" applyFill="1" applyBorder="1" applyAlignment="1" applyProtection="1">
      <alignment horizontal="justify" vertical="center" wrapText="1"/>
    </xf>
    <xf numFmtId="0" fontId="9" fillId="44" borderId="43" xfId="0" applyFont="1" applyFill="1" applyBorder="1" applyAlignment="1" applyProtection="1">
      <alignment horizontal="justify" vertical="center" wrapText="1"/>
    </xf>
    <xf numFmtId="0" fontId="9" fillId="103" borderId="13" xfId="0" applyFont="1" applyFill="1" applyBorder="1" applyAlignment="1" applyProtection="1">
      <alignment horizontal="justify" vertical="center" wrapText="1"/>
    </xf>
    <xf numFmtId="0" fontId="9" fillId="103" borderId="24" xfId="0" applyFont="1" applyFill="1" applyBorder="1" applyAlignment="1" applyProtection="1">
      <alignment horizontal="justify" vertical="center" wrapText="1"/>
    </xf>
    <xf numFmtId="0" fontId="9" fillId="103" borderId="43" xfId="0" applyFont="1" applyFill="1" applyBorder="1" applyAlignment="1" applyProtection="1">
      <alignment horizontal="justify" vertical="center" wrapText="1"/>
    </xf>
    <xf numFmtId="0" fontId="9" fillId="39" borderId="13" xfId="0" applyFont="1" applyFill="1" applyBorder="1" applyAlignment="1" applyProtection="1">
      <alignment horizontal="justify" vertical="center" wrapText="1"/>
    </xf>
    <xf numFmtId="0" fontId="9" fillId="39" borderId="24" xfId="0" applyFont="1" applyFill="1" applyBorder="1" applyAlignment="1" applyProtection="1">
      <alignment horizontal="justify" vertical="center" wrapText="1"/>
    </xf>
    <xf numFmtId="0" fontId="9" fillId="39" borderId="43" xfId="0" applyFont="1" applyFill="1" applyBorder="1" applyAlignment="1" applyProtection="1">
      <alignment horizontal="justify" vertical="center" wrapText="1"/>
    </xf>
    <xf numFmtId="0" fontId="9" fillId="38" borderId="13" xfId="6" applyFont="1" applyFill="1" applyBorder="1" applyAlignment="1" applyProtection="1">
      <alignment horizontal="justify" vertical="center" wrapText="1"/>
    </xf>
    <xf numFmtId="0" fontId="9" fillId="38" borderId="24" xfId="6" applyFont="1" applyFill="1" applyBorder="1" applyAlignment="1" applyProtection="1">
      <alignment horizontal="justify" vertical="center" wrapText="1"/>
    </xf>
    <xf numFmtId="0" fontId="9" fillId="38" borderId="43" xfId="6" applyFont="1" applyFill="1" applyBorder="1" applyAlignment="1" applyProtection="1">
      <alignment horizontal="justify" vertical="center" wrapText="1"/>
    </xf>
    <xf numFmtId="3" fontId="8" fillId="5" borderId="5" xfId="0" applyNumberFormat="1" applyFont="1" applyFill="1" applyBorder="1" applyAlignment="1" applyProtection="1">
      <alignment horizontal="center" vertical="center"/>
      <protection locked="0"/>
    </xf>
    <xf numFmtId="3" fontId="8" fillId="6" borderId="34" xfId="0" applyNumberFormat="1" applyFont="1" applyFill="1" applyBorder="1" applyAlignment="1" applyProtection="1">
      <alignment horizontal="center" vertical="center" wrapText="1"/>
      <protection locked="0"/>
    </xf>
    <xf numFmtId="3" fontId="8" fillId="6" borderId="35" xfId="0" applyNumberFormat="1" applyFont="1" applyFill="1" applyBorder="1" applyAlignment="1" applyProtection="1">
      <alignment horizontal="center" vertical="center" wrapText="1"/>
      <protection locked="0"/>
    </xf>
    <xf numFmtId="3" fontId="8" fillId="6" borderId="55" xfId="0" applyNumberFormat="1" applyFont="1" applyFill="1" applyBorder="1" applyAlignment="1" applyProtection="1">
      <alignment horizontal="center" vertical="center" wrapText="1"/>
      <protection locked="0"/>
    </xf>
    <xf numFmtId="9" fontId="8" fillId="71" borderId="184" xfId="5" applyFont="1" applyFill="1" applyBorder="1" applyAlignment="1" applyProtection="1">
      <alignment horizontal="center" vertical="center" wrapText="1"/>
      <protection locked="0"/>
    </xf>
    <xf numFmtId="9" fontId="8" fillId="71" borderId="30" xfId="5" applyFont="1" applyFill="1" applyBorder="1" applyAlignment="1" applyProtection="1">
      <alignment horizontal="center" vertical="center" wrapText="1"/>
      <protection locked="0"/>
    </xf>
    <xf numFmtId="0" fontId="8" fillId="6" borderId="56" xfId="0" applyFont="1" applyFill="1" applyBorder="1" applyAlignment="1" applyProtection="1">
      <alignment horizontal="center" vertical="center" wrapText="1"/>
      <protection locked="0"/>
    </xf>
    <xf numFmtId="0" fontId="8" fillId="6" borderId="57" xfId="0" applyFont="1" applyFill="1" applyBorder="1" applyAlignment="1" applyProtection="1">
      <alignment horizontal="center" vertical="center" wrapText="1"/>
      <protection locked="0"/>
    </xf>
    <xf numFmtId="191" fontId="8" fillId="6" borderId="4" xfId="10" applyNumberFormat="1" applyFont="1" applyFill="1" applyBorder="1" applyAlignment="1" applyProtection="1">
      <alignment horizontal="center" vertical="center" wrapText="1"/>
      <protection locked="0"/>
    </xf>
    <xf numFmtId="191" fontId="8" fillId="6" borderId="5" xfId="10" applyNumberFormat="1" applyFont="1" applyFill="1" applyBorder="1" applyAlignment="1" applyProtection="1">
      <alignment horizontal="center" vertical="center" wrapText="1"/>
      <protection locked="0"/>
    </xf>
    <xf numFmtId="191" fontId="8" fillId="6" borderId="6" xfId="10" applyNumberFormat="1" applyFont="1" applyFill="1" applyBorder="1" applyAlignment="1" applyProtection="1">
      <alignment horizontal="center" vertical="center" wrapText="1"/>
      <protection locked="0"/>
    </xf>
    <xf numFmtId="191" fontId="8" fillId="8" borderId="13" xfId="10" applyNumberFormat="1" applyFont="1" applyFill="1" applyBorder="1" applyAlignment="1" applyProtection="1">
      <alignment horizontal="center" vertical="center" wrapText="1"/>
      <protection locked="0"/>
    </xf>
    <xf numFmtId="191" fontId="8" fillId="8" borderId="43" xfId="10" applyNumberFormat="1" applyFont="1" applyFill="1" applyBorder="1" applyAlignment="1" applyProtection="1">
      <alignment horizontal="center" vertical="center" wrapText="1"/>
      <protection locked="0"/>
    </xf>
    <xf numFmtId="191" fontId="11" fillId="9" borderId="34" xfId="10" applyNumberFormat="1" applyFont="1" applyFill="1" applyBorder="1" applyAlignment="1" applyProtection="1">
      <alignment horizontal="center" vertical="center" textRotation="90" wrapText="1"/>
      <protection locked="0"/>
    </xf>
    <xf numFmtId="191" fontId="11" fillId="9" borderId="55" xfId="10" applyNumberFormat="1" applyFont="1" applyFill="1" applyBorder="1" applyAlignment="1" applyProtection="1">
      <alignment horizontal="center" vertical="center" textRotation="90" wrapText="1"/>
      <protection locked="0"/>
    </xf>
    <xf numFmtId="191" fontId="11" fillId="9" borderId="10" xfId="10" applyNumberFormat="1" applyFont="1" applyFill="1" applyBorder="1" applyAlignment="1" applyProtection="1">
      <alignment horizontal="center" vertical="center" textRotation="90" wrapText="1"/>
      <protection locked="0"/>
    </xf>
    <xf numFmtId="191" fontId="11" fillId="9" borderId="56" xfId="10" applyNumberFormat="1" applyFont="1" applyFill="1" applyBorder="1" applyAlignment="1" applyProtection="1">
      <alignment horizontal="center" vertical="center" textRotation="90" wrapText="1"/>
      <protection locked="0"/>
    </xf>
    <xf numFmtId="191" fontId="11" fillId="9" borderId="14" xfId="10" applyNumberFormat="1" applyFont="1" applyFill="1" applyBorder="1" applyAlignment="1" applyProtection="1">
      <alignment horizontal="center" vertical="center" textRotation="90" wrapText="1"/>
      <protection locked="0"/>
    </xf>
    <xf numFmtId="191" fontId="11" fillId="9" borderId="57" xfId="10" applyNumberFormat="1" applyFont="1" applyFill="1" applyBorder="1" applyAlignment="1" applyProtection="1">
      <alignment horizontal="center" vertical="center" textRotation="90" wrapText="1"/>
      <protection locked="0"/>
    </xf>
    <xf numFmtId="191" fontId="8" fillId="9" borderId="16" xfId="10" applyNumberFormat="1" applyFont="1" applyFill="1" applyBorder="1" applyAlignment="1" applyProtection="1">
      <alignment horizontal="center" vertical="center" wrapText="1"/>
      <protection locked="0"/>
    </xf>
    <xf numFmtId="191" fontId="8" fillId="9" borderId="15" xfId="10" applyNumberFormat="1" applyFont="1" applyFill="1" applyBorder="1" applyAlignment="1" applyProtection="1">
      <alignment horizontal="center" vertical="center" wrapText="1"/>
      <protection locked="0"/>
    </xf>
    <xf numFmtId="191" fontId="8" fillId="9" borderId="17" xfId="10" applyNumberFormat="1" applyFont="1" applyFill="1" applyBorder="1" applyAlignment="1" applyProtection="1">
      <alignment horizontal="center" vertical="center" wrapText="1"/>
      <protection locked="0"/>
    </xf>
    <xf numFmtId="191" fontId="3" fillId="4" borderId="16" xfId="10" applyNumberFormat="1" applyFont="1" applyFill="1" applyBorder="1" applyAlignment="1" applyProtection="1">
      <alignment horizontal="center" vertical="center"/>
      <protection locked="0"/>
    </xf>
    <xf numFmtId="191" fontId="3" fillId="4" borderId="17" xfId="10" applyNumberFormat="1" applyFont="1" applyFill="1" applyBorder="1" applyAlignment="1" applyProtection="1">
      <alignment horizontal="center" vertical="center"/>
      <protection locked="0"/>
    </xf>
    <xf numFmtId="191" fontId="3" fillId="4" borderId="15" xfId="10" applyNumberFormat="1" applyFont="1" applyFill="1" applyBorder="1" applyAlignment="1" applyProtection="1">
      <alignment horizontal="center" vertical="center"/>
      <protection locked="0"/>
    </xf>
    <xf numFmtId="0" fontId="3" fillId="4" borderId="43" xfId="0" applyFont="1" applyFill="1" applyBorder="1" applyAlignment="1" applyProtection="1">
      <alignment horizontal="center" vertical="center" wrapText="1"/>
      <protection locked="0"/>
    </xf>
    <xf numFmtId="0" fontId="8" fillId="10" borderId="43" xfId="0" applyFont="1" applyFill="1" applyBorder="1" applyAlignment="1" applyProtection="1">
      <alignment horizontal="center" vertical="center" wrapText="1"/>
      <protection locked="0"/>
    </xf>
    <xf numFmtId="0" fontId="3" fillId="4" borderId="55" xfId="0" applyFont="1" applyFill="1" applyBorder="1" applyAlignment="1" applyProtection="1">
      <alignment horizontal="center" vertical="center" wrapText="1"/>
      <protection locked="0"/>
    </xf>
    <xf numFmtId="0" fontId="10" fillId="66" borderId="60" xfId="0" applyFont="1" applyFill="1" applyBorder="1" applyAlignment="1" applyProtection="1">
      <alignment horizontal="center" vertical="center" wrapText="1"/>
      <protection locked="0"/>
    </xf>
    <xf numFmtId="0" fontId="10" fillId="66" borderId="46" xfId="0" applyFont="1" applyFill="1" applyBorder="1" applyAlignment="1" applyProtection="1">
      <alignment horizontal="center" vertical="center" wrapText="1"/>
      <protection locked="0"/>
    </xf>
    <xf numFmtId="0" fontId="11" fillId="41" borderId="46" xfId="0" applyFont="1" applyFill="1" applyBorder="1" applyAlignment="1" applyProtection="1">
      <alignment horizontal="center" vertical="center" wrapText="1"/>
      <protection locked="0"/>
    </xf>
    <xf numFmtId="0" fontId="0" fillId="41" borderId="177" xfId="0" applyFont="1" applyFill="1" applyBorder="1" applyAlignment="1" applyProtection="1">
      <alignment horizontal="center" vertical="center" wrapText="1"/>
      <protection locked="0"/>
    </xf>
    <xf numFmtId="0" fontId="10" fillId="38" borderId="45" xfId="0" applyFont="1" applyFill="1" applyBorder="1" applyAlignment="1" applyProtection="1">
      <alignment horizontal="center" vertical="center" wrapText="1"/>
      <protection locked="0"/>
    </xf>
    <xf numFmtId="0" fontId="10" fillId="51" borderId="177" xfId="0" applyFont="1" applyFill="1" applyBorder="1" applyAlignment="1" applyProtection="1">
      <alignment horizontal="center" vertical="center" wrapText="1"/>
      <protection locked="0"/>
    </xf>
    <xf numFmtId="0" fontId="11" fillId="38" borderId="177" xfId="0" applyFont="1" applyFill="1" applyBorder="1" applyAlignment="1" applyProtection="1">
      <alignment horizontal="center" vertical="center" wrapText="1"/>
      <protection locked="0"/>
    </xf>
    <xf numFmtId="0" fontId="11" fillId="39" borderId="45" xfId="0" applyFont="1" applyFill="1" applyBorder="1" applyAlignment="1" applyProtection="1">
      <alignment horizontal="center" vertical="center" wrapText="1"/>
      <protection locked="0"/>
    </xf>
    <xf numFmtId="0" fontId="11" fillId="39" borderId="46" xfId="0" applyFont="1" applyFill="1" applyBorder="1" applyAlignment="1" applyProtection="1">
      <alignment horizontal="center" vertical="center" wrapText="1"/>
      <protection locked="0"/>
    </xf>
    <xf numFmtId="0" fontId="11" fillId="51" borderId="45" xfId="0" applyFont="1" applyFill="1" applyBorder="1" applyAlignment="1" applyProtection="1">
      <alignment horizontal="center" vertical="center" wrapText="1"/>
      <protection locked="0"/>
    </xf>
    <xf numFmtId="0" fontId="11" fillId="51" borderId="46" xfId="0" applyFont="1" applyFill="1" applyBorder="1" applyAlignment="1" applyProtection="1">
      <alignment horizontal="center" vertical="center" wrapText="1"/>
      <protection locked="0"/>
    </xf>
    <xf numFmtId="0" fontId="11" fillId="51" borderId="156" xfId="0" applyFont="1" applyFill="1" applyBorder="1" applyAlignment="1" applyProtection="1">
      <alignment horizontal="center" vertical="center" wrapText="1"/>
      <protection locked="0"/>
    </xf>
    <xf numFmtId="0" fontId="11" fillId="51" borderId="60" xfId="0" applyFont="1" applyFill="1" applyBorder="1" applyAlignment="1" applyProtection="1">
      <alignment horizontal="center" vertical="center" wrapText="1"/>
      <protection locked="0"/>
    </xf>
    <xf numFmtId="0" fontId="11" fillId="7" borderId="46" xfId="0" applyFont="1" applyFill="1" applyBorder="1" applyAlignment="1" applyProtection="1">
      <alignment horizontal="center" vertical="center" wrapText="1"/>
      <protection locked="0"/>
    </xf>
    <xf numFmtId="0" fontId="11" fillId="38" borderId="60" xfId="0" applyFont="1" applyFill="1" applyBorder="1" applyAlignment="1" applyProtection="1">
      <alignment horizontal="center" vertical="center" wrapText="1"/>
      <protection locked="0"/>
    </xf>
    <xf numFmtId="0" fontId="10" fillId="103" borderId="177" xfId="0" applyFont="1" applyFill="1" applyBorder="1" applyAlignment="1" applyProtection="1">
      <alignment horizontal="center" vertical="center" wrapText="1"/>
      <protection locked="0"/>
    </xf>
    <xf numFmtId="0" fontId="10" fillId="39" borderId="46" xfId="0" applyFont="1" applyFill="1" applyBorder="1" applyAlignment="1" applyProtection="1">
      <alignment horizontal="center" vertical="center" wrapText="1"/>
      <protection locked="0"/>
    </xf>
    <xf numFmtId="0" fontId="10" fillId="39" borderId="177" xfId="0" applyFont="1" applyFill="1" applyBorder="1" applyAlignment="1" applyProtection="1">
      <alignment horizontal="center" vertical="center" wrapText="1"/>
      <protection locked="0"/>
    </xf>
    <xf numFmtId="0" fontId="10" fillId="44" borderId="46" xfId="0" applyFont="1" applyFill="1" applyBorder="1" applyAlignment="1" applyProtection="1">
      <alignment horizontal="center" vertical="center" wrapText="1"/>
      <protection locked="0"/>
    </xf>
    <xf numFmtId="1" fontId="10" fillId="38" borderId="46" xfId="0" applyNumberFormat="1" applyFont="1" applyFill="1" applyBorder="1" applyAlignment="1" applyProtection="1">
      <alignment horizontal="center" vertical="center" wrapText="1"/>
      <protection locked="0"/>
    </xf>
    <xf numFmtId="0" fontId="0" fillId="103" borderId="46" xfId="0" applyFont="1" applyFill="1" applyBorder="1" applyAlignment="1" applyProtection="1">
      <alignment horizontal="center" vertical="center"/>
      <protection locked="0"/>
    </xf>
    <xf numFmtId="0" fontId="10" fillId="41" borderId="46" xfId="0" applyFont="1" applyFill="1" applyBorder="1" applyAlignment="1" applyProtection="1">
      <alignment horizontal="center" vertical="center" wrapText="1"/>
      <protection locked="0"/>
    </xf>
    <xf numFmtId="0" fontId="0" fillId="7" borderId="46" xfId="0" applyFont="1" applyFill="1" applyBorder="1" applyAlignment="1" applyProtection="1">
      <alignment horizontal="center" vertical="center" wrapText="1"/>
      <protection locked="0"/>
    </xf>
    <xf numFmtId="0" fontId="10" fillId="42" borderId="46" xfId="0" applyFont="1" applyFill="1" applyBorder="1" applyAlignment="1" applyProtection="1">
      <alignment horizontal="center" vertical="center" wrapText="1"/>
      <protection locked="0"/>
    </xf>
    <xf numFmtId="3" fontId="0" fillId="39" borderId="46" xfId="0" applyNumberFormat="1" applyFont="1" applyFill="1" applyBorder="1" applyAlignment="1" applyProtection="1">
      <alignment horizontal="center" vertical="center" wrapText="1"/>
      <protection locked="0"/>
    </xf>
    <xf numFmtId="3" fontId="0" fillId="38" borderId="46" xfId="0" applyNumberFormat="1" applyFont="1" applyFill="1" applyBorder="1" applyAlignment="1" applyProtection="1">
      <alignment horizontal="center" vertical="center" wrapText="1"/>
      <protection locked="0"/>
    </xf>
    <xf numFmtId="0" fontId="0" fillId="33" borderId="60" xfId="0" applyFont="1" applyFill="1" applyBorder="1" applyAlignment="1" applyProtection="1">
      <alignment horizontal="center" vertical="center" wrapText="1"/>
      <protection locked="0"/>
    </xf>
    <xf numFmtId="0" fontId="0" fillId="33" borderId="46" xfId="0" applyFont="1" applyFill="1" applyBorder="1" applyAlignment="1" applyProtection="1">
      <alignment horizontal="center" vertical="center" wrapText="1"/>
      <protection locked="0"/>
    </xf>
    <xf numFmtId="0" fontId="0" fillId="51" borderId="60" xfId="0" applyFont="1" applyFill="1" applyBorder="1" applyAlignment="1" applyProtection="1">
      <alignment horizontal="center" vertical="center" wrapText="1"/>
      <protection locked="0"/>
    </xf>
    <xf numFmtId="0" fontId="0" fillId="44" borderId="46" xfId="0" applyFont="1" applyFill="1" applyBorder="1" applyAlignment="1" applyProtection="1">
      <alignment horizontal="center" vertical="center" wrapText="1"/>
      <protection locked="0"/>
    </xf>
    <xf numFmtId="0" fontId="0" fillId="44" borderId="177" xfId="0" applyFont="1" applyFill="1" applyBorder="1" applyAlignment="1" applyProtection="1">
      <alignment horizontal="center" vertical="center" wrapText="1"/>
      <protection locked="0"/>
    </xf>
    <xf numFmtId="0" fontId="0" fillId="39" borderId="60" xfId="0" applyFont="1" applyFill="1" applyBorder="1" applyAlignment="1" applyProtection="1">
      <alignment horizontal="center" vertical="center" wrapText="1"/>
      <protection locked="0"/>
    </xf>
    <xf numFmtId="0" fontId="0" fillId="39" borderId="177" xfId="0" applyFont="1" applyFill="1" applyBorder="1" applyAlignment="1" applyProtection="1">
      <alignment horizontal="center" vertical="center" wrapText="1"/>
      <protection locked="0"/>
    </xf>
    <xf numFmtId="0" fontId="0" fillId="42" borderId="45" xfId="0" applyFont="1" applyFill="1" applyBorder="1" applyAlignment="1" applyProtection="1">
      <alignment horizontal="center" vertical="center" wrapText="1"/>
      <protection locked="0"/>
    </xf>
    <xf numFmtId="0" fontId="0" fillId="42" borderId="46" xfId="0" applyFont="1" applyFill="1" applyBorder="1" applyAlignment="1" applyProtection="1">
      <alignment horizontal="center" vertical="center" wrapText="1"/>
      <protection locked="0"/>
    </xf>
    <xf numFmtId="0" fontId="10" fillId="42" borderId="177" xfId="0" applyFont="1" applyFill="1" applyBorder="1" applyAlignment="1" applyProtection="1">
      <alignment horizontal="center" vertical="center" wrapText="1"/>
      <protection locked="0"/>
    </xf>
    <xf numFmtId="0" fontId="0" fillId="29" borderId="60" xfId="0" applyFont="1" applyFill="1" applyBorder="1" applyAlignment="1" applyProtection="1">
      <alignment horizontal="center" vertical="top" wrapText="1"/>
      <protection locked="0"/>
    </xf>
    <xf numFmtId="0" fontId="0" fillId="29" borderId="46" xfId="0" applyFont="1" applyFill="1" applyBorder="1" applyAlignment="1" applyProtection="1">
      <alignment horizontal="center" vertical="top" wrapText="1"/>
      <protection locked="0"/>
    </xf>
    <xf numFmtId="0" fontId="0" fillId="29" borderId="177" xfId="0" applyFont="1" applyFill="1" applyBorder="1" applyAlignment="1" applyProtection="1">
      <alignment horizontal="center" vertical="top" wrapText="1"/>
      <protection locked="0"/>
    </xf>
    <xf numFmtId="3" fontId="0" fillId="39" borderId="60" xfId="0" applyNumberFormat="1" applyFont="1" applyFill="1" applyBorder="1" applyAlignment="1" applyProtection="1">
      <alignment horizontal="center" vertical="center" wrapText="1"/>
      <protection locked="0"/>
    </xf>
    <xf numFmtId="0" fontId="11" fillId="41" borderId="177" xfId="0" applyFont="1" applyFill="1" applyBorder="1" applyAlignment="1" applyProtection="1">
      <alignment horizontal="center" vertical="center" wrapText="1"/>
      <protection locked="0"/>
    </xf>
    <xf numFmtId="0" fontId="11" fillId="43" borderId="60" xfId="0" applyFont="1" applyFill="1" applyBorder="1" applyAlignment="1" applyProtection="1">
      <alignment horizontal="center" vertical="center" wrapText="1"/>
      <protection locked="0"/>
    </xf>
    <xf numFmtId="0" fontId="11" fillId="43" borderId="46" xfId="0" applyFont="1" applyFill="1" applyBorder="1" applyAlignment="1" applyProtection="1">
      <alignment horizontal="center" vertical="center" wrapText="1"/>
      <protection locked="0"/>
    </xf>
    <xf numFmtId="0" fontId="11" fillId="43" borderId="177" xfId="0" applyFont="1" applyFill="1" applyBorder="1" applyAlignment="1" applyProtection="1">
      <alignment horizontal="center" vertical="center" wrapText="1"/>
      <protection locked="0"/>
    </xf>
    <xf numFmtId="0" fontId="11" fillId="42" borderId="46" xfId="0" applyFont="1" applyFill="1" applyBorder="1" applyAlignment="1" applyProtection="1">
      <alignment horizontal="center" vertical="center" wrapText="1"/>
      <protection locked="0"/>
    </xf>
    <xf numFmtId="0" fontId="11" fillId="42" borderId="177" xfId="0" applyFont="1" applyFill="1" applyBorder="1" applyAlignment="1" applyProtection="1">
      <alignment horizontal="center" vertical="center" wrapText="1"/>
      <protection locked="0"/>
    </xf>
    <xf numFmtId="0" fontId="11" fillId="39" borderId="60" xfId="0" applyFont="1" applyFill="1" applyBorder="1" applyAlignment="1" applyProtection="1">
      <alignment horizontal="center" vertical="center" wrapText="1"/>
      <protection locked="0"/>
    </xf>
    <xf numFmtId="0" fontId="11" fillId="39" borderId="177" xfId="0" applyFont="1" applyFill="1" applyBorder="1" applyAlignment="1" applyProtection="1">
      <alignment horizontal="center" vertical="center" wrapText="1"/>
      <protection locked="0"/>
    </xf>
    <xf numFmtId="0" fontId="11" fillId="41" borderId="60" xfId="0" applyFont="1" applyFill="1" applyBorder="1" applyAlignment="1" applyProtection="1">
      <alignment horizontal="center" vertical="center" wrapText="1"/>
      <protection locked="0"/>
    </xf>
    <xf numFmtId="0" fontId="10" fillId="41" borderId="177" xfId="0" applyFont="1" applyFill="1" applyBorder="1" applyAlignment="1" applyProtection="1">
      <alignment horizontal="center" vertical="center" wrapText="1"/>
      <protection locked="0"/>
    </xf>
    <xf numFmtId="0" fontId="10" fillId="7" borderId="60" xfId="0" applyFont="1" applyFill="1" applyBorder="1" applyAlignment="1" applyProtection="1">
      <alignment horizontal="center" vertical="center" wrapText="1"/>
      <protection locked="0"/>
    </xf>
    <xf numFmtId="0" fontId="10" fillId="7" borderId="46" xfId="0" applyFont="1" applyFill="1" applyBorder="1" applyAlignment="1" applyProtection="1">
      <alignment horizontal="center" vertical="center" wrapText="1"/>
      <protection locked="0"/>
    </xf>
    <xf numFmtId="0" fontId="11" fillId="42" borderId="60" xfId="0" applyFont="1" applyFill="1" applyBorder="1" applyAlignment="1" applyProtection="1">
      <alignment horizontal="center" vertical="center" wrapText="1"/>
      <protection locked="0"/>
    </xf>
    <xf numFmtId="0" fontId="10" fillId="33" borderId="60" xfId="0" applyFont="1" applyFill="1" applyBorder="1" applyAlignment="1" applyProtection="1">
      <alignment horizontal="center" vertical="center" wrapText="1"/>
      <protection locked="0"/>
    </xf>
    <xf numFmtId="0" fontId="10" fillId="33" borderId="46" xfId="0" applyFont="1" applyFill="1" applyBorder="1" applyAlignment="1" applyProtection="1">
      <alignment horizontal="center" vertical="center" wrapText="1"/>
      <protection locked="0"/>
    </xf>
    <xf numFmtId="0" fontId="10" fillId="33" borderId="177" xfId="0" applyFont="1" applyFill="1" applyBorder="1" applyAlignment="1" applyProtection="1">
      <alignment horizontal="center" vertical="center" wrapText="1"/>
      <protection locked="0"/>
    </xf>
    <xf numFmtId="0" fontId="10" fillId="29" borderId="45" xfId="0" applyFont="1" applyFill="1" applyBorder="1" applyAlignment="1" applyProtection="1">
      <alignment horizontal="center" vertical="center" wrapText="1"/>
      <protection locked="0"/>
    </xf>
    <xf numFmtId="0" fontId="10" fillId="29" borderId="46" xfId="0" applyFont="1" applyFill="1" applyBorder="1" applyAlignment="1" applyProtection="1">
      <alignment horizontal="center" vertical="center" wrapText="1"/>
      <protection locked="0"/>
    </xf>
    <xf numFmtId="0" fontId="10" fillId="40" borderId="46" xfId="0" applyFont="1" applyFill="1" applyBorder="1" applyAlignment="1" applyProtection="1">
      <alignment horizontal="center" vertical="center" wrapText="1"/>
      <protection locked="0"/>
    </xf>
    <xf numFmtId="0" fontId="10" fillId="40" borderId="177" xfId="0" applyFont="1" applyFill="1" applyBorder="1" applyAlignment="1" applyProtection="1">
      <alignment horizontal="center" vertical="center" wrapText="1"/>
      <protection locked="0"/>
    </xf>
    <xf numFmtId="0" fontId="10" fillId="39" borderId="60" xfId="0" applyFont="1" applyFill="1" applyBorder="1" applyAlignment="1" applyProtection="1">
      <alignment horizontal="center" vertical="center" wrapText="1"/>
      <protection locked="0"/>
    </xf>
    <xf numFmtId="0" fontId="0" fillId="17" borderId="45" xfId="0" applyFont="1" applyFill="1" applyBorder="1" applyAlignment="1" applyProtection="1">
      <alignment horizontal="center" vertical="center"/>
      <protection locked="0"/>
    </xf>
    <xf numFmtId="0" fontId="0" fillId="17" borderId="46" xfId="0" applyFont="1" applyFill="1" applyBorder="1" applyAlignment="1" applyProtection="1">
      <alignment horizontal="center" vertical="center"/>
      <protection locked="0"/>
    </xf>
    <xf numFmtId="0" fontId="10" fillId="38" borderId="177" xfId="0" applyFont="1" applyFill="1" applyBorder="1" applyAlignment="1" applyProtection="1">
      <alignment horizontal="center" vertical="center" wrapText="1"/>
      <protection locked="0"/>
    </xf>
    <xf numFmtId="0" fontId="10" fillId="17" borderId="46" xfId="0" applyFont="1" applyFill="1" applyBorder="1" applyAlignment="1" applyProtection="1">
      <alignment horizontal="center" vertical="center" wrapText="1"/>
      <protection locked="0"/>
    </xf>
    <xf numFmtId="0" fontId="10" fillId="17" borderId="177" xfId="0" applyFont="1" applyFill="1" applyBorder="1" applyAlignment="1" applyProtection="1">
      <alignment horizontal="center" vertical="center" wrapText="1"/>
      <protection locked="0"/>
    </xf>
    <xf numFmtId="0" fontId="10" fillId="7" borderId="177" xfId="0" applyFont="1" applyFill="1" applyBorder="1" applyAlignment="1" applyProtection="1">
      <alignment horizontal="center" vertical="center" wrapText="1"/>
      <protection locked="0"/>
    </xf>
    <xf numFmtId="0" fontId="10" fillId="72" borderId="60" xfId="0" applyFont="1" applyFill="1" applyBorder="1" applyAlignment="1" applyProtection="1">
      <alignment horizontal="center" vertical="center" wrapText="1"/>
      <protection locked="0"/>
    </xf>
    <xf numFmtId="0" fontId="10" fillId="72" borderId="46" xfId="0" applyFont="1" applyFill="1" applyBorder="1" applyAlignment="1" applyProtection="1">
      <alignment horizontal="center" vertical="center" wrapText="1"/>
      <protection locked="0"/>
    </xf>
    <xf numFmtId="0" fontId="10" fillId="29" borderId="13" xfId="0" applyFont="1" applyFill="1" applyBorder="1" applyAlignment="1" applyProtection="1">
      <alignment horizontal="center" vertical="center" wrapText="1"/>
      <protection locked="0"/>
    </xf>
    <xf numFmtId="0" fontId="10" fillId="29" borderId="60" xfId="0" applyFont="1" applyFill="1" applyBorder="1" applyAlignment="1" applyProtection="1">
      <alignment horizontal="center" vertical="center" wrapText="1"/>
      <protection locked="0"/>
    </xf>
    <xf numFmtId="0" fontId="0" fillId="42" borderId="177" xfId="0" applyFont="1" applyFill="1" applyBorder="1" applyAlignment="1" applyProtection="1">
      <alignment horizontal="center" vertical="center" wrapText="1"/>
      <protection locked="0"/>
    </xf>
    <xf numFmtId="0" fontId="11" fillId="51" borderId="177" xfId="0" applyFont="1" applyFill="1" applyBorder="1" applyAlignment="1" applyProtection="1">
      <alignment horizontal="center" vertical="center" wrapText="1"/>
      <protection locked="0"/>
    </xf>
    <xf numFmtId="0" fontId="11" fillId="17" borderId="46" xfId="0" applyFont="1" applyFill="1" applyBorder="1" applyAlignment="1" applyProtection="1">
      <alignment horizontal="center" vertical="center" wrapText="1"/>
      <protection locked="0"/>
    </xf>
    <xf numFmtId="0" fontId="11" fillId="17" borderId="177" xfId="0" applyFont="1" applyFill="1" applyBorder="1" applyAlignment="1" applyProtection="1">
      <alignment horizontal="center" vertical="center" wrapText="1"/>
      <protection locked="0"/>
    </xf>
    <xf numFmtId="0" fontId="11" fillId="40" borderId="60" xfId="0" applyFont="1" applyFill="1" applyBorder="1" applyAlignment="1" applyProtection="1">
      <alignment horizontal="center" vertical="center" wrapText="1"/>
      <protection locked="0"/>
    </xf>
    <xf numFmtId="0" fontId="11" fillId="40" borderId="46" xfId="0" applyFont="1" applyFill="1" applyBorder="1" applyAlignment="1" applyProtection="1">
      <alignment horizontal="center" vertical="center" wrapText="1"/>
      <protection locked="0"/>
    </xf>
    <xf numFmtId="0" fontId="11" fillId="40" borderId="177" xfId="0" applyFont="1" applyFill="1" applyBorder="1" applyAlignment="1" applyProtection="1">
      <alignment horizontal="center" vertical="center" wrapText="1"/>
      <protection locked="0"/>
    </xf>
    <xf numFmtId="0" fontId="11" fillId="7" borderId="177" xfId="0" applyFont="1" applyFill="1" applyBorder="1" applyAlignment="1" applyProtection="1">
      <alignment horizontal="center" vertical="center" wrapText="1"/>
      <protection locked="0"/>
    </xf>
    <xf numFmtId="0" fontId="11" fillId="41" borderId="156" xfId="8" applyFont="1" applyFill="1" applyBorder="1" applyAlignment="1" applyProtection="1">
      <alignment horizontal="center" vertical="center" wrapText="1"/>
      <protection locked="0"/>
    </xf>
    <xf numFmtId="0" fontId="11" fillId="41" borderId="60" xfId="8" applyFont="1" applyFill="1" applyBorder="1" applyAlignment="1" applyProtection="1">
      <alignment horizontal="center" vertical="center" wrapText="1"/>
      <protection locked="0"/>
    </xf>
    <xf numFmtId="0" fontId="11" fillId="41" borderId="24" xfId="8" applyFont="1" applyFill="1" applyBorder="1" applyAlignment="1" applyProtection="1">
      <alignment horizontal="center" vertical="center" wrapText="1"/>
      <protection locked="0"/>
    </xf>
    <xf numFmtId="0" fontId="11" fillId="41" borderId="43" xfId="8" applyFont="1" applyFill="1" applyBorder="1" applyAlignment="1" applyProtection="1">
      <alignment horizontal="center" vertical="center" wrapText="1"/>
      <protection locked="0"/>
    </xf>
    <xf numFmtId="0" fontId="11" fillId="40" borderId="13" xfId="8" applyFont="1" applyFill="1" applyBorder="1" applyAlignment="1" applyProtection="1">
      <alignment horizontal="center" vertical="center" wrapText="1"/>
      <protection locked="0"/>
    </xf>
    <xf numFmtId="0" fontId="11" fillId="40" borderId="60" xfId="8" applyFont="1" applyFill="1" applyBorder="1" applyAlignment="1" applyProtection="1">
      <alignment horizontal="center" vertical="center" wrapText="1"/>
      <protection locked="0"/>
    </xf>
    <xf numFmtId="0" fontId="11" fillId="40" borderId="156" xfId="8" applyFont="1" applyFill="1" applyBorder="1" applyAlignment="1" applyProtection="1">
      <alignment horizontal="center" vertical="center" wrapText="1"/>
      <protection locked="0"/>
    </xf>
    <xf numFmtId="0" fontId="11" fillId="40" borderId="24" xfId="8" applyFont="1" applyFill="1" applyBorder="1" applyAlignment="1" applyProtection="1">
      <alignment horizontal="center" vertical="center" wrapText="1"/>
      <protection locked="0"/>
    </xf>
    <xf numFmtId="0" fontId="11" fillId="40" borderId="43" xfId="8" applyFont="1" applyFill="1" applyBorder="1" applyAlignment="1" applyProtection="1">
      <alignment horizontal="center" vertical="center" wrapText="1"/>
      <protection locked="0"/>
    </xf>
    <xf numFmtId="0" fontId="11" fillId="69" borderId="45" xfId="8" applyFont="1" applyFill="1" applyBorder="1" applyAlignment="1" applyProtection="1">
      <alignment horizontal="center" vertical="center" wrapText="1"/>
      <protection locked="0"/>
    </xf>
    <xf numFmtId="0" fontId="11" fillId="69" borderId="46" xfId="8" applyFont="1" applyFill="1" applyBorder="1" applyAlignment="1" applyProtection="1">
      <alignment horizontal="center" vertical="center" wrapText="1"/>
      <protection locked="0"/>
    </xf>
    <xf numFmtId="0" fontId="11" fillId="69" borderId="177" xfId="8" applyFont="1" applyFill="1" applyBorder="1" applyAlignment="1" applyProtection="1">
      <alignment horizontal="center" vertical="center" wrapText="1"/>
      <protection locked="0"/>
    </xf>
    <xf numFmtId="0" fontId="11" fillId="29" borderId="156" xfId="8" applyFont="1" applyFill="1" applyBorder="1" applyAlignment="1" applyProtection="1">
      <alignment horizontal="center" vertical="center" wrapText="1"/>
      <protection locked="0"/>
    </xf>
    <xf numFmtId="0" fontId="11" fillId="29" borderId="24" xfId="8" applyFont="1" applyFill="1" applyBorder="1" applyAlignment="1" applyProtection="1">
      <alignment horizontal="center" vertical="center" wrapText="1"/>
      <protection locked="0"/>
    </xf>
    <xf numFmtId="0" fontId="11" fillId="29" borderId="60" xfId="8" applyFont="1" applyFill="1" applyBorder="1" applyAlignment="1" applyProtection="1">
      <alignment horizontal="center" vertical="center" wrapText="1"/>
      <protection locked="0"/>
    </xf>
    <xf numFmtId="0" fontId="11" fillId="29" borderId="43" xfId="8" applyFont="1" applyFill="1" applyBorder="1" applyAlignment="1" applyProtection="1">
      <alignment horizontal="center" vertical="center" wrapText="1"/>
      <protection locked="0"/>
    </xf>
    <xf numFmtId="0" fontId="11" fillId="39" borderId="13" xfId="8" applyFont="1" applyFill="1" applyBorder="1" applyAlignment="1" applyProtection="1">
      <alignment horizontal="center" vertical="center" wrapText="1"/>
      <protection locked="0"/>
    </xf>
    <xf numFmtId="0" fontId="11" fillId="39" borderId="60" xfId="8" applyFont="1" applyFill="1" applyBorder="1" applyAlignment="1" applyProtection="1">
      <alignment horizontal="center" vertical="center" wrapText="1"/>
      <protection locked="0"/>
    </xf>
    <xf numFmtId="0" fontId="11" fillId="39" borderId="156" xfId="8" applyFont="1" applyFill="1" applyBorder="1" applyAlignment="1" applyProtection="1">
      <alignment horizontal="center" vertical="center" wrapText="1"/>
      <protection locked="0"/>
    </xf>
    <xf numFmtId="0" fontId="11" fillId="39" borderId="24" xfId="8" applyFont="1" applyFill="1" applyBorder="1" applyAlignment="1" applyProtection="1">
      <alignment horizontal="center" vertical="center" wrapText="1"/>
      <protection locked="0"/>
    </xf>
    <xf numFmtId="0" fontId="11" fillId="38" borderId="156" xfId="8" applyFont="1" applyFill="1" applyBorder="1" applyAlignment="1" applyProtection="1">
      <alignment horizontal="center" vertical="center" wrapText="1"/>
      <protection locked="0"/>
    </xf>
    <xf numFmtId="0" fontId="11" fillId="38" borderId="60" xfId="8" applyFont="1" applyFill="1" applyBorder="1" applyAlignment="1" applyProtection="1">
      <alignment horizontal="center" vertical="center" wrapText="1"/>
      <protection locked="0"/>
    </xf>
    <xf numFmtId="0" fontId="11" fillId="41" borderId="13" xfId="8" applyFont="1" applyFill="1" applyBorder="1" applyAlignment="1" applyProtection="1">
      <alignment horizontal="center" vertical="center" wrapText="1"/>
      <protection locked="0"/>
    </xf>
    <xf numFmtId="0" fontId="11" fillId="103" borderId="156" xfId="8" applyFont="1" applyFill="1" applyBorder="1" applyAlignment="1" applyProtection="1">
      <alignment horizontal="center" vertical="center" wrapText="1"/>
      <protection locked="0"/>
    </xf>
    <xf numFmtId="0" fontId="11" fillId="103" borderId="60" xfId="8" applyFont="1" applyFill="1" applyBorder="1" applyAlignment="1" applyProtection="1">
      <alignment horizontal="center" vertical="center" wrapText="1"/>
      <protection locked="0"/>
    </xf>
    <xf numFmtId="0" fontId="11" fillId="43" borderId="13" xfId="8" applyFont="1" applyFill="1" applyBorder="1" applyAlignment="1" applyProtection="1">
      <alignment horizontal="center" vertical="center" wrapText="1"/>
      <protection locked="0"/>
    </xf>
    <xf numFmtId="0" fontId="11" fillId="43" borderId="60" xfId="8" applyFont="1" applyFill="1" applyBorder="1" applyAlignment="1" applyProtection="1">
      <alignment horizontal="center" vertical="center" wrapText="1"/>
      <protection locked="0"/>
    </xf>
    <xf numFmtId="0" fontId="11" fillId="43" borderId="156" xfId="8" applyFont="1" applyFill="1" applyBorder="1" applyAlignment="1" applyProtection="1">
      <alignment horizontal="center" vertical="center" wrapText="1"/>
      <protection locked="0"/>
    </xf>
    <xf numFmtId="0" fontId="11" fillId="43" borderId="24" xfId="8" applyFont="1" applyFill="1" applyBorder="1" applyAlignment="1" applyProtection="1">
      <alignment horizontal="center" vertical="center" wrapText="1"/>
      <protection locked="0"/>
    </xf>
    <xf numFmtId="0" fontId="0" fillId="43" borderId="156" xfId="8" applyFont="1" applyFill="1" applyBorder="1" applyAlignment="1" applyProtection="1">
      <alignment horizontal="center" vertical="center" wrapText="1"/>
      <protection locked="0"/>
    </xf>
    <xf numFmtId="0" fontId="0" fillId="43" borderId="24" xfId="8" applyFont="1" applyFill="1" applyBorder="1" applyAlignment="1" applyProtection="1">
      <alignment horizontal="center" vertical="center" wrapText="1"/>
      <protection locked="0"/>
    </xf>
    <xf numFmtId="0" fontId="0" fillId="43" borderId="60" xfId="8" applyFont="1" applyFill="1" applyBorder="1" applyAlignment="1" applyProtection="1">
      <alignment horizontal="center" vertical="center" wrapText="1"/>
      <protection locked="0"/>
    </xf>
    <xf numFmtId="0" fontId="11" fillId="43" borderId="43" xfId="8" applyFont="1" applyFill="1" applyBorder="1" applyAlignment="1" applyProtection="1">
      <alignment horizontal="center" vertical="center" wrapText="1"/>
      <protection locked="0"/>
    </xf>
    <xf numFmtId="0" fontId="11" fillId="66" borderId="43" xfId="0" applyFont="1" applyFill="1" applyBorder="1" applyAlignment="1" applyProtection="1">
      <alignment horizontal="center" vertical="center" wrapText="1"/>
      <protection locked="0"/>
    </xf>
    <xf numFmtId="0" fontId="11" fillId="29" borderId="60" xfId="0" applyFont="1" applyFill="1" applyBorder="1" applyAlignment="1" applyProtection="1">
      <alignment horizontal="center" vertical="center" wrapText="1"/>
      <protection locked="0"/>
    </xf>
    <xf numFmtId="0" fontId="11" fillId="29" borderId="46" xfId="0" applyFont="1" applyFill="1" applyBorder="1" applyAlignment="1" applyProtection="1">
      <alignment horizontal="center" vertical="center" wrapText="1"/>
      <protection locked="0"/>
    </xf>
    <xf numFmtId="0" fontId="11" fillId="29" borderId="156" xfId="0" applyFont="1" applyFill="1" applyBorder="1" applyAlignment="1" applyProtection="1">
      <alignment horizontal="center" vertical="center" wrapText="1"/>
      <protection locked="0"/>
    </xf>
    <xf numFmtId="0" fontId="11" fillId="29" borderId="43" xfId="0" applyFont="1" applyFill="1" applyBorder="1" applyAlignment="1" applyProtection="1">
      <alignment horizontal="center" vertical="center" wrapText="1"/>
      <protection locked="0"/>
    </xf>
    <xf numFmtId="0" fontId="11" fillId="17" borderId="13" xfId="0" applyFont="1" applyFill="1" applyBorder="1" applyAlignment="1" applyProtection="1">
      <alignment horizontal="center" vertical="center" wrapText="1"/>
      <protection locked="0"/>
    </xf>
    <xf numFmtId="0" fontId="11" fillId="17" borderId="60" xfId="0" applyFont="1" applyFill="1" applyBorder="1" applyAlignment="1" applyProtection="1">
      <alignment horizontal="center" vertical="center" wrapText="1"/>
      <protection locked="0"/>
    </xf>
    <xf numFmtId="0" fontId="11" fillId="17" borderId="156" xfId="0" applyFont="1" applyFill="1" applyBorder="1" applyAlignment="1" applyProtection="1">
      <alignment horizontal="center" vertical="center" wrapText="1"/>
      <protection locked="0"/>
    </xf>
    <xf numFmtId="0" fontId="11" fillId="69" borderId="60" xfId="0" applyFont="1" applyFill="1" applyBorder="1" applyAlignment="1" applyProtection="1">
      <alignment horizontal="center" vertical="center" wrapText="1"/>
      <protection locked="0"/>
    </xf>
    <xf numFmtId="0" fontId="11" fillId="69" borderId="46" xfId="0" applyFont="1" applyFill="1" applyBorder="1" applyAlignment="1" applyProtection="1">
      <alignment horizontal="center" vertical="center" wrapText="1"/>
      <protection locked="0"/>
    </xf>
    <xf numFmtId="0" fontId="11" fillId="69" borderId="177" xfId="0" applyFont="1" applyFill="1" applyBorder="1" applyAlignment="1" applyProtection="1">
      <alignment horizontal="center" vertical="center" wrapText="1"/>
      <protection locked="0"/>
    </xf>
    <xf numFmtId="0" fontId="0" fillId="7" borderId="46" xfId="0" applyFont="1" applyFill="1" applyBorder="1" applyAlignment="1" applyProtection="1">
      <alignment horizontal="center" vertical="center"/>
      <protection locked="0"/>
    </xf>
    <xf numFmtId="0" fontId="0" fillId="41" borderId="60" xfId="0" applyFont="1" applyFill="1" applyBorder="1" applyAlignment="1" applyProtection="1">
      <alignment horizontal="center" vertical="center" wrapText="1"/>
      <protection locked="0"/>
    </xf>
    <xf numFmtId="0" fontId="11" fillId="38" borderId="156" xfId="0" applyFont="1" applyFill="1" applyBorder="1" applyAlignment="1" applyProtection="1">
      <alignment horizontal="center" vertical="center" wrapText="1"/>
      <protection locked="0"/>
    </xf>
    <xf numFmtId="0" fontId="11" fillId="41" borderId="24"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wrapText="1"/>
      <protection locked="0"/>
    </xf>
    <xf numFmtId="0" fontId="11" fillId="51" borderId="24" xfId="0" applyFont="1" applyFill="1" applyBorder="1" applyAlignment="1" applyProtection="1">
      <alignment horizontal="center" vertical="center" wrapText="1"/>
      <protection locked="0"/>
    </xf>
    <xf numFmtId="0" fontId="11" fillId="51" borderId="43" xfId="0" applyFont="1" applyFill="1" applyBorder="1" applyAlignment="1" applyProtection="1">
      <alignment horizontal="center" vertical="center" wrapText="1"/>
      <protection locked="0"/>
    </xf>
    <xf numFmtId="0" fontId="0" fillId="38" borderId="45" xfId="0" applyFont="1" applyFill="1" applyBorder="1" applyAlignment="1" applyProtection="1">
      <alignment horizontal="center" vertical="center" wrapText="1"/>
      <protection locked="0"/>
    </xf>
    <xf numFmtId="0" fontId="0" fillId="38" borderId="177" xfId="0" applyFont="1" applyFill="1" applyBorder="1" applyAlignment="1" applyProtection="1">
      <alignment horizontal="center" vertical="center" wrapText="1"/>
      <protection locked="0"/>
    </xf>
    <xf numFmtId="0" fontId="0" fillId="29" borderId="46" xfId="0" applyFont="1" applyFill="1" applyBorder="1" applyAlignment="1" applyProtection="1">
      <alignment horizontal="center" vertical="center" wrapText="1"/>
      <protection locked="0"/>
    </xf>
    <xf numFmtId="0" fontId="0" fillId="103" borderId="46" xfId="0" applyFont="1" applyFill="1" applyBorder="1" applyAlignment="1" applyProtection="1">
      <alignment horizontal="center" vertical="center" wrapText="1"/>
      <protection locked="0"/>
    </xf>
    <xf numFmtId="9" fontId="0" fillId="38" borderId="94" xfId="5" applyFont="1" applyFill="1" applyBorder="1" applyAlignment="1" applyProtection="1">
      <alignment horizontal="center" vertical="center" wrapText="1"/>
    </xf>
    <xf numFmtId="0" fontId="0" fillId="38" borderId="160" xfId="0" applyFont="1" applyFill="1" applyBorder="1" applyAlignment="1" applyProtection="1">
      <alignment horizontal="center" vertical="center" wrapText="1"/>
      <protection locked="0"/>
    </xf>
    <xf numFmtId="0" fontId="0" fillId="38" borderId="65" xfId="0" applyFont="1" applyFill="1" applyBorder="1" applyAlignment="1" applyProtection="1">
      <alignment horizontal="center" vertical="center" wrapText="1"/>
      <protection locked="0"/>
    </xf>
    <xf numFmtId="0" fontId="0" fillId="38" borderId="94" xfId="0" applyFont="1" applyFill="1" applyBorder="1" applyAlignment="1" applyProtection="1">
      <alignment horizontal="justify" vertical="center" wrapText="1"/>
    </xf>
    <xf numFmtId="0" fontId="0" fillId="38" borderId="31" xfId="0" applyFont="1" applyFill="1" applyBorder="1" applyAlignment="1" applyProtection="1">
      <alignment horizontal="justify" vertical="center" wrapText="1"/>
    </xf>
    <xf numFmtId="0" fontId="0" fillId="103" borderId="156" xfId="0" applyFont="1" applyFill="1" applyBorder="1" applyAlignment="1" applyProtection="1">
      <alignment horizontal="center" vertical="center" wrapText="1"/>
      <protection locked="0"/>
    </xf>
    <xf numFmtId="0" fontId="0" fillId="40" borderId="46" xfId="0" applyFont="1" applyFill="1" applyBorder="1" applyAlignment="1" applyProtection="1">
      <alignment horizontal="center" vertical="center" wrapText="1"/>
      <protection locked="0"/>
    </xf>
    <xf numFmtId="0" fontId="0" fillId="40" borderId="156" xfId="0" applyFont="1" applyFill="1" applyBorder="1" applyAlignment="1" applyProtection="1">
      <alignment horizontal="center" vertical="center" wrapText="1"/>
      <protection locked="0"/>
    </xf>
    <xf numFmtId="0" fontId="0" fillId="40" borderId="43" xfId="0" applyFont="1" applyFill="1" applyBorder="1" applyAlignment="1" applyProtection="1">
      <alignment horizontal="center" vertical="center" wrapText="1"/>
      <protection locked="0"/>
    </xf>
    <xf numFmtId="0" fontId="11" fillId="51" borderId="185" xfId="0" applyFont="1" applyFill="1" applyBorder="1" applyAlignment="1" applyProtection="1">
      <alignment horizontal="center" vertical="center" wrapText="1"/>
      <protection locked="0"/>
    </xf>
    <xf numFmtId="0" fontId="11" fillId="51" borderId="64" xfId="0" applyFont="1" applyFill="1" applyBorder="1" applyAlignment="1" applyProtection="1">
      <alignment horizontal="center" vertical="center" wrapText="1"/>
      <protection locked="0"/>
    </xf>
    <xf numFmtId="0" fontId="11" fillId="51" borderId="159" xfId="0" applyFont="1" applyFill="1" applyBorder="1" applyAlignment="1" applyProtection="1">
      <alignment horizontal="justify" vertical="center" wrapText="1"/>
    </xf>
    <xf numFmtId="0" fontId="11" fillId="51" borderId="57" xfId="0" applyFont="1" applyFill="1" applyBorder="1" applyAlignment="1" applyProtection="1">
      <alignment horizontal="justify" vertical="center" wrapText="1"/>
    </xf>
    <xf numFmtId="0" fontId="0" fillId="40" borderId="156" xfId="0" applyFont="1" applyFill="1" applyBorder="1" applyAlignment="1" applyProtection="1">
      <alignment horizontal="justify" vertical="center" wrapText="1"/>
    </xf>
    <xf numFmtId="0" fontId="0" fillId="40" borderId="24" xfId="0" applyFont="1" applyFill="1" applyBorder="1" applyAlignment="1" applyProtection="1">
      <alignment horizontal="justify" vertical="center" wrapText="1"/>
    </xf>
    <xf numFmtId="0" fontId="0" fillId="40" borderId="43" xfId="0" applyFont="1" applyFill="1" applyBorder="1" applyAlignment="1" applyProtection="1">
      <alignment horizontal="justify" vertical="center" wrapText="1"/>
    </xf>
    <xf numFmtId="0" fontId="7" fillId="40" borderId="185" xfId="0" applyFont="1" applyFill="1" applyBorder="1" applyAlignment="1" applyProtection="1">
      <alignment horizontal="center" vertical="center" wrapText="1"/>
      <protection locked="0"/>
    </xf>
    <xf numFmtId="0" fontId="7" fillId="40" borderId="40" xfId="0" applyFont="1" applyFill="1" applyBorder="1" applyAlignment="1" applyProtection="1">
      <alignment horizontal="center" vertical="center" wrapText="1"/>
      <protection locked="0"/>
    </xf>
    <xf numFmtId="0" fontId="7" fillId="40" borderId="64" xfId="0" applyFont="1" applyFill="1" applyBorder="1" applyAlignment="1" applyProtection="1">
      <alignment horizontal="center" vertical="center" wrapText="1"/>
      <protection locked="0"/>
    </xf>
    <xf numFmtId="0" fontId="7" fillId="40" borderId="156" xfId="0" applyFont="1" applyFill="1" applyBorder="1" applyAlignment="1" applyProtection="1">
      <alignment horizontal="center" vertical="center" wrapText="1"/>
      <protection locked="0"/>
    </xf>
    <xf numFmtId="0" fontId="7" fillId="40" borderId="24" xfId="0" applyFont="1" applyFill="1" applyBorder="1" applyAlignment="1" applyProtection="1">
      <alignment horizontal="center" vertical="center" wrapText="1"/>
      <protection locked="0"/>
    </xf>
    <xf numFmtId="0" fontId="7" fillId="40" borderId="43" xfId="0" applyFont="1" applyFill="1" applyBorder="1" applyAlignment="1" applyProtection="1">
      <alignment horizontal="center" vertical="center" wrapText="1"/>
      <protection locked="0"/>
    </xf>
    <xf numFmtId="0" fontId="0" fillId="44" borderId="47" xfId="0" applyFont="1" applyFill="1" applyBorder="1" applyAlignment="1" applyProtection="1">
      <alignment horizontal="center" vertical="center" wrapText="1"/>
      <protection locked="0"/>
    </xf>
    <xf numFmtId="0" fontId="0" fillId="44" borderId="40" xfId="0" applyFont="1" applyFill="1" applyBorder="1" applyAlignment="1" applyProtection="1">
      <alignment horizontal="center" vertical="center" wrapText="1"/>
      <protection locked="0"/>
    </xf>
    <xf numFmtId="0" fontId="0" fillId="44" borderId="100" xfId="0" applyFont="1" applyFill="1" applyBorder="1" applyAlignment="1" applyProtection="1">
      <alignment horizontal="center" vertical="center" wrapText="1"/>
      <protection locked="0"/>
    </xf>
    <xf numFmtId="0" fontId="0" fillId="44" borderId="13" xfId="0" applyFont="1" applyFill="1" applyBorder="1" applyAlignment="1" applyProtection="1">
      <alignment horizontal="center" vertical="center" wrapText="1"/>
      <protection locked="0"/>
    </xf>
    <xf numFmtId="0" fontId="0" fillId="44" borderId="24" xfId="0" applyFont="1" applyFill="1" applyBorder="1" applyAlignment="1" applyProtection="1">
      <alignment horizontal="center" vertical="center" wrapText="1"/>
      <protection locked="0"/>
    </xf>
    <xf numFmtId="0" fontId="0" fillId="44" borderId="60" xfId="0" applyFont="1" applyFill="1" applyBorder="1" applyAlignment="1" applyProtection="1">
      <alignment horizontal="center" vertical="center" wrapText="1"/>
      <protection locked="0"/>
    </xf>
    <xf numFmtId="0" fontId="0" fillId="40" borderId="60" xfId="0" applyFont="1" applyFill="1" applyBorder="1" applyAlignment="1" applyProtection="1">
      <alignment horizontal="justify" vertical="center" wrapText="1"/>
    </xf>
    <xf numFmtId="0" fontId="0" fillId="40" borderId="185" xfId="0" applyFont="1" applyFill="1" applyBorder="1" applyAlignment="1" applyProtection="1">
      <alignment horizontal="center" vertical="center" wrapText="1"/>
      <protection locked="0"/>
    </xf>
    <xf numFmtId="0" fontId="0" fillId="40" borderId="40" xfId="0" applyFont="1" applyFill="1" applyBorder="1" applyAlignment="1" applyProtection="1">
      <alignment horizontal="center" vertical="center" wrapText="1"/>
      <protection locked="0"/>
    </xf>
    <xf numFmtId="0" fontId="0" fillId="40" borderId="100" xfId="0" applyFont="1" applyFill="1" applyBorder="1" applyAlignment="1" applyProtection="1">
      <alignment horizontal="center" vertical="center" wrapText="1"/>
      <protection locked="0"/>
    </xf>
    <xf numFmtId="0" fontId="0" fillId="40" borderId="24" xfId="0" applyFont="1" applyFill="1" applyBorder="1" applyAlignment="1" applyProtection="1">
      <alignment horizontal="center" vertical="center" wrapText="1"/>
      <protection locked="0"/>
    </xf>
    <xf numFmtId="0" fontId="0" fillId="40" borderId="60" xfId="0" applyFont="1" applyFill="1" applyBorder="1" applyAlignment="1" applyProtection="1">
      <alignment horizontal="center" vertical="center" wrapText="1"/>
      <protection locked="0"/>
    </xf>
    <xf numFmtId="0" fontId="0" fillId="103" borderId="52" xfId="0" applyFont="1" applyFill="1" applyBorder="1" applyAlignment="1" applyProtection="1">
      <alignment horizontal="center" vertical="center"/>
    </xf>
    <xf numFmtId="0" fontId="0" fillId="103" borderId="94" xfId="0" applyFont="1" applyFill="1" applyBorder="1" applyAlignment="1" applyProtection="1">
      <alignment horizontal="center" vertical="center"/>
    </xf>
    <xf numFmtId="0" fontId="0" fillId="103" borderId="160" xfId="0" applyFont="1" applyFill="1" applyBorder="1" applyAlignment="1" applyProtection="1">
      <alignment horizontal="center" vertical="center" wrapText="1"/>
      <protection locked="0"/>
    </xf>
    <xf numFmtId="0" fontId="0" fillId="103" borderId="94" xfId="0" applyFont="1" applyFill="1" applyBorder="1" applyAlignment="1" applyProtection="1">
      <alignment horizontal="justify" vertical="center" wrapText="1"/>
    </xf>
    <xf numFmtId="0" fontId="0" fillId="29" borderId="94" xfId="0" applyFont="1" applyFill="1" applyBorder="1" applyAlignment="1" applyProtection="1">
      <alignment horizontal="center" vertical="center" wrapText="1"/>
    </xf>
    <xf numFmtId="0" fontId="0" fillId="103" borderId="39" xfId="0" applyFont="1" applyFill="1" applyBorder="1" applyAlignment="1" applyProtection="1">
      <alignment horizontal="center" vertical="center" wrapText="1"/>
      <protection locked="0"/>
    </xf>
    <xf numFmtId="191" fontId="0" fillId="103" borderId="94" xfId="10" applyNumberFormat="1" applyFont="1" applyFill="1" applyBorder="1" applyAlignment="1" applyProtection="1">
      <alignment horizontal="center" vertical="center" wrapText="1"/>
    </xf>
    <xf numFmtId="9" fontId="0" fillId="38" borderId="94" xfId="0" applyNumberFormat="1" applyFont="1" applyFill="1" applyBorder="1" applyAlignment="1" applyProtection="1">
      <alignment horizontal="center" vertical="center"/>
    </xf>
    <xf numFmtId="0" fontId="0" fillId="38" borderId="9" xfId="0" applyFont="1" applyFill="1" applyBorder="1" applyAlignment="1" applyProtection="1">
      <alignment horizontal="center" vertical="center"/>
    </xf>
    <xf numFmtId="0" fontId="0" fillId="38" borderId="94" xfId="0" applyFont="1" applyFill="1" applyBorder="1" applyAlignment="1" applyProtection="1">
      <alignment horizontal="center" vertical="center"/>
    </xf>
    <xf numFmtId="0" fontId="0" fillId="38" borderId="17" xfId="0" applyFont="1" applyFill="1" applyBorder="1" applyAlignment="1" applyProtection="1">
      <alignment horizontal="center" vertical="center" wrapText="1"/>
      <protection locked="0"/>
    </xf>
    <xf numFmtId="0" fontId="0" fillId="38" borderId="9" xfId="0" applyFont="1" applyFill="1" applyBorder="1" applyAlignment="1" applyProtection="1">
      <alignment horizontal="justify" vertical="center" wrapText="1"/>
    </xf>
    <xf numFmtId="0" fontId="0" fillId="29" borderId="94" xfId="0" applyFont="1" applyFill="1" applyBorder="1" applyAlignment="1" applyProtection="1">
      <alignment horizontal="center" vertical="center"/>
    </xf>
    <xf numFmtId="0" fontId="0" fillId="29" borderId="160" xfId="0" applyFont="1" applyFill="1" applyBorder="1" applyAlignment="1" applyProtection="1">
      <alignment horizontal="center" vertical="center" wrapText="1"/>
      <protection locked="0"/>
    </xf>
    <xf numFmtId="0" fontId="0" fillId="29" borderId="94" xfId="0" applyFont="1" applyFill="1" applyBorder="1" applyAlignment="1" applyProtection="1">
      <alignment horizontal="justify" vertical="center" wrapText="1"/>
    </xf>
    <xf numFmtId="0" fontId="0" fillId="29" borderId="52" xfId="0" applyFont="1" applyFill="1" applyBorder="1" applyAlignment="1" applyProtection="1">
      <alignment horizontal="center" vertical="center" wrapText="1"/>
    </xf>
    <xf numFmtId="9" fontId="0" fillId="38" borderId="31" xfId="0" applyNumberFormat="1" applyFont="1" applyFill="1" applyBorder="1" applyAlignment="1" applyProtection="1">
      <alignment horizontal="center" vertical="center"/>
    </xf>
    <xf numFmtId="0" fontId="0" fillId="29" borderId="39" xfId="0" applyFont="1" applyFill="1" applyBorder="1" applyAlignment="1" applyProtection="1">
      <alignment horizontal="center" vertical="center" wrapText="1"/>
      <protection locked="0"/>
    </xf>
    <xf numFmtId="0" fontId="0" fillId="29" borderId="52" xfId="0" applyFont="1" applyFill="1" applyBorder="1" applyAlignment="1" applyProtection="1">
      <alignment horizontal="justify" vertical="center" wrapText="1"/>
    </xf>
    <xf numFmtId="0" fontId="0" fillId="103" borderId="94" xfId="0" applyFont="1" applyFill="1" applyBorder="1" applyAlignment="1" applyProtection="1">
      <alignment horizontal="center" vertical="center" wrapText="1"/>
    </xf>
    <xf numFmtId="9" fontId="0" fillId="103" borderId="94" xfId="0" applyNumberFormat="1" applyFont="1" applyFill="1" applyBorder="1" applyAlignment="1" applyProtection="1">
      <alignment horizontal="center" vertical="center" wrapText="1"/>
    </xf>
    <xf numFmtId="9" fontId="0" fillId="103" borderId="94" xfId="5" applyFont="1" applyFill="1" applyBorder="1" applyAlignment="1" applyProtection="1">
      <alignment horizontal="center" vertical="center" wrapText="1"/>
    </xf>
    <xf numFmtId="0" fontId="0" fillId="40" borderId="155" xfId="0" applyFont="1" applyFill="1" applyBorder="1" applyAlignment="1" applyProtection="1">
      <alignment horizontal="center" vertical="center" wrapText="1"/>
      <protection locked="0"/>
    </xf>
    <xf numFmtId="0" fontId="0" fillId="40" borderId="94" xfId="0" applyFont="1" applyFill="1" applyBorder="1" applyAlignment="1" applyProtection="1">
      <alignment horizontal="justify" vertical="center" wrapText="1"/>
    </xf>
    <xf numFmtId="0" fontId="3" fillId="40" borderId="155" xfId="0" applyFont="1" applyFill="1" applyBorder="1" applyAlignment="1" applyProtection="1">
      <alignment horizontal="center" vertical="center" wrapText="1"/>
      <protection locked="0"/>
    </xf>
    <xf numFmtId="0" fontId="11" fillId="40" borderId="94" xfId="0" applyFont="1" applyFill="1" applyBorder="1" applyAlignment="1" applyProtection="1">
      <alignment horizontal="justify" vertical="center" wrapText="1"/>
    </xf>
    <xf numFmtId="0" fontId="11" fillId="40" borderId="31" xfId="0" applyFont="1" applyFill="1" applyBorder="1" applyAlignment="1" applyProtection="1">
      <alignment horizontal="justify" vertical="center" wrapText="1"/>
    </xf>
    <xf numFmtId="4" fontId="0" fillId="40" borderId="94" xfId="0" applyNumberFormat="1" applyFont="1" applyFill="1" applyBorder="1" applyAlignment="1" applyProtection="1">
      <alignment horizontal="center" vertical="center"/>
    </xf>
    <xf numFmtId="0" fontId="10" fillId="40" borderId="94" xfId="0" applyFont="1" applyFill="1" applyBorder="1" applyAlignment="1" applyProtection="1">
      <alignment horizontal="center" vertical="center" wrapText="1"/>
    </xf>
    <xf numFmtId="0" fontId="0" fillId="40" borderId="94" xfId="0" applyFont="1" applyFill="1" applyBorder="1" applyAlignment="1" applyProtection="1">
      <alignment horizontal="center" vertical="center" wrapText="1"/>
    </xf>
    <xf numFmtId="0" fontId="0" fillId="103" borderId="152" xfId="0" applyFont="1" applyFill="1" applyBorder="1" applyAlignment="1" applyProtection="1">
      <alignment horizontal="center" vertical="center" wrapText="1"/>
      <protection locked="0"/>
    </xf>
    <xf numFmtId="0" fontId="0" fillId="103" borderId="159" xfId="0" applyFont="1" applyFill="1" applyBorder="1" applyAlignment="1" applyProtection="1">
      <alignment horizontal="justify" vertical="center" wrapText="1"/>
    </xf>
    <xf numFmtId="0" fontId="0" fillId="44" borderId="52" xfId="0" applyFont="1" applyFill="1" applyBorder="1" applyAlignment="1" applyProtection="1">
      <alignment horizontal="justify" vertical="center" wrapText="1"/>
    </xf>
    <xf numFmtId="0" fontId="0" fillId="44" borderId="94" xfId="0" applyFont="1" applyFill="1" applyBorder="1" applyAlignment="1" applyProtection="1">
      <alignment horizontal="justify" vertical="center" wrapText="1"/>
    </xf>
    <xf numFmtId="0" fontId="0" fillId="44" borderId="155" xfId="0" applyFont="1" applyFill="1" applyBorder="1" applyAlignment="1" applyProtection="1">
      <alignment horizontal="center" vertical="center" wrapText="1"/>
      <protection locked="0"/>
    </xf>
    <xf numFmtId="0" fontId="0" fillId="44" borderId="161" xfId="0" applyFont="1" applyFill="1" applyBorder="1" applyAlignment="1" applyProtection="1">
      <alignment horizontal="center" vertical="center" wrapText="1"/>
      <protection locked="0"/>
    </xf>
    <xf numFmtId="0" fontId="0" fillId="44" borderId="31" xfId="0" applyFont="1" applyFill="1" applyBorder="1" applyAlignment="1" applyProtection="1">
      <alignment horizontal="justify" vertical="center" wrapText="1"/>
    </xf>
    <xf numFmtId="0" fontId="0" fillId="7" borderId="155" xfId="0" applyFont="1" applyFill="1" applyBorder="1" applyAlignment="1" applyProtection="1">
      <alignment horizontal="center" vertical="center" wrapText="1"/>
      <protection locked="0"/>
    </xf>
    <xf numFmtId="0" fontId="0" fillId="7" borderId="94" xfId="0" applyFont="1" applyFill="1" applyBorder="1" applyAlignment="1" applyProtection="1">
      <alignment horizontal="justify" vertical="center" wrapText="1"/>
    </xf>
    <xf numFmtId="9" fontId="0" fillId="44" borderId="52" xfId="0" applyNumberFormat="1" applyFont="1" applyFill="1" applyBorder="1" applyAlignment="1" applyProtection="1">
      <alignment horizontal="center" vertical="center"/>
    </xf>
    <xf numFmtId="9" fontId="0" fillId="44" borderId="94" xfId="0" applyNumberFormat="1" applyFont="1" applyFill="1" applyBorder="1" applyAlignment="1" applyProtection="1">
      <alignment horizontal="center" vertical="center"/>
    </xf>
    <xf numFmtId="0" fontId="0" fillId="44" borderId="94" xfId="0" applyFont="1" applyFill="1" applyBorder="1" applyAlignment="1" applyProtection="1">
      <alignment horizontal="center" vertical="center" wrapText="1"/>
    </xf>
    <xf numFmtId="0" fontId="0" fillId="44" borderId="31" xfId="0" applyFont="1" applyFill="1" applyBorder="1" applyAlignment="1" applyProtection="1">
      <alignment horizontal="center" vertical="center" wrapText="1"/>
    </xf>
    <xf numFmtId="0" fontId="0" fillId="103" borderId="159" xfId="0" applyFont="1" applyFill="1" applyBorder="1" applyAlignment="1" applyProtection="1">
      <alignment horizontal="center" vertical="center" wrapText="1"/>
    </xf>
    <xf numFmtId="0" fontId="3" fillId="40" borderId="161" xfId="0" applyFont="1" applyFill="1" applyBorder="1" applyAlignment="1" applyProtection="1">
      <alignment horizontal="center" vertical="center" wrapText="1"/>
      <protection locked="0"/>
    </xf>
    <xf numFmtId="0" fontId="0" fillId="40" borderId="182" xfId="0" applyFont="1" applyFill="1" applyBorder="1" applyAlignment="1" applyProtection="1">
      <alignment horizontal="justify" vertical="center" wrapText="1"/>
    </xf>
    <xf numFmtId="0" fontId="0" fillId="40" borderId="54" xfId="0" applyFont="1" applyFill="1" applyBorder="1" applyAlignment="1" applyProtection="1">
      <alignment horizontal="justify" vertical="center" wrapText="1"/>
    </xf>
    <xf numFmtId="0" fontId="0" fillId="40" borderId="154" xfId="0" applyFont="1" applyFill="1" applyBorder="1" applyAlignment="1" applyProtection="1">
      <alignment horizontal="justify" vertical="center" wrapText="1"/>
    </xf>
    <xf numFmtId="0" fontId="0" fillId="44" borderId="54" xfId="0" applyFont="1" applyFill="1" applyBorder="1" applyAlignment="1" applyProtection="1">
      <alignment horizontal="justify" vertical="center" wrapText="1"/>
    </xf>
    <xf numFmtId="9" fontId="0" fillId="103" borderId="94" xfId="0" applyNumberFormat="1" applyFont="1" applyFill="1" applyBorder="1" applyAlignment="1" applyProtection="1">
      <alignment horizontal="center" vertical="center"/>
    </xf>
    <xf numFmtId="0" fontId="0" fillId="103" borderId="182" xfId="0" applyFont="1" applyFill="1" applyBorder="1" applyAlignment="1" applyProtection="1">
      <alignment horizontal="justify" vertical="center" wrapText="1"/>
    </xf>
    <xf numFmtId="0" fontId="0" fillId="38" borderId="52" xfId="0" applyFont="1" applyFill="1" applyBorder="1" applyAlignment="1" applyProtection="1">
      <alignment horizontal="center" vertical="center" wrapText="1"/>
    </xf>
    <xf numFmtId="0" fontId="0" fillId="38" borderId="94" xfId="0" applyFont="1" applyFill="1" applyBorder="1" applyAlignment="1" applyProtection="1">
      <alignment horizontal="center" vertical="center" wrapText="1"/>
    </xf>
    <xf numFmtId="4" fontId="0" fillId="7" borderId="94" xfId="0" applyNumberFormat="1" applyFont="1" applyFill="1" applyBorder="1" applyAlignment="1" applyProtection="1">
      <alignment horizontal="center" vertical="center"/>
    </xf>
    <xf numFmtId="0" fontId="11" fillId="29" borderId="159" xfId="0" applyFont="1" applyFill="1" applyBorder="1" applyAlignment="1" applyProtection="1">
      <alignment horizontal="justify" vertical="center" wrapText="1"/>
    </xf>
    <xf numFmtId="0" fontId="11" fillId="29" borderId="57" xfId="0" applyFont="1" applyFill="1" applyBorder="1" applyAlignment="1" applyProtection="1">
      <alignment horizontal="justify" vertical="center" wrapText="1"/>
    </xf>
    <xf numFmtId="0" fontId="11" fillId="66" borderId="159" xfId="0" applyFont="1" applyFill="1" applyBorder="1" applyAlignment="1" applyProtection="1">
      <alignment horizontal="center" vertical="center" wrapText="1"/>
    </xf>
    <xf numFmtId="0" fontId="11" fillId="66" borderId="27" xfId="0" applyFont="1" applyFill="1" applyBorder="1" applyAlignment="1" applyProtection="1">
      <alignment horizontal="center" vertical="center" wrapText="1"/>
    </xf>
    <xf numFmtId="0" fontId="11" fillId="66" borderId="57" xfId="0" applyFont="1" applyFill="1" applyBorder="1" applyAlignment="1" applyProtection="1">
      <alignment horizontal="center" vertical="center" wrapText="1"/>
    </xf>
    <xf numFmtId="9" fontId="11" fillId="29" borderId="52" xfId="0" applyNumberFormat="1" applyFont="1" applyFill="1" applyBorder="1" applyAlignment="1" applyProtection="1">
      <alignment horizontal="center" vertical="center"/>
    </xf>
    <xf numFmtId="9" fontId="11" fillId="29" borderId="94" xfId="0" applyNumberFormat="1" applyFont="1" applyFill="1" applyBorder="1" applyAlignment="1" applyProtection="1">
      <alignment horizontal="center" vertical="center"/>
    </xf>
    <xf numFmtId="0" fontId="11" fillId="29" borderId="94" xfId="0" applyFont="1" applyFill="1" applyBorder="1" applyAlignment="1" applyProtection="1">
      <alignment horizontal="center" vertical="center"/>
    </xf>
    <xf numFmtId="0" fontId="11" fillId="29" borderId="159" xfId="0" applyFont="1" applyFill="1" applyBorder="1" applyAlignment="1" applyProtection="1">
      <alignment horizontal="center" vertical="center"/>
    </xf>
    <xf numFmtId="0" fontId="11" fillId="29" borderId="57" xfId="0" applyFont="1" applyFill="1" applyBorder="1" applyAlignment="1" applyProtection="1">
      <alignment horizontal="center" vertical="center"/>
    </xf>
    <xf numFmtId="0" fontId="11" fillId="39" borderId="159" xfId="0" applyFont="1" applyFill="1" applyBorder="1" applyAlignment="1" applyProtection="1">
      <alignment horizontal="center" vertical="center" wrapText="1"/>
    </xf>
    <xf numFmtId="0" fontId="11" fillId="39" borderId="52" xfId="0" applyFont="1" applyFill="1" applyBorder="1" applyAlignment="1" applyProtection="1">
      <alignment horizontal="center" vertical="center" wrapText="1"/>
    </xf>
    <xf numFmtId="0" fontId="11" fillId="39" borderId="94" xfId="0" applyFont="1" applyFill="1" applyBorder="1" applyAlignment="1" applyProtection="1">
      <alignment horizontal="center" vertical="center" wrapText="1"/>
    </xf>
    <xf numFmtId="0" fontId="0" fillId="38" borderId="100" xfId="0" applyFont="1" applyFill="1" applyBorder="1" applyAlignment="1" applyProtection="1">
      <alignment horizontal="center" vertical="center" wrapText="1"/>
      <protection locked="0"/>
    </xf>
    <xf numFmtId="0" fontId="0" fillId="38" borderId="155" xfId="0" applyFont="1" applyFill="1" applyBorder="1" applyAlignment="1" applyProtection="1">
      <alignment horizontal="center" vertical="center" wrapText="1"/>
      <protection locked="0"/>
    </xf>
    <xf numFmtId="0" fontId="0" fillId="38" borderId="52" xfId="0" applyFont="1" applyFill="1" applyBorder="1" applyAlignment="1" applyProtection="1">
      <alignment horizontal="justify" vertical="center" wrapText="1"/>
    </xf>
    <xf numFmtId="0" fontId="11" fillId="41" borderId="155" xfId="0" applyFont="1" applyFill="1" applyBorder="1" applyAlignment="1" applyProtection="1">
      <alignment horizontal="center" vertical="center" wrapText="1"/>
      <protection locked="0"/>
    </xf>
    <xf numFmtId="0" fontId="11" fillId="41" borderId="161" xfId="0" applyFont="1" applyFill="1" applyBorder="1" applyAlignment="1" applyProtection="1">
      <alignment horizontal="center" vertical="center" wrapText="1"/>
      <protection locked="0"/>
    </xf>
    <xf numFmtId="0" fontId="11" fillId="7" borderId="100" xfId="0" applyFont="1" applyFill="1" applyBorder="1" applyAlignment="1" applyProtection="1">
      <alignment horizontal="center" vertical="center" wrapText="1"/>
      <protection locked="0"/>
    </xf>
    <xf numFmtId="0" fontId="11" fillId="7" borderId="155" xfId="0" applyFont="1" applyFill="1" applyBorder="1" applyAlignment="1" applyProtection="1">
      <alignment horizontal="center" vertical="center" wrapText="1"/>
      <protection locked="0"/>
    </xf>
    <xf numFmtId="0" fontId="11" fillId="51" borderId="40" xfId="0" applyFont="1" applyFill="1" applyBorder="1" applyAlignment="1" applyProtection="1">
      <alignment horizontal="center" vertical="center" wrapText="1"/>
      <protection locked="0"/>
    </xf>
    <xf numFmtId="0" fontId="11" fillId="66" borderId="185" xfId="0" applyFont="1" applyFill="1" applyBorder="1" applyAlignment="1" applyProtection="1">
      <alignment horizontal="center" vertical="center" wrapText="1"/>
      <protection locked="0"/>
    </xf>
    <xf numFmtId="0" fontId="11" fillId="66" borderId="40" xfId="0" applyFont="1" applyFill="1" applyBorder="1" applyAlignment="1" applyProtection="1">
      <alignment horizontal="center" vertical="center" wrapText="1"/>
      <protection locked="0"/>
    </xf>
    <xf numFmtId="0" fontId="11" fillId="66" borderId="100" xfId="0" applyFont="1" applyFill="1" applyBorder="1" applyAlignment="1" applyProtection="1">
      <alignment horizontal="center" vertical="center" wrapText="1"/>
      <protection locked="0"/>
    </xf>
    <xf numFmtId="0" fontId="11" fillId="38" borderId="100" xfId="0" applyFont="1" applyFill="1" applyBorder="1" applyAlignment="1" applyProtection="1">
      <alignment horizontal="center" vertical="center" wrapText="1"/>
      <protection locked="0"/>
    </xf>
    <xf numFmtId="0" fontId="11" fillId="38" borderId="155" xfId="0" applyFont="1" applyFill="1" applyBorder="1" applyAlignment="1" applyProtection="1">
      <alignment horizontal="center" vertical="center" wrapText="1"/>
      <protection locked="0"/>
    </xf>
    <xf numFmtId="0" fontId="11" fillId="38" borderId="185" xfId="0" applyFont="1" applyFill="1" applyBorder="1" applyAlignment="1" applyProtection="1">
      <alignment horizontal="center" vertical="center" wrapText="1"/>
      <protection locked="0"/>
    </xf>
    <xf numFmtId="0" fontId="11" fillId="38" borderId="161" xfId="0" applyFont="1" applyFill="1" applyBorder="1" applyAlignment="1" applyProtection="1">
      <alignment horizontal="center" vertical="center" wrapText="1"/>
      <protection locked="0"/>
    </xf>
    <xf numFmtId="0" fontId="11" fillId="41" borderId="40" xfId="0" applyFont="1" applyFill="1" applyBorder="1" applyAlignment="1" applyProtection="1">
      <alignment horizontal="center" vertical="center" wrapText="1"/>
      <protection locked="0"/>
    </xf>
    <xf numFmtId="0" fontId="11" fillId="41" borderId="100" xfId="0" applyFont="1" applyFill="1" applyBorder="1" applyAlignment="1" applyProtection="1">
      <alignment horizontal="center" vertical="center" wrapText="1"/>
      <protection locked="0"/>
    </xf>
    <xf numFmtId="0" fontId="11" fillId="41" borderId="178" xfId="0" applyFont="1" applyFill="1" applyBorder="1" applyAlignment="1" applyProtection="1">
      <alignment horizontal="justify" vertical="center" wrapText="1"/>
    </xf>
    <xf numFmtId="0" fontId="11" fillId="7" borderId="54" xfId="0" applyFont="1" applyFill="1" applyBorder="1" applyAlignment="1" applyProtection="1">
      <alignment horizontal="justify" vertical="center" wrapText="1"/>
    </xf>
    <xf numFmtId="0" fontId="11" fillId="66" borderId="182" xfId="0" applyFont="1" applyFill="1" applyBorder="1" applyAlignment="1" applyProtection="1">
      <alignment horizontal="justify" vertical="center" wrapText="1"/>
    </xf>
    <xf numFmtId="0" fontId="11" fillId="66" borderId="25" xfId="0" applyFont="1" applyFill="1" applyBorder="1" applyAlignment="1" applyProtection="1">
      <alignment horizontal="justify" vertical="center" wrapText="1"/>
    </xf>
    <xf numFmtId="0" fontId="11" fillId="66" borderId="54" xfId="0" applyFont="1" applyFill="1" applyBorder="1" applyAlignment="1" applyProtection="1">
      <alignment horizontal="justify" vertical="center" wrapText="1"/>
    </xf>
    <xf numFmtId="0" fontId="11" fillId="66" borderId="178" xfId="0" applyFont="1" applyFill="1" applyBorder="1" applyAlignment="1" applyProtection="1">
      <alignment horizontal="justify" vertical="center" wrapText="1"/>
    </xf>
    <xf numFmtId="0" fontId="11" fillId="29" borderId="54" xfId="0" applyFont="1" applyFill="1" applyBorder="1" applyAlignment="1" applyProtection="1">
      <alignment horizontal="justify" vertical="center" wrapText="1"/>
    </xf>
    <xf numFmtId="0" fontId="11" fillId="29" borderId="154" xfId="0" applyFont="1" applyFill="1" applyBorder="1" applyAlignment="1" applyProtection="1">
      <alignment horizontal="justify" vertical="center" wrapText="1"/>
    </xf>
    <xf numFmtId="0" fontId="11" fillId="29" borderId="182" xfId="0" applyFont="1" applyFill="1" applyBorder="1" applyAlignment="1" applyProtection="1">
      <alignment horizontal="justify" vertical="center" wrapText="1"/>
    </xf>
    <xf numFmtId="0" fontId="11" fillId="29" borderId="178" xfId="0" applyFont="1" applyFill="1" applyBorder="1" applyAlignment="1" applyProtection="1">
      <alignment horizontal="justify" vertical="center" wrapText="1"/>
    </xf>
    <xf numFmtId="0" fontId="0" fillId="41" borderId="155" xfId="0" applyFont="1" applyFill="1" applyBorder="1" applyAlignment="1" applyProtection="1">
      <alignment horizontal="center" vertical="center" wrapText="1"/>
      <protection locked="0"/>
    </xf>
    <xf numFmtId="0" fontId="0" fillId="41" borderId="94" xfId="0" applyFont="1" applyFill="1" applyBorder="1" applyAlignment="1" applyProtection="1">
      <alignment horizontal="justify" vertical="center" wrapText="1"/>
    </xf>
    <xf numFmtId="0" fontId="0" fillId="41" borderId="161" xfId="0" applyFont="1" applyFill="1" applyBorder="1" applyAlignment="1" applyProtection="1">
      <alignment horizontal="center" vertical="center" wrapText="1"/>
      <protection locked="0"/>
    </xf>
    <xf numFmtId="0" fontId="0" fillId="41" borderId="159" xfId="0" applyFont="1" applyFill="1" applyBorder="1" applyAlignment="1" applyProtection="1">
      <alignment horizontal="justify" vertical="center" wrapText="1"/>
    </xf>
    <xf numFmtId="0" fontId="0" fillId="7" borderId="155" xfId="0" applyFont="1" applyFill="1" applyBorder="1" applyAlignment="1" applyProtection="1">
      <alignment horizontal="center" vertical="center"/>
      <protection locked="0"/>
    </xf>
    <xf numFmtId="0" fontId="0" fillId="41" borderId="100" xfId="0" applyFont="1" applyFill="1" applyBorder="1" applyAlignment="1" applyProtection="1">
      <alignment horizontal="center" vertical="center" wrapText="1"/>
      <protection locked="0"/>
    </xf>
    <xf numFmtId="0" fontId="0" fillId="41" borderId="52" xfId="0" applyFont="1" applyFill="1" applyBorder="1" applyAlignment="1" applyProtection="1">
      <alignment horizontal="justify" vertical="center" wrapText="1"/>
    </xf>
    <xf numFmtId="0" fontId="11" fillId="69" borderId="94" xfId="0" applyFont="1" applyFill="1" applyBorder="1" applyAlignment="1" applyProtection="1">
      <alignment horizontal="justify" vertical="center" wrapText="1"/>
    </xf>
    <xf numFmtId="0" fontId="11" fillId="69" borderId="31" xfId="0" applyFont="1" applyFill="1" applyBorder="1" applyAlignment="1" applyProtection="1">
      <alignment horizontal="justify" vertical="center" wrapText="1"/>
    </xf>
    <xf numFmtId="0" fontId="7" fillId="39" borderId="94" xfId="0" applyFont="1" applyFill="1" applyBorder="1" applyAlignment="1" applyProtection="1">
      <alignment horizontal="justify" vertical="center" wrapText="1"/>
    </xf>
    <xf numFmtId="0" fontId="11" fillId="39" borderId="31" xfId="0" applyFont="1" applyFill="1" applyBorder="1" applyAlignment="1" applyProtection="1">
      <alignment horizontal="justify" vertical="center" wrapText="1"/>
    </xf>
    <xf numFmtId="0" fontId="11" fillId="38" borderId="94" xfId="0" applyFont="1" applyFill="1" applyBorder="1" applyAlignment="1" applyProtection="1">
      <alignment horizontal="justify" vertical="center" wrapText="1"/>
    </xf>
    <xf numFmtId="0" fontId="11" fillId="38" borderId="31" xfId="0" applyFont="1" applyFill="1" applyBorder="1" applyAlignment="1" applyProtection="1">
      <alignment horizontal="justify" vertical="center" wrapText="1"/>
    </xf>
    <xf numFmtId="0" fontId="11" fillId="17" borderId="14" xfId="0" applyFont="1" applyFill="1" applyBorder="1" applyAlignment="1" applyProtection="1">
      <alignment horizontal="justify" vertical="center" wrapText="1"/>
    </xf>
    <xf numFmtId="0" fontId="11" fillId="17" borderId="52" xfId="0" applyFont="1" applyFill="1" applyBorder="1" applyAlignment="1" applyProtection="1">
      <alignment horizontal="justify" vertical="center" wrapText="1"/>
    </xf>
    <xf numFmtId="0" fontId="11" fillId="17" borderId="159" xfId="0" applyFont="1" applyFill="1" applyBorder="1" applyAlignment="1" applyProtection="1">
      <alignment horizontal="justify" vertical="center" wrapText="1"/>
    </xf>
    <xf numFmtId="0" fontId="11" fillId="69" borderId="52" xfId="0" applyFont="1" applyFill="1" applyBorder="1" applyAlignment="1" applyProtection="1">
      <alignment horizontal="justify" vertical="center" wrapText="1"/>
    </xf>
    <xf numFmtId="0" fontId="11" fillId="66" borderId="159" xfId="0" applyFont="1" applyFill="1" applyBorder="1" applyAlignment="1" applyProtection="1">
      <alignment horizontal="justify" vertical="center" wrapText="1"/>
    </xf>
    <xf numFmtId="0" fontId="11" fillId="66" borderId="27" xfId="0" applyFont="1" applyFill="1" applyBorder="1" applyAlignment="1" applyProtection="1">
      <alignment horizontal="justify" vertical="center" wrapText="1"/>
    </xf>
    <xf numFmtId="0" fontId="11" fillId="66" borderId="57" xfId="0" applyFont="1" applyFill="1" applyBorder="1" applyAlignment="1" applyProtection="1">
      <alignment horizontal="justify" vertical="center" wrapText="1"/>
    </xf>
    <xf numFmtId="0" fontId="11" fillId="41" borderId="52" xfId="0" applyFont="1" applyFill="1" applyBorder="1" applyAlignment="1" applyProtection="1">
      <alignment horizontal="justify" vertical="center" wrapText="1"/>
    </xf>
    <xf numFmtId="0" fontId="11" fillId="41" borderId="27" xfId="0" applyFont="1" applyFill="1" applyBorder="1" applyAlignment="1" applyProtection="1">
      <alignment horizontal="justify" vertical="center" wrapText="1"/>
    </xf>
    <xf numFmtId="0" fontId="11" fillId="41" borderId="94" xfId="0" applyFont="1" applyFill="1" applyBorder="1" applyAlignment="1" applyProtection="1">
      <alignment horizontal="justify" vertical="center" wrapText="1"/>
    </xf>
    <xf numFmtId="0" fontId="11" fillId="39" borderId="94" xfId="0" applyFont="1" applyFill="1" applyBorder="1" applyAlignment="1" applyProtection="1">
      <alignment horizontal="justify" vertical="center" wrapText="1"/>
    </xf>
    <xf numFmtId="0" fontId="11" fillId="41" borderId="57" xfId="0" applyFont="1" applyFill="1" applyBorder="1" applyAlignment="1" applyProtection="1">
      <alignment horizontal="justify" vertical="center" wrapText="1"/>
    </xf>
    <xf numFmtId="0" fontId="11" fillId="41" borderId="9" xfId="0" applyFont="1" applyFill="1" applyBorder="1" applyAlignment="1" applyProtection="1">
      <alignment horizontal="justify" vertical="center" wrapText="1"/>
    </xf>
    <xf numFmtId="0" fontId="11" fillId="7" borderId="52" xfId="0" applyFont="1" applyFill="1" applyBorder="1" applyAlignment="1" applyProtection="1">
      <alignment horizontal="justify" vertical="center" wrapText="1"/>
    </xf>
    <xf numFmtId="0" fontId="11" fillId="51" borderId="94" xfId="0" applyFont="1" applyFill="1" applyBorder="1" applyAlignment="1" applyProtection="1">
      <alignment horizontal="justify" vertical="center" wrapText="1"/>
    </xf>
    <xf numFmtId="0" fontId="11" fillId="51" borderId="31" xfId="0" applyFont="1" applyFill="1" applyBorder="1" applyAlignment="1" applyProtection="1">
      <alignment horizontal="justify" vertical="center" wrapText="1"/>
    </xf>
    <xf numFmtId="0" fontId="11" fillId="66" borderId="52" xfId="0" applyFont="1" applyFill="1" applyBorder="1" applyAlignment="1" applyProtection="1">
      <alignment horizontal="justify" vertical="center" wrapText="1"/>
    </xf>
    <xf numFmtId="0" fontId="11" fillId="29" borderId="52" xfId="0" applyFont="1" applyFill="1" applyBorder="1" applyAlignment="1" applyProtection="1">
      <alignment horizontal="justify" vertical="center" wrapText="1"/>
    </xf>
    <xf numFmtId="0" fontId="11" fillId="29" borderId="94" xfId="0" applyFont="1" applyFill="1" applyBorder="1" applyAlignment="1" applyProtection="1">
      <alignment horizontal="justify" vertical="center" wrapText="1"/>
    </xf>
    <xf numFmtId="10" fontId="0" fillId="7" borderId="94" xfId="0" applyNumberFormat="1" applyFont="1" applyFill="1" applyBorder="1" applyAlignment="1" applyProtection="1">
      <alignment horizontal="center" vertical="center" wrapText="1"/>
    </xf>
    <xf numFmtId="4" fontId="0" fillId="7" borderId="94" xfId="5" applyNumberFormat="1" applyFont="1" applyFill="1" applyBorder="1" applyAlignment="1" applyProtection="1">
      <alignment horizontal="center" vertical="center"/>
    </xf>
    <xf numFmtId="9" fontId="0" fillId="41" borderId="52" xfId="0" applyNumberFormat="1" applyFont="1" applyFill="1" applyBorder="1" applyAlignment="1" applyProtection="1">
      <alignment horizontal="center" vertical="center"/>
    </xf>
    <xf numFmtId="9" fontId="0" fillId="41" borderId="94" xfId="0" applyNumberFormat="1" applyFont="1" applyFill="1" applyBorder="1" applyAlignment="1" applyProtection="1">
      <alignment horizontal="center" vertical="center"/>
    </xf>
    <xf numFmtId="0" fontId="0" fillId="41" borderId="94" xfId="0" applyFont="1" applyFill="1" applyBorder="1" applyAlignment="1" applyProtection="1">
      <alignment horizontal="center" vertical="center" wrapText="1"/>
    </xf>
    <xf numFmtId="0" fontId="0" fillId="38" borderId="54" xfId="0" applyFont="1" applyFill="1" applyBorder="1" applyAlignment="1" applyProtection="1">
      <alignment horizontal="justify" vertical="center" wrapText="1"/>
    </xf>
    <xf numFmtId="0" fontId="0" fillId="7" borderId="154" xfId="0" applyFont="1" applyFill="1" applyBorder="1" applyAlignment="1" applyProtection="1">
      <alignment horizontal="justify" vertical="center"/>
    </xf>
    <xf numFmtId="0" fontId="0" fillId="41" borderId="54" xfId="0" applyFont="1" applyFill="1" applyBorder="1" applyAlignment="1" applyProtection="1">
      <alignment horizontal="justify" vertical="center" wrapText="1"/>
    </xf>
    <xf numFmtId="0" fontId="0" fillId="41" borderId="182" xfId="0" applyFont="1" applyFill="1" applyBorder="1" applyAlignment="1" applyProtection="1">
      <alignment horizontal="justify" vertical="center" wrapText="1"/>
    </xf>
    <xf numFmtId="0" fontId="11" fillId="38" borderId="19" xfId="0" applyFont="1" applyFill="1" applyBorder="1" applyAlignment="1" applyProtection="1">
      <alignment horizontal="justify" vertical="center" wrapText="1"/>
    </xf>
    <xf numFmtId="0" fontId="0" fillId="41" borderId="159" xfId="0" applyFont="1" applyFill="1" applyBorder="1" applyAlignment="1" applyProtection="1">
      <alignment horizontal="center" vertical="center" wrapText="1"/>
    </xf>
    <xf numFmtId="0" fontId="11" fillId="39" borderId="155" xfId="0" applyFont="1" applyFill="1" applyBorder="1" applyAlignment="1" applyProtection="1">
      <alignment horizontal="center" vertical="center" wrapText="1"/>
      <protection locked="0"/>
    </xf>
    <xf numFmtId="0" fontId="11" fillId="39" borderId="161" xfId="0" applyFont="1" applyFill="1" applyBorder="1" applyAlignment="1" applyProtection="1">
      <alignment horizontal="center" vertical="center" wrapText="1"/>
      <protection locked="0"/>
    </xf>
    <xf numFmtId="0" fontId="11" fillId="17" borderId="47" xfId="0" applyFont="1" applyFill="1" applyBorder="1" applyAlignment="1" applyProtection="1">
      <alignment horizontal="center" vertical="center" wrapText="1"/>
      <protection locked="0"/>
    </xf>
    <xf numFmtId="0" fontId="11" fillId="17" borderId="100" xfId="0" applyFont="1" applyFill="1" applyBorder="1" applyAlignment="1" applyProtection="1">
      <alignment horizontal="center" vertical="center" wrapText="1"/>
      <protection locked="0"/>
    </xf>
    <xf numFmtId="0" fontId="11" fillId="17" borderId="185" xfId="0" applyFont="1" applyFill="1" applyBorder="1" applyAlignment="1" applyProtection="1">
      <alignment horizontal="center" vertical="center" wrapText="1"/>
      <protection locked="0"/>
    </xf>
    <xf numFmtId="0" fontId="11" fillId="66" borderId="64" xfId="0" applyFont="1" applyFill="1" applyBorder="1" applyAlignment="1" applyProtection="1">
      <alignment horizontal="center" vertical="center" wrapText="1"/>
      <protection locked="0"/>
    </xf>
    <xf numFmtId="0" fontId="11" fillId="29" borderId="100" xfId="0" applyFont="1" applyFill="1" applyBorder="1" applyAlignment="1" applyProtection="1">
      <alignment horizontal="center" vertical="center" wrapText="1"/>
      <protection locked="0"/>
    </xf>
    <xf numFmtId="0" fontId="11" fillId="29" borderId="155" xfId="0" applyFont="1" applyFill="1" applyBorder="1" applyAlignment="1" applyProtection="1">
      <alignment horizontal="center" vertical="center" wrapText="1"/>
      <protection locked="0"/>
    </xf>
    <xf numFmtId="0" fontId="11" fillId="29" borderId="185" xfId="0" applyFont="1" applyFill="1" applyBorder="1" applyAlignment="1" applyProtection="1">
      <alignment horizontal="center" vertical="center" wrapText="1"/>
      <protection locked="0"/>
    </xf>
    <xf numFmtId="0" fontId="11" fillId="29" borderId="64" xfId="0" applyFont="1" applyFill="1" applyBorder="1" applyAlignment="1" applyProtection="1">
      <alignment horizontal="center" vertical="center" wrapText="1"/>
      <protection locked="0"/>
    </xf>
    <xf numFmtId="9" fontId="11" fillId="66" borderId="159" xfId="0" applyNumberFormat="1" applyFont="1" applyFill="1" applyBorder="1" applyAlignment="1" applyProtection="1">
      <alignment horizontal="center" vertical="center" wrapText="1"/>
    </xf>
    <xf numFmtId="9" fontId="11" fillId="66" borderId="27" xfId="0" applyNumberFormat="1" applyFont="1" applyFill="1" applyBorder="1" applyAlignment="1" applyProtection="1">
      <alignment horizontal="center" vertical="center" wrapText="1"/>
    </xf>
    <xf numFmtId="9" fontId="11" fillId="66" borderId="52" xfId="0" applyNumberFormat="1" applyFont="1" applyFill="1" applyBorder="1" applyAlignment="1" applyProtection="1">
      <alignment horizontal="center" vertical="center" wrapText="1"/>
    </xf>
    <xf numFmtId="0" fontId="11" fillId="38" borderId="9" xfId="0" applyFont="1" applyFill="1" applyBorder="1" applyAlignment="1" applyProtection="1">
      <alignment horizontal="center" vertical="center" wrapText="1"/>
    </xf>
    <xf numFmtId="0" fontId="11" fillId="38" borderId="52" xfId="0" applyFont="1" applyFill="1" applyBorder="1" applyAlignment="1" applyProtection="1">
      <alignment horizontal="center" vertical="center" wrapText="1"/>
    </xf>
    <xf numFmtId="0" fontId="11" fillId="38" borderId="94" xfId="0" applyFont="1" applyFill="1" applyBorder="1" applyAlignment="1" applyProtection="1">
      <alignment horizontal="center" vertical="center" wrapText="1"/>
    </xf>
    <xf numFmtId="9" fontId="11" fillId="38" borderId="94" xfId="0" applyNumberFormat="1" applyFont="1" applyFill="1" applyBorder="1" applyAlignment="1" applyProtection="1">
      <alignment horizontal="center" vertical="center" wrapText="1"/>
    </xf>
    <xf numFmtId="9" fontId="11" fillId="38" borderId="31" xfId="0" applyNumberFormat="1" applyFont="1" applyFill="1" applyBorder="1" applyAlignment="1" applyProtection="1">
      <alignment horizontal="center" vertical="center" wrapText="1"/>
    </xf>
    <xf numFmtId="0" fontId="11" fillId="41" borderId="52" xfId="0" applyFont="1" applyFill="1" applyBorder="1" applyAlignment="1" applyProtection="1">
      <alignment horizontal="center" vertical="center" wrapText="1"/>
    </xf>
    <xf numFmtId="0" fontId="11" fillId="41" borderId="27" xfId="0" applyFont="1" applyFill="1" applyBorder="1" applyAlignment="1" applyProtection="1">
      <alignment horizontal="center" vertical="center" wrapText="1"/>
    </xf>
    <xf numFmtId="9" fontId="11" fillId="41" borderId="94" xfId="0" applyNumberFormat="1" applyFont="1" applyFill="1" applyBorder="1" applyAlignment="1" applyProtection="1">
      <alignment horizontal="center" vertical="center" wrapText="1"/>
    </xf>
    <xf numFmtId="9" fontId="11" fillId="41" borderId="52" xfId="0" applyNumberFormat="1" applyFont="1" applyFill="1" applyBorder="1" applyAlignment="1" applyProtection="1">
      <alignment horizontal="center" vertical="center" wrapText="1"/>
    </xf>
    <xf numFmtId="0" fontId="11" fillId="38" borderId="9" xfId="0" applyFont="1" applyFill="1" applyBorder="1" applyAlignment="1" applyProtection="1">
      <alignment horizontal="justify" vertical="center" wrapText="1"/>
    </xf>
    <xf numFmtId="0" fontId="11" fillId="38" borderId="52" xfId="0" applyFont="1" applyFill="1" applyBorder="1" applyAlignment="1" applyProtection="1">
      <alignment horizontal="justify" vertical="center" wrapText="1"/>
    </xf>
    <xf numFmtId="0" fontId="11" fillId="41" borderId="94" xfId="0" applyFont="1" applyFill="1" applyBorder="1" applyAlignment="1" applyProtection="1">
      <alignment horizontal="center" vertical="center" wrapText="1"/>
    </xf>
    <xf numFmtId="9" fontId="11" fillId="41" borderId="57" xfId="0" applyNumberFormat="1" applyFont="1" applyFill="1" applyBorder="1" applyAlignment="1" applyProtection="1">
      <alignment horizontal="center" vertical="center" wrapText="1"/>
    </xf>
    <xf numFmtId="9" fontId="11" fillId="7" borderId="52" xfId="0" applyNumberFormat="1" applyFont="1" applyFill="1" applyBorder="1" applyAlignment="1" applyProtection="1">
      <alignment horizontal="center" vertical="center" wrapText="1"/>
    </xf>
    <xf numFmtId="0" fontId="11" fillId="41" borderId="25" xfId="0" applyFont="1" applyFill="1" applyBorder="1" applyAlignment="1" applyProtection="1">
      <alignment horizontal="justify" vertical="center" wrapText="1"/>
    </xf>
    <xf numFmtId="0" fontId="11" fillId="41" borderId="185" xfId="8" applyFont="1" applyFill="1" applyBorder="1" applyAlignment="1" applyProtection="1">
      <alignment horizontal="center" vertical="center" wrapText="1"/>
      <protection locked="0"/>
    </xf>
    <xf numFmtId="0" fontId="11" fillId="41" borderId="64" xfId="8" applyFont="1" applyFill="1" applyBorder="1" applyAlignment="1" applyProtection="1">
      <alignment horizontal="center" vertical="center" wrapText="1"/>
      <protection locked="0"/>
    </xf>
    <xf numFmtId="0" fontId="11" fillId="41" borderId="159" xfId="8" applyFont="1" applyFill="1" applyBorder="1" applyAlignment="1" applyProtection="1">
      <alignment horizontal="justify" vertical="center" wrapText="1"/>
    </xf>
    <xf numFmtId="0" fontId="11" fillId="41" borderId="57" xfId="8" applyFont="1" applyFill="1" applyBorder="1" applyAlignment="1" applyProtection="1">
      <alignment horizontal="justify" vertical="center" wrapText="1"/>
    </xf>
    <xf numFmtId="0" fontId="11" fillId="103" borderId="185" xfId="8" applyFont="1" applyFill="1" applyBorder="1" applyAlignment="1" applyProtection="1">
      <alignment horizontal="center" vertical="center" wrapText="1"/>
      <protection locked="0"/>
    </xf>
    <xf numFmtId="0" fontId="11" fillId="103" borderId="100" xfId="8" applyFont="1" applyFill="1" applyBorder="1" applyAlignment="1" applyProtection="1">
      <alignment horizontal="center" vertical="center" wrapText="1"/>
      <protection locked="0"/>
    </xf>
    <xf numFmtId="0" fontId="11" fillId="103" borderId="159" xfId="8" applyFont="1" applyFill="1" applyBorder="1" applyAlignment="1" applyProtection="1">
      <alignment horizontal="justify" vertical="center" wrapText="1"/>
    </xf>
    <xf numFmtId="0" fontId="11" fillId="103" borderId="52" xfId="8" applyFont="1" applyFill="1" applyBorder="1" applyAlignment="1" applyProtection="1">
      <alignment horizontal="justify" vertical="center" wrapText="1"/>
    </xf>
    <xf numFmtId="9" fontId="11" fillId="69" borderId="94" xfId="0" applyNumberFormat="1" applyFont="1" applyFill="1" applyBorder="1" applyAlignment="1" applyProtection="1">
      <alignment horizontal="center" vertical="center" wrapText="1"/>
    </xf>
    <xf numFmtId="0" fontId="11" fillId="69" borderId="94" xfId="0" applyFont="1" applyFill="1" applyBorder="1" applyAlignment="1" applyProtection="1">
      <alignment horizontal="center" vertical="center" wrapText="1"/>
    </xf>
    <xf numFmtId="0" fontId="11" fillId="69" borderId="31" xfId="0" applyFont="1" applyFill="1" applyBorder="1" applyAlignment="1" applyProtection="1">
      <alignment horizontal="center" vertical="center" wrapText="1"/>
    </xf>
    <xf numFmtId="0" fontId="11" fillId="41" borderId="47" xfId="8" applyFont="1" applyFill="1" applyBorder="1" applyAlignment="1" applyProtection="1">
      <alignment horizontal="center" vertical="center" wrapText="1"/>
      <protection locked="0"/>
    </xf>
    <xf numFmtId="0" fontId="11" fillId="41" borderId="40" xfId="8" applyFont="1" applyFill="1" applyBorder="1" applyAlignment="1" applyProtection="1">
      <alignment horizontal="center" vertical="center" wrapText="1"/>
      <protection locked="0"/>
    </xf>
    <xf numFmtId="0" fontId="11" fillId="41" borderId="100" xfId="8" applyFont="1" applyFill="1" applyBorder="1" applyAlignment="1" applyProtection="1">
      <alignment horizontal="center" vertical="center" wrapText="1"/>
      <protection locked="0"/>
    </xf>
    <xf numFmtId="0" fontId="11" fillId="41" borderId="14" xfId="8" applyFont="1" applyFill="1" applyBorder="1" applyAlignment="1" applyProtection="1">
      <alignment horizontal="justify" vertical="center" wrapText="1"/>
    </xf>
    <xf numFmtId="0" fontId="11" fillId="41" borderId="27" xfId="8" applyFont="1" applyFill="1" applyBorder="1" applyAlignment="1" applyProtection="1">
      <alignment horizontal="justify" vertical="center" wrapText="1"/>
    </xf>
    <xf numFmtId="0" fontId="11" fillId="41" borderId="52" xfId="8" applyFont="1" applyFill="1" applyBorder="1" applyAlignment="1" applyProtection="1">
      <alignment horizontal="justify" vertical="center" wrapText="1"/>
    </xf>
    <xf numFmtId="0" fontId="0" fillId="41" borderId="14" xfId="8" applyFont="1" applyFill="1" applyBorder="1" applyAlignment="1" applyProtection="1">
      <alignment horizontal="center" vertical="center" wrapText="1"/>
    </xf>
    <xf numFmtId="0" fontId="0" fillId="41" borderId="27" xfId="8" applyFont="1" applyFill="1" applyBorder="1" applyAlignment="1" applyProtection="1">
      <alignment horizontal="center" vertical="center" wrapText="1"/>
    </xf>
    <xf numFmtId="0" fontId="0" fillId="41" borderId="52" xfId="8" applyFont="1" applyFill="1" applyBorder="1" applyAlignment="1" applyProtection="1">
      <alignment horizontal="center" vertical="center" wrapText="1"/>
    </xf>
    <xf numFmtId="0" fontId="0" fillId="41" borderId="159" xfId="8" applyFont="1" applyFill="1" applyBorder="1" applyAlignment="1" applyProtection="1">
      <alignment horizontal="center" vertical="center" wrapText="1"/>
    </xf>
    <xf numFmtId="0" fontId="11" fillId="39" borderId="31" xfId="0" applyFont="1" applyFill="1" applyBorder="1" applyAlignment="1" applyProtection="1">
      <alignment horizontal="center" vertical="center" wrapText="1"/>
    </xf>
    <xf numFmtId="0" fontId="11" fillId="38" borderId="31" xfId="0" applyFont="1" applyFill="1" applyBorder="1" applyAlignment="1" applyProtection="1">
      <alignment horizontal="center" vertical="center" wrapText="1"/>
    </xf>
    <xf numFmtId="0" fontId="11" fillId="17" borderId="14" xfId="0" applyFont="1" applyFill="1" applyBorder="1" applyAlignment="1" applyProtection="1">
      <alignment horizontal="center" vertical="center" wrapText="1"/>
    </xf>
    <xf numFmtId="0" fontId="11" fillId="17" borderId="52" xfId="0" applyFont="1" applyFill="1" applyBorder="1" applyAlignment="1" applyProtection="1">
      <alignment horizontal="center" vertical="center" wrapText="1"/>
    </xf>
    <xf numFmtId="0" fontId="11" fillId="17" borderId="159" xfId="0" applyFont="1" applyFill="1" applyBorder="1" applyAlignment="1" applyProtection="1">
      <alignment horizontal="center" vertical="center" wrapText="1"/>
    </xf>
    <xf numFmtId="9" fontId="11" fillId="69" borderId="52" xfId="0" applyNumberFormat="1" applyFont="1" applyFill="1" applyBorder="1" applyAlignment="1" applyProtection="1">
      <alignment horizontal="center" vertical="center" wrapText="1"/>
    </xf>
    <xf numFmtId="0" fontId="11" fillId="69" borderId="100" xfId="0" applyFont="1" applyFill="1" applyBorder="1" applyAlignment="1" applyProtection="1">
      <alignment horizontal="center" vertical="center" wrapText="1"/>
      <protection locked="0"/>
    </xf>
    <xf numFmtId="0" fontId="11" fillId="69" borderId="155" xfId="0" applyFont="1" applyFill="1" applyBorder="1" applyAlignment="1" applyProtection="1">
      <alignment horizontal="center" vertical="center" wrapText="1"/>
      <protection locked="0"/>
    </xf>
    <xf numFmtId="0" fontId="11" fillId="69" borderId="161" xfId="0" applyFont="1" applyFill="1" applyBorder="1" applyAlignment="1" applyProtection="1">
      <alignment horizontal="center" vertical="center" wrapText="1"/>
      <protection locked="0"/>
    </xf>
    <xf numFmtId="0" fontId="0" fillId="43" borderId="185" xfId="8" applyFont="1" applyFill="1" applyBorder="1" applyAlignment="1" applyProtection="1">
      <alignment horizontal="center" vertical="center" wrapText="1"/>
      <protection locked="0"/>
    </xf>
    <xf numFmtId="0" fontId="0" fillId="43" borderId="40" xfId="8" applyFont="1" applyFill="1" applyBorder="1" applyAlignment="1" applyProtection="1">
      <alignment horizontal="center" vertical="center" wrapText="1"/>
      <protection locked="0"/>
    </xf>
    <xf numFmtId="0" fontId="0" fillId="43" borderId="100" xfId="8" applyFont="1" applyFill="1" applyBorder="1" applyAlignment="1" applyProtection="1">
      <alignment horizontal="center" vertical="center" wrapText="1"/>
      <protection locked="0"/>
    </xf>
    <xf numFmtId="0" fontId="11" fillId="43" borderId="159" xfId="8" applyFont="1" applyFill="1" applyBorder="1" applyAlignment="1" applyProtection="1">
      <alignment horizontal="justify" vertical="center" wrapText="1"/>
    </xf>
    <xf numFmtId="0" fontId="11" fillId="43" borderId="27" xfId="8" applyFont="1" applyFill="1" applyBorder="1" applyAlignment="1" applyProtection="1">
      <alignment horizontal="justify" vertical="center" wrapText="1"/>
    </xf>
    <xf numFmtId="0" fontId="11" fillId="43" borderId="52" xfId="8" applyFont="1" applyFill="1" applyBorder="1" applyAlignment="1" applyProtection="1">
      <alignment horizontal="justify" vertical="center" wrapText="1"/>
    </xf>
    <xf numFmtId="0" fontId="11" fillId="43" borderId="185" xfId="8" applyFont="1" applyFill="1" applyBorder="1" applyAlignment="1" applyProtection="1">
      <alignment horizontal="center" vertical="center" wrapText="1"/>
      <protection locked="0"/>
    </xf>
    <xf numFmtId="0" fontId="11" fillId="43" borderId="100" xfId="8" applyFont="1" applyFill="1" applyBorder="1" applyAlignment="1" applyProtection="1">
      <alignment horizontal="center" vertical="center" wrapText="1"/>
      <protection locked="0"/>
    </xf>
    <xf numFmtId="0" fontId="11" fillId="43" borderId="40" xfId="8" applyFont="1" applyFill="1" applyBorder="1" applyAlignment="1" applyProtection="1">
      <alignment horizontal="center" vertical="center" wrapText="1"/>
      <protection locked="0"/>
    </xf>
    <xf numFmtId="0" fontId="11" fillId="43" borderId="47" xfId="8" applyFont="1" applyFill="1" applyBorder="1" applyAlignment="1" applyProtection="1">
      <alignment horizontal="center" vertical="center" wrapText="1"/>
      <protection locked="0"/>
    </xf>
    <xf numFmtId="0" fontId="11" fillId="43" borderId="14" xfId="8" applyFont="1" applyFill="1" applyBorder="1" applyAlignment="1" applyProtection="1">
      <alignment horizontal="justify" vertical="center" wrapText="1"/>
    </xf>
    <xf numFmtId="0" fontId="11" fillId="29" borderId="185" xfId="8" applyFont="1" applyFill="1" applyBorder="1" applyAlignment="1" applyProtection="1">
      <alignment horizontal="center" vertical="center" wrapText="1"/>
      <protection locked="0"/>
    </xf>
    <xf numFmtId="0" fontId="11" fillId="29" borderId="100" xfId="8" applyFont="1" applyFill="1" applyBorder="1" applyAlignment="1" applyProtection="1">
      <alignment horizontal="center" vertical="center" wrapText="1"/>
      <protection locked="0"/>
    </xf>
    <xf numFmtId="0" fontId="11" fillId="29" borderId="159" xfId="8" applyFont="1" applyFill="1" applyBorder="1" applyAlignment="1" applyProtection="1">
      <alignment horizontal="justify" vertical="center" wrapText="1"/>
    </xf>
    <xf numFmtId="0" fontId="11" fillId="29" borderId="52" xfId="8" applyFont="1" applyFill="1" applyBorder="1" applyAlignment="1" applyProtection="1">
      <alignment horizontal="justify" vertical="center" wrapText="1"/>
    </xf>
    <xf numFmtId="0" fontId="11" fillId="29" borderId="40" xfId="8" applyFont="1" applyFill="1" applyBorder="1" applyAlignment="1" applyProtection="1">
      <alignment horizontal="center" vertical="center" wrapText="1"/>
      <protection locked="0"/>
    </xf>
    <xf numFmtId="0" fontId="11" fillId="29" borderId="27" xfId="8" applyFont="1" applyFill="1" applyBorder="1" applyAlignment="1" applyProtection="1">
      <alignment horizontal="justify" vertical="center" wrapText="1"/>
    </xf>
    <xf numFmtId="0" fontId="11" fillId="43" borderId="64" xfId="8" applyFont="1" applyFill="1" applyBorder="1" applyAlignment="1" applyProtection="1">
      <alignment horizontal="center" vertical="center" wrapText="1"/>
      <protection locked="0"/>
    </xf>
    <xf numFmtId="0" fontId="11" fillId="43" borderId="57" xfId="8" applyFont="1" applyFill="1" applyBorder="1" applyAlignment="1" applyProtection="1">
      <alignment horizontal="justify" vertical="center" wrapText="1"/>
    </xf>
    <xf numFmtId="0" fontId="11" fillId="29" borderId="64" xfId="8" applyFont="1" applyFill="1" applyBorder="1" applyAlignment="1" applyProtection="1">
      <alignment horizontal="center" vertical="center" wrapText="1"/>
      <protection locked="0"/>
    </xf>
    <xf numFmtId="0" fontId="11" fillId="29" borderId="57" xfId="8" applyFont="1" applyFill="1" applyBorder="1" applyAlignment="1" applyProtection="1">
      <alignment horizontal="justify" vertical="center" wrapText="1"/>
    </xf>
    <xf numFmtId="0" fontId="11" fillId="39" borderId="47" xfId="8" applyFont="1" applyFill="1" applyBorder="1" applyAlignment="1" applyProtection="1">
      <alignment horizontal="center" vertical="center" wrapText="1"/>
      <protection locked="0"/>
    </xf>
    <xf numFmtId="0" fontId="11" fillId="39" borderId="100" xfId="8" applyFont="1" applyFill="1" applyBorder="1" applyAlignment="1" applyProtection="1">
      <alignment horizontal="center" vertical="center" wrapText="1"/>
      <protection locked="0"/>
    </xf>
    <xf numFmtId="0" fontId="11" fillId="39" borderId="14" xfId="8" applyFont="1" applyFill="1" applyBorder="1" applyAlignment="1" applyProtection="1">
      <alignment horizontal="justify" vertical="center" wrapText="1"/>
    </xf>
    <xf numFmtId="0" fontId="11" fillId="39" borderId="52" xfId="8" applyFont="1" applyFill="1" applyBorder="1" applyAlignment="1" applyProtection="1">
      <alignment horizontal="justify" vertical="center" wrapText="1"/>
    </xf>
    <xf numFmtId="0" fontId="11" fillId="38" borderId="185" xfId="8" applyFont="1" applyFill="1" applyBorder="1" applyAlignment="1" applyProtection="1">
      <alignment horizontal="center" vertical="center" wrapText="1"/>
      <protection locked="0"/>
    </xf>
    <xf numFmtId="0" fontId="11" fillId="38" borderId="100" xfId="8" applyFont="1" applyFill="1" applyBorder="1" applyAlignment="1" applyProtection="1">
      <alignment horizontal="center" vertical="center" wrapText="1"/>
      <protection locked="0"/>
    </xf>
    <xf numFmtId="0" fontId="11" fillId="38" borderId="159" xfId="8" applyFont="1" applyFill="1" applyBorder="1" applyAlignment="1" applyProtection="1">
      <alignment horizontal="justify" vertical="center" wrapText="1"/>
    </xf>
    <xf numFmtId="0" fontId="11" fillId="38" borderId="52" xfId="8" applyFont="1" applyFill="1" applyBorder="1" applyAlignment="1" applyProtection="1">
      <alignment horizontal="justify" vertical="center" wrapText="1"/>
    </xf>
    <xf numFmtId="0" fontId="11" fillId="39" borderId="185" xfId="8" applyFont="1" applyFill="1" applyBorder="1" applyAlignment="1" applyProtection="1">
      <alignment horizontal="center" vertical="center" wrapText="1"/>
      <protection locked="0"/>
    </xf>
    <xf numFmtId="0" fontId="11" fillId="39" borderId="159" xfId="8" applyFont="1" applyFill="1" applyBorder="1" applyAlignment="1" applyProtection="1">
      <alignment horizontal="justify" vertical="center" wrapText="1"/>
    </xf>
    <xf numFmtId="0" fontId="11" fillId="39" borderId="40" xfId="8" applyFont="1" applyFill="1" applyBorder="1" applyAlignment="1" applyProtection="1">
      <alignment horizontal="center" vertical="center" wrapText="1"/>
      <protection locked="0"/>
    </xf>
    <xf numFmtId="0" fontId="11" fillId="39" borderId="27" xfId="8" applyFont="1" applyFill="1" applyBorder="1" applyAlignment="1" applyProtection="1">
      <alignment horizontal="justify" vertical="center" wrapText="1"/>
    </xf>
    <xf numFmtId="0" fontId="11" fillId="40" borderId="159" xfId="8" applyFont="1" applyFill="1" applyBorder="1" applyAlignment="1" applyProtection="1">
      <alignment horizontal="justify" vertical="center" wrapText="1"/>
    </xf>
    <xf numFmtId="0" fontId="11" fillId="40" borderId="52" xfId="8" applyFont="1" applyFill="1" applyBorder="1" applyAlignment="1" applyProtection="1">
      <alignment horizontal="justify" vertical="center" wrapText="1"/>
    </xf>
    <xf numFmtId="0" fontId="11" fillId="40" borderId="47" xfId="8" applyFont="1" applyFill="1" applyBorder="1" applyAlignment="1" applyProtection="1">
      <alignment horizontal="center" vertical="center" wrapText="1"/>
      <protection locked="0"/>
    </xf>
    <xf numFmtId="0" fontId="11" fillId="40" borderId="100" xfId="8" applyFont="1" applyFill="1" applyBorder="1" applyAlignment="1" applyProtection="1">
      <alignment horizontal="center" vertical="center" wrapText="1"/>
      <protection locked="0"/>
    </xf>
    <xf numFmtId="0" fontId="11" fillId="40" borderId="14" xfId="8" applyFont="1" applyFill="1" applyBorder="1" applyAlignment="1" applyProtection="1">
      <alignment horizontal="justify" vertical="center" wrapText="1"/>
    </xf>
    <xf numFmtId="0" fontId="11" fillId="40" borderId="185" xfId="8" applyFont="1" applyFill="1" applyBorder="1" applyAlignment="1" applyProtection="1">
      <alignment horizontal="center" vertical="center" wrapText="1"/>
      <protection locked="0"/>
    </xf>
    <xf numFmtId="0" fontId="0" fillId="29" borderId="159" xfId="8" applyFont="1" applyFill="1" applyBorder="1" applyAlignment="1" applyProtection="1">
      <alignment horizontal="center" vertical="center"/>
    </xf>
    <xf numFmtId="0" fontId="0" fillId="29" borderId="52" xfId="8" applyFont="1" applyFill="1" applyBorder="1" applyAlignment="1" applyProtection="1">
      <alignment horizontal="center" vertical="center"/>
    </xf>
    <xf numFmtId="0" fontId="0" fillId="29" borderId="27" xfId="8" applyFont="1" applyFill="1" applyBorder="1" applyAlignment="1" applyProtection="1">
      <alignment horizontal="center" vertical="center"/>
    </xf>
    <xf numFmtId="0" fontId="11" fillId="41" borderId="159" xfId="0" applyFont="1" applyFill="1" applyBorder="1" applyAlignment="1" applyProtection="1">
      <alignment horizontal="justify" vertical="center" wrapText="1"/>
    </xf>
    <xf numFmtId="0" fontId="0" fillId="43" borderId="159" xfId="8" applyFont="1" applyFill="1" applyBorder="1" applyAlignment="1" applyProtection="1">
      <alignment horizontal="center" vertical="center"/>
    </xf>
    <xf numFmtId="0" fontId="0" fillId="43" borderId="27" xfId="8" applyFont="1" applyFill="1" applyBorder="1" applyAlignment="1" applyProtection="1">
      <alignment horizontal="center" vertical="center"/>
    </xf>
    <xf numFmtId="0" fontId="0" fillId="43" borderId="52" xfId="8" applyFont="1" applyFill="1" applyBorder="1" applyAlignment="1" applyProtection="1">
      <alignment horizontal="center" vertical="center"/>
    </xf>
    <xf numFmtId="0" fontId="0" fillId="43" borderId="159" xfId="8" applyFont="1" applyFill="1" applyBorder="1" applyAlignment="1" applyProtection="1">
      <alignment horizontal="center" vertical="center" wrapText="1"/>
    </xf>
    <xf numFmtId="0" fontId="0" fillId="43" borderId="27" xfId="8" applyFont="1" applyFill="1" applyBorder="1" applyAlignment="1" applyProtection="1">
      <alignment horizontal="center" vertical="center" wrapText="1"/>
    </xf>
    <xf numFmtId="0" fontId="0" fillId="43" borderId="57" xfId="8" applyFont="1" applyFill="1" applyBorder="1" applyAlignment="1" applyProtection="1">
      <alignment horizontal="center" vertical="center" wrapText="1"/>
    </xf>
    <xf numFmtId="0" fontId="0" fillId="41" borderId="57" xfId="8" applyFont="1" applyFill="1" applyBorder="1" applyAlignment="1" applyProtection="1">
      <alignment horizontal="center" vertical="center" wrapText="1"/>
    </xf>
    <xf numFmtId="0" fontId="0" fillId="103" borderId="159" xfId="8" applyFont="1" applyFill="1" applyBorder="1" applyAlignment="1" applyProtection="1">
      <alignment horizontal="center" vertical="center"/>
    </xf>
    <xf numFmtId="0" fontId="0" fillId="103" borderId="52" xfId="8" applyFont="1" applyFill="1" applyBorder="1" applyAlignment="1" applyProtection="1">
      <alignment horizontal="center" vertical="center"/>
    </xf>
    <xf numFmtId="0" fontId="0" fillId="43" borderId="14" xfId="8" applyFont="1" applyFill="1" applyBorder="1" applyAlignment="1" applyProtection="1">
      <alignment horizontal="center" vertical="center"/>
    </xf>
    <xf numFmtId="0" fontId="0" fillId="41" borderId="159" xfId="8" applyFont="1" applyFill="1" applyBorder="1" applyAlignment="1" applyProtection="1">
      <alignment horizontal="center" vertical="center"/>
    </xf>
    <xf numFmtId="0" fontId="0" fillId="41" borderId="52" xfId="8" applyFont="1" applyFill="1" applyBorder="1" applyAlignment="1" applyProtection="1">
      <alignment horizontal="center" vertical="center"/>
    </xf>
    <xf numFmtId="0" fontId="0" fillId="41" borderId="27" xfId="8" applyFont="1" applyFill="1" applyBorder="1" applyAlignment="1" applyProtection="1">
      <alignment horizontal="center" vertical="center"/>
    </xf>
    <xf numFmtId="0" fontId="0" fillId="29" borderId="57" xfId="8" applyFont="1" applyFill="1" applyBorder="1" applyAlignment="1" applyProtection="1">
      <alignment horizontal="center" vertical="center"/>
    </xf>
    <xf numFmtId="0" fontId="3" fillId="39" borderId="14" xfId="8" applyFont="1" applyFill="1" applyBorder="1" applyAlignment="1" applyProtection="1">
      <alignment horizontal="center" vertical="center"/>
    </xf>
    <xf numFmtId="0" fontId="3" fillId="39" borderId="52" xfId="8" applyFont="1" applyFill="1" applyBorder="1" applyAlignment="1" applyProtection="1">
      <alignment horizontal="center" vertical="center"/>
    </xf>
    <xf numFmtId="0" fontId="3" fillId="39" borderId="159" xfId="8" applyFont="1" applyFill="1" applyBorder="1" applyAlignment="1" applyProtection="1">
      <alignment horizontal="center" vertical="center"/>
    </xf>
    <xf numFmtId="0" fontId="0" fillId="39" borderId="159" xfId="8" applyFont="1" applyFill="1" applyBorder="1" applyAlignment="1" applyProtection="1">
      <alignment horizontal="center" vertical="center" wrapText="1"/>
    </xf>
    <xf numFmtId="0" fontId="0" fillId="39" borderId="27" xfId="8" applyFont="1" applyFill="1" applyBorder="1" applyAlignment="1" applyProtection="1">
      <alignment horizontal="center" vertical="center" wrapText="1"/>
    </xf>
    <xf numFmtId="0" fontId="0" fillId="39" borderId="52" xfId="8" applyFont="1" applyFill="1" applyBorder="1" applyAlignment="1" applyProtection="1">
      <alignment horizontal="center" vertical="center" wrapText="1"/>
    </xf>
    <xf numFmtId="0" fontId="0" fillId="38" borderId="159" xfId="8" applyFont="1" applyFill="1" applyBorder="1" applyAlignment="1" applyProtection="1">
      <alignment horizontal="center" vertical="center" wrapText="1"/>
    </xf>
    <xf numFmtId="0" fontId="0" fillId="38" borderId="52" xfId="8" applyFont="1" applyFill="1" applyBorder="1" applyAlignment="1" applyProtection="1">
      <alignment horizontal="center" vertical="center" wrapText="1"/>
    </xf>
    <xf numFmtId="0" fontId="0" fillId="69" borderId="9" xfId="8" applyFont="1" applyFill="1" applyBorder="1" applyAlignment="1" applyProtection="1">
      <alignment horizontal="center" vertical="center" wrapText="1"/>
    </xf>
    <xf numFmtId="0" fontId="0" fillId="69" borderId="94" xfId="8" applyFont="1" applyFill="1" applyBorder="1" applyAlignment="1" applyProtection="1">
      <alignment horizontal="center" vertical="center" wrapText="1"/>
    </xf>
    <xf numFmtId="0" fontId="0" fillId="69" borderId="31" xfId="8" applyFont="1" applyFill="1" applyBorder="1" applyAlignment="1" applyProtection="1">
      <alignment horizontal="center" vertical="center" wrapText="1"/>
    </xf>
    <xf numFmtId="0" fontId="11" fillId="7" borderId="94" xfId="0" applyFont="1" applyFill="1" applyBorder="1" applyAlignment="1" applyProtection="1">
      <alignment horizontal="justify" vertical="center" wrapText="1"/>
    </xf>
    <xf numFmtId="9" fontId="11" fillId="7" borderId="94" xfId="0" applyNumberFormat="1" applyFont="1" applyFill="1" applyBorder="1" applyAlignment="1" applyProtection="1">
      <alignment horizontal="center" vertical="center" wrapText="1"/>
    </xf>
    <xf numFmtId="0" fontId="0" fillId="40" borderId="159" xfId="8" applyFont="1" applyFill="1" applyBorder="1" applyAlignment="1" applyProtection="1">
      <alignment horizontal="center" vertical="center" wrapText="1"/>
    </xf>
    <xf numFmtId="0" fontId="0" fillId="40" borderId="27" xfId="8" applyFont="1" applyFill="1" applyBorder="1" applyAlignment="1" applyProtection="1">
      <alignment horizontal="center" vertical="center" wrapText="1"/>
    </xf>
    <xf numFmtId="0" fontId="0" fillId="40" borderId="52" xfId="8" applyFont="1" applyFill="1" applyBorder="1" applyAlignment="1" applyProtection="1">
      <alignment horizontal="center" vertical="center" wrapText="1"/>
    </xf>
    <xf numFmtId="0" fontId="0" fillId="40" borderId="57" xfId="8" applyFont="1" applyFill="1" applyBorder="1" applyAlignment="1" applyProtection="1">
      <alignment horizontal="center" vertical="center" wrapText="1"/>
    </xf>
    <xf numFmtId="0" fontId="0" fillId="40" borderId="14" xfId="8" applyFont="1" applyFill="1" applyBorder="1" applyAlignment="1" applyProtection="1">
      <alignment horizontal="center" vertical="center" wrapText="1"/>
    </xf>
    <xf numFmtId="0" fontId="11" fillId="69" borderId="15" xfId="8" applyFont="1" applyFill="1" applyBorder="1" applyAlignment="1" applyProtection="1">
      <alignment horizontal="center" vertical="center" wrapText="1"/>
      <protection locked="0"/>
    </xf>
    <xf numFmtId="0" fontId="11" fillId="69" borderId="155" xfId="8" applyFont="1" applyFill="1" applyBorder="1" applyAlignment="1" applyProtection="1">
      <alignment horizontal="center" vertical="center" wrapText="1"/>
      <protection locked="0"/>
    </xf>
    <xf numFmtId="0" fontId="11" fillId="69" borderId="9" xfId="8" applyFont="1" applyFill="1" applyBorder="1" applyAlignment="1" applyProtection="1">
      <alignment horizontal="justify" vertical="center" wrapText="1"/>
    </xf>
    <xf numFmtId="0" fontId="11" fillId="69" borderId="94" xfId="8" applyFont="1" applyFill="1" applyBorder="1" applyAlignment="1" applyProtection="1">
      <alignment horizontal="justify" vertical="center" wrapText="1"/>
    </xf>
    <xf numFmtId="0" fontId="11" fillId="69" borderId="161" xfId="8" applyFont="1" applyFill="1" applyBorder="1" applyAlignment="1" applyProtection="1">
      <alignment horizontal="center" vertical="center" wrapText="1"/>
      <protection locked="0"/>
    </xf>
    <xf numFmtId="0" fontId="11" fillId="69" borderId="31" xfId="8" applyFont="1" applyFill="1" applyBorder="1" applyAlignment="1" applyProtection="1">
      <alignment horizontal="justify" vertical="center" wrapText="1"/>
    </xf>
    <xf numFmtId="0" fontId="11" fillId="40" borderId="64" xfId="8" applyFont="1" applyFill="1" applyBorder="1" applyAlignment="1" applyProtection="1">
      <alignment horizontal="center" vertical="center" wrapText="1"/>
      <protection locked="0"/>
    </xf>
    <xf numFmtId="0" fontId="11" fillId="40" borderId="57" xfId="8" applyFont="1" applyFill="1" applyBorder="1" applyAlignment="1" applyProtection="1">
      <alignment horizontal="justify" vertical="center" wrapText="1"/>
    </xf>
    <xf numFmtId="0" fontId="11" fillId="40" borderId="40" xfId="8" applyFont="1" applyFill="1" applyBorder="1" applyAlignment="1" applyProtection="1">
      <alignment horizontal="center" vertical="center" wrapText="1"/>
      <protection locked="0"/>
    </xf>
    <xf numFmtId="0" fontId="11" fillId="40" borderId="27" xfId="8" applyFont="1" applyFill="1" applyBorder="1" applyAlignment="1" applyProtection="1">
      <alignment horizontal="justify" vertical="center" wrapText="1"/>
    </xf>
    <xf numFmtId="0" fontId="11" fillId="7" borderId="161" xfId="0" applyFont="1" applyFill="1" applyBorder="1" applyAlignment="1" applyProtection="1">
      <alignment horizontal="center" vertical="center" wrapText="1"/>
      <protection locked="0"/>
    </xf>
    <xf numFmtId="0" fontId="11" fillId="7" borderId="31" xfId="0" applyFont="1" applyFill="1" applyBorder="1" applyAlignment="1" applyProtection="1">
      <alignment horizontal="justify" vertical="center" wrapText="1"/>
    </xf>
    <xf numFmtId="0" fontId="0" fillId="51" borderId="155" xfId="0" applyFont="1" applyFill="1" applyBorder="1" applyAlignment="1" applyProtection="1">
      <alignment horizontal="center" vertical="center" wrapText="1"/>
      <protection locked="0"/>
    </xf>
    <xf numFmtId="0" fontId="0" fillId="51" borderId="94" xfId="0" applyFont="1" applyFill="1" applyBorder="1" applyAlignment="1" applyProtection="1">
      <alignment horizontal="justify" vertical="center" wrapText="1"/>
    </xf>
    <xf numFmtId="0" fontId="11" fillId="51" borderId="155" xfId="0" applyFont="1" applyFill="1" applyBorder="1" applyAlignment="1" applyProtection="1">
      <alignment horizontal="center" vertical="center" wrapText="1"/>
      <protection locked="0"/>
    </xf>
    <xf numFmtId="0" fontId="11" fillId="17" borderId="155" xfId="0" applyFont="1" applyFill="1" applyBorder="1" applyAlignment="1" applyProtection="1">
      <alignment horizontal="center" vertical="center" wrapText="1"/>
      <protection locked="0"/>
    </xf>
    <xf numFmtId="0" fontId="11" fillId="17" borderId="94" xfId="0" applyFont="1" applyFill="1" applyBorder="1" applyAlignment="1" applyProtection="1">
      <alignment horizontal="justify" vertical="center" wrapText="1"/>
    </xf>
    <xf numFmtId="0" fontId="11" fillId="17" borderId="161" xfId="0" applyFont="1" applyFill="1" applyBorder="1" applyAlignment="1" applyProtection="1">
      <alignment horizontal="center" vertical="center" wrapText="1"/>
      <protection locked="0"/>
    </xf>
    <xf numFmtId="0" fontId="11" fillId="17" borderId="31" xfId="0" applyFont="1" applyFill="1" applyBorder="1" applyAlignment="1" applyProtection="1">
      <alignment horizontal="justify" vertical="center" wrapText="1"/>
    </xf>
    <xf numFmtId="0" fontId="11" fillId="51" borderId="161" xfId="0" applyFont="1" applyFill="1" applyBorder="1" applyAlignment="1" applyProtection="1">
      <alignment horizontal="center" vertical="center" wrapText="1"/>
      <protection locked="0"/>
    </xf>
    <xf numFmtId="0" fontId="11" fillId="41" borderId="31" xfId="0" applyFont="1" applyFill="1" applyBorder="1" applyAlignment="1" applyProtection="1">
      <alignment horizontal="justify" vertical="center" wrapText="1"/>
    </xf>
    <xf numFmtId="0" fontId="0" fillId="42" borderId="155" xfId="0" applyFont="1" applyFill="1" applyBorder="1" applyAlignment="1" applyProtection="1">
      <alignment horizontal="center" vertical="center" wrapText="1"/>
      <protection locked="0"/>
    </xf>
    <xf numFmtId="0" fontId="0" fillId="42" borderId="94" xfId="0" applyFont="1" applyFill="1" applyBorder="1" applyAlignment="1" applyProtection="1">
      <alignment horizontal="justify" vertical="center" wrapText="1"/>
    </xf>
    <xf numFmtId="0" fontId="11" fillId="40" borderId="155" xfId="0" applyFont="1" applyFill="1" applyBorder="1" applyAlignment="1" applyProtection="1">
      <alignment horizontal="center" vertical="center" wrapText="1"/>
      <protection locked="0"/>
    </xf>
    <xf numFmtId="0" fontId="11" fillId="40" borderId="161" xfId="0" applyFont="1" applyFill="1" applyBorder="1" applyAlignment="1" applyProtection="1">
      <alignment horizontal="center" vertical="center" wrapText="1"/>
      <protection locked="0"/>
    </xf>
    <xf numFmtId="0" fontId="11" fillId="7" borderId="94" xfId="0" applyFont="1" applyFill="1" applyBorder="1" applyAlignment="1" applyProtection="1">
      <alignment horizontal="center" vertical="center" wrapText="1"/>
    </xf>
    <xf numFmtId="0" fontId="11" fillId="7" borderId="31" xfId="0" applyFont="1" applyFill="1" applyBorder="1" applyAlignment="1" applyProtection="1">
      <alignment horizontal="center" vertical="center" wrapText="1"/>
    </xf>
    <xf numFmtId="9" fontId="0" fillId="51" borderId="94" xfId="0" applyNumberFormat="1" applyFont="1" applyFill="1" applyBorder="1" applyAlignment="1" applyProtection="1">
      <alignment horizontal="center" vertical="center" wrapText="1"/>
    </xf>
    <xf numFmtId="9" fontId="0" fillId="51" borderId="31" xfId="0" applyNumberFormat="1" applyFont="1" applyFill="1" applyBorder="1" applyAlignment="1" applyProtection="1">
      <alignment horizontal="center" vertical="center" wrapText="1"/>
    </xf>
    <xf numFmtId="0" fontId="11" fillId="17" borderId="94" xfId="0" applyFont="1" applyFill="1" applyBorder="1" applyAlignment="1" applyProtection="1">
      <alignment horizontal="center" vertical="center"/>
    </xf>
    <xf numFmtId="9" fontId="11" fillId="17" borderId="94" xfId="0" applyNumberFormat="1" applyFont="1" applyFill="1" applyBorder="1" applyAlignment="1" applyProtection="1">
      <alignment horizontal="center" vertical="center"/>
    </xf>
    <xf numFmtId="0" fontId="0" fillId="51" borderId="94" xfId="0" applyFont="1" applyFill="1" applyBorder="1" applyAlignment="1" applyProtection="1">
      <alignment horizontal="center" vertical="center" wrapText="1"/>
    </xf>
    <xf numFmtId="0" fontId="11" fillId="40" borderId="100" xfId="0" applyFont="1" applyFill="1" applyBorder="1" applyAlignment="1" applyProtection="1">
      <alignment horizontal="center" vertical="center" wrapText="1"/>
      <protection locked="0"/>
    </xf>
    <xf numFmtId="0" fontId="11" fillId="40" borderId="52" xfId="0" applyFont="1" applyFill="1" applyBorder="1" applyAlignment="1" applyProtection="1">
      <alignment horizontal="justify" vertical="center" wrapText="1"/>
    </xf>
    <xf numFmtId="0" fontId="0" fillId="42" borderId="161" xfId="0" applyFont="1" applyFill="1" applyBorder="1" applyAlignment="1" applyProtection="1">
      <alignment horizontal="center" vertical="center" wrapText="1"/>
      <protection locked="0"/>
    </xf>
    <xf numFmtId="0" fontId="0" fillId="42" borderId="31" xfId="0" applyFont="1" applyFill="1" applyBorder="1" applyAlignment="1" applyProtection="1">
      <alignment horizontal="justify" vertical="center" wrapText="1"/>
    </xf>
    <xf numFmtId="0" fontId="0" fillId="42" borderId="94" xfId="0" applyFont="1" applyFill="1" applyBorder="1" applyAlignment="1" applyProtection="1">
      <alignment horizontal="center" vertical="center" wrapText="1"/>
    </xf>
    <xf numFmtId="9" fontId="0" fillId="42" borderId="94" xfId="0" applyNumberFormat="1" applyFont="1" applyFill="1" applyBorder="1" applyAlignment="1" applyProtection="1">
      <alignment horizontal="center" vertical="center" wrapText="1"/>
    </xf>
    <xf numFmtId="0" fontId="11" fillId="40" borderId="94" xfId="0" applyFont="1" applyFill="1" applyBorder="1" applyAlignment="1" applyProtection="1">
      <alignment horizontal="center" vertical="center" wrapText="1"/>
    </xf>
    <xf numFmtId="0" fontId="11" fillId="40" borderId="31" xfId="0" applyFont="1" applyFill="1" applyBorder="1" applyAlignment="1" applyProtection="1">
      <alignment horizontal="center" vertical="center" wrapText="1"/>
    </xf>
    <xf numFmtId="0" fontId="11" fillId="41" borderId="31" xfId="0" applyFont="1" applyFill="1" applyBorder="1" applyAlignment="1" applyProtection="1">
      <alignment horizontal="center" vertical="center" wrapText="1"/>
    </xf>
    <xf numFmtId="0" fontId="11" fillId="17" borderId="31" xfId="0" applyFont="1" applyFill="1" applyBorder="1" applyAlignment="1" applyProtection="1">
      <alignment horizontal="center" vertical="center"/>
    </xf>
    <xf numFmtId="0" fontId="11" fillId="40" borderId="52" xfId="0" applyFont="1" applyFill="1" applyBorder="1" applyAlignment="1" applyProtection="1">
      <alignment horizontal="center" vertical="center" wrapText="1"/>
    </xf>
    <xf numFmtId="0" fontId="10" fillId="38" borderId="155" xfId="0" applyFont="1" applyFill="1" applyBorder="1" applyAlignment="1" applyProtection="1">
      <alignment horizontal="center" vertical="center" wrapText="1"/>
      <protection locked="0"/>
    </xf>
    <xf numFmtId="0" fontId="10" fillId="38" borderId="161" xfId="0" applyFont="1" applyFill="1" applyBorder="1" applyAlignment="1" applyProtection="1">
      <alignment horizontal="center" vertical="center" wrapText="1"/>
      <protection locked="0"/>
    </xf>
    <xf numFmtId="0" fontId="10" fillId="38" borderId="94" xfId="0" applyFont="1" applyFill="1" applyBorder="1" applyAlignment="1" applyProtection="1">
      <alignment horizontal="justify" vertical="center" wrapText="1"/>
    </xf>
    <xf numFmtId="0" fontId="10" fillId="38" borderId="31" xfId="0" applyFont="1" applyFill="1" applyBorder="1" applyAlignment="1" applyProtection="1">
      <alignment horizontal="justify" vertical="center" wrapText="1"/>
    </xf>
    <xf numFmtId="0" fontId="10" fillId="7" borderId="100" xfId="0" applyFont="1" applyFill="1" applyBorder="1" applyAlignment="1" applyProtection="1">
      <alignment horizontal="center" vertical="center" wrapText="1"/>
      <protection locked="0"/>
    </xf>
    <xf numFmtId="0" fontId="10" fillId="7" borderId="155" xfId="0" applyFont="1" applyFill="1" applyBorder="1" applyAlignment="1" applyProtection="1">
      <alignment horizontal="center" vertical="center" wrapText="1"/>
      <protection locked="0"/>
    </xf>
    <xf numFmtId="0" fontId="10" fillId="7" borderId="52" xfId="0" applyFont="1" applyFill="1" applyBorder="1" applyAlignment="1" applyProtection="1">
      <alignment horizontal="justify" vertical="center" wrapText="1"/>
    </xf>
    <xf numFmtId="0" fontId="10" fillId="7" borderId="94" xfId="0" applyFont="1" applyFill="1" applyBorder="1" applyAlignment="1" applyProtection="1">
      <alignment horizontal="justify" vertical="center" wrapText="1"/>
    </xf>
    <xf numFmtId="0" fontId="0" fillId="17" borderId="15" xfId="0" applyFont="1" applyFill="1" applyBorder="1" applyAlignment="1" applyProtection="1">
      <alignment horizontal="center" vertical="center"/>
      <protection locked="0"/>
    </xf>
    <xf numFmtId="0" fontId="0" fillId="17" borderId="155" xfId="0" applyFont="1" applyFill="1" applyBorder="1" applyAlignment="1" applyProtection="1">
      <alignment horizontal="center" vertical="center"/>
      <protection locked="0"/>
    </xf>
    <xf numFmtId="0" fontId="10" fillId="17" borderId="9" xfId="0" applyFont="1" applyFill="1" applyBorder="1" applyAlignment="1" applyProtection="1">
      <alignment horizontal="justify" vertical="center" wrapText="1"/>
    </xf>
    <xf numFmtId="0" fontId="10" fillId="17" borderId="94" xfId="0" applyFont="1" applyFill="1" applyBorder="1" applyAlignment="1" applyProtection="1">
      <alignment horizontal="justify" vertical="center" wrapText="1"/>
    </xf>
    <xf numFmtId="0" fontId="0" fillId="42" borderId="31" xfId="0" applyFont="1" applyFill="1" applyBorder="1" applyAlignment="1" applyProtection="1">
      <alignment horizontal="center" vertical="center" wrapText="1"/>
    </xf>
    <xf numFmtId="9" fontId="11" fillId="41" borderId="94" xfId="0" applyNumberFormat="1" applyFont="1" applyFill="1" applyBorder="1" applyAlignment="1" applyProtection="1">
      <alignment horizontal="center" vertical="center"/>
    </xf>
    <xf numFmtId="0" fontId="10" fillId="29" borderId="47" xfId="0" applyFont="1" applyFill="1" applyBorder="1" applyAlignment="1" applyProtection="1">
      <alignment horizontal="center" vertical="center" wrapText="1"/>
      <protection locked="0"/>
    </xf>
    <xf numFmtId="0" fontId="10" fillId="29" borderId="100" xfId="0" applyFont="1" applyFill="1" applyBorder="1" applyAlignment="1" applyProtection="1">
      <alignment horizontal="center" vertical="center" wrapText="1"/>
      <protection locked="0"/>
    </xf>
    <xf numFmtId="0" fontId="10" fillId="72" borderId="100" xfId="0" applyFont="1" applyFill="1" applyBorder="1" applyAlignment="1" applyProtection="1">
      <alignment horizontal="center" vertical="center" wrapText="1"/>
      <protection locked="0"/>
    </xf>
    <xf numFmtId="0" fontId="10" fillId="72" borderId="155" xfId="0" applyFont="1" applyFill="1" applyBorder="1" applyAlignment="1" applyProtection="1">
      <alignment horizontal="center" vertical="center" wrapText="1"/>
      <protection locked="0"/>
    </xf>
    <xf numFmtId="0" fontId="10" fillId="72" borderId="52" xfId="0" applyFont="1" applyFill="1" applyBorder="1" applyAlignment="1" applyProtection="1">
      <alignment horizontal="justify" vertical="center" wrapText="1"/>
    </xf>
    <xf numFmtId="0" fontId="10" fillId="72" borderId="94" xfId="0" applyFont="1" applyFill="1" applyBorder="1" applyAlignment="1" applyProtection="1">
      <alignment horizontal="justify" vertical="center" wrapText="1"/>
    </xf>
    <xf numFmtId="0" fontId="10" fillId="7" borderId="161" xfId="0" applyFont="1" applyFill="1" applyBorder="1" applyAlignment="1" applyProtection="1">
      <alignment horizontal="center" vertical="center" wrapText="1"/>
      <protection locked="0"/>
    </xf>
    <xf numFmtId="0" fontId="10" fillId="7" borderId="31" xfId="0" applyFont="1" applyFill="1" applyBorder="1" applyAlignment="1" applyProtection="1">
      <alignment horizontal="justify" vertical="center" wrapText="1"/>
    </xf>
    <xf numFmtId="0" fontId="10" fillId="51" borderId="155" xfId="0" applyFont="1" applyFill="1" applyBorder="1" applyAlignment="1" applyProtection="1">
      <alignment horizontal="center" vertical="center" wrapText="1"/>
      <protection locked="0"/>
    </xf>
    <xf numFmtId="0" fontId="10" fillId="51" borderId="94" xfId="0" applyFont="1" applyFill="1" applyBorder="1" applyAlignment="1" applyProtection="1">
      <alignment horizontal="justify" vertical="center" wrapText="1"/>
    </xf>
    <xf numFmtId="0" fontId="10" fillId="51" borderId="161" xfId="0" applyFont="1" applyFill="1" applyBorder="1" applyAlignment="1" applyProtection="1">
      <alignment horizontal="center" vertical="center" wrapText="1"/>
      <protection locked="0"/>
    </xf>
    <xf numFmtId="0" fontId="10" fillId="51" borderId="31" xfId="0" applyFont="1" applyFill="1" applyBorder="1" applyAlignment="1" applyProtection="1">
      <alignment horizontal="justify" vertical="center" wrapText="1"/>
    </xf>
    <xf numFmtId="0" fontId="10" fillId="17" borderId="155" xfId="0" applyFont="1" applyFill="1" applyBorder="1" applyAlignment="1" applyProtection="1">
      <alignment horizontal="center" vertical="center" wrapText="1"/>
      <protection locked="0"/>
    </xf>
    <xf numFmtId="0" fontId="10" fillId="17" borderId="161" xfId="0" applyFont="1" applyFill="1" applyBorder="1" applyAlignment="1" applyProtection="1">
      <alignment horizontal="center" vertical="center" wrapText="1"/>
      <protection locked="0"/>
    </xf>
    <xf numFmtId="0" fontId="10" fillId="17" borderId="31" xfId="0" applyFont="1" applyFill="1" applyBorder="1" applyAlignment="1" applyProtection="1">
      <alignment horizontal="justify" vertical="center" wrapText="1"/>
    </xf>
    <xf numFmtId="0" fontId="10" fillId="40" borderId="155" xfId="0" applyFont="1" applyFill="1" applyBorder="1" applyAlignment="1" applyProtection="1">
      <alignment horizontal="center" vertical="center" wrapText="1"/>
      <protection locked="0"/>
    </xf>
    <xf numFmtId="0" fontId="10" fillId="40" borderId="94" xfId="0" applyFont="1" applyFill="1" applyBorder="1" applyAlignment="1" applyProtection="1">
      <alignment horizontal="justify" vertical="center" wrapText="1"/>
    </xf>
    <xf numFmtId="0" fontId="10" fillId="33" borderId="100" xfId="0" applyFont="1" applyFill="1" applyBorder="1" applyAlignment="1" applyProtection="1">
      <alignment horizontal="center" vertical="center" wrapText="1"/>
      <protection locked="0"/>
    </xf>
    <xf numFmtId="0" fontId="10" fillId="33" borderId="155" xfId="0" applyFont="1" applyFill="1" applyBorder="1" applyAlignment="1" applyProtection="1">
      <alignment horizontal="center" vertical="center" wrapText="1"/>
      <protection locked="0"/>
    </xf>
    <xf numFmtId="0" fontId="10" fillId="33" borderId="161" xfId="0" applyFont="1" applyFill="1" applyBorder="1" applyAlignment="1" applyProtection="1">
      <alignment horizontal="center" vertical="center" wrapText="1"/>
      <protection locked="0"/>
    </xf>
    <xf numFmtId="0" fontId="10" fillId="33" borderId="52" xfId="0" applyFont="1" applyFill="1" applyBorder="1" applyAlignment="1" applyProtection="1">
      <alignment horizontal="justify" vertical="center" wrapText="1"/>
    </xf>
    <xf numFmtId="0" fontId="10" fillId="33" borderId="94" xfId="0" applyFont="1" applyFill="1" applyBorder="1" applyAlignment="1" applyProtection="1">
      <alignment horizontal="justify" vertical="center" wrapText="1"/>
    </xf>
    <xf numFmtId="0" fontId="10" fillId="33" borderId="31" xfId="0" applyFont="1" applyFill="1" applyBorder="1" applyAlignment="1" applyProtection="1">
      <alignment horizontal="justify" vertical="center" wrapText="1"/>
    </xf>
    <xf numFmtId="0" fontId="10" fillId="29" borderId="15" xfId="0" applyFont="1" applyFill="1" applyBorder="1" applyAlignment="1" applyProtection="1">
      <alignment horizontal="center" vertical="center" wrapText="1"/>
      <protection locked="0"/>
    </xf>
    <xf numFmtId="0" fontId="10" fillId="29" borderId="155" xfId="0" applyFont="1" applyFill="1" applyBorder="1" applyAlignment="1" applyProtection="1">
      <alignment horizontal="center" vertical="center" wrapText="1"/>
      <protection locked="0"/>
    </xf>
    <xf numFmtId="0" fontId="10" fillId="29" borderId="94" xfId="0" applyFont="1" applyFill="1" applyBorder="1" applyAlignment="1" applyProtection="1">
      <alignment horizontal="justify" vertical="center" wrapText="1"/>
    </xf>
    <xf numFmtId="0" fontId="10" fillId="41" borderId="155" xfId="0" applyFont="1" applyFill="1" applyBorder="1" applyAlignment="1" applyProtection="1">
      <alignment horizontal="center" vertical="center" wrapText="1"/>
      <protection locked="0"/>
    </xf>
    <xf numFmtId="0" fontId="10" fillId="41" borderId="161" xfId="0" applyFont="1" applyFill="1" applyBorder="1" applyAlignment="1" applyProtection="1">
      <alignment horizontal="center" vertical="center" wrapText="1"/>
      <protection locked="0"/>
    </xf>
    <xf numFmtId="0" fontId="10" fillId="41" borderId="94" xfId="0" applyFont="1" applyFill="1" applyBorder="1" applyAlignment="1" applyProtection="1">
      <alignment horizontal="justify" vertical="center" wrapText="1"/>
    </xf>
    <xf numFmtId="0" fontId="10" fillId="41" borderId="31" xfId="0" applyFont="1" applyFill="1" applyBorder="1" applyAlignment="1" applyProtection="1">
      <alignment horizontal="justify" vertical="center" wrapText="1"/>
    </xf>
    <xf numFmtId="0" fontId="10" fillId="39" borderId="155" xfId="0" applyFont="1" applyFill="1" applyBorder="1" applyAlignment="1" applyProtection="1">
      <alignment horizontal="center" vertical="center" wrapText="1"/>
      <protection locked="0"/>
    </xf>
    <xf numFmtId="0" fontId="10" fillId="39" borderId="94" xfId="0" applyFont="1" applyFill="1" applyBorder="1" applyAlignment="1" applyProtection="1">
      <alignment horizontal="justify" vertical="center" wrapText="1"/>
    </xf>
    <xf numFmtId="0" fontId="10" fillId="40" borderId="161" xfId="0" applyFont="1" applyFill="1" applyBorder="1" applyAlignment="1" applyProtection="1">
      <alignment horizontal="center" vertical="center" wrapText="1"/>
      <protection locked="0"/>
    </xf>
    <xf numFmtId="0" fontId="10" fillId="40" borderId="31" xfId="0" applyFont="1" applyFill="1" applyBorder="1" applyAlignment="1" applyProtection="1">
      <alignment horizontal="justify" vertical="center" wrapText="1"/>
    </xf>
    <xf numFmtId="0" fontId="10" fillId="51" borderId="100" xfId="0" applyFont="1" applyFill="1" applyBorder="1" applyAlignment="1" applyProtection="1">
      <alignment horizontal="center" vertical="center" wrapText="1"/>
      <protection locked="0"/>
    </xf>
    <xf numFmtId="0" fontId="10" fillId="51" borderId="52" xfId="0" applyFont="1" applyFill="1" applyBorder="1" applyAlignment="1" applyProtection="1">
      <alignment horizontal="justify" vertical="center" wrapText="1"/>
    </xf>
    <xf numFmtId="0" fontId="10" fillId="39" borderId="100" xfId="0" applyFont="1" applyFill="1" applyBorder="1" applyAlignment="1" applyProtection="1">
      <alignment horizontal="center" vertical="center" wrapText="1"/>
      <protection locked="0"/>
    </xf>
    <xf numFmtId="0" fontId="10" fillId="39" borderId="52" xfId="0" applyFont="1" applyFill="1" applyBorder="1" applyAlignment="1" applyProtection="1">
      <alignment horizontal="justify" vertical="center" wrapText="1"/>
    </xf>
    <xf numFmtId="0" fontId="0" fillId="17" borderId="94" xfId="0" applyFont="1" applyFill="1" applyBorder="1" applyAlignment="1" applyProtection="1">
      <alignment horizontal="center" vertical="center" wrapText="1"/>
    </xf>
    <xf numFmtId="0" fontId="0" fillId="17" borderId="31" xfId="0" applyFont="1" applyFill="1" applyBorder="1" applyAlignment="1" applyProtection="1">
      <alignment horizontal="center" vertical="center" wrapText="1"/>
    </xf>
    <xf numFmtId="0" fontId="0" fillId="7" borderId="52" xfId="0" applyFont="1" applyFill="1" applyBorder="1" applyAlignment="1" applyProtection="1">
      <alignment horizontal="center" vertical="center" wrapText="1"/>
    </xf>
    <xf numFmtId="0" fontId="0" fillId="7" borderId="94" xfId="0" applyFont="1" applyFill="1" applyBorder="1" applyAlignment="1" applyProtection="1">
      <alignment horizontal="center" vertical="center" wrapText="1"/>
    </xf>
    <xf numFmtId="0" fontId="0" fillId="7" borderId="31" xfId="0" applyFont="1" applyFill="1" applyBorder="1" applyAlignment="1" applyProtection="1">
      <alignment horizontal="center" vertical="center" wrapText="1"/>
    </xf>
    <xf numFmtId="0" fontId="0" fillId="51" borderId="31" xfId="0" applyFont="1" applyFill="1" applyBorder="1" applyAlignment="1" applyProtection="1">
      <alignment horizontal="center" vertical="center" wrapText="1"/>
    </xf>
    <xf numFmtId="0" fontId="0" fillId="17" borderId="9" xfId="0" applyFont="1" applyFill="1" applyBorder="1" applyAlignment="1" applyProtection="1">
      <alignment horizontal="center" vertical="center" wrapText="1"/>
    </xf>
    <xf numFmtId="9" fontId="0" fillId="38" borderId="94" xfId="0" applyNumberFormat="1" applyFont="1" applyFill="1" applyBorder="1" applyAlignment="1" applyProtection="1">
      <alignment horizontal="center" vertical="center" wrapText="1"/>
    </xf>
    <xf numFmtId="0" fontId="0" fillId="38" borderId="31" xfId="0" applyFont="1" applyFill="1" applyBorder="1" applyAlignment="1" applyProtection="1">
      <alignment horizontal="center" vertical="center" wrapText="1"/>
    </xf>
    <xf numFmtId="0" fontId="10" fillId="38" borderId="15" xfId="0" applyFont="1" applyFill="1" applyBorder="1" applyAlignment="1" applyProtection="1">
      <alignment horizontal="center" vertical="center" wrapText="1"/>
      <protection locked="0"/>
    </xf>
    <xf numFmtId="0" fontId="10" fillId="38" borderId="52" xfId="0" applyFont="1" applyFill="1" applyBorder="1" applyAlignment="1" applyProtection="1">
      <alignment horizontal="justify" vertical="center" wrapText="1"/>
    </xf>
    <xf numFmtId="0" fontId="0" fillId="51" borderId="52" xfId="0" applyFont="1" applyFill="1" applyBorder="1" applyAlignment="1" applyProtection="1">
      <alignment horizontal="center" vertical="center" wrapText="1"/>
    </xf>
    <xf numFmtId="0" fontId="0" fillId="39" borderId="52" xfId="0" applyFont="1" applyFill="1" applyBorder="1" applyAlignment="1" applyProtection="1">
      <alignment horizontal="center" vertical="center" wrapText="1"/>
    </xf>
    <xf numFmtId="0" fontId="0" fillId="39" borderId="94" xfId="0" applyFont="1" applyFill="1" applyBorder="1" applyAlignment="1" applyProtection="1">
      <alignment horizontal="center" vertical="center" wrapText="1"/>
    </xf>
    <xf numFmtId="9" fontId="0" fillId="39" borderId="94" xfId="0" applyNumberFormat="1" applyFont="1" applyFill="1" applyBorder="1" applyAlignment="1" applyProtection="1">
      <alignment horizontal="center" vertical="center" wrapText="1"/>
    </xf>
    <xf numFmtId="0" fontId="3" fillId="40" borderId="94" xfId="0" applyFont="1" applyFill="1" applyBorder="1" applyAlignment="1" applyProtection="1">
      <alignment horizontal="center" vertical="center" wrapText="1"/>
    </xf>
    <xf numFmtId="0" fontId="0" fillId="40" borderId="31" xfId="0" applyFont="1" applyFill="1" applyBorder="1" applyAlignment="1" applyProtection="1">
      <alignment horizontal="center" vertical="center" wrapText="1"/>
    </xf>
    <xf numFmtId="0" fontId="10" fillId="41" borderId="94" xfId="0" applyFont="1" applyFill="1" applyBorder="1" applyAlignment="1" applyProtection="1">
      <alignment horizontal="center" vertical="center"/>
    </xf>
    <xf numFmtId="0" fontId="10" fillId="41" borderId="31" xfId="0" applyFont="1" applyFill="1" applyBorder="1" applyAlignment="1" applyProtection="1">
      <alignment horizontal="center" vertical="center"/>
    </xf>
    <xf numFmtId="0" fontId="0" fillId="33" borderId="52" xfId="0" applyFont="1" applyFill="1" applyBorder="1" applyAlignment="1" applyProtection="1">
      <alignment horizontal="center" vertical="center" wrapText="1"/>
    </xf>
    <xf numFmtId="0" fontId="0" fillId="33" borderId="94" xfId="0" applyFont="1" applyFill="1" applyBorder="1" applyAlignment="1" applyProtection="1">
      <alignment horizontal="center" vertical="center" wrapText="1"/>
    </xf>
    <xf numFmtId="0" fontId="0" fillId="33" borderId="31" xfId="0" applyFont="1" applyFill="1" applyBorder="1" applyAlignment="1" applyProtection="1">
      <alignment horizontal="center" vertical="center" wrapText="1"/>
    </xf>
    <xf numFmtId="0" fontId="11" fillId="42" borderId="100" xfId="0" applyFont="1" applyFill="1" applyBorder="1" applyAlignment="1" applyProtection="1">
      <alignment horizontal="center" vertical="center" wrapText="1"/>
      <protection locked="0"/>
    </xf>
    <xf numFmtId="0" fontId="11" fillId="42" borderId="155" xfId="0" applyFont="1" applyFill="1" applyBorder="1" applyAlignment="1" applyProtection="1">
      <alignment horizontal="center" vertical="center" wrapText="1"/>
      <protection locked="0"/>
    </xf>
    <xf numFmtId="0" fontId="11" fillId="42" borderId="52" xfId="0" applyFont="1" applyFill="1" applyBorder="1" applyAlignment="1" applyProtection="1">
      <alignment horizontal="justify" vertical="center" wrapText="1"/>
    </xf>
    <xf numFmtId="0" fontId="11" fillId="42" borderId="94" xfId="0" applyFont="1" applyFill="1" applyBorder="1" applyAlignment="1" applyProtection="1">
      <alignment horizontal="justify" vertical="center" wrapText="1"/>
    </xf>
    <xf numFmtId="0" fontId="0" fillId="41" borderId="31" xfId="0" applyFont="1" applyFill="1" applyBorder="1" applyAlignment="1" applyProtection="1">
      <alignment horizontal="center" vertical="center" wrapText="1"/>
    </xf>
    <xf numFmtId="9" fontId="0" fillId="41" borderId="94" xfId="0" applyNumberFormat="1" applyFont="1" applyFill="1" applyBorder="1" applyAlignment="1" applyProtection="1">
      <alignment horizontal="center" vertical="center" wrapText="1"/>
    </xf>
    <xf numFmtId="0" fontId="11" fillId="39" borderId="100" xfId="0" applyFont="1" applyFill="1" applyBorder="1" applyAlignment="1" applyProtection="1">
      <alignment horizontal="center" vertical="center" wrapText="1"/>
      <protection locked="0"/>
    </xf>
    <xf numFmtId="0" fontId="11" fillId="39" borderId="52" xfId="0" applyFont="1" applyFill="1" applyBorder="1" applyAlignment="1" applyProtection="1">
      <alignment horizontal="justify" vertical="center" wrapText="1"/>
    </xf>
    <xf numFmtId="0" fontId="11" fillId="42" borderId="161" xfId="0" applyFont="1" applyFill="1" applyBorder="1" applyAlignment="1" applyProtection="1">
      <alignment horizontal="center" vertical="center" wrapText="1"/>
      <protection locked="0"/>
    </xf>
    <xf numFmtId="0" fontId="11" fillId="42" borderId="31" xfId="0" applyFont="1" applyFill="1" applyBorder="1" applyAlignment="1" applyProtection="1">
      <alignment horizontal="justify" vertical="center" wrapText="1"/>
    </xf>
    <xf numFmtId="0" fontId="11" fillId="43" borderId="155" xfId="0" applyFont="1" applyFill="1" applyBorder="1" applyAlignment="1" applyProtection="1">
      <alignment horizontal="center" vertical="center" wrapText="1"/>
      <protection locked="0"/>
    </xf>
    <xf numFmtId="0" fontId="11" fillId="43" borderId="94" xfId="0" applyFont="1" applyFill="1" applyBorder="1" applyAlignment="1" applyProtection="1">
      <alignment horizontal="justify" vertical="center" wrapText="1"/>
    </xf>
    <xf numFmtId="0" fontId="11" fillId="43" borderId="100" xfId="0" applyFont="1" applyFill="1" applyBorder="1" applyAlignment="1" applyProtection="1">
      <alignment horizontal="center" vertical="center" wrapText="1"/>
      <protection locked="0"/>
    </xf>
    <xf numFmtId="0" fontId="11" fillId="43" borderId="52" xfId="0" applyFont="1" applyFill="1" applyBorder="1" applyAlignment="1" applyProtection="1">
      <alignment horizontal="justify" vertical="center" wrapText="1"/>
    </xf>
    <xf numFmtId="0" fontId="0" fillId="39" borderId="155" xfId="0" applyFont="1" applyFill="1" applyBorder="1" applyAlignment="1" applyProtection="1">
      <alignment horizontal="center" vertical="center" wrapText="1"/>
      <protection locked="0"/>
    </xf>
    <xf numFmtId="0" fontId="0" fillId="39" borderId="94" xfId="0" applyFont="1" applyFill="1" applyBorder="1" applyAlignment="1" applyProtection="1">
      <alignment horizontal="justify" vertical="center" wrapText="1"/>
    </xf>
    <xf numFmtId="0" fontId="0" fillId="39" borderId="100" xfId="0" applyFont="1" applyFill="1" applyBorder="1" applyAlignment="1" applyProtection="1">
      <alignment horizontal="center" vertical="center" wrapText="1"/>
      <protection locked="0"/>
    </xf>
    <xf numFmtId="0" fontId="0" fillId="39" borderId="52" xfId="0" applyFont="1" applyFill="1" applyBorder="1" applyAlignment="1" applyProtection="1">
      <alignment horizontal="justify" vertical="center" wrapText="1"/>
    </xf>
    <xf numFmtId="0" fontId="11" fillId="43" borderId="161" xfId="0" applyFont="1" applyFill="1" applyBorder="1" applyAlignment="1" applyProtection="1">
      <alignment horizontal="center" vertical="center" wrapText="1"/>
      <protection locked="0"/>
    </xf>
    <xf numFmtId="0" fontId="11" fillId="43" borderId="31" xfId="0" applyFont="1" applyFill="1" applyBorder="1" applyAlignment="1" applyProtection="1">
      <alignment horizontal="justify" vertical="center" wrapText="1"/>
    </xf>
    <xf numFmtId="0" fontId="11" fillId="42" borderId="94" xfId="0" applyFont="1" applyFill="1" applyBorder="1" applyAlignment="1" applyProtection="1">
      <alignment horizontal="center" vertical="center" wrapText="1"/>
    </xf>
    <xf numFmtId="0" fontId="11" fillId="42" borderId="31" xfId="0" applyFont="1" applyFill="1" applyBorder="1" applyAlignment="1" applyProtection="1">
      <alignment horizontal="center" vertical="center" wrapText="1"/>
    </xf>
    <xf numFmtId="0" fontId="11" fillId="39" borderId="27" xfId="0" applyFont="1" applyFill="1" applyBorder="1" applyAlignment="1" applyProtection="1">
      <alignment horizontal="center" vertical="center" wrapText="1"/>
    </xf>
    <xf numFmtId="0" fontId="0" fillId="39" borderId="31" xfId="0" applyFont="1" applyFill="1" applyBorder="1" applyAlignment="1" applyProtection="1">
      <alignment horizontal="center" vertical="center" wrapText="1"/>
    </xf>
    <xf numFmtId="0" fontId="11" fillId="42" borderId="52" xfId="0" applyFont="1" applyFill="1" applyBorder="1" applyAlignment="1" applyProtection="1">
      <alignment horizontal="center" vertical="center" wrapText="1"/>
    </xf>
    <xf numFmtId="0" fontId="0" fillId="29" borderId="100" xfId="0" applyFont="1" applyFill="1" applyBorder="1" applyAlignment="1" applyProtection="1">
      <alignment horizontal="center" vertical="top" wrapText="1"/>
      <protection locked="0"/>
    </xf>
    <xf numFmtId="0" fontId="0" fillId="29" borderId="155" xfId="0" applyFont="1" applyFill="1" applyBorder="1" applyAlignment="1" applyProtection="1">
      <alignment horizontal="center" vertical="top" wrapText="1"/>
      <protection locked="0"/>
    </xf>
    <xf numFmtId="0" fontId="0" fillId="29" borderId="161" xfId="0" applyFont="1" applyFill="1" applyBorder="1" applyAlignment="1" applyProtection="1">
      <alignment horizontal="center" vertical="top" wrapText="1"/>
      <protection locked="0"/>
    </xf>
    <xf numFmtId="0" fontId="0" fillId="29" borderId="31" xfId="0" applyFont="1" applyFill="1" applyBorder="1" applyAlignment="1" applyProtection="1">
      <alignment horizontal="justify" vertical="center" wrapText="1"/>
    </xf>
    <xf numFmtId="0" fontId="0" fillId="42" borderId="15" xfId="0" applyFont="1" applyFill="1" applyBorder="1" applyAlignment="1" applyProtection="1">
      <alignment horizontal="center" vertical="center" wrapText="1"/>
      <protection locked="0"/>
    </xf>
    <xf numFmtId="0" fontId="0" fillId="42" borderId="9" xfId="0" applyFont="1" applyFill="1" applyBorder="1" applyAlignment="1" applyProtection="1">
      <alignment horizontal="justify" vertical="center" wrapText="1"/>
    </xf>
    <xf numFmtId="0" fontId="10" fillId="42" borderId="155" xfId="0" applyFont="1" applyFill="1" applyBorder="1" applyAlignment="1" applyProtection="1">
      <alignment horizontal="center" vertical="center" wrapText="1"/>
      <protection locked="0"/>
    </xf>
    <xf numFmtId="0" fontId="10" fillId="42" borderId="161" xfId="0" applyFont="1" applyFill="1" applyBorder="1" applyAlignment="1" applyProtection="1">
      <alignment horizontal="center" vertical="center" wrapText="1"/>
      <protection locked="0"/>
    </xf>
    <xf numFmtId="0" fontId="10" fillId="42" borderId="94" xfId="0" applyFont="1" applyFill="1" applyBorder="1" applyAlignment="1" applyProtection="1">
      <alignment horizontal="justify" vertical="center" wrapText="1"/>
    </xf>
    <xf numFmtId="0" fontId="10" fillId="42" borderId="31" xfId="0" applyFont="1" applyFill="1" applyBorder="1" applyAlignment="1" applyProtection="1">
      <alignment horizontal="justify" vertical="center" wrapText="1"/>
    </xf>
    <xf numFmtId="0" fontId="0" fillId="39" borderId="161" xfId="0" applyFont="1" applyFill="1" applyBorder="1" applyAlignment="1" applyProtection="1">
      <alignment horizontal="center" vertical="center" wrapText="1"/>
      <protection locked="0"/>
    </xf>
    <xf numFmtId="0" fontId="0" fillId="39" borderId="31" xfId="0" applyFont="1" applyFill="1" applyBorder="1" applyAlignment="1" applyProtection="1">
      <alignment horizontal="justify" vertical="center" wrapText="1"/>
    </xf>
    <xf numFmtId="0" fontId="0" fillId="42" borderId="9" xfId="0" applyFont="1" applyFill="1" applyBorder="1" applyAlignment="1" applyProtection="1">
      <alignment horizontal="center" vertical="center" wrapText="1"/>
    </xf>
    <xf numFmtId="0" fontId="0" fillId="43" borderId="94" xfId="0" applyFont="1" applyFill="1" applyBorder="1" applyAlignment="1" applyProtection="1">
      <alignment horizontal="center" vertical="center" wrapText="1"/>
    </xf>
    <xf numFmtId="0" fontId="0" fillId="43" borderId="31" xfId="0" applyFont="1" applyFill="1" applyBorder="1" applyAlignment="1" applyProtection="1">
      <alignment horizontal="center" vertical="center" wrapText="1"/>
    </xf>
    <xf numFmtId="0" fontId="0" fillId="43" borderId="52" xfId="0" applyFont="1" applyFill="1" applyBorder="1" applyAlignment="1" applyProtection="1">
      <alignment horizontal="center" vertical="center" wrapText="1"/>
    </xf>
    <xf numFmtId="3" fontId="0" fillId="39" borderId="155" xfId="0" applyNumberFormat="1" applyFont="1" applyFill="1" applyBorder="1" applyAlignment="1" applyProtection="1">
      <alignment horizontal="center" vertical="center" wrapText="1"/>
      <protection locked="0"/>
    </xf>
    <xf numFmtId="3" fontId="0" fillId="39" borderId="94" xfId="0" applyNumberFormat="1" applyFont="1" applyFill="1" applyBorder="1" applyAlignment="1" applyProtection="1">
      <alignment horizontal="justify" vertical="center" wrapText="1"/>
    </xf>
    <xf numFmtId="0" fontId="11" fillId="43" borderId="52" xfId="0" applyFont="1" applyFill="1" applyBorder="1" applyAlignment="1" applyProtection="1">
      <alignment horizontal="center" vertical="center" wrapText="1"/>
    </xf>
    <xf numFmtId="0" fontId="11" fillId="43" borderId="31" xfId="0" applyFont="1" applyFill="1" applyBorder="1" applyAlignment="1" applyProtection="1">
      <alignment horizontal="center" vertical="center" wrapText="1"/>
    </xf>
    <xf numFmtId="3" fontId="0" fillId="39" borderId="100" xfId="0" applyNumberFormat="1" applyFont="1" applyFill="1" applyBorder="1" applyAlignment="1" applyProtection="1">
      <alignment horizontal="center" vertical="center" wrapText="1"/>
      <protection locked="0"/>
    </xf>
    <xf numFmtId="3" fontId="0" fillId="39" borderId="52" xfId="0" applyNumberFormat="1" applyFont="1" applyFill="1" applyBorder="1" applyAlignment="1" applyProtection="1">
      <alignment horizontal="justify" vertical="center" wrapText="1"/>
    </xf>
    <xf numFmtId="0" fontId="0" fillId="33" borderId="155" xfId="0" applyFont="1" applyFill="1" applyBorder="1" applyAlignment="1" applyProtection="1">
      <alignment horizontal="center" vertical="center" wrapText="1"/>
      <protection locked="0"/>
    </xf>
    <xf numFmtId="0" fontId="0" fillId="33" borderId="94" xfId="0" applyFont="1" applyFill="1" applyBorder="1" applyAlignment="1" applyProtection="1">
      <alignment horizontal="justify" vertical="center" wrapText="1"/>
    </xf>
    <xf numFmtId="3" fontId="0" fillId="38" borderId="155" xfId="0" applyNumberFormat="1" applyFont="1" applyFill="1" applyBorder="1" applyAlignment="1" applyProtection="1">
      <alignment horizontal="center" vertical="center" wrapText="1"/>
      <protection locked="0"/>
    </xf>
    <xf numFmtId="3" fontId="0" fillId="38" borderId="94" xfId="0" applyNumberFormat="1" applyFont="1" applyFill="1" applyBorder="1" applyAlignment="1" applyProtection="1">
      <alignment horizontal="justify" vertical="center" wrapText="1"/>
    </xf>
    <xf numFmtId="0" fontId="0" fillId="33" borderId="100" xfId="0" applyFont="1" applyFill="1" applyBorder="1" applyAlignment="1" applyProtection="1">
      <alignment horizontal="center" vertical="center" wrapText="1"/>
      <protection locked="0"/>
    </xf>
    <xf numFmtId="0" fontId="0" fillId="33" borderId="52" xfId="0" applyFont="1" applyFill="1" applyBorder="1" applyAlignment="1" applyProtection="1">
      <alignment horizontal="justify" vertical="center" wrapText="1"/>
    </xf>
    <xf numFmtId="0" fontId="15" fillId="38" borderId="159" xfId="2" applyFont="1" applyFill="1" applyBorder="1" applyAlignment="1" applyProtection="1">
      <alignment horizontal="justify" vertical="center" wrapText="1"/>
    </xf>
    <xf numFmtId="0" fontId="15" fillId="38" borderId="52" xfId="2" applyFont="1" applyFill="1" applyBorder="1" applyAlignment="1" applyProtection="1">
      <alignment horizontal="justify" vertical="center" wrapText="1"/>
    </xf>
    <xf numFmtId="0" fontId="0" fillId="38" borderId="94" xfId="2" applyFont="1" applyFill="1" applyBorder="1" applyAlignment="1" applyProtection="1">
      <alignment horizontal="center" vertical="center"/>
    </xf>
    <xf numFmtId="0" fontId="0" fillId="39" borderId="94" xfId="2" applyFont="1" applyFill="1" applyBorder="1" applyAlignment="1" applyProtection="1">
      <alignment horizontal="center" vertical="center"/>
    </xf>
    <xf numFmtId="3" fontId="0" fillId="39" borderId="94" xfId="0" applyNumberFormat="1" applyFont="1" applyFill="1" applyBorder="1" applyAlignment="1" applyProtection="1">
      <alignment horizontal="center" vertical="center" wrapText="1"/>
    </xf>
    <xf numFmtId="0" fontId="0" fillId="41" borderId="94" xfId="2" applyFont="1" applyFill="1" applyBorder="1" applyAlignment="1" applyProtection="1">
      <alignment horizontal="center" vertical="center" wrapText="1"/>
    </xf>
    <xf numFmtId="0" fontId="0" fillId="39" borderId="52" xfId="2" applyFont="1" applyFill="1" applyBorder="1" applyAlignment="1" applyProtection="1">
      <alignment horizontal="center" vertical="center"/>
    </xf>
    <xf numFmtId="0" fontId="0" fillId="38" borderId="159" xfId="2" applyFont="1" applyFill="1" applyBorder="1" applyAlignment="1" applyProtection="1">
      <alignment horizontal="center" vertical="center" wrapText="1"/>
    </xf>
    <xf numFmtId="0" fontId="0" fillId="38" borderId="52" xfId="2" applyFont="1" applyFill="1" applyBorder="1" applyAlignment="1" applyProtection="1">
      <alignment horizontal="center" vertical="center" wrapText="1"/>
    </xf>
    <xf numFmtId="0" fontId="0" fillId="7" borderId="161" xfId="0" applyFont="1" applyFill="1" applyBorder="1" applyAlignment="1" applyProtection="1">
      <alignment horizontal="center" vertical="center" wrapText="1"/>
      <protection locked="0"/>
    </xf>
    <xf numFmtId="0" fontId="0" fillId="7" borderId="31" xfId="0" applyFont="1" applyFill="1" applyBorder="1" applyAlignment="1" applyProtection="1">
      <alignment horizontal="justify" vertical="center" wrapText="1"/>
    </xf>
    <xf numFmtId="0" fontId="0" fillId="51" borderId="100" xfId="0" applyFont="1" applyFill="1" applyBorder="1" applyAlignment="1" applyProtection="1">
      <alignment horizontal="center" vertical="center" wrapText="1"/>
      <protection locked="0"/>
    </xf>
    <xf numFmtId="0" fontId="0" fillId="51" borderId="52" xfId="0" applyFont="1" applyFill="1" applyBorder="1" applyAlignment="1" applyProtection="1">
      <alignment horizontal="justify" vertical="center" wrapText="1"/>
    </xf>
    <xf numFmtId="0" fontId="10" fillId="44" borderId="94" xfId="0" applyFont="1" applyFill="1" applyBorder="1" applyAlignment="1" applyProtection="1">
      <alignment horizontal="justify" vertical="center" wrapText="1"/>
    </xf>
    <xf numFmtId="0" fontId="10" fillId="39" borderId="161" xfId="0" applyFont="1" applyFill="1" applyBorder="1" applyAlignment="1" applyProtection="1">
      <alignment horizontal="center" vertical="center" wrapText="1"/>
      <protection locked="0"/>
    </xf>
    <xf numFmtId="0" fontId="10" fillId="39" borderId="31" xfId="0" applyFont="1" applyFill="1" applyBorder="1" applyAlignment="1" applyProtection="1">
      <alignment horizontal="justify" vertical="center" wrapText="1"/>
    </xf>
    <xf numFmtId="0" fontId="10" fillId="42" borderId="182" xfId="0" applyFont="1" applyFill="1" applyBorder="1" applyAlignment="1" applyProtection="1">
      <alignment horizontal="justify" vertical="center" wrapText="1"/>
    </xf>
    <xf numFmtId="0" fontId="10" fillId="42" borderId="54" xfId="0" applyFont="1" applyFill="1" applyBorder="1" applyAlignment="1" applyProtection="1">
      <alignment horizontal="justify" vertical="center" wrapText="1"/>
    </xf>
    <xf numFmtId="0" fontId="10" fillId="51" borderId="182" xfId="0" applyFont="1" applyFill="1" applyBorder="1" applyAlignment="1" applyProtection="1">
      <alignment horizontal="justify" vertical="center" wrapText="1"/>
    </xf>
    <xf numFmtId="0" fontId="10" fillId="38" borderId="182" xfId="0" applyFont="1" applyFill="1" applyBorder="1" applyAlignment="1" applyProtection="1">
      <alignment horizontal="justify" vertical="center" wrapText="1"/>
    </xf>
    <xf numFmtId="0" fontId="10" fillId="39" borderId="182" xfId="0" applyFont="1" applyFill="1" applyBorder="1" applyAlignment="1" applyProtection="1">
      <alignment horizontal="justify" vertical="center" wrapText="1"/>
    </xf>
    <xf numFmtId="0" fontId="10" fillId="39" borderId="178" xfId="0" applyFont="1" applyFill="1" applyBorder="1" applyAlignment="1" applyProtection="1">
      <alignment horizontal="justify" vertical="center" wrapText="1"/>
    </xf>
    <xf numFmtId="0" fontId="10" fillId="103" borderId="155" xfId="0" applyFont="1" applyFill="1" applyBorder="1" applyAlignment="1" applyProtection="1">
      <alignment horizontal="center" vertical="center" wrapText="1"/>
      <protection locked="0"/>
    </xf>
    <xf numFmtId="0" fontId="10" fillId="103" borderId="94" xfId="0" applyFont="1" applyFill="1" applyBorder="1" applyAlignment="1" applyProtection="1">
      <alignment horizontal="justify" vertical="center" wrapText="1"/>
    </xf>
    <xf numFmtId="0" fontId="10" fillId="44" borderId="11" xfId="0" applyFont="1" applyFill="1" applyBorder="1" applyAlignment="1" applyProtection="1">
      <alignment horizontal="center" vertical="center" wrapText="1"/>
    </xf>
    <xf numFmtId="1" fontId="10" fillId="38" borderId="94" xfId="0" applyNumberFormat="1" applyFont="1" applyFill="1" applyBorder="1" applyAlignment="1" applyProtection="1">
      <alignment horizontal="center" vertical="center" wrapText="1"/>
    </xf>
    <xf numFmtId="0" fontId="0" fillId="103" borderId="155" xfId="0" applyFont="1" applyFill="1" applyBorder="1" applyAlignment="1" applyProtection="1">
      <alignment horizontal="center" vertical="center"/>
      <protection locked="0"/>
    </xf>
    <xf numFmtId="0" fontId="0" fillId="103" borderId="94" xfId="0" applyFont="1" applyFill="1" applyBorder="1" applyAlignment="1" applyProtection="1">
      <alignment horizontal="justify" vertical="center"/>
    </xf>
    <xf numFmtId="0" fontId="10" fillId="44" borderId="155" xfId="0" applyFont="1" applyFill="1" applyBorder="1" applyAlignment="1" applyProtection="1">
      <alignment horizontal="center" vertical="center" wrapText="1"/>
      <protection locked="0"/>
    </xf>
    <xf numFmtId="1" fontId="10" fillId="38" borderId="155" xfId="0" applyNumberFormat="1" applyFont="1" applyFill="1" applyBorder="1" applyAlignment="1" applyProtection="1">
      <alignment horizontal="center" vertical="center" wrapText="1"/>
      <protection locked="0"/>
    </xf>
    <xf numFmtId="1" fontId="10" fillId="38" borderId="94" xfId="0" applyNumberFormat="1" applyFont="1" applyFill="1" applyBorder="1" applyAlignment="1" applyProtection="1">
      <alignment horizontal="justify" vertical="center" wrapText="1"/>
    </xf>
    <xf numFmtId="0" fontId="0" fillId="41" borderId="27" xfId="0" applyFont="1" applyFill="1" applyBorder="1" applyAlignment="1" applyProtection="1">
      <alignment horizontal="center" vertical="center" wrapText="1"/>
    </xf>
    <xf numFmtId="0" fontId="0" fillId="41" borderId="52" xfId="0" applyFont="1" applyFill="1" applyBorder="1" applyAlignment="1" applyProtection="1">
      <alignment horizontal="center" vertical="center" wrapText="1"/>
    </xf>
    <xf numFmtId="0" fontId="10" fillId="41" borderId="159" xfId="0" applyFont="1" applyFill="1" applyBorder="1" applyAlignment="1" applyProtection="1">
      <alignment horizontal="center" vertical="center" wrapText="1"/>
    </xf>
    <xf numFmtId="0" fontId="10" fillId="41" borderId="52" xfId="0" applyFont="1" applyFill="1" applyBorder="1" applyAlignment="1" applyProtection="1">
      <alignment horizontal="center" vertical="center" wrapText="1"/>
    </xf>
    <xf numFmtId="0" fontId="10" fillId="103" borderId="159" xfId="0" applyFont="1" applyFill="1" applyBorder="1" applyAlignment="1" applyProtection="1">
      <alignment horizontal="center" vertical="center" wrapText="1"/>
    </xf>
    <xf numFmtId="0" fontId="10" fillId="103" borderId="52" xfId="0" applyFont="1" applyFill="1" applyBorder="1" applyAlignment="1" applyProtection="1">
      <alignment horizontal="center" vertical="center" wrapText="1"/>
    </xf>
    <xf numFmtId="0" fontId="10" fillId="103" borderId="27" xfId="0" applyFont="1" applyFill="1" applyBorder="1" applyAlignment="1" applyProtection="1">
      <alignment horizontal="center" vertical="center" wrapText="1"/>
    </xf>
    <xf numFmtId="0" fontId="0" fillId="103" borderId="159" xfId="0" applyFont="1" applyFill="1" applyBorder="1" applyAlignment="1" applyProtection="1">
      <alignment horizontal="center" vertical="center"/>
    </xf>
    <xf numFmtId="0" fontId="0" fillId="41" borderId="185" xfId="0" applyFont="1" applyFill="1" applyBorder="1" applyAlignment="1" applyProtection="1">
      <alignment horizontal="center" vertical="center" wrapText="1"/>
      <protection locked="0"/>
    </xf>
    <xf numFmtId="0" fontId="10" fillId="103" borderId="9" xfId="0" applyFont="1" applyFill="1" applyBorder="1" applyAlignment="1" applyProtection="1">
      <alignment horizontal="justify" vertical="center" wrapText="1"/>
    </xf>
    <xf numFmtId="0" fontId="10" fillId="103" borderId="15" xfId="0" applyFont="1" applyFill="1" applyBorder="1" applyAlignment="1" applyProtection="1">
      <alignment horizontal="center" vertical="center" wrapText="1"/>
      <protection locked="0"/>
    </xf>
    <xf numFmtId="0" fontId="0" fillId="38" borderId="159" xfId="0" applyFont="1" applyFill="1" applyBorder="1" applyAlignment="1" applyProtection="1">
      <alignment horizontal="center" vertical="center" wrapText="1"/>
    </xf>
    <xf numFmtId="0" fontId="0" fillId="38" borderId="27" xfId="0" applyFont="1" applyFill="1" applyBorder="1" applyAlignment="1" applyProtection="1">
      <alignment horizontal="center" vertical="center" wrapText="1"/>
    </xf>
    <xf numFmtId="0" fontId="10" fillId="103" borderId="19" xfId="0" applyFont="1" applyFill="1" applyBorder="1" applyAlignment="1" applyProtection="1">
      <alignment horizontal="justify" vertical="center" wrapText="1"/>
    </xf>
    <xf numFmtId="0" fontId="10" fillId="38" borderId="100" xfId="0" applyFont="1" applyFill="1" applyBorder="1" applyAlignment="1" applyProtection="1">
      <alignment horizontal="center" vertical="center" wrapText="1"/>
      <protection locked="0"/>
    </xf>
    <xf numFmtId="0" fontId="10" fillId="38" borderId="184" xfId="0" applyFont="1" applyFill="1" applyBorder="1" applyAlignment="1" applyProtection="1">
      <alignment horizontal="justify" vertical="center" wrapText="1"/>
    </xf>
    <xf numFmtId="0" fontId="0" fillId="51" borderId="161" xfId="0" applyFont="1" applyFill="1" applyBorder="1" applyAlignment="1" applyProtection="1">
      <alignment horizontal="center" vertical="center" wrapText="1"/>
      <protection locked="0"/>
    </xf>
    <xf numFmtId="0" fontId="0" fillId="51" borderId="31" xfId="0" applyFont="1" applyFill="1" applyBorder="1" applyAlignment="1" applyProtection="1">
      <alignment horizontal="justify" vertical="center" wrapText="1"/>
    </xf>
    <xf numFmtId="0" fontId="10" fillId="103" borderId="161" xfId="0" applyFont="1" applyFill="1" applyBorder="1" applyAlignment="1" applyProtection="1">
      <alignment horizontal="center" vertical="center" wrapText="1"/>
      <protection locked="0"/>
    </xf>
    <xf numFmtId="0" fontId="10" fillId="103" borderId="31" xfId="0" applyFont="1" applyFill="1" applyBorder="1" applyAlignment="1" applyProtection="1">
      <alignment horizontal="justify" vertical="center" wrapText="1"/>
    </xf>
    <xf numFmtId="0" fontId="10" fillId="51" borderId="94" xfId="0" applyFont="1" applyFill="1" applyBorder="1" applyAlignment="1" applyProtection="1">
      <alignment horizontal="center" vertical="center" wrapText="1"/>
    </xf>
    <xf numFmtId="0" fontId="10" fillId="103" borderId="9" xfId="0" applyFont="1" applyFill="1" applyBorder="1" applyAlignment="1" applyProtection="1">
      <alignment horizontal="center" vertical="center" wrapText="1"/>
    </xf>
    <xf numFmtId="0" fontId="10" fillId="103" borderId="94" xfId="0" applyFont="1" applyFill="1" applyBorder="1" applyAlignment="1" applyProtection="1">
      <alignment horizontal="center" vertical="center" wrapText="1"/>
    </xf>
    <xf numFmtId="0" fontId="10" fillId="103" borderId="31" xfId="0" applyFont="1" applyFill="1" applyBorder="1" applyAlignment="1" applyProtection="1">
      <alignment horizontal="center" vertical="center" wrapText="1"/>
    </xf>
    <xf numFmtId="0" fontId="7" fillId="103" borderId="184" xfId="0" applyFont="1" applyFill="1" applyBorder="1" applyAlignment="1" applyProtection="1">
      <alignment horizontal="justify" vertical="center" wrapText="1"/>
    </xf>
    <xf numFmtId="0" fontId="10" fillId="103" borderId="184" xfId="0" applyFont="1" applyFill="1" applyBorder="1" applyAlignment="1" applyProtection="1">
      <alignment horizontal="justify" vertical="center" wrapText="1"/>
    </xf>
    <xf numFmtId="0" fontId="10" fillId="51" borderId="184" xfId="0" applyFont="1" applyFill="1" applyBorder="1" applyAlignment="1" applyProtection="1">
      <alignment horizontal="justify" vertical="center" wrapText="1"/>
    </xf>
    <xf numFmtId="0" fontId="0" fillId="38" borderId="32" xfId="0" applyFont="1" applyFill="1" applyBorder="1" applyAlignment="1" applyProtection="1">
      <alignment horizontal="justify" vertical="center" wrapText="1"/>
    </xf>
    <xf numFmtId="0" fontId="0" fillId="38" borderId="184" xfId="0" applyFont="1" applyFill="1" applyBorder="1" applyAlignment="1" applyProtection="1">
      <alignment horizontal="justify" vertical="center" wrapText="1"/>
    </xf>
    <xf numFmtId="0" fontId="10" fillId="103" borderId="53" xfId="0" applyFont="1" applyFill="1" applyBorder="1" applyAlignment="1" applyProtection="1">
      <alignment horizontal="justify" vertical="center" wrapText="1"/>
    </xf>
    <xf numFmtId="0" fontId="10" fillId="38" borderId="94" xfId="0" applyFont="1" applyFill="1" applyBorder="1" applyAlignment="1" applyProtection="1">
      <alignment horizontal="center" vertical="center" wrapText="1"/>
    </xf>
    <xf numFmtId="0" fontId="10" fillId="39" borderId="94" xfId="0" applyFont="1" applyFill="1" applyBorder="1" applyAlignment="1" applyProtection="1">
      <alignment horizontal="center" vertical="center" wrapText="1"/>
    </xf>
    <xf numFmtId="0" fontId="10" fillId="51" borderId="94" xfId="0" applyFont="1" applyFill="1" applyBorder="1" applyAlignment="1" applyProtection="1">
      <alignment horizontal="center" vertical="top" wrapText="1"/>
    </xf>
    <xf numFmtId="0" fontId="10" fillId="38" borderId="52" xfId="0" applyFont="1" applyFill="1" applyBorder="1" applyAlignment="1" applyProtection="1">
      <alignment horizontal="center" vertical="center" wrapText="1"/>
    </xf>
    <xf numFmtId="0" fontId="10" fillId="12" borderId="184" xfId="0" applyFont="1" applyFill="1" applyBorder="1" applyAlignment="1" applyProtection="1">
      <alignment horizontal="justify" vertical="center" wrapText="1"/>
    </xf>
    <xf numFmtId="0" fontId="10" fillId="29" borderId="32" xfId="0" applyFont="1" applyFill="1" applyBorder="1" applyAlignment="1" applyProtection="1">
      <alignment horizontal="justify" vertical="center" wrapText="1"/>
    </xf>
    <xf numFmtId="0" fontId="10" fillId="29" borderId="30" xfId="0" applyFont="1" applyFill="1" applyBorder="1" applyAlignment="1" applyProtection="1">
      <alignment horizontal="justify" vertical="center" wrapText="1"/>
    </xf>
    <xf numFmtId="0" fontId="10" fillId="29" borderId="32" xfId="0" applyFont="1" applyFill="1" applyBorder="1" applyAlignment="1" applyProtection="1">
      <alignment horizontal="justify" vertical="center"/>
    </xf>
    <xf numFmtId="0" fontId="10" fillId="29" borderId="30" xfId="0" applyFont="1" applyFill="1" applyBorder="1" applyAlignment="1" applyProtection="1">
      <alignment horizontal="justify" vertical="center"/>
    </xf>
    <xf numFmtId="0" fontId="10" fillId="116" borderId="32" xfId="0" applyFont="1" applyFill="1" applyBorder="1" applyAlignment="1" applyProtection="1">
      <alignment horizontal="justify" vertical="center" wrapText="1"/>
    </xf>
    <xf numFmtId="0" fontId="10" fillId="116" borderId="184" xfId="0" applyFont="1" applyFill="1" applyBorder="1" applyAlignment="1" applyProtection="1">
      <alignment horizontal="justify" vertical="center" wrapText="1"/>
    </xf>
    <xf numFmtId="0" fontId="10" fillId="116" borderId="32" xfId="0" applyFont="1" applyFill="1" applyBorder="1" applyAlignment="1" applyProtection="1">
      <alignment horizontal="justify" vertical="center"/>
    </xf>
    <xf numFmtId="0" fontId="10" fillId="116" borderId="184" xfId="0" applyFont="1" applyFill="1" applyBorder="1" applyAlignment="1" applyProtection="1">
      <alignment horizontal="justify" vertical="center"/>
    </xf>
    <xf numFmtId="0" fontId="10" fillId="69" borderId="32" xfId="0" applyFont="1" applyFill="1" applyBorder="1" applyAlignment="1" applyProtection="1">
      <alignment horizontal="justify" vertical="center" wrapText="1"/>
    </xf>
    <xf numFmtId="0" fontId="10" fillId="69" borderId="184" xfId="0" applyFont="1" applyFill="1" applyBorder="1" applyAlignment="1" applyProtection="1">
      <alignment horizontal="justify" vertical="center" wrapText="1"/>
    </xf>
    <xf numFmtId="0" fontId="39" fillId="69" borderId="32" xfId="0" applyFont="1" applyFill="1" applyBorder="1" applyAlignment="1" applyProtection="1">
      <alignment horizontal="justify" vertical="center" wrapText="1"/>
    </xf>
    <xf numFmtId="0" fontId="39" fillId="69" borderId="184" xfId="0" applyFont="1" applyFill="1" applyBorder="1" applyAlignment="1" applyProtection="1">
      <alignment horizontal="justify" vertical="center" wrapText="1"/>
    </xf>
    <xf numFmtId="0" fontId="10" fillId="69" borderId="30" xfId="0" applyFont="1" applyFill="1" applyBorder="1" applyAlignment="1" applyProtection="1">
      <alignment horizontal="justify" vertical="center" wrapText="1"/>
    </xf>
    <xf numFmtId="0" fontId="0" fillId="69" borderId="94" xfId="0" applyFont="1" applyFill="1" applyBorder="1" applyAlignment="1" applyProtection="1">
      <alignment horizontal="justify" vertical="center" wrapText="1"/>
    </xf>
    <xf numFmtId="0" fontId="0" fillId="69" borderId="31" xfId="0" applyFont="1" applyFill="1" applyBorder="1" applyAlignment="1" applyProtection="1">
      <alignment horizontal="justify" vertical="center" wrapText="1"/>
    </xf>
    <xf numFmtId="0" fontId="0" fillId="12" borderId="52" xfId="0" applyFont="1" applyFill="1" applyBorder="1" applyAlignment="1" applyProtection="1">
      <alignment horizontal="justify" vertical="center" wrapText="1"/>
    </xf>
    <xf numFmtId="0" fontId="0" fillId="12" borderId="94" xfId="0" applyFont="1" applyFill="1" applyBorder="1" applyAlignment="1" applyProtection="1">
      <alignment horizontal="justify" vertical="center" wrapText="1"/>
    </xf>
    <xf numFmtId="0" fontId="10" fillId="69" borderId="54" xfId="0" applyFont="1" applyFill="1" applyBorder="1" applyAlignment="1" applyProtection="1">
      <alignment horizontal="justify" vertical="center" wrapText="1"/>
    </xf>
    <xf numFmtId="0" fontId="10" fillId="69" borderId="154" xfId="0" applyFont="1" applyFill="1" applyBorder="1" applyAlignment="1" applyProtection="1">
      <alignment horizontal="justify" vertical="center" wrapText="1"/>
    </xf>
    <xf numFmtId="0" fontId="10" fillId="69" borderId="53" xfId="0" applyFont="1" applyFill="1" applyBorder="1" applyAlignment="1" applyProtection="1">
      <alignment horizontal="justify" vertical="center" wrapText="1"/>
    </xf>
    <xf numFmtId="0" fontId="10" fillId="12" borderId="54" xfId="0" applyFont="1" applyFill="1" applyBorder="1" applyAlignment="1" applyProtection="1">
      <alignment horizontal="justify" vertical="center" wrapText="1"/>
    </xf>
    <xf numFmtId="0" fontId="10" fillId="12" borderId="154" xfId="0" applyFont="1" applyFill="1" applyBorder="1" applyAlignment="1" applyProtection="1">
      <alignment horizontal="justify" vertical="center" wrapText="1"/>
    </xf>
    <xf numFmtId="0" fontId="10" fillId="29" borderId="54" xfId="0" applyFont="1" applyFill="1" applyBorder="1" applyAlignment="1" applyProtection="1">
      <alignment horizontal="justify" vertical="center" wrapText="1"/>
    </xf>
    <xf numFmtId="0" fontId="10" fillId="29" borderId="53" xfId="0" applyFont="1" applyFill="1" applyBorder="1" applyAlignment="1" applyProtection="1">
      <alignment horizontal="justify" vertical="center" wrapText="1"/>
    </xf>
    <xf numFmtId="0" fontId="10" fillId="39" borderId="184" xfId="0" applyFont="1" applyFill="1" applyBorder="1" applyAlignment="1" applyProtection="1">
      <alignment horizontal="justify" vertical="center" wrapText="1"/>
    </xf>
    <xf numFmtId="0" fontId="0" fillId="116" borderId="52" xfId="0" applyFont="1" applyFill="1" applyBorder="1" applyAlignment="1" applyProtection="1">
      <alignment horizontal="justify" vertical="center" wrapText="1"/>
    </xf>
    <xf numFmtId="0" fontId="0" fillId="116" borderId="94" xfId="0" applyFont="1" applyFill="1" applyBorder="1" applyAlignment="1" applyProtection="1">
      <alignment horizontal="justify" vertical="center" wrapText="1"/>
    </xf>
    <xf numFmtId="0" fontId="0" fillId="69" borderId="9" xfId="0" applyFont="1" applyFill="1" applyBorder="1" applyAlignment="1" applyProtection="1">
      <alignment horizontal="justify" vertical="center" wrapText="1"/>
    </xf>
    <xf numFmtId="0" fontId="11" fillId="38" borderId="15" xfId="0" applyFont="1" applyFill="1" applyBorder="1" applyAlignment="1" applyProtection="1">
      <alignment horizontal="center" vertical="center" wrapText="1"/>
      <protection locked="0"/>
    </xf>
    <xf numFmtId="0" fontId="0" fillId="69" borderId="15" xfId="0" applyFont="1" applyFill="1" applyBorder="1" applyAlignment="1" applyProtection="1">
      <alignment horizontal="center" vertical="center" wrapText="1"/>
      <protection locked="0"/>
    </xf>
    <xf numFmtId="0" fontId="0" fillId="69" borderId="155" xfId="0" applyFont="1" applyFill="1" applyBorder="1" applyAlignment="1" applyProtection="1">
      <alignment horizontal="center" vertical="center" wrapText="1"/>
      <protection locked="0"/>
    </xf>
    <xf numFmtId="0" fontId="0" fillId="69" borderId="161" xfId="0" applyFont="1" applyFill="1" applyBorder="1" applyAlignment="1" applyProtection="1">
      <alignment horizontal="center" vertical="center" wrapText="1"/>
      <protection locked="0"/>
    </xf>
    <xf numFmtId="0" fontId="0" fillId="12" borderId="100" xfId="0" applyFont="1" applyFill="1" applyBorder="1" applyAlignment="1" applyProtection="1">
      <alignment horizontal="center" vertical="top" wrapText="1"/>
      <protection locked="0"/>
    </xf>
    <xf numFmtId="0" fontId="0" fillId="12" borderId="155" xfId="0" applyFont="1" applyFill="1" applyBorder="1" applyAlignment="1" applyProtection="1">
      <alignment horizontal="center" vertical="top" wrapText="1"/>
      <protection locked="0"/>
    </xf>
    <xf numFmtId="0" fontId="10" fillId="116" borderId="154" xfId="0" applyFont="1" applyFill="1" applyBorder="1" applyAlignment="1" applyProtection="1">
      <alignment horizontal="justify" vertical="center" wrapText="1"/>
    </xf>
    <xf numFmtId="0" fontId="10" fillId="68" borderId="154" xfId="0" applyFont="1" applyFill="1" applyBorder="1" applyAlignment="1" applyProtection="1">
      <alignment horizontal="justify" vertical="center" wrapText="1"/>
    </xf>
    <xf numFmtId="0" fontId="11" fillId="39" borderId="184" xfId="0" applyFont="1" applyFill="1" applyBorder="1" applyAlignment="1" applyProtection="1">
      <alignment horizontal="justify" vertical="center" wrapText="1"/>
    </xf>
    <xf numFmtId="0" fontId="10" fillId="69" borderId="94" xfId="0" applyFont="1" applyFill="1" applyBorder="1" applyAlignment="1" applyProtection="1">
      <alignment horizontal="center" vertical="center" wrapText="1"/>
    </xf>
    <xf numFmtId="0" fontId="10" fillId="69" borderId="31" xfId="0" applyFont="1" applyFill="1" applyBorder="1" applyAlignment="1" applyProtection="1">
      <alignment horizontal="center" vertical="center" wrapText="1"/>
    </xf>
    <xf numFmtId="0" fontId="10" fillId="116" borderId="52" xfId="0" applyFont="1" applyFill="1" applyBorder="1" applyAlignment="1" applyProtection="1">
      <alignment horizontal="center" vertical="center" wrapText="1"/>
    </xf>
    <xf numFmtId="0" fontId="10" fillId="116" borderId="94" xfId="0" applyFont="1" applyFill="1" applyBorder="1" applyAlignment="1" applyProtection="1">
      <alignment horizontal="center" vertical="center" wrapText="1"/>
    </xf>
    <xf numFmtId="0" fontId="10" fillId="68" borderId="94" xfId="0" applyFont="1" applyFill="1" applyBorder="1" applyAlignment="1" applyProtection="1">
      <alignment horizontal="center" vertical="top" wrapText="1"/>
    </xf>
    <xf numFmtId="0" fontId="10" fillId="68" borderId="94" xfId="0" applyFont="1" applyFill="1" applyBorder="1" applyAlignment="1" applyProtection="1">
      <alignment horizontal="center" vertical="center" wrapText="1"/>
    </xf>
    <xf numFmtId="0" fontId="10" fillId="69" borderId="52" xfId="0" applyFont="1" applyFill="1" applyBorder="1" applyAlignment="1" applyProtection="1">
      <alignment horizontal="center" vertical="center" wrapText="1"/>
    </xf>
    <xf numFmtId="0" fontId="10" fillId="12" borderId="52" xfId="0" applyFont="1" applyFill="1" applyBorder="1" applyAlignment="1" applyProtection="1">
      <alignment horizontal="center" vertical="center" wrapText="1"/>
    </xf>
    <xf numFmtId="0" fontId="10" fillId="12" borderId="94" xfId="0" applyFont="1" applyFill="1" applyBorder="1" applyAlignment="1" applyProtection="1">
      <alignment horizontal="center" vertical="center" wrapText="1"/>
    </xf>
    <xf numFmtId="0" fontId="10" fillId="29" borderId="52" xfId="0" applyFont="1" applyFill="1" applyBorder="1" applyAlignment="1" applyProtection="1">
      <alignment horizontal="center" vertical="center" wrapText="1"/>
    </xf>
    <xf numFmtId="0" fontId="10" fillId="29" borderId="31" xfId="0" applyFont="1" applyFill="1" applyBorder="1" applyAlignment="1" applyProtection="1">
      <alignment horizontal="center" vertical="center" wrapText="1"/>
    </xf>
    <xf numFmtId="0" fontId="10" fillId="69" borderId="9" xfId="0" applyFont="1" applyFill="1" applyBorder="1" applyAlignment="1" applyProtection="1">
      <alignment horizontal="center" vertical="center" wrapText="1"/>
    </xf>
    <xf numFmtId="0" fontId="10" fillId="68" borderId="184" xfId="0" applyFont="1" applyFill="1" applyBorder="1" applyAlignment="1" applyProtection="1">
      <alignment horizontal="justify" vertical="center" wrapText="1"/>
    </xf>
    <xf numFmtId="0" fontId="0" fillId="68" borderId="155" xfId="0" applyFont="1" applyFill="1" applyBorder="1" applyAlignment="1" applyProtection="1">
      <alignment horizontal="center" vertical="center" wrapText="1"/>
      <protection locked="0"/>
    </xf>
    <xf numFmtId="0" fontId="0" fillId="68" borderId="94" xfId="0" applyFont="1" applyFill="1" applyBorder="1" applyAlignment="1" applyProtection="1">
      <alignment horizontal="justify" vertical="center" wrapText="1"/>
    </xf>
    <xf numFmtId="0" fontId="0" fillId="12" borderId="155" xfId="0" applyFont="1" applyFill="1" applyBorder="1" applyAlignment="1" applyProtection="1">
      <alignment horizontal="center" vertical="center" wrapText="1"/>
      <protection locked="0"/>
    </xf>
    <xf numFmtId="0" fontId="0" fillId="29" borderId="100" xfId="0" applyFont="1" applyFill="1" applyBorder="1" applyAlignment="1" applyProtection="1">
      <alignment horizontal="center" vertical="center" wrapText="1"/>
      <protection locked="0"/>
    </xf>
    <xf numFmtId="0" fontId="0" fillId="29" borderId="161" xfId="0" applyFont="1" applyFill="1" applyBorder="1" applyAlignment="1" applyProtection="1">
      <alignment horizontal="center" vertical="center" wrapText="1"/>
      <protection locked="0"/>
    </xf>
    <xf numFmtId="0" fontId="11" fillId="38" borderId="11" xfId="0" applyFont="1" applyFill="1" applyBorder="1" applyAlignment="1" applyProtection="1">
      <alignment horizontal="center" vertical="center" wrapText="1"/>
    </xf>
    <xf numFmtId="0" fontId="11" fillId="38" borderId="29" xfId="0" applyFont="1" applyFill="1" applyBorder="1" applyAlignment="1" applyProtection="1">
      <alignment horizontal="center" vertical="center" wrapText="1"/>
    </xf>
    <xf numFmtId="0" fontId="0" fillId="39" borderId="184" xfId="0" applyFont="1" applyFill="1" applyBorder="1" applyAlignment="1" applyProtection="1">
      <alignment horizontal="justify" vertical="center" wrapText="1"/>
    </xf>
    <xf numFmtId="0" fontId="11" fillId="39" borderId="15" xfId="0" applyFont="1" applyFill="1" applyBorder="1" applyAlignment="1" applyProtection="1">
      <alignment horizontal="center" vertical="center" wrapText="1"/>
      <protection locked="0"/>
    </xf>
    <xf numFmtId="0" fontId="11" fillId="39" borderId="9" xfId="0" applyFont="1" applyFill="1" applyBorder="1" applyAlignment="1" applyProtection="1">
      <alignment horizontal="justify" vertical="center" wrapText="1"/>
    </xf>
    <xf numFmtId="0" fontId="11" fillId="41" borderId="184" xfId="0" applyFont="1" applyFill="1" applyBorder="1" applyAlignment="1" applyProtection="1">
      <alignment horizontal="justify" vertical="center" wrapText="1"/>
    </xf>
    <xf numFmtId="0" fontId="11" fillId="41" borderId="30" xfId="0" applyFont="1" applyFill="1" applyBorder="1" applyAlignment="1" applyProtection="1">
      <alignment horizontal="justify" vertical="center" wrapText="1"/>
    </xf>
    <xf numFmtId="0" fontId="11" fillId="51" borderId="15" xfId="0" applyFont="1" applyFill="1" applyBorder="1" applyAlignment="1" applyProtection="1">
      <alignment horizontal="center" vertical="center" wrapText="1"/>
      <protection locked="0"/>
    </xf>
    <xf numFmtId="0" fontId="11" fillId="51" borderId="9" xfId="0" applyFont="1" applyFill="1" applyBorder="1" applyAlignment="1" applyProtection="1">
      <alignment horizontal="justify" vertical="center" wrapText="1"/>
    </xf>
    <xf numFmtId="0" fontId="11" fillId="38" borderId="32" xfId="0" applyFont="1" applyFill="1" applyBorder="1" applyAlignment="1" applyProtection="1">
      <alignment horizontal="justify" vertical="center" wrapText="1"/>
    </xf>
    <xf numFmtId="0" fontId="11" fillId="38" borderId="184" xfId="0" applyFont="1" applyFill="1" applyBorder="1" applyAlignment="1" applyProtection="1">
      <alignment horizontal="justify" vertical="center" wrapText="1"/>
    </xf>
    <xf numFmtId="0" fontId="11" fillId="51" borderId="8" xfId="0" applyFont="1" applyFill="1" applyBorder="1" applyAlignment="1" applyProtection="1">
      <alignment horizontal="justify" vertical="center" wrapText="1"/>
    </xf>
    <xf numFmtId="0" fontId="11" fillId="51" borderId="184" xfId="0" applyFont="1" applyFill="1" applyBorder="1" applyAlignment="1" applyProtection="1">
      <alignment horizontal="justify" vertical="center" wrapText="1"/>
    </xf>
    <xf numFmtId="0" fontId="0" fillId="41" borderId="31" xfId="0" applyFont="1" applyFill="1" applyBorder="1" applyAlignment="1" applyProtection="1">
      <alignment horizontal="justify" vertical="center" wrapText="1"/>
    </xf>
    <xf numFmtId="0" fontId="11" fillId="51" borderId="9" xfId="0" applyFont="1" applyFill="1" applyBorder="1" applyAlignment="1" applyProtection="1">
      <alignment horizontal="center" vertical="center" wrapText="1"/>
    </xf>
    <xf numFmtId="0" fontId="11" fillId="51" borderId="94" xfId="0" applyFont="1" applyFill="1" applyBorder="1" applyAlignment="1" applyProtection="1">
      <alignment horizontal="center" vertical="center" wrapText="1"/>
    </xf>
    <xf numFmtId="9" fontId="11" fillId="39" borderId="94" xfId="0" applyNumberFormat="1" applyFont="1" applyFill="1" applyBorder="1" applyAlignment="1" applyProtection="1">
      <alignment horizontal="center" vertical="center" wrapText="1"/>
    </xf>
    <xf numFmtId="0" fontId="10" fillId="38" borderId="9" xfId="0" applyFont="1" applyFill="1" applyBorder="1" applyAlignment="1" applyProtection="1">
      <alignment horizontal="justify" vertical="center" wrapText="1"/>
    </xf>
    <xf numFmtId="0" fontId="10" fillId="66" borderId="100" xfId="0" applyFont="1" applyFill="1" applyBorder="1" applyAlignment="1" applyProtection="1">
      <alignment horizontal="center" vertical="center" wrapText="1"/>
      <protection locked="0"/>
    </xf>
    <xf numFmtId="0" fontId="10" fillId="66" borderId="155" xfId="0" applyFont="1" applyFill="1" applyBorder="1" applyAlignment="1" applyProtection="1">
      <alignment horizontal="center" vertical="center" wrapText="1"/>
      <protection locked="0"/>
    </xf>
    <xf numFmtId="0" fontId="10" fillId="66" borderId="52" xfId="0" applyFont="1" applyFill="1" applyBorder="1" applyAlignment="1" applyProtection="1">
      <alignment horizontal="justify" vertical="center" wrapText="1"/>
    </xf>
    <xf numFmtId="0" fontId="10" fillId="66" borderId="94" xfId="0" applyFont="1" applyFill="1" applyBorder="1" applyAlignment="1" applyProtection="1">
      <alignment horizontal="justify" vertical="center" wrapText="1"/>
    </xf>
    <xf numFmtId="0" fontId="11" fillId="39" borderId="9" xfId="0" applyFont="1" applyFill="1" applyBorder="1" applyAlignment="1" applyProtection="1">
      <alignment horizontal="center" vertical="center" wrapText="1"/>
    </xf>
    <xf numFmtId="0" fontId="11" fillId="7" borderId="184" xfId="0" applyFont="1" applyFill="1" applyBorder="1" applyAlignment="1" applyProtection="1">
      <alignment horizontal="justify" vertical="center" wrapText="1"/>
    </xf>
    <xf numFmtId="0" fontId="10" fillId="38" borderId="184" xfId="6" applyFont="1" applyFill="1" applyBorder="1" applyAlignment="1" applyProtection="1">
      <alignment horizontal="justify" vertical="center" wrapText="1"/>
    </xf>
    <xf numFmtId="0" fontId="10" fillId="51" borderId="184" xfId="6" applyFont="1" applyFill="1" applyBorder="1" applyAlignment="1" applyProtection="1">
      <alignment horizontal="justify" vertical="center" wrapText="1"/>
    </xf>
    <xf numFmtId="0" fontId="2" fillId="31" borderId="0" xfId="0" applyFont="1" applyFill="1" applyAlignment="1" applyProtection="1">
      <alignment horizontal="center" vertical="center"/>
      <protection locked="0"/>
    </xf>
    <xf numFmtId="0" fontId="2" fillId="31" borderId="39" xfId="0" applyFont="1" applyFill="1" applyBorder="1" applyAlignment="1" applyProtection="1">
      <alignment horizontal="center" vertical="center"/>
      <protection locked="0"/>
    </xf>
    <xf numFmtId="0" fontId="0" fillId="38" borderId="9" xfId="0" applyFont="1" applyFill="1" applyBorder="1" applyAlignment="1" applyProtection="1">
      <alignment horizontal="justify" vertical="center" wrapText="1"/>
      <protection locked="0"/>
    </xf>
    <xf numFmtId="0" fontId="0" fillId="38" borderId="94" xfId="0" applyFont="1" applyFill="1" applyBorder="1" applyAlignment="1" applyProtection="1">
      <alignment horizontal="justify" vertical="center" wrapText="1"/>
      <protection locked="0"/>
    </xf>
    <xf numFmtId="0" fontId="0" fillId="38" borderId="31" xfId="0" applyFont="1" applyFill="1" applyBorder="1" applyAlignment="1" applyProtection="1">
      <alignment horizontal="justify" vertical="center" wrapText="1"/>
      <protection locked="0"/>
    </xf>
    <xf numFmtId="0" fontId="0" fillId="29" borderId="52" xfId="0" applyFont="1" applyFill="1" applyBorder="1" applyAlignment="1" applyProtection="1">
      <alignment horizontal="justify" vertical="center" wrapText="1"/>
      <protection locked="0"/>
    </xf>
    <xf numFmtId="0" fontId="0" fillId="29" borderId="94" xfId="0" applyFont="1" applyFill="1" applyBorder="1" applyAlignment="1" applyProtection="1">
      <alignment horizontal="justify" vertical="center" wrapText="1"/>
      <protection locked="0"/>
    </xf>
    <xf numFmtId="0" fontId="0" fillId="103" borderId="52" xfId="0" applyFont="1" applyFill="1" applyBorder="1" applyAlignment="1" applyProtection="1">
      <alignment horizontal="justify" vertical="center" wrapText="1"/>
      <protection locked="0"/>
    </xf>
    <xf numFmtId="0" fontId="0" fillId="103" borderId="94" xfId="0" applyFont="1" applyFill="1" applyBorder="1" applyAlignment="1" applyProtection="1">
      <alignment horizontal="justify" vertical="center" wrapText="1"/>
      <protection locked="0"/>
    </xf>
    <xf numFmtId="0" fontId="10" fillId="66" borderId="184" xfId="0" applyFont="1" applyFill="1" applyBorder="1" applyAlignment="1" applyProtection="1">
      <alignment horizontal="justify" vertical="center" wrapText="1"/>
    </xf>
    <xf numFmtId="0" fontId="10" fillId="51" borderId="94" xfId="6" applyFont="1" applyFill="1" applyBorder="1" applyAlignment="1" applyProtection="1">
      <alignment horizontal="center" vertical="center"/>
    </xf>
    <xf numFmtId="0" fontId="10" fillId="51" borderId="94" xfId="0" applyFont="1" applyFill="1" applyBorder="1" applyAlignment="1" applyProtection="1">
      <alignment horizontal="center" vertical="center"/>
    </xf>
    <xf numFmtId="0" fontId="10" fillId="66" borderId="94" xfId="0" applyFont="1" applyFill="1" applyBorder="1" applyAlignment="1" applyProtection="1">
      <alignment horizontal="center" vertical="center"/>
    </xf>
    <xf numFmtId="0" fontId="10" fillId="51" borderId="30" xfId="0" applyFont="1" applyFill="1" applyBorder="1" applyAlignment="1" applyProtection="1">
      <alignment horizontal="justify" vertical="center" wrapText="1"/>
    </xf>
    <xf numFmtId="0" fontId="10" fillId="66" borderId="32" xfId="0" applyFont="1" applyFill="1" applyBorder="1" applyAlignment="1" applyProtection="1">
      <alignment horizontal="justify" vertical="center" wrapText="1"/>
    </xf>
    <xf numFmtId="0" fontId="0" fillId="103" borderId="159" xfId="0" applyFont="1" applyFill="1" applyBorder="1" applyAlignment="1" applyProtection="1">
      <alignment horizontal="justify" vertical="center" wrapText="1"/>
      <protection locked="0"/>
    </xf>
    <xf numFmtId="0" fontId="11" fillId="40" borderId="94" xfId="0" applyFont="1" applyFill="1" applyBorder="1" applyAlignment="1" applyProtection="1">
      <alignment horizontal="justify" vertical="center" wrapText="1"/>
      <protection locked="0"/>
    </xf>
    <xf numFmtId="0" fontId="11" fillId="40" borderId="31" xfId="0" applyFont="1" applyFill="1" applyBorder="1" applyAlignment="1" applyProtection="1">
      <alignment horizontal="justify" vertical="center" wrapText="1"/>
      <protection locked="0"/>
    </xf>
    <xf numFmtId="0" fontId="11" fillId="51" borderId="159" xfId="0" applyFont="1" applyFill="1" applyBorder="1" applyAlignment="1" applyProtection="1">
      <alignment horizontal="justify" vertical="center" wrapText="1"/>
      <protection locked="0"/>
    </xf>
    <xf numFmtId="0" fontId="11" fillId="51" borderId="57" xfId="0" applyFont="1" applyFill="1" applyBorder="1" applyAlignment="1" applyProtection="1">
      <alignment horizontal="justify" vertical="center" wrapText="1"/>
      <protection locked="0"/>
    </xf>
    <xf numFmtId="0" fontId="0" fillId="40" borderId="156" xfId="0" applyFont="1" applyFill="1" applyBorder="1" applyAlignment="1" applyProtection="1">
      <alignment horizontal="justify" vertical="center" wrapText="1"/>
      <protection locked="0"/>
    </xf>
    <xf numFmtId="0" fontId="0" fillId="40" borderId="24" xfId="0" applyFont="1" applyFill="1" applyBorder="1" applyAlignment="1" applyProtection="1">
      <alignment horizontal="justify" vertical="center" wrapText="1"/>
      <protection locked="0"/>
    </xf>
    <xf numFmtId="0" fontId="0" fillId="40" borderId="60" xfId="0" applyFont="1" applyFill="1" applyBorder="1" applyAlignment="1" applyProtection="1">
      <alignment horizontal="justify" vertical="center" wrapText="1"/>
      <protection locked="0"/>
    </xf>
    <xf numFmtId="0" fontId="0" fillId="40" borderId="94" xfId="0" applyFont="1" applyFill="1" applyBorder="1" applyAlignment="1" applyProtection="1">
      <alignment horizontal="justify" vertical="center" wrapText="1"/>
      <protection locked="0"/>
    </xf>
    <xf numFmtId="0" fontId="0" fillId="40" borderId="43" xfId="0" applyFont="1" applyFill="1" applyBorder="1" applyAlignment="1" applyProtection="1">
      <alignment horizontal="justify" vertical="center" wrapText="1"/>
      <protection locked="0"/>
    </xf>
    <xf numFmtId="0" fontId="0" fillId="44" borderId="52" xfId="0" applyFont="1" applyFill="1" applyBorder="1" applyAlignment="1" applyProtection="1">
      <alignment horizontal="justify" vertical="center" wrapText="1"/>
      <protection locked="0"/>
    </xf>
    <xf numFmtId="0" fontId="0" fillId="44" borderId="94" xfId="0" applyFont="1" applyFill="1" applyBorder="1" applyAlignment="1" applyProtection="1">
      <alignment horizontal="justify" vertical="center" wrapText="1"/>
      <protection locked="0"/>
    </xf>
    <xf numFmtId="0" fontId="0" fillId="44" borderId="31" xfId="0" applyFont="1" applyFill="1" applyBorder="1" applyAlignment="1" applyProtection="1">
      <alignment horizontal="justify" vertical="center" wrapText="1"/>
      <protection locked="0"/>
    </xf>
    <xf numFmtId="0" fontId="0" fillId="38" borderId="52" xfId="0" applyFont="1" applyFill="1" applyBorder="1" applyAlignment="1" applyProtection="1">
      <alignment horizontal="justify" vertical="center" wrapText="1"/>
      <protection locked="0"/>
    </xf>
    <xf numFmtId="0" fontId="0" fillId="7" borderId="94" xfId="0" applyFont="1" applyFill="1" applyBorder="1" applyAlignment="1" applyProtection="1">
      <alignment horizontal="justify" vertical="center" wrapText="1"/>
      <protection locked="0"/>
    </xf>
    <xf numFmtId="0" fontId="0" fillId="41" borderId="52" xfId="0" applyFont="1" applyFill="1" applyBorder="1" applyAlignment="1" applyProtection="1">
      <alignment horizontal="justify" vertical="center" wrapText="1"/>
      <protection locked="0"/>
    </xf>
    <xf numFmtId="0" fontId="0" fillId="41" borderId="94" xfId="0" applyFont="1" applyFill="1" applyBorder="1" applyAlignment="1" applyProtection="1">
      <alignment horizontal="justify" vertical="center" wrapText="1"/>
      <protection locked="0"/>
    </xf>
    <xf numFmtId="0" fontId="0" fillId="41" borderId="159" xfId="0" applyFont="1" applyFill="1" applyBorder="1" applyAlignment="1" applyProtection="1">
      <alignment horizontal="justify" vertical="center" wrapText="1"/>
      <protection locked="0"/>
    </xf>
    <xf numFmtId="0" fontId="11" fillId="38" borderId="9" xfId="0" applyFont="1" applyFill="1" applyBorder="1" applyAlignment="1" applyProtection="1">
      <alignment horizontal="justify" vertical="center" wrapText="1"/>
      <protection locked="0"/>
    </xf>
    <xf numFmtId="0" fontId="11" fillId="38" borderId="94" xfId="0" applyFont="1" applyFill="1" applyBorder="1" applyAlignment="1" applyProtection="1">
      <alignment horizontal="justify" vertical="center" wrapText="1"/>
      <protection locked="0"/>
    </xf>
    <xf numFmtId="0" fontId="11" fillId="38" borderId="31" xfId="0" applyFont="1" applyFill="1" applyBorder="1" applyAlignment="1" applyProtection="1">
      <alignment horizontal="justify" vertical="center" wrapText="1"/>
      <protection locked="0"/>
    </xf>
    <xf numFmtId="0" fontId="11" fillId="41" borderId="27" xfId="0" applyFont="1" applyFill="1" applyBorder="1" applyAlignment="1" applyProtection="1">
      <alignment horizontal="justify" vertical="center" wrapText="1"/>
      <protection locked="0"/>
    </xf>
    <xf numFmtId="0" fontId="11" fillId="41" borderId="52" xfId="0" applyFont="1" applyFill="1" applyBorder="1" applyAlignment="1" applyProtection="1">
      <alignment horizontal="justify" vertical="center" wrapText="1"/>
      <protection locked="0"/>
    </xf>
    <xf numFmtId="0" fontId="11" fillId="41" borderId="94" xfId="0" applyFont="1" applyFill="1" applyBorder="1" applyAlignment="1" applyProtection="1">
      <alignment horizontal="justify" vertical="center" wrapText="1"/>
      <protection locked="0"/>
    </xf>
    <xf numFmtId="0" fontId="11" fillId="41" borderId="31" xfId="0" applyFont="1" applyFill="1" applyBorder="1" applyAlignment="1" applyProtection="1">
      <alignment horizontal="justify" vertical="center" wrapText="1"/>
      <protection locked="0"/>
    </xf>
    <xf numFmtId="0" fontId="11" fillId="7" borderId="52" xfId="0" applyFont="1" applyFill="1" applyBorder="1" applyAlignment="1" applyProtection="1">
      <alignment horizontal="justify" vertical="center" wrapText="1"/>
      <protection locked="0"/>
    </xf>
    <xf numFmtId="0" fontId="11" fillId="7" borderId="94" xfId="0" applyFont="1" applyFill="1" applyBorder="1" applyAlignment="1" applyProtection="1">
      <alignment horizontal="justify" vertical="center" wrapText="1"/>
      <protection locked="0"/>
    </xf>
    <xf numFmtId="0" fontId="11" fillId="51" borderId="94" xfId="0" applyFont="1" applyFill="1" applyBorder="1" applyAlignment="1" applyProtection="1">
      <alignment horizontal="justify" vertical="center" wrapText="1"/>
      <protection locked="0"/>
    </xf>
    <xf numFmtId="0" fontId="11" fillId="51" borderId="31" xfId="0" applyFont="1" applyFill="1" applyBorder="1" applyAlignment="1" applyProtection="1">
      <alignment horizontal="justify" vertical="center" wrapText="1"/>
      <protection locked="0"/>
    </xf>
    <xf numFmtId="0" fontId="11" fillId="66" borderId="159" xfId="0" applyFont="1" applyFill="1" applyBorder="1" applyAlignment="1" applyProtection="1">
      <alignment horizontal="justify" vertical="center" wrapText="1"/>
      <protection locked="0"/>
    </xf>
    <xf numFmtId="0" fontId="11" fillId="66" borderId="27" xfId="0" applyFont="1" applyFill="1" applyBorder="1" applyAlignment="1" applyProtection="1">
      <alignment horizontal="justify" vertical="center" wrapText="1"/>
      <protection locked="0"/>
    </xf>
    <xf numFmtId="0" fontId="11" fillId="66" borderId="52" xfId="0" applyFont="1" applyFill="1" applyBorder="1" applyAlignment="1" applyProtection="1">
      <alignment horizontal="justify" vertical="center" wrapText="1"/>
      <protection locked="0"/>
    </xf>
    <xf numFmtId="0" fontId="11" fillId="66" borderId="57" xfId="0" applyFont="1" applyFill="1" applyBorder="1" applyAlignment="1" applyProtection="1">
      <alignment horizontal="justify" vertical="center" wrapText="1"/>
      <protection locked="0"/>
    </xf>
    <xf numFmtId="0" fontId="11" fillId="29" borderId="52" xfId="0" applyFont="1" applyFill="1" applyBorder="1" applyAlignment="1" applyProtection="1">
      <alignment horizontal="justify" vertical="center" wrapText="1"/>
      <protection locked="0"/>
    </xf>
    <xf numFmtId="0" fontId="11" fillId="29" borderId="94" xfId="0" applyFont="1" applyFill="1" applyBorder="1" applyAlignment="1" applyProtection="1">
      <alignment horizontal="justify" vertical="center" wrapText="1"/>
      <protection locked="0"/>
    </xf>
    <xf numFmtId="0" fontId="11" fillId="29" borderId="159" xfId="0" applyFont="1" applyFill="1" applyBorder="1" applyAlignment="1" applyProtection="1">
      <alignment horizontal="justify" vertical="center" wrapText="1"/>
      <protection locked="0"/>
    </xf>
    <xf numFmtId="0" fontId="11" fillId="29" borderId="57" xfId="0" applyFont="1" applyFill="1" applyBorder="1" applyAlignment="1" applyProtection="1">
      <alignment horizontal="justify" vertical="center" wrapText="1"/>
      <protection locked="0"/>
    </xf>
    <xf numFmtId="0" fontId="7" fillId="39" borderId="94" xfId="0" applyFont="1" applyFill="1" applyBorder="1" applyAlignment="1" applyProtection="1">
      <alignment horizontal="justify" vertical="center" wrapText="1"/>
      <protection locked="0"/>
    </xf>
    <xf numFmtId="0" fontId="11" fillId="39" borderId="94" xfId="0" applyFont="1" applyFill="1" applyBorder="1" applyAlignment="1" applyProtection="1">
      <alignment horizontal="justify" vertical="center" wrapText="1"/>
      <protection locked="0"/>
    </xf>
    <xf numFmtId="0" fontId="11" fillId="39" borderId="31" xfId="0" applyFont="1" applyFill="1" applyBorder="1" applyAlignment="1" applyProtection="1">
      <alignment horizontal="justify" vertical="center" wrapText="1"/>
      <protection locked="0"/>
    </xf>
    <xf numFmtId="0" fontId="11" fillId="17" borderId="14" xfId="0" applyFont="1" applyFill="1" applyBorder="1" applyAlignment="1" applyProtection="1">
      <alignment horizontal="justify" vertical="center" wrapText="1"/>
      <protection locked="0"/>
    </xf>
    <xf numFmtId="0" fontId="11" fillId="17" borderId="52" xfId="0" applyFont="1" applyFill="1" applyBorder="1" applyAlignment="1" applyProtection="1">
      <alignment horizontal="justify" vertical="center" wrapText="1"/>
      <protection locked="0"/>
    </xf>
    <xf numFmtId="0" fontId="11" fillId="17" borderId="159" xfId="0" applyFont="1" applyFill="1" applyBorder="1" applyAlignment="1" applyProtection="1">
      <alignment horizontal="justify" vertical="center" wrapText="1"/>
      <protection locked="0"/>
    </xf>
    <xf numFmtId="0" fontId="11" fillId="69" borderId="52" xfId="0" applyFont="1" applyFill="1" applyBorder="1" applyAlignment="1" applyProtection="1">
      <alignment horizontal="justify" vertical="center" wrapText="1"/>
      <protection locked="0"/>
    </xf>
    <xf numFmtId="0" fontId="11" fillId="69" borderId="94" xfId="0" applyFont="1" applyFill="1" applyBorder="1" applyAlignment="1" applyProtection="1">
      <alignment horizontal="justify" vertical="center" wrapText="1"/>
      <protection locked="0"/>
    </xf>
    <xf numFmtId="0" fontId="11" fillId="69" borderId="31" xfId="0" applyFont="1" applyFill="1" applyBorder="1" applyAlignment="1" applyProtection="1">
      <alignment horizontal="justify" vertical="center" wrapText="1"/>
      <protection locked="0"/>
    </xf>
    <xf numFmtId="0" fontId="11" fillId="41" borderId="14" xfId="8" applyFont="1" applyFill="1" applyBorder="1" applyAlignment="1" applyProtection="1">
      <alignment horizontal="justify" vertical="center" wrapText="1"/>
      <protection locked="0"/>
    </xf>
    <xf numFmtId="0" fontId="11" fillId="41" borderId="27" xfId="8" applyFont="1" applyFill="1" applyBorder="1" applyAlignment="1" applyProtection="1">
      <alignment horizontal="justify" vertical="center" wrapText="1"/>
      <protection locked="0"/>
    </xf>
    <xf numFmtId="0" fontId="11" fillId="41" borderId="52" xfId="8" applyFont="1" applyFill="1" applyBorder="1" applyAlignment="1" applyProtection="1">
      <alignment horizontal="justify" vertical="center" wrapText="1"/>
      <protection locked="0"/>
    </xf>
    <xf numFmtId="0" fontId="11" fillId="41" borderId="159" xfId="8" applyFont="1" applyFill="1" applyBorder="1" applyAlignment="1" applyProtection="1">
      <alignment horizontal="justify" vertical="center" wrapText="1"/>
      <protection locked="0"/>
    </xf>
    <xf numFmtId="0" fontId="11" fillId="41" borderId="57" xfId="8" applyFont="1" applyFill="1" applyBorder="1" applyAlignment="1" applyProtection="1">
      <alignment horizontal="justify" vertical="center" wrapText="1"/>
      <protection locked="0"/>
    </xf>
    <xf numFmtId="0" fontId="11" fillId="103" borderId="159" xfId="8" applyFont="1" applyFill="1" applyBorder="1" applyAlignment="1" applyProtection="1">
      <alignment horizontal="justify" vertical="center" wrapText="1"/>
      <protection locked="0"/>
    </xf>
    <xf numFmtId="0" fontId="11" fillId="103" borderId="52" xfId="8" applyFont="1" applyFill="1" applyBorder="1" applyAlignment="1" applyProtection="1">
      <alignment horizontal="justify" vertical="center" wrapText="1"/>
      <protection locked="0"/>
    </xf>
    <xf numFmtId="0" fontId="11" fillId="43" borderId="14" xfId="8" applyFont="1" applyFill="1" applyBorder="1" applyAlignment="1" applyProtection="1">
      <alignment horizontal="justify" vertical="center" wrapText="1"/>
      <protection locked="0"/>
    </xf>
    <xf numFmtId="0" fontId="11" fillId="43" borderId="52" xfId="8" applyFont="1" applyFill="1" applyBorder="1" applyAlignment="1" applyProtection="1">
      <alignment horizontal="justify" vertical="center" wrapText="1"/>
      <protection locked="0"/>
    </xf>
    <xf numFmtId="0" fontId="11" fillId="43" borderId="159" xfId="8" applyFont="1" applyFill="1" applyBorder="1" applyAlignment="1" applyProtection="1">
      <alignment horizontal="justify" vertical="center" wrapText="1"/>
      <protection locked="0"/>
    </xf>
    <xf numFmtId="0" fontId="11" fillId="43" borderId="27" xfId="8" applyFont="1" applyFill="1" applyBorder="1" applyAlignment="1" applyProtection="1">
      <alignment horizontal="justify" vertical="center" wrapText="1"/>
      <protection locked="0"/>
    </xf>
    <xf numFmtId="0" fontId="11" fillId="43" borderId="57" xfId="8" applyFont="1" applyFill="1" applyBorder="1" applyAlignment="1" applyProtection="1">
      <alignment horizontal="justify" vertical="center" wrapText="1"/>
      <protection locked="0"/>
    </xf>
    <xf numFmtId="0" fontId="11" fillId="29" borderId="159" xfId="8" applyFont="1" applyFill="1" applyBorder="1" applyAlignment="1" applyProtection="1">
      <alignment horizontal="justify" vertical="center" wrapText="1"/>
      <protection locked="0"/>
    </xf>
    <xf numFmtId="0" fontId="11" fillId="29" borderId="27" xfId="8" applyFont="1" applyFill="1" applyBorder="1" applyAlignment="1" applyProtection="1">
      <alignment horizontal="justify" vertical="center" wrapText="1"/>
      <protection locked="0"/>
    </xf>
    <xf numFmtId="0" fontId="11" fillId="29" borderId="52" xfId="8" applyFont="1" applyFill="1" applyBorder="1" applyAlignment="1" applyProtection="1">
      <alignment horizontal="justify" vertical="center" wrapText="1"/>
      <protection locked="0"/>
    </xf>
    <xf numFmtId="0" fontId="11" fillId="29" borderId="57" xfId="8" applyFont="1" applyFill="1" applyBorder="1" applyAlignment="1" applyProtection="1">
      <alignment horizontal="justify" vertical="center" wrapText="1"/>
      <protection locked="0"/>
    </xf>
    <xf numFmtId="0" fontId="11" fillId="39" borderId="14" xfId="8" applyFont="1" applyFill="1" applyBorder="1" applyAlignment="1" applyProtection="1">
      <alignment horizontal="justify" vertical="center" wrapText="1"/>
      <protection locked="0"/>
    </xf>
    <xf numFmtId="0" fontId="11" fillId="39" borderId="52" xfId="8" applyFont="1" applyFill="1" applyBorder="1" applyAlignment="1" applyProtection="1">
      <alignment horizontal="justify" vertical="center" wrapText="1"/>
      <protection locked="0"/>
    </xf>
    <xf numFmtId="0" fontId="11" fillId="39" borderId="159" xfId="8" applyFont="1" applyFill="1" applyBorder="1" applyAlignment="1" applyProtection="1">
      <alignment horizontal="justify" vertical="center" wrapText="1"/>
      <protection locked="0"/>
    </xf>
    <xf numFmtId="0" fontId="11" fillId="39" borderId="27" xfId="8" applyFont="1" applyFill="1" applyBorder="1" applyAlignment="1" applyProtection="1">
      <alignment horizontal="justify" vertical="center" wrapText="1"/>
      <protection locked="0"/>
    </xf>
    <xf numFmtId="0" fontId="11" fillId="38" borderId="159" xfId="8" applyFont="1" applyFill="1" applyBorder="1" applyAlignment="1" applyProtection="1">
      <alignment horizontal="justify" vertical="center" wrapText="1"/>
      <protection locked="0"/>
    </xf>
    <xf numFmtId="0" fontId="11" fillId="38" borderId="52" xfId="8" applyFont="1" applyFill="1" applyBorder="1" applyAlignment="1" applyProtection="1">
      <alignment horizontal="justify" vertical="center" wrapText="1"/>
      <protection locked="0"/>
    </xf>
    <xf numFmtId="0" fontId="11" fillId="41" borderId="159" xfId="0" applyFont="1" applyFill="1" applyBorder="1" applyAlignment="1" applyProtection="1">
      <alignment horizontal="justify" vertical="center" wrapText="1"/>
      <protection locked="0"/>
    </xf>
    <xf numFmtId="0" fontId="11" fillId="40" borderId="14" xfId="8" applyFont="1" applyFill="1" applyBorder="1" applyAlignment="1" applyProtection="1">
      <alignment horizontal="justify" vertical="center" wrapText="1"/>
      <protection locked="0"/>
    </xf>
    <xf numFmtId="0" fontId="11" fillId="40" borderId="52" xfId="8" applyFont="1" applyFill="1" applyBorder="1" applyAlignment="1" applyProtection="1">
      <alignment horizontal="justify" vertical="center" wrapText="1"/>
      <protection locked="0"/>
    </xf>
    <xf numFmtId="0" fontId="11" fillId="40" borderId="159" xfId="8" applyFont="1" applyFill="1" applyBorder="1" applyAlignment="1" applyProtection="1">
      <alignment horizontal="justify" vertical="center" wrapText="1"/>
      <protection locked="0"/>
    </xf>
    <xf numFmtId="0" fontId="11" fillId="40" borderId="27" xfId="8" applyFont="1" applyFill="1" applyBorder="1" applyAlignment="1" applyProtection="1">
      <alignment horizontal="justify" vertical="center" wrapText="1"/>
      <protection locked="0"/>
    </xf>
    <xf numFmtId="0" fontId="11" fillId="40" borderId="57" xfId="8" applyFont="1" applyFill="1" applyBorder="1" applyAlignment="1" applyProtection="1">
      <alignment horizontal="justify" vertical="center" wrapText="1"/>
      <protection locked="0"/>
    </xf>
    <xf numFmtId="0" fontId="11" fillId="69" borderId="9" xfId="8" applyFont="1" applyFill="1" applyBorder="1" applyAlignment="1" applyProtection="1">
      <alignment horizontal="justify" vertical="center" wrapText="1"/>
      <protection locked="0"/>
    </xf>
    <xf numFmtId="0" fontId="11" fillId="69" borderId="94" xfId="8" applyFont="1" applyFill="1" applyBorder="1" applyAlignment="1" applyProtection="1">
      <alignment horizontal="justify" vertical="center" wrapText="1"/>
      <protection locked="0"/>
    </xf>
    <xf numFmtId="0" fontId="11" fillId="69" borderId="31" xfId="8" applyFont="1" applyFill="1" applyBorder="1" applyAlignment="1" applyProtection="1">
      <alignment horizontal="justify" vertical="center" wrapText="1"/>
      <protection locked="0"/>
    </xf>
    <xf numFmtId="0" fontId="11" fillId="7" borderId="31" xfId="0" applyFont="1" applyFill="1" applyBorder="1" applyAlignment="1" applyProtection="1">
      <alignment horizontal="justify" vertical="center" wrapText="1"/>
      <protection locked="0"/>
    </xf>
    <xf numFmtId="0" fontId="0" fillId="51" borderId="94" xfId="0" applyFont="1" applyFill="1" applyBorder="1" applyAlignment="1" applyProtection="1">
      <alignment horizontal="justify" vertical="center" wrapText="1"/>
      <protection locked="0"/>
    </xf>
    <xf numFmtId="0" fontId="11" fillId="17" borderId="94" xfId="0" applyFont="1" applyFill="1" applyBorder="1" applyAlignment="1" applyProtection="1">
      <alignment horizontal="justify" vertical="center" wrapText="1"/>
      <protection locked="0"/>
    </xf>
    <xf numFmtId="0" fontId="11" fillId="17" borderId="31" xfId="0" applyFont="1" applyFill="1" applyBorder="1" applyAlignment="1" applyProtection="1">
      <alignment horizontal="justify" vertical="center" wrapText="1"/>
      <protection locked="0"/>
    </xf>
    <xf numFmtId="0" fontId="11" fillId="40" borderId="52" xfId="0" applyFont="1" applyFill="1" applyBorder="1" applyAlignment="1" applyProtection="1">
      <alignment horizontal="justify" vertical="center" wrapText="1"/>
      <protection locked="0"/>
    </xf>
    <xf numFmtId="0" fontId="0" fillId="42" borderId="94" xfId="0" applyFont="1" applyFill="1" applyBorder="1" applyAlignment="1" applyProtection="1">
      <alignment horizontal="justify" vertical="center" wrapText="1"/>
      <protection locked="0"/>
    </xf>
    <xf numFmtId="0" fontId="0" fillId="42" borderId="31" xfId="0" applyFont="1" applyFill="1" applyBorder="1" applyAlignment="1" applyProtection="1">
      <alignment horizontal="justify" vertical="center" wrapText="1"/>
      <protection locked="0"/>
    </xf>
    <xf numFmtId="0" fontId="10" fillId="17" borderId="9" xfId="0" applyFont="1" applyFill="1" applyBorder="1" applyAlignment="1" applyProtection="1">
      <alignment horizontal="justify" vertical="center" wrapText="1"/>
      <protection locked="0"/>
    </xf>
    <xf numFmtId="0" fontId="10" fillId="17" borderId="94" xfId="0" applyFont="1" applyFill="1" applyBorder="1" applyAlignment="1" applyProtection="1">
      <alignment horizontal="justify" vertical="center" wrapText="1"/>
      <protection locked="0"/>
    </xf>
    <xf numFmtId="0" fontId="10" fillId="38" borderId="94" xfId="0" applyFont="1" applyFill="1" applyBorder="1" applyAlignment="1" applyProtection="1">
      <alignment horizontal="justify" vertical="center" wrapText="1"/>
      <protection locked="0"/>
    </xf>
    <xf numFmtId="0" fontId="10" fillId="38" borderId="31" xfId="0" applyFont="1" applyFill="1" applyBorder="1" applyAlignment="1" applyProtection="1">
      <alignment horizontal="justify" vertical="center" wrapText="1"/>
      <protection locked="0"/>
    </xf>
    <xf numFmtId="0" fontId="10" fillId="29" borderId="27" xfId="0" applyFont="1" applyFill="1" applyBorder="1" applyAlignment="1" applyProtection="1">
      <alignment horizontal="justify" vertical="center" wrapText="1"/>
      <protection locked="0"/>
    </xf>
    <xf numFmtId="0" fontId="10" fillId="29" borderId="52" xfId="0" applyFont="1" applyFill="1" applyBorder="1" applyAlignment="1" applyProtection="1">
      <alignment horizontal="justify" vertical="center" wrapText="1"/>
      <protection locked="0"/>
    </xf>
    <xf numFmtId="0" fontId="10" fillId="7" borderId="52" xfId="0" applyFont="1" applyFill="1" applyBorder="1" applyAlignment="1" applyProtection="1">
      <alignment horizontal="justify" vertical="center" wrapText="1"/>
      <protection locked="0"/>
    </xf>
    <xf numFmtId="0" fontId="10" fillId="7" borderId="94" xfId="0" applyFont="1" applyFill="1" applyBorder="1" applyAlignment="1" applyProtection="1">
      <alignment horizontal="justify" vertical="center" wrapText="1"/>
      <protection locked="0"/>
    </xf>
    <xf numFmtId="0" fontId="10" fillId="17" borderId="31" xfId="0" applyFont="1" applyFill="1" applyBorder="1" applyAlignment="1" applyProtection="1">
      <alignment horizontal="justify" vertical="center" wrapText="1"/>
      <protection locked="0"/>
    </xf>
    <xf numFmtId="0" fontId="10" fillId="7" borderId="31" xfId="0" applyFont="1" applyFill="1" applyBorder="1" applyAlignment="1" applyProtection="1">
      <alignment horizontal="justify" vertical="center" wrapText="1"/>
      <protection locked="0"/>
    </xf>
    <xf numFmtId="0" fontId="10" fillId="51" borderId="94" xfId="0" applyFont="1" applyFill="1" applyBorder="1" applyAlignment="1" applyProtection="1">
      <alignment horizontal="justify" vertical="center" wrapText="1"/>
      <protection locked="0"/>
    </xf>
    <xf numFmtId="0" fontId="10" fillId="51" borderId="31" xfId="0" applyFont="1" applyFill="1" applyBorder="1" applyAlignment="1" applyProtection="1">
      <alignment horizontal="justify" vertical="center" wrapText="1"/>
      <protection locked="0"/>
    </xf>
    <xf numFmtId="0" fontId="10" fillId="72" borderId="52" xfId="0" applyFont="1" applyFill="1" applyBorder="1" applyAlignment="1" applyProtection="1">
      <alignment horizontal="justify" vertical="center" wrapText="1"/>
      <protection locked="0"/>
    </xf>
    <xf numFmtId="0" fontId="10" fillId="72" borderId="94" xfId="0" applyFont="1" applyFill="1" applyBorder="1" applyAlignment="1" applyProtection="1">
      <alignment horizontal="justify" vertical="center" wrapText="1"/>
      <protection locked="0"/>
    </xf>
    <xf numFmtId="0" fontId="10" fillId="41" borderId="94" xfId="0" applyFont="1" applyFill="1" applyBorder="1" applyAlignment="1" applyProtection="1">
      <alignment horizontal="justify" vertical="center" wrapText="1"/>
      <protection locked="0"/>
    </xf>
    <xf numFmtId="0" fontId="10" fillId="41" borderId="31" xfId="0" applyFont="1" applyFill="1" applyBorder="1" applyAlignment="1" applyProtection="1">
      <alignment horizontal="justify" vertical="center" wrapText="1"/>
      <protection locked="0"/>
    </xf>
    <xf numFmtId="0" fontId="10" fillId="33" borderId="52" xfId="0" applyFont="1" applyFill="1" applyBorder="1" applyAlignment="1" applyProtection="1">
      <alignment horizontal="justify" vertical="center" wrapText="1"/>
      <protection locked="0"/>
    </xf>
    <xf numFmtId="0" fontId="10" fillId="33" borderId="94" xfId="0" applyFont="1" applyFill="1" applyBorder="1" applyAlignment="1" applyProtection="1">
      <alignment horizontal="justify" vertical="center" wrapText="1"/>
      <protection locked="0"/>
    </xf>
    <xf numFmtId="0" fontId="10" fillId="33" borderId="31" xfId="0" applyFont="1" applyFill="1" applyBorder="1" applyAlignment="1" applyProtection="1">
      <alignment horizontal="justify" vertical="center" wrapText="1"/>
      <protection locked="0"/>
    </xf>
    <xf numFmtId="0" fontId="10" fillId="29" borderId="94" xfId="0" applyFont="1" applyFill="1" applyBorder="1" applyAlignment="1" applyProtection="1">
      <alignment horizontal="justify" vertical="center" wrapText="1"/>
      <protection locked="0"/>
    </xf>
    <xf numFmtId="0" fontId="10" fillId="40" borderId="94" xfId="0" applyFont="1" applyFill="1" applyBorder="1" applyAlignment="1" applyProtection="1">
      <alignment horizontal="justify" vertical="center" wrapText="1"/>
      <protection locked="0"/>
    </xf>
    <xf numFmtId="0" fontId="10" fillId="40" borderId="31" xfId="0" applyFont="1" applyFill="1" applyBorder="1" applyAlignment="1" applyProtection="1">
      <alignment horizontal="justify" vertical="center" wrapText="1"/>
      <protection locked="0"/>
    </xf>
    <xf numFmtId="0" fontId="10" fillId="51" borderId="52" xfId="0" applyFont="1" applyFill="1" applyBorder="1" applyAlignment="1" applyProtection="1">
      <alignment horizontal="justify" vertical="center" wrapText="1"/>
      <protection locked="0"/>
    </xf>
    <xf numFmtId="0" fontId="10" fillId="39" borderId="52" xfId="0" applyFont="1" applyFill="1" applyBorder="1" applyAlignment="1" applyProtection="1">
      <alignment horizontal="justify" vertical="center" wrapText="1"/>
      <protection locked="0"/>
    </xf>
    <xf numFmtId="0" fontId="10" fillId="39" borderId="94" xfId="0" applyFont="1" applyFill="1" applyBorder="1" applyAlignment="1" applyProtection="1">
      <alignment horizontal="justify" vertical="center" wrapText="1"/>
      <protection locked="0"/>
    </xf>
    <xf numFmtId="0" fontId="10" fillId="38" borderId="52" xfId="0" applyFont="1" applyFill="1" applyBorder="1" applyAlignment="1" applyProtection="1">
      <alignment horizontal="justify" vertical="center" wrapText="1"/>
      <protection locked="0"/>
    </xf>
    <xf numFmtId="0" fontId="11" fillId="42" borderId="52" xfId="0" applyFont="1" applyFill="1" applyBorder="1" applyAlignment="1" applyProtection="1">
      <alignment horizontal="justify" vertical="center" wrapText="1"/>
      <protection locked="0"/>
    </xf>
    <xf numFmtId="0" fontId="11" fillId="42" borderId="94" xfId="0" applyFont="1" applyFill="1" applyBorder="1" applyAlignment="1" applyProtection="1">
      <alignment horizontal="justify" vertical="center" wrapText="1"/>
      <protection locked="0"/>
    </xf>
    <xf numFmtId="0" fontId="11" fillId="42" borderId="31" xfId="0" applyFont="1" applyFill="1" applyBorder="1" applyAlignment="1" applyProtection="1">
      <alignment horizontal="justify" vertical="center" wrapText="1"/>
      <protection locked="0"/>
    </xf>
    <xf numFmtId="0" fontId="11" fillId="39" borderId="52" xfId="0" applyFont="1" applyFill="1" applyBorder="1" applyAlignment="1" applyProtection="1">
      <alignment horizontal="justify" vertical="center" wrapText="1"/>
      <protection locked="0"/>
    </xf>
    <xf numFmtId="0" fontId="11" fillId="43" borderId="52" xfId="0" applyFont="1" applyFill="1" applyBorder="1" applyAlignment="1" applyProtection="1">
      <alignment horizontal="justify" vertical="center" wrapText="1"/>
      <protection locked="0"/>
    </xf>
    <xf numFmtId="0" fontId="11" fillId="43" borderId="94" xfId="0" applyFont="1" applyFill="1" applyBorder="1" applyAlignment="1" applyProtection="1">
      <alignment horizontal="justify" vertical="center" wrapText="1"/>
      <protection locked="0"/>
    </xf>
    <xf numFmtId="0" fontId="11" fillId="43" borderId="31" xfId="0" applyFont="1" applyFill="1" applyBorder="1" applyAlignment="1" applyProtection="1">
      <alignment horizontal="justify" vertical="center" wrapText="1"/>
      <protection locked="0"/>
    </xf>
    <xf numFmtId="0" fontId="0" fillId="39" borderId="52" xfId="0" applyFont="1" applyFill="1" applyBorder="1" applyAlignment="1" applyProtection="1">
      <alignment horizontal="justify" vertical="center" wrapText="1"/>
      <protection locked="0"/>
    </xf>
    <xf numFmtId="0" fontId="0" fillId="39" borderId="94" xfId="0" applyFont="1" applyFill="1" applyBorder="1" applyAlignment="1" applyProtection="1">
      <alignment horizontal="justify" vertical="center" wrapText="1"/>
      <protection locked="0"/>
    </xf>
    <xf numFmtId="0" fontId="0" fillId="39" borderId="31" xfId="0" applyFont="1" applyFill="1" applyBorder="1" applyAlignment="1" applyProtection="1">
      <alignment horizontal="justify" vertical="center" wrapText="1"/>
      <protection locked="0"/>
    </xf>
    <xf numFmtId="0" fontId="0" fillId="42" borderId="9" xfId="0" applyFont="1" applyFill="1" applyBorder="1" applyAlignment="1" applyProtection="1">
      <alignment horizontal="justify" vertical="center" wrapText="1"/>
      <protection locked="0"/>
    </xf>
    <xf numFmtId="0" fontId="10" fillId="42" borderId="94" xfId="0" applyFont="1" applyFill="1" applyBorder="1" applyAlignment="1" applyProtection="1">
      <alignment horizontal="justify" vertical="center" wrapText="1"/>
      <protection locked="0"/>
    </xf>
    <xf numFmtId="0" fontId="10" fillId="42" borderId="31" xfId="0" applyFont="1" applyFill="1" applyBorder="1" applyAlignment="1" applyProtection="1">
      <alignment horizontal="justify" vertical="center" wrapText="1"/>
      <protection locked="0"/>
    </xf>
    <xf numFmtId="0" fontId="0" fillId="29" borderId="31" xfId="0" applyFont="1" applyFill="1" applyBorder="1" applyAlignment="1" applyProtection="1">
      <alignment horizontal="justify" vertical="center" wrapText="1"/>
      <protection locked="0"/>
    </xf>
    <xf numFmtId="3" fontId="0" fillId="39" borderId="52" xfId="0" applyNumberFormat="1" applyFont="1" applyFill="1" applyBorder="1" applyAlignment="1" applyProtection="1">
      <alignment horizontal="justify" vertical="center" wrapText="1"/>
      <protection locked="0"/>
    </xf>
    <xf numFmtId="3" fontId="0" fillId="39" borderId="94" xfId="0" applyNumberFormat="1" applyFont="1" applyFill="1" applyBorder="1" applyAlignment="1" applyProtection="1">
      <alignment horizontal="justify" vertical="center" wrapText="1"/>
      <protection locked="0"/>
    </xf>
    <xf numFmtId="3" fontId="0" fillId="38" borderId="94" xfId="0" applyNumberFormat="1" applyFont="1" applyFill="1" applyBorder="1" applyAlignment="1" applyProtection="1">
      <alignment horizontal="justify" vertical="center" wrapText="1"/>
      <protection locked="0"/>
    </xf>
    <xf numFmtId="0" fontId="15" fillId="38" borderId="159" xfId="2" applyFont="1" applyFill="1" applyBorder="1" applyAlignment="1" applyProtection="1">
      <alignment horizontal="justify" vertical="center" wrapText="1"/>
      <protection locked="0"/>
    </xf>
    <xf numFmtId="0" fontId="15" fillId="38" borderId="52" xfId="2" applyFont="1" applyFill="1" applyBorder="1" applyAlignment="1" applyProtection="1">
      <alignment horizontal="justify" vertical="center" wrapText="1"/>
      <protection locked="0"/>
    </xf>
    <xf numFmtId="0" fontId="0" fillId="33" borderId="52" xfId="0" applyFont="1" applyFill="1" applyBorder="1" applyAlignment="1" applyProtection="1">
      <alignment horizontal="justify" vertical="center" wrapText="1"/>
      <protection locked="0"/>
    </xf>
    <xf numFmtId="0" fontId="0" fillId="33" borderId="94" xfId="0" applyFont="1" applyFill="1" applyBorder="1" applyAlignment="1" applyProtection="1">
      <alignment horizontal="justify" vertical="center" wrapText="1"/>
      <protection locked="0"/>
    </xf>
    <xf numFmtId="0" fontId="0" fillId="51" borderId="52" xfId="0" applyFont="1" applyFill="1" applyBorder="1" applyAlignment="1" applyProtection="1">
      <alignment horizontal="justify" vertical="center" wrapText="1"/>
      <protection locked="0"/>
    </xf>
    <xf numFmtId="0" fontId="0" fillId="7" borderId="31" xfId="0" applyFont="1" applyFill="1" applyBorder="1" applyAlignment="1" applyProtection="1">
      <alignment horizontal="justify" vertical="center" wrapText="1"/>
      <protection locked="0"/>
    </xf>
    <xf numFmtId="0" fontId="10" fillId="39" borderId="31" xfId="0" applyFont="1" applyFill="1" applyBorder="1" applyAlignment="1" applyProtection="1">
      <alignment horizontal="justify" vertical="center" wrapText="1"/>
      <protection locked="0"/>
    </xf>
    <xf numFmtId="0" fontId="10" fillId="44" borderId="94" xfId="0" applyFont="1" applyFill="1" applyBorder="1" applyAlignment="1" applyProtection="1">
      <alignment horizontal="justify" vertical="center" wrapText="1"/>
      <protection locked="0"/>
    </xf>
    <xf numFmtId="1" fontId="10" fillId="38" borderId="94" xfId="0" applyNumberFormat="1" applyFont="1" applyFill="1" applyBorder="1" applyAlignment="1" applyProtection="1">
      <alignment horizontal="justify" vertical="center" wrapText="1"/>
      <protection locked="0"/>
    </xf>
    <xf numFmtId="0" fontId="0" fillId="103" borderId="94" xfId="0" applyFont="1" applyFill="1" applyBorder="1" applyAlignment="1" applyProtection="1">
      <alignment horizontal="justify" vertical="center"/>
      <protection locked="0"/>
    </xf>
    <xf numFmtId="0" fontId="10" fillId="103" borderId="94" xfId="0" applyFont="1" applyFill="1" applyBorder="1" applyAlignment="1" applyProtection="1">
      <alignment horizontal="justify" vertical="center" wrapText="1"/>
      <protection locked="0"/>
    </xf>
    <xf numFmtId="0" fontId="10" fillId="103" borderId="9" xfId="0" applyFont="1" applyFill="1" applyBorder="1" applyAlignment="1" applyProtection="1">
      <alignment horizontal="justify" vertical="center" wrapText="1"/>
      <protection locked="0"/>
    </xf>
    <xf numFmtId="0" fontId="10" fillId="103" borderId="31" xfId="0" applyFont="1" applyFill="1" applyBorder="1" applyAlignment="1" applyProtection="1">
      <alignment horizontal="justify" vertical="center" wrapText="1"/>
      <protection locked="0"/>
    </xf>
    <xf numFmtId="0" fontId="0" fillId="51" borderId="31" xfId="0" applyFont="1" applyFill="1" applyBorder="1" applyAlignment="1" applyProtection="1">
      <alignment horizontal="justify" vertical="center" wrapText="1"/>
      <protection locked="0"/>
    </xf>
    <xf numFmtId="0" fontId="0" fillId="69" borderId="52" xfId="0" applyFont="1" applyFill="1" applyBorder="1" applyAlignment="1" applyProtection="1">
      <alignment horizontal="justify" vertical="center" wrapText="1"/>
      <protection locked="0"/>
    </xf>
    <xf numFmtId="0" fontId="0" fillId="69" borderId="94" xfId="0" applyFont="1" applyFill="1" applyBorder="1" applyAlignment="1" applyProtection="1">
      <alignment horizontal="justify" vertical="center" wrapText="1"/>
      <protection locked="0"/>
    </xf>
    <xf numFmtId="0" fontId="0" fillId="69" borderId="31" xfId="0" applyFont="1" applyFill="1" applyBorder="1" applyAlignment="1" applyProtection="1">
      <alignment horizontal="justify" vertical="center" wrapText="1"/>
      <protection locked="0"/>
    </xf>
    <xf numFmtId="0" fontId="0" fillId="12" borderId="52" xfId="0" applyFont="1" applyFill="1" applyBorder="1" applyAlignment="1" applyProtection="1">
      <alignment horizontal="justify" vertical="center" wrapText="1"/>
      <protection locked="0"/>
    </xf>
    <xf numFmtId="0" fontId="0" fillId="12" borderId="94" xfId="0" applyFont="1" applyFill="1" applyBorder="1" applyAlignment="1" applyProtection="1">
      <alignment horizontal="justify" vertical="center" wrapText="1"/>
      <protection locked="0"/>
    </xf>
    <xf numFmtId="0" fontId="0" fillId="69" borderId="9" xfId="0" applyFont="1" applyFill="1" applyBorder="1" applyAlignment="1" applyProtection="1">
      <alignment horizontal="justify" vertical="center" wrapText="1"/>
      <protection locked="0"/>
    </xf>
    <xf numFmtId="0" fontId="0" fillId="116" borderId="52" xfId="0" applyFont="1" applyFill="1" applyBorder="1" applyAlignment="1" applyProtection="1">
      <alignment horizontal="justify" vertical="center" wrapText="1"/>
      <protection locked="0"/>
    </xf>
    <xf numFmtId="0" fontId="0" fillId="116" borderId="94" xfId="0" applyFont="1" applyFill="1" applyBorder="1" applyAlignment="1" applyProtection="1">
      <alignment horizontal="justify" vertical="center" wrapText="1"/>
      <protection locked="0"/>
    </xf>
    <xf numFmtId="0" fontId="0" fillId="68" borderId="94" xfId="0" applyFont="1" applyFill="1" applyBorder="1" applyAlignment="1" applyProtection="1">
      <alignment horizontal="justify" vertical="center" wrapText="1"/>
      <protection locked="0"/>
    </xf>
    <xf numFmtId="0" fontId="11" fillId="39" borderId="9" xfId="0" applyFont="1" applyFill="1" applyBorder="1" applyAlignment="1" applyProtection="1">
      <alignment horizontal="justify" vertical="center" wrapText="1"/>
      <protection locked="0"/>
    </xf>
    <xf numFmtId="0" fontId="11" fillId="51" borderId="9" xfId="0" applyFont="1" applyFill="1" applyBorder="1" applyAlignment="1" applyProtection="1">
      <alignment horizontal="justify" vertical="center" wrapText="1"/>
      <protection locked="0"/>
    </xf>
    <xf numFmtId="0" fontId="11" fillId="38" borderId="52" xfId="0" applyFont="1" applyFill="1" applyBorder="1" applyAlignment="1" applyProtection="1">
      <alignment horizontal="justify" vertical="center" wrapText="1"/>
      <protection locked="0"/>
    </xf>
    <xf numFmtId="0" fontId="0" fillId="41" borderId="31" xfId="0" applyFont="1" applyFill="1" applyBorder="1" applyAlignment="1" applyProtection="1">
      <alignment horizontal="justify" vertical="center" wrapText="1"/>
      <protection locked="0"/>
    </xf>
    <xf numFmtId="0" fontId="10" fillId="38" borderId="9" xfId="0" applyFont="1" applyFill="1" applyBorder="1" applyAlignment="1" applyProtection="1">
      <alignment horizontal="justify" vertical="center" wrapText="1"/>
      <protection locked="0"/>
    </xf>
    <xf numFmtId="0" fontId="10" fillId="66" borderId="52" xfId="0" applyFont="1" applyFill="1" applyBorder="1" applyAlignment="1" applyProtection="1">
      <alignment horizontal="justify" vertical="center" wrapText="1"/>
      <protection locked="0"/>
    </xf>
    <xf numFmtId="0" fontId="10" fillId="66" borderId="94" xfId="0" applyFont="1" applyFill="1" applyBorder="1" applyAlignment="1" applyProtection="1">
      <alignment horizontal="justify" vertical="center" wrapText="1"/>
      <protection locked="0"/>
    </xf>
    <xf numFmtId="0" fontId="0" fillId="103" borderId="27" xfId="0" applyFont="1" applyFill="1" applyBorder="1" applyAlignment="1" applyProtection="1">
      <alignment horizontal="justify" vertical="center" wrapText="1"/>
      <protection locked="0"/>
    </xf>
    <xf numFmtId="0" fontId="0" fillId="69" borderId="159" xfId="0" applyFont="1" applyFill="1" applyBorder="1" applyAlignment="1" applyProtection="1">
      <alignment horizontal="justify" vertical="center" wrapText="1"/>
      <protection locked="0"/>
    </xf>
    <xf numFmtId="9" fontId="0" fillId="38" borderId="10" xfId="5" applyFont="1" applyFill="1" applyBorder="1" applyAlignment="1">
      <alignment horizontal="center" vertical="center" wrapText="1"/>
    </xf>
    <xf numFmtId="9" fontId="0" fillId="38" borderId="32" xfId="5" applyFont="1" applyFill="1" applyBorder="1" applyAlignment="1">
      <alignment horizontal="center" vertical="center" wrapText="1"/>
    </xf>
    <xf numFmtId="3" fontId="11" fillId="9" borderId="10" xfId="0" applyNumberFormat="1" applyFont="1" applyFill="1" applyBorder="1" applyAlignment="1" applyProtection="1">
      <alignment horizontal="center" vertical="center" textRotation="90" wrapText="1"/>
      <protection locked="0"/>
    </xf>
    <xf numFmtId="3" fontId="11" fillId="9" borderId="26" xfId="0" applyNumberFormat="1" applyFont="1" applyFill="1" applyBorder="1" applyAlignment="1" applyProtection="1">
      <alignment horizontal="center" vertical="center" textRotation="90" wrapText="1"/>
      <protection locked="0"/>
    </xf>
    <xf numFmtId="3" fontId="11" fillId="9" borderId="14" xfId="0" applyNumberFormat="1" applyFont="1" applyFill="1" applyBorder="1" applyAlignment="1" applyProtection="1">
      <alignment horizontal="center" vertical="center" textRotation="90" wrapText="1"/>
      <protection locked="0"/>
    </xf>
    <xf numFmtId="3" fontId="11" fillId="9" borderId="27" xfId="0" applyNumberFormat="1" applyFont="1" applyFill="1" applyBorder="1" applyAlignment="1" applyProtection="1">
      <alignment horizontal="center" vertical="center" textRotation="90" wrapText="1"/>
      <protection locked="0"/>
    </xf>
    <xf numFmtId="0" fontId="0" fillId="33" borderId="110" xfId="0" applyFont="1" applyFill="1" applyBorder="1" applyAlignment="1">
      <alignment horizontal="center" vertical="center" wrapText="1"/>
    </xf>
    <xf numFmtId="0" fontId="0" fillId="33" borderId="25" xfId="0" applyFont="1" applyFill="1" applyBorder="1" applyAlignment="1">
      <alignment horizontal="center" vertical="center" wrapText="1"/>
    </xf>
    <xf numFmtId="0" fontId="0" fillId="33" borderId="54" xfId="0" applyFont="1" applyFill="1" applyBorder="1" applyAlignment="1">
      <alignment horizontal="center" vertical="center" wrapText="1"/>
    </xf>
    <xf numFmtId="0" fontId="0" fillId="33" borderId="109" xfId="0" applyFont="1" applyFill="1" applyBorder="1" applyAlignment="1">
      <alignment horizontal="center" vertical="center" wrapText="1"/>
    </xf>
    <xf numFmtId="0" fontId="0" fillId="33" borderId="2" xfId="0" applyFont="1" applyFill="1" applyBorder="1" applyAlignment="1">
      <alignment horizontal="center" vertical="center" wrapText="1"/>
    </xf>
    <xf numFmtId="0" fontId="0" fillId="33" borderId="38" xfId="0" applyFont="1" applyFill="1" applyBorder="1" applyAlignment="1">
      <alignment horizontal="center" vertical="center" wrapText="1"/>
    </xf>
    <xf numFmtId="0" fontId="0" fillId="38" borderId="34" xfId="0" applyFont="1" applyFill="1" applyBorder="1" applyAlignment="1">
      <alignment horizontal="center" vertical="center" wrapText="1"/>
    </xf>
    <xf numFmtId="0" fontId="0" fillId="38" borderId="35" xfId="0" applyFont="1" applyFill="1" applyBorder="1" applyAlignment="1">
      <alignment horizontal="center" vertical="center" wrapText="1"/>
    </xf>
    <xf numFmtId="0" fontId="0" fillId="38" borderId="10" xfId="0" applyFont="1" applyFill="1" applyBorder="1" applyAlignment="1">
      <alignment horizontal="center" vertical="center" wrapText="1"/>
    </xf>
    <xf numFmtId="0" fontId="0" fillId="38" borderId="26" xfId="0" applyFont="1" applyFill="1" applyBorder="1" applyAlignment="1">
      <alignment horizontal="center" vertical="center" wrapText="1"/>
    </xf>
    <xf numFmtId="0" fontId="0" fillId="103" borderId="10" xfId="0" applyFont="1" applyFill="1" applyBorder="1" applyAlignment="1">
      <alignment horizontal="center" vertical="center" wrapText="1"/>
    </xf>
    <xf numFmtId="0" fontId="0" fillId="103" borderId="26" xfId="0" applyFont="1" applyFill="1" applyBorder="1" applyAlignment="1">
      <alignment horizontal="center" vertical="center" wrapText="1"/>
    </xf>
    <xf numFmtId="0" fontId="0" fillId="103" borderId="32" xfId="0" applyFont="1" applyFill="1" applyBorder="1" applyAlignment="1">
      <alignment horizontal="center" vertical="center" wrapText="1"/>
    </xf>
    <xf numFmtId="0" fontId="0" fillId="29" borderId="10" xfId="0" applyFont="1" applyFill="1" applyBorder="1" applyAlignment="1">
      <alignment horizontal="center" vertical="center" wrapText="1"/>
    </xf>
    <xf numFmtId="0" fontId="0" fillId="29" borderId="26" xfId="0" applyFont="1" applyFill="1" applyBorder="1" applyAlignment="1">
      <alignment horizontal="center" vertical="center" wrapText="1"/>
    </xf>
    <xf numFmtId="0" fontId="0" fillId="29" borderId="32" xfId="0" applyFont="1" applyFill="1" applyBorder="1" applyAlignment="1">
      <alignment horizontal="center" vertical="center" wrapText="1"/>
    </xf>
    <xf numFmtId="0" fontId="0" fillId="29" borderId="56" xfId="0" applyFont="1" applyFill="1" applyBorder="1" applyAlignment="1">
      <alignment horizontal="center" vertical="center" wrapText="1"/>
    </xf>
    <xf numFmtId="0" fontId="3" fillId="38" borderId="102" xfId="0" applyFont="1" applyFill="1" applyBorder="1" applyAlignment="1">
      <alignment horizontal="center" vertical="center"/>
    </xf>
    <xf numFmtId="0" fontId="3" fillId="38" borderId="148" xfId="0" applyFont="1" applyFill="1" applyBorder="1" applyAlignment="1">
      <alignment horizontal="center" vertical="center"/>
    </xf>
    <xf numFmtId="3" fontId="8" fillId="6" borderId="42" xfId="0" applyNumberFormat="1" applyFont="1" applyFill="1" applyBorder="1" applyAlignment="1" applyProtection="1">
      <alignment horizontal="center" vertical="center" wrapText="1"/>
      <protection locked="0"/>
    </xf>
    <xf numFmtId="3" fontId="8" fillId="6" borderId="25" xfId="0" applyNumberFormat="1" applyFont="1" applyFill="1" applyBorder="1" applyAlignment="1" applyProtection="1">
      <alignment horizontal="center" vertical="center" wrapText="1"/>
      <protection locked="0"/>
    </xf>
    <xf numFmtId="3" fontId="8" fillId="6" borderId="4" xfId="0" applyNumberFormat="1" applyFont="1" applyFill="1" applyBorder="1" applyAlignment="1" applyProtection="1">
      <alignment horizontal="center" vertical="center" wrapText="1"/>
      <protection locked="0"/>
    </xf>
    <xf numFmtId="3" fontId="8" fillId="6" borderId="5" xfId="0" applyNumberFormat="1" applyFont="1" applyFill="1" applyBorder="1" applyAlignment="1" applyProtection="1">
      <alignment horizontal="center" vertical="center" wrapText="1"/>
      <protection locked="0"/>
    </xf>
    <xf numFmtId="3" fontId="8" fillId="6" borderId="6" xfId="0" applyNumberFormat="1" applyFont="1" applyFill="1" applyBorder="1" applyAlignment="1" applyProtection="1">
      <alignment horizontal="center" vertical="center" wrapText="1"/>
      <protection locked="0"/>
    </xf>
    <xf numFmtId="3" fontId="8" fillId="8" borderId="13" xfId="0" applyNumberFormat="1" applyFont="1" applyFill="1" applyBorder="1" applyAlignment="1" applyProtection="1">
      <alignment horizontal="center" vertical="center" wrapText="1"/>
      <protection locked="0"/>
    </xf>
    <xf numFmtId="3" fontId="8" fillId="8" borderId="24" xfId="0" applyNumberFormat="1" applyFont="1" applyFill="1" applyBorder="1" applyAlignment="1" applyProtection="1">
      <alignment horizontal="center" vertical="center" wrapText="1"/>
      <protection locked="0"/>
    </xf>
    <xf numFmtId="0" fontId="0" fillId="38" borderId="102" xfId="0" applyFont="1" applyFill="1" applyBorder="1" applyAlignment="1">
      <alignment horizontal="center" vertical="center"/>
    </xf>
    <xf numFmtId="0" fontId="0" fillId="38" borderId="148" xfId="0" applyFont="1" applyFill="1" applyBorder="1" applyAlignment="1">
      <alignment horizontal="center" vertical="center"/>
    </xf>
    <xf numFmtId="9" fontId="8" fillId="71" borderId="102" xfId="5" applyFont="1" applyFill="1" applyBorder="1" applyAlignment="1" applyProtection="1">
      <alignment horizontal="center" vertical="center" wrapText="1"/>
      <protection locked="0"/>
    </xf>
    <xf numFmtId="9" fontId="8" fillId="71" borderId="108" xfId="5" applyFont="1" applyFill="1" applyBorder="1" applyAlignment="1" applyProtection="1">
      <alignment horizontal="center" vertical="center" wrapText="1"/>
      <protection locked="0"/>
    </xf>
    <xf numFmtId="3" fontId="11" fillId="9" borderId="34" xfId="0" applyNumberFormat="1" applyFont="1" applyFill="1" applyBorder="1" applyAlignment="1" applyProtection="1">
      <alignment horizontal="center" vertical="center" textRotation="90" wrapText="1"/>
      <protection locked="0"/>
    </xf>
    <xf numFmtId="3" fontId="11" fillId="9" borderId="35" xfId="0" applyNumberFormat="1" applyFont="1" applyFill="1" applyBorder="1" applyAlignment="1" applyProtection="1">
      <alignment horizontal="center" vertical="center" textRotation="90" wrapText="1"/>
      <protection locked="0"/>
    </xf>
    <xf numFmtId="9" fontId="0" fillId="38" borderId="26" xfId="5" applyFont="1" applyFill="1" applyBorder="1" applyAlignment="1">
      <alignment horizontal="center" vertical="center" wrapText="1"/>
    </xf>
    <xf numFmtId="9" fontId="0" fillId="29" borderId="10" xfId="5" applyFont="1" applyFill="1" applyBorder="1" applyAlignment="1">
      <alignment horizontal="center" vertical="center" wrapText="1"/>
    </xf>
    <xf numFmtId="9" fontId="0" fillId="29" borderId="26" xfId="5" applyFont="1" applyFill="1" applyBorder="1" applyAlignment="1">
      <alignment horizontal="center" vertical="center" wrapText="1"/>
    </xf>
    <xf numFmtId="9" fontId="0" fillId="29" borderId="56" xfId="5" applyFont="1" applyFill="1" applyBorder="1" applyAlignment="1">
      <alignment horizontal="center" vertical="center" wrapText="1"/>
    </xf>
    <xf numFmtId="9" fontId="0" fillId="103" borderId="58" xfId="5" applyFont="1" applyFill="1" applyBorder="1" applyAlignment="1">
      <alignment horizontal="center" vertical="center"/>
    </xf>
    <xf numFmtId="9" fontId="0" fillId="103" borderId="0" xfId="5" applyFont="1" applyFill="1" applyBorder="1" applyAlignment="1">
      <alignment horizontal="center" vertical="center"/>
    </xf>
    <xf numFmtId="9" fontId="0" fillId="103" borderId="37" xfId="5" applyFont="1" applyFill="1" applyBorder="1" applyAlignment="1">
      <alignment horizontal="center" vertical="center"/>
    </xf>
    <xf numFmtId="0" fontId="0" fillId="103" borderId="106" xfId="0" applyFont="1" applyFill="1" applyBorder="1" applyAlignment="1">
      <alignment horizontal="justify" vertical="center" wrapText="1"/>
    </xf>
    <xf numFmtId="0" fontId="0" fillId="103" borderId="35" xfId="0" applyFont="1" applyFill="1" applyBorder="1" applyAlignment="1">
      <alignment horizontal="justify" vertical="center" wrapText="1"/>
    </xf>
    <xf numFmtId="0" fontId="0" fillId="103" borderId="55" xfId="0" applyFont="1" applyFill="1" applyBorder="1" applyAlignment="1">
      <alignment horizontal="justify" vertical="center" wrapText="1"/>
    </xf>
    <xf numFmtId="0" fontId="10" fillId="103" borderId="108" xfId="0" applyFont="1" applyFill="1" applyBorder="1" applyAlignment="1">
      <alignment horizontal="justify" vertical="center" wrapText="1"/>
    </xf>
    <xf numFmtId="0" fontId="10" fillId="103" borderId="26" xfId="0" applyFont="1" applyFill="1" applyBorder="1" applyAlignment="1">
      <alignment horizontal="justify" vertical="center" wrapText="1"/>
    </xf>
    <xf numFmtId="0" fontId="0" fillId="103" borderId="26" xfId="0" applyFont="1" applyFill="1" applyBorder="1" applyAlignment="1">
      <alignment horizontal="justify" vertical="center" wrapText="1"/>
    </xf>
    <xf numFmtId="0" fontId="0" fillId="103" borderId="56" xfId="0" applyFont="1" applyFill="1" applyBorder="1" applyAlignment="1">
      <alignment horizontal="justify" vertical="center" wrapText="1"/>
    </xf>
    <xf numFmtId="0" fontId="0" fillId="103" borderId="108" xfId="0" applyFont="1" applyFill="1" applyBorder="1" applyAlignment="1">
      <alignment horizontal="center" vertical="center" wrapText="1"/>
    </xf>
    <xf numFmtId="0" fontId="0" fillId="103" borderId="56" xfId="0" applyFont="1" applyFill="1" applyBorder="1" applyAlignment="1">
      <alignment horizontal="center" vertical="center" wrapText="1"/>
    </xf>
    <xf numFmtId="0" fontId="0" fillId="103" borderId="150" xfId="0" applyFont="1" applyFill="1" applyBorder="1" applyAlignment="1">
      <alignment horizontal="center" vertical="center" wrapText="1"/>
    </xf>
    <xf numFmtId="0" fontId="0" fillId="103" borderId="2" xfId="0" applyFont="1" applyFill="1" applyBorder="1" applyAlignment="1">
      <alignment horizontal="center" vertical="center" wrapText="1"/>
    </xf>
    <xf numFmtId="0" fontId="0" fillId="103" borderId="114" xfId="0" applyFont="1" applyFill="1" applyBorder="1" applyAlignment="1">
      <alignment horizontal="center" vertical="center" wrapText="1"/>
    </xf>
    <xf numFmtId="0" fontId="9" fillId="38" borderId="34" xfId="0" applyFont="1" applyFill="1" applyBorder="1" applyAlignment="1">
      <alignment horizontal="center" vertical="center" wrapText="1"/>
    </xf>
    <xf numFmtId="0" fontId="9" fillId="38" borderId="35" xfId="0" applyFont="1" applyFill="1" applyBorder="1" applyAlignment="1">
      <alignment horizontal="center" vertical="center" wrapText="1"/>
    </xf>
    <xf numFmtId="0" fontId="0" fillId="38" borderId="14" xfId="0" applyFont="1" applyFill="1" applyBorder="1" applyAlignment="1">
      <alignment horizontal="center" vertical="center" wrapText="1"/>
    </xf>
    <xf numFmtId="0" fontId="0" fillId="38" borderId="27" xfId="0" applyFont="1" applyFill="1" applyBorder="1" applyAlignment="1">
      <alignment horizontal="center" vertical="center" wrapText="1"/>
    </xf>
    <xf numFmtId="0" fontId="0" fillId="29" borderId="113" xfId="0" applyFont="1" applyFill="1" applyBorder="1" applyAlignment="1">
      <alignment horizontal="center" vertical="center" wrapText="1"/>
    </xf>
    <xf numFmtId="0" fontId="0" fillId="29" borderId="2" xfId="0" applyFont="1" applyFill="1" applyBorder="1" applyAlignment="1">
      <alignment horizontal="center" vertical="center" wrapText="1"/>
    </xf>
    <xf numFmtId="0" fontId="0" fillId="29" borderId="114" xfId="0" applyFont="1" applyFill="1" applyBorder="1" applyAlignment="1">
      <alignment horizontal="center" vertical="center" wrapText="1"/>
    </xf>
    <xf numFmtId="0" fontId="0" fillId="103" borderId="113" xfId="0" applyFont="1" applyFill="1" applyBorder="1" applyAlignment="1">
      <alignment horizontal="center" vertical="center" wrapText="1"/>
    </xf>
    <xf numFmtId="0" fontId="0" fillId="103" borderId="38" xfId="0" applyFont="1" applyFill="1" applyBorder="1" applyAlignment="1">
      <alignment horizontal="center" vertical="center" wrapText="1"/>
    </xf>
    <xf numFmtId="0" fontId="0" fillId="103" borderId="10" xfId="0" applyFont="1" applyFill="1" applyBorder="1" applyAlignment="1">
      <alignment horizontal="justify" vertical="center" wrapText="1"/>
    </xf>
    <xf numFmtId="0" fontId="0" fillId="103" borderId="32" xfId="0" applyFont="1" applyFill="1" applyBorder="1" applyAlignment="1">
      <alignment horizontal="justify" vertical="center" wrapText="1"/>
    </xf>
    <xf numFmtId="0" fontId="3" fillId="29" borderId="34" xfId="0" applyFont="1" applyFill="1" applyBorder="1" applyAlignment="1">
      <alignment horizontal="center" vertical="center" wrapText="1"/>
    </xf>
    <xf numFmtId="0" fontId="3" fillId="29" borderId="35" xfId="0" applyFont="1" applyFill="1" applyBorder="1" applyAlignment="1">
      <alignment horizontal="center" vertical="center" wrapText="1"/>
    </xf>
    <xf numFmtId="0" fontId="3" fillId="29" borderId="55" xfId="0" applyFont="1" applyFill="1" applyBorder="1" applyAlignment="1">
      <alignment horizontal="center" vertical="center" wrapText="1"/>
    </xf>
    <xf numFmtId="0" fontId="0" fillId="29" borderId="14" xfId="0" applyFont="1" applyFill="1" applyBorder="1" applyAlignment="1">
      <alignment horizontal="center" vertical="center" wrapText="1"/>
    </xf>
    <xf numFmtId="0" fontId="0" fillId="29" borderId="27" xfId="0" applyFont="1" applyFill="1" applyBorder="1" applyAlignment="1">
      <alignment horizontal="center" vertical="center" wrapText="1"/>
    </xf>
    <xf numFmtId="0" fontId="0" fillId="29" borderId="57" xfId="0" applyFont="1" applyFill="1" applyBorder="1" applyAlignment="1">
      <alignment horizontal="center" vertical="center" wrapText="1"/>
    </xf>
    <xf numFmtId="0" fontId="0" fillId="29" borderId="34" xfId="0" applyFont="1" applyFill="1" applyBorder="1" applyAlignment="1">
      <alignment horizontal="center" vertical="center" wrapText="1"/>
    </xf>
    <xf numFmtId="0" fontId="0" fillId="29" borderId="35" xfId="0" applyFont="1" applyFill="1" applyBorder="1" applyAlignment="1">
      <alignment horizontal="center" vertical="center" wrapText="1"/>
    </xf>
    <xf numFmtId="0" fontId="0" fillId="29" borderId="55" xfId="0" applyFont="1" applyFill="1" applyBorder="1" applyAlignment="1">
      <alignment horizontal="center" vertical="center" wrapText="1"/>
    </xf>
    <xf numFmtId="0" fontId="3" fillId="103" borderId="34" xfId="0" applyFont="1" applyFill="1" applyBorder="1" applyAlignment="1">
      <alignment horizontal="center" vertical="center" wrapText="1"/>
    </xf>
    <xf numFmtId="0" fontId="3" fillId="103" borderId="35" xfId="0" applyFont="1" applyFill="1" applyBorder="1" applyAlignment="1">
      <alignment horizontal="center" vertical="center" wrapText="1"/>
    </xf>
    <xf numFmtId="0" fontId="3" fillId="103" borderId="55" xfId="0" applyFont="1" applyFill="1" applyBorder="1" applyAlignment="1">
      <alignment horizontal="center" vertical="center" wrapText="1"/>
    </xf>
    <xf numFmtId="0" fontId="0" fillId="103" borderId="14" xfId="0" applyFont="1" applyFill="1" applyBorder="1" applyAlignment="1">
      <alignment horizontal="center" vertical="center" wrapText="1"/>
    </xf>
    <xf numFmtId="0" fontId="0" fillId="103" borderId="27" xfId="0" applyFont="1" applyFill="1" applyBorder="1" applyAlignment="1">
      <alignment horizontal="center" vertical="center" wrapText="1"/>
    </xf>
    <xf numFmtId="0" fontId="0" fillId="103" borderId="57" xfId="0" applyFont="1" applyFill="1" applyBorder="1" applyAlignment="1">
      <alignment horizontal="center" vertical="center" wrapText="1"/>
    </xf>
    <xf numFmtId="0" fontId="0" fillId="103" borderId="34" xfId="0" applyFont="1" applyFill="1" applyBorder="1" applyAlignment="1">
      <alignment horizontal="justify" vertical="center" wrapText="1"/>
    </xf>
    <xf numFmtId="0" fontId="0" fillId="103" borderId="51" xfId="0" applyFont="1" applyFill="1" applyBorder="1" applyAlignment="1">
      <alignment horizontal="justify" vertical="center" wrapText="1"/>
    </xf>
    <xf numFmtId="0" fontId="0" fillId="103" borderId="106" xfId="0" applyFont="1" applyFill="1" applyBorder="1" applyAlignment="1">
      <alignment horizontal="center" vertical="center" wrapText="1"/>
    </xf>
    <xf numFmtId="0" fontId="0" fillId="103" borderId="35" xfId="0" applyFont="1" applyFill="1" applyBorder="1" applyAlignment="1">
      <alignment horizontal="center" vertical="center" wrapText="1"/>
    </xf>
    <xf numFmtId="0" fontId="0" fillId="103" borderId="51" xfId="0" applyFont="1" applyFill="1" applyBorder="1" applyAlignment="1">
      <alignment horizontal="center" vertical="center" wrapText="1"/>
    </xf>
    <xf numFmtId="0" fontId="0" fillId="38" borderId="10" xfId="0" applyFont="1" applyFill="1" applyBorder="1" applyAlignment="1">
      <alignment horizontal="center" vertical="center"/>
    </xf>
    <xf numFmtId="0" fontId="0" fillId="38" borderId="32" xfId="0" applyFont="1" applyFill="1" applyBorder="1" applyAlignment="1">
      <alignment horizontal="center" vertical="center"/>
    </xf>
    <xf numFmtId="0" fontId="0" fillId="38" borderId="32" xfId="0" applyFont="1" applyFill="1" applyBorder="1" applyAlignment="1">
      <alignment horizontal="center" vertical="center" wrapText="1"/>
    </xf>
    <xf numFmtId="0" fontId="0" fillId="38" borderId="149" xfId="0" applyFont="1" applyFill="1" applyBorder="1" applyAlignment="1">
      <alignment horizontal="center" vertical="center" wrapText="1"/>
    </xf>
    <xf numFmtId="9" fontId="0" fillId="38" borderId="149" xfId="0" applyNumberFormat="1" applyFont="1" applyFill="1" applyBorder="1" applyAlignment="1">
      <alignment horizontal="center" vertical="center"/>
    </xf>
    <xf numFmtId="9" fontId="0" fillId="38" borderId="32" xfId="0" applyNumberFormat="1" applyFont="1" applyFill="1" applyBorder="1" applyAlignment="1">
      <alignment horizontal="center" vertical="center"/>
    </xf>
    <xf numFmtId="187" fontId="0" fillId="38" borderId="149" xfId="7" applyNumberFormat="1" applyFont="1" applyFill="1" applyBorder="1" applyAlignment="1">
      <alignment horizontal="center" vertical="center"/>
    </xf>
    <xf numFmtId="187" fontId="0" fillId="38" borderId="32" xfId="7" applyNumberFormat="1" applyFont="1" applyFill="1" applyBorder="1" applyAlignment="1">
      <alignment horizontal="center" vertical="center"/>
    </xf>
    <xf numFmtId="9" fontId="0" fillId="38" borderId="26" xfId="0" applyNumberFormat="1" applyFont="1" applyFill="1" applyBorder="1" applyAlignment="1">
      <alignment horizontal="center" vertical="center"/>
    </xf>
    <xf numFmtId="187" fontId="0" fillId="38" borderId="26" xfId="7" applyNumberFormat="1" applyFont="1" applyFill="1" applyBorder="1" applyAlignment="1">
      <alignment horizontal="center" vertical="center"/>
    </xf>
    <xf numFmtId="9" fontId="0" fillId="38" borderId="149" xfId="5" applyFont="1" applyFill="1" applyBorder="1" applyAlignment="1">
      <alignment horizontal="center" vertical="center" wrapText="1"/>
    </xf>
    <xf numFmtId="9" fontId="0" fillId="38" borderId="149" xfId="0" applyNumberFormat="1" applyFont="1" applyFill="1" applyBorder="1" applyAlignment="1">
      <alignment horizontal="center" vertical="center" wrapText="1"/>
    </xf>
    <xf numFmtId="9" fontId="0" fillId="38" borderId="32" xfId="0" applyNumberFormat="1" applyFont="1" applyFill="1" applyBorder="1" applyAlignment="1">
      <alignment horizontal="center" vertical="center" wrapText="1"/>
    </xf>
    <xf numFmtId="9" fontId="0" fillId="38" borderId="26" xfId="0" applyNumberFormat="1" applyFont="1" applyFill="1" applyBorder="1" applyAlignment="1">
      <alignment horizontal="center" vertical="center" wrapText="1"/>
    </xf>
    <xf numFmtId="187" fontId="0" fillId="29" borderId="149" xfId="7" applyNumberFormat="1" applyFont="1" applyFill="1" applyBorder="1" applyAlignment="1">
      <alignment horizontal="center" vertical="center"/>
    </xf>
    <xf numFmtId="187" fontId="0" fillId="29" borderId="26" xfId="7" applyNumberFormat="1" applyFont="1" applyFill="1" applyBorder="1" applyAlignment="1">
      <alignment horizontal="center" vertical="center"/>
    </xf>
    <xf numFmtId="187" fontId="0" fillId="29" borderId="32" xfId="7" applyNumberFormat="1" applyFont="1" applyFill="1" applyBorder="1" applyAlignment="1">
      <alignment horizontal="center" vertical="center"/>
    </xf>
    <xf numFmtId="0" fontId="0" fillId="29" borderId="8" xfId="0" applyFont="1" applyFill="1" applyBorder="1" applyAlignment="1">
      <alignment horizontal="center" vertical="center" wrapText="1"/>
    </xf>
    <xf numFmtId="0" fontId="0" fillId="29" borderId="148" xfId="0" applyFont="1" applyFill="1" applyBorder="1" applyAlignment="1">
      <alignment horizontal="center" vertical="center" wrapText="1"/>
    </xf>
    <xf numFmtId="0" fontId="0" fillId="29" borderId="9" xfId="0" applyFont="1" applyFill="1" applyBorder="1" applyAlignment="1">
      <alignment horizontal="center" vertical="center" wrapText="1"/>
    </xf>
    <xf numFmtId="0" fontId="0" fillId="29" borderId="94" xfId="0" applyFont="1" applyFill="1" applyBorder="1" applyAlignment="1">
      <alignment horizontal="center" vertical="center" wrapText="1"/>
    </xf>
    <xf numFmtId="0" fontId="0" fillId="29" borderId="42" xfId="0" applyFont="1" applyFill="1" applyBorder="1" applyAlignment="1">
      <alignment horizontal="center" vertical="center" wrapText="1"/>
    </xf>
    <xf numFmtId="0" fontId="0" fillId="29" borderId="25" xfId="0" applyFont="1" applyFill="1" applyBorder="1" applyAlignment="1">
      <alignment horizontal="center" vertical="center" wrapText="1"/>
    </xf>
    <xf numFmtId="0" fontId="0" fillId="29" borderId="54" xfId="0" applyFont="1" applyFill="1" applyBorder="1" applyAlignment="1">
      <alignment horizontal="center" vertical="center" wrapText="1"/>
    </xf>
    <xf numFmtId="0" fontId="3" fillId="29" borderId="8" xfId="0" applyFont="1" applyFill="1" applyBorder="1" applyAlignment="1">
      <alignment horizontal="center" vertical="center" wrapText="1"/>
    </xf>
    <xf numFmtId="0" fontId="3" fillId="29" borderId="148" xfId="0" applyFont="1" applyFill="1" applyBorder="1" applyAlignment="1">
      <alignment horizontal="center" vertical="center" wrapText="1"/>
    </xf>
    <xf numFmtId="0" fontId="0" fillId="29" borderId="7" xfId="0" applyFont="1" applyFill="1" applyBorder="1" applyAlignment="1">
      <alignment horizontal="center" vertical="center" wrapText="1"/>
    </xf>
    <xf numFmtId="0" fontId="0" fillId="29" borderId="11" xfId="0" applyFont="1" applyFill="1" applyBorder="1" applyAlignment="1">
      <alignment horizontal="center" vertical="center" wrapText="1"/>
    </xf>
    <xf numFmtId="0" fontId="0" fillId="29" borderId="149" xfId="0" applyFont="1" applyFill="1" applyBorder="1" applyAlignment="1">
      <alignment horizontal="center" vertical="center"/>
    </xf>
    <xf numFmtId="0" fontId="0" fillId="29" borderId="32" xfId="0" applyFont="1" applyFill="1" applyBorder="1" applyAlignment="1">
      <alignment horizontal="center" vertical="center"/>
    </xf>
    <xf numFmtId="0" fontId="0" fillId="29" borderId="148" xfId="0" applyFont="1" applyFill="1" applyBorder="1" applyAlignment="1">
      <alignment horizontal="center" vertical="center"/>
    </xf>
    <xf numFmtId="0" fontId="0" fillId="29" borderId="94" xfId="0" applyFont="1" applyFill="1" applyBorder="1" applyAlignment="1">
      <alignment horizontal="center" vertical="center"/>
    </xf>
    <xf numFmtId="0" fontId="0" fillId="29" borderId="157" xfId="0" applyFont="1" applyFill="1" applyBorder="1" applyAlignment="1">
      <alignment horizontal="center" vertical="center"/>
    </xf>
    <xf numFmtId="0" fontId="0" fillId="29" borderId="54" xfId="0" applyFont="1" applyFill="1" applyBorder="1" applyAlignment="1">
      <alignment horizontal="center" vertical="center"/>
    </xf>
    <xf numFmtId="0" fontId="0" fillId="103" borderId="42" xfId="0" applyFont="1" applyFill="1" applyBorder="1" applyAlignment="1">
      <alignment horizontal="center" vertical="center"/>
    </xf>
    <xf numFmtId="0" fontId="0" fillId="103" borderId="25" xfId="0" applyFont="1" applyFill="1" applyBorder="1" applyAlignment="1">
      <alignment horizontal="center" vertical="center"/>
    </xf>
    <xf numFmtId="0" fontId="0" fillId="103" borderId="54" xfId="0" applyFont="1" applyFill="1" applyBorder="1" applyAlignment="1">
      <alignment horizontal="center" vertical="center"/>
    </xf>
    <xf numFmtId="0" fontId="0" fillId="103" borderId="10" xfId="0" applyFont="1" applyFill="1" applyBorder="1" applyAlignment="1">
      <alignment horizontal="center" vertical="center"/>
    </xf>
    <xf numFmtId="0" fontId="0" fillId="103" borderId="26" xfId="0" applyFont="1" applyFill="1" applyBorder="1" applyAlignment="1">
      <alignment horizontal="center" vertical="center"/>
    </xf>
    <xf numFmtId="0" fontId="0" fillId="103" borderId="32" xfId="0" applyFont="1" applyFill="1" applyBorder="1" applyAlignment="1">
      <alignment horizontal="center" vertical="center"/>
    </xf>
    <xf numFmtId="187" fontId="0" fillId="103" borderId="10" xfId="7" applyNumberFormat="1" applyFont="1" applyFill="1" applyBorder="1" applyAlignment="1">
      <alignment horizontal="center" vertical="center"/>
    </xf>
    <xf numFmtId="187" fontId="0" fillId="103" borderId="26" xfId="7" applyNumberFormat="1" applyFont="1" applyFill="1" applyBorder="1" applyAlignment="1">
      <alignment horizontal="center" vertical="center"/>
    </xf>
    <xf numFmtId="187" fontId="0" fillId="103" borderId="32" xfId="7" applyNumberFormat="1" applyFont="1" applyFill="1" applyBorder="1" applyAlignment="1">
      <alignment horizontal="center" vertical="center"/>
    </xf>
    <xf numFmtId="0" fontId="3" fillId="103" borderId="148" xfId="0" applyFont="1" applyFill="1" applyBorder="1" applyAlignment="1">
      <alignment horizontal="center" vertical="center" wrapText="1"/>
    </xf>
    <xf numFmtId="0" fontId="0" fillId="103" borderId="148" xfId="0" applyFont="1" applyFill="1" applyBorder="1" applyAlignment="1">
      <alignment horizontal="center" vertical="center" wrapText="1"/>
    </xf>
    <xf numFmtId="0" fontId="0" fillId="103" borderId="11" xfId="0" applyFont="1" applyFill="1" applyBorder="1" applyAlignment="1">
      <alignment horizontal="center" vertical="center" wrapText="1"/>
    </xf>
    <xf numFmtId="0" fontId="0" fillId="103" borderId="148" xfId="0" applyFont="1" applyFill="1" applyBorder="1" applyAlignment="1">
      <alignment horizontal="center" vertical="center"/>
    </xf>
    <xf numFmtId="0" fontId="0" fillId="103" borderId="52" xfId="0" applyFont="1" applyFill="1" applyBorder="1" applyAlignment="1">
      <alignment horizontal="center" vertical="center"/>
    </xf>
    <xf numFmtId="0" fontId="0" fillId="103" borderId="94" xfId="0" applyFont="1" applyFill="1" applyBorder="1" applyAlignment="1">
      <alignment horizontal="center" vertical="center"/>
    </xf>
    <xf numFmtId="0" fontId="3" fillId="103" borderId="32" xfId="0" applyFont="1" applyFill="1" applyBorder="1" applyAlignment="1">
      <alignment horizontal="center" vertical="center" wrapText="1"/>
    </xf>
    <xf numFmtId="9" fontId="0" fillId="103" borderId="148" xfId="5" applyFont="1" applyFill="1" applyBorder="1" applyAlignment="1">
      <alignment horizontal="center" vertical="center" wrapText="1"/>
    </xf>
    <xf numFmtId="191" fontId="0" fillId="103" borderId="149" xfId="10" applyNumberFormat="1" applyFont="1" applyFill="1" applyBorder="1" applyAlignment="1">
      <alignment horizontal="center" vertical="center" wrapText="1"/>
    </xf>
    <xf numFmtId="191" fontId="0" fillId="103" borderId="32" xfId="10" applyNumberFormat="1" applyFont="1" applyFill="1" applyBorder="1" applyAlignment="1">
      <alignment horizontal="center" vertical="center" wrapText="1"/>
    </xf>
    <xf numFmtId="187" fontId="0" fillId="103" borderId="149" xfId="7" applyNumberFormat="1" applyFont="1" applyFill="1" applyBorder="1" applyAlignment="1">
      <alignment horizontal="center" vertical="center"/>
    </xf>
    <xf numFmtId="191" fontId="0" fillId="103" borderId="148" xfId="10" applyNumberFormat="1" applyFont="1" applyFill="1" applyBorder="1" applyAlignment="1">
      <alignment horizontal="center" vertical="center" wrapText="1"/>
    </xf>
    <xf numFmtId="191" fontId="0" fillId="103" borderId="94" xfId="10" applyNumberFormat="1" applyFont="1" applyFill="1" applyBorder="1" applyAlignment="1">
      <alignment horizontal="center" vertical="center" wrapText="1"/>
    </xf>
    <xf numFmtId="191" fontId="0" fillId="103" borderId="157" xfId="10" applyNumberFormat="1" applyFont="1" applyFill="1" applyBorder="1" applyAlignment="1">
      <alignment horizontal="center" vertical="center" wrapText="1"/>
    </xf>
    <xf numFmtId="191" fontId="0" fillId="103" borderId="54" xfId="10" applyNumberFormat="1" applyFont="1" applyFill="1" applyBorder="1" applyAlignment="1">
      <alignment horizontal="center" vertical="center" wrapText="1"/>
    </xf>
    <xf numFmtId="9" fontId="0" fillId="103" borderId="94" xfId="5" applyFont="1" applyFill="1" applyBorder="1" applyAlignment="1">
      <alignment horizontal="center" vertical="center" wrapText="1"/>
    </xf>
    <xf numFmtId="9" fontId="0" fillId="103" borderId="157" xfId="5" applyFont="1" applyFill="1" applyBorder="1" applyAlignment="1">
      <alignment horizontal="center" vertical="center" wrapText="1"/>
    </xf>
    <xf numFmtId="9" fontId="0" fillId="103" borderId="54" xfId="5" applyFont="1" applyFill="1" applyBorder="1" applyAlignment="1">
      <alignment horizontal="center" vertical="center" wrapText="1"/>
    </xf>
    <xf numFmtId="9" fontId="0" fillId="103" borderId="149" xfId="5" applyFont="1" applyFill="1" applyBorder="1" applyAlignment="1">
      <alignment horizontal="center" vertical="center" wrapText="1"/>
    </xf>
    <xf numFmtId="9" fontId="0" fillId="103" borderId="32" xfId="5" applyFont="1" applyFill="1" applyBorder="1" applyAlignment="1">
      <alignment horizontal="center" vertical="center" wrapText="1"/>
    </xf>
    <xf numFmtId="9" fontId="0" fillId="103" borderId="149" xfId="0" applyNumberFormat="1" applyFont="1" applyFill="1" applyBorder="1" applyAlignment="1">
      <alignment horizontal="center" vertical="center"/>
    </xf>
    <xf numFmtId="9" fontId="0" fillId="103" borderId="26" xfId="0" applyNumberFormat="1" applyFont="1" applyFill="1" applyBorder="1" applyAlignment="1">
      <alignment horizontal="center" vertical="center"/>
    </xf>
    <xf numFmtId="9" fontId="0" fillId="103" borderId="32" xfId="0" applyNumberFormat="1" applyFont="1" applyFill="1" applyBorder="1" applyAlignment="1">
      <alignment horizontal="center" vertical="center"/>
    </xf>
    <xf numFmtId="9" fontId="0" fillId="103" borderId="148" xfId="0" applyNumberFormat="1" applyFont="1" applyFill="1" applyBorder="1" applyAlignment="1">
      <alignment horizontal="center" vertical="center"/>
    </xf>
    <xf numFmtId="9" fontId="0" fillId="103" borderId="94" xfId="0" applyNumberFormat="1" applyFont="1" applyFill="1" applyBorder="1" applyAlignment="1">
      <alignment horizontal="center" vertical="center"/>
    </xf>
    <xf numFmtId="9" fontId="0" fillId="103" borderId="157" xfId="0" applyNumberFormat="1" applyFont="1" applyFill="1" applyBorder="1" applyAlignment="1">
      <alignment horizontal="center" vertical="center"/>
    </xf>
    <xf numFmtId="9" fontId="0" fillId="103" borderId="25" xfId="0" applyNumberFormat="1" applyFont="1" applyFill="1" applyBorder="1" applyAlignment="1">
      <alignment horizontal="center" vertical="center"/>
    </xf>
    <xf numFmtId="9" fontId="0" fillId="103" borderId="54" xfId="0" applyNumberFormat="1" applyFont="1" applyFill="1" applyBorder="1" applyAlignment="1">
      <alignment horizontal="center" vertical="center"/>
    </xf>
    <xf numFmtId="9" fontId="0" fillId="103" borderId="149" xfId="0" applyNumberFormat="1" applyFont="1" applyFill="1" applyBorder="1" applyAlignment="1">
      <alignment horizontal="center" vertical="center" wrapText="1"/>
    </xf>
    <xf numFmtId="9" fontId="0" fillId="103" borderId="26" xfId="0" applyNumberFormat="1" applyFont="1" applyFill="1" applyBorder="1" applyAlignment="1">
      <alignment horizontal="center" vertical="center" wrapText="1"/>
    </xf>
    <xf numFmtId="9" fontId="0" fillId="103" borderId="32" xfId="0" applyNumberFormat="1" applyFont="1" applyFill="1" applyBorder="1" applyAlignment="1">
      <alignment horizontal="center" vertical="center" wrapText="1"/>
    </xf>
    <xf numFmtId="0" fontId="0" fillId="103" borderId="94" xfId="0" applyFont="1" applyFill="1" applyBorder="1" applyAlignment="1">
      <alignment horizontal="center" vertical="center" wrapText="1"/>
    </xf>
    <xf numFmtId="0" fontId="0" fillId="103" borderId="157" xfId="0" applyFont="1" applyFill="1" applyBorder="1" applyAlignment="1">
      <alignment horizontal="center" vertical="center" wrapText="1"/>
    </xf>
    <xf numFmtId="0" fontId="0" fillId="103" borderId="25" xfId="0" applyFont="1" applyFill="1" applyBorder="1" applyAlignment="1">
      <alignment horizontal="center" vertical="center" wrapText="1"/>
    </xf>
    <xf numFmtId="0" fontId="0" fillId="103" borderId="54" xfId="0" applyFont="1" applyFill="1" applyBorder="1" applyAlignment="1">
      <alignment horizontal="center" vertical="center" wrapText="1"/>
    </xf>
    <xf numFmtId="0" fontId="0" fillId="103" borderId="149" xfId="0" applyFont="1" applyFill="1" applyBorder="1" applyAlignment="1">
      <alignment horizontal="center" vertical="center" wrapText="1"/>
    </xf>
    <xf numFmtId="9" fontId="0" fillId="103" borderId="148" xfId="0" applyNumberFormat="1" applyFont="1" applyFill="1" applyBorder="1" applyAlignment="1">
      <alignment horizontal="center" vertical="center" wrapText="1"/>
    </xf>
    <xf numFmtId="9" fontId="0" fillId="103" borderId="94" xfId="0" applyNumberFormat="1" applyFont="1" applyFill="1" applyBorder="1" applyAlignment="1">
      <alignment horizontal="center" vertical="center" wrapText="1"/>
    </xf>
    <xf numFmtId="9" fontId="0" fillId="103" borderId="157" xfId="0" applyNumberFormat="1" applyFont="1" applyFill="1" applyBorder="1" applyAlignment="1">
      <alignment horizontal="center" vertical="center" wrapText="1"/>
    </xf>
    <xf numFmtId="9" fontId="0" fillId="103" borderId="25" xfId="0" applyNumberFormat="1" applyFont="1" applyFill="1" applyBorder="1" applyAlignment="1">
      <alignment horizontal="center" vertical="center" wrapText="1"/>
    </xf>
    <xf numFmtId="9" fontId="0" fillId="103" borderId="54" xfId="0" applyNumberFormat="1" applyFont="1" applyFill="1" applyBorder="1" applyAlignment="1">
      <alignment horizontal="center" vertical="center" wrapText="1"/>
    </xf>
    <xf numFmtId="0" fontId="0" fillId="103" borderId="29" xfId="0" applyFont="1" applyFill="1" applyBorder="1" applyAlignment="1">
      <alignment horizontal="center" vertical="center" wrapText="1"/>
    </xf>
    <xf numFmtId="0" fontId="0" fillId="103" borderId="30" xfId="0" applyFont="1" applyFill="1" applyBorder="1" applyAlignment="1">
      <alignment horizontal="center" vertical="center" wrapText="1"/>
    </xf>
    <xf numFmtId="0" fontId="3" fillId="103" borderId="30" xfId="0" applyFont="1" applyFill="1" applyBorder="1" applyAlignment="1">
      <alignment horizontal="center" vertical="center" wrapText="1"/>
    </xf>
    <xf numFmtId="187" fontId="0" fillId="103" borderId="56" xfId="7" applyNumberFormat="1" applyFont="1" applyFill="1" applyBorder="1" applyAlignment="1">
      <alignment horizontal="center" vertical="center"/>
    </xf>
    <xf numFmtId="0" fontId="0" fillId="103" borderId="31" xfId="0" applyFont="1" applyFill="1" applyBorder="1" applyAlignment="1">
      <alignment horizontal="center" vertical="center" wrapText="1"/>
    </xf>
    <xf numFmtId="0" fontId="0" fillId="103" borderId="178" xfId="0" applyFont="1" applyFill="1" applyBorder="1" applyAlignment="1">
      <alignment horizontal="center" vertical="center" wrapText="1"/>
    </xf>
    <xf numFmtId="9" fontId="0" fillId="29" borderId="8" xfId="5" applyFont="1" applyFill="1" applyBorder="1" applyAlignment="1">
      <alignment horizontal="center" vertical="center" wrapText="1"/>
    </xf>
    <xf numFmtId="9" fontId="0" fillId="29" borderId="148" xfId="5" applyFont="1" applyFill="1" applyBorder="1" applyAlignment="1">
      <alignment horizontal="center" vertical="center" wrapText="1"/>
    </xf>
    <xf numFmtId="9" fontId="0" fillId="29" borderId="30" xfId="5" applyFont="1" applyFill="1" applyBorder="1" applyAlignment="1">
      <alignment horizontal="center" vertical="center" wrapText="1"/>
    </xf>
    <xf numFmtId="9" fontId="0" fillId="103" borderId="32" xfId="5" applyFont="1" applyFill="1" applyBorder="1" applyAlignment="1">
      <alignment horizontal="center" vertical="center"/>
    </xf>
    <xf numFmtId="9" fontId="0" fillId="103" borderId="148" xfId="5" applyFont="1" applyFill="1" applyBorder="1" applyAlignment="1">
      <alignment horizontal="center" vertical="center"/>
    </xf>
    <xf numFmtId="9" fontId="0" fillId="103" borderId="30" xfId="5" applyFont="1" applyFill="1" applyBorder="1" applyAlignment="1">
      <alignment horizontal="center" vertical="center"/>
    </xf>
    <xf numFmtId="9" fontId="0" fillId="38" borderId="8" xfId="5" applyFont="1" applyFill="1" applyBorder="1" applyAlignment="1">
      <alignment horizontal="center" vertical="center" wrapText="1"/>
    </xf>
    <xf numFmtId="9" fontId="0" fillId="38" borderId="148" xfId="5" applyFont="1" applyFill="1" applyBorder="1" applyAlignment="1">
      <alignment horizontal="center" vertical="center" wrapText="1"/>
    </xf>
    <xf numFmtId="0" fontId="50" fillId="51" borderId="180" xfId="0" applyFont="1" applyFill="1" applyBorder="1" applyAlignment="1" applyProtection="1">
      <alignment horizontal="center" vertical="center" wrapText="1"/>
      <protection locked="0"/>
    </xf>
    <xf numFmtId="0" fontId="50" fillId="51" borderId="56" xfId="0" applyFont="1" applyFill="1" applyBorder="1" applyAlignment="1" applyProtection="1">
      <alignment horizontal="center" vertical="center" wrapText="1"/>
      <protection locked="0"/>
    </xf>
    <xf numFmtId="0" fontId="49" fillId="51" borderId="180" xfId="0" applyFont="1" applyFill="1" applyBorder="1" applyAlignment="1" applyProtection="1">
      <alignment horizontal="center" vertical="center" wrapText="1"/>
      <protection locked="0"/>
    </xf>
    <xf numFmtId="0" fontId="49" fillId="51" borderId="56" xfId="0" applyFont="1" applyFill="1" applyBorder="1" applyAlignment="1" applyProtection="1">
      <alignment horizontal="center" vertical="center" wrapText="1"/>
      <protection locked="0"/>
    </xf>
    <xf numFmtId="3" fontId="51" fillId="44" borderId="8" xfId="9" applyNumberFormat="1" applyFont="1" applyFill="1" applyBorder="1" applyAlignment="1">
      <alignment horizontal="center" vertical="center" wrapText="1"/>
    </xf>
    <xf numFmtId="3" fontId="51" fillId="44" borderId="102" xfId="9" applyNumberFormat="1" applyFont="1" applyFill="1" applyBorder="1" applyAlignment="1">
      <alignment horizontal="center" vertical="center" wrapText="1"/>
    </xf>
    <xf numFmtId="3" fontId="51" fillId="44" borderId="30" xfId="9" applyNumberFormat="1" applyFont="1" applyFill="1" applyBorder="1" applyAlignment="1">
      <alignment horizontal="center" vertical="center" wrapText="1"/>
    </xf>
    <xf numFmtId="3" fontId="49" fillId="7" borderId="10" xfId="0" applyNumberFormat="1" applyFont="1" applyFill="1" applyBorder="1" applyAlignment="1">
      <alignment horizontal="center" vertical="center"/>
    </xf>
    <xf numFmtId="3" fontId="49" fillId="7" borderId="56" xfId="0" applyNumberFormat="1" applyFont="1" applyFill="1" applyBorder="1" applyAlignment="1">
      <alignment horizontal="center" vertical="center"/>
    </xf>
    <xf numFmtId="3" fontId="51" fillId="40" borderId="108" xfId="9" applyNumberFormat="1" applyFont="1" applyFill="1" applyBorder="1" applyAlignment="1">
      <alignment horizontal="center" vertical="center" wrapText="1"/>
    </xf>
    <xf numFmtId="3" fontId="51" fillId="40" borderId="26" xfId="9" applyNumberFormat="1" applyFont="1" applyFill="1" applyBorder="1" applyAlignment="1">
      <alignment horizontal="center" vertical="center" wrapText="1"/>
    </xf>
    <xf numFmtId="3" fontId="51" fillId="40" borderId="32" xfId="9" applyNumberFormat="1" applyFont="1" applyFill="1" applyBorder="1" applyAlignment="1">
      <alignment horizontal="center" vertical="center" wrapText="1"/>
    </xf>
    <xf numFmtId="0" fontId="51" fillId="40" borderId="108" xfId="0" applyFont="1" applyFill="1" applyBorder="1" applyAlignment="1">
      <alignment horizontal="center" vertical="center" wrapText="1"/>
    </xf>
    <xf numFmtId="0" fontId="51" fillId="40" borderId="26" xfId="0" applyFont="1" applyFill="1" applyBorder="1" applyAlignment="1">
      <alignment horizontal="center" vertical="center" wrapText="1"/>
    </xf>
    <xf numFmtId="0" fontId="51" fillId="40" borderId="32" xfId="0" applyFont="1" applyFill="1" applyBorder="1" applyAlignment="1">
      <alignment horizontal="center" vertical="center" wrapText="1"/>
    </xf>
    <xf numFmtId="3" fontId="51" fillId="40" borderId="115" xfId="9" applyNumberFormat="1" applyFont="1" applyFill="1" applyBorder="1" applyAlignment="1">
      <alignment horizontal="center" vertical="center" wrapText="1"/>
    </xf>
    <xf numFmtId="3" fontId="51" fillId="40" borderId="27" xfId="9" applyNumberFormat="1" applyFont="1" applyFill="1" applyBorder="1" applyAlignment="1">
      <alignment horizontal="center" vertical="center" wrapText="1"/>
    </xf>
    <xf numFmtId="3" fontId="51" fillId="40" borderId="52" xfId="9" applyNumberFormat="1" applyFont="1" applyFill="1" applyBorder="1" applyAlignment="1">
      <alignment horizontal="center" vertical="center" wrapText="1"/>
    </xf>
    <xf numFmtId="0" fontId="48" fillId="8" borderId="13" xfId="0" applyFont="1" applyFill="1" applyBorder="1" applyAlignment="1" applyProtection="1">
      <alignment horizontal="center" vertical="center" wrapText="1"/>
      <protection locked="0"/>
    </xf>
    <xf numFmtId="0" fontId="48" fillId="8" borderId="24" xfId="0" applyFont="1" applyFill="1" applyBorder="1" applyAlignment="1" applyProtection="1">
      <alignment horizontal="center" vertical="center" wrapText="1"/>
      <protection locked="0"/>
    </xf>
    <xf numFmtId="0" fontId="49" fillId="9" borderId="10" xfId="0" applyFont="1" applyFill="1" applyBorder="1" applyAlignment="1" applyProtection="1">
      <alignment horizontal="center" vertical="center" textRotation="90" wrapText="1"/>
      <protection locked="0"/>
    </xf>
    <xf numFmtId="0" fontId="49" fillId="9" borderId="26" xfId="0" applyFont="1" applyFill="1" applyBorder="1" applyAlignment="1" applyProtection="1">
      <alignment horizontal="center" vertical="center" textRotation="90" wrapText="1"/>
      <protection locked="0"/>
    </xf>
    <xf numFmtId="0" fontId="49" fillId="9" borderId="14" xfId="0" applyFont="1" applyFill="1" applyBorder="1" applyAlignment="1" applyProtection="1">
      <alignment horizontal="center" vertical="center" textRotation="90" wrapText="1"/>
      <protection locked="0"/>
    </xf>
    <xf numFmtId="0" fontId="49" fillId="9" borderId="27" xfId="0" applyFont="1" applyFill="1" applyBorder="1" applyAlignment="1" applyProtection="1">
      <alignment horizontal="center" vertical="center" textRotation="90" wrapText="1"/>
      <protection locked="0"/>
    </xf>
    <xf numFmtId="0" fontId="48" fillId="9" borderId="16" xfId="0" applyFont="1" applyFill="1" applyBorder="1" applyAlignment="1" applyProtection="1">
      <alignment horizontal="center" vertical="center" wrapText="1"/>
      <protection locked="0"/>
    </xf>
    <xf numFmtId="0" fontId="48" fillId="9" borderId="15" xfId="0" applyFont="1" applyFill="1" applyBorder="1" applyAlignment="1" applyProtection="1">
      <alignment horizontal="center" vertical="center" wrapText="1"/>
      <protection locked="0"/>
    </xf>
    <xf numFmtId="0" fontId="48" fillId="9" borderId="17" xfId="0" applyFont="1" applyFill="1" applyBorder="1" applyAlignment="1" applyProtection="1">
      <alignment horizontal="center" vertical="center" wrapText="1"/>
      <protection locked="0"/>
    </xf>
    <xf numFmtId="0" fontId="50" fillId="4" borderId="16" xfId="0" applyFont="1" applyFill="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50" fillId="4" borderId="15" xfId="0" applyFont="1" applyFill="1" applyBorder="1" applyAlignment="1" applyProtection="1">
      <alignment horizontal="center" vertical="center"/>
      <protection locked="0"/>
    </xf>
    <xf numFmtId="0" fontId="48" fillId="6" borderId="14" xfId="0" applyFont="1" applyFill="1" applyBorder="1" applyAlignment="1" applyProtection="1">
      <alignment horizontal="center" vertical="center" wrapText="1"/>
      <protection locked="0"/>
    </xf>
    <xf numFmtId="0" fontId="48" fillId="6" borderId="27" xfId="0" applyFont="1" applyFill="1" applyBorder="1" applyAlignment="1" applyProtection="1">
      <alignment horizontal="center" vertical="center" wrapText="1"/>
      <protection locked="0"/>
    </xf>
    <xf numFmtId="0" fontId="49" fillId="40" borderId="34" xfId="0" applyFont="1" applyFill="1" applyBorder="1" applyAlignment="1" applyProtection="1">
      <alignment horizontal="center" vertical="center" wrapText="1"/>
      <protection locked="0"/>
    </xf>
    <xf numFmtId="0" fontId="49" fillId="40" borderId="35" xfId="0" applyFont="1" applyFill="1" applyBorder="1" applyAlignment="1" applyProtection="1">
      <alignment horizontal="center" vertical="center" wrapText="1"/>
      <protection locked="0"/>
    </xf>
    <xf numFmtId="0" fontId="49" fillId="40" borderId="10" xfId="0" applyFont="1" applyFill="1" applyBorder="1" applyAlignment="1" applyProtection="1">
      <alignment horizontal="center" vertical="center" wrapText="1"/>
      <protection locked="0"/>
    </xf>
    <xf numFmtId="0" fontId="49" fillId="40" borderId="26" xfId="0" applyFont="1" applyFill="1" applyBorder="1" applyAlignment="1" applyProtection="1">
      <alignment horizontal="center" vertical="center" wrapText="1"/>
      <protection locked="0"/>
    </xf>
    <xf numFmtId="0" fontId="48" fillId="40" borderId="102" xfId="0" applyFont="1" applyFill="1" applyBorder="1" applyAlignment="1" applyProtection="1">
      <alignment horizontal="center" vertical="center" wrapText="1"/>
      <protection locked="0"/>
    </xf>
    <xf numFmtId="0" fontId="48" fillId="44" borderId="7" xfId="0" applyFont="1" applyFill="1" applyBorder="1" applyAlignment="1" applyProtection="1">
      <alignment horizontal="center" vertical="center" wrapText="1"/>
      <protection locked="0"/>
    </xf>
    <xf numFmtId="0" fontId="48" fillId="44" borderId="11" xfId="0" applyFont="1" applyFill="1" applyBorder="1" applyAlignment="1" applyProtection="1">
      <alignment horizontal="center" vertical="center" wrapText="1"/>
      <protection locked="0"/>
    </xf>
    <xf numFmtId="0" fontId="48" fillId="44" borderId="29" xfId="0" applyFont="1" applyFill="1" applyBorder="1" applyAlignment="1" applyProtection="1">
      <alignment horizontal="center" vertical="center" wrapText="1"/>
      <protection locked="0"/>
    </xf>
    <xf numFmtId="0" fontId="48" fillId="44" borderId="8" xfId="0" applyFont="1" applyFill="1" applyBorder="1" applyAlignment="1" applyProtection="1">
      <alignment horizontal="center" vertical="center" wrapText="1"/>
      <protection locked="0"/>
    </xf>
    <xf numFmtId="0" fontId="48" fillId="44" borderId="102" xfId="0" applyFont="1" applyFill="1" applyBorder="1" applyAlignment="1" applyProtection="1">
      <alignment horizontal="center" vertical="center" wrapText="1"/>
      <protection locked="0"/>
    </xf>
    <xf numFmtId="0" fontId="48" fillId="44" borderId="30" xfId="0" applyFont="1" applyFill="1" applyBorder="1" applyAlignment="1" applyProtection="1">
      <alignment horizontal="center" vertical="center" wrapText="1"/>
      <protection locked="0"/>
    </xf>
    <xf numFmtId="0" fontId="49" fillId="44" borderId="102" xfId="0" applyFont="1" applyFill="1" applyBorder="1" applyAlignment="1" applyProtection="1">
      <alignment horizontal="center" vertical="center" wrapText="1"/>
      <protection locked="0"/>
    </xf>
    <xf numFmtId="0" fontId="51" fillId="44" borderId="108" xfId="0" applyFont="1" applyFill="1" applyBorder="1" applyAlignment="1">
      <alignment horizontal="center" vertical="center" wrapText="1"/>
    </xf>
    <xf numFmtId="0" fontId="51" fillId="44" borderId="32" xfId="0" applyFont="1" applyFill="1" applyBorder="1" applyAlignment="1">
      <alignment horizontal="center" vertical="center" wrapText="1"/>
    </xf>
    <xf numFmtId="0" fontId="50" fillId="40" borderId="180" xfId="0" applyFont="1" applyFill="1" applyBorder="1" applyAlignment="1" applyProtection="1">
      <alignment horizontal="center" vertical="center" wrapText="1"/>
      <protection locked="0"/>
    </xf>
    <xf numFmtId="0" fontId="50" fillId="40" borderId="32" xfId="0" applyFont="1" applyFill="1" applyBorder="1" applyAlignment="1" applyProtection="1">
      <alignment horizontal="center" vertical="center" wrapText="1"/>
      <protection locked="0"/>
    </xf>
    <xf numFmtId="0" fontId="49" fillId="40" borderId="180" xfId="0" applyFont="1" applyFill="1" applyBorder="1" applyAlignment="1" applyProtection="1">
      <alignment horizontal="center" vertical="top" wrapText="1"/>
      <protection locked="0"/>
    </xf>
    <xf numFmtId="0" fontId="49" fillId="40" borderId="56" xfId="0" applyFont="1" applyFill="1" applyBorder="1" applyAlignment="1" applyProtection="1">
      <alignment horizontal="center" vertical="top" wrapText="1"/>
      <protection locked="0"/>
    </xf>
    <xf numFmtId="0" fontId="50" fillId="40" borderId="56" xfId="0" applyFont="1" applyFill="1" applyBorder="1" applyAlignment="1" applyProtection="1">
      <alignment horizontal="center" vertical="center" wrapText="1"/>
      <protection locked="0"/>
    </xf>
    <xf numFmtId="49" fontId="48" fillId="51" borderId="51" xfId="0" applyNumberFormat="1" applyFont="1" applyFill="1" applyBorder="1" applyAlignment="1" applyProtection="1">
      <alignment horizontal="center" vertical="center" wrapText="1"/>
      <protection locked="0"/>
    </xf>
    <xf numFmtId="49" fontId="48" fillId="51" borderId="11" xfId="0" applyNumberFormat="1" applyFont="1" applyFill="1" applyBorder="1" applyAlignment="1" applyProtection="1">
      <alignment horizontal="center" vertical="center" wrapText="1"/>
      <protection locked="0"/>
    </xf>
    <xf numFmtId="49" fontId="48" fillId="51" borderId="29" xfId="0" applyNumberFormat="1" applyFont="1" applyFill="1" applyBorder="1" applyAlignment="1" applyProtection="1">
      <alignment horizontal="center" vertical="center" wrapText="1"/>
      <protection locked="0"/>
    </xf>
    <xf numFmtId="0" fontId="48" fillId="51" borderId="32" xfId="0" applyFont="1" applyFill="1" applyBorder="1" applyAlignment="1" applyProtection="1">
      <alignment horizontal="center" vertical="center" wrapText="1"/>
      <protection locked="0"/>
    </xf>
    <xf numFmtId="0" fontId="48" fillId="51" borderId="102" xfId="0" applyFont="1" applyFill="1" applyBorder="1" applyAlignment="1" applyProtection="1">
      <alignment horizontal="center" vertical="center" wrapText="1"/>
      <protection locked="0"/>
    </xf>
    <xf numFmtId="0" fontId="48" fillId="4" borderId="0" xfId="0" applyFont="1" applyFill="1" applyBorder="1" applyAlignment="1">
      <alignment horizontal="center" vertical="center" wrapText="1"/>
    </xf>
    <xf numFmtId="0" fontId="48" fillId="4" borderId="38" xfId="0" applyFont="1" applyFill="1" applyBorder="1" applyAlignment="1">
      <alignment horizontal="center" vertical="center" wrapText="1"/>
    </xf>
    <xf numFmtId="0" fontId="48" fillId="4" borderId="39" xfId="0" applyFont="1" applyFill="1" applyBorder="1" applyAlignment="1">
      <alignment horizontal="center" vertical="center" wrapText="1"/>
    </xf>
    <xf numFmtId="0" fontId="48" fillId="5" borderId="58" xfId="0" applyFont="1" applyFill="1" applyBorder="1" applyAlignment="1" applyProtection="1">
      <alignment horizontal="center" vertical="center"/>
      <protection locked="0"/>
    </xf>
    <xf numFmtId="0" fontId="48" fillId="5" borderId="47"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protection locked="0"/>
    </xf>
    <xf numFmtId="0" fontId="48" fillId="6" borderId="6" xfId="0" applyFont="1" applyFill="1" applyBorder="1" applyAlignment="1" applyProtection="1">
      <alignment horizontal="center" vertical="center" wrapText="1"/>
      <protection locked="0"/>
    </xf>
    <xf numFmtId="0" fontId="48" fillId="6" borderId="10" xfId="0" applyFont="1" applyFill="1" applyBorder="1" applyAlignment="1" applyProtection="1">
      <alignment horizontal="center" vertical="center" wrapText="1"/>
      <protection locked="0"/>
    </xf>
    <xf numFmtId="0" fontId="48" fillId="6" borderId="26" xfId="0" applyFont="1" applyFill="1" applyBorder="1" applyAlignment="1" applyProtection="1">
      <alignment horizontal="center" vertical="center" wrapText="1"/>
      <protection locked="0"/>
    </xf>
    <xf numFmtId="0" fontId="50" fillId="4" borderId="36" xfId="0" applyFont="1" applyFill="1" applyBorder="1" applyAlignment="1" applyProtection="1">
      <alignment horizontal="center"/>
      <protection locked="0"/>
    </xf>
    <xf numFmtId="0" fontId="50" fillId="4" borderId="17" xfId="0" applyFont="1" applyFill="1" applyBorder="1" applyAlignment="1" applyProtection="1">
      <alignment horizontal="center"/>
      <protection locked="0"/>
    </xf>
    <xf numFmtId="0" fontId="50" fillId="4" borderId="19" xfId="0" applyFont="1" applyFill="1" applyBorder="1" applyAlignment="1" applyProtection="1">
      <alignment horizontal="center"/>
      <protection locked="0"/>
    </xf>
    <xf numFmtId="0" fontId="48" fillId="7" borderId="4" xfId="0" applyFont="1" applyFill="1" applyBorder="1" applyAlignment="1" applyProtection="1">
      <alignment horizontal="center" vertical="center"/>
      <protection locked="0"/>
    </xf>
    <xf numFmtId="0" fontId="48" fillId="7" borderId="5" xfId="0" applyFont="1" applyFill="1" applyBorder="1" applyAlignment="1" applyProtection="1">
      <alignment horizontal="center" vertical="center"/>
      <protection locked="0"/>
    </xf>
    <xf numFmtId="0" fontId="48" fillId="7" borderId="6" xfId="0" applyFont="1" applyFill="1" applyBorder="1" applyAlignment="1" applyProtection="1">
      <alignment horizontal="center" vertical="center"/>
      <protection locked="0"/>
    </xf>
    <xf numFmtId="0" fontId="50" fillId="4" borderId="13" xfId="0" applyFont="1" applyFill="1" applyBorder="1" applyAlignment="1" applyProtection="1">
      <alignment horizontal="center" vertical="center" wrapText="1"/>
      <protection locked="0"/>
    </xf>
    <xf numFmtId="0" fontId="50" fillId="4" borderId="24" xfId="0" applyFont="1" applyFill="1" applyBorder="1" applyAlignment="1" applyProtection="1">
      <alignment horizontal="center" vertical="center" wrapText="1"/>
      <protection locked="0"/>
    </xf>
    <xf numFmtId="0" fontId="50" fillId="4" borderId="34" xfId="0" applyFont="1" applyFill="1" applyBorder="1" applyAlignment="1" applyProtection="1">
      <alignment horizontal="center" vertical="center" wrapText="1"/>
      <protection locked="0"/>
    </xf>
    <xf numFmtId="0" fontId="50" fillId="4" borderId="35" xfId="0" applyFont="1" applyFill="1" applyBorder="1" applyAlignment="1" applyProtection="1">
      <alignment horizontal="center" vertical="center" wrapText="1"/>
      <protection locked="0"/>
    </xf>
    <xf numFmtId="189" fontId="51" fillId="40" borderId="108" xfId="4" applyNumberFormat="1" applyFont="1" applyFill="1" applyBorder="1" applyAlignment="1">
      <alignment horizontal="center" vertical="center"/>
    </xf>
    <xf numFmtId="189" fontId="51" fillId="40" borderId="26" xfId="4" applyNumberFormat="1" applyFont="1" applyFill="1" applyBorder="1" applyAlignment="1">
      <alignment horizontal="center" vertical="center"/>
    </xf>
    <xf numFmtId="189" fontId="51" fillId="40" borderId="32" xfId="4" applyNumberFormat="1" applyFont="1" applyFill="1" applyBorder="1" applyAlignment="1">
      <alignment horizontal="center" vertical="center"/>
    </xf>
    <xf numFmtId="0" fontId="49" fillId="9" borderId="34" xfId="0" applyFont="1" applyFill="1" applyBorder="1" applyAlignment="1" applyProtection="1">
      <alignment horizontal="center" vertical="center" textRotation="90" wrapText="1"/>
      <protection locked="0"/>
    </xf>
    <xf numFmtId="0" fontId="49" fillId="9" borderId="35" xfId="0" applyFont="1" applyFill="1" applyBorder="1" applyAlignment="1" applyProtection="1">
      <alignment horizontal="center" vertical="center" textRotation="90" wrapText="1"/>
      <protection locked="0"/>
    </xf>
    <xf numFmtId="0" fontId="48" fillId="6" borderId="42" xfId="0" applyFont="1" applyFill="1" applyBorder="1" applyAlignment="1" applyProtection="1">
      <alignment horizontal="center" vertical="center" wrapText="1"/>
      <protection locked="0"/>
    </xf>
    <xf numFmtId="0" fontId="48" fillId="6" borderId="25" xfId="0" applyFont="1" applyFill="1" applyBorder="1" applyAlignment="1" applyProtection="1">
      <alignment horizontal="center" vertical="center" wrapText="1"/>
      <protection locked="0"/>
    </xf>
    <xf numFmtId="0" fontId="49" fillId="40" borderId="102" xfId="0" applyFont="1" applyFill="1" applyBorder="1" applyAlignment="1" applyProtection="1">
      <alignment horizontal="center" vertical="center" wrapText="1"/>
      <protection locked="0"/>
    </xf>
    <xf numFmtId="0" fontId="51" fillId="44" borderId="102" xfId="0" applyFont="1" applyFill="1" applyBorder="1" applyAlignment="1" applyProtection="1">
      <alignment horizontal="center" vertical="center" wrapText="1"/>
      <protection locked="0"/>
    </xf>
    <xf numFmtId="0" fontId="49" fillId="44" borderId="108" xfId="0" applyFont="1" applyFill="1" applyBorder="1" applyAlignment="1" applyProtection="1">
      <alignment horizontal="center" vertical="center" wrapText="1"/>
      <protection locked="0"/>
    </xf>
    <xf numFmtId="0" fontId="49" fillId="44" borderId="32" xfId="0" applyFont="1" applyFill="1" applyBorder="1" applyAlignment="1" applyProtection="1">
      <alignment horizontal="center" vertical="center" wrapText="1"/>
      <protection locked="0"/>
    </xf>
    <xf numFmtId="0" fontId="48" fillId="7" borderId="7" xfId="0" applyFont="1" applyFill="1" applyBorder="1" applyAlignment="1" applyProtection="1">
      <alignment horizontal="center" vertical="center" wrapText="1"/>
      <protection locked="0"/>
    </xf>
    <xf numFmtId="0" fontId="48" fillId="7" borderId="29" xfId="0" applyFont="1" applyFill="1" applyBorder="1" applyAlignment="1" applyProtection="1">
      <alignment horizontal="center" vertical="center" wrapText="1"/>
      <protection locked="0"/>
    </xf>
    <xf numFmtId="3" fontId="48" fillId="6" borderId="4" xfId="0" applyNumberFormat="1" applyFont="1" applyFill="1" applyBorder="1" applyAlignment="1" applyProtection="1">
      <alignment horizontal="center" vertical="center" wrapText="1"/>
      <protection locked="0"/>
    </xf>
    <xf numFmtId="3" fontId="48" fillId="6" borderId="5" xfId="0" applyNumberFormat="1" applyFont="1" applyFill="1" applyBorder="1" applyAlignment="1" applyProtection="1">
      <alignment horizontal="center" vertical="center" wrapText="1"/>
      <protection locked="0"/>
    </xf>
    <xf numFmtId="3" fontId="48" fillId="6" borderId="6" xfId="0" applyNumberFormat="1" applyFont="1" applyFill="1" applyBorder="1" applyAlignment="1" applyProtection="1">
      <alignment horizontal="center" vertical="center" wrapText="1"/>
      <protection locked="0"/>
    </xf>
    <xf numFmtId="3" fontId="48" fillId="7" borderId="4" xfId="0" applyNumberFormat="1" applyFont="1" applyFill="1" applyBorder="1" applyAlignment="1" applyProtection="1">
      <alignment horizontal="center" vertical="center" wrapText="1"/>
      <protection locked="0"/>
    </xf>
    <xf numFmtId="3" fontId="48" fillId="7" borderId="5" xfId="0" applyNumberFormat="1" applyFont="1" applyFill="1" applyBorder="1" applyAlignment="1" applyProtection="1">
      <alignment horizontal="center" vertical="center" wrapText="1"/>
      <protection locked="0"/>
    </xf>
    <xf numFmtId="3" fontId="48" fillId="7" borderId="6" xfId="0" applyNumberFormat="1" applyFont="1" applyFill="1" applyBorder="1" applyAlignment="1" applyProtection="1">
      <alignment horizontal="center" vertical="center" wrapText="1"/>
      <protection locked="0"/>
    </xf>
    <xf numFmtId="3" fontId="48" fillId="7" borderId="4" xfId="0" applyNumberFormat="1" applyFont="1" applyFill="1" applyBorder="1" applyAlignment="1" applyProtection="1">
      <alignment horizontal="center" vertical="center"/>
      <protection locked="0"/>
    </xf>
    <xf numFmtId="3" fontId="48" fillId="7" borderId="5" xfId="0" applyNumberFormat="1" applyFont="1" applyFill="1" applyBorder="1" applyAlignment="1" applyProtection="1">
      <alignment horizontal="center" vertical="center"/>
      <protection locked="0"/>
    </xf>
    <xf numFmtId="3" fontId="48" fillId="7" borderId="6" xfId="0" applyNumberFormat="1" applyFont="1" applyFill="1" applyBorder="1" applyAlignment="1" applyProtection="1">
      <alignment horizontal="center" vertical="center"/>
      <protection locked="0"/>
    </xf>
    <xf numFmtId="3" fontId="48" fillId="8" borderId="13" xfId="0" applyNumberFormat="1" applyFont="1" applyFill="1" applyBorder="1" applyAlignment="1" applyProtection="1">
      <alignment horizontal="center" vertical="center" wrapText="1"/>
      <protection locked="0"/>
    </xf>
    <xf numFmtId="3" fontId="48" fillId="8" borderId="24" xfId="0" applyNumberFormat="1" applyFont="1" applyFill="1" applyBorder="1" applyAlignment="1" applyProtection="1">
      <alignment horizontal="center" vertical="center" wrapText="1"/>
      <protection locked="0"/>
    </xf>
    <xf numFmtId="3" fontId="49" fillId="9" borderId="34" xfId="0" applyNumberFormat="1" applyFont="1" applyFill="1" applyBorder="1" applyAlignment="1" applyProtection="1">
      <alignment horizontal="center" vertical="center" textRotation="90" wrapText="1"/>
      <protection locked="0"/>
    </xf>
    <xf numFmtId="3" fontId="49" fillId="9" borderId="35" xfId="0" applyNumberFormat="1" applyFont="1" applyFill="1" applyBorder="1" applyAlignment="1" applyProtection="1">
      <alignment horizontal="center" vertical="center" textRotation="90" wrapText="1"/>
      <protection locked="0"/>
    </xf>
    <xf numFmtId="3" fontId="49" fillId="9" borderId="10" xfId="0" applyNumberFormat="1" applyFont="1" applyFill="1" applyBorder="1" applyAlignment="1" applyProtection="1">
      <alignment horizontal="center" vertical="center" textRotation="90" wrapText="1"/>
      <protection locked="0"/>
    </xf>
    <xf numFmtId="3" fontId="49" fillId="9" borderId="26" xfId="0" applyNumberFormat="1" applyFont="1" applyFill="1" applyBorder="1" applyAlignment="1" applyProtection="1">
      <alignment horizontal="center" vertical="center" textRotation="90" wrapText="1"/>
      <protection locked="0"/>
    </xf>
    <xf numFmtId="3" fontId="49" fillId="9" borderId="14" xfId="0" applyNumberFormat="1" applyFont="1" applyFill="1" applyBorder="1" applyAlignment="1" applyProtection="1">
      <alignment horizontal="center" vertical="center" textRotation="90" wrapText="1"/>
      <protection locked="0"/>
    </xf>
    <xf numFmtId="3" fontId="49" fillId="9" borderId="27" xfId="0" applyNumberFormat="1" applyFont="1" applyFill="1" applyBorder="1" applyAlignment="1" applyProtection="1">
      <alignment horizontal="center" vertical="center" textRotation="90" wrapText="1"/>
      <protection locked="0"/>
    </xf>
    <xf numFmtId="3" fontId="48" fillId="9" borderId="16" xfId="0" applyNumberFormat="1" applyFont="1" applyFill="1" applyBorder="1" applyAlignment="1" applyProtection="1">
      <alignment horizontal="center" vertical="center" wrapText="1"/>
      <protection locked="0"/>
    </xf>
    <xf numFmtId="3" fontId="48" fillId="9" borderId="15" xfId="0" applyNumberFormat="1" applyFont="1" applyFill="1" applyBorder="1" applyAlignment="1" applyProtection="1">
      <alignment horizontal="center" vertical="center" wrapText="1"/>
      <protection locked="0"/>
    </xf>
    <xf numFmtId="3" fontId="48" fillId="10" borderId="13" xfId="0" applyNumberFormat="1" applyFont="1" applyFill="1" applyBorder="1" applyAlignment="1" applyProtection="1">
      <alignment horizontal="center" vertical="center" wrapText="1"/>
      <protection locked="0"/>
    </xf>
    <xf numFmtId="3" fontId="48" fillId="10" borderId="24" xfId="0" applyNumberFormat="1" applyFont="1" applyFill="1" applyBorder="1" applyAlignment="1" applyProtection="1">
      <alignment horizontal="center" vertical="center" wrapText="1"/>
      <protection locked="0"/>
    </xf>
    <xf numFmtId="3" fontId="50" fillId="4" borderId="34" xfId="0" applyNumberFormat="1" applyFont="1" applyFill="1" applyBorder="1" applyAlignment="1" applyProtection="1">
      <alignment horizontal="center" vertical="center" wrapText="1"/>
      <protection locked="0"/>
    </xf>
    <xf numFmtId="3" fontId="50" fillId="4" borderId="35" xfId="0" applyNumberFormat="1" applyFont="1" applyFill="1" applyBorder="1" applyAlignment="1" applyProtection="1">
      <alignment horizontal="center" vertical="center" wrapText="1"/>
      <protection locked="0"/>
    </xf>
    <xf numFmtId="3" fontId="50" fillId="4" borderId="36" xfId="0" applyNumberFormat="1" applyFont="1" applyFill="1" applyBorder="1" applyAlignment="1" applyProtection="1">
      <alignment horizontal="center"/>
      <protection locked="0"/>
    </xf>
    <xf numFmtId="3" fontId="50" fillId="4" borderId="17" xfId="0" applyNumberFormat="1" applyFont="1" applyFill="1" applyBorder="1" applyAlignment="1" applyProtection="1">
      <alignment horizontal="center"/>
      <protection locked="0"/>
    </xf>
    <xf numFmtId="3" fontId="50" fillId="4" borderId="19" xfId="0" applyNumberFormat="1" applyFont="1" applyFill="1" applyBorder="1" applyAlignment="1" applyProtection="1">
      <alignment horizontal="center"/>
      <protection locked="0"/>
    </xf>
    <xf numFmtId="3" fontId="48" fillId="9" borderId="17" xfId="0" applyNumberFormat="1" applyFont="1" applyFill="1" applyBorder="1" applyAlignment="1" applyProtection="1">
      <alignment horizontal="center" vertical="center" wrapText="1"/>
      <protection locked="0"/>
    </xf>
    <xf numFmtId="3" fontId="50" fillId="4" borderId="16" xfId="0" applyNumberFormat="1" applyFont="1" applyFill="1" applyBorder="1" applyAlignment="1" applyProtection="1">
      <alignment horizontal="center" vertical="center"/>
      <protection locked="0"/>
    </xf>
    <xf numFmtId="3" fontId="50" fillId="4" borderId="17" xfId="0" applyNumberFormat="1" applyFont="1" applyFill="1" applyBorder="1" applyAlignment="1" applyProtection="1">
      <alignment horizontal="center" vertical="center"/>
      <protection locked="0"/>
    </xf>
    <xf numFmtId="3" fontId="50" fillId="4" borderId="15" xfId="0" applyNumberFormat="1" applyFont="1" applyFill="1" applyBorder="1" applyAlignment="1" applyProtection="1">
      <alignment horizontal="center" vertical="center"/>
      <protection locked="0"/>
    </xf>
    <xf numFmtId="3" fontId="50" fillId="4" borderId="13" xfId="0" applyNumberFormat="1" applyFont="1" applyFill="1" applyBorder="1" applyAlignment="1" applyProtection="1">
      <alignment horizontal="center" vertical="center" wrapText="1"/>
      <protection locked="0"/>
    </xf>
    <xf numFmtId="3" fontId="50" fillId="4" borderId="24" xfId="0" applyNumberFormat="1" applyFont="1" applyFill="1" applyBorder="1" applyAlignment="1" applyProtection="1">
      <alignment horizontal="center" vertical="center" wrapText="1"/>
      <protection locked="0"/>
    </xf>
    <xf numFmtId="3" fontId="51" fillId="51" borderId="108" xfId="0" applyNumberFormat="1" applyFont="1" applyFill="1" applyBorder="1" applyAlignment="1">
      <alignment horizontal="center" vertical="center"/>
    </xf>
    <xf numFmtId="3" fontId="51" fillId="51" borderId="32" xfId="0" applyNumberFormat="1" applyFont="1" applyFill="1" applyBorder="1" applyAlignment="1">
      <alignment horizontal="center" vertical="center"/>
    </xf>
    <xf numFmtId="3" fontId="51" fillId="40" borderId="10" xfId="9" applyNumberFormat="1" applyFont="1" applyFill="1" applyBorder="1" applyAlignment="1">
      <alignment horizontal="center" vertical="center" wrapText="1"/>
    </xf>
    <xf numFmtId="10" fontId="52" fillId="40" borderId="8" xfId="0" applyNumberFormat="1" applyFont="1" applyFill="1" applyBorder="1" applyAlignment="1">
      <alignment horizontal="center" vertical="center" wrapText="1"/>
    </xf>
    <xf numFmtId="10" fontId="52" fillId="40" borderId="102" xfId="0" applyNumberFormat="1" applyFont="1" applyFill="1" applyBorder="1" applyAlignment="1">
      <alignment horizontal="center" vertical="center" wrapText="1"/>
    </xf>
    <xf numFmtId="10" fontId="52" fillId="40" borderId="108" xfId="0" applyNumberFormat="1" applyFont="1" applyFill="1" applyBorder="1" applyAlignment="1">
      <alignment horizontal="center" vertical="center" wrapText="1"/>
    </xf>
    <xf numFmtId="9" fontId="52" fillId="44" borderId="8" xfId="0" applyNumberFormat="1" applyFont="1" applyFill="1" applyBorder="1" applyAlignment="1">
      <alignment horizontal="center" vertical="center" wrapText="1"/>
    </xf>
    <xf numFmtId="9" fontId="52" fillId="44" borderId="102" xfId="0" applyNumberFormat="1" applyFont="1" applyFill="1" applyBorder="1" applyAlignment="1">
      <alignment horizontal="center" vertical="center" wrapText="1"/>
    </xf>
    <xf numFmtId="9" fontId="52" fillId="44" borderId="30" xfId="0" applyNumberFormat="1" applyFont="1" applyFill="1" applyBorder="1" applyAlignment="1">
      <alignment horizontal="center" vertical="center" wrapText="1"/>
    </xf>
    <xf numFmtId="9" fontId="52" fillId="7" borderId="8" xfId="0" applyNumberFormat="1" applyFont="1" applyFill="1" applyBorder="1" applyAlignment="1">
      <alignment horizontal="center" vertical="center" wrapText="1"/>
    </xf>
    <xf numFmtId="9" fontId="52" fillId="7" borderId="30" xfId="0" applyNumberFormat="1" applyFont="1" applyFill="1" applyBorder="1" applyAlignment="1">
      <alignment horizontal="center" vertical="center" wrapText="1"/>
    </xf>
    <xf numFmtId="9" fontId="52" fillId="51" borderId="32" xfId="0" applyNumberFormat="1" applyFont="1" applyFill="1" applyBorder="1" applyAlignment="1">
      <alignment horizontal="center" vertical="center" wrapText="1"/>
    </xf>
    <xf numFmtId="9" fontId="52" fillId="51" borderId="102" xfId="0" applyNumberFormat="1" applyFont="1" applyFill="1" applyBorder="1" applyAlignment="1">
      <alignment horizontal="center" vertical="center" wrapText="1"/>
    </xf>
    <xf numFmtId="9" fontId="52" fillId="51" borderId="30" xfId="0" applyNumberFormat="1" applyFont="1" applyFill="1" applyBorder="1" applyAlignment="1">
      <alignment horizontal="center" vertical="center" wrapText="1"/>
    </xf>
    <xf numFmtId="3" fontId="49" fillId="51" borderId="32" xfId="0" applyNumberFormat="1" applyFont="1" applyFill="1" applyBorder="1" applyAlignment="1">
      <alignment horizontal="center" vertical="center"/>
    </xf>
    <xf numFmtId="3" fontId="49" fillId="51" borderId="102" xfId="0" applyNumberFormat="1" applyFont="1" applyFill="1" applyBorder="1" applyAlignment="1">
      <alignment horizontal="center" vertical="center"/>
    </xf>
    <xf numFmtId="3" fontId="49" fillId="51" borderId="30" xfId="0" applyNumberFormat="1" applyFont="1" applyFill="1" applyBorder="1" applyAlignment="1">
      <alignment horizontal="center" vertical="center"/>
    </xf>
    <xf numFmtId="0" fontId="48" fillId="71" borderId="102" xfId="0" applyFont="1" applyFill="1" applyBorder="1" applyAlignment="1" applyProtection="1">
      <alignment horizontal="center" vertical="center" wrapText="1"/>
      <protection locked="0"/>
    </xf>
    <xf numFmtId="0" fontId="48" fillId="71" borderId="108" xfId="0" applyFont="1" applyFill="1" applyBorder="1" applyAlignment="1" applyProtection="1">
      <alignment horizontal="center" vertical="center" wrapText="1"/>
      <protection locked="0"/>
    </xf>
    <xf numFmtId="0" fontId="48" fillId="10" borderId="13" xfId="0" applyFont="1" applyFill="1" applyBorder="1" applyAlignment="1" applyProtection="1">
      <alignment horizontal="center" vertical="center" wrapText="1"/>
      <protection locked="0"/>
    </xf>
    <xf numFmtId="0" fontId="48" fillId="10" borderId="24" xfId="0" applyFont="1" applyFill="1" applyBorder="1" applyAlignment="1" applyProtection="1">
      <alignment horizontal="center" vertical="center" wrapText="1"/>
      <protection locked="0"/>
    </xf>
    <xf numFmtId="0" fontId="48" fillId="7" borderId="4" xfId="0" applyFont="1" applyFill="1" applyBorder="1" applyAlignment="1" applyProtection="1">
      <alignment horizontal="center" vertical="center" wrapText="1"/>
      <protection locked="0"/>
    </xf>
    <xf numFmtId="0" fontId="48" fillId="7" borderId="5" xfId="0" applyFont="1" applyFill="1" applyBorder="1" applyAlignment="1" applyProtection="1">
      <alignment horizontal="center" vertical="center" wrapText="1"/>
      <protection locked="0"/>
    </xf>
    <xf numFmtId="0" fontId="48" fillId="7" borderId="6" xfId="0" applyFont="1" applyFill="1" applyBorder="1" applyAlignment="1" applyProtection="1">
      <alignment horizontal="center" vertical="center" wrapText="1"/>
      <protection locked="0"/>
    </xf>
    <xf numFmtId="0" fontId="51" fillId="40" borderId="108" xfId="0" applyFont="1" applyFill="1" applyBorder="1" applyAlignment="1">
      <alignment horizontal="left" vertical="center" wrapText="1"/>
    </xf>
    <xf numFmtId="0" fontId="51" fillId="40" borderId="26" xfId="0" applyFont="1" applyFill="1" applyBorder="1" applyAlignment="1">
      <alignment horizontal="left" vertical="center" wrapText="1"/>
    </xf>
    <xf numFmtId="0" fontId="51" fillId="40" borderId="32" xfId="0" applyFont="1" applyFill="1" applyBorder="1" applyAlignment="1">
      <alignment horizontal="left" vertical="center" wrapText="1"/>
    </xf>
    <xf numFmtId="0" fontId="51" fillId="40" borderId="102" xfId="0" applyFont="1" applyFill="1" applyBorder="1" applyAlignment="1">
      <alignment horizontal="center" vertical="center" wrapText="1"/>
    </xf>
    <xf numFmtId="0" fontId="20" fillId="17" borderId="130" xfId="0" applyFont="1" applyFill="1" applyBorder="1" applyAlignment="1">
      <alignment horizontal="center" vertical="center" wrapText="1"/>
    </xf>
    <xf numFmtId="0" fontId="20" fillId="17" borderId="26" xfId="0" applyFont="1" applyFill="1" applyBorder="1" applyAlignment="1">
      <alignment horizontal="center" vertical="center" wrapText="1"/>
    </xf>
    <xf numFmtId="0" fontId="20" fillId="17" borderId="32" xfId="0" applyFont="1" applyFill="1" applyBorder="1" applyAlignment="1">
      <alignment horizontal="center" vertical="center" wrapText="1"/>
    </xf>
    <xf numFmtId="0" fontId="20" fillId="17" borderId="149" xfId="0" applyFont="1" applyFill="1" applyBorder="1" applyAlignment="1">
      <alignment horizontal="center" vertical="center" wrapText="1"/>
    </xf>
    <xf numFmtId="0" fontId="20" fillId="39" borderId="149" xfId="0" applyFont="1" applyFill="1" applyBorder="1" applyAlignment="1">
      <alignment horizontal="center" vertical="center" wrapText="1"/>
    </xf>
    <xf numFmtId="0" fontId="20" fillId="39" borderId="32" xfId="0" applyFont="1" applyFill="1" applyBorder="1" applyAlignment="1">
      <alignment horizontal="center" vertical="center" wrapText="1"/>
    </xf>
    <xf numFmtId="0" fontId="20" fillId="39" borderId="149" xfId="0" applyFont="1" applyFill="1" applyBorder="1" applyAlignment="1">
      <alignment horizontal="center" vertical="center"/>
    </xf>
    <xf numFmtId="0" fontId="20" fillId="39" borderId="32" xfId="0" applyFont="1" applyFill="1" applyBorder="1" applyAlignment="1">
      <alignment horizontal="center" vertical="center"/>
    </xf>
    <xf numFmtId="9" fontId="20" fillId="17" borderId="130" xfId="5" applyFont="1" applyFill="1" applyBorder="1" applyAlignment="1">
      <alignment horizontal="center" vertical="center" wrapText="1"/>
    </xf>
    <xf numFmtId="9" fontId="20" fillId="17" borderId="26" xfId="5" applyFont="1" applyFill="1" applyBorder="1" applyAlignment="1">
      <alignment horizontal="center" vertical="center" wrapText="1"/>
    </xf>
    <xf numFmtId="9" fontId="20" fillId="17" borderId="32" xfId="5" applyFont="1" applyFill="1" applyBorder="1" applyAlignment="1">
      <alignment horizontal="center" vertical="center" wrapText="1"/>
    </xf>
    <xf numFmtId="9" fontId="20" fillId="39" borderId="130" xfId="5" applyFont="1" applyFill="1" applyBorder="1" applyAlignment="1">
      <alignment horizontal="center" vertical="center"/>
    </xf>
    <xf numFmtId="9" fontId="20" fillId="39" borderId="26" xfId="5" applyFont="1" applyFill="1" applyBorder="1" applyAlignment="1">
      <alignment horizontal="center" vertical="center"/>
    </xf>
    <xf numFmtId="191" fontId="4" fillId="39" borderId="141" xfId="10" applyNumberFormat="1" applyFont="1" applyFill="1" applyBorder="1" applyAlignment="1">
      <alignment horizontal="center" vertical="center" wrapText="1"/>
    </xf>
    <xf numFmtId="191" fontId="4" fillId="39" borderId="62" xfId="10" applyNumberFormat="1" applyFont="1" applyFill="1" applyBorder="1" applyAlignment="1">
      <alignment horizontal="center" vertical="center" wrapText="1"/>
    </xf>
    <xf numFmtId="191" fontId="4" fillId="39" borderId="99" xfId="10" applyNumberFormat="1" applyFont="1" applyFill="1" applyBorder="1" applyAlignment="1">
      <alignment horizontal="center" vertical="center" wrapText="1"/>
    </xf>
    <xf numFmtId="0" fontId="74" fillId="68" borderId="130" xfId="0" applyFont="1" applyFill="1" applyBorder="1" applyAlignment="1">
      <alignment horizontal="center" vertical="center" wrapText="1"/>
    </xf>
    <xf numFmtId="0" fontId="74" fillId="68" borderId="26" xfId="0" applyFont="1" applyFill="1" applyBorder="1" applyAlignment="1">
      <alignment horizontal="center" vertical="center" wrapText="1"/>
    </xf>
    <xf numFmtId="0" fontId="74" fillId="68" borderId="32" xfId="0" applyFont="1" applyFill="1" applyBorder="1" applyAlignment="1">
      <alignment horizontal="center" vertical="center" wrapText="1"/>
    </xf>
    <xf numFmtId="9" fontId="20" fillId="42" borderId="138" xfId="0" applyNumberFormat="1" applyFont="1" applyFill="1" applyBorder="1" applyAlignment="1">
      <alignment horizontal="center" vertical="center"/>
    </xf>
    <xf numFmtId="0" fontId="20" fillId="42" borderId="138" xfId="0" applyFont="1" applyFill="1" applyBorder="1" applyAlignment="1">
      <alignment horizontal="center" vertical="center"/>
    </xf>
    <xf numFmtId="1" fontId="20" fillId="42" borderId="138" xfId="0" applyNumberFormat="1" applyFont="1" applyFill="1" applyBorder="1" applyAlignment="1">
      <alignment horizontal="center" vertical="center"/>
    </xf>
    <xf numFmtId="9" fontId="20" fillId="44" borderId="130" xfId="0" applyNumberFormat="1" applyFont="1" applyFill="1" applyBorder="1" applyAlignment="1">
      <alignment horizontal="center" vertical="center"/>
    </xf>
    <xf numFmtId="0" fontId="20" fillId="44" borderId="26" xfId="0" applyFont="1" applyFill="1" applyBorder="1" applyAlignment="1">
      <alignment horizontal="center" vertical="center"/>
    </xf>
    <xf numFmtId="0" fontId="20" fillId="44" borderId="32" xfId="0" applyFont="1" applyFill="1" applyBorder="1" applyAlignment="1">
      <alignment horizontal="center" vertical="center"/>
    </xf>
    <xf numFmtId="1" fontId="20" fillId="44" borderId="138" xfId="0" applyNumberFormat="1" applyFont="1" applyFill="1" applyBorder="1" applyAlignment="1">
      <alignment horizontal="center" vertical="center"/>
    </xf>
    <xf numFmtId="9" fontId="20" fillId="42" borderId="130" xfId="0" applyNumberFormat="1" applyFont="1" applyFill="1" applyBorder="1" applyAlignment="1">
      <alignment horizontal="center" vertical="center"/>
    </xf>
    <xf numFmtId="9" fontId="20" fillId="42" borderId="26" xfId="0" applyNumberFormat="1" applyFont="1" applyFill="1" applyBorder="1" applyAlignment="1">
      <alignment horizontal="center" vertical="center"/>
    </xf>
    <xf numFmtId="9" fontId="20" fillId="42" borderId="32" xfId="0" applyNumberFormat="1" applyFont="1" applyFill="1" applyBorder="1" applyAlignment="1">
      <alignment horizontal="center" vertical="center"/>
    </xf>
    <xf numFmtId="191" fontId="20" fillId="42" borderId="130" xfId="10" applyNumberFormat="1" applyFont="1" applyFill="1" applyBorder="1" applyAlignment="1">
      <alignment horizontal="center" vertical="center" wrapText="1"/>
    </xf>
    <xf numFmtId="191" fontId="20" fillId="42" borderId="26" xfId="10" applyNumberFormat="1" applyFont="1" applyFill="1" applyBorder="1" applyAlignment="1">
      <alignment horizontal="center" vertical="center" wrapText="1"/>
    </xf>
    <xf numFmtId="191" fontId="20" fillId="42" borderId="32" xfId="10" applyNumberFormat="1" applyFont="1" applyFill="1" applyBorder="1" applyAlignment="1">
      <alignment horizontal="center" vertical="center" wrapText="1"/>
    </xf>
    <xf numFmtId="9" fontId="20" fillId="44" borderId="130" xfId="5" applyFont="1" applyFill="1" applyBorder="1" applyAlignment="1">
      <alignment horizontal="center" vertical="center"/>
    </xf>
    <xf numFmtId="9" fontId="20" fillId="44" borderId="26" xfId="5" applyFont="1" applyFill="1" applyBorder="1" applyAlignment="1">
      <alignment horizontal="center" vertical="center"/>
    </xf>
    <xf numFmtId="9" fontId="20" fillId="44" borderId="32" xfId="5" applyFont="1" applyFill="1" applyBorder="1" applyAlignment="1">
      <alignment horizontal="center" vertical="center"/>
    </xf>
    <xf numFmtId="0" fontId="21" fillId="42" borderId="2" xfId="0" applyFont="1" applyFill="1" applyBorder="1" applyAlignment="1">
      <alignment horizontal="center" vertical="center"/>
    </xf>
    <xf numFmtId="0" fontId="21" fillId="42" borderId="0" xfId="0" applyFont="1" applyFill="1" applyAlignment="1">
      <alignment horizontal="center" vertical="center"/>
    </xf>
    <xf numFmtId="0" fontId="20" fillId="42" borderId="26" xfId="0" applyFont="1" applyFill="1" applyBorder="1" applyAlignment="1">
      <alignment horizontal="center" vertical="center"/>
    </xf>
    <xf numFmtId="0" fontId="20" fillId="42" borderId="32" xfId="0" applyFont="1" applyFill="1" applyBorder="1" applyAlignment="1">
      <alignment horizontal="center" vertical="center"/>
    </xf>
    <xf numFmtId="1" fontId="20" fillId="42" borderId="130" xfId="0" applyNumberFormat="1" applyFont="1" applyFill="1" applyBorder="1" applyAlignment="1">
      <alignment horizontal="center" vertical="center"/>
    </xf>
    <xf numFmtId="1" fontId="20" fillId="42" borderId="26" xfId="0" applyNumberFormat="1" applyFont="1" applyFill="1" applyBorder="1" applyAlignment="1">
      <alignment horizontal="center" vertical="center"/>
    </xf>
    <xf numFmtId="1" fontId="20" fillId="42" borderId="32" xfId="0" applyNumberFormat="1" applyFont="1" applyFill="1" applyBorder="1" applyAlignment="1">
      <alignment horizontal="center" vertical="center"/>
    </xf>
    <xf numFmtId="9" fontId="20" fillId="42" borderId="130" xfId="5" applyFont="1" applyFill="1" applyBorder="1" applyAlignment="1">
      <alignment horizontal="center" vertical="center"/>
    </xf>
    <xf numFmtId="9" fontId="20" fillId="42" borderId="26" xfId="5" applyFont="1" applyFill="1" applyBorder="1" applyAlignment="1">
      <alignment horizontal="center" vertical="center"/>
    </xf>
    <xf numFmtId="9" fontId="20" fillId="42" borderId="32" xfId="5" applyFont="1" applyFill="1" applyBorder="1" applyAlignment="1">
      <alignment horizontal="center" vertical="center"/>
    </xf>
    <xf numFmtId="0" fontId="21" fillId="42" borderId="25" xfId="0" applyFont="1" applyFill="1" applyBorder="1" applyAlignment="1">
      <alignment horizontal="center" vertical="center"/>
    </xf>
    <xf numFmtId="0" fontId="21" fillId="42" borderId="38" xfId="0" applyFont="1" applyFill="1" applyBorder="1" applyAlignment="1">
      <alignment horizontal="center" vertical="center"/>
    </xf>
    <xf numFmtId="0" fontId="21" fillId="42" borderId="54" xfId="0" applyFont="1" applyFill="1" applyBorder="1" applyAlignment="1">
      <alignment horizontal="center" vertical="center"/>
    </xf>
    <xf numFmtId="0" fontId="21" fillId="42" borderId="142" xfId="0" applyFont="1" applyFill="1" applyBorder="1" applyAlignment="1">
      <alignment horizontal="center" vertical="center" wrapText="1"/>
    </xf>
    <xf numFmtId="0" fontId="21" fillId="42" borderId="184" xfId="0" applyFont="1" applyFill="1" applyBorder="1" applyAlignment="1">
      <alignment horizontal="center" vertical="center" wrapText="1"/>
    </xf>
    <xf numFmtId="0" fontId="21" fillId="42" borderId="135" xfId="0" applyFont="1" applyFill="1" applyBorder="1" applyAlignment="1">
      <alignment horizontal="center" vertical="center"/>
    </xf>
    <xf numFmtId="0" fontId="21" fillId="42" borderId="133" xfId="0" applyFont="1" applyFill="1" applyBorder="1" applyAlignment="1">
      <alignment horizontal="center" vertical="center"/>
    </xf>
    <xf numFmtId="0" fontId="21" fillId="42" borderId="39" xfId="0" applyFont="1" applyFill="1" applyBorder="1" applyAlignment="1">
      <alignment horizontal="center" vertical="center"/>
    </xf>
    <xf numFmtId="0" fontId="20" fillId="42" borderId="180" xfId="0" applyFont="1" applyFill="1" applyBorder="1" applyAlignment="1">
      <alignment horizontal="center" vertical="center" wrapText="1"/>
    </xf>
    <xf numFmtId="0" fontId="20" fillId="42" borderId="32" xfId="0" applyFont="1" applyFill="1" applyBorder="1" applyAlignment="1">
      <alignment horizontal="center" vertical="center" wrapText="1"/>
    </xf>
    <xf numFmtId="0" fontId="21" fillId="42" borderId="181" xfId="0" applyFont="1" applyFill="1" applyBorder="1" applyAlignment="1">
      <alignment horizontal="center" vertical="center"/>
    </xf>
    <xf numFmtId="0" fontId="21" fillId="42" borderId="152" xfId="0" applyFont="1" applyFill="1" applyBorder="1" applyAlignment="1">
      <alignment horizontal="center" vertical="center"/>
    </xf>
    <xf numFmtId="0" fontId="21" fillId="42" borderId="0" xfId="0" applyFont="1" applyFill="1" applyBorder="1" applyAlignment="1">
      <alignment horizontal="center" vertical="center"/>
    </xf>
    <xf numFmtId="9" fontId="20" fillId="42" borderId="180" xfId="5" applyFont="1" applyFill="1" applyBorder="1" applyAlignment="1">
      <alignment horizontal="center" vertical="center" wrapText="1"/>
    </xf>
    <xf numFmtId="9" fontId="20" fillId="42" borderId="32" xfId="5" applyFont="1" applyFill="1" applyBorder="1" applyAlignment="1">
      <alignment horizontal="center" vertical="center" wrapText="1"/>
    </xf>
    <xf numFmtId="9" fontId="52" fillId="40" borderId="180" xfId="0" applyNumberFormat="1" applyFont="1" applyFill="1" applyBorder="1" applyAlignment="1">
      <alignment horizontal="center" vertical="center" wrapText="1"/>
    </xf>
    <xf numFmtId="9" fontId="52" fillId="40" borderId="32" xfId="0" applyNumberFormat="1" applyFont="1" applyFill="1" applyBorder="1" applyAlignment="1">
      <alignment horizontal="center" vertical="center" wrapText="1"/>
    </xf>
    <xf numFmtId="0" fontId="21" fillId="39" borderId="130" xfId="0" applyFont="1" applyFill="1" applyBorder="1" applyAlignment="1">
      <alignment horizontal="center" vertical="center" wrapText="1"/>
    </xf>
    <xf numFmtId="0" fontId="21" fillId="39" borderId="26" xfId="0" applyFont="1" applyFill="1" applyBorder="1" applyAlignment="1">
      <alignment horizontal="center" vertical="center" wrapText="1"/>
    </xf>
    <xf numFmtId="0" fontId="21" fillId="39" borderId="32" xfId="0" applyFont="1" applyFill="1" applyBorder="1" applyAlignment="1">
      <alignment horizontal="center" vertical="center" wrapText="1"/>
    </xf>
    <xf numFmtId="0" fontId="20" fillId="39" borderId="130" xfId="0" applyFont="1" applyFill="1" applyBorder="1" applyAlignment="1">
      <alignment horizontal="center" vertical="center" wrapText="1"/>
    </xf>
    <xf numFmtId="0" fontId="21" fillId="39" borderId="130" xfId="0" applyFont="1" applyFill="1" applyBorder="1" applyAlignment="1">
      <alignment horizontal="center" vertical="center"/>
    </xf>
    <xf numFmtId="0" fontId="21" fillId="39" borderId="26" xfId="0" applyFont="1" applyFill="1" applyBorder="1" applyAlignment="1">
      <alignment horizontal="center" vertical="center"/>
    </xf>
    <xf numFmtId="0" fontId="21" fillId="39" borderId="32" xfId="0" applyFont="1" applyFill="1" applyBorder="1" applyAlignment="1">
      <alignment horizontal="center" vertical="center"/>
    </xf>
    <xf numFmtId="0" fontId="21" fillId="39" borderId="135" xfId="0" applyFont="1" applyFill="1" applyBorder="1" applyAlignment="1">
      <alignment horizontal="center" vertical="center"/>
    </xf>
    <xf numFmtId="0" fontId="21" fillId="39" borderId="133" xfId="0" applyFont="1" applyFill="1" applyBorder="1" applyAlignment="1">
      <alignment horizontal="center" vertical="center"/>
    </xf>
    <xf numFmtId="0" fontId="21" fillId="39" borderId="38" xfId="0" applyFont="1" applyFill="1" applyBorder="1" applyAlignment="1">
      <alignment horizontal="center" vertical="center"/>
    </xf>
    <xf numFmtId="0" fontId="21" fillId="39" borderId="39" xfId="0" applyFont="1" applyFill="1" applyBorder="1" applyAlignment="1">
      <alignment horizontal="center" vertical="center"/>
    </xf>
    <xf numFmtId="0" fontId="21" fillId="39" borderId="138" xfId="0" applyFont="1" applyFill="1" applyBorder="1" applyAlignment="1">
      <alignment horizontal="center" vertical="center"/>
    </xf>
    <xf numFmtId="0" fontId="21" fillId="39" borderId="142" xfId="0" applyFont="1" applyFill="1" applyBorder="1" applyAlignment="1">
      <alignment horizontal="center" vertical="center"/>
    </xf>
    <xf numFmtId="0" fontId="21" fillId="39" borderId="138" xfId="0" applyFont="1" applyFill="1" applyBorder="1" applyAlignment="1">
      <alignment horizontal="center" vertical="center" wrapText="1"/>
    </xf>
    <xf numFmtId="0" fontId="21" fillId="39" borderId="142" xfId="0" applyFont="1" applyFill="1" applyBorder="1" applyAlignment="1">
      <alignment horizontal="center" vertical="center" wrapText="1"/>
    </xf>
    <xf numFmtId="1" fontId="20" fillId="39" borderId="130" xfId="5" applyNumberFormat="1" applyFont="1" applyFill="1" applyBorder="1" applyAlignment="1">
      <alignment horizontal="center" vertical="center"/>
    </xf>
    <xf numFmtId="1" fontId="20" fillId="39" borderId="26" xfId="5" applyNumberFormat="1" applyFont="1" applyFill="1" applyBorder="1" applyAlignment="1">
      <alignment horizontal="center" vertical="center"/>
    </xf>
    <xf numFmtId="0" fontId="21" fillId="39" borderId="143" xfId="0" applyFont="1" applyFill="1" applyBorder="1" applyAlignment="1">
      <alignment horizontal="center" vertical="center"/>
    </xf>
    <xf numFmtId="0" fontId="21" fillId="17" borderId="139" xfId="0" applyFont="1" applyFill="1" applyBorder="1" applyAlignment="1">
      <alignment horizontal="center" vertical="center"/>
    </xf>
    <xf numFmtId="0" fontId="21" fillId="17" borderId="127" xfId="0" applyFont="1" applyFill="1" applyBorder="1" applyAlignment="1">
      <alignment horizontal="center" vertical="center"/>
    </xf>
    <xf numFmtId="0" fontId="20" fillId="17" borderId="130" xfId="0" applyFont="1" applyFill="1" applyBorder="1" applyAlignment="1">
      <alignment horizontal="center" vertical="center"/>
    </xf>
    <xf numFmtId="0" fontId="20" fillId="17" borderId="26" xfId="0" applyFont="1" applyFill="1" applyBorder="1" applyAlignment="1">
      <alignment horizontal="center" vertical="center"/>
    </xf>
    <xf numFmtId="0" fontId="20" fillId="17" borderId="32" xfId="0" applyFont="1" applyFill="1" applyBorder="1" applyAlignment="1">
      <alignment horizontal="center" vertical="center"/>
    </xf>
    <xf numFmtId="0" fontId="20" fillId="17" borderId="138" xfId="0" applyFont="1" applyFill="1" applyBorder="1" applyAlignment="1">
      <alignment horizontal="center" vertical="center"/>
    </xf>
    <xf numFmtId="9" fontId="20" fillId="17" borderId="130" xfId="0" applyNumberFormat="1" applyFont="1" applyFill="1" applyBorder="1" applyAlignment="1">
      <alignment horizontal="center" vertical="center"/>
    </xf>
    <xf numFmtId="9" fontId="20" fillId="17" borderId="130" xfId="0" applyNumberFormat="1" applyFont="1" applyFill="1" applyBorder="1" applyAlignment="1">
      <alignment horizontal="center" vertical="center" wrapText="1"/>
    </xf>
    <xf numFmtId="9" fontId="20" fillId="17" borderId="26" xfId="0" applyNumberFormat="1" applyFont="1" applyFill="1" applyBorder="1" applyAlignment="1">
      <alignment horizontal="center" vertical="center" wrapText="1"/>
    </xf>
    <xf numFmtId="9" fontId="20" fillId="17" borderId="32" xfId="0" applyNumberFormat="1" applyFont="1" applyFill="1" applyBorder="1" applyAlignment="1">
      <alignment horizontal="center" vertical="center" wrapText="1"/>
    </xf>
    <xf numFmtId="1" fontId="20" fillId="17" borderId="130" xfId="0" applyNumberFormat="1" applyFont="1" applyFill="1" applyBorder="1" applyAlignment="1">
      <alignment horizontal="center" vertical="center" wrapText="1"/>
    </xf>
    <xf numFmtId="1" fontId="20" fillId="17" borderId="26" xfId="0" applyNumberFormat="1" applyFont="1" applyFill="1" applyBorder="1" applyAlignment="1">
      <alignment horizontal="center" vertical="center" wrapText="1"/>
    </xf>
    <xf numFmtId="1" fontId="20" fillId="17" borderId="32" xfId="0" applyNumberFormat="1" applyFont="1" applyFill="1" applyBorder="1" applyAlignment="1">
      <alignment horizontal="center" vertical="center" wrapText="1"/>
    </xf>
    <xf numFmtId="0" fontId="21" fillId="17" borderId="130" xfId="0" applyFont="1" applyFill="1" applyBorder="1" applyAlignment="1">
      <alignment horizontal="center" vertical="center" wrapText="1"/>
    </xf>
    <xf numFmtId="0" fontId="21" fillId="17" borderId="26" xfId="0" applyFont="1" applyFill="1" applyBorder="1" applyAlignment="1">
      <alignment horizontal="center" vertical="center" wrapText="1"/>
    </xf>
    <xf numFmtId="0" fontId="21" fillId="17" borderId="32" xfId="0" applyFont="1" applyFill="1" applyBorder="1" applyAlignment="1">
      <alignment horizontal="center" vertical="center" wrapText="1"/>
    </xf>
    <xf numFmtId="0" fontId="21" fillId="17" borderId="138" xfId="0" applyFont="1" applyFill="1" applyBorder="1" applyAlignment="1">
      <alignment horizontal="center" vertical="center"/>
    </xf>
    <xf numFmtId="0" fontId="20" fillId="17" borderId="135" xfId="0" applyFont="1" applyFill="1" applyBorder="1" applyAlignment="1">
      <alignment horizontal="center" vertical="center" wrapText="1"/>
    </xf>
    <xf numFmtId="0" fontId="20" fillId="17" borderId="2"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1" fillId="12" borderId="138" xfId="0" applyFont="1" applyFill="1" applyBorder="1" applyAlignment="1">
      <alignment horizontal="center" vertical="center"/>
    </xf>
    <xf numFmtId="0" fontId="21" fillId="12" borderId="139" xfId="0" applyFont="1" applyFill="1" applyBorder="1" applyAlignment="1">
      <alignment horizontal="center" vertical="center"/>
    </xf>
    <xf numFmtId="0" fontId="21" fillId="44" borderId="138" xfId="0" applyFont="1" applyFill="1" applyBorder="1" applyAlignment="1">
      <alignment horizontal="center" vertical="center" wrapText="1"/>
    </xf>
    <xf numFmtId="0" fontId="21" fillId="44" borderId="138" xfId="0" applyFont="1" applyFill="1" applyBorder="1" applyAlignment="1">
      <alignment horizontal="center" vertical="center"/>
    </xf>
    <xf numFmtId="0" fontId="21" fillId="44" borderId="139" xfId="0" applyFont="1" applyFill="1" applyBorder="1" applyAlignment="1">
      <alignment horizontal="center" vertical="center"/>
    </xf>
    <xf numFmtId="0" fontId="21" fillId="44" borderId="135" xfId="0" applyFont="1" applyFill="1" applyBorder="1" applyAlignment="1">
      <alignment horizontal="center" vertical="center"/>
    </xf>
    <xf numFmtId="0" fontId="21" fillId="44" borderId="137" xfId="0" applyFont="1" applyFill="1" applyBorder="1" applyAlignment="1">
      <alignment horizontal="center" vertical="center"/>
    </xf>
    <xf numFmtId="0" fontId="21" fillId="44" borderId="2" xfId="0" applyFont="1" applyFill="1" applyBorder="1" applyAlignment="1">
      <alignment horizontal="center" vertical="center"/>
    </xf>
    <xf numFmtId="0" fontId="21" fillId="44" borderId="40" xfId="0" applyFont="1" applyFill="1" applyBorder="1" applyAlignment="1">
      <alignment horizontal="center" vertical="center"/>
    </xf>
    <xf numFmtId="0" fontId="21" fillId="44" borderId="38" xfId="0" applyFont="1" applyFill="1" applyBorder="1" applyAlignment="1">
      <alignment horizontal="center" vertical="center"/>
    </xf>
    <xf numFmtId="0" fontId="21" fillId="44" borderId="100" xfId="0" applyFont="1" applyFill="1" applyBorder="1" applyAlignment="1">
      <alignment horizontal="center" vertical="center"/>
    </xf>
    <xf numFmtId="0" fontId="21" fillId="44" borderId="133" xfId="0" applyFont="1" applyFill="1" applyBorder="1" applyAlignment="1">
      <alignment horizontal="center" vertical="center"/>
    </xf>
    <xf numFmtId="0" fontId="21" fillId="44" borderId="0" xfId="0" applyFont="1" applyFill="1" applyAlignment="1">
      <alignment horizontal="center" vertical="center"/>
    </xf>
    <xf numFmtId="0" fontId="21" fillId="44" borderId="39" xfId="0" applyFont="1" applyFill="1" applyBorder="1" applyAlignment="1">
      <alignment horizontal="center" vertical="center"/>
    </xf>
    <xf numFmtId="0" fontId="21" fillId="44" borderId="128" xfId="0" applyFont="1" applyFill="1" applyBorder="1" applyAlignment="1">
      <alignment horizontal="center" vertical="center"/>
    </xf>
    <xf numFmtId="0" fontId="74" fillId="68" borderId="132" xfId="0" applyFont="1" applyFill="1" applyBorder="1" applyAlignment="1">
      <alignment horizontal="center" vertical="center" wrapText="1"/>
    </xf>
    <xf numFmtId="0" fontId="74" fillId="68" borderId="27" xfId="0" applyFont="1" applyFill="1" applyBorder="1" applyAlignment="1">
      <alignment horizontal="center" vertical="center" wrapText="1"/>
    </xf>
    <xf numFmtId="0" fontId="74" fillId="68" borderId="52" xfId="0" applyFont="1" applyFill="1" applyBorder="1" applyAlignment="1">
      <alignment horizontal="center" vertical="center" wrapText="1"/>
    </xf>
    <xf numFmtId="0" fontId="21" fillId="42" borderId="26" xfId="0" applyFont="1" applyFill="1" applyBorder="1" applyAlignment="1">
      <alignment horizontal="center" vertical="center"/>
    </xf>
    <xf numFmtId="0" fontId="21" fillId="42" borderId="32" xfId="0" applyFont="1" applyFill="1" applyBorder="1" applyAlignment="1">
      <alignment horizontal="center" vertical="center"/>
    </xf>
    <xf numFmtId="0" fontId="21" fillId="42" borderId="26" xfId="0" applyFont="1" applyFill="1" applyBorder="1" applyAlignment="1">
      <alignment horizontal="center" vertical="center" wrapText="1"/>
    </xf>
    <xf numFmtId="0" fontId="21" fillId="42" borderId="32" xfId="0" applyFont="1" applyFill="1" applyBorder="1" applyAlignment="1">
      <alignment horizontal="center" vertical="center" wrapText="1"/>
    </xf>
    <xf numFmtId="0" fontId="21" fillId="42" borderId="135" xfId="0" applyFont="1" applyFill="1" applyBorder="1" applyAlignment="1">
      <alignment horizontal="center" vertical="center" wrapText="1"/>
    </xf>
    <xf numFmtId="0" fontId="21" fillId="42" borderId="133" xfId="0" applyFont="1" applyFill="1" applyBorder="1" applyAlignment="1">
      <alignment horizontal="center" vertical="center" wrapText="1"/>
    </xf>
    <xf numFmtId="0" fontId="21" fillId="42" borderId="2" xfId="0" applyFont="1" applyFill="1" applyBorder="1" applyAlignment="1">
      <alignment horizontal="center" vertical="center" wrapText="1"/>
    </xf>
    <xf numFmtId="0" fontId="21" fillId="42" borderId="0" xfId="0" applyFont="1" applyFill="1" applyAlignment="1">
      <alignment horizontal="center" vertical="center" wrapText="1"/>
    </xf>
    <xf numFmtId="0" fontId="21" fillId="42" borderId="38" xfId="0" applyFont="1" applyFill="1" applyBorder="1" applyAlignment="1">
      <alignment horizontal="center" vertical="center" wrapText="1"/>
    </xf>
    <xf numFmtId="0" fontId="21" fillId="42" borderId="39" xfId="0" applyFont="1" applyFill="1" applyBorder="1" applyAlignment="1">
      <alignment horizontal="center" vertical="center" wrapText="1"/>
    </xf>
    <xf numFmtId="0" fontId="20" fillId="42" borderId="134" xfId="0" applyFont="1" applyFill="1" applyBorder="1" applyAlignment="1">
      <alignment horizontal="center" vertical="center" wrapText="1"/>
    </xf>
    <xf numFmtId="0" fontId="20" fillId="42" borderId="51" xfId="0" applyFont="1" applyFill="1" applyBorder="1" applyAlignment="1">
      <alignment horizontal="center" vertical="center" wrapText="1"/>
    </xf>
    <xf numFmtId="9" fontId="20" fillId="42" borderId="130" xfId="0" applyNumberFormat="1" applyFont="1" applyFill="1" applyBorder="1" applyAlignment="1">
      <alignment horizontal="center" vertical="center" wrapText="1"/>
    </xf>
    <xf numFmtId="9" fontId="20" fillId="42" borderId="32" xfId="0" applyNumberFormat="1" applyFont="1" applyFill="1" applyBorder="1" applyAlignment="1">
      <alignment horizontal="center" vertical="center" wrapText="1"/>
    </xf>
    <xf numFmtId="0" fontId="20" fillId="42" borderId="130" xfId="0" applyFont="1" applyFill="1" applyBorder="1" applyAlignment="1">
      <alignment horizontal="center" vertical="center" wrapText="1"/>
    </xf>
    <xf numFmtId="0" fontId="21" fillId="42" borderId="139" xfId="0" applyFont="1" applyFill="1" applyBorder="1" applyAlignment="1">
      <alignment horizontal="center" vertical="center" wrapText="1"/>
    </xf>
    <xf numFmtId="0" fontId="21" fillId="42" borderId="136" xfId="0" applyFont="1" applyFill="1" applyBorder="1" applyAlignment="1">
      <alignment horizontal="center" vertical="center" wrapText="1"/>
    </xf>
    <xf numFmtId="0" fontId="50" fillId="4" borderId="69" xfId="0" applyFont="1" applyFill="1" applyBorder="1" applyAlignment="1" applyProtection="1">
      <alignment horizontal="center" vertical="center" wrapText="1"/>
      <protection locked="0"/>
    </xf>
    <xf numFmtId="0" fontId="50" fillId="4" borderId="90" xfId="0" applyFont="1" applyFill="1" applyBorder="1" applyAlignment="1" applyProtection="1">
      <alignment horizontal="center" vertical="center" wrapText="1"/>
      <protection locked="0"/>
    </xf>
    <xf numFmtId="0" fontId="48" fillId="10" borderId="69" xfId="0" applyFont="1" applyFill="1" applyBorder="1" applyAlignment="1" applyProtection="1">
      <alignment horizontal="center" vertical="center" wrapText="1"/>
      <protection locked="0"/>
    </xf>
    <xf numFmtId="0" fontId="48" fillId="10" borderId="90" xfId="0" applyFont="1" applyFill="1" applyBorder="1" applyAlignment="1" applyProtection="1">
      <alignment horizontal="center" vertical="center" wrapText="1"/>
      <protection locked="0"/>
    </xf>
    <xf numFmtId="0" fontId="51" fillId="0" borderId="36" xfId="0" applyFont="1" applyFill="1" applyBorder="1" applyAlignment="1">
      <alignment horizontal="center" vertical="center"/>
    </xf>
    <xf numFmtId="0" fontId="51" fillId="0" borderId="19" xfId="0" applyFont="1" applyFill="1" applyBorder="1" applyAlignment="1">
      <alignment horizontal="center" vertical="center"/>
    </xf>
    <xf numFmtId="0" fontId="48" fillId="9" borderId="69" xfId="0" applyFont="1" applyFill="1" applyBorder="1" applyAlignment="1" applyProtection="1">
      <alignment horizontal="center" vertical="center" wrapText="1"/>
      <protection locked="0"/>
    </xf>
    <xf numFmtId="0" fontId="50" fillId="4" borderId="69" xfId="0" applyFont="1" applyFill="1" applyBorder="1" applyAlignment="1" applyProtection="1">
      <alignment horizontal="center" vertical="center"/>
      <protection locked="0"/>
    </xf>
    <xf numFmtId="0" fontId="73" fillId="78" borderId="18" xfId="0" applyFont="1" applyFill="1" applyBorder="1" applyAlignment="1">
      <alignment horizontal="center" vertical="center" wrapText="1"/>
    </xf>
    <xf numFmtId="0" fontId="73" fillId="78" borderId="58" xfId="0" applyFont="1" applyFill="1" applyBorder="1" applyAlignment="1">
      <alignment horizontal="center" vertical="center" wrapText="1"/>
    </xf>
    <xf numFmtId="0" fontId="73" fillId="78" borderId="99" xfId="0" applyFont="1" applyFill="1" applyBorder="1" applyAlignment="1">
      <alignment horizontal="center" vertical="center" wrapText="1"/>
    </xf>
    <xf numFmtId="0" fontId="73" fillId="78" borderId="39" xfId="0" applyFont="1" applyFill="1" applyBorder="1" applyAlignment="1">
      <alignment horizontal="center" vertical="center" wrapText="1"/>
    </xf>
    <xf numFmtId="0" fontId="74" fillId="68" borderId="7" xfId="0" applyFont="1" applyFill="1" applyBorder="1" applyAlignment="1">
      <alignment horizontal="center" vertical="center" wrapText="1"/>
    </xf>
    <xf numFmtId="0" fontId="74" fillId="68" borderId="8" xfId="0" applyFont="1" applyFill="1" applyBorder="1" applyAlignment="1">
      <alignment horizontal="center" vertical="center" wrapText="1"/>
    </xf>
    <xf numFmtId="0" fontId="74" fillId="68" borderId="9" xfId="0" applyFont="1" applyFill="1" applyBorder="1" applyAlignment="1">
      <alignment horizontal="center" vertical="center" wrapText="1"/>
    </xf>
    <xf numFmtId="0" fontId="74" fillId="68" borderId="11" xfId="0" applyFont="1" applyFill="1" applyBorder="1" applyAlignment="1">
      <alignment horizontal="center" vertical="center" wrapText="1"/>
    </xf>
    <xf numFmtId="0" fontId="74" fillId="68" borderId="138" xfId="0" applyFont="1" applyFill="1" applyBorder="1" applyAlignment="1">
      <alignment horizontal="center" vertical="center" wrapText="1"/>
    </xf>
    <xf numFmtId="0" fontId="74" fillId="68" borderId="94" xfId="0" applyFont="1" applyFill="1" applyBorder="1" applyAlignment="1">
      <alignment horizontal="center" vertical="center" wrapText="1"/>
    </xf>
    <xf numFmtId="0" fontId="74" fillId="68" borderId="17" xfId="0" applyFont="1" applyFill="1" applyBorder="1" applyAlignment="1">
      <alignment horizontal="center" vertical="center" wrapText="1"/>
    </xf>
    <xf numFmtId="0" fontId="74" fillId="68" borderId="129" xfId="0" applyFont="1" applyFill="1" applyBorder="1" applyAlignment="1">
      <alignment horizontal="center" vertical="center" wrapText="1"/>
    </xf>
    <xf numFmtId="0" fontId="74" fillId="68" borderId="133" xfId="0" applyFont="1" applyFill="1" applyBorder="1" applyAlignment="1">
      <alignment horizontal="center" vertical="center" wrapText="1"/>
    </xf>
    <xf numFmtId="0" fontId="74" fillId="68" borderId="18" xfId="0" applyFont="1" applyFill="1" applyBorder="1" applyAlignment="1">
      <alignment horizontal="center" vertical="center" wrapText="1"/>
    </xf>
    <xf numFmtId="0" fontId="74" fillId="68" borderId="58" xfId="0" applyFont="1" applyFill="1" applyBorder="1" applyAlignment="1">
      <alignment horizontal="center" vertical="center" wrapText="1"/>
    </xf>
    <xf numFmtId="0" fontId="74" fillId="68" borderId="47" xfId="0" applyFont="1" applyFill="1" applyBorder="1" applyAlignment="1">
      <alignment horizontal="center" vertical="center" wrapText="1"/>
    </xf>
    <xf numFmtId="0" fontId="74" fillId="68" borderId="10" xfId="0" applyFont="1" applyFill="1" applyBorder="1" applyAlignment="1">
      <alignment horizontal="center" vertical="center" wrapText="1"/>
    </xf>
    <xf numFmtId="0" fontId="74" fillId="68" borderId="139" xfId="0" applyFont="1" applyFill="1" applyBorder="1" applyAlignment="1">
      <alignment horizontal="center" vertical="center" wrapText="1"/>
    </xf>
    <xf numFmtId="0" fontId="74" fillId="68" borderId="127" xfId="0" applyFont="1" applyFill="1" applyBorder="1" applyAlignment="1">
      <alignment horizontal="center" vertical="center" wrapText="1"/>
    </xf>
    <xf numFmtId="0" fontId="73" fillId="78" borderId="138" xfId="0" applyFont="1" applyFill="1" applyBorder="1" applyAlignment="1">
      <alignment horizontal="center" vertical="center" wrapText="1"/>
    </xf>
    <xf numFmtId="0" fontId="74" fillId="68" borderId="128" xfId="0" applyFont="1" applyFill="1" applyBorder="1" applyAlignment="1">
      <alignment horizontal="center" vertical="center" wrapText="1"/>
    </xf>
    <xf numFmtId="0" fontId="74" fillId="68" borderId="25" xfId="0" applyFont="1" applyFill="1" applyBorder="1" applyAlignment="1">
      <alignment horizontal="center" vertical="center" wrapText="1"/>
    </xf>
    <xf numFmtId="0" fontId="74" fillId="68" borderId="54" xfId="0" applyFont="1" applyFill="1" applyBorder="1" applyAlignment="1">
      <alignment horizontal="center" vertical="center" wrapText="1"/>
    </xf>
    <xf numFmtId="0" fontId="50" fillId="0" borderId="69" xfId="0" applyFont="1" applyFill="1" applyBorder="1" applyAlignment="1">
      <alignment horizontal="center" vertical="center" wrapText="1"/>
    </xf>
    <xf numFmtId="0" fontId="50" fillId="17" borderId="69" xfId="0" applyFont="1" applyFill="1" applyBorder="1" applyAlignment="1">
      <alignment horizontal="center" vertical="center" wrapText="1"/>
    </xf>
    <xf numFmtId="0" fontId="50" fillId="17" borderId="126" xfId="0" applyFont="1" applyFill="1" applyBorder="1" applyAlignment="1">
      <alignment horizontal="center" vertical="center" wrapText="1"/>
    </xf>
    <xf numFmtId="0" fontId="50" fillId="17" borderId="70" xfId="0" applyFont="1" applyFill="1" applyBorder="1" applyAlignment="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81" xfId="0" applyFont="1" applyFill="1" applyBorder="1" applyAlignment="1" applyProtection="1">
      <alignment horizontal="center" vertical="center" wrapText="1"/>
      <protection locked="0"/>
    </xf>
    <xf numFmtId="0" fontId="48" fillId="6" borderId="69" xfId="0" applyFont="1" applyFill="1" applyBorder="1" applyAlignment="1" applyProtection="1">
      <alignment horizontal="center" vertical="center" wrapText="1"/>
      <protection locked="0"/>
    </xf>
    <xf numFmtId="0" fontId="48" fillId="6" borderId="90" xfId="0" applyFont="1" applyFill="1" applyBorder="1" applyAlignment="1" applyProtection="1">
      <alignment horizontal="center" vertical="center" wrapText="1"/>
      <protection locked="0"/>
    </xf>
    <xf numFmtId="0" fontId="50" fillId="0" borderId="101"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32" xfId="0" applyFont="1" applyFill="1" applyBorder="1" applyAlignment="1">
      <alignment horizontal="center" vertical="center" wrapText="1"/>
    </xf>
    <xf numFmtId="0" fontId="48" fillId="0" borderId="11" xfId="0" applyFont="1" applyFill="1" applyBorder="1" applyAlignment="1">
      <alignment horizontal="center" vertical="center" wrapText="1"/>
    </xf>
    <xf numFmtId="0" fontId="50" fillId="29" borderId="69" xfId="0" applyFont="1" applyFill="1" applyBorder="1" applyAlignment="1">
      <alignment horizontal="center" vertical="center" wrapText="1"/>
    </xf>
    <xf numFmtId="0" fontId="51" fillId="4" borderId="69" xfId="0" applyFont="1" applyFill="1" applyBorder="1" applyAlignment="1" applyProtection="1">
      <alignment horizontal="center" vertical="center" textRotation="90" wrapText="1"/>
      <protection locked="0"/>
    </xf>
    <xf numFmtId="0" fontId="51" fillId="4" borderId="90" xfId="0" applyFont="1" applyFill="1" applyBorder="1" applyAlignment="1" applyProtection="1">
      <alignment horizontal="center" vertical="center" textRotation="90" wrapText="1"/>
      <protection locked="0"/>
    </xf>
    <xf numFmtId="0" fontId="48" fillId="8" borderId="69" xfId="0" applyFont="1" applyFill="1" applyBorder="1" applyAlignment="1" applyProtection="1">
      <alignment horizontal="center" vertical="center" wrapText="1"/>
      <protection locked="0"/>
    </xf>
    <xf numFmtId="0" fontId="48" fillId="8" borderId="90" xfId="0" applyFont="1" applyFill="1" applyBorder="1" applyAlignment="1" applyProtection="1">
      <alignment horizontal="center" vertical="center" wrapText="1"/>
      <protection locked="0"/>
    </xf>
    <xf numFmtId="0" fontId="48" fillId="7" borderId="69" xfId="0" applyFont="1" applyFill="1" applyBorder="1" applyAlignment="1" applyProtection="1">
      <alignment horizontal="center" vertical="center"/>
      <protection locked="0"/>
    </xf>
    <xf numFmtId="0" fontId="48" fillId="7" borderId="70" xfId="0" applyFont="1" applyFill="1" applyBorder="1" applyAlignment="1" applyProtection="1">
      <alignment horizontal="center" vertical="center"/>
      <protection locked="0"/>
    </xf>
    <xf numFmtId="0" fontId="48" fillId="7" borderId="69" xfId="0" applyFont="1" applyFill="1" applyBorder="1" applyAlignment="1" applyProtection="1">
      <alignment horizontal="center" vertical="center" wrapText="1"/>
      <protection locked="0"/>
    </xf>
    <xf numFmtId="0" fontId="50" fillId="4" borderId="69" xfId="0" applyFont="1" applyFill="1" applyBorder="1" applyAlignment="1" applyProtection="1">
      <alignment horizontal="center"/>
      <protection locked="0"/>
    </xf>
    <xf numFmtId="0" fontId="49" fillId="9" borderId="69" xfId="0" applyFont="1" applyFill="1" applyBorder="1" applyAlignment="1" applyProtection="1">
      <alignment horizontal="center" vertical="center" textRotation="90" wrapText="1"/>
      <protection locked="0"/>
    </xf>
    <xf numFmtId="0" fontId="49" fillId="9" borderId="90" xfId="0" applyFont="1" applyFill="1" applyBorder="1" applyAlignment="1" applyProtection="1">
      <alignment horizontal="center" vertical="center" textRotation="90" wrapText="1"/>
      <protection locked="0"/>
    </xf>
    <xf numFmtId="0" fontId="48" fillId="4" borderId="70" xfId="0" applyFont="1" applyFill="1" applyBorder="1" applyAlignment="1" applyProtection="1">
      <alignment horizontal="center" vertical="center" wrapText="1"/>
      <protection locked="0"/>
    </xf>
    <xf numFmtId="0" fontId="48" fillId="4" borderId="82" xfId="0" applyFont="1" applyFill="1" applyBorder="1" applyAlignment="1" applyProtection="1">
      <alignment horizontal="center" vertical="center" wrapText="1"/>
      <protection locked="0"/>
    </xf>
    <xf numFmtId="0" fontId="51" fillId="0" borderId="80" xfId="0" applyFont="1" applyFill="1" applyBorder="1" applyAlignment="1">
      <alignment horizontal="center" vertical="center"/>
    </xf>
    <xf numFmtId="0" fontId="51" fillId="0" borderId="68" xfId="0" applyFont="1" applyFill="1" applyBorder="1" applyAlignment="1">
      <alignment horizontal="center" vertical="center"/>
    </xf>
    <xf numFmtId="0" fontId="49" fillId="42" borderId="98" xfId="0" applyFont="1" applyFill="1" applyBorder="1" applyAlignment="1">
      <alignment horizontal="center" vertical="center" wrapText="1"/>
    </xf>
    <xf numFmtId="0" fontId="49" fillId="42" borderId="26" xfId="0" applyFont="1" applyFill="1" applyBorder="1" applyAlignment="1">
      <alignment horizontal="center" vertical="center" wrapText="1"/>
    </xf>
    <xf numFmtId="0" fontId="49" fillId="42" borderId="56" xfId="0" applyFont="1" applyFill="1" applyBorder="1" applyAlignment="1">
      <alignment horizontal="center" vertical="center" wrapText="1"/>
    </xf>
    <xf numFmtId="0" fontId="50" fillId="7" borderId="70" xfId="0" applyFont="1" applyFill="1" applyBorder="1" applyAlignment="1">
      <alignment horizontal="center" vertical="center" wrapText="1"/>
    </xf>
    <xf numFmtId="0" fontId="49" fillId="42" borderId="32" xfId="0" applyFont="1" applyFill="1" applyBorder="1" applyAlignment="1">
      <alignment horizontal="center" vertical="center" wrapText="1"/>
    </xf>
    <xf numFmtId="0" fontId="49" fillId="44" borderId="98" xfId="0" applyFont="1" applyFill="1" applyBorder="1" applyAlignment="1">
      <alignment horizontal="center" vertical="center" wrapText="1"/>
    </xf>
    <xf numFmtId="0" fontId="49" fillId="44" borderId="26" xfId="0" applyFont="1" applyFill="1" applyBorder="1" applyAlignment="1">
      <alignment horizontal="center" vertical="center" wrapText="1"/>
    </xf>
    <xf numFmtId="0" fontId="49" fillId="44" borderId="32" xfId="0" applyFont="1" applyFill="1" applyBorder="1" applyAlignment="1">
      <alignment horizontal="center" vertical="center" wrapText="1"/>
    </xf>
    <xf numFmtId="191" fontId="51" fillId="0" borderId="98" xfId="10" applyNumberFormat="1" applyFont="1" applyBorder="1" applyAlignment="1">
      <alignment horizontal="center" vertical="center"/>
    </xf>
    <xf numFmtId="191" fontId="51" fillId="0" borderId="26" xfId="10" applyNumberFormat="1" applyFont="1" applyBorder="1" applyAlignment="1">
      <alignment horizontal="center" vertical="center"/>
    </xf>
    <xf numFmtId="191" fontId="51" fillId="0" borderId="32" xfId="10" applyNumberFormat="1" applyFont="1" applyBorder="1" applyAlignment="1">
      <alignment horizontal="center" vertical="center"/>
    </xf>
    <xf numFmtId="0" fontId="48" fillId="29" borderId="69" xfId="0" applyFont="1" applyFill="1" applyBorder="1" applyAlignment="1">
      <alignment horizontal="center" vertical="center" wrapText="1"/>
    </xf>
    <xf numFmtId="0" fontId="48" fillId="0" borderId="69" xfId="0" applyFont="1" applyFill="1" applyBorder="1" applyAlignment="1">
      <alignment horizontal="center" vertical="center" wrapText="1"/>
    </xf>
    <xf numFmtId="0" fontId="52" fillId="11" borderId="110" xfId="0" applyFont="1" applyFill="1" applyBorder="1" applyAlignment="1">
      <alignment horizontal="justify" vertical="center" wrapText="1"/>
    </xf>
    <xf numFmtId="0" fontId="52" fillId="11" borderId="25" xfId="0" applyFont="1" applyFill="1" applyBorder="1" applyAlignment="1">
      <alignment horizontal="justify" vertical="center" wrapText="1"/>
    </xf>
    <xf numFmtId="0" fontId="52" fillId="11" borderId="54" xfId="0" applyFont="1" applyFill="1" applyBorder="1" applyAlignment="1">
      <alignment horizontal="justify" vertical="center" wrapText="1"/>
    </xf>
    <xf numFmtId="0" fontId="51" fillId="68" borderId="108" xfId="0" applyFont="1" applyFill="1" applyBorder="1" applyAlignment="1">
      <alignment horizontal="justify" vertical="center" wrapText="1"/>
    </xf>
    <xf numFmtId="0" fontId="51" fillId="68" borderId="26" xfId="0" applyFont="1" applyFill="1" applyBorder="1" applyAlignment="1">
      <alignment horizontal="justify" vertical="center" wrapText="1"/>
    </xf>
    <xf numFmtId="0" fontId="51" fillId="68" borderId="32" xfId="0" applyFont="1" applyFill="1" applyBorder="1" applyAlignment="1">
      <alignment horizontal="justify" vertical="center" wrapText="1"/>
    </xf>
    <xf numFmtId="0" fontId="51" fillId="0" borderId="93" xfId="0" applyFont="1" applyFill="1" applyBorder="1" applyAlignment="1">
      <alignment horizontal="justify" vertical="center"/>
    </xf>
    <xf numFmtId="0" fontId="51" fillId="0" borderId="126" xfId="0" applyFont="1" applyFill="1" applyBorder="1" applyAlignment="1">
      <alignment horizontal="justify" vertical="center"/>
    </xf>
    <xf numFmtId="0" fontId="49" fillId="7" borderId="130" xfId="0" applyFont="1" applyFill="1" applyBorder="1" applyAlignment="1">
      <alignment horizontal="center" vertical="center" wrapText="1"/>
    </xf>
    <xf numFmtId="0" fontId="49" fillId="7" borderId="26" xfId="0" applyFont="1" applyFill="1" applyBorder="1" applyAlignment="1">
      <alignment horizontal="center" vertical="center" wrapText="1"/>
    </xf>
    <xf numFmtId="0" fontId="49" fillId="7" borderId="32" xfId="0" applyFont="1" applyFill="1" applyBorder="1" applyAlignment="1">
      <alignment horizontal="center" vertical="center" wrapText="1"/>
    </xf>
    <xf numFmtId="0" fontId="48" fillId="17" borderId="11" xfId="0" applyFont="1" applyFill="1" applyBorder="1" applyAlignment="1">
      <alignment horizontal="center" vertical="center" wrapText="1"/>
    </xf>
    <xf numFmtId="0" fontId="48" fillId="17" borderId="69" xfId="0" applyFont="1" applyFill="1" applyBorder="1" applyAlignment="1">
      <alignment horizontal="center" vertical="center" wrapText="1"/>
    </xf>
    <xf numFmtId="0" fontId="9" fillId="28" borderId="16" xfId="0" applyFont="1" applyFill="1" applyBorder="1" applyAlignment="1">
      <alignment horizontal="center" vertical="center"/>
    </xf>
    <xf numFmtId="0" fontId="9" fillId="28" borderId="17" xfId="0" applyFont="1" applyFill="1" applyBorder="1" applyAlignment="1">
      <alignment horizontal="center" vertical="center"/>
    </xf>
    <xf numFmtId="0" fontId="9" fillId="28" borderId="19" xfId="0" applyFont="1" applyFill="1" applyBorder="1" applyAlignment="1">
      <alignment horizontal="center" vertical="center"/>
    </xf>
    <xf numFmtId="0" fontId="9" fillId="28" borderId="50" xfId="0" applyFont="1" applyFill="1" applyBorder="1" applyAlignment="1">
      <alignment horizontal="center" vertical="center" wrapText="1"/>
    </xf>
    <xf numFmtId="0" fontId="9" fillId="28" borderId="65" xfId="0" applyFont="1" applyFill="1" applyBorder="1" applyAlignment="1">
      <alignment horizontal="center" vertical="center" wrapText="1"/>
    </xf>
    <xf numFmtId="0" fontId="9" fillId="28" borderId="53" xfId="0" applyFont="1" applyFill="1" applyBorder="1" applyAlignment="1">
      <alignment horizontal="center" vertical="center" wrapText="1"/>
    </xf>
    <xf numFmtId="0" fontId="3" fillId="4" borderId="42" xfId="0" applyFont="1" applyFill="1" applyBorder="1" applyAlignment="1" applyProtection="1">
      <alignment horizontal="center" vertical="center" wrapText="1"/>
      <protection locked="0"/>
    </xf>
    <xf numFmtId="0" fontId="3" fillId="4" borderId="25" xfId="0" applyFont="1" applyFill="1" applyBorder="1" applyAlignment="1" applyProtection="1">
      <alignment horizontal="center" vertical="center" wrapText="1"/>
      <protection locked="0"/>
    </xf>
    <xf numFmtId="9" fontId="8" fillId="71" borderId="149" xfId="5" applyFont="1" applyFill="1" applyBorder="1" applyAlignment="1" applyProtection="1">
      <alignment horizontal="center" vertical="center" wrapText="1"/>
      <protection locked="0"/>
    </xf>
    <xf numFmtId="0" fontId="8" fillId="6" borderId="58" xfId="0" applyFont="1" applyFill="1" applyBorder="1" applyAlignment="1" applyProtection="1">
      <alignment horizontal="center" vertical="center" wrapText="1"/>
      <protection locked="0"/>
    </xf>
    <xf numFmtId="0" fontId="8" fillId="6" borderId="47" xfId="0" applyFont="1" applyFill="1" applyBorder="1" applyAlignment="1" applyProtection="1">
      <alignment horizontal="center" vertical="center" wrapText="1"/>
      <protection locked="0"/>
    </xf>
    <xf numFmtId="0" fontId="8" fillId="7" borderId="18" xfId="0" applyFont="1" applyFill="1" applyBorder="1" applyAlignment="1" applyProtection="1">
      <alignment horizontal="center" vertical="center" wrapText="1"/>
      <protection locked="0"/>
    </xf>
    <xf numFmtId="0" fontId="8" fillId="7" borderId="58" xfId="0" applyFont="1" applyFill="1" applyBorder="1" applyAlignment="1" applyProtection="1">
      <alignment horizontal="center" vertical="center" wrapText="1"/>
      <protection locked="0"/>
    </xf>
    <xf numFmtId="0" fontId="8" fillId="7" borderId="47" xfId="0" applyFont="1" applyFill="1" applyBorder="1" applyAlignment="1" applyProtection="1">
      <alignment horizontal="center" vertical="center" wrapText="1"/>
      <protection locked="0"/>
    </xf>
    <xf numFmtId="0" fontId="3" fillId="4" borderId="7" xfId="0" applyFont="1" applyFill="1" applyBorder="1" applyAlignment="1" applyProtection="1">
      <alignment horizontal="center" vertical="center"/>
      <protection locked="0"/>
    </xf>
    <xf numFmtId="0" fontId="3" fillId="4" borderId="8" xfId="0" applyFont="1" applyFill="1" applyBorder="1" applyAlignment="1" applyProtection="1">
      <alignment horizontal="center" vertical="center"/>
      <protection locked="0"/>
    </xf>
    <xf numFmtId="0" fontId="8" fillId="10" borderId="8" xfId="0" applyFont="1" applyFill="1" applyBorder="1" applyAlignment="1" applyProtection="1">
      <alignment horizontal="center" vertical="center" wrapText="1"/>
      <protection locked="0"/>
    </xf>
    <xf numFmtId="0" fontId="8" fillId="10" borderId="149" xfId="0" applyFont="1" applyFill="1" applyBorder="1" applyAlignment="1" applyProtection="1">
      <alignment horizontal="center" vertical="center" wrapText="1"/>
      <protection locked="0"/>
    </xf>
    <xf numFmtId="3" fontId="0" fillId="40" borderId="10" xfId="0" applyNumberFormat="1" applyFont="1" applyFill="1" applyBorder="1" applyAlignment="1">
      <alignment horizontal="center" vertical="center"/>
    </xf>
    <xf numFmtId="3" fontId="0" fillId="40" borderId="26" xfId="0" applyNumberFormat="1" applyFont="1" applyFill="1" applyBorder="1" applyAlignment="1">
      <alignment horizontal="center" vertical="center"/>
    </xf>
    <xf numFmtId="3" fontId="0" fillId="40" borderId="32" xfId="0" applyNumberFormat="1" applyFont="1" applyFill="1" applyBorder="1" applyAlignment="1">
      <alignment horizontal="center" vertical="center"/>
    </xf>
    <xf numFmtId="3" fontId="0" fillId="40" borderId="36" xfId="0" applyNumberFormat="1" applyFont="1" applyFill="1" applyBorder="1" applyAlignment="1">
      <alignment horizontal="center" vertical="center" wrapText="1"/>
    </xf>
    <xf numFmtId="3" fontId="0" fillId="40" borderId="19" xfId="0" applyNumberFormat="1" applyFont="1" applyFill="1" applyBorder="1" applyAlignment="1">
      <alignment horizontal="center" vertical="center" wrapText="1"/>
    </xf>
    <xf numFmtId="3" fontId="0" fillId="40" borderId="105" xfId="0" applyNumberFormat="1" applyFont="1" applyFill="1" applyBorder="1" applyAlignment="1">
      <alignment horizontal="center"/>
    </xf>
    <xf numFmtId="3" fontId="0" fillId="40" borderId="111" xfId="0" applyNumberFormat="1" applyFont="1" applyFill="1" applyBorder="1" applyAlignment="1">
      <alignment horizontal="center"/>
    </xf>
    <xf numFmtId="0" fontId="11" fillId="40" borderId="102" xfId="0" applyFont="1" applyFill="1" applyBorder="1" applyAlignment="1">
      <alignment horizontal="center" vertical="center" wrapText="1"/>
    </xf>
    <xf numFmtId="0" fontId="11" fillId="40" borderId="148" xfId="0" applyFont="1" applyFill="1" applyBorder="1" applyAlignment="1">
      <alignment horizontal="center" vertical="center" wrapText="1"/>
    </xf>
    <xf numFmtId="0" fontId="0" fillId="7" borderId="108" xfId="0" applyFont="1" applyFill="1" applyBorder="1" applyAlignment="1">
      <alignment horizontal="center" vertical="center" wrapText="1"/>
    </xf>
    <xf numFmtId="0" fontId="0" fillId="7" borderId="32" xfId="0" applyFont="1" applyFill="1" applyBorder="1" applyAlignment="1">
      <alignment horizontal="center" vertical="center" wrapText="1"/>
    </xf>
    <xf numFmtId="3" fontId="0" fillId="44" borderId="10" xfId="0" applyNumberFormat="1" applyFont="1" applyFill="1" applyBorder="1" applyAlignment="1">
      <alignment horizontal="center" wrapText="1"/>
    </xf>
    <xf numFmtId="3" fontId="0" fillId="44" borderId="26" xfId="0" applyNumberFormat="1" applyFont="1" applyFill="1" applyBorder="1" applyAlignment="1">
      <alignment horizontal="center" wrapText="1"/>
    </xf>
    <xf numFmtId="3" fontId="0" fillId="44" borderId="32" xfId="0" applyNumberFormat="1" applyFont="1" applyFill="1" applyBorder="1" applyAlignment="1">
      <alignment horizontal="center" wrapText="1"/>
    </xf>
    <xf numFmtId="3" fontId="0" fillId="7" borderId="108" xfId="0" applyNumberFormat="1" applyFont="1" applyFill="1" applyBorder="1" applyAlignment="1">
      <alignment horizontal="center" vertical="center" wrapText="1"/>
    </xf>
    <xf numFmtId="3" fontId="0" fillId="7" borderId="32" xfId="0" applyNumberFormat="1" applyFont="1" applyFill="1" applyBorder="1" applyAlignment="1">
      <alignment horizontal="center" vertical="center" wrapText="1"/>
    </xf>
    <xf numFmtId="3" fontId="0" fillId="41" borderId="108" xfId="0" applyNumberFormat="1" applyFont="1" applyFill="1" applyBorder="1" applyAlignment="1">
      <alignment horizontal="center" vertical="center"/>
    </xf>
    <xf numFmtId="3" fontId="0" fillId="41" borderId="26" xfId="0" applyNumberFormat="1" applyFont="1" applyFill="1" applyBorder="1" applyAlignment="1">
      <alignment horizontal="center" vertical="center"/>
    </xf>
    <xf numFmtId="3" fontId="0" fillId="41" borderId="32" xfId="0" applyNumberFormat="1" applyFont="1" applyFill="1" applyBorder="1" applyAlignment="1">
      <alignment horizontal="center" vertical="center"/>
    </xf>
    <xf numFmtId="0" fontId="8" fillId="74" borderId="102" xfId="0" applyFont="1" applyFill="1" applyBorder="1" applyAlignment="1" applyProtection="1">
      <alignment horizontal="center" vertical="center" wrapText="1"/>
      <protection locked="0"/>
    </xf>
    <xf numFmtId="0" fontId="8" fillId="74" borderId="30" xfId="0" applyFont="1" applyFill="1" applyBorder="1" applyAlignment="1" applyProtection="1">
      <alignment horizontal="center" vertical="center" wrapText="1"/>
      <protection locked="0"/>
    </xf>
    <xf numFmtId="0" fontId="8" fillId="73" borderId="102" xfId="0" applyFont="1" applyFill="1" applyBorder="1" applyAlignment="1" applyProtection="1">
      <alignment horizontal="center" vertical="center" wrapText="1"/>
      <protection locked="0"/>
    </xf>
    <xf numFmtId="0" fontId="8" fillId="73" borderId="30" xfId="0" applyFont="1" applyFill="1" applyBorder="1" applyAlignment="1" applyProtection="1">
      <alignment horizontal="center" vertical="center" wrapText="1"/>
      <protection locked="0"/>
    </xf>
    <xf numFmtId="3" fontId="0" fillId="40" borderId="10" xfId="0" applyNumberFormat="1" applyFont="1" applyFill="1" applyBorder="1" applyAlignment="1">
      <alignment horizontal="center" vertical="center" wrapText="1"/>
    </xf>
    <xf numFmtId="3" fontId="0" fillId="40" borderId="26" xfId="0" applyNumberFormat="1" applyFont="1" applyFill="1" applyBorder="1" applyAlignment="1">
      <alignment horizontal="center" vertical="center" wrapText="1"/>
    </xf>
    <xf numFmtId="3" fontId="0" fillId="40" borderId="32" xfId="0" applyNumberFormat="1" applyFont="1" applyFill="1" applyBorder="1" applyAlignment="1">
      <alignment horizontal="center" vertical="center" wrapText="1"/>
    </xf>
    <xf numFmtId="3" fontId="0" fillId="7" borderId="10" xfId="7" applyNumberFormat="1" applyFont="1" applyFill="1" applyBorder="1" applyAlignment="1">
      <alignment horizontal="center" vertical="center"/>
    </xf>
    <xf numFmtId="3" fontId="0" fillId="7" borderId="32" xfId="7" applyNumberFormat="1" applyFont="1" applyFill="1" applyBorder="1" applyAlignment="1">
      <alignment horizontal="center" vertical="center"/>
    </xf>
    <xf numFmtId="3" fontId="0" fillId="7" borderId="10" xfId="0" applyNumberFormat="1" applyFont="1" applyFill="1" applyBorder="1" applyAlignment="1">
      <alignment horizontal="center" vertical="center"/>
    </xf>
    <xf numFmtId="3" fontId="0" fillId="7" borderId="32" xfId="0" applyNumberFormat="1" applyFont="1" applyFill="1" applyBorder="1" applyAlignment="1">
      <alignment horizontal="center" vertical="center"/>
    </xf>
    <xf numFmtId="173" fontId="16" fillId="7" borderId="10" xfId="20" applyNumberFormat="1" applyFont="1" applyFill="1" applyBorder="1" applyAlignment="1">
      <alignment horizontal="center" vertical="center" wrapText="1"/>
    </xf>
    <xf numFmtId="173" fontId="16" fillId="7" borderId="26" xfId="20" applyNumberFormat="1" applyFont="1" applyFill="1" applyBorder="1" applyAlignment="1">
      <alignment horizontal="center" vertical="center" wrapText="1"/>
    </xf>
    <xf numFmtId="173" fontId="16" fillId="7" borderId="56" xfId="20" applyNumberFormat="1" applyFont="1" applyFill="1" applyBorder="1" applyAlignment="1">
      <alignment horizontal="center" vertical="center" wrapText="1"/>
    </xf>
    <xf numFmtId="173" fontId="16" fillId="41" borderId="10" xfId="20" applyNumberFormat="1" applyFont="1" applyFill="1" applyBorder="1" applyAlignment="1">
      <alignment horizontal="center" vertical="center" wrapText="1"/>
    </xf>
    <xf numFmtId="173" fontId="16" fillId="41" borderId="26" xfId="20" applyNumberFormat="1" applyFont="1" applyFill="1" applyBorder="1" applyAlignment="1">
      <alignment horizontal="center" vertical="center" wrapText="1"/>
    </xf>
    <xf numFmtId="173" fontId="16" fillId="41" borderId="56" xfId="20" applyNumberFormat="1" applyFont="1" applyFill="1" applyBorder="1" applyAlignment="1">
      <alignment horizontal="center" vertical="center" wrapText="1"/>
    </xf>
    <xf numFmtId="0" fontId="3" fillId="4" borderId="8" xfId="0" applyFont="1" applyFill="1" applyBorder="1" applyAlignment="1" applyProtection="1">
      <alignment horizontal="center" vertical="center" wrapText="1"/>
      <protection locked="0"/>
    </xf>
    <xf numFmtId="0" fontId="3" fillId="4" borderId="149" xfId="0" applyFont="1" applyFill="1" applyBorder="1" applyAlignment="1" applyProtection="1">
      <alignment horizontal="center" vertical="center" wrapText="1"/>
      <protection locked="0"/>
    </xf>
    <xf numFmtId="3" fontId="0" fillId="41" borderId="108" xfId="7" applyNumberFormat="1" applyFont="1" applyFill="1" applyBorder="1" applyAlignment="1">
      <alignment horizontal="center" vertical="center"/>
    </xf>
    <xf numFmtId="3" fontId="0" fillId="41" borderId="26" xfId="7" applyNumberFormat="1" applyFont="1" applyFill="1" applyBorder="1" applyAlignment="1">
      <alignment horizontal="center" vertical="center"/>
    </xf>
    <xf numFmtId="3" fontId="0" fillId="41" borderId="32" xfId="7" applyNumberFormat="1" applyFont="1" applyFill="1" applyBorder="1" applyAlignment="1">
      <alignment horizontal="center" vertical="center"/>
    </xf>
    <xf numFmtId="173" fontId="16" fillId="40" borderId="113" xfId="20" applyNumberFormat="1" applyFont="1" applyFill="1" applyBorder="1" applyAlignment="1">
      <alignment horizontal="center" vertical="center" wrapText="1"/>
    </xf>
    <xf numFmtId="173" fontId="16" fillId="40" borderId="2" xfId="20" applyNumberFormat="1" applyFont="1" applyFill="1" applyBorder="1" applyAlignment="1">
      <alignment horizontal="center" vertical="center" wrapText="1"/>
    </xf>
    <xf numFmtId="173" fontId="16" fillId="40" borderId="26" xfId="20" applyNumberFormat="1" applyFont="1" applyFill="1" applyBorder="1" applyAlignment="1">
      <alignment horizontal="center" vertical="center" wrapText="1"/>
    </xf>
    <xf numFmtId="173" fontId="16" fillId="40" borderId="56" xfId="20" applyNumberFormat="1" applyFont="1" applyFill="1" applyBorder="1" applyAlignment="1">
      <alignment horizontal="center" vertical="center" wrapText="1"/>
    </xf>
    <xf numFmtId="173" fontId="16" fillId="44" borderId="10" xfId="20" applyNumberFormat="1" applyFont="1" applyFill="1" applyBorder="1" applyAlignment="1">
      <alignment horizontal="center" vertical="center" wrapText="1"/>
    </xf>
    <xf numFmtId="173" fontId="16" fillId="44" borderId="26" xfId="20" applyNumberFormat="1" applyFont="1" applyFill="1" applyBorder="1" applyAlignment="1">
      <alignment horizontal="center" vertical="center" wrapText="1"/>
    </xf>
    <xf numFmtId="173" fontId="16" fillId="44" borderId="56" xfId="20" applyNumberFormat="1" applyFont="1" applyFill="1" applyBorder="1" applyAlignment="1">
      <alignment horizontal="center" vertical="center" wrapText="1"/>
    </xf>
    <xf numFmtId="173" fontId="16" fillId="38" borderId="10" xfId="20" applyNumberFormat="1" applyFont="1" applyFill="1" applyBorder="1" applyAlignment="1">
      <alignment horizontal="center" vertical="center" wrapText="1"/>
    </xf>
    <xf numFmtId="173" fontId="16" fillId="38" borderId="26" xfId="20" applyNumberFormat="1" applyFont="1" applyFill="1" applyBorder="1" applyAlignment="1">
      <alignment horizontal="center" vertical="center" wrapText="1"/>
    </xf>
    <xf numFmtId="173" fontId="16" fillId="38" borderId="56" xfId="20" applyNumberFormat="1" applyFont="1" applyFill="1" applyBorder="1" applyAlignment="1">
      <alignment horizontal="center" vertical="center" wrapText="1"/>
    </xf>
    <xf numFmtId="0" fontId="3" fillId="4" borderId="9" xfId="0" applyFont="1" applyFill="1" applyBorder="1" applyAlignment="1" applyProtection="1">
      <alignment horizontal="center" vertical="center"/>
      <protection locked="0"/>
    </xf>
    <xf numFmtId="0" fontId="3" fillId="4" borderId="19" xfId="0" applyFont="1" applyFill="1" applyBorder="1" applyAlignment="1" applyProtection="1">
      <alignment horizontal="center" vertical="center" wrapText="1"/>
      <protection locked="0"/>
    </xf>
    <xf numFmtId="0" fontId="3" fillId="4" borderId="157" xfId="0" applyFont="1" applyFill="1" applyBorder="1" applyAlignment="1" applyProtection="1">
      <alignment horizontal="center" vertical="center" wrapText="1"/>
      <protection locked="0"/>
    </xf>
    <xf numFmtId="0" fontId="10" fillId="41" borderId="20" xfId="0" applyFont="1" applyFill="1" applyBorder="1" applyAlignment="1">
      <alignment horizontal="center"/>
    </xf>
    <xf numFmtId="0" fontId="10" fillId="41" borderId="26" xfId="0" applyFont="1" applyFill="1" applyBorder="1" applyAlignment="1">
      <alignment horizontal="center"/>
    </xf>
    <xf numFmtId="0" fontId="10" fillId="41" borderId="32" xfId="0" applyFont="1" applyFill="1" applyBorder="1" applyAlignment="1">
      <alignment horizontal="center"/>
    </xf>
    <xf numFmtId="0" fontId="9" fillId="74" borderId="42" xfId="0" applyFont="1" applyFill="1" applyBorder="1" applyAlignment="1" applyProtection="1">
      <alignment horizontal="center" vertical="center" wrapText="1"/>
      <protection locked="0"/>
    </xf>
    <xf numFmtId="0" fontId="9" fillId="74" borderId="25" xfId="0" applyFont="1" applyFill="1" applyBorder="1" applyAlignment="1" applyProtection="1">
      <alignment horizontal="center" vertical="center" wrapText="1"/>
      <protection locked="0"/>
    </xf>
    <xf numFmtId="0" fontId="9" fillId="29" borderId="93" xfId="0" applyFont="1" applyFill="1" applyBorder="1" applyAlignment="1" applyProtection="1">
      <alignment horizontal="center" vertical="center" wrapText="1"/>
      <protection locked="0"/>
    </xf>
    <xf numFmtId="0" fontId="0" fillId="7" borderId="10" xfId="0" applyFont="1" applyFill="1" applyBorder="1" applyAlignment="1">
      <alignment horizontal="center" wrapText="1"/>
    </xf>
    <xf numFmtId="0" fontId="0" fillId="7" borderId="32" xfId="0" applyFont="1" applyFill="1" applyBorder="1" applyAlignment="1">
      <alignment horizontal="center" wrapText="1"/>
    </xf>
    <xf numFmtId="10" fontId="0" fillId="7" borderId="10" xfId="0" applyNumberFormat="1" applyFont="1" applyFill="1" applyBorder="1" applyAlignment="1">
      <alignment horizontal="center" vertical="center" wrapText="1"/>
    </xf>
    <xf numFmtId="0" fontId="9" fillId="4" borderId="34" xfId="0" applyFont="1" applyFill="1" applyBorder="1" applyAlignment="1" applyProtection="1">
      <alignment horizontal="center" vertical="center" wrapText="1"/>
      <protection locked="0"/>
    </xf>
    <xf numFmtId="0" fontId="9" fillId="4" borderId="35" xfId="0" applyFont="1" applyFill="1" applyBorder="1" applyAlignment="1" applyProtection="1">
      <alignment horizontal="center" vertical="center" wrapText="1"/>
      <protection locked="0"/>
    </xf>
    <xf numFmtId="190" fontId="10" fillId="40" borderId="10" xfId="4" applyNumberFormat="1" applyFont="1" applyFill="1" applyBorder="1" applyAlignment="1">
      <alignment horizontal="center" vertical="center"/>
    </xf>
    <xf numFmtId="190" fontId="10" fillId="40" borderId="26" xfId="4" applyNumberFormat="1" applyFont="1" applyFill="1" applyBorder="1" applyAlignment="1">
      <alignment horizontal="center" vertical="center"/>
    </xf>
    <xf numFmtId="190" fontId="10" fillId="40" borderId="32" xfId="4" applyNumberFormat="1" applyFont="1" applyFill="1" applyBorder="1" applyAlignment="1">
      <alignment horizontal="center" vertical="center"/>
    </xf>
    <xf numFmtId="190" fontId="10" fillId="40" borderId="10" xfId="0" applyNumberFormat="1" applyFont="1" applyFill="1" applyBorder="1" applyAlignment="1">
      <alignment horizontal="center" vertical="center"/>
    </xf>
    <xf numFmtId="0" fontId="10" fillId="40" borderId="26" xfId="0" applyFont="1" applyFill="1" applyBorder="1" applyAlignment="1">
      <alignment horizontal="center" vertical="center"/>
    </xf>
    <xf numFmtId="0" fontId="10" fillId="40" borderId="32" xfId="0" applyFont="1" applyFill="1" applyBorder="1" applyAlignment="1">
      <alignment horizontal="center" vertical="center"/>
    </xf>
    <xf numFmtId="0" fontId="10" fillId="40" borderId="10" xfId="0" applyFont="1" applyFill="1" applyBorder="1" applyAlignment="1">
      <alignment horizontal="center" vertical="center"/>
    </xf>
    <xf numFmtId="0" fontId="10" fillId="40" borderId="10" xfId="0" applyFont="1" applyFill="1" applyBorder="1" applyAlignment="1">
      <alignment horizontal="center" vertical="center" wrapText="1"/>
    </xf>
    <xf numFmtId="0" fontId="10" fillId="40" borderId="26" xfId="0" applyFont="1" applyFill="1" applyBorder="1" applyAlignment="1">
      <alignment horizontal="center" vertical="center" wrapText="1"/>
    </xf>
    <xf numFmtId="0" fontId="10" fillId="40" borderId="32" xfId="0" applyFont="1" applyFill="1" applyBorder="1" applyAlignment="1">
      <alignment horizontal="center" vertical="center" wrapText="1"/>
    </xf>
    <xf numFmtId="190" fontId="10" fillId="40" borderId="20" xfId="4" applyNumberFormat="1" applyFont="1" applyFill="1" applyBorder="1" applyAlignment="1">
      <alignment horizontal="center" vertical="center" wrapText="1"/>
    </xf>
    <xf numFmtId="190" fontId="10" fillId="40" borderId="32" xfId="4" applyNumberFormat="1" applyFont="1" applyFill="1" applyBorder="1" applyAlignment="1">
      <alignment horizontal="center" vertical="center" wrapText="1"/>
    </xf>
    <xf numFmtId="0" fontId="9" fillId="5" borderId="58" xfId="0" applyFont="1" applyFill="1" applyBorder="1" applyAlignment="1" applyProtection="1">
      <alignment horizontal="center" vertical="center"/>
      <protection locked="0"/>
    </xf>
    <xf numFmtId="0" fontId="9" fillId="5" borderId="47" xfId="0" applyFont="1" applyFill="1" applyBorder="1" applyAlignment="1" applyProtection="1">
      <alignment horizontal="center" vertical="center"/>
      <protection locked="0"/>
    </xf>
    <xf numFmtId="0" fontId="9" fillId="6" borderId="42" xfId="0" applyFont="1" applyFill="1" applyBorder="1" applyAlignment="1" applyProtection="1">
      <alignment horizontal="center" vertical="center" wrapText="1"/>
      <protection locked="0"/>
    </xf>
    <xf numFmtId="0" fontId="9" fillId="6" borderId="25" xfId="0"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wrapText="1"/>
      <protection locked="0"/>
    </xf>
    <xf numFmtId="0" fontId="9" fillId="6" borderId="26" xfId="0" applyFont="1" applyFill="1" applyBorder="1" applyAlignment="1" applyProtection="1">
      <alignment horizontal="center" vertical="center" wrapText="1"/>
      <protection locked="0"/>
    </xf>
    <xf numFmtId="0" fontId="9" fillId="6" borderId="14" xfId="0" applyFont="1" applyFill="1" applyBorder="1" applyAlignment="1" applyProtection="1">
      <alignment horizontal="center" vertical="center" wrapText="1"/>
      <protection locked="0"/>
    </xf>
    <xf numFmtId="0" fontId="9" fillId="6" borderId="27" xfId="0"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center" vertical="center" wrapText="1"/>
      <protection locked="0"/>
    </xf>
    <xf numFmtId="0" fontId="9" fillId="6" borderId="6" xfId="0" applyFont="1" applyFill="1" applyBorder="1" applyAlignment="1" applyProtection="1">
      <alignment horizontal="center" vertical="center" wrapText="1"/>
      <protection locked="0"/>
    </xf>
    <xf numFmtId="0" fontId="9" fillId="7" borderId="4" xfId="0" applyFont="1" applyFill="1" applyBorder="1" applyAlignment="1" applyProtection="1">
      <alignment horizontal="center" vertical="center" wrapText="1"/>
      <protection locked="0"/>
    </xf>
    <xf numFmtId="0" fontId="9" fillId="7" borderId="5" xfId="0" applyFont="1" applyFill="1" applyBorder="1" applyAlignment="1" applyProtection="1">
      <alignment horizontal="center" vertical="center" wrapText="1"/>
      <protection locked="0"/>
    </xf>
    <xf numFmtId="0" fontId="9" fillId="7" borderId="6" xfId="0" applyFont="1" applyFill="1" applyBorder="1" applyAlignment="1" applyProtection="1">
      <alignment horizontal="center" vertical="center" wrapText="1"/>
      <protection locked="0"/>
    </xf>
    <xf numFmtId="0" fontId="9" fillId="7" borderId="4" xfId="0" applyFont="1" applyFill="1" applyBorder="1" applyAlignment="1" applyProtection="1">
      <alignment horizontal="center" vertical="center"/>
      <protection locked="0"/>
    </xf>
    <xf numFmtId="0" fontId="9" fillId="7" borderId="5" xfId="0" applyFont="1" applyFill="1" applyBorder="1" applyAlignment="1" applyProtection="1">
      <alignment horizontal="center" vertical="center"/>
      <protection locked="0"/>
    </xf>
    <xf numFmtId="0" fontId="9" fillId="8" borderId="13" xfId="0" applyFont="1" applyFill="1" applyBorder="1" applyAlignment="1" applyProtection="1">
      <alignment horizontal="center" vertical="center" wrapText="1"/>
      <protection locked="0"/>
    </xf>
    <xf numFmtId="0" fontId="9" fillId="8" borderId="24" xfId="0" applyFont="1" applyFill="1" applyBorder="1" applyAlignment="1" applyProtection="1">
      <alignment horizontal="center" vertical="center" wrapText="1"/>
      <protection locked="0"/>
    </xf>
    <xf numFmtId="0" fontId="9" fillId="10" borderId="13" xfId="0" applyFont="1" applyFill="1" applyBorder="1" applyAlignment="1" applyProtection="1">
      <alignment horizontal="center" vertical="center" wrapText="1"/>
      <protection locked="0"/>
    </xf>
    <xf numFmtId="0" fontId="9" fillId="10" borderId="24" xfId="0" applyFont="1" applyFill="1" applyBorder="1" applyAlignment="1" applyProtection="1">
      <alignment horizontal="center" vertical="center" wrapText="1"/>
      <protection locked="0"/>
    </xf>
    <xf numFmtId="0" fontId="9" fillId="4" borderId="13" xfId="0" applyFont="1" applyFill="1" applyBorder="1" applyAlignment="1" applyProtection="1">
      <alignment horizontal="center" vertical="center" wrapText="1"/>
      <protection locked="0"/>
    </xf>
    <xf numFmtId="0" fontId="9" fillId="4" borderId="24" xfId="0" applyFont="1" applyFill="1" applyBorder="1" applyAlignment="1" applyProtection="1">
      <alignment horizontal="center" vertical="center" wrapText="1"/>
      <protection locked="0"/>
    </xf>
    <xf numFmtId="0" fontId="9" fillId="9" borderId="16" xfId="0" applyFont="1" applyFill="1" applyBorder="1" applyAlignment="1" applyProtection="1">
      <alignment horizontal="center" vertical="center" wrapText="1"/>
      <protection locked="0"/>
    </xf>
    <xf numFmtId="0" fontId="9" fillId="9" borderId="15" xfId="0" applyFont="1" applyFill="1" applyBorder="1" applyAlignment="1" applyProtection="1">
      <alignment horizontal="center" vertical="center" wrapText="1"/>
      <protection locked="0"/>
    </xf>
    <xf numFmtId="0" fontId="9" fillId="9" borderId="17" xfId="0" applyFont="1" applyFill="1" applyBorder="1" applyAlignment="1" applyProtection="1">
      <alignment horizontal="center" vertical="center" wrapText="1"/>
      <protection locked="0"/>
    </xf>
    <xf numFmtId="0" fontId="9" fillId="4" borderId="16"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protection locked="0"/>
    </xf>
    <xf numFmtId="0" fontId="9" fillId="4" borderId="15" xfId="0" applyFont="1" applyFill="1" applyBorder="1" applyAlignment="1" applyProtection="1">
      <alignment horizontal="center" vertical="center"/>
      <protection locked="0"/>
    </xf>
    <xf numFmtId="0" fontId="10" fillId="9" borderId="10" xfId="0" applyFont="1" applyFill="1" applyBorder="1" applyAlignment="1" applyProtection="1">
      <alignment horizontal="center" vertical="center" textRotation="90" wrapText="1"/>
      <protection locked="0"/>
    </xf>
    <xf numFmtId="0" fontId="10" fillId="9" borderId="26" xfId="0" applyFont="1" applyFill="1" applyBorder="1" applyAlignment="1" applyProtection="1">
      <alignment horizontal="center" vertical="center" textRotation="90" wrapText="1"/>
      <protection locked="0"/>
    </xf>
    <xf numFmtId="0" fontId="10" fillId="9" borderId="14" xfId="0" applyFont="1" applyFill="1" applyBorder="1" applyAlignment="1" applyProtection="1">
      <alignment horizontal="center" vertical="center" textRotation="90" wrapText="1"/>
      <protection locked="0"/>
    </xf>
    <xf numFmtId="0" fontId="10" fillId="9" borderId="27" xfId="0" applyFont="1" applyFill="1" applyBorder="1" applyAlignment="1" applyProtection="1">
      <alignment horizontal="center" vertical="center" textRotation="90" wrapText="1"/>
      <protection locked="0"/>
    </xf>
    <xf numFmtId="0" fontId="9" fillId="4" borderId="36" xfId="0" applyFont="1" applyFill="1" applyBorder="1" applyAlignment="1" applyProtection="1">
      <alignment horizontal="center"/>
      <protection locked="0"/>
    </xf>
    <xf numFmtId="0" fontId="9" fillId="4" borderId="17" xfId="0" applyFont="1" applyFill="1" applyBorder="1" applyAlignment="1" applyProtection="1">
      <alignment horizontal="center"/>
      <protection locked="0"/>
    </xf>
    <xf numFmtId="0" fontId="9" fillId="4" borderId="19" xfId="0" applyFont="1" applyFill="1" applyBorder="1" applyAlignment="1" applyProtection="1">
      <alignment horizontal="center"/>
      <protection locked="0"/>
    </xf>
    <xf numFmtId="0" fontId="10" fillId="9" borderId="34" xfId="0" applyFont="1" applyFill="1" applyBorder="1" applyAlignment="1" applyProtection="1">
      <alignment horizontal="center" vertical="center" textRotation="90" wrapText="1"/>
      <protection locked="0"/>
    </xf>
    <xf numFmtId="0" fontId="10" fillId="9" borderId="35" xfId="0" applyFont="1" applyFill="1" applyBorder="1" applyAlignment="1" applyProtection="1">
      <alignment horizontal="center" vertical="center" textRotation="90" wrapText="1"/>
      <protection locked="0"/>
    </xf>
    <xf numFmtId="0" fontId="9" fillId="28" borderId="8" xfId="0" applyFont="1" applyFill="1" applyBorder="1" applyAlignment="1">
      <alignment horizontal="center" vertical="center" wrapText="1"/>
    </xf>
    <xf numFmtId="0" fontId="9" fillId="28" borderId="20" xfId="0" applyFont="1" applyFill="1" applyBorder="1" applyAlignment="1">
      <alignment horizontal="center" vertical="center" wrapText="1"/>
    </xf>
    <xf numFmtId="9" fontId="10" fillId="7" borderId="10" xfId="0" applyNumberFormat="1" applyFont="1" applyFill="1" applyBorder="1" applyAlignment="1">
      <alignment horizontal="center" vertical="top" wrapText="1"/>
    </xf>
    <xf numFmtId="9" fontId="10" fillId="7" borderId="32" xfId="0" applyNumberFormat="1" applyFont="1" applyFill="1" applyBorder="1" applyAlignment="1">
      <alignment horizontal="center" vertical="top" wrapText="1"/>
    </xf>
    <xf numFmtId="0" fontId="10" fillId="7" borderId="10" xfId="0" applyFont="1" applyFill="1" applyBorder="1" applyAlignment="1">
      <alignment horizontal="center" vertical="top" wrapText="1"/>
    </xf>
    <xf numFmtId="0" fontId="10" fillId="7" borderId="32" xfId="0" applyFont="1" applyFill="1" applyBorder="1" applyAlignment="1">
      <alignment horizontal="center" vertical="top" wrapText="1"/>
    </xf>
    <xf numFmtId="3" fontId="10" fillId="7" borderId="10" xfId="0" applyNumberFormat="1" applyFont="1" applyFill="1" applyBorder="1" applyAlignment="1">
      <alignment horizontal="center" vertical="top"/>
    </xf>
    <xf numFmtId="0" fontId="10" fillId="7" borderId="32" xfId="0" applyFont="1" applyFill="1" applyBorder="1" applyAlignment="1">
      <alignment horizontal="center" vertical="top"/>
    </xf>
    <xf numFmtId="0" fontId="10" fillId="44" borderId="10" xfId="0" applyFont="1" applyFill="1" applyBorder="1" applyAlignment="1">
      <alignment horizontal="center" vertical="center" wrapText="1"/>
    </xf>
    <xf numFmtId="0" fontId="10" fillId="44" borderId="26" xfId="0" applyFont="1" applyFill="1" applyBorder="1" applyAlignment="1">
      <alignment horizontal="center" vertical="center" wrapText="1"/>
    </xf>
    <xf numFmtId="0" fontId="10" fillId="44" borderId="32" xfId="0" applyFont="1" applyFill="1" applyBorder="1" applyAlignment="1">
      <alignment horizontal="center" vertical="center" wrapText="1"/>
    </xf>
    <xf numFmtId="0" fontId="9" fillId="74" borderId="93" xfId="0" applyFont="1" applyFill="1" applyBorder="1" applyAlignment="1" applyProtection="1">
      <alignment horizontal="center" vertical="center" wrapText="1"/>
      <protection locked="0"/>
    </xf>
    <xf numFmtId="0" fontId="9" fillId="73" borderId="10" xfId="0" applyFont="1" applyFill="1" applyBorder="1" applyAlignment="1" applyProtection="1">
      <alignment horizontal="center" vertical="center" wrapText="1"/>
      <protection locked="0"/>
    </xf>
    <xf numFmtId="0" fontId="9" fillId="73" borderId="26" xfId="0" applyFont="1" applyFill="1" applyBorder="1" applyAlignment="1" applyProtection="1">
      <alignment horizontal="center" vertical="center" wrapText="1"/>
      <protection locked="0"/>
    </xf>
    <xf numFmtId="3" fontId="9" fillId="73" borderId="10" xfId="0" applyNumberFormat="1" applyFont="1" applyFill="1" applyBorder="1" applyAlignment="1" applyProtection="1">
      <alignment horizontal="center" vertical="center" wrapText="1"/>
      <protection locked="0"/>
    </xf>
    <xf numFmtId="3" fontId="9" fillId="73" borderId="26" xfId="0" applyNumberFormat="1" applyFont="1" applyFill="1" applyBorder="1" applyAlignment="1" applyProtection="1">
      <alignment horizontal="center" vertical="center" wrapText="1"/>
      <protection locked="0"/>
    </xf>
    <xf numFmtId="3" fontId="9" fillId="73" borderId="14" xfId="0" applyNumberFormat="1" applyFont="1" applyFill="1" applyBorder="1" applyAlignment="1" applyProtection="1">
      <alignment horizontal="center" vertical="center" wrapText="1"/>
      <protection locked="0"/>
    </xf>
    <xf numFmtId="3" fontId="9" fillId="73" borderId="27" xfId="0" applyNumberFormat="1" applyFont="1" applyFill="1" applyBorder="1" applyAlignment="1" applyProtection="1">
      <alignment horizontal="center" vertical="center" wrapText="1"/>
      <protection locked="0"/>
    </xf>
    <xf numFmtId="3" fontId="9" fillId="73" borderId="4" xfId="0" applyNumberFormat="1" applyFont="1" applyFill="1" applyBorder="1" applyAlignment="1" applyProtection="1">
      <alignment horizontal="center" vertical="center" wrapText="1"/>
      <protection locked="0"/>
    </xf>
    <xf numFmtId="3" fontId="9" fillId="73" borderId="5" xfId="0" applyNumberFormat="1" applyFont="1" applyFill="1" applyBorder="1" applyAlignment="1" applyProtection="1">
      <alignment horizontal="center" vertical="center" wrapText="1"/>
      <protection locked="0"/>
    </xf>
    <xf numFmtId="3" fontId="9" fillId="73" borderId="6" xfId="0" applyNumberFormat="1" applyFont="1" applyFill="1" applyBorder="1" applyAlignment="1" applyProtection="1">
      <alignment horizontal="center" vertical="center" wrapText="1"/>
      <protection locked="0"/>
    </xf>
    <xf numFmtId="3" fontId="9" fillId="6" borderId="4" xfId="0" applyNumberFormat="1" applyFont="1" applyFill="1" applyBorder="1" applyAlignment="1" applyProtection="1">
      <alignment horizontal="center" vertical="center" wrapText="1"/>
      <protection locked="0"/>
    </xf>
    <xf numFmtId="3" fontId="9" fillId="6" borderId="5" xfId="0" applyNumberFormat="1" applyFont="1" applyFill="1" applyBorder="1" applyAlignment="1" applyProtection="1">
      <alignment horizontal="center" vertical="center" wrapText="1"/>
      <protection locked="0"/>
    </xf>
    <xf numFmtId="3" fontId="9" fillId="6" borderId="6" xfId="0" applyNumberFormat="1" applyFont="1" applyFill="1" applyBorder="1" applyAlignment="1" applyProtection="1">
      <alignment horizontal="center" vertical="center" wrapText="1"/>
      <protection locked="0"/>
    </xf>
    <xf numFmtId="3" fontId="9" fillId="7" borderId="4" xfId="0" applyNumberFormat="1" applyFont="1" applyFill="1" applyBorder="1" applyAlignment="1" applyProtection="1">
      <alignment horizontal="center" vertical="center" wrapText="1"/>
      <protection locked="0"/>
    </xf>
    <xf numFmtId="3" fontId="9" fillId="7" borderId="5" xfId="0" applyNumberFormat="1" applyFont="1" applyFill="1" applyBorder="1" applyAlignment="1" applyProtection="1">
      <alignment horizontal="center" vertical="center" wrapText="1"/>
      <protection locked="0"/>
    </xf>
    <xf numFmtId="3" fontId="9" fillId="7" borderId="6" xfId="0" applyNumberFormat="1" applyFont="1" applyFill="1" applyBorder="1" applyAlignment="1" applyProtection="1">
      <alignment horizontal="center" vertical="center" wrapText="1"/>
      <protection locked="0"/>
    </xf>
    <xf numFmtId="3" fontId="9" fillId="7" borderId="4" xfId="0" applyNumberFormat="1" applyFont="1" applyFill="1" applyBorder="1" applyAlignment="1" applyProtection="1">
      <alignment horizontal="center" vertical="center"/>
      <protection locked="0"/>
    </xf>
    <xf numFmtId="3" fontId="9" fillId="7" borderId="5" xfId="0" applyNumberFormat="1" applyFont="1" applyFill="1" applyBorder="1" applyAlignment="1" applyProtection="1">
      <alignment horizontal="center" vertical="center"/>
      <protection locked="0"/>
    </xf>
    <xf numFmtId="3" fontId="9" fillId="7" borderId="6" xfId="0" applyNumberFormat="1" applyFont="1" applyFill="1" applyBorder="1" applyAlignment="1" applyProtection="1">
      <alignment horizontal="center" vertical="center"/>
      <protection locked="0"/>
    </xf>
    <xf numFmtId="3" fontId="9" fillId="73" borderId="13" xfId="0" applyNumberFormat="1" applyFont="1" applyFill="1" applyBorder="1" applyAlignment="1" applyProtection="1">
      <alignment horizontal="center" vertical="center" wrapText="1"/>
      <protection locked="0"/>
    </xf>
    <xf numFmtId="3" fontId="9" fillId="73" borderId="24" xfId="0" applyNumberFormat="1" applyFont="1" applyFill="1" applyBorder="1" applyAlignment="1" applyProtection="1">
      <alignment horizontal="center" vertical="center" wrapText="1"/>
      <protection locked="0"/>
    </xf>
    <xf numFmtId="3" fontId="10" fillId="73" borderId="34" xfId="0" applyNumberFormat="1" applyFont="1" applyFill="1" applyBorder="1" applyAlignment="1" applyProtection="1">
      <alignment horizontal="center" vertical="center" textRotation="90" wrapText="1"/>
      <protection locked="0"/>
    </xf>
    <xf numFmtId="3" fontId="10" fillId="73" borderId="35" xfId="0" applyNumberFormat="1" applyFont="1" applyFill="1" applyBorder="1" applyAlignment="1" applyProtection="1">
      <alignment horizontal="center" vertical="center" textRotation="90" wrapText="1"/>
      <protection locked="0"/>
    </xf>
    <xf numFmtId="3" fontId="10" fillId="73" borderId="10" xfId="0" applyNumberFormat="1" applyFont="1" applyFill="1" applyBorder="1" applyAlignment="1" applyProtection="1">
      <alignment horizontal="center" vertical="center" textRotation="90" wrapText="1"/>
      <protection locked="0"/>
    </xf>
    <xf numFmtId="3" fontId="10" fillId="73" borderId="26" xfId="0" applyNumberFormat="1" applyFont="1" applyFill="1" applyBorder="1" applyAlignment="1" applyProtection="1">
      <alignment horizontal="center" vertical="center" textRotation="90" wrapText="1"/>
      <protection locked="0"/>
    </xf>
    <xf numFmtId="3" fontId="10" fillId="73" borderId="14" xfId="0" applyNumberFormat="1" applyFont="1" applyFill="1" applyBorder="1" applyAlignment="1" applyProtection="1">
      <alignment horizontal="center" vertical="center" textRotation="90" wrapText="1"/>
      <protection locked="0"/>
    </xf>
    <xf numFmtId="3" fontId="10" fillId="73" borderId="27" xfId="0" applyNumberFormat="1" applyFont="1" applyFill="1" applyBorder="1" applyAlignment="1" applyProtection="1">
      <alignment horizontal="center" vertical="center" textRotation="90" wrapText="1"/>
      <protection locked="0"/>
    </xf>
    <xf numFmtId="3" fontId="9" fillId="73" borderId="16" xfId="0" applyNumberFormat="1" applyFont="1" applyFill="1" applyBorder="1" applyAlignment="1" applyProtection="1">
      <alignment horizontal="center" vertical="center" wrapText="1"/>
      <protection locked="0"/>
    </xf>
    <xf numFmtId="3" fontId="9" fillId="73" borderId="15" xfId="0" applyNumberFormat="1" applyFont="1" applyFill="1" applyBorder="1" applyAlignment="1" applyProtection="1">
      <alignment horizontal="center" vertical="center" wrapText="1"/>
      <protection locked="0"/>
    </xf>
    <xf numFmtId="3" fontId="9" fillId="10" borderId="13" xfId="0" applyNumberFormat="1" applyFont="1" applyFill="1" applyBorder="1" applyAlignment="1" applyProtection="1">
      <alignment horizontal="center" vertical="center" wrapText="1"/>
      <protection locked="0"/>
    </xf>
    <xf numFmtId="3" fontId="9" fillId="10" borderId="24" xfId="0" applyNumberFormat="1" applyFont="1" applyFill="1" applyBorder="1" applyAlignment="1" applyProtection="1">
      <alignment horizontal="center" vertical="center" wrapText="1"/>
      <protection locked="0"/>
    </xf>
    <xf numFmtId="3" fontId="9" fillId="4" borderId="34" xfId="0" applyNumberFormat="1" applyFont="1" applyFill="1" applyBorder="1" applyAlignment="1" applyProtection="1">
      <alignment horizontal="center" vertical="center" wrapText="1"/>
      <protection locked="0"/>
    </xf>
    <xf numFmtId="3" fontId="9" fillId="4" borderId="35" xfId="0" applyNumberFormat="1" applyFont="1" applyFill="1" applyBorder="1" applyAlignment="1" applyProtection="1">
      <alignment horizontal="center" vertical="center" wrapText="1"/>
      <protection locked="0"/>
    </xf>
    <xf numFmtId="3" fontId="9" fillId="4" borderId="36" xfId="0" applyNumberFormat="1" applyFont="1" applyFill="1" applyBorder="1" applyAlignment="1" applyProtection="1">
      <alignment horizontal="center"/>
      <protection locked="0"/>
    </xf>
    <xf numFmtId="3" fontId="9" fillId="4" borderId="17" xfId="0" applyNumberFormat="1" applyFont="1" applyFill="1" applyBorder="1" applyAlignment="1" applyProtection="1">
      <alignment horizontal="center"/>
      <protection locked="0"/>
    </xf>
    <xf numFmtId="3" fontId="9" fillId="4" borderId="19" xfId="0" applyNumberFormat="1" applyFont="1" applyFill="1" applyBorder="1" applyAlignment="1" applyProtection="1">
      <alignment horizontal="center"/>
      <protection locked="0"/>
    </xf>
    <xf numFmtId="3" fontId="9" fillId="73" borderId="17" xfId="0" applyNumberFormat="1" applyFont="1" applyFill="1" applyBorder="1" applyAlignment="1" applyProtection="1">
      <alignment horizontal="center" vertical="center" wrapText="1"/>
      <protection locked="0"/>
    </xf>
    <xf numFmtId="3" fontId="9" fillId="11" borderId="16" xfId="0" applyNumberFormat="1" applyFont="1" applyFill="1" applyBorder="1" applyAlignment="1" applyProtection="1">
      <alignment horizontal="center" vertical="center"/>
      <protection locked="0"/>
    </xf>
    <xf numFmtId="3" fontId="9" fillId="11" borderId="17" xfId="0" applyNumberFormat="1" applyFont="1" applyFill="1" applyBorder="1" applyAlignment="1" applyProtection="1">
      <alignment horizontal="center" vertical="center"/>
      <protection locked="0"/>
    </xf>
    <xf numFmtId="3" fontId="9" fillId="11" borderId="15" xfId="0" applyNumberFormat="1" applyFont="1" applyFill="1" applyBorder="1" applyAlignment="1" applyProtection="1">
      <alignment horizontal="center" vertical="center"/>
      <protection locked="0"/>
    </xf>
    <xf numFmtId="3" fontId="9" fillId="4" borderId="16" xfId="0" applyNumberFormat="1" applyFont="1" applyFill="1" applyBorder="1" applyAlignment="1" applyProtection="1">
      <alignment horizontal="center" vertical="center"/>
      <protection locked="0"/>
    </xf>
    <xf numFmtId="3" fontId="9" fillId="4" borderId="17" xfId="0" applyNumberFormat="1" applyFont="1" applyFill="1" applyBorder="1" applyAlignment="1" applyProtection="1">
      <alignment horizontal="center" vertical="center"/>
      <protection locked="0"/>
    </xf>
    <xf numFmtId="3" fontId="9" fillId="4" borderId="15" xfId="0" applyNumberFormat="1" applyFont="1" applyFill="1" applyBorder="1" applyAlignment="1" applyProtection="1">
      <alignment horizontal="center" vertical="center"/>
      <protection locked="0"/>
    </xf>
    <xf numFmtId="3" fontId="9" fillId="4" borderId="13" xfId="0" applyNumberFormat="1" applyFont="1" applyFill="1" applyBorder="1" applyAlignment="1" applyProtection="1">
      <alignment horizontal="center" vertical="center" wrapText="1"/>
      <protection locked="0"/>
    </xf>
    <xf numFmtId="3" fontId="9" fillId="4" borderId="24" xfId="0" applyNumberFormat="1" applyFont="1" applyFill="1" applyBorder="1" applyAlignment="1" applyProtection="1">
      <alignment horizontal="center" vertical="center" wrapText="1"/>
      <protection locked="0"/>
    </xf>
    <xf numFmtId="0" fontId="0" fillId="40" borderId="148" xfId="0" applyFont="1" applyFill="1" applyBorder="1" applyAlignment="1">
      <alignment horizontal="center" vertical="center" wrapText="1"/>
    </xf>
    <xf numFmtId="0" fontId="10" fillId="40" borderId="148" xfId="0" applyFont="1" applyFill="1" applyBorder="1" applyAlignment="1">
      <alignment horizontal="center" vertical="center" wrapText="1"/>
    </xf>
    <xf numFmtId="4" fontId="0" fillId="40" borderId="148" xfId="0" applyNumberFormat="1" applyFont="1" applyFill="1" applyBorder="1" applyAlignment="1">
      <alignment horizontal="center" vertical="center"/>
    </xf>
    <xf numFmtId="0" fontId="0" fillId="40" borderId="11" xfId="0" applyFont="1" applyFill="1" applyBorder="1" applyAlignment="1">
      <alignment horizontal="center" vertical="center" wrapText="1"/>
    </xf>
    <xf numFmtId="0" fontId="0" fillId="40" borderId="158" xfId="0" applyFont="1" applyFill="1" applyBorder="1" applyAlignment="1">
      <alignment horizontal="center" vertical="center" wrapText="1"/>
    </xf>
    <xf numFmtId="0" fontId="0" fillId="40" borderId="35" xfId="0" applyFont="1" applyFill="1" applyBorder="1" applyAlignment="1">
      <alignment horizontal="center" vertical="center" wrapText="1"/>
    </xf>
    <xf numFmtId="0" fontId="0" fillId="40" borderId="51" xfId="0" applyFont="1" applyFill="1" applyBorder="1" applyAlignment="1">
      <alignment horizontal="center" vertical="center" wrapText="1"/>
    </xf>
    <xf numFmtId="0" fontId="0" fillId="40" borderId="180" xfId="0" applyFont="1" applyFill="1" applyBorder="1" applyAlignment="1">
      <alignment horizontal="center" vertical="center" wrapText="1"/>
    </xf>
    <xf numFmtId="0" fontId="0" fillId="40" borderId="26" xfId="0" applyFont="1" applyFill="1" applyBorder="1" applyAlignment="1">
      <alignment horizontal="center" vertical="center" wrapText="1"/>
    </xf>
    <xf numFmtId="0" fontId="0" fillId="40" borderId="32" xfId="0" applyFont="1" applyFill="1" applyBorder="1" applyAlignment="1">
      <alignment horizontal="center" vertical="center" wrapText="1"/>
    </xf>
    <xf numFmtId="9" fontId="0" fillId="44" borderId="32" xfId="0" applyNumberFormat="1" applyFont="1" applyFill="1" applyBorder="1" applyAlignment="1">
      <alignment horizontal="center" vertical="center"/>
    </xf>
    <xf numFmtId="9" fontId="0" fillId="44" borderId="148" xfId="0" applyNumberFormat="1" applyFont="1" applyFill="1" applyBorder="1" applyAlignment="1">
      <alignment horizontal="center" vertical="center"/>
    </xf>
    <xf numFmtId="0" fontId="0" fillId="44" borderId="32" xfId="0" applyFont="1" applyFill="1" applyBorder="1" applyAlignment="1">
      <alignment horizontal="center" vertical="center" wrapText="1"/>
    </xf>
    <xf numFmtId="0" fontId="0" fillId="44" borderId="148" xfId="0" applyFont="1" applyFill="1" applyBorder="1" applyAlignment="1">
      <alignment horizontal="center" vertical="center" wrapText="1"/>
    </xf>
    <xf numFmtId="0" fontId="0" fillId="40" borderId="55" xfId="0" applyFont="1" applyFill="1" applyBorder="1" applyAlignment="1">
      <alignment horizontal="center" vertical="center" wrapText="1"/>
    </xf>
    <xf numFmtId="0" fontId="0" fillId="44" borderId="34" xfId="0" applyFont="1" applyFill="1" applyBorder="1" applyAlignment="1">
      <alignment horizontal="center" vertical="center" wrapText="1"/>
    </xf>
    <xf numFmtId="0" fontId="0" fillId="44" borderId="35" xfId="0" applyFont="1" applyFill="1" applyBorder="1" applyAlignment="1">
      <alignment horizontal="center" vertical="center" wrapText="1"/>
    </xf>
    <xf numFmtId="0" fontId="0" fillId="44" borderId="51" xfId="0" applyFont="1" applyFill="1" applyBorder="1" applyAlignment="1">
      <alignment horizontal="center" vertical="center" wrapText="1"/>
    </xf>
    <xf numFmtId="0" fontId="0" fillId="44" borderId="11" xfId="0" applyFont="1" applyFill="1" applyBorder="1" applyAlignment="1">
      <alignment horizontal="center" vertical="center" wrapText="1"/>
    </xf>
    <xf numFmtId="0" fontId="0" fillId="44" borderId="29" xfId="0" applyFont="1" applyFill="1" applyBorder="1" applyAlignment="1">
      <alignment horizontal="center" vertical="center" wrapText="1"/>
    </xf>
    <xf numFmtId="0" fontId="0" fillId="44" borderId="30" xfId="0" applyFont="1" applyFill="1" applyBorder="1" applyAlignment="1">
      <alignment horizontal="center" vertical="center" wrapText="1"/>
    </xf>
    <xf numFmtId="0" fontId="0" fillId="38" borderId="51" xfId="0" applyFont="1" applyFill="1" applyBorder="1" applyAlignment="1">
      <alignment horizontal="center" vertical="center" wrapText="1"/>
    </xf>
    <xf numFmtId="0" fontId="0" fillId="38" borderId="11" xfId="0" applyFont="1" applyFill="1" applyBorder="1" applyAlignment="1">
      <alignment horizontal="center" vertical="center" wrapText="1"/>
    </xf>
    <xf numFmtId="0" fontId="0" fillId="38" borderId="148" xfId="0" applyFont="1" applyFill="1" applyBorder="1" applyAlignment="1">
      <alignment horizontal="center" vertical="center" wrapText="1"/>
    </xf>
    <xf numFmtId="0" fontId="0" fillId="7" borderId="11" xfId="0" applyFont="1" applyFill="1" applyBorder="1" applyAlignment="1">
      <alignment horizontal="center" vertical="center" wrapText="1"/>
    </xf>
    <xf numFmtId="0" fontId="0" fillId="7" borderId="148" xfId="0" applyFont="1" applyFill="1" applyBorder="1" applyAlignment="1">
      <alignment horizontal="center" vertical="center" wrapText="1"/>
    </xf>
    <xf numFmtId="4" fontId="0" fillId="7" borderId="148" xfId="0" applyNumberFormat="1" applyFont="1" applyFill="1" applyBorder="1" applyAlignment="1">
      <alignment horizontal="center" vertical="center"/>
    </xf>
    <xf numFmtId="10" fontId="0" fillId="7" borderId="148" xfId="0" applyNumberFormat="1" applyFont="1" applyFill="1" applyBorder="1" applyAlignment="1">
      <alignment horizontal="center" vertical="center" wrapText="1"/>
    </xf>
    <xf numFmtId="0" fontId="0" fillId="7" borderId="148" xfId="0" applyFont="1" applyFill="1" applyBorder="1" applyAlignment="1">
      <alignment horizontal="center" vertical="center"/>
    </xf>
    <xf numFmtId="4" fontId="0" fillId="7" borderId="148" xfId="5" applyNumberFormat="1" applyFont="1" applyFill="1" applyBorder="1" applyAlignment="1">
      <alignment horizontal="center" vertical="center"/>
    </xf>
    <xf numFmtId="0" fontId="0" fillId="41" borderId="51" xfId="0" applyFont="1" applyFill="1" applyBorder="1" applyAlignment="1">
      <alignment horizontal="center" vertical="center" wrapText="1"/>
    </xf>
    <xf numFmtId="0" fontId="0" fillId="41" borderId="11" xfId="0" applyFont="1" applyFill="1" applyBorder="1" applyAlignment="1">
      <alignment horizontal="center" vertical="center" wrapText="1"/>
    </xf>
    <xf numFmtId="0" fontId="0" fillId="41" borderId="32" xfId="0" applyFont="1" applyFill="1" applyBorder="1" applyAlignment="1">
      <alignment horizontal="center" vertical="center" wrapText="1"/>
    </xf>
    <xf numFmtId="0" fontId="0" fillId="41" borderId="148" xfId="0" applyFont="1" applyFill="1" applyBorder="1" applyAlignment="1">
      <alignment horizontal="center" vertical="center" wrapText="1"/>
    </xf>
    <xf numFmtId="9" fontId="0" fillId="41" borderId="32" xfId="0" applyNumberFormat="1" applyFont="1" applyFill="1" applyBorder="1" applyAlignment="1">
      <alignment horizontal="center" vertical="center"/>
    </xf>
    <xf numFmtId="9" fontId="0" fillId="41" borderId="148" xfId="0" applyNumberFormat="1" applyFont="1" applyFill="1" applyBorder="1" applyAlignment="1">
      <alignment horizontal="center" vertical="center"/>
    </xf>
    <xf numFmtId="0" fontId="0" fillId="41" borderId="29" xfId="0" applyFont="1" applyFill="1" applyBorder="1" applyAlignment="1">
      <alignment horizontal="center" vertical="center" wrapText="1"/>
    </xf>
    <xf numFmtId="0" fontId="0" fillId="41" borderId="30" xfId="0" applyFont="1" applyFill="1" applyBorder="1" applyAlignment="1">
      <alignment horizontal="center" vertical="center" wrapText="1"/>
    </xf>
    <xf numFmtId="0" fontId="0" fillId="39" borderId="7" xfId="0" applyFill="1" applyBorder="1" applyAlignment="1">
      <alignment horizontal="center" vertical="center" wrapText="1"/>
    </xf>
    <xf numFmtId="0" fontId="0" fillId="39" borderId="11" xfId="0" applyFill="1" applyBorder="1" applyAlignment="1">
      <alignment horizontal="center" vertical="center" wrapText="1"/>
    </xf>
    <xf numFmtId="0" fontId="0" fillId="39" borderId="29" xfId="0" applyFill="1" applyBorder="1" applyAlignment="1">
      <alignment horizontal="center" vertical="center" wrapText="1"/>
    </xf>
    <xf numFmtId="0" fontId="10" fillId="39" borderId="8" xfId="0" applyFont="1" applyFill="1" applyBorder="1" applyAlignment="1">
      <alignment horizontal="center" vertical="center" wrapText="1"/>
    </xf>
    <xf numFmtId="0" fontId="10" fillId="39" borderId="148" xfId="0" applyFont="1" applyFill="1" applyBorder="1" applyAlignment="1">
      <alignment horizontal="center" vertical="center" wrapText="1"/>
    </xf>
    <xf numFmtId="0" fontId="10" fillId="39" borderId="30" xfId="0" applyFont="1" applyFill="1" applyBorder="1" applyAlignment="1">
      <alignment horizontal="center" vertical="center" wrapText="1"/>
    </xf>
    <xf numFmtId="0" fontId="10" fillId="39" borderId="8" xfId="0" applyFont="1" applyFill="1" applyBorder="1" applyAlignment="1" applyProtection="1">
      <alignment horizontal="center" vertical="center" wrapText="1"/>
      <protection locked="0"/>
    </xf>
    <xf numFmtId="0" fontId="10" fillId="39" borderId="148" xfId="0" applyFont="1" applyFill="1" applyBorder="1" applyAlignment="1" applyProtection="1">
      <alignment horizontal="center" vertical="center" wrapText="1"/>
      <protection locked="0"/>
    </xf>
    <xf numFmtId="0" fontId="10" fillId="39" borderId="30" xfId="0" applyFont="1" applyFill="1" applyBorder="1" applyAlignment="1" applyProtection="1">
      <alignment horizontal="center" vertical="center" wrapText="1"/>
      <protection locked="0"/>
    </xf>
    <xf numFmtId="0" fontId="0" fillId="39" borderId="148" xfId="0" applyFill="1" applyBorder="1" applyAlignment="1">
      <alignment horizontal="center" vertical="center" wrapText="1"/>
    </xf>
    <xf numFmtId="0" fontId="0" fillId="39" borderId="30" xfId="0" applyFill="1" applyBorder="1" applyAlignment="1">
      <alignment horizontal="center" vertical="center" wrapText="1"/>
    </xf>
    <xf numFmtId="0" fontId="10" fillId="43" borderId="149" xfId="0" applyFont="1" applyFill="1" applyBorder="1" applyAlignment="1">
      <alignment horizontal="left" vertical="center" wrapText="1"/>
    </xf>
    <xf numFmtId="0" fontId="10" fillId="43" borderId="32" xfId="0" applyFont="1" applyFill="1" applyBorder="1" applyAlignment="1">
      <alignment horizontal="left" vertical="center" wrapText="1"/>
    </xf>
    <xf numFmtId="0" fontId="10" fillId="43" borderId="148" xfId="0" applyFont="1" applyFill="1" applyBorder="1" applyAlignment="1">
      <alignment horizontal="center" vertical="center" wrapText="1"/>
    </xf>
    <xf numFmtId="0" fontId="10" fillId="43" borderId="148" xfId="0" applyFont="1" applyFill="1" applyBorder="1" applyAlignment="1">
      <alignment horizontal="left" vertical="center" wrapText="1"/>
    </xf>
    <xf numFmtId="0" fontId="0" fillId="43" borderId="148" xfId="0" applyFill="1" applyBorder="1" applyAlignment="1">
      <alignment horizontal="center" vertical="center" wrapText="1"/>
    </xf>
    <xf numFmtId="0" fontId="0" fillId="43" borderId="30" xfId="0" applyFill="1" applyBorder="1" applyAlignment="1">
      <alignment horizontal="center" vertical="center" wrapText="1"/>
    </xf>
    <xf numFmtId="0" fontId="0" fillId="51" borderId="62" xfId="0" applyFill="1" applyBorder="1" applyAlignment="1">
      <alignment horizontal="center" vertical="center" wrapText="1"/>
    </xf>
    <xf numFmtId="0" fontId="0" fillId="51" borderId="32" xfId="0" applyFill="1" applyBorder="1" applyAlignment="1">
      <alignment horizontal="center" vertical="center" wrapText="1"/>
    </xf>
    <xf numFmtId="0" fontId="0" fillId="51" borderId="148" xfId="0" applyFill="1" applyBorder="1" applyAlignment="1">
      <alignment horizontal="center" vertical="center" wrapText="1"/>
    </xf>
    <xf numFmtId="0" fontId="10" fillId="51" borderId="32" xfId="0" applyFont="1" applyFill="1" applyBorder="1" applyAlignment="1">
      <alignment horizontal="center" vertical="center" wrapText="1"/>
    </xf>
    <xf numFmtId="0" fontId="10" fillId="51" borderId="148" xfId="0" applyFont="1" applyFill="1" applyBorder="1" applyAlignment="1">
      <alignment horizontal="center" vertical="center" wrapText="1"/>
    </xf>
    <xf numFmtId="0" fontId="10" fillId="51" borderId="149" xfId="0" applyFont="1" applyFill="1" applyBorder="1" applyAlignment="1">
      <alignment horizontal="center" vertical="center" wrapText="1"/>
    </xf>
    <xf numFmtId="0" fontId="10" fillId="51" borderId="32" xfId="0" applyFont="1" applyFill="1" applyBorder="1" applyAlignment="1" applyProtection="1">
      <alignment horizontal="center" vertical="center" wrapText="1"/>
      <protection locked="0"/>
    </xf>
    <xf numFmtId="0" fontId="10" fillId="51" borderId="148" xfId="0" applyFont="1" applyFill="1" applyBorder="1" applyAlignment="1" applyProtection="1">
      <alignment horizontal="center" vertical="center" wrapText="1"/>
      <protection locked="0"/>
    </xf>
    <xf numFmtId="0" fontId="10" fillId="51" borderId="149" xfId="0" applyFont="1" applyFill="1" applyBorder="1" applyAlignment="1" applyProtection="1">
      <alignment horizontal="center" vertical="center" wrapText="1"/>
      <protection locked="0"/>
    </xf>
    <xf numFmtId="173" fontId="10" fillId="43" borderId="148" xfId="0" applyNumberFormat="1" applyFont="1" applyFill="1" applyBorder="1" applyAlignment="1">
      <alignment horizontal="center" vertical="center" wrapText="1"/>
    </xf>
    <xf numFmtId="9" fontId="10" fillId="43" borderId="148" xfId="0" applyNumberFormat="1" applyFont="1" applyFill="1" applyBorder="1" applyAlignment="1">
      <alignment horizontal="center" vertical="center" wrapText="1"/>
    </xf>
    <xf numFmtId="0" fontId="0" fillId="43" borderId="18" xfId="0" applyFill="1" applyBorder="1" applyAlignment="1">
      <alignment horizontal="center" vertical="center"/>
    </xf>
    <xf numFmtId="0" fontId="0" fillId="43" borderId="62" xfId="0" applyFill="1" applyBorder="1" applyAlignment="1">
      <alignment horizontal="center" vertical="center"/>
    </xf>
    <xf numFmtId="0" fontId="0" fillId="43" borderId="63" xfId="0" applyFill="1" applyBorder="1" applyAlignment="1">
      <alignment horizontal="center" vertical="center"/>
    </xf>
    <xf numFmtId="0" fontId="0" fillId="43" borderId="36" xfId="0" applyFill="1" applyBorder="1" applyAlignment="1">
      <alignment horizontal="center" vertical="center" wrapText="1"/>
    </xf>
    <xf numFmtId="0" fontId="10" fillId="29" borderId="149" xfId="0" applyFont="1" applyFill="1" applyBorder="1" applyAlignment="1">
      <alignment horizontal="center" vertical="center" wrapText="1"/>
    </xf>
    <xf numFmtId="0" fontId="10" fillId="29" borderId="26" xfId="0" applyFont="1" applyFill="1" applyBorder="1" applyAlignment="1">
      <alignment horizontal="center" vertical="center" wrapText="1"/>
    </xf>
    <xf numFmtId="0" fontId="10" fillId="29" borderId="32" xfId="0" applyFont="1" applyFill="1" applyBorder="1" applyAlignment="1">
      <alignment horizontal="center" vertical="center" wrapText="1"/>
    </xf>
    <xf numFmtId="9" fontId="10" fillId="43" borderId="148" xfId="0" applyNumberFormat="1" applyFont="1" applyFill="1" applyBorder="1" applyAlignment="1" applyProtection="1">
      <alignment horizontal="center" vertical="center" wrapText="1"/>
      <protection locked="0"/>
    </xf>
    <xf numFmtId="9" fontId="10" fillId="43" borderId="30" xfId="0" applyNumberFormat="1" applyFont="1" applyFill="1" applyBorder="1" applyAlignment="1" applyProtection="1">
      <alignment horizontal="center" vertical="center" wrapText="1"/>
      <protection locked="0"/>
    </xf>
    <xf numFmtId="0" fontId="10" fillId="43" borderId="148" xfId="0" applyFont="1" applyFill="1" applyBorder="1" applyAlignment="1" applyProtection="1">
      <alignment horizontal="center" vertical="center" wrapText="1"/>
      <protection locked="0"/>
    </xf>
    <xf numFmtId="0" fontId="8" fillId="37" borderId="13" xfId="0" applyFont="1" applyFill="1" applyBorder="1" applyAlignment="1" applyProtection="1">
      <alignment horizontal="center" vertical="center" wrapText="1"/>
      <protection locked="0"/>
    </xf>
    <xf numFmtId="0" fontId="8" fillId="37" borderId="24" xfId="0" applyFont="1" applyFill="1" applyBorder="1" applyAlignment="1" applyProtection="1">
      <alignment horizontal="center" vertical="center" wrapText="1"/>
      <protection locked="0"/>
    </xf>
    <xf numFmtId="3" fontId="0" fillId="38" borderId="149" xfId="0" applyNumberFormat="1" applyFill="1" applyBorder="1" applyAlignment="1">
      <alignment horizontal="center" vertical="center"/>
    </xf>
    <xf numFmtId="3" fontId="0" fillId="38" borderId="32" xfId="0" applyNumberFormat="1" applyFill="1" applyBorder="1" applyAlignment="1">
      <alignment horizontal="center" vertical="center"/>
    </xf>
    <xf numFmtId="3" fontId="0" fillId="38" borderId="56" xfId="0" applyNumberFormat="1" applyFill="1" applyBorder="1" applyAlignment="1">
      <alignment horizontal="center" vertical="center"/>
    </xf>
    <xf numFmtId="3" fontId="0" fillId="29" borderId="149" xfId="0" applyNumberFormat="1" applyFill="1" applyBorder="1" applyAlignment="1">
      <alignment horizontal="center" vertical="center"/>
    </xf>
    <xf numFmtId="3" fontId="0" fillId="29" borderId="26" xfId="0" applyNumberFormat="1" applyFill="1" applyBorder="1" applyAlignment="1">
      <alignment horizontal="center" vertical="center"/>
    </xf>
    <xf numFmtId="3" fontId="0" fillId="29" borderId="32" xfId="0" applyNumberFormat="1" applyFill="1" applyBorder="1" applyAlignment="1">
      <alignment horizontal="center" vertical="center"/>
    </xf>
    <xf numFmtId="3" fontId="0" fillId="29" borderId="10" xfId="0" applyNumberFormat="1" applyFill="1" applyBorder="1" applyAlignment="1">
      <alignment horizontal="center" vertical="center" wrapText="1"/>
    </xf>
    <xf numFmtId="3" fontId="0" fillId="29" borderId="26" xfId="0" applyNumberFormat="1" applyFill="1" applyBorder="1" applyAlignment="1">
      <alignment horizontal="center" vertical="center" wrapText="1"/>
    </xf>
    <xf numFmtId="3" fontId="0" fillId="29" borderId="56" xfId="0" applyNumberFormat="1" applyFill="1" applyBorder="1" applyAlignment="1">
      <alignment horizontal="center" vertical="center" wrapText="1"/>
    </xf>
    <xf numFmtId="9" fontId="10" fillId="29" borderId="148" xfId="0" applyNumberFormat="1" applyFont="1" applyFill="1" applyBorder="1" applyAlignment="1" applyProtection="1">
      <alignment horizontal="center" vertical="center" wrapText="1"/>
      <protection locked="0"/>
    </xf>
    <xf numFmtId="9" fontId="10" fillId="29" borderId="30" xfId="0" applyNumberFormat="1" applyFont="1" applyFill="1" applyBorder="1" applyAlignment="1" applyProtection="1">
      <alignment horizontal="center" vertical="center" wrapText="1"/>
      <protection locked="0"/>
    </xf>
    <xf numFmtId="0" fontId="8" fillId="7" borderId="58" xfId="0" applyFont="1" applyFill="1" applyBorder="1" applyAlignment="1" applyProtection="1">
      <alignment horizontal="center" vertical="center"/>
      <protection locked="0"/>
    </xf>
    <xf numFmtId="3" fontId="0" fillId="43" borderId="10" xfId="0" applyNumberFormat="1" applyFill="1" applyBorder="1" applyAlignment="1">
      <alignment horizontal="center" vertical="center"/>
    </xf>
    <xf numFmtId="3" fontId="0" fillId="43" borderId="26" xfId="0" applyNumberFormat="1" applyFill="1" applyBorder="1" applyAlignment="1">
      <alignment horizontal="center" vertical="center"/>
    </xf>
    <xf numFmtId="3" fontId="0" fillId="43" borderId="32" xfId="0" applyNumberFormat="1" applyFill="1" applyBorder="1" applyAlignment="1">
      <alignment horizontal="center" vertical="center"/>
    </xf>
    <xf numFmtId="173" fontId="10" fillId="43" borderId="157" xfId="0" applyNumberFormat="1" applyFont="1" applyFill="1" applyBorder="1" applyAlignment="1">
      <alignment horizontal="center" vertical="center" wrapText="1"/>
    </xf>
    <xf numFmtId="173" fontId="10" fillId="43" borderId="54" xfId="0" applyNumberFormat="1" applyFont="1" applyFill="1" applyBorder="1" applyAlignment="1">
      <alignment horizontal="center" vertical="center" wrapText="1"/>
    </xf>
    <xf numFmtId="0" fontId="10" fillId="43" borderId="157" xfId="0" applyFont="1" applyFill="1" applyBorder="1" applyAlignment="1">
      <alignment horizontal="center" vertical="center" wrapText="1"/>
    </xf>
    <xf numFmtId="0" fontId="10" fillId="43" borderId="54"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8" fillId="3" borderId="39" xfId="0" applyFont="1" applyFill="1" applyBorder="1" applyAlignment="1">
      <alignment horizontal="center" vertical="center" wrapText="1"/>
    </xf>
    <xf numFmtId="0" fontId="8" fillId="3" borderId="100" xfId="0" applyFont="1" applyFill="1" applyBorder="1" applyAlignment="1">
      <alignment horizontal="center" vertical="center" wrapText="1"/>
    </xf>
    <xf numFmtId="0" fontId="10" fillId="43" borderId="154" xfId="0" applyFont="1" applyFill="1" applyBorder="1" applyAlignment="1">
      <alignment horizontal="center" vertical="center" wrapText="1"/>
    </xf>
    <xf numFmtId="0" fontId="9" fillId="13" borderId="148" xfId="0" applyFont="1" applyFill="1" applyBorder="1" applyAlignment="1">
      <alignment horizontal="center" vertical="center" wrapText="1"/>
    </xf>
    <xf numFmtId="0" fontId="9" fillId="13" borderId="149" xfId="0" applyFont="1" applyFill="1" applyBorder="1" applyAlignment="1">
      <alignment horizontal="center" vertical="center" wrapText="1"/>
    </xf>
    <xf numFmtId="0" fontId="9" fillId="13" borderId="150" xfId="0" applyFont="1" applyFill="1" applyBorder="1" applyAlignment="1">
      <alignment horizontal="center" vertical="center" wrapText="1"/>
    </xf>
    <xf numFmtId="0" fontId="9" fillId="13" borderId="152" xfId="0" applyFont="1" applyFill="1" applyBorder="1" applyAlignment="1">
      <alignment horizontal="center" vertical="center" wrapText="1"/>
    </xf>
    <xf numFmtId="0" fontId="9" fillId="13" borderId="157" xfId="0" applyFont="1" applyFill="1" applyBorder="1" applyAlignment="1">
      <alignment horizontal="center" vertical="center" wrapText="1"/>
    </xf>
    <xf numFmtId="0" fontId="9" fillId="13" borderId="38" xfId="0" applyFont="1" applyFill="1" applyBorder="1" applyAlignment="1">
      <alignment horizontal="center" vertical="center" wrapText="1"/>
    </xf>
    <xf numFmtId="0" fontId="9" fillId="13" borderId="39" xfId="0" applyFont="1" applyFill="1" applyBorder="1" applyAlignment="1">
      <alignment horizontal="center" vertical="center" wrapText="1"/>
    </xf>
    <xf numFmtId="0" fontId="9" fillId="13" borderId="54" xfId="0" applyFont="1" applyFill="1" applyBorder="1" applyAlignment="1">
      <alignment horizontal="center" vertical="center" wrapText="1"/>
    </xf>
    <xf numFmtId="0" fontId="8" fillId="36" borderId="34" xfId="0" applyFont="1" applyFill="1" applyBorder="1" applyAlignment="1" applyProtection="1">
      <alignment horizontal="center" vertical="center" wrapText="1"/>
      <protection locked="0"/>
    </xf>
    <xf numFmtId="0" fontId="8" fillId="36" borderId="35" xfId="0" applyFont="1" applyFill="1" applyBorder="1" applyAlignment="1" applyProtection="1">
      <alignment horizontal="center" vertical="center" wrapText="1"/>
      <protection locked="0"/>
    </xf>
    <xf numFmtId="173" fontId="10" fillId="43" borderId="149" xfId="0" applyNumberFormat="1" applyFont="1" applyFill="1" applyBorder="1" applyAlignment="1">
      <alignment horizontal="center" vertical="center" wrapText="1"/>
    </xf>
    <xf numFmtId="173" fontId="10" fillId="43" borderId="32" xfId="0" applyNumberFormat="1" applyFont="1" applyFill="1" applyBorder="1" applyAlignment="1">
      <alignment horizontal="center" vertical="center" wrapText="1"/>
    </xf>
    <xf numFmtId="9" fontId="10" fillId="43" borderId="149" xfId="0" applyNumberFormat="1" applyFont="1" applyFill="1" applyBorder="1" applyAlignment="1">
      <alignment horizontal="center" vertical="center" wrapText="1"/>
    </xf>
    <xf numFmtId="9" fontId="10" fillId="43" borderId="32" xfId="0" applyNumberFormat="1" applyFont="1" applyFill="1" applyBorder="1" applyAlignment="1">
      <alignment horizontal="center" vertical="center" wrapText="1"/>
    </xf>
    <xf numFmtId="0" fontId="10" fillId="43" borderId="30" xfId="0" applyFont="1" applyFill="1" applyBorder="1" applyAlignment="1">
      <alignment horizontal="left" vertical="center" wrapText="1"/>
    </xf>
    <xf numFmtId="0" fontId="10" fillId="43" borderId="30" xfId="0" applyFont="1" applyFill="1" applyBorder="1" applyAlignment="1">
      <alignment horizontal="center" vertical="center" wrapText="1"/>
    </xf>
    <xf numFmtId="0" fontId="0" fillId="29" borderId="148" xfId="0" applyFill="1" applyBorder="1" applyAlignment="1">
      <alignment horizontal="center" vertical="center" wrapText="1"/>
    </xf>
    <xf numFmtId="0" fontId="10" fillId="29" borderId="8" xfId="0" applyFont="1" applyFill="1" applyBorder="1" applyAlignment="1">
      <alignment horizontal="center" vertical="center" wrapText="1"/>
    </xf>
    <xf numFmtId="0" fontId="10" fillId="29" borderId="148" xfId="0" applyFont="1" applyFill="1" applyBorder="1" applyAlignment="1">
      <alignment horizontal="center" vertical="center" wrapText="1"/>
    </xf>
    <xf numFmtId="0" fontId="10" fillId="29" borderId="30" xfId="0" applyFont="1" applyFill="1" applyBorder="1" applyAlignment="1">
      <alignment horizontal="center" vertical="center" wrapText="1"/>
    </xf>
    <xf numFmtId="0" fontId="10" fillId="29" borderId="8" xfId="0" applyFont="1" applyFill="1" applyBorder="1" applyAlignment="1" applyProtection="1">
      <alignment horizontal="center" vertical="center" wrapText="1"/>
      <protection locked="0"/>
    </xf>
    <xf numFmtId="0" fontId="10" fillId="29" borderId="148" xfId="0" applyFont="1" applyFill="1" applyBorder="1" applyAlignment="1" applyProtection="1">
      <alignment horizontal="center" vertical="center" wrapText="1"/>
      <protection locked="0"/>
    </xf>
    <xf numFmtId="0" fontId="10" fillId="29" borderId="30" xfId="0" applyFont="1" applyFill="1" applyBorder="1" applyAlignment="1" applyProtection="1">
      <alignment horizontal="center" vertical="center" wrapText="1"/>
      <protection locked="0"/>
    </xf>
    <xf numFmtId="0" fontId="0" fillId="51" borderId="149" xfId="0" applyFill="1" applyBorder="1" applyAlignment="1">
      <alignment horizontal="center" vertical="center" wrapText="1"/>
    </xf>
    <xf numFmtId="0" fontId="0" fillId="29" borderId="18" xfId="0" applyFill="1" applyBorder="1" applyAlignment="1">
      <alignment horizontal="center" vertical="center" wrapText="1"/>
    </xf>
    <xf numFmtId="0" fontId="0" fillId="29" borderId="62" xfId="0" applyFill="1" applyBorder="1" applyAlignment="1">
      <alignment horizontal="center" vertical="center" wrapText="1"/>
    </xf>
    <xf numFmtId="0" fontId="0" fillId="29" borderId="63" xfId="0" applyFill="1" applyBorder="1" applyAlignment="1">
      <alignment horizontal="center" vertical="center" wrapText="1"/>
    </xf>
    <xf numFmtId="0" fontId="0" fillId="29" borderId="8" xfId="0" applyFill="1" applyBorder="1" applyAlignment="1">
      <alignment horizontal="center" vertical="center" wrapText="1"/>
    </xf>
    <xf numFmtId="0" fontId="10" fillId="42" borderId="8" xfId="0" applyFont="1" applyFill="1" applyBorder="1" applyAlignment="1">
      <alignment horizontal="center" vertical="center" wrapText="1"/>
    </xf>
    <xf numFmtId="0" fontId="10" fillId="42" borderId="148" xfId="0" applyFont="1" applyFill="1" applyBorder="1" applyAlignment="1">
      <alignment horizontal="center" vertical="center" wrapText="1"/>
    </xf>
    <xf numFmtId="0" fontId="0" fillId="42" borderId="148" xfId="0" applyFill="1" applyBorder="1" applyAlignment="1">
      <alignment horizontal="center" vertical="center" wrapText="1"/>
    </xf>
    <xf numFmtId="0" fontId="10" fillId="42" borderId="30" xfId="0" applyFont="1" applyFill="1" applyBorder="1" applyAlignment="1">
      <alignment horizontal="center" vertical="center" wrapText="1"/>
    </xf>
    <xf numFmtId="0" fontId="0" fillId="29" borderId="30" xfId="0" applyFill="1" applyBorder="1" applyAlignment="1">
      <alignment horizontal="center" vertical="center" wrapText="1"/>
    </xf>
    <xf numFmtId="0" fontId="0" fillId="38" borderId="18" xfId="0" applyFill="1" applyBorder="1" applyAlignment="1">
      <alignment horizontal="center" vertical="center"/>
    </xf>
    <xf numFmtId="0" fontId="0" fillId="38" borderId="62" xfId="0" applyFill="1" applyBorder="1" applyAlignment="1">
      <alignment horizontal="center" vertical="center"/>
    </xf>
    <xf numFmtId="0" fontId="0" fillId="38" borderId="63" xfId="0" applyFill="1" applyBorder="1" applyAlignment="1">
      <alignment horizontal="center" vertical="center"/>
    </xf>
    <xf numFmtId="0" fontId="0" fillId="38" borderId="148" xfId="0" applyFill="1" applyBorder="1" applyAlignment="1">
      <alignment horizontal="center" vertical="center" wrapText="1"/>
    </xf>
    <xf numFmtId="0" fontId="0" fillId="38" borderId="30" xfId="0" applyFill="1" applyBorder="1" applyAlignment="1">
      <alignment horizontal="center" vertical="center" wrapText="1"/>
    </xf>
    <xf numFmtId="0" fontId="10" fillId="38" borderId="148" xfId="0" applyFont="1" applyFill="1" applyBorder="1" applyAlignment="1">
      <alignment horizontal="center" vertical="center" wrapText="1"/>
    </xf>
    <xf numFmtId="0" fontId="10" fillId="38" borderId="30" xfId="0" applyFont="1" applyFill="1" applyBorder="1" applyAlignment="1">
      <alignment horizontal="center" vertical="center" wrapText="1"/>
    </xf>
    <xf numFmtId="0" fontId="10" fillId="38" borderId="148" xfId="0" applyFont="1" applyFill="1" applyBorder="1" applyAlignment="1" applyProtection="1">
      <alignment horizontal="center" vertical="center" wrapText="1"/>
      <protection locked="0"/>
    </xf>
    <xf numFmtId="0" fontId="10" fillId="38" borderId="30" xfId="0" applyFont="1" applyFill="1" applyBorder="1" applyAlignment="1" applyProtection="1">
      <alignment horizontal="center" vertical="center" wrapText="1"/>
      <protection locked="0"/>
    </xf>
    <xf numFmtId="178" fontId="10" fillId="42" borderId="148" xfId="0" applyNumberFormat="1" applyFont="1" applyFill="1" applyBorder="1" applyAlignment="1">
      <alignment horizontal="center" vertical="center" wrapText="1"/>
    </xf>
    <xf numFmtId="178" fontId="10" fillId="42" borderId="30" xfId="0" applyNumberFormat="1" applyFont="1" applyFill="1" applyBorder="1" applyAlignment="1">
      <alignment horizontal="center" vertical="center" wrapText="1"/>
    </xf>
    <xf numFmtId="0" fontId="10" fillId="42" borderId="148" xfId="0" applyFont="1" applyFill="1" applyBorder="1" applyAlignment="1" applyProtection="1">
      <alignment horizontal="center" vertical="center" wrapText="1"/>
      <protection locked="0"/>
    </xf>
    <xf numFmtId="0" fontId="10" fillId="42" borderId="30" xfId="0" applyFont="1" applyFill="1" applyBorder="1" applyAlignment="1" applyProtection="1">
      <alignment horizontal="center" vertical="center" wrapText="1"/>
      <protection locked="0"/>
    </xf>
    <xf numFmtId="0" fontId="0" fillId="42" borderId="30" xfId="0" applyFill="1" applyBorder="1" applyAlignment="1">
      <alignment horizontal="center" vertical="center" wrapText="1"/>
    </xf>
    <xf numFmtId="0" fontId="0" fillId="38" borderId="8" xfId="0" applyFill="1" applyBorder="1" applyAlignment="1">
      <alignment horizontal="center" vertical="center" wrapText="1"/>
    </xf>
    <xf numFmtId="0" fontId="10" fillId="38" borderId="8" xfId="0" applyFont="1" applyFill="1" applyBorder="1" applyAlignment="1">
      <alignment horizontal="center" vertical="center" wrapText="1"/>
    </xf>
    <xf numFmtId="0" fontId="0" fillId="42" borderId="18" xfId="0" applyFill="1" applyBorder="1" applyAlignment="1">
      <alignment horizontal="center" vertical="center" wrapText="1"/>
    </xf>
    <xf numFmtId="0" fontId="0" fillId="42" borderId="62" xfId="0" applyFill="1" applyBorder="1" applyAlignment="1">
      <alignment horizontal="center" vertical="center" wrapText="1"/>
    </xf>
    <xf numFmtId="0" fontId="0" fillId="42" borderId="63" xfId="0" applyFill="1" applyBorder="1" applyAlignment="1">
      <alignment horizontal="center" vertical="center" wrapText="1"/>
    </xf>
    <xf numFmtId="0" fontId="0" fillId="42" borderId="8" xfId="0" applyFill="1" applyBorder="1" applyAlignment="1">
      <alignment horizontal="center" vertical="center" wrapText="1"/>
    </xf>
    <xf numFmtId="173" fontId="10" fillId="43" borderId="154" xfId="0" applyNumberFormat="1" applyFont="1" applyFill="1" applyBorder="1" applyAlignment="1">
      <alignment horizontal="center" vertical="center" wrapText="1"/>
    </xf>
    <xf numFmtId="9" fontId="10" fillId="43" borderId="154" xfId="0" applyNumberFormat="1" applyFont="1" applyFill="1" applyBorder="1" applyAlignment="1">
      <alignment horizontal="center" vertical="center" wrapText="1"/>
    </xf>
    <xf numFmtId="0" fontId="10" fillId="43" borderId="53" xfId="0" applyFont="1" applyFill="1" applyBorder="1" applyAlignment="1">
      <alignment horizontal="center" vertical="center" wrapText="1"/>
    </xf>
    <xf numFmtId="3" fontId="0" fillId="11" borderId="149" xfId="0" applyNumberFormat="1" applyFill="1" applyBorder="1" applyAlignment="1">
      <alignment horizontal="center" vertical="center"/>
    </xf>
    <xf numFmtId="3" fontId="0" fillId="11" borderId="26" xfId="0" applyNumberFormat="1" applyFill="1" applyBorder="1" applyAlignment="1">
      <alignment horizontal="center" vertical="center"/>
    </xf>
    <xf numFmtId="0" fontId="10" fillId="51" borderId="54" xfId="0" applyFont="1" applyFill="1" applyBorder="1" applyAlignment="1">
      <alignment horizontal="center" vertical="center" wrapText="1"/>
    </xf>
    <xf numFmtId="0" fontId="10" fillId="51" borderId="154" xfId="0" applyFont="1" applyFill="1" applyBorder="1" applyAlignment="1">
      <alignment horizontal="center" vertical="center" wrapText="1"/>
    </xf>
    <xf numFmtId="0" fontId="10" fillId="51" borderId="157" xfId="0" applyFont="1" applyFill="1" applyBorder="1" applyAlignment="1">
      <alignment horizontal="center" vertical="center" wrapText="1"/>
    </xf>
    <xf numFmtId="9" fontId="10" fillId="29" borderId="19" xfId="0" applyNumberFormat="1" applyFont="1" applyFill="1" applyBorder="1" applyAlignment="1">
      <alignment horizontal="center" vertical="center" wrapText="1"/>
    </xf>
    <xf numFmtId="0" fontId="10" fillId="29" borderId="154" xfId="0" applyFont="1" applyFill="1" applyBorder="1" applyAlignment="1">
      <alignment horizontal="center" vertical="center" wrapText="1"/>
    </xf>
    <xf numFmtId="0" fontId="10" fillId="29" borderId="53" xfId="0" applyFont="1" applyFill="1" applyBorder="1" applyAlignment="1">
      <alignment horizontal="center" vertical="center" wrapText="1"/>
    </xf>
    <xf numFmtId="0" fontId="10" fillId="42" borderId="19" xfId="0" applyFont="1" applyFill="1" applyBorder="1" applyAlignment="1">
      <alignment horizontal="center" vertical="center" wrapText="1"/>
    </xf>
    <xf numFmtId="0" fontId="10" fillId="42" borderId="154" xfId="0" applyFont="1" applyFill="1" applyBorder="1" applyAlignment="1">
      <alignment horizontal="center" vertical="center" wrapText="1"/>
    </xf>
    <xf numFmtId="3" fontId="0" fillId="42" borderId="10" xfId="0" applyNumberFormat="1" applyFill="1" applyBorder="1" applyAlignment="1">
      <alignment horizontal="center" vertical="center" wrapText="1"/>
    </xf>
    <xf numFmtId="3" fontId="0" fillId="42" borderId="26" xfId="0" applyNumberFormat="1" applyFill="1" applyBorder="1" applyAlignment="1">
      <alignment horizontal="center" vertical="center" wrapText="1"/>
    </xf>
    <xf numFmtId="3" fontId="0" fillId="42" borderId="56" xfId="0" applyNumberFormat="1" applyFill="1" applyBorder="1" applyAlignment="1">
      <alignment horizontal="center" vertical="center" wrapText="1"/>
    </xf>
    <xf numFmtId="178" fontId="10" fillId="42" borderId="154" xfId="0" applyNumberFormat="1" applyFont="1" applyFill="1" applyBorder="1" applyAlignment="1">
      <alignment horizontal="center" vertical="center" wrapText="1"/>
    </xf>
    <xf numFmtId="178" fontId="10" fillId="42" borderId="53" xfId="0" applyNumberFormat="1" applyFont="1" applyFill="1" applyBorder="1" applyAlignment="1">
      <alignment horizontal="center" vertical="center" wrapText="1"/>
    </xf>
    <xf numFmtId="0" fontId="10" fillId="38" borderId="19" xfId="0" applyFont="1" applyFill="1" applyBorder="1" applyAlignment="1">
      <alignment horizontal="center" vertical="center" wrapText="1"/>
    </xf>
    <xf numFmtId="0" fontId="10" fillId="38" borderId="154" xfId="0" applyFont="1" applyFill="1" applyBorder="1" applyAlignment="1">
      <alignment horizontal="center" vertical="center" wrapText="1"/>
    </xf>
    <xf numFmtId="3" fontId="0" fillId="38" borderId="10" xfId="0" applyNumberFormat="1" applyFill="1" applyBorder="1" applyAlignment="1">
      <alignment horizontal="center" vertical="center" wrapText="1"/>
    </xf>
    <xf numFmtId="3" fontId="0" fillId="38" borderId="26" xfId="0" applyNumberFormat="1" applyFill="1" applyBorder="1" applyAlignment="1">
      <alignment horizontal="center" vertical="center" wrapText="1"/>
    </xf>
    <xf numFmtId="3" fontId="0" fillId="38" borderId="56" xfId="0" applyNumberFormat="1" applyFill="1" applyBorder="1" applyAlignment="1">
      <alignment horizontal="center" vertical="center" wrapText="1"/>
    </xf>
    <xf numFmtId="3" fontId="0" fillId="38" borderId="149" xfId="0" applyNumberFormat="1" applyFill="1" applyBorder="1" applyAlignment="1">
      <alignment horizontal="center" vertical="center" wrapText="1"/>
    </xf>
    <xf numFmtId="3" fontId="0" fillId="38" borderId="32" xfId="0" applyNumberFormat="1" applyFill="1" applyBorder="1" applyAlignment="1">
      <alignment horizontal="center" vertical="center" wrapText="1"/>
    </xf>
    <xf numFmtId="0" fontId="10" fillId="38" borderId="53" xfId="0" applyFont="1" applyFill="1" applyBorder="1" applyAlignment="1">
      <alignment horizontal="center" vertical="center" wrapText="1"/>
    </xf>
    <xf numFmtId="3" fontId="0" fillId="29" borderId="149" xfId="0" applyNumberFormat="1" applyFill="1" applyBorder="1" applyAlignment="1">
      <alignment horizontal="center" vertical="center" wrapText="1"/>
    </xf>
    <xf numFmtId="3" fontId="0" fillId="29" borderId="32" xfId="0" applyNumberFormat="1" applyFill="1" applyBorder="1" applyAlignment="1">
      <alignment horizontal="center" vertical="center" wrapText="1"/>
    </xf>
    <xf numFmtId="9" fontId="10" fillId="29" borderId="154" xfId="0" applyNumberFormat="1" applyFont="1" applyFill="1" applyBorder="1" applyAlignment="1">
      <alignment horizontal="center" vertical="center" wrapText="1"/>
    </xf>
    <xf numFmtId="0" fontId="10" fillId="39" borderId="19" xfId="0" applyFont="1" applyFill="1" applyBorder="1" applyAlignment="1">
      <alignment horizontal="center" vertical="center" wrapText="1"/>
    </xf>
    <xf numFmtId="0" fontId="10" fillId="39" borderId="154" xfId="0" applyFont="1" applyFill="1" applyBorder="1" applyAlignment="1">
      <alignment horizontal="center" vertical="center" wrapText="1"/>
    </xf>
    <xf numFmtId="0" fontId="10" fillId="39" borderId="53" xfId="0" applyFont="1" applyFill="1" applyBorder="1" applyAlignment="1">
      <alignment horizontal="center" vertical="center" wrapText="1"/>
    </xf>
    <xf numFmtId="3" fontId="0" fillId="39" borderId="10" xfId="0" applyNumberFormat="1" applyFill="1" applyBorder="1" applyAlignment="1">
      <alignment horizontal="center" vertical="center"/>
    </xf>
    <xf numFmtId="3" fontId="0" fillId="39" borderId="26" xfId="0" applyNumberFormat="1" applyFill="1" applyBorder="1" applyAlignment="1">
      <alignment horizontal="center" vertical="center"/>
    </xf>
    <xf numFmtId="3" fontId="0" fillId="39" borderId="56" xfId="0" applyNumberFormat="1" applyFill="1" applyBorder="1" applyAlignment="1">
      <alignment horizontal="center" vertical="center"/>
    </xf>
    <xf numFmtId="3" fontId="0" fillId="39" borderId="149" xfId="0" applyNumberFormat="1" applyFill="1" applyBorder="1" applyAlignment="1">
      <alignment horizontal="center" vertical="center" wrapText="1"/>
    </xf>
    <xf numFmtId="3" fontId="0" fillId="39" borderId="32" xfId="0" applyNumberFormat="1" applyFill="1" applyBorder="1" applyAlignment="1">
      <alignment horizontal="center" vertical="center" wrapText="1"/>
    </xf>
    <xf numFmtId="3" fontId="0" fillId="39" borderId="26" xfId="0" applyNumberFormat="1" applyFill="1" applyBorder="1" applyAlignment="1">
      <alignment horizontal="center" vertical="center" wrapText="1"/>
    </xf>
    <xf numFmtId="3" fontId="0" fillId="39" borderId="56" xfId="0" applyNumberFormat="1" applyFill="1" applyBorder="1" applyAlignment="1">
      <alignment horizontal="center" vertical="center" wrapText="1"/>
    </xf>
    <xf numFmtId="0" fontId="8" fillId="65" borderId="13" xfId="0" applyFont="1" applyFill="1" applyBorder="1" applyAlignment="1" applyProtection="1">
      <alignment horizontal="center" vertical="center" wrapText="1"/>
      <protection locked="0"/>
    </xf>
    <xf numFmtId="0" fontId="8" fillId="65" borderId="43" xfId="0" applyFont="1" applyFill="1" applyBorder="1" applyAlignment="1" applyProtection="1">
      <alignment horizontal="center" vertical="center" wrapText="1"/>
      <protection locked="0"/>
    </xf>
    <xf numFmtId="0" fontId="10" fillId="43" borderId="149" xfId="0" applyFont="1" applyFill="1" applyBorder="1" applyAlignment="1">
      <alignment horizontal="center" vertical="center" wrapText="1"/>
    </xf>
    <xf numFmtId="0" fontId="10" fillId="43" borderId="32" xfId="0" applyFont="1" applyFill="1" applyBorder="1" applyAlignment="1">
      <alignment horizontal="center" vertical="center" wrapText="1"/>
    </xf>
    <xf numFmtId="0" fontId="10" fillId="51" borderId="7" xfId="0" applyFont="1" applyFill="1" applyBorder="1" applyAlignment="1">
      <alignment horizontal="center" vertical="center" wrapText="1"/>
    </xf>
    <xf numFmtId="0" fontId="10" fillId="51" borderId="11" xfId="0" applyFont="1" applyFill="1" applyBorder="1" applyAlignment="1">
      <alignment horizontal="center" vertical="center" wrapText="1"/>
    </xf>
    <xf numFmtId="0" fontId="10" fillId="51" borderId="158" xfId="0" applyFont="1" applyFill="1" applyBorder="1" applyAlignment="1">
      <alignment horizontal="center" vertical="center" wrapText="1"/>
    </xf>
    <xf numFmtId="0" fontId="8" fillId="6" borderId="13" xfId="0" applyFont="1" applyFill="1" applyBorder="1" applyAlignment="1" applyProtection="1">
      <alignment horizontal="center" vertical="center" wrapText="1"/>
      <protection locked="0"/>
    </xf>
    <xf numFmtId="0" fontId="8" fillId="6" borderId="24" xfId="0" applyFont="1" applyFill="1" applyBorder="1" applyAlignment="1" applyProtection="1">
      <alignment horizontal="center" vertical="center" wrapText="1"/>
      <protection locked="0"/>
    </xf>
    <xf numFmtId="0" fontId="8" fillId="6" borderId="43" xfId="0" applyFont="1" applyFill="1" applyBorder="1" applyAlignment="1" applyProtection="1">
      <alignment horizontal="center" vertical="center" wrapText="1"/>
      <protection locked="0"/>
    </xf>
    <xf numFmtId="0" fontId="8" fillId="71" borderId="148" xfId="0" applyFont="1" applyFill="1" applyBorder="1" applyAlignment="1" applyProtection="1">
      <alignment horizontal="center" vertical="center" wrapText="1"/>
      <protection locked="0"/>
    </xf>
    <xf numFmtId="0" fontId="8" fillId="71" borderId="30" xfId="0" applyFont="1" applyFill="1" applyBorder="1" applyAlignment="1" applyProtection="1">
      <alignment horizontal="center" vertical="center" wrapText="1"/>
      <protection locked="0"/>
    </xf>
    <xf numFmtId="9" fontId="0" fillId="43" borderId="10" xfId="0" applyNumberFormat="1" applyFill="1" applyBorder="1" applyAlignment="1">
      <alignment horizontal="center" vertical="center" wrapText="1"/>
    </xf>
    <xf numFmtId="9" fontId="0" fillId="43" borderId="26" xfId="0" applyNumberFormat="1" applyFill="1" applyBorder="1" applyAlignment="1">
      <alignment horizontal="center" vertical="center" wrapText="1"/>
    </xf>
    <xf numFmtId="9" fontId="0" fillId="51" borderId="10" xfId="0" applyNumberFormat="1" applyFill="1" applyBorder="1" applyAlignment="1">
      <alignment horizontal="center" vertical="center" wrapText="1"/>
    </xf>
    <xf numFmtId="9" fontId="0" fillId="51" borderId="26" xfId="0" applyNumberFormat="1" applyFill="1" applyBorder="1" applyAlignment="1">
      <alignment horizontal="center" vertical="center" wrapText="1"/>
    </xf>
    <xf numFmtId="3" fontId="0" fillId="51" borderId="14" xfId="0" applyNumberFormat="1" applyFill="1" applyBorder="1" applyAlignment="1">
      <alignment horizontal="center" vertical="center"/>
    </xf>
    <xf numFmtId="3" fontId="0" fillId="51" borderId="27" xfId="0" applyNumberFormat="1" applyFill="1" applyBorder="1" applyAlignment="1">
      <alignment horizontal="center" vertical="center"/>
    </xf>
    <xf numFmtId="3" fontId="0" fillId="43" borderId="56" xfId="0" applyNumberFormat="1" applyFill="1" applyBorder="1" applyAlignment="1">
      <alignment horizontal="center" vertical="center"/>
    </xf>
    <xf numFmtId="0" fontId="3" fillId="4" borderId="154" xfId="0" applyFont="1" applyFill="1" applyBorder="1" applyAlignment="1" applyProtection="1">
      <alignment horizontal="center" vertical="center" wrapText="1"/>
      <protection locked="0"/>
    </xf>
    <xf numFmtId="0" fontId="3" fillId="4" borderId="148" xfId="0" applyFont="1" applyFill="1" applyBorder="1" applyAlignment="1" applyProtection="1">
      <alignment horizontal="center" vertical="center" wrapText="1"/>
      <protection locked="0"/>
    </xf>
    <xf numFmtId="3" fontId="0" fillId="29" borderId="14" xfId="0" applyNumberFormat="1" applyFill="1" applyBorder="1" applyAlignment="1">
      <alignment horizontal="center" vertical="center" wrapText="1"/>
    </xf>
    <xf numFmtId="3" fontId="0" fillId="29" borderId="27" xfId="0" applyNumberFormat="1" applyFill="1" applyBorder="1" applyAlignment="1">
      <alignment horizontal="center" vertical="center" wrapText="1"/>
    </xf>
    <xf numFmtId="3" fontId="0" fillId="29" borderId="57" xfId="0" applyNumberFormat="1" applyFill="1" applyBorder="1" applyAlignment="1">
      <alignment horizontal="center" vertical="center" wrapText="1"/>
    </xf>
    <xf numFmtId="9" fontId="10" fillId="29" borderId="148" xfId="0" applyNumberFormat="1" applyFont="1" applyFill="1" applyBorder="1" applyAlignment="1">
      <alignment horizontal="center" vertical="center" wrapText="1"/>
    </xf>
    <xf numFmtId="3" fontId="0" fillId="39" borderId="14" xfId="0" applyNumberFormat="1" applyFill="1" applyBorder="1" applyAlignment="1">
      <alignment horizontal="center" vertical="center"/>
    </xf>
    <xf numFmtId="3" fontId="0" fillId="39" borderId="27" xfId="0" applyNumberFormat="1" applyFill="1" applyBorder="1" applyAlignment="1">
      <alignment horizontal="center" vertical="center"/>
    </xf>
    <xf numFmtId="3" fontId="0" fillId="39" borderId="57" xfId="0" applyNumberFormat="1" applyFill="1" applyBorder="1" applyAlignment="1">
      <alignment horizontal="center" vertical="center"/>
    </xf>
    <xf numFmtId="9" fontId="10" fillId="29" borderId="8" xfId="0" applyNumberFormat="1" applyFont="1" applyFill="1" applyBorder="1" applyAlignment="1">
      <alignment horizontal="center" vertical="center" wrapText="1"/>
    </xf>
    <xf numFmtId="3" fontId="0" fillId="29" borderId="13" xfId="0" applyNumberFormat="1" applyFill="1" applyBorder="1" applyAlignment="1">
      <alignment horizontal="center" vertical="center" wrapText="1"/>
    </xf>
    <xf numFmtId="3" fontId="0" fillId="29" borderId="40" xfId="0" applyNumberFormat="1" applyFill="1" applyBorder="1" applyAlignment="1">
      <alignment horizontal="center" vertical="center" wrapText="1"/>
    </xf>
    <xf numFmtId="3" fontId="0" fillId="29" borderId="43" xfId="0" applyNumberFormat="1" applyFill="1" applyBorder="1" applyAlignment="1">
      <alignment horizontal="center" vertical="center" wrapText="1"/>
    </xf>
    <xf numFmtId="3" fontId="0" fillId="42" borderId="14" xfId="0" applyNumberFormat="1" applyFill="1" applyBorder="1" applyAlignment="1">
      <alignment horizontal="center" vertical="center" wrapText="1"/>
    </xf>
    <xf numFmtId="3" fontId="0" fillId="42" borderId="40" xfId="0" applyNumberFormat="1" applyFill="1" applyBorder="1" applyAlignment="1">
      <alignment horizontal="center" vertical="center" wrapText="1"/>
    </xf>
    <xf numFmtId="3" fontId="0" fillId="42" borderId="27" xfId="0" applyNumberFormat="1" applyFill="1" applyBorder="1" applyAlignment="1">
      <alignment horizontal="center" vertical="center" wrapText="1"/>
    </xf>
    <xf numFmtId="3" fontId="0" fillId="42" borderId="57" xfId="0" applyNumberFormat="1" applyFill="1" applyBorder="1" applyAlignment="1">
      <alignment horizontal="center" vertical="center" wrapText="1"/>
    </xf>
    <xf numFmtId="3" fontId="0" fillId="38" borderId="14" xfId="0" applyNumberFormat="1" applyFill="1" applyBorder="1" applyAlignment="1">
      <alignment horizontal="center" vertical="center" wrapText="1"/>
    </xf>
    <xf numFmtId="3" fontId="0" fillId="38" borderId="27" xfId="0" applyNumberFormat="1" applyFill="1" applyBorder="1" applyAlignment="1">
      <alignment horizontal="center" vertical="center" wrapText="1"/>
    </xf>
    <xf numFmtId="3" fontId="0" fillId="38" borderId="57" xfId="0" applyNumberFormat="1" applyFill="1" applyBorder="1" applyAlignment="1">
      <alignment horizontal="center" vertical="center" wrapText="1"/>
    </xf>
    <xf numFmtId="9" fontId="0" fillId="29" borderId="10" xfId="0" applyNumberFormat="1" applyFill="1" applyBorder="1" applyAlignment="1">
      <alignment horizontal="center" vertical="center" wrapText="1"/>
    </xf>
    <xf numFmtId="9" fontId="0" fillId="29" borderId="26" xfId="0" applyNumberFormat="1" applyFill="1" applyBorder="1" applyAlignment="1">
      <alignment horizontal="center" vertical="center" wrapText="1"/>
    </xf>
    <xf numFmtId="9" fontId="0" fillId="29" borderId="56" xfId="0" applyNumberFormat="1" applyFill="1" applyBorder="1" applyAlignment="1">
      <alignment horizontal="center" vertical="center" wrapText="1"/>
    </xf>
    <xf numFmtId="9" fontId="0" fillId="42" borderId="10" xfId="0" applyNumberFormat="1" applyFill="1" applyBorder="1" applyAlignment="1">
      <alignment horizontal="center" vertical="center" wrapText="1"/>
    </xf>
    <xf numFmtId="9" fontId="0" fillId="42" borderId="26" xfId="0" applyNumberFormat="1" applyFill="1" applyBorder="1" applyAlignment="1">
      <alignment horizontal="center" vertical="center" wrapText="1"/>
    </xf>
    <xf numFmtId="9" fontId="0" fillId="42" borderId="56" xfId="0" applyNumberFormat="1" applyFill="1" applyBorder="1" applyAlignment="1">
      <alignment horizontal="center" vertical="center" wrapText="1"/>
    </xf>
    <xf numFmtId="9" fontId="0" fillId="38" borderId="10" xfId="0" applyNumberFormat="1" applyFill="1" applyBorder="1" applyAlignment="1">
      <alignment horizontal="center" vertical="center" wrapText="1"/>
    </xf>
    <xf numFmtId="9" fontId="0" fillId="38" borderId="26" xfId="0" applyNumberFormat="1" applyFill="1" applyBorder="1" applyAlignment="1">
      <alignment horizontal="center" vertical="center" wrapText="1"/>
    </xf>
    <xf numFmtId="9" fontId="0" fillId="38" borderId="56" xfId="0" applyNumberFormat="1" applyFill="1" applyBorder="1" applyAlignment="1">
      <alignment horizontal="center" vertical="center" wrapText="1"/>
    </xf>
    <xf numFmtId="9" fontId="0" fillId="39" borderId="10" xfId="0" applyNumberFormat="1" applyFill="1" applyBorder="1" applyAlignment="1">
      <alignment horizontal="center" vertical="center" wrapText="1"/>
    </xf>
    <xf numFmtId="9" fontId="0" fillId="39" borderId="26" xfId="0" applyNumberFormat="1" applyFill="1" applyBorder="1" applyAlignment="1">
      <alignment horizontal="center" vertical="center" wrapText="1"/>
    </xf>
    <xf numFmtId="9" fontId="0" fillId="39" borderId="56" xfId="0" applyNumberFormat="1" applyFill="1" applyBorder="1" applyAlignment="1">
      <alignment horizontal="center" vertical="center" wrapText="1"/>
    </xf>
    <xf numFmtId="0" fontId="8" fillId="10" borderId="148" xfId="0" applyFont="1" applyFill="1" applyBorder="1" applyAlignment="1" applyProtection="1">
      <alignment horizontal="center" vertical="center" wrapText="1"/>
      <protection locked="0"/>
    </xf>
    <xf numFmtId="0" fontId="82" fillId="37" borderId="159" xfId="0" applyFont="1" applyFill="1" applyBorder="1" applyAlignment="1">
      <alignment horizontal="center" vertical="center" wrapText="1"/>
    </xf>
    <xf numFmtId="0" fontId="82" fillId="37" borderId="27" xfId="0" applyFont="1" applyFill="1" applyBorder="1" applyAlignment="1">
      <alignment horizontal="center" vertical="center" wrapText="1"/>
    </xf>
    <xf numFmtId="0" fontId="11" fillId="29" borderId="102" xfId="0" applyFont="1" applyFill="1" applyBorder="1" applyAlignment="1">
      <alignment horizontal="center" vertical="center"/>
    </xf>
    <xf numFmtId="0" fontId="11" fillId="29" borderId="102" xfId="0" applyFont="1" applyFill="1" applyBorder="1" applyAlignment="1">
      <alignment horizontal="center" vertical="center" wrapText="1"/>
    </xf>
    <xf numFmtId="0" fontId="11" fillId="7" borderId="102" xfId="0" applyFont="1" applyFill="1" applyBorder="1" applyAlignment="1">
      <alignment horizontal="center" vertical="center" wrapText="1"/>
    </xf>
    <xf numFmtId="0" fontId="8" fillId="38" borderId="130" xfId="0" applyFont="1" applyFill="1" applyBorder="1" applyAlignment="1">
      <alignment horizontal="center" vertical="center" wrapText="1"/>
    </xf>
    <xf numFmtId="0" fontId="8" fillId="38" borderId="26" xfId="0" applyFont="1" applyFill="1" applyBorder="1" applyAlignment="1">
      <alignment horizontal="center" vertical="center" wrapText="1"/>
    </xf>
    <xf numFmtId="0" fontId="8" fillId="38" borderId="32" xfId="0" applyFont="1" applyFill="1" applyBorder="1" applyAlignment="1">
      <alignment horizontal="center" vertical="center" wrapText="1"/>
    </xf>
    <xf numFmtId="0" fontId="8" fillId="41" borderId="130" xfId="0" applyFont="1" applyFill="1" applyBorder="1" applyAlignment="1">
      <alignment horizontal="center" vertical="center" wrapText="1"/>
    </xf>
    <xf numFmtId="0" fontId="8" fillId="41" borderId="26" xfId="0" applyFont="1" applyFill="1" applyBorder="1" applyAlignment="1">
      <alignment horizontal="center" vertical="center" wrapText="1"/>
    </xf>
    <xf numFmtId="0" fontId="8" fillId="41" borderId="32" xfId="0" applyFont="1" applyFill="1" applyBorder="1" applyAlignment="1">
      <alignment horizontal="center" vertical="center" wrapText="1"/>
    </xf>
    <xf numFmtId="0" fontId="8" fillId="29" borderId="130" xfId="0" applyFont="1" applyFill="1" applyBorder="1" applyAlignment="1">
      <alignment horizontal="center" vertical="center" wrapText="1"/>
    </xf>
    <xf numFmtId="0" fontId="8" fillId="29" borderId="26" xfId="0" applyFont="1" applyFill="1" applyBorder="1" applyAlignment="1">
      <alignment horizontal="center" vertical="center" wrapText="1"/>
    </xf>
    <xf numFmtId="0" fontId="8" fillId="29" borderId="32" xfId="0" applyFont="1" applyFill="1" applyBorder="1" applyAlignment="1">
      <alignment horizontal="center" vertical="center" wrapText="1"/>
    </xf>
    <xf numFmtId="0" fontId="11" fillId="29" borderId="130" xfId="0" applyFont="1" applyFill="1" applyBorder="1" applyAlignment="1">
      <alignment horizontal="center" vertical="center" wrapText="1"/>
    </xf>
    <xf numFmtId="0" fontId="11" fillId="29" borderId="26" xfId="0" applyFont="1" applyFill="1" applyBorder="1" applyAlignment="1">
      <alignment horizontal="center" vertical="center" wrapText="1"/>
    </xf>
    <xf numFmtId="0" fontId="11" fillId="29" borderId="32" xfId="0" applyFont="1" applyFill="1" applyBorder="1" applyAlignment="1">
      <alignment horizontal="center" vertical="center" wrapText="1"/>
    </xf>
    <xf numFmtId="9" fontId="11" fillId="29" borderId="102" xfId="0" applyNumberFormat="1" applyFont="1" applyFill="1" applyBorder="1" applyAlignment="1">
      <alignment horizontal="center" vertical="center"/>
    </xf>
    <xf numFmtId="0" fontId="11" fillId="51" borderId="102" xfId="0" applyFont="1" applyFill="1" applyBorder="1" applyAlignment="1">
      <alignment horizontal="center" vertical="center" wrapText="1"/>
    </xf>
    <xf numFmtId="9" fontId="11" fillId="66" borderId="149" xfId="0" applyNumberFormat="1" applyFont="1" applyFill="1" applyBorder="1" applyAlignment="1">
      <alignment horizontal="center" vertical="center" wrapText="1"/>
    </xf>
    <xf numFmtId="9" fontId="11" fillId="66" borderId="32" xfId="0" applyNumberFormat="1" applyFont="1" applyFill="1" applyBorder="1" applyAlignment="1">
      <alignment horizontal="center" vertical="center" wrapText="1"/>
    </xf>
    <xf numFmtId="0" fontId="11" fillId="66" borderId="149" xfId="0" applyFont="1" applyFill="1" applyBorder="1" applyAlignment="1">
      <alignment horizontal="center" vertical="center" wrapText="1"/>
    </xf>
    <xf numFmtId="0" fontId="11" fillId="66" borderId="26" xfId="0" applyFont="1" applyFill="1" applyBorder="1" applyAlignment="1">
      <alignment horizontal="center" vertical="center" wrapText="1"/>
    </xf>
    <xf numFmtId="0" fontId="11" fillId="66" borderId="32" xfId="0" applyFont="1" applyFill="1" applyBorder="1" applyAlignment="1">
      <alignment horizontal="center" vertical="center" wrapText="1"/>
    </xf>
    <xf numFmtId="0" fontId="8" fillId="41" borderId="149" xfId="0" applyFont="1" applyFill="1" applyBorder="1" applyAlignment="1">
      <alignment horizontal="center" vertical="center" wrapText="1"/>
    </xf>
    <xf numFmtId="0" fontId="11" fillId="41" borderId="102" xfId="0" applyFont="1" applyFill="1" applyBorder="1" applyAlignment="1">
      <alignment horizontal="center" vertical="center" wrapText="1"/>
    </xf>
    <xf numFmtId="0" fontId="8" fillId="7" borderId="102" xfId="0" applyFont="1" applyFill="1" applyBorder="1" applyAlignment="1">
      <alignment horizontal="center" vertical="center" wrapText="1"/>
    </xf>
    <xf numFmtId="0" fontId="7" fillId="39" borderId="102" xfId="0" applyFont="1" applyFill="1" applyBorder="1" applyAlignment="1">
      <alignment horizontal="center" vertical="center" wrapText="1"/>
    </xf>
    <xf numFmtId="0" fontId="11" fillId="39" borderId="102" xfId="0" applyFont="1" applyFill="1" applyBorder="1" applyAlignment="1">
      <alignment horizontal="center" vertical="center" wrapText="1"/>
    </xf>
    <xf numFmtId="0" fontId="8" fillId="51" borderId="102" xfId="0" applyFont="1" applyFill="1" applyBorder="1" applyAlignment="1">
      <alignment horizontal="center" vertical="center" wrapText="1"/>
    </xf>
    <xf numFmtId="0" fontId="8" fillId="66" borderId="102" xfId="0" applyFont="1" applyFill="1" applyBorder="1" applyAlignment="1">
      <alignment horizontal="center" vertical="center" wrapText="1"/>
    </xf>
    <xf numFmtId="0" fontId="8" fillId="66" borderId="148" xfId="0" applyFont="1" applyFill="1" applyBorder="1" applyAlignment="1">
      <alignment horizontal="center" vertical="center" wrapText="1"/>
    </xf>
    <xf numFmtId="0" fontId="11" fillId="66" borderId="102" xfId="0" applyFont="1" applyFill="1" applyBorder="1" applyAlignment="1">
      <alignment horizontal="center" vertical="center" wrapText="1"/>
    </xf>
    <xf numFmtId="0" fontId="11" fillId="66" borderId="148" xfId="0" applyFont="1" applyFill="1" applyBorder="1" applyAlignment="1">
      <alignment horizontal="center" vertical="center" wrapText="1"/>
    </xf>
    <xf numFmtId="0" fontId="11" fillId="29" borderId="149" xfId="0" applyFont="1" applyFill="1" applyBorder="1" applyAlignment="1">
      <alignment horizontal="center" vertical="center" wrapText="1"/>
    </xf>
    <xf numFmtId="0" fontId="8" fillId="17" borderId="102" xfId="0" applyFont="1" applyFill="1" applyBorder="1" applyAlignment="1">
      <alignment horizontal="center" vertical="center" wrapText="1"/>
    </xf>
    <xf numFmtId="0" fontId="8" fillId="17" borderId="148" xfId="0" applyFont="1" applyFill="1" applyBorder="1" applyAlignment="1">
      <alignment horizontal="center" vertical="center" wrapText="1"/>
    </xf>
    <xf numFmtId="0" fontId="11" fillId="17" borderId="102" xfId="0" applyFont="1" applyFill="1" applyBorder="1" applyAlignment="1">
      <alignment horizontal="center" vertical="center" wrapText="1"/>
    </xf>
    <xf numFmtId="0" fontId="11" fillId="17" borderId="148" xfId="0" applyFont="1" applyFill="1" applyBorder="1" applyAlignment="1">
      <alignment horizontal="center" vertical="center" wrapText="1"/>
    </xf>
    <xf numFmtId="0" fontId="11" fillId="38" borderId="102" xfId="0" applyFont="1" applyFill="1" applyBorder="1" applyAlignment="1">
      <alignment horizontal="center" vertical="center" wrapText="1"/>
    </xf>
    <xf numFmtId="0" fontId="11" fillId="17" borderId="149" xfId="0" applyFont="1" applyFill="1" applyBorder="1" applyAlignment="1">
      <alignment horizontal="center" vertical="center" wrapText="1"/>
    </xf>
    <xf numFmtId="0" fontId="11" fillId="17" borderId="32" xfId="0" applyFont="1" applyFill="1" applyBorder="1" applyAlignment="1">
      <alignment horizontal="center" vertical="center" wrapText="1"/>
    </xf>
    <xf numFmtId="0" fontId="8" fillId="39" borderId="130" xfId="0" applyFont="1" applyFill="1" applyBorder="1" applyAlignment="1">
      <alignment horizontal="center" vertical="center" wrapText="1"/>
    </xf>
    <xf numFmtId="0" fontId="8" fillId="39" borderId="26" xfId="0" applyFont="1" applyFill="1" applyBorder="1" applyAlignment="1">
      <alignment horizontal="center" vertical="center" wrapText="1"/>
    </xf>
    <xf numFmtId="0" fontId="8" fillId="39" borderId="32" xfId="0" applyFont="1" applyFill="1" applyBorder="1" applyAlignment="1">
      <alignment horizontal="center" vertical="center" wrapText="1"/>
    </xf>
    <xf numFmtId="0" fontId="11" fillId="39" borderId="130" xfId="0" applyFont="1" applyFill="1" applyBorder="1" applyAlignment="1">
      <alignment horizontal="center" vertical="center" wrapText="1"/>
    </xf>
    <xf numFmtId="0" fontId="11" fillId="39" borderId="26" xfId="0" applyFont="1" applyFill="1" applyBorder="1" applyAlignment="1">
      <alignment horizontal="center" vertical="center" wrapText="1"/>
    </xf>
    <xf numFmtId="0" fontId="11" fillId="39" borderId="32" xfId="0" applyFont="1" applyFill="1" applyBorder="1" applyAlignment="1">
      <alignment horizontal="center" vertical="center" wrapText="1"/>
    </xf>
    <xf numFmtId="0" fontId="8" fillId="3" borderId="39" xfId="0" applyFont="1" applyFill="1" applyBorder="1" applyAlignment="1">
      <alignment horizontal="center" vertical="center"/>
    </xf>
    <xf numFmtId="0" fontId="8" fillId="5" borderId="58" xfId="0" applyFont="1" applyFill="1" applyBorder="1" applyAlignment="1" applyProtection="1">
      <alignment horizontal="center" vertical="center"/>
      <protection locked="0"/>
    </xf>
    <xf numFmtId="0" fontId="8" fillId="5" borderId="47" xfId="0" applyFont="1" applyFill="1" applyBorder="1" applyAlignment="1" applyProtection="1">
      <alignment horizontal="center" vertical="center"/>
      <protection locked="0"/>
    </xf>
    <xf numFmtId="0" fontId="8" fillId="6" borderId="42" xfId="0" applyFont="1" applyFill="1" applyBorder="1" applyAlignment="1" applyProtection="1">
      <alignment horizontal="center" vertical="center" wrapText="1"/>
      <protection locked="0"/>
    </xf>
    <xf numFmtId="0" fontId="8" fillId="6" borderId="25" xfId="0" applyFont="1" applyFill="1" applyBorder="1" applyAlignment="1" applyProtection="1">
      <alignment horizontal="center" vertical="center" wrapText="1"/>
      <protection locked="0"/>
    </xf>
    <xf numFmtId="0" fontId="8" fillId="7" borderId="148" xfId="0" applyFont="1" applyFill="1" applyBorder="1" applyAlignment="1">
      <alignment horizontal="center" vertical="center" wrapText="1"/>
    </xf>
    <xf numFmtId="0" fontId="8" fillId="41" borderId="102" xfId="0" applyFont="1" applyFill="1" applyBorder="1" applyAlignment="1">
      <alignment horizontal="center" vertical="center" wrapText="1"/>
    </xf>
    <xf numFmtId="0" fontId="8" fillId="41" borderId="148" xfId="0" applyFont="1" applyFill="1" applyBorder="1" applyAlignment="1">
      <alignment horizontal="center" vertical="center" wrapText="1"/>
    </xf>
    <xf numFmtId="9" fontId="11" fillId="41" borderId="102" xfId="0" applyNumberFormat="1" applyFont="1" applyFill="1" applyBorder="1" applyAlignment="1">
      <alignment horizontal="center" vertical="center" wrapText="1"/>
    </xf>
    <xf numFmtId="0" fontId="11" fillId="38" borderId="148" xfId="0" applyFont="1" applyFill="1" applyBorder="1" applyAlignment="1">
      <alignment horizontal="center" vertical="center" wrapText="1"/>
    </xf>
    <xf numFmtId="9" fontId="11" fillId="38" borderId="102" xfId="0" applyNumberFormat="1" applyFont="1" applyFill="1" applyBorder="1" applyAlignment="1">
      <alignment horizontal="center" vertical="center" wrapText="1"/>
    </xf>
    <xf numFmtId="0" fontId="11" fillId="38" borderId="108" xfId="0" applyFont="1" applyFill="1" applyBorder="1" applyAlignment="1">
      <alignment horizontal="center" vertical="center" wrapText="1"/>
    </xf>
    <xf numFmtId="0" fontId="11" fillId="38" borderId="32" xfId="0" applyFont="1" applyFill="1" applyBorder="1" applyAlignment="1">
      <alignment horizontal="center" vertical="center" wrapText="1"/>
    </xf>
    <xf numFmtId="9" fontId="11" fillId="38" borderId="108" xfId="0" applyNumberFormat="1" applyFont="1" applyFill="1" applyBorder="1" applyAlignment="1">
      <alignment horizontal="center" vertical="center" wrapText="1"/>
    </xf>
    <xf numFmtId="9" fontId="11" fillId="38" borderId="32" xfId="0" applyNumberFormat="1" applyFont="1" applyFill="1" applyBorder="1" applyAlignment="1">
      <alignment horizontal="center" vertical="center" wrapText="1"/>
    </xf>
    <xf numFmtId="0" fontId="8" fillId="6" borderId="10" xfId="0" applyFont="1" applyFill="1" applyBorder="1" applyAlignment="1" applyProtection="1">
      <alignment horizontal="left" vertical="center" wrapText="1"/>
      <protection locked="0"/>
    </xf>
    <xf numFmtId="0" fontId="8" fillId="6" borderId="26" xfId="0" applyFont="1" applyFill="1" applyBorder="1" applyAlignment="1" applyProtection="1">
      <alignment horizontal="left" vertical="center" wrapText="1"/>
      <protection locked="0"/>
    </xf>
    <xf numFmtId="3" fontId="8" fillId="6" borderId="14" xfId="0" applyNumberFormat="1" applyFont="1" applyFill="1" applyBorder="1" applyAlignment="1" applyProtection="1">
      <alignment horizontal="center" vertical="center" wrapText="1"/>
      <protection locked="0"/>
    </xf>
    <xf numFmtId="3" fontId="8" fillId="6" borderId="27" xfId="0" applyNumberFormat="1" applyFont="1" applyFill="1" applyBorder="1" applyAlignment="1" applyProtection="1">
      <alignment horizontal="center" vertical="center" wrapText="1"/>
      <protection locked="0"/>
    </xf>
    <xf numFmtId="3" fontId="8" fillId="7" borderId="4" xfId="0" applyNumberFormat="1" applyFont="1" applyFill="1" applyBorder="1" applyAlignment="1" applyProtection="1">
      <alignment horizontal="center" vertical="center" wrapText="1"/>
      <protection locked="0"/>
    </xf>
    <xf numFmtId="3" fontId="8" fillId="7" borderId="5" xfId="0" applyNumberFormat="1" applyFont="1" applyFill="1" applyBorder="1" applyAlignment="1" applyProtection="1">
      <alignment horizontal="center" vertical="center" wrapText="1"/>
      <protection locked="0"/>
    </xf>
    <xf numFmtId="3" fontId="8" fillId="7" borderId="6" xfId="0" applyNumberFormat="1" applyFont="1" applyFill="1" applyBorder="1" applyAlignment="1" applyProtection="1">
      <alignment horizontal="center" vertical="center" wrapText="1"/>
      <protection locked="0"/>
    </xf>
    <xf numFmtId="3" fontId="8" fillId="7" borderId="4" xfId="0" applyNumberFormat="1" applyFont="1" applyFill="1" applyBorder="1" applyAlignment="1" applyProtection="1">
      <alignment horizontal="center" vertical="center"/>
      <protection locked="0"/>
    </xf>
    <xf numFmtId="3" fontId="8" fillId="7" borderId="5" xfId="0" applyNumberFormat="1" applyFont="1" applyFill="1" applyBorder="1" applyAlignment="1" applyProtection="1">
      <alignment horizontal="center" vertical="center"/>
      <protection locked="0"/>
    </xf>
    <xf numFmtId="3" fontId="8" fillId="7" borderId="6" xfId="0" applyNumberFormat="1" applyFont="1" applyFill="1" applyBorder="1" applyAlignment="1" applyProtection="1">
      <alignment horizontal="center" vertical="center"/>
      <protection locked="0"/>
    </xf>
    <xf numFmtId="3" fontId="8" fillId="9" borderId="16" xfId="0" applyNumberFormat="1" applyFont="1" applyFill="1" applyBorder="1" applyAlignment="1" applyProtection="1">
      <alignment horizontal="center" vertical="center" wrapText="1"/>
      <protection locked="0"/>
    </xf>
    <xf numFmtId="3" fontId="8" fillId="9" borderId="15" xfId="0" applyNumberFormat="1" applyFont="1" applyFill="1" applyBorder="1" applyAlignment="1" applyProtection="1">
      <alignment horizontal="center" vertical="center" wrapText="1"/>
      <protection locked="0"/>
    </xf>
    <xf numFmtId="3" fontId="8" fillId="10" borderId="13" xfId="0" applyNumberFormat="1" applyFont="1" applyFill="1" applyBorder="1" applyAlignment="1" applyProtection="1">
      <alignment horizontal="center" vertical="center" wrapText="1"/>
      <protection locked="0"/>
    </xf>
    <xf numFmtId="3" fontId="8" fillId="10" borderId="24" xfId="0" applyNumberFormat="1" applyFont="1" applyFill="1" applyBorder="1" applyAlignment="1" applyProtection="1">
      <alignment horizontal="center" vertical="center" wrapText="1"/>
      <protection locked="0"/>
    </xf>
    <xf numFmtId="3" fontId="3" fillId="4" borderId="34" xfId="0" applyNumberFormat="1" applyFont="1" applyFill="1" applyBorder="1" applyAlignment="1" applyProtection="1">
      <alignment horizontal="center" vertical="center" wrapText="1"/>
      <protection locked="0"/>
    </xf>
    <xf numFmtId="3" fontId="3" fillId="4" borderId="35" xfId="0" applyNumberFormat="1" applyFont="1" applyFill="1" applyBorder="1" applyAlignment="1" applyProtection="1">
      <alignment horizontal="center" vertical="center" wrapText="1"/>
      <protection locked="0"/>
    </xf>
    <xf numFmtId="3" fontId="3" fillId="4" borderId="36" xfId="0" applyNumberFormat="1" applyFont="1" applyFill="1" applyBorder="1" applyAlignment="1" applyProtection="1">
      <alignment horizontal="center" vertical="center"/>
      <protection locked="0"/>
    </xf>
    <xf numFmtId="3" fontId="3" fillId="4" borderId="17" xfId="0" applyNumberFormat="1" applyFont="1" applyFill="1" applyBorder="1" applyAlignment="1" applyProtection="1">
      <alignment horizontal="center" vertical="center"/>
      <protection locked="0"/>
    </xf>
    <xf numFmtId="3" fontId="3" fillId="4" borderId="19" xfId="0" applyNumberFormat="1" applyFont="1" applyFill="1" applyBorder="1" applyAlignment="1" applyProtection="1">
      <alignment horizontal="center" vertical="center"/>
      <protection locked="0"/>
    </xf>
    <xf numFmtId="3" fontId="8" fillId="9" borderId="17" xfId="0" applyNumberFormat="1" applyFont="1" applyFill="1" applyBorder="1" applyAlignment="1" applyProtection="1">
      <alignment horizontal="center" vertical="center" wrapText="1"/>
      <protection locked="0"/>
    </xf>
    <xf numFmtId="3" fontId="3" fillId="4" borderId="16" xfId="0" applyNumberFormat="1" applyFont="1" applyFill="1" applyBorder="1" applyAlignment="1" applyProtection="1">
      <alignment horizontal="center" vertical="center"/>
      <protection locked="0"/>
    </xf>
    <xf numFmtId="3" fontId="3" fillId="4" borderId="15" xfId="0" applyNumberFormat="1" applyFont="1" applyFill="1" applyBorder="1" applyAlignment="1" applyProtection="1">
      <alignment horizontal="center" vertical="center"/>
      <protection locked="0"/>
    </xf>
    <xf numFmtId="3" fontId="3" fillId="4" borderId="13" xfId="0" applyNumberFormat="1" applyFont="1" applyFill="1" applyBorder="1" applyAlignment="1" applyProtection="1">
      <alignment horizontal="center" vertical="center" wrapText="1"/>
      <protection locked="0"/>
    </xf>
    <xf numFmtId="3" fontId="3" fillId="4" borderId="24" xfId="0" applyNumberFormat="1" applyFont="1" applyFill="1" applyBorder="1" applyAlignment="1" applyProtection="1">
      <alignment horizontal="center" vertical="center" wrapText="1"/>
      <protection locked="0"/>
    </xf>
    <xf numFmtId="9" fontId="3" fillId="38" borderId="123" xfId="0" applyNumberFormat="1" applyFont="1" applyFill="1" applyBorder="1" applyAlignment="1">
      <alignment horizontal="center" vertical="center"/>
    </xf>
    <xf numFmtId="9" fontId="3" fillId="38" borderId="26" xfId="0" applyNumberFormat="1" applyFont="1" applyFill="1" applyBorder="1" applyAlignment="1">
      <alignment horizontal="center" vertical="center"/>
    </xf>
    <xf numFmtId="9" fontId="3" fillId="38" borderId="32" xfId="0" applyNumberFormat="1" applyFont="1" applyFill="1" applyBorder="1" applyAlignment="1">
      <alignment horizontal="center" vertical="center"/>
    </xf>
    <xf numFmtId="9" fontId="8" fillId="75" borderId="123" xfId="0" applyNumberFormat="1" applyFont="1" applyFill="1" applyBorder="1" applyAlignment="1">
      <alignment horizontal="center" vertical="center"/>
    </xf>
    <xf numFmtId="9" fontId="8" fillId="75" borderId="26" xfId="0" applyNumberFormat="1" applyFont="1" applyFill="1" applyBorder="1" applyAlignment="1">
      <alignment horizontal="center" vertical="center"/>
    </xf>
    <xf numFmtId="9" fontId="8" fillId="75" borderId="32" xfId="0" applyNumberFormat="1" applyFont="1" applyFill="1" applyBorder="1" applyAlignment="1">
      <alignment horizontal="center" vertical="center"/>
    </xf>
    <xf numFmtId="1" fontId="8" fillId="35" borderId="123" xfId="0" applyNumberFormat="1" applyFont="1" applyFill="1" applyBorder="1" applyAlignment="1">
      <alignment horizontal="center" vertical="center" wrapText="1"/>
    </xf>
    <xf numFmtId="1" fontId="8" fillId="35" borderId="26" xfId="0" applyNumberFormat="1" applyFont="1" applyFill="1" applyBorder="1" applyAlignment="1">
      <alignment horizontal="center" vertical="center" wrapText="1"/>
    </xf>
    <xf numFmtId="1" fontId="8" fillId="35" borderId="32" xfId="0" applyNumberFormat="1" applyFont="1" applyFill="1" applyBorder="1" applyAlignment="1">
      <alignment horizontal="center" vertical="center" wrapText="1"/>
    </xf>
    <xf numFmtId="0" fontId="8" fillId="6" borderId="32" xfId="0" applyFont="1" applyFill="1" applyBorder="1" applyAlignment="1" applyProtection="1">
      <alignment horizontal="center" vertical="center" wrapText="1"/>
      <protection locked="0"/>
    </xf>
    <xf numFmtId="9" fontId="52" fillId="38" borderId="130" xfId="0" applyNumberFormat="1" applyFont="1" applyFill="1" applyBorder="1" applyAlignment="1">
      <alignment horizontal="center" vertical="center" wrapText="1"/>
    </xf>
    <xf numFmtId="9" fontId="52" fillId="38" borderId="26" xfId="0" applyNumberFormat="1" applyFont="1" applyFill="1" applyBorder="1" applyAlignment="1">
      <alignment horizontal="center" vertical="center" wrapText="1"/>
    </xf>
    <xf numFmtId="9" fontId="52" fillId="38" borderId="32" xfId="0" applyNumberFormat="1" applyFont="1" applyFill="1" applyBorder="1" applyAlignment="1">
      <alignment horizontal="center" vertical="center" wrapText="1"/>
    </xf>
    <xf numFmtId="9" fontId="9" fillId="82" borderId="123" xfId="0" applyNumberFormat="1" applyFont="1" applyFill="1" applyBorder="1" applyAlignment="1">
      <alignment horizontal="center" vertical="center"/>
    </xf>
    <xf numFmtId="9" fontId="9" fillId="82" borderId="26" xfId="0" applyNumberFormat="1" applyFont="1" applyFill="1" applyBorder="1" applyAlignment="1">
      <alignment horizontal="center" vertical="center"/>
    </xf>
    <xf numFmtId="0" fontId="9" fillId="82" borderId="26" xfId="0" applyFont="1" applyFill="1" applyBorder="1" applyAlignment="1">
      <alignment horizontal="center" vertical="center"/>
    </xf>
    <xf numFmtId="0" fontId="9" fillId="82" borderId="32" xfId="0" applyFont="1" applyFill="1" applyBorder="1" applyAlignment="1">
      <alignment horizontal="center" vertical="center"/>
    </xf>
    <xf numFmtId="9" fontId="9" fillId="41" borderId="123" xfId="0" applyNumberFormat="1" applyFont="1" applyFill="1" applyBorder="1" applyAlignment="1">
      <alignment horizontal="center" vertical="center"/>
    </xf>
    <xf numFmtId="9" fontId="9" fillId="41" borderId="26" xfId="0" applyNumberFormat="1" applyFont="1" applyFill="1" applyBorder="1" applyAlignment="1">
      <alignment horizontal="center" vertical="center"/>
    </xf>
    <xf numFmtId="0" fontId="9" fillId="41" borderId="26" xfId="0" applyFont="1" applyFill="1" applyBorder="1" applyAlignment="1">
      <alignment horizontal="center" vertical="center"/>
    </xf>
    <xf numFmtId="0" fontId="9" fillId="41" borderId="32" xfId="0" applyFont="1" applyFill="1" applyBorder="1" applyAlignment="1">
      <alignment horizontal="center" vertical="center"/>
    </xf>
    <xf numFmtId="9" fontId="52" fillId="41" borderId="130" xfId="0" applyNumberFormat="1" applyFont="1" applyFill="1" applyBorder="1" applyAlignment="1">
      <alignment horizontal="center" vertical="center" wrapText="1"/>
    </xf>
    <xf numFmtId="9" fontId="52" fillId="41" borderId="32" xfId="0" applyNumberFormat="1" applyFont="1" applyFill="1" applyBorder="1" applyAlignment="1">
      <alignment horizontal="center" vertical="center" wrapText="1"/>
    </xf>
    <xf numFmtId="9" fontId="9" fillId="7" borderId="123" xfId="5" applyFont="1" applyFill="1" applyBorder="1" applyAlignment="1">
      <alignment horizontal="center" vertical="center" wrapText="1"/>
    </xf>
    <xf numFmtId="9" fontId="9" fillId="7" borderId="26" xfId="5" applyFont="1" applyFill="1" applyBorder="1" applyAlignment="1">
      <alignment horizontal="center" vertical="center" wrapText="1"/>
    </xf>
    <xf numFmtId="9" fontId="9" fillId="7" borderId="32" xfId="5" applyFont="1" applyFill="1" applyBorder="1" applyAlignment="1">
      <alignment horizontal="center" vertical="center" wrapText="1"/>
    </xf>
    <xf numFmtId="9" fontId="3" fillId="51" borderId="123" xfId="0" applyNumberFormat="1" applyFont="1" applyFill="1" applyBorder="1" applyAlignment="1">
      <alignment horizontal="center" vertical="center"/>
    </xf>
    <xf numFmtId="0" fontId="3" fillId="51" borderId="26" xfId="0" applyFont="1" applyFill="1" applyBorder="1" applyAlignment="1">
      <alignment horizontal="center" vertical="center"/>
    </xf>
    <xf numFmtId="0" fontId="3" fillId="51" borderId="32" xfId="0" applyFont="1" applyFill="1" applyBorder="1" applyAlignment="1">
      <alignment horizontal="center" vertical="center"/>
    </xf>
    <xf numFmtId="9" fontId="52" fillId="41" borderId="26" xfId="0" applyNumberFormat="1" applyFont="1" applyFill="1" applyBorder="1" applyAlignment="1">
      <alignment horizontal="center" vertical="center" wrapText="1"/>
    </xf>
    <xf numFmtId="9" fontId="52" fillId="7" borderId="130" xfId="0" applyNumberFormat="1" applyFont="1" applyFill="1" applyBorder="1" applyAlignment="1">
      <alignment horizontal="center" vertical="center" wrapText="1"/>
    </xf>
    <xf numFmtId="9" fontId="52" fillId="7" borderId="32" xfId="0" applyNumberFormat="1" applyFont="1" applyFill="1" applyBorder="1" applyAlignment="1">
      <alignment horizontal="center" vertical="center" wrapText="1"/>
    </xf>
    <xf numFmtId="9" fontId="52" fillId="39" borderId="130" xfId="0" applyNumberFormat="1" applyFont="1" applyFill="1" applyBorder="1" applyAlignment="1">
      <alignment horizontal="center" vertical="center" wrapText="1"/>
    </xf>
    <xf numFmtId="9" fontId="52" fillId="39" borderId="32" xfId="0" applyNumberFormat="1" applyFont="1" applyFill="1" applyBorder="1" applyAlignment="1">
      <alignment horizontal="center" vertical="center" wrapText="1"/>
    </xf>
    <xf numFmtId="0" fontId="8" fillId="38" borderId="149" xfId="0" applyFont="1" applyFill="1" applyBorder="1" applyAlignment="1">
      <alignment horizontal="center" vertical="center" wrapText="1"/>
    </xf>
    <xf numFmtId="0" fontId="8" fillId="7" borderId="149" xfId="0" applyFont="1" applyFill="1" applyBorder="1" applyAlignment="1">
      <alignment horizontal="center" vertical="center" wrapText="1"/>
    </xf>
    <xf numFmtId="0" fontId="8" fillId="7" borderId="32" xfId="0" applyFont="1" applyFill="1" applyBorder="1" applyAlignment="1">
      <alignment horizontal="center" vertical="center" wrapText="1"/>
    </xf>
    <xf numFmtId="0" fontId="11" fillId="38" borderId="130" xfId="0" applyFont="1" applyFill="1" applyBorder="1" applyAlignment="1">
      <alignment horizontal="center" vertical="center" wrapText="1"/>
    </xf>
    <xf numFmtId="0" fontId="11" fillId="38" borderId="26" xfId="0" applyFont="1" applyFill="1" applyBorder="1" applyAlignment="1">
      <alignment horizontal="center" vertical="center" wrapText="1"/>
    </xf>
    <xf numFmtId="0" fontId="11" fillId="38" borderId="149" xfId="0" applyFont="1" applyFill="1" applyBorder="1" applyAlignment="1">
      <alignment horizontal="center" vertical="center" wrapText="1"/>
    </xf>
    <xf numFmtId="9" fontId="11" fillId="66" borderId="26" xfId="0" applyNumberFormat="1" applyFont="1" applyFill="1" applyBorder="1" applyAlignment="1">
      <alignment horizontal="center" vertical="center" wrapText="1"/>
    </xf>
    <xf numFmtId="0" fontId="11" fillId="41" borderId="108" xfId="0" applyFont="1" applyFill="1" applyBorder="1" applyAlignment="1">
      <alignment horizontal="center" vertical="center" wrapText="1"/>
    </xf>
    <xf numFmtId="0" fontId="11" fillId="41" borderId="26" xfId="0" applyFont="1" applyFill="1" applyBorder="1" applyAlignment="1">
      <alignment horizontal="center" vertical="center" wrapText="1"/>
    </xf>
    <xf numFmtId="0" fontId="11" fillId="41" borderId="32" xfId="0" applyFont="1" applyFill="1" applyBorder="1" applyAlignment="1">
      <alignment horizontal="center" vertical="center" wrapText="1"/>
    </xf>
    <xf numFmtId="0" fontId="11" fillId="69" borderId="148" xfId="0" applyFont="1" applyFill="1" applyBorder="1" applyAlignment="1">
      <alignment horizontal="center" vertical="center" wrapText="1"/>
    </xf>
    <xf numFmtId="0" fontId="8" fillId="69" borderId="148" xfId="0" applyFont="1" applyFill="1" applyBorder="1" applyAlignment="1">
      <alignment horizontal="center" vertical="center" wrapText="1"/>
    </xf>
    <xf numFmtId="9" fontId="11" fillId="69" borderId="148" xfId="0" applyNumberFormat="1" applyFont="1" applyFill="1" applyBorder="1" applyAlignment="1">
      <alignment horizontal="center" vertical="center" wrapText="1"/>
    </xf>
    <xf numFmtId="0" fontId="11" fillId="69" borderId="152" xfId="0" applyFont="1" applyFill="1" applyBorder="1" applyAlignment="1">
      <alignment horizontal="center" vertical="center" wrapText="1"/>
    </xf>
    <xf numFmtId="0" fontId="11" fillId="69" borderId="0" xfId="0" applyFont="1" applyFill="1" applyBorder="1" applyAlignment="1">
      <alignment horizontal="center" vertical="center" wrapText="1"/>
    </xf>
    <xf numFmtId="9" fontId="52" fillId="69" borderId="150" xfId="0" applyNumberFormat="1" applyFont="1" applyFill="1" applyBorder="1" applyAlignment="1">
      <alignment horizontal="center" vertical="center" wrapText="1"/>
    </xf>
    <xf numFmtId="9" fontId="52" fillId="69" borderId="2" xfId="0" applyNumberFormat="1" applyFont="1" applyFill="1" applyBorder="1" applyAlignment="1">
      <alignment horizontal="center" vertical="center" wrapText="1"/>
    </xf>
    <xf numFmtId="3" fontId="11" fillId="69" borderId="148" xfId="0" applyNumberFormat="1" applyFont="1" applyFill="1" applyBorder="1" applyAlignment="1">
      <alignment horizontal="center" vertical="center" wrapText="1"/>
    </xf>
    <xf numFmtId="0" fontId="11" fillId="29" borderId="149" xfId="0" applyFont="1" applyFill="1" applyBorder="1" applyAlignment="1">
      <alignment horizontal="center" vertical="center"/>
    </xf>
    <xf numFmtId="0" fontId="11" fillId="29" borderId="32" xfId="0" applyFont="1" applyFill="1" applyBorder="1" applyAlignment="1">
      <alignment horizontal="center" vertical="center"/>
    </xf>
    <xf numFmtId="0" fontId="11" fillId="39" borderId="149" xfId="0" applyFont="1" applyFill="1" applyBorder="1" applyAlignment="1">
      <alignment horizontal="center" vertical="center" wrapText="1"/>
    </xf>
    <xf numFmtId="9" fontId="8" fillId="66" borderId="123" xfId="0" applyNumberFormat="1" applyFont="1" applyFill="1" applyBorder="1" applyAlignment="1">
      <alignment horizontal="center" vertical="center"/>
    </xf>
    <xf numFmtId="9" fontId="8" fillId="66" borderId="26" xfId="0" applyNumberFormat="1" applyFont="1" applyFill="1" applyBorder="1" applyAlignment="1">
      <alignment horizontal="center" vertical="center"/>
    </xf>
    <xf numFmtId="9" fontId="8" fillId="66" borderId="32" xfId="0" applyNumberFormat="1" applyFont="1" applyFill="1" applyBorder="1" applyAlignment="1">
      <alignment horizontal="center" vertical="center"/>
    </xf>
    <xf numFmtId="9" fontId="11" fillId="7" borderId="102" xfId="0" applyNumberFormat="1" applyFont="1" applyFill="1" applyBorder="1" applyAlignment="1">
      <alignment horizontal="center" vertical="center" wrapText="1"/>
    </xf>
    <xf numFmtId="0" fontId="11" fillId="41" borderId="148" xfId="0" applyFont="1" applyFill="1" applyBorder="1" applyAlignment="1">
      <alignment horizontal="center" vertical="center" wrapText="1"/>
    </xf>
    <xf numFmtId="9" fontId="3" fillId="29" borderId="123" xfId="0" applyNumberFormat="1" applyFont="1" applyFill="1" applyBorder="1" applyAlignment="1">
      <alignment horizontal="center" vertical="center" wrapText="1"/>
    </xf>
    <xf numFmtId="9" fontId="3" fillId="29" borderId="26" xfId="0" applyNumberFormat="1" applyFont="1" applyFill="1" applyBorder="1" applyAlignment="1">
      <alignment horizontal="center" vertical="center" wrapText="1"/>
    </xf>
    <xf numFmtId="9" fontId="3" fillId="29" borderId="32" xfId="0" applyNumberFormat="1" applyFont="1" applyFill="1" applyBorder="1" applyAlignment="1">
      <alignment horizontal="center" vertical="center" wrapText="1"/>
    </xf>
    <xf numFmtId="9" fontId="3" fillId="39" borderId="123" xfId="0" applyNumberFormat="1" applyFont="1" applyFill="1" applyBorder="1" applyAlignment="1">
      <alignment horizontal="center" vertical="center" wrapText="1"/>
    </xf>
    <xf numFmtId="9" fontId="3" fillId="39" borderId="26" xfId="0" applyNumberFormat="1" applyFont="1" applyFill="1" applyBorder="1" applyAlignment="1">
      <alignment horizontal="center" vertical="center" wrapText="1"/>
    </xf>
    <xf numFmtId="9" fontId="3" fillId="39" borderId="32" xfId="0" applyNumberFormat="1" applyFont="1" applyFill="1" applyBorder="1" applyAlignment="1">
      <alignment horizontal="center" vertical="center" wrapText="1"/>
    </xf>
    <xf numFmtId="0" fontId="11" fillId="41" borderId="149" xfId="0" applyFont="1" applyFill="1" applyBorder="1" applyAlignment="1">
      <alignment horizontal="center" vertical="center" wrapText="1"/>
    </xf>
    <xf numFmtId="0" fontId="11" fillId="41" borderId="149" xfId="8" applyFont="1" applyFill="1" applyBorder="1" applyAlignment="1">
      <alignment horizontal="center" vertical="center" wrapText="1"/>
    </xf>
    <xf numFmtId="0" fontId="11" fillId="41" borderId="32" xfId="8" applyFont="1" applyFill="1" applyBorder="1" applyAlignment="1">
      <alignment horizontal="center" vertical="center" wrapText="1"/>
    </xf>
    <xf numFmtId="0" fontId="0" fillId="41" borderId="149" xfId="8" applyFont="1" applyFill="1" applyBorder="1" applyAlignment="1">
      <alignment horizontal="center" vertical="center"/>
    </xf>
    <xf numFmtId="0" fontId="0" fillId="41" borderId="32" xfId="8" applyFont="1" applyFill="1" applyBorder="1" applyAlignment="1">
      <alignment horizontal="center" vertical="center"/>
    </xf>
    <xf numFmtId="0" fontId="0" fillId="41" borderId="149" xfId="8" applyFont="1" applyFill="1" applyBorder="1" applyAlignment="1">
      <alignment horizontal="center" vertical="center" wrapText="1"/>
    </xf>
    <xf numFmtId="0" fontId="0" fillId="41" borderId="32" xfId="8" applyFont="1" applyFill="1" applyBorder="1" applyAlignment="1">
      <alignment horizontal="center" vertical="center" wrapText="1"/>
    </xf>
    <xf numFmtId="0" fontId="11" fillId="41" borderId="26" xfId="8" applyFont="1" applyFill="1" applyBorder="1" applyAlignment="1">
      <alignment horizontal="center" vertical="center" wrapText="1"/>
    </xf>
    <xf numFmtId="0" fontId="0" fillId="41" borderId="26" xfId="8" applyFont="1" applyFill="1" applyBorder="1" applyAlignment="1">
      <alignment horizontal="center" vertical="center"/>
    </xf>
    <xf numFmtId="0" fontId="0" fillId="41" borderId="26" xfId="8" applyFont="1" applyFill="1" applyBorder="1" applyAlignment="1">
      <alignment horizontal="center" vertical="center" wrapText="1"/>
    </xf>
    <xf numFmtId="0" fontId="0" fillId="38" borderId="149" xfId="8" applyFont="1" applyFill="1" applyBorder="1" applyAlignment="1">
      <alignment horizontal="center" vertical="center" wrapText="1"/>
    </xf>
    <xf numFmtId="0" fontId="0" fillId="38" borderId="32" xfId="8" applyFont="1" applyFill="1" applyBorder="1" applyAlignment="1">
      <alignment horizontal="center" vertical="center" wrapText="1"/>
    </xf>
    <xf numFmtId="0" fontId="11" fillId="38" borderId="149" xfId="8" applyFont="1" applyFill="1" applyBorder="1" applyAlignment="1">
      <alignment horizontal="center" vertical="center" wrapText="1"/>
    </xf>
    <xf numFmtId="0" fontId="11" fillId="38" borderId="32" xfId="8" applyFont="1" applyFill="1" applyBorder="1" applyAlignment="1">
      <alignment horizontal="center" vertical="center" wrapText="1"/>
    </xf>
    <xf numFmtId="0" fontId="0" fillId="39" borderId="149" xfId="8" applyFont="1" applyFill="1" applyBorder="1" applyAlignment="1">
      <alignment horizontal="center" vertical="center" wrapText="1"/>
    </xf>
    <xf numFmtId="0" fontId="0" fillId="39" borderId="26" xfId="8" applyFont="1" applyFill="1" applyBorder="1" applyAlignment="1">
      <alignment horizontal="center" vertical="center" wrapText="1"/>
    </xf>
    <xf numFmtId="0" fontId="0" fillId="39" borderId="32" xfId="8" applyFont="1" applyFill="1" applyBorder="1" applyAlignment="1">
      <alignment horizontal="center" vertical="center" wrapText="1"/>
    </xf>
    <xf numFmtId="0" fontId="11" fillId="39" borderId="149" xfId="8" applyFont="1" applyFill="1" applyBorder="1" applyAlignment="1">
      <alignment horizontal="center" vertical="center" wrapText="1"/>
    </xf>
    <xf numFmtId="0" fontId="11" fillId="39" borderId="26" xfId="8" applyFont="1" applyFill="1" applyBorder="1" applyAlignment="1">
      <alignment horizontal="center" vertical="center" wrapText="1"/>
    </xf>
    <xf numFmtId="0" fontId="11" fillId="39" borderId="32" xfId="8" applyFont="1" applyFill="1" applyBorder="1" applyAlignment="1">
      <alignment horizontal="center" vertical="center" wrapText="1"/>
    </xf>
    <xf numFmtId="0" fontId="3" fillId="39" borderId="149" xfId="8" applyFont="1" applyFill="1" applyBorder="1" applyAlignment="1">
      <alignment horizontal="center" vertical="center"/>
    </xf>
    <xf numFmtId="0" fontId="3" fillId="39" borderId="32" xfId="8" applyFont="1" applyFill="1" applyBorder="1" applyAlignment="1">
      <alignment horizontal="center" vertical="center"/>
    </xf>
    <xf numFmtId="0" fontId="3" fillId="39" borderId="26" xfId="8" applyFont="1" applyFill="1" applyBorder="1" applyAlignment="1">
      <alignment horizontal="center" vertical="center"/>
    </xf>
    <xf numFmtId="0" fontId="11" fillId="29" borderId="56" xfId="0" applyFont="1" applyFill="1" applyBorder="1" applyAlignment="1">
      <alignment horizontal="center" vertical="center" wrapText="1"/>
    </xf>
    <xf numFmtId="0" fontId="11" fillId="29" borderId="149" xfId="8" applyFont="1" applyFill="1" applyBorder="1" applyAlignment="1">
      <alignment horizontal="center" vertical="center" wrapText="1"/>
    </xf>
    <xf numFmtId="0" fontId="11" fillId="29" borderId="26" xfId="8" applyFont="1" applyFill="1" applyBorder="1" applyAlignment="1">
      <alignment horizontal="center" vertical="center" wrapText="1"/>
    </xf>
    <xf numFmtId="0" fontId="11" fillId="29" borderId="56" xfId="8" applyFont="1" applyFill="1" applyBorder="1" applyAlignment="1">
      <alignment horizontal="center" vertical="center" wrapText="1"/>
    </xf>
    <xf numFmtId="0" fontId="0" fillId="29" borderId="149" xfId="8" applyFont="1" applyFill="1" applyBorder="1" applyAlignment="1">
      <alignment horizontal="center" vertical="center"/>
    </xf>
    <xf numFmtId="0" fontId="0" fillId="29" borderId="26" xfId="8" applyFont="1" applyFill="1" applyBorder="1" applyAlignment="1">
      <alignment horizontal="center" vertical="center"/>
    </xf>
    <xf numFmtId="0" fontId="0" fillId="29" borderId="56" xfId="8" applyFont="1" applyFill="1" applyBorder="1" applyAlignment="1">
      <alignment horizontal="center" vertical="center"/>
    </xf>
    <xf numFmtId="0" fontId="0" fillId="29" borderId="149" xfId="8" applyFont="1" applyFill="1" applyBorder="1" applyAlignment="1">
      <alignment horizontal="center" vertical="center" wrapText="1"/>
    </xf>
    <xf numFmtId="0" fontId="0" fillId="29" borderId="26" xfId="8" applyFont="1" applyFill="1" applyBorder="1" applyAlignment="1">
      <alignment horizontal="center" vertical="center" wrapText="1"/>
    </xf>
    <xf numFmtId="0" fontId="0" fillId="29" borderId="56" xfId="8" applyFont="1" applyFill="1" applyBorder="1" applyAlignment="1">
      <alignment horizontal="center" vertical="center" wrapText="1"/>
    </xf>
    <xf numFmtId="0" fontId="11" fillId="29" borderId="32" xfId="8" applyFont="1" applyFill="1" applyBorder="1" applyAlignment="1">
      <alignment horizontal="center" vertical="center" wrapText="1"/>
    </xf>
    <xf numFmtId="0" fontId="0" fillId="29" borderId="32" xfId="8" applyFont="1" applyFill="1" applyBorder="1" applyAlignment="1">
      <alignment horizontal="center" vertical="center"/>
    </xf>
    <xf numFmtId="0" fontId="0" fillId="29" borderId="32" xfId="8" applyFont="1" applyFill="1" applyBorder="1" applyAlignment="1">
      <alignment horizontal="center" vertical="center" wrapText="1"/>
    </xf>
    <xf numFmtId="0" fontId="11" fillId="43" borderId="149" xfId="0" applyFont="1" applyFill="1" applyBorder="1" applyAlignment="1">
      <alignment horizontal="center" vertical="center" wrapText="1"/>
    </xf>
    <xf numFmtId="0" fontId="11" fillId="43" borderId="26" xfId="0" applyFont="1" applyFill="1" applyBorder="1" applyAlignment="1">
      <alignment horizontal="center" vertical="center" wrapText="1"/>
    </xf>
    <xf numFmtId="0" fontId="11" fillId="43" borderId="56" xfId="0" applyFont="1" applyFill="1" applyBorder="1" applyAlignment="1">
      <alignment horizontal="center" vertical="center" wrapText="1"/>
    </xf>
    <xf numFmtId="0" fontId="11" fillId="43" borderId="149" xfId="8" applyFont="1" applyFill="1" applyBorder="1" applyAlignment="1">
      <alignment horizontal="center" vertical="center" wrapText="1"/>
    </xf>
    <xf numFmtId="0" fontId="11" fillId="43" borderId="26" xfId="8" applyFont="1" applyFill="1" applyBorder="1" applyAlignment="1">
      <alignment horizontal="center" vertical="center" wrapText="1"/>
    </xf>
    <xf numFmtId="0" fontId="11" fillId="43" borderId="56" xfId="8" applyFont="1" applyFill="1" applyBorder="1" applyAlignment="1">
      <alignment horizontal="center" vertical="center" wrapText="1"/>
    </xf>
    <xf numFmtId="0" fontId="0" fillId="43" borderId="149" xfId="8" applyFont="1" applyFill="1" applyBorder="1" applyAlignment="1">
      <alignment horizontal="center" vertical="center" wrapText="1"/>
    </xf>
    <xf numFmtId="0" fontId="0" fillId="43" borderId="26" xfId="8" applyFont="1" applyFill="1" applyBorder="1" applyAlignment="1">
      <alignment horizontal="center" vertical="center" wrapText="1"/>
    </xf>
    <xf numFmtId="0" fontId="0" fillId="43" borderId="56" xfId="8" applyFont="1" applyFill="1" applyBorder="1" applyAlignment="1">
      <alignment horizontal="center" vertical="center" wrapText="1"/>
    </xf>
    <xf numFmtId="0" fontId="0" fillId="43" borderId="32" xfId="8" applyFont="1" applyFill="1" applyBorder="1" applyAlignment="1">
      <alignment horizontal="center" vertical="center" wrapText="1"/>
    </xf>
    <xf numFmtId="0" fontId="11" fillId="43" borderId="32" xfId="0" applyFont="1" applyFill="1" applyBorder="1" applyAlignment="1">
      <alignment horizontal="center" vertical="center" wrapText="1"/>
    </xf>
    <xf numFmtId="0" fontId="11" fillId="43" borderId="32" xfId="8" applyFont="1" applyFill="1" applyBorder="1" applyAlignment="1">
      <alignment horizontal="center" vertical="center" wrapText="1"/>
    </xf>
    <xf numFmtId="0" fontId="0" fillId="43" borderId="149" xfId="8" applyFont="1" applyFill="1" applyBorder="1" applyAlignment="1">
      <alignment horizontal="center" vertical="center"/>
    </xf>
    <xf numFmtId="0" fontId="0" fillId="43" borderId="32" xfId="8" applyFont="1" applyFill="1" applyBorder="1" applyAlignment="1">
      <alignment horizontal="center" vertical="center"/>
    </xf>
    <xf numFmtId="0" fontId="0" fillId="43" borderId="26" xfId="8" applyFont="1" applyFill="1" applyBorder="1" applyAlignment="1">
      <alignment horizontal="center" vertical="center"/>
    </xf>
    <xf numFmtId="0" fontId="11" fillId="41" borderId="10" xfId="0" applyFont="1" applyFill="1" applyBorder="1" applyAlignment="1">
      <alignment horizontal="center" vertical="center" wrapText="1"/>
    </xf>
    <xf numFmtId="0" fontId="11" fillId="42" borderId="149" xfId="0" applyFont="1" applyFill="1" applyBorder="1" applyAlignment="1">
      <alignment horizontal="center" vertical="center" wrapText="1"/>
    </xf>
    <xf numFmtId="0" fontId="11" fillId="42" borderId="32" xfId="0" applyFont="1" applyFill="1" applyBorder="1" applyAlignment="1">
      <alignment horizontal="center" vertical="center" wrapText="1"/>
    </xf>
    <xf numFmtId="0" fontId="11" fillId="42" borderId="149" xfId="8" applyFont="1" applyFill="1" applyBorder="1" applyAlignment="1">
      <alignment horizontal="center" vertical="center" wrapText="1"/>
    </xf>
    <xf numFmtId="0" fontId="11" fillId="42" borderId="32" xfId="8" applyFont="1" applyFill="1" applyBorder="1" applyAlignment="1">
      <alignment horizontal="center" vertical="center" wrapText="1"/>
    </xf>
    <xf numFmtId="0" fontId="0" fillId="42" borderId="149" xfId="8" applyFont="1" applyFill="1" applyBorder="1" applyAlignment="1">
      <alignment horizontal="center" vertical="center"/>
    </xf>
    <xf numFmtId="0" fontId="0" fillId="42" borderId="32" xfId="8" applyFont="1" applyFill="1" applyBorder="1" applyAlignment="1">
      <alignment horizontal="center" vertical="center"/>
    </xf>
    <xf numFmtId="0" fontId="0" fillId="42" borderId="149" xfId="8" applyFont="1" applyFill="1" applyBorder="1" applyAlignment="1">
      <alignment horizontal="center" vertical="center" wrapText="1"/>
    </xf>
    <xf numFmtId="0" fontId="0" fillId="42" borderId="32" xfId="8" applyFont="1" applyFill="1" applyBorder="1" applyAlignment="1">
      <alignment horizontal="center" vertical="center" wrapText="1"/>
    </xf>
    <xf numFmtId="0" fontId="11" fillId="41" borderId="56" xfId="8" applyFont="1" applyFill="1" applyBorder="1" applyAlignment="1">
      <alignment horizontal="center" vertical="center" wrapText="1"/>
    </xf>
    <xf numFmtId="0" fontId="0" fillId="41" borderId="149" xfId="8" applyFont="1" applyFill="1" applyBorder="1" applyAlignment="1" applyProtection="1">
      <alignment horizontal="center" vertical="center" wrapText="1"/>
      <protection locked="0"/>
    </xf>
    <xf numFmtId="0" fontId="0" fillId="41" borderId="56" xfId="8" applyFont="1" applyFill="1" applyBorder="1" applyAlignment="1" applyProtection="1">
      <alignment horizontal="center" vertical="center" wrapText="1"/>
      <protection locked="0"/>
    </xf>
    <xf numFmtId="0" fontId="0" fillId="41" borderId="26" xfId="8" applyFont="1" applyFill="1" applyBorder="1" applyAlignment="1" applyProtection="1">
      <alignment horizontal="center" vertical="center" wrapText="1"/>
      <protection locked="0"/>
    </xf>
    <xf numFmtId="0" fontId="0" fillId="41" borderId="32" xfId="8" applyFont="1" applyFill="1" applyBorder="1" applyAlignment="1" applyProtection="1">
      <alignment horizontal="center" vertical="center" wrapText="1"/>
      <protection locked="0"/>
    </xf>
    <xf numFmtId="0" fontId="8" fillId="39" borderId="51" xfId="8" applyFont="1" applyFill="1" applyBorder="1" applyAlignment="1">
      <alignment horizontal="center" vertical="center" wrapText="1"/>
    </xf>
    <xf numFmtId="0" fontId="8" fillId="39" borderId="11" xfId="8" applyFont="1" applyFill="1" applyBorder="1" applyAlignment="1">
      <alignment horizontal="center" vertical="center" wrapText="1"/>
    </xf>
    <xf numFmtId="0" fontId="8" fillId="39" borderId="29" xfId="8" applyFont="1" applyFill="1" applyBorder="1" applyAlignment="1">
      <alignment horizontal="center" vertical="center" wrapText="1"/>
    </xf>
    <xf numFmtId="0" fontId="11" fillId="39" borderId="148" xfId="8" applyFont="1" applyFill="1" applyBorder="1" applyAlignment="1">
      <alignment horizontal="center" vertical="center" wrapText="1"/>
    </xf>
    <xf numFmtId="0" fontId="11" fillId="39" borderId="30" xfId="8" applyFont="1" applyFill="1" applyBorder="1" applyAlignment="1">
      <alignment horizontal="center" vertical="center" wrapText="1"/>
    </xf>
    <xf numFmtId="0" fontId="8" fillId="42" borderId="7" xfId="8" applyFont="1" applyFill="1" applyBorder="1" applyAlignment="1">
      <alignment horizontal="center" vertical="center"/>
    </xf>
    <xf numFmtId="0" fontId="8" fillId="42" borderId="11" xfId="8" applyFont="1" applyFill="1" applyBorder="1" applyAlignment="1">
      <alignment horizontal="center" vertical="center"/>
    </xf>
    <xf numFmtId="0" fontId="8" fillId="42" borderId="29" xfId="8" applyFont="1" applyFill="1" applyBorder="1" applyAlignment="1">
      <alignment horizontal="center" vertical="center"/>
    </xf>
    <xf numFmtId="0" fontId="11" fillId="42" borderId="8" xfId="8" applyFont="1" applyFill="1" applyBorder="1" applyAlignment="1">
      <alignment horizontal="center" vertical="center" wrapText="1"/>
    </xf>
    <xf numFmtId="0" fontId="11" fillId="42" borderId="148" xfId="8" applyFont="1" applyFill="1" applyBorder="1" applyAlignment="1">
      <alignment horizontal="center" vertical="center" wrapText="1"/>
    </xf>
    <xf numFmtId="0" fontId="11" fillId="42" borderId="30" xfId="8" applyFont="1" applyFill="1" applyBorder="1" applyAlignment="1">
      <alignment horizontal="center" vertical="center" wrapText="1"/>
    </xf>
    <xf numFmtId="0" fontId="8" fillId="41" borderId="51" xfId="8" applyFont="1" applyFill="1" applyBorder="1" applyAlignment="1">
      <alignment horizontal="center" vertical="center"/>
    </xf>
    <xf numFmtId="0" fontId="8" fillId="41" borderId="11" xfId="8" applyFont="1" applyFill="1" applyBorder="1" applyAlignment="1">
      <alignment horizontal="center" vertical="center"/>
    </xf>
    <xf numFmtId="0" fontId="8" fillId="41" borderId="158" xfId="8" applyFont="1" applyFill="1" applyBorder="1" applyAlignment="1">
      <alignment horizontal="center" vertical="center"/>
    </xf>
    <xf numFmtId="0" fontId="8" fillId="41" borderId="29" xfId="8" applyFont="1" applyFill="1" applyBorder="1" applyAlignment="1">
      <alignment horizontal="center" vertical="center"/>
    </xf>
    <xf numFmtId="0" fontId="11" fillId="41" borderId="148" xfId="8" applyFont="1" applyFill="1" applyBorder="1" applyAlignment="1">
      <alignment horizontal="center" vertical="center" wrapText="1"/>
    </xf>
    <xf numFmtId="0" fontId="11" fillId="41" borderId="30" xfId="8" applyFont="1" applyFill="1" applyBorder="1" applyAlignment="1">
      <alignment horizontal="center" vertical="center" wrapText="1"/>
    </xf>
    <xf numFmtId="0" fontId="8" fillId="40" borderId="51" xfId="8" applyFont="1" applyFill="1" applyBorder="1" applyAlignment="1">
      <alignment horizontal="center" vertical="center" wrapText="1"/>
    </xf>
    <xf numFmtId="0" fontId="8" fillId="40" borderId="11" xfId="8" applyFont="1" applyFill="1" applyBorder="1" applyAlignment="1">
      <alignment horizontal="center" vertical="center" wrapText="1"/>
    </xf>
    <xf numFmtId="0" fontId="8" fillId="40" borderId="158" xfId="8" applyFont="1" applyFill="1" applyBorder="1" applyAlignment="1">
      <alignment horizontal="center" vertical="center" wrapText="1"/>
    </xf>
    <xf numFmtId="0" fontId="8" fillId="40" borderId="29" xfId="8" applyFont="1" applyFill="1" applyBorder="1" applyAlignment="1">
      <alignment horizontal="center" vertical="center" wrapText="1"/>
    </xf>
    <xf numFmtId="0" fontId="11" fillId="40" borderId="32" xfId="8" applyFont="1" applyFill="1" applyBorder="1" applyAlignment="1">
      <alignment horizontal="center" vertical="center" wrapText="1"/>
    </xf>
    <xf numFmtId="0" fontId="11" fillId="40" borderId="148" xfId="8" applyFont="1" applyFill="1" applyBorder="1" applyAlignment="1">
      <alignment horizontal="center" vertical="center" wrapText="1"/>
    </xf>
    <xf numFmtId="0" fontId="11" fillId="40" borderId="149" xfId="8" applyFont="1" applyFill="1" applyBorder="1" applyAlignment="1">
      <alignment horizontal="center" vertical="center" wrapText="1"/>
    </xf>
    <xf numFmtId="0" fontId="11" fillId="40" borderId="30" xfId="8" applyFont="1" applyFill="1" applyBorder="1" applyAlignment="1">
      <alignment horizontal="center" vertical="center" wrapText="1"/>
    </xf>
    <xf numFmtId="0" fontId="8" fillId="38" borderId="51" xfId="8" applyFont="1" applyFill="1" applyBorder="1" applyAlignment="1">
      <alignment horizontal="center" vertical="center"/>
    </xf>
    <xf numFmtId="0" fontId="8" fillId="38" borderId="11" xfId="8" applyFont="1" applyFill="1" applyBorder="1" applyAlignment="1">
      <alignment horizontal="center" vertical="center"/>
    </xf>
    <xf numFmtId="0" fontId="8" fillId="38" borderId="29" xfId="8" applyFont="1" applyFill="1" applyBorder="1" applyAlignment="1">
      <alignment horizontal="center" vertical="center"/>
    </xf>
    <xf numFmtId="0" fontId="11" fillId="38" borderId="148" xfId="8" applyFont="1" applyFill="1" applyBorder="1" applyAlignment="1">
      <alignment horizontal="center" vertical="center" wrapText="1"/>
    </xf>
    <xf numFmtId="0" fontId="11" fillId="38" borderId="30" xfId="8" applyFont="1" applyFill="1" applyBorder="1" applyAlignment="1">
      <alignment horizontal="center" vertical="center" wrapText="1"/>
    </xf>
    <xf numFmtId="0" fontId="8" fillId="3" borderId="38" xfId="0" applyFont="1" applyFill="1" applyBorder="1" applyAlignment="1">
      <alignment horizontal="center" vertical="center"/>
    </xf>
    <xf numFmtId="0" fontId="8" fillId="4" borderId="21" xfId="0" applyFont="1" applyFill="1" applyBorder="1" applyAlignment="1">
      <alignment horizontal="center" vertical="center" wrapText="1"/>
    </xf>
    <xf numFmtId="0" fontId="8" fillId="4" borderId="33" xfId="0" applyFont="1" applyFill="1" applyBorder="1" applyAlignment="1">
      <alignment horizontal="center" vertical="center" wrapText="1"/>
    </xf>
    <xf numFmtId="0" fontId="8" fillId="4" borderId="78" xfId="0" applyFont="1" applyFill="1" applyBorder="1" applyAlignment="1">
      <alignment horizontal="center" vertical="center" wrapText="1"/>
    </xf>
    <xf numFmtId="0" fontId="8" fillId="4" borderId="152"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8" fillId="43" borderId="51" xfId="8" applyFont="1" applyFill="1" applyBorder="1" applyAlignment="1">
      <alignment horizontal="center" vertical="center" wrapText="1"/>
    </xf>
    <xf numFmtId="0" fontId="8" fillId="43" borderId="11" xfId="8" applyFont="1" applyFill="1" applyBorder="1" applyAlignment="1">
      <alignment horizontal="center" vertical="center" wrapText="1"/>
    </xf>
    <xf numFmtId="0" fontId="8" fillId="43" borderId="158" xfId="8" applyFont="1" applyFill="1" applyBorder="1" applyAlignment="1">
      <alignment horizontal="center" vertical="center" wrapText="1"/>
    </xf>
    <xf numFmtId="0" fontId="8" fillId="43" borderId="29" xfId="8" applyFont="1" applyFill="1" applyBorder="1" applyAlignment="1">
      <alignment horizontal="center" vertical="center" wrapText="1"/>
    </xf>
    <xf numFmtId="0" fontId="11" fillId="43" borderId="148" xfId="8" applyFont="1" applyFill="1" applyBorder="1" applyAlignment="1">
      <alignment horizontal="center" vertical="center" wrapText="1"/>
    </xf>
    <xf numFmtId="0" fontId="11" fillId="43" borderId="30" xfId="8" applyFont="1" applyFill="1" applyBorder="1" applyAlignment="1">
      <alignment horizontal="center" vertical="center" wrapText="1"/>
    </xf>
    <xf numFmtId="0" fontId="8" fillId="41" borderId="7" xfId="8" applyFont="1" applyFill="1" applyBorder="1" applyAlignment="1">
      <alignment horizontal="center" vertical="center" wrapText="1"/>
    </xf>
    <xf numFmtId="0" fontId="8" fillId="41" borderId="51" xfId="8" applyFont="1" applyFill="1" applyBorder="1" applyAlignment="1">
      <alignment horizontal="center" vertical="center" wrapText="1"/>
    </xf>
    <xf numFmtId="0" fontId="8" fillId="41" borderId="11" xfId="8" applyFont="1" applyFill="1" applyBorder="1" applyAlignment="1">
      <alignment horizontal="center" vertical="center" wrapText="1"/>
    </xf>
    <xf numFmtId="0" fontId="8" fillId="41" borderId="158" xfId="8" applyFont="1" applyFill="1" applyBorder="1" applyAlignment="1">
      <alignment horizontal="center" vertical="center" wrapText="1"/>
    </xf>
    <xf numFmtId="0" fontId="8" fillId="41" borderId="29" xfId="8" applyFont="1" applyFill="1" applyBorder="1" applyAlignment="1">
      <alignment horizontal="center" vertical="center" wrapText="1"/>
    </xf>
    <xf numFmtId="0" fontId="11" fillId="41" borderId="8" xfId="8" applyFont="1" applyFill="1" applyBorder="1" applyAlignment="1">
      <alignment horizontal="center" vertical="center" wrapText="1"/>
    </xf>
    <xf numFmtId="0" fontId="8" fillId="42" borderId="51" xfId="8" applyFont="1" applyFill="1" applyBorder="1" applyAlignment="1">
      <alignment horizontal="center" vertical="center" wrapText="1"/>
    </xf>
    <xf numFmtId="0" fontId="8" fillId="42" borderId="11" xfId="8" applyFont="1" applyFill="1" applyBorder="1" applyAlignment="1">
      <alignment horizontal="center" vertical="center" wrapText="1"/>
    </xf>
    <xf numFmtId="0" fontId="8" fillId="42" borderId="158" xfId="8" applyFont="1" applyFill="1" applyBorder="1" applyAlignment="1">
      <alignment horizontal="center" vertical="center" wrapText="1"/>
    </xf>
    <xf numFmtId="0" fontId="8" fillId="42" borderId="29" xfId="8" applyFont="1" applyFill="1" applyBorder="1" applyAlignment="1">
      <alignment horizontal="center" vertical="center" wrapText="1"/>
    </xf>
    <xf numFmtId="0" fontId="11" fillId="41" borderId="10" xfId="8" applyFont="1" applyFill="1" applyBorder="1" applyAlignment="1">
      <alignment horizontal="center" vertical="center" wrapText="1"/>
    </xf>
    <xf numFmtId="0" fontId="0" fillId="41" borderId="10" xfId="8" applyFont="1" applyFill="1" applyBorder="1" applyAlignment="1" applyProtection="1">
      <alignment horizontal="center" vertical="center" wrapText="1"/>
      <protection locked="0"/>
    </xf>
    <xf numFmtId="0" fontId="11" fillId="41" borderId="56" xfId="0" applyFont="1" applyFill="1" applyBorder="1" applyAlignment="1">
      <alignment horizontal="center" vertical="center" wrapText="1"/>
    </xf>
    <xf numFmtId="0" fontId="8" fillId="29" borderId="51" xfId="8" applyFont="1" applyFill="1" applyBorder="1" applyAlignment="1">
      <alignment horizontal="center" vertical="center" wrapText="1"/>
    </xf>
    <xf numFmtId="0" fontId="8" fillId="29" borderId="11" xfId="8" applyFont="1" applyFill="1" applyBorder="1" applyAlignment="1">
      <alignment horizontal="center" vertical="center" wrapText="1"/>
    </xf>
    <xf numFmtId="0" fontId="8" fillId="29" borderId="158" xfId="8" applyFont="1" applyFill="1" applyBorder="1" applyAlignment="1">
      <alignment horizontal="center" vertical="center" wrapText="1"/>
    </xf>
    <xf numFmtId="0" fontId="8" fillId="29" borderId="29" xfId="8" applyFont="1" applyFill="1" applyBorder="1" applyAlignment="1">
      <alignment horizontal="center" vertical="center" wrapText="1"/>
    </xf>
    <xf numFmtId="0" fontId="11" fillId="29" borderId="148" xfId="8" applyFont="1" applyFill="1" applyBorder="1" applyAlignment="1">
      <alignment horizontal="center" vertical="center" wrapText="1"/>
    </xf>
    <xf numFmtId="0" fontId="11" fillId="29" borderId="30" xfId="8" applyFont="1" applyFill="1" applyBorder="1" applyAlignment="1">
      <alignment horizontal="center" vertical="center" wrapText="1"/>
    </xf>
    <xf numFmtId="3" fontId="8" fillId="5" borderId="6" xfId="0" applyNumberFormat="1" applyFont="1" applyFill="1" applyBorder="1" applyAlignment="1" applyProtection="1">
      <alignment horizontal="center" vertical="center"/>
      <protection locked="0"/>
    </xf>
    <xf numFmtId="3" fontId="8" fillId="6" borderId="10" xfId="0" applyNumberFormat="1" applyFont="1" applyFill="1" applyBorder="1" applyAlignment="1" applyProtection="1">
      <alignment horizontal="center" vertical="center" wrapText="1"/>
      <protection locked="0"/>
    </xf>
    <xf numFmtId="3" fontId="8" fillId="6" borderId="26" xfId="0" applyNumberFormat="1" applyFont="1" applyFill="1" applyBorder="1" applyAlignment="1" applyProtection="1">
      <alignment horizontal="center" vertical="center" wrapText="1"/>
      <protection locked="0"/>
    </xf>
    <xf numFmtId="9" fontId="11" fillId="41" borderId="10" xfId="5" applyFont="1" applyFill="1" applyBorder="1" applyAlignment="1">
      <alignment horizontal="center" vertical="center" wrapText="1"/>
    </xf>
    <xf numFmtId="9" fontId="11" fillId="41" borderId="26" xfId="5" applyFont="1" applyFill="1" applyBorder="1" applyAlignment="1">
      <alignment horizontal="center" vertical="center" wrapText="1"/>
    </xf>
    <xf numFmtId="9" fontId="11" fillId="41" borderId="56" xfId="5" applyFont="1" applyFill="1" applyBorder="1" applyAlignment="1">
      <alignment horizontal="center" vertical="center" wrapText="1"/>
    </xf>
    <xf numFmtId="9" fontId="52" fillId="41" borderId="149" xfId="0" applyNumberFormat="1" applyFont="1" applyFill="1" applyBorder="1" applyAlignment="1">
      <alignment horizontal="center" vertical="center" wrapText="1"/>
    </xf>
    <xf numFmtId="9" fontId="52" fillId="41" borderId="56" xfId="0" applyNumberFormat="1" applyFont="1" applyFill="1" applyBorder="1" applyAlignment="1">
      <alignment horizontal="center" vertical="center" wrapText="1"/>
    </xf>
    <xf numFmtId="9" fontId="52" fillId="41" borderId="10" xfId="0" applyNumberFormat="1" applyFont="1" applyFill="1" applyBorder="1" applyAlignment="1">
      <alignment horizontal="center" vertical="center" wrapText="1"/>
    </xf>
    <xf numFmtId="9" fontId="11" fillId="40" borderId="26" xfId="5" applyFont="1" applyFill="1" applyBorder="1" applyAlignment="1">
      <alignment horizontal="center" vertical="center" wrapText="1"/>
    </xf>
    <xf numFmtId="9" fontId="11" fillId="40" borderId="56" xfId="5" applyFont="1" applyFill="1" applyBorder="1" applyAlignment="1">
      <alignment horizontal="center" vertical="center" wrapText="1"/>
    </xf>
    <xf numFmtId="9" fontId="11" fillId="42" borderId="8" xfId="5" applyFont="1" applyFill="1" applyBorder="1" applyAlignment="1">
      <alignment horizontal="center" vertical="center" wrapText="1"/>
    </xf>
    <xf numFmtId="9" fontId="11" fillId="42" borderId="148" xfId="5" applyFont="1" applyFill="1" applyBorder="1" applyAlignment="1">
      <alignment horizontal="center" vertical="center" wrapText="1"/>
    </xf>
    <xf numFmtId="9" fontId="11" fillId="42" borderId="30" xfId="5" applyFont="1" applyFill="1" applyBorder="1" applyAlignment="1">
      <alignment horizontal="center" vertical="center" wrapText="1"/>
    </xf>
    <xf numFmtId="9" fontId="11" fillId="42" borderId="26" xfId="5" applyFont="1" applyFill="1" applyBorder="1" applyAlignment="1">
      <alignment horizontal="center" vertical="center" wrapText="1"/>
    </xf>
    <xf numFmtId="9" fontId="11" fillId="42" borderId="56" xfId="5" applyFont="1" applyFill="1" applyBorder="1" applyAlignment="1">
      <alignment horizontal="center" vertical="center" wrapText="1"/>
    </xf>
    <xf numFmtId="9" fontId="11" fillId="43" borderId="26" xfId="5" applyFont="1" applyFill="1" applyBorder="1" applyAlignment="1">
      <alignment horizontal="center" vertical="center" wrapText="1"/>
    </xf>
    <xf numFmtId="9" fontId="11" fillId="43" borderId="56" xfId="5" applyFont="1" applyFill="1" applyBorder="1" applyAlignment="1">
      <alignment horizontal="center" vertical="center" wrapText="1"/>
    </xf>
    <xf numFmtId="9" fontId="11" fillId="29" borderId="26" xfId="5" applyFont="1" applyFill="1" applyBorder="1" applyAlignment="1">
      <alignment horizontal="center" vertical="center" wrapText="1"/>
    </xf>
    <xf numFmtId="9" fontId="11" fillId="29" borderId="56" xfId="5" applyFont="1" applyFill="1" applyBorder="1" applyAlignment="1">
      <alignment horizontal="center" vertical="center" wrapText="1"/>
    </xf>
    <xf numFmtId="9" fontId="11" fillId="39" borderId="26" xfId="5" applyFont="1" applyFill="1" applyBorder="1" applyAlignment="1">
      <alignment horizontal="center" vertical="center" wrapText="1"/>
    </xf>
    <xf numFmtId="9" fontId="11" fillId="39" borderId="56" xfId="5" applyFont="1" applyFill="1" applyBorder="1" applyAlignment="1">
      <alignment horizontal="center" vertical="center" wrapText="1"/>
    </xf>
    <xf numFmtId="9" fontId="11" fillId="38" borderId="26" xfId="5" applyFont="1" applyFill="1" applyBorder="1" applyAlignment="1">
      <alignment horizontal="center" vertical="center" wrapText="1"/>
    </xf>
    <xf numFmtId="9" fontId="11" fillId="38" borderId="56" xfId="5" applyFont="1" applyFill="1" applyBorder="1" applyAlignment="1">
      <alignment horizontal="center" vertical="center" wrapText="1"/>
    </xf>
    <xf numFmtId="9" fontId="52" fillId="43" borderId="149" xfId="0" applyNumberFormat="1" applyFont="1" applyFill="1" applyBorder="1" applyAlignment="1">
      <alignment horizontal="center" vertical="center" wrapText="1"/>
    </xf>
    <xf numFmtId="9" fontId="52" fillId="43" borderId="26" xfId="0" applyNumberFormat="1" applyFont="1" applyFill="1" applyBorder="1" applyAlignment="1">
      <alignment horizontal="center" vertical="center" wrapText="1"/>
    </xf>
    <xf numFmtId="9" fontId="52" fillId="43" borderId="56" xfId="0" applyNumberFormat="1" applyFont="1" applyFill="1" applyBorder="1" applyAlignment="1">
      <alignment horizontal="center" vertical="center" wrapText="1"/>
    </xf>
    <xf numFmtId="9" fontId="52" fillId="29" borderId="149" xfId="0" applyNumberFormat="1" applyFont="1" applyFill="1" applyBorder="1" applyAlignment="1">
      <alignment horizontal="center" vertical="center" wrapText="1"/>
    </xf>
    <xf numFmtId="9" fontId="52" fillId="29" borderId="26" xfId="0" applyNumberFormat="1" applyFont="1" applyFill="1" applyBorder="1" applyAlignment="1">
      <alignment horizontal="center" vertical="center" wrapText="1"/>
    </xf>
    <xf numFmtId="9" fontId="52" fillId="29" borderId="56" xfId="0" applyNumberFormat="1" applyFont="1" applyFill="1" applyBorder="1" applyAlignment="1">
      <alignment horizontal="center" vertical="center" wrapText="1"/>
    </xf>
    <xf numFmtId="0" fontId="0" fillId="41" borderId="56" xfId="8" applyFont="1" applyFill="1" applyBorder="1" applyAlignment="1">
      <alignment horizontal="center" vertical="center" wrapText="1"/>
    </xf>
    <xf numFmtId="0" fontId="0" fillId="40" borderId="149" xfId="8" applyFont="1" applyFill="1" applyBorder="1" applyAlignment="1">
      <alignment horizontal="center" vertical="center" wrapText="1"/>
    </xf>
    <xf numFmtId="0" fontId="0" fillId="40" borderId="32" xfId="8" applyFont="1" applyFill="1" applyBorder="1" applyAlignment="1">
      <alignment horizontal="center" vertical="center" wrapText="1"/>
    </xf>
    <xf numFmtId="0" fontId="11" fillId="40" borderId="149" xfId="0" applyFont="1" applyFill="1" applyBorder="1" applyAlignment="1">
      <alignment horizontal="center" vertical="center" wrapText="1"/>
    </xf>
    <xf numFmtId="0" fontId="11" fillId="40" borderId="32" xfId="0" applyFont="1" applyFill="1" applyBorder="1" applyAlignment="1">
      <alignment horizontal="center" vertical="center" wrapText="1"/>
    </xf>
    <xf numFmtId="0" fontId="11" fillId="40" borderId="26" xfId="0" applyFont="1" applyFill="1" applyBorder="1" applyAlignment="1">
      <alignment horizontal="center" vertical="center" wrapText="1"/>
    </xf>
    <xf numFmtId="0" fontId="11" fillId="40" borderId="26" xfId="8" applyFont="1" applyFill="1" applyBorder="1" applyAlignment="1">
      <alignment horizontal="center" vertical="center" wrapText="1"/>
    </xf>
    <xf numFmtId="0" fontId="0" fillId="40" borderId="26" xfId="8" applyFont="1" applyFill="1" applyBorder="1" applyAlignment="1">
      <alignment horizontal="center" vertical="center" wrapText="1"/>
    </xf>
    <xf numFmtId="0" fontId="10" fillId="40" borderId="149" xfId="8" applyFont="1" applyFill="1" applyBorder="1" applyAlignment="1">
      <alignment horizontal="center" vertical="center" wrapText="1"/>
    </xf>
    <xf numFmtId="0" fontId="10" fillId="40" borderId="32" xfId="8" applyFont="1" applyFill="1" applyBorder="1" applyAlignment="1">
      <alignment horizontal="center" vertical="center" wrapText="1"/>
    </xf>
    <xf numFmtId="0" fontId="10" fillId="40" borderId="26" xfId="8" applyFont="1" applyFill="1" applyBorder="1" applyAlignment="1">
      <alignment horizontal="center" vertical="center" wrapText="1"/>
    </xf>
    <xf numFmtId="0" fontId="11" fillId="42" borderId="8" xfId="0" applyFont="1" applyFill="1" applyBorder="1" applyAlignment="1">
      <alignment horizontal="center" vertical="center" wrapText="1"/>
    </xf>
    <xf numFmtId="0" fontId="11" fillId="42" borderId="148" xfId="0" applyFont="1" applyFill="1" applyBorder="1" applyAlignment="1">
      <alignment horizontal="center" vertical="center" wrapText="1"/>
    </xf>
    <xf numFmtId="0" fontId="11" fillId="42" borderId="30" xfId="0" applyFont="1" applyFill="1" applyBorder="1" applyAlignment="1">
      <alignment horizontal="center" vertical="center" wrapText="1"/>
    </xf>
    <xf numFmtId="0" fontId="0" fillId="42" borderId="8" xfId="8" applyFont="1" applyFill="1" applyBorder="1" applyAlignment="1">
      <alignment horizontal="center" vertical="center" wrapText="1"/>
    </xf>
    <xf numFmtId="0" fontId="0" fillId="42" borderId="148" xfId="8" applyFont="1" applyFill="1" applyBorder="1" applyAlignment="1">
      <alignment horizontal="center" vertical="center" wrapText="1"/>
    </xf>
    <xf numFmtId="0" fontId="0" fillId="42" borderId="30" xfId="8" applyFont="1" applyFill="1" applyBorder="1" applyAlignment="1">
      <alignment horizontal="center" vertical="center" wrapText="1"/>
    </xf>
    <xf numFmtId="0" fontId="11" fillId="40" borderId="56" xfId="0" applyFont="1" applyFill="1" applyBorder="1" applyAlignment="1">
      <alignment horizontal="center" vertical="center" wrapText="1"/>
    </xf>
    <xf numFmtId="0" fontId="11" fillId="40" borderId="56" xfId="8" applyFont="1" applyFill="1" applyBorder="1" applyAlignment="1">
      <alignment horizontal="center" vertical="center" wrapText="1"/>
    </xf>
    <xf numFmtId="0" fontId="0" fillId="40" borderId="56" xfId="8" applyFont="1" applyFill="1" applyBorder="1" applyAlignment="1">
      <alignment horizontal="center" vertical="center" wrapText="1"/>
    </xf>
    <xf numFmtId="0" fontId="10" fillId="40" borderId="56" xfId="8" applyFont="1" applyFill="1" applyBorder="1" applyAlignment="1">
      <alignment horizontal="center" vertical="center" wrapText="1"/>
    </xf>
    <xf numFmtId="9" fontId="11" fillId="41" borderId="148" xfId="0" applyNumberFormat="1" applyFont="1" applyFill="1" applyBorder="1" applyAlignment="1">
      <alignment horizontal="center" vertical="center" wrapText="1"/>
    </xf>
    <xf numFmtId="9" fontId="11" fillId="41" borderId="148" xfId="0" applyNumberFormat="1" applyFont="1" applyFill="1" applyBorder="1" applyAlignment="1">
      <alignment horizontal="center" vertical="center"/>
    </xf>
    <xf numFmtId="0" fontId="8" fillId="42" borderId="148" xfId="0" applyFont="1" applyFill="1" applyBorder="1" applyAlignment="1">
      <alignment horizontal="center" vertical="center" wrapText="1"/>
    </xf>
    <xf numFmtId="0" fontId="8" fillId="42" borderId="30" xfId="0" applyFont="1" applyFill="1" applyBorder="1" applyAlignment="1">
      <alignment horizontal="center" vertical="center" wrapText="1"/>
    </xf>
    <xf numFmtId="0" fontId="0" fillId="42" borderId="148" xfId="0" applyFont="1" applyFill="1" applyBorder="1" applyAlignment="1">
      <alignment horizontal="center" vertical="center" wrapText="1"/>
    </xf>
    <xf numFmtId="0" fontId="0" fillId="42" borderId="30" xfId="0" applyFont="1" applyFill="1" applyBorder="1" applyAlignment="1">
      <alignment horizontal="center" vertical="center" wrapText="1"/>
    </xf>
    <xf numFmtId="9" fontId="52" fillId="42" borderId="148" xfId="0" applyNumberFormat="1" applyFont="1" applyFill="1" applyBorder="1" applyAlignment="1">
      <alignment horizontal="center" vertical="center" wrapText="1"/>
    </xf>
    <xf numFmtId="9" fontId="52" fillId="42" borderId="30" xfId="0" applyNumberFormat="1" applyFont="1" applyFill="1" applyBorder="1" applyAlignment="1">
      <alignment horizontal="center" vertical="center" wrapText="1"/>
    </xf>
    <xf numFmtId="9" fontId="0" fillId="42" borderId="148" xfId="0" applyNumberFormat="1" applyFont="1" applyFill="1" applyBorder="1" applyAlignment="1">
      <alignment horizontal="center" vertical="center" wrapText="1"/>
    </xf>
    <xf numFmtId="0" fontId="8" fillId="41" borderId="30" xfId="0" applyFont="1" applyFill="1" applyBorder="1" applyAlignment="1">
      <alignment horizontal="center" vertical="center" wrapText="1"/>
    </xf>
    <xf numFmtId="0" fontId="11" fillId="41" borderId="30" xfId="0" applyFont="1" applyFill="1" applyBorder="1" applyAlignment="1">
      <alignment horizontal="center" vertical="center" wrapText="1"/>
    </xf>
    <xf numFmtId="0" fontId="8" fillId="40" borderId="148" xfId="0" applyFont="1" applyFill="1" applyBorder="1" applyAlignment="1">
      <alignment horizontal="center" vertical="center" wrapText="1"/>
    </xf>
    <xf numFmtId="0" fontId="8" fillId="40" borderId="30" xfId="0" applyFont="1" applyFill="1" applyBorder="1" applyAlignment="1">
      <alignment horizontal="center" vertical="center" wrapText="1"/>
    </xf>
    <xf numFmtId="0" fontId="11" fillId="40" borderId="30" xfId="0" applyFont="1" applyFill="1" applyBorder="1" applyAlignment="1">
      <alignment horizontal="center" vertical="center" wrapText="1"/>
    </xf>
    <xf numFmtId="0" fontId="8" fillId="40" borderId="32" xfId="0" applyFont="1" applyFill="1" applyBorder="1" applyAlignment="1">
      <alignment horizontal="center" vertical="center" wrapText="1"/>
    </xf>
    <xf numFmtId="0" fontId="8" fillId="38" borderId="148" xfId="0" applyFont="1" applyFill="1" applyBorder="1" applyAlignment="1">
      <alignment horizontal="center" vertical="center" wrapText="1"/>
    </xf>
    <xf numFmtId="0" fontId="8" fillId="38" borderId="30" xfId="0" applyFont="1" applyFill="1" applyBorder="1" applyAlignment="1">
      <alignment horizontal="center" vertical="center" wrapText="1"/>
    </xf>
    <xf numFmtId="0" fontId="11" fillId="38" borderId="30" xfId="0" applyFont="1" applyFill="1" applyBorder="1" applyAlignment="1">
      <alignment horizontal="center" vertical="center" wrapText="1"/>
    </xf>
    <xf numFmtId="9" fontId="11" fillId="38" borderId="148" xfId="0" applyNumberFormat="1" applyFont="1" applyFill="1" applyBorder="1" applyAlignment="1">
      <alignment horizontal="center" vertical="center" wrapText="1"/>
    </xf>
    <xf numFmtId="9" fontId="11" fillId="38" borderId="30" xfId="0" applyNumberFormat="1" applyFont="1" applyFill="1" applyBorder="1" applyAlignment="1">
      <alignment horizontal="center" vertical="center" wrapText="1"/>
    </xf>
    <xf numFmtId="0" fontId="8" fillId="17" borderId="30" xfId="0" applyFont="1" applyFill="1" applyBorder="1" applyAlignment="1">
      <alignment horizontal="center" vertical="center" wrapText="1"/>
    </xf>
    <xf numFmtId="0" fontId="11" fillId="17" borderId="30" xfId="0" applyFont="1" applyFill="1" applyBorder="1" applyAlignment="1">
      <alignment horizontal="center" vertical="center" wrapText="1"/>
    </xf>
    <xf numFmtId="0" fontId="11" fillId="17" borderId="148" xfId="0" applyFont="1" applyFill="1" applyBorder="1" applyAlignment="1">
      <alignment horizontal="center" vertical="center"/>
    </xf>
    <xf numFmtId="0" fontId="11" fillId="17" borderId="30" xfId="0" applyFont="1" applyFill="1" applyBorder="1" applyAlignment="1">
      <alignment horizontal="center" vertical="center"/>
    </xf>
    <xf numFmtId="9" fontId="52" fillId="17" borderId="148" xfId="0" applyNumberFormat="1" applyFont="1" applyFill="1" applyBorder="1" applyAlignment="1">
      <alignment horizontal="center" vertical="center" wrapText="1"/>
    </xf>
    <xf numFmtId="9" fontId="52" fillId="17" borderId="30" xfId="0" applyNumberFormat="1" applyFont="1" applyFill="1" applyBorder="1" applyAlignment="1">
      <alignment horizontal="center" vertical="center" wrapText="1"/>
    </xf>
    <xf numFmtId="9" fontId="11" fillId="17" borderId="148" xfId="0" applyNumberFormat="1" applyFont="1" applyFill="1" applyBorder="1" applyAlignment="1">
      <alignment horizontal="center" vertical="center" wrapText="1"/>
    </xf>
    <xf numFmtId="9" fontId="11" fillId="17" borderId="148" xfId="0" applyNumberFormat="1" applyFont="1" applyFill="1" applyBorder="1" applyAlignment="1">
      <alignment horizontal="center" vertical="center"/>
    </xf>
    <xf numFmtId="0" fontId="8" fillId="51" borderId="148" xfId="0" applyFont="1" applyFill="1" applyBorder="1" applyAlignment="1">
      <alignment horizontal="center" vertical="center" wrapText="1"/>
    </xf>
    <xf numFmtId="0" fontId="8" fillId="51" borderId="30" xfId="0" applyFont="1" applyFill="1" applyBorder="1" applyAlignment="1">
      <alignment horizontal="center" vertical="center" wrapText="1"/>
    </xf>
    <xf numFmtId="0" fontId="11" fillId="51" borderId="148" xfId="0" applyFont="1" applyFill="1" applyBorder="1" applyAlignment="1">
      <alignment horizontal="left" vertical="center" wrapText="1"/>
    </xf>
    <xf numFmtId="0" fontId="11" fillId="51" borderId="30" xfId="0" applyFont="1" applyFill="1" applyBorder="1" applyAlignment="1">
      <alignment horizontal="left" vertical="center" wrapText="1"/>
    </xf>
    <xf numFmtId="0" fontId="11" fillId="51" borderId="148" xfId="0" applyFont="1" applyFill="1" applyBorder="1" applyAlignment="1">
      <alignment horizontal="center" vertical="center" wrapText="1"/>
    </xf>
    <xf numFmtId="0" fontId="11" fillId="51" borderId="30" xfId="0" applyFont="1" applyFill="1" applyBorder="1" applyAlignment="1">
      <alignment horizontal="center" vertical="center" wrapText="1"/>
    </xf>
    <xf numFmtId="9" fontId="0" fillId="51" borderId="148" xfId="0" applyNumberFormat="1" applyFont="1" applyFill="1" applyBorder="1" applyAlignment="1">
      <alignment horizontal="center" vertical="center" wrapText="1"/>
    </xf>
    <xf numFmtId="9" fontId="0" fillId="51" borderId="30" xfId="0" applyNumberFormat="1" applyFont="1" applyFill="1" applyBorder="1" applyAlignment="1">
      <alignment horizontal="center" vertical="center" wrapText="1"/>
    </xf>
    <xf numFmtId="9" fontId="52" fillId="51" borderId="148" xfId="0" applyNumberFormat="1" applyFont="1" applyFill="1" applyBorder="1" applyAlignment="1">
      <alignment horizontal="center" vertical="center" wrapText="1"/>
    </xf>
    <xf numFmtId="0" fontId="0" fillId="51" borderId="148" xfId="0" applyFont="1" applyFill="1" applyBorder="1" applyAlignment="1">
      <alignment horizontal="center" vertical="center" wrapText="1"/>
    </xf>
    <xf numFmtId="0" fontId="11" fillId="7" borderId="148" xfId="0" applyFont="1" applyFill="1" applyBorder="1" applyAlignment="1">
      <alignment horizontal="center" vertical="center" wrapText="1"/>
    </xf>
    <xf numFmtId="9" fontId="11" fillId="7" borderId="148" xfId="0" applyNumberFormat="1" applyFont="1" applyFill="1" applyBorder="1" applyAlignment="1">
      <alignment horizontal="center" vertical="center" wrapText="1"/>
    </xf>
    <xf numFmtId="0" fontId="8" fillId="7" borderId="30"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9" fillId="12" borderId="3" xfId="1" applyFont="1" applyFill="1" applyBorder="1" applyAlignment="1">
      <alignment horizontal="center" vertical="center" wrapText="1"/>
    </xf>
    <xf numFmtId="0" fontId="9" fillId="12" borderId="149" xfId="1" applyFont="1" applyFill="1" applyBorder="1" applyAlignment="1">
      <alignment horizontal="center" vertical="center" wrapText="1"/>
    </xf>
    <xf numFmtId="0" fontId="3" fillId="15" borderId="149"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93" xfId="0" applyFont="1" applyFill="1" applyBorder="1" applyAlignment="1">
      <alignment horizontal="center" vertical="center" wrapText="1"/>
    </xf>
    <xf numFmtId="0" fontId="8" fillId="4" borderId="148"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3" fillId="13" borderId="11" xfId="0" applyFont="1" applyFill="1" applyBorder="1" applyAlignment="1">
      <alignment horizontal="center" vertical="center" wrapText="1"/>
    </xf>
    <xf numFmtId="0" fontId="3" fillId="13" borderId="158" xfId="0" applyFont="1" applyFill="1" applyBorder="1" applyAlignment="1">
      <alignment horizontal="center" vertical="center" wrapText="1"/>
    </xf>
    <xf numFmtId="0" fontId="3" fillId="15" borderId="12" xfId="0" applyFont="1" applyFill="1" applyBorder="1" applyAlignment="1">
      <alignment horizontal="center" vertical="center" wrapText="1"/>
    </xf>
    <xf numFmtId="0" fontId="3" fillId="15" borderId="159" xfId="0" applyFont="1" applyFill="1" applyBorder="1" applyAlignment="1">
      <alignment horizontal="center" vertical="center" wrapText="1"/>
    </xf>
    <xf numFmtId="0" fontId="3" fillId="51" borderId="148" xfId="0" applyFont="1" applyFill="1" applyBorder="1" applyAlignment="1">
      <alignment horizontal="center" vertical="center" wrapText="1"/>
    </xf>
    <xf numFmtId="0" fontId="3" fillId="51" borderId="30" xfId="0" applyFont="1" applyFill="1" applyBorder="1" applyAlignment="1">
      <alignment horizontal="center" vertical="center" wrapText="1"/>
    </xf>
    <xf numFmtId="0" fontId="3" fillId="13" borderId="149" xfId="0" applyFont="1" applyFill="1" applyBorder="1" applyAlignment="1">
      <alignment horizontal="center" vertical="center" wrapText="1"/>
    </xf>
    <xf numFmtId="0" fontId="3" fillId="7" borderId="148" xfId="0" applyFont="1" applyFill="1" applyBorder="1" applyAlignment="1">
      <alignment horizontal="center" vertical="center" wrapText="1"/>
    </xf>
    <xf numFmtId="0" fontId="8" fillId="51" borderId="51" xfId="0" applyFont="1" applyFill="1" applyBorder="1" applyAlignment="1" applyProtection="1">
      <alignment horizontal="center" vertical="center" wrapText="1"/>
      <protection locked="0"/>
    </xf>
    <xf numFmtId="0" fontId="8" fillId="51" borderId="11" xfId="0" applyFont="1" applyFill="1" applyBorder="1" applyAlignment="1" applyProtection="1">
      <alignment horizontal="center" vertical="center" wrapText="1"/>
      <protection locked="0"/>
    </xf>
    <xf numFmtId="0" fontId="8" fillId="51" borderId="29" xfId="0" applyFont="1" applyFill="1" applyBorder="1" applyAlignment="1" applyProtection="1">
      <alignment horizontal="center" vertical="center" wrapText="1"/>
      <protection locked="0"/>
    </xf>
    <xf numFmtId="0" fontId="3" fillId="51" borderId="32" xfId="0" applyFont="1" applyFill="1" applyBorder="1" applyAlignment="1">
      <alignment horizontal="center" vertical="center" wrapText="1"/>
    </xf>
    <xf numFmtId="0" fontId="16" fillId="51" borderId="32" xfId="2" applyNumberFormat="1" applyFont="1" applyFill="1" applyBorder="1" applyAlignment="1">
      <alignment horizontal="center" vertical="center" wrapText="1"/>
    </xf>
    <xf numFmtId="0" fontId="16" fillId="51" borderId="148" xfId="2" applyNumberFormat="1" applyFont="1" applyFill="1" applyBorder="1" applyAlignment="1">
      <alignment horizontal="center" vertical="center" wrapText="1"/>
    </xf>
    <xf numFmtId="0" fontId="8" fillId="17" borderId="51" xfId="0" applyFont="1" applyFill="1" applyBorder="1" applyAlignment="1" applyProtection="1">
      <alignment horizontal="center" vertical="center" wrapText="1"/>
      <protection locked="0"/>
    </xf>
    <xf numFmtId="0" fontId="8" fillId="17" borderId="11" xfId="0" applyFont="1" applyFill="1" applyBorder="1" applyAlignment="1" applyProtection="1">
      <alignment horizontal="center" vertical="center" wrapText="1"/>
      <protection locked="0"/>
    </xf>
    <xf numFmtId="0" fontId="8" fillId="17" borderId="29" xfId="0" applyFont="1" applyFill="1" applyBorder="1" applyAlignment="1" applyProtection="1">
      <alignment horizontal="center" vertical="center" wrapText="1"/>
      <protection locked="0"/>
    </xf>
    <xf numFmtId="0" fontId="3" fillId="17" borderId="32" xfId="0" applyFont="1" applyFill="1" applyBorder="1" applyAlignment="1">
      <alignment horizontal="center" vertical="center" wrapText="1"/>
    </xf>
    <xf numFmtId="0" fontId="3" fillId="17" borderId="148" xfId="0" applyFont="1" applyFill="1" applyBorder="1" applyAlignment="1">
      <alignment horizontal="center" vertical="center" wrapText="1"/>
    </xf>
    <xf numFmtId="0" fontId="3" fillId="17" borderId="30" xfId="0" applyFont="1" applyFill="1" applyBorder="1" applyAlignment="1">
      <alignment horizontal="center" vertical="center" wrapText="1"/>
    </xf>
    <xf numFmtId="0" fontId="8" fillId="17" borderId="32" xfId="0" applyFont="1" applyFill="1" applyBorder="1" applyAlignment="1">
      <alignment horizontal="center" vertical="center" wrapText="1"/>
    </xf>
    <xf numFmtId="0" fontId="8" fillId="41" borderId="51" xfId="0" applyFont="1" applyFill="1" applyBorder="1" applyAlignment="1">
      <alignment horizontal="center" vertical="center" wrapText="1"/>
    </xf>
    <xf numFmtId="0" fontId="8" fillId="41" borderId="11" xfId="0" applyFont="1" applyFill="1" applyBorder="1" applyAlignment="1">
      <alignment horizontal="center" vertical="center" wrapText="1"/>
    </xf>
    <xf numFmtId="0" fontId="8" fillId="41" borderId="29" xfId="0" applyFont="1" applyFill="1" applyBorder="1" applyAlignment="1">
      <alignment horizontal="center" vertical="center" wrapText="1"/>
    </xf>
    <xf numFmtId="0" fontId="3" fillId="41" borderId="32" xfId="0" applyFont="1" applyFill="1" applyBorder="1" applyAlignment="1">
      <alignment horizontal="center" vertical="center" wrapText="1"/>
    </xf>
    <xf numFmtId="0" fontId="3" fillId="41" borderId="148" xfId="0" applyFont="1" applyFill="1" applyBorder="1" applyAlignment="1">
      <alignment horizontal="center" vertical="center" wrapText="1"/>
    </xf>
    <xf numFmtId="0" fontId="3" fillId="41" borderId="30" xfId="0" applyFont="1" applyFill="1" applyBorder="1" applyAlignment="1">
      <alignment horizontal="center" vertical="center" wrapText="1"/>
    </xf>
    <xf numFmtId="0" fontId="8" fillId="40" borderId="51" xfId="0" applyFont="1" applyFill="1" applyBorder="1" applyAlignment="1">
      <alignment horizontal="center" vertical="center" wrapText="1"/>
    </xf>
    <xf numFmtId="0" fontId="8" fillId="40" borderId="11" xfId="0" applyFont="1" applyFill="1" applyBorder="1" applyAlignment="1">
      <alignment horizontal="center" vertical="center" wrapText="1"/>
    </xf>
    <xf numFmtId="0" fontId="8" fillId="40" borderId="29" xfId="0" applyFont="1" applyFill="1" applyBorder="1" applyAlignment="1">
      <alignment horizontal="center" vertical="center" wrapText="1"/>
    </xf>
    <xf numFmtId="0" fontId="8" fillId="42" borderId="51" xfId="0" applyFont="1" applyFill="1" applyBorder="1" applyAlignment="1">
      <alignment horizontal="center" vertical="center" wrapText="1"/>
    </xf>
    <xf numFmtId="0" fontId="8" fillId="42" borderId="11" xfId="0" applyFont="1" applyFill="1" applyBorder="1" applyAlignment="1">
      <alignment horizontal="center" vertical="center" wrapText="1"/>
    </xf>
    <xf numFmtId="0" fontId="8" fillId="42" borderId="29" xfId="0" applyFont="1" applyFill="1" applyBorder="1" applyAlignment="1">
      <alignment horizontal="center" vertical="center" wrapText="1"/>
    </xf>
    <xf numFmtId="0" fontId="3" fillId="42" borderId="32" xfId="0" applyFont="1" applyFill="1" applyBorder="1" applyAlignment="1">
      <alignment horizontal="center" vertical="center" wrapText="1"/>
    </xf>
    <xf numFmtId="0" fontId="3" fillId="42" borderId="148" xfId="0" applyFont="1" applyFill="1" applyBorder="1" applyAlignment="1">
      <alignment horizontal="center" vertical="center" wrapText="1"/>
    </xf>
    <xf numFmtId="0" fontId="3" fillId="42" borderId="30" xfId="0" applyFont="1" applyFill="1" applyBorder="1" applyAlignment="1">
      <alignment horizontal="center" vertical="center" wrapText="1"/>
    </xf>
    <xf numFmtId="0" fontId="8" fillId="38" borderId="51" xfId="0" applyFont="1" applyFill="1" applyBorder="1" applyAlignment="1">
      <alignment horizontal="center" vertical="center" wrapText="1"/>
    </xf>
    <xf numFmtId="0" fontId="8" fillId="38" borderId="11" xfId="0" applyFont="1" applyFill="1" applyBorder="1" applyAlignment="1">
      <alignment horizontal="center" vertical="center" wrapText="1"/>
    </xf>
    <xf numFmtId="0" fontId="8" fillId="38" borderId="29" xfId="0" applyFont="1" applyFill="1" applyBorder="1" applyAlignment="1">
      <alignment horizontal="center" vertical="center" wrapText="1"/>
    </xf>
    <xf numFmtId="0" fontId="3" fillId="38" borderId="32" xfId="0" applyFont="1" applyFill="1" applyBorder="1" applyAlignment="1">
      <alignment horizontal="center" vertical="center" wrapText="1"/>
    </xf>
    <xf numFmtId="0" fontId="3" fillId="38" borderId="148" xfId="0" applyFont="1" applyFill="1" applyBorder="1" applyAlignment="1">
      <alignment horizontal="center" vertical="center" wrapText="1"/>
    </xf>
    <xf numFmtId="0" fontId="3" fillId="38" borderId="30" xfId="0" applyFont="1" applyFill="1" applyBorder="1" applyAlignment="1">
      <alignment horizontal="center" vertical="center" wrapText="1"/>
    </xf>
    <xf numFmtId="0" fontId="8" fillId="7" borderId="7" xfId="0" applyFont="1" applyFill="1" applyBorder="1" applyAlignment="1" applyProtection="1">
      <alignment horizontal="center" vertical="center" wrapText="1"/>
      <protection locked="0"/>
    </xf>
    <xf numFmtId="0" fontId="8" fillId="7" borderId="11" xfId="0" applyFont="1" applyFill="1" applyBorder="1" applyAlignment="1" applyProtection="1">
      <alignment horizontal="center" vertical="center" wrapText="1"/>
      <protection locked="0"/>
    </xf>
    <xf numFmtId="0" fontId="8" fillId="7" borderId="29" xfId="0" applyFont="1" applyFill="1" applyBorder="1" applyAlignment="1" applyProtection="1">
      <alignment horizontal="center" vertical="center" wrapText="1"/>
      <protection locked="0"/>
    </xf>
    <xf numFmtId="0" fontId="9" fillId="27" borderId="3" xfId="1" applyFont="1" applyFill="1" applyBorder="1" applyAlignment="1">
      <alignment horizontal="center" vertical="center" wrapText="1"/>
    </xf>
    <xf numFmtId="0" fontId="9" fillId="27" borderId="149" xfId="1" applyFont="1" applyFill="1" applyBorder="1" applyAlignment="1">
      <alignment horizontal="center" vertical="center" wrapText="1"/>
    </xf>
    <xf numFmtId="0" fontId="3" fillId="40" borderId="32" xfId="0" applyFont="1" applyFill="1" applyBorder="1" applyAlignment="1">
      <alignment horizontal="center" vertical="center" wrapText="1"/>
    </xf>
    <xf numFmtId="0" fontId="3" fillId="40" borderId="148" xfId="0" applyFont="1" applyFill="1" applyBorder="1" applyAlignment="1">
      <alignment horizontal="center" vertical="center" wrapText="1"/>
    </xf>
    <xf numFmtId="0" fontId="3" fillId="40" borderId="30"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3" fillId="13" borderId="98" xfId="0" applyFont="1" applyFill="1" applyBorder="1" applyAlignment="1">
      <alignment horizontal="center" vertical="center" wrapText="1"/>
    </xf>
    <xf numFmtId="0" fontId="3" fillId="13" borderId="26" xfId="0" applyFont="1" applyFill="1" applyBorder="1" applyAlignment="1">
      <alignment horizontal="center" vertical="center" wrapText="1"/>
    </xf>
    <xf numFmtId="0" fontId="40" fillId="37" borderId="149" xfId="0" applyFont="1" applyFill="1" applyBorder="1" applyAlignment="1">
      <alignment horizontal="center" vertical="center" wrapText="1"/>
    </xf>
    <xf numFmtId="0" fontId="40" fillId="37" borderId="56"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30" xfId="0" applyFont="1" applyFill="1" applyBorder="1" applyAlignment="1">
      <alignment horizontal="center" vertical="center" wrapText="1"/>
    </xf>
    <xf numFmtId="9" fontId="11" fillId="41" borderId="32" xfId="5" applyFont="1" applyFill="1" applyBorder="1" applyAlignment="1">
      <alignment horizontal="center" vertical="center" wrapText="1"/>
    </xf>
    <xf numFmtId="9" fontId="11" fillId="41" borderId="148" xfId="5" applyFont="1" applyFill="1" applyBorder="1" applyAlignment="1">
      <alignment horizontal="center" vertical="center" wrapText="1"/>
    </xf>
    <xf numFmtId="9" fontId="11" fillId="41" borderId="30" xfId="5" applyFont="1" applyFill="1" applyBorder="1" applyAlignment="1">
      <alignment horizontal="center" vertical="center" wrapText="1"/>
    </xf>
    <xf numFmtId="9" fontId="11" fillId="42" borderId="32" xfId="5" applyFont="1" applyFill="1" applyBorder="1" applyAlignment="1">
      <alignment horizontal="center" vertical="center" wrapText="1"/>
    </xf>
    <xf numFmtId="9" fontId="11" fillId="7" borderId="8" xfId="5" applyFont="1" applyFill="1" applyBorder="1" applyAlignment="1">
      <alignment horizontal="center" vertical="center" wrapText="1"/>
    </xf>
    <xf numFmtId="9" fontId="11" fillId="7" borderId="148" xfId="5" applyFont="1" applyFill="1" applyBorder="1" applyAlignment="1">
      <alignment horizontal="center" vertical="center" wrapText="1"/>
    </xf>
    <xf numFmtId="9" fontId="11" fillId="7" borderId="30" xfId="5" applyFont="1" applyFill="1" applyBorder="1" applyAlignment="1">
      <alignment horizontal="center" vertical="center" wrapText="1"/>
    </xf>
    <xf numFmtId="9" fontId="11" fillId="51" borderId="32" xfId="5" applyFont="1" applyFill="1" applyBorder="1" applyAlignment="1">
      <alignment horizontal="center" vertical="center" wrapText="1"/>
    </xf>
    <xf numFmtId="9" fontId="11" fillId="51" borderId="148" xfId="5" applyFont="1" applyFill="1" applyBorder="1" applyAlignment="1">
      <alignment horizontal="center" vertical="center" wrapText="1"/>
    </xf>
    <xf numFmtId="9" fontId="11" fillId="51" borderId="30" xfId="5" applyFont="1" applyFill="1" applyBorder="1" applyAlignment="1">
      <alignment horizontal="center" vertical="center" wrapText="1"/>
    </xf>
    <xf numFmtId="9" fontId="11" fillId="17" borderId="32" xfId="5" applyFont="1" applyFill="1" applyBorder="1" applyAlignment="1">
      <alignment horizontal="center" vertical="center" wrapText="1"/>
    </xf>
    <xf numFmtId="9" fontId="11" fillId="17" borderId="148" xfId="5" applyFont="1" applyFill="1" applyBorder="1" applyAlignment="1">
      <alignment horizontal="center" vertical="center" wrapText="1"/>
    </xf>
    <xf numFmtId="9" fontId="11" fillId="17" borderId="30" xfId="5" applyFont="1" applyFill="1" applyBorder="1" applyAlignment="1">
      <alignment horizontal="center" vertical="center" wrapText="1"/>
    </xf>
    <xf numFmtId="9" fontId="11" fillId="38" borderId="32" xfId="5" applyFont="1" applyFill="1" applyBorder="1" applyAlignment="1">
      <alignment horizontal="center" vertical="center" wrapText="1"/>
    </xf>
    <xf numFmtId="9" fontId="11" fillId="38" borderId="148" xfId="5" applyFont="1" applyFill="1" applyBorder="1" applyAlignment="1">
      <alignment horizontal="center" vertical="center" wrapText="1"/>
    </xf>
    <xf numFmtId="9" fontId="11" fillId="38" borderId="30" xfId="5" applyFont="1" applyFill="1" applyBorder="1" applyAlignment="1">
      <alignment horizontal="center" vertical="center" wrapText="1"/>
    </xf>
    <xf numFmtId="9" fontId="11" fillId="40" borderId="32" xfId="5" applyFont="1" applyFill="1" applyBorder="1" applyAlignment="1">
      <alignment horizontal="center" vertical="center" wrapText="1"/>
    </xf>
    <xf numFmtId="9" fontId="11" fillId="40" borderId="148" xfId="5" applyFont="1" applyFill="1" applyBorder="1" applyAlignment="1">
      <alignment horizontal="center" vertical="center" wrapText="1"/>
    </xf>
    <xf numFmtId="9" fontId="11" fillId="40" borderId="30" xfId="5" applyFont="1" applyFill="1" applyBorder="1" applyAlignment="1">
      <alignment horizontal="center" vertical="center" wrapText="1"/>
    </xf>
    <xf numFmtId="9" fontId="52" fillId="7" borderId="148" xfId="0" applyNumberFormat="1" applyFont="1" applyFill="1" applyBorder="1" applyAlignment="1">
      <alignment horizontal="center" vertical="center" wrapText="1"/>
    </xf>
    <xf numFmtId="9" fontId="52" fillId="38" borderId="148" xfId="0" applyNumberFormat="1" applyFont="1" applyFill="1" applyBorder="1" applyAlignment="1">
      <alignment horizontal="center" vertical="center" wrapText="1"/>
    </xf>
    <xf numFmtId="9" fontId="52" fillId="38" borderId="30" xfId="0" applyNumberFormat="1" applyFont="1" applyFill="1" applyBorder="1" applyAlignment="1">
      <alignment horizontal="center" vertical="center" wrapText="1"/>
    </xf>
    <xf numFmtId="9" fontId="52" fillId="40" borderId="148" xfId="0" applyNumberFormat="1" applyFont="1" applyFill="1" applyBorder="1" applyAlignment="1">
      <alignment horizontal="center" vertical="center" wrapText="1"/>
    </xf>
    <xf numFmtId="9" fontId="52" fillId="40" borderId="30" xfId="0" applyNumberFormat="1" applyFont="1" applyFill="1" applyBorder="1" applyAlignment="1">
      <alignment horizontal="center" vertical="center" wrapText="1"/>
    </xf>
    <xf numFmtId="9" fontId="52" fillId="41" borderId="148" xfId="0" applyNumberFormat="1" applyFont="1" applyFill="1" applyBorder="1" applyAlignment="1">
      <alignment horizontal="center" vertical="center" wrapText="1"/>
    </xf>
    <xf numFmtId="9" fontId="52" fillId="41" borderId="30" xfId="0" applyNumberFormat="1" applyFont="1" applyFill="1" applyBorder="1" applyAlignment="1">
      <alignment horizontal="center" vertical="center" wrapText="1"/>
    </xf>
    <xf numFmtId="0" fontId="51" fillId="7" borderId="148" xfId="0" applyFont="1" applyFill="1" applyBorder="1" applyAlignment="1">
      <alignment horizontal="center" vertical="center" wrapText="1"/>
    </xf>
    <xf numFmtId="0" fontId="52" fillId="7" borderId="148" xfId="0" applyFont="1" applyFill="1" applyBorder="1" applyAlignment="1">
      <alignment horizontal="center" vertical="center" wrapText="1"/>
    </xf>
    <xf numFmtId="0" fontId="52" fillId="7" borderId="30" xfId="0" applyFont="1" applyFill="1" applyBorder="1" applyAlignment="1">
      <alignment horizontal="center" vertical="center" wrapText="1"/>
    </xf>
    <xf numFmtId="9" fontId="8" fillId="71" borderId="148" xfId="5" applyFont="1" applyFill="1" applyBorder="1" applyAlignment="1" applyProtection="1">
      <alignment horizontal="center" vertical="center" wrapText="1"/>
      <protection locked="0"/>
    </xf>
    <xf numFmtId="9" fontId="52" fillId="7" borderId="148" xfId="5" applyFont="1" applyFill="1" applyBorder="1" applyAlignment="1">
      <alignment horizontal="center" vertical="center" wrapText="1"/>
    </xf>
    <xf numFmtId="0" fontId="51" fillId="38" borderId="148" xfId="0" applyFont="1" applyFill="1" applyBorder="1" applyAlignment="1">
      <alignment horizontal="center" vertical="center" wrapText="1"/>
    </xf>
    <xf numFmtId="9" fontId="51" fillId="41" borderId="148" xfId="0" applyNumberFormat="1" applyFont="1" applyFill="1" applyBorder="1" applyAlignment="1">
      <alignment horizontal="center" vertical="center" wrapText="1"/>
    </xf>
    <xf numFmtId="0" fontId="51" fillId="41" borderId="148" xfId="0" applyFont="1" applyFill="1" applyBorder="1" applyAlignment="1">
      <alignment horizontal="center" vertical="center" wrapText="1"/>
    </xf>
    <xf numFmtId="0" fontId="51" fillId="40" borderId="148" xfId="0" applyFont="1" applyFill="1" applyBorder="1" applyAlignment="1">
      <alignment horizontal="center" vertical="center" wrapText="1"/>
    </xf>
    <xf numFmtId="0" fontId="50" fillId="40" borderId="148" xfId="0" applyFont="1" applyFill="1" applyBorder="1" applyAlignment="1">
      <alignment horizontal="center" vertical="center" wrapText="1"/>
    </xf>
    <xf numFmtId="0" fontId="51" fillId="39" borderId="148" xfId="0" applyFont="1" applyFill="1" applyBorder="1" applyAlignment="1">
      <alignment horizontal="center" vertical="center" wrapText="1"/>
    </xf>
    <xf numFmtId="0" fontId="51" fillId="38" borderId="30" xfId="0" applyFont="1" applyFill="1" applyBorder="1" applyAlignment="1">
      <alignment horizontal="center" vertical="center" wrapText="1"/>
    </xf>
    <xf numFmtId="0" fontId="51" fillId="29" borderId="148" xfId="0" applyFont="1" applyFill="1" applyBorder="1" applyAlignment="1">
      <alignment horizontal="center" vertical="center" wrapText="1"/>
    </xf>
    <xf numFmtId="0" fontId="52" fillId="41" borderId="148" xfId="0" applyFont="1" applyFill="1" applyBorder="1" applyAlignment="1">
      <alignment horizontal="center" vertical="center"/>
    </xf>
    <xf numFmtId="0" fontId="52" fillId="41" borderId="30" xfId="0" applyFont="1" applyFill="1" applyBorder="1" applyAlignment="1">
      <alignment horizontal="center" vertical="center"/>
    </xf>
    <xf numFmtId="0" fontId="51" fillId="51" borderId="148" xfId="0" applyFont="1" applyFill="1" applyBorder="1" applyAlignment="1">
      <alignment horizontal="center" vertical="center" wrapText="1"/>
    </xf>
    <xf numFmtId="9" fontId="51" fillId="39" borderId="148" xfId="0" applyNumberFormat="1" applyFont="1" applyFill="1" applyBorder="1" applyAlignment="1">
      <alignment horizontal="center" vertical="center" wrapText="1"/>
    </xf>
    <xf numFmtId="0" fontId="51" fillId="39" borderId="32" xfId="0" applyFont="1" applyFill="1" applyBorder="1" applyAlignment="1">
      <alignment horizontal="center" vertical="center" wrapText="1"/>
    </xf>
    <xf numFmtId="9" fontId="51" fillId="41" borderId="148" xfId="5" applyFont="1" applyFill="1" applyBorder="1" applyAlignment="1">
      <alignment horizontal="center" vertical="center"/>
    </xf>
    <xf numFmtId="9" fontId="51" fillId="41" borderId="30" xfId="5" applyFont="1" applyFill="1" applyBorder="1" applyAlignment="1">
      <alignment horizontal="center" vertical="center"/>
    </xf>
    <xf numFmtId="0" fontId="51" fillId="33" borderId="32" xfId="0" applyFont="1" applyFill="1" applyBorder="1" applyAlignment="1">
      <alignment horizontal="center" vertical="center" wrapText="1"/>
    </xf>
    <xf numFmtId="0" fontId="51" fillId="33" borderId="148" xfId="0" applyFont="1" applyFill="1" applyBorder="1" applyAlignment="1">
      <alignment horizontal="center" vertical="center" wrapText="1"/>
    </xf>
    <xf numFmtId="0" fontId="55" fillId="33" borderId="51" xfId="0" applyFont="1" applyFill="1" applyBorder="1" applyAlignment="1">
      <alignment horizontal="center" vertical="center" wrapText="1"/>
    </xf>
    <xf numFmtId="0" fontId="55" fillId="33" borderId="11" xfId="0" applyFont="1" applyFill="1" applyBorder="1" applyAlignment="1">
      <alignment horizontal="center" vertical="center" wrapText="1"/>
    </xf>
    <xf numFmtId="0" fontId="52" fillId="29" borderId="148" xfId="0" applyFont="1" applyFill="1" applyBorder="1" applyAlignment="1">
      <alignment horizontal="center" vertical="center" wrapText="1"/>
    </xf>
    <xf numFmtId="0" fontId="52" fillId="29" borderId="30" xfId="0" applyFont="1" applyFill="1" applyBorder="1" applyAlignment="1">
      <alignment horizontal="center" vertical="center" wrapText="1"/>
    </xf>
    <xf numFmtId="0" fontId="55" fillId="40" borderId="51" xfId="0" applyFont="1" applyFill="1" applyBorder="1" applyAlignment="1">
      <alignment horizontal="center" vertical="center" wrapText="1"/>
    </xf>
    <xf numFmtId="0" fontId="55" fillId="40" borderId="11" xfId="0" applyFont="1" applyFill="1" applyBorder="1" applyAlignment="1">
      <alignment horizontal="center" vertical="center" wrapText="1"/>
    </xf>
    <xf numFmtId="0" fontId="55" fillId="41" borderId="51" xfId="0" applyFont="1" applyFill="1" applyBorder="1" applyAlignment="1">
      <alignment horizontal="center" vertical="center" wrapText="1"/>
    </xf>
    <xf numFmtId="0" fontId="55" fillId="41" borderId="11" xfId="0" applyFont="1" applyFill="1" applyBorder="1" applyAlignment="1">
      <alignment horizontal="center" vertical="center" wrapText="1"/>
    </xf>
    <xf numFmtId="0" fontId="55" fillId="38" borderId="51" xfId="0" applyFont="1" applyFill="1" applyBorder="1" applyAlignment="1">
      <alignment horizontal="center" vertical="center" wrapText="1"/>
    </xf>
    <xf numFmtId="0" fontId="55" fillId="38" borderId="11" xfId="0" applyFont="1" applyFill="1" applyBorder="1" applyAlignment="1">
      <alignment horizontal="center" vertical="center" wrapText="1"/>
    </xf>
    <xf numFmtId="0" fontId="55" fillId="38" borderId="29" xfId="0" applyFont="1" applyFill="1" applyBorder="1" applyAlignment="1">
      <alignment horizontal="center" vertical="center" wrapText="1"/>
    </xf>
    <xf numFmtId="0" fontId="55" fillId="72" borderId="11" xfId="0" applyFont="1" applyFill="1" applyBorder="1" applyAlignment="1">
      <alignment horizontal="center" vertical="center" wrapText="1"/>
    </xf>
    <xf numFmtId="0" fontId="55" fillId="72" borderId="29" xfId="0" applyFont="1" applyFill="1" applyBorder="1" applyAlignment="1">
      <alignment horizontal="center" vertical="center" wrapText="1"/>
    </xf>
    <xf numFmtId="0" fontId="52" fillId="33" borderId="32" xfId="0" applyFont="1" applyFill="1" applyBorder="1" applyAlignment="1">
      <alignment horizontal="center" vertical="center" wrapText="1"/>
    </xf>
    <xf numFmtId="0" fontId="52" fillId="33" borderId="148" xfId="0" applyFont="1" applyFill="1" applyBorder="1" applyAlignment="1">
      <alignment horizontal="center" vertical="center" wrapText="1"/>
    </xf>
    <xf numFmtId="0" fontId="52" fillId="40" borderId="148" xfId="0" applyFont="1" applyFill="1" applyBorder="1" applyAlignment="1">
      <alignment horizontal="center" vertical="center" wrapText="1"/>
    </xf>
    <xf numFmtId="0" fontId="52" fillId="38" borderId="32" xfId="0" applyFont="1" applyFill="1" applyBorder="1" applyAlignment="1">
      <alignment horizontal="center" vertical="center" wrapText="1"/>
    </xf>
    <xf numFmtId="0" fontId="52" fillId="38" borderId="148" xfId="0" applyFont="1" applyFill="1" applyBorder="1" applyAlignment="1">
      <alignment horizontal="center" vertical="center" wrapText="1"/>
    </xf>
    <xf numFmtId="0" fontId="52" fillId="39" borderId="148" xfId="0" applyFont="1" applyFill="1" applyBorder="1" applyAlignment="1">
      <alignment horizontal="center" vertical="center" wrapText="1"/>
    </xf>
    <xf numFmtId="0" fontId="52" fillId="39" borderId="30" xfId="0" applyFont="1" applyFill="1" applyBorder="1" applyAlignment="1">
      <alignment horizontal="center" vertical="center" wrapText="1"/>
    </xf>
    <xf numFmtId="0" fontId="52" fillId="39" borderId="32" xfId="0" applyFont="1" applyFill="1" applyBorder="1" applyAlignment="1">
      <alignment horizontal="center" vertical="center" wrapText="1"/>
    </xf>
    <xf numFmtId="0" fontId="52" fillId="41" borderId="32" xfId="0" applyFont="1" applyFill="1" applyBorder="1" applyAlignment="1">
      <alignment horizontal="center" vertical="center" wrapText="1"/>
    </xf>
    <xf numFmtId="0" fontId="52" fillId="41" borderId="148" xfId="0" applyFont="1" applyFill="1" applyBorder="1" applyAlignment="1">
      <alignment horizontal="center" vertical="center" wrapText="1"/>
    </xf>
    <xf numFmtId="0" fontId="55" fillId="39" borderId="51" xfId="0" applyFont="1" applyFill="1" applyBorder="1" applyAlignment="1">
      <alignment horizontal="center" vertical="center" wrapText="1"/>
    </xf>
    <xf numFmtId="0" fontId="55" fillId="39" borderId="11" xfId="0" applyFont="1" applyFill="1" applyBorder="1" applyAlignment="1">
      <alignment horizontal="center" vertical="center" wrapText="1"/>
    </xf>
    <xf numFmtId="0" fontId="55" fillId="39" borderId="29" xfId="0" applyFont="1" applyFill="1" applyBorder="1" applyAlignment="1">
      <alignment horizontal="center" vertical="center" wrapText="1"/>
    </xf>
    <xf numFmtId="0" fontId="52" fillId="41" borderId="30" xfId="0" applyFont="1" applyFill="1" applyBorder="1" applyAlignment="1">
      <alignment horizontal="center" vertical="center" wrapText="1"/>
    </xf>
    <xf numFmtId="0" fontId="55" fillId="29" borderId="11" xfId="0" applyFont="1" applyFill="1" applyBorder="1" applyAlignment="1">
      <alignment horizontal="center" vertical="center" wrapText="1"/>
    </xf>
    <xf numFmtId="0" fontId="55" fillId="29" borderId="29" xfId="0" applyFont="1" applyFill="1" applyBorder="1" applyAlignment="1">
      <alignment horizontal="center" vertical="center" wrapText="1"/>
    </xf>
    <xf numFmtId="0" fontId="55" fillId="41" borderId="29" xfId="0" applyFont="1" applyFill="1" applyBorder="1" applyAlignment="1">
      <alignment horizontal="center" vertical="center" wrapText="1"/>
    </xf>
    <xf numFmtId="0" fontId="52" fillId="38" borderId="30" xfId="0" applyFont="1" applyFill="1" applyBorder="1" applyAlignment="1">
      <alignment horizontal="center" vertical="center" wrapText="1"/>
    </xf>
    <xf numFmtId="0" fontId="55" fillId="51" borderId="11" xfId="0" applyFont="1" applyFill="1" applyBorder="1" applyAlignment="1">
      <alignment horizontal="center" vertical="center" wrapText="1"/>
    </xf>
    <xf numFmtId="0" fontId="55" fillId="51" borderId="29" xfId="0" applyFont="1" applyFill="1" applyBorder="1" applyAlignment="1">
      <alignment horizontal="center" vertical="center" wrapText="1"/>
    </xf>
    <xf numFmtId="0" fontId="52" fillId="51" borderId="148" xfId="0" applyFont="1" applyFill="1" applyBorder="1" applyAlignment="1">
      <alignment horizontal="center" vertical="center" wrapText="1"/>
    </xf>
    <xf numFmtId="0" fontId="52" fillId="51" borderId="30" xfId="0" applyFont="1" applyFill="1" applyBorder="1" applyAlignment="1">
      <alignment horizontal="center" vertical="center" wrapText="1"/>
    </xf>
    <xf numFmtId="175" fontId="55" fillId="18" borderId="11" xfId="0" applyNumberFormat="1" applyFont="1" applyFill="1" applyBorder="1" applyAlignment="1">
      <alignment horizontal="center" vertical="center" wrapText="1"/>
    </xf>
    <xf numFmtId="175" fontId="55" fillId="18" borderId="158" xfId="0" applyNumberFormat="1" applyFont="1" applyFill="1" applyBorder="1" applyAlignment="1">
      <alignment horizontal="center" vertical="center" wrapText="1"/>
    </xf>
    <xf numFmtId="0" fontId="55" fillId="18" borderId="148" xfId="0" applyFont="1" applyFill="1" applyBorder="1" applyAlignment="1">
      <alignment horizontal="center" vertical="center" wrapText="1"/>
    </xf>
    <xf numFmtId="0" fontId="55" fillId="18" borderId="149" xfId="0" applyFont="1" applyFill="1" applyBorder="1" applyAlignment="1">
      <alignment horizontal="center" vertical="center" wrapText="1"/>
    </xf>
    <xf numFmtId="0" fontId="55" fillId="18" borderId="26" xfId="0" applyFont="1" applyFill="1" applyBorder="1" applyAlignment="1">
      <alignment horizontal="center" vertical="center" wrapText="1"/>
    </xf>
    <xf numFmtId="175" fontId="55" fillId="18" borderId="148" xfId="0" applyNumberFormat="1" applyFont="1" applyFill="1" applyBorder="1" applyAlignment="1">
      <alignment horizontal="center" vertical="center" wrapText="1"/>
    </xf>
    <xf numFmtId="175" fontId="55" fillId="18" borderId="149" xfId="0" applyNumberFormat="1" applyFont="1" applyFill="1" applyBorder="1" applyAlignment="1">
      <alignment horizontal="center" vertical="center" wrapText="1"/>
    </xf>
    <xf numFmtId="175" fontId="55" fillId="20" borderId="148" xfId="0" applyNumberFormat="1" applyFont="1" applyFill="1" applyBorder="1" applyAlignment="1">
      <alignment horizontal="center" vertical="center" wrapText="1"/>
    </xf>
    <xf numFmtId="175" fontId="55" fillId="20" borderId="149" xfId="0" applyNumberFormat="1" applyFont="1" applyFill="1" applyBorder="1" applyAlignment="1">
      <alignment horizontal="center" vertical="center" wrapText="1"/>
    </xf>
    <xf numFmtId="0" fontId="48" fillId="3" borderId="7" xfId="0" applyFont="1" applyFill="1" applyBorder="1" applyAlignment="1">
      <alignment horizontal="center" vertical="center" wrapText="1"/>
    </xf>
    <xf numFmtId="0" fontId="48" fillId="3" borderId="8"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3" borderId="148" xfId="0" applyFont="1" applyFill="1" applyBorder="1" applyAlignment="1">
      <alignment horizontal="center" vertical="center" wrapText="1"/>
    </xf>
    <xf numFmtId="0" fontId="48" fillId="5" borderId="5" xfId="0" applyFont="1" applyFill="1" applyBorder="1" applyAlignment="1" applyProtection="1">
      <alignment horizontal="center" vertical="center"/>
      <protection locked="0"/>
    </xf>
    <xf numFmtId="0" fontId="48" fillId="5" borderId="6" xfId="0" applyFont="1" applyFill="1" applyBorder="1" applyAlignment="1" applyProtection="1">
      <alignment horizontal="center" vertical="center"/>
      <protection locked="0"/>
    </xf>
    <xf numFmtId="3" fontId="50" fillId="4" borderId="36" xfId="0" applyNumberFormat="1" applyFont="1" applyFill="1" applyBorder="1" applyAlignment="1" applyProtection="1">
      <alignment horizontal="center" vertical="center"/>
      <protection locked="0"/>
    </xf>
    <xf numFmtId="3" fontId="50" fillId="4" borderId="19" xfId="0" applyNumberFormat="1" applyFont="1" applyFill="1" applyBorder="1" applyAlignment="1" applyProtection="1">
      <alignment horizontal="center" vertical="center"/>
      <protection locked="0"/>
    </xf>
    <xf numFmtId="0" fontId="55" fillId="28" borderId="7" xfId="0" applyFont="1" applyFill="1" applyBorder="1" applyAlignment="1">
      <alignment horizontal="center" vertical="center" wrapText="1"/>
    </xf>
    <xf numFmtId="0" fontId="55" fillId="28" borderId="11" xfId="0" applyFont="1" applyFill="1" applyBorder="1" applyAlignment="1">
      <alignment horizontal="center" vertical="center" wrapText="1"/>
    </xf>
    <xf numFmtId="0" fontId="55" fillId="28" borderId="29" xfId="0" applyFont="1" applyFill="1" applyBorder="1" applyAlignment="1">
      <alignment horizontal="center" vertical="center" wrapText="1"/>
    </xf>
    <xf numFmtId="0" fontId="52" fillId="28" borderId="8" xfId="0" applyFont="1" applyFill="1" applyBorder="1" applyAlignment="1">
      <alignment horizontal="center" vertical="center" wrapText="1"/>
    </xf>
    <xf numFmtId="0" fontId="52" fillId="28" borderId="148" xfId="0" applyFont="1" applyFill="1" applyBorder="1" applyAlignment="1">
      <alignment horizontal="center" vertical="center" wrapText="1"/>
    </xf>
    <xf numFmtId="0" fontId="52" fillId="28" borderId="30" xfId="0" applyFont="1" applyFill="1" applyBorder="1" applyAlignment="1">
      <alignment horizontal="center" vertical="center" wrapText="1"/>
    </xf>
    <xf numFmtId="0" fontId="52" fillId="28" borderId="8" xfId="0" applyFont="1" applyFill="1" applyBorder="1" applyAlignment="1">
      <alignment horizontal="center" vertical="center"/>
    </xf>
    <xf numFmtId="0" fontId="52" fillId="28" borderId="148" xfId="0" applyFont="1" applyFill="1" applyBorder="1" applyAlignment="1">
      <alignment horizontal="center" vertical="center"/>
    </xf>
    <xf numFmtId="9" fontId="52" fillId="28" borderId="8" xfId="5" applyFont="1" applyFill="1" applyBorder="1" applyAlignment="1">
      <alignment horizontal="center" vertical="center"/>
    </xf>
    <xf numFmtId="9" fontId="52" fillId="28" borderId="148" xfId="5" applyFont="1" applyFill="1" applyBorder="1" applyAlignment="1">
      <alignment horizontal="center" vertical="center"/>
    </xf>
    <xf numFmtId="0" fontId="55" fillId="18" borderId="149" xfId="0" applyNumberFormat="1" applyFont="1" applyFill="1" applyBorder="1" applyAlignment="1">
      <alignment horizontal="center" vertical="center" wrapText="1"/>
    </xf>
    <xf numFmtId="0" fontId="55" fillId="18" borderId="26" xfId="0" applyNumberFormat="1" applyFont="1" applyFill="1" applyBorder="1" applyAlignment="1">
      <alignment horizontal="center" vertical="center" wrapText="1"/>
    </xf>
    <xf numFmtId="0" fontId="40" fillId="37" borderId="26" xfId="0" applyFont="1" applyFill="1" applyBorder="1" applyAlignment="1">
      <alignment horizontal="center" vertical="center" wrapText="1"/>
    </xf>
    <xf numFmtId="0" fontId="51" fillId="28" borderId="8" xfId="0" applyFont="1" applyFill="1" applyBorder="1" applyAlignment="1">
      <alignment horizontal="center" vertical="center" wrapText="1"/>
    </xf>
    <xf numFmtId="0" fontId="51" fillId="28" borderId="148" xfId="0" applyFont="1" applyFill="1" applyBorder="1" applyAlignment="1">
      <alignment horizontal="center" vertical="center" wrapText="1"/>
    </xf>
    <xf numFmtId="9" fontId="51" fillId="28" borderId="8" xfId="5" applyFont="1" applyFill="1" applyBorder="1" applyAlignment="1">
      <alignment horizontal="center" vertical="center"/>
    </xf>
    <xf numFmtId="9" fontId="51" fillId="28" borderId="148" xfId="5" applyFont="1" applyFill="1" applyBorder="1" applyAlignment="1">
      <alignment horizontal="center" vertical="center"/>
    </xf>
    <xf numFmtId="9" fontId="50" fillId="28" borderId="8" xfId="5" applyFont="1" applyFill="1" applyBorder="1" applyAlignment="1">
      <alignment horizontal="center" vertical="center"/>
    </xf>
    <xf numFmtId="9" fontId="50" fillId="28" borderId="148" xfId="5" applyFont="1" applyFill="1" applyBorder="1" applyAlignment="1">
      <alignment horizontal="center" vertical="center"/>
    </xf>
    <xf numFmtId="9" fontId="50" fillId="28" borderId="30" xfId="5" applyFont="1" applyFill="1" applyBorder="1" applyAlignment="1">
      <alignment horizontal="center" vertical="center"/>
    </xf>
    <xf numFmtId="9" fontId="48" fillId="38" borderId="32" xfId="5" applyFont="1" applyFill="1" applyBorder="1" applyAlignment="1">
      <alignment horizontal="center" vertical="center"/>
    </xf>
    <xf numFmtId="9" fontId="48" fillId="38" borderId="148" xfId="5" applyFont="1" applyFill="1" applyBorder="1" applyAlignment="1">
      <alignment horizontal="center" vertical="center"/>
    </xf>
    <xf numFmtId="9" fontId="48" fillId="72" borderId="148" xfId="5" applyFont="1" applyFill="1" applyBorder="1" applyAlignment="1">
      <alignment horizontal="center" vertical="center" wrapText="1"/>
    </xf>
    <xf numFmtId="9" fontId="48" fillId="72" borderId="30" xfId="5" applyFont="1" applyFill="1" applyBorder="1" applyAlignment="1">
      <alignment horizontal="center" vertical="center" wrapText="1"/>
    </xf>
    <xf numFmtId="9" fontId="50" fillId="7" borderId="32" xfId="5" applyFont="1" applyFill="1" applyBorder="1" applyAlignment="1">
      <alignment horizontal="center" vertical="center"/>
    </xf>
    <xf numFmtId="9" fontId="50" fillId="7" borderId="148" xfId="5" applyFont="1" applyFill="1" applyBorder="1" applyAlignment="1">
      <alignment horizontal="center" vertical="center"/>
    </xf>
    <xf numFmtId="9" fontId="50" fillId="7" borderId="30" xfId="5" applyFont="1" applyFill="1" applyBorder="1" applyAlignment="1">
      <alignment horizontal="center" vertical="center"/>
    </xf>
    <xf numFmtId="0" fontId="52" fillId="38" borderId="148" xfId="0" applyFont="1" applyFill="1" applyBorder="1" applyAlignment="1">
      <alignment horizontal="center" vertical="center"/>
    </xf>
    <xf numFmtId="9" fontId="52" fillId="38" borderId="148" xfId="5" applyFont="1" applyFill="1" applyBorder="1" applyAlignment="1">
      <alignment horizontal="center" vertical="center"/>
    </xf>
    <xf numFmtId="0" fontId="55" fillId="7" borderId="51" xfId="0" applyFont="1" applyFill="1" applyBorder="1" applyAlignment="1">
      <alignment horizontal="center" vertical="center" wrapText="1"/>
    </xf>
    <xf numFmtId="0" fontId="55" fillId="7" borderId="11" xfId="0" applyFont="1" applyFill="1" applyBorder="1" applyAlignment="1">
      <alignment horizontal="center" vertical="center" wrapText="1"/>
    </xf>
    <xf numFmtId="0" fontId="55" fillId="7" borderId="29" xfId="0" applyFont="1" applyFill="1" applyBorder="1" applyAlignment="1">
      <alignment horizontal="center" vertical="center" wrapText="1"/>
    </xf>
    <xf numFmtId="0" fontId="52" fillId="7" borderId="32" xfId="0" applyFont="1" applyFill="1" applyBorder="1" applyAlignment="1">
      <alignment horizontal="center" vertical="center" wrapText="1"/>
    </xf>
    <xf numFmtId="0" fontId="52" fillId="29" borderId="180" xfId="0" applyFont="1" applyFill="1" applyBorder="1" applyAlignment="1">
      <alignment horizontal="center" vertical="center" wrapText="1"/>
    </xf>
    <xf numFmtId="0" fontId="52" fillId="29" borderId="32" xfId="0" applyFont="1" applyFill="1" applyBorder="1" applyAlignment="1">
      <alignment horizontal="center" vertical="center" wrapText="1"/>
    </xf>
    <xf numFmtId="0" fontId="55" fillId="51" borderId="51" xfId="0" applyFont="1" applyFill="1" applyBorder="1" applyAlignment="1">
      <alignment horizontal="center" vertical="center" wrapText="1"/>
    </xf>
    <xf numFmtId="0" fontId="52" fillId="51" borderId="32" xfId="0" applyFont="1" applyFill="1" applyBorder="1" applyAlignment="1">
      <alignment horizontal="center" vertical="center" wrapText="1"/>
    </xf>
    <xf numFmtId="9" fontId="50" fillId="51" borderId="32" xfId="5" applyFont="1" applyFill="1" applyBorder="1" applyAlignment="1">
      <alignment horizontal="center" vertical="center"/>
    </xf>
    <xf numFmtId="9" fontId="50" fillId="51" borderId="30" xfId="5" applyFont="1" applyFill="1" applyBorder="1" applyAlignment="1">
      <alignment horizontal="center" vertical="center"/>
    </xf>
    <xf numFmtId="9" fontId="50" fillId="38" borderId="32" xfId="5" applyFont="1" applyFill="1" applyBorder="1" applyAlignment="1">
      <alignment horizontal="center" vertical="center"/>
    </xf>
    <xf numFmtId="9" fontId="50" fillId="38" borderId="148" xfId="5" applyFont="1" applyFill="1" applyBorder="1" applyAlignment="1">
      <alignment horizontal="center" vertical="center"/>
    </xf>
    <xf numFmtId="9" fontId="50" fillId="0" borderId="148" xfId="5" applyFont="1" applyFill="1" applyBorder="1" applyAlignment="1">
      <alignment horizontal="center" vertical="center"/>
    </xf>
    <xf numFmtId="0" fontId="52" fillId="17" borderId="148" xfId="0" applyFont="1" applyFill="1" applyBorder="1" applyAlignment="1">
      <alignment horizontal="center" vertical="center" wrapText="1"/>
    </xf>
    <xf numFmtId="9" fontId="50" fillId="0" borderId="148" xfId="5" applyFont="1" applyFill="1" applyBorder="1" applyAlignment="1">
      <alignment horizontal="center" vertical="center" wrapText="1"/>
    </xf>
    <xf numFmtId="0" fontId="52" fillId="7" borderId="148" xfId="0" applyFont="1" applyFill="1" applyBorder="1" applyAlignment="1">
      <alignment horizontal="center" vertical="center"/>
    </xf>
    <xf numFmtId="9" fontId="52" fillId="7" borderId="148" xfId="5" applyFont="1" applyFill="1" applyBorder="1" applyAlignment="1">
      <alignment horizontal="center" vertical="center"/>
    </xf>
    <xf numFmtId="0" fontId="52" fillId="17" borderId="148" xfId="0" applyFont="1" applyFill="1" applyBorder="1" applyAlignment="1">
      <alignment horizontal="center" vertical="center"/>
    </xf>
    <xf numFmtId="9" fontId="52" fillId="17" borderId="148" xfId="5" applyFont="1" applyFill="1" applyBorder="1" applyAlignment="1">
      <alignment horizontal="center" vertical="center"/>
    </xf>
    <xf numFmtId="0" fontId="51" fillId="17" borderId="148" xfId="0" applyFont="1" applyFill="1" applyBorder="1" applyAlignment="1">
      <alignment horizontal="center" vertical="center" wrapText="1"/>
    </xf>
    <xf numFmtId="0" fontId="55" fillId="17" borderId="11" xfId="0" applyFont="1" applyFill="1" applyBorder="1" applyAlignment="1">
      <alignment horizontal="center" vertical="center" wrapText="1"/>
    </xf>
    <xf numFmtId="0" fontId="52" fillId="51" borderId="148" xfId="0" applyFont="1" applyFill="1" applyBorder="1" applyAlignment="1">
      <alignment horizontal="center" vertical="center"/>
    </xf>
    <xf numFmtId="9" fontId="52" fillId="51" borderId="148" xfId="5" applyFont="1" applyFill="1" applyBorder="1" applyAlignment="1">
      <alignment horizontal="center" vertical="center"/>
    </xf>
    <xf numFmtId="9" fontId="51" fillId="17" borderId="148" xfId="5" applyFont="1" applyFill="1" applyBorder="1" applyAlignment="1">
      <alignment horizontal="center" vertical="center"/>
    </xf>
    <xf numFmtId="9" fontId="48" fillId="38" borderId="32" xfId="5" applyFont="1" applyFill="1" applyBorder="1" applyAlignment="1">
      <alignment horizontal="center" vertical="center" wrapText="1"/>
    </xf>
    <xf numFmtId="9" fontId="48" fillId="38" borderId="148" xfId="5" applyFont="1" applyFill="1" applyBorder="1" applyAlignment="1">
      <alignment horizontal="center" vertical="center" wrapText="1"/>
    </xf>
    <xf numFmtId="9" fontId="48" fillId="38" borderId="30" xfId="5" applyFont="1" applyFill="1" applyBorder="1" applyAlignment="1">
      <alignment horizontal="center" vertical="center" wrapText="1"/>
    </xf>
    <xf numFmtId="9" fontId="48" fillId="0" borderId="148" xfId="5" applyFont="1" applyFill="1" applyBorder="1" applyAlignment="1">
      <alignment horizontal="center" vertical="center" wrapText="1"/>
    </xf>
    <xf numFmtId="9" fontId="48" fillId="0" borderId="30" xfId="5" applyFont="1" applyFill="1" applyBorder="1" applyAlignment="1">
      <alignment horizontal="center" vertical="center" wrapText="1"/>
    </xf>
    <xf numFmtId="0" fontId="52" fillId="72" borderId="148" xfId="0" applyFont="1" applyFill="1" applyBorder="1" applyAlignment="1">
      <alignment horizontal="center" vertical="center" wrapText="1"/>
    </xf>
    <xf numFmtId="0" fontId="52" fillId="72" borderId="30" xfId="0" applyFont="1" applyFill="1" applyBorder="1" applyAlignment="1">
      <alignment horizontal="center" vertical="center" wrapText="1"/>
    </xf>
    <xf numFmtId="0" fontId="52" fillId="72" borderId="148" xfId="0" applyFont="1" applyFill="1" applyBorder="1" applyAlignment="1">
      <alignment horizontal="center" vertical="center"/>
    </xf>
    <xf numFmtId="9" fontId="52" fillId="72" borderId="148" xfId="5" applyFont="1" applyFill="1" applyBorder="1" applyAlignment="1">
      <alignment horizontal="center" vertical="center"/>
    </xf>
    <xf numFmtId="9" fontId="49" fillId="38" borderId="148" xfId="5" applyFont="1" applyFill="1" applyBorder="1" applyAlignment="1">
      <alignment horizontal="center" vertical="center"/>
    </xf>
    <xf numFmtId="9" fontId="51" fillId="38" borderId="148" xfId="5" applyFont="1" applyFill="1" applyBorder="1" applyAlignment="1">
      <alignment horizontal="center" vertical="center"/>
    </xf>
    <xf numFmtId="9" fontId="51" fillId="38" borderId="30" xfId="5" applyFont="1" applyFill="1" applyBorder="1" applyAlignment="1">
      <alignment horizontal="center" vertical="center"/>
    </xf>
    <xf numFmtId="9" fontId="50" fillId="41" borderId="32" xfId="5" applyFont="1" applyFill="1" applyBorder="1" applyAlignment="1">
      <alignment horizontal="center" vertical="center"/>
    </xf>
    <xf numFmtId="9" fontId="50" fillId="41" borderId="148" xfId="5" applyFont="1" applyFill="1" applyBorder="1" applyAlignment="1">
      <alignment horizontal="center" vertical="center"/>
    </xf>
    <xf numFmtId="9" fontId="50" fillId="41" borderId="30" xfId="5" applyFont="1" applyFill="1" applyBorder="1" applyAlignment="1">
      <alignment horizontal="center" vertical="center"/>
    </xf>
    <xf numFmtId="0" fontId="52" fillId="38" borderId="30" xfId="0" applyFont="1" applyFill="1" applyBorder="1" applyAlignment="1">
      <alignment horizontal="center" vertical="center"/>
    </xf>
    <xf numFmtId="9" fontId="52" fillId="38" borderId="30" xfId="5" applyFont="1" applyFill="1" applyBorder="1" applyAlignment="1">
      <alignment horizontal="center" vertical="center"/>
    </xf>
    <xf numFmtId="0" fontId="52" fillId="29" borderId="148" xfId="0" applyFont="1" applyFill="1" applyBorder="1" applyAlignment="1">
      <alignment horizontal="center" vertical="center"/>
    </xf>
    <xf numFmtId="9" fontId="52" fillId="29" borderId="148" xfId="5" applyFont="1" applyFill="1" applyBorder="1" applyAlignment="1">
      <alignment horizontal="center" vertical="center"/>
    </xf>
    <xf numFmtId="0" fontId="52" fillId="33" borderId="32" xfId="0" applyFont="1" applyFill="1" applyBorder="1" applyAlignment="1">
      <alignment horizontal="center" vertical="center"/>
    </xf>
    <xf numFmtId="0" fontId="52" fillId="33" borderId="148" xfId="0" applyFont="1" applyFill="1" applyBorder="1" applyAlignment="1">
      <alignment horizontal="center" vertical="center"/>
    </xf>
    <xf numFmtId="9" fontId="52" fillId="33" borderId="32" xfId="5" applyFont="1" applyFill="1" applyBorder="1" applyAlignment="1">
      <alignment horizontal="center" vertical="center"/>
    </xf>
    <xf numFmtId="9" fontId="52" fillId="33" borderId="148" xfId="5" applyFont="1" applyFill="1" applyBorder="1" applyAlignment="1">
      <alignment horizontal="center" vertical="center"/>
    </xf>
    <xf numFmtId="9" fontId="50" fillId="11" borderId="148" xfId="5" applyFont="1" applyFill="1" applyBorder="1" applyAlignment="1">
      <alignment horizontal="center" vertical="center"/>
    </xf>
    <xf numFmtId="9" fontId="50" fillId="29" borderId="148" xfId="5" applyFont="1" applyFill="1" applyBorder="1" applyAlignment="1">
      <alignment horizontal="center" vertical="center"/>
    </xf>
    <xf numFmtId="9" fontId="50" fillId="29" borderId="30" xfId="5" applyFont="1" applyFill="1" applyBorder="1" applyAlignment="1">
      <alignment horizontal="center" vertical="center"/>
    </xf>
    <xf numFmtId="0" fontId="52" fillId="40" borderId="148" xfId="0" applyFont="1" applyFill="1" applyBorder="1" applyAlignment="1">
      <alignment horizontal="center" vertical="center"/>
    </xf>
    <xf numFmtId="9" fontId="52" fillId="40" borderId="148" xfId="5" applyFont="1" applyFill="1" applyBorder="1" applyAlignment="1">
      <alignment horizontal="center" vertical="center"/>
    </xf>
    <xf numFmtId="9" fontId="50" fillId="0" borderId="32" xfId="5" applyFont="1" applyFill="1" applyBorder="1" applyAlignment="1">
      <alignment horizontal="center" vertical="center" wrapText="1"/>
    </xf>
    <xf numFmtId="9" fontId="50" fillId="38" borderId="30" xfId="5" applyFont="1" applyFill="1" applyBorder="1" applyAlignment="1">
      <alignment horizontal="center" vertical="center"/>
    </xf>
    <xf numFmtId="9" fontId="50" fillId="0" borderId="30" xfId="5" applyFont="1" applyFill="1" applyBorder="1" applyAlignment="1">
      <alignment horizontal="center" vertical="center"/>
    </xf>
    <xf numFmtId="9" fontId="50" fillId="39" borderId="32" xfId="5" applyFont="1" applyFill="1" applyBorder="1" applyAlignment="1">
      <alignment horizontal="center" vertical="center"/>
    </xf>
    <xf numFmtId="9" fontId="50" fillId="39" borderId="148" xfId="5" applyFont="1" applyFill="1" applyBorder="1" applyAlignment="1">
      <alignment horizontal="center" vertical="center"/>
    </xf>
    <xf numFmtId="9" fontId="50" fillId="39" borderId="30" xfId="5" applyFont="1" applyFill="1" applyBorder="1" applyAlignment="1">
      <alignment horizontal="center" vertical="center"/>
    </xf>
    <xf numFmtId="0" fontId="52" fillId="39" borderId="148" xfId="0" applyFont="1" applyFill="1" applyBorder="1" applyAlignment="1">
      <alignment horizontal="center" vertical="center"/>
    </xf>
    <xf numFmtId="9" fontId="52" fillId="39" borderId="148" xfId="5" applyFont="1" applyFill="1" applyBorder="1" applyAlignment="1">
      <alignment horizontal="center" vertical="center"/>
    </xf>
    <xf numFmtId="0" fontId="52" fillId="39" borderId="32" xfId="0" applyFont="1" applyFill="1" applyBorder="1" applyAlignment="1">
      <alignment horizontal="center" vertical="center"/>
    </xf>
    <xf numFmtId="9" fontId="49" fillId="39" borderId="148" xfId="5" applyFont="1" applyFill="1" applyBorder="1" applyAlignment="1">
      <alignment horizontal="center" vertical="center" wrapText="1"/>
    </xf>
    <xf numFmtId="9" fontId="51" fillId="39" borderId="148" xfId="5" applyFont="1" applyFill="1" applyBorder="1" applyAlignment="1">
      <alignment horizontal="center" vertical="center"/>
    </xf>
    <xf numFmtId="9" fontId="52" fillId="41" borderId="148" xfId="5" applyFont="1" applyFill="1" applyBorder="1" applyAlignment="1">
      <alignment horizontal="center" vertical="center" wrapText="1"/>
    </xf>
    <xf numFmtId="9" fontId="52" fillId="39" borderId="32" xfId="5" applyFont="1" applyFill="1" applyBorder="1" applyAlignment="1">
      <alignment horizontal="center" vertical="center"/>
    </xf>
    <xf numFmtId="0" fontId="53" fillId="39" borderId="148" xfId="0" applyFont="1" applyFill="1" applyBorder="1" applyAlignment="1">
      <alignment horizontal="center" vertical="center" wrapText="1"/>
    </xf>
    <xf numFmtId="9" fontId="51" fillId="41" borderId="148" xfId="5" applyFont="1" applyFill="1" applyBorder="1" applyAlignment="1">
      <alignment horizontal="center" vertical="center" wrapText="1"/>
    </xf>
    <xf numFmtId="9" fontId="50" fillId="41" borderId="32" xfId="5" applyFont="1" applyFill="1" applyBorder="1" applyAlignment="1">
      <alignment horizontal="center" vertical="center" wrapText="1"/>
    </xf>
    <xf numFmtId="9" fontId="50" fillId="41" borderId="148" xfId="5" applyFont="1" applyFill="1" applyBorder="1" applyAlignment="1">
      <alignment horizontal="center" vertical="center" wrapText="1"/>
    </xf>
    <xf numFmtId="9" fontId="50" fillId="0" borderId="30" xfId="5" applyFont="1" applyFill="1" applyBorder="1" applyAlignment="1">
      <alignment horizontal="center" vertical="center" wrapText="1"/>
    </xf>
    <xf numFmtId="9" fontId="52" fillId="38" borderId="148" xfId="5" applyFont="1" applyFill="1" applyBorder="1" applyAlignment="1">
      <alignment horizontal="center" vertical="center" wrapText="1"/>
    </xf>
    <xf numFmtId="0" fontId="52" fillId="0" borderId="0" xfId="0" applyFont="1" applyBorder="1" applyAlignment="1">
      <alignment horizontal="center" vertical="center" wrapText="1"/>
    </xf>
    <xf numFmtId="0" fontId="51" fillId="0" borderId="0" xfId="0" applyFont="1" applyBorder="1" applyAlignment="1">
      <alignment horizontal="center" vertical="center" wrapText="1"/>
    </xf>
    <xf numFmtId="175" fontId="55" fillId="18" borderId="26" xfId="0" applyNumberFormat="1" applyFont="1" applyFill="1" applyBorder="1" applyAlignment="1">
      <alignment horizontal="center" vertical="center" wrapText="1"/>
    </xf>
    <xf numFmtId="0" fontId="52" fillId="7" borderId="32" xfId="0" applyFont="1" applyFill="1" applyBorder="1" applyAlignment="1">
      <alignment horizontal="center" vertical="center"/>
    </xf>
    <xf numFmtId="9" fontId="52" fillId="7" borderId="32" xfId="5" applyFont="1" applyFill="1" applyBorder="1" applyAlignment="1">
      <alignment horizontal="center" vertical="center"/>
    </xf>
    <xf numFmtId="0" fontId="50" fillId="4" borderId="36" xfId="0" applyFont="1" applyFill="1" applyBorder="1" applyAlignment="1" applyProtection="1">
      <alignment horizontal="center" vertical="center"/>
      <protection locked="0"/>
    </xf>
    <xf numFmtId="0" fontId="50" fillId="4" borderId="19" xfId="0" applyFont="1" applyFill="1" applyBorder="1" applyAlignment="1" applyProtection="1">
      <alignment horizontal="center" vertical="center"/>
      <protection locked="0"/>
    </xf>
    <xf numFmtId="9" fontId="50" fillId="11" borderId="32" xfId="5" applyFont="1" applyFill="1" applyBorder="1" applyAlignment="1">
      <alignment horizontal="center" vertical="center" wrapText="1"/>
    </xf>
    <xf numFmtId="9" fontId="50" fillId="11" borderId="148" xfId="5" applyFont="1" applyFill="1" applyBorder="1" applyAlignment="1">
      <alignment horizontal="center" vertical="center" wrapText="1"/>
    </xf>
    <xf numFmtId="9" fontId="50" fillId="11" borderId="30" xfId="5" applyFont="1" applyFill="1" applyBorder="1" applyAlignment="1">
      <alignment horizontal="center" vertical="center"/>
    </xf>
    <xf numFmtId="9" fontId="48" fillId="11" borderId="148" xfId="5" applyFont="1" applyFill="1" applyBorder="1" applyAlignment="1">
      <alignment horizontal="center" vertical="center" wrapText="1"/>
    </xf>
    <xf numFmtId="9" fontId="48" fillId="11" borderId="30" xfId="5" applyFont="1" applyFill="1" applyBorder="1" applyAlignment="1">
      <alignment horizontal="center" vertical="center" wrapText="1"/>
    </xf>
    <xf numFmtId="9" fontId="50" fillId="11" borderId="30" xfId="5" applyFont="1" applyFill="1" applyBorder="1" applyAlignment="1">
      <alignment horizontal="center" vertical="center" wrapText="1"/>
    </xf>
    <xf numFmtId="9" fontId="51" fillId="38" borderId="148" xfId="0" applyNumberFormat="1" applyFont="1" applyFill="1" applyBorder="1" applyAlignment="1">
      <alignment horizontal="center" vertical="center" wrapText="1"/>
    </xf>
    <xf numFmtId="0" fontId="51" fillId="7" borderId="32" xfId="0" applyFont="1" applyFill="1" applyBorder="1" applyAlignment="1">
      <alignment horizontal="center" vertical="center" wrapText="1"/>
    </xf>
    <xf numFmtId="0" fontId="51" fillId="43" borderId="148" xfId="0" applyFont="1" applyFill="1" applyBorder="1" applyAlignment="1">
      <alignment horizontal="center" vertical="center" wrapText="1"/>
    </xf>
    <xf numFmtId="0" fontId="50" fillId="4" borderId="148" xfId="0" applyFont="1" applyFill="1" applyBorder="1" applyAlignment="1" applyProtection="1">
      <alignment horizontal="center" vertical="center" wrapText="1"/>
      <protection locked="0"/>
    </xf>
    <xf numFmtId="0" fontId="50" fillId="4" borderId="149" xfId="0" applyFont="1" applyFill="1" applyBorder="1" applyAlignment="1" applyProtection="1">
      <alignment horizontal="center" vertical="center" wrapText="1"/>
      <protection locked="0"/>
    </xf>
    <xf numFmtId="0" fontId="50" fillId="4" borderId="148" xfId="0" applyFont="1" applyFill="1" applyBorder="1" applyAlignment="1" applyProtection="1">
      <alignment horizontal="center"/>
      <protection locked="0"/>
    </xf>
    <xf numFmtId="0" fontId="51" fillId="4" borderId="148" xfId="0" applyFont="1" applyFill="1" applyBorder="1" applyAlignment="1" applyProtection="1">
      <alignment horizontal="center" vertical="center" textRotation="90" wrapText="1"/>
      <protection locked="0"/>
    </xf>
    <xf numFmtId="0" fontId="51" fillId="4" borderId="149" xfId="0" applyFont="1" applyFill="1" applyBorder="1" applyAlignment="1" applyProtection="1">
      <alignment horizontal="center" vertical="center" textRotation="90" wrapText="1"/>
      <protection locked="0"/>
    </xf>
    <xf numFmtId="0" fontId="49" fillId="43" borderId="32" xfId="0" applyFont="1" applyFill="1" applyBorder="1" applyAlignment="1">
      <alignment horizontal="center" vertical="center" wrapText="1"/>
    </xf>
    <xf numFmtId="0" fontId="49" fillId="43" borderId="30" xfId="0" applyFont="1" applyFill="1" applyBorder="1" applyAlignment="1">
      <alignment horizontal="center" vertical="center" wrapText="1"/>
    </xf>
    <xf numFmtId="0" fontId="51" fillId="72" borderId="32" xfId="0" applyFont="1" applyFill="1" applyBorder="1" applyAlignment="1">
      <alignment horizontal="center" vertical="center" wrapText="1"/>
    </xf>
    <xf numFmtId="0" fontId="51" fillId="72" borderId="148" xfId="0" applyFont="1" applyFill="1" applyBorder="1" applyAlignment="1">
      <alignment horizontal="center" vertical="center" wrapText="1"/>
    </xf>
    <xf numFmtId="0" fontId="51" fillId="33" borderId="30" xfId="0" applyFont="1" applyFill="1" applyBorder="1" applyAlignment="1">
      <alignment horizontal="center" vertical="center" wrapText="1"/>
    </xf>
    <xf numFmtId="0" fontId="51" fillId="42" borderId="32" xfId="0" applyFont="1" applyFill="1" applyBorder="1" applyAlignment="1">
      <alignment horizontal="center" vertical="center" wrapText="1"/>
    </xf>
    <xf numFmtId="0" fontId="51" fillId="42" borderId="148" xfId="0" applyFont="1" applyFill="1" applyBorder="1" applyAlignment="1">
      <alignment horizontal="center" vertical="center" wrapText="1"/>
    </xf>
    <xf numFmtId="0" fontId="51" fillId="42" borderId="30" xfId="0" applyFont="1" applyFill="1" applyBorder="1" applyAlignment="1">
      <alignment horizontal="center" vertical="center" wrapText="1"/>
    </xf>
    <xf numFmtId="0" fontId="51" fillId="44" borderId="148" xfId="0" applyFont="1" applyFill="1" applyBorder="1" applyAlignment="1">
      <alignment horizontal="center" vertical="center" wrapText="1"/>
    </xf>
    <xf numFmtId="0" fontId="51" fillId="43" borderId="30" xfId="0" applyFont="1" applyFill="1" applyBorder="1" applyAlignment="1">
      <alignment horizontal="center" vertical="center" wrapText="1"/>
    </xf>
    <xf numFmtId="0" fontId="51" fillId="44" borderId="30" xfId="0" applyFont="1" applyFill="1" applyBorder="1" applyAlignment="1">
      <alignment horizontal="center" vertical="center" wrapText="1"/>
    </xf>
    <xf numFmtId="0" fontId="49" fillId="41" borderId="148" xfId="0" applyFont="1" applyFill="1" applyBorder="1" applyAlignment="1">
      <alignment horizontal="center" vertical="center" wrapText="1"/>
    </xf>
    <xf numFmtId="0" fontId="51" fillId="41" borderId="30" xfId="0" applyFont="1" applyFill="1" applyBorder="1" applyAlignment="1">
      <alignment horizontal="center" vertical="center" wrapText="1"/>
    </xf>
    <xf numFmtId="0" fontId="51" fillId="43" borderId="32" xfId="0" applyFont="1" applyFill="1" applyBorder="1" applyAlignment="1">
      <alignment horizontal="center" vertical="center" wrapText="1"/>
    </xf>
    <xf numFmtId="0" fontId="49" fillId="42" borderId="148" xfId="0" applyFont="1" applyFill="1" applyBorder="1" applyAlignment="1">
      <alignment horizontal="center" vertical="center" wrapText="1"/>
    </xf>
    <xf numFmtId="0" fontId="49" fillId="42" borderId="8" xfId="0" applyFont="1" applyFill="1" applyBorder="1" applyAlignment="1">
      <alignment horizontal="center" vertical="center" wrapText="1"/>
    </xf>
    <xf numFmtId="0" fontId="49" fillId="42" borderId="30" xfId="0" applyFont="1" applyFill="1" applyBorder="1" applyAlignment="1">
      <alignment horizontal="center" vertical="center" wrapText="1"/>
    </xf>
    <xf numFmtId="0" fontId="48" fillId="7" borderId="149" xfId="0" applyFont="1" applyFill="1" applyBorder="1" applyAlignment="1">
      <alignment horizontal="center" vertical="center" wrapText="1"/>
    </xf>
    <xf numFmtId="0" fontId="48" fillId="7" borderId="32" xfId="0" applyFont="1" applyFill="1" applyBorder="1" applyAlignment="1">
      <alignment horizontal="center" vertical="center" wrapText="1"/>
    </xf>
    <xf numFmtId="0" fontId="49" fillId="39" borderId="32" xfId="0" applyFont="1" applyFill="1" applyBorder="1" applyAlignment="1">
      <alignment horizontal="center" vertical="center" wrapText="1"/>
    </xf>
    <xf numFmtId="0" fontId="49" fillId="39" borderId="148" xfId="0" applyFont="1" applyFill="1" applyBorder="1" applyAlignment="1">
      <alignment horizontal="center" vertical="center" wrapText="1"/>
    </xf>
    <xf numFmtId="0" fontId="51" fillId="39" borderId="30" xfId="0" applyFont="1" applyFill="1" applyBorder="1" applyAlignment="1">
      <alignment horizontal="center" vertical="center" wrapText="1"/>
    </xf>
    <xf numFmtId="0" fontId="49" fillId="41" borderId="32" xfId="0" applyFont="1" applyFill="1" applyBorder="1" applyAlignment="1">
      <alignment horizontal="center" vertical="center" wrapText="1"/>
    </xf>
    <xf numFmtId="0" fontId="48" fillId="6" borderId="7" xfId="0" applyFont="1" applyFill="1" applyBorder="1" applyAlignment="1" applyProtection="1">
      <alignment horizontal="center" vertical="center" wrapText="1"/>
      <protection locked="0"/>
    </xf>
    <xf numFmtId="0" fontId="48" fillId="6" borderId="158" xfId="0" applyFont="1" applyFill="1" applyBorder="1" applyAlignment="1" applyProtection="1">
      <alignment horizontal="center" vertical="center" wrapText="1"/>
      <protection locked="0"/>
    </xf>
    <xf numFmtId="0" fontId="50" fillId="4" borderId="94" xfId="0" applyFont="1" applyFill="1" applyBorder="1" applyAlignment="1" applyProtection="1">
      <alignment horizontal="center" vertical="center" wrapText="1"/>
      <protection locked="0"/>
    </xf>
    <xf numFmtId="0" fontId="50" fillId="4" borderId="159" xfId="0" applyFont="1" applyFill="1" applyBorder="1" applyAlignment="1" applyProtection="1">
      <alignment horizontal="center" vertical="center" wrapText="1"/>
      <protection locked="0"/>
    </xf>
    <xf numFmtId="0" fontId="49" fillId="41" borderId="30" xfId="0" applyFont="1" applyFill="1" applyBorder="1" applyAlignment="1">
      <alignment horizontal="center" vertical="center" wrapText="1"/>
    </xf>
    <xf numFmtId="0" fontId="50" fillId="44" borderId="51" xfId="0" applyFont="1" applyFill="1" applyBorder="1" applyAlignment="1">
      <alignment horizontal="center" vertical="center" textRotation="90"/>
    </xf>
    <xf numFmtId="0" fontId="50" fillId="44" borderId="11" xfId="0" applyFont="1" applyFill="1" applyBorder="1" applyAlignment="1">
      <alignment horizontal="center" vertical="center" textRotation="90"/>
    </xf>
    <xf numFmtId="0" fontId="50" fillId="44" borderId="29" xfId="0" applyFont="1" applyFill="1" applyBorder="1" applyAlignment="1">
      <alignment horizontal="center" vertical="center" textRotation="90"/>
    </xf>
    <xf numFmtId="0" fontId="50" fillId="44" borderId="38" xfId="0" applyFont="1" applyFill="1" applyBorder="1" applyAlignment="1">
      <alignment horizontal="center" vertical="center" textRotation="90"/>
    </xf>
    <xf numFmtId="0" fontId="50" fillId="44" borderId="179" xfId="0" applyFont="1" applyFill="1" applyBorder="1" applyAlignment="1">
      <alignment horizontal="center" vertical="center" textRotation="90"/>
    </xf>
    <xf numFmtId="0" fontId="50" fillId="44" borderId="66" xfId="0" applyFont="1" applyFill="1" applyBorder="1" applyAlignment="1">
      <alignment horizontal="center" vertical="center" textRotation="90"/>
    </xf>
    <xf numFmtId="0" fontId="50" fillId="0" borderId="51" xfId="0" applyFont="1" applyFill="1" applyBorder="1" applyAlignment="1">
      <alignment horizontal="center" vertical="center" textRotation="90"/>
    </xf>
    <xf numFmtId="0" fontId="50" fillId="0" borderId="11" xfId="0" applyFont="1" applyFill="1" applyBorder="1" applyAlignment="1">
      <alignment horizontal="center" vertical="center" textRotation="90"/>
    </xf>
    <xf numFmtId="0" fontId="50" fillId="0" borderId="29" xfId="0" applyFont="1" applyFill="1" applyBorder="1" applyAlignment="1">
      <alignment horizontal="center" vertical="center" textRotation="90"/>
    </xf>
    <xf numFmtId="0" fontId="50" fillId="0" borderId="38" xfId="0" applyFont="1" applyFill="1" applyBorder="1" applyAlignment="1">
      <alignment horizontal="center" vertical="center" textRotation="90"/>
    </xf>
    <xf numFmtId="0" fontId="50" fillId="0" borderId="179" xfId="0" applyFont="1" applyFill="1" applyBorder="1" applyAlignment="1">
      <alignment horizontal="center" vertical="center" textRotation="90"/>
    </xf>
    <xf numFmtId="0" fontId="50" fillId="0" borderId="66" xfId="0" applyFont="1" applyFill="1" applyBorder="1" applyAlignment="1">
      <alignment horizontal="center" vertical="center" textRotation="90"/>
    </xf>
    <xf numFmtId="0" fontId="50" fillId="43" borderId="51" xfId="0" applyFont="1" applyFill="1" applyBorder="1" applyAlignment="1">
      <alignment horizontal="center" vertical="center" textRotation="90"/>
    </xf>
    <xf numFmtId="0" fontId="50" fillId="43" borderId="11" xfId="0" applyFont="1" applyFill="1" applyBorder="1" applyAlignment="1">
      <alignment horizontal="center" vertical="center" textRotation="90"/>
    </xf>
    <xf numFmtId="0" fontId="50" fillId="43" borderId="29" xfId="0" applyFont="1" applyFill="1" applyBorder="1" applyAlignment="1">
      <alignment horizontal="center" vertical="center" textRotation="90"/>
    </xf>
    <xf numFmtId="0" fontId="49" fillId="43" borderId="148" xfId="0" applyFont="1" applyFill="1" applyBorder="1" applyAlignment="1">
      <alignment horizontal="center" vertical="center" wrapText="1"/>
    </xf>
    <xf numFmtId="0" fontId="50" fillId="39" borderId="51" xfId="0" applyFont="1" applyFill="1" applyBorder="1" applyAlignment="1">
      <alignment horizontal="center" vertical="center" textRotation="90" wrapText="1"/>
    </xf>
    <xf numFmtId="0" fontId="50" fillId="39" borderId="11" xfId="0" applyFont="1" applyFill="1" applyBorder="1" applyAlignment="1">
      <alignment horizontal="center" vertical="center" textRotation="90" wrapText="1"/>
    </xf>
    <xf numFmtId="0" fontId="50" fillId="39" borderId="29" xfId="0" applyFont="1" applyFill="1" applyBorder="1" applyAlignment="1">
      <alignment horizontal="center" vertical="center" textRotation="90" wrapText="1"/>
    </xf>
    <xf numFmtId="0" fontId="65" fillId="42" borderId="11" xfId="0" applyFont="1" applyFill="1" applyBorder="1" applyAlignment="1">
      <alignment horizontal="center" vertical="center" textRotation="90" wrapText="1"/>
    </xf>
    <xf numFmtId="0" fontId="65" fillId="42" borderId="29" xfId="0" applyFont="1" applyFill="1" applyBorder="1" applyAlignment="1">
      <alignment horizontal="center" vertical="center" textRotation="90" wrapText="1"/>
    </xf>
    <xf numFmtId="0" fontId="50" fillId="0" borderId="11" xfId="0" applyFont="1" applyFill="1" applyBorder="1" applyAlignment="1">
      <alignment horizontal="center" vertical="center" textRotation="90" wrapText="1"/>
    </xf>
    <xf numFmtId="0" fontId="50" fillId="0" borderId="29" xfId="0" applyFont="1" applyFill="1" applyBorder="1" applyAlignment="1">
      <alignment horizontal="center" vertical="center" textRotation="90" wrapText="1"/>
    </xf>
    <xf numFmtId="0" fontId="49" fillId="39" borderId="30" xfId="0" applyFont="1" applyFill="1" applyBorder="1" applyAlignment="1">
      <alignment horizontal="center" vertical="center" wrapText="1"/>
    </xf>
    <xf numFmtId="0" fontId="50" fillId="41" borderId="51" xfId="0" applyFont="1" applyFill="1" applyBorder="1" applyAlignment="1">
      <alignment horizontal="center" vertical="center" textRotation="90"/>
    </xf>
    <xf numFmtId="0" fontId="50" fillId="41" borderId="11" xfId="0" applyFont="1" applyFill="1" applyBorder="1" applyAlignment="1">
      <alignment horizontal="center" vertical="center" textRotation="90"/>
    </xf>
    <xf numFmtId="0" fontId="50" fillId="41" borderId="29" xfId="0" applyFont="1" applyFill="1" applyBorder="1" applyAlignment="1">
      <alignment horizontal="center" vertical="center" textRotation="90"/>
    </xf>
    <xf numFmtId="0" fontId="50" fillId="42" borderId="7" xfId="0" applyFont="1" applyFill="1" applyBorder="1" applyAlignment="1">
      <alignment horizontal="center" vertical="center" textRotation="90" wrapText="1"/>
    </xf>
    <xf numFmtId="0" fontId="50" fillId="42" borderId="11" xfId="0" applyFont="1" applyFill="1" applyBorder="1" applyAlignment="1">
      <alignment horizontal="center" vertical="center" textRotation="90" wrapText="1"/>
    </xf>
    <xf numFmtId="9" fontId="49" fillId="44" borderId="148" xfId="5" applyFont="1" applyFill="1" applyBorder="1" applyAlignment="1">
      <alignment horizontal="center" vertical="center" wrapText="1"/>
    </xf>
    <xf numFmtId="9" fontId="49" fillId="33" borderId="148" xfId="5" applyFont="1" applyFill="1" applyBorder="1" applyAlignment="1">
      <alignment horizontal="center" vertical="center" wrapText="1"/>
    </xf>
    <xf numFmtId="0" fontId="0" fillId="33" borderId="148" xfId="0" applyFont="1" applyFill="1" applyBorder="1" applyAlignment="1">
      <alignment horizontal="center" vertical="center"/>
    </xf>
    <xf numFmtId="0" fontId="0" fillId="33" borderId="30" xfId="0" applyFont="1" applyFill="1" applyBorder="1" applyAlignment="1">
      <alignment horizontal="center" vertical="center"/>
    </xf>
    <xf numFmtId="0" fontId="0" fillId="44" borderId="148" xfId="0" applyFont="1" applyFill="1" applyBorder="1" applyAlignment="1">
      <alignment horizontal="center" vertical="center"/>
    </xf>
    <xf numFmtId="0" fontId="0" fillId="72" borderId="32" xfId="0" applyFont="1" applyFill="1" applyBorder="1" applyAlignment="1">
      <alignment horizontal="center" vertical="center"/>
    </xf>
    <xf numFmtId="0" fontId="0" fillId="72" borderId="148" xfId="0" applyFont="1" applyFill="1" applyBorder="1" applyAlignment="1">
      <alignment horizontal="center" vertical="center"/>
    </xf>
    <xf numFmtId="0" fontId="0" fillId="72" borderId="32" xfId="0" applyFont="1" applyFill="1" applyBorder="1" applyAlignment="1">
      <alignment horizontal="left" vertical="top" wrapText="1"/>
    </xf>
    <xf numFmtId="0" fontId="0" fillId="72" borderId="148" xfId="0" applyFont="1" applyFill="1" applyBorder="1" applyAlignment="1">
      <alignment horizontal="left" vertical="top" wrapText="1"/>
    </xf>
    <xf numFmtId="0" fontId="49" fillId="9" borderId="148" xfId="0" applyFont="1" applyFill="1" applyBorder="1" applyAlignment="1" applyProtection="1">
      <alignment horizontal="center" vertical="center" textRotation="90" wrapText="1"/>
      <protection locked="0"/>
    </xf>
    <xf numFmtId="0" fontId="49" fillId="9" borderId="149" xfId="0" applyFont="1" applyFill="1" applyBorder="1" applyAlignment="1" applyProtection="1">
      <alignment horizontal="center" vertical="center" textRotation="90" wrapText="1"/>
      <protection locked="0"/>
    </xf>
    <xf numFmtId="0" fontId="0" fillId="72" borderId="32" xfId="0" applyFont="1" applyFill="1" applyBorder="1" applyAlignment="1">
      <alignment horizontal="center" vertical="center" wrapText="1"/>
    </xf>
    <xf numFmtId="0" fontId="0" fillId="72" borderId="148" xfId="0" applyFont="1" applyFill="1" applyBorder="1" applyAlignment="1">
      <alignment horizontal="center" vertical="center" wrapText="1"/>
    </xf>
    <xf numFmtId="0" fontId="48" fillId="76" borderId="149" xfId="0" applyFont="1" applyFill="1" applyBorder="1" applyAlignment="1">
      <alignment horizontal="center" vertical="center" wrapText="1"/>
    </xf>
    <xf numFmtId="0" fontId="48" fillId="76" borderId="26" xfId="0" applyFont="1" applyFill="1" applyBorder="1" applyAlignment="1">
      <alignment horizontal="center" vertical="center" wrapText="1"/>
    </xf>
    <xf numFmtId="0" fontId="48" fillId="17" borderId="34" xfId="0" applyFont="1" applyFill="1" applyBorder="1" applyAlignment="1">
      <alignment horizontal="center" vertical="center" wrapText="1"/>
    </xf>
    <xf numFmtId="0" fontId="48" fillId="17" borderId="10" xfId="0" applyFont="1" applyFill="1" applyBorder="1" applyAlignment="1">
      <alignment horizontal="center" vertical="center" wrapText="1"/>
    </xf>
    <xf numFmtId="0" fontId="48" fillId="17" borderId="113" xfId="0" applyFont="1" applyFill="1" applyBorder="1" applyAlignment="1">
      <alignment horizontal="center" vertical="center" wrapText="1"/>
    </xf>
    <xf numFmtId="0" fontId="48" fillId="5" borderId="34" xfId="0" applyFont="1" applyFill="1" applyBorder="1" applyAlignment="1" applyProtection="1">
      <alignment horizontal="center" vertical="center"/>
      <protection locked="0"/>
    </xf>
    <xf numFmtId="0" fontId="48" fillId="5" borderId="42" xfId="0" applyFont="1" applyFill="1" applyBorder="1" applyAlignment="1" applyProtection="1">
      <alignment horizontal="center" vertical="center"/>
      <protection locked="0"/>
    </xf>
    <xf numFmtId="0" fontId="48" fillId="5" borderId="10" xfId="0" applyFont="1" applyFill="1" applyBorder="1" applyAlignment="1" applyProtection="1">
      <alignment horizontal="center" vertical="center"/>
      <protection locked="0"/>
    </xf>
    <xf numFmtId="0" fontId="48" fillId="5" borderId="14" xfId="0" applyFont="1" applyFill="1" applyBorder="1" applyAlignment="1" applyProtection="1">
      <alignment horizontal="center" vertical="center"/>
      <protection locked="0"/>
    </xf>
    <xf numFmtId="0" fontId="48" fillId="17" borderId="7" xfId="0" applyFont="1" applyFill="1" applyBorder="1" applyAlignment="1">
      <alignment horizontal="center" vertical="center" wrapText="1"/>
    </xf>
    <xf numFmtId="0" fontId="48" fillId="17" borderId="8" xfId="0" applyFont="1" applyFill="1" applyBorder="1" applyAlignment="1">
      <alignment horizontal="center" vertical="center" wrapText="1"/>
    </xf>
    <xf numFmtId="0" fontId="48" fillId="17" borderId="36" xfId="0" applyFont="1" applyFill="1" applyBorder="1" applyAlignment="1">
      <alignment horizontal="center" vertical="center" wrapText="1"/>
    </xf>
    <xf numFmtId="0" fontId="48" fillId="6" borderId="8" xfId="0" applyFont="1" applyFill="1" applyBorder="1" applyAlignment="1" applyProtection="1">
      <alignment horizontal="center" vertical="center" wrapText="1"/>
      <protection locked="0"/>
    </xf>
    <xf numFmtId="0" fontId="48" fillId="6" borderId="148" xfId="0" applyFont="1" applyFill="1" applyBorder="1" applyAlignment="1" applyProtection="1">
      <alignment horizontal="center" vertical="center" wrapText="1"/>
      <protection locked="0"/>
    </xf>
    <xf numFmtId="0" fontId="48" fillId="6" borderId="149" xfId="0" applyFont="1" applyFill="1" applyBorder="1" applyAlignment="1" applyProtection="1">
      <alignment horizontal="center" vertical="center" wrapText="1"/>
      <protection locked="0"/>
    </xf>
    <xf numFmtId="0" fontId="48" fillId="7" borderId="8" xfId="0" applyFont="1" applyFill="1" applyBorder="1" applyAlignment="1" applyProtection="1">
      <alignment horizontal="center" vertical="center" wrapText="1"/>
      <protection locked="0"/>
    </xf>
    <xf numFmtId="0" fontId="48" fillId="8" borderId="148" xfId="0" applyFont="1" applyFill="1" applyBorder="1" applyAlignment="1" applyProtection="1">
      <alignment horizontal="center" vertical="center" wrapText="1"/>
      <protection locked="0"/>
    </xf>
    <xf numFmtId="0" fontId="48" fillId="8" borderId="149" xfId="0" applyFont="1" applyFill="1" applyBorder="1" applyAlignment="1" applyProtection="1">
      <alignment horizontal="center" vertical="center" wrapText="1"/>
      <protection locked="0"/>
    </xf>
    <xf numFmtId="0" fontId="48" fillId="10" borderId="148" xfId="0" applyFont="1" applyFill="1" applyBorder="1" applyAlignment="1" applyProtection="1">
      <alignment horizontal="center" vertical="center" wrapText="1"/>
      <protection locked="0"/>
    </xf>
    <xf numFmtId="0" fontId="48" fillId="10" borderId="149" xfId="0" applyFont="1" applyFill="1" applyBorder="1" applyAlignment="1" applyProtection="1">
      <alignment horizontal="center" vertical="center" wrapText="1"/>
      <protection locked="0"/>
    </xf>
    <xf numFmtId="0" fontId="48" fillId="7" borderId="8" xfId="0" applyFont="1" applyFill="1" applyBorder="1" applyAlignment="1" applyProtection="1">
      <alignment horizontal="center" vertical="center"/>
      <protection locked="0"/>
    </xf>
    <xf numFmtId="0" fontId="48" fillId="7" borderId="9" xfId="0" applyFont="1" applyFill="1" applyBorder="1" applyAlignment="1" applyProtection="1">
      <alignment horizontal="center" vertical="center"/>
      <protection locked="0"/>
    </xf>
    <xf numFmtId="0" fontId="48" fillId="9" borderId="148" xfId="0" applyFont="1" applyFill="1" applyBorder="1" applyAlignment="1" applyProtection="1">
      <alignment horizontal="center" vertical="center" wrapText="1"/>
      <protection locked="0"/>
    </xf>
    <xf numFmtId="0" fontId="48" fillId="17" borderId="158" xfId="0" applyFont="1" applyFill="1" applyBorder="1" applyAlignment="1">
      <alignment horizontal="center" vertical="center" wrapText="1"/>
    </xf>
    <xf numFmtId="0" fontId="48" fillId="29" borderId="148" xfId="0" applyFont="1" applyFill="1" applyBorder="1" applyAlignment="1">
      <alignment horizontal="center" vertical="center" wrapText="1"/>
    </xf>
    <xf numFmtId="0" fontId="48" fillId="29" borderId="149" xfId="0" applyFont="1" applyFill="1" applyBorder="1" applyAlignment="1">
      <alignment horizontal="center" vertical="center" wrapText="1"/>
    </xf>
    <xf numFmtId="0" fontId="48" fillId="7" borderId="148" xfId="0" applyFont="1" applyFill="1" applyBorder="1" applyAlignment="1">
      <alignment horizontal="center" vertical="center" wrapText="1"/>
    </xf>
    <xf numFmtId="0" fontId="48" fillId="29" borderId="26" xfId="0" applyFont="1" applyFill="1" applyBorder="1" applyAlignment="1">
      <alignment horizontal="center" vertical="center" wrapText="1"/>
    </xf>
    <xf numFmtId="0" fontId="48" fillId="15" borderId="148" xfId="0" applyFont="1" applyFill="1" applyBorder="1" applyAlignment="1">
      <alignment horizontal="center" vertical="center" wrapText="1"/>
    </xf>
    <xf numFmtId="0" fontId="48" fillId="15" borderId="149" xfId="0" applyFont="1" applyFill="1" applyBorder="1" applyAlignment="1">
      <alignment horizontal="center" vertical="center" wrapText="1"/>
    </xf>
    <xf numFmtId="0" fontId="50" fillId="4" borderId="148" xfId="0" applyFont="1" applyFill="1" applyBorder="1" applyAlignment="1" applyProtection="1">
      <alignment horizontal="center" vertical="center"/>
      <protection locked="0"/>
    </xf>
    <xf numFmtId="0" fontId="48" fillId="15" borderId="179" xfId="0" applyFont="1" applyFill="1" applyBorder="1" applyAlignment="1">
      <alignment horizontal="center" vertical="center" wrapText="1"/>
    </xf>
    <xf numFmtId="0" fontId="48" fillId="15" borderId="150" xfId="0" applyFont="1" applyFill="1" applyBorder="1" applyAlignment="1">
      <alignment horizontal="center" vertical="center" wrapText="1"/>
    </xf>
    <xf numFmtId="0" fontId="0" fillId="39" borderId="32" xfId="0" applyFill="1" applyBorder="1" applyAlignment="1">
      <alignment horizontal="center" vertical="center" wrapText="1"/>
    </xf>
    <xf numFmtId="3" fontId="26" fillId="43" borderId="32" xfId="0" applyNumberFormat="1" applyFont="1" applyFill="1" applyBorder="1" applyAlignment="1">
      <alignment horizontal="center" vertical="center"/>
    </xf>
    <xf numFmtId="3" fontId="26" fillId="43" borderId="148" xfId="0" applyNumberFormat="1" applyFont="1" applyFill="1" applyBorder="1" applyAlignment="1">
      <alignment horizontal="center" vertical="center"/>
    </xf>
    <xf numFmtId="0" fontId="51" fillId="44" borderId="148" xfId="0" applyFont="1" applyFill="1" applyBorder="1" applyAlignment="1">
      <alignment horizontal="center" vertical="center"/>
    </xf>
    <xf numFmtId="0" fontId="51" fillId="44" borderId="148" xfId="0" applyFont="1" applyFill="1" applyBorder="1" applyAlignment="1">
      <alignment horizontal="center"/>
    </xf>
    <xf numFmtId="0" fontId="50" fillId="72" borderId="51" xfId="0" applyFont="1" applyFill="1" applyBorder="1" applyAlignment="1">
      <alignment horizontal="center" vertical="center" textRotation="90"/>
    </xf>
    <xf numFmtId="0" fontId="50" fillId="72" borderId="11" xfId="0" applyFont="1" applyFill="1" applyBorder="1" applyAlignment="1">
      <alignment horizontal="center" vertical="center" textRotation="90"/>
    </xf>
    <xf numFmtId="0" fontId="50" fillId="72" borderId="38" xfId="0" applyFont="1" applyFill="1" applyBorder="1" applyAlignment="1">
      <alignment horizontal="center" vertical="center" textRotation="90"/>
    </xf>
    <xf numFmtId="0" fontId="50" fillId="72" borderId="179" xfId="0" applyFont="1" applyFill="1" applyBorder="1" applyAlignment="1">
      <alignment horizontal="center" vertical="center" textRotation="90"/>
    </xf>
    <xf numFmtId="0" fontId="50" fillId="72" borderId="51" xfId="0" applyFont="1" applyFill="1" applyBorder="1" applyAlignment="1">
      <alignment horizontal="center" vertical="center" textRotation="90" wrapText="1"/>
    </xf>
    <xf numFmtId="0" fontId="50" fillId="72" borderId="11" xfId="0" applyFont="1" applyFill="1" applyBorder="1" applyAlignment="1">
      <alignment horizontal="center" vertical="center" textRotation="90" wrapText="1"/>
    </xf>
    <xf numFmtId="0" fontId="51" fillId="0" borderId="32" xfId="0" applyFont="1" applyFill="1" applyBorder="1" applyAlignment="1">
      <alignment horizontal="center" vertical="center" wrapText="1"/>
    </xf>
    <xf numFmtId="0" fontId="51" fillId="0" borderId="148" xfId="0" applyFont="1" applyFill="1" applyBorder="1" applyAlignment="1">
      <alignment horizontal="center" vertical="center" wrapText="1"/>
    </xf>
    <xf numFmtId="0" fontId="51" fillId="0" borderId="30" xfId="0" applyFont="1" applyFill="1" applyBorder="1" applyAlignment="1">
      <alignment horizontal="center" vertical="center" wrapText="1"/>
    </xf>
    <xf numFmtId="0" fontId="0" fillId="72" borderId="32" xfId="0" applyFill="1" applyBorder="1" applyAlignment="1">
      <alignment horizontal="left" vertical="top" wrapText="1"/>
    </xf>
    <xf numFmtId="0" fontId="0" fillId="72" borderId="148" xfId="0" applyFill="1" applyBorder="1" applyAlignment="1">
      <alignment horizontal="left" vertical="top" wrapText="1"/>
    </xf>
    <xf numFmtId="0" fontId="0" fillId="72" borderId="148" xfId="0" applyFill="1" applyBorder="1" applyAlignment="1">
      <alignment horizontal="left" vertical="top"/>
    </xf>
    <xf numFmtId="0" fontId="51" fillId="72" borderId="32" xfId="0" applyFont="1" applyFill="1" applyBorder="1" applyAlignment="1">
      <alignment horizontal="center"/>
    </xf>
    <xf numFmtId="0" fontId="51" fillId="72" borderId="148" xfId="0" applyFont="1" applyFill="1" applyBorder="1" applyAlignment="1">
      <alignment horizontal="center"/>
    </xf>
    <xf numFmtId="0" fontId="51" fillId="72" borderId="32" xfId="0" applyFont="1" applyFill="1" applyBorder="1" applyAlignment="1">
      <alignment horizontal="center" vertical="center"/>
    </xf>
    <xf numFmtId="0" fontId="51" fillId="72" borderId="148" xfId="0" applyFont="1" applyFill="1" applyBorder="1" applyAlignment="1">
      <alignment horizontal="center" vertical="center"/>
    </xf>
    <xf numFmtId="0" fontId="0" fillId="44" borderId="148" xfId="0" applyFill="1" applyBorder="1" applyAlignment="1">
      <alignment horizontal="left" vertical="top" wrapText="1"/>
    </xf>
    <xf numFmtId="0" fontId="0" fillId="44" borderId="148" xfId="0" applyFill="1" applyBorder="1" applyAlignment="1">
      <alignment horizontal="center"/>
    </xf>
    <xf numFmtId="0" fontId="0" fillId="44" borderId="148" xfId="0" applyFill="1" applyBorder="1" applyAlignment="1">
      <alignment horizontal="left" vertical="top"/>
    </xf>
    <xf numFmtId="0" fontId="51" fillId="44" borderId="148" xfId="0" applyFont="1" applyFill="1" applyBorder="1" applyAlignment="1">
      <alignment horizontal="center" vertical="top" wrapText="1"/>
    </xf>
    <xf numFmtId="0" fontId="51" fillId="33" borderId="148" xfId="0" applyFont="1" applyFill="1" applyBorder="1" applyAlignment="1">
      <alignment horizontal="center" vertical="center"/>
    </xf>
    <xf numFmtId="0" fontId="51" fillId="33" borderId="30" xfId="0" applyFont="1" applyFill="1" applyBorder="1" applyAlignment="1">
      <alignment horizontal="center" vertical="center"/>
    </xf>
    <xf numFmtId="0" fontId="0" fillId="33" borderId="148" xfId="0" applyFont="1" applyFill="1" applyBorder="1" applyAlignment="1">
      <alignment horizontal="center" vertical="center" wrapText="1"/>
    </xf>
    <xf numFmtId="0" fontId="26" fillId="33" borderId="148" xfId="0" applyFont="1" applyFill="1" applyBorder="1" applyAlignment="1">
      <alignment horizontal="center" vertical="center" wrapText="1"/>
    </xf>
    <xf numFmtId="0" fontId="50" fillId="42" borderId="51" xfId="0" applyFont="1" applyFill="1" applyBorder="1" applyAlignment="1">
      <alignment horizontal="center" vertical="center" textRotation="90"/>
    </xf>
    <xf numFmtId="0" fontId="50" fillId="42" borderId="11" xfId="0" applyFont="1" applyFill="1" applyBorder="1" applyAlignment="1">
      <alignment horizontal="center" vertical="center" textRotation="90"/>
    </xf>
    <xf numFmtId="0" fontId="50" fillId="42" borderId="29" xfId="0" applyFont="1" applyFill="1" applyBorder="1" applyAlignment="1">
      <alignment horizontal="center" vertical="center" textRotation="90"/>
    </xf>
    <xf numFmtId="0" fontId="50" fillId="42" borderId="38" xfId="0" applyFont="1" applyFill="1" applyBorder="1" applyAlignment="1">
      <alignment horizontal="center" vertical="center" textRotation="90"/>
    </xf>
    <xf numFmtId="0" fontId="50" fillId="42" borderId="179" xfId="0" applyFont="1" applyFill="1" applyBorder="1" applyAlignment="1">
      <alignment horizontal="center" vertical="center" textRotation="90"/>
    </xf>
    <xf numFmtId="0" fontId="50" fillId="42" borderId="66" xfId="0" applyFont="1" applyFill="1" applyBorder="1" applyAlignment="1">
      <alignment horizontal="center" vertical="center" textRotation="90"/>
    </xf>
    <xf numFmtId="0" fontId="50" fillId="42" borderId="51" xfId="0" applyFont="1" applyFill="1" applyBorder="1" applyAlignment="1">
      <alignment horizontal="center" vertical="center" textRotation="90" wrapText="1"/>
    </xf>
    <xf numFmtId="0" fontId="50" fillId="42" borderId="29" xfId="0" applyFont="1" applyFill="1" applyBorder="1" applyAlignment="1">
      <alignment horizontal="center" vertical="center" textRotation="90" wrapText="1"/>
    </xf>
    <xf numFmtId="41" fontId="49" fillId="42" borderId="32" xfId="13" applyFont="1" applyFill="1" applyBorder="1" applyAlignment="1">
      <alignment horizontal="center" vertical="center" wrapText="1"/>
    </xf>
    <xf numFmtId="41" fontId="49" fillId="42" borderId="148" xfId="13" applyFont="1" applyFill="1" applyBorder="1" applyAlignment="1">
      <alignment horizontal="center" vertical="center" wrapText="1"/>
    </xf>
    <xf numFmtId="0" fontId="0" fillId="33" borderId="148" xfId="0" applyFill="1" applyBorder="1" applyAlignment="1">
      <alignment horizontal="left" vertical="top" wrapText="1"/>
    </xf>
    <xf numFmtId="0" fontId="51" fillId="33" borderId="148" xfId="0" applyFont="1" applyFill="1" applyBorder="1" applyAlignment="1">
      <alignment horizontal="center"/>
    </xf>
    <xf numFmtId="0" fontId="0" fillId="42" borderId="32" xfId="0" applyFont="1" applyFill="1" applyBorder="1" applyAlignment="1">
      <alignment horizontal="center" vertical="center" wrapText="1"/>
    </xf>
    <xf numFmtId="0" fontId="51" fillId="42" borderId="32" xfId="0" applyFont="1" applyFill="1" applyBorder="1" applyAlignment="1">
      <alignment horizontal="center"/>
    </xf>
    <xf numFmtId="0" fontId="51" fillId="42" borderId="148" xfId="0" applyFont="1" applyFill="1" applyBorder="1" applyAlignment="1">
      <alignment horizontal="center"/>
    </xf>
    <xf numFmtId="0" fontId="51" fillId="42" borderId="30" xfId="0" applyFont="1" applyFill="1" applyBorder="1" applyAlignment="1">
      <alignment horizontal="center"/>
    </xf>
    <xf numFmtId="0" fontId="51" fillId="42" borderId="32" xfId="0" applyFont="1" applyFill="1" applyBorder="1" applyAlignment="1">
      <alignment horizontal="center" vertical="center"/>
    </xf>
    <xf numFmtId="0" fontId="51" fillId="42" borderId="148" xfId="0" applyFont="1" applyFill="1" applyBorder="1" applyAlignment="1">
      <alignment horizontal="center" vertical="center"/>
    </xf>
    <xf numFmtId="0" fontId="51" fillId="42" borderId="30" xfId="0" applyFont="1" applyFill="1" applyBorder="1" applyAlignment="1">
      <alignment horizontal="center" vertical="center"/>
    </xf>
    <xf numFmtId="0" fontId="0" fillId="42" borderId="32" xfId="0" applyFill="1" applyBorder="1" applyAlignment="1">
      <alignment horizontal="left" vertical="center" wrapText="1"/>
    </xf>
    <xf numFmtId="0" fontId="0" fillId="42" borderId="148" xfId="0" applyFill="1" applyBorder="1" applyAlignment="1">
      <alignment horizontal="left" vertical="center" wrapText="1"/>
    </xf>
    <xf numFmtId="0" fontId="0" fillId="42" borderId="148" xfId="0" applyFill="1" applyBorder="1" applyAlignment="1">
      <alignment horizontal="center"/>
    </xf>
    <xf numFmtId="0" fontId="0" fillId="42" borderId="30" xfId="0" applyFill="1" applyBorder="1" applyAlignment="1">
      <alignment horizontal="left" vertical="center" wrapText="1"/>
    </xf>
    <xf numFmtId="0" fontId="52" fillId="42" borderId="148" xfId="0" applyFont="1" applyFill="1" applyBorder="1" applyAlignment="1">
      <alignment horizontal="left" vertical="center" wrapText="1"/>
    </xf>
    <xf numFmtId="0" fontId="52" fillId="42" borderId="30" xfId="0" applyFont="1" applyFill="1" applyBorder="1" applyAlignment="1">
      <alignment horizontal="left" vertical="center" wrapText="1"/>
    </xf>
    <xf numFmtId="0" fontId="50" fillId="39" borderId="38" xfId="0" applyFont="1" applyFill="1" applyBorder="1" applyAlignment="1">
      <alignment horizontal="center" vertical="center" textRotation="90"/>
    </xf>
    <xf numFmtId="0" fontId="50" fillId="39" borderId="179" xfId="0" applyFont="1" applyFill="1" applyBorder="1" applyAlignment="1">
      <alignment horizontal="center" vertical="center" textRotation="90"/>
    </xf>
    <xf numFmtId="0" fontId="50" fillId="39" borderId="66" xfId="0" applyFont="1" applyFill="1" applyBorder="1" applyAlignment="1">
      <alignment horizontal="center" vertical="center" textRotation="90"/>
    </xf>
    <xf numFmtId="0" fontId="50" fillId="39" borderId="51" xfId="0" applyFont="1" applyFill="1" applyBorder="1" applyAlignment="1">
      <alignment horizontal="center" vertical="center" textRotation="90"/>
    </xf>
    <xf numFmtId="0" fontId="50" fillId="39" borderId="11" xfId="0" applyFont="1" applyFill="1" applyBorder="1" applyAlignment="1">
      <alignment horizontal="center" vertical="center" textRotation="90"/>
    </xf>
    <xf numFmtId="0" fontId="50" fillId="39" borderId="29" xfId="0" applyFont="1" applyFill="1" applyBorder="1" applyAlignment="1">
      <alignment horizontal="center" vertical="center" textRotation="90"/>
    </xf>
    <xf numFmtId="0" fontId="65" fillId="42" borderId="148" xfId="0" applyFont="1" applyFill="1" applyBorder="1" applyAlignment="1">
      <alignment horizontal="center" vertical="center" wrapText="1"/>
    </xf>
    <xf numFmtId="0" fontId="65" fillId="42" borderId="30" xfId="0" applyFont="1" applyFill="1" applyBorder="1" applyAlignment="1">
      <alignment horizontal="center" vertical="center" wrapText="1"/>
    </xf>
    <xf numFmtId="0" fontId="50" fillId="43" borderId="51" xfId="0" applyFont="1" applyFill="1" applyBorder="1" applyAlignment="1">
      <alignment horizontal="center" vertical="center" textRotation="90" wrapText="1"/>
    </xf>
    <xf numFmtId="0" fontId="50" fillId="43" borderId="29" xfId="0" applyFont="1" applyFill="1" applyBorder="1" applyAlignment="1">
      <alignment horizontal="center" vertical="center" textRotation="90" wrapText="1"/>
    </xf>
    <xf numFmtId="0" fontId="48" fillId="15" borderId="26" xfId="0" applyFont="1" applyFill="1" applyBorder="1" applyAlignment="1">
      <alignment horizontal="center" vertical="center" wrapText="1"/>
    </xf>
    <xf numFmtId="0" fontId="48" fillId="15" borderId="56" xfId="0" applyFont="1" applyFill="1" applyBorder="1" applyAlignment="1">
      <alignment horizontal="center" vertical="center" wrapText="1"/>
    </xf>
    <xf numFmtId="0" fontId="48" fillId="29" borderId="51" xfId="0" applyFont="1" applyFill="1" applyBorder="1" applyAlignment="1">
      <alignment horizontal="center" vertical="center" textRotation="90" wrapText="1"/>
    </xf>
    <xf numFmtId="0" fontId="48" fillId="29" borderId="11" xfId="0" applyFont="1" applyFill="1" applyBorder="1" applyAlignment="1">
      <alignment horizontal="center" vertical="center" textRotation="90" wrapText="1"/>
    </xf>
    <xf numFmtId="0" fontId="48" fillId="29" borderId="29" xfId="0" applyFont="1" applyFill="1" applyBorder="1" applyAlignment="1">
      <alignment horizontal="center" vertical="center" textRotation="90" wrapText="1"/>
    </xf>
    <xf numFmtId="0" fontId="52" fillId="29" borderId="32" xfId="0" applyFont="1" applyFill="1" applyBorder="1" applyAlignment="1" applyProtection="1">
      <alignment horizontal="center" vertical="center" wrapText="1"/>
      <protection locked="0"/>
    </xf>
    <xf numFmtId="0" fontId="52" fillId="29" borderId="148" xfId="0" applyFont="1" applyFill="1" applyBorder="1" applyAlignment="1" applyProtection="1">
      <alignment horizontal="center" vertical="center" wrapText="1"/>
      <protection locked="0"/>
    </xf>
    <xf numFmtId="0" fontId="52" fillId="29" borderId="30" xfId="0" applyFont="1" applyFill="1" applyBorder="1" applyAlignment="1" applyProtection="1">
      <alignment horizontal="center" vertical="center" wrapText="1"/>
      <protection locked="0"/>
    </xf>
    <xf numFmtId="0" fontId="51" fillId="29" borderId="32" xfId="0" applyFont="1" applyFill="1" applyBorder="1" applyAlignment="1">
      <alignment horizontal="center" vertical="center" wrapText="1"/>
    </xf>
    <xf numFmtId="0" fontId="51" fillId="29" borderId="30" xfId="0" applyFont="1" applyFill="1" applyBorder="1" applyAlignment="1">
      <alignment horizontal="center" vertical="center" wrapText="1"/>
    </xf>
    <xf numFmtId="0" fontId="51" fillId="29" borderId="32" xfId="0" applyFont="1" applyFill="1" applyBorder="1" applyAlignment="1">
      <alignment horizontal="left" vertical="top" wrapText="1"/>
    </xf>
    <xf numFmtId="0" fontId="51" fillId="29" borderId="148" xfId="0" applyFont="1" applyFill="1" applyBorder="1" applyAlignment="1">
      <alignment horizontal="left" vertical="top" wrapText="1"/>
    </xf>
    <xf numFmtId="0" fontId="51" fillId="29" borderId="30" xfId="0" applyFont="1" applyFill="1" applyBorder="1" applyAlignment="1">
      <alignment horizontal="left" vertical="top" wrapText="1"/>
    </xf>
    <xf numFmtId="0" fontId="50" fillId="33" borderId="11" xfId="0" applyFont="1" applyFill="1" applyBorder="1" applyAlignment="1">
      <alignment horizontal="center" vertical="center" textRotation="90"/>
    </xf>
    <xf numFmtId="0" fontId="50" fillId="33" borderId="29" xfId="0" applyFont="1" applyFill="1" applyBorder="1" applyAlignment="1">
      <alignment horizontal="center" vertical="center" textRotation="90"/>
    </xf>
    <xf numFmtId="0" fontId="50" fillId="33" borderId="179" xfId="0" applyFont="1" applyFill="1" applyBorder="1" applyAlignment="1">
      <alignment horizontal="center" vertical="center" textRotation="90"/>
    </xf>
    <xf numFmtId="0" fontId="50" fillId="33" borderId="66" xfId="0" applyFont="1" applyFill="1" applyBorder="1" applyAlignment="1">
      <alignment horizontal="center" vertical="center" textRotation="90"/>
    </xf>
    <xf numFmtId="0" fontId="50" fillId="33" borderId="11" xfId="0" applyFont="1" applyFill="1" applyBorder="1" applyAlignment="1">
      <alignment horizontal="center" vertical="center" textRotation="90" wrapText="1"/>
    </xf>
    <xf numFmtId="0" fontId="50" fillId="33" borderId="29" xfId="0" applyFont="1" applyFill="1" applyBorder="1" applyAlignment="1">
      <alignment horizontal="center" vertical="center" textRotation="90" wrapText="1"/>
    </xf>
    <xf numFmtId="0" fontId="50" fillId="0" borderId="51" xfId="0" applyFont="1" applyFill="1" applyBorder="1" applyAlignment="1">
      <alignment horizontal="center" vertical="center" textRotation="90" wrapText="1"/>
    </xf>
    <xf numFmtId="0" fontId="50" fillId="0" borderId="36" xfId="0" applyFont="1" applyFill="1" applyBorder="1" applyAlignment="1">
      <alignment horizontal="center" vertical="center" textRotation="90" wrapText="1"/>
    </xf>
    <xf numFmtId="0" fontId="50" fillId="0" borderId="179" xfId="0" applyFont="1" applyFill="1" applyBorder="1" applyAlignment="1">
      <alignment horizontal="center" vertical="center" textRotation="90" wrapText="1"/>
    </xf>
    <xf numFmtId="0" fontId="50" fillId="0" borderId="66" xfId="0" applyFont="1" applyFill="1" applyBorder="1" applyAlignment="1">
      <alignment horizontal="center" vertical="center" textRotation="90" wrapText="1"/>
    </xf>
    <xf numFmtId="0" fontId="0" fillId="38" borderId="180" xfId="2" applyFont="1" applyFill="1" applyBorder="1" applyAlignment="1" applyProtection="1">
      <alignment horizontal="center" vertical="center"/>
    </xf>
    <xf numFmtId="0" fontId="0" fillId="38" borderId="32" xfId="2" applyFont="1" applyFill="1" applyBorder="1" applyAlignment="1" applyProtection="1">
      <alignment horizontal="center" vertical="center"/>
    </xf>
    <xf numFmtId="0" fontId="0" fillId="38" borderId="180" xfId="2" applyFont="1" applyFill="1" applyBorder="1" applyAlignment="1" applyProtection="1">
      <alignment horizontal="center" vertical="center" wrapText="1"/>
    </xf>
    <xf numFmtId="0" fontId="0" fillId="38" borderId="26" xfId="2" applyFont="1" applyFill="1" applyBorder="1" applyAlignment="1" applyProtection="1">
      <alignment horizontal="center" vertical="center" wrapText="1"/>
    </xf>
    <xf numFmtId="0" fontId="0" fillId="38" borderId="32" xfId="2" applyFont="1" applyFill="1" applyBorder="1" applyAlignment="1" applyProtection="1">
      <alignment horizontal="center" vertical="center" wrapText="1"/>
    </xf>
    <xf numFmtId="0" fontId="0" fillId="39" borderId="10" xfId="2" applyFont="1" applyFill="1" applyBorder="1" applyAlignment="1" applyProtection="1">
      <alignment horizontal="center" vertical="center" wrapText="1"/>
    </xf>
    <xf numFmtId="0" fontId="0" fillId="39" borderId="26" xfId="2" applyFont="1" applyFill="1" applyBorder="1" applyAlignment="1" applyProtection="1">
      <alignment horizontal="center" vertical="center" wrapText="1"/>
    </xf>
    <xf numFmtId="0" fontId="0" fillId="39" borderId="32" xfId="2" applyFont="1" applyFill="1" applyBorder="1" applyAlignment="1" applyProtection="1">
      <alignment horizontal="center" vertical="center" wrapText="1"/>
    </xf>
    <xf numFmtId="0" fontId="0" fillId="39" borderId="149" xfId="2" applyFont="1" applyFill="1" applyBorder="1" applyAlignment="1" applyProtection="1">
      <alignment horizontal="center" vertical="center" wrapText="1"/>
    </xf>
    <xf numFmtId="0" fontId="8" fillId="7" borderId="34" xfId="0" applyFont="1" applyFill="1" applyBorder="1" applyAlignment="1" applyProtection="1">
      <alignment horizontal="center" vertical="center" wrapText="1"/>
    </xf>
    <xf numFmtId="0" fontId="8" fillId="7" borderId="35" xfId="0" applyFont="1" applyFill="1" applyBorder="1" applyAlignment="1" applyProtection="1">
      <alignment horizontal="center" vertical="center" wrapText="1"/>
    </xf>
    <xf numFmtId="0" fontId="8" fillId="7" borderId="55" xfId="0" applyFont="1" applyFill="1" applyBorder="1" applyAlignment="1" applyProtection="1">
      <alignment horizontal="center" vertical="center" wrapText="1"/>
    </xf>
    <xf numFmtId="0" fontId="0" fillId="38" borderId="10" xfId="2" applyFont="1" applyFill="1" applyBorder="1" applyAlignment="1" applyProtection="1">
      <alignment horizontal="center" vertical="center" wrapText="1"/>
    </xf>
    <xf numFmtId="0" fontId="11" fillId="38" borderId="148" xfId="0" applyFont="1" applyFill="1" applyBorder="1" applyAlignment="1" applyProtection="1">
      <alignment horizontal="center" vertical="center" wrapText="1"/>
      <protection locked="0"/>
    </xf>
    <xf numFmtId="0" fontId="11" fillId="38" borderId="30" xfId="0" applyFont="1" applyFill="1" applyBorder="1" applyAlignment="1" applyProtection="1">
      <alignment horizontal="center" vertical="center" wrapText="1"/>
      <protection locked="0"/>
    </xf>
    <xf numFmtId="0" fontId="0" fillId="38" borderId="30" xfId="0" applyFont="1" applyFill="1" applyBorder="1" applyAlignment="1">
      <alignment horizontal="center" vertical="center" wrapText="1"/>
    </xf>
    <xf numFmtId="0" fontId="0" fillId="38" borderId="148" xfId="2" applyFont="1" applyFill="1" applyBorder="1" applyAlignment="1" applyProtection="1">
      <alignment horizontal="center" vertical="center" wrapText="1"/>
    </xf>
    <xf numFmtId="0" fontId="0" fillId="38" borderId="30" xfId="2" applyFont="1" applyFill="1" applyBorder="1" applyAlignment="1" applyProtection="1">
      <alignment horizontal="center" vertical="center" wrapText="1"/>
    </xf>
    <xf numFmtId="0" fontId="0" fillId="7" borderId="30" xfId="0" applyFont="1" applyFill="1" applyBorder="1" applyAlignment="1">
      <alignment horizontal="center" vertical="center" wrapText="1"/>
    </xf>
    <xf numFmtId="0" fontId="0" fillId="51" borderId="32" xfId="0" applyFont="1" applyFill="1" applyBorder="1" applyAlignment="1">
      <alignment horizontal="center" vertical="center" wrapText="1"/>
    </xf>
    <xf numFmtId="0" fontId="0" fillId="33" borderId="148" xfId="2" applyFont="1" applyFill="1" applyBorder="1" applyAlignment="1" applyProtection="1">
      <alignment horizontal="center" vertical="center" wrapText="1"/>
    </xf>
    <xf numFmtId="3" fontId="0" fillId="38" borderId="148" xfId="0" applyNumberFormat="1" applyFont="1" applyFill="1" applyBorder="1" applyAlignment="1">
      <alignment horizontal="center" vertical="center" wrapText="1"/>
    </xf>
    <xf numFmtId="0" fontId="0" fillId="38" borderId="148" xfId="2" applyFont="1" applyFill="1" applyBorder="1" applyAlignment="1" applyProtection="1">
      <alignment horizontal="center" vertical="center"/>
    </xf>
    <xf numFmtId="0" fontId="0" fillId="33" borderId="32" xfId="2" applyFont="1" applyFill="1" applyBorder="1" applyAlignment="1" applyProtection="1">
      <alignment horizontal="center" vertical="center" wrapText="1"/>
    </xf>
    <xf numFmtId="0" fontId="0" fillId="33" borderId="32" xfId="0" applyFont="1" applyFill="1" applyBorder="1" applyAlignment="1">
      <alignment horizontal="center" vertical="center" wrapText="1"/>
    </xf>
    <xf numFmtId="0" fontId="0" fillId="38" borderId="180" xfId="0" applyFont="1" applyFill="1" applyBorder="1" applyAlignment="1">
      <alignment horizontal="center" vertical="center" wrapText="1"/>
    </xf>
    <xf numFmtId="0" fontId="15" fillId="38" borderId="180" xfId="2" applyFont="1" applyFill="1" applyBorder="1" applyAlignment="1">
      <alignment horizontal="center" vertical="center" wrapText="1"/>
    </xf>
    <xf numFmtId="0" fontId="15" fillId="38" borderId="32" xfId="2" applyFont="1" applyFill="1" applyBorder="1" applyAlignment="1">
      <alignment horizontal="center" vertical="center" wrapText="1"/>
    </xf>
    <xf numFmtId="0" fontId="0" fillId="39" borderId="148" xfId="0" applyFont="1" applyFill="1" applyBorder="1" applyAlignment="1">
      <alignment horizontal="center" vertical="center" wrapText="1"/>
    </xf>
    <xf numFmtId="3" fontId="0" fillId="39" borderId="148" xfId="0" applyNumberFormat="1" applyFont="1" applyFill="1" applyBorder="1" applyAlignment="1">
      <alignment horizontal="center" vertical="center" wrapText="1"/>
    </xf>
    <xf numFmtId="0" fontId="0" fillId="39" borderId="148" xfId="2" applyFont="1" applyFill="1" applyBorder="1" applyAlignment="1" applyProtection="1">
      <alignment horizontal="center" vertical="center" wrapText="1"/>
    </xf>
    <xf numFmtId="0" fontId="0" fillId="39" borderId="148" xfId="2" applyFont="1" applyFill="1" applyBorder="1" applyAlignment="1" applyProtection="1">
      <alignment horizontal="center" vertical="center"/>
    </xf>
    <xf numFmtId="3" fontId="0" fillId="39" borderId="32" xfId="0" applyNumberFormat="1" applyFont="1" applyFill="1" applyBorder="1" applyAlignment="1">
      <alignment horizontal="center" vertical="center" wrapText="1"/>
    </xf>
    <xf numFmtId="0" fontId="0" fillId="39" borderId="32" xfId="2" applyFont="1" applyFill="1" applyBorder="1" applyAlignment="1" applyProtection="1">
      <alignment horizontal="center" vertical="center"/>
    </xf>
    <xf numFmtId="0" fontId="0" fillId="39" borderId="30" xfId="2" applyFont="1" applyFill="1" applyBorder="1" applyAlignment="1" applyProtection="1">
      <alignment horizontal="center" vertical="center" wrapText="1"/>
    </xf>
    <xf numFmtId="0" fontId="3" fillId="15" borderId="32" xfId="0" applyFont="1" applyFill="1" applyBorder="1" applyAlignment="1">
      <alignment horizontal="center" vertical="center" wrapText="1"/>
    </xf>
    <xf numFmtId="0" fontId="0" fillId="41" borderId="148" xfId="2" applyFont="1" applyFill="1" applyBorder="1" applyAlignment="1" applyProtection="1">
      <alignment horizontal="center" vertical="center" wrapText="1"/>
    </xf>
    <xf numFmtId="0" fontId="0" fillId="39" borderId="32" xfId="0" applyFont="1" applyFill="1" applyBorder="1" applyAlignment="1">
      <alignment horizontal="center" vertical="center" wrapText="1"/>
    </xf>
    <xf numFmtId="0" fontId="8" fillId="51" borderId="51" xfId="0" applyFont="1" applyFill="1" applyBorder="1" applyAlignment="1" applyProtection="1">
      <alignment horizontal="center" vertical="center" wrapText="1"/>
    </xf>
    <xf numFmtId="0" fontId="8" fillId="51" borderId="11" xfId="0" applyFont="1" applyFill="1" applyBorder="1" applyAlignment="1" applyProtection="1">
      <alignment horizontal="center" vertical="center" wrapText="1"/>
    </xf>
    <xf numFmtId="0" fontId="8" fillId="51" borderId="29" xfId="0" applyFont="1" applyFill="1" applyBorder="1" applyAlignment="1" applyProtection="1">
      <alignment horizontal="center" vertical="center" wrapText="1"/>
    </xf>
    <xf numFmtId="0" fontId="0" fillId="51" borderId="32" xfId="2" applyFont="1" applyFill="1" applyBorder="1" applyAlignment="1" applyProtection="1">
      <alignment horizontal="center" vertical="center" wrapText="1"/>
    </xf>
    <xf numFmtId="0" fontId="0" fillId="51" borderId="148" xfId="2" applyFont="1" applyFill="1" applyBorder="1" applyAlignment="1" applyProtection="1">
      <alignment horizontal="center" vertical="center" wrapText="1"/>
    </xf>
    <xf numFmtId="0" fontId="0" fillId="51" borderId="30" xfId="2" applyFont="1" applyFill="1" applyBorder="1" applyAlignment="1" applyProtection="1">
      <alignment horizontal="center" vertical="center" wrapText="1"/>
    </xf>
    <xf numFmtId="0" fontId="0" fillId="7" borderId="32" xfId="2" applyFont="1" applyFill="1" applyBorder="1" applyAlignment="1" applyProtection="1">
      <alignment horizontal="center" vertical="center" wrapText="1"/>
    </xf>
    <xf numFmtId="0" fontId="0" fillId="7" borderId="148" xfId="2" applyFont="1" applyFill="1" applyBorder="1" applyAlignment="1" applyProtection="1">
      <alignment horizontal="center" vertical="center" wrapText="1"/>
    </xf>
    <xf numFmtId="0" fontId="0" fillId="7" borderId="30" xfId="2" applyFont="1" applyFill="1" applyBorder="1" applyAlignment="1" applyProtection="1">
      <alignment horizontal="center" vertical="center" wrapText="1"/>
    </xf>
    <xf numFmtId="0" fontId="8" fillId="38" borderId="51" xfId="0" applyFont="1" applyFill="1" applyBorder="1" applyAlignment="1" applyProtection="1">
      <alignment horizontal="center" vertical="center" wrapText="1"/>
    </xf>
    <xf numFmtId="0" fontId="8" fillId="38" borderId="11" xfId="0" applyFont="1" applyFill="1" applyBorder="1" applyAlignment="1" applyProtection="1">
      <alignment horizontal="center" vertical="center" wrapText="1"/>
    </xf>
    <xf numFmtId="0" fontId="8" fillId="38" borderId="29" xfId="0" applyFont="1" applyFill="1" applyBorder="1" applyAlignment="1" applyProtection="1">
      <alignment horizontal="center" vertical="center" wrapText="1"/>
    </xf>
    <xf numFmtId="0" fontId="8" fillId="5" borderId="0" xfId="0" applyFont="1" applyFill="1" applyBorder="1" applyAlignment="1" applyProtection="1">
      <alignment horizontal="center" vertical="center"/>
      <protection locked="0"/>
    </xf>
    <xf numFmtId="0" fontId="8" fillId="5" borderId="37" xfId="0" applyFont="1" applyFill="1" applyBorder="1" applyAlignment="1" applyProtection="1">
      <alignment horizontal="center" vertical="center"/>
      <protection locked="0"/>
    </xf>
    <xf numFmtId="0" fontId="3" fillId="17" borderId="7" xfId="0" applyFont="1" applyFill="1" applyBorder="1" applyAlignment="1" applyProtection="1">
      <alignment horizontal="center" vertical="center"/>
    </xf>
    <xf numFmtId="0" fontId="3" fillId="17" borderId="8" xfId="0" applyFont="1" applyFill="1" applyBorder="1" applyAlignment="1" applyProtection="1">
      <alignment horizontal="center" vertical="center"/>
    </xf>
    <xf numFmtId="0" fontId="3" fillId="17" borderId="9" xfId="0" applyFont="1" applyFill="1" applyBorder="1" applyAlignment="1" applyProtection="1">
      <alignment horizontal="center" vertical="center"/>
    </xf>
    <xf numFmtId="0" fontId="3" fillId="17" borderId="11" xfId="0" applyFont="1" applyFill="1" applyBorder="1" applyAlignment="1" applyProtection="1">
      <alignment horizontal="center" vertical="center"/>
    </xf>
    <xf numFmtId="0" fontId="3" fillId="17" borderId="3" xfId="0" applyFont="1" applyFill="1" applyBorder="1" applyAlignment="1" applyProtection="1">
      <alignment horizontal="center" vertical="center"/>
    </xf>
    <xf numFmtId="0" fontId="3" fillId="17" borderId="93" xfId="0" applyFont="1" applyFill="1" applyBorder="1" applyAlignment="1" applyProtection="1">
      <alignment horizontal="center" vertical="center"/>
    </xf>
    <xf numFmtId="0" fontId="3" fillId="17" borderId="148" xfId="0" applyFont="1" applyFill="1" applyBorder="1" applyAlignment="1" applyProtection="1">
      <alignment horizontal="center" vertical="center"/>
    </xf>
    <xf numFmtId="0" fontId="3" fillId="17" borderId="12" xfId="0" applyFont="1" applyFill="1" applyBorder="1" applyAlignment="1" applyProtection="1">
      <alignment horizontal="center" vertical="center"/>
    </xf>
    <xf numFmtId="0" fontId="3" fillId="13" borderId="24" xfId="0" applyFont="1" applyFill="1" applyBorder="1" applyAlignment="1">
      <alignment horizontal="center" vertical="center" wrapText="1"/>
    </xf>
    <xf numFmtId="0" fontId="9" fillId="12" borderId="0" xfId="1" applyFont="1" applyFill="1" applyBorder="1" applyAlignment="1" applyProtection="1">
      <alignment horizontal="center" vertical="center" wrapText="1"/>
    </xf>
    <xf numFmtId="0" fontId="8" fillId="13" borderId="49" xfId="0" applyFont="1" applyFill="1" applyBorder="1" applyAlignment="1">
      <alignment horizontal="center" vertical="center" wrapText="1"/>
    </xf>
    <xf numFmtId="0" fontId="8" fillId="13" borderId="62" xfId="0" applyFont="1" applyFill="1" applyBorder="1" applyAlignment="1">
      <alignment horizontal="center" vertical="center" wrapText="1"/>
    </xf>
    <xf numFmtId="0" fontId="3" fillId="15" borderId="51" xfId="0" applyFont="1" applyFill="1" applyBorder="1" applyAlignment="1">
      <alignment horizontal="center" vertical="center" wrapText="1"/>
    </xf>
    <xf numFmtId="0" fontId="3" fillId="15" borderId="11" xfId="0" applyFont="1" applyFill="1" applyBorder="1" applyAlignment="1">
      <alignment horizontal="center" vertical="center" wrapText="1"/>
    </xf>
    <xf numFmtId="0" fontId="3" fillId="15" borderId="158" xfId="0" applyFont="1" applyFill="1" applyBorder="1" applyAlignment="1">
      <alignment horizontal="center" vertical="center" wrapText="1"/>
    </xf>
    <xf numFmtId="0" fontId="3" fillId="15" borderId="27" xfId="0" applyFont="1" applyFill="1" applyBorder="1" applyAlignment="1">
      <alignment horizontal="center" vertical="center" wrapText="1"/>
    </xf>
    <xf numFmtId="0" fontId="0" fillId="38" borderId="32" xfId="0" applyFont="1" applyFill="1" applyBorder="1" applyAlignment="1" applyProtection="1">
      <alignment horizontal="center" vertical="center" wrapText="1"/>
      <protection locked="0"/>
    </xf>
    <xf numFmtId="0" fontId="0" fillId="38" borderId="148" xfId="0" applyFont="1" applyFill="1" applyBorder="1" applyAlignment="1" applyProtection="1">
      <alignment horizontal="center" vertical="center" wrapText="1"/>
      <protection locked="0"/>
    </xf>
    <xf numFmtId="0" fontId="9" fillId="4" borderId="41" xfId="1" applyFont="1" applyFill="1" applyBorder="1" applyAlignment="1" applyProtection="1">
      <alignment horizontal="center" vertical="center" wrapText="1"/>
    </xf>
    <xf numFmtId="0" fontId="9" fillId="4" borderId="150" xfId="1" applyFont="1" applyFill="1" applyBorder="1" applyAlignment="1" applyProtection="1">
      <alignment horizontal="center" vertical="center" wrapText="1"/>
    </xf>
    <xf numFmtId="0" fontId="9" fillId="4" borderId="44" xfId="1" applyFont="1" applyFill="1" applyBorder="1" applyAlignment="1" applyProtection="1">
      <alignment horizontal="center" vertical="center" wrapText="1"/>
    </xf>
    <xf numFmtId="0" fontId="9" fillId="4" borderId="157" xfId="1" applyFont="1" applyFill="1" applyBorder="1" applyAlignment="1" applyProtection="1">
      <alignment horizontal="center" vertical="center" wrapText="1"/>
    </xf>
    <xf numFmtId="0" fontId="9" fillId="4" borderId="3" xfId="1" applyFont="1" applyFill="1" applyBorder="1" applyAlignment="1" applyProtection="1">
      <alignment horizontal="center" vertical="center" wrapText="1"/>
    </xf>
    <xf numFmtId="0" fontId="9" fillId="4" borderId="149" xfId="1" applyFont="1" applyFill="1" applyBorder="1" applyAlignment="1" applyProtection="1">
      <alignment horizontal="center" vertical="center" wrapText="1"/>
    </xf>
    <xf numFmtId="0" fontId="8" fillId="38" borderId="158" xfId="0" applyFont="1" applyFill="1" applyBorder="1" applyAlignment="1" applyProtection="1">
      <alignment horizontal="center" vertical="center" wrapText="1"/>
    </xf>
    <xf numFmtId="0" fontId="0" fillId="33" borderId="30" xfId="2" applyFont="1" applyFill="1" applyBorder="1" applyAlignment="1" applyProtection="1">
      <alignment horizontal="center" vertical="center" wrapText="1"/>
    </xf>
    <xf numFmtId="0" fontId="8" fillId="13" borderId="61" xfId="0" applyFont="1" applyFill="1" applyBorder="1" applyAlignment="1">
      <alignment horizontal="center" vertical="center" wrapText="1"/>
    </xf>
    <xf numFmtId="0" fontId="8" fillId="13" borderId="40" xfId="0" applyFont="1" applyFill="1" applyBorder="1" applyAlignment="1">
      <alignment horizontal="center" vertical="center" wrapText="1"/>
    </xf>
    <xf numFmtId="0" fontId="8" fillId="33" borderId="51" xfId="0" applyFont="1" applyFill="1" applyBorder="1" applyAlignment="1" applyProtection="1">
      <alignment horizontal="center" vertical="center" wrapText="1"/>
    </xf>
    <xf numFmtId="0" fontId="8" fillId="33" borderId="11" xfId="0" applyFont="1" applyFill="1" applyBorder="1" applyAlignment="1" applyProtection="1">
      <alignment horizontal="center" vertical="center" wrapText="1"/>
    </xf>
    <xf numFmtId="0" fontId="8" fillId="33" borderId="29" xfId="0" applyFont="1" applyFill="1" applyBorder="1" applyAlignment="1" applyProtection="1">
      <alignment horizontal="center" vertical="center" wrapText="1"/>
    </xf>
    <xf numFmtId="0" fontId="8" fillId="41" borderId="7" xfId="0" applyFont="1" applyFill="1" applyBorder="1" applyAlignment="1" applyProtection="1">
      <alignment horizontal="center" vertical="center" wrapText="1"/>
    </xf>
    <xf numFmtId="0" fontId="8" fillId="41" borderId="11" xfId="0" applyFont="1" applyFill="1" applyBorder="1" applyAlignment="1" applyProtection="1">
      <alignment horizontal="center" vertical="center" wrapText="1"/>
    </xf>
    <xf numFmtId="0" fontId="8" fillId="41" borderId="29" xfId="0" applyFont="1" applyFill="1" applyBorder="1" applyAlignment="1" applyProtection="1">
      <alignment horizontal="center" vertical="center" wrapText="1"/>
    </xf>
    <xf numFmtId="0" fontId="3" fillId="41" borderId="8" xfId="0" applyFont="1" applyFill="1" applyBorder="1" applyAlignment="1" applyProtection="1">
      <alignment horizontal="center" vertical="center" wrapText="1"/>
    </xf>
    <xf numFmtId="0" fontId="3" fillId="41" borderId="148" xfId="0" applyFont="1" applyFill="1" applyBorder="1" applyAlignment="1" applyProtection="1">
      <alignment horizontal="center" vertical="center" wrapText="1"/>
    </xf>
    <xf numFmtId="0" fontId="3" fillId="41" borderId="30" xfId="0" applyFont="1" applyFill="1" applyBorder="1" applyAlignment="1" applyProtection="1">
      <alignment horizontal="center" vertical="center" wrapText="1"/>
    </xf>
    <xf numFmtId="0" fontId="8" fillId="41" borderId="8" xfId="0" applyFont="1" applyFill="1" applyBorder="1" applyAlignment="1" applyProtection="1">
      <alignment horizontal="center" vertical="center" wrapText="1"/>
    </xf>
    <xf numFmtId="0" fontId="8" fillId="41" borderId="148" xfId="0" applyFont="1" applyFill="1" applyBorder="1" applyAlignment="1" applyProtection="1">
      <alignment horizontal="center" vertical="center" wrapText="1"/>
    </xf>
    <xf numFmtId="0" fontId="8" fillId="39" borderId="51" xfId="0" applyFont="1" applyFill="1" applyBorder="1" applyAlignment="1" applyProtection="1">
      <alignment horizontal="center" vertical="center" wrapText="1"/>
    </xf>
    <xf numFmtId="0" fontId="8" fillId="39" borderId="11" xfId="0" applyFont="1" applyFill="1" applyBorder="1" applyAlignment="1" applyProtection="1">
      <alignment horizontal="center" vertical="center" wrapText="1"/>
    </xf>
    <xf numFmtId="0" fontId="8" fillId="39" borderId="29" xfId="0" applyFont="1" applyFill="1" applyBorder="1" applyAlignment="1" applyProtection="1">
      <alignment horizontal="center" vertical="center" wrapText="1"/>
    </xf>
    <xf numFmtId="9" fontId="11" fillId="7" borderId="32" xfId="0" applyNumberFormat="1" applyFont="1" applyFill="1" applyBorder="1" applyAlignment="1">
      <alignment horizontal="center" vertical="center" wrapText="1"/>
    </xf>
    <xf numFmtId="0" fontId="10" fillId="7" borderId="148" xfId="0" applyFont="1" applyFill="1" applyBorder="1"/>
    <xf numFmtId="0" fontId="10" fillId="38" borderId="148" xfId="0" applyFont="1" applyFill="1" applyBorder="1"/>
    <xf numFmtId="173" fontId="11" fillId="41" borderId="8" xfId="0" applyNumberFormat="1" applyFont="1" applyFill="1" applyBorder="1" applyAlignment="1">
      <alignment horizontal="center" vertical="center" wrapText="1"/>
    </xf>
    <xf numFmtId="0" fontId="10" fillId="41" borderId="148" xfId="0" applyFont="1" applyFill="1" applyBorder="1"/>
    <xf numFmtId="0" fontId="10" fillId="41" borderId="30" xfId="0" applyFont="1" applyFill="1" applyBorder="1"/>
    <xf numFmtId="9" fontId="11" fillId="39" borderId="32" xfId="0" applyNumberFormat="1" applyFont="1" applyFill="1" applyBorder="1" applyAlignment="1">
      <alignment horizontal="center" vertical="center" wrapText="1"/>
    </xf>
    <xf numFmtId="9" fontId="11" fillId="39" borderId="148" xfId="0" applyNumberFormat="1" applyFont="1" applyFill="1" applyBorder="1" applyAlignment="1">
      <alignment horizontal="center" vertical="center" wrapText="1"/>
    </xf>
    <xf numFmtId="0" fontId="10" fillId="39" borderId="148" xfId="0" applyFont="1" applyFill="1" applyBorder="1"/>
    <xf numFmtId="0" fontId="10" fillId="39" borderId="30" xfId="0" applyFont="1" applyFill="1" applyBorder="1"/>
    <xf numFmtId="0" fontId="10" fillId="38" borderId="180" xfId="0" applyFont="1" applyFill="1" applyBorder="1"/>
    <xf numFmtId="0" fontId="10" fillId="38" borderId="30" xfId="0" applyFont="1" applyFill="1" applyBorder="1"/>
    <xf numFmtId="9" fontId="11" fillId="33" borderId="32" xfId="0" applyNumberFormat="1" applyFont="1" applyFill="1" applyBorder="1" applyAlignment="1">
      <alignment horizontal="center" vertical="center" wrapText="1"/>
    </xf>
    <xf numFmtId="9" fontId="11" fillId="33" borderId="148" xfId="0" applyNumberFormat="1" applyFont="1" applyFill="1" applyBorder="1" applyAlignment="1">
      <alignment horizontal="center" vertical="center" wrapText="1"/>
    </xf>
    <xf numFmtId="0" fontId="10" fillId="33" borderId="148" xfId="0" applyFont="1" applyFill="1" applyBorder="1"/>
    <xf numFmtId="0" fontId="10" fillId="33" borderId="30" xfId="0" applyFont="1" applyFill="1" applyBorder="1"/>
    <xf numFmtId="9" fontId="11" fillId="51" borderId="32" xfId="0" applyNumberFormat="1" applyFont="1" applyFill="1" applyBorder="1" applyAlignment="1">
      <alignment horizontal="center" vertical="center" wrapText="1"/>
    </xf>
    <xf numFmtId="9" fontId="11" fillId="51" borderId="148" xfId="0" applyNumberFormat="1" applyFont="1" applyFill="1" applyBorder="1" applyAlignment="1">
      <alignment horizontal="center" vertical="center" wrapText="1"/>
    </xf>
    <xf numFmtId="0" fontId="10" fillId="51" borderId="148" xfId="0" applyFont="1" applyFill="1" applyBorder="1"/>
    <xf numFmtId="0" fontId="10" fillId="51" borderId="30" xfId="0" applyFont="1" applyFill="1" applyBorder="1"/>
    <xf numFmtId="0" fontId="10" fillId="39" borderId="180" xfId="0" applyFont="1" applyFill="1" applyBorder="1" applyAlignment="1">
      <alignment horizontal="center" vertical="center" wrapText="1"/>
    </xf>
    <xf numFmtId="0" fontId="10" fillId="39" borderId="56" xfId="0" applyFont="1" applyFill="1" applyBorder="1" applyAlignment="1">
      <alignment horizontal="center" vertical="center" wrapText="1"/>
    </xf>
    <xf numFmtId="0" fontId="10" fillId="51" borderId="180" xfId="0" applyFont="1" applyFill="1" applyBorder="1" applyAlignment="1">
      <alignment horizontal="center" vertical="center" wrapText="1"/>
    </xf>
    <xf numFmtId="0" fontId="10" fillId="42" borderId="180" xfId="0" applyFont="1" applyFill="1" applyBorder="1" applyAlignment="1">
      <alignment horizontal="center" vertical="center" wrapText="1"/>
    </xf>
    <xf numFmtId="0" fontId="10" fillId="42" borderId="32" xfId="0" applyFont="1" applyFill="1" applyBorder="1" applyAlignment="1">
      <alignment horizontal="center" vertical="center" wrapText="1"/>
    </xf>
    <xf numFmtId="0" fontId="10" fillId="38" borderId="180" xfId="0" applyFont="1" applyFill="1" applyBorder="1" applyAlignment="1">
      <alignment horizontal="center" vertical="center" wrapText="1"/>
    </xf>
    <xf numFmtId="0" fontId="10" fillId="38" borderId="32" xfId="0" applyFont="1" applyFill="1" applyBorder="1" applyAlignment="1">
      <alignment horizontal="center" vertical="center" wrapText="1"/>
    </xf>
    <xf numFmtId="0" fontId="10" fillId="39" borderId="32" xfId="0" applyFont="1" applyFill="1" applyBorder="1" applyAlignment="1">
      <alignment horizontal="center" vertical="center" wrapText="1"/>
    </xf>
    <xf numFmtId="0" fontId="9" fillId="39" borderId="148" xfId="0" applyFont="1" applyFill="1" applyBorder="1" applyAlignment="1">
      <alignment horizontal="center" vertical="center" wrapText="1"/>
    </xf>
    <xf numFmtId="2" fontId="10" fillId="39" borderId="148" xfId="0" applyNumberFormat="1" applyFont="1" applyFill="1" applyBorder="1" applyAlignment="1">
      <alignment horizontal="center" vertical="center" wrapText="1"/>
    </xf>
    <xf numFmtId="0" fontId="9" fillId="39" borderId="30" xfId="0" applyFont="1" applyFill="1" applyBorder="1" applyAlignment="1">
      <alignment horizontal="center" vertical="center" wrapText="1"/>
    </xf>
    <xf numFmtId="2" fontId="10" fillId="39" borderId="30" xfId="0" applyNumberFormat="1" applyFont="1" applyFill="1" applyBorder="1" applyAlignment="1">
      <alignment horizontal="center" vertical="center" wrapText="1"/>
    </xf>
    <xf numFmtId="0" fontId="9" fillId="38" borderId="148" xfId="0" applyFont="1" applyFill="1" applyBorder="1" applyAlignment="1">
      <alignment horizontal="center" vertical="center" wrapText="1"/>
    </xf>
    <xf numFmtId="2" fontId="10" fillId="38" borderId="148" xfId="0" applyNumberFormat="1" applyFont="1" applyFill="1" applyBorder="1" applyAlignment="1">
      <alignment horizontal="center" vertical="center" wrapText="1"/>
    </xf>
    <xf numFmtId="0" fontId="9" fillId="42" borderId="148" xfId="0" applyFont="1" applyFill="1" applyBorder="1" applyAlignment="1">
      <alignment horizontal="center" vertical="center" wrapText="1"/>
    </xf>
    <xf numFmtId="10" fontId="10" fillId="42" borderId="148" xfId="0" applyNumberFormat="1" applyFont="1" applyFill="1" applyBorder="1" applyAlignment="1">
      <alignment horizontal="center" vertical="center" wrapText="1"/>
    </xf>
    <xf numFmtId="0" fontId="9" fillId="51" borderId="148" xfId="0" applyFont="1" applyFill="1" applyBorder="1" applyAlignment="1">
      <alignment horizontal="center" vertical="center" wrapText="1"/>
    </xf>
    <xf numFmtId="0" fontId="3" fillId="4" borderId="149" xfId="0" applyFont="1" applyFill="1" applyBorder="1" applyAlignment="1">
      <alignment horizontal="center" vertical="center" wrapText="1"/>
    </xf>
    <xf numFmtId="0" fontId="3" fillId="4" borderId="26" xfId="0" applyFont="1" applyFill="1" applyBorder="1" applyAlignment="1">
      <alignment horizontal="center" vertical="center" wrapText="1"/>
    </xf>
    <xf numFmtId="0" fontId="8" fillId="6" borderId="8" xfId="0" applyFont="1" applyFill="1" applyBorder="1" applyAlignment="1" applyProtection="1">
      <alignment horizontal="center" vertical="center" wrapText="1"/>
      <protection locked="0"/>
    </xf>
    <xf numFmtId="0" fontId="8" fillId="7" borderId="8" xfId="0" applyFont="1" applyFill="1" applyBorder="1" applyAlignment="1" applyProtection="1">
      <alignment horizontal="center" vertical="center" wrapText="1"/>
      <protection locked="0"/>
    </xf>
    <xf numFmtId="0" fontId="8" fillId="8" borderId="148" xfId="0" applyFont="1" applyFill="1" applyBorder="1" applyAlignment="1" applyProtection="1">
      <alignment horizontal="center" vertical="center" wrapText="1"/>
      <protection locked="0"/>
    </xf>
    <xf numFmtId="0" fontId="8" fillId="8" borderId="149" xfId="0" applyFont="1" applyFill="1" applyBorder="1" applyAlignment="1" applyProtection="1">
      <alignment horizontal="center" vertical="center" wrapText="1"/>
      <protection locked="0"/>
    </xf>
    <xf numFmtId="0" fontId="11" fillId="9" borderId="148" xfId="0" applyFont="1" applyFill="1" applyBorder="1" applyAlignment="1" applyProtection="1">
      <alignment horizontal="center" vertical="center" textRotation="90" wrapText="1"/>
      <protection locked="0"/>
    </xf>
    <xf numFmtId="0" fontId="11" fillId="9" borderId="149" xfId="0" applyFont="1" applyFill="1" applyBorder="1" applyAlignment="1" applyProtection="1">
      <alignment horizontal="center" vertical="center" textRotation="90" wrapText="1"/>
      <protection locked="0"/>
    </xf>
    <xf numFmtId="0" fontId="8" fillId="9" borderId="148" xfId="0" applyFont="1" applyFill="1" applyBorder="1" applyAlignment="1" applyProtection="1">
      <alignment horizontal="center" vertical="center" wrapText="1"/>
      <protection locked="0"/>
    </xf>
    <xf numFmtId="0" fontId="8" fillId="7" borderId="36" xfId="0" applyFont="1" applyFill="1" applyBorder="1" applyAlignment="1">
      <alignment horizontal="center" vertical="center"/>
    </xf>
    <xf numFmtId="0" fontId="8" fillId="7" borderId="17" xfId="0" applyFont="1" applyFill="1" applyBorder="1" applyAlignment="1">
      <alignment horizontal="center" vertical="center"/>
    </xf>
    <xf numFmtId="0" fontId="8" fillId="7" borderId="15" xfId="0" applyFont="1" applyFill="1" applyBorder="1" applyAlignment="1">
      <alignment horizontal="center" vertical="center"/>
    </xf>
    <xf numFmtId="0" fontId="3" fillId="4" borderId="179" xfId="0" applyFont="1" applyFill="1" applyBorder="1" applyAlignment="1">
      <alignment horizontal="center" vertical="center"/>
    </xf>
    <xf numFmtId="0" fontId="3" fillId="4" borderId="154" xfId="0" applyFont="1" applyFill="1" applyBorder="1" applyAlignment="1">
      <alignment horizontal="center" vertical="center"/>
    </xf>
    <xf numFmtId="0" fontId="3" fillId="4" borderId="160" xfId="0" applyFont="1" applyFill="1" applyBorder="1" applyAlignment="1">
      <alignment horizontal="center" vertical="center"/>
    </xf>
    <xf numFmtId="0" fontId="3" fillId="4" borderId="148" xfId="0" applyFont="1" applyFill="1" applyBorder="1" applyAlignment="1" applyProtection="1">
      <alignment horizontal="center" vertical="center"/>
      <protection locked="0"/>
    </xf>
    <xf numFmtId="0" fontId="9" fillId="38" borderId="51" xfId="0" applyFont="1" applyFill="1" applyBorder="1" applyAlignment="1">
      <alignment horizontal="center" vertical="center" wrapText="1"/>
    </xf>
    <xf numFmtId="0" fontId="9" fillId="38" borderId="11" xfId="0" applyFont="1" applyFill="1" applyBorder="1" applyAlignment="1">
      <alignment horizontal="center" vertical="center" wrapText="1"/>
    </xf>
    <xf numFmtId="0" fontId="9" fillId="38" borderId="29" xfId="0" applyFont="1" applyFill="1" applyBorder="1" applyAlignment="1">
      <alignment horizontal="center" vertical="center" wrapText="1"/>
    </xf>
    <xf numFmtId="175" fontId="9" fillId="18" borderId="11" xfId="0" applyNumberFormat="1" applyFont="1" applyFill="1" applyBorder="1" applyAlignment="1">
      <alignment horizontal="center" vertical="center" wrapText="1"/>
    </xf>
    <xf numFmtId="175" fontId="9" fillId="18" borderId="158" xfId="0" applyNumberFormat="1" applyFont="1" applyFill="1" applyBorder="1" applyAlignment="1">
      <alignment horizontal="center" vertical="center" wrapText="1"/>
    </xf>
    <xf numFmtId="0" fontId="9" fillId="42" borderId="7" xfId="0" applyFont="1" applyFill="1" applyBorder="1" applyAlignment="1">
      <alignment horizontal="center" vertical="center" wrapText="1"/>
    </xf>
    <xf numFmtId="0" fontId="9" fillId="42" borderId="11" xfId="0" applyFont="1" applyFill="1" applyBorder="1" applyAlignment="1">
      <alignment horizontal="center" vertical="center" wrapText="1"/>
    </xf>
    <xf numFmtId="0" fontId="9" fillId="42" borderId="29" xfId="0" applyFont="1" applyFill="1" applyBorder="1" applyAlignment="1">
      <alignment horizontal="center" vertical="center" wrapText="1"/>
    </xf>
    <xf numFmtId="0" fontId="9" fillId="51" borderId="51" xfId="0" applyFont="1" applyFill="1" applyBorder="1" applyAlignment="1">
      <alignment horizontal="center" vertical="center" wrapText="1"/>
    </xf>
    <xf numFmtId="0" fontId="9" fillId="51" borderId="11" xfId="0" applyFont="1" applyFill="1" applyBorder="1" applyAlignment="1">
      <alignment horizontal="center" vertical="center" wrapText="1"/>
    </xf>
    <xf numFmtId="0" fontId="9" fillId="51" borderId="29" xfId="0" applyFont="1" applyFill="1" applyBorder="1" applyAlignment="1">
      <alignment horizontal="center" vertical="center" wrapText="1"/>
    </xf>
    <xf numFmtId="0" fontId="10" fillId="51" borderId="30" xfId="0" applyFont="1" applyFill="1" applyBorder="1" applyAlignment="1">
      <alignment horizontal="center" vertical="center" wrapText="1"/>
    </xf>
    <xf numFmtId="0" fontId="8" fillId="6" borderId="148" xfId="0" applyFont="1" applyFill="1" applyBorder="1" applyAlignment="1" applyProtection="1">
      <alignment horizontal="center" vertical="center" wrapText="1"/>
      <protection locked="0"/>
    </xf>
    <xf numFmtId="0" fontId="8" fillId="6" borderId="149" xfId="0" applyFont="1" applyFill="1" applyBorder="1" applyAlignment="1" applyProtection="1">
      <alignment horizontal="center" vertical="center" wrapText="1"/>
      <protection locked="0"/>
    </xf>
    <xf numFmtId="2" fontId="10" fillId="51" borderId="148" xfId="0" applyNumberFormat="1" applyFont="1" applyFill="1" applyBorder="1" applyAlignment="1">
      <alignment horizontal="center" vertical="center" wrapText="1"/>
    </xf>
    <xf numFmtId="0" fontId="3" fillId="4" borderId="148" xfId="0" applyFont="1" applyFill="1" applyBorder="1" applyAlignment="1" applyProtection="1">
      <alignment horizontal="center"/>
      <protection locked="0"/>
    </xf>
    <xf numFmtId="0" fontId="8" fillId="7" borderId="8" xfId="0" applyFont="1" applyFill="1" applyBorder="1" applyAlignment="1" applyProtection="1">
      <alignment horizontal="center" vertical="center"/>
      <protection locked="0"/>
    </xf>
    <xf numFmtId="9" fontId="10" fillId="51" borderId="32" xfId="5" applyFont="1" applyFill="1" applyBorder="1" applyAlignment="1">
      <alignment horizontal="center" vertical="center" wrapText="1"/>
    </xf>
    <xf numFmtId="9" fontId="10" fillId="51" borderId="148" xfId="5" applyFont="1" applyFill="1" applyBorder="1" applyAlignment="1">
      <alignment horizontal="center" vertical="center" wrapText="1"/>
    </xf>
    <xf numFmtId="9" fontId="10" fillId="51" borderId="30" xfId="5" applyFont="1" applyFill="1" applyBorder="1" applyAlignment="1">
      <alignment horizontal="center" vertical="center" wrapText="1"/>
    </xf>
    <xf numFmtId="9" fontId="10" fillId="38" borderId="32" xfId="5" applyFont="1" applyFill="1" applyBorder="1" applyAlignment="1">
      <alignment horizontal="center" vertical="center" wrapText="1"/>
    </xf>
    <xf numFmtId="9" fontId="10" fillId="38" borderId="148" xfId="5" applyFont="1" applyFill="1" applyBorder="1" applyAlignment="1">
      <alignment horizontal="center" vertical="center" wrapText="1"/>
    </xf>
    <xf numFmtId="9" fontId="10" fillId="38" borderId="30" xfId="5" applyFont="1" applyFill="1" applyBorder="1" applyAlignment="1">
      <alignment horizontal="center" vertical="center" wrapText="1"/>
    </xf>
    <xf numFmtId="0" fontId="9" fillId="17" borderId="149" xfId="0" applyFont="1" applyFill="1" applyBorder="1" applyAlignment="1">
      <alignment horizontal="center" vertical="center" wrapText="1"/>
    </xf>
    <xf numFmtId="0" fontId="9" fillId="17" borderId="26" xfId="0" applyFont="1" applyFill="1" applyBorder="1" applyAlignment="1">
      <alignment horizontal="center" vertical="center" wrapText="1"/>
    </xf>
    <xf numFmtId="175" fontId="9" fillId="20" borderId="148" xfId="0" applyNumberFormat="1" applyFont="1" applyFill="1" applyBorder="1" applyAlignment="1">
      <alignment horizontal="center" vertical="center" wrapText="1"/>
    </xf>
    <xf numFmtId="175" fontId="9" fillId="20" borderId="149" xfId="0" applyNumberFormat="1" applyFont="1" applyFill="1" applyBorder="1" applyAlignment="1">
      <alignment horizontal="center" vertical="center" wrapText="1"/>
    </xf>
    <xf numFmtId="175" fontId="9" fillId="20" borderId="179" xfId="0" applyNumberFormat="1" applyFont="1" applyFill="1" applyBorder="1" applyAlignment="1">
      <alignment horizontal="center" vertical="center" wrapText="1"/>
    </xf>
    <xf numFmtId="175" fontId="9" fillId="20" borderId="150" xfId="0" applyNumberFormat="1" applyFont="1" applyFill="1" applyBorder="1" applyAlignment="1">
      <alignment horizontal="center" vertical="center" wrapText="1"/>
    </xf>
    <xf numFmtId="9" fontId="10" fillId="39" borderId="32" xfId="5" applyFont="1" applyFill="1" applyBorder="1" applyAlignment="1">
      <alignment horizontal="center" vertical="center" wrapText="1"/>
    </xf>
    <xf numFmtId="9" fontId="10" fillId="39" borderId="148" xfId="5" applyFont="1" applyFill="1" applyBorder="1" applyAlignment="1">
      <alignment horizontal="center" vertical="center" wrapText="1"/>
    </xf>
    <xf numFmtId="175" fontId="9" fillId="20" borderId="10" xfId="0" applyNumberFormat="1" applyFont="1" applyFill="1" applyBorder="1" applyAlignment="1">
      <alignment horizontal="center" vertical="center" wrapText="1"/>
    </xf>
    <xf numFmtId="175" fontId="9" fillId="20" borderId="26" xfId="0" applyNumberFormat="1"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26" xfId="0" applyFont="1" applyFill="1" applyBorder="1" applyAlignment="1">
      <alignment horizontal="center" vertical="center" wrapText="1"/>
    </xf>
    <xf numFmtId="9" fontId="8" fillId="71" borderId="8" xfId="5" applyFont="1" applyFill="1" applyBorder="1" applyAlignment="1" applyProtection="1">
      <alignment horizontal="center" vertical="center" wrapText="1"/>
      <protection locked="0"/>
    </xf>
    <xf numFmtId="0" fontId="9" fillId="39" borderId="51" xfId="0" applyFont="1" applyFill="1" applyBorder="1" applyAlignment="1">
      <alignment horizontal="center" vertical="center" wrapText="1"/>
    </xf>
    <xf numFmtId="0" fontId="9" fillId="39" borderId="11" xfId="0" applyFont="1" applyFill="1" applyBorder="1" applyAlignment="1">
      <alignment horizontal="center" vertical="center" wrapText="1"/>
    </xf>
    <xf numFmtId="0" fontId="9" fillId="39" borderId="29" xfId="0" applyFont="1" applyFill="1" applyBorder="1" applyAlignment="1">
      <alignment horizontal="center" vertical="center" wrapText="1"/>
    </xf>
    <xf numFmtId="0" fontId="8" fillId="5" borderId="2" xfId="0" applyFont="1" applyFill="1" applyBorder="1" applyAlignment="1" applyProtection="1">
      <alignment horizontal="center" vertical="center"/>
      <protection locked="0"/>
    </xf>
    <xf numFmtId="0" fontId="8" fillId="5" borderId="0" xfId="0" applyFont="1" applyFill="1" applyAlignment="1" applyProtection="1">
      <alignment horizontal="center" vertical="center"/>
      <protection locked="0"/>
    </xf>
    <xf numFmtId="0" fontId="8" fillId="17" borderId="62" xfId="0" applyFont="1" applyFill="1" applyBorder="1" applyAlignment="1">
      <alignment horizontal="center" vertical="center"/>
    </xf>
    <xf numFmtId="0" fontId="8" fillId="17" borderId="0" xfId="0" applyFont="1" applyFill="1" applyAlignment="1">
      <alignment horizontal="center" vertical="center"/>
    </xf>
    <xf numFmtId="0" fontId="8" fillId="17" borderId="25" xfId="0" applyFont="1" applyFill="1" applyBorder="1" applyAlignment="1">
      <alignment horizontal="center" vertical="center"/>
    </xf>
    <xf numFmtId="0" fontId="8" fillId="17" borderId="16" xfId="0" applyFont="1" applyFill="1" applyBorder="1" applyAlignment="1">
      <alignment horizontal="center" vertical="center" wrapText="1"/>
    </xf>
    <xf numFmtId="0" fontId="8" fillId="17" borderId="17" xfId="0" applyFont="1" applyFill="1" applyBorder="1" applyAlignment="1">
      <alignment horizontal="center" vertical="center" wrapText="1"/>
    </xf>
    <xf numFmtId="0" fontId="8" fillId="17" borderId="19" xfId="0" applyFont="1" applyFill="1" applyBorder="1" applyAlignment="1">
      <alignment horizontal="center" vertical="center" wrapText="1"/>
    </xf>
    <xf numFmtId="175" fontId="9" fillId="18" borderId="156" xfId="0" applyNumberFormat="1" applyFont="1" applyFill="1" applyBorder="1" applyAlignment="1">
      <alignment horizontal="center" vertical="center" wrapText="1"/>
    </xf>
    <xf numFmtId="175" fontId="9" fillId="18" borderId="24" xfId="0" applyNumberFormat="1" applyFont="1" applyFill="1" applyBorder="1" applyAlignment="1">
      <alignment horizontal="center" vertical="center" wrapText="1"/>
    </xf>
    <xf numFmtId="0" fontId="8" fillId="5" borderId="148" xfId="0" applyFont="1" applyFill="1" applyBorder="1" applyAlignment="1" applyProtection="1">
      <alignment horizontal="center" vertical="center"/>
      <protection locked="0"/>
    </xf>
    <xf numFmtId="9" fontId="10" fillId="42" borderId="8" xfId="5" applyFont="1" applyFill="1" applyBorder="1" applyAlignment="1">
      <alignment horizontal="center" vertical="center" wrapText="1"/>
    </xf>
    <xf numFmtId="9" fontId="10" fillId="42" borderId="148" xfId="5" applyFont="1" applyFill="1" applyBorder="1" applyAlignment="1">
      <alignment horizontal="center" vertical="center" wrapText="1"/>
    </xf>
    <xf numFmtId="9" fontId="10" fillId="42" borderId="30" xfId="5" applyFont="1" applyFill="1" applyBorder="1" applyAlignment="1">
      <alignment horizontal="center" vertical="center" wrapText="1"/>
    </xf>
    <xf numFmtId="0" fontId="8" fillId="24" borderId="48" xfId="0" applyFont="1" applyFill="1" applyBorder="1" applyAlignment="1">
      <alignment horizontal="center" vertical="center" wrapText="1"/>
    </xf>
    <xf numFmtId="0" fontId="8" fillId="24" borderId="152" xfId="0" applyFont="1" applyFill="1" applyBorder="1" applyAlignment="1">
      <alignment horizontal="center" vertical="center" wrapText="1"/>
    </xf>
    <xf numFmtId="3" fontId="8" fillId="24" borderId="152" xfId="0" applyNumberFormat="1" applyFont="1" applyFill="1" applyBorder="1" applyAlignment="1">
      <alignment horizontal="center" vertical="center" wrapText="1"/>
    </xf>
    <xf numFmtId="0" fontId="8" fillId="17" borderId="4" xfId="0" applyFont="1" applyFill="1" applyBorder="1" applyAlignment="1">
      <alignment horizontal="center" vertical="center"/>
    </xf>
    <xf numFmtId="0" fontId="8" fillId="17" borderId="5" xfId="0" applyFont="1" applyFill="1" applyBorder="1" applyAlignment="1">
      <alignment horizontal="center" vertical="center"/>
    </xf>
    <xf numFmtId="3" fontId="8" fillId="17" borderId="5" xfId="0" applyNumberFormat="1" applyFont="1" applyFill="1" applyBorder="1" applyAlignment="1">
      <alignment horizontal="center" vertical="center"/>
    </xf>
    <xf numFmtId="3" fontId="8" fillId="17" borderId="17" xfId="0" applyNumberFormat="1" applyFont="1" applyFill="1" applyBorder="1" applyAlignment="1">
      <alignment horizontal="center" vertical="center" wrapText="1"/>
    </xf>
    <xf numFmtId="0" fontId="10" fillId="38" borderId="13" xfId="0" applyFont="1" applyFill="1" applyBorder="1" applyAlignment="1">
      <alignment horizontal="center" vertical="center" wrapText="1"/>
    </xf>
    <xf numFmtId="0" fontId="10" fillId="38" borderId="24" xfId="0" applyFont="1" applyFill="1" applyBorder="1" applyAlignment="1">
      <alignment horizontal="center" vertical="center" wrapText="1"/>
    </xf>
    <xf numFmtId="0" fontId="10" fillId="38" borderId="60" xfId="0" applyFont="1" applyFill="1" applyBorder="1" applyAlignment="1">
      <alignment horizontal="center" vertical="center" wrapText="1"/>
    </xf>
    <xf numFmtId="0" fontId="9" fillId="38" borderId="55" xfId="0" applyFont="1" applyFill="1" applyBorder="1" applyAlignment="1">
      <alignment horizontal="center" vertical="center" wrapText="1"/>
    </xf>
    <xf numFmtId="0" fontId="10" fillId="39" borderId="13" xfId="0" applyFont="1" applyFill="1" applyBorder="1" applyAlignment="1">
      <alignment horizontal="center" vertical="center" wrapText="1"/>
    </xf>
    <xf numFmtId="0" fontId="10" fillId="39" borderId="43" xfId="0" applyFont="1" applyFill="1" applyBorder="1" applyAlignment="1">
      <alignment horizontal="center" vertical="center" wrapText="1"/>
    </xf>
    <xf numFmtId="0" fontId="9" fillId="39" borderId="34" xfId="0" applyFont="1" applyFill="1" applyBorder="1" applyAlignment="1">
      <alignment horizontal="center" vertical="center" wrapText="1"/>
    </xf>
    <xf numFmtId="0" fontId="9" fillId="39" borderId="55" xfId="0" applyFont="1" applyFill="1" applyBorder="1" applyAlignment="1">
      <alignment horizontal="center" vertical="center" wrapText="1"/>
    </xf>
    <xf numFmtId="0" fontId="10" fillId="44" borderId="13" xfId="0" applyFont="1" applyFill="1" applyBorder="1" applyAlignment="1">
      <alignment horizontal="center" vertical="center" wrapText="1"/>
    </xf>
    <xf numFmtId="0" fontId="10" fillId="44" borderId="24" xfId="0" applyFont="1" applyFill="1" applyBorder="1" applyAlignment="1">
      <alignment horizontal="center" vertical="center" wrapText="1"/>
    </xf>
    <xf numFmtId="0" fontId="10" fillId="44" borderId="43" xfId="0" applyFont="1" applyFill="1" applyBorder="1" applyAlignment="1">
      <alignment horizontal="center" vertical="center" wrapText="1"/>
    </xf>
    <xf numFmtId="0" fontId="9" fillId="44" borderId="34" xfId="0" applyFont="1" applyFill="1" applyBorder="1" applyAlignment="1">
      <alignment horizontal="center" vertical="center" wrapText="1"/>
    </xf>
    <xf numFmtId="0" fontId="9" fillId="44" borderId="35" xfId="0" applyFont="1" applyFill="1" applyBorder="1" applyAlignment="1">
      <alignment horizontal="center" vertical="center" wrapText="1"/>
    </xf>
    <xf numFmtId="0" fontId="9" fillId="44" borderId="55" xfId="0" applyFont="1" applyFill="1" applyBorder="1" applyAlignment="1">
      <alignment horizontal="center" vertical="center" wrapText="1"/>
    </xf>
    <xf numFmtId="1" fontId="10" fillId="38" borderId="148" xfId="0" applyNumberFormat="1" applyFont="1" applyFill="1" applyBorder="1" applyAlignment="1">
      <alignment horizontal="left" vertical="center" wrapText="1"/>
    </xf>
    <xf numFmtId="0" fontId="10" fillId="44" borderId="148" xfId="0" applyFont="1" applyFill="1" applyBorder="1" applyAlignment="1">
      <alignment horizontal="center" vertical="center" wrapText="1"/>
    </xf>
    <xf numFmtId="9" fontId="8" fillId="71" borderId="10" xfId="5" applyFont="1" applyFill="1" applyBorder="1" applyAlignment="1" applyProtection="1">
      <alignment horizontal="center" vertical="center" wrapText="1"/>
      <protection locked="0"/>
    </xf>
    <xf numFmtId="9" fontId="8" fillId="71" borderId="26" xfId="5" applyFont="1" applyFill="1" applyBorder="1" applyAlignment="1" applyProtection="1">
      <alignment horizontal="center" vertical="center" wrapText="1"/>
      <protection locked="0"/>
    </xf>
    <xf numFmtId="3" fontId="0" fillId="44" borderId="148" xfId="0" applyNumberFormat="1" applyFill="1" applyBorder="1" applyAlignment="1">
      <alignment horizontal="center"/>
    </xf>
    <xf numFmtId="3" fontId="0" fillId="30" borderId="148" xfId="0" applyNumberFormat="1" applyFill="1" applyBorder="1" applyAlignment="1">
      <alignment horizontal="center" vertical="center" wrapText="1"/>
    </xf>
    <xf numFmtId="3" fontId="0" fillId="44" borderId="148" xfId="0" applyNumberFormat="1" applyFill="1" applyBorder="1" applyAlignment="1">
      <alignment horizontal="center" vertical="center"/>
    </xf>
    <xf numFmtId="9" fontId="10" fillId="44" borderId="8" xfId="5" applyFont="1" applyFill="1" applyBorder="1" applyAlignment="1">
      <alignment horizontal="center" vertical="center"/>
    </xf>
    <xf numFmtId="9" fontId="10" fillId="44" borderId="148" xfId="5" applyFont="1" applyFill="1" applyBorder="1" applyAlignment="1">
      <alignment horizontal="center" vertical="center"/>
    </xf>
    <xf numFmtId="9" fontId="10" fillId="44" borderId="30" xfId="5" applyFont="1" applyFill="1" applyBorder="1" applyAlignment="1">
      <alignment horizontal="center" vertical="center"/>
    </xf>
    <xf numFmtId="3" fontId="0" fillId="11" borderId="148" xfId="0" applyNumberFormat="1" applyFill="1" applyBorder="1" applyAlignment="1">
      <alignment horizontal="center" vertical="center"/>
    </xf>
    <xf numFmtId="3" fontId="0" fillId="30" borderId="148" xfId="0" applyNumberFormat="1" applyFill="1" applyBorder="1" applyAlignment="1">
      <alignment horizontal="center" vertical="center"/>
    </xf>
    <xf numFmtId="0" fontId="0" fillId="44" borderId="148" xfId="0" applyFill="1" applyBorder="1" applyAlignment="1">
      <alignment horizontal="center" vertical="center" wrapText="1"/>
    </xf>
    <xf numFmtId="3" fontId="0" fillId="0" borderId="148" xfId="0" applyNumberFormat="1" applyBorder="1" applyAlignment="1">
      <alignment horizontal="center" vertical="center"/>
    </xf>
    <xf numFmtId="0" fontId="0" fillId="44" borderId="148" xfId="0" applyFill="1" applyBorder="1" applyAlignment="1">
      <alignment horizontal="center" vertical="center"/>
    </xf>
    <xf numFmtId="170" fontId="0" fillId="44" borderId="148" xfId="9" applyFont="1" applyFill="1" applyBorder="1" applyAlignment="1">
      <alignment horizontal="center" vertical="center"/>
    </xf>
    <xf numFmtId="164" fontId="10" fillId="44" borderId="148" xfId="4" applyFont="1" applyFill="1" applyBorder="1" applyAlignment="1">
      <alignment horizontal="center" vertical="center" wrapText="1"/>
    </xf>
    <xf numFmtId="0" fontId="10" fillId="44" borderId="148" xfId="0" applyFont="1" applyFill="1" applyBorder="1" applyAlignment="1">
      <alignment horizontal="left" vertical="center" wrapText="1"/>
    </xf>
    <xf numFmtId="0" fontId="9" fillId="44" borderId="148" xfId="0" applyFont="1" applyFill="1" applyBorder="1" applyAlignment="1">
      <alignment horizontal="center" vertical="center" wrapText="1"/>
    </xf>
    <xf numFmtId="170" fontId="0" fillId="44" borderId="148" xfId="0" applyNumberFormat="1" applyFill="1" applyBorder="1" applyAlignment="1">
      <alignment horizontal="center" vertical="center"/>
    </xf>
    <xf numFmtId="0" fontId="0" fillId="44" borderId="148" xfId="0" applyFill="1" applyBorder="1" applyAlignment="1">
      <alignment horizontal="left" vertical="center" wrapText="1"/>
    </xf>
    <xf numFmtId="170" fontId="10" fillId="44" borderId="148" xfId="9" applyFont="1" applyFill="1" applyBorder="1" applyAlignment="1" applyProtection="1">
      <alignment horizontal="center" vertical="center"/>
      <protection locked="0"/>
    </xf>
    <xf numFmtId="0" fontId="10" fillId="44" borderId="148" xfId="0" applyFont="1" applyFill="1" applyBorder="1" applyAlignment="1">
      <alignment horizontal="center" vertical="center"/>
    </xf>
    <xf numFmtId="0" fontId="10" fillId="38" borderId="51" xfId="0" applyFont="1" applyFill="1" applyBorder="1" applyAlignment="1">
      <alignment horizontal="center" vertical="center" wrapText="1"/>
    </xf>
    <xf numFmtId="0" fontId="10" fillId="38" borderId="11" xfId="0" applyFont="1" applyFill="1" applyBorder="1" applyAlignment="1">
      <alignment horizontal="center" vertical="center" wrapText="1"/>
    </xf>
    <xf numFmtId="0" fontId="10" fillId="38" borderId="29" xfId="0" applyFont="1" applyFill="1" applyBorder="1" applyAlignment="1">
      <alignment horizontal="center" vertical="center" wrapText="1"/>
    </xf>
    <xf numFmtId="0" fontId="9" fillId="38" borderId="32" xfId="0" applyFont="1" applyFill="1" applyBorder="1" applyAlignment="1">
      <alignment horizontal="center" vertical="center" wrapText="1"/>
    </xf>
    <xf numFmtId="0" fontId="9" fillId="38" borderId="30" xfId="0" applyFont="1" applyFill="1" applyBorder="1" applyAlignment="1">
      <alignment horizontal="center" vertical="center" wrapText="1"/>
    </xf>
    <xf numFmtId="0" fontId="8" fillId="17" borderId="18" xfId="0" applyFont="1" applyFill="1" applyBorder="1" applyAlignment="1">
      <alignment horizontal="center" vertical="center"/>
    </xf>
    <xf numFmtId="0" fontId="8" fillId="17" borderId="58" xfId="0" applyFont="1" applyFill="1" applyBorder="1" applyAlignment="1">
      <alignment horizontal="center" vertical="center"/>
    </xf>
    <xf numFmtId="3" fontId="8" fillId="17" borderId="58" xfId="0" applyNumberFormat="1" applyFont="1" applyFill="1" applyBorder="1" applyAlignment="1">
      <alignment horizontal="center" vertical="center"/>
    </xf>
    <xf numFmtId="0" fontId="8" fillId="17" borderId="47" xfId="0" applyFont="1" applyFill="1" applyBorder="1" applyAlignment="1">
      <alignment horizontal="center" vertical="center"/>
    </xf>
    <xf numFmtId="0" fontId="8" fillId="17" borderId="15" xfId="0" applyFont="1" applyFill="1" applyBorder="1" applyAlignment="1">
      <alignment horizontal="center" vertical="center" wrapText="1"/>
    </xf>
    <xf numFmtId="0" fontId="8" fillId="24" borderId="151" xfId="0" applyFont="1" applyFill="1" applyBorder="1" applyAlignment="1">
      <alignment horizontal="center" vertical="center" wrapText="1"/>
    </xf>
    <xf numFmtId="3" fontId="8" fillId="24" borderId="160" xfId="0" applyNumberFormat="1" applyFont="1" applyFill="1" applyBorder="1" applyAlignment="1">
      <alignment horizontal="center" vertical="center" wrapText="1"/>
    </xf>
    <xf numFmtId="0" fontId="8" fillId="24" borderId="155" xfId="0" applyFont="1" applyFill="1" applyBorder="1" applyAlignment="1">
      <alignment horizontal="center" vertical="center" wrapText="1"/>
    </xf>
    <xf numFmtId="0" fontId="10" fillId="39" borderId="51" xfId="0" applyFont="1" applyFill="1" applyBorder="1" applyAlignment="1">
      <alignment horizontal="center" vertical="center" wrapText="1"/>
    </xf>
    <xf numFmtId="0" fontId="10" fillId="39" borderId="11" xfId="0" applyFont="1" applyFill="1" applyBorder="1" applyAlignment="1">
      <alignment horizontal="center" vertical="center" wrapText="1"/>
    </xf>
    <xf numFmtId="0" fontId="10" fillId="39" borderId="29" xfId="0" applyFont="1" applyFill="1" applyBorder="1" applyAlignment="1">
      <alignment horizontal="center" vertical="center" wrapText="1"/>
    </xf>
    <xf numFmtId="0" fontId="9" fillId="39" borderId="32" xfId="0" applyFont="1" applyFill="1" applyBorder="1" applyAlignment="1">
      <alignment horizontal="center" vertical="center" wrapText="1"/>
    </xf>
    <xf numFmtId="176" fontId="10" fillId="44" borderId="148" xfId="0" applyNumberFormat="1" applyFont="1" applyFill="1" applyBorder="1" applyAlignment="1">
      <alignment horizontal="center" vertical="center" wrapText="1"/>
    </xf>
    <xf numFmtId="0" fontId="10" fillId="44" borderId="7" xfId="0" applyFont="1" applyFill="1" applyBorder="1" applyAlignment="1">
      <alignment horizontal="center" vertical="center" wrapText="1"/>
    </xf>
    <xf numFmtId="0" fontId="10" fillId="44" borderId="11" xfId="0" applyFont="1" applyFill="1" applyBorder="1" applyAlignment="1">
      <alignment horizontal="center" vertical="center" wrapText="1"/>
    </xf>
    <xf numFmtId="0" fontId="10" fillId="44" borderId="29" xfId="0" applyFont="1" applyFill="1" applyBorder="1" applyAlignment="1">
      <alignment horizontal="center" vertical="center" wrapText="1"/>
    </xf>
    <xf numFmtId="0" fontId="9" fillId="44" borderId="8" xfId="0" applyFont="1" applyFill="1" applyBorder="1" applyAlignment="1">
      <alignment horizontal="center" vertical="center" wrapText="1"/>
    </xf>
    <xf numFmtId="0" fontId="9" fillId="44" borderId="30" xfId="0" applyFont="1" applyFill="1" applyBorder="1" applyAlignment="1">
      <alignment horizontal="center" vertical="center" wrapText="1"/>
    </xf>
    <xf numFmtId="9" fontId="10" fillId="39" borderId="32" xfId="5" applyFont="1" applyFill="1" applyBorder="1" applyAlignment="1">
      <alignment horizontal="center" vertical="center"/>
    </xf>
    <xf numFmtId="9" fontId="10" fillId="39" borderId="148" xfId="5" applyFont="1" applyFill="1" applyBorder="1" applyAlignment="1">
      <alignment horizontal="center" vertical="center"/>
    </xf>
    <xf numFmtId="9" fontId="10" fillId="39" borderId="30" xfId="5" applyFont="1" applyFill="1" applyBorder="1" applyAlignment="1">
      <alignment horizontal="center" vertical="center"/>
    </xf>
    <xf numFmtId="9" fontId="0" fillId="38" borderId="32" xfId="5" applyFont="1" applyFill="1" applyBorder="1" applyAlignment="1">
      <alignment horizontal="center" vertical="center"/>
    </xf>
    <xf numFmtId="9" fontId="0" fillId="38" borderId="148" xfId="5" applyFont="1" applyFill="1" applyBorder="1" applyAlignment="1">
      <alignment horizontal="center" vertical="center"/>
    </xf>
    <xf numFmtId="9" fontId="0" fillId="38" borderId="30" xfId="5" applyFont="1" applyFill="1" applyBorder="1" applyAlignment="1">
      <alignment horizontal="center" vertical="center"/>
    </xf>
    <xf numFmtId="9" fontId="10" fillId="39" borderId="32" xfId="0" applyNumberFormat="1" applyFont="1" applyFill="1" applyBorder="1" applyAlignment="1">
      <alignment horizontal="center" vertical="center" wrapText="1"/>
    </xf>
    <xf numFmtId="9" fontId="10" fillId="39" borderId="148" xfId="0" applyNumberFormat="1" applyFont="1" applyFill="1" applyBorder="1" applyAlignment="1">
      <alignment horizontal="center" vertical="center" wrapText="1"/>
    </xf>
    <xf numFmtId="2" fontId="8" fillId="5" borderId="58" xfId="0" applyNumberFormat="1" applyFont="1" applyFill="1" applyBorder="1" applyAlignment="1" applyProtection="1">
      <alignment horizontal="center" vertical="center"/>
      <protection locked="0"/>
    </xf>
    <xf numFmtId="9" fontId="8" fillId="5" borderId="58" xfId="5" applyFont="1" applyFill="1" applyBorder="1" applyAlignment="1" applyProtection="1">
      <alignment horizontal="center" vertical="center"/>
      <protection locked="0"/>
    </xf>
    <xf numFmtId="3" fontId="8" fillId="5" borderId="58" xfId="0" applyNumberFormat="1" applyFont="1" applyFill="1" applyBorder="1" applyAlignment="1" applyProtection="1">
      <alignment horizontal="center" vertical="center"/>
      <protection locked="0"/>
    </xf>
    <xf numFmtId="3" fontId="8" fillId="5" borderId="47" xfId="0" applyNumberFormat="1" applyFont="1" applyFill="1" applyBorder="1" applyAlignment="1" applyProtection="1">
      <alignment horizontal="center" vertical="center"/>
      <protection locked="0"/>
    </xf>
    <xf numFmtId="3" fontId="8" fillId="10" borderId="4" xfId="0" applyNumberFormat="1" applyFont="1" applyFill="1" applyBorder="1" applyAlignment="1" applyProtection="1">
      <alignment horizontal="center" vertical="center"/>
      <protection locked="0"/>
    </xf>
    <xf numFmtId="3" fontId="8" fillId="10" borderId="6" xfId="0" applyNumberFormat="1" applyFont="1" applyFill="1" applyBorder="1" applyAlignment="1" applyProtection="1">
      <alignment horizontal="center" vertical="center"/>
      <protection locked="0"/>
    </xf>
    <xf numFmtId="3" fontId="3" fillId="4" borderId="36" xfId="0" applyNumberFormat="1" applyFont="1" applyFill="1" applyBorder="1" applyAlignment="1" applyProtection="1">
      <alignment horizontal="center"/>
      <protection locked="0"/>
    </xf>
    <xf numFmtId="3" fontId="3" fillId="4" borderId="17" xfId="0" applyNumberFormat="1" applyFont="1" applyFill="1" applyBorder="1" applyAlignment="1" applyProtection="1">
      <alignment horizontal="center"/>
      <protection locked="0"/>
    </xf>
    <xf numFmtId="3" fontId="3" fillId="4" borderId="19" xfId="0" applyNumberFormat="1" applyFont="1" applyFill="1" applyBorder="1" applyAlignment="1" applyProtection="1">
      <alignment horizontal="center"/>
      <protection locked="0"/>
    </xf>
    <xf numFmtId="2" fontId="8" fillId="6" borderId="8" xfId="0" applyNumberFormat="1" applyFont="1" applyFill="1" applyBorder="1" applyAlignment="1" applyProtection="1">
      <alignment horizontal="center" vertical="center" wrapText="1"/>
      <protection locked="0"/>
    </xf>
    <xf numFmtId="2" fontId="8" fillId="6" borderId="148" xfId="0" applyNumberFormat="1" applyFont="1" applyFill="1" applyBorder="1" applyAlignment="1" applyProtection="1">
      <alignment horizontal="center" vertical="center" wrapText="1"/>
      <protection locked="0"/>
    </xf>
    <xf numFmtId="2" fontId="8" fillId="6" borderId="149" xfId="0" applyNumberFormat="1" applyFont="1" applyFill="1" applyBorder="1" applyAlignment="1" applyProtection="1">
      <alignment horizontal="center" vertical="center" wrapText="1"/>
      <protection locked="0"/>
    </xf>
    <xf numFmtId="3" fontId="0" fillId="44" borderId="94" xfId="0" applyNumberFormat="1" applyFill="1" applyBorder="1" applyAlignment="1">
      <alignment horizontal="center" vertical="center"/>
    </xf>
    <xf numFmtId="0" fontId="0" fillId="7" borderId="148" xfId="0" applyFill="1" applyBorder="1" applyAlignment="1">
      <alignment horizontal="center" vertical="center" wrapText="1"/>
    </xf>
    <xf numFmtId="0" fontId="0" fillId="41" borderId="148" xfId="0" applyFill="1" applyBorder="1" applyAlignment="1">
      <alignment horizontal="center" vertical="center" wrapText="1"/>
    </xf>
    <xf numFmtId="0" fontId="10" fillId="41" borderId="148" xfId="0" applyFont="1" applyFill="1" applyBorder="1" applyAlignment="1">
      <alignment horizontal="center" vertical="center" wrapText="1"/>
    </xf>
    <xf numFmtId="0" fontId="0" fillId="41" borderId="30" xfId="0" applyFill="1" applyBorder="1" applyAlignment="1">
      <alignment horizontal="center" vertical="center" wrapText="1"/>
    </xf>
    <xf numFmtId="0" fontId="10" fillId="38" borderId="148" xfId="0" applyFont="1" applyFill="1" applyBorder="1" applyAlignment="1">
      <alignment horizontal="justify" vertical="center" wrapText="1"/>
    </xf>
    <xf numFmtId="0" fontId="3" fillId="38" borderId="8" xfId="0" applyFont="1" applyFill="1" applyBorder="1" applyAlignment="1">
      <alignment horizontal="center" vertical="center" wrapText="1"/>
    </xf>
    <xf numFmtId="0" fontId="0" fillId="38" borderId="148" xfId="0" applyFill="1" applyBorder="1" applyAlignment="1">
      <alignment horizontal="justify" vertical="center"/>
    </xf>
    <xf numFmtId="0" fontId="3" fillId="7" borderId="32" xfId="0" applyFont="1" applyFill="1" applyBorder="1" applyAlignment="1">
      <alignment horizontal="justify" vertical="center" wrapText="1"/>
    </xf>
    <xf numFmtId="0" fontId="3" fillId="7" borderId="148" xfId="0" applyFont="1" applyFill="1" applyBorder="1" applyAlignment="1">
      <alignment horizontal="justify" vertical="center" wrapText="1"/>
    </xf>
    <xf numFmtId="0" fontId="3" fillId="7" borderId="30" xfId="0" applyFont="1" applyFill="1" applyBorder="1" applyAlignment="1">
      <alignment horizontal="justify" vertical="center" wrapText="1"/>
    </xf>
    <xf numFmtId="0" fontId="3" fillId="7" borderId="51"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29" xfId="0" applyFont="1" applyFill="1" applyBorder="1" applyAlignment="1">
      <alignment horizontal="center" vertical="center" wrapText="1"/>
    </xf>
    <xf numFmtId="0" fontId="3" fillId="7" borderId="32" xfId="0" applyFont="1" applyFill="1" applyBorder="1" applyAlignment="1">
      <alignment horizontal="center" vertical="center" wrapText="1"/>
    </xf>
    <xf numFmtId="0" fontId="3" fillId="41" borderId="32" xfId="0" applyFont="1" applyFill="1" applyBorder="1" applyAlignment="1">
      <alignment horizontal="justify" vertical="center" wrapText="1"/>
    </xf>
    <xf numFmtId="0" fontId="3" fillId="41" borderId="148" xfId="0" applyFont="1" applyFill="1" applyBorder="1" applyAlignment="1">
      <alignment horizontal="justify" vertical="center" wrapText="1"/>
    </xf>
    <xf numFmtId="0" fontId="3" fillId="41" borderId="51" xfId="0" applyFont="1" applyFill="1" applyBorder="1" applyAlignment="1">
      <alignment horizontal="center" vertical="center" wrapText="1"/>
    </xf>
    <xf numFmtId="0" fontId="3" fillId="41" borderId="11" xfId="0" applyFont="1" applyFill="1" applyBorder="1" applyAlignment="1">
      <alignment horizontal="center" vertical="center" wrapText="1"/>
    </xf>
    <xf numFmtId="0" fontId="3" fillId="38" borderId="7" xfId="0" applyFont="1" applyFill="1" applyBorder="1" applyAlignment="1">
      <alignment horizontal="center" vertical="center" wrapText="1"/>
    </xf>
    <xf numFmtId="0" fontId="3" fillId="38" borderId="11" xfId="0" applyFont="1" applyFill="1" applyBorder="1" applyAlignment="1">
      <alignment horizontal="center" vertical="center" wrapText="1"/>
    </xf>
    <xf numFmtId="0" fontId="3" fillId="38" borderId="29" xfId="0" applyFont="1" applyFill="1" applyBorder="1" applyAlignment="1">
      <alignment horizontal="center" vertical="center" wrapText="1"/>
    </xf>
    <xf numFmtId="0" fontId="3" fillId="38" borderId="8" xfId="0" applyFont="1" applyFill="1" applyBorder="1" applyAlignment="1">
      <alignment horizontal="justify" vertical="center" wrapText="1"/>
    </xf>
    <xf numFmtId="0" fontId="3" fillId="38" borderId="148" xfId="0" applyFont="1" applyFill="1" applyBorder="1" applyAlignment="1">
      <alignment horizontal="justify" vertical="center" wrapText="1"/>
    </xf>
    <xf numFmtId="0" fontId="3" fillId="38" borderId="30" xfId="0" applyFont="1" applyFill="1" applyBorder="1" applyAlignment="1">
      <alignment horizontal="justify" vertical="center" wrapText="1"/>
    </xf>
    <xf numFmtId="172" fontId="0" fillId="38" borderId="8" xfId="0" applyNumberFormat="1" applyFill="1" applyBorder="1" applyAlignment="1">
      <alignment horizontal="center" vertical="center" wrapText="1"/>
    </xf>
    <xf numFmtId="172" fontId="0" fillId="38" borderId="148" xfId="0" applyNumberFormat="1" applyFill="1" applyBorder="1" applyAlignment="1">
      <alignment horizontal="center" vertical="center" wrapText="1"/>
    </xf>
    <xf numFmtId="0" fontId="3" fillId="14" borderId="38" xfId="0" applyFont="1" applyFill="1" applyBorder="1" applyAlignment="1">
      <alignment horizontal="center" vertical="center" wrapText="1"/>
    </xf>
    <xf numFmtId="0" fontId="3" fillId="14" borderId="153" xfId="0" applyFont="1" applyFill="1" applyBorder="1" applyAlignment="1">
      <alignment horizontal="center" vertical="center" wrapText="1"/>
    </xf>
    <xf numFmtId="0" fontId="3" fillId="14" borderId="150" xfId="0" applyFont="1" applyFill="1" applyBorder="1" applyAlignment="1">
      <alignment horizontal="center" vertical="center" wrapText="1"/>
    </xf>
    <xf numFmtId="0" fontId="3" fillId="15" borderId="148" xfId="0" applyFont="1" applyFill="1" applyBorder="1" applyAlignment="1">
      <alignment horizontal="center" vertical="center" wrapText="1"/>
    </xf>
    <xf numFmtId="0" fontId="0" fillId="38" borderId="148" xfId="0" applyFill="1" applyBorder="1" applyAlignment="1">
      <alignment horizontal="center" vertical="center"/>
    </xf>
    <xf numFmtId="9" fontId="0" fillId="38" borderId="8" xfId="0" applyNumberFormat="1" applyFill="1" applyBorder="1" applyAlignment="1">
      <alignment horizontal="center" vertical="center"/>
    </xf>
    <xf numFmtId="9" fontId="0" fillId="38" borderId="148" xfId="0" applyNumberFormat="1" applyFill="1" applyBorder="1" applyAlignment="1">
      <alignment horizontal="center" vertical="center"/>
    </xf>
    <xf numFmtId="9" fontId="0" fillId="38" borderId="30" xfId="0" applyNumberFormat="1" applyFill="1" applyBorder="1" applyAlignment="1">
      <alignment horizontal="center" vertical="center"/>
    </xf>
    <xf numFmtId="0" fontId="3" fillId="17" borderId="148" xfId="0" applyFont="1" applyFill="1" applyBorder="1" applyAlignment="1">
      <alignment horizontal="center" vertical="center"/>
    </xf>
    <xf numFmtId="0" fontId="3" fillId="13" borderId="32" xfId="0" applyFont="1" applyFill="1" applyBorder="1" applyAlignment="1">
      <alignment horizontal="center" vertical="center" wrapText="1"/>
    </xf>
    <xf numFmtId="0" fontId="3" fillId="13" borderId="148" xfId="0" applyFont="1" applyFill="1" applyBorder="1" applyAlignment="1">
      <alignment horizontal="center" vertical="center" wrapText="1"/>
    </xf>
    <xf numFmtId="0" fontId="3" fillId="14" borderId="32" xfId="0" applyFont="1" applyFill="1" applyBorder="1" applyAlignment="1">
      <alignment horizontal="center" vertical="center" wrapText="1"/>
    </xf>
    <xf numFmtId="0" fontId="3" fillId="14" borderId="148" xfId="0" applyFont="1" applyFill="1" applyBorder="1" applyAlignment="1">
      <alignment horizontal="center" vertical="center" wrapText="1"/>
    </xf>
    <xf numFmtId="0" fontId="3" fillId="14" borderId="149" xfId="0" applyFont="1" applyFill="1" applyBorder="1" applyAlignment="1">
      <alignment horizontal="center" vertical="center" wrapText="1"/>
    </xf>
    <xf numFmtId="0" fontId="3" fillId="13" borderId="38" xfId="0" applyFont="1" applyFill="1" applyBorder="1" applyAlignment="1">
      <alignment horizontal="center" vertical="center" wrapText="1"/>
    </xf>
    <xf numFmtId="0" fontId="3" fillId="13" borderId="153" xfId="0" applyFont="1" applyFill="1" applyBorder="1" applyAlignment="1">
      <alignment horizontal="center" vertical="center" wrapText="1"/>
    </xf>
    <xf numFmtId="0" fontId="3" fillId="13" borderId="150" xfId="0" applyFont="1" applyFill="1" applyBorder="1" applyAlignment="1">
      <alignment horizontal="center" vertical="center" wrapText="1"/>
    </xf>
    <xf numFmtId="0" fontId="3" fillId="13" borderId="60" xfId="0" applyFont="1" applyFill="1" applyBorder="1" applyAlignment="1">
      <alignment horizontal="center" vertical="center" wrapText="1"/>
    </xf>
    <xf numFmtId="0" fontId="3" fillId="13" borderId="46" xfId="0" applyFont="1" applyFill="1" applyBorder="1" applyAlignment="1">
      <alignment horizontal="center" vertical="center" wrapText="1"/>
    </xf>
    <xf numFmtId="0" fontId="3" fillId="13" borderId="156" xfId="0" applyFont="1" applyFill="1" applyBorder="1" applyAlignment="1">
      <alignment horizontal="center" vertical="center" wrapText="1"/>
    </xf>
    <xf numFmtId="0" fontId="3" fillId="13" borderId="54" xfId="0" applyFont="1" applyFill="1" applyBorder="1" applyAlignment="1">
      <alignment horizontal="center" vertical="center" wrapText="1"/>
    </xf>
    <xf numFmtId="0" fontId="3" fillId="13" borderId="154" xfId="0" applyFont="1" applyFill="1" applyBorder="1" applyAlignment="1">
      <alignment horizontal="center" vertical="center" wrapText="1"/>
    </xf>
    <xf numFmtId="0" fontId="3" fillId="13" borderId="157" xfId="0" applyFont="1" applyFill="1" applyBorder="1" applyAlignment="1">
      <alignment horizontal="center" vertical="center" wrapText="1"/>
    </xf>
    <xf numFmtId="0" fontId="3" fillId="15" borderId="39" xfId="0" applyFont="1" applyFill="1" applyBorder="1" applyAlignment="1">
      <alignment horizontal="center" vertical="center" wrapText="1"/>
    </xf>
    <xf numFmtId="0" fontId="3" fillId="15" borderId="160" xfId="0" applyFont="1" applyFill="1" applyBorder="1" applyAlignment="1">
      <alignment horizontal="center" vertical="center" wrapText="1"/>
    </xf>
    <xf numFmtId="0" fontId="3" fillId="15" borderId="152" xfId="0" applyFont="1" applyFill="1" applyBorder="1" applyAlignment="1">
      <alignment horizontal="center" vertical="center" wrapText="1"/>
    </xf>
    <xf numFmtId="0" fontId="3" fillId="15" borderId="26" xfId="0" applyFont="1" applyFill="1" applyBorder="1" applyAlignment="1">
      <alignment horizontal="center" vertical="center" wrapText="1"/>
    </xf>
    <xf numFmtId="0" fontId="3" fillId="16" borderId="32" xfId="0" applyFont="1" applyFill="1" applyBorder="1" applyAlignment="1">
      <alignment horizontal="center" vertical="center" wrapText="1"/>
    </xf>
    <xf numFmtId="0" fontId="3" fillId="16" borderId="148" xfId="0" applyFont="1" applyFill="1" applyBorder="1" applyAlignment="1">
      <alignment horizontal="center" vertical="center" wrapText="1"/>
    </xf>
    <xf numFmtId="0" fontId="0" fillId="17" borderId="148" xfId="0" applyFill="1" applyBorder="1" applyAlignment="1">
      <alignment horizontal="justify" vertical="center"/>
    </xf>
    <xf numFmtId="0" fontId="9" fillId="17" borderId="148" xfId="0" applyFont="1" applyFill="1" applyBorder="1" applyAlignment="1">
      <alignment horizontal="center" vertical="center" wrapText="1"/>
    </xf>
    <xf numFmtId="3" fontId="8" fillId="5" borderId="0" xfId="0" applyNumberFormat="1" applyFont="1" applyFill="1" applyAlignment="1" applyProtection="1">
      <alignment horizontal="center" vertical="center"/>
      <protection locked="0"/>
    </xf>
    <xf numFmtId="3" fontId="8" fillId="5" borderId="37" xfId="0" applyNumberFormat="1" applyFont="1" applyFill="1" applyBorder="1" applyAlignment="1" applyProtection="1">
      <alignment horizontal="center" vertical="center"/>
      <protection locked="0"/>
    </xf>
    <xf numFmtId="9" fontId="0" fillId="41" borderId="32" xfId="0" applyNumberFormat="1" applyFill="1" applyBorder="1" applyAlignment="1">
      <alignment horizontal="center" vertical="center"/>
    </xf>
    <xf numFmtId="0" fontId="0" fillId="41" borderId="148" xfId="0" applyFill="1" applyBorder="1" applyAlignment="1">
      <alignment horizontal="center" vertical="center"/>
    </xf>
    <xf numFmtId="9" fontId="0" fillId="7" borderId="32" xfId="0" applyNumberFormat="1" applyFill="1" applyBorder="1" applyAlignment="1">
      <alignment horizontal="center" vertical="center" wrapText="1"/>
    </xf>
    <xf numFmtId="9" fontId="0" fillId="7" borderId="148" xfId="0" applyNumberFormat="1" applyFill="1" applyBorder="1" applyAlignment="1">
      <alignment horizontal="center" vertical="center" wrapText="1"/>
    </xf>
    <xf numFmtId="9" fontId="0" fillId="7" borderId="30" xfId="0" applyNumberFormat="1" applyFill="1" applyBorder="1" applyAlignment="1">
      <alignment horizontal="center" vertical="center" wrapText="1"/>
    </xf>
    <xf numFmtId="0" fontId="3" fillId="12" borderId="151" xfId="0" applyFont="1" applyFill="1" applyBorder="1" applyAlignment="1">
      <alignment horizontal="center" vertical="center" wrapText="1"/>
    </xf>
    <xf numFmtId="0" fontId="3" fillId="12" borderId="152" xfId="0" applyFont="1" applyFill="1" applyBorder="1" applyAlignment="1">
      <alignment horizontal="center" vertical="center" wrapText="1"/>
    </xf>
    <xf numFmtId="0" fontId="3" fillId="12" borderId="99" xfId="0" applyFont="1" applyFill="1" applyBorder="1" applyAlignment="1">
      <alignment horizontal="center" vertical="center" wrapText="1"/>
    </xf>
    <xf numFmtId="0" fontId="3" fillId="12" borderId="39" xfId="0" applyFont="1" applyFill="1" applyBorder="1" applyAlignment="1">
      <alignment horizontal="center" vertical="center" wrapText="1"/>
    </xf>
    <xf numFmtId="0" fontId="3" fillId="12" borderId="148" xfId="0" applyFont="1" applyFill="1" applyBorder="1" applyAlignment="1">
      <alignment horizontal="center" vertical="center" wrapText="1"/>
    </xf>
    <xf numFmtId="0" fontId="3" fillId="12" borderId="149" xfId="0" applyFont="1" applyFill="1" applyBorder="1" applyAlignment="1">
      <alignment horizontal="center" vertical="center" wrapText="1"/>
    </xf>
    <xf numFmtId="172" fontId="0" fillId="41" borderId="148" xfId="4" applyNumberFormat="1" applyFont="1" applyFill="1" applyBorder="1" applyAlignment="1">
      <alignment horizontal="center" vertical="center" wrapText="1"/>
    </xf>
    <xf numFmtId="172" fontId="0" fillId="41" borderId="148" xfId="0" applyNumberFormat="1" applyFill="1" applyBorder="1" applyAlignment="1">
      <alignment horizontal="center" vertical="center" wrapText="1"/>
    </xf>
    <xf numFmtId="0" fontId="8" fillId="71" borderId="149" xfId="0" applyFont="1" applyFill="1" applyBorder="1" applyAlignment="1" applyProtection="1">
      <alignment horizontal="center" vertical="center" wrapText="1"/>
      <protection locked="0"/>
    </xf>
    <xf numFmtId="172" fontId="0" fillId="38" borderId="8" xfId="4" applyNumberFormat="1" applyFont="1" applyFill="1" applyBorder="1" applyAlignment="1">
      <alignment horizontal="center" vertical="center" wrapText="1"/>
    </xf>
    <xf numFmtId="172" fontId="0" fillId="38" borderId="148" xfId="4" applyNumberFormat="1" applyFont="1" applyFill="1" applyBorder="1" applyAlignment="1">
      <alignment horizontal="center" vertical="center" wrapText="1"/>
    </xf>
    <xf numFmtId="0" fontId="8" fillId="6" borderId="40" xfId="0" applyFont="1" applyFill="1" applyBorder="1" applyAlignment="1" applyProtection="1">
      <alignment horizontal="center" vertical="center" wrapText="1"/>
      <protection locked="0"/>
    </xf>
    <xf numFmtId="3" fontId="8" fillId="6" borderId="13" xfId="0" applyNumberFormat="1" applyFont="1" applyFill="1" applyBorder="1" applyAlignment="1" applyProtection="1">
      <alignment horizontal="center" vertical="center" wrapText="1"/>
      <protection locked="0"/>
    </xf>
    <xf numFmtId="3" fontId="8" fillId="6" borderId="24" xfId="0" applyNumberFormat="1" applyFont="1" applyFill="1" applyBorder="1" applyAlignment="1" applyProtection="1">
      <alignment horizontal="center" vertical="center" wrapText="1"/>
      <protection locked="0"/>
    </xf>
    <xf numFmtId="3" fontId="8" fillId="6" borderId="47" xfId="0" applyNumberFormat="1" applyFont="1" applyFill="1" applyBorder="1" applyAlignment="1" applyProtection="1">
      <alignment horizontal="center" vertical="center" wrapText="1"/>
      <protection locked="0"/>
    </xf>
    <xf numFmtId="3" fontId="8" fillId="6" borderId="40" xfId="0" applyNumberFormat="1" applyFont="1" applyFill="1" applyBorder="1" applyAlignment="1" applyProtection="1">
      <alignment horizontal="center" vertical="center" wrapText="1"/>
      <protection locked="0"/>
    </xf>
    <xf numFmtId="0" fontId="10" fillId="38" borderId="148" xfId="0" applyFont="1" applyFill="1" applyBorder="1" applyAlignment="1">
      <alignment vertical="center" wrapText="1"/>
    </xf>
    <xf numFmtId="0" fontId="10" fillId="103" borderId="148" xfId="0" applyFont="1" applyFill="1" applyBorder="1" applyAlignment="1">
      <alignment horizontal="center" vertical="center" wrapText="1"/>
    </xf>
    <xf numFmtId="0" fontId="10" fillId="103" borderId="30" xfId="0" applyFont="1" applyFill="1" applyBorder="1" applyAlignment="1">
      <alignment horizontal="center" vertical="center" wrapText="1"/>
    </xf>
    <xf numFmtId="0" fontId="10" fillId="103" borderId="148" xfId="0" applyFont="1" applyFill="1" applyBorder="1" applyAlignment="1">
      <alignment horizontal="left" vertical="center" wrapText="1"/>
    </xf>
    <xf numFmtId="170" fontId="10" fillId="51" borderId="148" xfId="9" applyFont="1" applyFill="1" applyBorder="1" applyAlignment="1">
      <alignment horizontal="center" vertical="center" wrapText="1"/>
    </xf>
    <xf numFmtId="0" fontId="0" fillId="51" borderId="30" xfId="0" applyFont="1" applyFill="1" applyBorder="1" applyAlignment="1">
      <alignment horizontal="center" vertical="center" wrapText="1"/>
    </xf>
    <xf numFmtId="0" fontId="0" fillId="51" borderId="148" xfId="0" applyFont="1" applyFill="1" applyBorder="1" applyAlignment="1">
      <alignment horizontal="center" vertical="top" wrapText="1"/>
    </xf>
    <xf numFmtId="0" fontId="0" fillId="51" borderId="30" xfId="0" applyFont="1" applyFill="1" applyBorder="1" applyAlignment="1">
      <alignment horizontal="center" vertical="top" wrapText="1"/>
    </xf>
    <xf numFmtId="0" fontId="0" fillId="51" borderId="148" xfId="0" applyFont="1" applyFill="1" applyBorder="1" applyAlignment="1">
      <alignment vertical="center" wrapText="1"/>
    </xf>
    <xf numFmtId="0" fontId="0" fillId="51" borderId="30" xfId="0" applyFont="1" applyFill="1" applyBorder="1" applyAlignment="1">
      <alignment vertical="center" wrapText="1"/>
    </xf>
    <xf numFmtId="170" fontId="10" fillId="51" borderId="30" xfId="9" applyFont="1" applyFill="1" applyBorder="1" applyAlignment="1">
      <alignment horizontal="center" vertical="center" wrapText="1"/>
    </xf>
    <xf numFmtId="170" fontId="10" fillId="103" borderId="148" xfId="9" applyFont="1" applyFill="1" applyBorder="1" applyAlignment="1">
      <alignment horizontal="center" vertical="center" wrapText="1"/>
    </xf>
    <xf numFmtId="0" fontId="7" fillId="103" borderId="148" xfId="0" applyFont="1" applyFill="1" applyBorder="1" applyAlignment="1">
      <alignment horizontal="center" vertical="center" wrapText="1"/>
    </xf>
    <xf numFmtId="170" fontId="0" fillId="103" borderId="148" xfId="9" applyFont="1" applyFill="1" applyBorder="1" applyAlignment="1">
      <alignment horizontal="center" vertical="center" wrapText="1"/>
    </xf>
    <xf numFmtId="0" fontId="3" fillId="0" borderId="93" xfId="0" applyFont="1" applyBorder="1" applyAlignment="1">
      <alignment horizontal="center" vertical="center" wrapText="1"/>
    </xf>
    <xf numFmtId="0" fontId="3" fillId="0" borderId="26" xfId="0" applyFont="1" applyBorder="1" applyAlignment="1">
      <alignment horizontal="left" vertical="center" wrapText="1"/>
    </xf>
    <xf numFmtId="0" fontId="10" fillId="103" borderId="8" xfId="0" applyFont="1" applyFill="1" applyBorder="1" applyAlignment="1">
      <alignment horizontal="center" vertical="center" wrapText="1"/>
    </xf>
    <xf numFmtId="0" fontId="10" fillId="103" borderId="8" xfId="0" applyFont="1" applyFill="1" applyBorder="1" applyAlignment="1">
      <alignment horizontal="left" vertical="center" wrapText="1"/>
    </xf>
    <xf numFmtId="170" fontId="10" fillId="38" borderId="148" xfId="9" applyFont="1" applyFill="1" applyBorder="1" applyAlignment="1">
      <alignment horizontal="center" vertical="center" wrapText="1"/>
    </xf>
    <xf numFmtId="0" fontId="0" fillId="38" borderId="148" xfId="0" applyFont="1" applyFill="1" applyBorder="1" applyAlignment="1">
      <alignment horizontal="left" vertical="center" wrapText="1"/>
    </xf>
    <xf numFmtId="0" fontId="10" fillId="38" borderId="148" xfId="0" applyFont="1" applyFill="1" applyBorder="1" applyAlignment="1">
      <alignment horizontal="left" vertical="center" wrapText="1"/>
    </xf>
    <xf numFmtId="0" fontId="10" fillId="38" borderId="32" xfId="0" applyFont="1" applyFill="1" applyBorder="1" applyAlignment="1">
      <alignment horizontal="left" vertical="center" wrapText="1"/>
    </xf>
    <xf numFmtId="0" fontId="10" fillId="51" borderId="148" xfId="0" applyFont="1" applyFill="1" applyBorder="1" applyAlignment="1">
      <alignment horizontal="center" vertical="top" wrapText="1"/>
    </xf>
    <xf numFmtId="0" fontId="0" fillId="103" borderId="7" xfId="0" applyFont="1" applyFill="1" applyBorder="1" applyAlignment="1">
      <alignment horizontal="center" vertical="center" wrapText="1"/>
    </xf>
    <xf numFmtId="0" fontId="10" fillId="51" borderId="148" xfId="0" applyFont="1" applyFill="1" applyBorder="1" applyAlignment="1">
      <alignment vertical="center" wrapText="1"/>
    </xf>
    <xf numFmtId="0" fontId="0" fillId="51" borderId="51" xfId="0" applyFont="1" applyFill="1" applyBorder="1" applyAlignment="1">
      <alignment horizontal="center" vertical="center" wrapText="1"/>
    </xf>
    <xf numFmtId="0" fontId="0" fillId="51" borderId="11" xfId="0" applyFont="1" applyFill="1" applyBorder="1" applyAlignment="1">
      <alignment horizontal="center" vertical="center" wrapText="1"/>
    </xf>
    <xf numFmtId="0" fontId="0" fillId="51" borderId="29" xfId="0" applyFont="1" applyFill="1" applyBorder="1" applyAlignment="1">
      <alignment horizontal="center" vertical="center" wrapText="1"/>
    </xf>
    <xf numFmtId="0" fontId="0" fillId="38" borderId="29" xfId="0" applyFont="1" applyFill="1" applyBorder="1" applyAlignment="1">
      <alignment horizontal="center" vertical="center" wrapText="1"/>
    </xf>
    <xf numFmtId="170" fontId="0" fillId="51" borderId="148" xfId="9" applyFont="1" applyFill="1" applyBorder="1" applyAlignment="1">
      <alignment horizontal="center" vertical="center" wrapText="1"/>
    </xf>
    <xf numFmtId="0" fontId="3" fillId="29" borderId="103" xfId="0" applyFont="1" applyFill="1" applyBorder="1" applyAlignment="1">
      <alignment horizontal="center" vertical="center" wrapText="1"/>
    </xf>
    <xf numFmtId="0" fontId="3" fillId="29" borderId="78" xfId="0" applyFont="1" applyFill="1" applyBorder="1" applyAlignment="1">
      <alignment horizontal="center" vertical="center" wrapText="1"/>
    </xf>
    <xf numFmtId="0" fontId="3" fillId="29" borderId="152" xfId="0" applyFont="1" applyFill="1" applyBorder="1" applyAlignment="1">
      <alignment horizontal="center" vertical="center" wrapText="1"/>
    </xf>
    <xf numFmtId="0" fontId="3" fillId="29" borderId="79" xfId="0" applyFont="1" applyFill="1" applyBorder="1" applyAlignment="1">
      <alignment horizontal="center" vertical="center" wrapText="1"/>
    </xf>
    <xf numFmtId="0" fontId="3" fillId="29" borderId="2" xfId="0" applyFont="1" applyFill="1" applyBorder="1" applyAlignment="1">
      <alignment horizontal="center" vertical="center" wrapText="1"/>
    </xf>
    <xf numFmtId="0" fontId="3" fillId="29" borderId="0" xfId="0" applyFont="1" applyFill="1" applyBorder="1" applyAlignment="1">
      <alignment horizontal="center" vertical="center" wrapText="1"/>
    </xf>
    <xf numFmtId="0" fontId="3" fillId="29" borderId="25" xfId="0" applyFont="1" applyFill="1" applyBorder="1" applyAlignment="1">
      <alignment horizontal="center" vertical="center" wrapText="1"/>
    </xf>
    <xf numFmtId="0" fontId="3" fillId="17" borderId="102" xfId="0" applyFont="1" applyFill="1" applyBorder="1" applyAlignment="1">
      <alignment horizontal="center" vertical="center" wrapText="1"/>
    </xf>
    <xf numFmtId="0" fontId="8" fillId="73" borderId="0" xfId="0" applyFont="1" applyFill="1" applyBorder="1" applyAlignment="1" applyProtection="1">
      <alignment horizontal="center" vertical="center" wrapText="1"/>
      <protection locked="0"/>
    </xf>
    <xf numFmtId="170" fontId="10" fillId="103" borderId="8" xfId="9" applyFont="1" applyFill="1" applyBorder="1" applyAlignment="1">
      <alignment horizontal="center" vertical="center" wrapText="1"/>
    </xf>
    <xf numFmtId="9" fontId="0" fillId="103" borderId="8" xfId="0" applyNumberFormat="1" applyFont="1" applyFill="1" applyBorder="1" applyAlignment="1" applyProtection="1">
      <alignment horizontal="center" vertical="center"/>
      <protection locked="0"/>
    </xf>
    <xf numFmtId="9" fontId="0" fillId="103" borderId="148" xfId="0" applyNumberFormat="1" applyFont="1" applyFill="1" applyBorder="1" applyAlignment="1" applyProtection="1">
      <alignment horizontal="center" vertical="center"/>
      <protection locked="0"/>
    </xf>
    <xf numFmtId="9" fontId="0" fillId="11" borderId="8" xfId="0" applyNumberFormat="1" applyFont="1" applyFill="1" applyBorder="1" applyAlignment="1" applyProtection="1">
      <alignment horizontal="center" vertical="center"/>
      <protection locked="0"/>
    </xf>
    <xf numFmtId="9" fontId="0" fillId="11" borderId="148" xfId="0" applyNumberFormat="1" applyFont="1" applyFill="1" applyBorder="1" applyAlignment="1" applyProtection="1">
      <alignment horizontal="center" vertical="center"/>
      <protection locked="0"/>
    </xf>
    <xf numFmtId="0" fontId="0" fillId="11" borderId="148" xfId="0" applyFont="1" applyFill="1" applyBorder="1" applyAlignment="1">
      <alignment horizontal="center" vertical="center" wrapText="1"/>
    </xf>
    <xf numFmtId="0" fontId="0" fillId="11" borderId="30" xfId="0" applyFont="1" applyFill="1" applyBorder="1" applyAlignment="1">
      <alignment horizontal="center" vertical="center" wrapText="1"/>
    </xf>
    <xf numFmtId="0" fontId="10" fillId="116" borderId="94" xfId="0" applyFont="1" applyFill="1" applyBorder="1" applyAlignment="1">
      <alignment horizontal="center"/>
    </xf>
    <xf numFmtId="0" fontId="10" fillId="38" borderId="32" xfId="0" applyFont="1" applyFill="1" applyBorder="1" applyAlignment="1">
      <alignment horizontal="center" vertical="center"/>
    </xf>
    <xf numFmtId="0" fontId="10" fillId="38" borderId="148" xfId="0" applyFont="1" applyFill="1" applyBorder="1" applyAlignment="1">
      <alignment horizontal="center" vertical="center"/>
    </xf>
    <xf numFmtId="0" fontId="39" fillId="69" borderId="32" xfId="0" applyFont="1" applyFill="1" applyBorder="1" applyAlignment="1">
      <alignment horizontal="center" vertical="center" wrapText="1"/>
    </xf>
    <xf numFmtId="0" fontId="39" fillId="69" borderId="148" xfId="0" applyFont="1" applyFill="1" applyBorder="1" applyAlignment="1">
      <alignment horizontal="center" vertical="center" wrapText="1"/>
    </xf>
    <xf numFmtId="0" fontId="10" fillId="69" borderId="148" xfId="0" applyFont="1" applyFill="1" applyBorder="1" applyAlignment="1">
      <alignment horizontal="center" vertical="center" wrapText="1"/>
    </xf>
    <xf numFmtId="0" fontId="10" fillId="69" borderId="30" xfId="0" applyFont="1" applyFill="1" applyBorder="1" applyAlignment="1">
      <alignment horizontal="center" vertical="center" wrapText="1"/>
    </xf>
    <xf numFmtId="0" fontId="10" fillId="12" borderId="148" xfId="0" applyFont="1" applyFill="1" applyBorder="1" applyAlignment="1">
      <alignment horizontal="center" vertical="center" wrapText="1"/>
    </xf>
    <xf numFmtId="0" fontId="10" fillId="29" borderId="32" xfId="0" applyFont="1" applyFill="1" applyBorder="1" applyAlignment="1">
      <alignment horizontal="center"/>
    </xf>
    <xf numFmtId="0" fontId="10" fillId="29" borderId="30" xfId="0" applyFont="1" applyFill="1" applyBorder="1" applyAlignment="1">
      <alignment horizontal="center"/>
    </xf>
    <xf numFmtId="0" fontId="10" fillId="69" borderId="148" xfId="0" applyFont="1" applyFill="1" applyBorder="1" applyAlignment="1">
      <alignment horizontal="center" vertical="center"/>
    </xf>
    <xf numFmtId="0" fontId="10" fillId="116" borderId="148" xfId="0" applyFont="1" applyFill="1" applyBorder="1" applyAlignment="1">
      <alignment horizontal="center"/>
    </xf>
    <xf numFmtId="0" fontId="10" fillId="68" borderId="148" xfId="0" applyFont="1" applyFill="1" applyBorder="1" applyAlignment="1">
      <alignment horizontal="center" vertical="center" wrapText="1"/>
    </xf>
    <xf numFmtId="0" fontId="10" fillId="51" borderId="26" xfId="0" applyFont="1" applyFill="1" applyBorder="1" applyAlignment="1">
      <alignment horizontal="center" vertical="center" wrapText="1"/>
    </xf>
    <xf numFmtId="0" fontId="10" fillId="51" borderId="51" xfId="0" applyFont="1" applyFill="1" applyBorder="1" applyAlignment="1">
      <alignment horizontal="center" vertical="center" wrapText="1"/>
    </xf>
    <xf numFmtId="0" fontId="10" fillId="51" borderId="35" xfId="0" applyFont="1" applyFill="1" applyBorder="1" applyAlignment="1">
      <alignment horizontal="center" vertical="center" wrapText="1"/>
    </xf>
    <xf numFmtId="0" fontId="10" fillId="38" borderId="158" xfId="0" applyFont="1" applyFill="1" applyBorder="1" applyAlignment="1">
      <alignment horizontal="center" vertical="center" wrapText="1"/>
    </xf>
    <xf numFmtId="0" fontId="10" fillId="38" borderId="35" xfId="0" applyFont="1" applyFill="1" applyBorder="1" applyAlignment="1">
      <alignment horizontal="center" vertical="center" wrapText="1"/>
    </xf>
    <xf numFmtId="0" fontId="10" fillId="12" borderId="158" xfId="0" applyFont="1" applyFill="1" applyBorder="1" applyAlignment="1">
      <alignment horizontal="center" vertical="center" wrapText="1"/>
    </xf>
    <xf numFmtId="0" fontId="10" fillId="12" borderId="35" xfId="0" applyFont="1" applyFill="1" applyBorder="1" applyAlignment="1">
      <alignment horizontal="center" vertical="center" wrapText="1"/>
    </xf>
    <xf numFmtId="0" fontId="10" fillId="12" borderId="51" xfId="0" applyFont="1" applyFill="1" applyBorder="1" applyAlignment="1">
      <alignment horizontal="center" vertical="center" wrapText="1"/>
    </xf>
    <xf numFmtId="0" fontId="10" fillId="69" borderId="34" xfId="0" applyFont="1" applyFill="1" applyBorder="1" applyAlignment="1">
      <alignment horizontal="center" vertical="center" wrapText="1"/>
    </xf>
    <xf numFmtId="0" fontId="10" fillId="69" borderId="35" xfId="0" applyFont="1" applyFill="1" applyBorder="1" applyAlignment="1">
      <alignment horizontal="center" vertical="center" wrapText="1"/>
    </xf>
    <xf numFmtId="0" fontId="10" fillId="69" borderId="51" xfId="0" applyFont="1" applyFill="1" applyBorder="1" applyAlignment="1">
      <alignment horizontal="center" vertical="center" wrapText="1"/>
    </xf>
    <xf numFmtId="0" fontId="10" fillId="68" borderId="158" xfId="0" applyFont="1" applyFill="1" applyBorder="1" applyAlignment="1">
      <alignment horizontal="center" vertical="center" wrapText="1"/>
    </xf>
    <xf numFmtId="0" fontId="10" fillId="68" borderId="35" xfId="0" applyFont="1" applyFill="1" applyBorder="1" applyAlignment="1">
      <alignment horizontal="center" vertical="center" wrapText="1"/>
    </xf>
    <xf numFmtId="0" fontId="10" fillId="68" borderId="51" xfId="0" applyFont="1" applyFill="1" applyBorder="1" applyAlignment="1">
      <alignment horizontal="center" vertical="center" wrapText="1"/>
    </xf>
    <xf numFmtId="0" fontId="10" fillId="39" borderId="94" xfId="0" applyFont="1" applyFill="1" applyBorder="1" applyAlignment="1">
      <alignment horizontal="center" vertical="center" wrapText="1"/>
    </xf>
    <xf numFmtId="0" fontId="10" fillId="51" borderId="94" xfId="0" applyFont="1" applyFill="1" applyBorder="1" applyAlignment="1">
      <alignment horizontal="center" vertical="center" wrapText="1"/>
    </xf>
    <xf numFmtId="0" fontId="10" fillId="38" borderId="52" xfId="0" applyFont="1" applyFill="1" applyBorder="1" applyAlignment="1">
      <alignment horizontal="center" vertical="center"/>
    </xf>
    <xf numFmtId="0" fontId="10" fillId="38" borderId="94" xfId="0" applyFont="1" applyFill="1" applyBorder="1" applyAlignment="1">
      <alignment horizontal="center" vertical="center"/>
    </xf>
    <xf numFmtId="0" fontId="39" fillId="69" borderId="52" xfId="0" applyFont="1" applyFill="1" applyBorder="1" applyAlignment="1">
      <alignment horizontal="center" vertical="center" wrapText="1"/>
    </xf>
    <xf numFmtId="0" fontId="39" fillId="69" borderId="94" xfId="0" applyFont="1" applyFill="1" applyBorder="1" applyAlignment="1">
      <alignment horizontal="center" vertical="center" wrapText="1"/>
    </xf>
    <xf numFmtId="0" fontId="10" fillId="69" borderId="94" xfId="0" applyFont="1" applyFill="1" applyBorder="1" applyAlignment="1">
      <alignment horizontal="center" vertical="center" wrapText="1"/>
    </xf>
    <xf numFmtId="0" fontId="10" fillId="69" borderId="31" xfId="0" applyFont="1" applyFill="1" applyBorder="1" applyAlignment="1">
      <alignment horizontal="center" vertical="center" wrapText="1"/>
    </xf>
    <xf numFmtId="0" fontId="10" fillId="12" borderId="94" xfId="0" applyFont="1" applyFill="1" applyBorder="1" applyAlignment="1">
      <alignment horizontal="center" vertical="center" wrapText="1"/>
    </xf>
    <xf numFmtId="0" fontId="10" fillId="29" borderId="52" xfId="0" applyFont="1" applyFill="1" applyBorder="1" applyAlignment="1">
      <alignment horizontal="center"/>
    </xf>
    <xf numFmtId="0" fontId="10" fillId="29" borderId="31" xfId="0" applyFont="1" applyFill="1" applyBorder="1" applyAlignment="1">
      <alignment horizontal="center"/>
    </xf>
    <xf numFmtId="0" fontId="10" fillId="69" borderId="94" xfId="0" applyFont="1" applyFill="1" applyBorder="1" applyAlignment="1">
      <alignment horizontal="center" vertical="center"/>
    </xf>
    <xf numFmtId="0" fontId="10" fillId="68" borderId="11" xfId="0" applyFont="1" applyFill="1" applyBorder="1" applyAlignment="1">
      <alignment horizontal="center" vertical="center" wrapText="1"/>
    </xf>
    <xf numFmtId="0" fontId="0" fillId="68" borderId="148" xfId="0" applyFont="1" applyFill="1" applyBorder="1" applyAlignment="1">
      <alignment horizontal="center" vertical="center" wrapText="1"/>
    </xf>
    <xf numFmtId="0" fontId="7" fillId="69" borderId="32" xfId="0" applyFont="1" applyFill="1" applyBorder="1" applyAlignment="1">
      <alignment horizontal="center" vertical="center" wrapText="1"/>
    </xf>
    <xf numFmtId="0" fontId="7" fillId="69" borderId="148" xfId="0" applyFont="1" applyFill="1" applyBorder="1" applyAlignment="1">
      <alignment horizontal="center" vertical="center" wrapText="1"/>
    </xf>
    <xf numFmtId="0" fontId="10" fillId="69" borderId="32" xfId="0" applyFont="1" applyFill="1" applyBorder="1" applyAlignment="1">
      <alignment horizontal="center" vertical="center" wrapText="1"/>
    </xf>
    <xf numFmtId="0" fontId="10" fillId="116" borderId="148" xfId="0" applyFont="1" applyFill="1" applyBorder="1" applyAlignment="1">
      <alignment horizontal="left" vertical="center" wrapText="1"/>
    </xf>
    <xf numFmtId="0" fontId="10" fillId="116" borderId="148" xfId="0" applyFont="1" applyFill="1" applyBorder="1" applyAlignment="1">
      <alignment horizontal="center" vertical="center" wrapText="1"/>
    </xf>
    <xf numFmtId="0" fontId="38" fillId="68" borderId="148" xfId="0" applyFont="1" applyFill="1" applyBorder="1" applyAlignment="1">
      <alignment horizontal="center" vertical="center" wrapText="1"/>
    </xf>
    <xf numFmtId="0" fontId="10" fillId="68" borderId="148" xfId="0" applyFont="1" applyFill="1" applyBorder="1" applyAlignment="1">
      <alignment horizontal="center" vertical="top" wrapText="1"/>
    </xf>
    <xf numFmtId="0" fontId="10" fillId="12" borderId="32" xfId="0" applyFont="1" applyFill="1" applyBorder="1" applyAlignment="1">
      <alignment horizontal="center" vertical="center" wrapText="1"/>
    </xf>
    <xf numFmtId="0" fontId="7" fillId="12" borderId="32" xfId="0" applyFont="1" applyFill="1" applyBorder="1" applyAlignment="1">
      <alignment horizontal="center" vertical="center" wrapText="1"/>
    </xf>
    <xf numFmtId="0" fontId="7" fillId="12" borderId="148" xfId="0" applyFont="1" applyFill="1" applyBorder="1" applyAlignment="1">
      <alignment horizontal="center" vertical="center" wrapText="1"/>
    </xf>
    <xf numFmtId="0" fontId="10" fillId="69" borderId="11" xfId="0" applyFont="1" applyFill="1" applyBorder="1" applyAlignment="1">
      <alignment horizontal="center" vertical="center" wrapText="1"/>
    </xf>
    <xf numFmtId="0" fontId="0" fillId="69" borderId="32" xfId="0" applyFont="1" applyFill="1" applyBorder="1" applyAlignment="1">
      <alignment horizontal="center" vertical="center" wrapText="1"/>
    </xf>
    <xf numFmtId="0" fontId="0" fillId="69" borderId="148" xfId="0" applyFont="1" applyFill="1" applyBorder="1" applyAlignment="1">
      <alignment horizontal="center" vertical="center" wrapText="1"/>
    </xf>
    <xf numFmtId="0" fontId="38" fillId="51" borderId="148" xfId="0" applyFont="1" applyFill="1" applyBorder="1" applyAlignment="1">
      <alignment horizontal="center" vertical="center" wrapText="1"/>
    </xf>
    <xf numFmtId="0" fontId="9" fillId="17" borderId="0" xfId="0" applyFont="1" applyFill="1" applyBorder="1" applyAlignment="1">
      <alignment horizontal="center" vertical="center" wrapText="1"/>
    </xf>
    <xf numFmtId="0" fontId="9" fillId="17" borderId="39" xfId="0" applyFont="1" applyFill="1" applyBorder="1" applyAlignment="1">
      <alignment horizontal="center" vertical="center" wrapText="1"/>
    </xf>
    <xf numFmtId="0" fontId="9" fillId="17" borderId="103" xfId="0" applyFont="1" applyFill="1" applyBorder="1" applyAlignment="1">
      <alignment horizontal="center" vertical="center" wrapText="1"/>
    </xf>
    <xf numFmtId="0" fontId="9" fillId="17" borderId="78" xfId="0" applyFont="1" applyFill="1" applyBorder="1" applyAlignment="1">
      <alignment horizontal="center" vertical="center" wrapText="1"/>
    </xf>
    <xf numFmtId="0" fontId="9" fillId="17" borderId="152" xfId="0" applyFont="1" applyFill="1" applyBorder="1" applyAlignment="1">
      <alignment horizontal="center" vertical="center" wrapText="1"/>
    </xf>
    <xf numFmtId="0" fontId="9" fillId="17" borderId="79" xfId="0" applyFont="1" applyFill="1" applyBorder="1" applyAlignment="1">
      <alignment horizontal="center" vertical="center" wrapText="1"/>
    </xf>
    <xf numFmtId="0" fontId="9" fillId="17" borderId="2" xfId="0" applyFont="1" applyFill="1" applyBorder="1" applyAlignment="1">
      <alignment horizontal="center" vertical="center" wrapText="1"/>
    </xf>
    <xf numFmtId="0" fontId="9" fillId="17" borderId="25" xfId="0" applyFont="1" applyFill="1" applyBorder="1" applyAlignment="1">
      <alignment horizontal="center" vertical="center" wrapText="1"/>
    </xf>
    <xf numFmtId="0" fontId="0" fillId="39" borderId="148" xfId="0" applyFont="1" applyFill="1" applyBorder="1" applyAlignment="1">
      <alignment horizontal="left" vertical="center" wrapText="1"/>
    </xf>
    <xf numFmtId="0" fontId="10" fillId="39" borderId="148" xfId="0" applyFont="1" applyFill="1" applyBorder="1" applyAlignment="1">
      <alignment horizontal="left" vertical="center" wrapText="1"/>
    </xf>
    <xf numFmtId="164" fontId="10" fillId="39" borderId="148" xfId="4" applyFont="1" applyFill="1" applyBorder="1" applyAlignment="1">
      <alignment horizontal="center" vertical="center" wrapText="1"/>
    </xf>
    <xf numFmtId="0" fontId="7" fillId="39" borderId="148" xfId="0" applyFont="1" applyFill="1" applyBorder="1" applyAlignment="1">
      <alignment horizontal="center" vertical="center" wrapText="1"/>
    </xf>
    <xf numFmtId="0" fontId="10" fillId="39" borderId="148" xfId="0" applyFont="1" applyFill="1" applyBorder="1" applyAlignment="1">
      <alignment horizontal="center" vertical="top" wrapText="1"/>
    </xf>
    <xf numFmtId="0" fontId="10" fillId="69" borderId="29" xfId="0" applyFont="1" applyFill="1" applyBorder="1" applyAlignment="1">
      <alignment horizontal="center" vertical="center" wrapText="1"/>
    </xf>
    <xf numFmtId="0" fontId="10" fillId="12" borderId="11" xfId="0" applyFont="1" applyFill="1" applyBorder="1" applyAlignment="1">
      <alignment horizontal="center" vertical="center" wrapText="1"/>
    </xf>
    <xf numFmtId="0" fontId="10" fillId="29" borderId="51" xfId="0" applyFont="1" applyFill="1" applyBorder="1" applyAlignment="1">
      <alignment horizontal="center" vertical="center" wrapText="1"/>
    </xf>
    <xf numFmtId="0" fontId="10" fillId="29" borderId="29" xfId="0" applyFont="1" applyFill="1" applyBorder="1" applyAlignment="1">
      <alignment horizontal="center" vertical="center" wrapText="1"/>
    </xf>
    <xf numFmtId="0" fontId="10" fillId="52" borderId="148" xfId="0" applyFont="1" applyFill="1" applyBorder="1" applyAlignment="1">
      <alignment horizontal="center" vertical="center" wrapText="1"/>
    </xf>
    <xf numFmtId="0" fontId="10" fillId="52" borderId="30" xfId="0" applyFont="1" applyFill="1" applyBorder="1" applyAlignment="1">
      <alignment horizontal="center" vertical="center" wrapText="1"/>
    </xf>
    <xf numFmtId="0" fontId="10" fillId="47" borderId="148" xfId="0" applyFont="1" applyFill="1" applyBorder="1" applyAlignment="1">
      <alignment horizontal="center" vertical="center" wrapText="1"/>
    </xf>
    <xf numFmtId="0" fontId="10" fillId="47" borderId="30" xfId="0" applyFont="1" applyFill="1" applyBorder="1" applyAlignment="1">
      <alignment horizontal="center" vertical="center" wrapText="1"/>
    </xf>
    <xf numFmtId="0" fontId="10" fillId="39" borderId="179" xfId="0" applyFont="1" applyFill="1" applyBorder="1" applyAlignment="1">
      <alignment horizontal="center" vertical="center" wrapText="1"/>
    </xf>
    <xf numFmtId="0" fontId="10" fillId="38" borderId="38" xfId="0" applyFont="1" applyFill="1" applyBorder="1" applyAlignment="1">
      <alignment horizontal="center" vertical="center" wrapText="1"/>
    </xf>
    <xf numFmtId="0" fontId="10" fillId="38" borderId="179" xfId="0" applyFont="1" applyFill="1" applyBorder="1" applyAlignment="1">
      <alignment horizontal="center" vertical="center" wrapText="1"/>
    </xf>
    <xf numFmtId="0" fontId="0" fillId="51" borderId="148" xfId="0" applyFont="1" applyFill="1" applyBorder="1" applyAlignment="1">
      <alignment horizontal="left" vertical="center" wrapText="1"/>
    </xf>
    <xf numFmtId="0" fontId="10" fillId="51" borderId="148" xfId="0" applyFont="1" applyFill="1" applyBorder="1" applyAlignment="1">
      <alignment horizontal="left" vertical="center" wrapText="1"/>
    </xf>
    <xf numFmtId="0" fontId="10" fillId="38" borderId="32" xfId="0" applyFont="1" applyFill="1" applyBorder="1" applyAlignment="1">
      <alignment vertical="center" wrapText="1"/>
    </xf>
    <xf numFmtId="0" fontId="0" fillId="38" borderId="32" xfId="0" applyFont="1" applyFill="1" applyBorder="1" applyAlignment="1">
      <alignment vertical="center" wrapText="1"/>
    </xf>
    <xf numFmtId="0" fontId="0" fillId="38" borderId="148" xfId="0" applyFont="1" applyFill="1" applyBorder="1" applyAlignment="1">
      <alignment vertical="center" wrapText="1"/>
    </xf>
    <xf numFmtId="0" fontId="10" fillId="51" borderId="179" xfId="0" applyFont="1" applyFill="1" applyBorder="1" applyAlignment="1">
      <alignment horizontal="center" vertical="center" wrapText="1"/>
    </xf>
    <xf numFmtId="0" fontId="10" fillId="51" borderId="66" xfId="0" applyFont="1" applyFill="1" applyBorder="1" applyAlignment="1">
      <alignment horizontal="center" vertical="center" wrapText="1"/>
    </xf>
    <xf numFmtId="164" fontId="10" fillId="51" borderId="148" xfId="4" applyFont="1" applyFill="1" applyBorder="1" applyAlignment="1">
      <alignment vertical="center" wrapText="1"/>
    </xf>
    <xf numFmtId="9" fontId="38" fillId="51" borderId="148" xfId="0" applyNumberFormat="1" applyFont="1" applyFill="1" applyBorder="1" applyAlignment="1">
      <alignment horizontal="center" vertical="center" wrapText="1"/>
    </xf>
    <xf numFmtId="0" fontId="7" fillId="38" borderId="148" xfId="0" applyFont="1" applyFill="1" applyBorder="1" applyAlignment="1">
      <alignment horizontal="center" vertical="center" wrapText="1"/>
    </xf>
    <xf numFmtId="176" fontId="10" fillId="38" borderId="32" xfId="0" applyNumberFormat="1" applyFont="1" applyFill="1" applyBorder="1" applyAlignment="1">
      <alignment horizontal="center" vertical="center"/>
    </xf>
    <xf numFmtId="0" fontId="7" fillId="38" borderId="32" xfId="0" applyFont="1" applyFill="1" applyBorder="1" applyAlignment="1">
      <alignment horizontal="center" vertical="center" wrapText="1"/>
    </xf>
    <xf numFmtId="0" fontId="10" fillId="12" borderId="179" xfId="0" applyFont="1" applyFill="1" applyBorder="1" applyAlignment="1">
      <alignment horizontal="center" vertical="center" wrapText="1"/>
    </xf>
    <xf numFmtId="0" fontId="0" fillId="12" borderId="148" xfId="0" applyFont="1" applyFill="1" applyBorder="1" applyAlignment="1">
      <alignment vertical="center" wrapText="1"/>
    </xf>
    <xf numFmtId="0" fontId="10" fillId="12" borderId="148" xfId="0" applyFont="1" applyFill="1" applyBorder="1" applyAlignment="1">
      <alignment vertical="center" wrapText="1"/>
    </xf>
    <xf numFmtId="0" fontId="10" fillId="69" borderId="148" xfId="0" applyFont="1" applyFill="1" applyBorder="1" applyAlignment="1">
      <alignment vertical="center" wrapText="1"/>
    </xf>
    <xf numFmtId="0" fontId="10" fillId="69" borderId="30" xfId="0" applyFont="1" applyFill="1" applyBorder="1" applyAlignment="1">
      <alignment vertical="center" wrapText="1"/>
    </xf>
    <xf numFmtId="0" fontId="10" fillId="69" borderId="179" xfId="0" applyFont="1" applyFill="1" applyBorder="1" applyAlignment="1">
      <alignment horizontal="center" vertical="center" wrapText="1"/>
    </xf>
    <xf numFmtId="0" fontId="0" fillId="69" borderId="32" xfId="0" applyFont="1" applyFill="1" applyBorder="1" applyAlignment="1">
      <alignment vertical="center" wrapText="1"/>
    </xf>
    <xf numFmtId="0" fontId="0" fillId="69" borderId="148" xfId="0" applyFont="1" applyFill="1" applyBorder="1" applyAlignment="1">
      <alignment vertical="center" wrapText="1"/>
    </xf>
    <xf numFmtId="0" fontId="10" fillId="69" borderId="32" xfId="0" applyFont="1" applyFill="1" applyBorder="1" applyAlignment="1">
      <alignment vertical="center" wrapText="1"/>
    </xf>
    <xf numFmtId="0" fontId="38" fillId="69" borderId="32" xfId="0" applyFont="1" applyFill="1" applyBorder="1" applyAlignment="1">
      <alignment horizontal="center" vertical="center" wrapText="1"/>
    </xf>
    <xf numFmtId="0" fontId="38" fillId="69" borderId="148" xfId="0" applyFont="1" applyFill="1" applyBorder="1" applyAlignment="1">
      <alignment horizontal="center" vertical="center" wrapText="1"/>
    </xf>
    <xf numFmtId="176" fontId="10" fillId="69" borderId="32" xfId="0" applyNumberFormat="1" applyFont="1" applyFill="1" applyBorder="1" applyAlignment="1">
      <alignment horizontal="center" vertical="center"/>
    </xf>
    <xf numFmtId="176" fontId="10" fillId="69" borderId="148" xfId="0" applyNumberFormat="1" applyFont="1" applyFill="1" applyBorder="1" applyAlignment="1">
      <alignment horizontal="center" vertical="center"/>
    </xf>
    <xf numFmtId="176" fontId="10" fillId="12" borderId="148" xfId="0" applyNumberFormat="1" applyFont="1" applyFill="1" applyBorder="1" applyAlignment="1">
      <alignment horizontal="center" vertical="center"/>
    </xf>
    <xf numFmtId="0" fontId="7" fillId="12" borderId="148" xfId="0" applyFont="1" applyFill="1" applyBorder="1" applyAlignment="1">
      <alignment horizontal="center" vertical="top" wrapText="1"/>
    </xf>
    <xf numFmtId="176" fontId="10" fillId="69" borderId="30" xfId="0" applyNumberFormat="1" applyFont="1" applyFill="1" applyBorder="1" applyAlignment="1">
      <alignment horizontal="center" vertical="center"/>
    </xf>
    <xf numFmtId="0" fontId="10" fillId="29" borderId="179" xfId="0" applyFont="1" applyFill="1" applyBorder="1" applyAlignment="1">
      <alignment horizontal="center" vertical="center" wrapText="1"/>
    </xf>
    <xf numFmtId="0" fontId="10" fillId="29" borderId="66" xfId="0" applyFont="1" applyFill="1" applyBorder="1" applyAlignment="1">
      <alignment horizontal="center" vertical="center" wrapText="1"/>
    </xf>
    <xf numFmtId="0" fontId="0" fillId="29" borderId="30" xfId="0" applyFont="1" applyFill="1" applyBorder="1" applyAlignment="1">
      <alignment horizontal="center" vertical="center" wrapText="1"/>
    </xf>
    <xf numFmtId="0" fontId="38" fillId="69" borderId="30" xfId="0" applyFont="1" applyFill="1" applyBorder="1" applyAlignment="1">
      <alignment horizontal="center" vertical="center" wrapText="1"/>
    </xf>
    <xf numFmtId="0" fontId="0" fillId="69" borderId="30" xfId="0" applyFont="1" applyFill="1" applyBorder="1" applyAlignment="1">
      <alignment vertical="center" wrapText="1"/>
    </xf>
    <xf numFmtId="0" fontId="0" fillId="12" borderId="32" xfId="0" applyFont="1" applyFill="1" applyBorder="1" applyAlignment="1">
      <alignment horizontal="center" vertical="top" wrapText="1"/>
    </xf>
    <xf numFmtId="0" fontId="0" fillId="12" borderId="148" xfId="0" applyFont="1" applyFill="1" applyBorder="1" applyAlignment="1">
      <alignment horizontal="center" vertical="top" wrapText="1"/>
    </xf>
    <xf numFmtId="176" fontId="10" fillId="29" borderId="32" xfId="0" applyNumberFormat="1" applyFont="1" applyFill="1" applyBorder="1" applyAlignment="1">
      <alignment horizontal="center" vertical="center"/>
    </xf>
    <xf numFmtId="176" fontId="10" fillId="29" borderId="30" xfId="0" applyNumberFormat="1" applyFont="1" applyFill="1" applyBorder="1" applyAlignment="1">
      <alignment horizontal="center" vertical="center"/>
    </xf>
    <xf numFmtId="0" fontId="10" fillId="47" borderId="32" xfId="0" applyFont="1" applyFill="1" applyBorder="1" applyAlignment="1">
      <alignment horizontal="center" vertical="center" wrapText="1"/>
    </xf>
    <xf numFmtId="0" fontId="10" fillId="69" borderId="38" xfId="0" applyFont="1" applyFill="1" applyBorder="1" applyAlignment="1">
      <alignment horizontal="center" vertical="center" wrapText="1"/>
    </xf>
    <xf numFmtId="0" fontId="38" fillId="29" borderId="32" xfId="0" applyFont="1" applyFill="1" applyBorder="1" applyAlignment="1">
      <alignment horizontal="center" vertical="center" wrapText="1"/>
    </xf>
    <xf numFmtId="0" fontId="38" fillId="29" borderId="30" xfId="0" applyFont="1" applyFill="1" applyBorder="1" applyAlignment="1">
      <alignment horizontal="center" vertical="center" wrapText="1"/>
    </xf>
    <xf numFmtId="164" fontId="10" fillId="69" borderId="148" xfId="4" applyFont="1" applyFill="1" applyBorder="1" applyAlignment="1">
      <alignment horizontal="center" vertical="center"/>
    </xf>
    <xf numFmtId="0" fontId="10" fillId="116" borderId="179" xfId="0" applyFont="1" applyFill="1" applyBorder="1" applyAlignment="1">
      <alignment horizontal="center" vertical="center" wrapText="1"/>
    </xf>
    <xf numFmtId="0" fontId="0" fillId="116" borderId="148" xfId="0" applyFont="1" applyFill="1" applyBorder="1" applyAlignment="1">
      <alignment horizontal="left" vertical="center" wrapText="1"/>
    </xf>
    <xf numFmtId="0" fontId="10" fillId="116" borderId="11" xfId="0" applyFont="1" applyFill="1" applyBorder="1" applyAlignment="1">
      <alignment horizontal="center" vertical="center" wrapText="1"/>
    </xf>
    <xf numFmtId="0" fontId="10" fillId="116" borderId="29" xfId="0" applyFont="1" applyFill="1" applyBorder="1" applyAlignment="1">
      <alignment horizontal="center" vertical="center" wrapText="1"/>
    </xf>
    <xf numFmtId="0" fontId="7" fillId="69" borderId="148" xfId="0" applyFont="1" applyFill="1" applyBorder="1" applyAlignment="1">
      <alignment horizontal="center" vertical="top" wrapText="1"/>
    </xf>
    <xf numFmtId="0" fontId="0" fillId="69" borderId="148" xfId="0" applyFont="1" applyFill="1" applyBorder="1" applyAlignment="1">
      <alignment horizontal="left" vertical="center" wrapText="1"/>
    </xf>
    <xf numFmtId="0" fontId="10" fillId="69" borderId="148" xfId="0" applyFont="1" applyFill="1" applyBorder="1" applyAlignment="1">
      <alignment horizontal="left" vertical="center" wrapText="1"/>
    </xf>
    <xf numFmtId="164" fontId="10" fillId="116" borderId="148" xfId="4" applyFont="1" applyFill="1" applyBorder="1" applyAlignment="1">
      <alignment horizontal="center" vertical="center"/>
    </xf>
    <xf numFmtId="0" fontId="10" fillId="116" borderId="148" xfId="0" applyFont="1" applyFill="1" applyBorder="1" applyAlignment="1">
      <alignment horizontal="center" vertical="center"/>
    </xf>
    <xf numFmtId="0" fontId="10" fillId="27" borderId="148" xfId="0" applyFont="1" applyFill="1" applyBorder="1" applyAlignment="1">
      <alignment horizontal="center" vertical="center" wrapText="1"/>
    </xf>
    <xf numFmtId="0" fontId="10" fillId="27" borderId="179" xfId="0" applyFont="1" applyFill="1" applyBorder="1" applyAlignment="1">
      <alignment horizontal="center" vertical="center" wrapText="1"/>
    </xf>
    <xf numFmtId="0" fontId="38" fillId="116" borderId="148" xfId="0" applyFont="1" applyFill="1" applyBorder="1" applyAlignment="1">
      <alignment horizontal="center" vertical="center" wrapText="1"/>
    </xf>
    <xf numFmtId="0" fontId="10" fillId="68" borderId="179" xfId="0" applyFont="1" applyFill="1" applyBorder="1" applyAlignment="1">
      <alignment horizontal="center" vertical="center" wrapText="1"/>
    </xf>
    <xf numFmtId="0" fontId="7" fillId="116" borderId="148" xfId="0" applyFont="1" applyFill="1" applyBorder="1" applyAlignment="1">
      <alignment horizontal="center" vertical="center" wrapText="1"/>
    </xf>
    <xf numFmtId="174" fontId="10" fillId="116" borderId="148" xfId="9" applyNumberFormat="1" applyFont="1" applyFill="1" applyBorder="1" applyAlignment="1">
      <alignment horizontal="center" vertical="center"/>
    </xf>
    <xf numFmtId="174" fontId="10" fillId="116" borderId="148" xfId="0" applyNumberFormat="1" applyFont="1" applyFill="1" applyBorder="1" applyAlignment="1">
      <alignment horizontal="center" vertical="center"/>
    </xf>
    <xf numFmtId="0" fontId="10" fillId="116" borderId="30" xfId="0" applyFont="1" applyFill="1" applyBorder="1" applyAlignment="1">
      <alignment horizontal="center" vertical="center" wrapText="1"/>
    </xf>
    <xf numFmtId="0" fontId="10" fillId="116" borderId="66" xfId="0" applyFont="1" applyFill="1" applyBorder="1" applyAlignment="1">
      <alignment horizontal="center" vertical="center" wrapText="1"/>
    </xf>
    <xf numFmtId="0" fontId="11" fillId="38" borderId="8" xfId="0" applyFont="1" applyFill="1" applyBorder="1" applyAlignment="1">
      <alignment horizontal="center" vertical="center" wrapText="1"/>
    </xf>
    <xf numFmtId="0" fontId="8" fillId="56" borderId="93" xfId="0" applyFont="1" applyFill="1" applyBorder="1" applyAlignment="1">
      <alignment horizontal="center" vertical="center" wrapText="1"/>
    </xf>
    <xf numFmtId="0" fontId="8" fillId="56" borderId="180" xfId="0" applyFont="1" applyFill="1" applyBorder="1" applyAlignment="1">
      <alignment horizontal="center" vertical="center" wrapText="1"/>
    </xf>
    <xf numFmtId="0" fontId="8" fillId="56" borderId="13" xfId="0" applyFont="1" applyFill="1" applyBorder="1" applyAlignment="1">
      <alignment horizontal="center" vertical="center" wrapText="1"/>
    </xf>
    <xf numFmtId="0" fontId="8" fillId="56" borderId="24" xfId="0" applyFont="1" applyFill="1" applyBorder="1" applyAlignment="1">
      <alignment horizontal="center" vertical="center" wrapText="1"/>
    </xf>
    <xf numFmtId="0" fontId="8" fillId="57" borderId="93" xfId="0" applyFont="1" applyFill="1" applyBorder="1" applyAlignment="1">
      <alignment horizontal="center" vertical="center" wrapText="1"/>
    </xf>
    <xf numFmtId="0" fontId="8" fillId="57" borderId="180" xfId="0" applyFont="1" applyFill="1" applyBorder="1" applyAlignment="1">
      <alignment horizontal="center" vertical="center" wrapText="1"/>
    </xf>
    <xf numFmtId="0" fontId="8" fillId="15" borderId="93" xfId="0" applyFont="1" applyFill="1" applyBorder="1" applyAlignment="1">
      <alignment horizontal="center" vertical="center" wrapText="1"/>
    </xf>
    <xf numFmtId="0" fontId="8" fillId="15" borderId="180" xfId="0" applyFont="1" applyFill="1" applyBorder="1" applyAlignment="1">
      <alignment horizontal="center" vertical="center" wrapText="1"/>
    </xf>
    <xf numFmtId="0" fontId="8" fillId="55" borderId="14" xfId="0" applyFont="1" applyFill="1" applyBorder="1" applyAlignment="1">
      <alignment horizontal="center" vertical="center" wrapText="1"/>
    </xf>
    <xf numFmtId="0" fontId="8" fillId="55" borderId="27" xfId="0" applyFont="1" applyFill="1" applyBorder="1" applyAlignment="1">
      <alignment horizontal="center" vertical="center" wrapText="1"/>
    </xf>
    <xf numFmtId="0" fontId="8" fillId="57" borderId="4" xfId="0" applyFont="1" applyFill="1" applyBorder="1" applyAlignment="1">
      <alignment horizontal="center" vertical="center" wrapText="1"/>
    </xf>
    <xf numFmtId="0" fontId="8" fillId="57" borderId="5" xfId="0" applyFont="1" applyFill="1" applyBorder="1" applyAlignment="1">
      <alignment horizontal="center" vertical="center" wrapText="1"/>
    </xf>
    <xf numFmtId="0" fontId="8" fillId="57" borderId="6" xfId="0" applyFont="1" applyFill="1" applyBorder="1" applyAlignment="1">
      <alignment horizontal="center" vertical="center" wrapText="1"/>
    </xf>
    <xf numFmtId="0" fontId="8" fillId="57" borderId="13" xfId="0" applyFont="1" applyFill="1" applyBorder="1" applyAlignment="1">
      <alignment horizontal="center" vertical="center" wrapText="1"/>
    </xf>
    <xf numFmtId="0" fontId="8" fillId="57" borderId="24" xfId="0" applyFont="1" applyFill="1" applyBorder="1" applyAlignment="1">
      <alignment horizontal="center" vertical="center" wrapText="1"/>
    </xf>
    <xf numFmtId="9" fontId="11" fillId="39" borderId="8" xfId="0" applyNumberFormat="1" applyFont="1" applyFill="1" applyBorder="1" applyAlignment="1">
      <alignment horizontal="center" vertical="center" wrapText="1"/>
    </xf>
    <xf numFmtId="9" fontId="11" fillId="39" borderId="30" xfId="0" applyNumberFormat="1" applyFont="1" applyFill="1" applyBorder="1" applyAlignment="1">
      <alignment horizontal="center" vertical="center" wrapText="1"/>
    </xf>
    <xf numFmtId="9" fontId="11" fillId="38" borderId="8" xfId="0" applyNumberFormat="1" applyFont="1" applyFill="1" applyBorder="1" applyAlignment="1">
      <alignment horizontal="center" vertical="center" wrapText="1"/>
    </xf>
    <xf numFmtId="0" fontId="8" fillId="15" borderId="13" xfId="0" applyFont="1" applyFill="1" applyBorder="1" applyAlignment="1">
      <alignment horizontal="center" vertical="center" wrapText="1"/>
    </xf>
    <xf numFmtId="0" fontId="8" fillId="15" borderId="24" xfId="0" applyFont="1" applyFill="1" applyBorder="1" applyAlignment="1">
      <alignment horizontal="center" vertical="center" wrapText="1"/>
    </xf>
    <xf numFmtId="0" fontId="8" fillId="58" borderId="4" xfId="0" applyFont="1" applyFill="1" applyBorder="1" applyAlignment="1">
      <alignment horizontal="center" vertical="center" wrapText="1"/>
    </xf>
    <xf numFmtId="0" fontId="8" fillId="58" borderId="5" xfId="0" applyFont="1" applyFill="1" applyBorder="1" applyAlignment="1">
      <alignment horizontal="center" vertical="center" wrapText="1"/>
    </xf>
    <xf numFmtId="0" fontId="8" fillId="58" borderId="6" xfId="0" applyFont="1" applyFill="1" applyBorder="1" applyAlignment="1">
      <alignment horizontal="center" vertical="center" wrapText="1"/>
    </xf>
    <xf numFmtId="0" fontId="8" fillId="55" borderId="13" xfId="0" applyFont="1" applyFill="1" applyBorder="1" applyAlignment="1">
      <alignment horizontal="center" vertical="center" wrapText="1"/>
    </xf>
    <xf numFmtId="0" fontId="8" fillId="55" borderId="24" xfId="0" applyFont="1" applyFill="1" applyBorder="1" applyAlignment="1">
      <alignment horizontal="center" vertical="center" wrapText="1"/>
    </xf>
    <xf numFmtId="0" fontId="11" fillId="39" borderId="148" xfId="0" applyFont="1" applyFill="1" applyBorder="1" applyAlignment="1">
      <alignment horizontal="center" vertical="center" wrapText="1"/>
    </xf>
    <xf numFmtId="0" fontId="11" fillId="39" borderId="8" xfId="0" applyFont="1" applyFill="1" applyBorder="1" applyAlignment="1">
      <alignment horizontal="center" vertical="center" wrapText="1"/>
    </xf>
    <xf numFmtId="0" fontId="11" fillId="39" borderId="30" xfId="0" applyFont="1" applyFill="1" applyBorder="1" applyAlignment="1">
      <alignment horizontal="center" vertical="center" wrapText="1"/>
    </xf>
    <xf numFmtId="0" fontId="11" fillId="38" borderId="8" xfId="0" applyFont="1" applyFill="1" applyBorder="1" applyAlignment="1">
      <alignment vertical="center" wrapText="1"/>
    </xf>
    <xf numFmtId="0" fontId="11" fillId="38" borderId="148" xfId="0" applyFont="1" applyFill="1" applyBorder="1" applyAlignment="1">
      <alignment vertical="center" wrapText="1"/>
    </xf>
    <xf numFmtId="0" fontId="11" fillId="39" borderId="148" xfId="0" applyFont="1" applyFill="1" applyBorder="1" applyAlignment="1">
      <alignment vertical="center" wrapText="1"/>
    </xf>
    <xf numFmtId="0" fontId="11" fillId="39" borderId="8" xfId="0" applyFont="1" applyFill="1" applyBorder="1" applyAlignment="1">
      <alignment vertical="center" wrapText="1"/>
    </xf>
    <xf numFmtId="0" fontId="11" fillId="38" borderId="36" xfId="0" applyFont="1" applyFill="1" applyBorder="1" applyAlignment="1">
      <alignment horizontal="center" vertical="center" wrapText="1"/>
    </xf>
    <xf numFmtId="0" fontId="11" fillId="38" borderId="179" xfId="0" applyFont="1" applyFill="1" applyBorder="1" applyAlignment="1">
      <alignment horizontal="center" vertical="center" wrapText="1"/>
    </xf>
    <xf numFmtId="0" fontId="11" fillId="38" borderId="30" xfId="0" applyFont="1" applyFill="1" applyBorder="1" applyAlignment="1">
      <alignment vertical="center" wrapText="1"/>
    </xf>
    <xf numFmtId="0" fontId="11" fillId="39" borderId="179" xfId="0" applyFont="1" applyFill="1" applyBorder="1" applyAlignment="1">
      <alignment horizontal="center" vertical="center" wrapText="1"/>
    </xf>
    <xf numFmtId="0" fontId="8" fillId="39" borderId="19" xfId="0" applyFont="1" applyFill="1" applyBorder="1" applyAlignment="1">
      <alignment horizontal="center" vertical="center" wrapText="1"/>
    </xf>
    <xf numFmtId="0" fontId="8" fillId="39" borderId="154" xfId="0" applyFont="1" applyFill="1" applyBorder="1" applyAlignment="1">
      <alignment horizontal="center" vertical="center" wrapText="1"/>
    </xf>
    <xf numFmtId="0" fontId="8" fillId="39" borderId="53" xfId="0" applyFont="1" applyFill="1" applyBorder="1" applyAlignment="1">
      <alignment horizontal="center" vertical="center" wrapText="1"/>
    </xf>
    <xf numFmtId="0" fontId="11" fillId="39" borderId="36" xfId="0" applyFont="1" applyFill="1" applyBorder="1" applyAlignment="1">
      <alignment horizontal="center" vertical="center" wrapText="1"/>
    </xf>
    <xf numFmtId="0" fontId="11" fillId="38" borderId="38" xfId="0" applyFont="1" applyFill="1" applyBorder="1" applyAlignment="1">
      <alignment horizontal="center" vertical="center" wrapText="1"/>
    </xf>
    <xf numFmtId="0" fontId="11" fillId="38" borderId="66" xfId="0" applyFont="1" applyFill="1" applyBorder="1" applyAlignment="1">
      <alignment horizontal="center" vertical="center" wrapText="1"/>
    </xf>
    <xf numFmtId="0" fontId="11" fillId="41" borderId="179" xfId="0" applyFont="1" applyFill="1" applyBorder="1" applyAlignment="1">
      <alignment horizontal="center" vertical="center" wrapText="1"/>
    </xf>
    <xf numFmtId="0" fontId="11" fillId="41" borderId="148" xfId="0" applyFont="1" applyFill="1" applyBorder="1" applyAlignment="1">
      <alignment vertical="center" wrapText="1"/>
    </xf>
    <xf numFmtId="0" fontId="11" fillId="51" borderId="8" xfId="0" applyFont="1" applyFill="1" applyBorder="1" applyAlignment="1">
      <alignment horizontal="center" vertical="center" wrapText="1"/>
    </xf>
    <xf numFmtId="9" fontId="11" fillId="51" borderId="8" xfId="0" applyNumberFormat="1" applyFont="1" applyFill="1" applyBorder="1" applyAlignment="1">
      <alignment horizontal="center" vertical="center" wrapText="1"/>
    </xf>
    <xf numFmtId="9" fontId="11" fillId="51" borderId="30" xfId="0" applyNumberFormat="1" applyFont="1" applyFill="1" applyBorder="1" applyAlignment="1">
      <alignment horizontal="center" vertical="center" wrapText="1"/>
    </xf>
    <xf numFmtId="9" fontId="11" fillId="7" borderId="30" xfId="0" applyNumberFormat="1" applyFont="1" applyFill="1" applyBorder="1" applyAlignment="1">
      <alignment horizontal="center" vertical="center" wrapText="1"/>
    </xf>
    <xf numFmtId="0" fontId="8" fillId="38" borderId="19" xfId="0" applyFont="1" applyFill="1" applyBorder="1" applyAlignment="1">
      <alignment horizontal="center" vertical="center" wrapText="1"/>
    </xf>
    <xf numFmtId="0" fontId="8" fillId="38" borderId="154" xfId="0" applyFont="1" applyFill="1" applyBorder="1" applyAlignment="1">
      <alignment horizontal="center" vertical="center" wrapText="1"/>
    </xf>
    <xf numFmtId="0" fontId="8" fillId="38" borderId="53" xfId="0" applyFont="1" applyFill="1" applyBorder="1" applyAlignment="1">
      <alignment horizontal="center" vertical="center" wrapText="1"/>
    </xf>
    <xf numFmtId="0" fontId="8" fillId="38" borderId="54" xfId="0" applyFont="1" applyFill="1" applyBorder="1" applyAlignment="1">
      <alignment horizontal="center" vertical="center" wrapText="1"/>
    </xf>
    <xf numFmtId="0" fontId="11" fillId="7" borderId="32" xfId="0" applyFont="1" applyFill="1" applyBorder="1" applyAlignment="1">
      <alignment horizontal="center" vertical="center" wrapText="1"/>
    </xf>
    <xf numFmtId="0" fontId="8" fillId="7" borderId="54" xfId="0" applyFont="1" applyFill="1" applyBorder="1" applyAlignment="1">
      <alignment horizontal="center" vertical="center" wrapText="1"/>
    </xf>
    <xf numFmtId="0" fontId="8" fillId="7" borderId="154" xfId="0" applyFont="1" applyFill="1" applyBorder="1" applyAlignment="1">
      <alignment horizontal="center" vertical="center" wrapText="1"/>
    </xf>
    <xf numFmtId="0" fontId="8" fillId="7" borderId="53" xfId="0" applyFont="1" applyFill="1" applyBorder="1" applyAlignment="1">
      <alignment horizontal="center" vertical="center" wrapText="1"/>
    </xf>
    <xf numFmtId="0" fontId="8" fillId="51" borderId="19" xfId="0" applyFont="1" applyFill="1" applyBorder="1" applyAlignment="1">
      <alignment horizontal="center" vertical="center" wrapText="1"/>
    </xf>
    <xf numFmtId="0" fontId="8" fillId="51" borderId="154" xfId="0" applyFont="1" applyFill="1" applyBorder="1" applyAlignment="1">
      <alignment horizontal="center" vertical="center" wrapText="1"/>
    </xf>
    <xf numFmtId="0" fontId="8" fillId="51" borderId="53" xfId="0" applyFont="1" applyFill="1" applyBorder="1" applyAlignment="1">
      <alignment horizontal="center" vertical="center" wrapText="1"/>
    </xf>
    <xf numFmtId="0" fontId="8" fillId="17" borderId="0" xfId="0" applyFont="1" applyFill="1" applyBorder="1" applyAlignment="1">
      <alignment horizontal="center" vertical="center"/>
    </xf>
    <xf numFmtId="0" fontId="8" fillId="17" borderId="62" xfId="0" applyFont="1" applyFill="1" applyBorder="1" applyAlignment="1">
      <alignment horizontal="center" vertical="center" wrapText="1"/>
    </xf>
    <xf numFmtId="0" fontId="8" fillId="17" borderId="0" xfId="0" applyFont="1" applyFill="1" applyBorder="1" applyAlignment="1">
      <alignment horizontal="center" vertical="center" wrapText="1"/>
    </xf>
    <xf numFmtId="0" fontId="8" fillId="24" borderId="62" xfId="0" applyFont="1" applyFill="1" applyBorder="1" applyAlignment="1">
      <alignment horizontal="center" vertical="center" wrapText="1"/>
    </xf>
    <xf numFmtId="0" fontId="8" fillId="24" borderId="0" xfId="0" applyFont="1" applyFill="1" applyBorder="1" applyAlignment="1">
      <alignment horizontal="center" vertical="center" wrapText="1"/>
    </xf>
    <xf numFmtId="0" fontId="11" fillId="38" borderId="148" xfId="0" applyFont="1" applyFill="1" applyBorder="1" applyAlignment="1">
      <alignment horizontal="left" vertical="center" wrapText="1"/>
    </xf>
    <xf numFmtId="0" fontId="11" fillId="38" borderId="30" xfId="0" applyFont="1" applyFill="1" applyBorder="1" applyAlignment="1">
      <alignment horizontal="left" vertical="center" wrapText="1"/>
    </xf>
    <xf numFmtId="0" fontId="11" fillId="0" borderId="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48"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94" xfId="0" applyFont="1" applyBorder="1" applyAlignment="1">
      <alignment horizontal="center" vertical="center" wrapText="1"/>
    </xf>
    <xf numFmtId="0" fontId="11" fillId="0" borderId="31" xfId="0" applyFont="1" applyBorder="1" applyAlignment="1">
      <alignment horizontal="center" vertical="center" wrapText="1"/>
    </xf>
    <xf numFmtId="0" fontId="8" fillId="41" borderId="42" xfId="0" applyFont="1" applyFill="1" applyBorder="1" applyAlignment="1">
      <alignment horizontal="center" vertical="center" wrapText="1"/>
    </xf>
    <xf numFmtId="0" fontId="8" fillId="41" borderId="25" xfId="0" applyFont="1" applyFill="1" applyBorder="1" applyAlignment="1">
      <alignment horizontal="center" vertical="center" wrapText="1"/>
    </xf>
    <xf numFmtId="0" fontId="8" fillId="41" borderId="178" xfId="0" applyFont="1" applyFill="1" applyBorder="1" applyAlignment="1">
      <alignment horizontal="center" vertical="center" wrapText="1"/>
    </xf>
    <xf numFmtId="0" fontId="9" fillId="34" borderId="93" xfId="6" applyFont="1" applyFill="1" applyBorder="1" applyAlignment="1">
      <alignment horizontal="center" vertical="center" wrapText="1"/>
    </xf>
    <xf numFmtId="0" fontId="10" fillId="38" borderId="93" xfId="0" applyFont="1" applyFill="1" applyBorder="1" applyAlignment="1">
      <alignment horizontal="center" vertical="center" wrapText="1"/>
    </xf>
    <xf numFmtId="0" fontId="10" fillId="38" borderId="93" xfId="0" applyFont="1" applyFill="1" applyBorder="1" applyAlignment="1">
      <alignment horizontal="left" vertical="center" wrapText="1"/>
    </xf>
    <xf numFmtId="0" fontId="10" fillId="51" borderId="93" xfId="0" applyFont="1" applyFill="1" applyBorder="1" applyAlignment="1">
      <alignment horizontal="center" vertical="center" wrapText="1"/>
    </xf>
    <xf numFmtId="0" fontId="10" fillId="51" borderId="102" xfId="0" applyFont="1" applyFill="1" applyBorder="1" applyAlignment="1">
      <alignment horizontal="center" vertical="center" wrapText="1"/>
    </xf>
    <xf numFmtId="0" fontId="10" fillId="51" borderId="11" xfId="6" applyFont="1" applyFill="1" applyBorder="1" applyAlignment="1">
      <alignment horizontal="center" vertical="center" wrapText="1"/>
    </xf>
    <xf numFmtId="0" fontId="10" fillId="51" borderId="98" xfId="0" applyFont="1" applyFill="1" applyBorder="1" applyAlignment="1">
      <alignment horizontal="left" vertical="center" wrapText="1"/>
    </xf>
    <xf numFmtId="0" fontId="10" fillId="51" borderId="26" xfId="0" applyFont="1" applyFill="1" applyBorder="1" applyAlignment="1">
      <alignment horizontal="left" vertical="center" wrapText="1"/>
    </xf>
    <xf numFmtId="0" fontId="10" fillId="51" borderId="32" xfId="0" applyFont="1" applyFill="1" applyBorder="1" applyAlignment="1">
      <alignment horizontal="left" vertical="center" wrapText="1"/>
    </xf>
    <xf numFmtId="0" fontId="10" fillId="103" borderId="180" xfId="0" applyFont="1" applyFill="1" applyBorder="1" applyAlignment="1">
      <alignment horizontal="center" vertical="center" wrapText="1"/>
    </xf>
    <xf numFmtId="0" fontId="10" fillId="103" borderId="26" xfId="0" applyFont="1" applyFill="1" applyBorder="1" applyAlignment="1">
      <alignment horizontal="center" vertical="center" wrapText="1"/>
    </xf>
    <xf numFmtId="0" fontId="10" fillId="103" borderId="32" xfId="0" applyFont="1" applyFill="1" applyBorder="1" applyAlignment="1">
      <alignment horizontal="center" vertical="center" wrapText="1"/>
    </xf>
    <xf numFmtId="0" fontId="10" fillId="51" borderId="93" xfId="0" applyFont="1" applyFill="1" applyBorder="1" applyAlignment="1">
      <alignment horizontal="left" vertical="center" wrapText="1"/>
    </xf>
    <xf numFmtId="0" fontId="10" fillId="103" borderId="93" xfId="0" applyFont="1" applyFill="1" applyBorder="1" applyAlignment="1">
      <alignment horizontal="center" vertical="center" wrapText="1"/>
    </xf>
    <xf numFmtId="9" fontId="10" fillId="103" borderId="93" xfId="0" applyNumberFormat="1" applyFont="1" applyFill="1" applyBorder="1" applyAlignment="1">
      <alignment horizontal="center" vertical="center" wrapText="1"/>
    </xf>
    <xf numFmtId="0" fontId="10" fillId="103" borderId="93" xfId="0" applyFont="1" applyFill="1" applyBorder="1" applyAlignment="1">
      <alignment horizontal="center" vertical="center"/>
    </xf>
    <xf numFmtId="0" fontId="10" fillId="103" borderId="148" xfId="0" applyFont="1" applyFill="1" applyBorder="1" applyAlignment="1">
      <alignment horizontal="center" vertical="center"/>
    </xf>
    <xf numFmtId="0" fontId="9" fillId="34" borderId="180" xfId="6" applyFont="1" applyFill="1" applyBorder="1" applyAlignment="1">
      <alignment horizontal="center" vertical="center" wrapText="1"/>
    </xf>
    <xf numFmtId="0" fontId="9" fillId="59" borderId="93" xfId="6" applyFont="1" applyFill="1" applyBorder="1" applyAlignment="1">
      <alignment horizontal="center" vertical="center" wrapText="1"/>
    </xf>
    <xf numFmtId="0" fontId="9" fillId="59" borderId="180" xfId="6" applyFont="1" applyFill="1" applyBorder="1" applyAlignment="1">
      <alignment horizontal="center" vertical="center" wrapText="1"/>
    </xf>
    <xf numFmtId="0" fontId="10" fillId="38" borderId="179" xfId="6" applyFont="1" applyFill="1" applyBorder="1" applyAlignment="1">
      <alignment horizontal="center" vertical="center" wrapText="1"/>
    </xf>
    <xf numFmtId="0" fontId="10" fillId="38" borderId="148" xfId="6" applyFont="1" applyFill="1" applyBorder="1" applyAlignment="1">
      <alignment horizontal="center" vertical="center" wrapText="1"/>
    </xf>
    <xf numFmtId="0" fontId="9" fillId="118" borderId="180" xfId="6" applyFont="1" applyFill="1" applyBorder="1" applyAlignment="1">
      <alignment horizontal="left" vertical="center" wrapText="1"/>
    </xf>
    <xf numFmtId="0" fontId="9" fillId="118" borderId="26" xfId="6" applyFont="1" applyFill="1" applyBorder="1" applyAlignment="1">
      <alignment horizontal="left" vertical="center" wrapText="1"/>
    </xf>
    <xf numFmtId="0" fontId="10" fillId="38" borderId="7" xfId="6" applyFont="1" applyFill="1" applyBorder="1" applyAlignment="1">
      <alignment horizontal="center" vertical="center" wrapText="1"/>
    </xf>
    <xf numFmtId="0" fontId="10" fillId="38" borderId="11" xfId="6" applyFont="1" applyFill="1" applyBorder="1" applyAlignment="1">
      <alignment horizontal="center" vertical="center" wrapText="1"/>
    </xf>
    <xf numFmtId="0" fontId="10" fillId="38" borderId="8" xfId="6" applyFont="1" applyFill="1" applyBorder="1" applyAlignment="1">
      <alignment horizontal="center" vertical="center" wrapText="1"/>
    </xf>
    <xf numFmtId="0" fontId="10" fillId="51" borderId="148" xfId="6" applyFont="1" applyFill="1" applyBorder="1" applyAlignment="1">
      <alignment horizontal="center" vertical="center"/>
    </xf>
    <xf numFmtId="0" fontId="10" fillId="51" borderId="148" xfId="6" applyFont="1" applyFill="1" applyBorder="1" applyAlignment="1">
      <alignment horizontal="center" vertical="center" wrapText="1"/>
    </xf>
    <xf numFmtId="0" fontId="10" fillId="51" borderId="148" xfId="6" applyFont="1" applyFill="1" applyBorder="1" applyAlignment="1">
      <alignment horizontal="left" vertical="center" wrapText="1"/>
    </xf>
    <xf numFmtId="0" fontId="10" fillId="38" borderId="93" xfId="6" applyFont="1" applyFill="1" applyBorder="1" applyAlignment="1">
      <alignment horizontal="center" vertical="center" wrapText="1"/>
    </xf>
    <xf numFmtId="0" fontId="10" fillId="61" borderId="98" xfId="6" applyFont="1" applyFill="1" applyBorder="1" applyAlignment="1">
      <alignment horizontal="center" vertical="center" wrapText="1"/>
    </xf>
    <xf numFmtId="0" fontId="10" fillId="61" borderId="26" xfId="6" applyFont="1" applyFill="1" applyBorder="1" applyAlignment="1">
      <alignment horizontal="center" vertical="center" wrapText="1"/>
    </xf>
    <xf numFmtId="9" fontId="10" fillId="61" borderId="98" xfId="5" applyFont="1" applyFill="1" applyBorder="1" applyAlignment="1">
      <alignment horizontal="center" vertical="center" wrapText="1"/>
    </xf>
    <xf numFmtId="9" fontId="10" fillId="61" borderId="26" xfId="5" applyFont="1" applyFill="1" applyBorder="1" applyAlignment="1">
      <alignment horizontal="center" vertical="center" wrapText="1"/>
    </xf>
    <xf numFmtId="0" fontId="10" fillId="38" borderId="93" xfId="5" applyNumberFormat="1" applyFont="1" applyFill="1" applyBorder="1" applyAlignment="1">
      <alignment horizontal="center" vertical="center" wrapText="1"/>
    </xf>
    <xf numFmtId="0" fontId="10" fillId="38" borderId="148" xfId="5" applyNumberFormat="1" applyFont="1" applyFill="1" applyBorder="1" applyAlignment="1">
      <alignment horizontal="center" vertical="center" wrapText="1"/>
    </xf>
    <xf numFmtId="0" fontId="9" fillId="38" borderId="93" xfId="5" applyNumberFormat="1" applyFont="1" applyFill="1" applyBorder="1" applyAlignment="1">
      <alignment horizontal="center" vertical="center"/>
    </xf>
    <xf numFmtId="0" fontId="9" fillId="38" borderId="148" xfId="5" applyNumberFormat="1" applyFont="1" applyFill="1" applyBorder="1" applyAlignment="1">
      <alignment horizontal="center" vertical="center"/>
    </xf>
    <xf numFmtId="9" fontId="10" fillId="38" borderId="93" xfId="5" applyFont="1" applyFill="1" applyBorder="1" applyAlignment="1">
      <alignment horizontal="center" vertical="center" wrapText="1"/>
    </xf>
    <xf numFmtId="174" fontId="10" fillId="51" borderId="148" xfId="9" applyNumberFormat="1" applyFont="1" applyFill="1" applyBorder="1" applyAlignment="1">
      <alignment horizontal="center" vertical="center"/>
    </xf>
    <xf numFmtId="0" fontId="10" fillId="51" borderId="148" xfId="0" applyFont="1" applyFill="1" applyBorder="1" applyAlignment="1">
      <alignment horizontal="center" vertical="center"/>
    </xf>
    <xf numFmtId="0" fontId="10" fillId="66" borderId="93" xfId="0" applyFont="1" applyFill="1" applyBorder="1" applyAlignment="1">
      <alignment horizontal="left" vertical="center" wrapText="1"/>
    </xf>
    <xf numFmtId="0" fontId="10" fillId="66" borderId="148" xfId="0" applyFont="1" applyFill="1" applyBorder="1" applyAlignment="1">
      <alignment horizontal="left" vertical="center" wrapText="1"/>
    </xf>
    <xf numFmtId="0" fontId="10" fillId="66" borderId="148" xfId="0" applyFont="1" applyFill="1" applyBorder="1" applyAlignment="1">
      <alignment horizontal="center" vertical="center" wrapText="1"/>
    </xf>
    <xf numFmtId="0" fontId="10" fillId="103" borderId="93" xfId="0" applyFont="1" applyFill="1" applyBorder="1" applyAlignment="1">
      <alignment horizontal="left" vertical="center" wrapText="1"/>
    </xf>
    <xf numFmtId="0" fontId="10" fillId="66" borderId="93" xfId="0" applyFont="1" applyFill="1" applyBorder="1" applyAlignment="1">
      <alignment horizontal="center" vertical="center" wrapText="1"/>
    </xf>
    <xf numFmtId="9" fontId="10" fillId="66" borderId="93" xfId="0" applyNumberFormat="1" applyFont="1" applyFill="1" applyBorder="1" applyAlignment="1">
      <alignment horizontal="center" vertical="center" wrapText="1"/>
    </xf>
    <xf numFmtId="9" fontId="10" fillId="66" borderId="148" xfId="0" applyNumberFormat="1" applyFont="1" applyFill="1" applyBorder="1" applyAlignment="1">
      <alignment horizontal="center" vertical="center" wrapText="1"/>
    </xf>
    <xf numFmtId="9" fontId="10" fillId="103" borderId="93" xfId="5" applyFont="1" applyFill="1" applyBorder="1" applyAlignment="1">
      <alignment horizontal="center" vertical="center"/>
    </xf>
    <xf numFmtId="9" fontId="10" fillId="103" borderId="148" xfId="5" applyFont="1" applyFill="1" applyBorder="1" applyAlignment="1">
      <alignment horizontal="center" vertical="center"/>
    </xf>
    <xf numFmtId="0" fontId="10" fillId="103" borderId="179" xfId="0" applyFont="1" applyFill="1" applyBorder="1" applyAlignment="1">
      <alignment horizontal="center" vertical="center" wrapText="1"/>
    </xf>
    <xf numFmtId="0" fontId="10" fillId="103" borderId="11" xfId="6" applyFont="1" applyFill="1" applyBorder="1" applyAlignment="1">
      <alignment horizontal="center" vertical="center" wrapText="1"/>
    </xf>
    <xf numFmtId="0" fontId="10" fillId="66" borderId="11" xfId="6" applyFont="1" applyFill="1" applyBorder="1" applyAlignment="1">
      <alignment horizontal="center" vertical="center" wrapText="1"/>
    </xf>
    <xf numFmtId="0" fontId="10" fillId="66" borderId="32" xfId="0" applyFont="1" applyFill="1" applyBorder="1" applyAlignment="1">
      <alignment horizontal="center" vertical="center" wrapText="1"/>
    </xf>
    <xf numFmtId="0" fontId="10" fillId="66" borderId="148" xfId="0" applyFont="1" applyFill="1" applyBorder="1" applyAlignment="1">
      <alignment horizontal="center" vertical="center"/>
    </xf>
    <xf numFmtId="9" fontId="10" fillId="66" borderId="93" xfId="5" applyFont="1" applyFill="1" applyBorder="1" applyAlignment="1">
      <alignment horizontal="center" vertical="center"/>
    </xf>
    <xf numFmtId="9" fontId="10" fillId="66" borderId="148" xfId="5" applyFont="1" applyFill="1" applyBorder="1" applyAlignment="1">
      <alignment horizontal="center" vertical="center"/>
    </xf>
    <xf numFmtId="0" fontId="10" fillId="66" borderId="179" xfId="0" applyFont="1" applyFill="1" applyBorder="1" applyAlignment="1">
      <alignment horizontal="center" vertical="center" wrapText="1"/>
    </xf>
    <xf numFmtId="164" fontId="10" fillId="66" borderId="148" xfId="4" applyFont="1" applyFill="1" applyBorder="1" applyAlignment="1">
      <alignment horizontal="center" vertical="center"/>
    </xf>
    <xf numFmtId="0" fontId="10" fillId="66" borderId="148" xfId="5" applyNumberFormat="1" applyFont="1" applyFill="1" applyBorder="1" applyAlignment="1">
      <alignment horizontal="center" vertical="center"/>
    </xf>
    <xf numFmtId="0" fontId="10" fillId="51" borderId="148" xfId="0" applyFont="1" applyFill="1" applyBorder="1" applyAlignment="1">
      <alignment horizontal="center"/>
    </xf>
    <xf numFmtId="0" fontId="10" fillId="66" borderId="148" xfId="0" applyFont="1" applyFill="1" applyBorder="1" applyAlignment="1">
      <alignment horizontal="center"/>
    </xf>
    <xf numFmtId="0" fontId="9" fillId="67" borderId="102" xfId="6" applyFont="1" applyFill="1" applyBorder="1" applyAlignment="1">
      <alignment horizontal="center" vertical="center"/>
    </xf>
    <xf numFmtId="0" fontId="9" fillId="67" borderId="148" xfId="6" applyFont="1" applyFill="1" applyBorder="1" applyAlignment="1">
      <alignment horizontal="center" vertical="center"/>
    </xf>
    <xf numFmtId="0" fontId="9" fillId="66" borderId="102" xfId="0" applyFont="1" applyFill="1" applyBorder="1" applyAlignment="1">
      <alignment horizontal="center" vertical="center"/>
    </xf>
    <xf numFmtId="0" fontId="9" fillId="66" borderId="148" xfId="0" applyFont="1" applyFill="1" applyBorder="1" applyAlignment="1">
      <alignment horizontal="center" vertical="center"/>
    </xf>
    <xf numFmtId="0" fontId="9" fillId="34" borderId="98" xfId="6" applyFont="1" applyFill="1" applyBorder="1" applyAlignment="1">
      <alignment horizontal="center" vertical="center" wrapText="1"/>
    </xf>
    <xf numFmtId="0" fontId="9" fillId="34" borderId="26" xfId="6" applyFont="1" applyFill="1" applyBorder="1" applyAlignment="1">
      <alignment horizontal="center" vertical="center" wrapText="1"/>
    </xf>
    <xf numFmtId="0" fontId="10" fillId="66" borderId="51" xfId="6" applyFont="1" applyFill="1" applyBorder="1" applyAlignment="1">
      <alignment horizontal="center" vertical="center" wrapText="1"/>
    </xf>
    <xf numFmtId="0" fontId="10" fillId="51" borderId="29" xfId="6" applyFont="1" applyFill="1" applyBorder="1" applyAlignment="1">
      <alignment horizontal="center" vertical="center" wrapText="1"/>
    </xf>
    <xf numFmtId="0" fontId="10" fillId="51" borderId="180" xfId="0" applyFont="1" applyFill="1" applyBorder="1" applyAlignment="1">
      <alignment horizontal="center" vertical="top" wrapText="1"/>
    </xf>
    <xf numFmtId="0" fontId="10" fillId="51" borderId="26" xfId="0" applyFont="1" applyFill="1" applyBorder="1" applyAlignment="1">
      <alignment horizontal="center" vertical="top" wrapText="1"/>
    </xf>
    <xf numFmtId="0" fontId="10" fillId="51" borderId="32" xfId="0" applyFont="1" applyFill="1" applyBorder="1" applyAlignment="1">
      <alignment horizontal="center" vertical="top" wrapText="1"/>
    </xf>
    <xf numFmtId="0" fontId="10" fillId="51" borderId="180" xfId="6" applyFont="1" applyFill="1" applyBorder="1" applyAlignment="1">
      <alignment horizontal="center" vertical="center" wrapText="1"/>
    </xf>
    <xf numFmtId="0" fontId="10" fillId="51" borderId="26" xfId="6" applyFont="1" applyFill="1" applyBorder="1" applyAlignment="1">
      <alignment horizontal="center" vertical="center" wrapText="1"/>
    </xf>
    <xf numFmtId="0" fontId="10" fillId="51" borderId="32" xfId="6" applyFont="1" applyFill="1" applyBorder="1" applyAlignment="1">
      <alignment horizontal="center" vertical="center" wrapText="1"/>
    </xf>
    <xf numFmtId="0" fontId="10" fillId="51" borderId="181" xfId="6" applyFont="1" applyFill="1" applyBorder="1" applyAlignment="1">
      <alignment horizontal="center" vertical="center" wrapText="1"/>
    </xf>
    <xf numFmtId="0" fontId="10" fillId="51" borderId="2" xfId="6" applyFont="1" applyFill="1" applyBorder="1" applyAlignment="1">
      <alignment horizontal="center" vertical="center" wrapText="1"/>
    </xf>
    <xf numFmtId="0" fontId="10" fillId="51" borderId="38" xfId="6" applyFont="1" applyFill="1" applyBorder="1" applyAlignment="1">
      <alignment horizontal="center" vertical="center" wrapText="1"/>
    </xf>
    <xf numFmtId="0" fontId="10" fillId="66" borderId="180" xfId="0" applyFont="1" applyFill="1" applyBorder="1" applyAlignment="1">
      <alignment horizontal="center" vertical="center" wrapText="1"/>
    </xf>
    <xf numFmtId="0" fontId="3" fillId="0" borderId="18" xfId="0" applyFont="1" applyBorder="1" applyAlignment="1">
      <alignment horizontal="center"/>
    </xf>
    <xf numFmtId="0" fontId="3" fillId="0" borderId="47" xfId="0" applyFont="1" applyBorder="1" applyAlignment="1">
      <alignment horizontal="center"/>
    </xf>
    <xf numFmtId="0" fontId="0" fillId="39" borderId="179" xfId="0" applyFill="1" applyBorder="1" applyAlignment="1" applyProtection="1">
      <alignment vertical="center" wrapText="1"/>
      <protection locked="0"/>
    </xf>
  </cellXfs>
  <cellStyles count="25">
    <cellStyle name="Celda de comprobación" xfId="1" builtinId="23"/>
    <cellStyle name="Excel Built-in Normal" xfId="20" xr:uid="{00000000-0005-0000-0000-000001000000}"/>
    <cellStyle name="Hipervínculo" xfId="21" builtinId="8"/>
    <cellStyle name="KPT04_Main" xfId="24" xr:uid="{00000000-0005-0000-0000-000003000000}"/>
    <cellStyle name="Millares" xfId="10" builtinId="3"/>
    <cellStyle name="Millares [0]" xfId="3" builtinId="6"/>
    <cellStyle name="Millares [0] 2" xfId="13" xr:uid="{00000000-0005-0000-0000-000006000000}"/>
    <cellStyle name="Millares 6" xfId="17" xr:uid="{00000000-0005-0000-0000-000007000000}"/>
    <cellStyle name="Moneda" xfId="7" builtinId="4"/>
    <cellStyle name="Moneda [0]" xfId="4" builtinId="7"/>
    <cellStyle name="Moneda [0] 2" xfId="14" xr:uid="{00000000-0005-0000-0000-00000A000000}"/>
    <cellStyle name="Moneda [0] 3" xfId="18" xr:uid="{00000000-0005-0000-0000-00000B000000}"/>
    <cellStyle name="Moneda 2" xfId="9" xr:uid="{00000000-0005-0000-0000-00000C000000}"/>
    <cellStyle name="Moneda 4" xfId="12" xr:uid="{00000000-0005-0000-0000-00000D000000}"/>
    <cellStyle name="Normal" xfId="0" builtinId="0"/>
    <cellStyle name="Normal 14" xfId="11" xr:uid="{00000000-0005-0000-0000-00000F000000}"/>
    <cellStyle name="Normal 2" xfId="2" xr:uid="{00000000-0005-0000-0000-000010000000}"/>
    <cellStyle name="Normal 3" xfId="8" xr:uid="{00000000-0005-0000-0000-000011000000}"/>
    <cellStyle name="Normal 3 2" xfId="19" xr:uid="{00000000-0005-0000-0000-000012000000}"/>
    <cellStyle name="Normal 4" xfId="6" xr:uid="{00000000-0005-0000-0000-000013000000}"/>
    <cellStyle name="Normal 5" xfId="23" xr:uid="{00000000-0005-0000-0000-000014000000}"/>
    <cellStyle name="Normal 5 2" xfId="15" xr:uid="{00000000-0005-0000-0000-000015000000}"/>
    <cellStyle name="Normal 5 2 2" xfId="16" xr:uid="{00000000-0005-0000-0000-000016000000}"/>
    <cellStyle name="Porcentaje" xfId="5" builtinId="5"/>
    <cellStyle name="Texto explicativo" xfId="22" builtinId="53"/>
  </cellStyles>
  <dxfs count="340">
    <dxf>
      <fill>
        <patternFill>
          <bgColor rgb="FFFF0000"/>
        </patternFill>
      </fill>
    </dxf>
    <dxf>
      <fill>
        <patternFill>
          <bgColor theme="9" tint="0.39994506668294322"/>
        </patternFill>
      </fill>
    </dxf>
    <dxf>
      <fill>
        <patternFill>
          <bgColor rgb="FFFFFF00"/>
        </patternFill>
      </fill>
    </dxf>
    <dxf>
      <fill>
        <patternFill>
          <bgColor rgb="FF00B050"/>
        </patternFill>
      </fill>
    </dxf>
    <dxf>
      <fill>
        <patternFill patternType="solid">
          <fgColor rgb="FFFF0000"/>
          <bgColor rgb="FFFF0000"/>
        </patternFill>
      </fill>
    </dxf>
    <dxf>
      <fill>
        <patternFill patternType="solid">
          <fgColor rgb="FFF4B083"/>
          <bgColor rgb="FFF4B083"/>
        </patternFill>
      </fill>
    </dxf>
    <dxf>
      <fill>
        <patternFill patternType="solid">
          <fgColor rgb="FFF7F703"/>
          <bgColor rgb="FFF7F703"/>
        </patternFill>
      </fill>
    </dxf>
    <dxf>
      <fill>
        <patternFill patternType="solid">
          <fgColor rgb="FF00B050"/>
          <bgColor rgb="FF00B050"/>
        </patternFill>
      </fill>
    </dxf>
    <dxf>
      <fill>
        <patternFill patternType="solid">
          <fgColor rgb="FFFF0000"/>
          <bgColor rgb="FFFF0000"/>
        </patternFill>
      </fill>
    </dxf>
    <dxf>
      <fill>
        <patternFill patternType="solid">
          <fgColor rgb="FFF4B083"/>
          <bgColor rgb="FFF4B083"/>
        </patternFill>
      </fill>
    </dxf>
    <dxf>
      <fill>
        <patternFill patternType="solid">
          <fgColor rgb="FFF7F703"/>
          <bgColor rgb="FFF7F703"/>
        </patternFill>
      </fill>
    </dxf>
    <dxf>
      <fill>
        <patternFill patternType="solid">
          <fgColor rgb="FF00B050"/>
          <bgColor rgb="FF00B050"/>
        </patternFill>
      </fill>
    </dxf>
    <dxf>
      <fill>
        <patternFill>
          <bgColor rgb="FFFF0000"/>
        </patternFill>
      </fill>
    </dxf>
    <dxf>
      <fill>
        <patternFill>
          <bgColor rgb="FFFFFF00"/>
        </patternFill>
      </fill>
    </dxf>
    <dxf>
      <fill>
        <patternFill>
          <bgColor theme="5"/>
        </patternFill>
      </fill>
    </dxf>
    <dxf>
      <fill>
        <patternFill>
          <bgColor rgb="FF00B050"/>
        </patternFill>
      </fill>
    </dxf>
    <dxf>
      <fill>
        <patternFill patternType="solid">
          <fgColor rgb="FFFF0000"/>
          <bgColor rgb="FFFF0000"/>
        </patternFill>
      </fill>
    </dxf>
    <dxf>
      <fill>
        <patternFill patternType="solid">
          <fgColor rgb="FFF4B083"/>
          <bgColor rgb="FFF4B083"/>
        </patternFill>
      </fill>
    </dxf>
    <dxf>
      <fill>
        <patternFill patternType="solid">
          <fgColor rgb="FFF7F703"/>
          <bgColor rgb="FFF7F703"/>
        </patternFill>
      </fill>
    </dxf>
    <dxf>
      <fill>
        <patternFill patternType="solid">
          <fgColor rgb="FF00B050"/>
          <bgColor rgb="FF00B050"/>
        </patternFill>
      </fill>
    </dxf>
    <dxf>
      <fill>
        <patternFill patternType="solid">
          <fgColor rgb="FFFF0000"/>
          <bgColor rgb="FFFF0000"/>
        </patternFill>
      </fill>
    </dxf>
    <dxf>
      <fill>
        <patternFill patternType="solid">
          <fgColor rgb="FFF4B083"/>
          <bgColor rgb="FFF4B083"/>
        </patternFill>
      </fill>
    </dxf>
    <dxf>
      <fill>
        <patternFill patternType="solid">
          <fgColor rgb="FFF7F703"/>
          <bgColor rgb="FFF7F703"/>
        </patternFill>
      </fill>
    </dxf>
    <dxf>
      <fill>
        <patternFill patternType="solid">
          <fgColor rgb="FF00B050"/>
          <bgColor rgb="FF00B050"/>
        </patternFill>
      </fill>
    </dxf>
    <dxf>
      <fill>
        <patternFill patternType="solid">
          <fgColor rgb="FFFF0000"/>
          <bgColor rgb="FFFF0000"/>
        </patternFill>
      </fill>
    </dxf>
    <dxf>
      <fill>
        <patternFill patternType="solid">
          <fgColor rgb="FFF4B083"/>
          <bgColor rgb="FFF4B083"/>
        </patternFill>
      </fill>
    </dxf>
    <dxf>
      <fill>
        <patternFill patternType="solid">
          <fgColor rgb="FFF7F703"/>
          <bgColor rgb="FFF7F703"/>
        </patternFill>
      </fill>
    </dxf>
    <dxf>
      <fill>
        <patternFill patternType="solid">
          <fgColor rgb="FF00B050"/>
          <bgColor rgb="FF00B050"/>
        </patternFill>
      </fill>
    </dxf>
    <dxf>
      <fill>
        <patternFill patternType="solid">
          <fgColor rgb="FFFF0000"/>
          <bgColor rgb="FFFF0000"/>
        </patternFill>
      </fill>
    </dxf>
    <dxf>
      <fill>
        <patternFill patternType="solid">
          <fgColor rgb="FFF4B083"/>
          <bgColor rgb="FFF4B083"/>
        </patternFill>
      </fill>
    </dxf>
    <dxf>
      <fill>
        <patternFill patternType="solid">
          <fgColor rgb="FFF7F703"/>
          <bgColor rgb="FFF7F703"/>
        </patternFill>
      </fill>
    </dxf>
    <dxf>
      <fill>
        <patternFill patternType="solid">
          <fgColor rgb="FF00B050"/>
          <bgColor rgb="FF00B050"/>
        </patternFill>
      </fill>
    </dxf>
    <dxf>
      <fill>
        <patternFill patternType="solid">
          <fgColor rgb="FFFF0000"/>
          <bgColor rgb="FFFF0000"/>
        </patternFill>
      </fill>
    </dxf>
    <dxf>
      <fill>
        <patternFill patternType="solid">
          <fgColor rgb="FFF4B083"/>
          <bgColor rgb="FFF4B083"/>
        </patternFill>
      </fill>
    </dxf>
    <dxf>
      <fill>
        <patternFill patternType="solid">
          <fgColor rgb="FFF7F703"/>
          <bgColor rgb="FFF7F703"/>
        </patternFill>
      </fill>
    </dxf>
    <dxf>
      <fill>
        <patternFill patternType="solid">
          <fgColor rgb="FF00B050"/>
          <bgColor rgb="FF00B050"/>
        </patternFill>
      </fill>
    </dxf>
    <dxf>
      <fill>
        <patternFill patternType="solid">
          <fgColor rgb="FFFF0000"/>
          <bgColor rgb="FFFF0000"/>
        </patternFill>
      </fill>
    </dxf>
    <dxf>
      <fill>
        <patternFill patternType="solid">
          <fgColor rgb="FFF4B083"/>
          <bgColor rgb="FFF4B083"/>
        </patternFill>
      </fill>
    </dxf>
    <dxf>
      <fill>
        <patternFill patternType="solid">
          <fgColor rgb="FFF7F703"/>
          <bgColor rgb="FFF7F703"/>
        </patternFill>
      </fill>
    </dxf>
    <dxf>
      <fill>
        <patternFill patternType="solid">
          <fgColor rgb="FF00B050"/>
          <bgColor rgb="FF00B050"/>
        </patternFill>
      </fill>
    </dxf>
    <dxf>
      <fill>
        <patternFill patternType="solid">
          <fgColor rgb="FFFF0000"/>
          <bgColor rgb="FFFF0000"/>
        </patternFill>
      </fill>
    </dxf>
    <dxf>
      <fill>
        <patternFill patternType="solid">
          <fgColor rgb="FFF4B083"/>
          <bgColor rgb="FFF4B083"/>
        </patternFill>
      </fill>
    </dxf>
    <dxf>
      <fill>
        <patternFill patternType="solid">
          <fgColor rgb="FFF7F703"/>
          <bgColor rgb="FFF7F703"/>
        </patternFill>
      </fill>
    </dxf>
    <dxf>
      <fill>
        <patternFill patternType="solid">
          <fgColor rgb="FF00B050"/>
          <bgColor rgb="FF00B050"/>
        </patternFill>
      </fill>
    </dxf>
    <dxf>
      <fill>
        <patternFill patternType="solid">
          <fgColor rgb="FFFF0000"/>
          <bgColor rgb="FFFF0000"/>
        </patternFill>
      </fill>
    </dxf>
    <dxf>
      <fill>
        <patternFill patternType="solid">
          <fgColor rgb="FFF4B083"/>
          <bgColor rgb="FFF4B083"/>
        </patternFill>
      </fill>
    </dxf>
    <dxf>
      <fill>
        <patternFill patternType="solid">
          <fgColor rgb="FFF7F703"/>
          <bgColor rgb="FFF7F703"/>
        </patternFill>
      </fill>
    </dxf>
    <dxf>
      <fill>
        <patternFill patternType="solid">
          <fgColor rgb="FF00B050"/>
          <bgColor rgb="FF00B050"/>
        </patternFill>
      </fill>
    </dxf>
    <dxf>
      <fill>
        <patternFill>
          <bgColor rgb="FFFF000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FFFF00"/>
        </patternFill>
      </fill>
    </dxf>
    <dxf>
      <fill>
        <patternFill>
          <bgColor theme="5"/>
        </patternFill>
      </fill>
    </dxf>
    <dxf>
      <fill>
        <patternFill>
          <bgColor rgb="FF00B050"/>
        </patternFill>
      </fill>
    </dxf>
    <dxf>
      <fill>
        <patternFill patternType="solid">
          <fgColor rgb="FF008000"/>
          <bgColor rgb="FF008000"/>
        </patternFill>
      </fill>
    </dxf>
    <dxf>
      <fill>
        <patternFill patternType="solid">
          <fgColor rgb="FF8DB3E2"/>
          <bgColor rgb="FF8DB3E2"/>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800000"/>
          <bgColor rgb="FF800000"/>
        </patternFill>
      </fill>
    </dxf>
    <dxf>
      <fill>
        <patternFill>
          <bgColor rgb="FFFF0000"/>
        </patternFill>
      </fill>
    </dxf>
    <dxf>
      <fill>
        <patternFill>
          <bgColor rgb="FFFFFF00"/>
        </patternFill>
      </fill>
    </dxf>
    <dxf>
      <fill>
        <patternFill>
          <bgColor theme="5"/>
        </patternFill>
      </fill>
    </dxf>
    <dxf>
      <fill>
        <patternFill>
          <bgColor rgb="FF00B050"/>
        </patternFill>
      </fill>
    </dxf>
    <dxf>
      <fill>
        <patternFill patternType="solid">
          <fgColor rgb="FF008000"/>
          <bgColor rgb="FF008000"/>
        </patternFill>
      </fill>
    </dxf>
    <dxf>
      <fill>
        <patternFill patternType="solid">
          <fgColor rgb="FF8DB3E2"/>
          <bgColor rgb="FF8DB3E2"/>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800000"/>
          <bgColor rgb="FF800000"/>
        </patternFill>
      </fill>
    </dxf>
    <dxf>
      <fill>
        <patternFill>
          <bgColor rgb="FFFF000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5" tint="0.39994506668294322"/>
        </patternFill>
      </fill>
    </dxf>
    <dxf>
      <fill>
        <patternFill>
          <bgColor rgb="FFF7F703"/>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F6930E"/>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s>
  <tableStyles count="0" defaultTableStyle="TableStyleMedium2" defaultPivotStyle="PivotStyleLight16"/>
  <colors>
    <mruColors>
      <color rgb="FFCCCCD0"/>
      <color rgb="FFC6B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solidFill>
                  <a:sysClr val="windowText" lastClr="000000"/>
                </a:solidFill>
              </a:rPr>
              <a:t>Seguimiento Políticas Públcias</a:t>
            </a:r>
          </a:p>
        </c:rich>
      </c:tx>
      <c:overlay val="0"/>
      <c:spPr>
        <a:noFill/>
        <a:ln>
          <a:noFill/>
        </a:ln>
        <a:effectLst/>
      </c:sp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a:scene3d>
              <a:camera prst="orthographicFront"/>
              <a:lightRig rig="threePt" dir="t"/>
            </a:scene3d>
            <a:sp3d>
              <a:bevelT/>
              <a:bevelB/>
            </a:sp3d>
          </c:spPr>
          <c:invertIfNegative val="0"/>
          <c:dPt>
            <c:idx val="0"/>
            <c:invertIfNegative val="0"/>
            <c:bubble3D val="0"/>
            <c:spPr>
              <a:solidFill>
                <a:schemeClr val="tx2">
                  <a:lumMod val="60000"/>
                  <a:lumOff val="40000"/>
                </a:schemeClr>
              </a:solidFill>
              <a:ln>
                <a:noFill/>
              </a:ln>
              <a:effectLst>
                <a:outerShdw blurRad="76200" dir="18900000" sy="23000" kx="-1200000" algn="bl" rotWithShape="0">
                  <a:prstClr val="black">
                    <a:alpha val="20000"/>
                  </a:prstClr>
                </a:outerShdw>
              </a:effectLst>
              <a:scene3d>
                <a:camera prst="orthographicFront"/>
                <a:lightRig rig="threePt" dir="t"/>
              </a:scene3d>
              <a:sp3d>
                <a:bevelT/>
                <a:bevelB/>
              </a:sp3d>
            </c:spPr>
            <c:extLst>
              <c:ext xmlns:c16="http://schemas.microsoft.com/office/drawing/2014/chart" uri="{C3380CC4-5D6E-409C-BE32-E72D297353CC}">
                <c16:uniqueId val="{00000002-B031-4D9E-B617-E22367FED1D2}"/>
              </c:ext>
            </c:extLst>
          </c:dPt>
          <c:dPt>
            <c:idx val="1"/>
            <c:invertIfNegative val="0"/>
            <c:bubble3D val="0"/>
            <c:spPr>
              <a:solidFill>
                <a:schemeClr val="accent6">
                  <a:lumMod val="60000"/>
                  <a:lumOff val="40000"/>
                </a:schemeClr>
              </a:solidFill>
              <a:ln>
                <a:noFill/>
              </a:ln>
              <a:effectLst>
                <a:outerShdw blurRad="76200" dir="18900000" sy="23000" kx="-1200000" algn="bl" rotWithShape="0">
                  <a:prstClr val="black">
                    <a:alpha val="20000"/>
                  </a:prstClr>
                </a:outerShdw>
              </a:effectLst>
              <a:scene3d>
                <a:camera prst="orthographicFront"/>
                <a:lightRig rig="threePt" dir="t"/>
              </a:scene3d>
              <a:sp3d>
                <a:bevelT/>
                <a:bevelB/>
              </a:sp3d>
            </c:spPr>
            <c:extLst>
              <c:ext xmlns:c16="http://schemas.microsoft.com/office/drawing/2014/chart" uri="{C3380CC4-5D6E-409C-BE32-E72D297353CC}">
                <c16:uniqueId val="{00000003-B031-4D9E-B617-E22367FED1D2}"/>
              </c:ext>
            </c:extLst>
          </c:dPt>
          <c:dPt>
            <c:idx val="2"/>
            <c:invertIfNegative val="0"/>
            <c:bubble3D val="0"/>
            <c:spPr>
              <a:solidFill>
                <a:srgbClr val="FF0000"/>
              </a:solidFill>
              <a:ln>
                <a:noFill/>
              </a:ln>
              <a:effectLst>
                <a:outerShdw blurRad="76200" dir="18900000" sy="23000" kx="-1200000" algn="bl" rotWithShape="0">
                  <a:prstClr val="black">
                    <a:alpha val="20000"/>
                  </a:prstClr>
                </a:outerShdw>
              </a:effectLst>
              <a:scene3d>
                <a:camera prst="orthographicFront"/>
                <a:lightRig rig="threePt" dir="t"/>
              </a:scene3d>
              <a:sp3d>
                <a:bevelT/>
                <a:bevelB/>
              </a:sp3d>
            </c:spPr>
            <c:extLst>
              <c:ext xmlns:c16="http://schemas.microsoft.com/office/drawing/2014/chart" uri="{C3380CC4-5D6E-409C-BE32-E72D297353CC}">
                <c16:uniqueId val="{00000004-B031-4D9E-B617-E22367FED1D2}"/>
              </c:ext>
            </c:extLst>
          </c:dPt>
          <c:dPt>
            <c:idx val="3"/>
            <c:invertIfNegative val="0"/>
            <c:bubble3D val="0"/>
            <c:spPr>
              <a:solidFill>
                <a:schemeClr val="accent6">
                  <a:lumMod val="75000"/>
                </a:schemeClr>
              </a:solidFill>
              <a:ln>
                <a:noFill/>
              </a:ln>
              <a:effectLst>
                <a:outerShdw blurRad="76200" dir="18900000" sy="23000" kx="-1200000" algn="bl" rotWithShape="0">
                  <a:prstClr val="black">
                    <a:alpha val="20000"/>
                  </a:prstClr>
                </a:outerShdw>
              </a:effectLst>
              <a:scene3d>
                <a:camera prst="orthographicFront"/>
                <a:lightRig rig="threePt" dir="t"/>
              </a:scene3d>
              <a:sp3d>
                <a:bevelT/>
                <a:bevelB/>
              </a:sp3d>
            </c:spPr>
            <c:extLst>
              <c:ext xmlns:c16="http://schemas.microsoft.com/office/drawing/2014/chart" uri="{C3380CC4-5D6E-409C-BE32-E72D297353CC}">
                <c16:uniqueId val="{00000005-B031-4D9E-B617-E22367FED1D2}"/>
              </c:ext>
            </c:extLst>
          </c:dPt>
          <c:dPt>
            <c:idx val="4"/>
            <c:invertIfNegative val="0"/>
            <c:bubble3D val="0"/>
            <c:spPr>
              <a:solidFill>
                <a:schemeClr val="accent3">
                  <a:lumMod val="60000"/>
                  <a:lumOff val="40000"/>
                </a:schemeClr>
              </a:solidFill>
              <a:ln>
                <a:noFill/>
              </a:ln>
              <a:effectLst>
                <a:outerShdw blurRad="76200" dir="18900000" sy="23000" kx="-1200000" algn="bl" rotWithShape="0">
                  <a:prstClr val="black">
                    <a:alpha val="20000"/>
                  </a:prstClr>
                </a:outerShdw>
              </a:effectLst>
              <a:scene3d>
                <a:camera prst="orthographicFront"/>
                <a:lightRig rig="threePt" dir="t"/>
              </a:scene3d>
              <a:sp3d>
                <a:bevelT/>
                <a:bevelB/>
              </a:sp3d>
            </c:spPr>
            <c:extLst>
              <c:ext xmlns:c16="http://schemas.microsoft.com/office/drawing/2014/chart" uri="{C3380CC4-5D6E-409C-BE32-E72D297353CC}">
                <c16:uniqueId val="{00000006-B031-4D9E-B617-E22367FED1D2}"/>
              </c:ext>
            </c:extLst>
          </c:dPt>
          <c:dPt>
            <c:idx val="5"/>
            <c:invertIfNegative val="0"/>
            <c:bubble3D val="0"/>
            <c:spPr>
              <a:solidFill>
                <a:schemeClr val="accent4">
                  <a:lumMod val="40000"/>
                  <a:lumOff val="60000"/>
                </a:schemeClr>
              </a:solidFill>
              <a:ln>
                <a:noFill/>
              </a:ln>
              <a:effectLst>
                <a:outerShdw blurRad="76200" dir="18900000" sy="23000" kx="-1200000" algn="bl" rotWithShape="0">
                  <a:prstClr val="black">
                    <a:alpha val="20000"/>
                  </a:prstClr>
                </a:outerShdw>
              </a:effectLst>
              <a:scene3d>
                <a:camera prst="orthographicFront"/>
                <a:lightRig rig="threePt" dir="t"/>
              </a:scene3d>
              <a:sp3d>
                <a:bevelT/>
                <a:bevelB/>
              </a:sp3d>
            </c:spPr>
            <c:extLst>
              <c:ext xmlns:c16="http://schemas.microsoft.com/office/drawing/2014/chart" uri="{C3380CC4-5D6E-409C-BE32-E72D297353CC}">
                <c16:uniqueId val="{00000007-B031-4D9E-B617-E22367FED1D2}"/>
              </c:ext>
            </c:extLst>
          </c:dPt>
          <c:dPt>
            <c:idx val="6"/>
            <c:invertIfNegative val="0"/>
            <c:bubble3D val="0"/>
            <c:spPr>
              <a:solidFill>
                <a:schemeClr val="accent5">
                  <a:lumMod val="75000"/>
                </a:schemeClr>
              </a:solidFill>
              <a:ln>
                <a:noFill/>
              </a:ln>
              <a:effectLst>
                <a:outerShdw blurRad="76200" dir="18900000" sy="23000" kx="-1200000" algn="bl" rotWithShape="0">
                  <a:prstClr val="black">
                    <a:alpha val="20000"/>
                  </a:prstClr>
                </a:outerShdw>
              </a:effectLst>
              <a:scene3d>
                <a:camera prst="orthographicFront"/>
                <a:lightRig rig="threePt" dir="t"/>
              </a:scene3d>
              <a:sp3d>
                <a:bevelT/>
                <a:bevelB/>
              </a:sp3d>
            </c:spPr>
            <c:extLst>
              <c:ext xmlns:c16="http://schemas.microsoft.com/office/drawing/2014/chart" uri="{C3380CC4-5D6E-409C-BE32-E72D297353CC}">
                <c16:uniqueId val="{00000008-B031-4D9E-B617-E22367FED1D2}"/>
              </c:ext>
            </c:extLst>
          </c:dPt>
          <c:dPt>
            <c:idx val="7"/>
            <c:invertIfNegative val="0"/>
            <c:bubble3D val="0"/>
            <c:spPr>
              <a:solidFill>
                <a:srgbClr val="00B050"/>
              </a:solidFill>
              <a:ln>
                <a:noFill/>
              </a:ln>
              <a:effectLst>
                <a:outerShdw blurRad="76200" dir="18900000" sy="23000" kx="-1200000" algn="bl" rotWithShape="0">
                  <a:prstClr val="black">
                    <a:alpha val="20000"/>
                  </a:prstClr>
                </a:outerShdw>
              </a:effectLst>
              <a:scene3d>
                <a:camera prst="orthographicFront"/>
                <a:lightRig rig="threePt" dir="t"/>
              </a:scene3d>
              <a:sp3d>
                <a:bevelT/>
                <a:bevelB/>
              </a:sp3d>
            </c:spPr>
            <c:extLst>
              <c:ext xmlns:c16="http://schemas.microsoft.com/office/drawing/2014/chart" uri="{C3380CC4-5D6E-409C-BE32-E72D297353CC}">
                <c16:uniqueId val="{00000009-B031-4D9E-B617-E22367FED1D2}"/>
              </c:ext>
            </c:extLst>
          </c:dPt>
          <c:dPt>
            <c:idx val="8"/>
            <c:invertIfNegative val="0"/>
            <c:bubble3D val="0"/>
            <c:spPr>
              <a:solidFill>
                <a:srgbClr val="00B0F0"/>
              </a:solidFill>
              <a:ln>
                <a:noFill/>
              </a:ln>
              <a:effectLst>
                <a:outerShdw blurRad="76200" dir="18900000" sy="23000" kx="-1200000" algn="bl" rotWithShape="0">
                  <a:prstClr val="black">
                    <a:alpha val="20000"/>
                  </a:prstClr>
                </a:outerShdw>
              </a:effectLst>
              <a:scene3d>
                <a:camera prst="orthographicFront"/>
                <a:lightRig rig="threePt" dir="t"/>
              </a:scene3d>
              <a:sp3d>
                <a:bevelT/>
                <a:bevelB/>
              </a:sp3d>
            </c:spPr>
            <c:extLst>
              <c:ext xmlns:c16="http://schemas.microsoft.com/office/drawing/2014/chart" uri="{C3380CC4-5D6E-409C-BE32-E72D297353CC}">
                <c16:uniqueId val="{0000000A-B031-4D9E-B617-E22367FED1D2}"/>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'Sintesis presentac'!$J$44:$AA$44</c:f>
              <c:strCache>
                <c:ptCount val="10"/>
                <c:pt idx="0">
                  <c:v>INDIGENAS</c:v>
                </c:pt>
                <c:pt idx="1">
                  <c:v>JUVENTUD</c:v>
                </c:pt>
                <c:pt idx="2">
                  <c:v>VICTIMAS </c:v>
                </c:pt>
                <c:pt idx="3">
                  <c:v>DRAEF</c:v>
                </c:pt>
                <c:pt idx="4">
                  <c:v>SALUD SEXUAL Y REPRODUCTIVA</c:v>
                </c:pt>
                <c:pt idx="5">
                  <c:v>BIENESTAR ANIMAL </c:v>
                </c:pt>
                <c:pt idx="6">
                  <c:v>JUNTAS DE ACCION COMUNAL </c:v>
                </c:pt>
                <c:pt idx="7">
                  <c:v>SALUD MENTAL </c:v>
                </c:pt>
                <c:pt idx="8">
                  <c:v>PEREIRA INNOVA </c:v>
                </c:pt>
                <c:pt idx="9">
                  <c:v>SEGURIDAD ALIMENTARIA </c:v>
                </c:pt>
              </c:strCache>
            </c:strRef>
          </c:cat>
          <c:val>
            <c:numRef>
              <c:f>'Sintesis presentac'!$J$45:$AA$45</c:f>
              <c:numCache>
                <c:formatCode>0.0%</c:formatCode>
                <c:ptCount val="10"/>
                <c:pt idx="0">
                  <c:v>0.78700000000000003</c:v>
                </c:pt>
                <c:pt idx="1">
                  <c:v>0.81</c:v>
                </c:pt>
                <c:pt idx="2">
                  <c:v>0.91</c:v>
                </c:pt>
                <c:pt idx="3">
                  <c:v>0.46</c:v>
                </c:pt>
                <c:pt idx="4">
                  <c:v>0.97</c:v>
                </c:pt>
                <c:pt idx="5">
                  <c:v>0.9</c:v>
                </c:pt>
                <c:pt idx="6">
                  <c:v>0.73</c:v>
                </c:pt>
                <c:pt idx="7">
                  <c:v>0.99</c:v>
                </c:pt>
                <c:pt idx="8">
                  <c:v>0.93300000000000005</c:v>
                </c:pt>
                <c:pt idx="9">
                  <c:v>0.82</c:v>
                </c:pt>
              </c:numCache>
            </c:numRef>
          </c:val>
          <c:extLst>
            <c:ext xmlns:c16="http://schemas.microsoft.com/office/drawing/2014/chart" uri="{C3380CC4-5D6E-409C-BE32-E72D297353CC}">
              <c16:uniqueId val="{00000000-B031-4D9E-B617-E22367FED1D2}"/>
            </c:ext>
          </c:extLst>
        </c:ser>
        <c:dLbls>
          <c:dLblPos val="inEnd"/>
          <c:showLegendKey val="0"/>
          <c:showVal val="1"/>
          <c:showCatName val="0"/>
          <c:showSerName val="0"/>
          <c:showPercent val="0"/>
          <c:showBubbleSize val="0"/>
        </c:dLbls>
        <c:gapWidth val="41"/>
        <c:axId val="194869888"/>
        <c:axId val="194897024"/>
      </c:barChart>
      <c:catAx>
        <c:axId val="1948698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effectLst/>
                <a:latin typeface="+mn-lt"/>
                <a:ea typeface="+mn-ea"/>
                <a:cs typeface="+mn-cs"/>
              </a:defRPr>
            </a:pPr>
            <a:endParaRPr lang="es-CO"/>
          </a:p>
        </c:txPr>
        <c:crossAx val="194897024"/>
        <c:crosses val="autoZero"/>
        <c:auto val="1"/>
        <c:lblAlgn val="ctr"/>
        <c:lblOffset val="100"/>
        <c:noMultiLvlLbl val="0"/>
      </c:catAx>
      <c:valAx>
        <c:axId val="194897024"/>
        <c:scaling>
          <c:orientation val="minMax"/>
        </c:scaling>
        <c:delete val="1"/>
        <c:axPos val="l"/>
        <c:numFmt formatCode="0.0%" sourceLinked="1"/>
        <c:majorTickMark val="none"/>
        <c:minorTickMark val="none"/>
        <c:tickLblPos val="nextTo"/>
        <c:crossAx val="194869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13</xdr:col>
      <xdr:colOff>1489364</xdr:colOff>
      <xdr:row>12</xdr:row>
      <xdr:rowOff>155864</xdr:rowOff>
    </xdr:from>
    <xdr:to>
      <xdr:col>13</xdr:col>
      <xdr:colOff>3114614</xdr:colOff>
      <xdr:row>12</xdr:row>
      <xdr:rowOff>1368137</xdr:rowOff>
    </xdr:to>
    <xdr:pic>
      <xdr:nvPicPr>
        <xdr:cNvPr id="2" name="Imagen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02264" y="3822989"/>
          <a:ext cx="1625250" cy="412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1385455</xdr:colOff>
      <xdr:row>29</xdr:row>
      <xdr:rowOff>1593273</xdr:rowOff>
    </xdr:from>
    <xdr:to>
      <xdr:col>14</xdr:col>
      <xdr:colOff>336839</xdr:colOff>
      <xdr:row>29</xdr:row>
      <xdr:rowOff>3012498</xdr:rowOff>
    </xdr:to>
    <xdr:pic>
      <xdr:nvPicPr>
        <xdr:cNvPr id="5" name="Gráfico 1">
          <a:extLst>
            <a:ext uri="{FF2B5EF4-FFF2-40B4-BE49-F238E27FC236}">
              <a16:creationId xmlns:a16="http://schemas.microsoft.com/office/drawing/2014/main" id="{00000000-0008-0000-0200-00000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398355" y="8222673"/>
          <a:ext cx="33614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1489364</xdr:colOff>
      <xdr:row>12</xdr:row>
      <xdr:rowOff>155864</xdr:rowOff>
    </xdr:from>
    <xdr:to>
      <xdr:col>57</xdr:col>
      <xdr:colOff>3114614</xdr:colOff>
      <xdr:row>12</xdr:row>
      <xdr:rowOff>1368137</xdr:rowOff>
    </xdr:to>
    <xdr:pic>
      <xdr:nvPicPr>
        <xdr:cNvPr id="6" name="Imagen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10764" y="6366164"/>
          <a:ext cx="63150" cy="412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1385455</xdr:colOff>
      <xdr:row>29</xdr:row>
      <xdr:rowOff>1593273</xdr:rowOff>
    </xdr:from>
    <xdr:to>
      <xdr:col>58</xdr:col>
      <xdr:colOff>336839</xdr:colOff>
      <xdr:row>29</xdr:row>
      <xdr:rowOff>3012498</xdr:rowOff>
    </xdr:to>
    <xdr:pic>
      <xdr:nvPicPr>
        <xdr:cNvPr id="9" name="Gráfico 1">
          <a:extLst>
            <a:ext uri="{FF2B5EF4-FFF2-40B4-BE49-F238E27FC236}">
              <a16:creationId xmlns:a16="http://schemas.microsoft.com/office/drawing/2014/main" id="{00000000-0008-0000-0200-000009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06855" y="16499898"/>
          <a:ext cx="5039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394609</xdr:colOff>
      <xdr:row>48</xdr:row>
      <xdr:rowOff>642256</xdr:rowOff>
    </xdr:from>
    <xdr:to>
      <xdr:col>28</xdr:col>
      <xdr:colOff>190501</xdr:colOff>
      <xdr:row>54</xdr:row>
      <xdr:rowOff>122464</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390525</xdr:colOff>
      <xdr:row>28</xdr:row>
      <xdr:rowOff>609600</xdr:rowOff>
    </xdr:to>
    <xdr:sp macro="" textlink="">
      <xdr:nvSpPr>
        <xdr:cNvPr id="2" name="AutoShape 4">
          <a:extLst>
            <a:ext uri="{FF2B5EF4-FFF2-40B4-BE49-F238E27FC236}">
              <a16:creationId xmlns:a16="http://schemas.microsoft.com/office/drawing/2014/main" id="{00000000-0008-0000-1300-000002000000}"/>
            </a:ext>
          </a:extLst>
        </xdr:cNvPr>
        <xdr:cNvSpPr>
          <a:spLocks noChangeArrowheads="1"/>
        </xdr:cNvSpPr>
      </xdr:nvSpPr>
      <xdr:spPr bwMode="auto">
        <a:xfrm>
          <a:off x="0" y="0"/>
          <a:ext cx="11915775" cy="22164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28</xdr:row>
      <xdr:rowOff>609600</xdr:rowOff>
    </xdr:to>
    <xdr:sp macro="" textlink="">
      <xdr:nvSpPr>
        <xdr:cNvPr id="3" name="AutoShape 4">
          <a:extLst>
            <a:ext uri="{FF2B5EF4-FFF2-40B4-BE49-F238E27FC236}">
              <a16:creationId xmlns:a16="http://schemas.microsoft.com/office/drawing/2014/main" id="{00000000-0008-0000-1300-000003000000}"/>
            </a:ext>
          </a:extLst>
        </xdr:cNvPr>
        <xdr:cNvSpPr>
          <a:spLocks noChangeArrowheads="1"/>
        </xdr:cNvSpPr>
      </xdr:nvSpPr>
      <xdr:spPr bwMode="auto">
        <a:xfrm>
          <a:off x="0" y="0"/>
          <a:ext cx="11915775" cy="22164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28</xdr:row>
      <xdr:rowOff>609600</xdr:rowOff>
    </xdr:to>
    <xdr:sp macro="" textlink="">
      <xdr:nvSpPr>
        <xdr:cNvPr id="4" name="AutoShape 4">
          <a:extLst>
            <a:ext uri="{FF2B5EF4-FFF2-40B4-BE49-F238E27FC236}">
              <a16:creationId xmlns:a16="http://schemas.microsoft.com/office/drawing/2014/main" id="{00000000-0008-0000-1300-000004000000}"/>
            </a:ext>
          </a:extLst>
        </xdr:cNvPr>
        <xdr:cNvSpPr>
          <a:spLocks noChangeArrowheads="1"/>
        </xdr:cNvSpPr>
      </xdr:nvSpPr>
      <xdr:spPr bwMode="auto">
        <a:xfrm>
          <a:off x="0" y="0"/>
          <a:ext cx="11915775" cy="22164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28</xdr:row>
      <xdr:rowOff>609600</xdr:rowOff>
    </xdr:to>
    <xdr:sp macro="" textlink="">
      <xdr:nvSpPr>
        <xdr:cNvPr id="5" name="AutoShape 4">
          <a:extLst>
            <a:ext uri="{FF2B5EF4-FFF2-40B4-BE49-F238E27FC236}">
              <a16:creationId xmlns:a16="http://schemas.microsoft.com/office/drawing/2014/main" id="{00000000-0008-0000-1300-000005000000}"/>
            </a:ext>
          </a:extLst>
        </xdr:cNvPr>
        <xdr:cNvSpPr>
          <a:spLocks noChangeArrowheads="1"/>
        </xdr:cNvSpPr>
      </xdr:nvSpPr>
      <xdr:spPr bwMode="auto">
        <a:xfrm>
          <a:off x="0" y="0"/>
          <a:ext cx="11915775" cy="22164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28</xdr:row>
      <xdr:rowOff>609600</xdr:rowOff>
    </xdr:to>
    <xdr:sp macro="" textlink="">
      <xdr:nvSpPr>
        <xdr:cNvPr id="6" name="AutoShape 4">
          <a:extLst>
            <a:ext uri="{FF2B5EF4-FFF2-40B4-BE49-F238E27FC236}">
              <a16:creationId xmlns:a16="http://schemas.microsoft.com/office/drawing/2014/main" id="{00000000-0008-0000-1300-000006000000}"/>
            </a:ext>
          </a:extLst>
        </xdr:cNvPr>
        <xdr:cNvSpPr>
          <a:spLocks noChangeArrowheads="1"/>
        </xdr:cNvSpPr>
      </xdr:nvSpPr>
      <xdr:spPr bwMode="auto">
        <a:xfrm>
          <a:off x="0" y="0"/>
          <a:ext cx="11915775" cy="22164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28</xdr:row>
      <xdr:rowOff>609600</xdr:rowOff>
    </xdr:to>
    <xdr:sp macro="" textlink="">
      <xdr:nvSpPr>
        <xdr:cNvPr id="7" name="AutoShape 4">
          <a:extLst>
            <a:ext uri="{FF2B5EF4-FFF2-40B4-BE49-F238E27FC236}">
              <a16:creationId xmlns:a16="http://schemas.microsoft.com/office/drawing/2014/main" id="{00000000-0008-0000-1300-000007000000}"/>
            </a:ext>
          </a:extLst>
        </xdr:cNvPr>
        <xdr:cNvSpPr>
          <a:spLocks noChangeArrowheads="1"/>
        </xdr:cNvSpPr>
      </xdr:nvSpPr>
      <xdr:spPr bwMode="auto">
        <a:xfrm>
          <a:off x="0" y="0"/>
          <a:ext cx="11915775" cy="22164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17</xdr:row>
      <xdr:rowOff>609600</xdr:rowOff>
    </xdr:to>
    <xdr:sp macro="" textlink="">
      <xdr:nvSpPr>
        <xdr:cNvPr id="8" name="AutoShape 4">
          <a:extLst>
            <a:ext uri="{FF2B5EF4-FFF2-40B4-BE49-F238E27FC236}">
              <a16:creationId xmlns:a16="http://schemas.microsoft.com/office/drawing/2014/main" id="{00000000-0008-0000-1300-000008000000}"/>
            </a:ext>
          </a:extLst>
        </xdr:cNvPr>
        <xdr:cNvSpPr>
          <a:spLocks noChangeArrowheads="1"/>
        </xdr:cNvSpPr>
      </xdr:nvSpPr>
      <xdr:spPr bwMode="auto">
        <a:xfrm>
          <a:off x="0" y="0"/>
          <a:ext cx="11915775" cy="1406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17</xdr:row>
      <xdr:rowOff>609600</xdr:rowOff>
    </xdr:to>
    <xdr:sp macro="" textlink="">
      <xdr:nvSpPr>
        <xdr:cNvPr id="9" name="AutoShape 4">
          <a:extLst>
            <a:ext uri="{FF2B5EF4-FFF2-40B4-BE49-F238E27FC236}">
              <a16:creationId xmlns:a16="http://schemas.microsoft.com/office/drawing/2014/main" id="{00000000-0008-0000-1300-000009000000}"/>
            </a:ext>
          </a:extLst>
        </xdr:cNvPr>
        <xdr:cNvSpPr>
          <a:spLocks noChangeArrowheads="1"/>
        </xdr:cNvSpPr>
      </xdr:nvSpPr>
      <xdr:spPr bwMode="auto">
        <a:xfrm>
          <a:off x="0" y="0"/>
          <a:ext cx="11915775" cy="1406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28</xdr:row>
      <xdr:rowOff>609600</xdr:rowOff>
    </xdr:to>
    <xdr:sp macro="" textlink="">
      <xdr:nvSpPr>
        <xdr:cNvPr id="10" name="AutoShape 4">
          <a:extLst>
            <a:ext uri="{FF2B5EF4-FFF2-40B4-BE49-F238E27FC236}">
              <a16:creationId xmlns:a16="http://schemas.microsoft.com/office/drawing/2014/main" id="{00000000-0008-0000-1300-00000A000000}"/>
            </a:ext>
          </a:extLst>
        </xdr:cNvPr>
        <xdr:cNvSpPr>
          <a:spLocks noChangeArrowheads="1"/>
        </xdr:cNvSpPr>
      </xdr:nvSpPr>
      <xdr:spPr bwMode="auto">
        <a:xfrm>
          <a:off x="0" y="0"/>
          <a:ext cx="8210550" cy="1042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28</xdr:row>
      <xdr:rowOff>609600</xdr:rowOff>
    </xdr:to>
    <xdr:sp macro="" textlink="">
      <xdr:nvSpPr>
        <xdr:cNvPr id="11" name="AutoShape 4">
          <a:extLst>
            <a:ext uri="{FF2B5EF4-FFF2-40B4-BE49-F238E27FC236}">
              <a16:creationId xmlns:a16="http://schemas.microsoft.com/office/drawing/2014/main" id="{00000000-0008-0000-1300-00000B000000}"/>
            </a:ext>
          </a:extLst>
        </xdr:cNvPr>
        <xdr:cNvSpPr>
          <a:spLocks noChangeArrowheads="1"/>
        </xdr:cNvSpPr>
      </xdr:nvSpPr>
      <xdr:spPr bwMode="auto">
        <a:xfrm>
          <a:off x="0" y="0"/>
          <a:ext cx="8210550" cy="1042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28</xdr:row>
      <xdr:rowOff>609600</xdr:rowOff>
    </xdr:to>
    <xdr:sp macro="" textlink="">
      <xdr:nvSpPr>
        <xdr:cNvPr id="12" name="AutoShape 4">
          <a:extLst>
            <a:ext uri="{FF2B5EF4-FFF2-40B4-BE49-F238E27FC236}">
              <a16:creationId xmlns:a16="http://schemas.microsoft.com/office/drawing/2014/main" id="{00000000-0008-0000-1300-00000C000000}"/>
            </a:ext>
          </a:extLst>
        </xdr:cNvPr>
        <xdr:cNvSpPr>
          <a:spLocks noChangeArrowheads="1"/>
        </xdr:cNvSpPr>
      </xdr:nvSpPr>
      <xdr:spPr bwMode="auto">
        <a:xfrm>
          <a:off x="0" y="0"/>
          <a:ext cx="8210550" cy="1042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28</xdr:row>
      <xdr:rowOff>609600</xdr:rowOff>
    </xdr:to>
    <xdr:sp macro="" textlink="">
      <xdr:nvSpPr>
        <xdr:cNvPr id="13" name="AutoShape 4">
          <a:extLst>
            <a:ext uri="{FF2B5EF4-FFF2-40B4-BE49-F238E27FC236}">
              <a16:creationId xmlns:a16="http://schemas.microsoft.com/office/drawing/2014/main" id="{00000000-0008-0000-1300-00000D000000}"/>
            </a:ext>
          </a:extLst>
        </xdr:cNvPr>
        <xdr:cNvSpPr>
          <a:spLocks noChangeArrowheads="1"/>
        </xdr:cNvSpPr>
      </xdr:nvSpPr>
      <xdr:spPr bwMode="auto">
        <a:xfrm>
          <a:off x="0" y="0"/>
          <a:ext cx="8210550" cy="1042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28</xdr:row>
      <xdr:rowOff>609600</xdr:rowOff>
    </xdr:to>
    <xdr:sp macro="" textlink="">
      <xdr:nvSpPr>
        <xdr:cNvPr id="14" name="AutoShape 4">
          <a:extLst>
            <a:ext uri="{FF2B5EF4-FFF2-40B4-BE49-F238E27FC236}">
              <a16:creationId xmlns:a16="http://schemas.microsoft.com/office/drawing/2014/main" id="{00000000-0008-0000-1300-00000E000000}"/>
            </a:ext>
          </a:extLst>
        </xdr:cNvPr>
        <xdr:cNvSpPr>
          <a:spLocks noChangeArrowheads="1"/>
        </xdr:cNvSpPr>
      </xdr:nvSpPr>
      <xdr:spPr bwMode="auto">
        <a:xfrm>
          <a:off x="0" y="0"/>
          <a:ext cx="8210550" cy="1042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28</xdr:row>
      <xdr:rowOff>609600</xdr:rowOff>
    </xdr:to>
    <xdr:sp macro="" textlink="">
      <xdr:nvSpPr>
        <xdr:cNvPr id="15" name="AutoShape 4">
          <a:extLst>
            <a:ext uri="{FF2B5EF4-FFF2-40B4-BE49-F238E27FC236}">
              <a16:creationId xmlns:a16="http://schemas.microsoft.com/office/drawing/2014/main" id="{00000000-0008-0000-1300-00000F000000}"/>
            </a:ext>
          </a:extLst>
        </xdr:cNvPr>
        <xdr:cNvSpPr>
          <a:spLocks noChangeArrowheads="1"/>
        </xdr:cNvSpPr>
      </xdr:nvSpPr>
      <xdr:spPr bwMode="auto">
        <a:xfrm>
          <a:off x="0" y="0"/>
          <a:ext cx="8210550" cy="1042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17</xdr:row>
      <xdr:rowOff>609600</xdr:rowOff>
    </xdr:to>
    <xdr:sp macro="" textlink="">
      <xdr:nvSpPr>
        <xdr:cNvPr id="16" name="AutoShape 4">
          <a:extLst>
            <a:ext uri="{FF2B5EF4-FFF2-40B4-BE49-F238E27FC236}">
              <a16:creationId xmlns:a16="http://schemas.microsoft.com/office/drawing/2014/main" id="{00000000-0008-0000-1300-000010000000}"/>
            </a:ext>
          </a:extLst>
        </xdr:cNvPr>
        <xdr:cNvSpPr>
          <a:spLocks noChangeArrowheads="1"/>
        </xdr:cNvSpPr>
      </xdr:nvSpPr>
      <xdr:spPr bwMode="auto">
        <a:xfrm>
          <a:off x="0" y="0"/>
          <a:ext cx="8210550" cy="6610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17</xdr:row>
      <xdr:rowOff>609600</xdr:rowOff>
    </xdr:to>
    <xdr:sp macro="" textlink="">
      <xdr:nvSpPr>
        <xdr:cNvPr id="17" name="AutoShape 4">
          <a:extLst>
            <a:ext uri="{FF2B5EF4-FFF2-40B4-BE49-F238E27FC236}">
              <a16:creationId xmlns:a16="http://schemas.microsoft.com/office/drawing/2014/main" id="{00000000-0008-0000-1300-000011000000}"/>
            </a:ext>
          </a:extLst>
        </xdr:cNvPr>
        <xdr:cNvSpPr>
          <a:spLocks noChangeArrowheads="1"/>
        </xdr:cNvSpPr>
      </xdr:nvSpPr>
      <xdr:spPr bwMode="auto">
        <a:xfrm>
          <a:off x="0" y="0"/>
          <a:ext cx="8210550" cy="66103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8</xdr:row>
      <xdr:rowOff>0</xdr:rowOff>
    </xdr:to>
    <xdr:sp macro="" textlink="">
      <xdr:nvSpPr>
        <xdr:cNvPr id="2" name="AutoShape 4">
          <a:extLst>
            <a:ext uri="{FF2B5EF4-FFF2-40B4-BE49-F238E27FC236}">
              <a16:creationId xmlns:a16="http://schemas.microsoft.com/office/drawing/2014/main" id="{00000000-0008-0000-1400-000002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8</xdr:row>
      <xdr:rowOff>0</xdr:rowOff>
    </xdr:to>
    <xdr:sp macro="" textlink="">
      <xdr:nvSpPr>
        <xdr:cNvPr id="3" name="AutoShape 4">
          <a:extLst>
            <a:ext uri="{FF2B5EF4-FFF2-40B4-BE49-F238E27FC236}">
              <a16:creationId xmlns:a16="http://schemas.microsoft.com/office/drawing/2014/main" id="{00000000-0008-0000-1400-000003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8</xdr:row>
      <xdr:rowOff>0</xdr:rowOff>
    </xdr:to>
    <xdr:sp macro="" textlink="">
      <xdr:nvSpPr>
        <xdr:cNvPr id="4" name="AutoShape 4">
          <a:extLst>
            <a:ext uri="{FF2B5EF4-FFF2-40B4-BE49-F238E27FC236}">
              <a16:creationId xmlns:a16="http://schemas.microsoft.com/office/drawing/2014/main" id="{00000000-0008-0000-1400-000004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8</xdr:row>
      <xdr:rowOff>0</xdr:rowOff>
    </xdr:to>
    <xdr:sp macro="" textlink="">
      <xdr:nvSpPr>
        <xdr:cNvPr id="5" name="AutoShape 4">
          <a:extLst>
            <a:ext uri="{FF2B5EF4-FFF2-40B4-BE49-F238E27FC236}">
              <a16:creationId xmlns:a16="http://schemas.microsoft.com/office/drawing/2014/main" id="{00000000-0008-0000-1400-000005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8</xdr:row>
      <xdr:rowOff>0</xdr:rowOff>
    </xdr:to>
    <xdr:sp macro="" textlink="">
      <xdr:nvSpPr>
        <xdr:cNvPr id="6" name="AutoShape 4">
          <a:extLst>
            <a:ext uri="{FF2B5EF4-FFF2-40B4-BE49-F238E27FC236}">
              <a16:creationId xmlns:a16="http://schemas.microsoft.com/office/drawing/2014/main" id="{00000000-0008-0000-1400-000006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7</xdr:row>
      <xdr:rowOff>0</xdr:rowOff>
    </xdr:to>
    <xdr:sp macro="" textlink="">
      <xdr:nvSpPr>
        <xdr:cNvPr id="7" name="AutoShape 4">
          <a:extLst>
            <a:ext uri="{FF2B5EF4-FFF2-40B4-BE49-F238E27FC236}">
              <a16:creationId xmlns:a16="http://schemas.microsoft.com/office/drawing/2014/main" id="{00000000-0008-0000-1400-000007000000}"/>
            </a:ext>
          </a:extLst>
        </xdr:cNvPr>
        <xdr:cNvSpPr>
          <a:spLocks noChangeArrowheads="1"/>
        </xdr:cNvSpPr>
      </xdr:nvSpPr>
      <xdr:spPr bwMode="auto">
        <a:xfrm>
          <a:off x="0" y="0"/>
          <a:ext cx="9248775" cy="571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7</xdr:row>
      <xdr:rowOff>0</xdr:rowOff>
    </xdr:to>
    <xdr:sp macro="" textlink="">
      <xdr:nvSpPr>
        <xdr:cNvPr id="8" name="AutoShape 4">
          <a:extLst>
            <a:ext uri="{FF2B5EF4-FFF2-40B4-BE49-F238E27FC236}">
              <a16:creationId xmlns:a16="http://schemas.microsoft.com/office/drawing/2014/main" id="{00000000-0008-0000-1400-000008000000}"/>
            </a:ext>
          </a:extLst>
        </xdr:cNvPr>
        <xdr:cNvSpPr>
          <a:spLocks noChangeArrowheads="1"/>
        </xdr:cNvSpPr>
      </xdr:nvSpPr>
      <xdr:spPr bwMode="auto">
        <a:xfrm>
          <a:off x="0" y="0"/>
          <a:ext cx="9248775" cy="571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8</xdr:row>
      <xdr:rowOff>0</xdr:rowOff>
    </xdr:to>
    <xdr:sp macro="" textlink="">
      <xdr:nvSpPr>
        <xdr:cNvPr id="9" name="AutoShape 4">
          <a:extLst>
            <a:ext uri="{FF2B5EF4-FFF2-40B4-BE49-F238E27FC236}">
              <a16:creationId xmlns:a16="http://schemas.microsoft.com/office/drawing/2014/main" id="{00000000-0008-0000-1400-000009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8</xdr:row>
      <xdr:rowOff>0</xdr:rowOff>
    </xdr:to>
    <xdr:sp macro="" textlink="">
      <xdr:nvSpPr>
        <xdr:cNvPr id="10" name="AutoShape 4">
          <a:extLst>
            <a:ext uri="{FF2B5EF4-FFF2-40B4-BE49-F238E27FC236}">
              <a16:creationId xmlns:a16="http://schemas.microsoft.com/office/drawing/2014/main" id="{00000000-0008-0000-1400-00000A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8</xdr:row>
      <xdr:rowOff>0</xdr:rowOff>
    </xdr:to>
    <xdr:sp macro="" textlink="">
      <xdr:nvSpPr>
        <xdr:cNvPr id="11" name="AutoShape 4">
          <a:extLst>
            <a:ext uri="{FF2B5EF4-FFF2-40B4-BE49-F238E27FC236}">
              <a16:creationId xmlns:a16="http://schemas.microsoft.com/office/drawing/2014/main" id="{00000000-0008-0000-1400-00000B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8</xdr:row>
      <xdr:rowOff>0</xdr:rowOff>
    </xdr:to>
    <xdr:sp macro="" textlink="">
      <xdr:nvSpPr>
        <xdr:cNvPr id="12" name="AutoShape 4">
          <a:extLst>
            <a:ext uri="{FF2B5EF4-FFF2-40B4-BE49-F238E27FC236}">
              <a16:creationId xmlns:a16="http://schemas.microsoft.com/office/drawing/2014/main" id="{00000000-0008-0000-1400-00000C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8</xdr:row>
      <xdr:rowOff>0</xdr:rowOff>
    </xdr:to>
    <xdr:sp macro="" textlink="">
      <xdr:nvSpPr>
        <xdr:cNvPr id="13" name="AutoShape 4">
          <a:extLst>
            <a:ext uri="{FF2B5EF4-FFF2-40B4-BE49-F238E27FC236}">
              <a16:creationId xmlns:a16="http://schemas.microsoft.com/office/drawing/2014/main" id="{00000000-0008-0000-1400-00000D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7</xdr:row>
      <xdr:rowOff>0</xdr:rowOff>
    </xdr:to>
    <xdr:sp macro="" textlink="">
      <xdr:nvSpPr>
        <xdr:cNvPr id="14" name="AutoShape 4">
          <a:extLst>
            <a:ext uri="{FF2B5EF4-FFF2-40B4-BE49-F238E27FC236}">
              <a16:creationId xmlns:a16="http://schemas.microsoft.com/office/drawing/2014/main" id="{00000000-0008-0000-1400-00000E000000}"/>
            </a:ext>
          </a:extLst>
        </xdr:cNvPr>
        <xdr:cNvSpPr>
          <a:spLocks noChangeArrowheads="1"/>
        </xdr:cNvSpPr>
      </xdr:nvSpPr>
      <xdr:spPr bwMode="auto">
        <a:xfrm>
          <a:off x="0" y="0"/>
          <a:ext cx="9248775" cy="571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0</xdr:colOff>
      <xdr:row>7</xdr:row>
      <xdr:rowOff>0</xdr:rowOff>
    </xdr:to>
    <xdr:sp macro="" textlink="">
      <xdr:nvSpPr>
        <xdr:cNvPr id="15" name="AutoShape 4">
          <a:extLst>
            <a:ext uri="{FF2B5EF4-FFF2-40B4-BE49-F238E27FC236}">
              <a16:creationId xmlns:a16="http://schemas.microsoft.com/office/drawing/2014/main" id="{00000000-0008-0000-1400-00000F000000}"/>
            </a:ext>
          </a:extLst>
        </xdr:cNvPr>
        <xdr:cNvSpPr>
          <a:spLocks noChangeArrowheads="1"/>
        </xdr:cNvSpPr>
      </xdr:nvSpPr>
      <xdr:spPr bwMode="auto">
        <a:xfrm>
          <a:off x="0" y="0"/>
          <a:ext cx="9248775" cy="571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390525</xdr:colOff>
      <xdr:row>24</xdr:row>
      <xdr:rowOff>609600</xdr:rowOff>
    </xdr:to>
    <xdr:sp macro="" textlink="">
      <xdr:nvSpPr>
        <xdr:cNvPr id="3" name="AutoShape 4">
          <a:extLst>
            <a:ext uri="{FF2B5EF4-FFF2-40B4-BE49-F238E27FC236}">
              <a16:creationId xmlns:a16="http://schemas.microsoft.com/office/drawing/2014/main" id="{00000000-0008-0000-1500-000003000000}"/>
            </a:ext>
          </a:extLst>
        </xdr:cNvPr>
        <xdr:cNvSpPr>
          <a:spLocks noChangeArrowheads="1"/>
        </xdr:cNvSpPr>
      </xdr:nvSpPr>
      <xdr:spPr bwMode="auto">
        <a:xfrm>
          <a:off x="0" y="0"/>
          <a:ext cx="10887075" cy="21802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24</xdr:row>
      <xdr:rowOff>609600</xdr:rowOff>
    </xdr:to>
    <xdr:sp macro="" textlink="">
      <xdr:nvSpPr>
        <xdr:cNvPr id="4" name="AutoShape 4">
          <a:extLst>
            <a:ext uri="{FF2B5EF4-FFF2-40B4-BE49-F238E27FC236}">
              <a16:creationId xmlns:a16="http://schemas.microsoft.com/office/drawing/2014/main" id="{00000000-0008-0000-1500-000004000000}"/>
            </a:ext>
          </a:extLst>
        </xdr:cNvPr>
        <xdr:cNvSpPr>
          <a:spLocks noChangeArrowheads="1"/>
        </xdr:cNvSpPr>
      </xdr:nvSpPr>
      <xdr:spPr bwMode="auto">
        <a:xfrm>
          <a:off x="0" y="0"/>
          <a:ext cx="10887075" cy="21802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24</xdr:row>
      <xdr:rowOff>609600</xdr:rowOff>
    </xdr:to>
    <xdr:sp macro="" textlink="">
      <xdr:nvSpPr>
        <xdr:cNvPr id="5" name="AutoShape 4">
          <a:extLst>
            <a:ext uri="{FF2B5EF4-FFF2-40B4-BE49-F238E27FC236}">
              <a16:creationId xmlns:a16="http://schemas.microsoft.com/office/drawing/2014/main" id="{00000000-0008-0000-1500-000005000000}"/>
            </a:ext>
          </a:extLst>
        </xdr:cNvPr>
        <xdr:cNvSpPr>
          <a:spLocks noChangeArrowheads="1"/>
        </xdr:cNvSpPr>
      </xdr:nvSpPr>
      <xdr:spPr bwMode="auto">
        <a:xfrm>
          <a:off x="0" y="0"/>
          <a:ext cx="10887075" cy="21802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24</xdr:row>
      <xdr:rowOff>609600</xdr:rowOff>
    </xdr:to>
    <xdr:sp macro="" textlink="">
      <xdr:nvSpPr>
        <xdr:cNvPr id="6" name="AutoShape 4">
          <a:extLst>
            <a:ext uri="{FF2B5EF4-FFF2-40B4-BE49-F238E27FC236}">
              <a16:creationId xmlns:a16="http://schemas.microsoft.com/office/drawing/2014/main" id="{00000000-0008-0000-1500-000006000000}"/>
            </a:ext>
          </a:extLst>
        </xdr:cNvPr>
        <xdr:cNvSpPr>
          <a:spLocks noChangeArrowheads="1"/>
        </xdr:cNvSpPr>
      </xdr:nvSpPr>
      <xdr:spPr bwMode="auto">
        <a:xfrm>
          <a:off x="0" y="0"/>
          <a:ext cx="10887075" cy="21802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24</xdr:row>
      <xdr:rowOff>609600</xdr:rowOff>
    </xdr:to>
    <xdr:sp macro="" textlink="">
      <xdr:nvSpPr>
        <xdr:cNvPr id="7" name="AutoShape 4">
          <a:extLst>
            <a:ext uri="{FF2B5EF4-FFF2-40B4-BE49-F238E27FC236}">
              <a16:creationId xmlns:a16="http://schemas.microsoft.com/office/drawing/2014/main" id="{00000000-0008-0000-1500-000007000000}"/>
            </a:ext>
          </a:extLst>
        </xdr:cNvPr>
        <xdr:cNvSpPr>
          <a:spLocks noChangeArrowheads="1"/>
        </xdr:cNvSpPr>
      </xdr:nvSpPr>
      <xdr:spPr bwMode="auto">
        <a:xfrm>
          <a:off x="0" y="0"/>
          <a:ext cx="10887075" cy="21802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14</xdr:row>
      <xdr:rowOff>609600</xdr:rowOff>
    </xdr:to>
    <xdr:sp macro="" textlink="">
      <xdr:nvSpPr>
        <xdr:cNvPr id="8" name="AutoShape 4">
          <a:extLst>
            <a:ext uri="{FF2B5EF4-FFF2-40B4-BE49-F238E27FC236}">
              <a16:creationId xmlns:a16="http://schemas.microsoft.com/office/drawing/2014/main" id="{00000000-0008-0000-1500-000008000000}"/>
            </a:ext>
          </a:extLst>
        </xdr:cNvPr>
        <xdr:cNvSpPr>
          <a:spLocks noChangeArrowheads="1"/>
        </xdr:cNvSpPr>
      </xdr:nvSpPr>
      <xdr:spPr bwMode="auto">
        <a:xfrm>
          <a:off x="0" y="0"/>
          <a:ext cx="10887075" cy="13706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14</xdr:row>
      <xdr:rowOff>609600</xdr:rowOff>
    </xdr:to>
    <xdr:sp macro="" textlink="">
      <xdr:nvSpPr>
        <xdr:cNvPr id="9" name="AutoShape 4">
          <a:extLst>
            <a:ext uri="{FF2B5EF4-FFF2-40B4-BE49-F238E27FC236}">
              <a16:creationId xmlns:a16="http://schemas.microsoft.com/office/drawing/2014/main" id="{00000000-0008-0000-1500-000009000000}"/>
            </a:ext>
          </a:extLst>
        </xdr:cNvPr>
        <xdr:cNvSpPr>
          <a:spLocks noChangeArrowheads="1"/>
        </xdr:cNvSpPr>
      </xdr:nvSpPr>
      <xdr:spPr bwMode="auto">
        <a:xfrm>
          <a:off x="0" y="0"/>
          <a:ext cx="10887075" cy="13706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24</xdr:row>
      <xdr:rowOff>609600</xdr:rowOff>
    </xdr:to>
    <xdr:sp macro="" textlink="">
      <xdr:nvSpPr>
        <xdr:cNvPr id="10" name="AutoShape 4">
          <a:extLst>
            <a:ext uri="{FF2B5EF4-FFF2-40B4-BE49-F238E27FC236}">
              <a16:creationId xmlns:a16="http://schemas.microsoft.com/office/drawing/2014/main" id="{00000000-0008-0000-1500-00000A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24</xdr:row>
      <xdr:rowOff>609600</xdr:rowOff>
    </xdr:to>
    <xdr:sp macro="" textlink="">
      <xdr:nvSpPr>
        <xdr:cNvPr id="11" name="AutoShape 4">
          <a:extLst>
            <a:ext uri="{FF2B5EF4-FFF2-40B4-BE49-F238E27FC236}">
              <a16:creationId xmlns:a16="http://schemas.microsoft.com/office/drawing/2014/main" id="{00000000-0008-0000-1500-00000B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24</xdr:row>
      <xdr:rowOff>609600</xdr:rowOff>
    </xdr:to>
    <xdr:sp macro="" textlink="">
      <xdr:nvSpPr>
        <xdr:cNvPr id="12" name="AutoShape 4">
          <a:extLst>
            <a:ext uri="{FF2B5EF4-FFF2-40B4-BE49-F238E27FC236}">
              <a16:creationId xmlns:a16="http://schemas.microsoft.com/office/drawing/2014/main" id="{00000000-0008-0000-1500-00000C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24</xdr:row>
      <xdr:rowOff>609600</xdr:rowOff>
    </xdr:to>
    <xdr:sp macro="" textlink="">
      <xdr:nvSpPr>
        <xdr:cNvPr id="13" name="AutoShape 4">
          <a:extLst>
            <a:ext uri="{FF2B5EF4-FFF2-40B4-BE49-F238E27FC236}">
              <a16:creationId xmlns:a16="http://schemas.microsoft.com/office/drawing/2014/main" id="{00000000-0008-0000-1500-00000D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24</xdr:row>
      <xdr:rowOff>609600</xdr:rowOff>
    </xdr:to>
    <xdr:sp macro="" textlink="">
      <xdr:nvSpPr>
        <xdr:cNvPr id="14" name="AutoShape 4">
          <a:extLst>
            <a:ext uri="{FF2B5EF4-FFF2-40B4-BE49-F238E27FC236}">
              <a16:creationId xmlns:a16="http://schemas.microsoft.com/office/drawing/2014/main" id="{00000000-0008-0000-1500-00000E000000}"/>
            </a:ext>
          </a:extLst>
        </xdr:cNvPr>
        <xdr:cNvSpPr>
          <a:spLocks noChangeArrowheads="1"/>
        </xdr:cNvSpPr>
      </xdr:nvSpPr>
      <xdr:spPr bwMode="auto">
        <a:xfrm>
          <a:off x="0" y="0"/>
          <a:ext cx="9248775"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14</xdr:row>
      <xdr:rowOff>609600</xdr:rowOff>
    </xdr:to>
    <xdr:sp macro="" textlink="">
      <xdr:nvSpPr>
        <xdr:cNvPr id="15" name="AutoShape 4">
          <a:extLst>
            <a:ext uri="{FF2B5EF4-FFF2-40B4-BE49-F238E27FC236}">
              <a16:creationId xmlns:a16="http://schemas.microsoft.com/office/drawing/2014/main" id="{00000000-0008-0000-1500-00000F000000}"/>
            </a:ext>
          </a:extLst>
        </xdr:cNvPr>
        <xdr:cNvSpPr>
          <a:spLocks noChangeArrowheads="1"/>
        </xdr:cNvSpPr>
      </xdr:nvSpPr>
      <xdr:spPr bwMode="auto">
        <a:xfrm>
          <a:off x="0" y="0"/>
          <a:ext cx="9248775" cy="571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390525</xdr:colOff>
      <xdr:row>14</xdr:row>
      <xdr:rowOff>609600</xdr:rowOff>
    </xdr:to>
    <xdr:sp macro="" textlink="">
      <xdr:nvSpPr>
        <xdr:cNvPr id="16" name="AutoShape 4">
          <a:extLst>
            <a:ext uri="{FF2B5EF4-FFF2-40B4-BE49-F238E27FC236}">
              <a16:creationId xmlns:a16="http://schemas.microsoft.com/office/drawing/2014/main" id="{00000000-0008-0000-1500-000010000000}"/>
            </a:ext>
          </a:extLst>
        </xdr:cNvPr>
        <xdr:cNvSpPr>
          <a:spLocks noChangeArrowheads="1"/>
        </xdr:cNvSpPr>
      </xdr:nvSpPr>
      <xdr:spPr bwMode="auto">
        <a:xfrm>
          <a:off x="0" y="0"/>
          <a:ext cx="9248775" cy="57150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0\SEGUIMIENTO%20PP%202019\SGTO%20PP%20DIC%2030%20DE%202019\ARTICULACI&#211;N%20PA%20SDSYP%20CON%20PP%2020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lgarciam/Downloads/ARTICULACI&#211;N%20PRESUPUESTAL%20PP%202018%20CON%20PA%20PP%20DISCAP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MARNA~1/AppData/Local/Temp/Rar$DI03.094/ARTICULACI&#211;N%20PA%20SDSYP%20CON%20PP%20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ANCIA"/>
      <sheetName val="2. INFRACTORES"/>
      <sheetName val="3. JUVENTUD"/>
      <sheetName val="18. CONVIVENCIA"/>
      <sheetName val="4. MUJER"/>
      <sheetName val="5. DIVERSIDAD"/>
      <sheetName val="6. ADULTO MAYOR"/>
      <sheetName val="7. HABITANTE DE CALLE"/>
      <sheetName val="8. DISCAPACIDAD"/>
      <sheetName val="10. FAMILIAS"/>
      <sheetName val="11. ASISTENCIA ALIMENTARIA"/>
      <sheetName val="12. VICTIMAS"/>
      <sheetName val="12.1 VICTIMAS "/>
      <sheetName val="12.2 VICTIMAS "/>
      <sheetName val="13. AFRODESCENDIENTES"/>
      <sheetName val="14.INDIGENAS"/>
      <sheetName val="15. JAC"/>
      <sheetName val="16. JAL"/>
      <sheetName val="17. FIC"/>
      <sheetName val="19 SISBEN"/>
      <sheetName val="9. MIGRANTES"/>
      <sheetName val="CONTROL"/>
      <sheetName val="PP Aprobadas"/>
      <sheetName val="1-Cult Legalidad"/>
      <sheetName val="1-Ajuste Cult Legalidad"/>
      <sheetName val="2-Pereira Innova"/>
      <sheetName val="3-Victimas"/>
      <sheetName val="4-Seguridad Alimentaria"/>
      <sheetName val="5-Salud Sexual"/>
      <sheetName val="6-Juventud"/>
      <sheetName val="7-Indigenas"/>
      <sheetName val="8-Discapacidad"/>
      <sheetName val="9-DRAEF"/>
      <sheetName val="10-Infancia"/>
      <sheetName val="11-Afros"/>
      <sheetName val="12-Salud Mental"/>
      <sheetName val="13-J Accion Comunal"/>
      <sheetName val="14-Animal"/>
      <sheetName val="15-Adulto Mayor"/>
      <sheetName val="16-Equidad Genero"/>
      <sheetName val="17-Derechos Humanos"/>
      <sheetName val="18-habitante calle"/>
      <sheetName val="Articul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5">
          <cell r="Q15">
            <v>164694633.19999999</v>
          </cell>
        </row>
        <row r="16">
          <cell r="Q16">
            <v>3903786.8</v>
          </cell>
          <cell r="R16">
            <v>349907160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ISCAPACIDAD"/>
    </sheetNames>
    <sheetDataSet>
      <sheetData sheetId="0" refreshError="1">
        <row r="15">
          <cell r="O15">
            <v>9275946.5890909079</v>
          </cell>
          <cell r="Q15">
            <v>6860302.9527272712</v>
          </cell>
          <cell r="R15">
            <v>2415643.6363636362</v>
          </cell>
        </row>
        <row r="18">
          <cell r="O18">
            <v>9234186.5590909086</v>
          </cell>
          <cell r="Q18">
            <v>8545822.9227272719</v>
          </cell>
          <cell r="R18">
            <v>688363.63636363635</v>
          </cell>
        </row>
        <row r="19">
          <cell r="O19">
            <v>16021919.75</v>
          </cell>
          <cell r="Q19">
            <v>7292119.75</v>
          </cell>
          <cell r="R19">
            <v>8729800</v>
          </cell>
        </row>
        <row r="20">
          <cell r="O20">
            <v>9275946.5890909079</v>
          </cell>
          <cell r="Q20">
            <v>6860302.9527272712</v>
          </cell>
          <cell r="R20">
            <v>2415643.6363636362</v>
          </cell>
        </row>
        <row r="21">
          <cell r="O21">
            <v>9275946.5890909079</v>
          </cell>
          <cell r="Q21">
            <v>6860302.9527272712</v>
          </cell>
          <cell r="R21">
            <v>2415643.6363636362</v>
          </cell>
        </row>
        <row r="22">
          <cell r="O22">
            <v>9234186.5590909086</v>
          </cell>
          <cell r="Q22">
            <v>8545822.9227272719</v>
          </cell>
          <cell r="R22">
            <v>688363.63636363635</v>
          </cell>
        </row>
        <row r="24">
          <cell r="O24">
            <v>9275946.5890909079</v>
          </cell>
          <cell r="Q24">
            <v>6860302.9527272712</v>
          </cell>
          <cell r="R24">
            <v>2415643.6363636362</v>
          </cell>
        </row>
        <row r="26">
          <cell r="O26">
            <v>8258239.9090909082</v>
          </cell>
          <cell r="R26">
            <v>1950363.6363636362</v>
          </cell>
        </row>
        <row r="27">
          <cell r="Q27">
            <v>6307876.2727272725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ANCIA"/>
      <sheetName val="2. INFRACTORES"/>
      <sheetName val="3. JUVENTUD"/>
      <sheetName val="18. CONVIVENCIA"/>
      <sheetName val="4. MUJER"/>
      <sheetName val="5. DIVERSIDAD"/>
      <sheetName val="6. ADULTO MAYOR"/>
      <sheetName val="7. HABITANTE DE CALLE"/>
      <sheetName val="8. DISCAPACIDAD"/>
      <sheetName val="10. FAMILIAS"/>
      <sheetName val="11. ASISTENCIA ALIMENTARIA"/>
      <sheetName val="12. VICTIMAS"/>
      <sheetName val="12.1 VICTIMAS "/>
      <sheetName val="12.2 VICTIMAS "/>
      <sheetName val="13. AFRODESCENDIENTES"/>
      <sheetName val="14.INDIGENAS"/>
      <sheetName val="15. JAC"/>
      <sheetName val="16. JAL"/>
      <sheetName val="17. FIC"/>
      <sheetName val="19 SISBEN"/>
      <sheetName val="9. MIGRANTES"/>
      <sheetName val="CONTROL"/>
      <sheetName val="PP Aprobadas"/>
      <sheetName val="1-Cult Legalidad"/>
      <sheetName val="1-Ajuste Cult Legalidad"/>
      <sheetName val="2-Pereira Innova"/>
      <sheetName val="3-Victimas"/>
      <sheetName val="4-Seguridad Alimentaria"/>
      <sheetName val="5-Salud Sexual"/>
      <sheetName val="6-Juventud"/>
      <sheetName val="7-Indigenas"/>
      <sheetName val="8-Discapacidad"/>
      <sheetName val="9-DRAEF"/>
      <sheetName val="10-Infancia"/>
      <sheetName val="11-Afros"/>
      <sheetName val="12-Salud Mental"/>
      <sheetName val="13-J Accion Comunal"/>
      <sheetName val="14-Animal"/>
      <sheetName val="15-Adulto Mayor"/>
      <sheetName val="16-Equidad Genero"/>
      <sheetName val="17-Derechos Humanos"/>
      <sheetName val="18-habitante calle"/>
      <sheetName val="Articul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7">
          <cell r="Q17">
            <v>166390866</v>
          </cell>
        </row>
        <row r="24">
          <cell r="Q24">
            <v>276388451.74000001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hyperlink" Target="http://www.facebook.com/secretaria.culturadepereira/videos" TargetMode="External"/><Relationship Id="rId7" Type="http://schemas.openxmlformats.org/officeDocument/2006/relationships/comments" Target="../comments10.xml"/><Relationship Id="rId2" Type="http://schemas.openxmlformats.org/officeDocument/2006/relationships/hyperlink" Target="http://www.cineparatodos.gov.co/671/w3-channel.html" TargetMode="External"/><Relationship Id="rId1" Type="http://schemas.openxmlformats.org/officeDocument/2006/relationships/hyperlink" Target="http://www.pereira.gov.co/Paginas/default.aspx" TargetMode="External"/><Relationship Id="rId6" Type="http://schemas.openxmlformats.org/officeDocument/2006/relationships/vmlDrawing" Target="../drawings/vmlDrawing10.vml"/><Relationship Id="rId5" Type="http://schemas.openxmlformats.org/officeDocument/2006/relationships/printerSettings" Target="../printerSettings/printerSettings10.bin"/><Relationship Id="rId4" Type="http://schemas.openxmlformats.org/officeDocument/2006/relationships/hyperlink" Target="http://www.facebook.com/secretaria.culturadepereira/videos"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B1:M33"/>
  <sheetViews>
    <sheetView workbookViewId="0">
      <selection activeCell="D1" sqref="D1"/>
    </sheetView>
  </sheetViews>
  <sheetFormatPr baseColWidth="10" defaultRowHeight="15"/>
  <cols>
    <col min="1" max="1" width="1.85546875" customWidth="1"/>
    <col min="2" max="2" width="3.7109375" bestFit="1" customWidth="1"/>
    <col min="3" max="3" width="13.85546875" customWidth="1"/>
    <col min="4" max="4" width="21.42578125" customWidth="1"/>
    <col min="5" max="5" width="79.5703125" customWidth="1"/>
    <col min="6" max="6" width="23.7109375" customWidth="1"/>
    <col min="7" max="7" width="33.140625" customWidth="1"/>
    <col min="13" max="13" width="150.140625" customWidth="1"/>
  </cols>
  <sheetData>
    <row r="1" spans="2:13" ht="15.75" thickBot="1"/>
    <row r="2" spans="2:13" ht="16.5" thickTop="1" thickBot="1">
      <c r="B2" s="227" t="s">
        <v>4231</v>
      </c>
      <c r="C2" s="228" t="s">
        <v>4232</v>
      </c>
      <c r="D2" s="228" t="s">
        <v>4233</v>
      </c>
      <c r="E2" s="228" t="s">
        <v>4234</v>
      </c>
      <c r="F2" s="228" t="s">
        <v>4235</v>
      </c>
      <c r="G2" s="229" t="s">
        <v>4236</v>
      </c>
    </row>
    <row r="3" spans="2:13" ht="16.5" thickTop="1" thickBot="1">
      <c r="B3" s="230"/>
    </row>
    <row r="4" spans="2:13" ht="31.5" thickTop="1" thickBot="1">
      <c r="B4" s="231">
        <v>1</v>
      </c>
      <c r="C4" s="232">
        <v>40338</v>
      </c>
      <c r="D4" s="233" t="s">
        <v>4237</v>
      </c>
      <c r="E4" s="234" t="s">
        <v>4238</v>
      </c>
      <c r="F4" s="235" t="s">
        <v>4239</v>
      </c>
      <c r="G4" s="236" t="s">
        <v>1488</v>
      </c>
      <c r="M4" s="237" t="s">
        <v>4240</v>
      </c>
    </row>
    <row r="5" spans="2:13" ht="30.75" thickBot="1">
      <c r="B5" s="238">
        <v>2</v>
      </c>
      <c r="C5" s="239">
        <v>40525</v>
      </c>
      <c r="D5" s="240" t="s">
        <v>4241</v>
      </c>
      <c r="E5" s="241" t="s">
        <v>4242</v>
      </c>
      <c r="F5" s="242" t="s">
        <v>4239</v>
      </c>
      <c r="G5" s="243" t="s">
        <v>311</v>
      </c>
      <c r="M5" s="237" t="s">
        <v>4243</v>
      </c>
    </row>
    <row r="6" spans="2:13" ht="75.75" thickBot="1">
      <c r="B6" s="238">
        <v>3</v>
      </c>
      <c r="C6" s="239">
        <v>40906</v>
      </c>
      <c r="D6" s="240" t="s">
        <v>4244</v>
      </c>
      <c r="E6" s="241" t="s">
        <v>4245</v>
      </c>
      <c r="F6" s="242" t="s">
        <v>4246</v>
      </c>
      <c r="G6" s="244" t="s">
        <v>724</v>
      </c>
      <c r="M6" s="237" t="s">
        <v>4247</v>
      </c>
    </row>
    <row r="7" spans="2:13" ht="30.75" thickBot="1">
      <c r="B7" s="238">
        <v>4</v>
      </c>
      <c r="C7" s="239">
        <v>40906</v>
      </c>
      <c r="D7" s="240" t="s">
        <v>4248</v>
      </c>
      <c r="E7" s="241" t="s">
        <v>4249</v>
      </c>
      <c r="F7" s="245" t="s">
        <v>4250</v>
      </c>
      <c r="G7" s="244" t="s">
        <v>724</v>
      </c>
      <c r="M7" s="237" t="s">
        <v>4251</v>
      </c>
    </row>
    <row r="8" spans="2:13" ht="30.75" thickBot="1">
      <c r="B8" s="238">
        <v>5</v>
      </c>
      <c r="C8" s="239">
        <v>37254</v>
      </c>
      <c r="D8" s="240" t="s">
        <v>4252</v>
      </c>
      <c r="E8" s="241" t="s">
        <v>4253</v>
      </c>
      <c r="F8" s="242" t="s">
        <v>4254</v>
      </c>
      <c r="G8" s="244" t="s">
        <v>740</v>
      </c>
      <c r="M8" s="237" t="s">
        <v>4255</v>
      </c>
    </row>
    <row r="9" spans="2:13" ht="30.75" thickBot="1">
      <c r="B9" s="238">
        <v>6</v>
      </c>
      <c r="C9" s="239">
        <v>40906</v>
      </c>
      <c r="D9" s="240" t="s">
        <v>4256</v>
      </c>
      <c r="E9" s="241" t="s">
        <v>4257</v>
      </c>
      <c r="F9" s="242" t="s">
        <v>4246</v>
      </c>
      <c r="G9" s="244" t="s">
        <v>724</v>
      </c>
      <c r="M9" s="237" t="s">
        <v>4258</v>
      </c>
    </row>
    <row r="10" spans="2:13" ht="45.75" thickBot="1">
      <c r="B10" s="238">
        <v>7</v>
      </c>
      <c r="C10" s="239">
        <v>40906</v>
      </c>
      <c r="D10" s="240" t="s">
        <v>4259</v>
      </c>
      <c r="E10" s="241" t="s">
        <v>4260</v>
      </c>
      <c r="F10" s="245" t="s">
        <v>4261</v>
      </c>
      <c r="G10" s="244" t="s">
        <v>724</v>
      </c>
      <c r="M10" s="237" t="s">
        <v>4262</v>
      </c>
    </row>
    <row r="11" spans="2:13" ht="30.75" thickBot="1">
      <c r="B11" s="238">
        <v>8</v>
      </c>
      <c r="C11" s="239">
        <v>40906</v>
      </c>
      <c r="D11" s="240" t="s">
        <v>4263</v>
      </c>
      <c r="E11" s="241" t="s">
        <v>4264</v>
      </c>
      <c r="F11" s="245" t="s">
        <v>4250</v>
      </c>
      <c r="G11" s="244" t="s">
        <v>724</v>
      </c>
      <c r="M11" s="237" t="s">
        <v>4265</v>
      </c>
    </row>
    <row r="12" spans="2:13" ht="30.75" thickBot="1">
      <c r="B12" s="238">
        <v>9</v>
      </c>
      <c r="C12" s="239">
        <v>40904</v>
      </c>
      <c r="D12" s="240" t="s">
        <v>4266</v>
      </c>
      <c r="E12" s="241" t="s">
        <v>4267</v>
      </c>
      <c r="F12" s="242" t="s">
        <v>4268</v>
      </c>
      <c r="G12" s="244" t="s">
        <v>4269</v>
      </c>
      <c r="M12" s="237" t="s">
        <v>4270</v>
      </c>
    </row>
    <row r="13" spans="2:13" ht="45.75" thickBot="1">
      <c r="B13" s="246">
        <v>10</v>
      </c>
      <c r="C13" s="247">
        <v>40904</v>
      </c>
      <c r="D13" s="248" t="s">
        <v>4271</v>
      </c>
      <c r="E13" s="249" t="s">
        <v>4272</v>
      </c>
      <c r="F13" s="250" t="s">
        <v>4273</v>
      </c>
      <c r="G13" s="251" t="s">
        <v>724</v>
      </c>
      <c r="M13" s="252" t="s">
        <v>4274</v>
      </c>
    </row>
    <row r="14" spans="2:13" ht="30.75" thickBot="1">
      <c r="B14" s="238">
        <v>11</v>
      </c>
      <c r="C14" s="239">
        <v>40937</v>
      </c>
      <c r="D14" s="240" t="s">
        <v>4275</v>
      </c>
      <c r="E14" s="249" t="s">
        <v>4276</v>
      </c>
      <c r="F14" s="250" t="s">
        <v>4277</v>
      </c>
      <c r="G14" s="244" t="s">
        <v>724</v>
      </c>
      <c r="M14" s="252" t="s">
        <v>4278</v>
      </c>
    </row>
    <row r="15" spans="2:13" ht="45.75" thickBot="1">
      <c r="B15" s="238">
        <v>12</v>
      </c>
      <c r="C15" s="239">
        <v>42999</v>
      </c>
      <c r="D15" s="240" t="s">
        <v>4279</v>
      </c>
      <c r="E15" s="241" t="s">
        <v>4280</v>
      </c>
      <c r="F15" s="245" t="s">
        <v>4281</v>
      </c>
      <c r="G15" s="244" t="s">
        <v>740</v>
      </c>
      <c r="M15" s="237" t="s">
        <v>4282</v>
      </c>
    </row>
    <row r="16" spans="2:13" ht="30.75" thickBot="1">
      <c r="B16" s="238">
        <v>13</v>
      </c>
      <c r="C16" s="239">
        <v>43145</v>
      </c>
      <c r="D16" s="240" t="s">
        <v>4283</v>
      </c>
      <c r="E16" s="241" t="s">
        <v>4284</v>
      </c>
      <c r="F16" s="253" t="s">
        <v>4281</v>
      </c>
      <c r="G16" s="244" t="s">
        <v>4285</v>
      </c>
      <c r="M16" s="237" t="s">
        <v>4286</v>
      </c>
    </row>
    <row r="17" spans="2:13" ht="15.75" thickBot="1">
      <c r="B17" s="238">
        <v>14</v>
      </c>
      <c r="C17" s="239">
        <v>43306</v>
      </c>
      <c r="D17" s="240" t="s">
        <v>4287</v>
      </c>
      <c r="E17" s="241" t="s">
        <v>4288</v>
      </c>
      <c r="F17" s="245" t="s">
        <v>4289</v>
      </c>
      <c r="G17" s="244" t="s">
        <v>390</v>
      </c>
      <c r="I17" s="254"/>
      <c r="J17" s="254"/>
      <c r="M17" s="237" t="s">
        <v>4290</v>
      </c>
    </row>
    <row r="18" spans="2:13" ht="30.75" thickBot="1">
      <c r="B18" s="238">
        <v>15</v>
      </c>
      <c r="C18" s="239">
        <v>43620</v>
      </c>
      <c r="D18" s="240" t="s">
        <v>4291</v>
      </c>
      <c r="E18" s="241" t="s">
        <v>4292</v>
      </c>
      <c r="F18" s="245" t="s">
        <v>4293</v>
      </c>
      <c r="G18" s="244" t="s">
        <v>144</v>
      </c>
      <c r="M18" s="237" t="s">
        <v>4294</v>
      </c>
    </row>
    <row r="19" spans="2:13" ht="30.75" thickBot="1">
      <c r="B19" s="238">
        <v>16</v>
      </c>
      <c r="C19" s="239">
        <v>43682</v>
      </c>
      <c r="D19" s="240" t="s">
        <v>4295</v>
      </c>
      <c r="E19" s="241" t="s">
        <v>4296</v>
      </c>
      <c r="F19" s="245" t="s">
        <v>4281</v>
      </c>
      <c r="G19" s="244" t="s">
        <v>144</v>
      </c>
      <c r="M19" s="237" t="s">
        <v>4297</v>
      </c>
    </row>
    <row r="20" spans="2:13" ht="45.75" thickBot="1">
      <c r="B20" s="238">
        <v>17</v>
      </c>
      <c r="C20" s="239">
        <v>43816</v>
      </c>
      <c r="D20" s="240" t="s">
        <v>4298</v>
      </c>
      <c r="E20" s="241" t="s">
        <v>4299</v>
      </c>
      <c r="F20" s="245" t="s">
        <v>4281</v>
      </c>
      <c r="G20" s="244" t="s">
        <v>298</v>
      </c>
      <c r="M20" s="237" t="s">
        <v>4300</v>
      </c>
    </row>
    <row r="21" spans="2:13" ht="30.75" thickBot="1">
      <c r="B21" s="255">
        <v>18</v>
      </c>
      <c r="C21" s="256">
        <v>43816</v>
      </c>
      <c r="D21" s="257" t="s">
        <v>4301</v>
      </c>
      <c r="E21" s="258" t="s">
        <v>4302</v>
      </c>
      <c r="F21" s="259" t="s">
        <v>4303</v>
      </c>
      <c r="G21" s="260" t="s">
        <v>298</v>
      </c>
      <c r="M21" s="237" t="s">
        <v>4304</v>
      </c>
    </row>
    <row r="22" spans="2:13" ht="22.5" customHeight="1" thickTop="1"/>
    <row r="23" spans="2:13" ht="22.5" customHeight="1"/>
    <row r="24" spans="2:13" ht="22.5" customHeight="1"/>
    <row r="29" spans="2:13" ht="22.5" customHeight="1"/>
    <row r="33" spans="5:5" ht="22.5" customHeight="1">
      <c r="E33" s="26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2" tint="-0.89999084444715716"/>
  </sheetPr>
  <dimension ref="A1:DP94"/>
  <sheetViews>
    <sheetView topLeftCell="J1" zoomScale="80" zoomScaleNormal="80" workbookViewId="0">
      <selection activeCell="BX5" sqref="BX5:BX6"/>
    </sheetView>
  </sheetViews>
  <sheetFormatPr baseColWidth="10" defaultColWidth="9.140625" defaultRowHeight="15" customHeight="1"/>
  <cols>
    <col min="1" max="1" width="30.7109375" style="2" hidden="1" customWidth="1"/>
    <col min="2" max="2" width="48.85546875" style="2" hidden="1" customWidth="1"/>
    <col min="3" max="3" width="25.85546875" style="2" hidden="1" customWidth="1"/>
    <col min="4" max="4" width="12" style="2" hidden="1" customWidth="1"/>
    <col min="5" max="5" width="13.85546875" style="2" hidden="1" customWidth="1"/>
    <col min="6" max="6" width="9.5703125" style="2" hidden="1" customWidth="1"/>
    <col min="7" max="7" width="24.5703125" style="2" hidden="1" customWidth="1"/>
    <col min="8" max="8" width="21.28515625" style="2" hidden="1" customWidth="1"/>
    <col min="9" max="9" width="4.85546875" style="2" hidden="1" customWidth="1"/>
    <col min="10" max="10" width="15" style="2" customWidth="1"/>
    <col min="11" max="11" width="46.5703125" style="2" customWidth="1"/>
    <col min="12" max="12" width="15.28515625" style="2" hidden="1" customWidth="1"/>
    <col min="13" max="13" width="25.7109375" style="866" hidden="1" customWidth="1"/>
    <col min="14" max="14" width="13.7109375" style="2" hidden="1" customWidth="1"/>
    <col min="15" max="15" width="9.140625" style="2" hidden="1" customWidth="1"/>
    <col min="16" max="16" width="18" style="2" customWidth="1"/>
    <col min="17" max="17" width="17.7109375" style="3055" bestFit="1" customWidth="1"/>
    <col min="18" max="18" width="16.28515625" style="2" customWidth="1"/>
    <col min="19" max="19" width="17.85546875" style="2" customWidth="1"/>
    <col min="20" max="20" width="14.42578125" style="2" hidden="1" customWidth="1"/>
    <col min="21" max="21" width="6.7109375" style="2" hidden="1" customWidth="1"/>
    <col min="22" max="22" width="11" style="2" customWidth="1"/>
    <col min="23" max="26" width="6.7109375" style="2" hidden="1" customWidth="1"/>
    <col min="27" max="27" width="15.140625" style="2" hidden="1" customWidth="1"/>
    <col min="28" max="28" width="10.5703125" style="506" hidden="1" customWidth="1"/>
    <col min="29" max="29" width="26.28515625" style="844" hidden="1" customWidth="1"/>
    <col min="30" max="30" width="14" style="844" hidden="1" customWidth="1"/>
    <col min="31" max="31" width="44.5703125" style="133" hidden="1" customWidth="1"/>
    <col min="32" max="32" width="25.7109375" style="133" hidden="1" customWidth="1"/>
    <col min="33" max="33" width="9.140625" style="133" hidden="1" customWidth="1"/>
    <col min="34" max="34" width="15.140625" style="506" hidden="1" customWidth="1"/>
    <col min="35" max="37" width="6.85546875" style="506" hidden="1" customWidth="1"/>
    <col min="38" max="38" width="11.7109375" style="133" hidden="1" customWidth="1"/>
    <col min="39" max="40" width="5" style="133" hidden="1" customWidth="1"/>
    <col min="41" max="42" width="5.28515625" style="133" hidden="1" customWidth="1"/>
    <col min="43" max="49" width="4.28515625" style="133" hidden="1" customWidth="1"/>
    <col min="50" max="57" width="4" style="133" hidden="1" customWidth="1"/>
    <col min="58" max="63" width="4.5703125" style="133" hidden="1" customWidth="1"/>
    <col min="64" max="73" width="9.140625" style="133" hidden="1" customWidth="1"/>
    <col min="74" max="74" width="1.42578125" style="133" customWidth="1"/>
    <col min="75" max="16384" width="9.140625" style="133"/>
  </cols>
  <sheetData>
    <row r="1" spans="1:120" ht="15" customHeight="1" thickBot="1">
      <c r="A1" s="14598" t="s">
        <v>8501</v>
      </c>
      <c r="B1" s="14598"/>
      <c r="C1" s="14598"/>
      <c r="D1" s="14598"/>
      <c r="E1" s="14598"/>
      <c r="F1" s="14598"/>
      <c r="G1" s="14598"/>
      <c r="H1" s="14598"/>
      <c r="I1" s="14598"/>
      <c r="J1" s="14598"/>
      <c r="K1" s="14598"/>
      <c r="L1" s="14598"/>
      <c r="M1" s="14598"/>
      <c r="N1" s="14598"/>
      <c r="O1" s="14598"/>
      <c r="P1" s="14598"/>
      <c r="Q1" s="14599"/>
      <c r="R1" s="14598"/>
      <c r="S1" s="14598"/>
      <c r="T1" s="14598"/>
      <c r="U1" s="14598"/>
      <c r="V1" s="14598"/>
      <c r="W1" s="14598"/>
      <c r="X1" s="14598"/>
      <c r="Y1" s="14598"/>
      <c r="Z1" s="14598"/>
      <c r="AA1" s="14598"/>
      <c r="AB1" s="13291" t="s">
        <v>8493</v>
      </c>
      <c r="AC1" s="13291"/>
      <c r="AD1" s="13291"/>
      <c r="AE1" s="13291"/>
      <c r="AF1" s="13291"/>
      <c r="AG1" s="13291"/>
      <c r="AH1" s="13618"/>
      <c r="AI1" s="13618"/>
      <c r="AJ1" s="13618"/>
      <c r="AK1" s="13618"/>
      <c r="AL1" s="13291"/>
      <c r="AM1" s="13291"/>
      <c r="AN1" s="13291"/>
      <c r="AO1" s="13291"/>
      <c r="AP1" s="13291"/>
      <c r="AQ1" s="13291"/>
      <c r="AR1" s="13291"/>
      <c r="AS1" s="13291"/>
      <c r="AT1" s="13291"/>
      <c r="AU1" s="13291"/>
      <c r="AV1" s="13291"/>
      <c r="AW1" s="13291"/>
      <c r="AX1" s="13291"/>
      <c r="AY1" s="13291"/>
      <c r="AZ1" s="13291"/>
      <c r="BA1" s="13291"/>
      <c r="BB1" s="13291"/>
      <c r="BC1" s="13291"/>
      <c r="BD1" s="13291"/>
      <c r="BE1" s="13291"/>
      <c r="BF1" s="13291"/>
      <c r="BG1" s="13291"/>
      <c r="BH1" s="13291"/>
      <c r="BI1" s="13291"/>
      <c r="BJ1" s="13291"/>
      <c r="BK1" s="13291"/>
      <c r="BL1" s="13291"/>
      <c r="BM1" s="13291"/>
      <c r="BN1" s="13291"/>
      <c r="BO1" s="13291"/>
      <c r="BP1" s="13291"/>
      <c r="BQ1" s="13291"/>
      <c r="BR1" s="13291"/>
      <c r="BS1" s="13291"/>
      <c r="BT1" s="13291"/>
      <c r="BU1" s="13292"/>
      <c r="BW1" s="13291" t="s">
        <v>8497</v>
      </c>
      <c r="BX1" s="13291"/>
      <c r="BY1" s="13291"/>
      <c r="BZ1" s="13291"/>
      <c r="CA1" s="13291"/>
      <c r="CB1" s="13291"/>
      <c r="CC1" s="13618"/>
      <c r="CD1" s="13618"/>
      <c r="CE1" s="13618"/>
      <c r="CF1" s="13618"/>
      <c r="CG1" s="13291"/>
      <c r="CH1" s="13291"/>
      <c r="CI1" s="13291"/>
      <c r="CJ1" s="13291"/>
      <c r="CK1" s="13291"/>
      <c r="CL1" s="13291"/>
      <c r="CM1" s="13291"/>
      <c r="CN1" s="13291"/>
      <c r="CO1" s="13291"/>
      <c r="CP1" s="13291"/>
      <c r="CQ1" s="13291"/>
      <c r="CR1" s="13291"/>
      <c r="CS1" s="13291"/>
      <c r="CT1" s="13291"/>
      <c r="CU1" s="13291"/>
      <c r="CV1" s="13291"/>
      <c r="CW1" s="13291"/>
      <c r="CX1" s="13291"/>
      <c r="CY1" s="13291"/>
      <c r="CZ1" s="13291"/>
      <c r="DA1" s="13291"/>
      <c r="DB1" s="13291"/>
      <c r="DC1" s="13291"/>
      <c r="DD1" s="13291"/>
      <c r="DE1" s="13291"/>
      <c r="DF1" s="13291"/>
      <c r="DG1" s="13291"/>
      <c r="DH1" s="13291"/>
      <c r="DI1" s="13291"/>
      <c r="DJ1" s="13291"/>
      <c r="DK1" s="13291"/>
      <c r="DL1" s="13291"/>
      <c r="DM1" s="13291"/>
      <c r="DN1" s="13291"/>
      <c r="DO1" s="13291"/>
      <c r="DP1" s="13292"/>
    </row>
    <row r="2" spans="1:120" ht="15" customHeight="1" thickBot="1">
      <c r="A2" s="14598"/>
      <c r="B2" s="14598"/>
      <c r="C2" s="14598"/>
      <c r="D2" s="14598"/>
      <c r="E2" s="14598"/>
      <c r="F2" s="14598"/>
      <c r="G2" s="14598"/>
      <c r="H2" s="14598"/>
      <c r="I2" s="14598"/>
      <c r="J2" s="14598"/>
      <c r="K2" s="14598"/>
      <c r="L2" s="14598"/>
      <c r="M2" s="14598"/>
      <c r="N2" s="14598"/>
      <c r="O2" s="14598"/>
      <c r="P2" s="14598"/>
      <c r="Q2" s="14599"/>
      <c r="R2" s="14598"/>
      <c r="S2" s="14598"/>
      <c r="T2" s="14598"/>
      <c r="U2" s="14598"/>
      <c r="V2" s="14598"/>
      <c r="W2" s="14598"/>
      <c r="X2" s="14598"/>
      <c r="Y2" s="14598"/>
      <c r="Z2" s="14598"/>
      <c r="AA2" s="14598"/>
      <c r="AB2" s="14600" t="s">
        <v>8490</v>
      </c>
      <c r="AC2" s="14609" t="s">
        <v>9652</v>
      </c>
      <c r="AD2" s="14609" t="s">
        <v>9651</v>
      </c>
      <c r="AE2" s="13295" t="s">
        <v>8491</v>
      </c>
      <c r="AF2" s="13295" t="s">
        <v>8492</v>
      </c>
      <c r="AG2" s="13297" t="s">
        <v>4</v>
      </c>
      <c r="AH2" s="14602" t="s">
        <v>355</v>
      </c>
      <c r="AI2" s="14603"/>
      <c r="AJ2" s="14603"/>
      <c r="AK2" s="14604"/>
      <c r="AL2" s="13299" t="s">
        <v>356</v>
      </c>
      <c r="AM2" s="13300"/>
      <c r="AN2" s="13300"/>
      <c r="AO2" s="13300"/>
      <c r="AP2" s="13300"/>
      <c r="AQ2" s="13300"/>
      <c r="AR2" s="13300"/>
      <c r="AS2" s="13300"/>
      <c r="AT2" s="13300"/>
      <c r="AU2" s="13300"/>
      <c r="AV2" s="13300"/>
      <c r="AW2" s="13300"/>
      <c r="AX2" s="13300"/>
      <c r="AY2" s="13300"/>
      <c r="AZ2" s="13300"/>
      <c r="BA2" s="13300"/>
      <c r="BB2" s="13300"/>
      <c r="BC2" s="13300"/>
      <c r="BD2" s="13300"/>
      <c r="BE2" s="13300"/>
      <c r="BF2" s="13300"/>
      <c r="BG2" s="13300"/>
      <c r="BH2" s="13300"/>
      <c r="BI2" s="13300"/>
      <c r="BJ2" s="13300"/>
      <c r="BK2" s="13301"/>
      <c r="BL2" s="13302" t="s">
        <v>357</v>
      </c>
      <c r="BM2" s="13303"/>
      <c r="BN2" s="13303"/>
      <c r="BO2" s="13303"/>
      <c r="BP2" s="13304"/>
      <c r="BQ2" s="13305" t="s">
        <v>5</v>
      </c>
      <c r="BR2" s="13306"/>
      <c r="BS2" s="13306"/>
      <c r="BT2" s="13306"/>
      <c r="BU2" s="13307"/>
      <c r="BW2" s="14600" t="s">
        <v>8498</v>
      </c>
      <c r="BX2" s="14609" t="s">
        <v>10189</v>
      </c>
      <c r="BY2" s="14609" t="s">
        <v>10190</v>
      </c>
      <c r="BZ2" s="13295" t="s">
        <v>8499</v>
      </c>
      <c r="CA2" s="13295" t="s">
        <v>8500</v>
      </c>
      <c r="CB2" s="13297" t="s">
        <v>4</v>
      </c>
      <c r="CC2" s="14602" t="s">
        <v>355</v>
      </c>
      <c r="CD2" s="14603"/>
      <c r="CE2" s="14603"/>
      <c r="CF2" s="14604"/>
      <c r="CG2" s="13299" t="s">
        <v>356</v>
      </c>
      <c r="CH2" s="13300"/>
      <c r="CI2" s="13300"/>
      <c r="CJ2" s="13300"/>
      <c r="CK2" s="13300"/>
      <c r="CL2" s="13300"/>
      <c r="CM2" s="13300"/>
      <c r="CN2" s="13300"/>
      <c r="CO2" s="13300"/>
      <c r="CP2" s="13300"/>
      <c r="CQ2" s="13300"/>
      <c r="CR2" s="13300"/>
      <c r="CS2" s="13300"/>
      <c r="CT2" s="13300"/>
      <c r="CU2" s="13300"/>
      <c r="CV2" s="13300"/>
      <c r="CW2" s="13300"/>
      <c r="CX2" s="13300"/>
      <c r="CY2" s="13300"/>
      <c r="CZ2" s="13300"/>
      <c r="DA2" s="13300"/>
      <c r="DB2" s="13300"/>
      <c r="DC2" s="13300"/>
      <c r="DD2" s="13300"/>
      <c r="DE2" s="13300"/>
      <c r="DF2" s="13301"/>
      <c r="DG2" s="13302" t="s">
        <v>357</v>
      </c>
      <c r="DH2" s="13303"/>
      <c r="DI2" s="13303"/>
      <c r="DJ2" s="13303"/>
      <c r="DK2" s="13304"/>
      <c r="DL2" s="13305" t="s">
        <v>5</v>
      </c>
      <c r="DM2" s="13306"/>
      <c r="DN2" s="13306"/>
      <c r="DO2" s="13306"/>
      <c r="DP2" s="13307"/>
    </row>
    <row r="3" spans="1:120" ht="15" customHeight="1" thickBot="1">
      <c r="A3" s="14607" t="s">
        <v>9786</v>
      </c>
      <c r="B3" s="14607"/>
      <c r="C3" s="14607"/>
      <c r="D3" s="14607"/>
      <c r="E3" s="14607"/>
      <c r="F3" s="14607"/>
      <c r="G3" s="14607"/>
      <c r="H3" s="14607"/>
      <c r="I3" s="14607"/>
      <c r="J3" s="14607"/>
      <c r="K3" s="14607"/>
      <c r="L3" s="14607"/>
      <c r="M3" s="14607"/>
      <c r="N3" s="14607"/>
      <c r="O3" s="14607"/>
      <c r="P3" s="14607"/>
      <c r="Q3" s="14608"/>
      <c r="R3" s="14607"/>
      <c r="S3" s="14607"/>
      <c r="T3" s="14607"/>
      <c r="U3" s="14607"/>
      <c r="V3" s="14607"/>
      <c r="W3" s="14607"/>
      <c r="X3" s="14607"/>
      <c r="Y3" s="14607"/>
      <c r="Z3" s="14607"/>
      <c r="AA3" s="14607"/>
      <c r="AB3" s="14601"/>
      <c r="AC3" s="14609"/>
      <c r="AD3" s="14609"/>
      <c r="AE3" s="13296"/>
      <c r="AF3" s="13296"/>
      <c r="AG3" s="13298"/>
      <c r="AH3" s="14605" t="s">
        <v>6</v>
      </c>
      <c r="AI3" s="14611" t="s">
        <v>7</v>
      </c>
      <c r="AJ3" s="14577" t="s">
        <v>8</v>
      </c>
      <c r="AK3" s="14579" t="s">
        <v>9</v>
      </c>
      <c r="AL3" s="13308" t="s">
        <v>10</v>
      </c>
      <c r="AM3" s="13282" t="s">
        <v>11</v>
      </c>
      <c r="AN3" s="13284"/>
      <c r="AO3" s="13282" t="s">
        <v>12</v>
      </c>
      <c r="AP3" s="13284"/>
      <c r="AQ3" s="13282" t="s">
        <v>13</v>
      </c>
      <c r="AR3" s="13283"/>
      <c r="AS3" s="13283"/>
      <c r="AT3" s="13283"/>
      <c r="AU3" s="13283"/>
      <c r="AV3" s="13283"/>
      <c r="AW3" s="13284"/>
      <c r="AX3" s="13285" t="s">
        <v>14</v>
      </c>
      <c r="AY3" s="13286"/>
      <c r="AZ3" s="13286"/>
      <c r="BA3" s="13286"/>
      <c r="BB3" s="13286"/>
      <c r="BC3" s="13286"/>
      <c r="BD3" s="13286"/>
      <c r="BE3" s="13287"/>
      <c r="BF3" s="13285" t="s">
        <v>15</v>
      </c>
      <c r="BG3" s="13286"/>
      <c r="BH3" s="13286"/>
      <c r="BI3" s="13286"/>
      <c r="BJ3" s="13286"/>
      <c r="BK3" s="13287"/>
      <c r="BL3" s="13288" t="s">
        <v>16</v>
      </c>
      <c r="BM3" s="13288" t="s">
        <v>17</v>
      </c>
      <c r="BN3" s="13275" t="s">
        <v>18</v>
      </c>
      <c r="BO3" s="10" t="s">
        <v>19</v>
      </c>
      <c r="BP3" s="489" t="s">
        <v>20</v>
      </c>
      <c r="BQ3" s="13277" t="s">
        <v>21</v>
      </c>
      <c r="BR3" s="13279" t="s">
        <v>22</v>
      </c>
      <c r="BS3" s="13280"/>
      <c r="BT3" s="13281"/>
      <c r="BU3" s="12" t="s">
        <v>20</v>
      </c>
      <c r="BW3" s="14601"/>
      <c r="BX3" s="14609"/>
      <c r="BY3" s="14609"/>
      <c r="BZ3" s="13296"/>
      <c r="CA3" s="13296"/>
      <c r="CB3" s="13298"/>
      <c r="CC3" s="14605" t="s">
        <v>6</v>
      </c>
      <c r="CD3" s="14611" t="s">
        <v>7</v>
      </c>
      <c r="CE3" s="14577" t="s">
        <v>8</v>
      </c>
      <c r="CF3" s="14579" t="s">
        <v>9</v>
      </c>
      <c r="CG3" s="13308" t="s">
        <v>10</v>
      </c>
      <c r="CH3" s="13282" t="s">
        <v>11</v>
      </c>
      <c r="CI3" s="13284"/>
      <c r="CJ3" s="13282" t="s">
        <v>12</v>
      </c>
      <c r="CK3" s="13284"/>
      <c r="CL3" s="13282" t="s">
        <v>13</v>
      </c>
      <c r="CM3" s="13283"/>
      <c r="CN3" s="13283"/>
      <c r="CO3" s="13283"/>
      <c r="CP3" s="13283"/>
      <c r="CQ3" s="13283"/>
      <c r="CR3" s="13284"/>
      <c r="CS3" s="13285" t="s">
        <v>14</v>
      </c>
      <c r="CT3" s="13286"/>
      <c r="CU3" s="13286"/>
      <c r="CV3" s="13286"/>
      <c r="CW3" s="13286"/>
      <c r="CX3" s="13286"/>
      <c r="CY3" s="13286"/>
      <c r="CZ3" s="13287"/>
      <c r="DA3" s="13285" t="s">
        <v>15</v>
      </c>
      <c r="DB3" s="13286"/>
      <c r="DC3" s="13286"/>
      <c r="DD3" s="13286"/>
      <c r="DE3" s="13286"/>
      <c r="DF3" s="13287"/>
      <c r="DG3" s="13288" t="s">
        <v>16</v>
      </c>
      <c r="DH3" s="13288" t="s">
        <v>17</v>
      </c>
      <c r="DI3" s="13275" t="s">
        <v>18</v>
      </c>
      <c r="DJ3" s="10" t="s">
        <v>19</v>
      </c>
      <c r="DK3" s="489" t="s">
        <v>20</v>
      </c>
      <c r="DL3" s="13277" t="s">
        <v>21</v>
      </c>
      <c r="DM3" s="13279" t="s">
        <v>22</v>
      </c>
      <c r="DN3" s="13280"/>
      <c r="DO3" s="13281"/>
      <c r="DP3" s="12" t="s">
        <v>20</v>
      </c>
    </row>
    <row r="4" spans="1:120" ht="15" customHeight="1" thickBot="1">
      <c r="A4" s="845" t="s">
        <v>361</v>
      </c>
      <c r="B4" s="845" t="s">
        <v>4629</v>
      </c>
      <c r="C4" s="480" t="s">
        <v>4630</v>
      </c>
      <c r="D4" s="833" t="s">
        <v>522</v>
      </c>
      <c r="E4" s="845" t="s">
        <v>4631</v>
      </c>
      <c r="F4" s="847" t="s">
        <v>4632</v>
      </c>
      <c r="G4" s="847" t="s">
        <v>4633</v>
      </c>
      <c r="H4" s="847" t="s">
        <v>4634</v>
      </c>
      <c r="I4" s="847" t="s">
        <v>522</v>
      </c>
      <c r="J4" s="847" t="s">
        <v>4635</v>
      </c>
      <c r="K4" s="845" t="s">
        <v>4636</v>
      </c>
      <c r="L4" s="846" t="s">
        <v>4637</v>
      </c>
      <c r="M4" s="847" t="s">
        <v>4638</v>
      </c>
      <c r="N4" s="847" t="s">
        <v>4639</v>
      </c>
      <c r="O4" s="847" t="s">
        <v>4640</v>
      </c>
      <c r="P4" s="847" t="s">
        <v>4641</v>
      </c>
      <c r="Q4" s="3060" t="s">
        <v>10056</v>
      </c>
      <c r="R4" s="845" t="s">
        <v>368</v>
      </c>
      <c r="S4" s="845" t="s">
        <v>4642</v>
      </c>
      <c r="T4" s="845" t="s">
        <v>365</v>
      </c>
      <c r="U4" s="845">
        <v>2019</v>
      </c>
      <c r="V4" s="845">
        <v>2020</v>
      </c>
      <c r="W4" s="845">
        <v>2021</v>
      </c>
      <c r="X4" s="845">
        <v>2022</v>
      </c>
      <c r="Y4" s="845">
        <v>2023</v>
      </c>
      <c r="Z4" s="847" t="s">
        <v>4643</v>
      </c>
      <c r="AA4" s="864" t="s">
        <v>4644</v>
      </c>
      <c r="AB4" s="14601"/>
      <c r="AC4" s="14610"/>
      <c r="AD4" s="14610"/>
      <c r="AE4" s="13296"/>
      <c r="AF4" s="13296"/>
      <c r="AG4" s="13298"/>
      <c r="AH4" s="14606"/>
      <c r="AI4" s="14612"/>
      <c r="AJ4" s="14578"/>
      <c r="AK4" s="14580"/>
      <c r="AL4" s="13309"/>
      <c r="AM4" s="776" t="s">
        <v>23</v>
      </c>
      <c r="AN4" s="777" t="s">
        <v>24</v>
      </c>
      <c r="AO4" s="776" t="s">
        <v>25</v>
      </c>
      <c r="AP4" s="777" t="s">
        <v>26</v>
      </c>
      <c r="AQ4" s="778" t="s">
        <v>27</v>
      </c>
      <c r="AR4" s="779" t="s">
        <v>28</v>
      </c>
      <c r="AS4" s="780" t="s">
        <v>29</v>
      </c>
      <c r="AT4" s="780" t="s">
        <v>30</v>
      </c>
      <c r="AU4" s="780" t="s">
        <v>31</v>
      </c>
      <c r="AV4" s="780" t="s">
        <v>32</v>
      </c>
      <c r="AW4" s="781" t="s">
        <v>33</v>
      </c>
      <c r="AX4" s="778" t="s">
        <v>34</v>
      </c>
      <c r="AY4" s="780" t="s">
        <v>35</v>
      </c>
      <c r="AZ4" s="780" t="s">
        <v>36</v>
      </c>
      <c r="BA4" s="780" t="s">
        <v>37</v>
      </c>
      <c r="BB4" s="780" t="s">
        <v>38</v>
      </c>
      <c r="BC4" s="780" t="s">
        <v>39</v>
      </c>
      <c r="BD4" s="780" t="s">
        <v>40</v>
      </c>
      <c r="BE4" s="781" t="s">
        <v>41</v>
      </c>
      <c r="BF4" s="782" t="s">
        <v>42</v>
      </c>
      <c r="BG4" s="780" t="s">
        <v>43</v>
      </c>
      <c r="BH4" s="780" t="s">
        <v>44</v>
      </c>
      <c r="BI4" s="780" t="s">
        <v>45</v>
      </c>
      <c r="BJ4" s="780" t="s">
        <v>46</v>
      </c>
      <c r="BK4" s="783" t="s">
        <v>47</v>
      </c>
      <c r="BL4" s="13289"/>
      <c r="BM4" s="13289"/>
      <c r="BN4" s="13276"/>
      <c r="BO4" s="828" t="s">
        <v>48</v>
      </c>
      <c r="BP4" s="21" t="s">
        <v>49</v>
      </c>
      <c r="BQ4" s="13278"/>
      <c r="BR4" s="784" t="s">
        <v>50</v>
      </c>
      <c r="BS4" s="784" t="s">
        <v>51</v>
      </c>
      <c r="BT4" s="784" t="s">
        <v>52</v>
      </c>
      <c r="BU4" s="823" t="s">
        <v>49</v>
      </c>
      <c r="BW4" s="14601"/>
      <c r="BX4" s="14610"/>
      <c r="BY4" s="14610"/>
      <c r="BZ4" s="13296"/>
      <c r="CA4" s="13296"/>
      <c r="CB4" s="13298"/>
      <c r="CC4" s="14606"/>
      <c r="CD4" s="14612"/>
      <c r="CE4" s="14578"/>
      <c r="CF4" s="14580"/>
      <c r="CG4" s="13309"/>
      <c r="CH4" s="776" t="s">
        <v>23</v>
      </c>
      <c r="CI4" s="777" t="s">
        <v>24</v>
      </c>
      <c r="CJ4" s="776" t="s">
        <v>25</v>
      </c>
      <c r="CK4" s="777" t="s">
        <v>26</v>
      </c>
      <c r="CL4" s="778" t="s">
        <v>27</v>
      </c>
      <c r="CM4" s="779" t="s">
        <v>28</v>
      </c>
      <c r="CN4" s="780" t="s">
        <v>29</v>
      </c>
      <c r="CO4" s="780" t="s">
        <v>30</v>
      </c>
      <c r="CP4" s="780" t="s">
        <v>31</v>
      </c>
      <c r="CQ4" s="780" t="s">
        <v>32</v>
      </c>
      <c r="CR4" s="781" t="s">
        <v>33</v>
      </c>
      <c r="CS4" s="778" t="s">
        <v>34</v>
      </c>
      <c r="CT4" s="780" t="s">
        <v>35</v>
      </c>
      <c r="CU4" s="780" t="s">
        <v>36</v>
      </c>
      <c r="CV4" s="780" t="s">
        <v>37</v>
      </c>
      <c r="CW4" s="780" t="s">
        <v>38</v>
      </c>
      <c r="CX4" s="780" t="s">
        <v>39</v>
      </c>
      <c r="CY4" s="780" t="s">
        <v>40</v>
      </c>
      <c r="CZ4" s="781" t="s">
        <v>41</v>
      </c>
      <c r="DA4" s="782" t="s">
        <v>42</v>
      </c>
      <c r="DB4" s="780" t="s">
        <v>43</v>
      </c>
      <c r="DC4" s="780" t="s">
        <v>44</v>
      </c>
      <c r="DD4" s="780" t="s">
        <v>45</v>
      </c>
      <c r="DE4" s="780" t="s">
        <v>46</v>
      </c>
      <c r="DF4" s="783" t="s">
        <v>47</v>
      </c>
      <c r="DG4" s="13289"/>
      <c r="DH4" s="13289"/>
      <c r="DI4" s="13276"/>
      <c r="DJ4" s="3003" t="s">
        <v>48</v>
      </c>
      <c r="DK4" s="21" t="s">
        <v>49</v>
      </c>
      <c r="DL4" s="13278"/>
      <c r="DM4" s="784" t="s">
        <v>50</v>
      </c>
      <c r="DN4" s="784" t="s">
        <v>51</v>
      </c>
      <c r="DO4" s="784" t="s">
        <v>52</v>
      </c>
      <c r="DP4" s="823" t="s">
        <v>49</v>
      </c>
    </row>
    <row r="5" spans="1:120" s="1810" customFormat="1" ht="15" customHeight="1">
      <c r="A5" s="14632" t="s">
        <v>4645</v>
      </c>
      <c r="B5" s="14634" t="s">
        <v>4646</v>
      </c>
      <c r="C5" s="14581" t="s">
        <v>4647</v>
      </c>
      <c r="D5" s="14584" t="s">
        <v>4648</v>
      </c>
      <c r="E5" s="14587" t="s">
        <v>4649</v>
      </c>
      <c r="F5" s="14589" t="s">
        <v>4650</v>
      </c>
      <c r="G5" s="14589" t="s">
        <v>4651</v>
      </c>
      <c r="H5" s="14589" t="s">
        <v>4652</v>
      </c>
      <c r="I5" s="14589" t="s">
        <v>4648</v>
      </c>
      <c r="J5" s="14589" t="s">
        <v>7530</v>
      </c>
      <c r="K5" s="14589" t="s">
        <v>4653</v>
      </c>
      <c r="L5" s="14589" t="s">
        <v>4654</v>
      </c>
      <c r="M5" s="14589" t="s">
        <v>4655</v>
      </c>
      <c r="N5" s="14589" t="s">
        <v>4656</v>
      </c>
      <c r="O5" s="14589" t="s">
        <v>4657</v>
      </c>
      <c r="P5" s="14589" t="s">
        <v>4658</v>
      </c>
      <c r="Q5" s="6844" t="s">
        <v>10066</v>
      </c>
      <c r="R5" s="1582" t="s">
        <v>298</v>
      </c>
      <c r="S5" s="1582"/>
      <c r="T5" s="14589" t="s">
        <v>4660</v>
      </c>
      <c r="U5" s="14663">
        <v>10</v>
      </c>
      <c r="V5" s="14663">
        <v>10</v>
      </c>
      <c r="W5" s="14663">
        <v>10</v>
      </c>
      <c r="X5" s="14663">
        <v>10</v>
      </c>
      <c r="Y5" s="14663">
        <v>10</v>
      </c>
      <c r="Z5" s="14663">
        <f>SUM(U5:Y5)</f>
        <v>50</v>
      </c>
      <c r="AA5" s="14669">
        <v>150000000</v>
      </c>
      <c r="AB5" s="6845">
        <v>4</v>
      </c>
      <c r="AC5" s="6846">
        <f>AB5/U5</f>
        <v>0.4</v>
      </c>
      <c r="AD5" s="14575">
        <f>AVERAGE(AC5:AC17)</f>
        <v>0.24444444444444446</v>
      </c>
      <c r="AE5" s="6847" t="s">
        <v>9204</v>
      </c>
      <c r="AF5" s="6847" t="s">
        <v>9205</v>
      </c>
      <c r="AG5" s="6847"/>
      <c r="AH5" s="6845">
        <v>27258000</v>
      </c>
      <c r="AI5" s="6845">
        <v>27258000</v>
      </c>
      <c r="AJ5" s="6845"/>
      <c r="AK5" s="6845"/>
      <c r="AL5" s="6845">
        <v>100</v>
      </c>
      <c r="AM5" s="6848"/>
      <c r="AN5" s="6848"/>
      <c r="AO5" s="6848"/>
      <c r="AP5" s="6848"/>
      <c r="AQ5" s="6848"/>
      <c r="AR5" s="6848"/>
      <c r="AS5" s="6848"/>
      <c r="AT5" s="6848"/>
      <c r="AU5" s="6848"/>
      <c r="AV5" s="6848"/>
      <c r="AW5" s="6848"/>
      <c r="AX5" s="6848"/>
      <c r="AY5" s="6848"/>
      <c r="AZ5" s="6848"/>
      <c r="BA5" s="6848"/>
      <c r="BB5" s="6848"/>
      <c r="BC5" s="6848"/>
      <c r="BD5" s="6848"/>
      <c r="BE5" s="6848"/>
      <c r="BF5" s="6848"/>
      <c r="BG5" s="6848"/>
      <c r="BH5" s="6848"/>
      <c r="BI5" s="6848"/>
      <c r="BJ5" s="6848"/>
      <c r="BK5" s="6848"/>
      <c r="BL5" s="6849" t="s">
        <v>9206</v>
      </c>
      <c r="BM5" s="6848"/>
      <c r="BN5" s="6848"/>
      <c r="BO5" s="6848"/>
      <c r="BP5" s="6848"/>
      <c r="BQ5" s="6848"/>
      <c r="BR5" s="6848"/>
      <c r="BS5" s="6848"/>
      <c r="BT5" s="6848"/>
      <c r="BU5" s="6850"/>
      <c r="BW5" s="6851">
        <f>+'2020'!K5</f>
        <v>0</v>
      </c>
      <c r="BX5" s="14575">
        <f>AVERAGE(BW5:BW6)</f>
        <v>0</v>
      </c>
      <c r="BY5" s="14759">
        <f>AVERAGE(BX5:BX17)</f>
        <v>0</v>
      </c>
      <c r="BZ5" s="1588"/>
      <c r="CA5" s="1588"/>
      <c r="CB5" s="3486"/>
      <c r="CC5" s="3776"/>
      <c r="CD5" s="3765"/>
      <c r="CE5" s="1588"/>
      <c r="CF5" s="3486"/>
      <c r="CG5" s="3776"/>
      <c r="CH5" s="3765"/>
      <c r="CI5" s="3486"/>
      <c r="CJ5" s="3765"/>
      <c r="CK5" s="3486"/>
      <c r="CL5" s="3765"/>
      <c r="CM5" s="1588"/>
      <c r="CN5" s="1588"/>
      <c r="CO5" s="1588"/>
      <c r="CP5" s="1588"/>
      <c r="CQ5" s="1588"/>
      <c r="CR5" s="3486"/>
      <c r="CS5" s="3765"/>
      <c r="CT5" s="1588"/>
      <c r="CU5" s="1588"/>
      <c r="CV5" s="1588"/>
      <c r="CW5" s="1588"/>
      <c r="CX5" s="1588"/>
      <c r="CY5" s="1588"/>
      <c r="CZ5" s="3486"/>
      <c r="DA5" s="3765"/>
      <c r="DB5" s="1588"/>
      <c r="DC5" s="1588"/>
      <c r="DD5" s="1588"/>
      <c r="DE5" s="1588"/>
      <c r="DF5" s="3486"/>
      <c r="DG5" s="3776"/>
      <c r="DH5" s="3776"/>
      <c r="DI5" s="3776"/>
      <c r="DJ5" s="3765"/>
      <c r="DK5" s="3486"/>
      <c r="DL5" s="3765"/>
      <c r="DM5" s="1588"/>
      <c r="DN5" s="1588"/>
      <c r="DO5" s="1588"/>
      <c r="DP5" s="3486"/>
    </row>
    <row r="6" spans="1:120" s="1810" customFormat="1" ht="15" customHeight="1">
      <c r="A6" s="14633"/>
      <c r="B6" s="14635"/>
      <c r="C6" s="14582"/>
      <c r="D6" s="14585"/>
      <c r="E6" s="14588"/>
      <c r="F6" s="14590"/>
      <c r="G6" s="14590"/>
      <c r="H6" s="14590"/>
      <c r="I6" s="14590"/>
      <c r="J6" s="14665"/>
      <c r="K6" s="14665"/>
      <c r="L6" s="14665"/>
      <c r="M6" s="14665"/>
      <c r="N6" s="14665"/>
      <c r="O6" s="14665"/>
      <c r="P6" s="14665"/>
      <c r="Q6" s="403" t="s">
        <v>10181</v>
      </c>
      <c r="R6" s="5047"/>
      <c r="S6" s="5047" t="s">
        <v>4659</v>
      </c>
      <c r="T6" s="14665"/>
      <c r="U6" s="14664"/>
      <c r="V6" s="14664"/>
      <c r="W6" s="14664"/>
      <c r="X6" s="14664"/>
      <c r="Y6" s="14664"/>
      <c r="Z6" s="14664"/>
      <c r="AA6" s="14670"/>
      <c r="AB6" s="6852"/>
      <c r="AC6" s="6853"/>
      <c r="AD6" s="14613"/>
      <c r="AE6" s="6854"/>
      <c r="AF6" s="6854"/>
      <c r="AG6" s="6854"/>
      <c r="AH6" s="6852"/>
      <c r="AI6" s="6852"/>
      <c r="AJ6" s="6852"/>
      <c r="AK6" s="6852"/>
      <c r="AL6" s="6852"/>
      <c r="AM6" s="6855"/>
      <c r="AN6" s="6855"/>
      <c r="AO6" s="6855"/>
      <c r="AP6" s="6855"/>
      <c r="AQ6" s="6855"/>
      <c r="AR6" s="6855"/>
      <c r="AS6" s="6855"/>
      <c r="AT6" s="6855"/>
      <c r="AU6" s="6855"/>
      <c r="AV6" s="6855"/>
      <c r="AW6" s="6855"/>
      <c r="AX6" s="6855"/>
      <c r="AY6" s="6855"/>
      <c r="AZ6" s="6855"/>
      <c r="BA6" s="6855"/>
      <c r="BB6" s="6855"/>
      <c r="BC6" s="6855"/>
      <c r="BD6" s="6855"/>
      <c r="BE6" s="6855"/>
      <c r="BF6" s="6855"/>
      <c r="BG6" s="6855"/>
      <c r="BH6" s="6855"/>
      <c r="BI6" s="6855"/>
      <c r="BJ6" s="6855"/>
      <c r="BK6" s="6855"/>
      <c r="BL6" s="6856"/>
      <c r="BM6" s="6855"/>
      <c r="BN6" s="6855"/>
      <c r="BO6" s="6855"/>
      <c r="BP6" s="6855"/>
      <c r="BQ6" s="6855"/>
      <c r="BR6" s="6855"/>
      <c r="BS6" s="6855"/>
      <c r="BT6" s="6855"/>
      <c r="BU6" s="6857"/>
      <c r="BW6" s="6858">
        <f>+'2020'!K6</f>
        <v>0</v>
      </c>
      <c r="BX6" s="14576"/>
      <c r="BY6" s="14760"/>
      <c r="BZ6" s="3470"/>
      <c r="CA6" s="3470"/>
      <c r="CB6" s="3475"/>
      <c r="CC6" s="3777"/>
      <c r="CD6" s="3766"/>
      <c r="CE6" s="3470"/>
      <c r="CF6" s="3475"/>
      <c r="CG6" s="3777"/>
      <c r="CH6" s="3766"/>
      <c r="CI6" s="3475"/>
      <c r="CJ6" s="3766"/>
      <c r="CK6" s="3475"/>
      <c r="CL6" s="3766"/>
      <c r="CM6" s="3470"/>
      <c r="CN6" s="3470"/>
      <c r="CO6" s="3470"/>
      <c r="CP6" s="3470"/>
      <c r="CQ6" s="3470"/>
      <c r="CR6" s="3475"/>
      <c r="CS6" s="3766"/>
      <c r="CT6" s="3470"/>
      <c r="CU6" s="3470"/>
      <c r="CV6" s="3470"/>
      <c r="CW6" s="3470"/>
      <c r="CX6" s="3470"/>
      <c r="CY6" s="3470"/>
      <c r="CZ6" s="3475"/>
      <c r="DA6" s="3766"/>
      <c r="DB6" s="3470"/>
      <c r="DC6" s="3470"/>
      <c r="DD6" s="3470"/>
      <c r="DE6" s="3470"/>
      <c r="DF6" s="3475"/>
      <c r="DG6" s="3777"/>
      <c r="DH6" s="3777"/>
      <c r="DI6" s="3777"/>
      <c r="DJ6" s="3766"/>
      <c r="DK6" s="3475"/>
      <c r="DL6" s="3766"/>
      <c r="DM6" s="3470"/>
      <c r="DN6" s="3470"/>
      <c r="DO6" s="3470"/>
      <c r="DP6" s="3475"/>
    </row>
    <row r="7" spans="1:120" s="1810" customFormat="1" ht="15" customHeight="1">
      <c r="A7" s="14633"/>
      <c r="B7" s="14635"/>
      <c r="C7" s="14582"/>
      <c r="D7" s="14585"/>
      <c r="E7" s="14588"/>
      <c r="F7" s="14590"/>
      <c r="G7" s="14590"/>
      <c r="H7" s="14590"/>
      <c r="I7" s="14590"/>
      <c r="J7" s="14666" t="s">
        <v>7531</v>
      </c>
      <c r="K7" s="14666" t="s">
        <v>4661</v>
      </c>
      <c r="L7" s="14666" t="s">
        <v>4654</v>
      </c>
      <c r="M7" s="14666" t="s">
        <v>4662</v>
      </c>
      <c r="N7" s="14666" t="s">
        <v>4663</v>
      </c>
      <c r="O7" s="14666" t="s">
        <v>4664</v>
      </c>
      <c r="P7" s="14666" t="s">
        <v>4665</v>
      </c>
      <c r="Q7" s="6860" t="s">
        <v>10066</v>
      </c>
      <c r="R7" s="3015" t="s">
        <v>298</v>
      </c>
      <c r="S7" s="3015"/>
      <c r="T7" s="14666" t="s">
        <v>4666</v>
      </c>
      <c r="U7" s="14667">
        <v>1</v>
      </c>
      <c r="V7" s="14667">
        <v>1</v>
      </c>
      <c r="W7" s="14667">
        <v>1</v>
      </c>
      <c r="X7" s="14667">
        <v>1</v>
      </c>
      <c r="Y7" s="14667">
        <v>1</v>
      </c>
      <c r="Z7" s="14667">
        <v>1</v>
      </c>
      <c r="AA7" s="14669">
        <v>150000000</v>
      </c>
      <c r="AB7" s="6861">
        <v>100</v>
      </c>
      <c r="AC7" s="6862">
        <v>0</v>
      </c>
      <c r="AD7" s="14613"/>
      <c r="AE7" s="6863" t="s">
        <v>9207</v>
      </c>
      <c r="AF7" s="6863" t="s">
        <v>9205</v>
      </c>
      <c r="AG7" s="6863"/>
      <c r="AH7" s="6861">
        <v>3894000</v>
      </c>
      <c r="AI7" s="6861">
        <v>3894000</v>
      </c>
      <c r="AJ7" s="6861"/>
      <c r="AK7" s="6861"/>
      <c r="AL7" s="6863"/>
      <c r="AM7" s="6864"/>
      <c r="AN7" s="6864"/>
      <c r="AO7" s="6864"/>
      <c r="AP7" s="6864"/>
      <c r="AQ7" s="6864"/>
      <c r="AR7" s="6864"/>
      <c r="AS7" s="6864"/>
      <c r="AT7" s="6864"/>
      <c r="AU7" s="6864"/>
      <c r="AV7" s="6864"/>
      <c r="AW7" s="6864"/>
      <c r="AX7" s="6864"/>
      <c r="AY7" s="6864"/>
      <c r="AZ7" s="6864"/>
      <c r="BA7" s="6864"/>
      <c r="BB7" s="6864"/>
      <c r="BC7" s="6864"/>
      <c r="BD7" s="6864"/>
      <c r="BE7" s="6864"/>
      <c r="BF7" s="6864"/>
      <c r="BG7" s="6864"/>
      <c r="BH7" s="6864"/>
      <c r="BI7" s="6864"/>
      <c r="BJ7" s="6864"/>
      <c r="BK7" s="6864"/>
      <c r="BL7" s="6864"/>
      <c r="BM7" s="6864"/>
      <c r="BN7" s="6864"/>
      <c r="BO7" s="6864"/>
      <c r="BP7" s="6864"/>
      <c r="BQ7" s="6864"/>
      <c r="BR7" s="6864"/>
      <c r="BS7" s="6864"/>
      <c r="BT7" s="6864"/>
      <c r="BU7" s="6865"/>
      <c r="BW7" s="6858"/>
      <c r="BX7" s="6859"/>
      <c r="BY7" s="14760"/>
      <c r="BZ7" s="3470"/>
      <c r="CA7" s="3470"/>
      <c r="CB7" s="3475"/>
      <c r="CC7" s="3777"/>
      <c r="CD7" s="3766"/>
      <c r="CE7" s="3470"/>
      <c r="CF7" s="3475"/>
      <c r="CG7" s="3777"/>
      <c r="CH7" s="3766"/>
      <c r="CI7" s="3475"/>
      <c r="CJ7" s="3766"/>
      <c r="CK7" s="3475"/>
      <c r="CL7" s="3766"/>
      <c r="CM7" s="3470"/>
      <c r="CN7" s="3470"/>
      <c r="CO7" s="3470"/>
      <c r="CP7" s="3470"/>
      <c r="CQ7" s="3470"/>
      <c r="CR7" s="3475"/>
      <c r="CS7" s="3766"/>
      <c r="CT7" s="3470"/>
      <c r="CU7" s="3470"/>
      <c r="CV7" s="3470"/>
      <c r="CW7" s="3470"/>
      <c r="CX7" s="3470"/>
      <c r="CY7" s="3470"/>
      <c r="CZ7" s="3475"/>
      <c r="DA7" s="3766"/>
      <c r="DB7" s="3470"/>
      <c r="DC7" s="3470"/>
      <c r="DD7" s="3470"/>
      <c r="DE7" s="3470"/>
      <c r="DF7" s="3475"/>
      <c r="DG7" s="3777"/>
      <c r="DH7" s="3777"/>
      <c r="DI7" s="3777"/>
      <c r="DJ7" s="3766"/>
      <c r="DK7" s="3475"/>
      <c r="DL7" s="3766"/>
      <c r="DM7" s="3470"/>
      <c r="DN7" s="3470"/>
      <c r="DO7" s="3470"/>
      <c r="DP7" s="3475"/>
    </row>
    <row r="8" spans="1:120" s="1810" customFormat="1" ht="15" customHeight="1">
      <c r="A8" s="14633"/>
      <c r="B8" s="14635"/>
      <c r="C8" s="14582"/>
      <c r="D8" s="14585"/>
      <c r="E8" s="14588"/>
      <c r="F8" s="14665"/>
      <c r="G8" s="14590"/>
      <c r="H8" s="14665"/>
      <c r="I8" s="14590"/>
      <c r="J8" s="14665"/>
      <c r="K8" s="14665"/>
      <c r="L8" s="14665"/>
      <c r="M8" s="14665"/>
      <c r="N8" s="14665"/>
      <c r="O8" s="14665"/>
      <c r="P8" s="14665"/>
      <c r="Q8" s="403" t="s">
        <v>10181</v>
      </c>
      <c r="R8" s="5048"/>
      <c r="S8" s="5048" t="s">
        <v>10064</v>
      </c>
      <c r="T8" s="14665"/>
      <c r="U8" s="14668"/>
      <c r="V8" s="14668"/>
      <c r="W8" s="14668"/>
      <c r="X8" s="14668"/>
      <c r="Y8" s="14668"/>
      <c r="Z8" s="14668"/>
      <c r="AA8" s="14670"/>
      <c r="AB8" s="6852"/>
      <c r="AC8" s="6853"/>
      <c r="AD8" s="14613"/>
      <c r="AE8" s="6854"/>
      <c r="AF8" s="6854"/>
      <c r="AG8" s="6854"/>
      <c r="AH8" s="6852"/>
      <c r="AI8" s="6852"/>
      <c r="AJ8" s="6852"/>
      <c r="AK8" s="6852"/>
      <c r="AL8" s="6854"/>
      <c r="AM8" s="6866"/>
      <c r="AN8" s="6866"/>
      <c r="AO8" s="6866"/>
      <c r="AP8" s="6866"/>
      <c r="AQ8" s="6866"/>
      <c r="AR8" s="6866"/>
      <c r="AS8" s="6866"/>
      <c r="AT8" s="6866"/>
      <c r="AU8" s="6866"/>
      <c r="AV8" s="6866"/>
      <c r="AW8" s="6866"/>
      <c r="AX8" s="6866"/>
      <c r="AY8" s="6866"/>
      <c r="AZ8" s="6866"/>
      <c r="BA8" s="6866"/>
      <c r="BB8" s="6866"/>
      <c r="BC8" s="6866"/>
      <c r="BD8" s="6866"/>
      <c r="BE8" s="6866"/>
      <c r="BF8" s="6866"/>
      <c r="BG8" s="6866"/>
      <c r="BH8" s="6866"/>
      <c r="BI8" s="6866"/>
      <c r="BJ8" s="6866"/>
      <c r="BK8" s="6866"/>
      <c r="BL8" s="6866"/>
      <c r="BM8" s="6866"/>
      <c r="BN8" s="6866"/>
      <c r="BO8" s="6866"/>
      <c r="BP8" s="6866"/>
      <c r="BQ8" s="6866"/>
      <c r="BR8" s="6866"/>
      <c r="BS8" s="6866"/>
      <c r="BT8" s="6866"/>
      <c r="BU8" s="6865"/>
      <c r="BW8" s="6858"/>
      <c r="BX8" s="6859"/>
      <c r="BY8" s="14760"/>
      <c r="BZ8" s="3470"/>
      <c r="CA8" s="3470"/>
      <c r="CB8" s="3475"/>
      <c r="CC8" s="3777"/>
      <c r="CD8" s="3766"/>
      <c r="CE8" s="3470"/>
      <c r="CF8" s="3475"/>
      <c r="CG8" s="3777"/>
      <c r="CH8" s="3766"/>
      <c r="CI8" s="3475"/>
      <c r="CJ8" s="3766"/>
      <c r="CK8" s="3475"/>
      <c r="CL8" s="3766"/>
      <c r="CM8" s="3470"/>
      <c r="CN8" s="3470"/>
      <c r="CO8" s="3470"/>
      <c r="CP8" s="3470"/>
      <c r="CQ8" s="3470"/>
      <c r="CR8" s="3475"/>
      <c r="CS8" s="3766"/>
      <c r="CT8" s="3470"/>
      <c r="CU8" s="3470"/>
      <c r="CV8" s="3470"/>
      <c r="CW8" s="3470"/>
      <c r="CX8" s="3470"/>
      <c r="CY8" s="3470"/>
      <c r="CZ8" s="3475"/>
      <c r="DA8" s="3766"/>
      <c r="DB8" s="3470"/>
      <c r="DC8" s="3470"/>
      <c r="DD8" s="3470"/>
      <c r="DE8" s="3470"/>
      <c r="DF8" s="3475"/>
      <c r="DG8" s="3777"/>
      <c r="DH8" s="3777"/>
      <c r="DI8" s="3777"/>
      <c r="DJ8" s="3766"/>
      <c r="DK8" s="3475"/>
      <c r="DL8" s="3766"/>
      <c r="DM8" s="3470"/>
      <c r="DN8" s="3470"/>
      <c r="DO8" s="3470"/>
      <c r="DP8" s="3475"/>
    </row>
    <row r="9" spans="1:120" s="1810" customFormat="1" ht="15" customHeight="1">
      <c r="A9" s="14633"/>
      <c r="B9" s="14635"/>
      <c r="C9" s="14582"/>
      <c r="D9" s="14585"/>
      <c r="E9" s="14588"/>
      <c r="F9" s="14666" t="s">
        <v>4667</v>
      </c>
      <c r="G9" s="14590"/>
      <c r="H9" s="14666" t="s">
        <v>4668</v>
      </c>
      <c r="I9" s="14590"/>
      <c r="J9" s="6867" t="s">
        <v>7532</v>
      </c>
      <c r="K9" s="6867" t="s">
        <v>4669</v>
      </c>
      <c r="L9" s="6867" t="s">
        <v>4654</v>
      </c>
      <c r="M9" s="6867" t="s">
        <v>4670</v>
      </c>
      <c r="N9" s="6867" t="s">
        <v>4671</v>
      </c>
      <c r="O9" s="6867" t="s">
        <v>4672</v>
      </c>
      <c r="P9" s="6867" t="s">
        <v>4673</v>
      </c>
      <c r="Q9" s="6860" t="s">
        <v>10066</v>
      </c>
      <c r="R9" s="3015" t="s">
        <v>298</v>
      </c>
      <c r="S9" s="3015"/>
      <c r="T9" s="6867" t="s">
        <v>4674</v>
      </c>
      <c r="U9" s="6868">
        <v>3</v>
      </c>
      <c r="V9" s="6868">
        <v>3</v>
      </c>
      <c r="W9" s="6868">
        <v>3</v>
      </c>
      <c r="X9" s="6868">
        <v>3</v>
      </c>
      <c r="Y9" s="6868">
        <v>3</v>
      </c>
      <c r="Z9" s="6868">
        <v>15</v>
      </c>
      <c r="AA9" s="6869">
        <v>0</v>
      </c>
      <c r="AB9" s="6861">
        <v>1</v>
      </c>
      <c r="AC9" s="6862">
        <f>AB9/U9</f>
        <v>0.33333333333333331</v>
      </c>
      <c r="AD9" s="14613"/>
      <c r="AE9" s="6863" t="s">
        <v>9210</v>
      </c>
      <c r="AF9" s="6863" t="s">
        <v>4112</v>
      </c>
      <c r="AG9" s="6863"/>
      <c r="AH9" s="6863"/>
      <c r="AI9" s="6863"/>
      <c r="AJ9" s="6863"/>
      <c r="AK9" s="6863"/>
      <c r="AL9" s="6861">
        <v>16</v>
      </c>
      <c r="AM9" s="6864"/>
      <c r="AN9" s="6864"/>
      <c r="AO9" s="6864"/>
      <c r="AP9" s="6864"/>
      <c r="AQ9" s="6864"/>
      <c r="AR9" s="6864"/>
      <c r="AS9" s="6864"/>
      <c r="AT9" s="6864"/>
      <c r="AU9" s="6864"/>
      <c r="AV9" s="6864"/>
      <c r="AW9" s="6864"/>
      <c r="AX9" s="6864"/>
      <c r="AY9" s="6864"/>
      <c r="AZ9" s="6864"/>
      <c r="BA9" s="6864"/>
      <c r="BB9" s="6864"/>
      <c r="BC9" s="6864"/>
      <c r="BD9" s="6864"/>
      <c r="BE9" s="6864"/>
      <c r="BF9" s="6864"/>
      <c r="BG9" s="6864"/>
      <c r="BH9" s="6864"/>
      <c r="BI9" s="6864"/>
      <c r="BJ9" s="6864"/>
      <c r="BK9" s="6864"/>
      <c r="BL9" s="6864"/>
      <c r="BM9" s="6864"/>
      <c r="BN9" s="6864"/>
      <c r="BO9" s="6864"/>
      <c r="BP9" s="6864"/>
      <c r="BQ9" s="6864"/>
      <c r="BR9" s="6864"/>
      <c r="BS9" s="6864"/>
      <c r="BT9" s="6864"/>
      <c r="BU9" s="6865"/>
      <c r="BW9" s="6858"/>
      <c r="BX9" s="6859"/>
      <c r="BY9" s="14760"/>
      <c r="BZ9" s="3470"/>
      <c r="CA9" s="3470"/>
      <c r="CB9" s="3475"/>
      <c r="CC9" s="3777"/>
      <c r="CD9" s="3766"/>
      <c r="CE9" s="3470"/>
      <c r="CF9" s="3475"/>
      <c r="CG9" s="3777"/>
      <c r="CH9" s="3766"/>
      <c r="CI9" s="3475"/>
      <c r="CJ9" s="3766"/>
      <c r="CK9" s="3475"/>
      <c r="CL9" s="3766"/>
      <c r="CM9" s="3470"/>
      <c r="CN9" s="3470"/>
      <c r="CO9" s="3470"/>
      <c r="CP9" s="3470"/>
      <c r="CQ9" s="3470"/>
      <c r="CR9" s="3475"/>
      <c r="CS9" s="3766"/>
      <c r="CT9" s="3470"/>
      <c r="CU9" s="3470"/>
      <c r="CV9" s="3470"/>
      <c r="CW9" s="3470"/>
      <c r="CX9" s="3470"/>
      <c r="CY9" s="3470"/>
      <c r="CZ9" s="3475"/>
      <c r="DA9" s="3766"/>
      <c r="DB9" s="3470"/>
      <c r="DC9" s="3470"/>
      <c r="DD9" s="3470"/>
      <c r="DE9" s="3470"/>
      <c r="DF9" s="3475"/>
      <c r="DG9" s="3777"/>
      <c r="DH9" s="3777"/>
      <c r="DI9" s="3777"/>
      <c r="DJ9" s="3766"/>
      <c r="DK9" s="3475"/>
      <c r="DL9" s="3766"/>
      <c r="DM9" s="3470"/>
      <c r="DN9" s="3470"/>
      <c r="DO9" s="3470"/>
      <c r="DP9" s="3475"/>
    </row>
    <row r="10" spans="1:120" s="1810" customFormat="1" ht="15" customHeight="1">
      <c r="A10" s="14633"/>
      <c r="B10" s="14635"/>
      <c r="C10" s="14582"/>
      <c r="D10" s="14585"/>
      <c r="E10" s="14588"/>
      <c r="F10" s="14590"/>
      <c r="G10" s="14590"/>
      <c r="H10" s="14590"/>
      <c r="I10" s="14590"/>
      <c r="J10" s="14666" t="s">
        <v>7533</v>
      </c>
      <c r="K10" s="14666" t="s">
        <v>4675</v>
      </c>
      <c r="L10" s="14666" t="s">
        <v>4676</v>
      </c>
      <c r="M10" s="14666" t="s">
        <v>4677</v>
      </c>
      <c r="N10" s="14666" t="s">
        <v>4678</v>
      </c>
      <c r="O10" s="14666" t="s">
        <v>4679</v>
      </c>
      <c r="P10" s="14666" t="s">
        <v>4680</v>
      </c>
      <c r="Q10" s="6860" t="s">
        <v>10070</v>
      </c>
      <c r="R10" s="3015" t="s">
        <v>512</v>
      </c>
      <c r="S10" s="3015"/>
      <c r="T10" s="14674" t="s">
        <v>4681</v>
      </c>
      <c r="U10" s="14667">
        <v>1</v>
      </c>
      <c r="V10" s="14667">
        <v>1</v>
      </c>
      <c r="W10" s="14667">
        <v>1</v>
      </c>
      <c r="X10" s="14667">
        <v>1</v>
      </c>
      <c r="Y10" s="14667">
        <v>1</v>
      </c>
      <c r="Z10" s="14667">
        <v>1</v>
      </c>
      <c r="AA10" s="14669">
        <v>75000000</v>
      </c>
      <c r="AB10" s="6861" t="s">
        <v>2951</v>
      </c>
      <c r="AC10" s="6862" t="s">
        <v>2951</v>
      </c>
      <c r="AD10" s="14613"/>
      <c r="AE10" s="6863"/>
      <c r="AF10" s="6863"/>
      <c r="AG10" s="6863"/>
      <c r="AH10" s="6863"/>
      <c r="AI10" s="6863"/>
      <c r="AJ10" s="6863"/>
      <c r="AK10" s="6863"/>
      <c r="AL10" s="6863"/>
      <c r="AM10" s="6864"/>
      <c r="AN10" s="6864"/>
      <c r="AO10" s="6864"/>
      <c r="AP10" s="6864"/>
      <c r="AQ10" s="6864"/>
      <c r="AR10" s="6864"/>
      <c r="AS10" s="6864"/>
      <c r="AT10" s="6864"/>
      <c r="AU10" s="6864"/>
      <c r="AV10" s="6864"/>
      <c r="AW10" s="6864"/>
      <c r="AX10" s="6864"/>
      <c r="AY10" s="6864"/>
      <c r="AZ10" s="6864"/>
      <c r="BA10" s="6864"/>
      <c r="BB10" s="6864"/>
      <c r="BC10" s="6864"/>
      <c r="BD10" s="6864"/>
      <c r="BE10" s="6864"/>
      <c r="BF10" s="6864"/>
      <c r="BG10" s="6864"/>
      <c r="BH10" s="6864"/>
      <c r="BI10" s="6864"/>
      <c r="BJ10" s="6864"/>
      <c r="BK10" s="6864"/>
      <c r="BL10" s="6864"/>
      <c r="BM10" s="6864"/>
      <c r="BN10" s="6864"/>
      <c r="BO10" s="6864"/>
      <c r="BP10" s="6864"/>
      <c r="BQ10" s="6864"/>
      <c r="BR10" s="6864"/>
      <c r="BS10" s="6864"/>
      <c r="BT10" s="6864"/>
      <c r="BU10" s="6865"/>
      <c r="BW10" s="6858"/>
      <c r="BX10" s="6859"/>
      <c r="BY10" s="14760"/>
      <c r="BZ10" s="3470"/>
      <c r="CA10" s="3470"/>
      <c r="CB10" s="3475"/>
      <c r="CC10" s="3777"/>
      <c r="CD10" s="3766"/>
      <c r="CE10" s="3470"/>
      <c r="CF10" s="3475"/>
      <c r="CG10" s="3777"/>
      <c r="CH10" s="3766"/>
      <c r="CI10" s="3475"/>
      <c r="CJ10" s="3766"/>
      <c r="CK10" s="3475"/>
      <c r="CL10" s="3766"/>
      <c r="CM10" s="3470"/>
      <c r="CN10" s="3470"/>
      <c r="CO10" s="3470"/>
      <c r="CP10" s="3470"/>
      <c r="CQ10" s="3470"/>
      <c r="CR10" s="3475"/>
      <c r="CS10" s="3766"/>
      <c r="CT10" s="3470"/>
      <c r="CU10" s="3470"/>
      <c r="CV10" s="3470"/>
      <c r="CW10" s="3470"/>
      <c r="CX10" s="3470"/>
      <c r="CY10" s="3470"/>
      <c r="CZ10" s="3475"/>
      <c r="DA10" s="3766"/>
      <c r="DB10" s="3470"/>
      <c r="DC10" s="3470"/>
      <c r="DD10" s="3470"/>
      <c r="DE10" s="3470"/>
      <c r="DF10" s="3475"/>
      <c r="DG10" s="3777"/>
      <c r="DH10" s="3777"/>
      <c r="DI10" s="3777"/>
      <c r="DJ10" s="3766"/>
      <c r="DK10" s="3475"/>
      <c r="DL10" s="3766"/>
      <c r="DM10" s="3470"/>
      <c r="DN10" s="3470"/>
      <c r="DO10" s="3470"/>
      <c r="DP10" s="3475"/>
    </row>
    <row r="11" spans="1:120" s="1810" customFormat="1" ht="15" customHeight="1">
      <c r="A11" s="14633"/>
      <c r="B11" s="14635"/>
      <c r="C11" s="14582"/>
      <c r="D11" s="14585"/>
      <c r="E11" s="14588"/>
      <c r="F11" s="14590"/>
      <c r="G11" s="14590"/>
      <c r="H11" s="14665"/>
      <c r="I11" s="14590"/>
      <c r="J11" s="14665"/>
      <c r="K11" s="14665"/>
      <c r="L11" s="14665"/>
      <c r="M11" s="14665"/>
      <c r="N11" s="14665"/>
      <c r="O11" s="14665"/>
      <c r="P11" s="14665"/>
      <c r="Q11" s="403" t="s">
        <v>10066</v>
      </c>
      <c r="R11" s="5048"/>
      <c r="S11" s="3015" t="s">
        <v>298</v>
      </c>
      <c r="T11" s="14675"/>
      <c r="U11" s="14668"/>
      <c r="V11" s="14668"/>
      <c r="W11" s="14668"/>
      <c r="X11" s="14668"/>
      <c r="Y11" s="14668"/>
      <c r="Z11" s="14668"/>
      <c r="AA11" s="14670"/>
      <c r="AB11" s="6852"/>
      <c r="AC11" s="6853"/>
      <c r="AD11" s="14613"/>
      <c r="AE11" s="6854"/>
      <c r="AF11" s="6854"/>
      <c r="AG11" s="6854"/>
      <c r="AH11" s="6854"/>
      <c r="AI11" s="6854"/>
      <c r="AJ11" s="6854"/>
      <c r="AK11" s="6854"/>
      <c r="AL11" s="6854"/>
      <c r="AM11" s="6866"/>
      <c r="AN11" s="6866"/>
      <c r="AO11" s="6866"/>
      <c r="AP11" s="6866"/>
      <c r="AQ11" s="6866"/>
      <c r="AR11" s="6866"/>
      <c r="AS11" s="6866"/>
      <c r="AT11" s="6866"/>
      <c r="AU11" s="6866"/>
      <c r="AV11" s="6866"/>
      <c r="AW11" s="6866"/>
      <c r="AX11" s="6866"/>
      <c r="AY11" s="6866"/>
      <c r="AZ11" s="6866"/>
      <c r="BA11" s="6866"/>
      <c r="BB11" s="6866"/>
      <c r="BC11" s="6866"/>
      <c r="BD11" s="6866"/>
      <c r="BE11" s="6866"/>
      <c r="BF11" s="6866"/>
      <c r="BG11" s="6866"/>
      <c r="BH11" s="6866"/>
      <c r="BI11" s="6866"/>
      <c r="BJ11" s="6866"/>
      <c r="BK11" s="6866"/>
      <c r="BL11" s="6866"/>
      <c r="BM11" s="6866"/>
      <c r="BN11" s="6866"/>
      <c r="BO11" s="6866"/>
      <c r="BP11" s="6866"/>
      <c r="BQ11" s="6866"/>
      <c r="BR11" s="6866"/>
      <c r="BS11" s="6866"/>
      <c r="BT11" s="6866"/>
      <c r="BU11" s="6865"/>
      <c r="BW11" s="6858"/>
      <c r="BX11" s="6859"/>
      <c r="BY11" s="14760"/>
      <c r="BZ11" s="3470"/>
      <c r="CA11" s="3470"/>
      <c r="CB11" s="3475"/>
      <c r="CC11" s="3777"/>
      <c r="CD11" s="3766"/>
      <c r="CE11" s="3470"/>
      <c r="CF11" s="3475"/>
      <c r="CG11" s="3777"/>
      <c r="CH11" s="3766"/>
      <c r="CI11" s="3475"/>
      <c r="CJ11" s="3766"/>
      <c r="CK11" s="3475"/>
      <c r="CL11" s="3766"/>
      <c r="CM11" s="3470"/>
      <c r="CN11" s="3470"/>
      <c r="CO11" s="3470"/>
      <c r="CP11" s="3470"/>
      <c r="CQ11" s="3470"/>
      <c r="CR11" s="3475"/>
      <c r="CS11" s="3766"/>
      <c r="CT11" s="3470"/>
      <c r="CU11" s="3470"/>
      <c r="CV11" s="3470"/>
      <c r="CW11" s="3470"/>
      <c r="CX11" s="3470"/>
      <c r="CY11" s="3470"/>
      <c r="CZ11" s="3475"/>
      <c r="DA11" s="3766"/>
      <c r="DB11" s="3470"/>
      <c r="DC11" s="3470"/>
      <c r="DD11" s="3470"/>
      <c r="DE11" s="3470"/>
      <c r="DF11" s="3475"/>
      <c r="DG11" s="3777"/>
      <c r="DH11" s="3777"/>
      <c r="DI11" s="3777"/>
      <c r="DJ11" s="3766"/>
      <c r="DK11" s="3475"/>
      <c r="DL11" s="3766"/>
      <c r="DM11" s="3470"/>
      <c r="DN11" s="3470"/>
      <c r="DO11" s="3470"/>
      <c r="DP11" s="3475"/>
    </row>
    <row r="12" spans="1:120" s="1810" customFormat="1" ht="15" customHeight="1">
      <c r="A12" s="14633"/>
      <c r="B12" s="14635"/>
      <c r="C12" s="14582"/>
      <c r="D12" s="14585"/>
      <c r="E12" s="14588"/>
      <c r="F12" s="14590"/>
      <c r="G12" s="14590"/>
      <c r="H12" s="14666" t="s">
        <v>4682</v>
      </c>
      <c r="I12" s="14590"/>
      <c r="J12" s="14666" t="s">
        <v>7534</v>
      </c>
      <c r="K12" s="14666" t="s">
        <v>4683</v>
      </c>
      <c r="L12" s="14666" t="s">
        <v>4676</v>
      </c>
      <c r="M12" s="14666" t="s">
        <v>4684</v>
      </c>
      <c r="N12" s="14666" t="s">
        <v>4685</v>
      </c>
      <c r="O12" s="14666" t="s">
        <v>4686</v>
      </c>
      <c r="P12" s="14666" t="s">
        <v>4687</v>
      </c>
      <c r="Q12" s="6860" t="s">
        <v>10066</v>
      </c>
      <c r="R12" s="3015" t="s">
        <v>10060</v>
      </c>
      <c r="S12" s="3015"/>
      <c r="T12" s="14666" t="s">
        <v>4688</v>
      </c>
      <c r="U12" s="14673">
        <v>0.4</v>
      </c>
      <c r="V12" s="14673">
        <v>0.15</v>
      </c>
      <c r="W12" s="14673">
        <v>0.15</v>
      </c>
      <c r="X12" s="14673">
        <v>0.15</v>
      </c>
      <c r="Y12" s="14673">
        <v>0.15</v>
      </c>
      <c r="Z12" s="14673">
        <f>SUM(U12:Y12)</f>
        <v>1</v>
      </c>
      <c r="AA12" s="14669">
        <v>100000000</v>
      </c>
      <c r="AB12" s="6861" t="s">
        <v>2951</v>
      </c>
      <c r="AC12" s="6862" t="s">
        <v>2951</v>
      </c>
      <c r="AD12" s="14613"/>
      <c r="AE12" s="6863" t="s">
        <v>9787</v>
      </c>
      <c r="AF12" s="6863" t="s">
        <v>9783</v>
      </c>
      <c r="AG12" s="6863" t="s">
        <v>9784</v>
      </c>
      <c r="AH12" s="6863"/>
      <c r="AI12" s="6863"/>
      <c r="AJ12" s="6863"/>
      <c r="AK12" s="6863"/>
      <c r="AL12" s="6863"/>
      <c r="AM12" s="6864"/>
      <c r="AN12" s="6864"/>
      <c r="AO12" s="6864"/>
      <c r="AP12" s="6864"/>
      <c r="AQ12" s="6864"/>
      <c r="AR12" s="6864"/>
      <c r="AS12" s="6864"/>
      <c r="AT12" s="6864"/>
      <c r="AU12" s="6864"/>
      <c r="AV12" s="6864"/>
      <c r="AW12" s="6864"/>
      <c r="AX12" s="6864"/>
      <c r="AY12" s="6864"/>
      <c r="AZ12" s="6864"/>
      <c r="BA12" s="6864"/>
      <c r="BB12" s="6864"/>
      <c r="BC12" s="6864"/>
      <c r="BD12" s="6864"/>
      <c r="BE12" s="6864"/>
      <c r="BF12" s="6864"/>
      <c r="BG12" s="6864"/>
      <c r="BH12" s="6864"/>
      <c r="BI12" s="6864"/>
      <c r="BJ12" s="6864"/>
      <c r="BK12" s="6864"/>
      <c r="BL12" s="6864"/>
      <c r="BM12" s="6864"/>
      <c r="BN12" s="6864"/>
      <c r="BO12" s="6864"/>
      <c r="BP12" s="6864"/>
      <c r="BQ12" s="6864"/>
      <c r="BR12" s="6864"/>
      <c r="BS12" s="6864"/>
      <c r="BT12" s="6864"/>
      <c r="BU12" s="6865"/>
      <c r="BW12" s="6858"/>
      <c r="BX12" s="6859"/>
      <c r="BY12" s="14760"/>
      <c r="BZ12" s="3470"/>
      <c r="CA12" s="3470"/>
      <c r="CB12" s="3475"/>
      <c r="CC12" s="3777"/>
      <c r="CD12" s="3766"/>
      <c r="CE12" s="3470"/>
      <c r="CF12" s="3475"/>
      <c r="CG12" s="3777"/>
      <c r="CH12" s="3766"/>
      <c r="CI12" s="3475"/>
      <c r="CJ12" s="3766"/>
      <c r="CK12" s="3475"/>
      <c r="CL12" s="3766"/>
      <c r="CM12" s="3470"/>
      <c r="CN12" s="3470"/>
      <c r="CO12" s="3470"/>
      <c r="CP12" s="3470"/>
      <c r="CQ12" s="3470"/>
      <c r="CR12" s="3475"/>
      <c r="CS12" s="3766"/>
      <c r="CT12" s="3470"/>
      <c r="CU12" s="3470"/>
      <c r="CV12" s="3470"/>
      <c r="CW12" s="3470"/>
      <c r="CX12" s="3470"/>
      <c r="CY12" s="3470"/>
      <c r="CZ12" s="3475"/>
      <c r="DA12" s="3766"/>
      <c r="DB12" s="3470"/>
      <c r="DC12" s="3470"/>
      <c r="DD12" s="3470"/>
      <c r="DE12" s="3470"/>
      <c r="DF12" s="3475"/>
      <c r="DG12" s="3777"/>
      <c r="DH12" s="3777"/>
      <c r="DI12" s="3777"/>
      <c r="DJ12" s="3766"/>
      <c r="DK12" s="3475"/>
      <c r="DL12" s="3766"/>
      <c r="DM12" s="3470"/>
      <c r="DN12" s="3470"/>
      <c r="DO12" s="3470"/>
      <c r="DP12" s="3475"/>
    </row>
    <row r="13" spans="1:120" s="1810" customFormat="1" ht="15" customHeight="1">
      <c r="A13" s="14633"/>
      <c r="B13" s="14635"/>
      <c r="C13" s="14582"/>
      <c r="D13" s="14585"/>
      <c r="E13" s="14588"/>
      <c r="F13" s="14590"/>
      <c r="G13" s="14590"/>
      <c r="H13" s="14590"/>
      <c r="I13" s="14590"/>
      <c r="J13" s="14590"/>
      <c r="K13" s="14590"/>
      <c r="L13" s="14590"/>
      <c r="M13" s="14590"/>
      <c r="N13" s="14590"/>
      <c r="O13" s="14590"/>
      <c r="P13" s="14590"/>
      <c r="Q13" s="6870" t="s">
        <v>10057</v>
      </c>
      <c r="R13" s="6867"/>
      <c r="S13" s="3015" t="s">
        <v>10058</v>
      </c>
      <c r="T13" s="14590"/>
      <c r="U13" s="14613"/>
      <c r="V13" s="14613"/>
      <c r="W13" s="14613"/>
      <c r="X13" s="14613"/>
      <c r="Y13" s="14613"/>
      <c r="Z13" s="14613"/>
      <c r="AA13" s="14672"/>
      <c r="AB13" s="6871"/>
      <c r="AC13" s="6872"/>
      <c r="AD13" s="14613"/>
      <c r="AE13" s="6873"/>
      <c r="AF13" s="6873"/>
      <c r="AG13" s="6873"/>
      <c r="AH13" s="6873"/>
      <c r="AI13" s="6873"/>
      <c r="AJ13" s="6873"/>
      <c r="AK13" s="6873"/>
      <c r="AL13" s="6873"/>
      <c r="AM13" s="6874"/>
      <c r="AN13" s="6874"/>
      <c r="AO13" s="6874"/>
      <c r="AP13" s="6874"/>
      <c r="AQ13" s="6874"/>
      <c r="AR13" s="6874"/>
      <c r="AS13" s="6874"/>
      <c r="AT13" s="6874"/>
      <c r="AU13" s="6874"/>
      <c r="AV13" s="6874"/>
      <c r="AW13" s="6874"/>
      <c r="AX13" s="6874"/>
      <c r="AY13" s="6874"/>
      <c r="AZ13" s="6874"/>
      <c r="BA13" s="6874"/>
      <c r="BB13" s="6874"/>
      <c r="BC13" s="6874"/>
      <c r="BD13" s="6874"/>
      <c r="BE13" s="6874"/>
      <c r="BF13" s="6874"/>
      <c r="BG13" s="6874"/>
      <c r="BH13" s="6874"/>
      <c r="BI13" s="6874"/>
      <c r="BJ13" s="6874"/>
      <c r="BK13" s="6874"/>
      <c r="BL13" s="6874"/>
      <c r="BM13" s="6874"/>
      <c r="BN13" s="6874"/>
      <c r="BO13" s="6874"/>
      <c r="BP13" s="6874"/>
      <c r="BQ13" s="6874"/>
      <c r="BR13" s="6874"/>
      <c r="BS13" s="6874"/>
      <c r="BT13" s="6874"/>
      <c r="BU13" s="6875"/>
      <c r="BW13" s="6858"/>
      <c r="BX13" s="6859"/>
      <c r="BY13" s="14760"/>
      <c r="BZ13" s="3470"/>
      <c r="CA13" s="3470"/>
      <c r="CB13" s="3475"/>
      <c r="CC13" s="3777"/>
      <c r="CD13" s="3766"/>
      <c r="CE13" s="3470"/>
      <c r="CF13" s="3475"/>
      <c r="CG13" s="3777"/>
      <c r="CH13" s="3766"/>
      <c r="CI13" s="3475"/>
      <c r="CJ13" s="3766"/>
      <c r="CK13" s="3475"/>
      <c r="CL13" s="3766"/>
      <c r="CM13" s="3470"/>
      <c r="CN13" s="3470"/>
      <c r="CO13" s="3470"/>
      <c r="CP13" s="3470"/>
      <c r="CQ13" s="3470"/>
      <c r="CR13" s="3475"/>
      <c r="CS13" s="3766"/>
      <c r="CT13" s="3470"/>
      <c r="CU13" s="3470"/>
      <c r="CV13" s="3470"/>
      <c r="CW13" s="3470"/>
      <c r="CX13" s="3470"/>
      <c r="CY13" s="3470"/>
      <c r="CZ13" s="3475"/>
      <c r="DA13" s="3766"/>
      <c r="DB13" s="3470"/>
      <c r="DC13" s="3470"/>
      <c r="DD13" s="3470"/>
      <c r="DE13" s="3470"/>
      <c r="DF13" s="3475"/>
      <c r="DG13" s="3777"/>
      <c r="DH13" s="3777"/>
      <c r="DI13" s="3777"/>
      <c r="DJ13" s="3766"/>
      <c r="DK13" s="3475"/>
      <c r="DL13" s="3766"/>
      <c r="DM13" s="3470"/>
      <c r="DN13" s="3470"/>
      <c r="DO13" s="3470"/>
      <c r="DP13" s="3475"/>
    </row>
    <row r="14" spans="1:120" s="1810" customFormat="1" ht="15" customHeight="1">
      <c r="A14" s="14633"/>
      <c r="B14" s="14635"/>
      <c r="C14" s="14582"/>
      <c r="D14" s="14585"/>
      <c r="E14" s="14588"/>
      <c r="F14" s="14590"/>
      <c r="G14" s="14590"/>
      <c r="H14" s="14590"/>
      <c r="I14" s="14590"/>
      <c r="J14" s="14590"/>
      <c r="K14" s="14590"/>
      <c r="L14" s="14590"/>
      <c r="M14" s="14590"/>
      <c r="N14" s="14590"/>
      <c r="O14" s="14590"/>
      <c r="P14" s="14590"/>
      <c r="Q14" s="6870" t="s">
        <v>218</v>
      </c>
      <c r="R14" s="6867"/>
      <c r="S14" s="6867" t="s">
        <v>768</v>
      </c>
      <c r="T14" s="14590"/>
      <c r="U14" s="14613"/>
      <c r="V14" s="14613"/>
      <c r="W14" s="14613"/>
      <c r="X14" s="14613"/>
      <c r="Y14" s="14613"/>
      <c r="Z14" s="14613"/>
      <c r="AA14" s="14672"/>
      <c r="AB14" s="6871"/>
      <c r="AC14" s="6872"/>
      <c r="AD14" s="14613"/>
      <c r="AE14" s="6873"/>
      <c r="AF14" s="6873"/>
      <c r="AG14" s="6873"/>
      <c r="AH14" s="6873"/>
      <c r="AI14" s="6873"/>
      <c r="AJ14" s="6873"/>
      <c r="AK14" s="6873"/>
      <c r="AL14" s="6873"/>
      <c r="AM14" s="6874"/>
      <c r="AN14" s="6874"/>
      <c r="AO14" s="6874"/>
      <c r="AP14" s="6874"/>
      <c r="AQ14" s="6874"/>
      <c r="AR14" s="6874"/>
      <c r="AS14" s="6874"/>
      <c r="AT14" s="6874"/>
      <c r="AU14" s="6874"/>
      <c r="AV14" s="6874"/>
      <c r="AW14" s="6874"/>
      <c r="AX14" s="6874"/>
      <c r="AY14" s="6874"/>
      <c r="AZ14" s="6874"/>
      <c r="BA14" s="6874"/>
      <c r="BB14" s="6874"/>
      <c r="BC14" s="6874"/>
      <c r="BD14" s="6874"/>
      <c r="BE14" s="6874"/>
      <c r="BF14" s="6874"/>
      <c r="BG14" s="6874"/>
      <c r="BH14" s="6874"/>
      <c r="BI14" s="6874"/>
      <c r="BJ14" s="6874"/>
      <c r="BK14" s="6874"/>
      <c r="BL14" s="6874"/>
      <c r="BM14" s="6874"/>
      <c r="BN14" s="6874"/>
      <c r="BO14" s="6874"/>
      <c r="BP14" s="6874"/>
      <c r="BQ14" s="6874"/>
      <c r="BR14" s="6874"/>
      <c r="BS14" s="6874"/>
      <c r="BT14" s="6874"/>
      <c r="BU14" s="6875"/>
      <c r="BW14" s="6858"/>
      <c r="BX14" s="6859"/>
      <c r="BY14" s="14760"/>
      <c r="BZ14" s="3470"/>
      <c r="CA14" s="3470"/>
      <c r="CB14" s="3475"/>
      <c r="CC14" s="3777"/>
      <c r="CD14" s="3766"/>
      <c r="CE14" s="3470"/>
      <c r="CF14" s="3475"/>
      <c r="CG14" s="3777"/>
      <c r="CH14" s="3766"/>
      <c r="CI14" s="3475"/>
      <c r="CJ14" s="3766"/>
      <c r="CK14" s="3475"/>
      <c r="CL14" s="3766"/>
      <c r="CM14" s="3470"/>
      <c r="CN14" s="3470"/>
      <c r="CO14" s="3470"/>
      <c r="CP14" s="3470"/>
      <c r="CQ14" s="3470"/>
      <c r="CR14" s="3475"/>
      <c r="CS14" s="3766"/>
      <c r="CT14" s="3470"/>
      <c r="CU14" s="3470"/>
      <c r="CV14" s="3470"/>
      <c r="CW14" s="3470"/>
      <c r="CX14" s="3470"/>
      <c r="CY14" s="3470"/>
      <c r="CZ14" s="3475"/>
      <c r="DA14" s="3766"/>
      <c r="DB14" s="3470"/>
      <c r="DC14" s="3470"/>
      <c r="DD14" s="3470"/>
      <c r="DE14" s="3470"/>
      <c r="DF14" s="3475"/>
      <c r="DG14" s="3777"/>
      <c r="DH14" s="3777"/>
      <c r="DI14" s="3777"/>
      <c r="DJ14" s="3766"/>
      <c r="DK14" s="3475"/>
      <c r="DL14" s="3766"/>
      <c r="DM14" s="3470"/>
      <c r="DN14" s="3470"/>
      <c r="DO14" s="3470"/>
      <c r="DP14" s="3475"/>
    </row>
    <row r="15" spans="1:120" s="1810" customFormat="1" ht="15" customHeight="1">
      <c r="A15" s="14633"/>
      <c r="B15" s="14635"/>
      <c r="C15" s="14582"/>
      <c r="D15" s="14585"/>
      <c r="E15" s="14588"/>
      <c r="F15" s="14590"/>
      <c r="G15" s="14590"/>
      <c r="H15" s="14665"/>
      <c r="I15" s="14590"/>
      <c r="J15" s="14665"/>
      <c r="K15" s="14665"/>
      <c r="L15" s="14665"/>
      <c r="M15" s="14665"/>
      <c r="N15" s="14665"/>
      <c r="O15" s="14665"/>
      <c r="P15" s="14665"/>
      <c r="Q15" s="403" t="s">
        <v>4337</v>
      </c>
      <c r="R15" s="6867"/>
      <c r="S15" s="6867" t="s">
        <v>10164</v>
      </c>
      <c r="T15" s="14665"/>
      <c r="U15" s="14576"/>
      <c r="V15" s="14576"/>
      <c r="W15" s="14576"/>
      <c r="X15" s="14576"/>
      <c r="Y15" s="14576"/>
      <c r="Z15" s="14576"/>
      <c r="AA15" s="14670"/>
      <c r="AB15" s="6852"/>
      <c r="AC15" s="6853"/>
      <c r="AD15" s="14613"/>
      <c r="AE15" s="6854"/>
      <c r="AF15" s="6854"/>
      <c r="AG15" s="6854"/>
      <c r="AH15" s="6854"/>
      <c r="AI15" s="6854"/>
      <c r="AJ15" s="6854"/>
      <c r="AK15" s="6854"/>
      <c r="AL15" s="6854"/>
      <c r="AM15" s="6874"/>
      <c r="AN15" s="6874"/>
      <c r="AO15" s="6874"/>
      <c r="AP15" s="6874"/>
      <c r="AQ15" s="6874"/>
      <c r="AR15" s="6874"/>
      <c r="AS15" s="6874"/>
      <c r="AT15" s="6874"/>
      <c r="AU15" s="6874"/>
      <c r="AV15" s="6874"/>
      <c r="AW15" s="6874"/>
      <c r="AX15" s="6874"/>
      <c r="AY15" s="6874"/>
      <c r="AZ15" s="6874"/>
      <c r="BA15" s="6874"/>
      <c r="BB15" s="6874"/>
      <c r="BC15" s="6874"/>
      <c r="BD15" s="6874"/>
      <c r="BE15" s="6874"/>
      <c r="BF15" s="6874"/>
      <c r="BG15" s="6874"/>
      <c r="BH15" s="6874"/>
      <c r="BI15" s="6874"/>
      <c r="BJ15" s="6874"/>
      <c r="BK15" s="6874"/>
      <c r="BL15" s="6874"/>
      <c r="BM15" s="6874"/>
      <c r="BN15" s="6874"/>
      <c r="BO15" s="6874"/>
      <c r="BP15" s="6874"/>
      <c r="BQ15" s="6874"/>
      <c r="BR15" s="6874"/>
      <c r="BS15" s="6874"/>
      <c r="BT15" s="6874"/>
      <c r="BU15" s="6875"/>
      <c r="BW15" s="6858"/>
      <c r="BX15" s="6859"/>
      <c r="BY15" s="14760"/>
      <c r="BZ15" s="3470"/>
      <c r="CA15" s="3470"/>
      <c r="CB15" s="3475"/>
      <c r="CC15" s="3777"/>
      <c r="CD15" s="3766"/>
      <c r="CE15" s="3470"/>
      <c r="CF15" s="3475"/>
      <c r="CG15" s="3777"/>
      <c r="CH15" s="3766"/>
      <c r="CI15" s="3475"/>
      <c r="CJ15" s="3766"/>
      <c r="CK15" s="3475"/>
      <c r="CL15" s="3766"/>
      <c r="CM15" s="3470"/>
      <c r="CN15" s="3470"/>
      <c r="CO15" s="3470"/>
      <c r="CP15" s="3470"/>
      <c r="CQ15" s="3470"/>
      <c r="CR15" s="3475"/>
      <c r="CS15" s="3766"/>
      <c r="CT15" s="3470"/>
      <c r="CU15" s="3470"/>
      <c r="CV15" s="3470"/>
      <c r="CW15" s="3470"/>
      <c r="CX15" s="3470"/>
      <c r="CY15" s="3470"/>
      <c r="CZ15" s="3475"/>
      <c r="DA15" s="3766"/>
      <c r="DB15" s="3470"/>
      <c r="DC15" s="3470"/>
      <c r="DD15" s="3470"/>
      <c r="DE15" s="3470"/>
      <c r="DF15" s="3475"/>
      <c r="DG15" s="3777"/>
      <c r="DH15" s="3777"/>
      <c r="DI15" s="3777"/>
      <c r="DJ15" s="3766"/>
      <c r="DK15" s="3475"/>
      <c r="DL15" s="3766"/>
      <c r="DM15" s="3470"/>
      <c r="DN15" s="3470"/>
      <c r="DO15" s="3470"/>
      <c r="DP15" s="3475"/>
    </row>
    <row r="16" spans="1:120" s="1810" customFormat="1" ht="15" customHeight="1">
      <c r="A16" s="14633"/>
      <c r="B16" s="14635"/>
      <c r="C16" s="14582"/>
      <c r="D16" s="14585"/>
      <c r="E16" s="14588"/>
      <c r="F16" s="14666" t="s">
        <v>4689</v>
      </c>
      <c r="G16" s="14590"/>
      <c r="H16" s="14666" t="s">
        <v>4690</v>
      </c>
      <c r="I16" s="14590"/>
      <c r="J16" s="14666" t="s">
        <v>7535</v>
      </c>
      <c r="K16" s="14666" t="s">
        <v>4691</v>
      </c>
      <c r="L16" s="14666" t="s">
        <v>4654</v>
      </c>
      <c r="M16" s="14666" t="s">
        <v>4692</v>
      </c>
      <c r="N16" s="14666" t="s">
        <v>4693</v>
      </c>
      <c r="O16" s="14666" t="s">
        <v>4694</v>
      </c>
      <c r="P16" s="14666" t="s">
        <v>4695</v>
      </c>
      <c r="Q16" s="6860" t="s">
        <v>10066</v>
      </c>
      <c r="R16" s="6867" t="s">
        <v>298</v>
      </c>
      <c r="S16" s="6867"/>
      <c r="T16" s="14674" t="s">
        <v>4688</v>
      </c>
      <c r="U16" s="14667">
        <v>0.4</v>
      </c>
      <c r="V16" s="14667">
        <v>0.15</v>
      </c>
      <c r="W16" s="14667">
        <v>0.15</v>
      </c>
      <c r="X16" s="14667">
        <v>0.15</v>
      </c>
      <c r="Y16" s="14667">
        <v>0.15</v>
      </c>
      <c r="Z16" s="14667">
        <v>1</v>
      </c>
      <c r="AA16" s="14669">
        <v>400000000</v>
      </c>
      <c r="AB16" s="6861" t="s">
        <v>9208</v>
      </c>
      <c r="AC16" s="6862" t="s">
        <v>2951</v>
      </c>
      <c r="AD16" s="14613"/>
      <c r="AE16" s="6863" t="s">
        <v>9209</v>
      </c>
      <c r="AF16" s="6863" t="s">
        <v>9205</v>
      </c>
      <c r="AG16" s="6863"/>
      <c r="AH16" s="6863">
        <v>300000000</v>
      </c>
      <c r="AI16" s="6863">
        <v>300000000</v>
      </c>
      <c r="AJ16" s="6863"/>
      <c r="AK16" s="6863"/>
      <c r="AL16" s="6876">
        <v>912</v>
      </c>
      <c r="AM16" s="6874"/>
      <c r="AN16" s="6874"/>
      <c r="AO16" s="6874"/>
      <c r="AP16" s="6874"/>
      <c r="AQ16" s="6874"/>
      <c r="AR16" s="6874"/>
      <c r="AS16" s="6874"/>
      <c r="AT16" s="6874"/>
      <c r="AU16" s="6874"/>
      <c r="AV16" s="6874"/>
      <c r="AW16" s="6874"/>
      <c r="AX16" s="6874"/>
      <c r="AY16" s="6874"/>
      <c r="AZ16" s="6874"/>
      <c r="BA16" s="6874"/>
      <c r="BB16" s="6874"/>
      <c r="BC16" s="6874"/>
      <c r="BD16" s="6874"/>
      <c r="BE16" s="6874"/>
      <c r="BF16" s="6874"/>
      <c r="BG16" s="6874"/>
      <c r="BH16" s="6874"/>
      <c r="BI16" s="6874"/>
      <c r="BJ16" s="6874"/>
      <c r="BK16" s="6874"/>
      <c r="BL16" s="6874"/>
      <c r="BM16" s="6874"/>
      <c r="BN16" s="6874"/>
      <c r="BO16" s="6874"/>
      <c r="BP16" s="6874"/>
      <c r="BQ16" s="6874"/>
      <c r="BR16" s="6874"/>
      <c r="BS16" s="6874"/>
      <c r="BT16" s="6874"/>
      <c r="BU16" s="6875"/>
      <c r="BW16" s="6858"/>
      <c r="BX16" s="6859"/>
      <c r="BY16" s="14760"/>
      <c r="BZ16" s="3470"/>
      <c r="CA16" s="3470"/>
      <c r="CB16" s="3475"/>
      <c r="CC16" s="3777"/>
      <c r="CD16" s="3766"/>
      <c r="CE16" s="3470"/>
      <c r="CF16" s="3475"/>
      <c r="CG16" s="3777"/>
      <c r="CH16" s="3766"/>
      <c r="CI16" s="3475"/>
      <c r="CJ16" s="3766"/>
      <c r="CK16" s="3475"/>
      <c r="CL16" s="3766"/>
      <c r="CM16" s="3470"/>
      <c r="CN16" s="3470"/>
      <c r="CO16" s="3470"/>
      <c r="CP16" s="3470"/>
      <c r="CQ16" s="3470"/>
      <c r="CR16" s="3475"/>
      <c r="CS16" s="3766"/>
      <c r="CT16" s="3470"/>
      <c r="CU16" s="3470"/>
      <c r="CV16" s="3470"/>
      <c r="CW16" s="3470"/>
      <c r="CX16" s="3470"/>
      <c r="CY16" s="3470"/>
      <c r="CZ16" s="3475"/>
      <c r="DA16" s="3766"/>
      <c r="DB16" s="3470"/>
      <c r="DC16" s="3470"/>
      <c r="DD16" s="3470"/>
      <c r="DE16" s="3470"/>
      <c r="DF16" s="3475"/>
      <c r="DG16" s="3777"/>
      <c r="DH16" s="3777"/>
      <c r="DI16" s="3777"/>
      <c r="DJ16" s="3766"/>
      <c r="DK16" s="3475"/>
      <c r="DL16" s="3766"/>
      <c r="DM16" s="3470"/>
      <c r="DN16" s="3470"/>
      <c r="DO16" s="3470"/>
      <c r="DP16" s="3475"/>
    </row>
    <row r="17" spans="1:120" s="1810" customFormat="1" ht="15" customHeight="1" thickBot="1">
      <c r="A17" s="14633"/>
      <c r="B17" s="14635"/>
      <c r="C17" s="14582"/>
      <c r="D17" s="14585"/>
      <c r="E17" s="14588"/>
      <c r="F17" s="14590"/>
      <c r="G17" s="14590"/>
      <c r="H17" s="14590"/>
      <c r="I17" s="14590"/>
      <c r="J17" s="14590"/>
      <c r="K17" s="14590"/>
      <c r="L17" s="14590"/>
      <c r="M17" s="14590"/>
      <c r="N17" s="14590"/>
      <c r="O17" s="14590"/>
      <c r="P17" s="14590"/>
      <c r="Q17" s="6870" t="s">
        <v>4321</v>
      </c>
      <c r="R17" s="6867"/>
      <c r="S17" s="6867" t="s">
        <v>4321</v>
      </c>
      <c r="T17" s="14676"/>
      <c r="U17" s="14671"/>
      <c r="V17" s="14671"/>
      <c r="W17" s="14671"/>
      <c r="X17" s="14671"/>
      <c r="Y17" s="14671"/>
      <c r="Z17" s="14671"/>
      <c r="AA17" s="14672"/>
      <c r="AB17" s="6871"/>
      <c r="AC17" s="6872"/>
      <c r="AD17" s="14613"/>
      <c r="AE17" s="6873"/>
      <c r="AF17" s="6873"/>
      <c r="AG17" s="6873"/>
      <c r="AH17" s="6873"/>
      <c r="AI17" s="6873"/>
      <c r="AJ17" s="6873"/>
      <c r="AK17" s="6873"/>
      <c r="AL17" s="6877"/>
      <c r="AM17" s="6874"/>
      <c r="AN17" s="6874"/>
      <c r="AO17" s="6874"/>
      <c r="AP17" s="6874"/>
      <c r="AQ17" s="6874"/>
      <c r="AR17" s="6874"/>
      <c r="AS17" s="6874"/>
      <c r="AT17" s="6874"/>
      <c r="AU17" s="6874"/>
      <c r="AV17" s="6874"/>
      <c r="AW17" s="6874"/>
      <c r="AX17" s="6874"/>
      <c r="AY17" s="6874"/>
      <c r="AZ17" s="6874"/>
      <c r="BA17" s="6874"/>
      <c r="BB17" s="6874"/>
      <c r="BC17" s="6874"/>
      <c r="BD17" s="6874"/>
      <c r="BE17" s="6874"/>
      <c r="BF17" s="6874"/>
      <c r="BG17" s="6874"/>
      <c r="BH17" s="6874"/>
      <c r="BI17" s="6874"/>
      <c r="BJ17" s="6874"/>
      <c r="BK17" s="6874"/>
      <c r="BL17" s="6874"/>
      <c r="BM17" s="6874"/>
      <c r="BN17" s="6874"/>
      <c r="BO17" s="6874"/>
      <c r="BP17" s="6874"/>
      <c r="BQ17" s="6874"/>
      <c r="BR17" s="6874"/>
      <c r="BS17" s="6874"/>
      <c r="BT17" s="6874"/>
      <c r="BU17" s="6875"/>
      <c r="BW17" s="6858"/>
      <c r="BX17" s="6859"/>
      <c r="BY17" s="14760"/>
      <c r="BZ17" s="3470"/>
      <c r="CA17" s="3470"/>
      <c r="CB17" s="3475"/>
      <c r="CC17" s="3777"/>
      <c r="CD17" s="3766"/>
      <c r="CE17" s="3470"/>
      <c r="CF17" s="3475"/>
      <c r="CG17" s="3777"/>
      <c r="CH17" s="3766"/>
      <c r="CI17" s="3475"/>
      <c r="CJ17" s="3766"/>
      <c r="CK17" s="3475"/>
      <c r="CL17" s="3766"/>
      <c r="CM17" s="3470"/>
      <c r="CN17" s="3470"/>
      <c r="CO17" s="3470"/>
      <c r="CP17" s="3470"/>
      <c r="CQ17" s="3470"/>
      <c r="CR17" s="3475"/>
      <c r="CS17" s="3766"/>
      <c r="CT17" s="3470"/>
      <c r="CU17" s="3470"/>
      <c r="CV17" s="3470"/>
      <c r="CW17" s="3470"/>
      <c r="CX17" s="3470"/>
      <c r="CY17" s="3470"/>
      <c r="CZ17" s="3475"/>
      <c r="DA17" s="3766"/>
      <c r="DB17" s="3470"/>
      <c r="DC17" s="3470"/>
      <c r="DD17" s="3470"/>
      <c r="DE17" s="3470"/>
      <c r="DF17" s="3475"/>
      <c r="DG17" s="3777"/>
      <c r="DH17" s="3777"/>
      <c r="DI17" s="3777"/>
      <c r="DJ17" s="3766"/>
      <c r="DK17" s="3475"/>
      <c r="DL17" s="3766"/>
      <c r="DM17" s="3470"/>
      <c r="DN17" s="3470"/>
      <c r="DO17" s="3470"/>
      <c r="DP17" s="3475"/>
    </row>
    <row r="18" spans="1:120" s="1775" customFormat="1" ht="15" customHeight="1">
      <c r="A18" s="14643" t="s">
        <v>4696</v>
      </c>
      <c r="B18" s="14646" t="s">
        <v>4697</v>
      </c>
      <c r="C18" s="14582"/>
      <c r="D18" s="14585"/>
      <c r="E18" s="14649" t="s">
        <v>4698</v>
      </c>
      <c r="F18" s="14594" t="s">
        <v>4699</v>
      </c>
      <c r="G18" s="14594" t="s">
        <v>4700</v>
      </c>
      <c r="H18" s="14594" t="s">
        <v>4701</v>
      </c>
      <c r="I18" s="14636" t="s">
        <v>4702</v>
      </c>
      <c r="J18" s="14689" t="s">
        <v>7536</v>
      </c>
      <c r="K18" s="14680" t="s">
        <v>4703</v>
      </c>
      <c r="L18" s="14687" t="s">
        <v>4654</v>
      </c>
      <c r="M18" s="14680" t="s">
        <v>4704</v>
      </c>
      <c r="N18" s="14680" t="s">
        <v>4705</v>
      </c>
      <c r="O18" s="14680" t="s">
        <v>4706</v>
      </c>
      <c r="P18" s="14680" t="s">
        <v>4707</v>
      </c>
      <c r="Q18" s="6878" t="s">
        <v>10057</v>
      </c>
      <c r="R18" s="6879" t="s">
        <v>10058</v>
      </c>
      <c r="S18" s="6879"/>
      <c r="T18" s="14680" t="s">
        <v>4681</v>
      </c>
      <c r="U18" s="14680">
        <v>1</v>
      </c>
      <c r="V18" s="14682">
        <v>1</v>
      </c>
      <c r="W18" s="14684">
        <v>1</v>
      </c>
      <c r="X18" s="14594">
        <v>1</v>
      </c>
      <c r="Y18" s="14594">
        <v>1</v>
      </c>
      <c r="Z18" s="14594">
        <f t="shared" ref="Z18:Z79" si="0">SUM(U18:Y18)</f>
        <v>5</v>
      </c>
      <c r="AA18" s="14677">
        <v>5000000</v>
      </c>
      <c r="AB18" s="6880" t="s">
        <v>9653</v>
      </c>
      <c r="AC18" s="6881">
        <v>0</v>
      </c>
      <c r="AD18" s="14614">
        <f>AVERAGE(AC18:AC31)</f>
        <v>0.25</v>
      </c>
      <c r="AE18" s="6882"/>
      <c r="AF18" s="6882"/>
      <c r="AG18" s="6882"/>
      <c r="AH18" s="6883"/>
      <c r="AI18" s="6883"/>
      <c r="AJ18" s="6883"/>
      <c r="AK18" s="6883"/>
      <c r="AL18" s="6883"/>
      <c r="AM18" s="6882"/>
      <c r="AN18" s="6882"/>
      <c r="AO18" s="6884"/>
      <c r="AP18" s="6884"/>
      <c r="AQ18" s="6884"/>
      <c r="AR18" s="6884"/>
      <c r="AS18" s="6884"/>
      <c r="AT18" s="6884"/>
      <c r="AU18" s="6884"/>
      <c r="AV18" s="6884"/>
      <c r="AW18" s="6884"/>
      <c r="AX18" s="6884"/>
      <c r="AY18" s="6884"/>
      <c r="AZ18" s="6884"/>
      <c r="BA18" s="6884"/>
      <c r="BB18" s="6884"/>
      <c r="BC18" s="6884"/>
      <c r="BD18" s="6884"/>
      <c r="BE18" s="6884"/>
      <c r="BF18" s="6884"/>
      <c r="BG18" s="6884"/>
      <c r="BH18" s="6884"/>
      <c r="BI18" s="6884"/>
      <c r="BJ18" s="6884"/>
      <c r="BK18" s="6884"/>
      <c r="BL18" s="6884"/>
      <c r="BM18" s="6884"/>
      <c r="BN18" s="6884"/>
      <c r="BO18" s="6884"/>
      <c r="BP18" s="6884"/>
      <c r="BQ18" s="6884"/>
      <c r="BR18" s="6884"/>
      <c r="BS18" s="6884"/>
      <c r="BT18" s="6884"/>
      <c r="BU18" s="6885"/>
      <c r="BW18" s="6886"/>
      <c r="BX18" s="6887"/>
      <c r="BY18" s="14753" t="e">
        <f>AVERAGE(BX18:BX31)</f>
        <v>#DIV/0!</v>
      </c>
      <c r="BZ18" s="6888"/>
      <c r="CA18" s="6888"/>
      <c r="CB18" s="6889"/>
      <c r="CC18" s="6890"/>
      <c r="CD18" s="6891"/>
      <c r="CE18" s="6888"/>
      <c r="CF18" s="6889"/>
      <c r="CG18" s="6890"/>
      <c r="CH18" s="6891"/>
      <c r="CI18" s="6889"/>
      <c r="CJ18" s="6891"/>
      <c r="CK18" s="6889"/>
      <c r="CL18" s="6891"/>
      <c r="CM18" s="6888"/>
      <c r="CN18" s="6888"/>
      <c r="CO18" s="6888"/>
      <c r="CP18" s="6888"/>
      <c r="CQ18" s="6888"/>
      <c r="CR18" s="6889"/>
      <c r="CS18" s="6891"/>
      <c r="CT18" s="6888"/>
      <c r="CU18" s="6888"/>
      <c r="CV18" s="6888"/>
      <c r="CW18" s="6888"/>
      <c r="CX18" s="6888"/>
      <c r="CY18" s="6888"/>
      <c r="CZ18" s="6889"/>
      <c r="DA18" s="6891"/>
      <c r="DB18" s="6888"/>
      <c r="DC18" s="6888"/>
      <c r="DD18" s="6888"/>
      <c r="DE18" s="6888"/>
      <c r="DF18" s="6889"/>
      <c r="DG18" s="6890"/>
      <c r="DH18" s="6890"/>
      <c r="DI18" s="6890"/>
      <c r="DJ18" s="6890"/>
      <c r="DK18" s="6890"/>
      <c r="DL18" s="6891"/>
      <c r="DM18" s="6888"/>
      <c r="DN18" s="6888"/>
      <c r="DO18" s="6888"/>
      <c r="DP18" s="6889"/>
    </row>
    <row r="19" spans="1:120" s="1775" customFormat="1" ht="15" customHeight="1">
      <c r="A19" s="14644"/>
      <c r="B19" s="14647"/>
      <c r="C19" s="14582"/>
      <c r="D19" s="14585"/>
      <c r="E19" s="14650"/>
      <c r="F19" s="14595"/>
      <c r="G19" s="14595"/>
      <c r="H19" s="14595"/>
      <c r="I19" s="14637"/>
      <c r="J19" s="14690"/>
      <c r="K19" s="14681"/>
      <c r="L19" s="14688"/>
      <c r="M19" s="14681"/>
      <c r="N19" s="14681"/>
      <c r="O19" s="14681"/>
      <c r="P19" s="14681"/>
      <c r="Q19" s="6892" t="s">
        <v>10066</v>
      </c>
      <c r="R19" s="6893"/>
      <c r="S19" s="6893" t="s">
        <v>298</v>
      </c>
      <c r="T19" s="14681"/>
      <c r="U19" s="14681"/>
      <c r="V19" s="14683"/>
      <c r="W19" s="14685"/>
      <c r="X19" s="14595"/>
      <c r="Y19" s="14595"/>
      <c r="Z19" s="14595"/>
      <c r="AA19" s="14678"/>
      <c r="AB19" s="6894"/>
      <c r="AC19" s="6895"/>
      <c r="AD19" s="14615"/>
      <c r="AE19" s="6896"/>
      <c r="AF19" s="6896"/>
      <c r="AG19" s="6896"/>
      <c r="AH19" s="6897"/>
      <c r="AI19" s="6897"/>
      <c r="AJ19" s="6897"/>
      <c r="AK19" s="6897"/>
      <c r="AL19" s="6897"/>
      <c r="AM19" s="6896"/>
      <c r="AN19" s="6896"/>
      <c r="AO19" s="6898"/>
      <c r="AP19" s="6898"/>
      <c r="AQ19" s="6898"/>
      <c r="AR19" s="6898"/>
      <c r="AS19" s="6898"/>
      <c r="AT19" s="6898"/>
      <c r="AU19" s="6898"/>
      <c r="AV19" s="6898"/>
      <c r="AW19" s="6898"/>
      <c r="AX19" s="6898"/>
      <c r="AY19" s="6898"/>
      <c r="AZ19" s="6898"/>
      <c r="BA19" s="6898"/>
      <c r="BB19" s="6898"/>
      <c r="BC19" s="6898"/>
      <c r="BD19" s="6898"/>
      <c r="BE19" s="6898"/>
      <c r="BF19" s="6898"/>
      <c r="BG19" s="6898"/>
      <c r="BH19" s="6898"/>
      <c r="BI19" s="6898"/>
      <c r="BJ19" s="6898"/>
      <c r="BK19" s="6898"/>
      <c r="BL19" s="6898"/>
      <c r="BM19" s="6898"/>
      <c r="BN19" s="6898"/>
      <c r="BO19" s="6898"/>
      <c r="BP19" s="6898"/>
      <c r="BQ19" s="6898"/>
      <c r="BR19" s="6898"/>
      <c r="BS19" s="6898"/>
      <c r="BT19" s="6898"/>
      <c r="BU19" s="6899"/>
      <c r="BW19" s="6900"/>
      <c r="BX19" s="6901"/>
      <c r="BY19" s="14754"/>
      <c r="BZ19" s="3448"/>
      <c r="CA19" s="3448"/>
      <c r="CB19" s="2060"/>
      <c r="CC19" s="3782"/>
      <c r="CD19" s="3771"/>
      <c r="CE19" s="3448"/>
      <c r="CF19" s="2060"/>
      <c r="CG19" s="3782"/>
      <c r="CH19" s="3771"/>
      <c r="CI19" s="2060"/>
      <c r="CJ19" s="3771"/>
      <c r="CK19" s="2060"/>
      <c r="CL19" s="3771"/>
      <c r="CM19" s="3448"/>
      <c r="CN19" s="3448"/>
      <c r="CO19" s="3448"/>
      <c r="CP19" s="3448"/>
      <c r="CQ19" s="3448"/>
      <c r="CR19" s="2060"/>
      <c r="CS19" s="3771"/>
      <c r="CT19" s="3448"/>
      <c r="CU19" s="3448"/>
      <c r="CV19" s="3448"/>
      <c r="CW19" s="3448"/>
      <c r="CX19" s="3448"/>
      <c r="CY19" s="3448"/>
      <c r="CZ19" s="2060"/>
      <c r="DA19" s="3771"/>
      <c r="DB19" s="3448"/>
      <c r="DC19" s="3448"/>
      <c r="DD19" s="3448"/>
      <c r="DE19" s="3448"/>
      <c r="DF19" s="2060"/>
      <c r="DG19" s="3782"/>
      <c r="DH19" s="3782"/>
      <c r="DI19" s="3782"/>
      <c r="DJ19" s="3782"/>
      <c r="DK19" s="3782"/>
      <c r="DL19" s="3771"/>
      <c r="DM19" s="3448"/>
      <c r="DN19" s="3448"/>
      <c r="DO19" s="3448"/>
      <c r="DP19" s="2060"/>
    </row>
    <row r="20" spans="1:120" s="1775" customFormat="1" ht="15" customHeight="1">
      <c r="A20" s="14644"/>
      <c r="B20" s="14647"/>
      <c r="C20" s="14582"/>
      <c r="D20" s="14585"/>
      <c r="E20" s="14650"/>
      <c r="F20" s="14595"/>
      <c r="G20" s="14595"/>
      <c r="H20" s="14595"/>
      <c r="I20" s="14637"/>
      <c r="J20" s="14690"/>
      <c r="K20" s="14681"/>
      <c r="L20" s="14688"/>
      <c r="M20" s="14681"/>
      <c r="N20" s="14681"/>
      <c r="O20" s="14681"/>
      <c r="P20" s="14681"/>
      <c r="Q20" s="6892" t="s">
        <v>10070</v>
      </c>
      <c r="R20" s="6893"/>
      <c r="S20" s="6893" t="s">
        <v>10165</v>
      </c>
      <c r="T20" s="14681"/>
      <c r="U20" s="14681"/>
      <c r="V20" s="14683"/>
      <c r="W20" s="14685"/>
      <c r="X20" s="14595"/>
      <c r="Y20" s="14595"/>
      <c r="Z20" s="14595"/>
      <c r="AA20" s="14678"/>
      <c r="AB20" s="6894"/>
      <c r="AC20" s="6895"/>
      <c r="AD20" s="14615"/>
      <c r="AE20" s="6896"/>
      <c r="AF20" s="6896"/>
      <c r="AG20" s="6896"/>
      <c r="AH20" s="6897"/>
      <c r="AI20" s="6897"/>
      <c r="AJ20" s="6897"/>
      <c r="AK20" s="6897"/>
      <c r="AL20" s="6897"/>
      <c r="AM20" s="6896"/>
      <c r="AN20" s="6896"/>
      <c r="AO20" s="6898"/>
      <c r="AP20" s="6898"/>
      <c r="AQ20" s="6898"/>
      <c r="AR20" s="6898"/>
      <c r="AS20" s="6898"/>
      <c r="AT20" s="6898"/>
      <c r="AU20" s="6898"/>
      <c r="AV20" s="6898"/>
      <c r="AW20" s="6898"/>
      <c r="AX20" s="6898"/>
      <c r="AY20" s="6898"/>
      <c r="AZ20" s="6898"/>
      <c r="BA20" s="6898"/>
      <c r="BB20" s="6898"/>
      <c r="BC20" s="6898"/>
      <c r="BD20" s="6898"/>
      <c r="BE20" s="6898"/>
      <c r="BF20" s="6898"/>
      <c r="BG20" s="6898"/>
      <c r="BH20" s="6898"/>
      <c r="BI20" s="6898"/>
      <c r="BJ20" s="6898"/>
      <c r="BK20" s="6898"/>
      <c r="BL20" s="6898"/>
      <c r="BM20" s="6898"/>
      <c r="BN20" s="6898"/>
      <c r="BO20" s="6898"/>
      <c r="BP20" s="6898"/>
      <c r="BQ20" s="6898"/>
      <c r="BR20" s="6898"/>
      <c r="BS20" s="6898"/>
      <c r="BT20" s="6898"/>
      <c r="BU20" s="6899"/>
      <c r="BW20" s="6900"/>
      <c r="BX20" s="6901"/>
      <c r="BY20" s="14754"/>
      <c r="BZ20" s="3448"/>
      <c r="CA20" s="3448"/>
      <c r="CB20" s="2060"/>
      <c r="CC20" s="3782"/>
      <c r="CD20" s="3771"/>
      <c r="CE20" s="3448"/>
      <c r="CF20" s="2060"/>
      <c r="CG20" s="3782"/>
      <c r="CH20" s="3771"/>
      <c r="CI20" s="2060"/>
      <c r="CJ20" s="3771"/>
      <c r="CK20" s="2060"/>
      <c r="CL20" s="3771"/>
      <c r="CM20" s="3448"/>
      <c r="CN20" s="3448"/>
      <c r="CO20" s="3448"/>
      <c r="CP20" s="3448"/>
      <c r="CQ20" s="3448"/>
      <c r="CR20" s="2060"/>
      <c r="CS20" s="3771"/>
      <c r="CT20" s="3448"/>
      <c r="CU20" s="3448"/>
      <c r="CV20" s="3448"/>
      <c r="CW20" s="3448"/>
      <c r="CX20" s="3448"/>
      <c r="CY20" s="3448"/>
      <c r="CZ20" s="2060"/>
      <c r="DA20" s="3771"/>
      <c r="DB20" s="3448"/>
      <c r="DC20" s="3448"/>
      <c r="DD20" s="3448"/>
      <c r="DE20" s="3448"/>
      <c r="DF20" s="2060"/>
      <c r="DG20" s="3782"/>
      <c r="DH20" s="3782"/>
      <c r="DI20" s="3782"/>
      <c r="DJ20" s="3782"/>
      <c r="DK20" s="3782"/>
      <c r="DL20" s="3771"/>
      <c r="DM20" s="3448"/>
      <c r="DN20" s="3448"/>
      <c r="DO20" s="3448"/>
      <c r="DP20" s="2060"/>
    </row>
    <row r="21" spans="1:120" s="1775" customFormat="1" ht="15" customHeight="1">
      <c r="A21" s="14644"/>
      <c r="B21" s="14647"/>
      <c r="C21" s="14582"/>
      <c r="D21" s="14585"/>
      <c r="E21" s="14650"/>
      <c r="F21" s="14595"/>
      <c r="G21" s="14595"/>
      <c r="H21" s="14595"/>
      <c r="I21" s="14637"/>
      <c r="J21" s="14690"/>
      <c r="K21" s="14681"/>
      <c r="L21" s="14688"/>
      <c r="M21" s="14681"/>
      <c r="N21" s="14681"/>
      <c r="O21" s="14681"/>
      <c r="P21" s="14681"/>
      <c r="Q21" s="6892" t="s">
        <v>10182</v>
      </c>
      <c r="R21" s="6893"/>
      <c r="S21" s="6893" t="s">
        <v>10166</v>
      </c>
      <c r="T21" s="14681"/>
      <c r="U21" s="14681"/>
      <c r="V21" s="14683"/>
      <c r="W21" s="14686"/>
      <c r="X21" s="14596"/>
      <c r="Y21" s="14596"/>
      <c r="Z21" s="14596"/>
      <c r="AA21" s="14679"/>
      <c r="AB21" s="6902"/>
      <c r="AC21" s="6903"/>
      <c r="AD21" s="14615"/>
      <c r="AE21" s="6896"/>
      <c r="AF21" s="6896"/>
      <c r="AG21" s="6896"/>
      <c r="AH21" s="6897"/>
      <c r="AI21" s="6897"/>
      <c r="AJ21" s="6897"/>
      <c r="AK21" s="6897"/>
      <c r="AL21" s="6897"/>
      <c r="AM21" s="6896"/>
      <c r="AN21" s="6896"/>
      <c r="AO21" s="6898"/>
      <c r="AP21" s="6898"/>
      <c r="AQ21" s="6898"/>
      <c r="AR21" s="6898"/>
      <c r="AS21" s="6898"/>
      <c r="AT21" s="6898"/>
      <c r="AU21" s="6898"/>
      <c r="AV21" s="6898"/>
      <c r="AW21" s="6898"/>
      <c r="AX21" s="6898"/>
      <c r="AY21" s="6898"/>
      <c r="AZ21" s="6898"/>
      <c r="BA21" s="6898"/>
      <c r="BB21" s="6898"/>
      <c r="BC21" s="6898"/>
      <c r="BD21" s="6898"/>
      <c r="BE21" s="6898"/>
      <c r="BF21" s="6898"/>
      <c r="BG21" s="6898"/>
      <c r="BH21" s="6898"/>
      <c r="BI21" s="6898"/>
      <c r="BJ21" s="6898"/>
      <c r="BK21" s="6898"/>
      <c r="BL21" s="6898"/>
      <c r="BM21" s="6898"/>
      <c r="BN21" s="6898"/>
      <c r="BO21" s="6898"/>
      <c r="BP21" s="6898"/>
      <c r="BQ21" s="6898"/>
      <c r="BR21" s="6898"/>
      <c r="BS21" s="6898"/>
      <c r="BT21" s="6898"/>
      <c r="BU21" s="6899"/>
      <c r="BW21" s="6900"/>
      <c r="BX21" s="6901"/>
      <c r="BY21" s="14754"/>
      <c r="BZ21" s="3448"/>
      <c r="CA21" s="3448"/>
      <c r="CB21" s="2060"/>
      <c r="CC21" s="3782"/>
      <c r="CD21" s="3771"/>
      <c r="CE21" s="3448"/>
      <c r="CF21" s="2060"/>
      <c r="CG21" s="3782"/>
      <c r="CH21" s="3771"/>
      <c r="CI21" s="2060"/>
      <c r="CJ21" s="3771"/>
      <c r="CK21" s="2060"/>
      <c r="CL21" s="3771"/>
      <c r="CM21" s="3448"/>
      <c r="CN21" s="3448"/>
      <c r="CO21" s="3448"/>
      <c r="CP21" s="3448"/>
      <c r="CQ21" s="3448"/>
      <c r="CR21" s="2060"/>
      <c r="CS21" s="3771"/>
      <c r="CT21" s="3448"/>
      <c r="CU21" s="3448"/>
      <c r="CV21" s="3448"/>
      <c r="CW21" s="3448"/>
      <c r="CX21" s="3448"/>
      <c r="CY21" s="3448"/>
      <c r="CZ21" s="2060"/>
      <c r="DA21" s="3771"/>
      <c r="DB21" s="3448"/>
      <c r="DC21" s="3448"/>
      <c r="DD21" s="3448"/>
      <c r="DE21" s="3448"/>
      <c r="DF21" s="2060"/>
      <c r="DG21" s="3782"/>
      <c r="DH21" s="3782"/>
      <c r="DI21" s="3782"/>
      <c r="DJ21" s="3782"/>
      <c r="DK21" s="3782"/>
      <c r="DL21" s="3771"/>
      <c r="DM21" s="3448"/>
      <c r="DN21" s="3448"/>
      <c r="DO21" s="3448"/>
      <c r="DP21" s="2060"/>
    </row>
    <row r="22" spans="1:120" s="1775" customFormat="1" ht="15" customHeight="1">
      <c r="A22" s="14644"/>
      <c r="B22" s="14647"/>
      <c r="C22" s="14582"/>
      <c r="D22" s="14585"/>
      <c r="E22" s="14650"/>
      <c r="F22" s="14595"/>
      <c r="G22" s="14595"/>
      <c r="H22" s="14595"/>
      <c r="I22" s="14637"/>
      <c r="J22" s="6904" t="s">
        <v>7537</v>
      </c>
      <c r="K22" s="6905" t="s">
        <v>4708</v>
      </c>
      <c r="L22" s="2433" t="s">
        <v>4676</v>
      </c>
      <c r="M22" s="6905" t="s">
        <v>9785</v>
      </c>
      <c r="N22" s="4018" t="s">
        <v>4709</v>
      </c>
      <c r="O22" s="6905" t="s">
        <v>4710</v>
      </c>
      <c r="P22" s="4018" t="s">
        <v>4711</v>
      </c>
      <c r="Q22" s="6892" t="s">
        <v>2896</v>
      </c>
      <c r="R22" s="6893" t="s">
        <v>163</v>
      </c>
      <c r="S22" s="6893"/>
      <c r="T22" s="6893" t="s">
        <v>4712</v>
      </c>
      <c r="U22" s="6906">
        <v>0.2</v>
      </c>
      <c r="V22" s="6907">
        <v>0.2</v>
      </c>
      <c r="W22" s="6908">
        <v>0.2</v>
      </c>
      <c r="X22" s="3623">
        <v>0.2</v>
      </c>
      <c r="Y22" s="3623">
        <v>0.2</v>
      </c>
      <c r="Z22" s="6909">
        <f t="shared" si="0"/>
        <v>1</v>
      </c>
      <c r="AA22" s="6910">
        <v>100000000</v>
      </c>
      <c r="AB22" s="3629" t="s">
        <v>9214</v>
      </c>
      <c r="AC22" s="6911" t="s">
        <v>2951</v>
      </c>
      <c r="AD22" s="14615"/>
      <c r="AE22" s="6912" t="s">
        <v>9215</v>
      </c>
      <c r="AF22" s="6913"/>
      <c r="AG22" s="6914"/>
      <c r="AH22" s="6915">
        <v>85668000</v>
      </c>
      <c r="AI22" s="6915">
        <v>85668000</v>
      </c>
      <c r="AJ22" s="6913"/>
      <c r="AK22" s="6916"/>
      <c r="AL22" s="6917">
        <v>964</v>
      </c>
      <c r="AM22" s="6918">
        <v>671</v>
      </c>
      <c r="AN22" s="6918">
        <v>293</v>
      </c>
      <c r="AO22" s="6919" t="s">
        <v>2891</v>
      </c>
      <c r="AP22" s="6920"/>
      <c r="AQ22" s="6920"/>
      <c r="AR22" s="6920"/>
      <c r="AS22" s="6920"/>
      <c r="AT22" s="6919" t="s">
        <v>2891</v>
      </c>
      <c r="AU22" s="6919" t="s">
        <v>2891</v>
      </c>
      <c r="AV22" s="6919" t="s">
        <v>2891</v>
      </c>
      <c r="AW22" s="6919" t="s">
        <v>2891</v>
      </c>
      <c r="AX22" s="6919" t="s">
        <v>2891</v>
      </c>
      <c r="AY22" s="6920"/>
      <c r="AZ22" s="6920"/>
      <c r="BA22" s="6920"/>
      <c r="BB22" s="6920"/>
      <c r="BC22" s="6920"/>
      <c r="BD22" s="6920"/>
      <c r="BE22" s="6920"/>
      <c r="BF22" s="6918">
        <v>964</v>
      </c>
      <c r="BG22" s="6920"/>
      <c r="BH22" s="6920"/>
      <c r="BI22" s="6920"/>
      <c r="BJ22" s="6920"/>
      <c r="BK22" s="6920"/>
      <c r="BL22" s="6920"/>
      <c r="BM22" s="6920"/>
      <c r="BN22" s="6920"/>
      <c r="BO22" s="6920"/>
      <c r="BP22" s="6920"/>
      <c r="BQ22" s="6920"/>
      <c r="BR22" s="6920"/>
      <c r="BS22" s="6920"/>
      <c r="BT22" s="6920"/>
      <c r="BU22" s="6921"/>
      <c r="BW22" s="6922"/>
      <c r="BX22" s="5892"/>
      <c r="BY22" s="14754"/>
      <c r="BZ22" s="3448"/>
      <c r="CA22" s="3448"/>
      <c r="CB22" s="2060"/>
      <c r="CC22" s="3782"/>
      <c r="CD22" s="3771"/>
      <c r="CE22" s="3448"/>
      <c r="CF22" s="2060"/>
      <c r="CG22" s="3782"/>
      <c r="CH22" s="3771"/>
      <c r="CI22" s="2060"/>
      <c r="CJ22" s="3771"/>
      <c r="CK22" s="2060"/>
      <c r="CL22" s="3771"/>
      <c r="CM22" s="3448"/>
      <c r="CN22" s="3448"/>
      <c r="CO22" s="3448"/>
      <c r="CP22" s="3448"/>
      <c r="CQ22" s="3448"/>
      <c r="CR22" s="2060"/>
      <c r="CS22" s="3771"/>
      <c r="CT22" s="3448"/>
      <c r="CU22" s="3448"/>
      <c r="CV22" s="3448"/>
      <c r="CW22" s="3448"/>
      <c r="CX22" s="3448"/>
      <c r="CY22" s="3448"/>
      <c r="CZ22" s="2060"/>
      <c r="DA22" s="3771"/>
      <c r="DB22" s="3448"/>
      <c r="DC22" s="3448"/>
      <c r="DD22" s="3448"/>
      <c r="DE22" s="3448"/>
      <c r="DF22" s="2060"/>
      <c r="DG22" s="3782"/>
      <c r="DH22" s="3782"/>
      <c r="DI22" s="3782"/>
      <c r="DJ22" s="3782"/>
      <c r="DK22" s="3782"/>
      <c r="DL22" s="3771"/>
      <c r="DM22" s="3448"/>
      <c r="DN22" s="3448"/>
      <c r="DO22" s="3448"/>
      <c r="DP22" s="2060"/>
    </row>
    <row r="23" spans="1:120" s="1775" customFormat="1" ht="15" customHeight="1">
      <c r="A23" s="14644"/>
      <c r="B23" s="14647"/>
      <c r="C23" s="14582"/>
      <c r="D23" s="14585"/>
      <c r="E23" s="14650"/>
      <c r="F23" s="14595"/>
      <c r="G23" s="14595"/>
      <c r="H23" s="14595"/>
      <c r="I23" s="14637"/>
      <c r="J23" s="14690" t="s">
        <v>7538</v>
      </c>
      <c r="K23" s="14681" t="s">
        <v>4713</v>
      </c>
      <c r="L23" s="14688" t="s">
        <v>4676</v>
      </c>
      <c r="M23" s="14681" t="s">
        <v>4714</v>
      </c>
      <c r="N23" s="14681" t="s">
        <v>4715</v>
      </c>
      <c r="O23" s="14681" t="s">
        <v>4716</v>
      </c>
      <c r="P23" s="14681" t="s">
        <v>4717</v>
      </c>
      <c r="Q23" s="6892" t="s">
        <v>10070</v>
      </c>
      <c r="R23" s="6893" t="s">
        <v>10062</v>
      </c>
      <c r="S23" s="6893"/>
      <c r="T23" s="14681" t="s">
        <v>4660</v>
      </c>
      <c r="U23" s="14693">
        <v>1</v>
      </c>
      <c r="V23" s="14694">
        <v>1</v>
      </c>
      <c r="W23" s="14695">
        <v>1</v>
      </c>
      <c r="X23" s="14691">
        <v>1</v>
      </c>
      <c r="Y23" s="14691">
        <v>1</v>
      </c>
      <c r="Z23" s="14691">
        <f>+SUM(U23:Y23)</f>
        <v>5</v>
      </c>
      <c r="AA23" s="14677">
        <v>10000000</v>
      </c>
      <c r="AB23" s="6923" t="s">
        <v>9653</v>
      </c>
      <c r="AC23" s="6924">
        <v>0</v>
      </c>
      <c r="AD23" s="14615"/>
      <c r="AE23" s="6925"/>
      <c r="AF23" s="6913"/>
      <c r="AG23" s="6913"/>
      <c r="AH23" s="6926"/>
      <c r="AI23" s="6926"/>
      <c r="AJ23" s="3629"/>
      <c r="AK23" s="3629"/>
      <c r="AL23" s="6927"/>
      <c r="AM23" s="6928"/>
      <c r="AN23" s="6928"/>
      <c r="AO23" s="6929"/>
      <c r="AP23" s="6920"/>
      <c r="AQ23" s="6920"/>
      <c r="AR23" s="6920"/>
      <c r="AS23" s="6920"/>
      <c r="AT23" s="6929"/>
      <c r="AU23" s="6929"/>
      <c r="AV23" s="6929"/>
      <c r="AW23" s="6929"/>
      <c r="AX23" s="6929"/>
      <c r="AY23" s="6920"/>
      <c r="AZ23" s="6920"/>
      <c r="BA23" s="6920"/>
      <c r="BB23" s="6920"/>
      <c r="BC23" s="6920"/>
      <c r="BD23" s="6920"/>
      <c r="BE23" s="6920"/>
      <c r="BF23" s="6928"/>
      <c r="BG23" s="6920"/>
      <c r="BH23" s="6920"/>
      <c r="BI23" s="6920"/>
      <c r="BJ23" s="6920"/>
      <c r="BK23" s="6920"/>
      <c r="BL23" s="6920"/>
      <c r="BM23" s="6920"/>
      <c r="BN23" s="6920"/>
      <c r="BO23" s="6920"/>
      <c r="BP23" s="6920"/>
      <c r="BQ23" s="6920"/>
      <c r="BR23" s="6920"/>
      <c r="BS23" s="6920"/>
      <c r="BT23" s="6920"/>
      <c r="BU23" s="6921"/>
      <c r="BW23" s="6900"/>
      <c r="BX23" s="6901"/>
      <c r="BY23" s="14754"/>
      <c r="BZ23" s="3448"/>
      <c r="CA23" s="3448"/>
      <c r="CB23" s="2060"/>
      <c r="CC23" s="3782"/>
      <c r="CD23" s="3771"/>
      <c r="CE23" s="3448"/>
      <c r="CF23" s="2060"/>
      <c r="CG23" s="3782"/>
      <c r="CH23" s="3771"/>
      <c r="CI23" s="2060"/>
      <c r="CJ23" s="3771"/>
      <c r="CK23" s="2060"/>
      <c r="CL23" s="3771"/>
      <c r="CM23" s="3448"/>
      <c r="CN23" s="3448"/>
      <c r="CO23" s="3448"/>
      <c r="CP23" s="3448"/>
      <c r="CQ23" s="3448"/>
      <c r="CR23" s="2060"/>
      <c r="CS23" s="3771"/>
      <c r="CT23" s="3448"/>
      <c r="CU23" s="3448"/>
      <c r="CV23" s="3448"/>
      <c r="CW23" s="3448"/>
      <c r="CX23" s="3448"/>
      <c r="CY23" s="3448"/>
      <c r="CZ23" s="2060"/>
      <c r="DA23" s="3771"/>
      <c r="DB23" s="3448"/>
      <c r="DC23" s="3448"/>
      <c r="DD23" s="3448"/>
      <c r="DE23" s="3448"/>
      <c r="DF23" s="2060"/>
      <c r="DG23" s="3782"/>
      <c r="DH23" s="3782"/>
      <c r="DI23" s="3782"/>
      <c r="DJ23" s="3782"/>
      <c r="DK23" s="3782"/>
      <c r="DL23" s="3771"/>
      <c r="DM23" s="3448"/>
      <c r="DN23" s="3448"/>
      <c r="DO23" s="3448"/>
      <c r="DP23" s="2060"/>
    </row>
    <row r="24" spans="1:120" s="1775" customFormat="1" ht="15" customHeight="1">
      <c r="A24" s="14644"/>
      <c r="B24" s="14647"/>
      <c r="C24" s="14582"/>
      <c r="D24" s="14585"/>
      <c r="E24" s="14650"/>
      <c r="F24" s="14595"/>
      <c r="G24" s="14595"/>
      <c r="H24" s="14595"/>
      <c r="I24" s="14637"/>
      <c r="J24" s="14690"/>
      <c r="K24" s="14681"/>
      <c r="L24" s="14688"/>
      <c r="M24" s="14681"/>
      <c r="N24" s="14681"/>
      <c r="O24" s="14681"/>
      <c r="P24" s="14681"/>
      <c r="Q24" s="6892" t="s">
        <v>10063</v>
      </c>
      <c r="R24" s="6893"/>
      <c r="S24" s="6893" t="s">
        <v>4718</v>
      </c>
      <c r="T24" s="14681"/>
      <c r="U24" s="14693"/>
      <c r="V24" s="14694"/>
      <c r="W24" s="14696"/>
      <c r="X24" s="14692"/>
      <c r="Y24" s="14692"/>
      <c r="Z24" s="14692"/>
      <c r="AA24" s="14679"/>
      <c r="AB24" s="6902"/>
      <c r="AC24" s="6903"/>
      <c r="AD24" s="14615"/>
      <c r="AE24" s="6930"/>
      <c r="AF24" s="6930"/>
      <c r="AG24" s="6930"/>
      <c r="AH24" s="6931"/>
      <c r="AI24" s="6931"/>
      <c r="AJ24" s="6931"/>
      <c r="AK24" s="6931"/>
      <c r="AL24" s="6930"/>
      <c r="AM24" s="6930"/>
      <c r="AN24" s="6930"/>
      <c r="AO24" s="6932"/>
      <c r="AP24" s="6932"/>
      <c r="AQ24" s="6932"/>
      <c r="AR24" s="6932"/>
      <c r="AS24" s="6932"/>
      <c r="AT24" s="6932"/>
      <c r="AU24" s="6932"/>
      <c r="AV24" s="6932"/>
      <c r="AW24" s="6932"/>
      <c r="AX24" s="6932"/>
      <c r="AY24" s="6932"/>
      <c r="AZ24" s="6932"/>
      <c r="BA24" s="6932"/>
      <c r="BB24" s="6932"/>
      <c r="BC24" s="6932"/>
      <c r="BD24" s="6932"/>
      <c r="BE24" s="6932"/>
      <c r="BF24" s="6932"/>
      <c r="BG24" s="6932"/>
      <c r="BH24" s="6932"/>
      <c r="BI24" s="6932"/>
      <c r="BJ24" s="6932"/>
      <c r="BK24" s="6932"/>
      <c r="BL24" s="6932"/>
      <c r="BM24" s="6932"/>
      <c r="BN24" s="6932"/>
      <c r="BO24" s="6932"/>
      <c r="BP24" s="6932"/>
      <c r="BQ24" s="6932"/>
      <c r="BR24" s="6932"/>
      <c r="BS24" s="6932"/>
      <c r="BT24" s="6932"/>
      <c r="BU24" s="6921"/>
      <c r="BW24" s="6900"/>
      <c r="BX24" s="6901"/>
      <c r="BY24" s="14754"/>
      <c r="BZ24" s="3448"/>
      <c r="CA24" s="3448"/>
      <c r="CB24" s="2060"/>
      <c r="CC24" s="3782"/>
      <c r="CD24" s="3771"/>
      <c r="CE24" s="3448"/>
      <c r="CF24" s="2060"/>
      <c r="CG24" s="3782"/>
      <c r="CH24" s="3771"/>
      <c r="CI24" s="2060"/>
      <c r="CJ24" s="3771"/>
      <c r="CK24" s="2060"/>
      <c r="CL24" s="3771"/>
      <c r="CM24" s="3448"/>
      <c r="CN24" s="3448"/>
      <c r="CO24" s="3448"/>
      <c r="CP24" s="3448"/>
      <c r="CQ24" s="3448"/>
      <c r="CR24" s="2060"/>
      <c r="CS24" s="3771"/>
      <c r="CT24" s="3448"/>
      <c r="CU24" s="3448"/>
      <c r="CV24" s="3448"/>
      <c r="CW24" s="3448"/>
      <c r="CX24" s="3448"/>
      <c r="CY24" s="3448"/>
      <c r="CZ24" s="2060"/>
      <c r="DA24" s="3771"/>
      <c r="DB24" s="3448"/>
      <c r="DC24" s="3448"/>
      <c r="DD24" s="3448"/>
      <c r="DE24" s="3448"/>
      <c r="DF24" s="2060"/>
      <c r="DG24" s="3782"/>
      <c r="DH24" s="3782"/>
      <c r="DI24" s="3782"/>
      <c r="DJ24" s="3782"/>
      <c r="DK24" s="3782"/>
      <c r="DL24" s="3771"/>
      <c r="DM24" s="3448"/>
      <c r="DN24" s="3448"/>
      <c r="DO24" s="3448"/>
      <c r="DP24" s="2060"/>
    </row>
    <row r="25" spans="1:120" s="1775" customFormat="1" ht="15" customHeight="1">
      <c r="A25" s="14644"/>
      <c r="B25" s="14647"/>
      <c r="C25" s="14582"/>
      <c r="D25" s="14585"/>
      <c r="E25" s="14650"/>
      <c r="F25" s="14595"/>
      <c r="G25" s="14595"/>
      <c r="H25" s="14595"/>
      <c r="I25" s="14637"/>
      <c r="J25" s="14690" t="s">
        <v>7539</v>
      </c>
      <c r="K25" s="14681" t="s">
        <v>4719</v>
      </c>
      <c r="L25" s="14688" t="s">
        <v>4676</v>
      </c>
      <c r="M25" s="14681" t="s">
        <v>4720</v>
      </c>
      <c r="N25" s="14681" t="s">
        <v>4705</v>
      </c>
      <c r="O25" s="14681" t="s">
        <v>9788</v>
      </c>
      <c r="P25" s="14681" t="s">
        <v>4721</v>
      </c>
      <c r="Q25" s="6892" t="s">
        <v>10066</v>
      </c>
      <c r="R25" s="6893" t="s">
        <v>10059</v>
      </c>
      <c r="S25" s="6893"/>
      <c r="T25" s="14681" t="s">
        <v>4660</v>
      </c>
      <c r="U25" s="14693">
        <v>6</v>
      </c>
      <c r="V25" s="14694">
        <v>6</v>
      </c>
      <c r="W25" s="14695">
        <v>6</v>
      </c>
      <c r="X25" s="14691">
        <v>6</v>
      </c>
      <c r="Y25" s="14691">
        <v>6</v>
      </c>
      <c r="Z25" s="14691">
        <f t="shared" si="0"/>
        <v>30</v>
      </c>
      <c r="AA25" s="14677">
        <v>10000000</v>
      </c>
      <c r="AB25" s="6923" t="s">
        <v>2951</v>
      </c>
      <c r="AC25" s="6924" t="s">
        <v>2951</v>
      </c>
      <c r="AD25" s="14615"/>
      <c r="AE25" s="6933" t="s">
        <v>9217</v>
      </c>
      <c r="AF25" s="6913" t="s">
        <v>9218</v>
      </c>
      <c r="AG25" s="6913"/>
      <c r="AH25" s="6913" t="s">
        <v>9219</v>
      </c>
      <c r="AI25" s="6913" t="s">
        <v>9220</v>
      </c>
      <c r="AJ25" s="6913"/>
      <c r="AK25" s="6913"/>
      <c r="AL25" s="6913" t="s">
        <v>9221</v>
      </c>
      <c r="AM25" s="6920" t="s">
        <v>2891</v>
      </c>
      <c r="AN25" s="6920" t="s">
        <v>2891</v>
      </c>
      <c r="AO25" s="6920" t="s">
        <v>2891</v>
      </c>
      <c r="AP25" s="6920"/>
      <c r="AQ25" s="6920"/>
      <c r="AR25" s="6920"/>
      <c r="AS25" s="6920"/>
      <c r="AT25" s="6920" t="s">
        <v>2891</v>
      </c>
      <c r="AU25" s="6920" t="s">
        <v>2891</v>
      </c>
      <c r="AV25" s="6920" t="s">
        <v>2891</v>
      </c>
      <c r="AW25" s="6920" t="s">
        <v>2891</v>
      </c>
      <c r="AX25" s="6920" t="s">
        <v>2891</v>
      </c>
      <c r="AY25" s="6920"/>
      <c r="AZ25" s="6920"/>
      <c r="BA25" s="6920"/>
      <c r="BB25" s="6920"/>
      <c r="BC25" s="6920"/>
      <c r="BD25" s="6920"/>
      <c r="BE25" s="6920"/>
      <c r="BF25" s="6920" t="s">
        <v>2891</v>
      </c>
      <c r="BG25" s="6920"/>
      <c r="BH25" s="6920"/>
      <c r="BI25" s="6920"/>
      <c r="BJ25" s="6920"/>
      <c r="BK25" s="6920"/>
      <c r="BL25" s="6920"/>
      <c r="BM25" s="6920"/>
      <c r="BN25" s="6920"/>
      <c r="BO25" s="6920"/>
      <c r="BP25" s="6920"/>
      <c r="BQ25" s="6920"/>
      <c r="BR25" s="6920"/>
      <c r="BS25" s="6920"/>
      <c r="BT25" s="6920"/>
      <c r="BU25" s="6921"/>
      <c r="BW25" s="6900"/>
      <c r="BX25" s="6901"/>
      <c r="BY25" s="14754"/>
      <c r="BZ25" s="3448"/>
      <c r="CA25" s="3448"/>
      <c r="CB25" s="2060"/>
      <c r="CC25" s="3782"/>
      <c r="CD25" s="3771"/>
      <c r="CE25" s="3448"/>
      <c r="CF25" s="2060"/>
      <c r="CG25" s="3782"/>
      <c r="CH25" s="3771"/>
      <c r="CI25" s="2060"/>
      <c r="CJ25" s="3771"/>
      <c r="CK25" s="2060"/>
      <c r="CL25" s="3771"/>
      <c r="CM25" s="3448"/>
      <c r="CN25" s="3448"/>
      <c r="CO25" s="3448"/>
      <c r="CP25" s="3448"/>
      <c r="CQ25" s="3448"/>
      <c r="CR25" s="2060"/>
      <c r="CS25" s="3771"/>
      <c r="CT25" s="3448"/>
      <c r="CU25" s="3448"/>
      <c r="CV25" s="3448"/>
      <c r="CW25" s="3448"/>
      <c r="CX25" s="3448"/>
      <c r="CY25" s="3448"/>
      <c r="CZ25" s="2060"/>
      <c r="DA25" s="3771"/>
      <c r="DB25" s="3448"/>
      <c r="DC25" s="3448"/>
      <c r="DD25" s="3448"/>
      <c r="DE25" s="3448"/>
      <c r="DF25" s="2060"/>
      <c r="DG25" s="3782"/>
      <c r="DH25" s="3782"/>
      <c r="DI25" s="3782"/>
      <c r="DJ25" s="3782"/>
      <c r="DK25" s="3782"/>
      <c r="DL25" s="3771"/>
      <c r="DM25" s="3448"/>
      <c r="DN25" s="3448"/>
      <c r="DO25" s="3448"/>
      <c r="DP25" s="2060"/>
    </row>
    <row r="26" spans="1:120" s="1775" customFormat="1" ht="15" customHeight="1" thickBot="1">
      <c r="A26" s="14644"/>
      <c r="B26" s="14647"/>
      <c r="C26" s="14582"/>
      <c r="D26" s="14585"/>
      <c r="E26" s="14650"/>
      <c r="F26" s="14595"/>
      <c r="G26" s="14595"/>
      <c r="H26" s="14595"/>
      <c r="I26" s="14637"/>
      <c r="J26" s="14690"/>
      <c r="K26" s="14681"/>
      <c r="L26" s="14688"/>
      <c r="M26" s="14681"/>
      <c r="N26" s="14681"/>
      <c r="O26" s="14681"/>
      <c r="P26" s="14681"/>
      <c r="Q26" s="6892" t="s">
        <v>10183</v>
      </c>
      <c r="R26" s="6893"/>
      <c r="S26" s="6893" t="s">
        <v>4722</v>
      </c>
      <c r="T26" s="14681"/>
      <c r="U26" s="14693"/>
      <c r="V26" s="14694"/>
      <c r="W26" s="14696"/>
      <c r="X26" s="14692"/>
      <c r="Y26" s="14692"/>
      <c r="Z26" s="14692"/>
      <c r="AA26" s="14679"/>
      <c r="AB26" s="6902"/>
      <c r="AC26" s="6903"/>
      <c r="AD26" s="14615"/>
      <c r="AE26" s="6934"/>
      <c r="AF26" s="6930"/>
      <c r="AG26" s="6930"/>
      <c r="AH26" s="6930"/>
      <c r="AI26" s="6930"/>
      <c r="AJ26" s="6930"/>
      <c r="AK26" s="6930"/>
      <c r="AL26" s="6930"/>
      <c r="AM26" s="6932"/>
      <c r="AN26" s="6932"/>
      <c r="AO26" s="6932"/>
      <c r="AP26" s="6932"/>
      <c r="AQ26" s="6932"/>
      <c r="AR26" s="6932"/>
      <c r="AS26" s="6932"/>
      <c r="AT26" s="6932"/>
      <c r="AU26" s="6932"/>
      <c r="AV26" s="6932"/>
      <c r="AW26" s="6932"/>
      <c r="AX26" s="6932"/>
      <c r="AY26" s="6932"/>
      <c r="AZ26" s="6932"/>
      <c r="BA26" s="6932"/>
      <c r="BB26" s="6932"/>
      <c r="BC26" s="6932"/>
      <c r="BD26" s="6932"/>
      <c r="BE26" s="6932"/>
      <c r="BF26" s="6932"/>
      <c r="BG26" s="6932"/>
      <c r="BH26" s="6932"/>
      <c r="BI26" s="6932"/>
      <c r="BJ26" s="6932"/>
      <c r="BK26" s="6932"/>
      <c r="BL26" s="6932"/>
      <c r="BM26" s="6932"/>
      <c r="BN26" s="6932"/>
      <c r="BO26" s="6932"/>
      <c r="BP26" s="6932"/>
      <c r="BQ26" s="6932"/>
      <c r="BR26" s="6932"/>
      <c r="BS26" s="6932"/>
      <c r="BT26" s="6932"/>
      <c r="BU26" s="6921"/>
      <c r="BW26" s="6900"/>
      <c r="BX26" s="6901"/>
      <c r="BY26" s="14754"/>
      <c r="BZ26" s="3448"/>
      <c r="CA26" s="3448"/>
      <c r="CB26" s="2060"/>
      <c r="CC26" s="3782"/>
      <c r="CD26" s="3771"/>
      <c r="CE26" s="3448"/>
      <c r="CF26" s="2060"/>
      <c r="CG26" s="3782"/>
      <c r="CH26" s="3771"/>
      <c r="CI26" s="2060"/>
      <c r="CJ26" s="3771"/>
      <c r="CK26" s="2060"/>
      <c r="CL26" s="3771"/>
      <c r="CM26" s="3448"/>
      <c r="CN26" s="3448"/>
      <c r="CO26" s="3448"/>
      <c r="CP26" s="3448"/>
      <c r="CQ26" s="3448"/>
      <c r="CR26" s="2060"/>
      <c r="CS26" s="3771"/>
      <c r="CT26" s="3448"/>
      <c r="CU26" s="3448"/>
      <c r="CV26" s="3448"/>
      <c r="CW26" s="3448"/>
      <c r="CX26" s="3448"/>
      <c r="CY26" s="3448"/>
      <c r="CZ26" s="2060"/>
      <c r="DA26" s="3771"/>
      <c r="DB26" s="3448"/>
      <c r="DC26" s="3448"/>
      <c r="DD26" s="3448"/>
      <c r="DE26" s="3448"/>
      <c r="DF26" s="2060"/>
      <c r="DG26" s="3782"/>
      <c r="DH26" s="3782"/>
      <c r="DI26" s="3782"/>
      <c r="DJ26" s="3782"/>
      <c r="DK26" s="3782"/>
      <c r="DL26" s="3771"/>
      <c r="DM26" s="3448"/>
      <c r="DN26" s="3448"/>
      <c r="DO26" s="3448"/>
      <c r="DP26" s="2060"/>
    </row>
    <row r="27" spans="1:120" s="1775" customFormat="1" ht="15" customHeight="1">
      <c r="A27" s="14644"/>
      <c r="B27" s="14647"/>
      <c r="C27" s="14582"/>
      <c r="D27" s="14585"/>
      <c r="E27" s="14650"/>
      <c r="F27" s="14596"/>
      <c r="G27" s="14595"/>
      <c r="H27" s="14595"/>
      <c r="I27" s="14637"/>
      <c r="J27" s="14690" t="s">
        <v>7540</v>
      </c>
      <c r="K27" s="14681" t="s">
        <v>4723</v>
      </c>
      <c r="L27" s="14688" t="s">
        <v>4676</v>
      </c>
      <c r="M27" s="14681" t="s">
        <v>4724</v>
      </c>
      <c r="N27" s="14681" t="s">
        <v>4725</v>
      </c>
      <c r="O27" s="14681" t="s">
        <v>4726</v>
      </c>
      <c r="P27" s="14681" t="s">
        <v>4727</v>
      </c>
      <c r="Q27" s="6892" t="s">
        <v>10066</v>
      </c>
      <c r="R27" s="6893" t="s">
        <v>298</v>
      </c>
      <c r="S27" s="6893"/>
      <c r="T27" s="14681" t="s">
        <v>4728</v>
      </c>
      <c r="U27" s="14681">
        <v>2</v>
      </c>
      <c r="V27" s="14683">
        <v>2</v>
      </c>
      <c r="W27" s="14684">
        <v>2</v>
      </c>
      <c r="X27" s="14594">
        <v>2</v>
      </c>
      <c r="Y27" s="14594">
        <v>2</v>
      </c>
      <c r="Z27" s="14594">
        <f>+SUM(U27:Y27)</f>
        <v>10</v>
      </c>
      <c r="AA27" s="14677">
        <v>50000000</v>
      </c>
      <c r="AB27" s="6923" t="s">
        <v>9653</v>
      </c>
      <c r="AC27" s="6924">
        <v>0</v>
      </c>
      <c r="AD27" s="14615"/>
      <c r="AE27" s="6933"/>
      <c r="AF27" s="6913"/>
      <c r="AG27" s="6913"/>
      <c r="AH27" s="3629"/>
      <c r="AI27" s="3629"/>
      <c r="AJ27" s="3629"/>
      <c r="AK27" s="3629"/>
      <c r="AL27" s="3629"/>
      <c r="AM27" s="6913"/>
      <c r="AN27" s="6913"/>
      <c r="AO27" s="6920"/>
      <c r="AP27" s="6920"/>
      <c r="AQ27" s="6920"/>
      <c r="AR27" s="6920"/>
      <c r="AS27" s="6920"/>
      <c r="AT27" s="6920"/>
      <c r="AU27" s="6920"/>
      <c r="AV27" s="6920"/>
      <c r="AW27" s="6920"/>
      <c r="AX27" s="6920"/>
      <c r="AY27" s="6920"/>
      <c r="AZ27" s="6920"/>
      <c r="BA27" s="6920"/>
      <c r="BB27" s="6920"/>
      <c r="BC27" s="6920"/>
      <c r="BD27" s="6920"/>
      <c r="BE27" s="6920"/>
      <c r="BF27" s="6920"/>
      <c r="BG27" s="6920"/>
      <c r="BH27" s="6920"/>
      <c r="BI27" s="6920"/>
      <c r="BJ27" s="6920"/>
      <c r="BK27" s="6920"/>
      <c r="BL27" s="6920"/>
      <c r="BM27" s="6920"/>
      <c r="BN27" s="6920"/>
      <c r="BO27" s="6920"/>
      <c r="BP27" s="6920"/>
      <c r="BQ27" s="6920"/>
      <c r="BR27" s="6920"/>
      <c r="BS27" s="6920"/>
      <c r="BT27" s="6920"/>
      <c r="BU27" s="6921"/>
      <c r="BW27" s="6900"/>
      <c r="BX27" s="6901"/>
      <c r="BY27" s="14754"/>
      <c r="BZ27" s="3448"/>
      <c r="CA27" s="3448"/>
      <c r="CB27" s="2060"/>
      <c r="CC27" s="3782"/>
      <c r="CD27" s="3771"/>
      <c r="CE27" s="3448"/>
      <c r="CF27" s="2060"/>
      <c r="CG27" s="3782"/>
      <c r="CH27" s="3771"/>
      <c r="CI27" s="2060"/>
      <c r="CJ27" s="3771"/>
      <c r="CK27" s="2060"/>
      <c r="CL27" s="3771"/>
      <c r="CM27" s="3448"/>
      <c r="CN27" s="3448"/>
      <c r="CO27" s="3448"/>
      <c r="CP27" s="3448"/>
      <c r="CQ27" s="3448"/>
      <c r="CR27" s="2060"/>
      <c r="CS27" s="3771"/>
      <c r="CT27" s="3448"/>
      <c r="CU27" s="3448"/>
      <c r="CV27" s="3448"/>
      <c r="CW27" s="3448"/>
      <c r="CX27" s="3448"/>
      <c r="CY27" s="3448"/>
      <c r="CZ27" s="2060"/>
      <c r="DA27" s="3771"/>
      <c r="DB27" s="3448"/>
      <c r="DC27" s="3448"/>
      <c r="DD27" s="3448"/>
      <c r="DE27" s="3448"/>
      <c r="DF27" s="2060"/>
      <c r="DG27" s="3782"/>
      <c r="DH27" s="3782"/>
      <c r="DI27" s="3782"/>
      <c r="DJ27" s="3782"/>
      <c r="DK27" s="3782"/>
      <c r="DL27" s="3771"/>
      <c r="DM27" s="3448"/>
      <c r="DN27" s="3448"/>
      <c r="DO27" s="3448"/>
      <c r="DP27" s="2060"/>
    </row>
    <row r="28" spans="1:120" s="1775" customFormat="1" ht="15" customHeight="1">
      <c r="A28" s="14644"/>
      <c r="B28" s="14647"/>
      <c r="C28" s="14582"/>
      <c r="D28" s="14585"/>
      <c r="E28" s="14650"/>
      <c r="F28" s="6935"/>
      <c r="G28" s="14595"/>
      <c r="H28" s="14595"/>
      <c r="I28" s="14637"/>
      <c r="J28" s="14690"/>
      <c r="K28" s="14681"/>
      <c r="L28" s="14688"/>
      <c r="M28" s="14681"/>
      <c r="N28" s="14681"/>
      <c r="O28" s="14681"/>
      <c r="P28" s="14681"/>
      <c r="Q28" s="6892" t="s">
        <v>10070</v>
      </c>
      <c r="R28" s="6893"/>
      <c r="S28" s="6893" t="s">
        <v>10062</v>
      </c>
      <c r="T28" s="14681"/>
      <c r="U28" s="14681"/>
      <c r="V28" s="14683"/>
      <c r="W28" s="14685"/>
      <c r="X28" s="14595"/>
      <c r="Y28" s="14595"/>
      <c r="Z28" s="14595"/>
      <c r="AA28" s="14678"/>
      <c r="AB28" s="6894"/>
      <c r="AC28" s="6895"/>
      <c r="AD28" s="14615"/>
      <c r="AE28" s="6936"/>
      <c r="AF28" s="6937"/>
      <c r="AG28" s="6937"/>
      <c r="AH28" s="6938"/>
      <c r="AI28" s="6938"/>
      <c r="AJ28" s="6938"/>
      <c r="AK28" s="6938"/>
      <c r="AL28" s="6938"/>
      <c r="AM28" s="6937"/>
      <c r="AN28" s="6937"/>
      <c r="AO28" s="6939"/>
      <c r="AP28" s="6939"/>
      <c r="AQ28" s="6939"/>
      <c r="AR28" s="6939"/>
      <c r="AS28" s="6939"/>
      <c r="AT28" s="6939"/>
      <c r="AU28" s="6939"/>
      <c r="AV28" s="6939"/>
      <c r="AW28" s="6939"/>
      <c r="AX28" s="6939"/>
      <c r="AY28" s="6939"/>
      <c r="AZ28" s="6939"/>
      <c r="BA28" s="6939"/>
      <c r="BB28" s="6939"/>
      <c r="BC28" s="6939"/>
      <c r="BD28" s="6939"/>
      <c r="BE28" s="6939"/>
      <c r="BF28" s="6939"/>
      <c r="BG28" s="6939"/>
      <c r="BH28" s="6939"/>
      <c r="BI28" s="6939"/>
      <c r="BJ28" s="6939"/>
      <c r="BK28" s="6939"/>
      <c r="BL28" s="6939"/>
      <c r="BM28" s="6939"/>
      <c r="BN28" s="6939"/>
      <c r="BO28" s="6939"/>
      <c r="BP28" s="6939"/>
      <c r="BQ28" s="6939"/>
      <c r="BR28" s="6939"/>
      <c r="BS28" s="6939"/>
      <c r="BT28" s="6939"/>
      <c r="BU28" s="6940"/>
      <c r="BW28" s="6900"/>
      <c r="BX28" s="6901"/>
      <c r="BY28" s="14754"/>
      <c r="BZ28" s="3448"/>
      <c r="CA28" s="3448"/>
      <c r="CB28" s="2060"/>
      <c r="CC28" s="3782"/>
      <c r="CD28" s="3771"/>
      <c r="CE28" s="3448"/>
      <c r="CF28" s="2060"/>
      <c r="CG28" s="3782"/>
      <c r="CH28" s="3771"/>
      <c r="CI28" s="2060"/>
      <c r="CJ28" s="3771"/>
      <c r="CK28" s="2060"/>
      <c r="CL28" s="3771"/>
      <c r="CM28" s="3448"/>
      <c r="CN28" s="3448"/>
      <c r="CO28" s="3448"/>
      <c r="CP28" s="3448"/>
      <c r="CQ28" s="3448"/>
      <c r="CR28" s="2060"/>
      <c r="CS28" s="3771"/>
      <c r="CT28" s="3448"/>
      <c r="CU28" s="3448"/>
      <c r="CV28" s="3448"/>
      <c r="CW28" s="3448"/>
      <c r="CX28" s="3448"/>
      <c r="CY28" s="3448"/>
      <c r="CZ28" s="2060"/>
      <c r="DA28" s="3771"/>
      <c r="DB28" s="3448"/>
      <c r="DC28" s="3448"/>
      <c r="DD28" s="3448"/>
      <c r="DE28" s="3448"/>
      <c r="DF28" s="2060"/>
      <c r="DG28" s="3782"/>
      <c r="DH28" s="3782"/>
      <c r="DI28" s="3782"/>
      <c r="DJ28" s="3782"/>
      <c r="DK28" s="3782"/>
      <c r="DL28" s="3771"/>
      <c r="DM28" s="3448"/>
      <c r="DN28" s="3448"/>
      <c r="DO28" s="3448"/>
      <c r="DP28" s="2060"/>
    </row>
    <row r="29" spans="1:120" s="1775" customFormat="1" ht="15" customHeight="1">
      <c r="A29" s="14644"/>
      <c r="B29" s="14647"/>
      <c r="C29" s="14582"/>
      <c r="D29" s="14585"/>
      <c r="E29" s="14650"/>
      <c r="F29" s="6935"/>
      <c r="G29" s="14595"/>
      <c r="H29" s="14595"/>
      <c r="I29" s="14637"/>
      <c r="J29" s="14690"/>
      <c r="K29" s="14681"/>
      <c r="L29" s="14688"/>
      <c r="M29" s="14681"/>
      <c r="N29" s="14681"/>
      <c r="O29" s="14681"/>
      <c r="P29" s="14681"/>
      <c r="Q29" s="6892" t="s">
        <v>218</v>
      </c>
      <c r="R29" s="6893"/>
      <c r="S29" s="6893" t="s">
        <v>768</v>
      </c>
      <c r="T29" s="14681"/>
      <c r="U29" s="14681"/>
      <c r="V29" s="14683"/>
      <c r="W29" s="14685"/>
      <c r="X29" s="14595"/>
      <c r="Y29" s="14595"/>
      <c r="Z29" s="14595"/>
      <c r="AA29" s="14678"/>
      <c r="AB29" s="6894"/>
      <c r="AC29" s="6895"/>
      <c r="AD29" s="14615"/>
      <c r="AE29" s="6936"/>
      <c r="AF29" s="6937"/>
      <c r="AG29" s="6937"/>
      <c r="AH29" s="6938"/>
      <c r="AI29" s="6938"/>
      <c r="AJ29" s="6938"/>
      <c r="AK29" s="6938"/>
      <c r="AL29" s="6938"/>
      <c r="AM29" s="6937"/>
      <c r="AN29" s="6937"/>
      <c r="AO29" s="6939"/>
      <c r="AP29" s="6939"/>
      <c r="AQ29" s="6939"/>
      <c r="AR29" s="6939"/>
      <c r="AS29" s="6939"/>
      <c r="AT29" s="6939"/>
      <c r="AU29" s="6939"/>
      <c r="AV29" s="6939"/>
      <c r="AW29" s="6939"/>
      <c r="AX29" s="6939"/>
      <c r="AY29" s="6939"/>
      <c r="AZ29" s="6939"/>
      <c r="BA29" s="6939"/>
      <c r="BB29" s="6939"/>
      <c r="BC29" s="6939"/>
      <c r="BD29" s="6939"/>
      <c r="BE29" s="6939"/>
      <c r="BF29" s="6939"/>
      <c r="BG29" s="6939"/>
      <c r="BH29" s="6939"/>
      <c r="BI29" s="6939"/>
      <c r="BJ29" s="6939"/>
      <c r="BK29" s="6939"/>
      <c r="BL29" s="6939"/>
      <c r="BM29" s="6939"/>
      <c r="BN29" s="6939"/>
      <c r="BO29" s="6939"/>
      <c r="BP29" s="6939"/>
      <c r="BQ29" s="6939"/>
      <c r="BR29" s="6939"/>
      <c r="BS29" s="6939"/>
      <c r="BT29" s="6939"/>
      <c r="BU29" s="6940"/>
      <c r="BW29" s="6900"/>
      <c r="BX29" s="6901"/>
      <c r="BY29" s="14754"/>
      <c r="BZ29" s="3448"/>
      <c r="CA29" s="3448"/>
      <c r="CB29" s="2060"/>
      <c r="CC29" s="3782"/>
      <c r="CD29" s="3771"/>
      <c r="CE29" s="3448"/>
      <c r="CF29" s="2060"/>
      <c r="CG29" s="3782"/>
      <c r="CH29" s="3771"/>
      <c r="CI29" s="2060"/>
      <c r="CJ29" s="3771"/>
      <c r="CK29" s="2060"/>
      <c r="CL29" s="3771"/>
      <c r="CM29" s="3448"/>
      <c r="CN29" s="3448"/>
      <c r="CO29" s="3448"/>
      <c r="CP29" s="3448"/>
      <c r="CQ29" s="3448"/>
      <c r="CR29" s="2060"/>
      <c r="CS29" s="3771"/>
      <c r="CT29" s="3448"/>
      <c r="CU29" s="3448"/>
      <c r="CV29" s="3448"/>
      <c r="CW29" s="3448"/>
      <c r="CX29" s="3448"/>
      <c r="CY29" s="3448"/>
      <c r="CZ29" s="2060"/>
      <c r="DA29" s="3771"/>
      <c r="DB29" s="3448"/>
      <c r="DC29" s="3448"/>
      <c r="DD29" s="3448"/>
      <c r="DE29" s="3448"/>
      <c r="DF29" s="2060"/>
      <c r="DG29" s="3782"/>
      <c r="DH29" s="3782"/>
      <c r="DI29" s="3782"/>
      <c r="DJ29" s="3782"/>
      <c r="DK29" s="3782"/>
      <c r="DL29" s="3771"/>
      <c r="DM29" s="3448"/>
      <c r="DN29" s="3448"/>
      <c r="DO29" s="3448"/>
      <c r="DP29" s="2060"/>
    </row>
    <row r="30" spans="1:120" s="1775" customFormat="1" ht="15" customHeight="1">
      <c r="A30" s="14644"/>
      <c r="B30" s="14647"/>
      <c r="C30" s="14582"/>
      <c r="D30" s="14585"/>
      <c r="E30" s="14650"/>
      <c r="F30" s="6935"/>
      <c r="G30" s="14595"/>
      <c r="H30" s="14595"/>
      <c r="I30" s="14637"/>
      <c r="J30" s="14690"/>
      <c r="K30" s="14681"/>
      <c r="L30" s="14688"/>
      <c r="M30" s="14681"/>
      <c r="N30" s="14681"/>
      <c r="O30" s="14681"/>
      <c r="P30" s="14681"/>
      <c r="Q30" s="6892" t="s">
        <v>10184</v>
      </c>
      <c r="R30" s="6893"/>
      <c r="S30" s="6893" t="s">
        <v>10167</v>
      </c>
      <c r="T30" s="14681"/>
      <c r="U30" s="14681"/>
      <c r="V30" s="14683"/>
      <c r="W30" s="14686"/>
      <c r="X30" s="14596"/>
      <c r="Y30" s="14596"/>
      <c r="Z30" s="14596"/>
      <c r="AA30" s="14679"/>
      <c r="AB30" s="6902"/>
      <c r="AC30" s="6903"/>
      <c r="AD30" s="14615"/>
      <c r="AE30" s="6936"/>
      <c r="AF30" s="6937"/>
      <c r="AG30" s="6937"/>
      <c r="AH30" s="6938"/>
      <c r="AI30" s="6938"/>
      <c r="AJ30" s="6938"/>
      <c r="AK30" s="6938"/>
      <c r="AL30" s="6938"/>
      <c r="AM30" s="6937"/>
      <c r="AN30" s="6937"/>
      <c r="AO30" s="6939"/>
      <c r="AP30" s="6939"/>
      <c r="AQ30" s="6939"/>
      <c r="AR30" s="6939"/>
      <c r="AS30" s="6939"/>
      <c r="AT30" s="6939"/>
      <c r="AU30" s="6939"/>
      <c r="AV30" s="6939"/>
      <c r="AW30" s="6939"/>
      <c r="AX30" s="6939"/>
      <c r="AY30" s="6939"/>
      <c r="AZ30" s="6939"/>
      <c r="BA30" s="6939"/>
      <c r="BB30" s="6939"/>
      <c r="BC30" s="6939"/>
      <c r="BD30" s="6939"/>
      <c r="BE30" s="6939"/>
      <c r="BF30" s="6939"/>
      <c r="BG30" s="6939"/>
      <c r="BH30" s="6939"/>
      <c r="BI30" s="6939"/>
      <c r="BJ30" s="6939"/>
      <c r="BK30" s="6939"/>
      <c r="BL30" s="6939"/>
      <c r="BM30" s="6939"/>
      <c r="BN30" s="6939"/>
      <c r="BO30" s="6939"/>
      <c r="BP30" s="6939"/>
      <c r="BQ30" s="6939"/>
      <c r="BR30" s="6939"/>
      <c r="BS30" s="6939"/>
      <c r="BT30" s="6939"/>
      <c r="BU30" s="6940"/>
      <c r="BW30" s="6900"/>
      <c r="BX30" s="6901"/>
      <c r="BY30" s="14754"/>
      <c r="BZ30" s="3448"/>
      <c r="CA30" s="3448"/>
      <c r="CB30" s="2060"/>
      <c r="CC30" s="3782"/>
      <c r="CD30" s="3771"/>
      <c r="CE30" s="3448"/>
      <c r="CF30" s="2060"/>
      <c r="CG30" s="3782"/>
      <c r="CH30" s="3771"/>
      <c r="CI30" s="2060"/>
      <c r="CJ30" s="3771"/>
      <c r="CK30" s="2060"/>
      <c r="CL30" s="3771"/>
      <c r="CM30" s="3448"/>
      <c r="CN30" s="3448"/>
      <c r="CO30" s="3448"/>
      <c r="CP30" s="3448"/>
      <c r="CQ30" s="3448"/>
      <c r="CR30" s="2060"/>
      <c r="CS30" s="3771"/>
      <c r="CT30" s="3448"/>
      <c r="CU30" s="3448"/>
      <c r="CV30" s="3448"/>
      <c r="CW30" s="3448"/>
      <c r="CX30" s="3448"/>
      <c r="CY30" s="3448"/>
      <c r="CZ30" s="2060"/>
      <c r="DA30" s="3771"/>
      <c r="DB30" s="3448"/>
      <c r="DC30" s="3448"/>
      <c r="DD30" s="3448"/>
      <c r="DE30" s="3448"/>
      <c r="DF30" s="2060"/>
      <c r="DG30" s="3782"/>
      <c r="DH30" s="3782"/>
      <c r="DI30" s="3782"/>
      <c r="DJ30" s="3782"/>
      <c r="DK30" s="3782"/>
      <c r="DL30" s="3771"/>
      <c r="DM30" s="3448"/>
      <c r="DN30" s="3448"/>
      <c r="DO30" s="3448"/>
      <c r="DP30" s="2060"/>
    </row>
    <row r="31" spans="1:120" s="1775" customFormat="1" ht="15" customHeight="1" thickBot="1">
      <c r="A31" s="14645"/>
      <c r="B31" s="14648"/>
      <c r="C31" s="14582"/>
      <c r="D31" s="14585"/>
      <c r="E31" s="14651"/>
      <c r="F31" s="4362" t="s">
        <v>4729</v>
      </c>
      <c r="G31" s="14597"/>
      <c r="H31" s="14597"/>
      <c r="I31" s="14638"/>
      <c r="J31" s="6941" t="s">
        <v>7541</v>
      </c>
      <c r="K31" s="6942" t="s">
        <v>4730</v>
      </c>
      <c r="L31" s="1776" t="s">
        <v>4676</v>
      </c>
      <c r="M31" s="6942" t="s">
        <v>4731</v>
      </c>
      <c r="N31" s="4362" t="s">
        <v>4705</v>
      </c>
      <c r="O31" s="6942" t="s">
        <v>4732</v>
      </c>
      <c r="P31" s="4362" t="s">
        <v>4733</v>
      </c>
      <c r="Q31" s="6943" t="s">
        <v>10066</v>
      </c>
      <c r="R31" s="6944" t="s">
        <v>298</v>
      </c>
      <c r="S31" s="6944"/>
      <c r="T31" s="6944" t="s">
        <v>4681</v>
      </c>
      <c r="U31" s="1925">
        <v>1</v>
      </c>
      <c r="V31" s="6945">
        <v>1</v>
      </c>
      <c r="W31" s="6946">
        <v>1</v>
      </c>
      <c r="X31" s="1925">
        <v>1</v>
      </c>
      <c r="Y31" s="1925">
        <v>1</v>
      </c>
      <c r="Z31" s="1925">
        <f t="shared" si="0"/>
        <v>5</v>
      </c>
      <c r="AA31" s="6947">
        <v>30000000</v>
      </c>
      <c r="AB31" s="6948" t="s">
        <v>9208</v>
      </c>
      <c r="AC31" s="6949">
        <f>IF((AB31/U31)&gt;=1,100%)</f>
        <v>1</v>
      </c>
      <c r="AD31" s="14616"/>
      <c r="AE31" s="6950" t="s">
        <v>9209</v>
      </c>
      <c r="AF31" s="6951" t="s">
        <v>9205</v>
      </c>
      <c r="AG31" s="6951"/>
      <c r="AH31" s="6952">
        <v>300000000</v>
      </c>
      <c r="AI31" s="6952">
        <v>300000000</v>
      </c>
      <c r="AJ31" s="6952"/>
      <c r="AK31" s="6952"/>
      <c r="AL31" s="6953">
        <v>912</v>
      </c>
      <c r="AM31" s="6954"/>
      <c r="AN31" s="6954"/>
      <c r="AO31" s="6954"/>
      <c r="AP31" s="6954"/>
      <c r="AQ31" s="6954"/>
      <c r="AR31" s="6954"/>
      <c r="AS31" s="6954"/>
      <c r="AT31" s="6954"/>
      <c r="AU31" s="6954"/>
      <c r="AV31" s="6954"/>
      <c r="AW31" s="6954"/>
      <c r="AX31" s="6954"/>
      <c r="AY31" s="6954"/>
      <c r="AZ31" s="6954"/>
      <c r="BA31" s="6954"/>
      <c r="BB31" s="6954"/>
      <c r="BC31" s="6954"/>
      <c r="BD31" s="6954"/>
      <c r="BE31" s="6954"/>
      <c r="BF31" s="6954"/>
      <c r="BG31" s="6954"/>
      <c r="BH31" s="6954"/>
      <c r="BI31" s="6954"/>
      <c r="BJ31" s="6954"/>
      <c r="BK31" s="6954"/>
      <c r="BL31" s="6954"/>
      <c r="BM31" s="6954"/>
      <c r="BN31" s="6954"/>
      <c r="BO31" s="6954"/>
      <c r="BP31" s="6954"/>
      <c r="BQ31" s="6954"/>
      <c r="BR31" s="6954"/>
      <c r="BS31" s="6954"/>
      <c r="BT31" s="6954"/>
      <c r="BU31" s="6955"/>
      <c r="BW31" s="6956"/>
      <c r="BX31" s="6949"/>
      <c r="BY31" s="14755"/>
      <c r="BZ31" s="3815"/>
      <c r="CA31" s="3815"/>
      <c r="CB31" s="3816"/>
      <c r="CC31" s="3817"/>
      <c r="CD31" s="3818"/>
      <c r="CE31" s="3815"/>
      <c r="CF31" s="3816"/>
      <c r="CG31" s="3817"/>
      <c r="CH31" s="3818"/>
      <c r="CI31" s="3816"/>
      <c r="CJ31" s="3818"/>
      <c r="CK31" s="3816"/>
      <c r="CL31" s="3818"/>
      <c r="CM31" s="3815"/>
      <c r="CN31" s="3815"/>
      <c r="CO31" s="3815"/>
      <c r="CP31" s="3815"/>
      <c r="CQ31" s="3815"/>
      <c r="CR31" s="3816"/>
      <c r="CS31" s="3818"/>
      <c r="CT31" s="3815"/>
      <c r="CU31" s="3815"/>
      <c r="CV31" s="3815"/>
      <c r="CW31" s="3815"/>
      <c r="CX31" s="3815"/>
      <c r="CY31" s="3815"/>
      <c r="CZ31" s="3816"/>
      <c r="DA31" s="3818"/>
      <c r="DB31" s="3815"/>
      <c r="DC31" s="3815"/>
      <c r="DD31" s="3815"/>
      <c r="DE31" s="3815"/>
      <c r="DF31" s="3816"/>
      <c r="DG31" s="3817"/>
      <c r="DH31" s="3817"/>
      <c r="DI31" s="3817"/>
      <c r="DJ31" s="3817"/>
      <c r="DK31" s="3817"/>
      <c r="DL31" s="3818"/>
      <c r="DM31" s="3815"/>
      <c r="DN31" s="3815"/>
      <c r="DO31" s="3815"/>
      <c r="DP31" s="3816"/>
    </row>
    <row r="32" spans="1:120" s="6964" customFormat="1" ht="15" customHeight="1">
      <c r="A32" s="14652" t="s">
        <v>4734</v>
      </c>
      <c r="B32" s="14655" t="s">
        <v>4735</v>
      </c>
      <c r="C32" s="14582"/>
      <c r="D32" s="14585"/>
      <c r="E32" s="14658" t="s">
        <v>4736</v>
      </c>
      <c r="F32" s="14641" t="s">
        <v>4737</v>
      </c>
      <c r="G32" s="14591" t="s">
        <v>4738</v>
      </c>
      <c r="H32" s="14591" t="s">
        <v>4739</v>
      </c>
      <c r="I32" s="14639" t="s">
        <v>298</v>
      </c>
      <c r="J32" s="14662" t="s">
        <v>7542</v>
      </c>
      <c r="K32" s="14593" t="s">
        <v>4740</v>
      </c>
      <c r="L32" s="14712" t="s">
        <v>4676</v>
      </c>
      <c r="M32" s="14593" t="s">
        <v>4741</v>
      </c>
      <c r="N32" s="14593" t="s">
        <v>4705</v>
      </c>
      <c r="O32" s="14593" t="s">
        <v>4742</v>
      </c>
      <c r="P32" s="14593" t="s">
        <v>4743</v>
      </c>
      <c r="Q32" s="6957" t="s">
        <v>10066</v>
      </c>
      <c r="R32" s="6958" t="s">
        <v>298</v>
      </c>
      <c r="S32" s="6958"/>
      <c r="T32" s="14593" t="s">
        <v>4660</v>
      </c>
      <c r="U32" s="14702">
        <v>0</v>
      </c>
      <c r="V32" s="14710">
        <v>1</v>
      </c>
      <c r="W32" s="14697">
        <v>2</v>
      </c>
      <c r="X32" s="14700">
        <v>1</v>
      </c>
      <c r="Y32" s="14700">
        <v>1</v>
      </c>
      <c r="Z32" s="14700">
        <f t="shared" si="0"/>
        <v>5</v>
      </c>
      <c r="AA32" s="14703">
        <v>100000000</v>
      </c>
      <c r="AB32" s="6959" t="s">
        <v>2951</v>
      </c>
      <c r="AC32" s="6960" t="s">
        <v>2951</v>
      </c>
      <c r="AD32" s="14617">
        <f>AVERAGE(AC32:AC91)</f>
        <v>0.55461538461538462</v>
      </c>
      <c r="AE32" s="6961"/>
      <c r="AF32" s="6961"/>
      <c r="AG32" s="6961"/>
      <c r="AH32" s="6962"/>
      <c r="AI32" s="6962"/>
      <c r="AJ32" s="6962"/>
      <c r="AK32" s="6962"/>
      <c r="AL32" s="6961"/>
      <c r="AM32" s="6961"/>
      <c r="AN32" s="6961"/>
      <c r="AO32" s="6961"/>
      <c r="AP32" s="6961"/>
      <c r="AQ32" s="6961"/>
      <c r="AR32" s="6961"/>
      <c r="AS32" s="6961"/>
      <c r="AT32" s="6961"/>
      <c r="AU32" s="6961"/>
      <c r="AV32" s="6961"/>
      <c r="AW32" s="6961"/>
      <c r="AX32" s="6961"/>
      <c r="AY32" s="6961"/>
      <c r="AZ32" s="6961"/>
      <c r="BA32" s="6961"/>
      <c r="BB32" s="6961"/>
      <c r="BC32" s="6961"/>
      <c r="BD32" s="6961"/>
      <c r="BE32" s="6961"/>
      <c r="BF32" s="6961"/>
      <c r="BG32" s="6961"/>
      <c r="BH32" s="6961"/>
      <c r="BI32" s="6961"/>
      <c r="BJ32" s="6961"/>
      <c r="BK32" s="6961"/>
      <c r="BL32" s="6961"/>
      <c r="BM32" s="6961"/>
      <c r="BN32" s="6961"/>
      <c r="BO32" s="6961"/>
      <c r="BP32" s="6961"/>
      <c r="BQ32" s="6961"/>
      <c r="BR32" s="6961"/>
      <c r="BS32" s="6961"/>
      <c r="BT32" s="6961"/>
      <c r="BU32" s="6963"/>
      <c r="BW32" s="6965"/>
      <c r="BX32" s="6966"/>
      <c r="BY32" s="14756" t="e">
        <f>AVERAGE(BX32:BX91)</f>
        <v>#DIV/0!</v>
      </c>
      <c r="BZ32" s="6967"/>
      <c r="CA32" s="6967"/>
      <c r="CB32" s="6968"/>
      <c r="CC32" s="6969"/>
      <c r="CD32" s="6970"/>
      <c r="CE32" s="6967"/>
      <c r="CF32" s="6968"/>
      <c r="CG32" s="6969"/>
      <c r="CH32" s="6970"/>
      <c r="CI32" s="6968"/>
      <c r="CJ32" s="6970"/>
      <c r="CK32" s="6968"/>
      <c r="CL32" s="6970"/>
      <c r="CM32" s="6967"/>
      <c r="CN32" s="6967"/>
      <c r="CO32" s="6967"/>
      <c r="CP32" s="6967"/>
      <c r="CQ32" s="6967"/>
      <c r="CR32" s="6968"/>
      <c r="CS32" s="6970"/>
      <c r="CT32" s="6967"/>
      <c r="CU32" s="6967"/>
      <c r="CV32" s="6967"/>
      <c r="CW32" s="6967"/>
      <c r="CX32" s="6967"/>
      <c r="CY32" s="6967"/>
      <c r="CZ32" s="6968"/>
      <c r="DA32" s="6970"/>
      <c r="DB32" s="6967"/>
      <c r="DC32" s="6967"/>
      <c r="DD32" s="6967"/>
      <c r="DE32" s="6967"/>
      <c r="DF32" s="6968"/>
      <c r="DG32" s="6969"/>
      <c r="DH32" s="6969"/>
      <c r="DI32" s="6969"/>
      <c r="DJ32" s="6969"/>
      <c r="DK32" s="6969"/>
      <c r="DL32" s="6970"/>
      <c r="DM32" s="6967"/>
      <c r="DN32" s="6967"/>
      <c r="DO32" s="6967"/>
      <c r="DP32" s="6968"/>
    </row>
    <row r="33" spans="1:120" s="6964" customFormat="1" ht="15" customHeight="1">
      <c r="A33" s="14653"/>
      <c r="B33" s="14656"/>
      <c r="C33" s="14582"/>
      <c r="D33" s="14585"/>
      <c r="E33" s="14621"/>
      <c r="F33" s="14625"/>
      <c r="G33" s="14592"/>
      <c r="H33" s="14592"/>
      <c r="I33" s="14630"/>
      <c r="J33" s="14708"/>
      <c r="K33" s="14707"/>
      <c r="L33" s="14706"/>
      <c r="M33" s="14707"/>
      <c r="N33" s="14707"/>
      <c r="O33" s="14707"/>
      <c r="P33" s="14707"/>
      <c r="Q33" s="6971" t="s">
        <v>10057</v>
      </c>
      <c r="R33" s="6972"/>
      <c r="S33" s="6972" t="s">
        <v>10058</v>
      </c>
      <c r="T33" s="14707"/>
      <c r="U33" s="14709"/>
      <c r="V33" s="14711"/>
      <c r="W33" s="14698"/>
      <c r="X33" s="14701"/>
      <c r="Y33" s="14701"/>
      <c r="Z33" s="14701"/>
      <c r="AA33" s="14704"/>
      <c r="AB33" s="6973"/>
      <c r="AC33" s="6974"/>
      <c r="AD33" s="14618"/>
      <c r="AE33" s="6975"/>
      <c r="AF33" s="6975"/>
      <c r="AG33" s="6975"/>
      <c r="AH33" s="6976"/>
      <c r="AI33" s="6976"/>
      <c r="AJ33" s="6976"/>
      <c r="AK33" s="6976"/>
      <c r="AL33" s="6975"/>
      <c r="AM33" s="6975"/>
      <c r="AN33" s="6975"/>
      <c r="AO33" s="6975"/>
      <c r="AP33" s="6975"/>
      <c r="AQ33" s="6975"/>
      <c r="AR33" s="6975"/>
      <c r="AS33" s="6975"/>
      <c r="AT33" s="6975"/>
      <c r="AU33" s="6975"/>
      <c r="AV33" s="6975"/>
      <c r="AW33" s="6975"/>
      <c r="AX33" s="6975"/>
      <c r="AY33" s="6975"/>
      <c r="AZ33" s="6975"/>
      <c r="BA33" s="6975"/>
      <c r="BB33" s="6975"/>
      <c r="BC33" s="6975"/>
      <c r="BD33" s="6975"/>
      <c r="BE33" s="6975"/>
      <c r="BF33" s="6975"/>
      <c r="BG33" s="6975"/>
      <c r="BH33" s="6975"/>
      <c r="BI33" s="6975"/>
      <c r="BJ33" s="6975"/>
      <c r="BK33" s="6975"/>
      <c r="BL33" s="6975"/>
      <c r="BM33" s="6975"/>
      <c r="BN33" s="6975"/>
      <c r="BO33" s="6975"/>
      <c r="BP33" s="6975"/>
      <c r="BQ33" s="6975"/>
      <c r="BR33" s="6975"/>
      <c r="BS33" s="6975"/>
      <c r="BT33" s="6975"/>
      <c r="BU33" s="6977"/>
      <c r="BW33" s="6978"/>
      <c r="BX33" s="6979"/>
      <c r="BY33" s="14757"/>
      <c r="BZ33" s="6980"/>
      <c r="CA33" s="6980"/>
      <c r="CB33" s="6981"/>
      <c r="CC33" s="6982"/>
      <c r="CD33" s="6983"/>
      <c r="CE33" s="6980"/>
      <c r="CF33" s="6981"/>
      <c r="CG33" s="6982"/>
      <c r="CH33" s="6983"/>
      <c r="CI33" s="6981"/>
      <c r="CJ33" s="6983"/>
      <c r="CK33" s="6981"/>
      <c r="CL33" s="6983"/>
      <c r="CM33" s="6980"/>
      <c r="CN33" s="6980"/>
      <c r="CO33" s="6980"/>
      <c r="CP33" s="6980"/>
      <c r="CQ33" s="6980"/>
      <c r="CR33" s="6981"/>
      <c r="CS33" s="6983"/>
      <c r="CT33" s="6980"/>
      <c r="CU33" s="6980"/>
      <c r="CV33" s="6980"/>
      <c r="CW33" s="6980"/>
      <c r="CX33" s="6980"/>
      <c r="CY33" s="6980"/>
      <c r="CZ33" s="6981"/>
      <c r="DA33" s="6983"/>
      <c r="DB33" s="6980"/>
      <c r="DC33" s="6980"/>
      <c r="DD33" s="6980"/>
      <c r="DE33" s="6980"/>
      <c r="DF33" s="6981"/>
      <c r="DG33" s="6982"/>
      <c r="DH33" s="6982"/>
      <c r="DI33" s="6982"/>
      <c r="DJ33" s="6982"/>
      <c r="DK33" s="6982"/>
      <c r="DL33" s="6983"/>
      <c r="DM33" s="6980"/>
      <c r="DN33" s="6980"/>
      <c r="DO33" s="6980"/>
      <c r="DP33" s="6981"/>
    </row>
    <row r="34" spans="1:120" s="6964" customFormat="1" ht="15" customHeight="1">
      <c r="A34" s="14653"/>
      <c r="B34" s="14656"/>
      <c r="C34" s="14582"/>
      <c r="D34" s="14585"/>
      <c r="E34" s="14621"/>
      <c r="F34" s="14625"/>
      <c r="G34" s="14592"/>
      <c r="H34" s="14592"/>
      <c r="I34" s="14630"/>
      <c r="J34" s="14708"/>
      <c r="K34" s="14707"/>
      <c r="L34" s="14706"/>
      <c r="M34" s="14707"/>
      <c r="N34" s="14707"/>
      <c r="O34" s="14707"/>
      <c r="P34" s="14707"/>
      <c r="Q34" s="6971" t="s">
        <v>10184</v>
      </c>
      <c r="R34" s="6972"/>
      <c r="S34" s="6972" t="s">
        <v>10168</v>
      </c>
      <c r="T34" s="14707"/>
      <c r="U34" s="14709"/>
      <c r="V34" s="14711"/>
      <c r="W34" s="14698"/>
      <c r="X34" s="14701"/>
      <c r="Y34" s="14701"/>
      <c r="Z34" s="14701"/>
      <c r="AA34" s="14704"/>
      <c r="AB34" s="6973"/>
      <c r="AC34" s="6974"/>
      <c r="AD34" s="14618"/>
      <c r="AE34" s="6975"/>
      <c r="AF34" s="6975"/>
      <c r="AG34" s="6975"/>
      <c r="AH34" s="6976"/>
      <c r="AI34" s="6976"/>
      <c r="AJ34" s="6976"/>
      <c r="AK34" s="6976"/>
      <c r="AL34" s="6975"/>
      <c r="AM34" s="6975"/>
      <c r="AN34" s="6975"/>
      <c r="AO34" s="6975"/>
      <c r="AP34" s="6975"/>
      <c r="AQ34" s="6975"/>
      <c r="AR34" s="6975"/>
      <c r="AS34" s="6975"/>
      <c r="AT34" s="6975"/>
      <c r="AU34" s="6975"/>
      <c r="AV34" s="6975"/>
      <c r="AW34" s="6975"/>
      <c r="AX34" s="6975"/>
      <c r="AY34" s="6975"/>
      <c r="AZ34" s="6975"/>
      <c r="BA34" s="6975"/>
      <c r="BB34" s="6975"/>
      <c r="BC34" s="6975"/>
      <c r="BD34" s="6975"/>
      <c r="BE34" s="6975"/>
      <c r="BF34" s="6975"/>
      <c r="BG34" s="6975"/>
      <c r="BH34" s="6975"/>
      <c r="BI34" s="6975"/>
      <c r="BJ34" s="6975"/>
      <c r="BK34" s="6975"/>
      <c r="BL34" s="6975"/>
      <c r="BM34" s="6975"/>
      <c r="BN34" s="6975"/>
      <c r="BO34" s="6975"/>
      <c r="BP34" s="6975"/>
      <c r="BQ34" s="6975"/>
      <c r="BR34" s="6975"/>
      <c r="BS34" s="6975"/>
      <c r="BT34" s="6975"/>
      <c r="BU34" s="6977"/>
      <c r="BW34" s="6978"/>
      <c r="BX34" s="6979"/>
      <c r="BY34" s="14757"/>
      <c r="BZ34" s="6980"/>
      <c r="CA34" s="6980"/>
      <c r="CB34" s="6981"/>
      <c r="CC34" s="6982"/>
      <c r="CD34" s="6983"/>
      <c r="CE34" s="6980"/>
      <c r="CF34" s="6981"/>
      <c r="CG34" s="6982"/>
      <c r="CH34" s="6983"/>
      <c r="CI34" s="6981"/>
      <c r="CJ34" s="6983"/>
      <c r="CK34" s="6981"/>
      <c r="CL34" s="6983"/>
      <c r="CM34" s="6980"/>
      <c r="CN34" s="6980"/>
      <c r="CO34" s="6980"/>
      <c r="CP34" s="6980"/>
      <c r="CQ34" s="6980"/>
      <c r="CR34" s="6981"/>
      <c r="CS34" s="6983"/>
      <c r="CT34" s="6980"/>
      <c r="CU34" s="6980"/>
      <c r="CV34" s="6980"/>
      <c r="CW34" s="6980"/>
      <c r="CX34" s="6980"/>
      <c r="CY34" s="6980"/>
      <c r="CZ34" s="6981"/>
      <c r="DA34" s="6983"/>
      <c r="DB34" s="6980"/>
      <c r="DC34" s="6980"/>
      <c r="DD34" s="6980"/>
      <c r="DE34" s="6980"/>
      <c r="DF34" s="6981"/>
      <c r="DG34" s="6982"/>
      <c r="DH34" s="6982"/>
      <c r="DI34" s="6982"/>
      <c r="DJ34" s="6982"/>
      <c r="DK34" s="6982"/>
      <c r="DL34" s="6983"/>
      <c r="DM34" s="6980"/>
      <c r="DN34" s="6980"/>
      <c r="DO34" s="6980"/>
      <c r="DP34" s="6981"/>
    </row>
    <row r="35" spans="1:120" s="6964" customFormat="1" ht="15" customHeight="1" thickBot="1">
      <c r="A35" s="14653"/>
      <c r="B35" s="14656"/>
      <c r="C35" s="14582"/>
      <c r="D35" s="14585"/>
      <c r="E35" s="14621"/>
      <c r="F35" s="14625"/>
      <c r="G35" s="14592"/>
      <c r="H35" s="14592"/>
      <c r="I35" s="14630"/>
      <c r="J35" s="14708"/>
      <c r="K35" s="14707"/>
      <c r="L35" s="14706"/>
      <c r="M35" s="14707"/>
      <c r="N35" s="14707"/>
      <c r="O35" s="14707"/>
      <c r="P35" s="14707"/>
      <c r="Q35" s="6971" t="s">
        <v>10185</v>
      </c>
      <c r="R35" s="6972"/>
      <c r="S35" s="6972" t="s">
        <v>1323</v>
      </c>
      <c r="T35" s="14707"/>
      <c r="U35" s="14709"/>
      <c r="V35" s="14711"/>
      <c r="W35" s="14699"/>
      <c r="X35" s="14702"/>
      <c r="Y35" s="14702"/>
      <c r="Z35" s="14702"/>
      <c r="AA35" s="14705"/>
      <c r="AB35" s="6984"/>
      <c r="AC35" s="6966"/>
      <c r="AD35" s="14618"/>
      <c r="AE35" s="6975"/>
      <c r="AF35" s="6975"/>
      <c r="AG35" s="6975"/>
      <c r="AH35" s="6976"/>
      <c r="AI35" s="6976"/>
      <c r="AJ35" s="6976"/>
      <c r="AK35" s="6976"/>
      <c r="AL35" s="6975"/>
      <c r="AM35" s="6975"/>
      <c r="AN35" s="6975"/>
      <c r="AO35" s="6975"/>
      <c r="AP35" s="6975"/>
      <c r="AQ35" s="6975"/>
      <c r="AR35" s="6975"/>
      <c r="AS35" s="6975"/>
      <c r="AT35" s="6975"/>
      <c r="AU35" s="6975"/>
      <c r="AV35" s="6975"/>
      <c r="AW35" s="6975"/>
      <c r="AX35" s="6975"/>
      <c r="AY35" s="6975"/>
      <c r="AZ35" s="6975"/>
      <c r="BA35" s="6975"/>
      <c r="BB35" s="6975"/>
      <c r="BC35" s="6975"/>
      <c r="BD35" s="6975"/>
      <c r="BE35" s="6975"/>
      <c r="BF35" s="6975"/>
      <c r="BG35" s="6975"/>
      <c r="BH35" s="6975"/>
      <c r="BI35" s="6975"/>
      <c r="BJ35" s="6975"/>
      <c r="BK35" s="6975"/>
      <c r="BL35" s="6975"/>
      <c r="BM35" s="6975"/>
      <c r="BN35" s="6975"/>
      <c r="BO35" s="6975"/>
      <c r="BP35" s="6975"/>
      <c r="BQ35" s="6975"/>
      <c r="BR35" s="6975"/>
      <c r="BS35" s="6975"/>
      <c r="BT35" s="6975"/>
      <c r="BU35" s="6977"/>
      <c r="BW35" s="6978"/>
      <c r="BX35" s="6979"/>
      <c r="BY35" s="14757"/>
      <c r="BZ35" s="6980"/>
      <c r="CA35" s="6980"/>
      <c r="CB35" s="6981"/>
      <c r="CC35" s="6982"/>
      <c r="CD35" s="6983"/>
      <c r="CE35" s="6980"/>
      <c r="CF35" s="6981"/>
      <c r="CG35" s="6982"/>
      <c r="CH35" s="6983"/>
      <c r="CI35" s="6981"/>
      <c r="CJ35" s="6983"/>
      <c r="CK35" s="6981"/>
      <c r="CL35" s="6983"/>
      <c r="CM35" s="6980"/>
      <c r="CN35" s="6980"/>
      <c r="CO35" s="6980"/>
      <c r="CP35" s="6980"/>
      <c r="CQ35" s="6980"/>
      <c r="CR35" s="6981"/>
      <c r="CS35" s="6983"/>
      <c r="CT35" s="6980"/>
      <c r="CU35" s="6980"/>
      <c r="CV35" s="6980"/>
      <c r="CW35" s="6980"/>
      <c r="CX35" s="6980"/>
      <c r="CY35" s="6980"/>
      <c r="CZ35" s="6981"/>
      <c r="DA35" s="6983"/>
      <c r="DB35" s="6980"/>
      <c r="DC35" s="6980"/>
      <c r="DD35" s="6980"/>
      <c r="DE35" s="6980"/>
      <c r="DF35" s="6981"/>
      <c r="DG35" s="6982"/>
      <c r="DH35" s="6982"/>
      <c r="DI35" s="6982"/>
      <c r="DJ35" s="6982"/>
      <c r="DK35" s="6982"/>
      <c r="DL35" s="6983"/>
      <c r="DM35" s="6980"/>
      <c r="DN35" s="6980"/>
      <c r="DO35" s="6980"/>
      <c r="DP35" s="6981"/>
    </row>
    <row r="36" spans="1:120" s="6964" customFormat="1" ht="15" customHeight="1">
      <c r="A36" s="14653"/>
      <c r="B36" s="14656"/>
      <c r="C36" s="14582"/>
      <c r="D36" s="14585"/>
      <c r="E36" s="14621"/>
      <c r="F36" s="14625"/>
      <c r="G36" s="14592"/>
      <c r="H36" s="14592"/>
      <c r="I36" s="14630"/>
      <c r="J36" s="14708" t="s">
        <v>7543</v>
      </c>
      <c r="K36" s="14707" t="s">
        <v>4744</v>
      </c>
      <c r="L36" s="14706" t="s">
        <v>4676</v>
      </c>
      <c r="M36" s="14707" t="s">
        <v>4745</v>
      </c>
      <c r="N36" s="14707" t="s">
        <v>4746</v>
      </c>
      <c r="O36" s="14707" t="s">
        <v>4747</v>
      </c>
      <c r="P36" s="14707" t="s">
        <v>4748</v>
      </c>
      <c r="Q36" s="6971" t="s">
        <v>10066</v>
      </c>
      <c r="R36" s="6972" t="s">
        <v>298</v>
      </c>
      <c r="S36" s="6972"/>
      <c r="T36" s="14707" t="s">
        <v>4660</v>
      </c>
      <c r="U36" s="14709">
        <v>0</v>
      </c>
      <c r="V36" s="14711">
        <v>2</v>
      </c>
      <c r="W36" s="14697">
        <v>3</v>
      </c>
      <c r="X36" s="14700">
        <v>3</v>
      </c>
      <c r="Y36" s="14700">
        <v>2</v>
      </c>
      <c r="Z36" s="14700">
        <f t="shared" si="0"/>
        <v>10</v>
      </c>
      <c r="AA36" s="14703">
        <v>0</v>
      </c>
      <c r="AB36" s="6959" t="s">
        <v>2951</v>
      </c>
      <c r="AC36" s="6960" t="s">
        <v>2951</v>
      </c>
      <c r="AD36" s="14618"/>
      <c r="AE36" s="6985"/>
      <c r="AF36" s="6985"/>
      <c r="AG36" s="6985"/>
      <c r="AH36" s="6986"/>
      <c r="AI36" s="6986"/>
      <c r="AJ36" s="6986"/>
      <c r="AK36" s="6986"/>
      <c r="AL36" s="6985"/>
      <c r="AM36" s="6985"/>
      <c r="AN36" s="6985"/>
      <c r="AO36" s="6985"/>
      <c r="AP36" s="6985"/>
      <c r="AQ36" s="6985"/>
      <c r="AR36" s="6985"/>
      <c r="AS36" s="6985"/>
      <c r="AT36" s="6985"/>
      <c r="AU36" s="6985"/>
      <c r="AV36" s="6985"/>
      <c r="AW36" s="6985"/>
      <c r="AX36" s="6985"/>
      <c r="AY36" s="6985"/>
      <c r="AZ36" s="6985"/>
      <c r="BA36" s="6985"/>
      <c r="BB36" s="6985"/>
      <c r="BC36" s="6985"/>
      <c r="BD36" s="6985"/>
      <c r="BE36" s="6985"/>
      <c r="BF36" s="6985"/>
      <c r="BG36" s="6985"/>
      <c r="BH36" s="6985"/>
      <c r="BI36" s="6985"/>
      <c r="BJ36" s="6985"/>
      <c r="BK36" s="6985"/>
      <c r="BL36" s="6985"/>
      <c r="BM36" s="6985"/>
      <c r="BN36" s="6985"/>
      <c r="BO36" s="6985"/>
      <c r="BP36" s="6985"/>
      <c r="BQ36" s="6985"/>
      <c r="BR36" s="6985"/>
      <c r="BS36" s="6985"/>
      <c r="BT36" s="6985"/>
      <c r="BU36" s="6987"/>
      <c r="BW36" s="6978"/>
      <c r="BX36" s="6979"/>
      <c r="BY36" s="14757"/>
      <c r="BZ36" s="6980"/>
      <c r="CA36" s="6980"/>
      <c r="CB36" s="6981"/>
      <c r="CC36" s="6982"/>
      <c r="CD36" s="6983"/>
      <c r="CE36" s="6980"/>
      <c r="CF36" s="6981"/>
      <c r="CG36" s="6982"/>
      <c r="CH36" s="6983"/>
      <c r="CI36" s="6981"/>
      <c r="CJ36" s="6983"/>
      <c r="CK36" s="6981"/>
      <c r="CL36" s="6983"/>
      <c r="CM36" s="6980"/>
      <c r="CN36" s="6980"/>
      <c r="CO36" s="6980"/>
      <c r="CP36" s="6980"/>
      <c r="CQ36" s="6980"/>
      <c r="CR36" s="6981"/>
      <c r="CS36" s="6983"/>
      <c r="CT36" s="6980"/>
      <c r="CU36" s="6980"/>
      <c r="CV36" s="6980"/>
      <c r="CW36" s="6980"/>
      <c r="CX36" s="6980"/>
      <c r="CY36" s="6980"/>
      <c r="CZ36" s="6981"/>
      <c r="DA36" s="6983"/>
      <c r="DB36" s="6980"/>
      <c r="DC36" s="6980"/>
      <c r="DD36" s="6980"/>
      <c r="DE36" s="6980"/>
      <c r="DF36" s="6981"/>
      <c r="DG36" s="6982"/>
      <c r="DH36" s="6982"/>
      <c r="DI36" s="6982"/>
      <c r="DJ36" s="6982"/>
      <c r="DK36" s="6982"/>
      <c r="DL36" s="6983"/>
      <c r="DM36" s="6980"/>
      <c r="DN36" s="6980"/>
      <c r="DO36" s="6980"/>
      <c r="DP36" s="6981"/>
    </row>
    <row r="37" spans="1:120" s="6964" customFormat="1" ht="15" customHeight="1">
      <c r="A37" s="14653"/>
      <c r="B37" s="14656"/>
      <c r="C37" s="14582"/>
      <c r="D37" s="14585"/>
      <c r="E37" s="14621"/>
      <c r="F37" s="14625"/>
      <c r="G37" s="14592"/>
      <c r="H37" s="14592"/>
      <c r="I37" s="14630"/>
      <c r="J37" s="14708"/>
      <c r="K37" s="14707"/>
      <c r="L37" s="14706"/>
      <c r="M37" s="14707"/>
      <c r="N37" s="14707"/>
      <c r="O37" s="14707"/>
      <c r="P37" s="14707"/>
      <c r="Q37" s="6971" t="s">
        <v>10057</v>
      </c>
      <c r="R37" s="6972"/>
      <c r="S37" s="6972" t="s">
        <v>10058</v>
      </c>
      <c r="T37" s="14707"/>
      <c r="U37" s="14709"/>
      <c r="V37" s="14711"/>
      <c r="W37" s="14698"/>
      <c r="X37" s="14701"/>
      <c r="Y37" s="14701"/>
      <c r="Z37" s="14701"/>
      <c r="AA37" s="14704"/>
      <c r="AB37" s="6973"/>
      <c r="AC37" s="6974"/>
      <c r="AD37" s="14618"/>
      <c r="AE37" s="6988"/>
      <c r="AF37" s="6988"/>
      <c r="AG37" s="6988"/>
      <c r="AH37" s="6989"/>
      <c r="AI37" s="6989"/>
      <c r="AJ37" s="6989"/>
      <c r="AK37" s="6989"/>
      <c r="AL37" s="6988"/>
      <c r="AM37" s="6988"/>
      <c r="AN37" s="6988"/>
      <c r="AO37" s="6988"/>
      <c r="AP37" s="6988"/>
      <c r="AQ37" s="6988"/>
      <c r="AR37" s="6988"/>
      <c r="AS37" s="6988"/>
      <c r="AT37" s="6988"/>
      <c r="AU37" s="6988"/>
      <c r="AV37" s="6988"/>
      <c r="AW37" s="6988"/>
      <c r="AX37" s="6988"/>
      <c r="AY37" s="6988"/>
      <c r="AZ37" s="6988"/>
      <c r="BA37" s="6988"/>
      <c r="BB37" s="6988"/>
      <c r="BC37" s="6988"/>
      <c r="BD37" s="6988"/>
      <c r="BE37" s="6988"/>
      <c r="BF37" s="6988"/>
      <c r="BG37" s="6988"/>
      <c r="BH37" s="6988"/>
      <c r="BI37" s="6988"/>
      <c r="BJ37" s="6988"/>
      <c r="BK37" s="6988"/>
      <c r="BL37" s="6988"/>
      <c r="BM37" s="6988"/>
      <c r="BN37" s="6988"/>
      <c r="BO37" s="6988"/>
      <c r="BP37" s="6988"/>
      <c r="BQ37" s="6988"/>
      <c r="BR37" s="6988"/>
      <c r="BS37" s="6988"/>
      <c r="BT37" s="6988"/>
      <c r="BU37" s="6987"/>
      <c r="BW37" s="6978"/>
      <c r="BX37" s="6979"/>
      <c r="BY37" s="14757"/>
      <c r="BZ37" s="6980"/>
      <c r="CA37" s="6980"/>
      <c r="CB37" s="6981"/>
      <c r="CC37" s="6982"/>
      <c r="CD37" s="6983"/>
      <c r="CE37" s="6980"/>
      <c r="CF37" s="6981"/>
      <c r="CG37" s="6982"/>
      <c r="CH37" s="6983"/>
      <c r="CI37" s="6981"/>
      <c r="CJ37" s="6983"/>
      <c r="CK37" s="6981"/>
      <c r="CL37" s="6983"/>
      <c r="CM37" s="6980"/>
      <c r="CN37" s="6980"/>
      <c r="CO37" s="6980"/>
      <c r="CP37" s="6980"/>
      <c r="CQ37" s="6980"/>
      <c r="CR37" s="6981"/>
      <c r="CS37" s="6983"/>
      <c r="CT37" s="6980"/>
      <c r="CU37" s="6980"/>
      <c r="CV37" s="6980"/>
      <c r="CW37" s="6980"/>
      <c r="CX37" s="6980"/>
      <c r="CY37" s="6980"/>
      <c r="CZ37" s="6981"/>
      <c r="DA37" s="6983"/>
      <c r="DB37" s="6980"/>
      <c r="DC37" s="6980"/>
      <c r="DD37" s="6980"/>
      <c r="DE37" s="6980"/>
      <c r="DF37" s="6981"/>
      <c r="DG37" s="6982"/>
      <c r="DH37" s="6982"/>
      <c r="DI37" s="6982"/>
      <c r="DJ37" s="6982"/>
      <c r="DK37" s="6982"/>
      <c r="DL37" s="6983"/>
      <c r="DM37" s="6980"/>
      <c r="DN37" s="6980"/>
      <c r="DO37" s="6980"/>
      <c r="DP37" s="6981"/>
    </row>
    <row r="38" spans="1:120" s="6964" customFormat="1" ht="15" customHeight="1">
      <c r="A38" s="14653"/>
      <c r="B38" s="14656"/>
      <c r="C38" s="14582"/>
      <c r="D38" s="14585"/>
      <c r="E38" s="14621"/>
      <c r="F38" s="14625"/>
      <c r="G38" s="14592"/>
      <c r="H38" s="14592"/>
      <c r="I38" s="14630"/>
      <c r="J38" s="14708"/>
      <c r="K38" s="14707"/>
      <c r="L38" s="14706"/>
      <c r="M38" s="14707"/>
      <c r="N38" s="14707"/>
      <c r="O38" s="14707"/>
      <c r="P38" s="14707"/>
      <c r="Q38" s="6971" t="s">
        <v>10185</v>
      </c>
      <c r="R38" s="6972"/>
      <c r="S38" s="6972" t="s">
        <v>1323</v>
      </c>
      <c r="T38" s="14707"/>
      <c r="U38" s="14709"/>
      <c r="V38" s="14711"/>
      <c r="W38" s="14698"/>
      <c r="X38" s="14701"/>
      <c r="Y38" s="14701"/>
      <c r="Z38" s="14701"/>
      <c r="AA38" s="14704"/>
      <c r="AB38" s="6973"/>
      <c r="AC38" s="6974"/>
      <c r="AD38" s="14618"/>
      <c r="AE38" s="6988"/>
      <c r="AF38" s="6988"/>
      <c r="AG38" s="6988"/>
      <c r="AH38" s="6989"/>
      <c r="AI38" s="6989"/>
      <c r="AJ38" s="6989"/>
      <c r="AK38" s="6989"/>
      <c r="AL38" s="6988"/>
      <c r="AM38" s="6988"/>
      <c r="AN38" s="6988"/>
      <c r="AO38" s="6988"/>
      <c r="AP38" s="6988"/>
      <c r="AQ38" s="6988"/>
      <c r="AR38" s="6988"/>
      <c r="AS38" s="6988"/>
      <c r="AT38" s="6988"/>
      <c r="AU38" s="6988"/>
      <c r="AV38" s="6988"/>
      <c r="AW38" s="6988"/>
      <c r="AX38" s="6988"/>
      <c r="AY38" s="6988"/>
      <c r="AZ38" s="6988"/>
      <c r="BA38" s="6988"/>
      <c r="BB38" s="6988"/>
      <c r="BC38" s="6988"/>
      <c r="BD38" s="6988"/>
      <c r="BE38" s="6988"/>
      <c r="BF38" s="6988"/>
      <c r="BG38" s="6988"/>
      <c r="BH38" s="6988"/>
      <c r="BI38" s="6988"/>
      <c r="BJ38" s="6988"/>
      <c r="BK38" s="6988"/>
      <c r="BL38" s="6988"/>
      <c r="BM38" s="6988"/>
      <c r="BN38" s="6988"/>
      <c r="BO38" s="6988"/>
      <c r="BP38" s="6988"/>
      <c r="BQ38" s="6988"/>
      <c r="BR38" s="6988"/>
      <c r="BS38" s="6988"/>
      <c r="BT38" s="6988"/>
      <c r="BU38" s="6987"/>
      <c r="BW38" s="6978"/>
      <c r="BX38" s="6979"/>
      <c r="BY38" s="14757"/>
      <c r="BZ38" s="6980"/>
      <c r="CA38" s="6980"/>
      <c r="CB38" s="6981"/>
      <c r="CC38" s="6982"/>
      <c r="CD38" s="6983"/>
      <c r="CE38" s="6980"/>
      <c r="CF38" s="6981"/>
      <c r="CG38" s="6982"/>
      <c r="CH38" s="6983"/>
      <c r="CI38" s="6981"/>
      <c r="CJ38" s="6983"/>
      <c r="CK38" s="6981"/>
      <c r="CL38" s="6983"/>
      <c r="CM38" s="6980"/>
      <c r="CN38" s="6980"/>
      <c r="CO38" s="6980"/>
      <c r="CP38" s="6980"/>
      <c r="CQ38" s="6980"/>
      <c r="CR38" s="6981"/>
      <c r="CS38" s="6983"/>
      <c r="CT38" s="6980"/>
      <c r="CU38" s="6980"/>
      <c r="CV38" s="6980"/>
      <c r="CW38" s="6980"/>
      <c r="CX38" s="6980"/>
      <c r="CY38" s="6980"/>
      <c r="CZ38" s="6981"/>
      <c r="DA38" s="6983"/>
      <c r="DB38" s="6980"/>
      <c r="DC38" s="6980"/>
      <c r="DD38" s="6980"/>
      <c r="DE38" s="6980"/>
      <c r="DF38" s="6981"/>
      <c r="DG38" s="6982"/>
      <c r="DH38" s="6982"/>
      <c r="DI38" s="6982"/>
      <c r="DJ38" s="6982"/>
      <c r="DK38" s="6982"/>
      <c r="DL38" s="6983"/>
      <c r="DM38" s="6980"/>
      <c r="DN38" s="6980"/>
      <c r="DO38" s="6980"/>
      <c r="DP38" s="6981"/>
    </row>
    <row r="39" spans="1:120" s="6964" customFormat="1" ht="15" customHeight="1" thickBot="1">
      <c r="A39" s="14653"/>
      <c r="B39" s="14656"/>
      <c r="C39" s="14582"/>
      <c r="D39" s="14585"/>
      <c r="E39" s="14621"/>
      <c r="F39" s="14625"/>
      <c r="G39" s="14592"/>
      <c r="H39" s="14592"/>
      <c r="I39" s="14630"/>
      <c r="J39" s="14708"/>
      <c r="K39" s="14707"/>
      <c r="L39" s="14706"/>
      <c r="M39" s="14707"/>
      <c r="N39" s="14707"/>
      <c r="O39" s="14707"/>
      <c r="P39" s="14707"/>
      <c r="Q39" s="6971" t="s">
        <v>10184</v>
      </c>
      <c r="R39" s="6972"/>
      <c r="S39" s="6972" t="s">
        <v>10168</v>
      </c>
      <c r="T39" s="14707"/>
      <c r="U39" s="14709"/>
      <c r="V39" s="14711"/>
      <c r="W39" s="14699"/>
      <c r="X39" s="14702"/>
      <c r="Y39" s="14702"/>
      <c r="Z39" s="14702"/>
      <c r="AA39" s="14705"/>
      <c r="AB39" s="6984"/>
      <c r="AC39" s="6966"/>
      <c r="AD39" s="14618"/>
      <c r="AE39" s="6988"/>
      <c r="AF39" s="6988"/>
      <c r="AG39" s="6988"/>
      <c r="AH39" s="6989"/>
      <c r="AI39" s="6989"/>
      <c r="AJ39" s="6989"/>
      <c r="AK39" s="6989"/>
      <c r="AL39" s="6988"/>
      <c r="AM39" s="6988"/>
      <c r="AN39" s="6988"/>
      <c r="AO39" s="6988"/>
      <c r="AP39" s="6988"/>
      <c r="AQ39" s="6988"/>
      <c r="AR39" s="6988"/>
      <c r="AS39" s="6988"/>
      <c r="AT39" s="6988"/>
      <c r="AU39" s="6988"/>
      <c r="AV39" s="6988"/>
      <c r="AW39" s="6988"/>
      <c r="AX39" s="6988"/>
      <c r="AY39" s="6988"/>
      <c r="AZ39" s="6988"/>
      <c r="BA39" s="6988"/>
      <c r="BB39" s="6988"/>
      <c r="BC39" s="6988"/>
      <c r="BD39" s="6988"/>
      <c r="BE39" s="6988"/>
      <c r="BF39" s="6988"/>
      <c r="BG39" s="6988"/>
      <c r="BH39" s="6988"/>
      <c r="BI39" s="6988"/>
      <c r="BJ39" s="6988"/>
      <c r="BK39" s="6988"/>
      <c r="BL39" s="6988"/>
      <c r="BM39" s="6988"/>
      <c r="BN39" s="6988"/>
      <c r="BO39" s="6988"/>
      <c r="BP39" s="6988"/>
      <c r="BQ39" s="6988"/>
      <c r="BR39" s="6988"/>
      <c r="BS39" s="6988"/>
      <c r="BT39" s="6988"/>
      <c r="BU39" s="6987"/>
      <c r="BW39" s="6978"/>
      <c r="BX39" s="6979"/>
      <c r="BY39" s="14757"/>
      <c r="BZ39" s="6980"/>
      <c r="CA39" s="6980"/>
      <c r="CB39" s="6981"/>
      <c r="CC39" s="6982"/>
      <c r="CD39" s="6983"/>
      <c r="CE39" s="6980"/>
      <c r="CF39" s="6981"/>
      <c r="CG39" s="6982"/>
      <c r="CH39" s="6983"/>
      <c r="CI39" s="6981"/>
      <c r="CJ39" s="6983"/>
      <c r="CK39" s="6981"/>
      <c r="CL39" s="6983"/>
      <c r="CM39" s="6980"/>
      <c r="CN39" s="6980"/>
      <c r="CO39" s="6980"/>
      <c r="CP39" s="6980"/>
      <c r="CQ39" s="6980"/>
      <c r="CR39" s="6981"/>
      <c r="CS39" s="6983"/>
      <c r="CT39" s="6980"/>
      <c r="CU39" s="6980"/>
      <c r="CV39" s="6980"/>
      <c r="CW39" s="6980"/>
      <c r="CX39" s="6980"/>
      <c r="CY39" s="6980"/>
      <c r="CZ39" s="6981"/>
      <c r="DA39" s="6983"/>
      <c r="DB39" s="6980"/>
      <c r="DC39" s="6980"/>
      <c r="DD39" s="6980"/>
      <c r="DE39" s="6980"/>
      <c r="DF39" s="6981"/>
      <c r="DG39" s="6982"/>
      <c r="DH39" s="6982"/>
      <c r="DI39" s="6982"/>
      <c r="DJ39" s="6982"/>
      <c r="DK39" s="6982"/>
      <c r="DL39" s="6983"/>
      <c r="DM39" s="6980"/>
      <c r="DN39" s="6980"/>
      <c r="DO39" s="6980"/>
      <c r="DP39" s="6981"/>
    </row>
    <row r="40" spans="1:120" s="6964" customFormat="1" ht="15" customHeight="1">
      <c r="A40" s="14653"/>
      <c r="B40" s="14656"/>
      <c r="C40" s="14582"/>
      <c r="D40" s="14585"/>
      <c r="E40" s="14621"/>
      <c r="F40" s="14625"/>
      <c r="G40" s="14592"/>
      <c r="H40" s="14592"/>
      <c r="I40" s="14630"/>
      <c r="J40" s="14708" t="s">
        <v>7544</v>
      </c>
      <c r="K40" s="14707" t="s">
        <v>4749</v>
      </c>
      <c r="L40" s="14706" t="s">
        <v>4676</v>
      </c>
      <c r="M40" s="14707" t="s">
        <v>4750</v>
      </c>
      <c r="N40" s="14707" t="s">
        <v>4751</v>
      </c>
      <c r="O40" s="14707" t="s">
        <v>4752</v>
      </c>
      <c r="P40" s="14707" t="s">
        <v>4753</v>
      </c>
      <c r="Q40" s="6971" t="s">
        <v>218</v>
      </c>
      <c r="R40" s="6972" t="s">
        <v>768</v>
      </c>
      <c r="S40" s="6972"/>
      <c r="T40" s="14707" t="s">
        <v>4660</v>
      </c>
      <c r="U40" s="14709">
        <v>0</v>
      </c>
      <c r="V40" s="14711">
        <v>1</v>
      </c>
      <c r="W40" s="14697">
        <v>1</v>
      </c>
      <c r="X40" s="14700">
        <v>2</v>
      </c>
      <c r="Y40" s="14700">
        <v>1</v>
      </c>
      <c r="Z40" s="14700">
        <f t="shared" si="0"/>
        <v>5</v>
      </c>
      <c r="AA40" s="14703">
        <v>100000000</v>
      </c>
      <c r="AB40" s="6959" t="s">
        <v>2951</v>
      </c>
      <c r="AC40" s="6960" t="s">
        <v>2951</v>
      </c>
      <c r="AD40" s="14618"/>
      <c r="AE40" s="6985"/>
      <c r="AF40" s="6985"/>
      <c r="AG40" s="6985"/>
      <c r="AH40" s="6985"/>
      <c r="AI40" s="6985"/>
      <c r="AJ40" s="6985"/>
      <c r="AK40" s="6985"/>
      <c r="AL40" s="6985"/>
      <c r="AM40" s="6985"/>
      <c r="AN40" s="6985"/>
      <c r="AO40" s="6985"/>
      <c r="AP40" s="6985"/>
      <c r="AQ40" s="6985"/>
      <c r="AR40" s="6985"/>
      <c r="AS40" s="6985"/>
      <c r="AT40" s="6985"/>
      <c r="AU40" s="6985"/>
      <c r="AV40" s="6985"/>
      <c r="AW40" s="6985"/>
      <c r="AX40" s="6985"/>
      <c r="AY40" s="6985"/>
      <c r="AZ40" s="6985"/>
      <c r="BA40" s="6985"/>
      <c r="BB40" s="6985"/>
      <c r="BC40" s="6985"/>
      <c r="BD40" s="6985"/>
      <c r="BE40" s="6985"/>
      <c r="BF40" s="6985"/>
      <c r="BG40" s="6985"/>
      <c r="BH40" s="6985"/>
      <c r="BI40" s="6985"/>
      <c r="BJ40" s="6985"/>
      <c r="BK40" s="6985"/>
      <c r="BL40" s="6985"/>
      <c r="BM40" s="6985"/>
      <c r="BN40" s="6985"/>
      <c r="BO40" s="6985"/>
      <c r="BP40" s="6985"/>
      <c r="BQ40" s="6985"/>
      <c r="BR40" s="6985"/>
      <c r="BS40" s="6985"/>
      <c r="BT40" s="6985"/>
      <c r="BU40" s="6987"/>
      <c r="BW40" s="6978"/>
      <c r="BX40" s="6979"/>
      <c r="BY40" s="14757"/>
      <c r="BZ40" s="6980"/>
      <c r="CA40" s="6980"/>
      <c r="CB40" s="6981"/>
      <c r="CC40" s="6982"/>
      <c r="CD40" s="6983"/>
      <c r="CE40" s="6980"/>
      <c r="CF40" s="6981"/>
      <c r="CG40" s="6982"/>
      <c r="CH40" s="6983"/>
      <c r="CI40" s="6981"/>
      <c r="CJ40" s="6983"/>
      <c r="CK40" s="6981"/>
      <c r="CL40" s="6983"/>
      <c r="CM40" s="6980"/>
      <c r="CN40" s="6980"/>
      <c r="CO40" s="6980"/>
      <c r="CP40" s="6980"/>
      <c r="CQ40" s="6980"/>
      <c r="CR40" s="6981"/>
      <c r="CS40" s="6983"/>
      <c r="CT40" s="6980"/>
      <c r="CU40" s="6980"/>
      <c r="CV40" s="6980"/>
      <c r="CW40" s="6980"/>
      <c r="CX40" s="6980"/>
      <c r="CY40" s="6980"/>
      <c r="CZ40" s="6981"/>
      <c r="DA40" s="6983"/>
      <c r="DB40" s="6980"/>
      <c r="DC40" s="6980"/>
      <c r="DD40" s="6980"/>
      <c r="DE40" s="6980"/>
      <c r="DF40" s="6981"/>
      <c r="DG40" s="6982"/>
      <c r="DH40" s="6982"/>
      <c r="DI40" s="6982"/>
      <c r="DJ40" s="6982"/>
      <c r="DK40" s="6982"/>
      <c r="DL40" s="6983"/>
      <c r="DM40" s="6980"/>
      <c r="DN40" s="6980"/>
      <c r="DO40" s="6980"/>
      <c r="DP40" s="6981"/>
    </row>
    <row r="41" spans="1:120" s="6964" customFormat="1" ht="15" customHeight="1">
      <c r="A41" s="14653"/>
      <c r="B41" s="14656"/>
      <c r="C41" s="14582"/>
      <c r="D41" s="14585"/>
      <c r="E41" s="14621"/>
      <c r="F41" s="14625"/>
      <c r="G41" s="14592"/>
      <c r="H41" s="14592"/>
      <c r="I41" s="14630"/>
      <c r="J41" s="14708"/>
      <c r="K41" s="14707"/>
      <c r="L41" s="14706"/>
      <c r="M41" s="14707"/>
      <c r="N41" s="14707"/>
      <c r="O41" s="14707"/>
      <c r="P41" s="14707"/>
      <c r="Q41" s="6971" t="s">
        <v>10063</v>
      </c>
      <c r="R41" s="6972"/>
      <c r="S41" s="6972" t="s">
        <v>144</v>
      </c>
      <c r="T41" s="14707"/>
      <c r="U41" s="14709"/>
      <c r="V41" s="14711"/>
      <c r="W41" s="14698"/>
      <c r="X41" s="14701"/>
      <c r="Y41" s="14701"/>
      <c r="Z41" s="14701"/>
      <c r="AA41" s="14704"/>
      <c r="AB41" s="6973"/>
      <c r="AC41" s="6974"/>
      <c r="AD41" s="14618"/>
      <c r="AE41" s="6988"/>
      <c r="AF41" s="6988"/>
      <c r="AG41" s="6988"/>
      <c r="AH41" s="6988"/>
      <c r="AI41" s="6988"/>
      <c r="AJ41" s="6988"/>
      <c r="AK41" s="6988"/>
      <c r="AL41" s="6988"/>
      <c r="AM41" s="6988"/>
      <c r="AN41" s="6988"/>
      <c r="AO41" s="6988"/>
      <c r="AP41" s="6988"/>
      <c r="AQ41" s="6988"/>
      <c r="AR41" s="6988"/>
      <c r="AS41" s="6988"/>
      <c r="AT41" s="6988"/>
      <c r="AU41" s="6988"/>
      <c r="AV41" s="6988"/>
      <c r="AW41" s="6988"/>
      <c r="AX41" s="6988"/>
      <c r="AY41" s="6988"/>
      <c r="AZ41" s="6988"/>
      <c r="BA41" s="6988"/>
      <c r="BB41" s="6988"/>
      <c r="BC41" s="6988"/>
      <c r="BD41" s="6988"/>
      <c r="BE41" s="6988"/>
      <c r="BF41" s="6988"/>
      <c r="BG41" s="6988"/>
      <c r="BH41" s="6988"/>
      <c r="BI41" s="6988"/>
      <c r="BJ41" s="6988"/>
      <c r="BK41" s="6988"/>
      <c r="BL41" s="6988"/>
      <c r="BM41" s="6988"/>
      <c r="BN41" s="6988"/>
      <c r="BO41" s="6988"/>
      <c r="BP41" s="6988"/>
      <c r="BQ41" s="6988"/>
      <c r="BR41" s="6988"/>
      <c r="BS41" s="6988"/>
      <c r="BT41" s="6988"/>
      <c r="BU41" s="6987"/>
      <c r="BW41" s="6978"/>
      <c r="BX41" s="6979"/>
      <c r="BY41" s="14757"/>
      <c r="BZ41" s="6980"/>
      <c r="CA41" s="6980"/>
      <c r="CB41" s="6981"/>
      <c r="CC41" s="6982"/>
      <c r="CD41" s="6983"/>
      <c r="CE41" s="6980"/>
      <c r="CF41" s="6981"/>
      <c r="CG41" s="6982"/>
      <c r="CH41" s="6983"/>
      <c r="CI41" s="6981"/>
      <c r="CJ41" s="6983"/>
      <c r="CK41" s="6981"/>
      <c r="CL41" s="6983"/>
      <c r="CM41" s="6980"/>
      <c r="CN41" s="6980"/>
      <c r="CO41" s="6980"/>
      <c r="CP41" s="6980"/>
      <c r="CQ41" s="6980"/>
      <c r="CR41" s="6981"/>
      <c r="CS41" s="6983"/>
      <c r="CT41" s="6980"/>
      <c r="CU41" s="6980"/>
      <c r="CV41" s="6980"/>
      <c r="CW41" s="6980"/>
      <c r="CX41" s="6980"/>
      <c r="CY41" s="6980"/>
      <c r="CZ41" s="6981"/>
      <c r="DA41" s="6983"/>
      <c r="DB41" s="6980"/>
      <c r="DC41" s="6980"/>
      <c r="DD41" s="6980"/>
      <c r="DE41" s="6980"/>
      <c r="DF41" s="6981"/>
      <c r="DG41" s="6982"/>
      <c r="DH41" s="6982"/>
      <c r="DI41" s="6982"/>
      <c r="DJ41" s="6982"/>
      <c r="DK41" s="6982"/>
      <c r="DL41" s="6983"/>
      <c r="DM41" s="6980"/>
      <c r="DN41" s="6980"/>
      <c r="DO41" s="6980"/>
      <c r="DP41" s="6981"/>
    </row>
    <row r="42" spans="1:120" s="6964" customFormat="1" ht="15" customHeight="1">
      <c r="A42" s="14653"/>
      <c r="B42" s="14656"/>
      <c r="C42" s="14582"/>
      <c r="D42" s="14585"/>
      <c r="E42" s="14621"/>
      <c r="F42" s="14625"/>
      <c r="G42" s="14592"/>
      <c r="H42" s="14592"/>
      <c r="I42" s="14630"/>
      <c r="J42" s="14708"/>
      <c r="K42" s="14707"/>
      <c r="L42" s="14706"/>
      <c r="M42" s="14707"/>
      <c r="N42" s="14707"/>
      <c r="O42" s="14707"/>
      <c r="P42" s="14707"/>
      <c r="Q42" s="6971" t="s">
        <v>2896</v>
      </c>
      <c r="R42" s="6972"/>
      <c r="S42" s="6972" t="s">
        <v>163</v>
      </c>
      <c r="T42" s="14707"/>
      <c r="U42" s="14709"/>
      <c r="V42" s="14711"/>
      <c r="W42" s="14698"/>
      <c r="X42" s="14701"/>
      <c r="Y42" s="14701"/>
      <c r="Z42" s="14701"/>
      <c r="AA42" s="14704"/>
      <c r="AB42" s="6973"/>
      <c r="AC42" s="6974"/>
      <c r="AD42" s="14618"/>
      <c r="AE42" s="6988"/>
      <c r="AF42" s="6988"/>
      <c r="AG42" s="6988"/>
      <c r="AH42" s="6988"/>
      <c r="AI42" s="6988"/>
      <c r="AJ42" s="6988"/>
      <c r="AK42" s="6988"/>
      <c r="AL42" s="6988"/>
      <c r="AM42" s="6988"/>
      <c r="AN42" s="6988"/>
      <c r="AO42" s="6988"/>
      <c r="AP42" s="6988"/>
      <c r="AQ42" s="6988"/>
      <c r="AR42" s="6988"/>
      <c r="AS42" s="6988"/>
      <c r="AT42" s="6988"/>
      <c r="AU42" s="6988"/>
      <c r="AV42" s="6988"/>
      <c r="AW42" s="6988"/>
      <c r="AX42" s="6988"/>
      <c r="AY42" s="6988"/>
      <c r="AZ42" s="6988"/>
      <c r="BA42" s="6988"/>
      <c r="BB42" s="6988"/>
      <c r="BC42" s="6988"/>
      <c r="BD42" s="6988"/>
      <c r="BE42" s="6988"/>
      <c r="BF42" s="6988"/>
      <c r="BG42" s="6988"/>
      <c r="BH42" s="6988"/>
      <c r="BI42" s="6988"/>
      <c r="BJ42" s="6988"/>
      <c r="BK42" s="6988"/>
      <c r="BL42" s="6988"/>
      <c r="BM42" s="6988"/>
      <c r="BN42" s="6988"/>
      <c r="BO42" s="6988"/>
      <c r="BP42" s="6988"/>
      <c r="BQ42" s="6988"/>
      <c r="BR42" s="6988"/>
      <c r="BS42" s="6988"/>
      <c r="BT42" s="6988"/>
      <c r="BU42" s="6987"/>
      <c r="BW42" s="6978"/>
      <c r="BX42" s="6979"/>
      <c r="BY42" s="14757"/>
      <c r="BZ42" s="6980"/>
      <c r="CA42" s="6980"/>
      <c r="CB42" s="6981"/>
      <c r="CC42" s="6982"/>
      <c r="CD42" s="6983"/>
      <c r="CE42" s="6980"/>
      <c r="CF42" s="6981"/>
      <c r="CG42" s="6982"/>
      <c r="CH42" s="6983"/>
      <c r="CI42" s="6981"/>
      <c r="CJ42" s="6983"/>
      <c r="CK42" s="6981"/>
      <c r="CL42" s="6983"/>
      <c r="CM42" s="6980"/>
      <c r="CN42" s="6980"/>
      <c r="CO42" s="6980"/>
      <c r="CP42" s="6980"/>
      <c r="CQ42" s="6980"/>
      <c r="CR42" s="6981"/>
      <c r="CS42" s="6983"/>
      <c r="CT42" s="6980"/>
      <c r="CU42" s="6980"/>
      <c r="CV42" s="6980"/>
      <c r="CW42" s="6980"/>
      <c r="CX42" s="6980"/>
      <c r="CY42" s="6980"/>
      <c r="CZ42" s="6981"/>
      <c r="DA42" s="6983"/>
      <c r="DB42" s="6980"/>
      <c r="DC42" s="6980"/>
      <c r="DD42" s="6980"/>
      <c r="DE42" s="6980"/>
      <c r="DF42" s="6981"/>
      <c r="DG42" s="6982"/>
      <c r="DH42" s="6982"/>
      <c r="DI42" s="6982"/>
      <c r="DJ42" s="6982"/>
      <c r="DK42" s="6982"/>
      <c r="DL42" s="6983"/>
      <c r="DM42" s="6980"/>
      <c r="DN42" s="6980"/>
      <c r="DO42" s="6980"/>
      <c r="DP42" s="6981"/>
    </row>
    <row r="43" spans="1:120" s="6964" customFormat="1" ht="15" customHeight="1">
      <c r="A43" s="14653"/>
      <c r="B43" s="14656"/>
      <c r="C43" s="14582"/>
      <c r="D43" s="14585"/>
      <c r="E43" s="14621"/>
      <c r="F43" s="14625"/>
      <c r="G43" s="14592"/>
      <c r="H43" s="14592"/>
      <c r="I43" s="14630"/>
      <c r="J43" s="14708"/>
      <c r="K43" s="14707"/>
      <c r="L43" s="14706"/>
      <c r="M43" s="14707"/>
      <c r="N43" s="14707"/>
      <c r="O43" s="14707"/>
      <c r="P43" s="14707"/>
      <c r="Q43" s="6971" t="s">
        <v>10072</v>
      </c>
      <c r="R43" s="6972"/>
      <c r="S43" s="6972" t="s">
        <v>1293</v>
      </c>
      <c r="T43" s="14707"/>
      <c r="U43" s="14709"/>
      <c r="V43" s="14711"/>
      <c r="W43" s="14699"/>
      <c r="X43" s="14702"/>
      <c r="Y43" s="14702"/>
      <c r="Z43" s="14702"/>
      <c r="AA43" s="14705"/>
      <c r="AB43" s="6984"/>
      <c r="AC43" s="6966"/>
      <c r="AD43" s="14618"/>
      <c r="AE43" s="6988"/>
      <c r="AF43" s="6988"/>
      <c r="AG43" s="6988"/>
      <c r="AH43" s="6988"/>
      <c r="AI43" s="6988"/>
      <c r="AJ43" s="6988"/>
      <c r="AK43" s="6988"/>
      <c r="AL43" s="6988"/>
      <c r="AM43" s="6988"/>
      <c r="AN43" s="6988"/>
      <c r="AO43" s="6988"/>
      <c r="AP43" s="6988"/>
      <c r="AQ43" s="6988"/>
      <c r="AR43" s="6988"/>
      <c r="AS43" s="6988"/>
      <c r="AT43" s="6988"/>
      <c r="AU43" s="6988"/>
      <c r="AV43" s="6988"/>
      <c r="AW43" s="6988"/>
      <c r="AX43" s="6988"/>
      <c r="AY43" s="6988"/>
      <c r="AZ43" s="6988"/>
      <c r="BA43" s="6988"/>
      <c r="BB43" s="6988"/>
      <c r="BC43" s="6988"/>
      <c r="BD43" s="6988"/>
      <c r="BE43" s="6988"/>
      <c r="BF43" s="6988"/>
      <c r="BG43" s="6988"/>
      <c r="BH43" s="6988"/>
      <c r="BI43" s="6988"/>
      <c r="BJ43" s="6988"/>
      <c r="BK43" s="6988"/>
      <c r="BL43" s="6988"/>
      <c r="BM43" s="6988"/>
      <c r="BN43" s="6988"/>
      <c r="BO43" s="6988"/>
      <c r="BP43" s="6988"/>
      <c r="BQ43" s="6988"/>
      <c r="BR43" s="6988"/>
      <c r="BS43" s="6988"/>
      <c r="BT43" s="6988"/>
      <c r="BU43" s="6987"/>
      <c r="BW43" s="6978"/>
      <c r="BX43" s="6979"/>
      <c r="BY43" s="14757"/>
      <c r="BZ43" s="6980"/>
      <c r="CA43" s="6980"/>
      <c r="CB43" s="6981"/>
      <c r="CC43" s="6982"/>
      <c r="CD43" s="6983"/>
      <c r="CE43" s="6980"/>
      <c r="CF43" s="6981"/>
      <c r="CG43" s="6982"/>
      <c r="CH43" s="6983"/>
      <c r="CI43" s="6981"/>
      <c r="CJ43" s="6983"/>
      <c r="CK43" s="6981"/>
      <c r="CL43" s="6983"/>
      <c r="CM43" s="6980"/>
      <c r="CN43" s="6980"/>
      <c r="CO43" s="6980"/>
      <c r="CP43" s="6980"/>
      <c r="CQ43" s="6980"/>
      <c r="CR43" s="6981"/>
      <c r="CS43" s="6983"/>
      <c r="CT43" s="6980"/>
      <c r="CU43" s="6980"/>
      <c r="CV43" s="6980"/>
      <c r="CW43" s="6980"/>
      <c r="CX43" s="6980"/>
      <c r="CY43" s="6980"/>
      <c r="CZ43" s="6981"/>
      <c r="DA43" s="6983"/>
      <c r="DB43" s="6980"/>
      <c r="DC43" s="6980"/>
      <c r="DD43" s="6980"/>
      <c r="DE43" s="6980"/>
      <c r="DF43" s="6981"/>
      <c r="DG43" s="6982"/>
      <c r="DH43" s="6982"/>
      <c r="DI43" s="6982"/>
      <c r="DJ43" s="6982"/>
      <c r="DK43" s="6982"/>
      <c r="DL43" s="6983"/>
      <c r="DM43" s="6980"/>
      <c r="DN43" s="6980"/>
      <c r="DO43" s="6980"/>
      <c r="DP43" s="6981"/>
    </row>
    <row r="44" spans="1:120" s="6964" customFormat="1" ht="15" customHeight="1">
      <c r="A44" s="14653"/>
      <c r="B44" s="14656"/>
      <c r="C44" s="14582"/>
      <c r="D44" s="14585"/>
      <c r="E44" s="14621"/>
      <c r="F44" s="14625"/>
      <c r="G44" s="14592"/>
      <c r="H44" s="14592"/>
      <c r="I44" s="14630"/>
      <c r="J44" s="14708" t="s">
        <v>7545</v>
      </c>
      <c r="K44" s="14707" t="s">
        <v>4754</v>
      </c>
      <c r="L44" s="14706" t="s">
        <v>4654</v>
      </c>
      <c r="M44" s="14707" t="s">
        <v>4755</v>
      </c>
      <c r="N44" s="14707" t="s">
        <v>4705</v>
      </c>
      <c r="O44" s="14707" t="s">
        <v>4756</v>
      </c>
      <c r="P44" s="14707" t="s">
        <v>4757</v>
      </c>
      <c r="Q44" s="6971" t="s">
        <v>218</v>
      </c>
      <c r="R44" s="6972" t="s">
        <v>4758</v>
      </c>
      <c r="S44" s="6972"/>
      <c r="T44" s="14707" t="s">
        <v>4759</v>
      </c>
      <c r="U44" s="14713">
        <v>1</v>
      </c>
      <c r="V44" s="14721">
        <v>1</v>
      </c>
      <c r="W44" s="14722">
        <v>1</v>
      </c>
      <c r="X44" s="14724">
        <v>1</v>
      </c>
      <c r="Y44" s="14724">
        <v>1</v>
      </c>
      <c r="Z44" s="14724">
        <v>1</v>
      </c>
      <c r="AA44" s="14716">
        <v>20000000</v>
      </c>
      <c r="AB44" s="6990" t="s">
        <v>2951</v>
      </c>
      <c r="AC44" s="6991" t="s">
        <v>2951</v>
      </c>
      <c r="AD44" s="14618"/>
      <c r="AE44" s="6985"/>
      <c r="AF44" s="6985"/>
      <c r="AG44" s="6985"/>
      <c r="AH44" s="6985"/>
      <c r="AI44" s="6985"/>
      <c r="AJ44" s="6985"/>
      <c r="AK44" s="6985"/>
      <c r="AL44" s="6985"/>
      <c r="AM44" s="6985"/>
      <c r="AN44" s="6985"/>
      <c r="AO44" s="6985"/>
      <c r="AP44" s="6985"/>
      <c r="AQ44" s="6985"/>
      <c r="AR44" s="6985"/>
      <c r="AS44" s="6985"/>
      <c r="AT44" s="6985"/>
      <c r="AU44" s="6985"/>
      <c r="AV44" s="6985"/>
      <c r="AW44" s="6985"/>
      <c r="AX44" s="6985"/>
      <c r="AY44" s="6985"/>
      <c r="AZ44" s="6985"/>
      <c r="BA44" s="6985"/>
      <c r="BB44" s="6985"/>
      <c r="BC44" s="6985"/>
      <c r="BD44" s="6985"/>
      <c r="BE44" s="6985"/>
      <c r="BF44" s="6985"/>
      <c r="BG44" s="6985"/>
      <c r="BH44" s="6985"/>
      <c r="BI44" s="6985"/>
      <c r="BJ44" s="6985"/>
      <c r="BK44" s="6985"/>
      <c r="BL44" s="6985"/>
      <c r="BM44" s="6985"/>
      <c r="BN44" s="6985"/>
      <c r="BO44" s="6985"/>
      <c r="BP44" s="6985"/>
      <c r="BQ44" s="6985"/>
      <c r="BR44" s="6985"/>
      <c r="BS44" s="6985"/>
      <c r="BT44" s="6985"/>
      <c r="BU44" s="6987"/>
      <c r="BW44" s="6978"/>
      <c r="BX44" s="6979"/>
      <c r="BY44" s="14757"/>
      <c r="BZ44" s="6980"/>
      <c r="CA44" s="6980"/>
      <c r="CB44" s="6981"/>
      <c r="CC44" s="6982"/>
      <c r="CD44" s="6983"/>
      <c r="CE44" s="6980"/>
      <c r="CF44" s="6981"/>
      <c r="CG44" s="6982"/>
      <c r="CH44" s="6983"/>
      <c r="CI44" s="6981"/>
      <c r="CJ44" s="6983"/>
      <c r="CK44" s="6981"/>
      <c r="CL44" s="6983"/>
      <c r="CM44" s="6980"/>
      <c r="CN44" s="6980"/>
      <c r="CO44" s="6980"/>
      <c r="CP44" s="6980"/>
      <c r="CQ44" s="6980"/>
      <c r="CR44" s="6981"/>
      <c r="CS44" s="6983"/>
      <c r="CT44" s="6980"/>
      <c r="CU44" s="6980"/>
      <c r="CV44" s="6980"/>
      <c r="CW44" s="6980"/>
      <c r="CX44" s="6980"/>
      <c r="CY44" s="6980"/>
      <c r="CZ44" s="6981"/>
      <c r="DA44" s="6983"/>
      <c r="DB44" s="6980"/>
      <c r="DC44" s="6980"/>
      <c r="DD44" s="6980"/>
      <c r="DE44" s="6980"/>
      <c r="DF44" s="6981"/>
      <c r="DG44" s="6982"/>
      <c r="DH44" s="6982"/>
      <c r="DI44" s="6982"/>
      <c r="DJ44" s="6982"/>
      <c r="DK44" s="6982"/>
      <c r="DL44" s="6983"/>
      <c r="DM44" s="6980"/>
      <c r="DN44" s="6980"/>
      <c r="DO44" s="6980"/>
      <c r="DP44" s="6981"/>
    </row>
    <row r="45" spans="1:120" s="6964" customFormat="1" ht="15" customHeight="1">
      <c r="A45" s="14653"/>
      <c r="B45" s="14656"/>
      <c r="C45" s="14582"/>
      <c r="D45" s="14585"/>
      <c r="E45" s="14621"/>
      <c r="F45" s="14625"/>
      <c r="G45" s="14592"/>
      <c r="H45" s="14592"/>
      <c r="I45" s="14630"/>
      <c r="J45" s="14708"/>
      <c r="K45" s="14707"/>
      <c r="L45" s="14706"/>
      <c r="M45" s="14707"/>
      <c r="N45" s="14707"/>
      <c r="O45" s="14707"/>
      <c r="P45" s="14707"/>
      <c r="Q45" s="6971" t="s">
        <v>10057</v>
      </c>
      <c r="R45" s="6972"/>
      <c r="S45" s="6972" t="s">
        <v>562</v>
      </c>
      <c r="T45" s="14707"/>
      <c r="U45" s="14713"/>
      <c r="V45" s="14721"/>
      <c r="W45" s="14723"/>
      <c r="X45" s="14725"/>
      <c r="Y45" s="14725"/>
      <c r="Z45" s="14725"/>
      <c r="AA45" s="14705"/>
      <c r="AB45" s="6984"/>
      <c r="AC45" s="6966"/>
      <c r="AD45" s="14618"/>
      <c r="AE45" s="6992"/>
      <c r="AF45" s="6992"/>
      <c r="AG45" s="6992"/>
      <c r="AH45" s="6988"/>
      <c r="AI45" s="6992"/>
      <c r="AJ45" s="6988"/>
      <c r="AK45" s="6988"/>
      <c r="AL45" s="6988"/>
      <c r="AM45" s="6988"/>
      <c r="AN45" s="6988"/>
      <c r="AO45" s="6988"/>
      <c r="AP45" s="6988"/>
      <c r="AQ45" s="6988"/>
      <c r="AR45" s="6988"/>
      <c r="AS45" s="6988"/>
      <c r="AT45" s="6988"/>
      <c r="AU45" s="6988"/>
      <c r="AV45" s="6988"/>
      <c r="AW45" s="6988"/>
      <c r="AX45" s="6988"/>
      <c r="AY45" s="6988"/>
      <c r="AZ45" s="6988"/>
      <c r="BA45" s="6988"/>
      <c r="BB45" s="6988"/>
      <c r="BC45" s="6988"/>
      <c r="BD45" s="6988"/>
      <c r="BE45" s="6988"/>
      <c r="BF45" s="6988"/>
      <c r="BG45" s="6988"/>
      <c r="BH45" s="6988"/>
      <c r="BI45" s="6988"/>
      <c r="BJ45" s="6988"/>
      <c r="BK45" s="6988"/>
      <c r="BL45" s="6988"/>
      <c r="BM45" s="6988"/>
      <c r="BN45" s="6988"/>
      <c r="BO45" s="6988"/>
      <c r="BP45" s="6988"/>
      <c r="BQ45" s="6988"/>
      <c r="BR45" s="6988"/>
      <c r="BS45" s="6988"/>
      <c r="BT45" s="6988"/>
      <c r="BU45" s="6987"/>
      <c r="BW45" s="6978"/>
      <c r="BX45" s="6979"/>
      <c r="BY45" s="14757"/>
      <c r="BZ45" s="6980"/>
      <c r="CA45" s="6980"/>
      <c r="CB45" s="6981"/>
      <c r="CC45" s="6982"/>
      <c r="CD45" s="6983"/>
      <c r="CE45" s="6980"/>
      <c r="CF45" s="6981"/>
      <c r="CG45" s="6982"/>
      <c r="CH45" s="6983"/>
      <c r="CI45" s="6981"/>
      <c r="CJ45" s="6983"/>
      <c r="CK45" s="6981"/>
      <c r="CL45" s="6983"/>
      <c r="CM45" s="6980"/>
      <c r="CN45" s="6980"/>
      <c r="CO45" s="6980"/>
      <c r="CP45" s="6980"/>
      <c r="CQ45" s="6980"/>
      <c r="CR45" s="6981"/>
      <c r="CS45" s="6983"/>
      <c r="CT45" s="6980"/>
      <c r="CU45" s="6980"/>
      <c r="CV45" s="6980"/>
      <c r="CW45" s="6980"/>
      <c r="CX45" s="6980"/>
      <c r="CY45" s="6980"/>
      <c r="CZ45" s="6981"/>
      <c r="DA45" s="6983"/>
      <c r="DB45" s="6980"/>
      <c r="DC45" s="6980"/>
      <c r="DD45" s="6980"/>
      <c r="DE45" s="6980"/>
      <c r="DF45" s="6981"/>
      <c r="DG45" s="6982"/>
      <c r="DH45" s="6982"/>
      <c r="DI45" s="6982"/>
      <c r="DJ45" s="6982"/>
      <c r="DK45" s="6982"/>
      <c r="DL45" s="6983"/>
      <c r="DM45" s="6980"/>
      <c r="DN45" s="6980"/>
      <c r="DO45" s="6980"/>
      <c r="DP45" s="6981"/>
    </row>
    <row r="46" spans="1:120" s="6964" customFormat="1" ht="15" customHeight="1">
      <c r="A46" s="14653"/>
      <c r="B46" s="14656"/>
      <c r="C46" s="14582"/>
      <c r="D46" s="14585"/>
      <c r="E46" s="14621"/>
      <c r="F46" s="14625"/>
      <c r="G46" s="14592"/>
      <c r="H46" s="14592"/>
      <c r="I46" s="14630"/>
      <c r="J46" s="6993" t="s">
        <v>7546</v>
      </c>
      <c r="K46" s="6994" t="s">
        <v>4760</v>
      </c>
      <c r="L46" s="6995" t="s">
        <v>4654</v>
      </c>
      <c r="M46" s="6996" t="s">
        <v>4761</v>
      </c>
      <c r="N46" s="6994" t="s">
        <v>4762</v>
      </c>
      <c r="O46" s="6996" t="s">
        <v>4763</v>
      </c>
      <c r="P46" s="6994" t="s">
        <v>4764</v>
      </c>
      <c r="Q46" s="6971" t="s">
        <v>2896</v>
      </c>
      <c r="R46" s="6972" t="s">
        <v>163</v>
      </c>
      <c r="S46" s="6972"/>
      <c r="T46" s="6972" t="s">
        <v>4712</v>
      </c>
      <c r="U46" s="6997">
        <v>0.2</v>
      </c>
      <c r="V46" s="6998">
        <v>0.2</v>
      </c>
      <c r="W46" s="6999">
        <v>0.2</v>
      </c>
      <c r="X46" s="7000">
        <v>0.2</v>
      </c>
      <c r="Y46" s="7000">
        <v>0.2</v>
      </c>
      <c r="Z46" s="7001">
        <f t="shared" si="0"/>
        <v>1</v>
      </c>
      <c r="AA46" s="7002">
        <v>20000000</v>
      </c>
      <c r="AB46" s="6986" t="s">
        <v>9653</v>
      </c>
      <c r="AC46" s="7001">
        <v>0</v>
      </c>
      <c r="AD46" s="14618"/>
      <c r="AE46" s="7003" t="s">
        <v>9227</v>
      </c>
      <c r="AF46" s="7003" t="s">
        <v>9228</v>
      </c>
      <c r="AG46" s="7004" t="s">
        <v>9229</v>
      </c>
      <c r="AH46" s="6986">
        <v>16000000</v>
      </c>
      <c r="AI46" s="7005">
        <f>AH46</f>
        <v>16000000</v>
      </c>
      <c r="AJ46" s="7006">
        <v>0</v>
      </c>
      <c r="AK46" s="7006">
        <v>0</v>
      </c>
      <c r="AL46" s="7007"/>
      <c r="AM46" s="7007"/>
      <c r="AN46" s="7007"/>
      <c r="AO46" s="6985"/>
      <c r="AP46" s="6985"/>
      <c r="AQ46" s="6985"/>
      <c r="AR46" s="6985"/>
      <c r="AS46" s="6985"/>
      <c r="AT46" s="6985"/>
      <c r="AU46" s="6985"/>
      <c r="AV46" s="6985"/>
      <c r="AW46" s="6985"/>
      <c r="AX46" s="6985"/>
      <c r="AY46" s="6985"/>
      <c r="AZ46" s="6985"/>
      <c r="BA46" s="6985"/>
      <c r="BB46" s="6985"/>
      <c r="BC46" s="6985"/>
      <c r="BD46" s="6985"/>
      <c r="BE46" s="6985"/>
      <c r="BF46" s="6985"/>
      <c r="BG46" s="6985"/>
      <c r="BH46" s="6985"/>
      <c r="BI46" s="6985"/>
      <c r="BJ46" s="6985"/>
      <c r="BK46" s="6985"/>
      <c r="BL46" s="6985"/>
      <c r="BM46" s="6985"/>
      <c r="BN46" s="6985"/>
      <c r="BO46" s="6985"/>
      <c r="BP46" s="6985"/>
      <c r="BQ46" s="6985"/>
      <c r="BR46" s="6985"/>
      <c r="BS46" s="6985"/>
      <c r="BT46" s="6985"/>
      <c r="BU46" s="6987"/>
      <c r="BW46" s="7008"/>
      <c r="BX46" s="7009"/>
      <c r="BY46" s="14757"/>
      <c r="BZ46" s="6980"/>
      <c r="CA46" s="6980"/>
      <c r="CB46" s="6981"/>
      <c r="CC46" s="6982"/>
      <c r="CD46" s="6983"/>
      <c r="CE46" s="6980"/>
      <c r="CF46" s="6981"/>
      <c r="CG46" s="6982"/>
      <c r="CH46" s="6983"/>
      <c r="CI46" s="6981"/>
      <c r="CJ46" s="6983"/>
      <c r="CK46" s="6981"/>
      <c r="CL46" s="6983"/>
      <c r="CM46" s="6980"/>
      <c r="CN46" s="6980"/>
      <c r="CO46" s="6980"/>
      <c r="CP46" s="6980"/>
      <c r="CQ46" s="6980"/>
      <c r="CR46" s="6981"/>
      <c r="CS46" s="6983"/>
      <c r="CT46" s="6980"/>
      <c r="CU46" s="6980"/>
      <c r="CV46" s="6980"/>
      <c r="CW46" s="6980"/>
      <c r="CX46" s="6980"/>
      <c r="CY46" s="6980"/>
      <c r="CZ46" s="6981"/>
      <c r="DA46" s="6983"/>
      <c r="DB46" s="6980"/>
      <c r="DC46" s="6980"/>
      <c r="DD46" s="6980"/>
      <c r="DE46" s="6980"/>
      <c r="DF46" s="6981"/>
      <c r="DG46" s="6982"/>
      <c r="DH46" s="6982"/>
      <c r="DI46" s="6982"/>
      <c r="DJ46" s="6982"/>
      <c r="DK46" s="6982"/>
      <c r="DL46" s="6983"/>
      <c r="DM46" s="6980"/>
      <c r="DN46" s="6980"/>
      <c r="DO46" s="6980"/>
      <c r="DP46" s="6981"/>
    </row>
    <row r="47" spans="1:120" s="6964" customFormat="1" ht="15" customHeight="1">
      <c r="A47" s="14653"/>
      <c r="B47" s="14656"/>
      <c r="C47" s="14582"/>
      <c r="D47" s="14585"/>
      <c r="E47" s="14621"/>
      <c r="F47" s="14625"/>
      <c r="G47" s="14592"/>
      <c r="H47" s="14592"/>
      <c r="I47" s="14630"/>
      <c r="J47" s="14708" t="s">
        <v>7547</v>
      </c>
      <c r="K47" s="14707" t="s">
        <v>4765</v>
      </c>
      <c r="L47" s="14706" t="s">
        <v>4654</v>
      </c>
      <c r="M47" s="14707" t="s">
        <v>4766</v>
      </c>
      <c r="N47" s="14707" t="s">
        <v>4705</v>
      </c>
      <c r="O47" s="14707" t="s">
        <v>4767</v>
      </c>
      <c r="P47" s="14707" t="s">
        <v>4768</v>
      </c>
      <c r="Q47" s="6971" t="s">
        <v>10066</v>
      </c>
      <c r="R47" s="6972" t="s">
        <v>298</v>
      </c>
      <c r="S47" s="6972"/>
      <c r="T47" s="14707" t="s">
        <v>4769</v>
      </c>
      <c r="U47" s="14717">
        <v>2</v>
      </c>
      <c r="V47" s="14718">
        <v>2</v>
      </c>
      <c r="W47" s="14719">
        <v>2</v>
      </c>
      <c r="X47" s="14714">
        <v>2</v>
      </c>
      <c r="Y47" s="14714">
        <v>2</v>
      </c>
      <c r="Z47" s="14714">
        <f t="shared" si="0"/>
        <v>10</v>
      </c>
      <c r="AA47" s="14716">
        <v>0</v>
      </c>
      <c r="AB47" s="7010">
        <v>70</v>
      </c>
      <c r="AC47" s="7011">
        <f>IF((AB47/U47)&gt;=2,100%)</f>
        <v>1</v>
      </c>
      <c r="AD47" s="14618"/>
      <c r="AE47" s="7007" t="s">
        <v>9211</v>
      </c>
      <c r="AF47" s="7007" t="s">
        <v>9205</v>
      </c>
      <c r="AG47" s="7007" t="s">
        <v>9212</v>
      </c>
      <c r="AH47" s="7006" t="s">
        <v>9213</v>
      </c>
      <c r="AI47" s="7006" t="s">
        <v>9213</v>
      </c>
      <c r="AJ47" s="7006"/>
      <c r="AK47" s="7006"/>
      <c r="AL47" s="7006">
        <v>1320</v>
      </c>
      <c r="AM47" s="7007"/>
      <c r="AN47" s="7007"/>
      <c r="AO47" s="6985"/>
      <c r="AP47" s="6985"/>
      <c r="AQ47" s="6985"/>
      <c r="AR47" s="6985"/>
      <c r="AS47" s="6985"/>
      <c r="AT47" s="6985"/>
      <c r="AU47" s="6985"/>
      <c r="AV47" s="6985"/>
      <c r="AW47" s="6985"/>
      <c r="AX47" s="6985"/>
      <c r="AY47" s="6985"/>
      <c r="AZ47" s="6985"/>
      <c r="BA47" s="6985"/>
      <c r="BB47" s="6985"/>
      <c r="BC47" s="6985"/>
      <c r="BD47" s="6985"/>
      <c r="BE47" s="6985"/>
      <c r="BF47" s="6985"/>
      <c r="BG47" s="6985"/>
      <c r="BH47" s="6985"/>
      <c r="BI47" s="6985"/>
      <c r="BJ47" s="6985"/>
      <c r="BK47" s="6985"/>
      <c r="BL47" s="6985"/>
      <c r="BM47" s="6985"/>
      <c r="BN47" s="6985"/>
      <c r="BO47" s="6985"/>
      <c r="BP47" s="6985"/>
      <c r="BQ47" s="6985"/>
      <c r="BR47" s="6985"/>
      <c r="BS47" s="6985"/>
      <c r="BT47" s="6985"/>
      <c r="BU47" s="6987"/>
      <c r="BW47" s="7012"/>
      <c r="BX47" s="7013"/>
      <c r="BY47" s="14757"/>
      <c r="BZ47" s="6980"/>
      <c r="CA47" s="6980"/>
      <c r="CB47" s="6981"/>
      <c r="CC47" s="6982"/>
      <c r="CD47" s="6983"/>
      <c r="CE47" s="6980"/>
      <c r="CF47" s="6981"/>
      <c r="CG47" s="6982"/>
      <c r="CH47" s="6983"/>
      <c r="CI47" s="6981"/>
      <c r="CJ47" s="6983"/>
      <c r="CK47" s="6981"/>
      <c r="CL47" s="6983"/>
      <c r="CM47" s="6980"/>
      <c r="CN47" s="6980"/>
      <c r="CO47" s="6980"/>
      <c r="CP47" s="6980"/>
      <c r="CQ47" s="6980"/>
      <c r="CR47" s="6981"/>
      <c r="CS47" s="6983"/>
      <c r="CT47" s="6980"/>
      <c r="CU47" s="6980"/>
      <c r="CV47" s="6980"/>
      <c r="CW47" s="6980"/>
      <c r="CX47" s="6980"/>
      <c r="CY47" s="6980"/>
      <c r="CZ47" s="6981"/>
      <c r="DA47" s="6983"/>
      <c r="DB47" s="6980"/>
      <c r="DC47" s="6980"/>
      <c r="DD47" s="6980"/>
      <c r="DE47" s="6980"/>
      <c r="DF47" s="6981"/>
      <c r="DG47" s="6982"/>
      <c r="DH47" s="6982"/>
      <c r="DI47" s="6982"/>
      <c r="DJ47" s="6982"/>
      <c r="DK47" s="6982"/>
      <c r="DL47" s="6983"/>
      <c r="DM47" s="6980"/>
      <c r="DN47" s="6980"/>
      <c r="DO47" s="6980"/>
      <c r="DP47" s="6981"/>
    </row>
    <row r="48" spans="1:120" s="6964" customFormat="1" ht="15" customHeight="1">
      <c r="A48" s="14653"/>
      <c r="B48" s="14656"/>
      <c r="C48" s="14582"/>
      <c r="D48" s="14585"/>
      <c r="E48" s="14621"/>
      <c r="F48" s="14625"/>
      <c r="G48" s="14592"/>
      <c r="H48" s="14592"/>
      <c r="I48" s="14630"/>
      <c r="J48" s="14708"/>
      <c r="K48" s="14707"/>
      <c r="L48" s="14706"/>
      <c r="M48" s="14707"/>
      <c r="N48" s="14707"/>
      <c r="O48" s="14707"/>
      <c r="P48" s="14707"/>
      <c r="Q48" s="6971" t="s">
        <v>10186</v>
      </c>
      <c r="R48" s="6972"/>
      <c r="S48" s="6972" t="s">
        <v>10065</v>
      </c>
      <c r="T48" s="14707"/>
      <c r="U48" s="14717"/>
      <c r="V48" s="14718"/>
      <c r="W48" s="14720"/>
      <c r="X48" s="14715"/>
      <c r="Y48" s="14715"/>
      <c r="Z48" s="14715"/>
      <c r="AA48" s="14705"/>
      <c r="AB48" s="7014"/>
      <c r="AC48" s="7015"/>
      <c r="AD48" s="14618"/>
      <c r="AE48" s="7016"/>
      <c r="AF48" s="7016"/>
      <c r="AG48" s="7016"/>
      <c r="AH48" s="7017"/>
      <c r="AI48" s="7017"/>
      <c r="AJ48" s="7017"/>
      <c r="AK48" s="7017"/>
      <c r="AL48" s="7017"/>
      <c r="AM48" s="7016"/>
      <c r="AN48" s="7016"/>
      <c r="AO48" s="6988"/>
      <c r="AP48" s="6988"/>
      <c r="AQ48" s="6988"/>
      <c r="AR48" s="6988"/>
      <c r="AS48" s="6988"/>
      <c r="AT48" s="6988"/>
      <c r="AU48" s="6988"/>
      <c r="AV48" s="6988"/>
      <c r="AW48" s="6988"/>
      <c r="AX48" s="6988"/>
      <c r="AY48" s="6988"/>
      <c r="AZ48" s="6988"/>
      <c r="BA48" s="6988"/>
      <c r="BB48" s="6988"/>
      <c r="BC48" s="6988"/>
      <c r="BD48" s="6988"/>
      <c r="BE48" s="6988"/>
      <c r="BF48" s="6988"/>
      <c r="BG48" s="6988"/>
      <c r="BH48" s="6988"/>
      <c r="BI48" s="6988"/>
      <c r="BJ48" s="6988"/>
      <c r="BK48" s="6988"/>
      <c r="BL48" s="6988"/>
      <c r="BM48" s="6988"/>
      <c r="BN48" s="6988"/>
      <c r="BO48" s="6988"/>
      <c r="BP48" s="6988"/>
      <c r="BQ48" s="6988"/>
      <c r="BR48" s="6988"/>
      <c r="BS48" s="6988"/>
      <c r="BT48" s="6988"/>
      <c r="BU48" s="6987"/>
      <c r="BW48" s="7012"/>
      <c r="BX48" s="7013"/>
      <c r="BY48" s="14757"/>
      <c r="BZ48" s="6980"/>
      <c r="CA48" s="6980"/>
      <c r="CB48" s="6981"/>
      <c r="CC48" s="6982"/>
      <c r="CD48" s="6983"/>
      <c r="CE48" s="6980"/>
      <c r="CF48" s="6981"/>
      <c r="CG48" s="6982"/>
      <c r="CH48" s="6983"/>
      <c r="CI48" s="6981"/>
      <c r="CJ48" s="6983"/>
      <c r="CK48" s="6981"/>
      <c r="CL48" s="6983"/>
      <c r="CM48" s="6980"/>
      <c r="CN48" s="6980"/>
      <c r="CO48" s="6980"/>
      <c r="CP48" s="6980"/>
      <c r="CQ48" s="6980"/>
      <c r="CR48" s="6981"/>
      <c r="CS48" s="6983"/>
      <c r="CT48" s="6980"/>
      <c r="CU48" s="6980"/>
      <c r="CV48" s="6980"/>
      <c r="CW48" s="6980"/>
      <c r="CX48" s="6980"/>
      <c r="CY48" s="6980"/>
      <c r="CZ48" s="6981"/>
      <c r="DA48" s="6983"/>
      <c r="DB48" s="6980"/>
      <c r="DC48" s="6980"/>
      <c r="DD48" s="6980"/>
      <c r="DE48" s="6980"/>
      <c r="DF48" s="6981"/>
      <c r="DG48" s="6982"/>
      <c r="DH48" s="6982"/>
      <c r="DI48" s="6982"/>
      <c r="DJ48" s="6982"/>
      <c r="DK48" s="6982"/>
      <c r="DL48" s="6983"/>
      <c r="DM48" s="6980"/>
      <c r="DN48" s="6980"/>
      <c r="DO48" s="6980"/>
      <c r="DP48" s="6981"/>
    </row>
    <row r="49" spans="1:120" s="6964" customFormat="1" ht="15" customHeight="1">
      <c r="A49" s="14653"/>
      <c r="B49" s="14656"/>
      <c r="C49" s="14582"/>
      <c r="D49" s="14585"/>
      <c r="E49" s="14659"/>
      <c r="F49" s="14642"/>
      <c r="G49" s="14592"/>
      <c r="H49" s="14592"/>
      <c r="I49" s="14630"/>
      <c r="J49" s="6993" t="s">
        <v>7548</v>
      </c>
      <c r="K49" s="6996" t="s">
        <v>4770</v>
      </c>
      <c r="L49" s="6995" t="s">
        <v>4654</v>
      </c>
      <c r="M49" s="6996" t="s">
        <v>4771</v>
      </c>
      <c r="N49" s="6994" t="s">
        <v>4772</v>
      </c>
      <c r="O49" s="6996" t="s">
        <v>4773</v>
      </c>
      <c r="P49" s="6994" t="s">
        <v>4774</v>
      </c>
      <c r="Q49" s="6971" t="s">
        <v>2859</v>
      </c>
      <c r="R49" s="6972" t="s">
        <v>538</v>
      </c>
      <c r="S49" s="6972"/>
      <c r="T49" s="6972" t="s">
        <v>4775</v>
      </c>
      <c r="U49" s="6997">
        <v>1</v>
      </c>
      <c r="V49" s="6998">
        <v>1</v>
      </c>
      <c r="W49" s="6999">
        <v>1</v>
      </c>
      <c r="X49" s="7000">
        <v>1</v>
      </c>
      <c r="Y49" s="7000">
        <v>1</v>
      </c>
      <c r="Z49" s="7000">
        <v>1</v>
      </c>
      <c r="AA49" s="7002">
        <v>300000000</v>
      </c>
      <c r="AB49" s="7018">
        <v>1</v>
      </c>
      <c r="AC49" s="7018">
        <f>AB49/U49</f>
        <v>1</v>
      </c>
      <c r="AD49" s="14618"/>
      <c r="AE49" s="7019" t="s">
        <v>9230</v>
      </c>
      <c r="AF49" s="7020" t="s">
        <v>3763</v>
      </c>
      <c r="AG49" s="7007"/>
      <c r="AH49" s="7021">
        <v>60391350</v>
      </c>
      <c r="AI49" s="7006" t="s">
        <v>2891</v>
      </c>
      <c r="AJ49" s="7006"/>
      <c r="AK49" s="7006"/>
      <c r="AL49" s="7006">
        <v>22894</v>
      </c>
      <c r="AM49" s="6985"/>
      <c r="AN49" s="6985"/>
      <c r="AO49" s="7007" t="s">
        <v>9231</v>
      </c>
      <c r="AP49" s="7007" t="s">
        <v>9232</v>
      </c>
      <c r="AQ49" s="6985"/>
      <c r="AR49" s="6985"/>
      <c r="AS49" s="6985"/>
      <c r="AT49" s="6985"/>
      <c r="AU49" s="6985"/>
      <c r="AV49" s="6985"/>
      <c r="AW49" s="6985"/>
      <c r="AX49" s="6985"/>
      <c r="AY49" s="6985"/>
      <c r="AZ49" s="6985"/>
      <c r="BA49" s="6985"/>
      <c r="BB49" s="6985"/>
      <c r="BC49" s="6985"/>
      <c r="BD49" s="6985"/>
      <c r="BE49" s="6985"/>
      <c r="BF49" s="6985"/>
      <c r="BG49" s="6985"/>
      <c r="BH49" s="6985"/>
      <c r="BI49" s="6985"/>
      <c r="BJ49" s="6985"/>
      <c r="BK49" s="6985"/>
      <c r="BL49" s="6985"/>
      <c r="BM49" s="6985"/>
      <c r="BN49" s="6985"/>
      <c r="BO49" s="6985"/>
      <c r="BP49" s="6985"/>
      <c r="BQ49" s="6985"/>
      <c r="BR49" s="6985"/>
      <c r="BS49" s="6985"/>
      <c r="BT49" s="6985"/>
      <c r="BU49" s="6987"/>
      <c r="BW49" s="7022"/>
      <c r="BX49" s="7023"/>
      <c r="BY49" s="14757"/>
      <c r="BZ49" s="6980"/>
      <c r="CA49" s="6980"/>
      <c r="CB49" s="6981"/>
      <c r="CC49" s="6982"/>
      <c r="CD49" s="6983"/>
      <c r="CE49" s="6980"/>
      <c r="CF49" s="6981"/>
      <c r="CG49" s="6982"/>
      <c r="CH49" s="6983"/>
      <c r="CI49" s="6981"/>
      <c r="CJ49" s="6983"/>
      <c r="CK49" s="6981"/>
      <c r="CL49" s="6983"/>
      <c r="CM49" s="6980"/>
      <c r="CN49" s="6980"/>
      <c r="CO49" s="6980"/>
      <c r="CP49" s="6980"/>
      <c r="CQ49" s="6980"/>
      <c r="CR49" s="6981"/>
      <c r="CS49" s="6983"/>
      <c r="CT49" s="6980"/>
      <c r="CU49" s="6980"/>
      <c r="CV49" s="6980"/>
      <c r="CW49" s="6980"/>
      <c r="CX49" s="6980"/>
      <c r="CY49" s="6980"/>
      <c r="CZ49" s="6981"/>
      <c r="DA49" s="6983"/>
      <c r="DB49" s="6980"/>
      <c r="DC49" s="6980"/>
      <c r="DD49" s="6980"/>
      <c r="DE49" s="6980"/>
      <c r="DF49" s="6981"/>
      <c r="DG49" s="6982"/>
      <c r="DH49" s="6982"/>
      <c r="DI49" s="6982"/>
      <c r="DJ49" s="6982"/>
      <c r="DK49" s="6982"/>
      <c r="DL49" s="6983"/>
      <c r="DM49" s="6980"/>
      <c r="DN49" s="6980"/>
      <c r="DO49" s="6980"/>
      <c r="DP49" s="6981"/>
    </row>
    <row r="50" spans="1:120" s="6964" customFormat="1" ht="15" customHeight="1">
      <c r="A50" s="14653"/>
      <c r="B50" s="14656"/>
      <c r="C50" s="14582"/>
      <c r="D50" s="14585"/>
      <c r="E50" s="14660" t="s">
        <v>4776</v>
      </c>
      <c r="F50" s="14627" t="s">
        <v>4777</v>
      </c>
      <c r="G50" s="14592"/>
      <c r="H50" s="14592"/>
      <c r="I50" s="14630"/>
      <c r="J50" s="6993" t="s">
        <v>7549</v>
      </c>
      <c r="K50" s="6996" t="s">
        <v>4778</v>
      </c>
      <c r="L50" s="6995" t="s">
        <v>4654</v>
      </c>
      <c r="M50" s="6996" t="s">
        <v>4779</v>
      </c>
      <c r="N50" s="6994" t="s">
        <v>4780</v>
      </c>
      <c r="O50" s="6996" t="s">
        <v>4781</v>
      </c>
      <c r="P50" s="6994" t="s">
        <v>4782</v>
      </c>
      <c r="Q50" s="6971" t="s">
        <v>10066</v>
      </c>
      <c r="R50" s="6972" t="s">
        <v>298</v>
      </c>
      <c r="S50" s="6972"/>
      <c r="T50" s="6972" t="s">
        <v>4783</v>
      </c>
      <c r="U50" s="6997">
        <v>0.22</v>
      </c>
      <c r="V50" s="6998">
        <v>0.23</v>
      </c>
      <c r="W50" s="6999">
        <v>0.24</v>
      </c>
      <c r="X50" s="7000">
        <v>0.25</v>
      </c>
      <c r="Y50" s="7000">
        <v>0.26</v>
      </c>
      <c r="Z50" s="7000">
        <v>0.26</v>
      </c>
      <c r="AA50" s="7002">
        <v>60000000</v>
      </c>
      <c r="AB50" s="7006" t="s">
        <v>9214</v>
      </c>
      <c r="AC50" s="7018">
        <v>0</v>
      </c>
      <c r="AD50" s="14618"/>
      <c r="AE50" s="7007" t="s">
        <v>9215</v>
      </c>
      <c r="AF50" s="7007"/>
      <c r="AG50" s="7024"/>
      <c r="AH50" s="7006">
        <v>85668000</v>
      </c>
      <c r="AI50" s="7006">
        <v>85668000</v>
      </c>
      <c r="AJ50" s="7006"/>
      <c r="AK50" s="7025"/>
      <c r="AL50" s="7026">
        <v>964</v>
      </c>
      <c r="AM50" s="7027">
        <v>671</v>
      </c>
      <c r="AN50" s="7027">
        <v>293</v>
      </c>
      <c r="AO50" s="6985" t="s">
        <v>2891</v>
      </c>
      <c r="AP50" s="6985"/>
      <c r="AQ50" s="6985"/>
      <c r="AR50" s="6985"/>
      <c r="AS50" s="6985"/>
      <c r="AT50" s="6985" t="s">
        <v>2891</v>
      </c>
      <c r="AU50" s="6985" t="s">
        <v>2891</v>
      </c>
      <c r="AV50" s="6985" t="s">
        <v>2891</v>
      </c>
      <c r="AW50" s="6985" t="s">
        <v>2891</v>
      </c>
      <c r="AX50" s="7027">
        <v>964</v>
      </c>
      <c r="AY50" s="6985"/>
      <c r="AZ50" s="6985"/>
      <c r="BA50" s="6985"/>
      <c r="BB50" s="6985"/>
      <c r="BC50" s="6985"/>
      <c r="BD50" s="6985"/>
      <c r="BE50" s="6985"/>
      <c r="BF50" s="7027">
        <v>964</v>
      </c>
      <c r="BG50" s="6985"/>
      <c r="BH50" s="6985"/>
      <c r="BI50" s="6985"/>
      <c r="BJ50" s="6985"/>
      <c r="BK50" s="6985"/>
      <c r="BL50" s="6985"/>
      <c r="BM50" s="6985"/>
      <c r="BN50" s="6985"/>
      <c r="BO50" s="6985"/>
      <c r="BP50" s="6985"/>
      <c r="BQ50" s="6985"/>
      <c r="BR50" s="6985"/>
      <c r="BS50" s="6985"/>
      <c r="BT50" s="6985"/>
      <c r="BU50" s="6987"/>
      <c r="BW50" s="7028"/>
      <c r="BX50" s="7023"/>
      <c r="BY50" s="14757"/>
      <c r="BZ50" s="6980"/>
      <c r="CA50" s="6980"/>
      <c r="CB50" s="6981"/>
      <c r="CC50" s="6982"/>
      <c r="CD50" s="6983"/>
      <c r="CE50" s="6980"/>
      <c r="CF50" s="6981"/>
      <c r="CG50" s="6982"/>
      <c r="CH50" s="6983"/>
      <c r="CI50" s="6981"/>
      <c r="CJ50" s="6983"/>
      <c r="CK50" s="6981"/>
      <c r="CL50" s="6983"/>
      <c r="CM50" s="6980"/>
      <c r="CN50" s="6980"/>
      <c r="CO50" s="6980"/>
      <c r="CP50" s="6980"/>
      <c r="CQ50" s="6980"/>
      <c r="CR50" s="6981"/>
      <c r="CS50" s="6983"/>
      <c r="CT50" s="6980"/>
      <c r="CU50" s="6980"/>
      <c r="CV50" s="6980"/>
      <c r="CW50" s="6980"/>
      <c r="CX50" s="6980"/>
      <c r="CY50" s="6980"/>
      <c r="CZ50" s="6981"/>
      <c r="DA50" s="6983"/>
      <c r="DB50" s="6980"/>
      <c r="DC50" s="6980"/>
      <c r="DD50" s="6980"/>
      <c r="DE50" s="6980"/>
      <c r="DF50" s="6981"/>
      <c r="DG50" s="6982"/>
      <c r="DH50" s="6982"/>
      <c r="DI50" s="6982"/>
      <c r="DJ50" s="6982"/>
      <c r="DK50" s="6982"/>
      <c r="DL50" s="6983"/>
      <c r="DM50" s="6980"/>
      <c r="DN50" s="6980"/>
      <c r="DO50" s="6980"/>
      <c r="DP50" s="6981"/>
    </row>
    <row r="51" spans="1:120" s="6964" customFormat="1" ht="15" customHeight="1">
      <c r="A51" s="14653"/>
      <c r="B51" s="14656"/>
      <c r="C51" s="14582"/>
      <c r="D51" s="14585"/>
      <c r="E51" s="14661"/>
      <c r="F51" s="14592"/>
      <c r="G51" s="14592"/>
      <c r="H51" s="14592"/>
      <c r="I51" s="14630"/>
      <c r="J51" s="14708" t="s">
        <v>7550</v>
      </c>
      <c r="K51" s="14707" t="s">
        <v>4784</v>
      </c>
      <c r="L51" s="14706" t="s">
        <v>4676</v>
      </c>
      <c r="M51" s="14707" t="s">
        <v>4785</v>
      </c>
      <c r="N51" s="14707" t="s">
        <v>4705</v>
      </c>
      <c r="O51" s="14707" t="s">
        <v>4786</v>
      </c>
      <c r="P51" s="14707" t="s">
        <v>4787</v>
      </c>
      <c r="Q51" s="6971" t="s">
        <v>218</v>
      </c>
      <c r="R51" s="6972" t="s">
        <v>768</v>
      </c>
      <c r="S51" s="6972"/>
      <c r="T51" s="14707" t="s">
        <v>4660</v>
      </c>
      <c r="U51" s="14717">
        <v>6</v>
      </c>
      <c r="V51" s="14718">
        <v>6</v>
      </c>
      <c r="W51" s="14719">
        <v>6</v>
      </c>
      <c r="X51" s="14714">
        <v>6</v>
      </c>
      <c r="Y51" s="14714">
        <v>6</v>
      </c>
      <c r="Z51" s="14714">
        <f t="shared" si="0"/>
        <v>30</v>
      </c>
      <c r="AA51" s="14716">
        <v>150000000</v>
      </c>
      <c r="AB51" s="7010" t="s">
        <v>2951</v>
      </c>
      <c r="AC51" s="7011" t="s">
        <v>2951</v>
      </c>
      <c r="AD51" s="14618"/>
      <c r="AE51" s="6985"/>
      <c r="AF51" s="6985"/>
      <c r="AG51" s="6985"/>
      <c r="AH51" s="6985"/>
      <c r="AI51" s="6985"/>
      <c r="AJ51" s="6985"/>
      <c r="AK51" s="6985"/>
      <c r="AL51" s="6985"/>
      <c r="AM51" s="6985"/>
      <c r="AN51" s="6985"/>
      <c r="AO51" s="6985"/>
      <c r="AP51" s="6985"/>
      <c r="AQ51" s="6985"/>
      <c r="AR51" s="6985"/>
      <c r="AS51" s="6985"/>
      <c r="AT51" s="6985"/>
      <c r="AU51" s="6985"/>
      <c r="AV51" s="6985"/>
      <c r="AW51" s="6985"/>
      <c r="AX51" s="6985"/>
      <c r="AY51" s="6985"/>
      <c r="AZ51" s="6985"/>
      <c r="BA51" s="6985"/>
      <c r="BB51" s="6985"/>
      <c r="BC51" s="6985"/>
      <c r="BD51" s="6985"/>
      <c r="BE51" s="6985"/>
      <c r="BF51" s="6985"/>
      <c r="BG51" s="6985"/>
      <c r="BH51" s="6985"/>
      <c r="BI51" s="6985"/>
      <c r="BJ51" s="6985"/>
      <c r="BK51" s="6985"/>
      <c r="BL51" s="6985"/>
      <c r="BM51" s="6985"/>
      <c r="BN51" s="6985"/>
      <c r="BO51" s="6985"/>
      <c r="BP51" s="6985"/>
      <c r="BQ51" s="6985"/>
      <c r="BR51" s="6985"/>
      <c r="BS51" s="6985"/>
      <c r="BT51" s="6985"/>
      <c r="BU51" s="6987"/>
      <c r="BW51" s="7012"/>
      <c r="BX51" s="7013"/>
      <c r="BY51" s="14757"/>
      <c r="BZ51" s="6980"/>
      <c r="CA51" s="6980"/>
      <c r="CB51" s="6981"/>
      <c r="CC51" s="6982"/>
      <c r="CD51" s="6983"/>
      <c r="CE51" s="6980"/>
      <c r="CF51" s="6981"/>
      <c r="CG51" s="6982"/>
      <c r="CH51" s="6983"/>
      <c r="CI51" s="6981"/>
      <c r="CJ51" s="6983"/>
      <c r="CK51" s="6981"/>
      <c r="CL51" s="6983"/>
      <c r="CM51" s="6980"/>
      <c r="CN51" s="6980"/>
      <c r="CO51" s="6980"/>
      <c r="CP51" s="6980"/>
      <c r="CQ51" s="6980"/>
      <c r="CR51" s="6981"/>
      <c r="CS51" s="6983"/>
      <c r="CT51" s="6980"/>
      <c r="CU51" s="6980"/>
      <c r="CV51" s="6980"/>
      <c r="CW51" s="6980"/>
      <c r="CX51" s="6980"/>
      <c r="CY51" s="6980"/>
      <c r="CZ51" s="6981"/>
      <c r="DA51" s="6983"/>
      <c r="DB51" s="6980"/>
      <c r="DC51" s="6980"/>
      <c r="DD51" s="6980"/>
      <c r="DE51" s="6980"/>
      <c r="DF51" s="6981"/>
      <c r="DG51" s="6982"/>
      <c r="DH51" s="6982"/>
      <c r="DI51" s="6982"/>
      <c r="DJ51" s="6982"/>
      <c r="DK51" s="6982"/>
      <c r="DL51" s="6983"/>
      <c r="DM51" s="6980"/>
      <c r="DN51" s="6980"/>
      <c r="DO51" s="6980"/>
      <c r="DP51" s="6981"/>
    </row>
    <row r="52" spans="1:120" s="6964" customFormat="1" ht="15" customHeight="1">
      <c r="A52" s="14653"/>
      <c r="B52" s="14656"/>
      <c r="C52" s="14582"/>
      <c r="D52" s="14585"/>
      <c r="E52" s="14661"/>
      <c r="F52" s="14592"/>
      <c r="G52" s="14592"/>
      <c r="H52" s="14592"/>
      <c r="I52" s="14630"/>
      <c r="J52" s="14708"/>
      <c r="K52" s="14707"/>
      <c r="L52" s="14706"/>
      <c r="M52" s="14707"/>
      <c r="N52" s="14707"/>
      <c r="O52" s="14707"/>
      <c r="P52" s="14707"/>
      <c r="Q52" s="6971" t="s">
        <v>10070</v>
      </c>
      <c r="R52" s="6972"/>
      <c r="S52" s="6972" t="s">
        <v>4285</v>
      </c>
      <c r="T52" s="14707"/>
      <c r="U52" s="14717"/>
      <c r="V52" s="14718"/>
      <c r="W52" s="14720"/>
      <c r="X52" s="14715"/>
      <c r="Y52" s="14715"/>
      <c r="Z52" s="14715"/>
      <c r="AA52" s="14705"/>
      <c r="AB52" s="7014"/>
      <c r="AC52" s="7015"/>
      <c r="AD52" s="14618"/>
      <c r="AE52" s="6992"/>
      <c r="AF52" s="6992"/>
      <c r="AG52" s="6992"/>
      <c r="AH52" s="6992"/>
      <c r="AI52" s="6992"/>
      <c r="AJ52" s="6988"/>
      <c r="AK52" s="6988"/>
      <c r="AL52" s="6988"/>
      <c r="AM52" s="6988"/>
      <c r="AN52" s="6988"/>
      <c r="AO52" s="6988"/>
      <c r="AP52" s="6988"/>
      <c r="AQ52" s="6988"/>
      <c r="AR52" s="6988"/>
      <c r="AS52" s="6988"/>
      <c r="AT52" s="6988"/>
      <c r="AU52" s="6988"/>
      <c r="AV52" s="6988"/>
      <c r="AW52" s="6988"/>
      <c r="AX52" s="6988"/>
      <c r="AY52" s="6988"/>
      <c r="AZ52" s="6988"/>
      <c r="BA52" s="6988"/>
      <c r="BB52" s="6988"/>
      <c r="BC52" s="6988"/>
      <c r="BD52" s="6988"/>
      <c r="BE52" s="6988"/>
      <c r="BF52" s="6988"/>
      <c r="BG52" s="6988"/>
      <c r="BH52" s="6988"/>
      <c r="BI52" s="6988"/>
      <c r="BJ52" s="6988"/>
      <c r="BK52" s="6988"/>
      <c r="BL52" s="6988"/>
      <c r="BM52" s="6988"/>
      <c r="BN52" s="6988"/>
      <c r="BO52" s="6988"/>
      <c r="BP52" s="6988"/>
      <c r="BQ52" s="6988"/>
      <c r="BR52" s="6988"/>
      <c r="BS52" s="6988"/>
      <c r="BT52" s="6988"/>
      <c r="BU52" s="6987"/>
      <c r="BW52" s="7012"/>
      <c r="BX52" s="7013"/>
      <c r="BY52" s="14757"/>
      <c r="BZ52" s="6980"/>
      <c r="CA52" s="6980"/>
      <c r="CB52" s="6981"/>
      <c r="CC52" s="6982"/>
      <c r="CD52" s="6983"/>
      <c r="CE52" s="6980"/>
      <c r="CF52" s="6981"/>
      <c r="CG52" s="6982"/>
      <c r="CH52" s="6983"/>
      <c r="CI52" s="6981"/>
      <c r="CJ52" s="6983"/>
      <c r="CK52" s="6981"/>
      <c r="CL52" s="6983"/>
      <c r="CM52" s="6980"/>
      <c r="CN52" s="6980"/>
      <c r="CO52" s="6980"/>
      <c r="CP52" s="6980"/>
      <c r="CQ52" s="6980"/>
      <c r="CR52" s="6981"/>
      <c r="CS52" s="6983"/>
      <c r="CT52" s="6980"/>
      <c r="CU52" s="6980"/>
      <c r="CV52" s="6980"/>
      <c r="CW52" s="6980"/>
      <c r="CX52" s="6980"/>
      <c r="CY52" s="6980"/>
      <c r="CZ52" s="6981"/>
      <c r="DA52" s="6983"/>
      <c r="DB52" s="6980"/>
      <c r="DC52" s="6980"/>
      <c r="DD52" s="6980"/>
      <c r="DE52" s="6980"/>
      <c r="DF52" s="6981"/>
      <c r="DG52" s="6982"/>
      <c r="DH52" s="6982"/>
      <c r="DI52" s="6982"/>
      <c r="DJ52" s="6982"/>
      <c r="DK52" s="6982"/>
      <c r="DL52" s="6983"/>
      <c r="DM52" s="6980"/>
      <c r="DN52" s="6980"/>
      <c r="DO52" s="6980"/>
      <c r="DP52" s="6981"/>
    </row>
    <row r="53" spans="1:120" s="6964" customFormat="1" ht="15" customHeight="1">
      <c r="A53" s="14653"/>
      <c r="B53" s="14656"/>
      <c r="C53" s="14582"/>
      <c r="D53" s="14585"/>
      <c r="E53" s="14661"/>
      <c r="F53" s="14592"/>
      <c r="G53" s="14592"/>
      <c r="H53" s="14592"/>
      <c r="I53" s="14630"/>
      <c r="J53" s="14708" t="s">
        <v>7551</v>
      </c>
      <c r="K53" s="14707" t="s">
        <v>4788</v>
      </c>
      <c r="L53" s="14706" t="s">
        <v>4676</v>
      </c>
      <c r="M53" s="14707" t="s">
        <v>4789</v>
      </c>
      <c r="N53" s="14707" t="s">
        <v>4790</v>
      </c>
      <c r="O53" s="14707" t="s">
        <v>4791</v>
      </c>
      <c r="P53" s="14707" t="s">
        <v>4792</v>
      </c>
      <c r="Q53" s="6971" t="s">
        <v>2896</v>
      </c>
      <c r="R53" s="6972" t="s">
        <v>163</v>
      </c>
      <c r="S53" s="6972"/>
      <c r="T53" s="14707" t="s">
        <v>4712</v>
      </c>
      <c r="U53" s="14729">
        <v>0.2</v>
      </c>
      <c r="V53" s="14730">
        <v>0.2</v>
      </c>
      <c r="W53" s="14731">
        <v>0.2</v>
      </c>
      <c r="X53" s="14726">
        <v>0.2</v>
      </c>
      <c r="Y53" s="14726">
        <v>0.2</v>
      </c>
      <c r="Z53" s="14726">
        <f>SUM(U53:Y53)</f>
        <v>1</v>
      </c>
      <c r="AA53" s="14716">
        <v>100000000</v>
      </c>
      <c r="AB53" s="7010">
        <v>1080</v>
      </c>
      <c r="AC53" s="7011">
        <v>0</v>
      </c>
      <c r="AD53" s="14618"/>
      <c r="AE53" s="7029" t="s">
        <v>9233</v>
      </c>
      <c r="AF53" s="7030" t="s">
        <v>9234</v>
      </c>
      <c r="AG53" s="7030" t="s">
        <v>9235</v>
      </c>
      <c r="AH53" s="7005">
        <v>15728000</v>
      </c>
      <c r="AI53" s="7005">
        <f>AH53</f>
        <v>15728000</v>
      </c>
      <c r="AJ53" s="7006">
        <v>0</v>
      </c>
      <c r="AK53" s="7006">
        <v>0</v>
      </c>
      <c r="AL53" s="7007"/>
      <c r="AM53" s="7007"/>
      <c r="AN53" s="7007"/>
      <c r="AO53" s="6985"/>
      <c r="AP53" s="6985"/>
      <c r="AQ53" s="6985"/>
      <c r="AR53" s="6985"/>
      <c r="AS53" s="6985"/>
      <c r="AT53" s="6985"/>
      <c r="AU53" s="6985"/>
      <c r="AV53" s="6985"/>
      <c r="AW53" s="6985"/>
      <c r="AX53" s="6985"/>
      <c r="AY53" s="6985"/>
      <c r="AZ53" s="6985"/>
      <c r="BA53" s="6985"/>
      <c r="BB53" s="6985"/>
      <c r="BC53" s="6985"/>
      <c r="BD53" s="6985"/>
      <c r="BE53" s="6985"/>
      <c r="BF53" s="6985"/>
      <c r="BG53" s="6985"/>
      <c r="BH53" s="6985"/>
      <c r="BI53" s="6985"/>
      <c r="BJ53" s="6985"/>
      <c r="BK53" s="6985"/>
      <c r="BL53" s="6985"/>
      <c r="BM53" s="6985"/>
      <c r="BN53" s="6985"/>
      <c r="BO53" s="6985"/>
      <c r="BP53" s="6985"/>
      <c r="BQ53" s="6985"/>
      <c r="BR53" s="6985"/>
      <c r="BS53" s="6985"/>
      <c r="BT53" s="6985"/>
      <c r="BU53" s="6987"/>
      <c r="BW53" s="7012"/>
      <c r="BX53" s="7013"/>
      <c r="BY53" s="14757"/>
      <c r="BZ53" s="6980"/>
      <c r="CA53" s="6980"/>
      <c r="CB53" s="6981"/>
      <c r="CC53" s="6982"/>
      <c r="CD53" s="6983"/>
      <c r="CE53" s="6980"/>
      <c r="CF53" s="6981"/>
      <c r="CG53" s="6982"/>
      <c r="CH53" s="6983"/>
      <c r="CI53" s="6981"/>
      <c r="CJ53" s="6983"/>
      <c r="CK53" s="6981"/>
      <c r="CL53" s="6983"/>
      <c r="CM53" s="6980"/>
      <c r="CN53" s="6980"/>
      <c r="CO53" s="6980"/>
      <c r="CP53" s="6980"/>
      <c r="CQ53" s="6980"/>
      <c r="CR53" s="6981"/>
      <c r="CS53" s="6983"/>
      <c r="CT53" s="6980"/>
      <c r="CU53" s="6980"/>
      <c r="CV53" s="6980"/>
      <c r="CW53" s="6980"/>
      <c r="CX53" s="6980"/>
      <c r="CY53" s="6980"/>
      <c r="CZ53" s="6981"/>
      <c r="DA53" s="6983"/>
      <c r="DB53" s="6980"/>
      <c r="DC53" s="6980"/>
      <c r="DD53" s="6980"/>
      <c r="DE53" s="6980"/>
      <c r="DF53" s="6981"/>
      <c r="DG53" s="6982"/>
      <c r="DH53" s="6982"/>
      <c r="DI53" s="6982"/>
      <c r="DJ53" s="6982"/>
      <c r="DK53" s="6982"/>
      <c r="DL53" s="6983"/>
      <c r="DM53" s="6980"/>
      <c r="DN53" s="6980"/>
      <c r="DO53" s="6980"/>
      <c r="DP53" s="6981"/>
    </row>
    <row r="54" spans="1:120" s="6964" customFormat="1" ht="15" customHeight="1">
      <c r="A54" s="14653"/>
      <c r="B54" s="14656"/>
      <c r="C54" s="14582"/>
      <c r="D54" s="14585"/>
      <c r="E54" s="14661"/>
      <c r="F54" s="14592"/>
      <c r="G54" s="14592"/>
      <c r="H54" s="14592"/>
      <c r="I54" s="14630"/>
      <c r="J54" s="14708"/>
      <c r="K54" s="14707"/>
      <c r="L54" s="14706"/>
      <c r="M54" s="14707"/>
      <c r="N54" s="14707"/>
      <c r="O54" s="14707"/>
      <c r="P54" s="14707"/>
      <c r="Q54" s="6971" t="s">
        <v>86</v>
      </c>
      <c r="R54" s="6972"/>
      <c r="S54" s="6972" t="s">
        <v>1509</v>
      </c>
      <c r="T54" s="14707"/>
      <c r="U54" s="14729"/>
      <c r="V54" s="14730"/>
      <c r="W54" s="14732"/>
      <c r="X54" s="14727"/>
      <c r="Y54" s="14727"/>
      <c r="Z54" s="14727"/>
      <c r="AA54" s="14704"/>
      <c r="AB54" s="7031"/>
      <c r="AC54" s="7032"/>
      <c r="AD54" s="14618"/>
      <c r="AE54" s="7033"/>
      <c r="AF54" s="7034"/>
      <c r="AG54" s="7034"/>
      <c r="AH54" s="7035"/>
      <c r="AI54" s="7035"/>
      <c r="AJ54" s="7017"/>
      <c r="AK54" s="7017"/>
      <c r="AL54" s="7016"/>
      <c r="AM54" s="7016"/>
      <c r="AN54" s="7016"/>
      <c r="AO54" s="6988"/>
      <c r="AP54" s="6988"/>
      <c r="AQ54" s="6988"/>
      <c r="AR54" s="6988"/>
      <c r="AS54" s="6988"/>
      <c r="AT54" s="6988"/>
      <c r="AU54" s="6988"/>
      <c r="AV54" s="6988"/>
      <c r="AW54" s="6988"/>
      <c r="AX54" s="6988"/>
      <c r="AY54" s="6988"/>
      <c r="AZ54" s="6988"/>
      <c r="BA54" s="6988"/>
      <c r="BB54" s="6988"/>
      <c r="BC54" s="6988"/>
      <c r="BD54" s="6988"/>
      <c r="BE54" s="6988"/>
      <c r="BF54" s="6988"/>
      <c r="BG54" s="6988"/>
      <c r="BH54" s="6988"/>
      <c r="BI54" s="6988"/>
      <c r="BJ54" s="6988"/>
      <c r="BK54" s="6988"/>
      <c r="BL54" s="6988"/>
      <c r="BM54" s="6988"/>
      <c r="BN54" s="6988"/>
      <c r="BO54" s="6988"/>
      <c r="BP54" s="6988"/>
      <c r="BQ54" s="6988"/>
      <c r="BR54" s="6988"/>
      <c r="BS54" s="6988"/>
      <c r="BT54" s="6988"/>
      <c r="BU54" s="6987"/>
      <c r="BW54" s="7012"/>
      <c r="BX54" s="7013"/>
      <c r="BY54" s="14757"/>
      <c r="BZ54" s="6980"/>
      <c r="CA54" s="6980"/>
      <c r="CB54" s="6981"/>
      <c r="CC54" s="6982"/>
      <c r="CD54" s="6983"/>
      <c r="CE54" s="6980"/>
      <c r="CF54" s="6981"/>
      <c r="CG54" s="6982"/>
      <c r="CH54" s="6983"/>
      <c r="CI54" s="6981"/>
      <c r="CJ54" s="6983"/>
      <c r="CK54" s="6981"/>
      <c r="CL54" s="6983"/>
      <c r="CM54" s="6980"/>
      <c r="CN54" s="6980"/>
      <c r="CO54" s="6980"/>
      <c r="CP54" s="6980"/>
      <c r="CQ54" s="6980"/>
      <c r="CR54" s="6981"/>
      <c r="CS54" s="6983"/>
      <c r="CT54" s="6980"/>
      <c r="CU54" s="6980"/>
      <c r="CV54" s="6980"/>
      <c r="CW54" s="6980"/>
      <c r="CX54" s="6980"/>
      <c r="CY54" s="6980"/>
      <c r="CZ54" s="6981"/>
      <c r="DA54" s="6983"/>
      <c r="DB54" s="6980"/>
      <c r="DC54" s="6980"/>
      <c r="DD54" s="6980"/>
      <c r="DE54" s="6980"/>
      <c r="DF54" s="6981"/>
      <c r="DG54" s="6982"/>
      <c r="DH54" s="6982"/>
      <c r="DI54" s="6982"/>
      <c r="DJ54" s="6982"/>
      <c r="DK54" s="6982"/>
      <c r="DL54" s="6983"/>
      <c r="DM54" s="6980"/>
      <c r="DN54" s="6980"/>
      <c r="DO54" s="6980"/>
      <c r="DP54" s="6981"/>
    </row>
    <row r="55" spans="1:120" s="6964" customFormat="1" ht="15" customHeight="1">
      <c r="A55" s="14653"/>
      <c r="B55" s="14656"/>
      <c r="C55" s="14582"/>
      <c r="D55" s="14585"/>
      <c r="E55" s="14661"/>
      <c r="F55" s="14592"/>
      <c r="G55" s="14592"/>
      <c r="H55" s="14592"/>
      <c r="I55" s="14630"/>
      <c r="J55" s="14708"/>
      <c r="K55" s="14707"/>
      <c r="L55" s="14706"/>
      <c r="M55" s="14707"/>
      <c r="N55" s="14707"/>
      <c r="O55" s="14707"/>
      <c r="P55" s="14707"/>
      <c r="Q55" s="6971" t="s">
        <v>10066</v>
      </c>
      <c r="R55" s="6972"/>
      <c r="S55" s="6972" t="s">
        <v>10169</v>
      </c>
      <c r="T55" s="14707"/>
      <c r="U55" s="14729"/>
      <c r="V55" s="14730"/>
      <c r="W55" s="14733"/>
      <c r="X55" s="14728"/>
      <c r="Y55" s="14728"/>
      <c r="Z55" s="14728"/>
      <c r="AA55" s="14705"/>
      <c r="AB55" s="7014"/>
      <c r="AC55" s="7015"/>
      <c r="AD55" s="14618"/>
      <c r="AE55" s="7033"/>
      <c r="AF55" s="7034"/>
      <c r="AG55" s="7034"/>
      <c r="AH55" s="7035"/>
      <c r="AI55" s="7035"/>
      <c r="AJ55" s="7017"/>
      <c r="AK55" s="7017"/>
      <c r="AL55" s="7016"/>
      <c r="AM55" s="7016"/>
      <c r="AN55" s="7016"/>
      <c r="AO55" s="6988"/>
      <c r="AP55" s="6988"/>
      <c r="AQ55" s="6988"/>
      <c r="AR55" s="6988"/>
      <c r="AS55" s="6988"/>
      <c r="AT55" s="6988"/>
      <c r="AU55" s="6988"/>
      <c r="AV55" s="6988"/>
      <c r="AW55" s="6988"/>
      <c r="AX55" s="6988"/>
      <c r="AY55" s="6988"/>
      <c r="AZ55" s="6988"/>
      <c r="BA55" s="6988"/>
      <c r="BB55" s="6988"/>
      <c r="BC55" s="6988"/>
      <c r="BD55" s="6988"/>
      <c r="BE55" s="6988"/>
      <c r="BF55" s="6988"/>
      <c r="BG55" s="6988"/>
      <c r="BH55" s="6988"/>
      <c r="BI55" s="6988"/>
      <c r="BJ55" s="6988"/>
      <c r="BK55" s="6988"/>
      <c r="BL55" s="6988"/>
      <c r="BM55" s="6988"/>
      <c r="BN55" s="6988"/>
      <c r="BO55" s="6988"/>
      <c r="BP55" s="6988"/>
      <c r="BQ55" s="6988"/>
      <c r="BR55" s="6988"/>
      <c r="BS55" s="6988"/>
      <c r="BT55" s="6988"/>
      <c r="BU55" s="6987"/>
      <c r="BW55" s="7012"/>
      <c r="BX55" s="7013"/>
      <c r="BY55" s="14757"/>
      <c r="BZ55" s="6980"/>
      <c r="CA55" s="6980"/>
      <c r="CB55" s="6981"/>
      <c r="CC55" s="6982"/>
      <c r="CD55" s="6983"/>
      <c r="CE55" s="6980"/>
      <c r="CF55" s="6981"/>
      <c r="CG55" s="6982"/>
      <c r="CH55" s="6983"/>
      <c r="CI55" s="6981"/>
      <c r="CJ55" s="6983"/>
      <c r="CK55" s="6981"/>
      <c r="CL55" s="6983"/>
      <c r="CM55" s="6980"/>
      <c r="CN55" s="6980"/>
      <c r="CO55" s="6980"/>
      <c r="CP55" s="6980"/>
      <c r="CQ55" s="6980"/>
      <c r="CR55" s="6981"/>
      <c r="CS55" s="6983"/>
      <c r="CT55" s="6980"/>
      <c r="CU55" s="6980"/>
      <c r="CV55" s="6980"/>
      <c r="CW55" s="6980"/>
      <c r="CX55" s="6980"/>
      <c r="CY55" s="6980"/>
      <c r="CZ55" s="6981"/>
      <c r="DA55" s="6983"/>
      <c r="DB55" s="6980"/>
      <c r="DC55" s="6980"/>
      <c r="DD55" s="6980"/>
      <c r="DE55" s="6980"/>
      <c r="DF55" s="6981"/>
      <c r="DG55" s="6982"/>
      <c r="DH55" s="6982"/>
      <c r="DI55" s="6982"/>
      <c r="DJ55" s="6982"/>
      <c r="DK55" s="6982"/>
      <c r="DL55" s="6983"/>
      <c r="DM55" s="6980"/>
      <c r="DN55" s="6980"/>
      <c r="DO55" s="6980"/>
      <c r="DP55" s="6981"/>
    </row>
    <row r="56" spans="1:120" s="6964" customFormat="1" ht="15" customHeight="1">
      <c r="A56" s="14653"/>
      <c r="B56" s="14656"/>
      <c r="C56" s="14582"/>
      <c r="D56" s="14585"/>
      <c r="E56" s="14661"/>
      <c r="F56" s="14592"/>
      <c r="G56" s="14592"/>
      <c r="H56" s="14592"/>
      <c r="I56" s="14630"/>
      <c r="J56" s="14708" t="s">
        <v>7552</v>
      </c>
      <c r="K56" s="14707" t="s">
        <v>4793</v>
      </c>
      <c r="L56" s="14706" t="s">
        <v>4676</v>
      </c>
      <c r="M56" s="14707" t="s">
        <v>4794</v>
      </c>
      <c r="N56" s="14707" t="s">
        <v>4705</v>
      </c>
      <c r="O56" s="14707" t="s">
        <v>4795</v>
      </c>
      <c r="P56" s="14707" t="s">
        <v>4796</v>
      </c>
      <c r="Q56" s="6971" t="s">
        <v>218</v>
      </c>
      <c r="R56" s="6972" t="s">
        <v>768</v>
      </c>
      <c r="S56" s="6972"/>
      <c r="T56" s="14707" t="s">
        <v>4797</v>
      </c>
      <c r="U56" s="14707">
        <v>2</v>
      </c>
      <c r="V56" s="14737">
        <v>2</v>
      </c>
      <c r="W56" s="14738">
        <v>2</v>
      </c>
      <c r="X56" s="14741">
        <v>2</v>
      </c>
      <c r="Y56" s="14741">
        <v>2</v>
      </c>
      <c r="Z56" s="14741">
        <v>2</v>
      </c>
      <c r="AA56" s="14716">
        <v>20000000</v>
      </c>
      <c r="AB56" s="7010">
        <v>2</v>
      </c>
      <c r="AC56" s="7011">
        <f>AB56/U56</f>
        <v>1</v>
      </c>
      <c r="AD56" s="14618"/>
      <c r="AE56" s="7036" t="s">
        <v>9236</v>
      </c>
      <c r="AF56" s="7007" t="s">
        <v>9237</v>
      </c>
      <c r="AG56" s="7007"/>
      <c r="AH56" s="7006">
        <v>500000000</v>
      </c>
      <c r="AI56" s="7006" t="s">
        <v>2891</v>
      </c>
      <c r="AJ56" s="7006"/>
      <c r="AK56" s="7006"/>
      <c r="AL56" s="7007" t="s">
        <v>9238</v>
      </c>
      <c r="AM56" s="7007"/>
      <c r="AN56" s="7007"/>
      <c r="AO56" s="6985"/>
      <c r="AP56" s="6985"/>
      <c r="AQ56" s="6985"/>
      <c r="AR56" s="6985"/>
      <c r="AS56" s="6985"/>
      <c r="AT56" s="6985"/>
      <c r="AU56" s="6985"/>
      <c r="AV56" s="6985"/>
      <c r="AW56" s="6985"/>
      <c r="AX56" s="6985"/>
      <c r="AY56" s="6985"/>
      <c r="AZ56" s="6985"/>
      <c r="BA56" s="6985"/>
      <c r="BB56" s="6985"/>
      <c r="BC56" s="6985"/>
      <c r="BD56" s="6985"/>
      <c r="BE56" s="6985"/>
      <c r="BF56" s="6985"/>
      <c r="BG56" s="6985"/>
      <c r="BH56" s="6985"/>
      <c r="BI56" s="6985"/>
      <c r="BJ56" s="6985"/>
      <c r="BK56" s="6985"/>
      <c r="BL56" s="6985"/>
      <c r="BM56" s="6985"/>
      <c r="BN56" s="6985"/>
      <c r="BO56" s="6985"/>
      <c r="BP56" s="6985"/>
      <c r="BQ56" s="6985"/>
      <c r="BR56" s="6985"/>
      <c r="BS56" s="6985"/>
      <c r="BT56" s="6985"/>
      <c r="BU56" s="6987"/>
      <c r="BW56" s="7012"/>
      <c r="BX56" s="7013"/>
      <c r="BY56" s="14757"/>
      <c r="BZ56" s="6980"/>
      <c r="CA56" s="6980"/>
      <c r="CB56" s="6981"/>
      <c r="CC56" s="6982"/>
      <c r="CD56" s="6983"/>
      <c r="CE56" s="6980"/>
      <c r="CF56" s="6981"/>
      <c r="CG56" s="6982"/>
      <c r="CH56" s="6983"/>
      <c r="CI56" s="6981"/>
      <c r="CJ56" s="6983"/>
      <c r="CK56" s="6981"/>
      <c r="CL56" s="6983"/>
      <c r="CM56" s="6980"/>
      <c r="CN56" s="6980"/>
      <c r="CO56" s="6980"/>
      <c r="CP56" s="6980"/>
      <c r="CQ56" s="6980"/>
      <c r="CR56" s="6981"/>
      <c r="CS56" s="6983"/>
      <c r="CT56" s="6980"/>
      <c r="CU56" s="6980"/>
      <c r="CV56" s="6980"/>
      <c r="CW56" s="6980"/>
      <c r="CX56" s="6980"/>
      <c r="CY56" s="6980"/>
      <c r="CZ56" s="6981"/>
      <c r="DA56" s="6983"/>
      <c r="DB56" s="6980"/>
      <c r="DC56" s="6980"/>
      <c r="DD56" s="6980"/>
      <c r="DE56" s="6980"/>
      <c r="DF56" s="6981"/>
      <c r="DG56" s="6982"/>
      <c r="DH56" s="6982"/>
      <c r="DI56" s="6982"/>
      <c r="DJ56" s="6982"/>
      <c r="DK56" s="6982"/>
      <c r="DL56" s="6983"/>
      <c r="DM56" s="6980"/>
      <c r="DN56" s="6980"/>
      <c r="DO56" s="6980"/>
      <c r="DP56" s="6981"/>
    </row>
    <row r="57" spans="1:120" s="6964" customFormat="1" ht="15" customHeight="1">
      <c r="A57" s="14653"/>
      <c r="B57" s="14656"/>
      <c r="C57" s="14582"/>
      <c r="D57" s="14585"/>
      <c r="E57" s="14661"/>
      <c r="F57" s="14592"/>
      <c r="G57" s="14592"/>
      <c r="H57" s="14592"/>
      <c r="I57" s="14630"/>
      <c r="J57" s="14708"/>
      <c r="K57" s="14707"/>
      <c r="L57" s="14706"/>
      <c r="M57" s="14707"/>
      <c r="N57" s="14707"/>
      <c r="O57" s="14707"/>
      <c r="P57" s="14707"/>
      <c r="Q57" s="6971" t="s">
        <v>4305</v>
      </c>
      <c r="R57" s="6972"/>
      <c r="S57" s="6994" t="s">
        <v>311</v>
      </c>
      <c r="T57" s="14707"/>
      <c r="U57" s="14707"/>
      <c r="V57" s="14737"/>
      <c r="W57" s="14739"/>
      <c r="X57" s="14592"/>
      <c r="Y57" s="14592"/>
      <c r="Z57" s="14592"/>
      <c r="AA57" s="14704"/>
      <c r="AB57" s="7031"/>
      <c r="AC57" s="7032"/>
      <c r="AD57" s="14618"/>
      <c r="AE57" s="7037"/>
      <c r="AF57" s="7038"/>
      <c r="AG57" s="7038"/>
      <c r="AH57" s="7039"/>
      <c r="AI57" s="7039"/>
      <c r="AJ57" s="7017"/>
      <c r="AK57" s="7017"/>
      <c r="AL57" s="7016"/>
      <c r="AM57" s="7016"/>
      <c r="AN57" s="7016"/>
      <c r="AO57" s="6988"/>
      <c r="AP57" s="6988"/>
      <c r="AQ57" s="6988"/>
      <c r="AR57" s="6988"/>
      <c r="AS57" s="6988"/>
      <c r="AT57" s="6988"/>
      <c r="AU57" s="6988"/>
      <c r="AV57" s="6988"/>
      <c r="AW57" s="6988"/>
      <c r="AX57" s="6988"/>
      <c r="AY57" s="6988"/>
      <c r="AZ57" s="6988"/>
      <c r="BA57" s="6988"/>
      <c r="BB57" s="6988"/>
      <c r="BC57" s="6988"/>
      <c r="BD57" s="6988"/>
      <c r="BE57" s="6988"/>
      <c r="BF57" s="6988"/>
      <c r="BG57" s="6988"/>
      <c r="BH57" s="6988"/>
      <c r="BI57" s="6988"/>
      <c r="BJ57" s="6988"/>
      <c r="BK57" s="6988"/>
      <c r="BL57" s="6988"/>
      <c r="BM57" s="6988"/>
      <c r="BN57" s="6988"/>
      <c r="BO57" s="6988"/>
      <c r="BP57" s="6988"/>
      <c r="BQ57" s="6988"/>
      <c r="BR57" s="6988"/>
      <c r="BS57" s="6988"/>
      <c r="BT57" s="6988"/>
      <c r="BU57" s="6987"/>
      <c r="BW57" s="7012"/>
      <c r="BX57" s="7013"/>
      <c r="BY57" s="14757"/>
      <c r="BZ57" s="6980"/>
      <c r="CA57" s="6980"/>
      <c r="CB57" s="6981"/>
      <c r="CC57" s="6982"/>
      <c r="CD57" s="6983"/>
      <c r="CE57" s="6980"/>
      <c r="CF57" s="6981"/>
      <c r="CG57" s="6982"/>
      <c r="CH57" s="6983"/>
      <c r="CI57" s="6981"/>
      <c r="CJ57" s="6983"/>
      <c r="CK57" s="6981"/>
      <c r="CL57" s="6983"/>
      <c r="CM57" s="6980"/>
      <c r="CN57" s="6980"/>
      <c r="CO57" s="6980"/>
      <c r="CP57" s="6980"/>
      <c r="CQ57" s="6980"/>
      <c r="CR57" s="6981"/>
      <c r="CS57" s="6983"/>
      <c r="CT57" s="6980"/>
      <c r="CU57" s="6980"/>
      <c r="CV57" s="6980"/>
      <c r="CW57" s="6980"/>
      <c r="CX57" s="6980"/>
      <c r="CY57" s="6980"/>
      <c r="CZ57" s="6981"/>
      <c r="DA57" s="6983"/>
      <c r="DB57" s="6980"/>
      <c r="DC57" s="6980"/>
      <c r="DD57" s="6980"/>
      <c r="DE57" s="6980"/>
      <c r="DF57" s="6981"/>
      <c r="DG57" s="6982"/>
      <c r="DH57" s="6982"/>
      <c r="DI57" s="6982"/>
      <c r="DJ57" s="6982"/>
      <c r="DK57" s="6982"/>
      <c r="DL57" s="6983"/>
      <c r="DM57" s="6980"/>
      <c r="DN57" s="6980"/>
      <c r="DO57" s="6980"/>
      <c r="DP57" s="6981"/>
    </row>
    <row r="58" spans="1:120" s="6964" customFormat="1" ht="15" customHeight="1">
      <c r="A58" s="14653"/>
      <c r="B58" s="14656"/>
      <c r="C58" s="14582"/>
      <c r="D58" s="14585"/>
      <c r="E58" s="14661"/>
      <c r="F58" s="14592"/>
      <c r="G58" s="14592"/>
      <c r="H58" s="14592"/>
      <c r="I58" s="14630"/>
      <c r="J58" s="14708"/>
      <c r="K58" s="14707"/>
      <c r="L58" s="14706"/>
      <c r="M58" s="14707"/>
      <c r="N58" s="14707"/>
      <c r="O58" s="14707"/>
      <c r="P58" s="14707"/>
      <c r="Q58" s="6971" t="s">
        <v>10057</v>
      </c>
      <c r="R58" s="6972"/>
      <c r="S58" s="6994" t="s">
        <v>10058</v>
      </c>
      <c r="T58" s="14707"/>
      <c r="U58" s="14707"/>
      <c r="V58" s="14737"/>
      <c r="W58" s="14739"/>
      <c r="X58" s="14592"/>
      <c r="Y58" s="14592"/>
      <c r="Z58" s="14592"/>
      <c r="AA58" s="14704"/>
      <c r="AB58" s="7031"/>
      <c r="AC58" s="7032"/>
      <c r="AD58" s="14618"/>
      <c r="AE58" s="7037"/>
      <c r="AF58" s="7038"/>
      <c r="AG58" s="7038"/>
      <c r="AH58" s="7039"/>
      <c r="AI58" s="7039"/>
      <c r="AJ58" s="7017"/>
      <c r="AK58" s="7017"/>
      <c r="AL58" s="7016"/>
      <c r="AM58" s="7016"/>
      <c r="AN58" s="7016"/>
      <c r="AO58" s="6988"/>
      <c r="AP58" s="6988"/>
      <c r="AQ58" s="6988"/>
      <c r="AR58" s="6988"/>
      <c r="AS58" s="6988"/>
      <c r="AT58" s="6988"/>
      <c r="AU58" s="6988"/>
      <c r="AV58" s="6988"/>
      <c r="AW58" s="6988"/>
      <c r="AX58" s="6988"/>
      <c r="AY58" s="6988"/>
      <c r="AZ58" s="6988"/>
      <c r="BA58" s="6988"/>
      <c r="BB58" s="6988"/>
      <c r="BC58" s="6988"/>
      <c r="BD58" s="6988"/>
      <c r="BE58" s="6988"/>
      <c r="BF58" s="6988"/>
      <c r="BG58" s="6988"/>
      <c r="BH58" s="6988"/>
      <c r="BI58" s="6988"/>
      <c r="BJ58" s="6988"/>
      <c r="BK58" s="6988"/>
      <c r="BL58" s="6988"/>
      <c r="BM58" s="6988"/>
      <c r="BN58" s="6988"/>
      <c r="BO58" s="6988"/>
      <c r="BP58" s="6988"/>
      <c r="BQ58" s="6988"/>
      <c r="BR58" s="6988"/>
      <c r="BS58" s="6988"/>
      <c r="BT58" s="6988"/>
      <c r="BU58" s="6987"/>
      <c r="BW58" s="7012"/>
      <c r="BX58" s="7013"/>
      <c r="BY58" s="14757"/>
      <c r="BZ58" s="6980"/>
      <c r="CA58" s="6980"/>
      <c r="CB58" s="6981"/>
      <c r="CC58" s="6982"/>
      <c r="CD58" s="6983"/>
      <c r="CE58" s="6980"/>
      <c r="CF58" s="6981"/>
      <c r="CG58" s="6982"/>
      <c r="CH58" s="6983"/>
      <c r="CI58" s="6981"/>
      <c r="CJ58" s="6983"/>
      <c r="CK58" s="6981"/>
      <c r="CL58" s="6983"/>
      <c r="CM58" s="6980"/>
      <c r="CN58" s="6980"/>
      <c r="CO58" s="6980"/>
      <c r="CP58" s="6980"/>
      <c r="CQ58" s="6980"/>
      <c r="CR58" s="6981"/>
      <c r="CS58" s="6983"/>
      <c r="CT58" s="6980"/>
      <c r="CU58" s="6980"/>
      <c r="CV58" s="6980"/>
      <c r="CW58" s="6980"/>
      <c r="CX58" s="6980"/>
      <c r="CY58" s="6980"/>
      <c r="CZ58" s="6981"/>
      <c r="DA58" s="6983"/>
      <c r="DB58" s="6980"/>
      <c r="DC58" s="6980"/>
      <c r="DD58" s="6980"/>
      <c r="DE58" s="6980"/>
      <c r="DF58" s="6981"/>
      <c r="DG58" s="6982"/>
      <c r="DH58" s="6982"/>
      <c r="DI58" s="6982"/>
      <c r="DJ58" s="6982"/>
      <c r="DK58" s="6982"/>
      <c r="DL58" s="6983"/>
      <c r="DM58" s="6980"/>
      <c r="DN58" s="6980"/>
      <c r="DO58" s="6980"/>
      <c r="DP58" s="6981"/>
    </row>
    <row r="59" spans="1:120" s="6964" customFormat="1" ht="15" customHeight="1">
      <c r="A59" s="14653"/>
      <c r="B59" s="14656"/>
      <c r="C59" s="14582"/>
      <c r="D59" s="14585"/>
      <c r="E59" s="14661"/>
      <c r="F59" s="14592"/>
      <c r="G59" s="14592"/>
      <c r="H59" s="14592"/>
      <c r="I59" s="14630"/>
      <c r="J59" s="14708"/>
      <c r="K59" s="14707"/>
      <c r="L59" s="14706"/>
      <c r="M59" s="14707"/>
      <c r="N59" s="14707"/>
      <c r="O59" s="14707"/>
      <c r="P59" s="14707"/>
      <c r="Q59" s="6971" t="s">
        <v>10183</v>
      </c>
      <c r="R59" s="6972"/>
      <c r="S59" s="6994" t="s">
        <v>10170</v>
      </c>
      <c r="T59" s="14707"/>
      <c r="U59" s="14707"/>
      <c r="V59" s="14737"/>
      <c r="W59" s="14739"/>
      <c r="X59" s="14592"/>
      <c r="Y59" s="14592"/>
      <c r="Z59" s="14592"/>
      <c r="AA59" s="14704"/>
      <c r="AB59" s="7031"/>
      <c r="AC59" s="7032"/>
      <c r="AD59" s="14618"/>
      <c r="AE59" s="7037"/>
      <c r="AF59" s="7038"/>
      <c r="AG59" s="7038"/>
      <c r="AH59" s="7039"/>
      <c r="AI59" s="7039"/>
      <c r="AJ59" s="7017"/>
      <c r="AK59" s="7017"/>
      <c r="AL59" s="7016"/>
      <c r="AM59" s="7016"/>
      <c r="AN59" s="7016"/>
      <c r="AO59" s="6988"/>
      <c r="AP59" s="6988"/>
      <c r="AQ59" s="6988"/>
      <c r="AR59" s="6988"/>
      <c r="AS59" s="6988"/>
      <c r="AT59" s="6988"/>
      <c r="AU59" s="6988"/>
      <c r="AV59" s="6988"/>
      <c r="AW59" s="6988"/>
      <c r="AX59" s="6988"/>
      <c r="AY59" s="6988"/>
      <c r="AZ59" s="6988"/>
      <c r="BA59" s="6988"/>
      <c r="BB59" s="6988"/>
      <c r="BC59" s="6988"/>
      <c r="BD59" s="6988"/>
      <c r="BE59" s="6988"/>
      <c r="BF59" s="6988"/>
      <c r="BG59" s="6988"/>
      <c r="BH59" s="6988"/>
      <c r="BI59" s="6988"/>
      <c r="BJ59" s="6988"/>
      <c r="BK59" s="6988"/>
      <c r="BL59" s="6988"/>
      <c r="BM59" s="6988"/>
      <c r="BN59" s="6988"/>
      <c r="BO59" s="6988"/>
      <c r="BP59" s="6988"/>
      <c r="BQ59" s="6988"/>
      <c r="BR59" s="6988"/>
      <c r="BS59" s="6988"/>
      <c r="BT59" s="6988"/>
      <c r="BU59" s="6987"/>
      <c r="BW59" s="7012"/>
      <c r="BX59" s="7013"/>
      <c r="BY59" s="14757"/>
      <c r="BZ59" s="6980"/>
      <c r="CA59" s="6980"/>
      <c r="CB59" s="6981"/>
      <c r="CC59" s="6982"/>
      <c r="CD59" s="6983"/>
      <c r="CE59" s="6980"/>
      <c r="CF59" s="6981"/>
      <c r="CG59" s="6982"/>
      <c r="CH59" s="6983"/>
      <c r="CI59" s="6981"/>
      <c r="CJ59" s="6983"/>
      <c r="CK59" s="6981"/>
      <c r="CL59" s="6983"/>
      <c r="CM59" s="6980"/>
      <c r="CN59" s="6980"/>
      <c r="CO59" s="6980"/>
      <c r="CP59" s="6980"/>
      <c r="CQ59" s="6980"/>
      <c r="CR59" s="6981"/>
      <c r="CS59" s="6983"/>
      <c r="CT59" s="6980"/>
      <c r="CU59" s="6980"/>
      <c r="CV59" s="6980"/>
      <c r="CW59" s="6980"/>
      <c r="CX59" s="6980"/>
      <c r="CY59" s="6980"/>
      <c r="CZ59" s="6981"/>
      <c r="DA59" s="6983"/>
      <c r="DB59" s="6980"/>
      <c r="DC59" s="6980"/>
      <c r="DD59" s="6980"/>
      <c r="DE59" s="6980"/>
      <c r="DF59" s="6981"/>
      <c r="DG59" s="6982"/>
      <c r="DH59" s="6982"/>
      <c r="DI59" s="6982"/>
      <c r="DJ59" s="6982"/>
      <c r="DK59" s="6982"/>
      <c r="DL59" s="6983"/>
      <c r="DM59" s="6980"/>
      <c r="DN59" s="6980"/>
      <c r="DO59" s="6980"/>
      <c r="DP59" s="6981"/>
    </row>
    <row r="60" spans="1:120" s="6964" customFormat="1" ht="15" customHeight="1">
      <c r="A60" s="14653"/>
      <c r="B60" s="14656"/>
      <c r="C60" s="14582"/>
      <c r="D60" s="14585"/>
      <c r="E60" s="14661"/>
      <c r="F60" s="14592"/>
      <c r="G60" s="14592"/>
      <c r="H60" s="14592"/>
      <c r="I60" s="14630"/>
      <c r="J60" s="14708"/>
      <c r="K60" s="14707"/>
      <c r="L60" s="14706"/>
      <c r="M60" s="14707"/>
      <c r="N60" s="14707"/>
      <c r="O60" s="14707"/>
      <c r="P60" s="14707"/>
      <c r="Q60" s="6971" t="s">
        <v>10185</v>
      </c>
      <c r="R60" s="6972"/>
      <c r="S60" s="6994" t="s">
        <v>1323</v>
      </c>
      <c r="T60" s="14707"/>
      <c r="U60" s="14707"/>
      <c r="V60" s="14737"/>
      <c r="W60" s="14740"/>
      <c r="X60" s="14593"/>
      <c r="Y60" s="14593"/>
      <c r="Z60" s="14593"/>
      <c r="AA60" s="14705"/>
      <c r="AB60" s="7014"/>
      <c r="AC60" s="7015"/>
      <c r="AD60" s="14618"/>
      <c r="AE60" s="7037"/>
      <c r="AF60" s="7038"/>
      <c r="AG60" s="7038"/>
      <c r="AH60" s="7039"/>
      <c r="AI60" s="7039"/>
      <c r="AJ60" s="7017"/>
      <c r="AK60" s="7017"/>
      <c r="AL60" s="7016"/>
      <c r="AM60" s="7016"/>
      <c r="AN60" s="7016"/>
      <c r="AO60" s="6988"/>
      <c r="AP60" s="6988"/>
      <c r="AQ60" s="6988"/>
      <c r="AR60" s="6988"/>
      <c r="AS60" s="6988"/>
      <c r="AT60" s="6988"/>
      <c r="AU60" s="6988"/>
      <c r="AV60" s="6988"/>
      <c r="AW60" s="6988"/>
      <c r="AX60" s="6988"/>
      <c r="AY60" s="6988"/>
      <c r="AZ60" s="6988"/>
      <c r="BA60" s="6988"/>
      <c r="BB60" s="6988"/>
      <c r="BC60" s="6988"/>
      <c r="BD60" s="6988"/>
      <c r="BE60" s="6988"/>
      <c r="BF60" s="6988"/>
      <c r="BG60" s="6988"/>
      <c r="BH60" s="6988"/>
      <c r="BI60" s="6988"/>
      <c r="BJ60" s="6988"/>
      <c r="BK60" s="6988"/>
      <c r="BL60" s="6988"/>
      <c r="BM60" s="6988"/>
      <c r="BN60" s="6988"/>
      <c r="BO60" s="6988"/>
      <c r="BP60" s="6988"/>
      <c r="BQ60" s="6988"/>
      <c r="BR60" s="6988"/>
      <c r="BS60" s="6988"/>
      <c r="BT60" s="6988"/>
      <c r="BU60" s="6987"/>
      <c r="BW60" s="7012"/>
      <c r="BX60" s="7013"/>
      <c r="BY60" s="14757"/>
      <c r="BZ60" s="6980"/>
      <c r="CA60" s="6980"/>
      <c r="CB60" s="6981"/>
      <c r="CC60" s="6982"/>
      <c r="CD60" s="6983"/>
      <c r="CE60" s="6980"/>
      <c r="CF60" s="6981"/>
      <c r="CG60" s="6982"/>
      <c r="CH60" s="6983"/>
      <c r="CI60" s="6981"/>
      <c r="CJ60" s="6983"/>
      <c r="CK60" s="6981"/>
      <c r="CL60" s="6983"/>
      <c r="CM60" s="6980"/>
      <c r="CN60" s="6980"/>
      <c r="CO60" s="6980"/>
      <c r="CP60" s="6980"/>
      <c r="CQ60" s="6980"/>
      <c r="CR60" s="6981"/>
      <c r="CS60" s="6983"/>
      <c r="CT60" s="6980"/>
      <c r="CU60" s="6980"/>
      <c r="CV60" s="6980"/>
      <c r="CW60" s="6980"/>
      <c r="CX60" s="6980"/>
      <c r="CY60" s="6980"/>
      <c r="CZ60" s="6981"/>
      <c r="DA60" s="6983"/>
      <c r="DB60" s="6980"/>
      <c r="DC60" s="6980"/>
      <c r="DD60" s="6980"/>
      <c r="DE60" s="6980"/>
      <c r="DF60" s="6981"/>
      <c r="DG60" s="6982"/>
      <c r="DH60" s="6982"/>
      <c r="DI60" s="6982"/>
      <c r="DJ60" s="6982"/>
      <c r="DK60" s="6982"/>
      <c r="DL60" s="6983"/>
      <c r="DM60" s="6980"/>
      <c r="DN60" s="6980"/>
      <c r="DO60" s="6980"/>
      <c r="DP60" s="6981"/>
    </row>
    <row r="61" spans="1:120" s="6964" customFormat="1" ht="15" customHeight="1">
      <c r="A61" s="14653"/>
      <c r="B61" s="14656"/>
      <c r="C61" s="14582"/>
      <c r="D61" s="14585"/>
      <c r="E61" s="14661"/>
      <c r="F61" s="14592"/>
      <c r="G61" s="14592"/>
      <c r="H61" s="14592"/>
      <c r="I61" s="14630"/>
      <c r="J61" s="14708" t="s">
        <v>7553</v>
      </c>
      <c r="K61" s="14707" t="s">
        <v>4798</v>
      </c>
      <c r="L61" s="14706" t="s">
        <v>4676</v>
      </c>
      <c r="M61" s="14707" t="s">
        <v>4799</v>
      </c>
      <c r="N61" s="14707" t="s">
        <v>4705</v>
      </c>
      <c r="O61" s="14707" t="s">
        <v>4800</v>
      </c>
      <c r="P61" s="14707" t="s">
        <v>4801</v>
      </c>
      <c r="Q61" s="6994" t="s">
        <v>2859</v>
      </c>
      <c r="R61" s="6972" t="s">
        <v>10061</v>
      </c>
      <c r="S61" s="6980"/>
      <c r="T61" s="14742" t="s">
        <v>4802</v>
      </c>
      <c r="U61" s="14742">
        <v>0.06</v>
      </c>
      <c r="V61" s="14743">
        <v>7.0000000000000007E-2</v>
      </c>
      <c r="W61" s="14744">
        <v>0.08</v>
      </c>
      <c r="X61" s="14734">
        <v>0.09</v>
      </c>
      <c r="Y61" s="14734">
        <v>0.1</v>
      </c>
      <c r="Z61" s="14734">
        <v>0.1</v>
      </c>
      <c r="AA61" s="14716">
        <v>130000000</v>
      </c>
      <c r="AB61" s="7010" t="s">
        <v>9239</v>
      </c>
      <c r="AC61" s="7011">
        <f>AB61/U61</f>
        <v>0.21000000000000002</v>
      </c>
      <c r="AD61" s="14618"/>
      <c r="AE61" s="7040" t="s">
        <v>9240</v>
      </c>
      <c r="AF61" s="7041" t="s">
        <v>9241</v>
      </c>
      <c r="AG61" s="7042" t="s">
        <v>9242</v>
      </c>
      <c r="AH61" s="7043">
        <f xml:space="preserve"> SUM(150697160.9+145000000)</f>
        <v>295697160.89999998</v>
      </c>
      <c r="AI61" s="7043">
        <f xml:space="preserve"> SUM(150697160.9+145000000)</f>
        <v>295697160.89999998</v>
      </c>
      <c r="AJ61" s="7006"/>
      <c r="AK61" s="7006"/>
      <c r="AL61" s="7007" t="s">
        <v>9243</v>
      </c>
      <c r="AM61" s="7007"/>
      <c r="AN61" s="7007"/>
      <c r="AO61" s="6985"/>
      <c r="AP61" s="6985"/>
      <c r="AQ61" s="6985"/>
      <c r="AR61" s="6985"/>
      <c r="AS61" s="6985"/>
      <c r="AT61" s="6985"/>
      <c r="AU61" s="6985"/>
      <c r="AV61" s="6985"/>
      <c r="AW61" s="6985"/>
      <c r="AX61" s="6985"/>
      <c r="AY61" s="6985"/>
      <c r="AZ61" s="6985"/>
      <c r="BA61" s="6985"/>
      <c r="BB61" s="6985"/>
      <c r="BC61" s="6985"/>
      <c r="BD61" s="6985"/>
      <c r="BE61" s="6985"/>
      <c r="BF61" s="6985"/>
      <c r="BG61" s="6985"/>
      <c r="BH61" s="6985"/>
      <c r="BI61" s="6985"/>
      <c r="BJ61" s="6985"/>
      <c r="BK61" s="6985"/>
      <c r="BL61" s="6985"/>
      <c r="BM61" s="6985"/>
      <c r="BN61" s="6985"/>
      <c r="BO61" s="6985"/>
      <c r="BP61" s="6985"/>
      <c r="BQ61" s="6985"/>
      <c r="BR61" s="6985"/>
      <c r="BS61" s="6985"/>
      <c r="BT61" s="6985"/>
      <c r="BU61" s="6987"/>
      <c r="BW61" s="7012"/>
      <c r="BX61" s="7013"/>
      <c r="BY61" s="14757"/>
      <c r="BZ61" s="6980"/>
      <c r="CA61" s="6980"/>
      <c r="CB61" s="6981"/>
      <c r="CC61" s="6982"/>
      <c r="CD61" s="6983"/>
      <c r="CE61" s="6980"/>
      <c r="CF61" s="6981"/>
      <c r="CG61" s="6982"/>
      <c r="CH61" s="6983"/>
      <c r="CI61" s="6981"/>
      <c r="CJ61" s="6983"/>
      <c r="CK61" s="6981"/>
      <c r="CL61" s="6983"/>
      <c r="CM61" s="6980"/>
      <c r="CN61" s="6980"/>
      <c r="CO61" s="6980"/>
      <c r="CP61" s="6980"/>
      <c r="CQ61" s="6980"/>
      <c r="CR61" s="6981"/>
      <c r="CS61" s="6983"/>
      <c r="CT61" s="6980"/>
      <c r="CU61" s="6980"/>
      <c r="CV61" s="6980"/>
      <c r="CW61" s="6980"/>
      <c r="CX61" s="6980"/>
      <c r="CY61" s="6980"/>
      <c r="CZ61" s="6981"/>
      <c r="DA61" s="6983"/>
      <c r="DB61" s="6980"/>
      <c r="DC61" s="6980"/>
      <c r="DD61" s="6980"/>
      <c r="DE61" s="6980"/>
      <c r="DF61" s="6981"/>
      <c r="DG61" s="6982"/>
      <c r="DH61" s="6982"/>
      <c r="DI61" s="6982"/>
      <c r="DJ61" s="6982"/>
      <c r="DK61" s="6982"/>
      <c r="DL61" s="6983"/>
      <c r="DM61" s="6980"/>
      <c r="DN61" s="6980"/>
      <c r="DO61" s="6980"/>
      <c r="DP61" s="6981"/>
    </row>
    <row r="62" spans="1:120" s="6964" customFormat="1" ht="15" customHeight="1">
      <c r="A62" s="14653"/>
      <c r="B62" s="14656"/>
      <c r="C62" s="14582"/>
      <c r="D62" s="14585"/>
      <c r="E62" s="14661"/>
      <c r="F62" s="14592"/>
      <c r="G62" s="14592"/>
      <c r="H62" s="14592"/>
      <c r="I62" s="14630"/>
      <c r="J62" s="14708"/>
      <c r="K62" s="14707"/>
      <c r="L62" s="14706"/>
      <c r="M62" s="14707"/>
      <c r="N62" s="14707"/>
      <c r="O62" s="14707"/>
      <c r="P62" s="14707"/>
      <c r="Q62" s="6994" t="s">
        <v>4321</v>
      </c>
      <c r="R62" s="6972"/>
      <c r="S62" s="6972" t="s">
        <v>4808</v>
      </c>
      <c r="T62" s="14742"/>
      <c r="U62" s="14742"/>
      <c r="V62" s="14743"/>
      <c r="W62" s="14745"/>
      <c r="X62" s="14735"/>
      <c r="Y62" s="14735"/>
      <c r="Z62" s="14735"/>
      <c r="AA62" s="14704"/>
      <c r="AB62" s="7031"/>
      <c r="AC62" s="7032"/>
      <c r="AD62" s="14618"/>
      <c r="AE62" s="7044"/>
      <c r="AF62" s="7038"/>
      <c r="AG62" s="7045"/>
      <c r="AH62" s="7031"/>
      <c r="AI62" s="7031"/>
      <c r="AJ62" s="7017"/>
      <c r="AK62" s="7017"/>
      <c r="AL62" s="7016"/>
      <c r="AM62" s="7016"/>
      <c r="AN62" s="7016"/>
      <c r="AO62" s="6988"/>
      <c r="AP62" s="6988"/>
      <c r="AQ62" s="6988"/>
      <c r="AR62" s="6988"/>
      <c r="AS62" s="6988"/>
      <c r="AT62" s="6988"/>
      <c r="AU62" s="6988"/>
      <c r="AV62" s="6988"/>
      <c r="AW62" s="6988"/>
      <c r="AX62" s="6988"/>
      <c r="AY62" s="6988"/>
      <c r="AZ62" s="6988"/>
      <c r="BA62" s="6988"/>
      <c r="BB62" s="6988"/>
      <c r="BC62" s="6988"/>
      <c r="BD62" s="6988"/>
      <c r="BE62" s="6988"/>
      <c r="BF62" s="6988"/>
      <c r="BG62" s="6988"/>
      <c r="BH62" s="6988"/>
      <c r="BI62" s="6988"/>
      <c r="BJ62" s="6988"/>
      <c r="BK62" s="6988"/>
      <c r="BL62" s="6988"/>
      <c r="BM62" s="6988"/>
      <c r="BN62" s="6988"/>
      <c r="BO62" s="6988"/>
      <c r="BP62" s="6988"/>
      <c r="BQ62" s="6988"/>
      <c r="BR62" s="6988"/>
      <c r="BS62" s="6988"/>
      <c r="BT62" s="6988"/>
      <c r="BU62" s="6987"/>
      <c r="BW62" s="7012"/>
      <c r="BX62" s="7013"/>
      <c r="BY62" s="14757"/>
      <c r="BZ62" s="6980"/>
      <c r="CA62" s="6980"/>
      <c r="CB62" s="6981"/>
      <c r="CC62" s="6982"/>
      <c r="CD62" s="6983"/>
      <c r="CE62" s="6980"/>
      <c r="CF62" s="6981"/>
      <c r="CG62" s="6982"/>
      <c r="CH62" s="6983"/>
      <c r="CI62" s="6981"/>
      <c r="CJ62" s="6983"/>
      <c r="CK62" s="6981"/>
      <c r="CL62" s="6983"/>
      <c r="CM62" s="6980"/>
      <c r="CN62" s="6980"/>
      <c r="CO62" s="6980"/>
      <c r="CP62" s="6980"/>
      <c r="CQ62" s="6980"/>
      <c r="CR62" s="6981"/>
      <c r="CS62" s="6983"/>
      <c r="CT62" s="6980"/>
      <c r="CU62" s="6980"/>
      <c r="CV62" s="6980"/>
      <c r="CW62" s="6980"/>
      <c r="CX62" s="6980"/>
      <c r="CY62" s="6980"/>
      <c r="CZ62" s="6981"/>
      <c r="DA62" s="6983"/>
      <c r="DB62" s="6980"/>
      <c r="DC62" s="6980"/>
      <c r="DD62" s="6980"/>
      <c r="DE62" s="6980"/>
      <c r="DF62" s="6981"/>
      <c r="DG62" s="6982"/>
      <c r="DH62" s="6982"/>
      <c r="DI62" s="6982"/>
      <c r="DJ62" s="6982"/>
      <c r="DK62" s="6982"/>
      <c r="DL62" s="6983"/>
      <c r="DM62" s="6980"/>
      <c r="DN62" s="6980"/>
      <c r="DO62" s="6980"/>
      <c r="DP62" s="6981"/>
    </row>
    <row r="63" spans="1:120" s="6964" customFormat="1" ht="15" customHeight="1">
      <c r="A63" s="14653"/>
      <c r="B63" s="14656"/>
      <c r="C63" s="14582"/>
      <c r="D63" s="14585"/>
      <c r="E63" s="14661"/>
      <c r="F63" s="14592"/>
      <c r="G63" s="14592"/>
      <c r="H63" s="14592"/>
      <c r="I63" s="14630"/>
      <c r="J63" s="14708"/>
      <c r="K63" s="14707"/>
      <c r="L63" s="14706"/>
      <c r="M63" s="14707"/>
      <c r="N63" s="14707"/>
      <c r="O63" s="14707"/>
      <c r="P63" s="14707"/>
      <c r="Q63" s="6994" t="s">
        <v>10187</v>
      </c>
      <c r="R63" s="6972"/>
      <c r="S63" s="6972" t="s">
        <v>10171</v>
      </c>
      <c r="T63" s="14742"/>
      <c r="U63" s="14742"/>
      <c r="V63" s="14743"/>
      <c r="W63" s="14745"/>
      <c r="X63" s="14735"/>
      <c r="Y63" s="14735"/>
      <c r="Z63" s="14735"/>
      <c r="AA63" s="14704"/>
      <c r="AB63" s="7031"/>
      <c r="AC63" s="7032"/>
      <c r="AD63" s="14618"/>
      <c r="AE63" s="7044"/>
      <c r="AF63" s="7038"/>
      <c r="AG63" s="7045"/>
      <c r="AH63" s="7031"/>
      <c r="AI63" s="7031"/>
      <c r="AJ63" s="7017"/>
      <c r="AK63" s="7017"/>
      <c r="AL63" s="7016"/>
      <c r="AM63" s="7016"/>
      <c r="AN63" s="7016"/>
      <c r="AO63" s="6988"/>
      <c r="AP63" s="6988"/>
      <c r="AQ63" s="6988"/>
      <c r="AR63" s="6988"/>
      <c r="AS63" s="6988"/>
      <c r="AT63" s="6988"/>
      <c r="AU63" s="6988"/>
      <c r="AV63" s="6988"/>
      <c r="AW63" s="6988"/>
      <c r="AX63" s="6988"/>
      <c r="AY63" s="6988"/>
      <c r="AZ63" s="6988"/>
      <c r="BA63" s="6988"/>
      <c r="BB63" s="6988"/>
      <c r="BC63" s="6988"/>
      <c r="BD63" s="6988"/>
      <c r="BE63" s="6988"/>
      <c r="BF63" s="6988"/>
      <c r="BG63" s="6988"/>
      <c r="BH63" s="6988"/>
      <c r="BI63" s="6988"/>
      <c r="BJ63" s="6988"/>
      <c r="BK63" s="6988"/>
      <c r="BL63" s="6988"/>
      <c r="BM63" s="6988"/>
      <c r="BN63" s="6988"/>
      <c r="BO63" s="6988"/>
      <c r="BP63" s="6988"/>
      <c r="BQ63" s="6988"/>
      <c r="BR63" s="6988"/>
      <c r="BS63" s="6988"/>
      <c r="BT63" s="6988"/>
      <c r="BU63" s="6987"/>
      <c r="BW63" s="7012"/>
      <c r="BX63" s="7013"/>
      <c r="BY63" s="14757"/>
      <c r="BZ63" s="6980"/>
      <c r="CA63" s="6980"/>
      <c r="CB63" s="6981"/>
      <c r="CC63" s="6982"/>
      <c r="CD63" s="6983"/>
      <c r="CE63" s="6980"/>
      <c r="CF63" s="6981"/>
      <c r="CG63" s="6982"/>
      <c r="CH63" s="6983"/>
      <c r="CI63" s="6981"/>
      <c r="CJ63" s="6983"/>
      <c r="CK63" s="6981"/>
      <c r="CL63" s="6983"/>
      <c r="CM63" s="6980"/>
      <c r="CN63" s="6980"/>
      <c r="CO63" s="6980"/>
      <c r="CP63" s="6980"/>
      <c r="CQ63" s="6980"/>
      <c r="CR63" s="6981"/>
      <c r="CS63" s="6983"/>
      <c r="CT63" s="6980"/>
      <c r="CU63" s="6980"/>
      <c r="CV63" s="6980"/>
      <c r="CW63" s="6980"/>
      <c r="CX63" s="6980"/>
      <c r="CY63" s="6980"/>
      <c r="CZ63" s="6981"/>
      <c r="DA63" s="6983"/>
      <c r="DB63" s="6980"/>
      <c r="DC63" s="6980"/>
      <c r="DD63" s="6980"/>
      <c r="DE63" s="6980"/>
      <c r="DF63" s="6981"/>
      <c r="DG63" s="6982"/>
      <c r="DH63" s="6982"/>
      <c r="DI63" s="6982"/>
      <c r="DJ63" s="6982"/>
      <c r="DK63" s="6982"/>
      <c r="DL63" s="6983"/>
      <c r="DM63" s="6980"/>
      <c r="DN63" s="6980"/>
      <c r="DO63" s="6980"/>
      <c r="DP63" s="6981"/>
    </row>
    <row r="64" spans="1:120" s="6964" customFormat="1" ht="15" customHeight="1">
      <c r="A64" s="14653"/>
      <c r="B64" s="14656"/>
      <c r="C64" s="14582"/>
      <c r="D64" s="14585"/>
      <c r="E64" s="14661"/>
      <c r="F64" s="14592"/>
      <c r="G64" s="14592"/>
      <c r="H64" s="14592"/>
      <c r="I64" s="14630"/>
      <c r="J64" s="14708"/>
      <c r="K64" s="14707"/>
      <c r="L64" s="14706"/>
      <c r="M64" s="14707"/>
      <c r="N64" s="14707"/>
      <c r="O64" s="14707"/>
      <c r="P64" s="14707"/>
      <c r="Q64" s="6994" t="s">
        <v>10072</v>
      </c>
      <c r="R64" s="6972"/>
      <c r="S64" s="6972" t="s">
        <v>10172</v>
      </c>
      <c r="T64" s="14742"/>
      <c r="U64" s="14742"/>
      <c r="V64" s="14743"/>
      <c r="W64" s="14746"/>
      <c r="X64" s="14736"/>
      <c r="Y64" s="14736"/>
      <c r="Z64" s="14736"/>
      <c r="AA64" s="14705"/>
      <c r="AB64" s="7014"/>
      <c r="AC64" s="7015"/>
      <c r="AD64" s="14618"/>
      <c r="AE64" s="7044"/>
      <c r="AF64" s="7038"/>
      <c r="AG64" s="7045"/>
      <c r="AH64" s="7031"/>
      <c r="AI64" s="7031"/>
      <c r="AJ64" s="7017"/>
      <c r="AK64" s="7017"/>
      <c r="AL64" s="7016"/>
      <c r="AM64" s="7016"/>
      <c r="AN64" s="7016"/>
      <c r="AO64" s="6988"/>
      <c r="AP64" s="6988"/>
      <c r="AQ64" s="6988"/>
      <c r="AR64" s="6988"/>
      <c r="AS64" s="6988"/>
      <c r="AT64" s="6988"/>
      <c r="AU64" s="6988"/>
      <c r="AV64" s="6988"/>
      <c r="AW64" s="6988"/>
      <c r="AX64" s="6988"/>
      <c r="AY64" s="6988"/>
      <c r="AZ64" s="6988"/>
      <c r="BA64" s="6988"/>
      <c r="BB64" s="6988"/>
      <c r="BC64" s="6988"/>
      <c r="BD64" s="6988"/>
      <c r="BE64" s="6988"/>
      <c r="BF64" s="6988"/>
      <c r="BG64" s="6988"/>
      <c r="BH64" s="6988"/>
      <c r="BI64" s="6988"/>
      <c r="BJ64" s="6988"/>
      <c r="BK64" s="6988"/>
      <c r="BL64" s="6988"/>
      <c r="BM64" s="6988"/>
      <c r="BN64" s="6988"/>
      <c r="BO64" s="6988"/>
      <c r="BP64" s="6988"/>
      <c r="BQ64" s="6988"/>
      <c r="BR64" s="6988"/>
      <c r="BS64" s="6988"/>
      <c r="BT64" s="6988"/>
      <c r="BU64" s="6987"/>
      <c r="BW64" s="7012"/>
      <c r="BX64" s="7013"/>
      <c r="BY64" s="14757"/>
      <c r="BZ64" s="6980"/>
      <c r="CA64" s="6980"/>
      <c r="CB64" s="6981"/>
      <c r="CC64" s="6982"/>
      <c r="CD64" s="6983"/>
      <c r="CE64" s="6980"/>
      <c r="CF64" s="6981"/>
      <c r="CG64" s="6982"/>
      <c r="CH64" s="6983"/>
      <c r="CI64" s="6981"/>
      <c r="CJ64" s="6983"/>
      <c r="CK64" s="6981"/>
      <c r="CL64" s="6983"/>
      <c r="CM64" s="6980"/>
      <c r="CN64" s="6980"/>
      <c r="CO64" s="6980"/>
      <c r="CP64" s="6980"/>
      <c r="CQ64" s="6980"/>
      <c r="CR64" s="6981"/>
      <c r="CS64" s="6983"/>
      <c r="CT64" s="6980"/>
      <c r="CU64" s="6980"/>
      <c r="CV64" s="6980"/>
      <c r="CW64" s="6980"/>
      <c r="CX64" s="6980"/>
      <c r="CY64" s="6980"/>
      <c r="CZ64" s="6981"/>
      <c r="DA64" s="6983"/>
      <c r="DB64" s="6980"/>
      <c r="DC64" s="6980"/>
      <c r="DD64" s="6980"/>
      <c r="DE64" s="6980"/>
      <c r="DF64" s="6981"/>
      <c r="DG64" s="6982"/>
      <c r="DH64" s="6982"/>
      <c r="DI64" s="6982"/>
      <c r="DJ64" s="6982"/>
      <c r="DK64" s="6982"/>
      <c r="DL64" s="6983"/>
      <c r="DM64" s="6980"/>
      <c r="DN64" s="6980"/>
      <c r="DO64" s="6980"/>
      <c r="DP64" s="6981"/>
    </row>
    <row r="65" spans="1:120" s="6964" customFormat="1" ht="15" customHeight="1">
      <c r="A65" s="14653"/>
      <c r="B65" s="14656"/>
      <c r="C65" s="14582"/>
      <c r="D65" s="14585"/>
      <c r="E65" s="14662"/>
      <c r="F65" s="14593"/>
      <c r="G65" s="14593"/>
      <c r="H65" s="14593"/>
      <c r="I65" s="14640"/>
      <c r="J65" s="14708" t="s">
        <v>7554</v>
      </c>
      <c r="K65" s="14707" t="s">
        <v>4803</v>
      </c>
      <c r="L65" s="14706" t="s">
        <v>4654</v>
      </c>
      <c r="M65" s="14707" t="s">
        <v>4804</v>
      </c>
      <c r="N65" s="14707" t="s">
        <v>4805</v>
      </c>
      <c r="O65" s="14707" t="s">
        <v>4806</v>
      </c>
      <c r="P65" s="14707" t="s">
        <v>4807</v>
      </c>
      <c r="Q65" s="6971" t="s">
        <v>4321</v>
      </c>
      <c r="R65" s="6972" t="s">
        <v>4808</v>
      </c>
      <c r="S65" s="6972"/>
      <c r="T65" s="14707" t="s">
        <v>4660</v>
      </c>
      <c r="U65" s="14707">
        <v>1</v>
      </c>
      <c r="V65" s="14737">
        <v>1</v>
      </c>
      <c r="W65" s="14738">
        <v>1</v>
      </c>
      <c r="X65" s="14741">
        <v>1</v>
      </c>
      <c r="Y65" s="14741">
        <v>1</v>
      </c>
      <c r="Z65" s="14741">
        <f>SUM(U65:Y65)</f>
        <v>5</v>
      </c>
      <c r="AA65" s="14716">
        <v>75000000</v>
      </c>
      <c r="AB65" s="7010" t="s">
        <v>9653</v>
      </c>
      <c r="AC65" s="7011">
        <v>0</v>
      </c>
      <c r="AD65" s="14618"/>
      <c r="AE65" s="7040" t="s">
        <v>9244</v>
      </c>
      <c r="AF65" s="7007" t="s">
        <v>9245</v>
      </c>
      <c r="AG65" s="7046" t="s">
        <v>9246</v>
      </c>
      <c r="AH65" s="7014"/>
      <c r="AI65" s="7014"/>
      <c r="AJ65" s="7006"/>
      <c r="AK65" s="7006"/>
      <c r="AL65" s="7007"/>
      <c r="AM65" s="7007"/>
      <c r="AN65" s="7007"/>
      <c r="AO65" s="6985"/>
      <c r="AP65" s="6985"/>
      <c r="AQ65" s="6985"/>
      <c r="AR65" s="6985"/>
      <c r="AS65" s="6985"/>
      <c r="AT65" s="6985"/>
      <c r="AU65" s="6985"/>
      <c r="AV65" s="6985"/>
      <c r="AW65" s="6985"/>
      <c r="AX65" s="6985"/>
      <c r="AY65" s="6985"/>
      <c r="AZ65" s="6985"/>
      <c r="BA65" s="6985"/>
      <c r="BB65" s="6985"/>
      <c r="BC65" s="6985"/>
      <c r="BD65" s="6985"/>
      <c r="BE65" s="6985"/>
      <c r="BF65" s="6985"/>
      <c r="BG65" s="6985"/>
      <c r="BH65" s="6985"/>
      <c r="BI65" s="6985"/>
      <c r="BJ65" s="6985"/>
      <c r="BK65" s="6985"/>
      <c r="BL65" s="6985"/>
      <c r="BM65" s="6985"/>
      <c r="BN65" s="6985"/>
      <c r="BO65" s="6985"/>
      <c r="BP65" s="6985"/>
      <c r="BQ65" s="6985"/>
      <c r="BR65" s="6985"/>
      <c r="BS65" s="6985"/>
      <c r="BT65" s="6985"/>
      <c r="BU65" s="6987"/>
      <c r="BW65" s="7012"/>
      <c r="BX65" s="7013"/>
      <c r="BY65" s="14757"/>
      <c r="BZ65" s="6980"/>
      <c r="CA65" s="6980"/>
      <c r="CB65" s="6981"/>
      <c r="CC65" s="6982"/>
      <c r="CD65" s="6983"/>
      <c r="CE65" s="6980"/>
      <c r="CF65" s="6981"/>
      <c r="CG65" s="6982"/>
      <c r="CH65" s="6983"/>
      <c r="CI65" s="6981"/>
      <c r="CJ65" s="6983"/>
      <c r="CK65" s="6981"/>
      <c r="CL65" s="6983"/>
      <c r="CM65" s="6980"/>
      <c r="CN65" s="6980"/>
      <c r="CO65" s="6980"/>
      <c r="CP65" s="6980"/>
      <c r="CQ65" s="6980"/>
      <c r="CR65" s="6981"/>
      <c r="CS65" s="6983"/>
      <c r="CT65" s="6980"/>
      <c r="CU65" s="6980"/>
      <c r="CV65" s="6980"/>
      <c r="CW65" s="6980"/>
      <c r="CX65" s="6980"/>
      <c r="CY65" s="6980"/>
      <c r="CZ65" s="6981"/>
      <c r="DA65" s="6983"/>
      <c r="DB65" s="6980"/>
      <c r="DC65" s="6980"/>
      <c r="DD65" s="6980"/>
      <c r="DE65" s="6980"/>
      <c r="DF65" s="6981"/>
      <c r="DG65" s="6982"/>
      <c r="DH65" s="6982"/>
      <c r="DI65" s="6982"/>
      <c r="DJ65" s="6982"/>
      <c r="DK65" s="6982"/>
      <c r="DL65" s="6983"/>
      <c r="DM65" s="6980"/>
      <c r="DN65" s="6980"/>
      <c r="DO65" s="6980"/>
      <c r="DP65" s="6981"/>
    </row>
    <row r="66" spans="1:120" s="6964" customFormat="1" ht="15" customHeight="1">
      <c r="A66" s="14653"/>
      <c r="B66" s="14656"/>
      <c r="C66" s="14582"/>
      <c r="D66" s="14585"/>
      <c r="E66" s="7047"/>
      <c r="F66" s="7048"/>
      <c r="G66" s="7048"/>
      <c r="H66" s="7048"/>
      <c r="I66" s="7049"/>
      <c r="J66" s="14708"/>
      <c r="K66" s="14707"/>
      <c r="L66" s="14706"/>
      <c r="M66" s="14707"/>
      <c r="N66" s="14707"/>
      <c r="O66" s="14707"/>
      <c r="P66" s="14707"/>
      <c r="Q66" s="6971" t="s">
        <v>2859</v>
      </c>
      <c r="R66" s="6972"/>
      <c r="S66" s="6972" t="s">
        <v>538</v>
      </c>
      <c r="T66" s="14707"/>
      <c r="U66" s="14707"/>
      <c r="V66" s="14737"/>
      <c r="W66" s="14739"/>
      <c r="X66" s="14592"/>
      <c r="Y66" s="14592"/>
      <c r="Z66" s="14592"/>
      <c r="AA66" s="14704"/>
      <c r="AB66" s="7031"/>
      <c r="AC66" s="7032"/>
      <c r="AD66" s="14618"/>
      <c r="AE66" s="7044"/>
      <c r="AF66" s="7016"/>
      <c r="AG66" s="7046"/>
      <c r="AH66" s="7050"/>
      <c r="AI66" s="7050"/>
      <c r="AJ66" s="7017"/>
      <c r="AK66" s="7017"/>
      <c r="AL66" s="7016"/>
      <c r="AM66" s="7016"/>
      <c r="AN66" s="7016"/>
      <c r="AO66" s="6988"/>
      <c r="AP66" s="6988"/>
      <c r="AQ66" s="6988"/>
      <c r="AR66" s="6988"/>
      <c r="AS66" s="6988"/>
      <c r="AT66" s="6988"/>
      <c r="AU66" s="6988"/>
      <c r="AV66" s="6988"/>
      <c r="AW66" s="6988"/>
      <c r="AX66" s="6988"/>
      <c r="AY66" s="6988"/>
      <c r="AZ66" s="6988"/>
      <c r="BA66" s="6988"/>
      <c r="BB66" s="6988"/>
      <c r="BC66" s="6988"/>
      <c r="BD66" s="6988"/>
      <c r="BE66" s="6988"/>
      <c r="BF66" s="6988"/>
      <c r="BG66" s="6988"/>
      <c r="BH66" s="6988"/>
      <c r="BI66" s="6988"/>
      <c r="BJ66" s="6988"/>
      <c r="BK66" s="6988"/>
      <c r="BL66" s="6988"/>
      <c r="BM66" s="6988"/>
      <c r="BN66" s="6988"/>
      <c r="BO66" s="6988"/>
      <c r="BP66" s="6988"/>
      <c r="BQ66" s="6988"/>
      <c r="BR66" s="6988"/>
      <c r="BS66" s="6988"/>
      <c r="BT66" s="6988"/>
      <c r="BU66" s="6987"/>
      <c r="BW66" s="7012"/>
      <c r="BX66" s="7013"/>
      <c r="BY66" s="14757"/>
      <c r="BZ66" s="6980"/>
      <c r="CA66" s="6980"/>
      <c r="CB66" s="6981"/>
      <c r="CC66" s="6982"/>
      <c r="CD66" s="6983"/>
      <c r="CE66" s="6980"/>
      <c r="CF66" s="6981"/>
      <c r="CG66" s="6982"/>
      <c r="CH66" s="6983"/>
      <c r="CI66" s="6981"/>
      <c r="CJ66" s="6983"/>
      <c r="CK66" s="6981"/>
      <c r="CL66" s="6983"/>
      <c r="CM66" s="6980"/>
      <c r="CN66" s="6980"/>
      <c r="CO66" s="6980"/>
      <c r="CP66" s="6980"/>
      <c r="CQ66" s="6980"/>
      <c r="CR66" s="6981"/>
      <c r="CS66" s="6983"/>
      <c r="CT66" s="6980"/>
      <c r="CU66" s="6980"/>
      <c r="CV66" s="6980"/>
      <c r="CW66" s="6980"/>
      <c r="CX66" s="6980"/>
      <c r="CY66" s="6980"/>
      <c r="CZ66" s="6981"/>
      <c r="DA66" s="6983"/>
      <c r="DB66" s="6980"/>
      <c r="DC66" s="6980"/>
      <c r="DD66" s="6980"/>
      <c r="DE66" s="6980"/>
      <c r="DF66" s="6981"/>
      <c r="DG66" s="6982"/>
      <c r="DH66" s="6982"/>
      <c r="DI66" s="6982"/>
      <c r="DJ66" s="6982"/>
      <c r="DK66" s="6982"/>
      <c r="DL66" s="6983"/>
      <c r="DM66" s="6980"/>
      <c r="DN66" s="6980"/>
      <c r="DO66" s="6980"/>
      <c r="DP66" s="6981"/>
    </row>
    <row r="67" spans="1:120" s="6964" customFormat="1" ht="15" customHeight="1">
      <c r="A67" s="14653"/>
      <c r="B67" s="14656"/>
      <c r="C67" s="14582"/>
      <c r="D67" s="14585"/>
      <c r="E67" s="7047"/>
      <c r="F67" s="7048"/>
      <c r="G67" s="7048"/>
      <c r="H67" s="7048"/>
      <c r="I67" s="7049"/>
      <c r="J67" s="14708"/>
      <c r="K67" s="14707"/>
      <c r="L67" s="14706"/>
      <c r="M67" s="14707"/>
      <c r="N67" s="14707"/>
      <c r="O67" s="14707"/>
      <c r="P67" s="14707"/>
      <c r="Q67" s="6971" t="s">
        <v>10187</v>
      </c>
      <c r="R67" s="6972"/>
      <c r="S67" s="6972" t="s">
        <v>10173</v>
      </c>
      <c r="T67" s="14707"/>
      <c r="U67" s="14707"/>
      <c r="V67" s="14737"/>
      <c r="W67" s="14740"/>
      <c r="X67" s="14593"/>
      <c r="Y67" s="14593"/>
      <c r="Z67" s="14593"/>
      <c r="AA67" s="14705"/>
      <c r="AB67" s="7014"/>
      <c r="AC67" s="7015"/>
      <c r="AD67" s="14618"/>
      <c r="AE67" s="7044"/>
      <c r="AF67" s="7016"/>
      <c r="AG67" s="7046"/>
      <c r="AH67" s="7050"/>
      <c r="AI67" s="7050"/>
      <c r="AJ67" s="7017"/>
      <c r="AK67" s="7017"/>
      <c r="AL67" s="7016"/>
      <c r="AM67" s="7016"/>
      <c r="AN67" s="7016"/>
      <c r="AO67" s="6988"/>
      <c r="AP67" s="6988"/>
      <c r="AQ67" s="6988"/>
      <c r="AR67" s="6988"/>
      <c r="AS67" s="6988"/>
      <c r="AT67" s="6988"/>
      <c r="AU67" s="6988"/>
      <c r="AV67" s="6988"/>
      <c r="AW67" s="6988"/>
      <c r="AX67" s="6988"/>
      <c r="AY67" s="6988"/>
      <c r="AZ67" s="6988"/>
      <c r="BA67" s="6988"/>
      <c r="BB67" s="6988"/>
      <c r="BC67" s="6988"/>
      <c r="BD67" s="6988"/>
      <c r="BE67" s="6988"/>
      <c r="BF67" s="6988"/>
      <c r="BG67" s="6988"/>
      <c r="BH67" s="6988"/>
      <c r="BI67" s="6988"/>
      <c r="BJ67" s="6988"/>
      <c r="BK67" s="6988"/>
      <c r="BL67" s="6988"/>
      <c r="BM67" s="6988"/>
      <c r="BN67" s="6988"/>
      <c r="BO67" s="6988"/>
      <c r="BP67" s="6988"/>
      <c r="BQ67" s="6988"/>
      <c r="BR67" s="6988"/>
      <c r="BS67" s="6988"/>
      <c r="BT67" s="6988"/>
      <c r="BU67" s="6987"/>
      <c r="BW67" s="7012"/>
      <c r="BX67" s="7013"/>
      <c r="BY67" s="14757"/>
      <c r="BZ67" s="6980"/>
      <c r="CA67" s="6980"/>
      <c r="CB67" s="6981"/>
      <c r="CC67" s="6982"/>
      <c r="CD67" s="6983"/>
      <c r="CE67" s="6980"/>
      <c r="CF67" s="6981"/>
      <c r="CG67" s="6982"/>
      <c r="CH67" s="6983"/>
      <c r="CI67" s="6981"/>
      <c r="CJ67" s="6983"/>
      <c r="CK67" s="6981"/>
      <c r="CL67" s="6983"/>
      <c r="CM67" s="6980"/>
      <c r="CN67" s="6980"/>
      <c r="CO67" s="6980"/>
      <c r="CP67" s="6980"/>
      <c r="CQ67" s="6980"/>
      <c r="CR67" s="6981"/>
      <c r="CS67" s="6983"/>
      <c r="CT67" s="6980"/>
      <c r="CU67" s="6980"/>
      <c r="CV67" s="6980"/>
      <c r="CW67" s="6980"/>
      <c r="CX67" s="6980"/>
      <c r="CY67" s="6980"/>
      <c r="CZ67" s="6981"/>
      <c r="DA67" s="6983"/>
      <c r="DB67" s="6980"/>
      <c r="DC67" s="6980"/>
      <c r="DD67" s="6980"/>
      <c r="DE67" s="6980"/>
      <c r="DF67" s="6981"/>
      <c r="DG67" s="6982"/>
      <c r="DH67" s="6982"/>
      <c r="DI67" s="6982"/>
      <c r="DJ67" s="6982"/>
      <c r="DK67" s="6982"/>
      <c r="DL67" s="6983"/>
      <c r="DM67" s="6980"/>
      <c r="DN67" s="6980"/>
      <c r="DO67" s="6980"/>
      <c r="DP67" s="6981"/>
    </row>
    <row r="68" spans="1:120" s="6964" customFormat="1" ht="15" customHeight="1">
      <c r="A68" s="14653"/>
      <c r="B68" s="14656"/>
      <c r="C68" s="14582"/>
      <c r="D68" s="14585"/>
      <c r="E68" s="14620" t="s">
        <v>4809</v>
      </c>
      <c r="F68" s="14623" t="s">
        <v>4810</v>
      </c>
      <c r="G68" s="14627" t="s">
        <v>4811</v>
      </c>
      <c r="H68" s="14627" t="s">
        <v>4812</v>
      </c>
      <c r="I68" s="14629" t="s">
        <v>4813</v>
      </c>
      <c r="J68" s="14708" t="s">
        <v>7555</v>
      </c>
      <c r="K68" s="14707" t="s">
        <v>4814</v>
      </c>
      <c r="L68" s="14706" t="s">
        <v>4676</v>
      </c>
      <c r="M68" s="14707" t="s">
        <v>4815</v>
      </c>
      <c r="N68" s="14707" t="s">
        <v>4816</v>
      </c>
      <c r="O68" s="14707" t="s">
        <v>4817</v>
      </c>
      <c r="P68" s="14707" t="s">
        <v>4818</v>
      </c>
      <c r="Q68" s="6971" t="s">
        <v>10066</v>
      </c>
      <c r="R68" s="6972" t="s">
        <v>4819</v>
      </c>
      <c r="S68" s="6980"/>
      <c r="T68" s="14742" t="s">
        <v>4660</v>
      </c>
      <c r="U68" s="14742">
        <v>0.2</v>
      </c>
      <c r="V68" s="14743">
        <v>0.2</v>
      </c>
      <c r="W68" s="14744">
        <v>0.2</v>
      </c>
      <c r="X68" s="14734">
        <v>0.2</v>
      </c>
      <c r="Y68" s="14734">
        <v>0.2</v>
      </c>
      <c r="Z68" s="14734">
        <f t="shared" si="0"/>
        <v>1</v>
      </c>
      <c r="AA68" s="14716">
        <v>100000000</v>
      </c>
      <c r="AB68" s="7010" t="s">
        <v>9653</v>
      </c>
      <c r="AC68" s="7011">
        <v>0</v>
      </c>
      <c r="AD68" s="14618"/>
      <c r="AE68" s="7007" t="s">
        <v>9216</v>
      </c>
      <c r="AF68" s="7007"/>
      <c r="AG68" s="7007"/>
      <c r="AH68" s="7006"/>
      <c r="AI68" s="7006"/>
      <c r="AJ68" s="7006"/>
      <c r="AK68" s="7006"/>
      <c r="AL68" s="7007"/>
      <c r="AM68" s="7007"/>
      <c r="AN68" s="7007"/>
      <c r="AO68" s="6985"/>
      <c r="AP68" s="6985"/>
      <c r="AQ68" s="6985"/>
      <c r="AR68" s="6985"/>
      <c r="AS68" s="6985"/>
      <c r="AT68" s="6985"/>
      <c r="AU68" s="6985"/>
      <c r="AV68" s="6985"/>
      <c r="AW68" s="6985"/>
      <c r="AX68" s="6985"/>
      <c r="AY68" s="6985"/>
      <c r="AZ68" s="6985"/>
      <c r="BA68" s="6985"/>
      <c r="BB68" s="6985"/>
      <c r="BC68" s="6985"/>
      <c r="BD68" s="6985"/>
      <c r="BE68" s="6985"/>
      <c r="BF68" s="6985"/>
      <c r="BG68" s="6985"/>
      <c r="BH68" s="6985"/>
      <c r="BI68" s="6985"/>
      <c r="BJ68" s="6985"/>
      <c r="BK68" s="6985"/>
      <c r="BL68" s="6985"/>
      <c r="BM68" s="6985"/>
      <c r="BN68" s="6985"/>
      <c r="BO68" s="6985"/>
      <c r="BP68" s="6985"/>
      <c r="BQ68" s="6985"/>
      <c r="BR68" s="6985"/>
      <c r="BS68" s="6985"/>
      <c r="BT68" s="6985"/>
      <c r="BU68" s="6987"/>
      <c r="BW68" s="7012"/>
      <c r="BX68" s="7013"/>
      <c r="BY68" s="14757"/>
      <c r="BZ68" s="6980"/>
      <c r="CA68" s="6980"/>
      <c r="CB68" s="6981"/>
      <c r="CC68" s="6982"/>
      <c r="CD68" s="6983"/>
      <c r="CE68" s="6980"/>
      <c r="CF68" s="6981"/>
      <c r="CG68" s="6982"/>
      <c r="CH68" s="6983"/>
      <c r="CI68" s="6981"/>
      <c r="CJ68" s="6983"/>
      <c r="CK68" s="6981"/>
      <c r="CL68" s="6983"/>
      <c r="CM68" s="6980"/>
      <c r="CN68" s="6980"/>
      <c r="CO68" s="6980"/>
      <c r="CP68" s="6980"/>
      <c r="CQ68" s="6980"/>
      <c r="CR68" s="6981"/>
      <c r="CS68" s="6983"/>
      <c r="CT68" s="6980"/>
      <c r="CU68" s="6980"/>
      <c r="CV68" s="6980"/>
      <c r="CW68" s="6980"/>
      <c r="CX68" s="6980"/>
      <c r="CY68" s="6980"/>
      <c r="CZ68" s="6981"/>
      <c r="DA68" s="6983"/>
      <c r="DB68" s="6980"/>
      <c r="DC68" s="6980"/>
      <c r="DD68" s="6980"/>
      <c r="DE68" s="6980"/>
      <c r="DF68" s="6981"/>
      <c r="DG68" s="6982"/>
      <c r="DH68" s="6982"/>
      <c r="DI68" s="6982"/>
      <c r="DJ68" s="6982"/>
      <c r="DK68" s="6982"/>
      <c r="DL68" s="6983"/>
      <c r="DM68" s="6980"/>
      <c r="DN68" s="6980"/>
      <c r="DO68" s="6980"/>
      <c r="DP68" s="6981"/>
    </row>
    <row r="69" spans="1:120" s="6964" customFormat="1" ht="15" customHeight="1">
      <c r="A69" s="14653"/>
      <c r="B69" s="14656"/>
      <c r="C69" s="14582"/>
      <c r="D69" s="14585"/>
      <c r="E69" s="14621"/>
      <c r="F69" s="14624"/>
      <c r="G69" s="14592"/>
      <c r="H69" s="14592"/>
      <c r="I69" s="14630"/>
      <c r="J69" s="14708"/>
      <c r="K69" s="14707"/>
      <c r="L69" s="14706"/>
      <c r="M69" s="14707"/>
      <c r="N69" s="14707"/>
      <c r="O69" s="14707"/>
      <c r="P69" s="14707"/>
      <c r="Q69" s="6971" t="s">
        <v>10070</v>
      </c>
      <c r="R69" s="6972"/>
      <c r="S69" s="6972" t="s">
        <v>512</v>
      </c>
      <c r="T69" s="14742"/>
      <c r="U69" s="14742"/>
      <c r="V69" s="14743"/>
      <c r="W69" s="14745"/>
      <c r="X69" s="14735"/>
      <c r="Y69" s="14735"/>
      <c r="Z69" s="14735"/>
      <c r="AA69" s="14704"/>
      <c r="AB69" s="7031"/>
      <c r="AC69" s="7032"/>
      <c r="AD69" s="14618"/>
      <c r="AE69" s="7016"/>
      <c r="AF69" s="7016"/>
      <c r="AG69" s="7016"/>
      <c r="AH69" s="7017"/>
      <c r="AI69" s="7017"/>
      <c r="AJ69" s="7017"/>
      <c r="AK69" s="7017"/>
      <c r="AL69" s="7016"/>
      <c r="AM69" s="7016"/>
      <c r="AN69" s="7016"/>
      <c r="AO69" s="6988"/>
      <c r="AP69" s="6988"/>
      <c r="AQ69" s="6988"/>
      <c r="AR69" s="6988"/>
      <c r="AS69" s="6988"/>
      <c r="AT69" s="6988"/>
      <c r="AU69" s="6988"/>
      <c r="AV69" s="6988"/>
      <c r="AW69" s="6988"/>
      <c r="AX69" s="6988"/>
      <c r="AY69" s="6988"/>
      <c r="AZ69" s="6988"/>
      <c r="BA69" s="6988"/>
      <c r="BB69" s="6988"/>
      <c r="BC69" s="6988"/>
      <c r="BD69" s="6988"/>
      <c r="BE69" s="6988"/>
      <c r="BF69" s="6988"/>
      <c r="BG69" s="6988"/>
      <c r="BH69" s="6988"/>
      <c r="BI69" s="6988"/>
      <c r="BJ69" s="6988"/>
      <c r="BK69" s="6988"/>
      <c r="BL69" s="6988"/>
      <c r="BM69" s="6988"/>
      <c r="BN69" s="6988"/>
      <c r="BO69" s="6988"/>
      <c r="BP69" s="6988"/>
      <c r="BQ69" s="6988"/>
      <c r="BR69" s="6988"/>
      <c r="BS69" s="6988"/>
      <c r="BT69" s="6988"/>
      <c r="BU69" s="6987"/>
      <c r="BW69" s="7012"/>
      <c r="BX69" s="7013"/>
      <c r="BY69" s="14757"/>
      <c r="BZ69" s="6980"/>
      <c r="CA69" s="6980"/>
      <c r="CB69" s="6981"/>
      <c r="CC69" s="6982"/>
      <c r="CD69" s="6983"/>
      <c r="CE69" s="6980"/>
      <c r="CF69" s="6981"/>
      <c r="CG69" s="6982"/>
      <c r="CH69" s="6983"/>
      <c r="CI69" s="6981"/>
      <c r="CJ69" s="6983"/>
      <c r="CK69" s="6981"/>
      <c r="CL69" s="6983"/>
      <c r="CM69" s="6980"/>
      <c r="CN69" s="6980"/>
      <c r="CO69" s="6980"/>
      <c r="CP69" s="6980"/>
      <c r="CQ69" s="6980"/>
      <c r="CR69" s="6981"/>
      <c r="CS69" s="6983"/>
      <c r="CT69" s="6980"/>
      <c r="CU69" s="6980"/>
      <c r="CV69" s="6980"/>
      <c r="CW69" s="6980"/>
      <c r="CX69" s="6980"/>
      <c r="CY69" s="6980"/>
      <c r="CZ69" s="6981"/>
      <c r="DA69" s="6983"/>
      <c r="DB69" s="6980"/>
      <c r="DC69" s="6980"/>
      <c r="DD69" s="6980"/>
      <c r="DE69" s="6980"/>
      <c r="DF69" s="6981"/>
      <c r="DG69" s="6982"/>
      <c r="DH69" s="6982"/>
      <c r="DI69" s="6982"/>
      <c r="DJ69" s="6982"/>
      <c r="DK69" s="6982"/>
      <c r="DL69" s="6983"/>
      <c r="DM69" s="6980"/>
      <c r="DN69" s="6980"/>
      <c r="DO69" s="6980"/>
      <c r="DP69" s="6981"/>
    </row>
    <row r="70" spans="1:120" s="6964" customFormat="1" ht="15" customHeight="1">
      <c r="A70" s="14653"/>
      <c r="B70" s="14656"/>
      <c r="C70" s="14582"/>
      <c r="D70" s="14585"/>
      <c r="E70" s="14621"/>
      <c r="F70" s="14624"/>
      <c r="G70" s="14592"/>
      <c r="H70" s="14592"/>
      <c r="I70" s="14630"/>
      <c r="J70" s="14708"/>
      <c r="K70" s="14707"/>
      <c r="L70" s="14706"/>
      <c r="M70" s="14707"/>
      <c r="N70" s="14707"/>
      <c r="O70" s="14707"/>
      <c r="P70" s="14707"/>
      <c r="Q70" s="6971" t="s">
        <v>10057</v>
      </c>
      <c r="R70" s="6972"/>
      <c r="S70" s="6972" t="s">
        <v>10058</v>
      </c>
      <c r="T70" s="14742"/>
      <c r="U70" s="14742"/>
      <c r="V70" s="14743"/>
      <c r="W70" s="14745"/>
      <c r="X70" s="14735"/>
      <c r="Y70" s="14735"/>
      <c r="Z70" s="14735"/>
      <c r="AA70" s="14704"/>
      <c r="AB70" s="7031"/>
      <c r="AC70" s="7032"/>
      <c r="AD70" s="14618"/>
      <c r="AE70" s="7016"/>
      <c r="AF70" s="7016"/>
      <c r="AG70" s="7016"/>
      <c r="AH70" s="7017"/>
      <c r="AI70" s="7017"/>
      <c r="AJ70" s="7017"/>
      <c r="AK70" s="7017"/>
      <c r="AL70" s="7016"/>
      <c r="AM70" s="7016"/>
      <c r="AN70" s="7016"/>
      <c r="AO70" s="6988"/>
      <c r="AP70" s="6988"/>
      <c r="AQ70" s="6988"/>
      <c r="AR70" s="6988"/>
      <c r="AS70" s="6988"/>
      <c r="AT70" s="6988"/>
      <c r="AU70" s="6988"/>
      <c r="AV70" s="6988"/>
      <c r="AW70" s="6988"/>
      <c r="AX70" s="6988"/>
      <c r="AY70" s="6988"/>
      <c r="AZ70" s="6988"/>
      <c r="BA70" s="6988"/>
      <c r="BB70" s="6988"/>
      <c r="BC70" s="6988"/>
      <c r="BD70" s="6988"/>
      <c r="BE70" s="6988"/>
      <c r="BF70" s="6988"/>
      <c r="BG70" s="6988"/>
      <c r="BH70" s="6988"/>
      <c r="BI70" s="6988"/>
      <c r="BJ70" s="6988"/>
      <c r="BK70" s="6988"/>
      <c r="BL70" s="6988"/>
      <c r="BM70" s="6988"/>
      <c r="BN70" s="6988"/>
      <c r="BO70" s="6988"/>
      <c r="BP70" s="6988"/>
      <c r="BQ70" s="6988"/>
      <c r="BR70" s="6988"/>
      <c r="BS70" s="6988"/>
      <c r="BT70" s="6988"/>
      <c r="BU70" s="6987"/>
      <c r="BW70" s="7012"/>
      <c r="BX70" s="7013"/>
      <c r="BY70" s="14757"/>
      <c r="BZ70" s="6980"/>
      <c r="CA70" s="6980"/>
      <c r="CB70" s="6981"/>
      <c r="CC70" s="6982"/>
      <c r="CD70" s="6983"/>
      <c r="CE70" s="6980"/>
      <c r="CF70" s="6981"/>
      <c r="CG70" s="6982"/>
      <c r="CH70" s="6983"/>
      <c r="CI70" s="6981"/>
      <c r="CJ70" s="6983"/>
      <c r="CK70" s="6981"/>
      <c r="CL70" s="6983"/>
      <c r="CM70" s="6980"/>
      <c r="CN70" s="6980"/>
      <c r="CO70" s="6980"/>
      <c r="CP70" s="6980"/>
      <c r="CQ70" s="6980"/>
      <c r="CR70" s="6981"/>
      <c r="CS70" s="6983"/>
      <c r="CT70" s="6980"/>
      <c r="CU70" s="6980"/>
      <c r="CV70" s="6980"/>
      <c r="CW70" s="6980"/>
      <c r="CX70" s="6980"/>
      <c r="CY70" s="6980"/>
      <c r="CZ70" s="6981"/>
      <c r="DA70" s="6983"/>
      <c r="DB70" s="6980"/>
      <c r="DC70" s="6980"/>
      <c r="DD70" s="6980"/>
      <c r="DE70" s="6980"/>
      <c r="DF70" s="6981"/>
      <c r="DG70" s="6982"/>
      <c r="DH70" s="6982"/>
      <c r="DI70" s="6982"/>
      <c r="DJ70" s="6982"/>
      <c r="DK70" s="6982"/>
      <c r="DL70" s="6983"/>
      <c r="DM70" s="6980"/>
      <c r="DN70" s="6980"/>
      <c r="DO70" s="6980"/>
      <c r="DP70" s="6981"/>
    </row>
    <row r="71" spans="1:120" s="6964" customFormat="1" ht="15" customHeight="1">
      <c r="A71" s="14653"/>
      <c r="B71" s="14656"/>
      <c r="C71" s="14582"/>
      <c r="D71" s="14585"/>
      <c r="E71" s="14621"/>
      <c r="F71" s="14624"/>
      <c r="G71" s="14592"/>
      <c r="H71" s="14592"/>
      <c r="I71" s="14630"/>
      <c r="J71" s="14708"/>
      <c r="K71" s="14707"/>
      <c r="L71" s="14706"/>
      <c r="M71" s="14707"/>
      <c r="N71" s="14707"/>
      <c r="O71" s="14707"/>
      <c r="P71" s="14707"/>
      <c r="Q71" s="6971" t="s">
        <v>10185</v>
      </c>
      <c r="R71" s="6972"/>
      <c r="S71" s="6972" t="s">
        <v>1323</v>
      </c>
      <c r="T71" s="14742"/>
      <c r="U71" s="14742"/>
      <c r="V71" s="14743"/>
      <c r="W71" s="14746"/>
      <c r="X71" s="14736"/>
      <c r="Y71" s="14736"/>
      <c r="Z71" s="14736"/>
      <c r="AA71" s="14705"/>
      <c r="AB71" s="7014"/>
      <c r="AC71" s="7015"/>
      <c r="AD71" s="14618"/>
      <c r="AE71" s="7016"/>
      <c r="AF71" s="7016"/>
      <c r="AG71" s="7016"/>
      <c r="AH71" s="7017"/>
      <c r="AI71" s="7017"/>
      <c r="AJ71" s="7017"/>
      <c r="AK71" s="7017"/>
      <c r="AL71" s="7016"/>
      <c r="AM71" s="7016"/>
      <c r="AN71" s="7016"/>
      <c r="AO71" s="6988"/>
      <c r="AP71" s="6988"/>
      <c r="AQ71" s="6988"/>
      <c r="AR71" s="6988"/>
      <c r="AS71" s="6988"/>
      <c r="AT71" s="6988"/>
      <c r="AU71" s="6988"/>
      <c r="AV71" s="6988"/>
      <c r="AW71" s="6988"/>
      <c r="AX71" s="6988"/>
      <c r="AY71" s="6988"/>
      <c r="AZ71" s="6988"/>
      <c r="BA71" s="6988"/>
      <c r="BB71" s="6988"/>
      <c r="BC71" s="6988"/>
      <c r="BD71" s="6988"/>
      <c r="BE71" s="6988"/>
      <c r="BF71" s="6988"/>
      <c r="BG71" s="6988"/>
      <c r="BH71" s="6988"/>
      <c r="BI71" s="6988"/>
      <c r="BJ71" s="6988"/>
      <c r="BK71" s="6988"/>
      <c r="BL71" s="6988"/>
      <c r="BM71" s="6988"/>
      <c r="BN71" s="6988"/>
      <c r="BO71" s="6988"/>
      <c r="BP71" s="6988"/>
      <c r="BQ71" s="6988"/>
      <c r="BR71" s="6988"/>
      <c r="BS71" s="6988"/>
      <c r="BT71" s="6988"/>
      <c r="BU71" s="6987"/>
      <c r="BW71" s="7012"/>
      <c r="BX71" s="7013"/>
      <c r="BY71" s="14757"/>
      <c r="BZ71" s="6980"/>
      <c r="CA71" s="6980"/>
      <c r="CB71" s="6981"/>
      <c r="CC71" s="6982"/>
      <c r="CD71" s="6983"/>
      <c r="CE71" s="6980"/>
      <c r="CF71" s="6981"/>
      <c r="CG71" s="6982"/>
      <c r="CH71" s="6983"/>
      <c r="CI71" s="6981"/>
      <c r="CJ71" s="6983"/>
      <c r="CK71" s="6981"/>
      <c r="CL71" s="6983"/>
      <c r="CM71" s="6980"/>
      <c r="CN71" s="6980"/>
      <c r="CO71" s="6980"/>
      <c r="CP71" s="6980"/>
      <c r="CQ71" s="6980"/>
      <c r="CR71" s="6981"/>
      <c r="CS71" s="6983"/>
      <c r="CT71" s="6980"/>
      <c r="CU71" s="6980"/>
      <c r="CV71" s="6980"/>
      <c r="CW71" s="6980"/>
      <c r="CX71" s="6980"/>
      <c r="CY71" s="6980"/>
      <c r="CZ71" s="6981"/>
      <c r="DA71" s="6983"/>
      <c r="DB71" s="6980"/>
      <c r="DC71" s="6980"/>
      <c r="DD71" s="6980"/>
      <c r="DE71" s="6980"/>
      <c r="DF71" s="6981"/>
      <c r="DG71" s="6982"/>
      <c r="DH71" s="6982"/>
      <c r="DI71" s="6982"/>
      <c r="DJ71" s="6982"/>
      <c r="DK71" s="6982"/>
      <c r="DL71" s="6983"/>
      <c r="DM71" s="6980"/>
      <c r="DN71" s="6980"/>
      <c r="DO71" s="6980"/>
      <c r="DP71" s="6981"/>
    </row>
    <row r="72" spans="1:120" s="6964" customFormat="1" ht="15" customHeight="1">
      <c r="A72" s="14653"/>
      <c r="B72" s="14656"/>
      <c r="C72" s="14582"/>
      <c r="D72" s="14585"/>
      <c r="E72" s="14621"/>
      <c r="F72" s="14625"/>
      <c r="G72" s="14592"/>
      <c r="H72" s="14592"/>
      <c r="I72" s="14630"/>
      <c r="J72" s="14708" t="s">
        <v>7556</v>
      </c>
      <c r="K72" s="14707" t="s">
        <v>4820</v>
      </c>
      <c r="L72" s="14706" t="s">
        <v>4676</v>
      </c>
      <c r="M72" s="14707" t="s">
        <v>4821</v>
      </c>
      <c r="N72" s="14707" t="s">
        <v>4705</v>
      </c>
      <c r="O72" s="14707" t="s">
        <v>4822</v>
      </c>
      <c r="P72" s="14707" t="s">
        <v>1451</v>
      </c>
      <c r="Q72" s="6971" t="s">
        <v>10066</v>
      </c>
      <c r="R72" s="6972" t="s">
        <v>298</v>
      </c>
      <c r="S72" s="6972"/>
      <c r="T72" s="14707" t="s">
        <v>4823</v>
      </c>
      <c r="U72" s="14707">
        <v>1</v>
      </c>
      <c r="V72" s="14737">
        <v>1</v>
      </c>
      <c r="W72" s="14738">
        <v>1</v>
      </c>
      <c r="X72" s="14741">
        <v>1</v>
      </c>
      <c r="Y72" s="14741">
        <v>1</v>
      </c>
      <c r="Z72" s="14741">
        <v>5</v>
      </c>
      <c r="AA72" s="14716">
        <v>100000000</v>
      </c>
      <c r="AB72" s="7010">
        <v>3</v>
      </c>
      <c r="AC72" s="7011">
        <f>IF((AB72/U72)&gt;=1,100%)</f>
        <v>1</v>
      </c>
      <c r="AD72" s="14618"/>
      <c r="AE72" s="7040" t="s">
        <v>9217</v>
      </c>
      <c r="AF72" s="7007" t="s">
        <v>9218</v>
      </c>
      <c r="AG72" s="7007"/>
      <c r="AH72" s="7006" t="s">
        <v>9219</v>
      </c>
      <c r="AI72" s="7006" t="s">
        <v>9220</v>
      </c>
      <c r="AJ72" s="7006"/>
      <c r="AK72" s="7006"/>
      <c r="AL72" s="7007" t="s">
        <v>9221</v>
      </c>
      <c r="AM72" s="6985" t="s">
        <v>2891</v>
      </c>
      <c r="AN72" s="6985" t="s">
        <v>2891</v>
      </c>
      <c r="AO72" s="6985" t="s">
        <v>2891</v>
      </c>
      <c r="AP72" s="6985"/>
      <c r="AQ72" s="6985"/>
      <c r="AR72" s="6985"/>
      <c r="AS72" s="6985"/>
      <c r="AT72" s="6985" t="s">
        <v>2891</v>
      </c>
      <c r="AU72" s="6985" t="s">
        <v>2891</v>
      </c>
      <c r="AV72" s="6985" t="s">
        <v>2891</v>
      </c>
      <c r="AW72" s="6985" t="s">
        <v>2891</v>
      </c>
      <c r="AX72" s="6985" t="s">
        <v>2891</v>
      </c>
      <c r="AY72" s="6985"/>
      <c r="AZ72" s="6985"/>
      <c r="BA72" s="6985"/>
      <c r="BB72" s="6985"/>
      <c r="BC72" s="6985"/>
      <c r="BD72" s="6985"/>
      <c r="BE72" s="6985"/>
      <c r="BF72" s="6985" t="s">
        <v>2891</v>
      </c>
      <c r="BG72" s="6985"/>
      <c r="BH72" s="6985"/>
      <c r="BI72" s="6985"/>
      <c r="BJ72" s="6985"/>
      <c r="BK72" s="6985"/>
      <c r="BL72" s="6985"/>
      <c r="BM72" s="6985"/>
      <c r="BN72" s="6985"/>
      <c r="BO72" s="6985"/>
      <c r="BP72" s="6985"/>
      <c r="BQ72" s="6985"/>
      <c r="BR72" s="6985"/>
      <c r="BS72" s="6985"/>
      <c r="BT72" s="6985"/>
      <c r="BU72" s="6987"/>
      <c r="BW72" s="7012"/>
      <c r="BX72" s="7013"/>
      <c r="BY72" s="14757"/>
      <c r="BZ72" s="6980"/>
      <c r="CA72" s="6980"/>
      <c r="CB72" s="6981"/>
      <c r="CC72" s="6982"/>
      <c r="CD72" s="6983"/>
      <c r="CE72" s="6980"/>
      <c r="CF72" s="6981"/>
      <c r="CG72" s="6982"/>
      <c r="CH72" s="6983"/>
      <c r="CI72" s="6981"/>
      <c r="CJ72" s="6983"/>
      <c r="CK72" s="6981"/>
      <c r="CL72" s="6983"/>
      <c r="CM72" s="6980"/>
      <c r="CN72" s="6980"/>
      <c r="CO72" s="6980"/>
      <c r="CP72" s="6980"/>
      <c r="CQ72" s="6980"/>
      <c r="CR72" s="6981"/>
      <c r="CS72" s="6983"/>
      <c r="CT72" s="6980"/>
      <c r="CU72" s="6980"/>
      <c r="CV72" s="6980"/>
      <c r="CW72" s="6980"/>
      <c r="CX72" s="6980"/>
      <c r="CY72" s="6980"/>
      <c r="CZ72" s="6981"/>
      <c r="DA72" s="6983"/>
      <c r="DB72" s="6980"/>
      <c r="DC72" s="6980"/>
      <c r="DD72" s="6980"/>
      <c r="DE72" s="6980"/>
      <c r="DF72" s="6981"/>
      <c r="DG72" s="6982"/>
      <c r="DH72" s="6982"/>
      <c r="DI72" s="6982"/>
      <c r="DJ72" s="6982"/>
      <c r="DK72" s="6982"/>
      <c r="DL72" s="6983"/>
      <c r="DM72" s="6980"/>
      <c r="DN72" s="6980"/>
      <c r="DO72" s="6980"/>
      <c r="DP72" s="6981"/>
    </row>
    <row r="73" spans="1:120" s="6964" customFormat="1" ht="15" customHeight="1">
      <c r="A73" s="14653"/>
      <c r="B73" s="14656"/>
      <c r="C73" s="14582"/>
      <c r="D73" s="14585"/>
      <c r="E73" s="14621"/>
      <c r="F73" s="14625"/>
      <c r="G73" s="14592"/>
      <c r="H73" s="14592"/>
      <c r="I73" s="14630"/>
      <c r="J73" s="14708"/>
      <c r="K73" s="14707"/>
      <c r="L73" s="14706"/>
      <c r="M73" s="14707"/>
      <c r="N73" s="14707"/>
      <c r="O73" s="14707"/>
      <c r="P73" s="14707"/>
      <c r="Q73" s="6971" t="s">
        <v>10183</v>
      </c>
      <c r="R73" s="6972"/>
      <c r="S73" s="6972" t="s">
        <v>1874</v>
      </c>
      <c r="T73" s="14707"/>
      <c r="U73" s="14707"/>
      <c r="V73" s="14737"/>
      <c r="W73" s="14739"/>
      <c r="X73" s="14592"/>
      <c r="Y73" s="14592"/>
      <c r="Z73" s="14592"/>
      <c r="AA73" s="14704"/>
      <c r="AB73" s="7031"/>
      <c r="AC73" s="7032"/>
      <c r="AD73" s="14618"/>
      <c r="AE73" s="7044"/>
      <c r="AF73" s="7016"/>
      <c r="AG73" s="7016"/>
      <c r="AH73" s="7017"/>
      <c r="AI73" s="7017"/>
      <c r="AJ73" s="7017"/>
      <c r="AK73" s="7017"/>
      <c r="AL73" s="7016"/>
      <c r="AM73" s="6988"/>
      <c r="AN73" s="6988"/>
      <c r="AO73" s="6988"/>
      <c r="AP73" s="6988"/>
      <c r="AQ73" s="6988"/>
      <c r="AR73" s="6988"/>
      <c r="AS73" s="6988"/>
      <c r="AT73" s="6988"/>
      <c r="AU73" s="6988"/>
      <c r="AV73" s="6988"/>
      <c r="AW73" s="6988"/>
      <c r="AX73" s="6988"/>
      <c r="AY73" s="6988"/>
      <c r="AZ73" s="6988"/>
      <c r="BA73" s="6988"/>
      <c r="BB73" s="6988"/>
      <c r="BC73" s="6988"/>
      <c r="BD73" s="6988"/>
      <c r="BE73" s="6988"/>
      <c r="BF73" s="6988"/>
      <c r="BG73" s="6988"/>
      <c r="BH73" s="6988"/>
      <c r="BI73" s="6988"/>
      <c r="BJ73" s="6988"/>
      <c r="BK73" s="6988"/>
      <c r="BL73" s="6988"/>
      <c r="BM73" s="6988"/>
      <c r="BN73" s="6988"/>
      <c r="BO73" s="6988"/>
      <c r="BP73" s="6988"/>
      <c r="BQ73" s="6988"/>
      <c r="BR73" s="6988"/>
      <c r="BS73" s="6988"/>
      <c r="BT73" s="6988"/>
      <c r="BU73" s="6987"/>
      <c r="BW73" s="7012"/>
      <c r="BX73" s="7013"/>
      <c r="BY73" s="14757"/>
      <c r="BZ73" s="6980"/>
      <c r="CA73" s="6980"/>
      <c r="CB73" s="6981"/>
      <c r="CC73" s="6982"/>
      <c r="CD73" s="6983"/>
      <c r="CE73" s="6980"/>
      <c r="CF73" s="6981"/>
      <c r="CG73" s="6982"/>
      <c r="CH73" s="6983"/>
      <c r="CI73" s="6981"/>
      <c r="CJ73" s="6983"/>
      <c r="CK73" s="6981"/>
      <c r="CL73" s="6983"/>
      <c r="CM73" s="6980"/>
      <c r="CN73" s="6980"/>
      <c r="CO73" s="6980"/>
      <c r="CP73" s="6980"/>
      <c r="CQ73" s="6980"/>
      <c r="CR73" s="6981"/>
      <c r="CS73" s="6983"/>
      <c r="CT73" s="6980"/>
      <c r="CU73" s="6980"/>
      <c r="CV73" s="6980"/>
      <c r="CW73" s="6980"/>
      <c r="CX73" s="6980"/>
      <c r="CY73" s="6980"/>
      <c r="CZ73" s="6981"/>
      <c r="DA73" s="6983"/>
      <c r="DB73" s="6980"/>
      <c r="DC73" s="6980"/>
      <c r="DD73" s="6980"/>
      <c r="DE73" s="6980"/>
      <c r="DF73" s="6981"/>
      <c r="DG73" s="6982"/>
      <c r="DH73" s="6982"/>
      <c r="DI73" s="6982"/>
      <c r="DJ73" s="6982"/>
      <c r="DK73" s="6982"/>
      <c r="DL73" s="6983"/>
      <c r="DM73" s="6980"/>
      <c r="DN73" s="6980"/>
      <c r="DO73" s="6980"/>
      <c r="DP73" s="6981"/>
    </row>
    <row r="74" spans="1:120" s="6964" customFormat="1" ht="15" customHeight="1">
      <c r="A74" s="14653"/>
      <c r="B74" s="14656"/>
      <c r="C74" s="14582"/>
      <c r="D74" s="14585"/>
      <c r="E74" s="14621"/>
      <c r="F74" s="14625"/>
      <c r="G74" s="14592"/>
      <c r="H74" s="14592"/>
      <c r="I74" s="14630"/>
      <c r="J74" s="14708"/>
      <c r="K74" s="14707"/>
      <c r="L74" s="14706"/>
      <c r="M74" s="14707"/>
      <c r="N74" s="14707"/>
      <c r="O74" s="14707"/>
      <c r="P74" s="14707"/>
      <c r="Q74" s="6971" t="s">
        <v>10177</v>
      </c>
      <c r="R74" s="6972"/>
      <c r="S74" s="6972" t="s">
        <v>10174</v>
      </c>
      <c r="T74" s="14707"/>
      <c r="U74" s="14707"/>
      <c r="V74" s="14737"/>
      <c r="W74" s="14739"/>
      <c r="X74" s="14592"/>
      <c r="Y74" s="14592"/>
      <c r="Z74" s="14592"/>
      <c r="AA74" s="14704"/>
      <c r="AB74" s="7031"/>
      <c r="AC74" s="7032"/>
      <c r="AD74" s="14618"/>
      <c r="AE74" s="7044"/>
      <c r="AF74" s="7016"/>
      <c r="AG74" s="7016"/>
      <c r="AH74" s="7017"/>
      <c r="AI74" s="7017"/>
      <c r="AJ74" s="7017"/>
      <c r="AK74" s="7017"/>
      <c r="AL74" s="7016"/>
      <c r="AM74" s="6988"/>
      <c r="AN74" s="6988"/>
      <c r="AO74" s="6988"/>
      <c r="AP74" s="6988"/>
      <c r="AQ74" s="6988"/>
      <c r="AR74" s="6988"/>
      <c r="AS74" s="6988"/>
      <c r="AT74" s="6988"/>
      <c r="AU74" s="6988"/>
      <c r="AV74" s="6988"/>
      <c r="AW74" s="6988"/>
      <c r="AX74" s="6988"/>
      <c r="AY74" s="6988"/>
      <c r="AZ74" s="6988"/>
      <c r="BA74" s="6988"/>
      <c r="BB74" s="6988"/>
      <c r="BC74" s="6988"/>
      <c r="BD74" s="6988"/>
      <c r="BE74" s="6988"/>
      <c r="BF74" s="6988"/>
      <c r="BG74" s="6988"/>
      <c r="BH74" s="6988"/>
      <c r="BI74" s="6988"/>
      <c r="BJ74" s="6988"/>
      <c r="BK74" s="6988"/>
      <c r="BL74" s="6988"/>
      <c r="BM74" s="6988"/>
      <c r="BN74" s="6988"/>
      <c r="BO74" s="6988"/>
      <c r="BP74" s="6988"/>
      <c r="BQ74" s="6988"/>
      <c r="BR74" s="6988"/>
      <c r="BS74" s="6988"/>
      <c r="BT74" s="6988"/>
      <c r="BU74" s="6987"/>
      <c r="BW74" s="7012"/>
      <c r="BX74" s="7013"/>
      <c r="BY74" s="14757"/>
      <c r="BZ74" s="6980"/>
      <c r="CA74" s="6980"/>
      <c r="CB74" s="6981"/>
      <c r="CC74" s="6982"/>
      <c r="CD74" s="6983"/>
      <c r="CE74" s="6980"/>
      <c r="CF74" s="6981"/>
      <c r="CG74" s="6982"/>
      <c r="CH74" s="6983"/>
      <c r="CI74" s="6981"/>
      <c r="CJ74" s="6983"/>
      <c r="CK74" s="6981"/>
      <c r="CL74" s="6983"/>
      <c r="CM74" s="6980"/>
      <c r="CN74" s="6980"/>
      <c r="CO74" s="6980"/>
      <c r="CP74" s="6980"/>
      <c r="CQ74" s="6980"/>
      <c r="CR74" s="6981"/>
      <c r="CS74" s="6983"/>
      <c r="CT74" s="6980"/>
      <c r="CU74" s="6980"/>
      <c r="CV74" s="6980"/>
      <c r="CW74" s="6980"/>
      <c r="CX74" s="6980"/>
      <c r="CY74" s="6980"/>
      <c r="CZ74" s="6981"/>
      <c r="DA74" s="6983"/>
      <c r="DB74" s="6980"/>
      <c r="DC74" s="6980"/>
      <c r="DD74" s="6980"/>
      <c r="DE74" s="6980"/>
      <c r="DF74" s="6981"/>
      <c r="DG74" s="6982"/>
      <c r="DH74" s="6982"/>
      <c r="DI74" s="6982"/>
      <c r="DJ74" s="6982"/>
      <c r="DK74" s="6982"/>
      <c r="DL74" s="6983"/>
      <c r="DM74" s="6980"/>
      <c r="DN74" s="6980"/>
      <c r="DO74" s="6980"/>
      <c r="DP74" s="6981"/>
    </row>
    <row r="75" spans="1:120" s="6964" customFormat="1" ht="15" customHeight="1">
      <c r="A75" s="14653"/>
      <c r="B75" s="14656"/>
      <c r="C75" s="14582"/>
      <c r="D75" s="14585"/>
      <c r="E75" s="14621"/>
      <c r="F75" s="14625"/>
      <c r="G75" s="14592"/>
      <c r="H75" s="14592"/>
      <c r="I75" s="14630"/>
      <c r="J75" s="14708"/>
      <c r="K75" s="14707"/>
      <c r="L75" s="14706"/>
      <c r="M75" s="14707"/>
      <c r="N75" s="14707"/>
      <c r="O75" s="14707"/>
      <c r="P75" s="14707"/>
      <c r="Q75" s="6971" t="s">
        <v>10188</v>
      </c>
      <c r="R75" s="6972"/>
      <c r="S75" s="6972" t="s">
        <v>10175</v>
      </c>
      <c r="T75" s="14707"/>
      <c r="U75" s="14707"/>
      <c r="V75" s="14737"/>
      <c r="W75" s="14739"/>
      <c r="X75" s="14592"/>
      <c r="Y75" s="14592"/>
      <c r="Z75" s="14592"/>
      <c r="AA75" s="14704"/>
      <c r="AB75" s="7031"/>
      <c r="AC75" s="7032"/>
      <c r="AD75" s="14618"/>
      <c r="AE75" s="7044"/>
      <c r="AF75" s="7016"/>
      <c r="AG75" s="7016"/>
      <c r="AH75" s="7017"/>
      <c r="AI75" s="7017"/>
      <c r="AJ75" s="7017"/>
      <c r="AK75" s="7017"/>
      <c r="AL75" s="7016"/>
      <c r="AM75" s="6988"/>
      <c r="AN75" s="6988"/>
      <c r="AO75" s="6988"/>
      <c r="AP75" s="6988"/>
      <c r="AQ75" s="6988"/>
      <c r="AR75" s="6988"/>
      <c r="AS75" s="6988"/>
      <c r="AT75" s="6988"/>
      <c r="AU75" s="6988"/>
      <c r="AV75" s="6988"/>
      <c r="AW75" s="6988"/>
      <c r="AX75" s="6988"/>
      <c r="AY75" s="6988"/>
      <c r="AZ75" s="6988"/>
      <c r="BA75" s="6988"/>
      <c r="BB75" s="6988"/>
      <c r="BC75" s="6988"/>
      <c r="BD75" s="6988"/>
      <c r="BE75" s="6988"/>
      <c r="BF75" s="6988"/>
      <c r="BG75" s="6988"/>
      <c r="BH75" s="6988"/>
      <c r="BI75" s="6988"/>
      <c r="BJ75" s="6988"/>
      <c r="BK75" s="6988"/>
      <c r="BL75" s="6988"/>
      <c r="BM75" s="6988"/>
      <c r="BN75" s="6988"/>
      <c r="BO75" s="6988"/>
      <c r="BP75" s="6988"/>
      <c r="BQ75" s="6988"/>
      <c r="BR75" s="6988"/>
      <c r="BS75" s="6988"/>
      <c r="BT75" s="6988"/>
      <c r="BU75" s="6987"/>
      <c r="BW75" s="7012"/>
      <c r="BX75" s="7013"/>
      <c r="BY75" s="14757"/>
      <c r="BZ75" s="6980"/>
      <c r="CA75" s="6980"/>
      <c r="CB75" s="6981"/>
      <c r="CC75" s="6982"/>
      <c r="CD75" s="6983"/>
      <c r="CE75" s="6980"/>
      <c r="CF75" s="6981"/>
      <c r="CG75" s="6982"/>
      <c r="CH75" s="6983"/>
      <c r="CI75" s="6981"/>
      <c r="CJ75" s="6983"/>
      <c r="CK75" s="6981"/>
      <c r="CL75" s="6983"/>
      <c r="CM75" s="6980"/>
      <c r="CN75" s="6980"/>
      <c r="CO75" s="6980"/>
      <c r="CP75" s="6980"/>
      <c r="CQ75" s="6980"/>
      <c r="CR75" s="6981"/>
      <c r="CS75" s="6983"/>
      <c r="CT75" s="6980"/>
      <c r="CU75" s="6980"/>
      <c r="CV75" s="6980"/>
      <c r="CW75" s="6980"/>
      <c r="CX75" s="6980"/>
      <c r="CY75" s="6980"/>
      <c r="CZ75" s="6981"/>
      <c r="DA75" s="6983"/>
      <c r="DB75" s="6980"/>
      <c r="DC75" s="6980"/>
      <c r="DD75" s="6980"/>
      <c r="DE75" s="6980"/>
      <c r="DF75" s="6981"/>
      <c r="DG75" s="6982"/>
      <c r="DH75" s="6982"/>
      <c r="DI75" s="6982"/>
      <c r="DJ75" s="6982"/>
      <c r="DK75" s="6982"/>
      <c r="DL75" s="6983"/>
      <c r="DM75" s="6980"/>
      <c r="DN75" s="6980"/>
      <c r="DO75" s="6980"/>
      <c r="DP75" s="6981"/>
    </row>
    <row r="76" spans="1:120" s="6964" customFormat="1" ht="15" customHeight="1">
      <c r="A76" s="14653"/>
      <c r="B76" s="14656"/>
      <c r="C76" s="14582"/>
      <c r="D76" s="14585"/>
      <c r="E76" s="14621"/>
      <c r="F76" s="14625"/>
      <c r="G76" s="14592"/>
      <c r="H76" s="14592"/>
      <c r="I76" s="14630"/>
      <c r="J76" s="14708"/>
      <c r="K76" s="14707"/>
      <c r="L76" s="14706"/>
      <c r="M76" s="14707"/>
      <c r="N76" s="14707"/>
      <c r="O76" s="14707"/>
      <c r="P76" s="14707"/>
      <c r="Q76" s="6971" t="s">
        <v>2859</v>
      </c>
      <c r="R76" s="6972"/>
      <c r="S76" s="6972" t="s">
        <v>1514</v>
      </c>
      <c r="T76" s="14707"/>
      <c r="U76" s="14707"/>
      <c r="V76" s="14737"/>
      <c r="W76" s="14739"/>
      <c r="X76" s="14592"/>
      <c r="Y76" s="14592"/>
      <c r="Z76" s="14592"/>
      <c r="AA76" s="14704"/>
      <c r="AB76" s="7031"/>
      <c r="AC76" s="7032"/>
      <c r="AD76" s="14618"/>
      <c r="AE76" s="7044"/>
      <c r="AF76" s="7016"/>
      <c r="AG76" s="7016"/>
      <c r="AH76" s="7017"/>
      <c r="AI76" s="7017"/>
      <c r="AJ76" s="7017"/>
      <c r="AK76" s="7017"/>
      <c r="AL76" s="7016"/>
      <c r="AM76" s="6988"/>
      <c r="AN76" s="6988"/>
      <c r="AO76" s="6988"/>
      <c r="AP76" s="6988"/>
      <c r="AQ76" s="6988"/>
      <c r="AR76" s="6988"/>
      <c r="AS76" s="6988"/>
      <c r="AT76" s="6988"/>
      <c r="AU76" s="6988"/>
      <c r="AV76" s="6988"/>
      <c r="AW76" s="6988"/>
      <c r="AX76" s="6988"/>
      <c r="AY76" s="6988"/>
      <c r="AZ76" s="6988"/>
      <c r="BA76" s="6988"/>
      <c r="BB76" s="6988"/>
      <c r="BC76" s="6988"/>
      <c r="BD76" s="6988"/>
      <c r="BE76" s="6988"/>
      <c r="BF76" s="6988"/>
      <c r="BG76" s="6988"/>
      <c r="BH76" s="6988"/>
      <c r="BI76" s="6988"/>
      <c r="BJ76" s="6988"/>
      <c r="BK76" s="6988"/>
      <c r="BL76" s="6988"/>
      <c r="BM76" s="6988"/>
      <c r="BN76" s="6988"/>
      <c r="BO76" s="6988"/>
      <c r="BP76" s="6988"/>
      <c r="BQ76" s="6988"/>
      <c r="BR76" s="6988"/>
      <c r="BS76" s="6988"/>
      <c r="BT76" s="6988"/>
      <c r="BU76" s="6987"/>
      <c r="BW76" s="7012"/>
      <c r="BX76" s="7013"/>
      <c r="BY76" s="14757"/>
      <c r="BZ76" s="6980"/>
      <c r="CA76" s="6980"/>
      <c r="CB76" s="6981"/>
      <c r="CC76" s="6982"/>
      <c r="CD76" s="6983"/>
      <c r="CE76" s="6980"/>
      <c r="CF76" s="6981"/>
      <c r="CG76" s="6982"/>
      <c r="CH76" s="6983"/>
      <c r="CI76" s="6981"/>
      <c r="CJ76" s="6983"/>
      <c r="CK76" s="6981"/>
      <c r="CL76" s="6983"/>
      <c r="CM76" s="6980"/>
      <c r="CN76" s="6980"/>
      <c r="CO76" s="6980"/>
      <c r="CP76" s="6980"/>
      <c r="CQ76" s="6980"/>
      <c r="CR76" s="6981"/>
      <c r="CS76" s="6983"/>
      <c r="CT76" s="6980"/>
      <c r="CU76" s="6980"/>
      <c r="CV76" s="6980"/>
      <c r="CW76" s="6980"/>
      <c r="CX76" s="6980"/>
      <c r="CY76" s="6980"/>
      <c r="CZ76" s="6981"/>
      <c r="DA76" s="6983"/>
      <c r="DB76" s="6980"/>
      <c r="DC76" s="6980"/>
      <c r="DD76" s="6980"/>
      <c r="DE76" s="6980"/>
      <c r="DF76" s="6981"/>
      <c r="DG76" s="6982"/>
      <c r="DH76" s="6982"/>
      <c r="DI76" s="6982"/>
      <c r="DJ76" s="6982"/>
      <c r="DK76" s="6982"/>
      <c r="DL76" s="6983"/>
      <c r="DM76" s="6980"/>
      <c r="DN76" s="6980"/>
      <c r="DO76" s="6980"/>
      <c r="DP76" s="6981"/>
    </row>
    <row r="77" spans="1:120" s="6964" customFormat="1" ht="15" customHeight="1">
      <c r="A77" s="14653"/>
      <c r="B77" s="14656"/>
      <c r="C77" s="14582"/>
      <c r="D77" s="14585"/>
      <c r="E77" s="14621"/>
      <c r="F77" s="14625"/>
      <c r="G77" s="14592"/>
      <c r="H77" s="14592"/>
      <c r="I77" s="14630"/>
      <c r="J77" s="14708"/>
      <c r="K77" s="14707"/>
      <c r="L77" s="14706"/>
      <c r="M77" s="14707"/>
      <c r="N77" s="14707"/>
      <c r="O77" s="14707"/>
      <c r="P77" s="14707"/>
      <c r="Q77" s="6971" t="s">
        <v>10184</v>
      </c>
      <c r="R77" s="6972"/>
      <c r="S77" s="6972" t="s">
        <v>10176</v>
      </c>
      <c r="T77" s="14707"/>
      <c r="U77" s="14707"/>
      <c r="V77" s="14737"/>
      <c r="W77" s="14740"/>
      <c r="X77" s="14593"/>
      <c r="Y77" s="14593"/>
      <c r="Z77" s="14593"/>
      <c r="AA77" s="14705"/>
      <c r="AB77" s="7014"/>
      <c r="AC77" s="7015"/>
      <c r="AD77" s="14618"/>
      <c r="AE77" s="7044"/>
      <c r="AF77" s="7016"/>
      <c r="AG77" s="7016"/>
      <c r="AH77" s="7017"/>
      <c r="AI77" s="7017"/>
      <c r="AJ77" s="7017"/>
      <c r="AK77" s="7017"/>
      <c r="AL77" s="7016"/>
      <c r="AM77" s="6988"/>
      <c r="AN77" s="6988"/>
      <c r="AO77" s="6988"/>
      <c r="AP77" s="6988"/>
      <c r="AQ77" s="6988"/>
      <c r="AR77" s="6988"/>
      <c r="AS77" s="6988"/>
      <c r="AT77" s="6988"/>
      <c r="AU77" s="6988"/>
      <c r="AV77" s="6988"/>
      <c r="AW77" s="6988"/>
      <c r="AX77" s="6988"/>
      <c r="AY77" s="6988"/>
      <c r="AZ77" s="6988"/>
      <c r="BA77" s="6988"/>
      <c r="BB77" s="6988"/>
      <c r="BC77" s="6988"/>
      <c r="BD77" s="6988"/>
      <c r="BE77" s="6988"/>
      <c r="BF77" s="6988"/>
      <c r="BG77" s="6988"/>
      <c r="BH77" s="6988"/>
      <c r="BI77" s="6988"/>
      <c r="BJ77" s="6988"/>
      <c r="BK77" s="6988"/>
      <c r="BL77" s="6988"/>
      <c r="BM77" s="6988"/>
      <c r="BN77" s="6988"/>
      <c r="BO77" s="6988"/>
      <c r="BP77" s="6988"/>
      <c r="BQ77" s="6988"/>
      <c r="BR77" s="6988"/>
      <c r="BS77" s="6988"/>
      <c r="BT77" s="6988"/>
      <c r="BU77" s="6987"/>
      <c r="BW77" s="7012"/>
      <c r="BX77" s="7013"/>
      <c r="BY77" s="14757"/>
      <c r="BZ77" s="6980"/>
      <c r="CA77" s="6980"/>
      <c r="CB77" s="6981"/>
      <c r="CC77" s="6982"/>
      <c r="CD77" s="6983"/>
      <c r="CE77" s="6980"/>
      <c r="CF77" s="6981"/>
      <c r="CG77" s="6982"/>
      <c r="CH77" s="6983"/>
      <c r="CI77" s="6981"/>
      <c r="CJ77" s="6983"/>
      <c r="CK77" s="6981"/>
      <c r="CL77" s="6983"/>
      <c r="CM77" s="6980"/>
      <c r="CN77" s="6980"/>
      <c r="CO77" s="6980"/>
      <c r="CP77" s="6980"/>
      <c r="CQ77" s="6980"/>
      <c r="CR77" s="6981"/>
      <c r="CS77" s="6983"/>
      <c r="CT77" s="6980"/>
      <c r="CU77" s="6980"/>
      <c r="CV77" s="6980"/>
      <c r="CW77" s="6980"/>
      <c r="CX77" s="6980"/>
      <c r="CY77" s="6980"/>
      <c r="CZ77" s="6981"/>
      <c r="DA77" s="6983"/>
      <c r="DB77" s="6980"/>
      <c r="DC77" s="6980"/>
      <c r="DD77" s="6980"/>
      <c r="DE77" s="6980"/>
      <c r="DF77" s="6981"/>
      <c r="DG77" s="6982"/>
      <c r="DH77" s="6982"/>
      <c r="DI77" s="6982"/>
      <c r="DJ77" s="6982"/>
      <c r="DK77" s="6982"/>
      <c r="DL77" s="6983"/>
      <c r="DM77" s="6980"/>
      <c r="DN77" s="6980"/>
      <c r="DO77" s="6980"/>
      <c r="DP77" s="6981"/>
    </row>
    <row r="78" spans="1:120" s="6964" customFormat="1" ht="15" customHeight="1">
      <c r="A78" s="14653"/>
      <c r="B78" s="14656"/>
      <c r="C78" s="14582"/>
      <c r="D78" s="14585"/>
      <c r="E78" s="14621"/>
      <c r="F78" s="14625"/>
      <c r="G78" s="14592"/>
      <c r="H78" s="14592"/>
      <c r="I78" s="14630"/>
      <c r="J78" s="6993" t="s">
        <v>7557</v>
      </c>
      <c r="K78" s="6994" t="s">
        <v>4824</v>
      </c>
      <c r="L78" s="6995" t="s">
        <v>4654</v>
      </c>
      <c r="M78" s="6996" t="s">
        <v>4825</v>
      </c>
      <c r="N78" s="6994" t="s">
        <v>4705</v>
      </c>
      <c r="O78" s="6996" t="s">
        <v>4826</v>
      </c>
      <c r="P78" s="6994" t="s">
        <v>4827</v>
      </c>
      <c r="Q78" s="6971" t="s">
        <v>10066</v>
      </c>
      <c r="R78" s="6972" t="s">
        <v>298</v>
      </c>
      <c r="S78" s="6972"/>
      <c r="T78" s="6972" t="s">
        <v>4660</v>
      </c>
      <c r="U78" s="7051">
        <v>1</v>
      </c>
      <c r="V78" s="7052">
        <v>1</v>
      </c>
      <c r="W78" s="7053">
        <v>1</v>
      </c>
      <c r="X78" s="7054">
        <v>1</v>
      </c>
      <c r="Y78" s="7054">
        <v>1</v>
      </c>
      <c r="Z78" s="7054">
        <f t="shared" si="0"/>
        <v>5</v>
      </c>
      <c r="AA78" s="7002">
        <v>30000000</v>
      </c>
      <c r="AB78" s="7006">
        <v>2</v>
      </c>
      <c r="AC78" s="7018">
        <f>IF((AB78/U78)&gt;=1,100%)</f>
        <v>1</v>
      </c>
      <c r="AD78" s="14618"/>
      <c r="AE78" s="7040" t="s">
        <v>9222</v>
      </c>
      <c r="AF78" s="7007" t="s">
        <v>4112</v>
      </c>
      <c r="AG78" s="7007"/>
      <c r="AH78" s="7006">
        <v>0</v>
      </c>
      <c r="AI78" s="7006"/>
      <c r="AJ78" s="7006"/>
      <c r="AK78" s="7006"/>
      <c r="AL78" s="7006">
        <v>41</v>
      </c>
      <c r="AM78" s="7007"/>
      <c r="AN78" s="7007"/>
      <c r="AO78" s="6985"/>
      <c r="AP78" s="6985"/>
      <c r="AQ78" s="6985"/>
      <c r="AR78" s="6985"/>
      <c r="AS78" s="6985"/>
      <c r="AT78" s="6985"/>
      <c r="AU78" s="6985"/>
      <c r="AV78" s="6985"/>
      <c r="AW78" s="6985"/>
      <c r="AX78" s="6985"/>
      <c r="AY78" s="6985"/>
      <c r="AZ78" s="6985"/>
      <c r="BA78" s="6985"/>
      <c r="BB78" s="6985"/>
      <c r="BC78" s="6985"/>
      <c r="BD78" s="6985"/>
      <c r="BE78" s="6985"/>
      <c r="BF78" s="6985"/>
      <c r="BG78" s="6985"/>
      <c r="BH78" s="6985"/>
      <c r="BI78" s="6985"/>
      <c r="BJ78" s="6985"/>
      <c r="BK78" s="6985"/>
      <c r="BL78" s="6985"/>
      <c r="BM78" s="6985"/>
      <c r="BN78" s="6985"/>
      <c r="BO78" s="6985"/>
      <c r="BP78" s="6985"/>
      <c r="BQ78" s="6985"/>
      <c r="BR78" s="6985"/>
      <c r="BS78" s="6985"/>
      <c r="BT78" s="6985"/>
      <c r="BU78" s="6987"/>
      <c r="BW78" s="7028"/>
      <c r="BX78" s="7023"/>
      <c r="BY78" s="14757"/>
      <c r="BZ78" s="6980"/>
      <c r="CA78" s="6980"/>
      <c r="CB78" s="6981"/>
      <c r="CC78" s="6982"/>
      <c r="CD78" s="6983"/>
      <c r="CE78" s="6980"/>
      <c r="CF78" s="6981"/>
      <c r="CG78" s="6982"/>
      <c r="CH78" s="6983"/>
      <c r="CI78" s="6981"/>
      <c r="CJ78" s="6983"/>
      <c r="CK78" s="6981"/>
      <c r="CL78" s="6983"/>
      <c r="CM78" s="6980"/>
      <c r="CN78" s="6980"/>
      <c r="CO78" s="6980"/>
      <c r="CP78" s="6980"/>
      <c r="CQ78" s="6980"/>
      <c r="CR78" s="6981"/>
      <c r="CS78" s="6983"/>
      <c r="CT78" s="6980"/>
      <c r="CU78" s="6980"/>
      <c r="CV78" s="6980"/>
      <c r="CW78" s="6980"/>
      <c r="CX78" s="6980"/>
      <c r="CY78" s="6980"/>
      <c r="CZ78" s="6981"/>
      <c r="DA78" s="6983"/>
      <c r="DB78" s="6980"/>
      <c r="DC78" s="6980"/>
      <c r="DD78" s="6980"/>
      <c r="DE78" s="6980"/>
      <c r="DF78" s="6981"/>
      <c r="DG78" s="6982"/>
      <c r="DH78" s="6982"/>
      <c r="DI78" s="6982"/>
      <c r="DJ78" s="6982"/>
      <c r="DK78" s="6982"/>
      <c r="DL78" s="6983"/>
      <c r="DM78" s="6980"/>
      <c r="DN78" s="6980"/>
      <c r="DO78" s="6980"/>
      <c r="DP78" s="6981"/>
    </row>
    <row r="79" spans="1:120" s="6964" customFormat="1" ht="15" customHeight="1">
      <c r="A79" s="14653"/>
      <c r="B79" s="14656"/>
      <c r="C79" s="14582"/>
      <c r="D79" s="14585"/>
      <c r="E79" s="14621"/>
      <c r="F79" s="14625"/>
      <c r="G79" s="14592"/>
      <c r="H79" s="14592"/>
      <c r="I79" s="14630"/>
      <c r="J79" s="14708" t="s">
        <v>7558</v>
      </c>
      <c r="K79" s="14707" t="s">
        <v>4828</v>
      </c>
      <c r="L79" s="14706" t="s">
        <v>4654</v>
      </c>
      <c r="M79" s="14707" t="s">
        <v>4829</v>
      </c>
      <c r="N79" s="14707" t="s">
        <v>4705</v>
      </c>
      <c r="O79" s="14707" t="s">
        <v>4830</v>
      </c>
      <c r="P79" s="14707" t="s">
        <v>4831</v>
      </c>
      <c r="Q79" s="6971" t="s">
        <v>26</v>
      </c>
      <c r="R79" s="6972" t="s">
        <v>390</v>
      </c>
      <c r="S79" s="6972"/>
      <c r="T79" s="14707" t="s">
        <v>4832</v>
      </c>
      <c r="U79" s="14707">
        <v>1</v>
      </c>
      <c r="V79" s="14737">
        <v>1</v>
      </c>
      <c r="W79" s="14738">
        <v>1</v>
      </c>
      <c r="X79" s="14741">
        <v>1</v>
      </c>
      <c r="Y79" s="14741">
        <v>1</v>
      </c>
      <c r="Z79" s="14741">
        <f t="shared" si="0"/>
        <v>5</v>
      </c>
      <c r="AA79" s="14716">
        <v>100000000</v>
      </c>
      <c r="AB79" s="7010">
        <v>1</v>
      </c>
      <c r="AC79" s="7011">
        <f>AB79/U79</f>
        <v>1</v>
      </c>
      <c r="AD79" s="14618"/>
      <c r="AE79" s="7040" t="s">
        <v>9247</v>
      </c>
      <c r="AF79" s="7007" t="s">
        <v>9248</v>
      </c>
      <c r="AG79" s="7007" t="s">
        <v>9249</v>
      </c>
      <c r="AH79" s="7006" t="s">
        <v>9854</v>
      </c>
      <c r="AI79" s="7006"/>
      <c r="AJ79" s="7006"/>
      <c r="AK79" s="7006"/>
      <c r="AL79" s="7006">
        <f>1282+304723</f>
        <v>306005</v>
      </c>
      <c r="AM79" s="6986">
        <v>814</v>
      </c>
      <c r="AN79" s="6986">
        <v>468</v>
      </c>
      <c r="AO79" s="6986"/>
      <c r="AP79" s="6986"/>
      <c r="AQ79" s="6986">
        <v>36</v>
      </c>
      <c r="AR79" s="6986">
        <v>169</v>
      </c>
      <c r="AS79" s="6986">
        <v>91</v>
      </c>
      <c r="AT79" s="6986">
        <v>124</v>
      </c>
      <c r="AU79" s="6986">
        <v>291</v>
      </c>
      <c r="AV79" s="6986">
        <v>402</v>
      </c>
      <c r="AW79" s="6986">
        <v>169</v>
      </c>
      <c r="AX79" s="6986">
        <f>+AL79-AZ79</f>
        <v>305984</v>
      </c>
      <c r="AY79" s="6986">
        <v>0</v>
      </c>
      <c r="AZ79" s="6986">
        <v>21</v>
      </c>
      <c r="BA79" s="6986">
        <v>0</v>
      </c>
      <c r="BB79" s="6986">
        <v>0</v>
      </c>
      <c r="BC79" s="6986">
        <v>0</v>
      </c>
      <c r="BD79" s="6986">
        <v>0</v>
      </c>
      <c r="BE79" s="6986">
        <v>0</v>
      </c>
      <c r="BF79" s="6986">
        <v>0</v>
      </c>
      <c r="BG79" s="6986">
        <v>0</v>
      </c>
      <c r="BH79" s="6986">
        <v>0</v>
      </c>
      <c r="BI79" s="6986">
        <v>0</v>
      </c>
      <c r="BJ79" s="6986">
        <v>0</v>
      </c>
      <c r="BK79" s="6986">
        <v>0</v>
      </c>
      <c r="BL79" s="6985"/>
      <c r="BM79" s="6985"/>
      <c r="BN79" s="6985"/>
      <c r="BO79" s="6985"/>
      <c r="BP79" s="6985"/>
      <c r="BQ79" s="6985"/>
      <c r="BR79" s="6985"/>
      <c r="BS79" s="6985"/>
      <c r="BT79" s="6985"/>
      <c r="BU79" s="6987"/>
      <c r="BW79" s="7012"/>
      <c r="BX79" s="7013"/>
      <c r="BY79" s="14757"/>
      <c r="BZ79" s="6980"/>
      <c r="CA79" s="6980"/>
      <c r="CB79" s="6981"/>
      <c r="CC79" s="6982"/>
      <c r="CD79" s="6983"/>
      <c r="CE79" s="6980"/>
      <c r="CF79" s="6981"/>
      <c r="CG79" s="6982"/>
      <c r="CH79" s="6983"/>
      <c r="CI79" s="6981"/>
      <c r="CJ79" s="6983"/>
      <c r="CK79" s="6981"/>
      <c r="CL79" s="6983"/>
      <c r="CM79" s="6980"/>
      <c r="CN79" s="6980"/>
      <c r="CO79" s="6980"/>
      <c r="CP79" s="6980"/>
      <c r="CQ79" s="6980"/>
      <c r="CR79" s="6981"/>
      <c r="CS79" s="6983"/>
      <c r="CT79" s="6980"/>
      <c r="CU79" s="6980"/>
      <c r="CV79" s="6980"/>
      <c r="CW79" s="6980"/>
      <c r="CX79" s="6980"/>
      <c r="CY79" s="6980"/>
      <c r="CZ79" s="6981"/>
      <c r="DA79" s="6983"/>
      <c r="DB79" s="6980"/>
      <c r="DC79" s="6980"/>
      <c r="DD79" s="6980"/>
      <c r="DE79" s="6980"/>
      <c r="DF79" s="6981"/>
      <c r="DG79" s="6982"/>
      <c r="DH79" s="6982"/>
      <c r="DI79" s="6982"/>
      <c r="DJ79" s="6982"/>
      <c r="DK79" s="6982"/>
      <c r="DL79" s="6983"/>
      <c r="DM79" s="6980"/>
      <c r="DN79" s="6980"/>
      <c r="DO79" s="6980"/>
      <c r="DP79" s="6981"/>
    </row>
    <row r="80" spans="1:120" s="6964" customFormat="1" ht="15" customHeight="1">
      <c r="A80" s="14653"/>
      <c r="B80" s="14656"/>
      <c r="C80" s="14582"/>
      <c r="D80" s="14585"/>
      <c r="E80" s="14621"/>
      <c r="F80" s="14625"/>
      <c r="G80" s="14592"/>
      <c r="H80" s="14592"/>
      <c r="I80" s="14630"/>
      <c r="J80" s="14708"/>
      <c r="K80" s="14707"/>
      <c r="L80" s="14706"/>
      <c r="M80" s="14707"/>
      <c r="N80" s="14707"/>
      <c r="O80" s="14707"/>
      <c r="P80" s="14707"/>
      <c r="Q80" s="6971" t="s">
        <v>477</v>
      </c>
      <c r="R80" s="6972"/>
      <c r="S80" s="6972" t="s">
        <v>477</v>
      </c>
      <c r="T80" s="14707"/>
      <c r="U80" s="14707"/>
      <c r="V80" s="14737"/>
      <c r="W80" s="14739"/>
      <c r="X80" s="14592"/>
      <c r="Y80" s="14592"/>
      <c r="Z80" s="14592"/>
      <c r="AA80" s="14704"/>
      <c r="AB80" s="7031"/>
      <c r="AC80" s="7032"/>
      <c r="AD80" s="14618"/>
      <c r="AE80" s="7055"/>
      <c r="AF80" s="7038"/>
      <c r="AG80" s="7038"/>
      <c r="AH80" s="7039"/>
      <c r="AI80" s="7039"/>
      <c r="AJ80" s="7039"/>
      <c r="AK80" s="7039"/>
      <c r="AL80" s="7039"/>
      <c r="AM80" s="7056"/>
      <c r="AN80" s="7056"/>
      <c r="AO80" s="7056"/>
      <c r="AP80" s="7056"/>
      <c r="AQ80" s="7056"/>
      <c r="AR80" s="7056"/>
      <c r="AS80" s="7056"/>
      <c r="AT80" s="7056"/>
      <c r="AU80" s="7056"/>
      <c r="AV80" s="7056"/>
      <c r="AW80" s="7056"/>
      <c r="AX80" s="7056"/>
      <c r="AY80" s="7056"/>
      <c r="AZ80" s="7056"/>
      <c r="BA80" s="7056"/>
      <c r="BB80" s="7056"/>
      <c r="BC80" s="7056"/>
      <c r="BD80" s="7056"/>
      <c r="BE80" s="7056"/>
      <c r="BF80" s="7056"/>
      <c r="BG80" s="7056"/>
      <c r="BH80" s="7056"/>
      <c r="BI80" s="7056"/>
      <c r="BJ80" s="7056"/>
      <c r="BK80" s="7056"/>
      <c r="BL80" s="7057"/>
      <c r="BM80" s="7057"/>
      <c r="BN80" s="7057"/>
      <c r="BO80" s="7057"/>
      <c r="BP80" s="7057"/>
      <c r="BQ80" s="7057"/>
      <c r="BR80" s="7057"/>
      <c r="BS80" s="7057"/>
      <c r="BT80" s="7057"/>
      <c r="BU80" s="7058"/>
      <c r="BW80" s="7012"/>
      <c r="BX80" s="7013"/>
      <c r="BY80" s="14757"/>
      <c r="BZ80" s="6980"/>
      <c r="CA80" s="6980"/>
      <c r="CB80" s="6981"/>
      <c r="CC80" s="6982"/>
      <c r="CD80" s="6983"/>
      <c r="CE80" s="6980"/>
      <c r="CF80" s="6981"/>
      <c r="CG80" s="6982"/>
      <c r="CH80" s="6983"/>
      <c r="CI80" s="6981"/>
      <c r="CJ80" s="6983"/>
      <c r="CK80" s="6981"/>
      <c r="CL80" s="6983"/>
      <c r="CM80" s="6980"/>
      <c r="CN80" s="6980"/>
      <c r="CO80" s="6980"/>
      <c r="CP80" s="6980"/>
      <c r="CQ80" s="6980"/>
      <c r="CR80" s="6981"/>
      <c r="CS80" s="6983"/>
      <c r="CT80" s="6980"/>
      <c r="CU80" s="6980"/>
      <c r="CV80" s="6980"/>
      <c r="CW80" s="6980"/>
      <c r="CX80" s="6980"/>
      <c r="CY80" s="6980"/>
      <c r="CZ80" s="6981"/>
      <c r="DA80" s="6983"/>
      <c r="DB80" s="6980"/>
      <c r="DC80" s="6980"/>
      <c r="DD80" s="6980"/>
      <c r="DE80" s="6980"/>
      <c r="DF80" s="6981"/>
      <c r="DG80" s="6982"/>
      <c r="DH80" s="6982"/>
      <c r="DI80" s="6982"/>
      <c r="DJ80" s="6982"/>
      <c r="DK80" s="6982"/>
      <c r="DL80" s="6983"/>
      <c r="DM80" s="6980"/>
      <c r="DN80" s="6980"/>
      <c r="DO80" s="6980"/>
      <c r="DP80" s="6981"/>
    </row>
    <row r="81" spans="1:120" s="6964" customFormat="1" ht="15" customHeight="1">
      <c r="A81" s="14653"/>
      <c r="B81" s="14656"/>
      <c r="C81" s="14582"/>
      <c r="D81" s="14585"/>
      <c r="E81" s="14621"/>
      <c r="F81" s="14625"/>
      <c r="G81" s="14592"/>
      <c r="H81" s="14592"/>
      <c r="I81" s="14630"/>
      <c r="J81" s="14708"/>
      <c r="K81" s="14707"/>
      <c r="L81" s="14706"/>
      <c r="M81" s="14707"/>
      <c r="N81" s="14707"/>
      <c r="O81" s="14707"/>
      <c r="P81" s="14707"/>
      <c r="Q81" s="6971" t="s">
        <v>10188</v>
      </c>
      <c r="R81" s="6972"/>
      <c r="S81" s="6972" t="s">
        <v>10175</v>
      </c>
      <c r="T81" s="14707"/>
      <c r="U81" s="14707"/>
      <c r="V81" s="14737"/>
      <c r="W81" s="14739"/>
      <c r="X81" s="14592"/>
      <c r="Y81" s="14592"/>
      <c r="Z81" s="14592"/>
      <c r="AA81" s="14704"/>
      <c r="AB81" s="7031"/>
      <c r="AC81" s="7032"/>
      <c r="AD81" s="14618"/>
      <c r="AE81" s="7055"/>
      <c r="AF81" s="7038"/>
      <c r="AG81" s="7038"/>
      <c r="AH81" s="7039"/>
      <c r="AI81" s="7039"/>
      <c r="AJ81" s="7039"/>
      <c r="AK81" s="7039"/>
      <c r="AL81" s="7039"/>
      <c r="AM81" s="7056"/>
      <c r="AN81" s="7056"/>
      <c r="AO81" s="7056"/>
      <c r="AP81" s="7056"/>
      <c r="AQ81" s="7056"/>
      <c r="AR81" s="7056"/>
      <c r="AS81" s="7056"/>
      <c r="AT81" s="7056"/>
      <c r="AU81" s="7056"/>
      <c r="AV81" s="7056"/>
      <c r="AW81" s="7056"/>
      <c r="AX81" s="7056"/>
      <c r="AY81" s="7056"/>
      <c r="AZ81" s="7056"/>
      <c r="BA81" s="7056"/>
      <c r="BB81" s="7056"/>
      <c r="BC81" s="7056"/>
      <c r="BD81" s="7056"/>
      <c r="BE81" s="7056"/>
      <c r="BF81" s="7056"/>
      <c r="BG81" s="7056"/>
      <c r="BH81" s="7056"/>
      <c r="BI81" s="7056"/>
      <c r="BJ81" s="7056"/>
      <c r="BK81" s="7056"/>
      <c r="BL81" s="7057"/>
      <c r="BM81" s="7057"/>
      <c r="BN81" s="7057"/>
      <c r="BO81" s="7057"/>
      <c r="BP81" s="7057"/>
      <c r="BQ81" s="7057"/>
      <c r="BR81" s="7057"/>
      <c r="BS81" s="7057"/>
      <c r="BT81" s="7057"/>
      <c r="BU81" s="7058"/>
      <c r="BW81" s="7012"/>
      <c r="BX81" s="7013"/>
      <c r="BY81" s="14757"/>
      <c r="BZ81" s="6980"/>
      <c r="CA81" s="6980"/>
      <c r="CB81" s="6981"/>
      <c r="CC81" s="6982"/>
      <c r="CD81" s="6983"/>
      <c r="CE81" s="6980"/>
      <c r="CF81" s="6981"/>
      <c r="CG81" s="6982"/>
      <c r="CH81" s="6983"/>
      <c r="CI81" s="6981"/>
      <c r="CJ81" s="6983"/>
      <c r="CK81" s="6981"/>
      <c r="CL81" s="6983"/>
      <c r="CM81" s="6980"/>
      <c r="CN81" s="6980"/>
      <c r="CO81" s="6980"/>
      <c r="CP81" s="6980"/>
      <c r="CQ81" s="6980"/>
      <c r="CR81" s="6981"/>
      <c r="CS81" s="6983"/>
      <c r="CT81" s="6980"/>
      <c r="CU81" s="6980"/>
      <c r="CV81" s="6980"/>
      <c r="CW81" s="6980"/>
      <c r="CX81" s="6980"/>
      <c r="CY81" s="6980"/>
      <c r="CZ81" s="6981"/>
      <c r="DA81" s="6983"/>
      <c r="DB81" s="6980"/>
      <c r="DC81" s="6980"/>
      <c r="DD81" s="6980"/>
      <c r="DE81" s="6980"/>
      <c r="DF81" s="6981"/>
      <c r="DG81" s="6982"/>
      <c r="DH81" s="6982"/>
      <c r="DI81" s="6982"/>
      <c r="DJ81" s="6982"/>
      <c r="DK81" s="6982"/>
      <c r="DL81" s="6983"/>
      <c r="DM81" s="6980"/>
      <c r="DN81" s="6980"/>
      <c r="DO81" s="6980"/>
      <c r="DP81" s="6981"/>
    </row>
    <row r="82" spans="1:120" s="6964" customFormat="1" ht="15" customHeight="1">
      <c r="A82" s="14653"/>
      <c r="B82" s="14656"/>
      <c r="C82" s="14582"/>
      <c r="D82" s="14585"/>
      <c r="E82" s="14621"/>
      <c r="F82" s="14625"/>
      <c r="G82" s="14592"/>
      <c r="H82" s="14592"/>
      <c r="I82" s="14630"/>
      <c r="J82" s="14708"/>
      <c r="K82" s="14707"/>
      <c r="L82" s="14706"/>
      <c r="M82" s="14707"/>
      <c r="N82" s="14707"/>
      <c r="O82" s="14707"/>
      <c r="P82" s="14707"/>
      <c r="Q82" s="6971" t="s">
        <v>10177</v>
      </c>
      <c r="R82" s="6972"/>
      <c r="S82" s="6972" t="s">
        <v>10177</v>
      </c>
      <c r="T82" s="14707"/>
      <c r="U82" s="14707"/>
      <c r="V82" s="14737"/>
      <c r="W82" s="14739"/>
      <c r="X82" s="14592"/>
      <c r="Y82" s="14592"/>
      <c r="Z82" s="14592"/>
      <c r="AA82" s="14704"/>
      <c r="AB82" s="7031"/>
      <c r="AC82" s="7032"/>
      <c r="AD82" s="14618"/>
      <c r="AE82" s="7055"/>
      <c r="AF82" s="7038"/>
      <c r="AG82" s="7038"/>
      <c r="AH82" s="7039"/>
      <c r="AI82" s="7039"/>
      <c r="AJ82" s="7039"/>
      <c r="AK82" s="7039"/>
      <c r="AL82" s="7039"/>
      <c r="AM82" s="7056"/>
      <c r="AN82" s="7056"/>
      <c r="AO82" s="7056"/>
      <c r="AP82" s="7056"/>
      <c r="AQ82" s="7056"/>
      <c r="AR82" s="7056"/>
      <c r="AS82" s="7056"/>
      <c r="AT82" s="7056"/>
      <c r="AU82" s="7056"/>
      <c r="AV82" s="7056"/>
      <c r="AW82" s="7056"/>
      <c r="AX82" s="7056"/>
      <c r="AY82" s="7056"/>
      <c r="AZ82" s="7056"/>
      <c r="BA82" s="7056"/>
      <c r="BB82" s="7056"/>
      <c r="BC82" s="7056"/>
      <c r="BD82" s="7056"/>
      <c r="BE82" s="7056"/>
      <c r="BF82" s="7056"/>
      <c r="BG82" s="7056"/>
      <c r="BH82" s="7056"/>
      <c r="BI82" s="7056"/>
      <c r="BJ82" s="7056"/>
      <c r="BK82" s="7056"/>
      <c r="BL82" s="7057"/>
      <c r="BM82" s="7057"/>
      <c r="BN82" s="7057"/>
      <c r="BO82" s="7057"/>
      <c r="BP82" s="7057"/>
      <c r="BQ82" s="7057"/>
      <c r="BR82" s="7057"/>
      <c r="BS82" s="7057"/>
      <c r="BT82" s="7057"/>
      <c r="BU82" s="7058"/>
      <c r="BW82" s="7012"/>
      <c r="BX82" s="7013"/>
      <c r="BY82" s="14757"/>
      <c r="BZ82" s="6980"/>
      <c r="CA82" s="6980"/>
      <c r="CB82" s="6981"/>
      <c r="CC82" s="6982"/>
      <c r="CD82" s="6983"/>
      <c r="CE82" s="6980"/>
      <c r="CF82" s="6981"/>
      <c r="CG82" s="6982"/>
      <c r="CH82" s="6983"/>
      <c r="CI82" s="6981"/>
      <c r="CJ82" s="6983"/>
      <c r="CK82" s="6981"/>
      <c r="CL82" s="6983"/>
      <c r="CM82" s="6980"/>
      <c r="CN82" s="6980"/>
      <c r="CO82" s="6980"/>
      <c r="CP82" s="6980"/>
      <c r="CQ82" s="6980"/>
      <c r="CR82" s="6981"/>
      <c r="CS82" s="6983"/>
      <c r="CT82" s="6980"/>
      <c r="CU82" s="6980"/>
      <c r="CV82" s="6980"/>
      <c r="CW82" s="6980"/>
      <c r="CX82" s="6980"/>
      <c r="CY82" s="6980"/>
      <c r="CZ82" s="6981"/>
      <c r="DA82" s="6983"/>
      <c r="DB82" s="6980"/>
      <c r="DC82" s="6980"/>
      <c r="DD82" s="6980"/>
      <c r="DE82" s="6980"/>
      <c r="DF82" s="6981"/>
      <c r="DG82" s="6982"/>
      <c r="DH82" s="6982"/>
      <c r="DI82" s="6982"/>
      <c r="DJ82" s="6982"/>
      <c r="DK82" s="6982"/>
      <c r="DL82" s="6983"/>
      <c r="DM82" s="6980"/>
      <c r="DN82" s="6980"/>
      <c r="DO82" s="6980"/>
      <c r="DP82" s="6981"/>
    </row>
    <row r="83" spans="1:120" s="6964" customFormat="1" ht="15" customHeight="1">
      <c r="A83" s="14653"/>
      <c r="B83" s="14656"/>
      <c r="C83" s="14582"/>
      <c r="D83" s="14585"/>
      <c r="E83" s="14621"/>
      <c r="F83" s="14625"/>
      <c r="G83" s="14592"/>
      <c r="H83" s="14592"/>
      <c r="I83" s="14630"/>
      <c r="J83" s="14708"/>
      <c r="K83" s="14707"/>
      <c r="L83" s="14706"/>
      <c r="M83" s="14707"/>
      <c r="N83" s="14707"/>
      <c r="O83" s="14707"/>
      <c r="P83" s="14707"/>
      <c r="Q83" s="6971" t="s">
        <v>10186</v>
      </c>
      <c r="R83" s="6972"/>
      <c r="S83" s="6972" t="s">
        <v>10178</v>
      </c>
      <c r="T83" s="14707"/>
      <c r="U83" s="14707"/>
      <c r="V83" s="14737"/>
      <c r="W83" s="14739"/>
      <c r="X83" s="14592"/>
      <c r="Y83" s="14592"/>
      <c r="Z83" s="14592"/>
      <c r="AA83" s="14704"/>
      <c r="AB83" s="7031"/>
      <c r="AC83" s="7032"/>
      <c r="AD83" s="14618"/>
      <c r="AE83" s="7055"/>
      <c r="AF83" s="7038"/>
      <c r="AG83" s="7038"/>
      <c r="AH83" s="7039"/>
      <c r="AI83" s="7039"/>
      <c r="AJ83" s="7039"/>
      <c r="AK83" s="7039"/>
      <c r="AL83" s="7039"/>
      <c r="AM83" s="7056"/>
      <c r="AN83" s="7056"/>
      <c r="AO83" s="7056"/>
      <c r="AP83" s="7056"/>
      <c r="AQ83" s="7056"/>
      <c r="AR83" s="7056"/>
      <c r="AS83" s="7056"/>
      <c r="AT83" s="7056"/>
      <c r="AU83" s="7056"/>
      <c r="AV83" s="7056"/>
      <c r="AW83" s="7056"/>
      <c r="AX83" s="7056"/>
      <c r="AY83" s="7056"/>
      <c r="AZ83" s="7056"/>
      <c r="BA83" s="7056"/>
      <c r="BB83" s="7056"/>
      <c r="BC83" s="7056"/>
      <c r="BD83" s="7056"/>
      <c r="BE83" s="7056"/>
      <c r="BF83" s="7056"/>
      <c r="BG83" s="7056"/>
      <c r="BH83" s="7056"/>
      <c r="BI83" s="7056"/>
      <c r="BJ83" s="7056"/>
      <c r="BK83" s="7056"/>
      <c r="BL83" s="7057"/>
      <c r="BM83" s="7057"/>
      <c r="BN83" s="7057"/>
      <c r="BO83" s="7057"/>
      <c r="BP83" s="7057"/>
      <c r="BQ83" s="7057"/>
      <c r="BR83" s="7057"/>
      <c r="BS83" s="7057"/>
      <c r="BT83" s="7057"/>
      <c r="BU83" s="7058"/>
      <c r="BW83" s="7012"/>
      <c r="BX83" s="7013"/>
      <c r="BY83" s="14757"/>
      <c r="BZ83" s="6980"/>
      <c r="CA83" s="6980"/>
      <c r="CB83" s="6981"/>
      <c r="CC83" s="6982"/>
      <c r="CD83" s="6983"/>
      <c r="CE83" s="6980"/>
      <c r="CF83" s="6981"/>
      <c r="CG83" s="6982"/>
      <c r="CH83" s="6983"/>
      <c r="CI83" s="6981"/>
      <c r="CJ83" s="6983"/>
      <c r="CK83" s="6981"/>
      <c r="CL83" s="6983"/>
      <c r="CM83" s="6980"/>
      <c r="CN83" s="6980"/>
      <c r="CO83" s="6980"/>
      <c r="CP83" s="6980"/>
      <c r="CQ83" s="6980"/>
      <c r="CR83" s="6981"/>
      <c r="CS83" s="6983"/>
      <c r="CT83" s="6980"/>
      <c r="CU83" s="6980"/>
      <c r="CV83" s="6980"/>
      <c r="CW83" s="6980"/>
      <c r="CX83" s="6980"/>
      <c r="CY83" s="6980"/>
      <c r="CZ83" s="6981"/>
      <c r="DA83" s="6983"/>
      <c r="DB83" s="6980"/>
      <c r="DC83" s="6980"/>
      <c r="DD83" s="6980"/>
      <c r="DE83" s="6980"/>
      <c r="DF83" s="6981"/>
      <c r="DG83" s="6982"/>
      <c r="DH83" s="6982"/>
      <c r="DI83" s="6982"/>
      <c r="DJ83" s="6982"/>
      <c r="DK83" s="6982"/>
      <c r="DL83" s="6983"/>
      <c r="DM83" s="6980"/>
      <c r="DN83" s="6980"/>
      <c r="DO83" s="6980"/>
      <c r="DP83" s="6981"/>
    </row>
    <row r="84" spans="1:120" s="6964" customFormat="1" ht="15" customHeight="1">
      <c r="A84" s="14653"/>
      <c r="B84" s="14656"/>
      <c r="C84" s="14582"/>
      <c r="D84" s="14585"/>
      <c r="E84" s="14621"/>
      <c r="F84" s="14625"/>
      <c r="G84" s="14592"/>
      <c r="H84" s="14592"/>
      <c r="I84" s="14630"/>
      <c r="J84" s="14708"/>
      <c r="K84" s="14707"/>
      <c r="L84" s="14706"/>
      <c r="M84" s="14707"/>
      <c r="N84" s="14707"/>
      <c r="O84" s="14707"/>
      <c r="P84" s="14707"/>
      <c r="Q84" s="6971" t="s">
        <v>4321</v>
      </c>
      <c r="R84" s="6972"/>
      <c r="S84" s="6972" t="s">
        <v>10179</v>
      </c>
      <c r="T84" s="14707"/>
      <c r="U84" s="14707"/>
      <c r="V84" s="14737"/>
      <c r="W84" s="14739"/>
      <c r="X84" s="14592"/>
      <c r="Y84" s="14592"/>
      <c r="Z84" s="14592"/>
      <c r="AA84" s="14704"/>
      <c r="AB84" s="7031"/>
      <c r="AC84" s="7032"/>
      <c r="AD84" s="14618"/>
      <c r="AE84" s="7055"/>
      <c r="AF84" s="7038"/>
      <c r="AG84" s="7038"/>
      <c r="AH84" s="7039"/>
      <c r="AI84" s="7039"/>
      <c r="AJ84" s="7039"/>
      <c r="AK84" s="7039"/>
      <c r="AL84" s="7039"/>
      <c r="AM84" s="7056"/>
      <c r="AN84" s="7056"/>
      <c r="AO84" s="7056"/>
      <c r="AP84" s="7056"/>
      <c r="AQ84" s="7056"/>
      <c r="AR84" s="7056"/>
      <c r="AS84" s="7056"/>
      <c r="AT84" s="7056"/>
      <c r="AU84" s="7056"/>
      <c r="AV84" s="7056"/>
      <c r="AW84" s="7056"/>
      <c r="AX84" s="7056"/>
      <c r="AY84" s="7056"/>
      <c r="AZ84" s="7056"/>
      <c r="BA84" s="7056"/>
      <c r="BB84" s="7056"/>
      <c r="BC84" s="7056"/>
      <c r="BD84" s="7056"/>
      <c r="BE84" s="7056"/>
      <c r="BF84" s="7056"/>
      <c r="BG84" s="7056"/>
      <c r="BH84" s="7056"/>
      <c r="BI84" s="7056"/>
      <c r="BJ84" s="7056"/>
      <c r="BK84" s="7056"/>
      <c r="BL84" s="7057"/>
      <c r="BM84" s="7057"/>
      <c r="BN84" s="7057"/>
      <c r="BO84" s="7057"/>
      <c r="BP84" s="7057"/>
      <c r="BQ84" s="7057"/>
      <c r="BR84" s="7057"/>
      <c r="BS84" s="7057"/>
      <c r="BT84" s="7057"/>
      <c r="BU84" s="7058"/>
      <c r="BW84" s="7012"/>
      <c r="BX84" s="7013"/>
      <c r="BY84" s="14757"/>
      <c r="BZ84" s="6980"/>
      <c r="CA84" s="6980"/>
      <c r="CB84" s="6981"/>
      <c r="CC84" s="6982"/>
      <c r="CD84" s="6983"/>
      <c r="CE84" s="6980"/>
      <c r="CF84" s="6981"/>
      <c r="CG84" s="6982"/>
      <c r="CH84" s="6983"/>
      <c r="CI84" s="6981"/>
      <c r="CJ84" s="6983"/>
      <c r="CK84" s="6981"/>
      <c r="CL84" s="6983"/>
      <c r="CM84" s="6980"/>
      <c r="CN84" s="6980"/>
      <c r="CO84" s="6980"/>
      <c r="CP84" s="6980"/>
      <c r="CQ84" s="6980"/>
      <c r="CR84" s="6981"/>
      <c r="CS84" s="6983"/>
      <c r="CT84" s="6980"/>
      <c r="CU84" s="6980"/>
      <c r="CV84" s="6980"/>
      <c r="CW84" s="6980"/>
      <c r="CX84" s="6980"/>
      <c r="CY84" s="6980"/>
      <c r="CZ84" s="6981"/>
      <c r="DA84" s="6983"/>
      <c r="DB84" s="6980"/>
      <c r="DC84" s="6980"/>
      <c r="DD84" s="6980"/>
      <c r="DE84" s="6980"/>
      <c r="DF84" s="6981"/>
      <c r="DG84" s="6982"/>
      <c r="DH84" s="6982"/>
      <c r="DI84" s="6982"/>
      <c r="DJ84" s="6982"/>
      <c r="DK84" s="6982"/>
      <c r="DL84" s="6983"/>
      <c r="DM84" s="6980"/>
      <c r="DN84" s="6980"/>
      <c r="DO84" s="6980"/>
      <c r="DP84" s="6981"/>
    </row>
    <row r="85" spans="1:120" s="6964" customFormat="1" ht="15" customHeight="1">
      <c r="A85" s="14653"/>
      <c r="B85" s="14656"/>
      <c r="C85" s="14582"/>
      <c r="D85" s="14585"/>
      <c r="E85" s="14621"/>
      <c r="F85" s="14625"/>
      <c r="G85" s="14592"/>
      <c r="H85" s="14592"/>
      <c r="I85" s="14630"/>
      <c r="J85" s="14708"/>
      <c r="K85" s="14707"/>
      <c r="L85" s="14706"/>
      <c r="M85" s="14707"/>
      <c r="N85" s="14707"/>
      <c r="O85" s="14707"/>
      <c r="P85" s="14707"/>
      <c r="Q85" s="6971" t="s">
        <v>2896</v>
      </c>
      <c r="R85" s="6972"/>
      <c r="S85" s="6972" t="s">
        <v>2896</v>
      </c>
      <c r="T85" s="14707"/>
      <c r="U85" s="14707"/>
      <c r="V85" s="14737"/>
      <c r="W85" s="14740"/>
      <c r="X85" s="14593"/>
      <c r="Y85" s="14593"/>
      <c r="Z85" s="14593"/>
      <c r="AA85" s="14705"/>
      <c r="AB85" s="7014"/>
      <c r="AC85" s="7015"/>
      <c r="AD85" s="14618"/>
      <c r="AE85" s="7055"/>
      <c r="AF85" s="7038"/>
      <c r="AG85" s="7038"/>
      <c r="AH85" s="7039"/>
      <c r="AI85" s="7039"/>
      <c r="AJ85" s="7039"/>
      <c r="AK85" s="7039"/>
      <c r="AL85" s="7039"/>
      <c r="AM85" s="7056"/>
      <c r="AN85" s="7056"/>
      <c r="AO85" s="7056"/>
      <c r="AP85" s="7056"/>
      <c r="AQ85" s="7056"/>
      <c r="AR85" s="7056"/>
      <c r="AS85" s="7056"/>
      <c r="AT85" s="7056"/>
      <c r="AU85" s="7056"/>
      <c r="AV85" s="7056"/>
      <c r="AW85" s="7056"/>
      <c r="AX85" s="7056"/>
      <c r="AY85" s="7056"/>
      <c r="AZ85" s="7056"/>
      <c r="BA85" s="7056"/>
      <c r="BB85" s="7056"/>
      <c r="BC85" s="7056"/>
      <c r="BD85" s="7056"/>
      <c r="BE85" s="7056"/>
      <c r="BF85" s="7056"/>
      <c r="BG85" s="7056"/>
      <c r="BH85" s="7056"/>
      <c r="BI85" s="7056"/>
      <c r="BJ85" s="7056"/>
      <c r="BK85" s="7056"/>
      <c r="BL85" s="7057"/>
      <c r="BM85" s="7057"/>
      <c r="BN85" s="7057"/>
      <c r="BO85" s="7057"/>
      <c r="BP85" s="7057"/>
      <c r="BQ85" s="7057"/>
      <c r="BR85" s="7057"/>
      <c r="BS85" s="7057"/>
      <c r="BT85" s="7057"/>
      <c r="BU85" s="7058"/>
      <c r="BW85" s="7012"/>
      <c r="BX85" s="7013"/>
      <c r="BY85" s="14757"/>
      <c r="BZ85" s="6980"/>
      <c r="CA85" s="6980"/>
      <c r="CB85" s="6981"/>
      <c r="CC85" s="6982"/>
      <c r="CD85" s="6983"/>
      <c r="CE85" s="6980"/>
      <c r="CF85" s="6981"/>
      <c r="CG85" s="6982"/>
      <c r="CH85" s="6983"/>
      <c r="CI85" s="6981"/>
      <c r="CJ85" s="6983"/>
      <c r="CK85" s="6981"/>
      <c r="CL85" s="6983"/>
      <c r="CM85" s="6980"/>
      <c r="CN85" s="6980"/>
      <c r="CO85" s="6980"/>
      <c r="CP85" s="6980"/>
      <c r="CQ85" s="6980"/>
      <c r="CR85" s="6981"/>
      <c r="CS85" s="6983"/>
      <c r="CT85" s="6980"/>
      <c r="CU85" s="6980"/>
      <c r="CV85" s="6980"/>
      <c r="CW85" s="6980"/>
      <c r="CX85" s="6980"/>
      <c r="CY85" s="6980"/>
      <c r="CZ85" s="6981"/>
      <c r="DA85" s="6983"/>
      <c r="DB85" s="6980"/>
      <c r="DC85" s="6980"/>
      <c r="DD85" s="6980"/>
      <c r="DE85" s="6980"/>
      <c r="DF85" s="6981"/>
      <c r="DG85" s="6982"/>
      <c r="DH85" s="6982"/>
      <c r="DI85" s="6982"/>
      <c r="DJ85" s="6982"/>
      <c r="DK85" s="6982"/>
      <c r="DL85" s="6983"/>
      <c r="DM85" s="6980"/>
      <c r="DN85" s="6980"/>
      <c r="DO85" s="6980"/>
      <c r="DP85" s="6981"/>
    </row>
    <row r="86" spans="1:120" s="6964" customFormat="1" ht="15" customHeight="1">
      <c r="A86" s="14653"/>
      <c r="B86" s="14656"/>
      <c r="C86" s="14582"/>
      <c r="D86" s="14585"/>
      <c r="E86" s="14621"/>
      <c r="F86" s="14625"/>
      <c r="G86" s="14592"/>
      <c r="H86" s="14592"/>
      <c r="I86" s="14630"/>
      <c r="J86" s="14708" t="s">
        <v>7559</v>
      </c>
      <c r="K86" s="14707" t="s">
        <v>4833</v>
      </c>
      <c r="L86" s="14706" t="s">
        <v>4654</v>
      </c>
      <c r="M86" s="14707" t="s">
        <v>4834</v>
      </c>
      <c r="N86" s="14707" t="s">
        <v>4835</v>
      </c>
      <c r="O86" s="14707" t="s">
        <v>4836</v>
      </c>
      <c r="P86" s="14707" t="s">
        <v>4837</v>
      </c>
      <c r="Q86" s="6971" t="s">
        <v>10066</v>
      </c>
      <c r="R86" s="6972" t="s">
        <v>298</v>
      </c>
      <c r="S86" s="6972"/>
      <c r="T86" s="14707" t="s">
        <v>4838</v>
      </c>
      <c r="U86" s="14707">
        <v>20</v>
      </c>
      <c r="V86" s="14737">
        <v>20</v>
      </c>
      <c r="W86" s="14738">
        <v>20</v>
      </c>
      <c r="X86" s="14741">
        <v>20</v>
      </c>
      <c r="Y86" s="14741">
        <v>20</v>
      </c>
      <c r="Z86" s="14741">
        <f t="shared" ref="Z86" si="1">SUM(U86:Y86)</f>
        <v>100</v>
      </c>
      <c r="AA86" s="14716">
        <f>(3800000*2)*10</f>
        <v>76000000</v>
      </c>
      <c r="AB86" s="7059">
        <v>1076</v>
      </c>
      <c r="AC86" s="7011">
        <f>IF((AB86/U86)&gt;=20,100%)</f>
        <v>1</v>
      </c>
      <c r="AD86" s="14618"/>
      <c r="AE86" s="7060" t="s">
        <v>9223</v>
      </c>
      <c r="AF86" s="7060" t="s">
        <v>9224</v>
      </c>
      <c r="AG86" s="7060" t="s">
        <v>9225</v>
      </c>
      <c r="AH86" s="7010">
        <f>AI86</f>
        <v>396936000</v>
      </c>
      <c r="AI86" s="7010">
        <v>396936000</v>
      </c>
      <c r="AJ86" s="7010"/>
      <c r="AK86" s="7039"/>
      <c r="AL86" s="7039"/>
      <c r="AM86" s="7056"/>
      <c r="AN86" s="7056"/>
      <c r="AO86" s="7056"/>
      <c r="AP86" s="7056"/>
      <c r="AQ86" s="7056"/>
      <c r="AR86" s="7056"/>
      <c r="AS86" s="7056"/>
      <c r="AT86" s="7056"/>
      <c r="AU86" s="7056"/>
      <c r="AV86" s="7056"/>
      <c r="AW86" s="7056"/>
      <c r="AX86" s="7056"/>
      <c r="AY86" s="7056"/>
      <c r="AZ86" s="7056"/>
      <c r="BA86" s="7056"/>
      <c r="BB86" s="7056"/>
      <c r="BC86" s="7056"/>
      <c r="BD86" s="7056"/>
      <c r="BE86" s="7056"/>
      <c r="BF86" s="7056"/>
      <c r="BG86" s="7056"/>
      <c r="BH86" s="7056"/>
      <c r="BI86" s="7056"/>
      <c r="BJ86" s="7056"/>
      <c r="BK86" s="7056"/>
      <c r="BL86" s="7057"/>
      <c r="BM86" s="7057"/>
      <c r="BN86" s="7057"/>
      <c r="BO86" s="7057"/>
      <c r="BP86" s="7057"/>
      <c r="BQ86" s="7057"/>
      <c r="BR86" s="7057"/>
      <c r="BS86" s="7057"/>
      <c r="BT86" s="7057"/>
      <c r="BU86" s="7058"/>
      <c r="BW86" s="7061"/>
      <c r="BX86" s="7013"/>
      <c r="BY86" s="14757"/>
      <c r="BZ86" s="6980"/>
      <c r="CA86" s="6980"/>
      <c r="CB86" s="6981"/>
      <c r="CC86" s="6982"/>
      <c r="CD86" s="6983"/>
      <c r="CE86" s="6980"/>
      <c r="CF86" s="6981"/>
      <c r="CG86" s="6982"/>
      <c r="CH86" s="6983"/>
      <c r="CI86" s="6981"/>
      <c r="CJ86" s="6983"/>
      <c r="CK86" s="6981"/>
      <c r="CL86" s="6983"/>
      <c r="CM86" s="6980"/>
      <c r="CN86" s="6980"/>
      <c r="CO86" s="6980"/>
      <c r="CP86" s="6980"/>
      <c r="CQ86" s="6980"/>
      <c r="CR86" s="6981"/>
      <c r="CS86" s="6983"/>
      <c r="CT86" s="6980"/>
      <c r="CU86" s="6980"/>
      <c r="CV86" s="6980"/>
      <c r="CW86" s="6980"/>
      <c r="CX86" s="6980"/>
      <c r="CY86" s="6980"/>
      <c r="CZ86" s="6981"/>
      <c r="DA86" s="6983"/>
      <c r="DB86" s="6980"/>
      <c r="DC86" s="6980"/>
      <c r="DD86" s="6980"/>
      <c r="DE86" s="6980"/>
      <c r="DF86" s="6981"/>
      <c r="DG86" s="6982"/>
      <c r="DH86" s="6982"/>
      <c r="DI86" s="6982"/>
      <c r="DJ86" s="6982"/>
      <c r="DK86" s="6982"/>
      <c r="DL86" s="6983"/>
      <c r="DM86" s="6980"/>
      <c r="DN86" s="6980"/>
      <c r="DO86" s="6980"/>
      <c r="DP86" s="6981"/>
    </row>
    <row r="87" spans="1:120" s="6964" customFormat="1" ht="15" customHeight="1">
      <c r="A87" s="14653"/>
      <c r="B87" s="14656"/>
      <c r="C87" s="14582"/>
      <c r="D87" s="14585"/>
      <c r="E87" s="14621"/>
      <c r="F87" s="14625"/>
      <c r="G87" s="14592"/>
      <c r="H87" s="14592"/>
      <c r="I87" s="14630"/>
      <c r="J87" s="14708"/>
      <c r="K87" s="14707"/>
      <c r="L87" s="14706"/>
      <c r="M87" s="14707"/>
      <c r="N87" s="14707"/>
      <c r="O87" s="14707"/>
      <c r="P87" s="14707"/>
      <c r="Q87" s="6971" t="s">
        <v>10070</v>
      </c>
      <c r="R87" s="6972"/>
      <c r="S87" s="6972" t="s">
        <v>512</v>
      </c>
      <c r="T87" s="14707"/>
      <c r="U87" s="14707"/>
      <c r="V87" s="14737"/>
      <c r="W87" s="14739"/>
      <c r="X87" s="14592"/>
      <c r="Y87" s="14592"/>
      <c r="Z87" s="14592"/>
      <c r="AA87" s="14704"/>
      <c r="AB87" s="7062"/>
      <c r="AC87" s="7032"/>
      <c r="AD87" s="14618"/>
      <c r="AE87" s="7045"/>
      <c r="AF87" s="7045"/>
      <c r="AG87" s="7045"/>
      <c r="AH87" s="7031"/>
      <c r="AI87" s="7031"/>
      <c r="AJ87" s="7031"/>
      <c r="AK87" s="7039"/>
      <c r="AL87" s="7039"/>
      <c r="AM87" s="7056"/>
      <c r="AN87" s="7056"/>
      <c r="AO87" s="7056"/>
      <c r="AP87" s="7056"/>
      <c r="AQ87" s="7056"/>
      <c r="AR87" s="7056"/>
      <c r="AS87" s="7056"/>
      <c r="AT87" s="7056"/>
      <c r="AU87" s="7056"/>
      <c r="AV87" s="7056"/>
      <c r="AW87" s="7056"/>
      <c r="AX87" s="7056"/>
      <c r="AY87" s="7056"/>
      <c r="AZ87" s="7056"/>
      <c r="BA87" s="7056"/>
      <c r="BB87" s="7056"/>
      <c r="BC87" s="7056"/>
      <c r="BD87" s="7056"/>
      <c r="BE87" s="7056"/>
      <c r="BF87" s="7056"/>
      <c r="BG87" s="7056"/>
      <c r="BH87" s="7056"/>
      <c r="BI87" s="7056"/>
      <c r="BJ87" s="7056"/>
      <c r="BK87" s="7056"/>
      <c r="BL87" s="7057"/>
      <c r="BM87" s="7057"/>
      <c r="BN87" s="7057"/>
      <c r="BO87" s="7057"/>
      <c r="BP87" s="7057"/>
      <c r="BQ87" s="7057"/>
      <c r="BR87" s="7057"/>
      <c r="BS87" s="7057"/>
      <c r="BT87" s="7057"/>
      <c r="BU87" s="7058"/>
      <c r="BW87" s="7061"/>
      <c r="BX87" s="7013"/>
      <c r="BY87" s="14757"/>
      <c r="BZ87" s="6980"/>
      <c r="CA87" s="6980"/>
      <c r="CB87" s="6981"/>
      <c r="CC87" s="6982"/>
      <c r="CD87" s="6983"/>
      <c r="CE87" s="6980"/>
      <c r="CF87" s="6981"/>
      <c r="CG87" s="6982"/>
      <c r="CH87" s="6983"/>
      <c r="CI87" s="6981"/>
      <c r="CJ87" s="6983"/>
      <c r="CK87" s="6981"/>
      <c r="CL87" s="6983"/>
      <c r="CM87" s="6980"/>
      <c r="CN87" s="6980"/>
      <c r="CO87" s="6980"/>
      <c r="CP87" s="6980"/>
      <c r="CQ87" s="6980"/>
      <c r="CR87" s="6981"/>
      <c r="CS87" s="6983"/>
      <c r="CT87" s="6980"/>
      <c r="CU87" s="6980"/>
      <c r="CV87" s="6980"/>
      <c r="CW87" s="6980"/>
      <c r="CX87" s="6980"/>
      <c r="CY87" s="6980"/>
      <c r="CZ87" s="6981"/>
      <c r="DA87" s="6983"/>
      <c r="DB87" s="6980"/>
      <c r="DC87" s="6980"/>
      <c r="DD87" s="6980"/>
      <c r="DE87" s="6980"/>
      <c r="DF87" s="6981"/>
      <c r="DG87" s="6982"/>
      <c r="DH87" s="6982"/>
      <c r="DI87" s="6982"/>
      <c r="DJ87" s="6982"/>
      <c r="DK87" s="6982"/>
      <c r="DL87" s="6983"/>
      <c r="DM87" s="6980"/>
      <c r="DN87" s="6980"/>
      <c r="DO87" s="6980"/>
      <c r="DP87" s="6981"/>
    </row>
    <row r="88" spans="1:120" s="6964" customFormat="1" ht="15" customHeight="1">
      <c r="A88" s="14653"/>
      <c r="B88" s="14656"/>
      <c r="C88" s="14582"/>
      <c r="D88" s="14585"/>
      <c r="E88" s="14621"/>
      <c r="F88" s="14625"/>
      <c r="G88" s="14592"/>
      <c r="H88" s="14592"/>
      <c r="I88" s="14630"/>
      <c r="J88" s="14708"/>
      <c r="K88" s="14707"/>
      <c r="L88" s="14706"/>
      <c r="M88" s="14707"/>
      <c r="N88" s="14707"/>
      <c r="O88" s="14707"/>
      <c r="P88" s="14707"/>
      <c r="Q88" s="6971" t="s">
        <v>86</v>
      </c>
      <c r="R88" s="6972"/>
      <c r="S88" s="6972" t="s">
        <v>1509</v>
      </c>
      <c r="T88" s="14707"/>
      <c r="U88" s="14707"/>
      <c r="V88" s="14737"/>
      <c r="W88" s="14739"/>
      <c r="X88" s="14592"/>
      <c r="Y88" s="14592"/>
      <c r="Z88" s="14592"/>
      <c r="AA88" s="14704"/>
      <c r="AB88" s="7062"/>
      <c r="AC88" s="7032"/>
      <c r="AD88" s="14618"/>
      <c r="AE88" s="7045"/>
      <c r="AF88" s="7045"/>
      <c r="AG88" s="7045"/>
      <c r="AH88" s="7031"/>
      <c r="AI88" s="7031"/>
      <c r="AJ88" s="7031"/>
      <c r="AK88" s="7039"/>
      <c r="AL88" s="7039"/>
      <c r="AM88" s="7056"/>
      <c r="AN88" s="7056"/>
      <c r="AO88" s="7056"/>
      <c r="AP88" s="7056"/>
      <c r="AQ88" s="7056"/>
      <c r="AR88" s="7056"/>
      <c r="AS88" s="7056"/>
      <c r="AT88" s="7056"/>
      <c r="AU88" s="7056"/>
      <c r="AV88" s="7056"/>
      <c r="AW88" s="7056"/>
      <c r="AX88" s="7056"/>
      <c r="AY88" s="7056"/>
      <c r="AZ88" s="7056"/>
      <c r="BA88" s="7056"/>
      <c r="BB88" s="7056"/>
      <c r="BC88" s="7056"/>
      <c r="BD88" s="7056"/>
      <c r="BE88" s="7056"/>
      <c r="BF88" s="7056"/>
      <c r="BG88" s="7056"/>
      <c r="BH88" s="7056"/>
      <c r="BI88" s="7056"/>
      <c r="BJ88" s="7056"/>
      <c r="BK88" s="7056"/>
      <c r="BL88" s="7057"/>
      <c r="BM88" s="7057"/>
      <c r="BN88" s="7057"/>
      <c r="BO88" s="7057"/>
      <c r="BP88" s="7057"/>
      <c r="BQ88" s="7057"/>
      <c r="BR88" s="7057"/>
      <c r="BS88" s="7057"/>
      <c r="BT88" s="7057"/>
      <c r="BU88" s="7058"/>
      <c r="BW88" s="7061"/>
      <c r="BX88" s="7013"/>
      <c r="BY88" s="14757"/>
      <c r="BZ88" s="6980"/>
      <c r="CA88" s="6980"/>
      <c r="CB88" s="6981"/>
      <c r="CC88" s="6982"/>
      <c r="CD88" s="6983"/>
      <c r="CE88" s="6980"/>
      <c r="CF88" s="6981"/>
      <c r="CG88" s="6982"/>
      <c r="CH88" s="6983"/>
      <c r="CI88" s="6981"/>
      <c r="CJ88" s="6983"/>
      <c r="CK88" s="6981"/>
      <c r="CL88" s="6983"/>
      <c r="CM88" s="6980"/>
      <c r="CN88" s="6980"/>
      <c r="CO88" s="6980"/>
      <c r="CP88" s="6980"/>
      <c r="CQ88" s="6980"/>
      <c r="CR88" s="6981"/>
      <c r="CS88" s="6983"/>
      <c r="CT88" s="6980"/>
      <c r="CU88" s="6980"/>
      <c r="CV88" s="6980"/>
      <c r="CW88" s="6980"/>
      <c r="CX88" s="6980"/>
      <c r="CY88" s="6980"/>
      <c r="CZ88" s="6981"/>
      <c r="DA88" s="6983"/>
      <c r="DB88" s="6980"/>
      <c r="DC88" s="6980"/>
      <c r="DD88" s="6980"/>
      <c r="DE88" s="6980"/>
      <c r="DF88" s="6981"/>
      <c r="DG88" s="6982"/>
      <c r="DH88" s="6982"/>
      <c r="DI88" s="6982"/>
      <c r="DJ88" s="6982"/>
      <c r="DK88" s="6982"/>
      <c r="DL88" s="6983"/>
      <c r="DM88" s="6980"/>
      <c r="DN88" s="6980"/>
      <c r="DO88" s="6980"/>
      <c r="DP88" s="6981"/>
    </row>
    <row r="89" spans="1:120" s="6964" customFormat="1" ht="15" customHeight="1">
      <c r="A89" s="14653"/>
      <c r="B89" s="14656"/>
      <c r="C89" s="14582"/>
      <c r="D89" s="14585"/>
      <c r="E89" s="14621"/>
      <c r="F89" s="14625"/>
      <c r="G89" s="14592"/>
      <c r="H89" s="14592"/>
      <c r="I89" s="14630"/>
      <c r="J89" s="14708"/>
      <c r="K89" s="14707"/>
      <c r="L89" s="14706"/>
      <c r="M89" s="14707"/>
      <c r="N89" s="14707"/>
      <c r="O89" s="14707"/>
      <c r="P89" s="14707"/>
      <c r="Q89" s="6971" t="s">
        <v>10185</v>
      </c>
      <c r="R89" s="6972"/>
      <c r="S89" s="6972" t="s">
        <v>1323</v>
      </c>
      <c r="T89" s="14707"/>
      <c r="U89" s="14707"/>
      <c r="V89" s="14737"/>
      <c r="W89" s="14739"/>
      <c r="X89" s="14592"/>
      <c r="Y89" s="14592"/>
      <c r="Z89" s="14592"/>
      <c r="AA89" s="14704"/>
      <c r="AB89" s="7062"/>
      <c r="AC89" s="7032"/>
      <c r="AD89" s="14618"/>
      <c r="AE89" s="7045"/>
      <c r="AF89" s="7045"/>
      <c r="AG89" s="7045"/>
      <c r="AH89" s="7031"/>
      <c r="AI89" s="7031"/>
      <c r="AJ89" s="7031"/>
      <c r="AK89" s="7039"/>
      <c r="AL89" s="7039"/>
      <c r="AM89" s="7056"/>
      <c r="AN89" s="7056"/>
      <c r="AO89" s="7056"/>
      <c r="AP89" s="7056"/>
      <c r="AQ89" s="7056"/>
      <c r="AR89" s="7056"/>
      <c r="AS89" s="7056"/>
      <c r="AT89" s="7056"/>
      <c r="AU89" s="7056"/>
      <c r="AV89" s="7056"/>
      <c r="AW89" s="7056"/>
      <c r="AX89" s="7056"/>
      <c r="AY89" s="7056"/>
      <c r="AZ89" s="7056"/>
      <c r="BA89" s="7056"/>
      <c r="BB89" s="7056"/>
      <c r="BC89" s="7056"/>
      <c r="BD89" s="7056"/>
      <c r="BE89" s="7056"/>
      <c r="BF89" s="7056"/>
      <c r="BG89" s="7056"/>
      <c r="BH89" s="7056"/>
      <c r="BI89" s="7056"/>
      <c r="BJ89" s="7056"/>
      <c r="BK89" s="7056"/>
      <c r="BL89" s="7057"/>
      <c r="BM89" s="7057"/>
      <c r="BN89" s="7057"/>
      <c r="BO89" s="7057"/>
      <c r="BP89" s="7057"/>
      <c r="BQ89" s="7057"/>
      <c r="BR89" s="7057"/>
      <c r="BS89" s="7057"/>
      <c r="BT89" s="7057"/>
      <c r="BU89" s="7058"/>
      <c r="BW89" s="7061"/>
      <c r="BX89" s="7013"/>
      <c r="BY89" s="14757"/>
      <c r="BZ89" s="6980"/>
      <c r="CA89" s="6980"/>
      <c r="CB89" s="6981"/>
      <c r="CC89" s="6982"/>
      <c r="CD89" s="6983"/>
      <c r="CE89" s="6980"/>
      <c r="CF89" s="6981"/>
      <c r="CG89" s="6982"/>
      <c r="CH89" s="6983"/>
      <c r="CI89" s="6981"/>
      <c r="CJ89" s="6983"/>
      <c r="CK89" s="6981"/>
      <c r="CL89" s="6983"/>
      <c r="CM89" s="6980"/>
      <c r="CN89" s="6980"/>
      <c r="CO89" s="6980"/>
      <c r="CP89" s="6980"/>
      <c r="CQ89" s="6980"/>
      <c r="CR89" s="6981"/>
      <c r="CS89" s="6983"/>
      <c r="CT89" s="6980"/>
      <c r="CU89" s="6980"/>
      <c r="CV89" s="6980"/>
      <c r="CW89" s="6980"/>
      <c r="CX89" s="6980"/>
      <c r="CY89" s="6980"/>
      <c r="CZ89" s="6981"/>
      <c r="DA89" s="6983"/>
      <c r="DB89" s="6980"/>
      <c r="DC89" s="6980"/>
      <c r="DD89" s="6980"/>
      <c r="DE89" s="6980"/>
      <c r="DF89" s="6981"/>
      <c r="DG89" s="6982"/>
      <c r="DH89" s="6982"/>
      <c r="DI89" s="6982"/>
      <c r="DJ89" s="6982"/>
      <c r="DK89" s="6982"/>
      <c r="DL89" s="6983"/>
      <c r="DM89" s="6980"/>
      <c r="DN89" s="6980"/>
      <c r="DO89" s="6980"/>
      <c r="DP89" s="6981"/>
    </row>
    <row r="90" spans="1:120" s="6964" customFormat="1" ht="15" customHeight="1">
      <c r="A90" s="14653"/>
      <c r="B90" s="14656"/>
      <c r="C90" s="14582"/>
      <c r="D90" s="14585"/>
      <c r="E90" s="14621"/>
      <c r="F90" s="14625"/>
      <c r="G90" s="14592"/>
      <c r="H90" s="14592"/>
      <c r="I90" s="14630"/>
      <c r="J90" s="14708"/>
      <c r="K90" s="14707"/>
      <c r="L90" s="14706"/>
      <c r="M90" s="14707"/>
      <c r="N90" s="14707"/>
      <c r="O90" s="14707"/>
      <c r="P90" s="14707"/>
      <c r="Q90" s="6971" t="s">
        <v>10186</v>
      </c>
      <c r="R90" s="6972"/>
      <c r="S90" s="6972" t="s">
        <v>10180</v>
      </c>
      <c r="T90" s="14707"/>
      <c r="U90" s="14707"/>
      <c r="V90" s="14737"/>
      <c r="W90" s="14739"/>
      <c r="X90" s="14592"/>
      <c r="Y90" s="14592"/>
      <c r="Z90" s="14592"/>
      <c r="AA90" s="14704"/>
      <c r="AB90" s="7062"/>
      <c r="AC90" s="7032"/>
      <c r="AD90" s="14618"/>
      <c r="AE90" s="7045"/>
      <c r="AF90" s="7045"/>
      <c r="AG90" s="7045"/>
      <c r="AH90" s="7031"/>
      <c r="AI90" s="7031"/>
      <c r="AJ90" s="7031"/>
      <c r="AK90" s="7039"/>
      <c r="AL90" s="7039"/>
      <c r="AM90" s="7056"/>
      <c r="AN90" s="7056"/>
      <c r="AO90" s="7056"/>
      <c r="AP90" s="7056"/>
      <c r="AQ90" s="7056"/>
      <c r="AR90" s="7056"/>
      <c r="AS90" s="7056"/>
      <c r="AT90" s="7056"/>
      <c r="AU90" s="7056"/>
      <c r="AV90" s="7056"/>
      <c r="AW90" s="7056"/>
      <c r="AX90" s="7056"/>
      <c r="AY90" s="7056"/>
      <c r="AZ90" s="7056"/>
      <c r="BA90" s="7056"/>
      <c r="BB90" s="7056"/>
      <c r="BC90" s="7056"/>
      <c r="BD90" s="7056"/>
      <c r="BE90" s="7056"/>
      <c r="BF90" s="7056"/>
      <c r="BG90" s="7056"/>
      <c r="BH90" s="7056"/>
      <c r="BI90" s="7056"/>
      <c r="BJ90" s="7056"/>
      <c r="BK90" s="7056"/>
      <c r="BL90" s="7057"/>
      <c r="BM90" s="7057"/>
      <c r="BN90" s="7057"/>
      <c r="BO90" s="7057"/>
      <c r="BP90" s="7057"/>
      <c r="BQ90" s="7057"/>
      <c r="BR90" s="7057"/>
      <c r="BS90" s="7057"/>
      <c r="BT90" s="7057"/>
      <c r="BU90" s="7058"/>
      <c r="BW90" s="7061"/>
      <c r="BX90" s="7013"/>
      <c r="BY90" s="14757"/>
      <c r="BZ90" s="6980"/>
      <c r="CA90" s="6980"/>
      <c r="CB90" s="6981"/>
      <c r="CC90" s="6982"/>
      <c r="CD90" s="6983"/>
      <c r="CE90" s="6980"/>
      <c r="CF90" s="6981"/>
      <c r="CG90" s="6982"/>
      <c r="CH90" s="6983"/>
      <c r="CI90" s="6981"/>
      <c r="CJ90" s="6983"/>
      <c r="CK90" s="6981"/>
      <c r="CL90" s="6983"/>
      <c r="CM90" s="6980"/>
      <c r="CN90" s="6980"/>
      <c r="CO90" s="6980"/>
      <c r="CP90" s="6980"/>
      <c r="CQ90" s="6980"/>
      <c r="CR90" s="6981"/>
      <c r="CS90" s="6983"/>
      <c r="CT90" s="6980"/>
      <c r="CU90" s="6980"/>
      <c r="CV90" s="6980"/>
      <c r="CW90" s="6980"/>
      <c r="CX90" s="6980"/>
      <c r="CY90" s="6980"/>
      <c r="CZ90" s="6981"/>
      <c r="DA90" s="6983"/>
      <c r="DB90" s="6980"/>
      <c r="DC90" s="6980"/>
      <c r="DD90" s="6980"/>
      <c r="DE90" s="6980"/>
      <c r="DF90" s="6981"/>
      <c r="DG90" s="6982"/>
      <c r="DH90" s="6982"/>
      <c r="DI90" s="6982"/>
      <c r="DJ90" s="6982"/>
      <c r="DK90" s="6982"/>
      <c r="DL90" s="6983"/>
      <c r="DM90" s="6980"/>
      <c r="DN90" s="6980"/>
      <c r="DO90" s="6980"/>
      <c r="DP90" s="6981"/>
    </row>
    <row r="91" spans="1:120" s="6964" customFormat="1" ht="15" customHeight="1" thickBot="1">
      <c r="A91" s="14654"/>
      <c r="B91" s="14657"/>
      <c r="C91" s="14583"/>
      <c r="D91" s="14586"/>
      <c r="E91" s="14622"/>
      <c r="F91" s="14626"/>
      <c r="G91" s="14628"/>
      <c r="H91" s="14628"/>
      <c r="I91" s="14631"/>
      <c r="J91" s="14747"/>
      <c r="K91" s="14748"/>
      <c r="L91" s="14749"/>
      <c r="M91" s="14748"/>
      <c r="N91" s="14748"/>
      <c r="O91" s="14748"/>
      <c r="P91" s="14748"/>
      <c r="Q91" s="7063" t="s">
        <v>477</v>
      </c>
      <c r="R91" s="7064"/>
      <c r="S91" s="7064" t="s">
        <v>477</v>
      </c>
      <c r="T91" s="14748"/>
      <c r="U91" s="14748"/>
      <c r="V91" s="14751"/>
      <c r="W91" s="14752"/>
      <c r="X91" s="14628"/>
      <c r="Y91" s="14628"/>
      <c r="Z91" s="14628"/>
      <c r="AA91" s="14750"/>
      <c r="AB91" s="7065"/>
      <c r="AC91" s="7066"/>
      <c r="AD91" s="14619"/>
      <c r="AE91" s="7067"/>
      <c r="AF91" s="7067"/>
      <c r="AG91" s="7067"/>
      <c r="AH91" s="7068"/>
      <c r="AI91" s="7068"/>
      <c r="AJ91" s="7068"/>
      <c r="AK91" s="7069"/>
      <c r="AL91" s="7070"/>
      <c r="AM91" s="7070"/>
      <c r="AN91" s="7070"/>
      <c r="AO91" s="7071"/>
      <c r="AP91" s="7071"/>
      <c r="AQ91" s="7071"/>
      <c r="AR91" s="7071"/>
      <c r="AS91" s="7071"/>
      <c r="AT91" s="7071"/>
      <c r="AU91" s="7071"/>
      <c r="AV91" s="7071"/>
      <c r="AW91" s="7071"/>
      <c r="AX91" s="7071"/>
      <c r="AY91" s="7071"/>
      <c r="AZ91" s="7071"/>
      <c r="BA91" s="7071"/>
      <c r="BB91" s="7071"/>
      <c r="BC91" s="7071"/>
      <c r="BD91" s="7071"/>
      <c r="BE91" s="7071"/>
      <c r="BF91" s="7071"/>
      <c r="BG91" s="7071"/>
      <c r="BH91" s="7071"/>
      <c r="BI91" s="7071"/>
      <c r="BJ91" s="7071"/>
      <c r="BK91" s="7071"/>
      <c r="BL91" s="7070" t="s">
        <v>9226</v>
      </c>
      <c r="BM91" s="7071"/>
      <c r="BN91" s="7071"/>
      <c r="BO91" s="7071"/>
      <c r="BP91" s="7071"/>
      <c r="BQ91" s="7071"/>
      <c r="BR91" s="7071"/>
      <c r="BS91" s="7071"/>
      <c r="BT91" s="7071"/>
      <c r="BU91" s="7072"/>
      <c r="BW91" s="7073"/>
      <c r="BX91" s="7074"/>
      <c r="BY91" s="14758"/>
      <c r="BZ91" s="7075"/>
      <c r="CA91" s="7075"/>
      <c r="CB91" s="7076"/>
      <c r="CC91" s="7077"/>
      <c r="CD91" s="7078"/>
      <c r="CE91" s="7075"/>
      <c r="CF91" s="7076"/>
      <c r="CG91" s="7077"/>
      <c r="CH91" s="7078"/>
      <c r="CI91" s="7076"/>
      <c r="CJ91" s="7078"/>
      <c r="CK91" s="7076"/>
      <c r="CL91" s="7078"/>
      <c r="CM91" s="7075"/>
      <c r="CN91" s="7075"/>
      <c r="CO91" s="7075"/>
      <c r="CP91" s="7075"/>
      <c r="CQ91" s="7075"/>
      <c r="CR91" s="7076"/>
      <c r="CS91" s="7078"/>
      <c r="CT91" s="7075"/>
      <c r="CU91" s="7075"/>
      <c r="CV91" s="7075"/>
      <c r="CW91" s="7075"/>
      <c r="CX91" s="7075"/>
      <c r="CY91" s="7075"/>
      <c r="CZ91" s="7076"/>
      <c r="DA91" s="7078"/>
      <c r="DB91" s="7075"/>
      <c r="DC91" s="7075"/>
      <c r="DD91" s="7075"/>
      <c r="DE91" s="7075"/>
      <c r="DF91" s="7076"/>
      <c r="DG91" s="7077"/>
      <c r="DH91" s="7077"/>
      <c r="DI91" s="7077"/>
      <c r="DJ91" s="7077"/>
      <c r="DK91" s="7077"/>
      <c r="DL91" s="7078"/>
      <c r="DM91" s="7075"/>
      <c r="DN91" s="7075"/>
      <c r="DO91" s="7075"/>
      <c r="DP91" s="7076"/>
    </row>
    <row r="92" spans="1:120" ht="15" customHeight="1">
      <c r="K92" s="865"/>
      <c r="L92" s="865"/>
      <c r="AA92" s="867">
        <f>SUM(AA5:AA91)</f>
        <v>2561000000</v>
      </c>
      <c r="AH92" s="133"/>
      <c r="AI92" s="133"/>
      <c r="AJ92" s="133"/>
      <c r="AK92" s="133"/>
    </row>
    <row r="93" spans="1:120" ht="15" customHeight="1">
      <c r="R93"/>
      <c r="S93"/>
    </row>
    <row r="94" spans="1:120" ht="15" customHeight="1">
      <c r="AH94" s="2948">
        <f>SUM(AH5:AH93)</f>
        <v>2087240510.9000001</v>
      </c>
      <c r="AL94" s="2948">
        <f>SUM(AL5:AL93)</f>
        <v>334128</v>
      </c>
      <c r="AM94" s="506">
        <f>AM79+AN79</f>
        <v>1282</v>
      </c>
    </row>
  </sheetData>
  <autoFilter ref="A4:BU92" xr:uid="{00000000-0009-0000-0000-000009000000}"/>
  <mergeCells count="441">
    <mergeCell ref="BY18:BY31"/>
    <mergeCell ref="BY32:BY91"/>
    <mergeCell ref="DH3:DH4"/>
    <mergeCell ref="DI3:DI4"/>
    <mergeCell ref="DL3:DL4"/>
    <mergeCell ref="DM3:DO3"/>
    <mergeCell ref="BY5:BY17"/>
    <mergeCell ref="CJ3:CK3"/>
    <mergeCell ref="CL3:CR3"/>
    <mergeCell ref="CS3:CZ3"/>
    <mergeCell ref="DA3:DF3"/>
    <mergeCell ref="DG3:DG4"/>
    <mergeCell ref="CD3:CD4"/>
    <mergeCell ref="CE3:CE4"/>
    <mergeCell ref="CF3:CF4"/>
    <mergeCell ref="CG3:CG4"/>
    <mergeCell ref="CH3:CI3"/>
    <mergeCell ref="BW1:DP1"/>
    <mergeCell ref="BW2:BW4"/>
    <mergeCell ref="BX2:BX4"/>
    <mergeCell ref="BY2:BY4"/>
    <mergeCell ref="BZ2:BZ4"/>
    <mergeCell ref="CA2:CA4"/>
    <mergeCell ref="CB2:CB4"/>
    <mergeCell ref="CC2:CF2"/>
    <mergeCell ref="CG2:DF2"/>
    <mergeCell ref="DG2:DK2"/>
    <mergeCell ref="DL2:DP2"/>
    <mergeCell ref="CC3:CC4"/>
    <mergeCell ref="AA86:AA91"/>
    <mergeCell ref="V86:V91"/>
    <mergeCell ref="W86:W91"/>
    <mergeCell ref="X86:X91"/>
    <mergeCell ref="Y86:Y91"/>
    <mergeCell ref="Z86:Z91"/>
    <mergeCell ref="O86:O91"/>
    <mergeCell ref="P86:P91"/>
    <mergeCell ref="T86:T91"/>
    <mergeCell ref="U86:U91"/>
    <mergeCell ref="J86:J91"/>
    <mergeCell ref="K86:K91"/>
    <mergeCell ref="L86:L91"/>
    <mergeCell ref="M86:M91"/>
    <mergeCell ref="N86:N91"/>
    <mergeCell ref="J79:J85"/>
    <mergeCell ref="T79:T85"/>
    <mergeCell ref="U79:U85"/>
    <mergeCell ref="V79:V85"/>
    <mergeCell ref="W79:W85"/>
    <mergeCell ref="O79:O85"/>
    <mergeCell ref="N79:N85"/>
    <mergeCell ref="M79:M85"/>
    <mergeCell ref="L79:L85"/>
    <mergeCell ref="K79:K85"/>
    <mergeCell ref="AA72:AA77"/>
    <mergeCell ref="P79:P85"/>
    <mergeCell ref="X79:X85"/>
    <mergeCell ref="Y79:Y85"/>
    <mergeCell ref="Z79:Z85"/>
    <mergeCell ref="AA79:AA85"/>
    <mergeCell ref="V72:V77"/>
    <mergeCell ref="W72:W77"/>
    <mergeCell ref="X72:X77"/>
    <mergeCell ref="Y72:Y77"/>
    <mergeCell ref="Z72:Z77"/>
    <mergeCell ref="L72:L77"/>
    <mergeCell ref="K72:K77"/>
    <mergeCell ref="J72:J77"/>
    <mergeCell ref="T72:T77"/>
    <mergeCell ref="U72:U77"/>
    <mergeCell ref="P72:P77"/>
    <mergeCell ref="O72:O77"/>
    <mergeCell ref="N72:N77"/>
    <mergeCell ref="M72:M77"/>
    <mergeCell ref="Y68:Y71"/>
    <mergeCell ref="Z68:Z71"/>
    <mergeCell ref="AA68:AA71"/>
    <mergeCell ref="AA65:AA67"/>
    <mergeCell ref="J68:J71"/>
    <mergeCell ref="K68:K71"/>
    <mergeCell ref="L68:L71"/>
    <mergeCell ref="M68:M71"/>
    <mergeCell ref="N68:N71"/>
    <mergeCell ref="O68:O71"/>
    <mergeCell ref="P68:P71"/>
    <mergeCell ref="T68:T71"/>
    <mergeCell ref="U68:U71"/>
    <mergeCell ref="V68:V71"/>
    <mergeCell ref="W68:W71"/>
    <mergeCell ref="X68:X71"/>
    <mergeCell ref="V65:V67"/>
    <mergeCell ref="W65:W67"/>
    <mergeCell ref="X65:X67"/>
    <mergeCell ref="Y65:Y67"/>
    <mergeCell ref="Z65:Z67"/>
    <mergeCell ref="L65:L67"/>
    <mergeCell ref="K65:K67"/>
    <mergeCell ref="J65:J67"/>
    <mergeCell ref="T65:T67"/>
    <mergeCell ref="U65:U67"/>
    <mergeCell ref="P65:P67"/>
    <mergeCell ref="O65:O67"/>
    <mergeCell ref="N65:N67"/>
    <mergeCell ref="M65:M67"/>
    <mergeCell ref="J61:J64"/>
    <mergeCell ref="T61:T64"/>
    <mergeCell ref="U61:U64"/>
    <mergeCell ref="V61:V64"/>
    <mergeCell ref="W61:W64"/>
    <mergeCell ref="O61:O64"/>
    <mergeCell ref="N61:N64"/>
    <mergeCell ref="M61:M64"/>
    <mergeCell ref="L61:L64"/>
    <mergeCell ref="K61:K64"/>
    <mergeCell ref="AA56:AA60"/>
    <mergeCell ref="P61:P64"/>
    <mergeCell ref="X61:X64"/>
    <mergeCell ref="Y61:Y64"/>
    <mergeCell ref="Z61:Z64"/>
    <mergeCell ref="AA61:AA64"/>
    <mergeCell ref="V56:V60"/>
    <mergeCell ref="W56:W60"/>
    <mergeCell ref="X56:X60"/>
    <mergeCell ref="Y56:Y60"/>
    <mergeCell ref="Z56:Z60"/>
    <mergeCell ref="L56:L60"/>
    <mergeCell ref="K56:K60"/>
    <mergeCell ref="J56:J60"/>
    <mergeCell ref="T56:T60"/>
    <mergeCell ref="U56:U60"/>
    <mergeCell ref="P56:P60"/>
    <mergeCell ref="O56:O60"/>
    <mergeCell ref="N56:N60"/>
    <mergeCell ref="M56:M60"/>
    <mergeCell ref="J53:J55"/>
    <mergeCell ref="T53:T55"/>
    <mergeCell ref="U53:U55"/>
    <mergeCell ref="V53:V55"/>
    <mergeCell ref="W53:W55"/>
    <mergeCell ref="O53:O55"/>
    <mergeCell ref="N53:N55"/>
    <mergeCell ref="M53:M55"/>
    <mergeCell ref="L53:L55"/>
    <mergeCell ref="K53:K55"/>
    <mergeCell ref="AA51:AA52"/>
    <mergeCell ref="P53:P55"/>
    <mergeCell ref="X53:X55"/>
    <mergeCell ref="Y53:Y55"/>
    <mergeCell ref="Z53:Z55"/>
    <mergeCell ref="AA53:AA55"/>
    <mergeCell ref="V51:V52"/>
    <mergeCell ref="W51:W52"/>
    <mergeCell ref="X51:X52"/>
    <mergeCell ref="Y51:Y52"/>
    <mergeCell ref="Z51:Z52"/>
    <mergeCell ref="O51:O52"/>
    <mergeCell ref="P51:P52"/>
    <mergeCell ref="T51:T52"/>
    <mergeCell ref="U51:U52"/>
    <mergeCell ref="J51:J52"/>
    <mergeCell ref="K51:K52"/>
    <mergeCell ref="L51:L52"/>
    <mergeCell ref="M51:M52"/>
    <mergeCell ref="N51:N52"/>
    <mergeCell ref="Y47:Y48"/>
    <mergeCell ref="Z47:Z48"/>
    <mergeCell ref="AA47:AA48"/>
    <mergeCell ref="AA44:AA45"/>
    <mergeCell ref="J47:J48"/>
    <mergeCell ref="K47:K48"/>
    <mergeCell ref="L47:L48"/>
    <mergeCell ref="M47:M48"/>
    <mergeCell ref="N47:N48"/>
    <mergeCell ref="O47:O48"/>
    <mergeCell ref="P47:P48"/>
    <mergeCell ref="T47:T48"/>
    <mergeCell ref="U47:U48"/>
    <mergeCell ref="V47:V48"/>
    <mergeCell ref="W47:W48"/>
    <mergeCell ref="X47:X48"/>
    <mergeCell ref="V44:V45"/>
    <mergeCell ref="W44:W45"/>
    <mergeCell ref="X44:X45"/>
    <mergeCell ref="Y44:Y45"/>
    <mergeCell ref="Z44:Z45"/>
    <mergeCell ref="O44:O45"/>
    <mergeCell ref="P44:P45"/>
    <mergeCell ref="T44:T45"/>
    <mergeCell ref="U44:U45"/>
    <mergeCell ref="J44:J45"/>
    <mergeCell ref="K44:K45"/>
    <mergeCell ref="L44:L45"/>
    <mergeCell ref="M44:M45"/>
    <mergeCell ref="N44:N45"/>
    <mergeCell ref="Y40:Y43"/>
    <mergeCell ref="Z40:Z43"/>
    <mergeCell ref="AA40:AA43"/>
    <mergeCell ref="AA36:AA39"/>
    <mergeCell ref="J40:J43"/>
    <mergeCell ref="K40:K43"/>
    <mergeCell ref="L40:L43"/>
    <mergeCell ref="M40:M43"/>
    <mergeCell ref="N40:N43"/>
    <mergeCell ref="O40:O43"/>
    <mergeCell ref="P40:P43"/>
    <mergeCell ref="T40:T43"/>
    <mergeCell ref="U40:U43"/>
    <mergeCell ref="V40:V43"/>
    <mergeCell ref="W40:W43"/>
    <mergeCell ref="X40:X43"/>
    <mergeCell ref="V36:V39"/>
    <mergeCell ref="W36:W39"/>
    <mergeCell ref="X36:X39"/>
    <mergeCell ref="Y36:Y39"/>
    <mergeCell ref="Z36:Z39"/>
    <mergeCell ref="O36:O39"/>
    <mergeCell ref="P36:P39"/>
    <mergeCell ref="T36:T39"/>
    <mergeCell ref="U36:U39"/>
    <mergeCell ref="J36:J39"/>
    <mergeCell ref="K36:K39"/>
    <mergeCell ref="L36:L39"/>
    <mergeCell ref="M36:M39"/>
    <mergeCell ref="N36:N39"/>
    <mergeCell ref="K32:K35"/>
    <mergeCell ref="J32:J35"/>
    <mergeCell ref="T32:T35"/>
    <mergeCell ref="U32:U35"/>
    <mergeCell ref="V32:V35"/>
    <mergeCell ref="P32:P35"/>
    <mergeCell ref="O32:O35"/>
    <mergeCell ref="N32:N35"/>
    <mergeCell ref="M32:M35"/>
    <mergeCell ref="L32:L35"/>
    <mergeCell ref="W32:W35"/>
    <mergeCell ref="X32:X35"/>
    <mergeCell ref="Y32:Y35"/>
    <mergeCell ref="Z32:Z35"/>
    <mergeCell ref="AA32:AA35"/>
    <mergeCell ref="X27:X30"/>
    <mergeCell ref="Y27:Y30"/>
    <mergeCell ref="Z27:Z30"/>
    <mergeCell ref="AA27:AA30"/>
    <mergeCell ref="V27:V30"/>
    <mergeCell ref="W27:W30"/>
    <mergeCell ref="J25:J26"/>
    <mergeCell ref="K25:K26"/>
    <mergeCell ref="L25:L26"/>
    <mergeCell ref="M25:M26"/>
    <mergeCell ref="N25:N26"/>
    <mergeCell ref="O25:O26"/>
    <mergeCell ref="P25:P26"/>
    <mergeCell ref="T25:T26"/>
    <mergeCell ref="U25:U26"/>
    <mergeCell ref="V25:V26"/>
    <mergeCell ref="J27:J30"/>
    <mergeCell ref="K27:K30"/>
    <mergeCell ref="L27:L30"/>
    <mergeCell ref="M27:M30"/>
    <mergeCell ref="N27:N30"/>
    <mergeCell ref="O27:O30"/>
    <mergeCell ref="P27:P30"/>
    <mergeCell ref="T27:T30"/>
    <mergeCell ref="U27:U30"/>
    <mergeCell ref="W25:W26"/>
    <mergeCell ref="X25:X26"/>
    <mergeCell ref="Y23:Y24"/>
    <mergeCell ref="Z23:Z24"/>
    <mergeCell ref="AA23:AA24"/>
    <mergeCell ref="T23:T24"/>
    <mergeCell ref="U23:U24"/>
    <mergeCell ref="V23:V24"/>
    <mergeCell ref="W23:W24"/>
    <mergeCell ref="X23:X24"/>
    <mergeCell ref="Y25:Y26"/>
    <mergeCell ref="Z25:Z26"/>
    <mergeCell ref="AA25:AA26"/>
    <mergeCell ref="L18:L21"/>
    <mergeCell ref="K18:K21"/>
    <mergeCell ref="J18:J21"/>
    <mergeCell ref="P23:P24"/>
    <mergeCell ref="O23:O24"/>
    <mergeCell ref="N23:N24"/>
    <mergeCell ref="M23:M24"/>
    <mergeCell ref="L23:L24"/>
    <mergeCell ref="K23:K24"/>
    <mergeCell ref="J23:J24"/>
    <mergeCell ref="Z18:Z21"/>
    <mergeCell ref="AA18:AA21"/>
    <mergeCell ref="M18:M21"/>
    <mergeCell ref="U18:U21"/>
    <mergeCell ref="V18:V21"/>
    <mergeCell ref="W18:W21"/>
    <mergeCell ref="X18:X21"/>
    <mergeCell ref="Y18:Y21"/>
    <mergeCell ref="P18:P21"/>
    <mergeCell ref="O18:O21"/>
    <mergeCell ref="N18:N21"/>
    <mergeCell ref="T18:T21"/>
    <mergeCell ref="F16:F17"/>
    <mergeCell ref="H5:H8"/>
    <mergeCell ref="F5:F8"/>
    <mergeCell ref="H9:H11"/>
    <mergeCell ref="H12:H15"/>
    <mergeCell ref="F9:F15"/>
    <mergeCell ref="H16:H17"/>
    <mergeCell ref="AA5:AA6"/>
    <mergeCell ref="T10:T11"/>
    <mergeCell ref="U10:U11"/>
    <mergeCell ref="V10:V11"/>
    <mergeCell ref="W10:W11"/>
    <mergeCell ref="X10:X11"/>
    <mergeCell ref="Y10:Y11"/>
    <mergeCell ref="Z10:Z11"/>
    <mergeCell ref="AA10:AA11"/>
    <mergeCell ref="Y12:Y15"/>
    <mergeCell ref="Z12:Z15"/>
    <mergeCell ref="AA12:AA15"/>
    <mergeCell ref="T16:T17"/>
    <mergeCell ref="U16:U17"/>
    <mergeCell ref="V16:V17"/>
    <mergeCell ref="W16:W17"/>
    <mergeCell ref="X16:X17"/>
    <mergeCell ref="Y16:Y17"/>
    <mergeCell ref="Z16:Z17"/>
    <mergeCell ref="AA16:AA17"/>
    <mergeCell ref="T12:T15"/>
    <mergeCell ref="U12:U15"/>
    <mergeCell ref="V12:V15"/>
    <mergeCell ref="W12:W15"/>
    <mergeCell ref="X12:X15"/>
    <mergeCell ref="P10:P11"/>
    <mergeCell ref="P12:P15"/>
    <mergeCell ref="P16:P17"/>
    <mergeCell ref="J12:J15"/>
    <mergeCell ref="J16:J17"/>
    <mergeCell ref="K10:K11"/>
    <mergeCell ref="K12:K15"/>
    <mergeCell ref="K16:K17"/>
    <mergeCell ref="Y7:Y8"/>
    <mergeCell ref="Z7:Z8"/>
    <mergeCell ref="AA7:AA8"/>
    <mergeCell ref="U7:U8"/>
    <mergeCell ref="V7:V8"/>
    <mergeCell ref="W7:W8"/>
    <mergeCell ref="X7:X8"/>
    <mergeCell ref="N10:N11"/>
    <mergeCell ref="N12:N15"/>
    <mergeCell ref="N16:N17"/>
    <mergeCell ref="O10:O11"/>
    <mergeCell ref="O12:O15"/>
    <mergeCell ref="O16:O17"/>
    <mergeCell ref="L10:L11"/>
    <mergeCell ref="L12:L15"/>
    <mergeCell ref="L16:L17"/>
    <mergeCell ref="M10:M11"/>
    <mergeCell ref="M12:M15"/>
    <mergeCell ref="M16:M17"/>
    <mergeCell ref="J7:J8"/>
    <mergeCell ref="K7:K8"/>
    <mergeCell ref="L7:L8"/>
    <mergeCell ref="M7:M8"/>
    <mergeCell ref="N7:N8"/>
    <mergeCell ref="O7:O8"/>
    <mergeCell ref="P7:P8"/>
    <mergeCell ref="T7:T8"/>
    <mergeCell ref="J10:J11"/>
    <mergeCell ref="W5:W6"/>
    <mergeCell ref="X5:X6"/>
    <mergeCell ref="Y5:Y6"/>
    <mergeCell ref="Z5:Z6"/>
    <mergeCell ref="P5:P6"/>
    <mergeCell ref="T5:T6"/>
    <mergeCell ref="U5:U6"/>
    <mergeCell ref="V5:V6"/>
    <mergeCell ref="J5:J6"/>
    <mergeCell ref="K5:K6"/>
    <mergeCell ref="L5:L6"/>
    <mergeCell ref="M5:M6"/>
    <mergeCell ref="O5:O6"/>
    <mergeCell ref="N5:N6"/>
    <mergeCell ref="AD5:AD17"/>
    <mergeCell ref="AD18:AD31"/>
    <mergeCell ref="AD32:AD91"/>
    <mergeCell ref="E68:E91"/>
    <mergeCell ref="F68:F91"/>
    <mergeCell ref="G68:G91"/>
    <mergeCell ref="I68:I91"/>
    <mergeCell ref="A5:A17"/>
    <mergeCell ref="B5:B17"/>
    <mergeCell ref="I5:I17"/>
    <mergeCell ref="H18:H31"/>
    <mergeCell ref="I18:I31"/>
    <mergeCell ref="I32:I65"/>
    <mergeCell ref="F32:F49"/>
    <mergeCell ref="G32:G65"/>
    <mergeCell ref="F50:F65"/>
    <mergeCell ref="A18:A31"/>
    <mergeCell ref="B18:B31"/>
    <mergeCell ref="E18:E31"/>
    <mergeCell ref="H68:H91"/>
    <mergeCell ref="A32:A91"/>
    <mergeCell ref="B32:B91"/>
    <mergeCell ref="E32:E49"/>
    <mergeCell ref="E50:E65"/>
    <mergeCell ref="C5:C91"/>
    <mergeCell ref="D5:D91"/>
    <mergeCell ref="E5:E17"/>
    <mergeCell ref="G5:G17"/>
    <mergeCell ref="H32:H65"/>
    <mergeCell ref="F18:F27"/>
    <mergeCell ref="G18:G31"/>
    <mergeCell ref="A1:AA2"/>
    <mergeCell ref="AB1:BU1"/>
    <mergeCell ref="AB2:AB4"/>
    <mergeCell ref="AE2:AE4"/>
    <mergeCell ref="AF2:AF4"/>
    <mergeCell ref="AG2:AG4"/>
    <mergeCell ref="AH2:AK2"/>
    <mergeCell ref="AL2:BK2"/>
    <mergeCell ref="BL2:BP2"/>
    <mergeCell ref="BQ2:BU2"/>
    <mergeCell ref="AM3:AN3"/>
    <mergeCell ref="BM3:BM4"/>
    <mergeCell ref="AH3:AH4"/>
    <mergeCell ref="A3:AA3"/>
    <mergeCell ref="AC2:AC4"/>
    <mergeCell ref="AD2:AD4"/>
    <mergeCell ref="AI3:AI4"/>
    <mergeCell ref="BX5:BX6"/>
    <mergeCell ref="AJ3:AJ4"/>
    <mergeCell ref="AK3:AK4"/>
    <mergeCell ref="AL3:AL4"/>
    <mergeCell ref="BR3:BT3"/>
    <mergeCell ref="AO3:AP3"/>
    <mergeCell ref="AQ3:AW3"/>
    <mergeCell ref="AX3:BE3"/>
    <mergeCell ref="BF3:BK3"/>
    <mergeCell ref="BL3:BL4"/>
    <mergeCell ref="BN3:BN4"/>
    <mergeCell ref="BQ3:BQ4"/>
  </mergeCells>
  <pageMargins left="0.7" right="0.7" top="0.75" bottom="0.75" header="0.3" footer="0.3"/>
  <pageSetup paperSize="9" orientation="portrait" horizontalDpi="300" verticalDpi="30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2" tint="-0.89999084444715716"/>
  </sheetPr>
  <dimension ref="A1:FC107"/>
  <sheetViews>
    <sheetView showGridLines="0" topLeftCell="A25" zoomScale="80" zoomScaleNormal="80" workbookViewId="0">
      <selection sqref="A1:FP181"/>
    </sheetView>
  </sheetViews>
  <sheetFormatPr baseColWidth="10" defaultColWidth="11.42578125" defaultRowHeight="15" customHeight="1"/>
  <cols>
    <col min="1" max="1" width="20.85546875" style="786" customWidth="1"/>
    <col min="2" max="2" width="18" style="786" customWidth="1"/>
    <col min="3" max="3" width="30.42578125" style="786" customWidth="1"/>
    <col min="4" max="4" width="71.42578125" style="786" customWidth="1"/>
    <col min="5" max="5" width="34" style="816" customWidth="1"/>
    <col min="6" max="6" width="16.85546875" style="816" customWidth="1"/>
    <col min="7" max="7" width="31.7109375" style="816" customWidth="1"/>
    <col min="8" max="8" width="18.42578125" style="786" customWidth="1"/>
    <col min="9" max="10" width="20.42578125" style="786" customWidth="1"/>
    <col min="11" max="11" width="20.85546875" style="786" customWidth="1"/>
    <col min="12" max="12" width="7.140625" style="786" customWidth="1"/>
    <col min="13" max="13" width="9.140625" style="786" customWidth="1"/>
    <col min="14" max="14" width="4.7109375" style="786" customWidth="1"/>
    <col min="15" max="15" width="5.85546875" style="786" customWidth="1"/>
    <col min="16" max="17" width="4.85546875" style="786" customWidth="1"/>
    <col min="18" max="18" width="5.140625" style="786" customWidth="1"/>
    <col min="19" max="19" width="4.140625" style="786" customWidth="1"/>
    <col min="20" max="21" width="4.85546875" style="786" customWidth="1"/>
    <col min="22" max="22" width="5.140625" style="786" customWidth="1"/>
    <col min="23" max="23" width="5" style="786" customWidth="1"/>
    <col min="24" max="25" width="5.42578125" style="786" customWidth="1"/>
    <col min="26" max="26" width="4.42578125" style="786" customWidth="1"/>
    <col min="27" max="27" width="5.140625" style="786" customWidth="1"/>
    <col min="28" max="29" width="4.85546875" style="786" customWidth="1"/>
    <col min="30" max="30" width="5.140625" style="786" customWidth="1"/>
    <col min="31" max="31" width="5" style="786" customWidth="1"/>
    <col min="32" max="32" width="5.42578125" style="786" customWidth="1"/>
    <col min="33" max="33" width="4.85546875" style="786" customWidth="1"/>
    <col min="34" max="35" width="3.5703125" style="786" customWidth="1"/>
    <col min="36" max="36" width="4" style="786" customWidth="1"/>
    <col min="37" max="37" width="5" style="786" customWidth="1"/>
    <col min="38" max="38" width="4.28515625" style="786" customWidth="1"/>
    <col min="39" max="39" width="4" style="786" customWidth="1"/>
    <col min="40" max="40" width="3.5703125" style="786" customWidth="1"/>
    <col min="41" max="41" width="3.28515625" style="786" customWidth="1"/>
    <col min="42" max="42" width="5" style="786" customWidth="1"/>
    <col min="43" max="43" width="4.42578125" style="786" customWidth="1"/>
    <col min="44" max="44" width="4.7109375" style="786" customWidth="1"/>
    <col min="45" max="45" width="3.5703125" style="786" customWidth="1"/>
    <col min="46" max="46" width="4.140625" style="786" customWidth="1"/>
    <col min="47" max="47" width="4.28515625" style="786" customWidth="1"/>
    <col min="48" max="48" width="4.42578125" style="786" customWidth="1"/>
    <col min="49" max="49" width="5" style="786" customWidth="1"/>
    <col min="50" max="50" width="3.7109375" style="786" customWidth="1"/>
    <col min="51" max="51" width="5" style="786" customWidth="1"/>
    <col min="52" max="52" width="4.7109375" style="786" customWidth="1"/>
    <col min="53" max="53" width="4.85546875" style="786" customWidth="1"/>
    <col min="54" max="54" width="5.140625" style="786" customWidth="1"/>
    <col min="55" max="55" width="9" style="786" customWidth="1"/>
    <col min="56" max="56" width="20.7109375" style="786" customWidth="1"/>
    <col min="57" max="57" width="22.28515625" style="786" customWidth="1"/>
    <col min="58" max="58" width="18.140625" style="786" customWidth="1"/>
    <col min="59" max="59" width="11.42578125" style="786" customWidth="1"/>
    <col min="60" max="60" width="41.28515625" style="786" customWidth="1"/>
    <col min="61" max="61" width="26.7109375" style="786" customWidth="1"/>
    <col min="62" max="62" width="25.140625" style="786" customWidth="1"/>
    <col min="63" max="63" width="15.140625" style="808" customWidth="1"/>
    <col min="64" max="64" width="17.85546875" style="808" customWidth="1"/>
    <col min="65" max="65" width="23.140625" style="808" customWidth="1"/>
    <col min="66" max="66" width="14.28515625" style="808" customWidth="1"/>
    <col min="67" max="67" width="19.85546875" style="808" customWidth="1"/>
    <col min="68" max="102" width="11.42578125" style="808" customWidth="1"/>
    <col min="104" max="16384" width="11.42578125" style="786"/>
  </cols>
  <sheetData>
    <row r="1" spans="1:149" ht="15" customHeight="1" thickBot="1">
      <c r="A1" s="14817" t="s">
        <v>1723</v>
      </c>
      <c r="B1" s="14817"/>
      <c r="C1" s="14817"/>
      <c r="D1" s="14817"/>
      <c r="E1" s="14817"/>
      <c r="F1" s="14817"/>
      <c r="G1" s="14817"/>
      <c r="H1" s="14817"/>
      <c r="I1" s="14817"/>
      <c r="J1" s="14817"/>
      <c r="K1" s="14817"/>
      <c r="L1" s="14820" t="s">
        <v>0</v>
      </c>
      <c r="M1" s="14820"/>
      <c r="N1" s="14820"/>
      <c r="O1" s="14820"/>
      <c r="P1" s="14820"/>
      <c r="Q1" s="14820"/>
      <c r="R1" s="14820"/>
      <c r="S1" s="14820"/>
      <c r="T1" s="14820"/>
      <c r="U1" s="14820"/>
      <c r="V1" s="14820"/>
      <c r="W1" s="14820"/>
      <c r="X1" s="14820"/>
      <c r="Y1" s="14820"/>
      <c r="Z1" s="14820"/>
      <c r="AA1" s="14820"/>
      <c r="AB1" s="14820"/>
      <c r="AC1" s="14820"/>
      <c r="AD1" s="14820"/>
      <c r="AE1" s="14820"/>
      <c r="AF1" s="14820"/>
      <c r="AG1" s="14820"/>
      <c r="AH1" s="14820"/>
      <c r="AI1" s="14820"/>
      <c r="AJ1" s="14820"/>
      <c r="AK1" s="14820"/>
      <c r="AL1" s="14820"/>
      <c r="AM1" s="14820"/>
      <c r="AN1" s="14820"/>
      <c r="AO1" s="14820"/>
      <c r="AP1" s="14820"/>
      <c r="AQ1" s="14820"/>
      <c r="AR1" s="14820"/>
      <c r="AS1" s="14820"/>
      <c r="AT1" s="14820"/>
      <c r="AU1" s="14820"/>
      <c r="AV1" s="14820"/>
      <c r="AW1" s="14820"/>
      <c r="AX1" s="14820"/>
      <c r="AY1" s="14820"/>
      <c r="AZ1" s="14820"/>
      <c r="BA1" s="14820"/>
      <c r="BB1" s="14820"/>
      <c r="BC1" s="14821"/>
      <c r="BD1" s="829"/>
      <c r="BE1" s="14820" t="s">
        <v>8493</v>
      </c>
      <c r="BF1" s="14820"/>
      <c r="BG1" s="14820"/>
      <c r="BH1" s="14820"/>
      <c r="BI1" s="14820"/>
      <c r="BJ1" s="14820"/>
      <c r="BK1" s="14820"/>
      <c r="BL1" s="14820"/>
      <c r="BM1" s="14820"/>
      <c r="BN1" s="14820"/>
      <c r="BO1" s="14820"/>
      <c r="BP1" s="14820"/>
      <c r="BQ1" s="14820"/>
      <c r="BR1" s="14820"/>
      <c r="BS1" s="14820"/>
      <c r="BT1" s="14820"/>
      <c r="BU1" s="14820"/>
      <c r="BV1" s="14820"/>
      <c r="BW1" s="14820"/>
      <c r="BX1" s="14820"/>
      <c r="BY1" s="14820"/>
      <c r="BZ1" s="14820"/>
      <c r="CA1" s="14820"/>
      <c r="CB1" s="14820"/>
      <c r="CC1" s="14820"/>
      <c r="CD1" s="14820"/>
      <c r="CE1" s="14820"/>
      <c r="CF1" s="14820"/>
      <c r="CG1" s="14820"/>
      <c r="CH1" s="14820"/>
      <c r="CI1" s="14820"/>
      <c r="CJ1" s="14820"/>
      <c r="CK1" s="14820"/>
      <c r="CL1" s="14820"/>
      <c r="CM1" s="14820"/>
      <c r="CN1" s="14820"/>
      <c r="CO1" s="14820"/>
      <c r="CP1" s="14820"/>
      <c r="CQ1" s="14820"/>
      <c r="CR1" s="14820"/>
      <c r="CS1" s="14820"/>
      <c r="CT1" s="14820"/>
      <c r="CU1" s="14820"/>
      <c r="CV1" s="14820"/>
      <c r="CW1" s="14820"/>
      <c r="CX1" s="14821"/>
    </row>
    <row r="2" spans="1:149" ht="15" customHeight="1" thickBot="1">
      <c r="A2" s="14817"/>
      <c r="B2" s="14817"/>
      <c r="C2" s="14817"/>
      <c r="D2" s="14817"/>
      <c r="E2" s="14817"/>
      <c r="F2" s="14817"/>
      <c r="G2" s="14817"/>
      <c r="H2" s="14817"/>
      <c r="I2" s="14817"/>
      <c r="J2" s="14817"/>
      <c r="K2" s="14817"/>
      <c r="L2" s="14842" t="s">
        <v>1</v>
      </c>
      <c r="M2" s="14825" t="s">
        <v>2</v>
      </c>
      <c r="N2" s="14825" t="s">
        <v>3</v>
      </c>
      <c r="O2" s="14791" t="s">
        <v>4</v>
      </c>
      <c r="P2" s="14822" t="s">
        <v>355</v>
      </c>
      <c r="Q2" s="14823"/>
      <c r="R2" s="14823"/>
      <c r="S2" s="14824"/>
      <c r="T2" s="14822" t="s">
        <v>356</v>
      </c>
      <c r="U2" s="14823"/>
      <c r="V2" s="14823"/>
      <c r="W2" s="14823"/>
      <c r="X2" s="14823"/>
      <c r="Y2" s="14823"/>
      <c r="Z2" s="14823"/>
      <c r="AA2" s="14823"/>
      <c r="AB2" s="14823"/>
      <c r="AC2" s="14823"/>
      <c r="AD2" s="14823"/>
      <c r="AE2" s="14823"/>
      <c r="AF2" s="14823"/>
      <c r="AG2" s="14823"/>
      <c r="AH2" s="14823"/>
      <c r="AI2" s="14823"/>
      <c r="AJ2" s="14823"/>
      <c r="AK2" s="14823"/>
      <c r="AL2" s="14823"/>
      <c r="AM2" s="14823"/>
      <c r="AN2" s="14823"/>
      <c r="AO2" s="14823"/>
      <c r="AP2" s="14823"/>
      <c r="AQ2" s="14823"/>
      <c r="AR2" s="14823"/>
      <c r="AS2" s="14824"/>
      <c r="AT2" s="14903" t="s">
        <v>357</v>
      </c>
      <c r="AU2" s="14904"/>
      <c r="AV2" s="14904"/>
      <c r="AW2" s="14904"/>
      <c r="AX2" s="14905"/>
      <c r="AY2" s="14830" t="s">
        <v>5</v>
      </c>
      <c r="AZ2" s="14831"/>
      <c r="BA2" s="14831"/>
      <c r="BB2" s="14831"/>
      <c r="BC2" s="14832"/>
      <c r="BD2" s="787"/>
      <c r="BE2" s="14842" t="s">
        <v>8490</v>
      </c>
      <c r="BF2" s="14899" t="s">
        <v>9652</v>
      </c>
      <c r="BG2" s="14899" t="s">
        <v>9651</v>
      </c>
      <c r="BH2" s="14825" t="s">
        <v>8491</v>
      </c>
      <c r="BI2" s="14825" t="s">
        <v>8492</v>
      </c>
      <c r="BJ2" s="14791" t="s">
        <v>4</v>
      </c>
      <c r="BK2" s="14850" t="s">
        <v>355</v>
      </c>
      <c r="BL2" s="14851"/>
      <c r="BM2" s="14851"/>
      <c r="BN2" s="14852"/>
      <c r="BO2" s="14850" t="s">
        <v>356</v>
      </c>
      <c r="BP2" s="14851"/>
      <c r="BQ2" s="14851"/>
      <c r="BR2" s="14851"/>
      <c r="BS2" s="14851"/>
      <c r="BT2" s="14851"/>
      <c r="BU2" s="14851"/>
      <c r="BV2" s="14851"/>
      <c r="BW2" s="14851"/>
      <c r="BX2" s="14851"/>
      <c r="BY2" s="14851"/>
      <c r="BZ2" s="14851"/>
      <c r="CA2" s="14851"/>
      <c r="CB2" s="14851"/>
      <c r="CC2" s="14851"/>
      <c r="CD2" s="14851"/>
      <c r="CE2" s="14851"/>
      <c r="CF2" s="14851"/>
      <c r="CG2" s="14851"/>
      <c r="CH2" s="14851"/>
      <c r="CI2" s="14851"/>
      <c r="CJ2" s="14851"/>
      <c r="CK2" s="14851"/>
      <c r="CL2" s="14851"/>
      <c r="CM2" s="14851"/>
      <c r="CN2" s="14852"/>
      <c r="CO2" s="14853" t="s">
        <v>357</v>
      </c>
      <c r="CP2" s="14854"/>
      <c r="CQ2" s="14854"/>
      <c r="CR2" s="14854"/>
      <c r="CS2" s="14855"/>
      <c r="CT2" s="14856" t="s">
        <v>5</v>
      </c>
      <c r="CU2" s="14857"/>
      <c r="CV2" s="14857"/>
      <c r="CW2" s="14857"/>
      <c r="CX2" s="14858"/>
      <c r="CZ2" s="13291" t="s">
        <v>8497</v>
      </c>
      <c r="DA2" s="13291"/>
      <c r="DB2" s="13291"/>
      <c r="DC2" s="13291"/>
      <c r="DD2" s="13291"/>
      <c r="DE2" s="13291"/>
      <c r="DF2" s="13618"/>
      <c r="DG2" s="13618"/>
      <c r="DH2" s="13618"/>
      <c r="DI2" s="13618"/>
      <c r="DJ2" s="13291"/>
      <c r="DK2" s="13291"/>
      <c r="DL2" s="13291"/>
      <c r="DM2" s="13291"/>
      <c r="DN2" s="13291"/>
      <c r="DO2" s="13291"/>
      <c r="DP2" s="13291"/>
      <c r="DQ2" s="13291"/>
      <c r="DR2" s="13291"/>
      <c r="DS2" s="13291"/>
      <c r="DT2" s="13291"/>
      <c r="DU2" s="13291"/>
      <c r="DV2" s="13291"/>
      <c r="DW2" s="13291"/>
      <c r="DX2" s="13291"/>
      <c r="DY2" s="13291"/>
      <c r="DZ2" s="13291"/>
      <c r="EA2" s="13291"/>
      <c r="EB2" s="13291"/>
      <c r="EC2" s="13291"/>
      <c r="ED2" s="13291"/>
      <c r="EE2" s="13291"/>
      <c r="EF2" s="13291"/>
      <c r="EG2" s="13291"/>
      <c r="EH2" s="13291"/>
      <c r="EI2" s="13291"/>
      <c r="EJ2" s="13291"/>
      <c r="EK2" s="13291"/>
      <c r="EL2" s="13291"/>
      <c r="EM2" s="13291"/>
      <c r="EN2" s="13291"/>
      <c r="EO2" s="13291"/>
      <c r="EP2" s="13291"/>
      <c r="EQ2" s="13291"/>
      <c r="ER2" s="13291"/>
      <c r="ES2" s="13292"/>
    </row>
    <row r="3" spans="1:149" ht="15" customHeight="1" thickBot="1">
      <c r="A3" s="14818" t="s">
        <v>1793</v>
      </c>
      <c r="B3" s="14819"/>
      <c r="C3" s="14819"/>
      <c r="D3" s="14819"/>
      <c r="E3" s="14819"/>
      <c r="F3" s="14819"/>
      <c r="G3" s="14819"/>
      <c r="H3" s="14819"/>
      <c r="I3" s="14819"/>
      <c r="J3" s="14819"/>
      <c r="K3" s="14819"/>
      <c r="L3" s="14843"/>
      <c r="M3" s="14826"/>
      <c r="N3" s="14826"/>
      <c r="O3" s="14792"/>
      <c r="P3" s="14779" t="s">
        <v>6</v>
      </c>
      <c r="Q3" s="14840" t="s">
        <v>7</v>
      </c>
      <c r="R3" s="14781" t="s">
        <v>8</v>
      </c>
      <c r="S3" s="14783" t="s">
        <v>9</v>
      </c>
      <c r="T3" s="14779" t="s">
        <v>10</v>
      </c>
      <c r="U3" s="14785" t="s">
        <v>11</v>
      </c>
      <c r="V3" s="14786"/>
      <c r="W3" s="14785" t="s">
        <v>12</v>
      </c>
      <c r="X3" s="14786"/>
      <c r="Y3" s="14785" t="s">
        <v>13</v>
      </c>
      <c r="Z3" s="14787"/>
      <c r="AA3" s="14787"/>
      <c r="AB3" s="14787"/>
      <c r="AC3" s="14787"/>
      <c r="AD3" s="14787"/>
      <c r="AE3" s="14786"/>
      <c r="AF3" s="14788" t="s">
        <v>14</v>
      </c>
      <c r="AG3" s="14789"/>
      <c r="AH3" s="14789"/>
      <c r="AI3" s="14789"/>
      <c r="AJ3" s="14789"/>
      <c r="AK3" s="14789"/>
      <c r="AL3" s="14789"/>
      <c r="AM3" s="14790"/>
      <c r="AN3" s="14788" t="s">
        <v>15</v>
      </c>
      <c r="AO3" s="14789"/>
      <c r="AP3" s="14789"/>
      <c r="AQ3" s="14789"/>
      <c r="AR3" s="14789"/>
      <c r="AS3" s="14790"/>
      <c r="AT3" s="14833" t="s">
        <v>16</v>
      </c>
      <c r="AU3" s="14833" t="s">
        <v>17</v>
      </c>
      <c r="AV3" s="14901" t="s">
        <v>18</v>
      </c>
      <c r="AW3" s="788" t="s">
        <v>19</v>
      </c>
      <c r="AX3" s="789" t="s">
        <v>20</v>
      </c>
      <c r="AY3" s="14835" t="s">
        <v>21</v>
      </c>
      <c r="AZ3" s="14827" t="s">
        <v>22</v>
      </c>
      <c r="BA3" s="14828"/>
      <c r="BB3" s="14829"/>
      <c r="BC3" s="790" t="s">
        <v>20</v>
      </c>
      <c r="BD3" s="791"/>
      <c r="BE3" s="14843"/>
      <c r="BF3" s="14899"/>
      <c r="BG3" s="14899"/>
      <c r="BH3" s="14826"/>
      <c r="BI3" s="14826"/>
      <c r="BJ3" s="14792"/>
      <c r="BK3" s="14859" t="s">
        <v>6</v>
      </c>
      <c r="BL3" s="14861" t="s">
        <v>7</v>
      </c>
      <c r="BM3" s="14863" t="s">
        <v>8</v>
      </c>
      <c r="BN3" s="14865" t="s">
        <v>9</v>
      </c>
      <c r="BO3" s="14859" t="s">
        <v>10</v>
      </c>
      <c r="BP3" s="14867" t="s">
        <v>11</v>
      </c>
      <c r="BQ3" s="14868"/>
      <c r="BR3" s="14867" t="s">
        <v>12</v>
      </c>
      <c r="BS3" s="14868"/>
      <c r="BT3" s="14867" t="s">
        <v>13</v>
      </c>
      <c r="BU3" s="14876"/>
      <c r="BV3" s="14876"/>
      <c r="BW3" s="14876"/>
      <c r="BX3" s="14876"/>
      <c r="BY3" s="14876"/>
      <c r="BZ3" s="14868"/>
      <c r="CA3" s="14877" t="s">
        <v>14</v>
      </c>
      <c r="CB3" s="14878"/>
      <c r="CC3" s="14878"/>
      <c r="CD3" s="14878"/>
      <c r="CE3" s="14878"/>
      <c r="CF3" s="14878"/>
      <c r="CG3" s="14878"/>
      <c r="CH3" s="14879"/>
      <c r="CI3" s="14877" t="s">
        <v>15</v>
      </c>
      <c r="CJ3" s="14878"/>
      <c r="CK3" s="14878"/>
      <c r="CL3" s="14878"/>
      <c r="CM3" s="14878"/>
      <c r="CN3" s="14879"/>
      <c r="CO3" s="14880" t="s">
        <v>16</v>
      </c>
      <c r="CP3" s="14880" t="s">
        <v>17</v>
      </c>
      <c r="CQ3" s="14869" t="s">
        <v>18</v>
      </c>
      <c r="CR3" s="848" t="s">
        <v>19</v>
      </c>
      <c r="CS3" s="849" t="s">
        <v>20</v>
      </c>
      <c r="CT3" s="14871" t="s">
        <v>21</v>
      </c>
      <c r="CU3" s="14873" t="s">
        <v>22</v>
      </c>
      <c r="CV3" s="14874"/>
      <c r="CW3" s="14875"/>
      <c r="CX3" s="850" t="s">
        <v>20</v>
      </c>
      <c r="CZ3" s="14600" t="s">
        <v>8498</v>
      </c>
      <c r="DA3" s="14609" t="s">
        <v>10189</v>
      </c>
      <c r="DB3" s="14609" t="s">
        <v>10190</v>
      </c>
      <c r="DC3" s="13295" t="s">
        <v>8499</v>
      </c>
      <c r="DD3" s="13295" t="s">
        <v>8500</v>
      </c>
      <c r="DE3" s="13297" t="s">
        <v>4</v>
      </c>
      <c r="DF3" s="14602" t="s">
        <v>355</v>
      </c>
      <c r="DG3" s="14603"/>
      <c r="DH3" s="14603"/>
      <c r="DI3" s="14604"/>
      <c r="DJ3" s="13299" t="s">
        <v>356</v>
      </c>
      <c r="DK3" s="13300"/>
      <c r="DL3" s="13300"/>
      <c r="DM3" s="13300"/>
      <c r="DN3" s="13300"/>
      <c r="DO3" s="13300"/>
      <c r="DP3" s="13300"/>
      <c r="DQ3" s="13300"/>
      <c r="DR3" s="13300"/>
      <c r="DS3" s="13300"/>
      <c r="DT3" s="13300"/>
      <c r="DU3" s="13300"/>
      <c r="DV3" s="13300"/>
      <c r="DW3" s="13300"/>
      <c r="DX3" s="13300"/>
      <c r="DY3" s="13300"/>
      <c r="DZ3" s="13300"/>
      <c r="EA3" s="13300"/>
      <c r="EB3" s="13300"/>
      <c r="EC3" s="13300"/>
      <c r="ED3" s="13300"/>
      <c r="EE3" s="13300"/>
      <c r="EF3" s="13300"/>
      <c r="EG3" s="13300"/>
      <c r="EH3" s="13300"/>
      <c r="EI3" s="13301"/>
      <c r="EJ3" s="13302" t="s">
        <v>357</v>
      </c>
      <c r="EK3" s="13303"/>
      <c r="EL3" s="13303"/>
      <c r="EM3" s="13303"/>
      <c r="EN3" s="13304"/>
      <c r="EO3" s="13305" t="s">
        <v>5</v>
      </c>
      <c r="EP3" s="13306"/>
      <c r="EQ3" s="13306"/>
      <c r="ER3" s="13306"/>
      <c r="ES3" s="13307"/>
    </row>
    <row r="4" spans="1:149" ht="15" customHeight="1" thickBot="1">
      <c r="A4" s="831"/>
      <c r="B4" s="832"/>
      <c r="C4" s="832"/>
      <c r="D4" s="832"/>
      <c r="E4" s="832"/>
      <c r="F4" s="832"/>
      <c r="G4" s="832"/>
      <c r="H4" s="832"/>
      <c r="I4" s="832"/>
      <c r="J4" s="832"/>
      <c r="K4" s="832"/>
      <c r="L4" s="14843"/>
      <c r="M4" s="14826"/>
      <c r="N4" s="14826"/>
      <c r="O4" s="14792"/>
      <c r="P4" s="14780"/>
      <c r="Q4" s="14841"/>
      <c r="R4" s="14782"/>
      <c r="S4" s="14784"/>
      <c r="T4" s="14780"/>
      <c r="U4" s="792"/>
      <c r="V4" s="793"/>
      <c r="W4" s="792"/>
      <c r="X4" s="793"/>
      <c r="Y4" s="792"/>
      <c r="Z4" s="794"/>
      <c r="AA4" s="794"/>
      <c r="AB4" s="794"/>
      <c r="AC4" s="794"/>
      <c r="AD4" s="794"/>
      <c r="AE4" s="793"/>
      <c r="AF4" s="795"/>
      <c r="AG4" s="796"/>
      <c r="AH4" s="796"/>
      <c r="AI4" s="796"/>
      <c r="AJ4" s="796"/>
      <c r="AK4" s="796"/>
      <c r="AL4" s="796"/>
      <c r="AM4" s="797"/>
      <c r="AN4" s="796"/>
      <c r="AO4" s="796"/>
      <c r="AP4" s="796"/>
      <c r="AQ4" s="796"/>
      <c r="AR4" s="796"/>
      <c r="AS4" s="796"/>
      <c r="AT4" s="14834"/>
      <c r="AU4" s="14834"/>
      <c r="AV4" s="14902"/>
      <c r="AW4" s="788"/>
      <c r="AX4" s="798"/>
      <c r="AY4" s="14836"/>
      <c r="AZ4" s="799"/>
      <c r="BA4" s="791"/>
      <c r="BB4" s="800"/>
      <c r="BC4" s="801"/>
      <c r="BD4" s="791"/>
      <c r="BE4" s="14843"/>
      <c r="BF4" s="14900"/>
      <c r="BG4" s="14900"/>
      <c r="BH4" s="14826"/>
      <c r="BI4" s="14826"/>
      <c r="BJ4" s="14792"/>
      <c r="BK4" s="14860"/>
      <c r="BL4" s="14862"/>
      <c r="BM4" s="14864"/>
      <c r="BN4" s="14866"/>
      <c r="BO4" s="14860"/>
      <c r="BP4" s="851"/>
      <c r="BQ4" s="852"/>
      <c r="BR4" s="851"/>
      <c r="BS4" s="852"/>
      <c r="BT4" s="851"/>
      <c r="BU4" s="853"/>
      <c r="BV4" s="853"/>
      <c r="BW4" s="853"/>
      <c r="BX4" s="853"/>
      <c r="BY4" s="853"/>
      <c r="BZ4" s="852"/>
      <c r="CA4" s="854"/>
      <c r="CB4" s="855"/>
      <c r="CC4" s="855"/>
      <c r="CD4" s="855"/>
      <c r="CE4" s="855"/>
      <c r="CF4" s="855"/>
      <c r="CG4" s="855"/>
      <c r="CH4" s="856"/>
      <c r="CI4" s="855"/>
      <c r="CJ4" s="855"/>
      <c r="CK4" s="855"/>
      <c r="CL4" s="855"/>
      <c r="CM4" s="855"/>
      <c r="CN4" s="855"/>
      <c r="CO4" s="14881"/>
      <c r="CP4" s="14881"/>
      <c r="CQ4" s="14870"/>
      <c r="CR4" s="848"/>
      <c r="CS4" s="857"/>
      <c r="CT4" s="14872"/>
      <c r="CU4" s="858"/>
      <c r="CV4" s="859"/>
      <c r="CW4" s="860"/>
      <c r="CX4" s="861"/>
      <c r="CZ4" s="14601"/>
      <c r="DA4" s="14609"/>
      <c r="DB4" s="14609"/>
      <c r="DC4" s="13296"/>
      <c r="DD4" s="13296"/>
      <c r="DE4" s="13298"/>
      <c r="DF4" s="14605" t="s">
        <v>6</v>
      </c>
      <c r="DG4" s="14611" t="s">
        <v>7</v>
      </c>
      <c r="DH4" s="14577" t="s">
        <v>8</v>
      </c>
      <c r="DI4" s="14579" t="s">
        <v>9</v>
      </c>
      <c r="DJ4" s="13308" t="s">
        <v>10</v>
      </c>
      <c r="DK4" s="13282" t="s">
        <v>11</v>
      </c>
      <c r="DL4" s="13284"/>
      <c r="DM4" s="13282" t="s">
        <v>12</v>
      </c>
      <c r="DN4" s="13284"/>
      <c r="DO4" s="13282" t="s">
        <v>13</v>
      </c>
      <c r="DP4" s="13283"/>
      <c r="DQ4" s="13283"/>
      <c r="DR4" s="13283"/>
      <c r="DS4" s="13283"/>
      <c r="DT4" s="13283"/>
      <c r="DU4" s="13284"/>
      <c r="DV4" s="13285" t="s">
        <v>14</v>
      </c>
      <c r="DW4" s="13286"/>
      <c r="DX4" s="13286"/>
      <c r="DY4" s="13286"/>
      <c r="DZ4" s="13286"/>
      <c r="EA4" s="13286"/>
      <c r="EB4" s="13286"/>
      <c r="EC4" s="13287"/>
      <c r="ED4" s="13285" t="s">
        <v>15</v>
      </c>
      <c r="EE4" s="13286"/>
      <c r="EF4" s="13286"/>
      <c r="EG4" s="13286"/>
      <c r="EH4" s="13286"/>
      <c r="EI4" s="13287"/>
      <c r="EJ4" s="13288" t="s">
        <v>16</v>
      </c>
      <c r="EK4" s="13288" t="s">
        <v>17</v>
      </c>
      <c r="EL4" s="13275" t="s">
        <v>18</v>
      </c>
      <c r="EM4" s="10" t="s">
        <v>19</v>
      </c>
      <c r="EN4" s="489" t="s">
        <v>20</v>
      </c>
      <c r="EO4" s="13277" t="s">
        <v>21</v>
      </c>
      <c r="EP4" s="13279" t="s">
        <v>22</v>
      </c>
      <c r="EQ4" s="13280"/>
      <c r="ER4" s="13281"/>
      <c r="ES4" s="12" t="s">
        <v>20</v>
      </c>
    </row>
    <row r="5" spans="1:149" ht="15" customHeight="1" thickBot="1">
      <c r="A5" s="868" t="s">
        <v>1724</v>
      </c>
      <c r="B5" s="868" t="s">
        <v>55</v>
      </c>
      <c r="C5" s="868" t="s">
        <v>4635</v>
      </c>
      <c r="D5" s="868" t="s">
        <v>4636</v>
      </c>
      <c r="E5" s="868" t="s">
        <v>57</v>
      </c>
      <c r="F5" s="868" t="s">
        <v>364</v>
      </c>
      <c r="G5" s="868" t="s">
        <v>365</v>
      </c>
      <c r="H5" s="868" t="s">
        <v>1725</v>
      </c>
      <c r="I5" s="868" t="s">
        <v>1726</v>
      </c>
      <c r="J5" s="868" t="s">
        <v>9711</v>
      </c>
      <c r="K5" s="3103" t="s">
        <v>522</v>
      </c>
      <c r="L5" s="14843"/>
      <c r="M5" s="14826"/>
      <c r="N5" s="14826"/>
      <c r="O5" s="14792"/>
      <c r="P5" s="14780"/>
      <c r="Q5" s="14841"/>
      <c r="R5" s="14782"/>
      <c r="S5" s="14784"/>
      <c r="T5" s="14780"/>
      <c r="U5" s="869" t="s">
        <v>23</v>
      </c>
      <c r="V5" s="870" t="s">
        <v>24</v>
      </c>
      <c r="W5" s="869" t="s">
        <v>25</v>
      </c>
      <c r="X5" s="870" t="s">
        <v>26</v>
      </c>
      <c r="Y5" s="871" t="s">
        <v>27</v>
      </c>
      <c r="Z5" s="872" t="s">
        <v>28</v>
      </c>
      <c r="AA5" s="873" t="s">
        <v>29</v>
      </c>
      <c r="AB5" s="873" t="s">
        <v>30</v>
      </c>
      <c r="AC5" s="873" t="s">
        <v>31</v>
      </c>
      <c r="AD5" s="873" t="s">
        <v>32</v>
      </c>
      <c r="AE5" s="874" t="s">
        <v>33</v>
      </c>
      <c r="AF5" s="871" t="s">
        <v>34</v>
      </c>
      <c r="AG5" s="873" t="s">
        <v>35</v>
      </c>
      <c r="AH5" s="873" t="s">
        <v>36</v>
      </c>
      <c r="AI5" s="873" t="s">
        <v>37</v>
      </c>
      <c r="AJ5" s="873" t="s">
        <v>38</v>
      </c>
      <c r="AK5" s="873" t="s">
        <v>39</v>
      </c>
      <c r="AL5" s="873" t="s">
        <v>40</v>
      </c>
      <c r="AM5" s="874" t="s">
        <v>41</v>
      </c>
      <c r="AN5" s="875" t="s">
        <v>42</v>
      </c>
      <c r="AO5" s="873" t="s">
        <v>43</v>
      </c>
      <c r="AP5" s="873" t="s">
        <v>44</v>
      </c>
      <c r="AQ5" s="873" t="s">
        <v>45</v>
      </c>
      <c r="AR5" s="873" t="s">
        <v>46</v>
      </c>
      <c r="AS5" s="876" t="s">
        <v>47</v>
      </c>
      <c r="AT5" s="14834"/>
      <c r="AU5" s="14834"/>
      <c r="AV5" s="14902"/>
      <c r="AW5" s="830" t="s">
        <v>48</v>
      </c>
      <c r="AX5" s="802" t="s">
        <v>49</v>
      </c>
      <c r="AY5" s="14836"/>
      <c r="AZ5" s="877" t="s">
        <v>50</v>
      </c>
      <c r="BA5" s="877" t="s">
        <v>51</v>
      </c>
      <c r="BB5" s="877" t="s">
        <v>52</v>
      </c>
      <c r="BC5" s="878" t="s">
        <v>49</v>
      </c>
      <c r="BD5" s="868" t="s">
        <v>8494</v>
      </c>
      <c r="BE5" s="14843"/>
      <c r="BF5" s="14900"/>
      <c r="BG5" s="14900"/>
      <c r="BH5" s="14826"/>
      <c r="BI5" s="14826"/>
      <c r="BJ5" s="14792"/>
      <c r="BK5" s="14860"/>
      <c r="BL5" s="14862"/>
      <c r="BM5" s="14864"/>
      <c r="BN5" s="14866"/>
      <c r="BO5" s="14860"/>
      <c r="BP5" s="879" t="s">
        <v>23</v>
      </c>
      <c r="BQ5" s="880" t="s">
        <v>24</v>
      </c>
      <c r="BR5" s="879" t="s">
        <v>25</v>
      </c>
      <c r="BS5" s="880" t="s">
        <v>26</v>
      </c>
      <c r="BT5" s="881" t="s">
        <v>27</v>
      </c>
      <c r="BU5" s="882" t="s">
        <v>28</v>
      </c>
      <c r="BV5" s="882" t="s">
        <v>29</v>
      </c>
      <c r="BW5" s="882" t="s">
        <v>30</v>
      </c>
      <c r="BX5" s="882" t="s">
        <v>31</v>
      </c>
      <c r="BY5" s="882" t="s">
        <v>32</v>
      </c>
      <c r="BZ5" s="883" t="s">
        <v>33</v>
      </c>
      <c r="CA5" s="881" t="s">
        <v>34</v>
      </c>
      <c r="CB5" s="882" t="s">
        <v>35</v>
      </c>
      <c r="CC5" s="882" t="s">
        <v>36</v>
      </c>
      <c r="CD5" s="882" t="s">
        <v>37</v>
      </c>
      <c r="CE5" s="882" t="s">
        <v>38</v>
      </c>
      <c r="CF5" s="882" t="s">
        <v>39</v>
      </c>
      <c r="CG5" s="882" t="s">
        <v>40</v>
      </c>
      <c r="CH5" s="883" t="s">
        <v>41</v>
      </c>
      <c r="CI5" s="884" t="s">
        <v>42</v>
      </c>
      <c r="CJ5" s="882" t="s">
        <v>43</v>
      </c>
      <c r="CK5" s="882" t="s">
        <v>44</v>
      </c>
      <c r="CL5" s="882" t="s">
        <v>45</v>
      </c>
      <c r="CM5" s="882" t="s">
        <v>46</v>
      </c>
      <c r="CN5" s="885" t="s">
        <v>47</v>
      </c>
      <c r="CO5" s="14881"/>
      <c r="CP5" s="14881"/>
      <c r="CQ5" s="14870"/>
      <c r="CR5" s="862" t="s">
        <v>48</v>
      </c>
      <c r="CS5" s="863" t="s">
        <v>49</v>
      </c>
      <c r="CT5" s="14872"/>
      <c r="CU5" s="886" t="s">
        <v>50</v>
      </c>
      <c r="CV5" s="886" t="s">
        <v>51</v>
      </c>
      <c r="CW5" s="886" t="s">
        <v>52</v>
      </c>
      <c r="CX5" s="887" t="s">
        <v>49</v>
      </c>
      <c r="CZ5" s="14601"/>
      <c r="DA5" s="14610"/>
      <c r="DB5" s="14610"/>
      <c r="DC5" s="13296"/>
      <c r="DD5" s="13296"/>
      <c r="DE5" s="13298"/>
      <c r="DF5" s="14606"/>
      <c r="DG5" s="14612"/>
      <c r="DH5" s="14578"/>
      <c r="DI5" s="14580"/>
      <c r="DJ5" s="13309"/>
      <c r="DK5" s="776" t="s">
        <v>23</v>
      </c>
      <c r="DL5" s="777" t="s">
        <v>24</v>
      </c>
      <c r="DM5" s="776" t="s">
        <v>25</v>
      </c>
      <c r="DN5" s="777" t="s">
        <v>26</v>
      </c>
      <c r="DO5" s="778" t="s">
        <v>27</v>
      </c>
      <c r="DP5" s="779" t="s">
        <v>28</v>
      </c>
      <c r="DQ5" s="780" t="s">
        <v>29</v>
      </c>
      <c r="DR5" s="780" t="s">
        <v>30</v>
      </c>
      <c r="DS5" s="780" t="s">
        <v>31</v>
      </c>
      <c r="DT5" s="780" t="s">
        <v>32</v>
      </c>
      <c r="DU5" s="781" t="s">
        <v>33</v>
      </c>
      <c r="DV5" s="778" t="s">
        <v>34</v>
      </c>
      <c r="DW5" s="780" t="s">
        <v>35</v>
      </c>
      <c r="DX5" s="780" t="s">
        <v>36</v>
      </c>
      <c r="DY5" s="780" t="s">
        <v>37</v>
      </c>
      <c r="DZ5" s="780" t="s">
        <v>38</v>
      </c>
      <c r="EA5" s="780" t="s">
        <v>39</v>
      </c>
      <c r="EB5" s="780" t="s">
        <v>40</v>
      </c>
      <c r="EC5" s="781" t="s">
        <v>41</v>
      </c>
      <c r="ED5" s="782" t="s">
        <v>42</v>
      </c>
      <c r="EE5" s="780" t="s">
        <v>43</v>
      </c>
      <c r="EF5" s="780" t="s">
        <v>44</v>
      </c>
      <c r="EG5" s="780" t="s">
        <v>45</v>
      </c>
      <c r="EH5" s="780" t="s">
        <v>46</v>
      </c>
      <c r="EI5" s="783" t="s">
        <v>47</v>
      </c>
      <c r="EJ5" s="13289"/>
      <c r="EK5" s="13289"/>
      <c r="EL5" s="13276"/>
      <c r="EM5" s="3003" t="s">
        <v>48</v>
      </c>
      <c r="EN5" s="21" t="s">
        <v>49</v>
      </c>
      <c r="EO5" s="13278"/>
      <c r="EP5" s="784" t="s">
        <v>50</v>
      </c>
      <c r="EQ5" s="784" t="s">
        <v>51</v>
      </c>
      <c r="ER5" s="784" t="s">
        <v>52</v>
      </c>
      <c r="ES5" s="823" t="s">
        <v>49</v>
      </c>
    </row>
    <row r="6" spans="1:149" s="1153" customFormat="1" ht="15" customHeight="1" thickBot="1">
      <c r="A6" s="14793" t="s">
        <v>1727</v>
      </c>
      <c r="B6" s="14795" t="s">
        <v>1728</v>
      </c>
      <c r="C6" s="1137" t="s">
        <v>7560</v>
      </c>
      <c r="D6" s="1138" t="s">
        <v>8555</v>
      </c>
      <c r="E6" s="1139" t="s">
        <v>8556</v>
      </c>
      <c r="F6" s="1139" t="s">
        <v>1046</v>
      </c>
      <c r="G6" s="1139" t="s">
        <v>1729</v>
      </c>
      <c r="H6" s="1140">
        <v>38</v>
      </c>
      <c r="I6" s="1140">
        <v>56</v>
      </c>
      <c r="J6" s="1140">
        <v>38</v>
      </c>
      <c r="K6" s="1141" t="s">
        <v>4305</v>
      </c>
      <c r="L6" s="1142">
        <v>0.8</v>
      </c>
      <c r="M6" s="1140" t="s">
        <v>3182</v>
      </c>
      <c r="N6" s="1140" t="s">
        <v>3183</v>
      </c>
      <c r="O6" s="1143"/>
      <c r="P6" s="1144">
        <f>+(60000000)*80%</f>
        <v>48000000</v>
      </c>
      <c r="Q6" s="1144">
        <f>+(60000000)*80%</f>
        <v>48000000</v>
      </c>
      <c r="R6" s="1143"/>
      <c r="S6" s="1143"/>
      <c r="T6" s="1145"/>
      <c r="U6" s="1143"/>
      <c r="V6" s="1143"/>
      <c r="W6" s="1143"/>
      <c r="X6" s="1143"/>
      <c r="Y6" s="1143"/>
      <c r="Z6" s="1143"/>
      <c r="AA6" s="1143"/>
      <c r="AB6" s="1143"/>
      <c r="AC6" s="1143"/>
      <c r="AD6" s="1143"/>
      <c r="AE6" s="1143"/>
      <c r="AF6" s="1143"/>
      <c r="AG6" s="1143"/>
      <c r="AH6" s="1143"/>
      <c r="AI6" s="1143"/>
      <c r="AJ6" s="1143"/>
      <c r="AK6" s="1143"/>
      <c r="AL6" s="1143"/>
      <c r="AM6" s="1143"/>
      <c r="AN6" s="1143"/>
      <c r="AO6" s="1143"/>
      <c r="AP6" s="1143"/>
      <c r="AQ6" s="1143"/>
      <c r="AR6" s="1143"/>
      <c r="AS6" s="1143"/>
      <c r="AT6" s="1145"/>
      <c r="AU6" s="1143"/>
      <c r="AV6" s="1143"/>
      <c r="AW6" s="1143"/>
      <c r="AX6" s="1143"/>
      <c r="AY6" s="1143"/>
      <c r="AZ6" s="1143"/>
      <c r="BA6" s="1143"/>
      <c r="BB6" s="1143"/>
      <c r="BC6" s="1146"/>
      <c r="BD6" s="1142">
        <v>1</v>
      </c>
      <c r="BE6" s="1142">
        <v>1</v>
      </c>
      <c r="BF6" s="1147">
        <f>BE6/BD6</f>
        <v>1</v>
      </c>
      <c r="BG6" s="14885">
        <f>AVERAGE(BF6:BF17)</f>
        <v>0.91666666666666663</v>
      </c>
      <c r="BH6" s="1141" t="s">
        <v>8655</v>
      </c>
      <c r="BI6" s="1140" t="s">
        <v>8656</v>
      </c>
      <c r="BJ6" s="1140" t="s">
        <v>8656</v>
      </c>
      <c r="BK6" s="1148" t="s">
        <v>8656</v>
      </c>
      <c r="BL6" s="14884">
        <f>SUM(BK6:BK17)</f>
        <v>319923663</v>
      </c>
      <c r="BM6" s="1149"/>
      <c r="BN6" s="1150"/>
      <c r="BO6" s="1150"/>
      <c r="BP6" s="1151"/>
      <c r="BQ6" s="1150"/>
      <c r="BR6" s="1150"/>
      <c r="BS6" s="1150"/>
      <c r="BT6" s="1150"/>
      <c r="BU6" s="1150"/>
      <c r="BV6" s="1150"/>
      <c r="BW6" s="1150"/>
      <c r="BX6" s="1150"/>
      <c r="BY6" s="1150"/>
      <c r="BZ6" s="1150"/>
      <c r="CA6" s="1150"/>
      <c r="CB6" s="1150"/>
      <c r="CC6" s="1150"/>
      <c r="CD6" s="1150"/>
      <c r="CE6" s="1150"/>
      <c r="CF6" s="1150"/>
      <c r="CG6" s="1150"/>
      <c r="CH6" s="1150"/>
      <c r="CI6" s="1150"/>
      <c r="CJ6" s="1150"/>
      <c r="CK6" s="1150"/>
      <c r="CL6" s="1150"/>
      <c r="CM6" s="1150"/>
      <c r="CN6" s="1150"/>
      <c r="CO6" s="1150"/>
      <c r="CP6" s="1151"/>
      <c r="CQ6" s="1150"/>
      <c r="CR6" s="1150"/>
      <c r="CS6" s="1150"/>
      <c r="CT6" s="1150"/>
      <c r="CU6" s="1150"/>
      <c r="CV6" s="1150"/>
      <c r="CW6" s="1150"/>
      <c r="CX6" s="1152"/>
      <c r="CY6"/>
      <c r="CZ6" s="3064"/>
      <c r="DA6" s="1143"/>
      <c r="DB6" s="1143"/>
      <c r="DC6" s="1143"/>
      <c r="DD6" s="1143"/>
      <c r="DE6" s="1146"/>
      <c r="DF6" s="3091"/>
      <c r="DG6" s="1143"/>
      <c r="DH6" s="1143"/>
      <c r="DI6" s="1146"/>
      <c r="DJ6" s="3079"/>
      <c r="DK6" s="3091"/>
      <c r="DL6" s="1146"/>
      <c r="DM6" s="3091"/>
      <c r="DN6" s="1146"/>
      <c r="DO6" s="3091"/>
      <c r="DP6" s="1143"/>
      <c r="DQ6" s="1143"/>
      <c r="DR6" s="1143"/>
      <c r="DS6" s="1143"/>
      <c r="DT6" s="1143"/>
      <c r="DU6" s="1146"/>
      <c r="DV6" s="3091"/>
      <c r="DW6" s="1143"/>
      <c r="DX6" s="1143"/>
      <c r="DY6" s="1143"/>
      <c r="DZ6" s="1143"/>
      <c r="EA6" s="1143"/>
      <c r="EB6" s="1143"/>
      <c r="EC6" s="1146"/>
      <c r="ED6" s="3091"/>
      <c r="EE6" s="1143"/>
      <c r="EF6" s="1143"/>
      <c r="EG6" s="1143"/>
      <c r="EH6" s="1143"/>
      <c r="EI6" s="1146"/>
      <c r="EJ6" s="3079"/>
      <c r="EK6" s="3079"/>
      <c r="EL6" s="3079"/>
      <c r="EM6" s="3079"/>
      <c r="EN6" s="3079"/>
      <c r="EO6" s="3079"/>
      <c r="EP6" s="3091"/>
      <c r="EQ6" s="1143"/>
      <c r="ER6" s="1146"/>
      <c r="ES6" s="3079"/>
    </row>
    <row r="7" spans="1:149" s="1153" customFormat="1" ht="15" customHeight="1">
      <c r="A7" s="14794"/>
      <c r="B7" s="14796"/>
      <c r="C7" s="1154" t="s">
        <v>7561</v>
      </c>
      <c r="D7" s="1155" t="s">
        <v>8557</v>
      </c>
      <c r="E7" s="1156" t="s">
        <v>1731</v>
      </c>
      <c r="F7" s="1157" t="s">
        <v>1073</v>
      </c>
      <c r="G7" s="1157" t="s">
        <v>1732</v>
      </c>
      <c r="H7" s="1158">
        <v>3</v>
      </c>
      <c r="I7" s="1159">
        <v>5</v>
      </c>
      <c r="J7" s="1158">
        <v>3</v>
      </c>
      <c r="K7" s="1141" t="s">
        <v>4305</v>
      </c>
      <c r="L7" s="1161">
        <v>1</v>
      </c>
      <c r="M7" s="1162" t="s">
        <v>3184</v>
      </c>
      <c r="N7" s="1162" t="s">
        <v>3185</v>
      </c>
      <c r="O7" s="1163"/>
      <c r="P7" s="1164">
        <v>18000000</v>
      </c>
      <c r="Q7" s="1164">
        <v>18000000</v>
      </c>
      <c r="R7" s="1163"/>
      <c r="S7" s="1163"/>
      <c r="T7" s="1145"/>
      <c r="U7" s="1163"/>
      <c r="V7" s="1163"/>
      <c r="W7" s="1163"/>
      <c r="X7" s="1163"/>
      <c r="Y7" s="1163"/>
      <c r="Z7" s="1163"/>
      <c r="AA7" s="1163"/>
      <c r="AB7" s="1163"/>
      <c r="AC7" s="1163"/>
      <c r="AD7" s="1163"/>
      <c r="AE7" s="1163"/>
      <c r="AF7" s="1163"/>
      <c r="AG7" s="1163"/>
      <c r="AH7" s="1163"/>
      <c r="AI7" s="1163"/>
      <c r="AJ7" s="1163"/>
      <c r="AK7" s="1163"/>
      <c r="AL7" s="1163"/>
      <c r="AM7" s="1163"/>
      <c r="AN7" s="1163"/>
      <c r="AO7" s="1163"/>
      <c r="AP7" s="1163"/>
      <c r="AQ7" s="1163"/>
      <c r="AR7" s="1163"/>
      <c r="AS7" s="1163"/>
      <c r="AT7" s="1163"/>
      <c r="AU7" s="1163"/>
      <c r="AV7" s="1163"/>
      <c r="AW7" s="1163"/>
      <c r="AX7" s="1163"/>
      <c r="AY7" s="1163"/>
      <c r="AZ7" s="1163"/>
      <c r="BA7" s="1163"/>
      <c r="BB7" s="1163"/>
      <c r="BC7" s="1165"/>
      <c r="BD7" s="1166">
        <v>1</v>
      </c>
      <c r="BE7" s="1166">
        <v>1</v>
      </c>
      <c r="BF7" s="1167">
        <f t="shared" ref="BF7:BF43" si="0">BE7/BD7</f>
        <v>1</v>
      </c>
      <c r="BG7" s="14886"/>
      <c r="BH7" s="1168" t="s">
        <v>8657</v>
      </c>
      <c r="BI7" s="1168" t="s">
        <v>8658</v>
      </c>
      <c r="BJ7" s="1169"/>
      <c r="BK7" s="1170">
        <f>38031400+9338800+60000000</f>
        <v>107370200</v>
      </c>
      <c r="BL7" s="14771"/>
      <c r="BM7" s="1170">
        <f>38031400+9338800+60000000</f>
        <v>107370200</v>
      </c>
      <c r="BN7" s="1171"/>
      <c r="BO7" s="1171"/>
      <c r="BP7" s="1172"/>
      <c r="BQ7" s="1171"/>
      <c r="BR7" s="1171"/>
      <c r="BS7" s="1171"/>
      <c r="BT7" s="1171"/>
      <c r="BU7" s="1171"/>
      <c r="BV7" s="1171"/>
      <c r="BW7" s="1171"/>
      <c r="BX7" s="1171"/>
      <c r="BY7" s="1171"/>
      <c r="BZ7" s="1171"/>
      <c r="CA7" s="1171"/>
      <c r="CB7" s="1171"/>
      <c r="CC7" s="1171"/>
      <c r="CD7" s="1171"/>
      <c r="CE7" s="1171"/>
      <c r="CF7" s="1171"/>
      <c r="CG7" s="1171"/>
      <c r="CH7" s="1171"/>
      <c r="CI7" s="1171"/>
      <c r="CJ7" s="1171"/>
      <c r="CK7" s="1171"/>
      <c r="CL7" s="1171"/>
      <c r="CM7" s="1171"/>
      <c r="CN7" s="1171"/>
      <c r="CO7" s="1171"/>
      <c r="CP7" s="1171"/>
      <c r="CQ7" s="1171"/>
      <c r="CR7" s="1171"/>
      <c r="CS7" s="1171"/>
      <c r="CT7" s="1171"/>
      <c r="CU7" s="1171"/>
      <c r="CV7" s="1171"/>
      <c r="CW7" s="1171"/>
      <c r="CX7" s="1173"/>
      <c r="CY7"/>
      <c r="CZ7" s="3065"/>
      <c r="DA7" s="3061"/>
      <c r="DB7" s="3061"/>
      <c r="DC7" s="3061"/>
      <c r="DD7" s="3061"/>
      <c r="DE7" s="1165"/>
      <c r="DF7" s="3092"/>
      <c r="DG7" s="3061"/>
      <c r="DH7" s="3061"/>
      <c r="DI7" s="1165"/>
      <c r="DJ7" s="3080"/>
      <c r="DK7" s="3092"/>
      <c r="DL7" s="1165"/>
      <c r="DM7" s="3092"/>
      <c r="DN7" s="1165"/>
      <c r="DO7" s="3092"/>
      <c r="DP7" s="3061"/>
      <c r="DQ7" s="3061"/>
      <c r="DR7" s="3061"/>
      <c r="DS7" s="3061"/>
      <c r="DT7" s="3061"/>
      <c r="DU7" s="1165"/>
      <c r="DV7" s="3092"/>
      <c r="DW7" s="3061"/>
      <c r="DX7" s="3061"/>
      <c r="DY7" s="3061"/>
      <c r="DZ7" s="3061"/>
      <c r="EA7" s="3061"/>
      <c r="EB7" s="3061"/>
      <c r="EC7" s="1165"/>
      <c r="ED7" s="3092"/>
      <c r="EE7" s="3061"/>
      <c r="EF7" s="3061"/>
      <c r="EG7" s="3061"/>
      <c r="EH7" s="3061"/>
      <c r="EI7" s="1165"/>
      <c r="EJ7" s="3080"/>
      <c r="EK7" s="3080"/>
      <c r="EL7" s="3080"/>
      <c r="EM7" s="3080"/>
      <c r="EN7" s="3080"/>
      <c r="EO7" s="3080"/>
      <c r="EP7" s="3092"/>
      <c r="EQ7" s="3061"/>
      <c r="ER7" s="1165"/>
      <c r="ES7" s="3080"/>
    </row>
    <row r="8" spans="1:149" s="1153" customFormat="1" ht="15" customHeight="1">
      <c r="A8" s="14794"/>
      <c r="B8" s="14796"/>
      <c r="C8" s="7724" t="s">
        <v>7562</v>
      </c>
      <c r="D8" s="7588" t="s">
        <v>8558</v>
      </c>
      <c r="E8" s="7597" t="s">
        <v>8559</v>
      </c>
      <c r="F8" s="7597" t="s">
        <v>1073</v>
      </c>
      <c r="G8" s="7597">
        <v>0</v>
      </c>
      <c r="H8" s="7590">
        <v>1</v>
      </c>
      <c r="I8" s="1174">
        <v>1</v>
      </c>
      <c r="J8" s="7590">
        <v>1</v>
      </c>
      <c r="K8" s="7590" t="s">
        <v>4305</v>
      </c>
      <c r="L8" s="1175">
        <v>0</v>
      </c>
      <c r="M8" s="1158"/>
      <c r="N8" s="1162"/>
      <c r="O8" s="1158"/>
      <c r="P8" s="1162"/>
      <c r="Q8" s="1158"/>
      <c r="R8" s="1162"/>
      <c r="S8" s="1158"/>
      <c r="T8" s="1162"/>
      <c r="U8" s="1163"/>
      <c r="V8" s="1163"/>
      <c r="W8" s="1163"/>
      <c r="X8" s="1163"/>
      <c r="Y8" s="1163"/>
      <c r="Z8" s="1163"/>
      <c r="AA8" s="1163"/>
      <c r="AB8" s="1163"/>
      <c r="AC8" s="1163"/>
      <c r="AD8" s="1163"/>
      <c r="AE8" s="1163"/>
      <c r="AF8" s="1163"/>
      <c r="AG8" s="1163"/>
      <c r="AH8" s="1163"/>
      <c r="AI8" s="1163"/>
      <c r="AJ8" s="1163"/>
      <c r="AK8" s="1163"/>
      <c r="AL8" s="1163"/>
      <c r="AM8" s="1163"/>
      <c r="AN8" s="1163"/>
      <c r="AO8" s="1163"/>
      <c r="AP8" s="1163"/>
      <c r="AQ8" s="1163"/>
      <c r="AR8" s="1163"/>
      <c r="AS8" s="1163"/>
      <c r="AT8" s="1163"/>
      <c r="AU8" s="1163"/>
      <c r="AV8" s="1163"/>
      <c r="AW8" s="1163"/>
      <c r="AX8" s="1163"/>
      <c r="AY8" s="1163"/>
      <c r="AZ8" s="1163"/>
      <c r="BA8" s="1163"/>
      <c r="BB8" s="1163"/>
      <c r="BC8" s="1165"/>
      <c r="BD8" s="7586">
        <v>1</v>
      </c>
      <c r="BE8" s="7586">
        <v>1</v>
      </c>
      <c r="BF8" s="7600">
        <f>BE8/BD8</f>
        <v>1</v>
      </c>
      <c r="BG8" s="14886"/>
      <c r="BH8" s="7599" t="s">
        <v>8659</v>
      </c>
      <c r="BI8" s="1176" t="s">
        <v>8660</v>
      </c>
      <c r="BJ8" s="7590" t="s">
        <v>8661</v>
      </c>
      <c r="BK8" s="7598">
        <v>140000000</v>
      </c>
      <c r="BL8" s="14771"/>
      <c r="BM8" s="7598">
        <v>140000000</v>
      </c>
      <c r="BN8" s="7594"/>
      <c r="BO8" s="7594"/>
      <c r="BP8" s="7594"/>
      <c r="BQ8" s="7594"/>
      <c r="BR8" s="7594"/>
      <c r="BS8" s="7594"/>
      <c r="BT8" s="7594"/>
      <c r="BU8" s="7594"/>
      <c r="BV8" s="7594"/>
      <c r="BW8" s="7594"/>
      <c r="BX8" s="7594"/>
      <c r="BY8" s="7594"/>
      <c r="BZ8" s="7594"/>
      <c r="CA8" s="7594"/>
      <c r="CB8" s="7594"/>
      <c r="CC8" s="7594"/>
      <c r="CD8" s="7594"/>
      <c r="CE8" s="7594"/>
      <c r="CF8" s="7594"/>
      <c r="CG8" s="7594"/>
      <c r="CH8" s="7594"/>
      <c r="CI8" s="7594"/>
      <c r="CJ8" s="7594"/>
      <c r="CK8" s="7594"/>
      <c r="CL8" s="7594"/>
      <c r="CM8" s="7594"/>
      <c r="CN8" s="7594"/>
      <c r="CO8" s="7594"/>
      <c r="CP8" s="1177" t="s">
        <v>8660</v>
      </c>
      <c r="CQ8" s="1177" t="s">
        <v>8662</v>
      </c>
      <c r="CR8" s="1172" t="s">
        <v>8663</v>
      </c>
      <c r="CS8" s="7593" t="s">
        <v>8664</v>
      </c>
      <c r="CT8" s="7593" t="s">
        <v>8664</v>
      </c>
      <c r="CU8" s="1171"/>
      <c r="CV8" s="1171"/>
      <c r="CW8" s="1171"/>
      <c r="CX8" s="1173"/>
      <c r="CY8"/>
      <c r="CZ8" s="3065"/>
      <c r="DA8" s="3061"/>
      <c r="DB8" s="3061"/>
      <c r="DC8" s="3061"/>
      <c r="DD8" s="3061"/>
      <c r="DE8" s="1165"/>
      <c r="DF8" s="3092"/>
      <c r="DG8" s="3061"/>
      <c r="DH8" s="3061"/>
      <c r="DI8" s="1165"/>
      <c r="DJ8" s="3080"/>
      <c r="DK8" s="3092"/>
      <c r="DL8" s="1165"/>
      <c r="DM8" s="3092"/>
      <c r="DN8" s="1165"/>
      <c r="DO8" s="3092"/>
      <c r="DP8" s="3061"/>
      <c r="DQ8" s="3061"/>
      <c r="DR8" s="3061"/>
      <c r="DS8" s="3061"/>
      <c r="DT8" s="3061"/>
      <c r="DU8" s="1165"/>
      <c r="DV8" s="3092"/>
      <c r="DW8" s="3061"/>
      <c r="DX8" s="3061"/>
      <c r="DY8" s="3061"/>
      <c r="DZ8" s="3061"/>
      <c r="EA8" s="3061"/>
      <c r="EB8" s="3061"/>
      <c r="EC8" s="1165"/>
      <c r="ED8" s="3092"/>
      <c r="EE8" s="3061"/>
      <c r="EF8" s="3061"/>
      <c r="EG8" s="3061"/>
      <c r="EH8" s="3061"/>
      <c r="EI8" s="1165"/>
      <c r="EJ8" s="3080"/>
      <c r="EK8" s="3080"/>
      <c r="EL8" s="3080"/>
      <c r="EM8" s="3080"/>
      <c r="EN8" s="3080"/>
      <c r="EO8" s="3080"/>
      <c r="EP8" s="3092"/>
      <c r="EQ8" s="3061"/>
      <c r="ER8" s="1165"/>
      <c r="ES8" s="3080"/>
    </row>
    <row r="9" spans="1:149" s="1153" customFormat="1" ht="15" customHeight="1">
      <c r="A9" s="14794"/>
      <c r="B9" s="14796"/>
      <c r="C9" s="1154" t="s">
        <v>7563</v>
      </c>
      <c r="D9" s="1179" t="s">
        <v>8560</v>
      </c>
      <c r="E9" s="1162" t="s">
        <v>8561</v>
      </c>
      <c r="F9" s="1157" t="s">
        <v>1073</v>
      </c>
      <c r="G9" s="1157" t="s">
        <v>1732</v>
      </c>
      <c r="H9" s="1180">
        <v>11</v>
      </c>
      <c r="I9" s="1162">
        <v>1</v>
      </c>
      <c r="J9" s="1180">
        <v>11</v>
      </c>
      <c r="K9" s="1160" t="s">
        <v>4305</v>
      </c>
      <c r="L9" s="1166">
        <v>1</v>
      </c>
      <c r="M9" s="1176" t="s">
        <v>3903</v>
      </c>
      <c r="N9" s="1176" t="s">
        <v>3904</v>
      </c>
      <c r="O9" s="1162"/>
      <c r="P9" s="1181">
        <f>659189076+1807233600+279000000</f>
        <v>2745422676</v>
      </c>
      <c r="Q9" s="1181">
        <v>2466422676</v>
      </c>
      <c r="R9" s="1181">
        <v>279000000</v>
      </c>
      <c r="S9" s="1162"/>
      <c r="T9" s="1182">
        <f>486+1464+51+92</f>
        <v>2093</v>
      </c>
      <c r="U9" s="1162">
        <f>341+804+51</f>
        <v>1196</v>
      </c>
      <c r="V9" s="1162">
        <f>141+660+92</f>
        <v>893</v>
      </c>
      <c r="W9" s="1162" t="s">
        <v>3905</v>
      </c>
      <c r="X9" s="1162" t="s">
        <v>3906</v>
      </c>
      <c r="Y9" s="1162"/>
      <c r="Z9" s="1162"/>
      <c r="AA9" s="1162"/>
      <c r="AB9" s="1162">
        <f>450+804</f>
        <v>1254</v>
      </c>
      <c r="AC9" s="1162">
        <f>36+660</f>
        <v>696</v>
      </c>
      <c r="AD9" s="1162"/>
      <c r="AE9" s="1162"/>
      <c r="AF9" s="1162"/>
      <c r="AG9" s="1162"/>
      <c r="AH9" s="1162"/>
      <c r="AI9" s="1162">
        <v>15</v>
      </c>
      <c r="AJ9" s="1162"/>
      <c r="AK9" s="1162"/>
      <c r="AL9" s="1162"/>
      <c r="AM9" s="1162"/>
      <c r="AN9" s="1162"/>
      <c r="AO9" s="1162">
        <v>5</v>
      </c>
      <c r="AP9" s="1162">
        <v>3</v>
      </c>
      <c r="AQ9" s="1162"/>
      <c r="AR9" s="1162"/>
      <c r="AS9" s="1162"/>
      <c r="AT9" s="1162"/>
      <c r="AU9" s="1162"/>
      <c r="AV9" s="1162"/>
      <c r="AW9" s="1162"/>
      <c r="AX9" s="1162"/>
      <c r="AY9" s="1162"/>
      <c r="AZ9" s="1162"/>
      <c r="BA9" s="1162"/>
      <c r="BB9" s="1162"/>
      <c r="BC9" s="1162"/>
      <c r="BD9" s="1166">
        <v>1</v>
      </c>
      <c r="BE9" s="1166">
        <v>1</v>
      </c>
      <c r="BF9" s="1167">
        <f t="shared" si="0"/>
        <v>1</v>
      </c>
      <c r="BG9" s="14886"/>
      <c r="BH9" s="1168" t="s">
        <v>9712</v>
      </c>
      <c r="BI9" s="1162" t="s">
        <v>8665</v>
      </c>
      <c r="BJ9" s="1163"/>
      <c r="BK9" s="1170">
        <v>70000000</v>
      </c>
      <c r="BL9" s="14771"/>
      <c r="BM9" s="1170">
        <v>70000000</v>
      </c>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83"/>
      <c r="CY9"/>
      <c r="CZ9" s="3065"/>
      <c r="DA9" s="3061"/>
      <c r="DB9" s="3061"/>
      <c r="DC9" s="3061"/>
      <c r="DD9" s="3061"/>
      <c r="DE9" s="1165"/>
      <c r="DF9" s="3092"/>
      <c r="DG9" s="3061"/>
      <c r="DH9" s="3061"/>
      <c r="DI9" s="1165"/>
      <c r="DJ9" s="3080"/>
      <c r="DK9" s="3092"/>
      <c r="DL9" s="1165"/>
      <c r="DM9" s="3092"/>
      <c r="DN9" s="1165"/>
      <c r="DO9" s="3092"/>
      <c r="DP9" s="3061"/>
      <c r="DQ9" s="3061"/>
      <c r="DR9" s="3061"/>
      <c r="DS9" s="3061"/>
      <c r="DT9" s="3061"/>
      <c r="DU9" s="1165"/>
      <c r="DV9" s="3092"/>
      <c r="DW9" s="3061"/>
      <c r="DX9" s="3061"/>
      <c r="DY9" s="3061"/>
      <c r="DZ9" s="3061"/>
      <c r="EA9" s="3061"/>
      <c r="EB9" s="3061"/>
      <c r="EC9" s="1165"/>
      <c r="ED9" s="3092"/>
      <c r="EE9" s="3061"/>
      <c r="EF9" s="3061"/>
      <c r="EG9" s="3061"/>
      <c r="EH9" s="3061"/>
      <c r="EI9" s="1165"/>
      <c r="EJ9" s="3080"/>
      <c r="EK9" s="3080"/>
      <c r="EL9" s="3080"/>
      <c r="EM9" s="3080"/>
      <c r="EN9" s="3080"/>
      <c r="EO9" s="3080"/>
      <c r="EP9" s="3092"/>
      <c r="EQ9" s="3061"/>
      <c r="ER9" s="1165"/>
      <c r="ES9" s="3080"/>
    </row>
    <row r="10" spans="1:149" s="1153" customFormat="1" ht="15" customHeight="1">
      <c r="A10" s="14794"/>
      <c r="B10" s="14796"/>
      <c r="C10" s="1154" t="s">
        <v>7564</v>
      </c>
      <c r="D10" s="7589" t="s">
        <v>8562</v>
      </c>
      <c r="E10" s="7597" t="s">
        <v>8563</v>
      </c>
      <c r="F10" s="7597" t="s">
        <v>2866</v>
      </c>
      <c r="G10" s="7597" t="s">
        <v>1732</v>
      </c>
      <c r="H10" s="7595">
        <v>1</v>
      </c>
      <c r="I10" s="1166">
        <v>0.8</v>
      </c>
      <c r="J10" s="7595">
        <v>1</v>
      </c>
      <c r="K10" s="7590" t="s">
        <v>644</v>
      </c>
      <c r="L10" s="1161">
        <v>1</v>
      </c>
      <c r="M10" s="14773" t="s">
        <v>3186</v>
      </c>
      <c r="N10" s="14773" t="s">
        <v>3187</v>
      </c>
      <c r="O10" s="1163"/>
      <c r="P10" s="14837">
        <v>60000000</v>
      </c>
      <c r="Q10" s="14837">
        <v>60000000</v>
      </c>
      <c r="R10" s="1163"/>
      <c r="S10" s="1163"/>
      <c r="T10" s="1163"/>
      <c r="U10" s="1163"/>
      <c r="V10" s="1163"/>
      <c r="W10" s="1163"/>
      <c r="X10" s="1163"/>
      <c r="Y10" s="1163"/>
      <c r="Z10" s="1163"/>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5"/>
      <c r="BD10" s="7587">
        <v>1</v>
      </c>
      <c r="BE10" s="7587">
        <v>1</v>
      </c>
      <c r="BF10" s="7600">
        <f t="shared" si="0"/>
        <v>1</v>
      </c>
      <c r="BG10" s="14886"/>
      <c r="BH10" s="1168" t="s">
        <v>9713</v>
      </c>
      <c r="BI10" s="1184" t="s">
        <v>8666</v>
      </c>
      <c r="BJ10" s="7595" t="s">
        <v>8667</v>
      </c>
      <c r="BK10" s="7596">
        <v>2553463</v>
      </c>
      <c r="BL10" s="14771"/>
      <c r="BM10" s="7596">
        <v>2553464</v>
      </c>
      <c r="BN10" s="1178"/>
      <c r="BO10" s="1178"/>
      <c r="BP10" s="1185">
        <v>613</v>
      </c>
      <c r="BQ10" s="1186"/>
      <c r="BR10" s="1186"/>
      <c r="BS10" s="1187"/>
      <c r="BT10" s="1187"/>
      <c r="BU10" s="1187"/>
      <c r="BV10" s="1187"/>
      <c r="BW10" s="1188"/>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9"/>
      <c r="CY10"/>
      <c r="CZ10" s="3065"/>
      <c r="DA10" s="3061"/>
      <c r="DB10" s="3061"/>
      <c r="DC10" s="3061"/>
      <c r="DD10" s="3061"/>
      <c r="DE10" s="1165"/>
      <c r="DF10" s="3092"/>
      <c r="DG10" s="3061"/>
      <c r="DH10" s="3061"/>
      <c r="DI10" s="1165"/>
      <c r="DJ10" s="3080"/>
      <c r="DK10" s="3092"/>
      <c r="DL10" s="1165"/>
      <c r="DM10" s="3092"/>
      <c r="DN10" s="1165"/>
      <c r="DO10" s="3092"/>
      <c r="DP10" s="3061"/>
      <c r="DQ10" s="3061"/>
      <c r="DR10" s="3061"/>
      <c r="DS10" s="3061"/>
      <c r="DT10" s="3061"/>
      <c r="DU10" s="1165"/>
      <c r="DV10" s="3092"/>
      <c r="DW10" s="3061"/>
      <c r="DX10" s="3061"/>
      <c r="DY10" s="3061"/>
      <c r="DZ10" s="3061"/>
      <c r="EA10" s="3061"/>
      <c r="EB10" s="3061"/>
      <c r="EC10" s="1165"/>
      <c r="ED10" s="3092"/>
      <c r="EE10" s="3061"/>
      <c r="EF10" s="3061"/>
      <c r="EG10" s="3061"/>
      <c r="EH10" s="3061"/>
      <c r="EI10" s="1165"/>
      <c r="EJ10" s="3080"/>
      <c r="EK10" s="3080"/>
      <c r="EL10" s="3080"/>
      <c r="EM10" s="3080"/>
      <c r="EN10" s="3080"/>
      <c r="EO10" s="3080"/>
      <c r="EP10" s="3092"/>
      <c r="EQ10" s="3061"/>
      <c r="ER10" s="1165"/>
      <c r="ES10" s="3080"/>
    </row>
    <row r="11" spans="1:149" s="1153" customFormat="1" ht="15" customHeight="1">
      <c r="A11" s="14794"/>
      <c r="B11" s="14797" t="s">
        <v>1734</v>
      </c>
      <c r="C11" s="1154" t="s">
        <v>7565</v>
      </c>
      <c r="D11" s="1157" t="s">
        <v>8564</v>
      </c>
      <c r="E11" s="1157" t="s">
        <v>8565</v>
      </c>
      <c r="F11" s="1157" t="s">
        <v>1073</v>
      </c>
      <c r="G11" s="1157" t="s">
        <v>1736</v>
      </c>
      <c r="H11" s="1161">
        <v>1</v>
      </c>
      <c r="I11" s="1162">
        <v>1</v>
      </c>
      <c r="J11" s="1161">
        <v>1</v>
      </c>
      <c r="K11" s="1160" t="s">
        <v>4305</v>
      </c>
      <c r="L11" s="1161">
        <v>0.7</v>
      </c>
      <c r="M11" s="14774"/>
      <c r="N11" s="14774"/>
      <c r="O11" s="1163"/>
      <c r="P11" s="14838"/>
      <c r="Q11" s="14838"/>
      <c r="R11" s="1163"/>
      <c r="S11" s="1163"/>
      <c r="T11" s="1163"/>
      <c r="U11" s="1163"/>
      <c r="V11" s="1163"/>
      <c r="W11" s="1163"/>
      <c r="X11" s="1163"/>
      <c r="Y11" s="1163"/>
      <c r="Z11" s="1163"/>
      <c r="AA11" s="1163"/>
      <c r="AB11" s="1163"/>
      <c r="AC11" s="1163"/>
      <c r="AD11" s="1163"/>
      <c r="AE11" s="1163"/>
      <c r="AF11" s="1163"/>
      <c r="AG11" s="1163"/>
      <c r="AH11" s="1163"/>
      <c r="AI11" s="1163"/>
      <c r="AJ11" s="1163"/>
      <c r="AK11" s="1163"/>
      <c r="AL11" s="1163"/>
      <c r="AM11" s="1163"/>
      <c r="AN11" s="1163"/>
      <c r="AO11" s="1163"/>
      <c r="AP11" s="1163"/>
      <c r="AQ11" s="1163"/>
      <c r="AR11" s="1163"/>
      <c r="AS11" s="1163"/>
      <c r="AT11" s="1163"/>
      <c r="AU11" s="1163"/>
      <c r="AV11" s="1163"/>
      <c r="AW11" s="1163"/>
      <c r="AX11" s="1163"/>
      <c r="AY11" s="1163"/>
      <c r="AZ11" s="1163"/>
      <c r="BA11" s="1163"/>
      <c r="BB11" s="1163"/>
      <c r="BC11" s="1165"/>
      <c r="BD11" s="1166">
        <v>1</v>
      </c>
      <c r="BE11" s="1166">
        <v>1</v>
      </c>
      <c r="BF11" s="1167">
        <f t="shared" si="0"/>
        <v>1</v>
      </c>
      <c r="BG11" s="14886"/>
      <c r="BH11" s="14906" t="s">
        <v>8655</v>
      </c>
      <c r="BI11" s="14909"/>
      <c r="BJ11" s="14773"/>
      <c r="BK11" s="14770"/>
      <c r="BL11" s="14771"/>
      <c r="BM11" s="14770"/>
      <c r="BN11" s="14770"/>
      <c r="BO11" s="14770"/>
      <c r="BP11" s="14770"/>
      <c r="BQ11" s="14770"/>
      <c r="BR11" s="14770"/>
      <c r="BS11" s="14770"/>
      <c r="BT11" s="14770"/>
      <c r="BU11" s="14770"/>
      <c r="BV11" s="14770"/>
      <c r="BW11" s="14770"/>
      <c r="BX11" s="14770"/>
      <c r="BY11" s="14770"/>
      <c r="BZ11" s="14770"/>
      <c r="CA11" s="14770"/>
      <c r="CB11" s="14770"/>
      <c r="CC11" s="14770"/>
      <c r="CD11" s="14770"/>
      <c r="CE11" s="14770"/>
      <c r="CF11" s="14770"/>
      <c r="CG11" s="14770"/>
      <c r="CH11" s="14770"/>
      <c r="CI11" s="14770"/>
      <c r="CJ11" s="14770"/>
      <c r="CK11" s="14770"/>
      <c r="CL11" s="14770"/>
      <c r="CM11" s="14770"/>
      <c r="CN11" s="14770"/>
      <c r="CO11" s="14770"/>
      <c r="CP11" s="14770"/>
      <c r="CQ11" s="14770"/>
      <c r="CR11" s="14770"/>
      <c r="CS11" s="14770"/>
      <c r="CT11" s="14770"/>
      <c r="CU11" s="14770"/>
      <c r="CV11" s="14770"/>
      <c r="CW11" s="14770"/>
      <c r="CX11" s="14776"/>
      <c r="CY11"/>
      <c r="CZ11" s="3065"/>
      <c r="DA11" s="3061"/>
      <c r="DB11" s="3061"/>
      <c r="DC11" s="3061"/>
      <c r="DD11" s="3061"/>
      <c r="DE11" s="1165"/>
      <c r="DF11" s="3092"/>
      <c r="DG11" s="3061"/>
      <c r="DH11" s="3061"/>
      <c r="DI11" s="1165"/>
      <c r="DJ11" s="3080"/>
      <c r="DK11" s="3092"/>
      <c r="DL11" s="1165"/>
      <c r="DM11" s="3092"/>
      <c r="DN11" s="1165"/>
      <c r="DO11" s="3092"/>
      <c r="DP11" s="3061"/>
      <c r="DQ11" s="3061"/>
      <c r="DR11" s="3061"/>
      <c r="DS11" s="3061"/>
      <c r="DT11" s="3061"/>
      <c r="DU11" s="1165"/>
      <c r="DV11" s="3092"/>
      <c r="DW11" s="3061"/>
      <c r="DX11" s="3061"/>
      <c r="DY11" s="3061"/>
      <c r="DZ11" s="3061"/>
      <c r="EA11" s="3061"/>
      <c r="EB11" s="3061"/>
      <c r="EC11" s="1165"/>
      <c r="ED11" s="3092"/>
      <c r="EE11" s="3061"/>
      <c r="EF11" s="3061"/>
      <c r="EG11" s="3061"/>
      <c r="EH11" s="3061"/>
      <c r="EI11" s="1165"/>
      <c r="EJ11" s="3080"/>
      <c r="EK11" s="3080"/>
      <c r="EL11" s="3080"/>
      <c r="EM11" s="3080"/>
      <c r="EN11" s="3080"/>
      <c r="EO11" s="3080"/>
      <c r="EP11" s="3092"/>
      <c r="EQ11" s="3061"/>
      <c r="ER11" s="1165"/>
      <c r="ES11" s="3080"/>
    </row>
    <row r="12" spans="1:149" s="1153" customFormat="1" ht="15" customHeight="1">
      <c r="A12" s="14794"/>
      <c r="B12" s="14797"/>
      <c r="C12" s="1154" t="s">
        <v>7566</v>
      </c>
      <c r="D12" s="1157" t="s">
        <v>8566</v>
      </c>
      <c r="E12" s="1157" t="s">
        <v>8567</v>
      </c>
      <c r="F12" s="1157" t="s">
        <v>1073</v>
      </c>
      <c r="G12" s="1157" t="s">
        <v>1736</v>
      </c>
      <c r="H12" s="1161">
        <v>0.7</v>
      </c>
      <c r="I12" s="1162">
        <v>4</v>
      </c>
      <c r="J12" s="1161">
        <v>0.7</v>
      </c>
      <c r="K12" s="1160" t="s">
        <v>4305</v>
      </c>
      <c r="L12" s="1161">
        <v>0.7</v>
      </c>
      <c r="M12" s="14775"/>
      <c r="N12" s="14775"/>
      <c r="O12" s="1163"/>
      <c r="P12" s="14839"/>
      <c r="Q12" s="14839"/>
      <c r="R12" s="1163"/>
      <c r="S12" s="1163"/>
      <c r="T12" s="1163"/>
      <c r="U12" s="1163"/>
      <c r="V12" s="1163"/>
      <c r="W12" s="1163"/>
      <c r="X12" s="1163"/>
      <c r="Y12" s="1163"/>
      <c r="Z12" s="1163"/>
      <c r="AA12" s="1163"/>
      <c r="AB12" s="1163"/>
      <c r="AC12" s="1163"/>
      <c r="AD12" s="1163"/>
      <c r="AE12" s="1163"/>
      <c r="AF12" s="1163"/>
      <c r="AG12" s="1163"/>
      <c r="AH12" s="1163"/>
      <c r="AI12" s="1163"/>
      <c r="AJ12" s="1163"/>
      <c r="AK12" s="1163"/>
      <c r="AL12" s="1163"/>
      <c r="AM12" s="1163"/>
      <c r="AN12" s="1163"/>
      <c r="AO12" s="1163"/>
      <c r="AP12" s="1163"/>
      <c r="AQ12" s="1163"/>
      <c r="AR12" s="1163"/>
      <c r="AS12" s="1163"/>
      <c r="AT12" s="1163"/>
      <c r="AU12" s="1163"/>
      <c r="AV12" s="1163"/>
      <c r="AW12" s="1163"/>
      <c r="AX12" s="1163"/>
      <c r="AY12" s="1163"/>
      <c r="AZ12" s="1163"/>
      <c r="BA12" s="1163"/>
      <c r="BB12" s="1163"/>
      <c r="BC12" s="1165"/>
      <c r="BD12" s="1166">
        <v>1</v>
      </c>
      <c r="BE12" s="1166">
        <v>1</v>
      </c>
      <c r="BF12" s="1167">
        <f t="shared" si="0"/>
        <v>1</v>
      </c>
      <c r="BG12" s="14886"/>
      <c r="BH12" s="14907"/>
      <c r="BI12" s="14909"/>
      <c r="BJ12" s="14774"/>
      <c r="BK12" s="14771"/>
      <c r="BL12" s="14771"/>
      <c r="BM12" s="14771"/>
      <c r="BN12" s="14771"/>
      <c r="BO12" s="14771"/>
      <c r="BP12" s="14771"/>
      <c r="BQ12" s="14771"/>
      <c r="BR12" s="14771"/>
      <c r="BS12" s="14771"/>
      <c r="BT12" s="14771"/>
      <c r="BU12" s="14771"/>
      <c r="BV12" s="14771"/>
      <c r="BW12" s="14771"/>
      <c r="BX12" s="14771"/>
      <c r="BY12" s="14771"/>
      <c r="BZ12" s="14771"/>
      <c r="CA12" s="14771"/>
      <c r="CB12" s="14771"/>
      <c r="CC12" s="14771"/>
      <c r="CD12" s="14771"/>
      <c r="CE12" s="14771"/>
      <c r="CF12" s="14771"/>
      <c r="CG12" s="14771"/>
      <c r="CH12" s="14771"/>
      <c r="CI12" s="14771"/>
      <c r="CJ12" s="14771"/>
      <c r="CK12" s="14771"/>
      <c r="CL12" s="14771"/>
      <c r="CM12" s="14771"/>
      <c r="CN12" s="14771"/>
      <c r="CO12" s="14771"/>
      <c r="CP12" s="14771"/>
      <c r="CQ12" s="14771"/>
      <c r="CR12" s="14771"/>
      <c r="CS12" s="14771"/>
      <c r="CT12" s="14771"/>
      <c r="CU12" s="14771"/>
      <c r="CV12" s="14771"/>
      <c r="CW12" s="14771"/>
      <c r="CX12" s="14777"/>
      <c r="CY12"/>
      <c r="CZ12" s="3065"/>
      <c r="DA12" s="3061"/>
      <c r="DB12" s="3061"/>
      <c r="DC12" s="3061"/>
      <c r="DD12" s="3061"/>
      <c r="DE12" s="1165"/>
      <c r="DF12" s="3092"/>
      <c r="DG12" s="3061"/>
      <c r="DH12" s="3061"/>
      <c r="DI12" s="1165"/>
      <c r="DJ12" s="3080"/>
      <c r="DK12" s="3092"/>
      <c r="DL12" s="1165"/>
      <c r="DM12" s="3092"/>
      <c r="DN12" s="1165"/>
      <c r="DO12" s="3092"/>
      <c r="DP12" s="3061"/>
      <c r="DQ12" s="3061"/>
      <c r="DR12" s="3061"/>
      <c r="DS12" s="3061"/>
      <c r="DT12" s="3061"/>
      <c r="DU12" s="1165"/>
      <c r="DV12" s="3092"/>
      <c r="DW12" s="3061"/>
      <c r="DX12" s="3061"/>
      <c r="DY12" s="3061"/>
      <c r="DZ12" s="3061"/>
      <c r="EA12" s="3061"/>
      <c r="EB12" s="3061"/>
      <c r="EC12" s="1165"/>
      <c r="ED12" s="3092"/>
      <c r="EE12" s="3061"/>
      <c r="EF12" s="3061"/>
      <c r="EG12" s="3061"/>
      <c r="EH12" s="3061"/>
      <c r="EI12" s="1165"/>
      <c r="EJ12" s="3080"/>
      <c r="EK12" s="3080"/>
      <c r="EL12" s="3080"/>
      <c r="EM12" s="3080"/>
      <c r="EN12" s="3080"/>
      <c r="EO12" s="3080"/>
      <c r="EP12" s="3092"/>
      <c r="EQ12" s="3061"/>
      <c r="ER12" s="1165"/>
      <c r="ES12" s="3080"/>
    </row>
    <row r="13" spans="1:149" s="1153" customFormat="1" ht="15" customHeight="1">
      <c r="A13" s="14794"/>
      <c r="B13" s="14797"/>
      <c r="C13" s="1154" t="s">
        <v>7567</v>
      </c>
      <c r="D13" s="1157" t="s">
        <v>8568</v>
      </c>
      <c r="E13" s="1157" t="s">
        <v>8569</v>
      </c>
      <c r="F13" s="1157" t="s">
        <v>1073</v>
      </c>
      <c r="G13" s="1157" t="s">
        <v>1736</v>
      </c>
      <c r="H13" s="1161">
        <v>0.7</v>
      </c>
      <c r="I13" s="1166">
        <v>0.6</v>
      </c>
      <c r="J13" s="1161">
        <v>0.7</v>
      </c>
      <c r="K13" s="1160" t="s">
        <v>4305</v>
      </c>
      <c r="L13" s="1161">
        <v>0.7</v>
      </c>
      <c r="M13" s="1162" t="s">
        <v>3188</v>
      </c>
      <c r="N13" s="1162" t="s">
        <v>3183</v>
      </c>
      <c r="O13" s="1163"/>
      <c r="P13" s="1164">
        <f>60000000*20%</f>
        <v>12000000</v>
      </c>
      <c r="Q13" s="1164">
        <f>60000000*20%</f>
        <v>12000000</v>
      </c>
      <c r="R13" s="1163"/>
      <c r="S13" s="1163"/>
      <c r="T13" s="1163"/>
      <c r="U13" s="1163"/>
      <c r="V13" s="1163"/>
      <c r="W13" s="1163"/>
      <c r="X13" s="1163"/>
      <c r="Y13" s="1163"/>
      <c r="Z13" s="1163"/>
      <c r="AA13" s="1163"/>
      <c r="AB13" s="1163"/>
      <c r="AC13" s="1163"/>
      <c r="AD13" s="1163"/>
      <c r="AE13" s="1163"/>
      <c r="AF13" s="1163"/>
      <c r="AG13" s="1163"/>
      <c r="AH13" s="1163"/>
      <c r="AI13" s="1163"/>
      <c r="AJ13" s="1163"/>
      <c r="AK13" s="1163"/>
      <c r="AL13" s="1163"/>
      <c r="AM13" s="1163"/>
      <c r="AN13" s="1163"/>
      <c r="AO13" s="1163"/>
      <c r="AP13" s="1163"/>
      <c r="AQ13" s="1163"/>
      <c r="AR13" s="1163"/>
      <c r="AS13" s="1163"/>
      <c r="AT13" s="1163"/>
      <c r="AU13" s="1163"/>
      <c r="AV13" s="1163"/>
      <c r="AW13" s="1163"/>
      <c r="AX13" s="1163"/>
      <c r="AY13" s="1163"/>
      <c r="AZ13" s="1163"/>
      <c r="BA13" s="1163"/>
      <c r="BB13" s="1163"/>
      <c r="BC13" s="1165"/>
      <c r="BD13" s="1166">
        <v>1</v>
      </c>
      <c r="BE13" s="1166">
        <v>1</v>
      </c>
      <c r="BF13" s="1167">
        <f t="shared" si="0"/>
        <v>1</v>
      </c>
      <c r="BG13" s="14886"/>
      <c r="BH13" s="14908"/>
      <c r="BI13" s="14909"/>
      <c r="BJ13" s="14774"/>
      <c r="BK13" s="14771"/>
      <c r="BL13" s="14771"/>
      <c r="BM13" s="14771"/>
      <c r="BN13" s="14771"/>
      <c r="BO13" s="14771"/>
      <c r="BP13" s="14771"/>
      <c r="BQ13" s="14771"/>
      <c r="BR13" s="14771"/>
      <c r="BS13" s="14771"/>
      <c r="BT13" s="14771"/>
      <c r="BU13" s="14771"/>
      <c r="BV13" s="14771"/>
      <c r="BW13" s="14771"/>
      <c r="BX13" s="14771"/>
      <c r="BY13" s="14771"/>
      <c r="BZ13" s="14771"/>
      <c r="CA13" s="14771"/>
      <c r="CB13" s="14771"/>
      <c r="CC13" s="14771"/>
      <c r="CD13" s="14771"/>
      <c r="CE13" s="14771"/>
      <c r="CF13" s="14771"/>
      <c r="CG13" s="14771"/>
      <c r="CH13" s="14771"/>
      <c r="CI13" s="14771"/>
      <c r="CJ13" s="14771"/>
      <c r="CK13" s="14771"/>
      <c r="CL13" s="14771"/>
      <c r="CM13" s="14771"/>
      <c r="CN13" s="14771"/>
      <c r="CO13" s="14771"/>
      <c r="CP13" s="14771"/>
      <c r="CQ13" s="14771"/>
      <c r="CR13" s="14771"/>
      <c r="CS13" s="14771"/>
      <c r="CT13" s="14771"/>
      <c r="CU13" s="14771"/>
      <c r="CV13" s="14771"/>
      <c r="CW13" s="14771"/>
      <c r="CX13" s="14777"/>
      <c r="CY13"/>
      <c r="CZ13" s="3065"/>
      <c r="DA13" s="3061"/>
      <c r="DB13" s="3061"/>
      <c r="DC13" s="3061"/>
      <c r="DD13" s="3061"/>
      <c r="DE13" s="1165"/>
      <c r="DF13" s="3092"/>
      <c r="DG13" s="3061"/>
      <c r="DH13" s="3061"/>
      <c r="DI13" s="1165"/>
      <c r="DJ13" s="3080"/>
      <c r="DK13" s="3092"/>
      <c r="DL13" s="1165"/>
      <c r="DM13" s="3092"/>
      <c r="DN13" s="1165"/>
      <c r="DO13" s="3092"/>
      <c r="DP13" s="3061"/>
      <c r="DQ13" s="3061"/>
      <c r="DR13" s="3061"/>
      <c r="DS13" s="3061"/>
      <c r="DT13" s="3061"/>
      <c r="DU13" s="1165"/>
      <c r="DV13" s="3092"/>
      <c r="DW13" s="3061"/>
      <c r="DX13" s="3061"/>
      <c r="DY13" s="3061"/>
      <c r="DZ13" s="3061"/>
      <c r="EA13" s="3061"/>
      <c r="EB13" s="3061"/>
      <c r="EC13" s="1165"/>
      <c r="ED13" s="3092"/>
      <c r="EE13" s="3061"/>
      <c r="EF13" s="3061"/>
      <c r="EG13" s="3061"/>
      <c r="EH13" s="3061"/>
      <c r="EI13" s="1165"/>
      <c r="EJ13" s="3080"/>
      <c r="EK13" s="3080"/>
      <c r="EL13" s="3080"/>
      <c r="EM13" s="3080"/>
      <c r="EN13" s="3080"/>
      <c r="EO13" s="3080"/>
      <c r="EP13" s="3092"/>
      <c r="EQ13" s="3061"/>
      <c r="ER13" s="1165"/>
      <c r="ES13" s="3080"/>
    </row>
    <row r="14" spans="1:149" s="1153" customFormat="1" ht="15" customHeight="1" thickBot="1">
      <c r="A14" s="14794"/>
      <c r="B14" s="14797"/>
      <c r="C14" s="14807" t="s">
        <v>7568</v>
      </c>
      <c r="D14" s="14844" t="s">
        <v>8570</v>
      </c>
      <c r="E14" s="1162" t="s">
        <v>8571</v>
      </c>
      <c r="F14" s="1162" t="s">
        <v>1073</v>
      </c>
      <c r="G14" s="1162" t="s">
        <v>1736</v>
      </c>
      <c r="H14" s="1161">
        <v>0.7</v>
      </c>
      <c r="I14" s="1162">
        <v>5</v>
      </c>
      <c r="J14" s="1161">
        <v>0.7</v>
      </c>
      <c r="K14" s="1160" t="s">
        <v>4305</v>
      </c>
      <c r="L14" s="1190">
        <v>0.9</v>
      </c>
      <c r="M14" s="1191" t="s">
        <v>3189</v>
      </c>
      <c r="N14" s="1191" t="s">
        <v>3190</v>
      </c>
      <c r="O14" s="1192"/>
      <c r="P14" s="1193">
        <f>+(60000000)+(17847*T14)</f>
        <v>61409913</v>
      </c>
      <c r="Q14" s="1193">
        <v>61409913</v>
      </c>
      <c r="R14" s="1192"/>
      <c r="S14" s="1192"/>
      <c r="T14" s="1194">
        <v>79</v>
      </c>
      <c r="U14" s="1194">
        <v>48</v>
      </c>
      <c r="V14" s="1194">
        <v>31</v>
      </c>
      <c r="W14" s="1194">
        <v>79</v>
      </c>
      <c r="X14" s="1192"/>
      <c r="Y14" s="1192"/>
      <c r="Z14" s="1192"/>
      <c r="AA14" s="1192"/>
      <c r="AB14" s="1194">
        <v>25</v>
      </c>
      <c r="AC14" s="1194">
        <v>42</v>
      </c>
      <c r="AD14" s="1194">
        <v>9</v>
      </c>
      <c r="AE14" s="1194">
        <v>3</v>
      </c>
      <c r="AF14" s="1194">
        <v>78</v>
      </c>
      <c r="AG14" s="1194"/>
      <c r="AH14" s="1194"/>
      <c r="AI14" s="1194"/>
      <c r="AJ14" s="1194"/>
      <c r="AK14" s="1194"/>
      <c r="AL14" s="1194"/>
      <c r="AM14" s="1194">
        <v>1</v>
      </c>
      <c r="AN14" s="1194">
        <v>78</v>
      </c>
      <c r="AO14" s="1194"/>
      <c r="AP14" s="1194"/>
      <c r="AQ14" s="1194"/>
      <c r="AR14" s="1194"/>
      <c r="AS14" s="1194">
        <v>1</v>
      </c>
      <c r="AT14" s="1192"/>
      <c r="AU14" s="1192"/>
      <c r="AV14" s="1192"/>
      <c r="AW14" s="1192"/>
      <c r="AX14" s="1192"/>
      <c r="AY14" s="1192"/>
      <c r="AZ14" s="1192"/>
      <c r="BA14" s="1192"/>
      <c r="BB14" s="1192"/>
      <c r="BC14" s="1195"/>
      <c r="BD14" s="1166">
        <v>1</v>
      </c>
      <c r="BE14" s="1166">
        <v>1</v>
      </c>
      <c r="BF14" s="1167">
        <f t="shared" si="0"/>
        <v>1</v>
      </c>
      <c r="BG14" s="14886"/>
      <c r="BH14" s="1168" t="s">
        <v>8655</v>
      </c>
      <c r="BI14" s="14909"/>
      <c r="BJ14" s="14775"/>
      <c r="BK14" s="14772"/>
      <c r="BL14" s="14771"/>
      <c r="BM14" s="14772"/>
      <c r="BN14" s="14772"/>
      <c r="BO14" s="14772"/>
      <c r="BP14" s="14772"/>
      <c r="BQ14" s="14772"/>
      <c r="BR14" s="14772"/>
      <c r="BS14" s="14772"/>
      <c r="BT14" s="14772"/>
      <c r="BU14" s="14772"/>
      <c r="BV14" s="14772"/>
      <c r="BW14" s="14772"/>
      <c r="BX14" s="14772"/>
      <c r="BY14" s="14772"/>
      <c r="BZ14" s="14772"/>
      <c r="CA14" s="14772"/>
      <c r="CB14" s="14772"/>
      <c r="CC14" s="14772"/>
      <c r="CD14" s="14772"/>
      <c r="CE14" s="14772"/>
      <c r="CF14" s="14772"/>
      <c r="CG14" s="14772"/>
      <c r="CH14" s="14772"/>
      <c r="CI14" s="14772"/>
      <c r="CJ14" s="14772"/>
      <c r="CK14" s="14772"/>
      <c r="CL14" s="14772"/>
      <c r="CM14" s="14772"/>
      <c r="CN14" s="14772"/>
      <c r="CO14" s="14772"/>
      <c r="CP14" s="14772"/>
      <c r="CQ14" s="14772"/>
      <c r="CR14" s="14772"/>
      <c r="CS14" s="14772"/>
      <c r="CT14" s="14772"/>
      <c r="CU14" s="14772"/>
      <c r="CV14" s="14772"/>
      <c r="CW14" s="14772"/>
      <c r="CX14" s="14778"/>
      <c r="CY14"/>
      <c r="CZ14" s="3065"/>
      <c r="DA14" s="3061"/>
      <c r="DB14" s="3061"/>
      <c r="DC14" s="3061"/>
      <c r="DD14" s="3061"/>
      <c r="DE14" s="1165"/>
      <c r="DF14" s="3092"/>
      <c r="DG14" s="3061"/>
      <c r="DH14" s="3061"/>
      <c r="DI14" s="1165"/>
      <c r="DJ14" s="3080"/>
      <c r="DK14" s="3092"/>
      <c r="DL14" s="1165"/>
      <c r="DM14" s="3092"/>
      <c r="DN14" s="1165"/>
      <c r="DO14" s="3092"/>
      <c r="DP14" s="3061"/>
      <c r="DQ14" s="3061"/>
      <c r="DR14" s="3061"/>
      <c r="DS14" s="3061"/>
      <c r="DT14" s="3061"/>
      <c r="DU14" s="1165"/>
      <c r="DV14" s="3092"/>
      <c r="DW14" s="3061"/>
      <c r="DX14" s="3061"/>
      <c r="DY14" s="3061"/>
      <c r="DZ14" s="3061"/>
      <c r="EA14" s="3061"/>
      <c r="EB14" s="3061"/>
      <c r="EC14" s="1165"/>
      <c r="ED14" s="3092"/>
      <c r="EE14" s="3061"/>
      <c r="EF14" s="3061"/>
      <c r="EG14" s="3061"/>
      <c r="EH14" s="3061"/>
      <c r="EI14" s="1165"/>
      <c r="EJ14" s="3080"/>
      <c r="EK14" s="3080"/>
      <c r="EL14" s="3080"/>
      <c r="EM14" s="3080"/>
      <c r="EN14" s="3080"/>
      <c r="EO14" s="3080"/>
      <c r="EP14" s="3092"/>
      <c r="EQ14" s="3061"/>
      <c r="ER14" s="1165"/>
      <c r="ES14" s="3080"/>
    </row>
    <row r="15" spans="1:149" s="1153" customFormat="1" ht="15" customHeight="1">
      <c r="A15" s="14794"/>
      <c r="B15" s="14797"/>
      <c r="C15" s="14808"/>
      <c r="D15" s="14844"/>
      <c r="E15" s="1162" t="s">
        <v>8572</v>
      </c>
      <c r="F15" s="1162" t="s">
        <v>1073</v>
      </c>
      <c r="G15" s="1162" t="s">
        <v>1740</v>
      </c>
      <c r="H15" s="1161">
        <v>0.7</v>
      </c>
      <c r="I15" s="1162">
        <v>1</v>
      </c>
      <c r="J15" s="1161">
        <v>0.7</v>
      </c>
      <c r="K15" s="1160" t="s">
        <v>4305</v>
      </c>
      <c r="L15" s="1196">
        <v>0.5</v>
      </c>
      <c r="M15" s="1158">
        <v>3451</v>
      </c>
      <c r="N15" s="1162" t="s">
        <v>3193</v>
      </c>
      <c r="O15" s="1162" t="s">
        <v>3190</v>
      </c>
      <c r="P15" s="1163"/>
      <c r="Q15" s="1164">
        <f>(17487*U15)+60000000</f>
        <v>120347637</v>
      </c>
      <c r="R15" s="1164">
        <v>120347637</v>
      </c>
      <c r="S15" s="1163"/>
      <c r="T15" s="1163"/>
      <c r="U15" s="1158">
        <v>3451</v>
      </c>
      <c r="V15" s="1158">
        <v>1409</v>
      </c>
      <c r="W15" s="1158">
        <v>2042</v>
      </c>
      <c r="X15" s="1163"/>
      <c r="Y15" s="1163"/>
      <c r="Z15" s="1163"/>
      <c r="AA15" s="1197"/>
      <c r="AB15" s="1197">
        <v>315</v>
      </c>
      <c r="AC15" s="1197">
        <v>1125</v>
      </c>
      <c r="AD15" s="1197">
        <v>1200</v>
      </c>
      <c r="AE15" s="1197">
        <v>606</v>
      </c>
      <c r="AF15" s="1158">
        <v>205</v>
      </c>
      <c r="AG15" s="1158">
        <f>+U15-AI15-AJ15-AK15-AL15-AN15</f>
        <v>2972</v>
      </c>
      <c r="AH15" s="1163"/>
      <c r="AI15" s="1158">
        <v>125</v>
      </c>
      <c r="AJ15" s="1158">
        <v>31</v>
      </c>
      <c r="AK15" s="1158">
        <v>312</v>
      </c>
      <c r="AL15" s="1158">
        <v>2</v>
      </c>
      <c r="AM15" s="1158"/>
      <c r="AN15" s="1158">
        <v>9</v>
      </c>
      <c r="AO15" s="1158">
        <v>3285</v>
      </c>
      <c r="AP15" s="1158">
        <v>50</v>
      </c>
      <c r="AQ15" s="1158">
        <v>22</v>
      </c>
      <c r="AR15" s="1158"/>
      <c r="AS15" s="1158">
        <v>2</v>
      </c>
      <c r="AT15" s="1163"/>
      <c r="AU15" s="1163"/>
      <c r="AV15" s="1163"/>
      <c r="AW15" s="1163"/>
      <c r="AX15" s="1163"/>
      <c r="AY15" s="1163"/>
      <c r="AZ15" s="1163"/>
      <c r="BA15" s="1163"/>
      <c r="BB15" s="1163"/>
      <c r="BC15" s="1163"/>
      <c r="BD15" s="1166">
        <v>1</v>
      </c>
      <c r="BE15" s="1166">
        <v>1</v>
      </c>
      <c r="BF15" s="1167">
        <f t="shared" si="0"/>
        <v>1</v>
      </c>
      <c r="BG15" s="14886"/>
      <c r="BH15" s="1176" t="s">
        <v>8655</v>
      </c>
      <c r="BI15" s="1162"/>
      <c r="BJ15" s="1163"/>
      <c r="BK15" s="1170"/>
      <c r="BL15" s="14771"/>
      <c r="BM15" s="1170"/>
      <c r="BN15" s="1198"/>
      <c r="BO15" s="1198"/>
      <c r="BP15" s="1198"/>
      <c r="BQ15" s="1198"/>
      <c r="BR15" s="1198"/>
      <c r="BS15" s="1198"/>
      <c r="BT15" s="1198"/>
      <c r="BU15" s="1198"/>
      <c r="BV15" s="1198"/>
      <c r="BW15" s="1198"/>
      <c r="BX15" s="1198"/>
      <c r="BY15" s="1198"/>
      <c r="BZ15" s="1198"/>
      <c r="CA15" s="1198"/>
      <c r="CB15" s="1198"/>
      <c r="CC15" s="1198"/>
      <c r="CD15" s="1198"/>
      <c r="CE15" s="1198"/>
      <c r="CF15" s="1198"/>
      <c r="CG15" s="1198"/>
      <c r="CH15" s="1198"/>
      <c r="CI15" s="1198"/>
      <c r="CJ15" s="1198"/>
      <c r="CK15" s="1198"/>
      <c r="CL15" s="1198"/>
      <c r="CM15" s="1198"/>
      <c r="CN15" s="1198"/>
      <c r="CO15" s="1198"/>
      <c r="CP15" s="1198"/>
      <c r="CQ15" s="1198"/>
      <c r="CR15" s="1198"/>
      <c r="CS15" s="1198"/>
      <c r="CT15" s="1198"/>
      <c r="CU15" s="1198"/>
      <c r="CV15" s="1198"/>
      <c r="CW15" s="1198"/>
      <c r="CX15" s="1199"/>
      <c r="CY15"/>
      <c r="CZ15" s="3065"/>
      <c r="DA15" s="3061"/>
      <c r="DB15" s="3061"/>
      <c r="DC15" s="3061"/>
      <c r="DD15" s="3061"/>
      <c r="DE15" s="1165"/>
      <c r="DF15" s="3092"/>
      <c r="DG15" s="3061"/>
      <c r="DH15" s="3061"/>
      <c r="DI15" s="1165"/>
      <c r="DJ15" s="3080"/>
      <c r="DK15" s="3092"/>
      <c r="DL15" s="1165"/>
      <c r="DM15" s="3092"/>
      <c r="DN15" s="1165"/>
      <c r="DO15" s="3092"/>
      <c r="DP15" s="3061"/>
      <c r="DQ15" s="3061"/>
      <c r="DR15" s="3061"/>
      <c r="DS15" s="3061"/>
      <c r="DT15" s="3061"/>
      <c r="DU15" s="1165"/>
      <c r="DV15" s="3092"/>
      <c r="DW15" s="3061"/>
      <c r="DX15" s="3061"/>
      <c r="DY15" s="3061"/>
      <c r="DZ15" s="3061"/>
      <c r="EA15" s="3061"/>
      <c r="EB15" s="3061"/>
      <c r="EC15" s="1165"/>
      <c r="ED15" s="3092"/>
      <c r="EE15" s="3061"/>
      <c r="EF15" s="3061"/>
      <c r="EG15" s="3061"/>
      <c r="EH15" s="3061"/>
      <c r="EI15" s="1165"/>
      <c r="EJ15" s="3080"/>
      <c r="EK15" s="3080"/>
      <c r="EL15" s="3080"/>
      <c r="EM15" s="3080"/>
      <c r="EN15" s="3080"/>
      <c r="EO15" s="3080"/>
      <c r="EP15" s="3092"/>
      <c r="EQ15" s="3061"/>
      <c r="ER15" s="1165"/>
      <c r="ES15" s="3080"/>
    </row>
    <row r="16" spans="1:149" s="1153" customFormat="1" ht="15" customHeight="1" thickBot="1">
      <c r="A16" s="14794"/>
      <c r="B16" s="14797"/>
      <c r="C16" s="14807" t="s">
        <v>7569</v>
      </c>
      <c r="D16" s="14809" t="s">
        <v>8573</v>
      </c>
      <c r="E16" s="1157" t="s">
        <v>8574</v>
      </c>
      <c r="F16" s="1162" t="s">
        <v>1073</v>
      </c>
      <c r="G16" s="1157" t="s">
        <v>1732</v>
      </c>
      <c r="H16" s="1194">
        <v>3</v>
      </c>
      <c r="I16" s="1162">
        <v>3</v>
      </c>
      <c r="J16" s="1194">
        <v>3</v>
      </c>
      <c r="K16" s="1160" t="s">
        <v>4305</v>
      </c>
      <c r="L16" s="1200">
        <v>1</v>
      </c>
      <c r="M16" s="1162" t="s">
        <v>3907</v>
      </c>
      <c r="N16" s="1162" t="s">
        <v>3908</v>
      </c>
      <c r="O16" s="1162"/>
      <c r="P16" s="1201">
        <v>764765065</v>
      </c>
      <c r="Q16" s="1162"/>
      <c r="R16" s="1162"/>
      <c r="S16" s="1201">
        <v>764765065</v>
      </c>
      <c r="T16" s="1162">
        <v>1830</v>
      </c>
      <c r="U16" s="1162">
        <v>979</v>
      </c>
      <c r="V16" s="1162">
        <v>851</v>
      </c>
      <c r="W16" s="1162">
        <v>569</v>
      </c>
      <c r="X16" s="1162">
        <v>1269</v>
      </c>
      <c r="Y16" s="1162">
        <v>0</v>
      </c>
      <c r="Z16" s="1162">
        <v>6</v>
      </c>
      <c r="AA16" s="1162">
        <v>1766</v>
      </c>
      <c r="AB16" s="1162">
        <v>58</v>
      </c>
      <c r="AC16" s="1162">
        <v>0</v>
      </c>
      <c r="AD16" s="1162">
        <v>0</v>
      </c>
      <c r="AE16" s="1162">
        <v>0</v>
      </c>
      <c r="AF16" s="1162">
        <v>1707</v>
      </c>
      <c r="AG16" s="1162">
        <v>73</v>
      </c>
      <c r="AH16" s="1162">
        <v>50</v>
      </c>
      <c r="AI16" s="1162">
        <v>0</v>
      </c>
      <c r="AJ16" s="1162">
        <v>0</v>
      </c>
      <c r="AK16" s="1162">
        <v>0</v>
      </c>
      <c r="AL16" s="1162">
        <v>0</v>
      </c>
      <c r="AM16" s="1162">
        <v>0</v>
      </c>
      <c r="AN16" s="1162">
        <v>1703</v>
      </c>
      <c r="AO16" s="1162">
        <v>96</v>
      </c>
      <c r="AP16" s="1162">
        <v>31</v>
      </c>
      <c r="AQ16" s="1162">
        <v>0</v>
      </c>
      <c r="AR16" s="1162">
        <v>0</v>
      </c>
      <c r="AS16" s="1162">
        <v>0</v>
      </c>
      <c r="AT16" s="1162"/>
      <c r="AU16" s="1162"/>
      <c r="AV16" s="1162"/>
      <c r="AW16" s="1162"/>
      <c r="AX16" s="1162"/>
      <c r="AY16" s="1162"/>
      <c r="AZ16" s="1162"/>
      <c r="BA16" s="1162"/>
      <c r="BB16" s="1162"/>
      <c r="BC16" s="1162"/>
      <c r="BD16" s="1166">
        <v>1</v>
      </c>
      <c r="BE16" s="1166">
        <v>1</v>
      </c>
      <c r="BF16" s="1167">
        <f t="shared" si="0"/>
        <v>1</v>
      </c>
      <c r="BG16" s="14886"/>
      <c r="BH16" s="1176" t="s">
        <v>8668</v>
      </c>
      <c r="BI16" s="1162"/>
      <c r="BJ16" s="1158"/>
      <c r="BK16" s="1202"/>
      <c r="BL16" s="14771"/>
      <c r="BM16" s="1172"/>
      <c r="BN16" s="1172"/>
      <c r="BO16" s="1172"/>
      <c r="BP16" s="1172"/>
      <c r="BQ16" s="1172"/>
      <c r="BR16" s="1172"/>
      <c r="BS16" s="1172"/>
      <c r="BT16" s="1171"/>
      <c r="BU16" s="1171"/>
      <c r="BV16" s="1171"/>
      <c r="BW16" s="1171"/>
      <c r="BX16" s="1172"/>
      <c r="BY16" s="1172"/>
      <c r="BZ16" s="1172"/>
      <c r="CA16" s="1172"/>
      <c r="CB16" s="1172"/>
      <c r="CC16" s="1172"/>
      <c r="CD16" s="1172"/>
      <c r="CE16" s="1172"/>
      <c r="CF16" s="1172"/>
      <c r="CG16" s="1172"/>
      <c r="CH16" s="1172"/>
      <c r="CI16" s="1172"/>
      <c r="CJ16" s="1172"/>
      <c r="CK16" s="1172"/>
      <c r="CL16" s="1172"/>
      <c r="CM16" s="1172"/>
      <c r="CN16" s="1172"/>
      <c r="CO16" s="1172"/>
      <c r="CP16" s="1171"/>
      <c r="CQ16" s="1171"/>
      <c r="CR16" s="1171"/>
      <c r="CS16" s="1171"/>
      <c r="CT16" s="1171"/>
      <c r="CU16" s="1171"/>
      <c r="CV16" s="1171"/>
      <c r="CW16" s="1171"/>
      <c r="CX16" s="1173"/>
      <c r="CY16"/>
      <c r="CZ16" s="3065"/>
      <c r="DA16" s="3061"/>
      <c r="DB16" s="3061"/>
      <c r="DC16" s="3061"/>
      <c r="DD16" s="3061"/>
      <c r="DE16" s="1165"/>
      <c r="DF16" s="3092"/>
      <c r="DG16" s="3061"/>
      <c r="DH16" s="3061"/>
      <c r="DI16" s="1165"/>
      <c r="DJ16" s="3080"/>
      <c r="DK16" s="3092"/>
      <c r="DL16" s="1165"/>
      <c r="DM16" s="3092"/>
      <c r="DN16" s="1165"/>
      <c r="DO16" s="3092"/>
      <c r="DP16" s="3061"/>
      <c r="DQ16" s="3061"/>
      <c r="DR16" s="3061"/>
      <c r="DS16" s="3061"/>
      <c r="DT16" s="3061"/>
      <c r="DU16" s="1165"/>
      <c r="DV16" s="3092"/>
      <c r="DW16" s="3061"/>
      <c r="DX16" s="3061"/>
      <c r="DY16" s="3061"/>
      <c r="DZ16" s="3061"/>
      <c r="EA16" s="3061"/>
      <c r="EB16" s="3061"/>
      <c r="EC16" s="1165"/>
      <c r="ED16" s="3092"/>
      <c r="EE16" s="3061"/>
      <c r="EF16" s="3061"/>
      <c r="EG16" s="3061"/>
      <c r="EH16" s="3061"/>
      <c r="EI16" s="1165"/>
      <c r="EJ16" s="3080"/>
      <c r="EK16" s="3080"/>
      <c r="EL16" s="3080"/>
      <c r="EM16" s="3080"/>
      <c r="EN16" s="3080"/>
      <c r="EO16" s="3080"/>
      <c r="EP16" s="3092"/>
      <c r="EQ16" s="3061"/>
      <c r="ER16" s="1165"/>
      <c r="ES16" s="3080"/>
    </row>
    <row r="17" spans="1:159" s="1153" customFormat="1" ht="15" customHeight="1" thickBot="1">
      <c r="A17" s="14794"/>
      <c r="B17" s="1203" t="s">
        <v>2867</v>
      </c>
      <c r="C17" s="14811"/>
      <c r="D17" s="14810"/>
      <c r="E17" s="1204" t="s">
        <v>2868</v>
      </c>
      <c r="F17" s="1204" t="s">
        <v>1046</v>
      </c>
      <c r="G17" s="1204" t="s">
        <v>1732</v>
      </c>
      <c r="H17" s="1204">
        <v>1</v>
      </c>
      <c r="I17" s="1205">
        <v>0.2</v>
      </c>
      <c r="J17" s="1204">
        <v>1</v>
      </c>
      <c r="K17" s="1206" t="s">
        <v>8575</v>
      </c>
      <c r="L17" s="1207">
        <v>0.2</v>
      </c>
      <c r="M17" s="1208" t="s">
        <v>3909</v>
      </c>
      <c r="N17" s="1204"/>
      <c r="O17" s="1204"/>
      <c r="P17" s="1204"/>
      <c r="Q17" s="1204"/>
      <c r="R17" s="1204"/>
      <c r="S17" s="1204"/>
      <c r="T17" s="1204"/>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D17" s="1207">
        <v>1</v>
      </c>
      <c r="BE17" s="1207">
        <v>0</v>
      </c>
      <c r="BF17" s="1209">
        <f t="shared" si="0"/>
        <v>0</v>
      </c>
      <c r="BG17" s="14887"/>
      <c r="BH17" s="1208" t="s">
        <v>8669</v>
      </c>
      <c r="BI17" s="1204"/>
      <c r="BJ17" s="1204"/>
      <c r="BK17" s="1210"/>
      <c r="BL17" s="14771"/>
      <c r="BM17" s="1210"/>
      <c r="BN17" s="1210"/>
      <c r="BO17" s="1210"/>
      <c r="BP17" s="1210"/>
      <c r="BQ17" s="1185"/>
      <c r="BR17" s="1185"/>
      <c r="BS17" s="1185"/>
      <c r="BT17" s="1185"/>
      <c r="BU17" s="1185"/>
      <c r="BV17" s="1185"/>
      <c r="BW17" s="1185"/>
      <c r="BX17" s="1185"/>
      <c r="BY17" s="1185"/>
      <c r="BZ17" s="1185"/>
      <c r="CA17" s="1185"/>
      <c r="CB17" s="1185"/>
      <c r="CC17" s="1185"/>
      <c r="CD17" s="1185"/>
      <c r="CE17" s="1185"/>
      <c r="CF17" s="1185"/>
      <c r="CG17" s="1185"/>
      <c r="CH17" s="1185"/>
      <c r="CI17" s="1185"/>
      <c r="CJ17" s="1185"/>
      <c r="CK17" s="1185"/>
      <c r="CL17" s="1185"/>
      <c r="CM17" s="1185"/>
      <c r="CN17" s="1185"/>
      <c r="CO17" s="1185"/>
      <c r="CP17" s="1185"/>
      <c r="CQ17" s="1185"/>
      <c r="CR17" s="1210"/>
      <c r="CS17" s="1210"/>
      <c r="CT17" s="1210"/>
      <c r="CU17" s="1210"/>
      <c r="CV17" s="1210"/>
      <c r="CW17" s="1210"/>
      <c r="CX17" s="1211"/>
      <c r="CY17"/>
      <c r="CZ17" s="3078"/>
      <c r="DA17" s="1192"/>
      <c r="DB17" s="1192"/>
      <c r="DC17" s="1192"/>
      <c r="DD17" s="1192"/>
      <c r="DE17" s="1195"/>
      <c r="DF17" s="3093"/>
      <c r="DG17" s="1192"/>
      <c r="DH17" s="1192"/>
      <c r="DI17" s="1195"/>
      <c r="DJ17" s="3081"/>
      <c r="DK17" s="3093"/>
      <c r="DL17" s="1195"/>
      <c r="DM17" s="3093"/>
      <c r="DN17" s="1195"/>
      <c r="DO17" s="3093"/>
      <c r="DP17" s="1192"/>
      <c r="DQ17" s="1192"/>
      <c r="DR17" s="1192"/>
      <c r="DS17" s="1192"/>
      <c r="DT17" s="1192"/>
      <c r="DU17" s="1195"/>
      <c r="DV17" s="3093"/>
      <c r="DW17" s="1192"/>
      <c r="DX17" s="1192"/>
      <c r="DY17" s="1192"/>
      <c r="DZ17" s="1192"/>
      <c r="EA17" s="1192"/>
      <c r="EB17" s="1192"/>
      <c r="EC17" s="1195"/>
      <c r="ED17" s="3093"/>
      <c r="EE17" s="1192"/>
      <c r="EF17" s="1192"/>
      <c r="EG17" s="1192"/>
      <c r="EH17" s="1192"/>
      <c r="EI17" s="1195"/>
      <c r="EJ17" s="3081"/>
      <c r="EK17" s="3081"/>
      <c r="EL17" s="3081"/>
      <c r="EM17" s="3081"/>
      <c r="EN17" s="3081"/>
      <c r="EO17" s="3081"/>
      <c r="EP17" s="3093"/>
      <c r="EQ17" s="1192"/>
      <c r="ER17" s="1195"/>
      <c r="ES17" s="3081"/>
      <c r="ET17" s="1231"/>
      <c r="EU17" s="1231"/>
      <c r="EV17" s="1231"/>
      <c r="EW17" s="1231"/>
      <c r="EX17" s="1231"/>
      <c r="EY17" s="1231"/>
      <c r="EZ17" s="1231"/>
      <c r="FA17" s="1231"/>
      <c r="FB17" s="1231"/>
      <c r="FC17" s="1231"/>
    </row>
    <row r="18" spans="1:159" s="1231" customFormat="1" ht="15" customHeight="1">
      <c r="A18" s="14798" t="s">
        <v>1742</v>
      </c>
      <c r="B18" s="14801" t="s">
        <v>2869</v>
      </c>
      <c r="C18" s="1212" t="s">
        <v>7571</v>
      </c>
      <c r="D18" s="1213" t="s">
        <v>8576</v>
      </c>
      <c r="E18" s="1214" t="s">
        <v>2871</v>
      </c>
      <c r="F18" s="1214" t="s">
        <v>1073</v>
      </c>
      <c r="G18" s="1215" t="s">
        <v>1732</v>
      </c>
      <c r="H18" s="1216">
        <v>1</v>
      </c>
      <c r="I18" s="1214">
        <v>10</v>
      </c>
      <c r="J18" s="1216">
        <v>1</v>
      </c>
      <c r="K18" s="1217" t="s">
        <v>644</v>
      </c>
      <c r="L18" s="1218">
        <v>1</v>
      </c>
      <c r="M18" s="1214" t="s">
        <v>3191</v>
      </c>
      <c r="N18" s="1214" t="s">
        <v>3192</v>
      </c>
      <c r="O18" s="1219"/>
      <c r="P18" s="1220">
        <v>38000000</v>
      </c>
      <c r="Q18" s="1220">
        <v>38000000</v>
      </c>
      <c r="R18" s="1221"/>
      <c r="S18" s="1221"/>
      <c r="T18" s="1216"/>
      <c r="U18" s="1221"/>
      <c r="V18" s="1221"/>
      <c r="W18" s="1221"/>
      <c r="X18" s="1221"/>
      <c r="Y18" s="1221"/>
      <c r="Z18" s="1221"/>
      <c r="AA18" s="1221"/>
      <c r="AB18" s="1221"/>
      <c r="AC18" s="1221"/>
      <c r="AD18" s="1221"/>
      <c r="AE18" s="1221"/>
      <c r="AF18" s="1221"/>
      <c r="AG18" s="1221"/>
      <c r="AH18" s="1221"/>
      <c r="AI18" s="1221"/>
      <c r="AJ18" s="1221"/>
      <c r="AK18" s="1221"/>
      <c r="AL18" s="1221"/>
      <c r="AM18" s="1221"/>
      <c r="AN18" s="1221"/>
      <c r="AO18" s="1221"/>
      <c r="AP18" s="1221"/>
      <c r="AQ18" s="1221"/>
      <c r="AR18" s="1221"/>
      <c r="AS18" s="1221"/>
      <c r="AT18" s="1221"/>
      <c r="AU18" s="1221"/>
      <c r="AV18" s="1221"/>
      <c r="AW18" s="1221"/>
      <c r="AX18" s="1221"/>
      <c r="AY18" s="1221"/>
      <c r="AZ18" s="1221"/>
      <c r="BA18" s="1221"/>
      <c r="BB18" s="1221"/>
      <c r="BC18" s="1222"/>
      <c r="BD18" s="1223">
        <v>1</v>
      </c>
      <c r="BE18" s="1223">
        <v>1</v>
      </c>
      <c r="BF18" s="1224">
        <f t="shared" si="0"/>
        <v>1</v>
      </c>
      <c r="BG18" s="14888">
        <f>AVERAGE(BF18:BF32)</f>
        <v>1</v>
      </c>
      <c r="BH18" s="1225" t="s">
        <v>9714</v>
      </c>
      <c r="BI18" s="1226" t="s">
        <v>8670</v>
      </c>
      <c r="BJ18" s="1226" t="s">
        <v>8671</v>
      </c>
      <c r="BK18" s="1227">
        <v>58000000</v>
      </c>
      <c r="BL18" s="14765">
        <f>SUM(BK18:BK32)</f>
        <v>1300186185</v>
      </c>
      <c r="BM18" s="1228"/>
      <c r="BN18" s="1229"/>
      <c r="BO18" s="1229"/>
      <c r="BP18" s="1229"/>
      <c r="BQ18" s="1229"/>
      <c r="BR18" s="1229"/>
      <c r="BS18" s="1229"/>
      <c r="BT18" s="1229"/>
      <c r="BU18" s="1229"/>
      <c r="BV18" s="1229"/>
      <c r="BW18" s="1229"/>
      <c r="BX18" s="1229"/>
      <c r="BY18" s="1229"/>
      <c r="BZ18" s="1229"/>
      <c r="CA18" s="1229"/>
      <c r="CB18" s="1229"/>
      <c r="CC18" s="1229"/>
      <c r="CD18" s="1229"/>
      <c r="CE18" s="1229"/>
      <c r="CF18" s="1229"/>
      <c r="CG18" s="1229"/>
      <c r="CH18" s="1229"/>
      <c r="CI18" s="1229"/>
      <c r="CJ18" s="1229"/>
      <c r="CK18" s="1229"/>
      <c r="CL18" s="1229"/>
      <c r="CM18" s="1229"/>
      <c r="CN18" s="1229"/>
      <c r="CO18" s="1229"/>
      <c r="CP18" s="1229"/>
      <c r="CQ18" s="1229"/>
      <c r="CR18" s="1229"/>
      <c r="CS18" s="1229"/>
      <c r="CT18" s="1229"/>
      <c r="CU18" s="1229"/>
      <c r="CV18" s="1229"/>
      <c r="CW18" s="1229"/>
      <c r="CX18" s="1230"/>
      <c r="CY18"/>
      <c r="CZ18" s="3077"/>
      <c r="DA18" s="1301"/>
      <c r="DB18" s="1301"/>
      <c r="DC18" s="1301"/>
      <c r="DD18" s="1301"/>
      <c r="DE18" s="1302"/>
      <c r="DF18" s="3094"/>
      <c r="DG18" s="1301"/>
      <c r="DH18" s="1301"/>
      <c r="DI18" s="1302"/>
      <c r="DJ18" s="3082"/>
      <c r="DK18" s="3094"/>
      <c r="DL18" s="1302"/>
      <c r="DM18" s="3094"/>
      <c r="DN18" s="1302"/>
      <c r="DO18" s="3094"/>
      <c r="DP18" s="1301"/>
      <c r="DQ18" s="1301"/>
      <c r="DR18" s="1301"/>
      <c r="DS18" s="1301"/>
      <c r="DT18" s="1301"/>
      <c r="DU18" s="1302"/>
      <c r="DV18" s="3094"/>
      <c r="DW18" s="1301"/>
      <c r="DX18" s="1301"/>
      <c r="DY18" s="1301"/>
      <c r="DZ18" s="1301"/>
      <c r="EA18" s="1301"/>
      <c r="EB18" s="1301"/>
      <c r="EC18" s="1302"/>
      <c r="ED18" s="3094"/>
      <c r="EE18" s="1301"/>
      <c r="EF18" s="1301"/>
      <c r="EG18" s="1301"/>
      <c r="EH18" s="1301"/>
      <c r="EI18" s="1302"/>
      <c r="EJ18" s="3082"/>
      <c r="EK18" s="3082"/>
      <c r="EL18" s="3082"/>
      <c r="EM18" s="3082"/>
      <c r="EN18" s="3082"/>
      <c r="EO18" s="3082"/>
      <c r="EP18" s="3094"/>
      <c r="EQ18" s="1301"/>
      <c r="ER18" s="1302"/>
      <c r="ES18" s="3082"/>
    </row>
    <row r="19" spans="1:159" s="1231" customFormat="1" ht="15" customHeight="1">
      <c r="A19" s="14799"/>
      <c r="B19" s="14802"/>
      <c r="C19" s="1232" t="s">
        <v>7572</v>
      </c>
      <c r="D19" s="1233" t="s">
        <v>8577</v>
      </c>
      <c r="E19" s="1234" t="s">
        <v>2873</v>
      </c>
      <c r="F19" s="1234" t="s">
        <v>1073</v>
      </c>
      <c r="G19" s="1235" t="s">
        <v>2874</v>
      </c>
      <c r="H19" s="1236">
        <v>0.2</v>
      </c>
      <c r="I19" s="1237">
        <v>1</v>
      </c>
      <c r="J19" s="1236">
        <v>0.2</v>
      </c>
      <c r="K19" s="1238" t="s">
        <v>644</v>
      </c>
      <c r="L19" s="1239">
        <v>1</v>
      </c>
      <c r="M19" s="1240" t="s">
        <v>3910</v>
      </c>
      <c r="N19" s="1234" t="s">
        <v>3908</v>
      </c>
      <c r="O19" s="1234"/>
      <c r="P19" s="1241">
        <v>46167000</v>
      </c>
      <c r="Q19" s="1234"/>
      <c r="R19" s="1234"/>
      <c r="S19" s="1241">
        <v>46167000</v>
      </c>
      <c r="T19" s="1234">
        <v>1830</v>
      </c>
      <c r="U19" s="1234">
        <v>979</v>
      </c>
      <c r="V19" s="1234">
        <v>851</v>
      </c>
      <c r="W19" s="1234">
        <v>569</v>
      </c>
      <c r="X19" s="1234">
        <v>1269</v>
      </c>
      <c r="Y19" s="1234">
        <v>0</v>
      </c>
      <c r="Z19" s="1234">
        <v>6</v>
      </c>
      <c r="AA19" s="1234">
        <v>1766</v>
      </c>
      <c r="AB19" s="1234">
        <v>58</v>
      </c>
      <c r="AC19" s="1234">
        <v>0</v>
      </c>
      <c r="AD19" s="1234">
        <v>0</v>
      </c>
      <c r="AE19" s="1234">
        <v>0</v>
      </c>
      <c r="AF19" s="1234">
        <v>1707</v>
      </c>
      <c r="AG19" s="1234">
        <v>73</v>
      </c>
      <c r="AH19" s="1234">
        <v>50</v>
      </c>
      <c r="AI19" s="1234">
        <v>0</v>
      </c>
      <c r="AJ19" s="1234">
        <v>0</v>
      </c>
      <c r="AK19" s="1234">
        <v>0</v>
      </c>
      <c r="AL19" s="1234">
        <v>0</v>
      </c>
      <c r="AM19" s="1234">
        <v>0</v>
      </c>
      <c r="AN19" s="1234">
        <v>1703</v>
      </c>
      <c r="AO19" s="1234">
        <v>96</v>
      </c>
      <c r="AP19" s="1234">
        <v>31</v>
      </c>
      <c r="AQ19" s="1234">
        <v>0</v>
      </c>
      <c r="AR19" s="1234">
        <v>0</v>
      </c>
      <c r="AS19" s="1234">
        <v>0</v>
      </c>
      <c r="AT19" s="1234"/>
      <c r="AU19" s="1234"/>
      <c r="AV19" s="1234"/>
      <c r="AW19" s="1234"/>
      <c r="AX19" s="1234"/>
      <c r="AY19" s="1234"/>
      <c r="AZ19" s="1234"/>
      <c r="BA19" s="1234"/>
      <c r="BB19" s="1234"/>
      <c r="BC19" s="1234"/>
      <c r="BD19" s="1242">
        <v>1</v>
      </c>
      <c r="BE19" s="1242">
        <v>1</v>
      </c>
      <c r="BF19" s="1243">
        <f t="shared" si="0"/>
        <v>1</v>
      </c>
      <c r="BG19" s="14889"/>
      <c r="BH19" s="1244" t="s">
        <v>8672</v>
      </c>
      <c r="BI19" s="1245" t="s">
        <v>9715</v>
      </c>
      <c r="BJ19" s="1246" t="s">
        <v>8673</v>
      </c>
      <c r="BK19" s="1247">
        <v>5000000</v>
      </c>
      <c r="BL19" s="14766"/>
      <c r="BM19" s="1248"/>
      <c r="BN19" s="1249"/>
      <c r="BO19" s="1249"/>
      <c r="BP19" s="1249">
        <v>1295</v>
      </c>
      <c r="BQ19" s="1249"/>
      <c r="BR19" s="1249"/>
      <c r="BS19" s="1249"/>
      <c r="BT19" s="1249"/>
      <c r="BU19" s="1249"/>
      <c r="BV19" s="1249"/>
      <c r="BW19" s="1249"/>
      <c r="BX19" s="1249"/>
      <c r="BY19" s="1249"/>
      <c r="BZ19" s="1249"/>
      <c r="CA19" s="1249"/>
      <c r="CB19" s="1249"/>
      <c r="CC19" s="1249"/>
      <c r="CD19" s="1249"/>
      <c r="CE19" s="1249"/>
      <c r="CF19" s="1249"/>
      <c r="CG19" s="1249"/>
      <c r="CH19" s="1249"/>
      <c r="CI19" s="1249"/>
      <c r="CJ19" s="1249"/>
      <c r="CK19" s="1249"/>
      <c r="CL19" s="1249"/>
      <c r="CM19" s="1249"/>
      <c r="CN19" s="1249"/>
      <c r="CO19" s="1249"/>
      <c r="CP19" s="1249"/>
      <c r="CQ19" s="1249"/>
      <c r="CR19" s="1249"/>
      <c r="CS19" s="1249"/>
      <c r="CT19" s="1249"/>
      <c r="CU19" s="1249"/>
      <c r="CV19" s="1249"/>
      <c r="CW19" s="1249"/>
      <c r="CX19" s="1250"/>
      <c r="CY19"/>
      <c r="CZ19" s="2044"/>
      <c r="DA19" s="3062"/>
      <c r="DB19" s="3062"/>
      <c r="DC19" s="3062"/>
      <c r="DD19" s="3062"/>
      <c r="DE19" s="1267"/>
      <c r="DF19" s="3095"/>
      <c r="DG19" s="3062"/>
      <c r="DH19" s="3062"/>
      <c r="DI19" s="1267"/>
      <c r="DJ19" s="3083"/>
      <c r="DK19" s="3095"/>
      <c r="DL19" s="1267"/>
      <c r="DM19" s="3095"/>
      <c r="DN19" s="1267"/>
      <c r="DO19" s="3095"/>
      <c r="DP19" s="3062"/>
      <c r="DQ19" s="3062"/>
      <c r="DR19" s="3062"/>
      <c r="DS19" s="3062"/>
      <c r="DT19" s="3062"/>
      <c r="DU19" s="1267"/>
      <c r="DV19" s="3095"/>
      <c r="DW19" s="3062"/>
      <c r="DX19" s="3062"/>
      <c r="DY19" s="3062"/>
      <c r="DZ19" s="3062"/>
      <c r="EA19" s="3062"/>
      <c r="EB19" s="3062"/>
      <c r="EC19" s="1267"/>
      <c r="ED19" s="3095"/>
      <c r="EE19" s="3062"/>
      <c r="EF19" s="3062"/>
      <c r="EG19" s="3062"/>
      <c r="EH19" s="3062"/>
      <c r="EI19" s="1267"/>
      <c r="EJ19" s="3083"/>
      <c r="EK19" s="3083"/>
      <c r="EL19" s="3083"/>
      <c r="EM19" s="3083"/>
      <c r="EN19" s="3083"/>
      <c r="EO19" s="3083"/>
      <c r="EP19" s="3095"/>
      <c r="EQ19" s="3062"/>
      <c r="ER19" s="1267"/>
      <c r="ES19" s="3083"/>
    </row>
    <row r="20" spans="1:159" s="1231" customFormat="1" ht="15" customHeight="1">
      <c r="A20" s="14799"/>
      <c r="B20" s="14802"/>
      <c r="C20" s="1232" t="s">
        <v>7573</v>
      </c>
      <c r="D20" s="1235" t="s">
        <v>8578</v>
      </c>
      <c r="E20" s="1235" t="s">
        <v>1744</v>
      </c>
      <c r="F20" s="1235" t="s">
        <v>1073</v>
      </c>
      <c r="G20" s="1235" t="s">
        <v>1732</v>
      </c>
      <c r="H20" s="936">
        <v>1</v>
      </c>
      <c r="I20" s="1234">
        <v>10</v>
      </c>
      <c r="J20" s="936">
        <v>1</v>
      </c>
      <c r="K20" s="1238" t="s">
        <v>4305</v>
      </c>
      <c r="L20" s="1239">
        <v>1</v>
      </c>
      <c r="M20" s="1240" t="s">
        <v>3911</v>
      </c>
      <c r="N20" s="1234" t="s">
        <v>3912</v>
      </c>
      <c r="O20" s="1234"/>
      <c r="P20" s="1251">
        <v>18000000</v>
      </c>
      <c r="Q20" s="1252">
        <v>0</v>
      </c>
      <c r="R20" s="1252">
        <v>0</v>
      </c>
      <c r="S20" s="1251">
        <v>18000000</v>
      </c>
      <c r="T20" s="1234">
        <v>13</v>
      </c>
      <c r="U20" s="1234">
        <v>8</v>
      </c>
      <c r="V20" s="1234">
        <v>5</v>
      </c>
      <c r="W20" s="1234">
        <v>13</v>
      </c>
      <c r="X20" s="1234">
        <v>0</v>
      </c>
      <c r="Y20" s="1234">
        <v>0</v>
      </c>
      <c r="Z20" s="1234">
        <v>0</v>
      </c>
      <c r="AA20" s="1234">
        <v>13</v>
      </c>
      <c r="AB20" s="1234">
        <v>0</v>
      </c>
      <c r="AC20" s="1234">
        <v>0</v>
      </c>
      <c r="AD20" s="1234">
        <v>0</v>
      </c>
      <c r="AE20" s="1234">
        <v>0</v>
      </c>
      <c r="AF20" s="1234">
        <v>12</v>
      </c>
      <c r="AG20" s="1234">
        <v>0</v>
      </c>
      <c r="AH20" s="1234">
        <v>1</v>
      </c>
      <c r="AI20" s="1234">
        <v>0</v>
      </c>
      <c r="AJ20" s="1234">
        <v>0</v>
      </c>
      <c r="AK20" s="1234">
        <v>0</v>
      </c>
      <c r="AL20" s="1234">
        <v>0</v>
      </c>
      <c r="AM20" s="1234">
        <v>0</v>
      </c>
      <c r="AN20" s="1234">
        <v>12</v>
      </c>
      <c r="AO20" s="1234">
        <v>1</v>
      </c>
      <c r="AP20" s="1234">
        <v>0</v>
      </c>
      <c r="AQ20" s="1234">
        <v>0</v>
      </c>
      <c r="AR20" s="1234">
        <v>0</v>
      </c>
      <c r="AS20" s="1234">
        <v>0</v>
      </c>
      <c r="AT20" s="1234"/>
      <c r="AU20" s="1234"/>
      <c r="AV20" s="1234"/>
      <c r="AW20" s="1234"/>
      <c r="AX20" s="1234"/>
      <c r="AY20" s="1234"/>
      <c r="AZ20" s="1234"/>
      <c r="BA20" s="1234"/>
      <c r="BB20" s="1234"/>
      <c r="BC20" s="1234"/>
      <c r="BD20" s="1253">
        <v>1</v>
      </c>
      <c r="BE20" s="1253">
        <v>1</v>
      </c>
      <c r="BF20" s="1243">
        <f t="shared" si="0"/>
        <v>1</v>
      </c>
      <c r="BG20" s="14889"/>
      <c r="BH20" s="1254" t="s">
        <v>8674</v>
      </c>
      <c r="BI20" s="1255" t="s">
        <v>8675</v>
      </c>
      <c r="BJ20" s="1255" t="s">
        <v>8676</v>
      </c>
      <c r="BK20" s="1256" t="s">
        <v>8656</v>
      </c>
      <c r="BL20" s="14766"/>
      <c r="BM20" s="1257"/>
      <c r="BN20" s="1258"/>
      <c r="BO20" s="1258"/>
      <c r="BP20" s="1258">
        <v>195</v>
      </c>
      <c r="BQ20" s="1258">
        <v>81</v>
      </c>
      <c r="BR20" s="1258">
        <v>114</v>
      </c>
      <c r="BS20" s="1259"/>
      <c r="BT20" s="1259"/>
      <c r="BU20" s="1259"/>
      <c r="BV20" s="1259"/>
      <c r="BW20" s="1258"/>
      <c r="BX20" s="1258"/>
      <c r="BY20" s="1258"/>
      <c r="BZ20" s="1258"/>
      <c r="CA20" s="1258"/>
      <c r="CB20" s="1258"/>
      <c r="CC20" s="1258"/>
      <c r="CD20" s="1258"/>
      <c r="CE20" s="1258"/>
      <c r="CF20" s="1258"/>
      <c r="CG20" s="1258"/>
      <c r="CH20" s="1258"/>
      <c r="CI20" s="1258"/>
      <c r="CJ20" s="1258"/>
      <c r="CK20" s="1258"/>
      <c r="CL20" s="1259"/>
      <c r="CM20" s="1259"/>
      <c r="CN20" s="1259"/>
      <c r="CO20" s="1259"/>
      <c r="CP20" s="1260" t="s">
        <v>8677</v>
      </c>
      <c r="CQ20" s="1260" t="s">
        <v>8678</v>
      </c>
      <c r="CR20" s="1259"/>
      <c r="CS20" s="1261" t="s">
        <v>8679</v>
      </c>
      <c r="CT20" s="1258" t="s">
        <v>8680</v>
      </c>
      <c r="CU20" s="1259"/>
      <c r="CV20" s="1259"/>
      <c r="CW20" s="1259"/>
      <c r="CX20" s="1262"/>
      <c r="CY20"/>
      <c r="CZ20" s="2044"/>
      <c r="DA20" s="3062"/>
      <c r="DB20" s="3062"/>
      <c r="DC20" s="3062"/>
      <c r="DD20" s="3062"/>
      <c r="DE20" s="1267"/>
      <c r="DF20" s="3095"/>
      <c r="DG20" s="3062"/>
      <c r="DH20" s="3062"/>
      <c r="DI20" s="1267"/>
      <c r="DJ20" s="3083"/>
      <c r="DK20" s="3095"/>
      <c r="DL20" s="1267"/>
      <c r="DM20" s="3095"/>
      <c r="DN20" s="1267"/>
      <c r="DO20" s="3095"/>
      <c r="DP20" s="3062"/>
      <c r="DQ20" s="3062"/>
      <c r="DR20" s="3062"/>
      <c r="DS20" s="3062"/>
      <c r="DT20" s="3062"/>
      <c r="DU20" s="1267"/>
      <c r="DV20" s="3095"/>
      <c r="DW20" s="3062"/>
      <c r="DX20" s="3062"/>
      <c r="DY20" s="3062"/>
      <c r="DZ20" s="3062"/>
      <c r="EA20" s="3062"/>
      <c r="EB20" s="3062"/>
      <c r="EC20" s="1267"/>
      <c r="ED20" s="3095"/>
      <c r="EE20" s="3062"/>
      <c r="EF20" s="3062"/>
      <c r="EG20" s="3062"/>
      <c r="EH20" s="3062"/>
      <c r="EI20" s="1267"/>
      <c r="EJ20" s="3083"/>
      <c r="EK20" s="3083"/>
      <c r="EL20" s="3083"/>
      <c r="EM20" s="3083"/>
      <c r="EN20" s="3083"/>
      <c r="EO20" s="3083"/>
      <c r="EP20" s="3095"/>
      <c r="EQ20" s="3062"/>
      <c r="ER20" s="1267"/>
      <c r="ES20" s="3083"/>
    </row>
    <row r="21" spans="1:159" s="1231" customFormat="1" ht="15" customHeight="1">
      <c r="A21" s="14799"/>
      <c r="B21" s="14802"/>
      <c r="C21" s="1232" t="s">
        <v>7574</v>
      </c>
      <c r="D21" s="1233" t="s">
        <v>8579</v>
      </c>
      <c r="E21" s="1235" t="s">
        <v>2876</v>
      </c>
      <c r="F21" s="1235" t="s">
        <v>1073</v>
      </c>
      <c r="G21" s="1235" t="s">
        <v>1732</v>
      </c>
      <c r="H21" s="1263">
        <v>1</v>
      </c>
      <c r="I21" s="1234">
        <v>12.411</v>
      </c>
      <c r="J21" s="1263">
        <v>1</v>
      </c>
      <c r="K21" s="1238" t="s">
        <v>644</v>
      </c>
      <c r="L21" s="1236">
        <v>1</v>
      </c>
      <c r="M21" s="1234" t="s">
        <v>3193</v>
      </c>
      <c r="N21" s="1234" t="s">
        <v>3190</v>
      </c>
      <c r="O21" s="1264"/>
      <c r="P21" s="1265">
        <f>(17487*T21)+60000000</f>
        <v>120347637</v>
      </c>
      <c r="Q21" s="1265">
        <v>120347637</v>
      </c>
      <c r="R21" s="1264"/>
      <c r="S21" s="1264"/>
      <c r="T21" s="1263">
        <v>3451</v>
      </c>
      <c r="U21" s="1263">
        <v>1409</v>
      </c>
      <c r="V21" s="1263">
        <v>2042</v>
      </c>
      <c r="W21" s="1264"/>
      <c r="X21" s="1264"/>
      <c r="Y21" s="1264"/>
      <c r="Z21" s="1266"/>
      <c r="AA21" s="1266">
        <v>315</v>
      </c>
      <c r="AB21" s="1266">
        <v>1125</v>
      </c>
      <c r="AC21" s="1266">
        <v>1200</v>
      </c>
      <c r="AD21" s="1266">
        <v>606</v>
      </c>
      <c r="AE21" s="1263">
        <v>205</v>
      </c>
      <c r="AF21" s="1263">
        <f>+T21-AH21-AI21-AJ21-AK21-AM21</f>
        <v>2972</v>
      </c>
      <c r="AG21" s="1264"/>
      <c r="AH21" s="1263">
        <v>125</v>
      </c>
      <c r="AI21" s="1263">
        <v>31</v>
      </c>
      <c r="AJ21" s="1263">
        <v>312</v>
      </c>
      <c r="AK21" s="1263">
        <v>2</v>
      </c>
      <c r="AL21" s="1263"/>
      <c r="AM21" s="1263">
        <v>9</v>
      </c>
      <c r="AN21" s="1263">
        <v>3285</v>
      </c>
      <c r="AO21" s="1263">
        <v>50</v>
      </c>
      <c r="AP21" s="1263">
        <v>22</v>
      </c>
      <c r="AQ21" s="1263"/>
      <c r="AR21" s="1263">
        <v>2</v>
      </c>
      <c r="AS21" s="1264"/>
      <c r="AT21" s="1264"/>
      <c r="AU21" s="1264"/>
      <c r="AV21" s="1264"/>
      <c r="AW21" s="1264"/>
      <c r="AX21" s="1264"/>
      <c r="AY21" s="1264"/>
      <c r="AZ21" s="1264"/>
      <c r="BA21" s="1264"/>
      <c r="BB21" s="1264"/>
      <c r="BC21" s="1267"/>
      <c r="BD21" s="1242">
        <v>1</v>
      </c>
      <c r="BE21" s="1242">
        <v>1</v>
      </c>
      <c r="BF21" s="1243">
        <f t="shared" si="0"/>
        <v>1</v>
      </c>
      <c r="BG21" s="14889"/>
      <c r="BH21" s="1244" t="s">
        <v>8681</v>
      </c>
      <c r="BI21" s="1268" t="s">
        <v>9716</v>
      </c>
      <c r="BJ21" s="1246" t="s">
        <v>8673</v>
      </c>
      <c r="BK21" s="1247">
        <v>5000000</v>
      </c>
      <c r="BL21" s="14766"/>
      <c r="BM21" s="1248"/>
      <c r="BN21" s="1249"/>
      <c r="BO21" s="1249"/>
      <c r="BP21" s="1249">
        <v>4</v>
      </c>
      <c r="BQ21" s="1249"/>
      <c r="BR21" s="1249"/>
      <c r="BS21" s="1249"/>
      <c r="BT21" s="1249"/>
      <c r="BU21" s="1249"/>
      <c r="BV21" s="1249"/>
      <c r="BW21" s="1249"/>
      <c r="BX21" s="1249"/>
      <c r="BY21" s="1249"/>
      <c r="BZ21" s="1249"/>
      <c r="CA21" s="1249"/>
      <c r="CB21" s="1249"/>
      <c r="CC21" s="1249"/>
      <c r="CD21" s="1249"/>
      <c r="CE21" s="1249"/>
      <c r="CF21" s="1249"/>
      <c r="CG21" s="1249"/>
      <c r="CH21" s="1249"/>
      <c r="CI21" s="1249"/>
      <c r="CJ21" s="1249"/>
      <c r="CK21" s="1249"/>
      <c r="CL21" s="1249"/>
      <c r="CM21" s="1249"/>
      <c r="CN21" s="1249"/>
      <c r="CO21" s="1249"/>
      <c r="CP21" s="1249"/>
      <c r="CQ21" s="1249"/>
      <c r="CR21" s="1249"/>
      <c r="CS21" s="1249"/>
      <c r="CT21" s="1249"/>
      <c r="CU21" s="1249"/>
      <c r="CV21" s="1249"/>
      <c r="CW21" s="1249"/>
      <c r="CX21" s="1250"/>
      <c r="CY21"/>
      <c r="CZ21" s="2044"/>
      <c r="DA21" s="3062"/>
      <c r="DB21" s="3062"/>
      <c r="DC21" s="3062"/>
      <c r="DD21" s="3062"/>
      <c r="DE21" s="1267"/>
      <c r="DF21" s="3095"/>
      <c r="DG21" s="3062"/>
      <c r="DH21" s="3062"/>
      <c r="DI21" s="1267"/>
      <c r="DJ21" s="3083"/>
      <c r="DK21" s="3095"/>
      <c r="DL21" s="1267"/>
      <c r="DM21" s="3095"/>
      <c r="DN21" s="1267"/>
      <c r="DO21" s="3095"/>
      <c r="DP21" s="3062"/>
      <c r="DQ21" s="3062"/>
      <c r="DR21" s="3062"/>
      <c r="DS21" s="3062"/>
      <c r="DT21" s="3062"/>
      <c r="DU21" s="1267"/>
      <c r="DV21" s="3095"/>
      <c r="DW21" s="3062"/>
      <c r="DX21" s="3062"/>
      <c r="DY21" s="3062"/>
      <c r="DZ21" s="3062"/>
      <c r="EA21" s="3062"/>
      <c r="EB21" s="3062"/>
      <c r="EC21" s="1267"/>
      <c r="ED21" s="3095"/>
      <c r="EE21" s="3062"/>
      <c r="EF21" s="3062"/>
      <c r="EG21" s="3062"/>
      <c r="EH21" s="3062"/>
      <c r="EI21" s="1267"/>
      <c r="EJ21" s="3083"/>
      <c r="EK21" s="3083"/>
      <c r="EL21" s="3083"/>
      <c r="EM21" s="3083"/>
      <c r="EN21" s="3083"/>
      <c r="EO21" s="3083"/>
      <c r="EP21" s="3095"/>
      <c r="EQ21" s="3062"/>
      <c r="ER21" s="1267"/>
      <c r="ES21" s="3083"/>
    </row>
    <row r="22" spans="1:159" s="1231" customFormat="1" ht="15" customHeight="1">
      <c r="A22" s="14799"/>
      <c r="B22" s="14802"/>
      <c r="C22" s="1232" t="s">
        <v>7575</v>
      </c>
      <c r="D22" s="1233" t="s">
        <v>8580</v>
      </c>
      <c r="E22" s="1235" t="s">
        <v>2878</v>
      </c>
      <c r="F22" s="1235" t="s">
        <v>1073</v>
      </c>
      <c r="G22" s="1235" t="s">
        <v>1732</v>
      </c>
      <c r="H22" s="1269">
        <v>1</v>
      </c>
      <c r="I22" s="14845">
        <v>6</v>
      </c>
      <c r="J22" s="1269">
        <v>1</v>
      </c>
      <c r="K22" s="1238" t="s">
        <v>644</v>
      </c>
      <c r="L22" s="1236">
        <v>1</v>
      </c>
      <c r="M22" s="1234" t="s">
        <v>3194</v>
      </c>
      <c r="N22" s="1234" t="s">
        <v>3195</v>
      </c>
      <c r="O22" s="1264"/>
      <c r="P22" s="1265">
        <v>250084784</v>
      </c>
      <c r="Q22" s="1265">
        <v>250084784</v>
      </c>
      <c r="R22" s="1264"/>
      <c r="S22" s="1264"/>
      <c r="T22" s="1263"/>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c r="AT22" s="1264"/>
      <c r="AU22" s="1264"/>
      <c r="AV22" s="1264"/>
      <c r="AW22" s="1264"/>
      <c r="AX22" s="1264"/>
      <c r="AY22" s="1264"/>
      <c r="AZ22" s="1264"/>
      <c r="BA22" s="1264"/>
      <c r="BB22" s="1264"/>
      <c r="BC22" s="1267"/>
      <c r="BD22" s="1242">
        <v>1</v>
      </c>
      <c r="BE22" s="1242">
        <v>1</v>
      </c>
      <c r="BF22" s="1243">
        <f t="shared" si="0"/>
        <v>1</v>
      </c>
      <c r="BG22" s="14889"/>
      <c r="BH22" s="1244" t="s">
        <v>9717</v>
      </c>
      <c r="BI22" s="1246" t="s">
        <v>8682</v>
      </c>
      <c r="BJ22" s="1246" t="s">
        <v>8673</v>
      </c>
      <c r="BK22" s="1247" t="s">
        <v>8683</v>
      </c>
      <c r="BL22" s="14766"/>
      <c r="BM22" s="1248"/>
      <c r="BN22" s="1249"/>
      <c r="BO22" s="1249"/>
      <c r="BP22" s="1249">
        <f>5844+40+556</f>
        <v>6440</v>
      </c>
      <c r="BQ22" s="1249"/>
      <c r="BR22" s="1249"/>
      <c r="BS22" s="1249"/>
      <c r="BT22" s="1249"/>
      <c r="BU22" s="1249"/>
      <c r="BV22" s="1249"/>
      <c r="BW22" s="1249"/>
      <c r="BX22" s="1249"/>
      <c r="BY22" s="1249"/>
      <c r="BZ22" s="1249"/>
      <c r="CA22" s="1249"/>
      <c r="CB22" s="1249"/>
      <c r="CC22" s="1249"/>
      <c r="CD22" s="1249"/>
      <c r="CE22" s="1249"/>
      <c r="CF22" s="1249"/>
      <c r="CG22" s="1249"/>
      <c r="CH22" s="1249"/>
      <c r="CI22" s="1249"/>
      <c r="CJ22" s="1249"/>
      <c r="CK22" s="1249"/>
      <c r="CL22" s="1249"/>
      <c r="CM22" s="1249"/>
      <c r="CN22" s="1249"/>
      <c r="CO22" s="1249"/>
      <c r="CP22" s="1249"/>
      <c r="CQ22" s="1249"/>
      <c r="CR22" s="1249"/>
      <c r="CS22" s="1249"/>
      <c r="CT22" s="1249"/>
      <c r="CU22" s="1249"/>
      <c r="CV22" s="1249"/>
      <c r="CW22" s="1249"/>
      <c r="CX22" s="1250"/>
      <c r="CY22"/>
      <c r="CZ22" s="2044"/>
      <c r="DA22" s="3062"/>
      <c r="DB22" s="3062"/>
      <c r="DC22" s="3062"/>
      <c r="DD22" s="3062"/>
      <c r="DE22" s="1267"/>
      <c r="DF22" s="3095"/>
      <c r="DG22" s="3062"/>
      <c r="DH22" s="3062"/>
      <c r="DI22" s="1267"/>
      <c r="DJ22" s="3083"/>
      <c r="DK22" s="3095"/>
      <c r="DL22" s="1267"/>
      <c r="DM22" s="3095"/>
      <c r="DN22" s="1267"/>
      <c r="DO22" s="3095"/>
      <c r="DP22" s="3062"/>
      <c r="DQ22" s="3062"/>
      <c r="DR22" s="3062"/>
      <c r="DS22" s="3062"/>
      <c r="DT22" s="3062"/>
      <c r="DU22" s="1267"/>
      <c r="DV22" s="3095"/>
      <c r="DW22" s="3062"/>
      <c r="DX22" s="3062"/>
      <c r="DY22" s="3062"/>
      <c r="DZ22" s="3062"/>
      <c r="EA22" s="3062"/>
      <c r="EB22" s="3062"/>
      <c r="EC22" s="1267"/>
      <c r="ED22" s="3095"/>
      <c r="EE22" s="3062"/>
      <c r="EF22" s="3062"/>
      <c r="EG22" s="3062"/>
      <c r="EH22" s="3062"/>
      <c r="EI22" s="1267"/>
      <c r="EJ22" s="3083"/>
      <c r="EK22" s="3083"/>
      <c r="EL22" s="3083"/>
      <c r="EM22" s="3083"/>
      <c r="EN22" s="3083"/>
      <c r="EO22" s="3083"/>
      <c r="EP22" s="3095"/>
      <c r="EQ22" s="3062"/>
      <c r="ER22" s="1267"/>
      <c r="ES22" s="3083"/>
    </row>
    <row r="23" spans="1:159" s="1231" customFormat="1" ht="15" customHeight="1">
      <c r="A23" s="14799"/>
      <c r="B23" s="14802" t="s">
        <v>1745</v>
      </c>
      <c r="C23" s="1232" t="s">
        <v>7576</v>
      </c>
      <c r="D23" s="1270" t="s">
        <v>1746</v>
      </c>
      <c r="E23" s="1234" t="s">
        <v>1747</v>
      </c>
      <c r="F23" s="1234" t="s">
        <v>1073</v>
      </c>
      <c r="G23" s="1271" t="s">
        <v>1748</v>
      </c>
      <c r="H23" s="1263">
        <v>3451</v>
      </c>
      <c r="I23" s="14845"/>
      <c r="J23" s="1263">
        <v>3451</v>
      </c>
      <c r="K23" s="1238" t="s">
        <v>4305</v>
      </c>
      <c r="L23" s="1236">
        <v>1</v>
      </c>
      <c r="M23" s="1234" t="s">
        <v>3196</v>
      </c>
      <c r="N23" s="1272" t="s">
        <v>3197</v>
      </c>
      <c r="O23" s="1264"/>
      <c r="P23" s="1265">
        <v>248499831</v>
      </c>
      <c r="Q23" s="1265">
        <v>248499831</v>
      </c>
      <c r="R23" s="1264"/>
      <c r="S23" s="1264"/>
      <c r="T23" s="1263"/>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P23" s="1264"/>
      <c r="AQ23" s="1264"/>
      <c r="AR23" s="1264"/>
      <c r="AS23" s="1264"/>
      <c r="AT23" s="1264"/>
      <c r="AU23" s="1264"/>
      <c r="AV23" s="1264"/>
      <c r="AW23" s="1264"/>
      <c r="AX23" s="1264"/>
      <c r="AY23" s="1264"/>
      <c r="AZ23" s="1264"/>
      <c r="BA23" s="1264"/>
      <c r="BB23" s="1264"/>
      <c r="BC23" s="1267"/>
      <c r="BD23" s="1253">
        <v>1</v>
      </c>
      <c r="BE23" s="1253">
        <v>1</v>
      </c>
      <c r="BF23" s="1243">
        <f t="shared" si="0"/>
        <v>1</v>
      </c>
      <c r="BG23" s="14889"/>
      <c r="BH23" s="1254" t="s">
        <v>8684</v>
      </c>
      <c r="BI23" s="1255" t="s">
        <v>8685</v>
      </c>
      <c r="BJ23" s="1255" t="s">
        <v>8686</v>
      </c>
      <c r="BK23" s="1256" t="s">
        <v>8656</v>
      </c>
      <c r="BL23" s="14766"/>
      <c r="BM23" s="1273"/>
      <c r="BN23" s="1258"/>
      <c r="BO23" s="1258"/>
      <c r="BP23" s="1258">
        <v>4712</v>
      </c>
      <c r="BQ23" s="1258">
        <v>2390</v>
      </c>
      <c r="BR23" s="1258">
        <v>2322</v>
      </c>
      <c r="BS23" s="1259"/>
      <c r="BT23" s="1259"/>
      <c r="BU23" s="1259"/>
      <c r="BV23" s="1259"/>
      <c r="BW23" s="1259"/>
      <c r="BX23" s="1259">
        <v>2060</v>
      </c>
      <c r="BY23" s="1259">
        <v>1721</v>
      </c>
      <c r="BZ23" s="1259">
        <v>844</v>
      </c>
      <c r="CA23" s="1258">
        <v>87</v>
      </c>
      <c r="CB23" s="1258">
        <v>1486</v>
      </c>
      <c r="CC23" s="1258">
        <v>47</v>
      </c>
      <c r="CD23" s="1258">
        <v>240</v>
      </c>
      <c r="CE23" s="1258">
        <v>12</v>
      </c>
      <c r="CF23" s="1258">
        <v>70</v>
      </c>
      <c r="CG23" s="1258"/>
      <c r="CH23" s="1258">
        <v>1</v>
      </c>
      <c r="CI23" s="1258">
        <v>3</v>
      </c>
      <c r="CJ23" s="1258">
        <v>1835</v>
      </c>
      <c r="CK23" s="1258">
        <v>66</v>
      </c>
      <c r="CL23" s="1258">
        <v>37</v>
      </c>
      <c r="CM23" s="1258"/>
      <c r="CN23" s="1258"/>
      <c r="CO23" s="1259"/>
      <c r="CP23" s="1258"/>
      <c r="CQ23" s="1258"/>
      <c r="CR23" s="1258"/>
      <c r="CS23" s="1258"/>
      <c r="CT23" s="1258"/>
      <c r="CU23" s="1258"/>
      <c r="CV23" s="1258"/>
      <c r="CW23" s="1258"/>
      <c r="CX23" s="1274"/>
      <c r="CY23"/>
      <c r="CZ23" s="2044"/>
      <c r="DA23" s="3062"/>
      <c r="DB23" s="3062"/>
      <c r="DC23" s="3062"/>
      <c r="DD23" s="3062"/>
      <c r="DE23" s="1267"/>
      <c r="DF23" s="3095"/>
      <c r="DG23" s="3062"/>
      <c r="DH23" s="3062"/>
      <c r="DI23" s="1267"/>
      <c r="DJ23" s="3083"/>
      <c r="DK23" s="3095"/>
      <c r="DL23" s="1267"/>
      <c r="DM23" s="3095"/>
      <c r="DN23" s="1267"/>
      <c r="DO23" s="3095"/>
      <c r="DP23" s="3062"/>
      <c r="DQ23" s="3062"/>
      <c r="DR23" s="3062"/>
      <c r="DS23" s="3062"/>
      <c r="DT23" s="3062"/>
      <c r="DU23" s="1267"/>
      <c r="DV23" s="3095"/>
      <c r="DW23" s="3062"/>
      <c r="DX23" s="3062"/>
      <c r="DY23" s="3062"/>
      <c r="DZ23" s="3062"/>
      <c r="EA23" s="3062"/>
      <c r="EB23" s="3062"/>
      <c r="EC23" s="1267"/>
      <c r="ED23" s="3095"/>
      <c r="EE23" s="3062"/>
      <c r="EF23" s="3062"/>
      <c r="EG23" s="3062"/>
      <c r="EH23" s="3062"/>
      <c r="EI23" s="1267"/>
      <c r="EJ23" s="3083"/>
      <c r="EK23" s="3083"/>
      <c r="EL23" s="3083"/>
      <c r="EM23" s="3083"/>
      <c r="EN23" s="3083"/>
      <c r="EO23" s="3083"/>
      <c r="EP23" s="3095"/>
      <c r="EQ23" s="3062"/>
      <c r="ER23" s="1267"/>
      <c r="ES23" s="3083"/>
    </row>
    <row r="24" spans="1:159" s="1231" customFormat="1" ht="15" customHeight="1">
      <c r="A24" s="14799"/>
      <c r="B24" s="14802"/>
      <c r="C24" s="1232" t="s">
        <v>7577</v>
      </c>
      <c r="D24" s="1235" t="s">
        <v>1749</v>
      </c>
      <c r="E24" s="14804" t="s">
        <v>1750</v>
      </c>
      <c r="F24" s="14805" t="s">
        <v>1073</v>
      </c>
      <c r="G24" s="14846">
        <v>2</v>
      </c>
      <c r="H24" s="1263">
        <v>6</v>
      </c>
      <c r="I24" s="1234">
        <v>210</v>
      </c>
      <c r="J24" s="1263">
        <v>6</v>
      </c>
      <c r="K24" s="1238" t="s">
        <v>4305</v>
      </c>
      <c r="L24" s="1236">
        <v>0.7</v>
      </c>
      <c r="M24" s="1240" t="s">
        <v>3198</v>
      </c>
      <c r="N24" s="1234" t="s">
        <v>3199</v>
      </c>
      <c r="O24" s="1263"/>
      <c r="P24" s="1265">
        <f>40000000+(17847*T24)</f>
        <v>55830289</v>
      </c>
      <c r="Q24" s="1265">
        <v>41588383</v>
      </c>
      <c r="R24" s="1264"/>
      <c r="S24" s="1264"/>
      <c r="T24" s="1263">
        <f>88+34+765</f>
        <v>887</v>
      </c>
      <c r="U24" s="1263">
        <f>+T24-V24</f>
        <v>284</v>
      </c>
      <c r="V24" s="1263">
        <v>603</v>
      </c>
      <c r="W24" s="1264"/>
      <c r="X24" s="1264"/>
      <c r="Y24" s="1264"/>
      <c r="Z24" s="1264"/>
      <c r="AA24" s="1263">
        <v>1</v>
      </c>
      <c r="AB24" s="1263">
        <v>13</v>
      </c>
      <c r="AC24" s="1263">
        <v>39</v>
      </c>
      <c r="AD24" s="1263">
        <v>26</v>
      </c>
      <c r="AE24" s="1263">
        <v>10</v>
      </c>
      <c r="AF24" s="1263">
        <f>+T24-AG24-AH24-AI24-AJ24-AK24-AM24</f>
        <v>853</v>
      </c>
      <c r="AG24" s="1263">
        <v>2</v>
      </c>
      <c r="AH24" s="1263">
        <v>8</v>
      </c>
      <c r="AI24" s="1263">
        <v>1</v>
      </c>
      <c r="AJ24" s="1263">
        <v>21</v>
      </c>
      <c r="AK24" s="1263">
        <v>1</v>
      </c>
      <c r="AL24" s="1263"/>
      <c r="AM24" s="1263">
        <v>1</v>
      </c>
      <c r="AN24" s="1263">
        <v>86</v>
      </c>
      <c r="AO24" s="1263">
        <v>2</v>
      </c>
      <c r="AP24" s="1266">
        <v>1</v>
      </c>
      <c r="AQ24" s="1264"/>
      <c r="AR24" s="1264"/>
      <c r="AS24" s="1264"/>
      <c r="AT24" s="1264"/>
      <c r="AU24" s="1264"/>
      <c r="AV24" s="1264"/>
      <c r="AW24" s="1264"/>
      <c r="AX24" s="1264"/>
      <c r="AY24" s="1264"/>
      <c r="AZ24" s="1264"/>
      <c r="BA24" s="1264"/>
      <c r="BB24" s="1264"/>
      <c r="BC24" s="1267"/>
      <c r="BD24" s="1253">
        <v>1</v>
      </c>
      <c r="BE24" s="1253">
        <v>1</v>
      </c>
      <c r="BF24" s="1243">
        <f t="shared" si="0"/>
        <v>1</v>
      </c>
      <c r="BG24" s="14889"/>
      <c r="BH24" s="1254" t="s">
        <v>8687</v>
      </c>
      <c r="BI24" s="1255" t="s">
        <v>8688</v>
      </c>
      <c r="BJ24" s="1255" t="s">
        <v>8689</v>
      </c>
      <c r="BK24" s="1275">
        <f>112298035*2</f>
        <v>224596070</v>
      </c>
      <c r="BL24" s="14766"/>
      <c r="BM24" s="1276">
        <f>BK24</f>
        <v>224596070</v>
      </c>
      <c r="BN24" s="1258"/>
      <c r="BO24" s="1277"/>
      <c r="BP24" s="1261"/>
      <c r="BQ24" s="1258"/>
      <c r="BR24" s="1258"/>
      <c r="BS24" s="1258"/>
      <c r="BT24" s="1259"/>
      <c r="BU24" s="1259"/>
      <c r="BV24" s="1259"/>
      <c r="BW24" s="1259"/>
      <c r="BX24" s="1259"/>
      <c r="BY24" s="1259"/>
      <c r="BZ24" s="1259"/>
      <c r="CA24" s="1258"/>
      <c r="CB24" s="1258"/>
      <c r="CC24" s="1259"/>
      <c r="CD24" s="1258"/>
      <c r="CE24" s="1258"/>
      <c r="CF24" s="1258"/>
      <c r="CG24" s="1258"/>
      <c r="CH24" s="1258"/>
      <c r="CI24" s="1258"/>
      <c r="CJ24" s="1258"/>
      <c r="CK24" s="1258"/>
      <c r="CL24" s="1258"/>
      <c r="CM24" s="1258"/>
      <c r="CN24" s="1258"/>
      <c r="CO24" s="1259"/>
      <c r="CP24" s="1259"/>
      <c r="CQ24" s="1259"/>
      <c r="CR24" s="1259"/>
      <c r="CS24" s="1259"/>
      <c r="CT24" s="1259"/>
      <c r="CU24" s="1259"/>
      <c r="CV24" s="1259"/>
      <c r="CW24" s="1259"/>
      <c r="CX24" s="1262"/>
      <c r="CY24"/>
      <c r="CZ24" s="2044"/>
      <c r="DA24" s="3062"/>
      <c r="DB24" s="3062"/>
      <c r="DC24" s="3062"/>
      <c r="DD24" s="3062"/>
      <c r="DE24" s="1267"/>
      <c r="DF24" s="3095"/>
      <c r="DG24" s="3062"/>
      <c r="DH24" s="3062"/>
      <c r="DI24" s="1267"/>
      <c r="DJ24" s="3083"/>
      <c r="DK24" s="3095"/>
      <c r="DL24" s="1267"/>
      <c r="DM24" s="3095"/>
      <c r="DN24" s="1267"/>
      <c r="DO24" s="3095"/>
      <c r="DP24" s="3062"/>
      <c r="DQ24" s="3062"/>
      <c r="DR24" s="3062"/>
      <c r="DS24" s="3062"/>
      <c r="DT24" s="3062"/>
      <c r="DU24" s="1267"/>
      <c r="DV24" s="3095"/>
      <c r="DW24" s="3062"/>
      <c r="DX24" s="3062"/>
      <c r="DY24" s="3062"/>
      <c r="DZ24" s="3062"/>
      <c r="EA24" s="3062"/>
      <c r="EB24" s="3062"/>
      <c r="EC24" s="1267"/>
      <c r="ED24" s="3095"/>
      <c r="EE24" s="3062"/>
      <c r="EF24" s="3062"/>
      <c r="EG24" s="3062"/>
      <c r="EH24" s="3062"/>
      <c r="EI24" s="1267"/>
      <c r="EJ24" s="3083"/>
      <c r="EK24" s="3083"/>
      <c r="EL24" s="3083"/>
      <c r="EM24" s="3083"/>
      <c r="EN24" s="3083"/>
      <c r="EO24" s="3083"/>
      <c r="EP24" s="3095"/>
      <c r="EQ24" s="3062"/>
      <c r="ER24" s="1267"/>
      <c r="ES24" s="3083"/>
    </row>
    <row r="25" spans="1:159" s="1231" customFormat="1" ht="15" customHeight="1">
      <c r="A25" s="14799"/>
      <c r="B25" s="14802"/>
      <c r="C25" s="1232" t="s">
        <v>7578</v>
      </c>
      <c r="D25" s="1235" t="s">
        <v>1751</v>
      </c>
      <c r="E25" s="14804"/>
      <c r="F25" s="14806"/>
      <c r="G25" s="14847"/>
      <c r="H25" s="1263">
        <v>2</v>
      </c>
      <c r="I25" s="1234">
        <v>3</v>
      </c>
      <c r="J25" s="1263">
        <v>2</v>
      </c>
      <c r="K25" s="1238" t="s">
        <v>4305</v>
      </c>
      <c r="L25" s="1236">
        <v>1</v>
      </c>
      <c r="M25" s="1234" t="s">
        <v>3200</v>
      </c>
      <c r="N25" s="1234" t="s">
        <v>3201</v>
      </c>
      <c r="O25" s="1264"/>
      <c r="P25" s="1265">
        <v>126000000</v>
      </c>
      <c r="Q25" s="1265">
        <v>126000000</v>
      </c>
      <c r="R25" s="1264"/>
      <c r="S25" s="1264"/>
      <c r="T25" s="1263"/>
      <c r="U25" s="1264">
        <v>17</v>
      </c>
      <c r="V25" s="1264">
        <v>26</v>
      </c>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64"/>
      <c r="AR25" s="1264"/>
      <c r="AS25" s="1264"/>
      <c r="AT25" s="1264"/>
      <c r="AU25" s="1264"/>
      <c r="AV25" s="1264"/>
      <c r="AW25" s="1264"/>
      <c r="AX25" s="1264"/>
      <c r="AY25" s="1264"/>
      <c r="AZ25" s="1264"/>
      <c r="BA25" s="1264"/>
      <c r="BB25" s="1264"/>
      <c r="BC25" s="1267"/>
      <c r="BD25" s="1253">
        <v>1</v>
      </c>
      <c r="BE25" s="1253">
        <v>1</v>
      </c>
      <c r="BF25" s="1243">
        <f t="shared" si="0"/>
        <v>1</v>
      </c>
      <c r="BG25" s="14889"/>
      <c r="BH25" s="1278" t="s">
        <v>8690</v>
      </c>
      <c r="BI25" s="1278" t="s">
        <v>8691</v>
      </c>
      <c r="BJ25" s="1278" t="s">
        <v>8692</v>
      </c>
      <c r="BK25" s="1275">
        <f>312108792+33972120</f>
        <v>346080912</v>
      </c>
      <c r="BL25" s="14766"/>
      <c r="BM25" s="1276">
        <f>312108792+33972120</f>
        <v>346080912</v>
      </c>
      <c r="BN25" s="1258"/>
      <c r="BO25" s="1258"/>
      <c r="BP25" s="1258"/>
      <c r="BQ25" s="1258"/>
      <c r="BR25" s="1258"/>
      <c r="BS25" s="1258"/>
      <c r="BT25" s="1260"/>
      <c r="BU25" s="1260"/>
      <c r="BV25" s="1260"/>
      <c r="BW25" s="1260"/>
      <c r="BX25" s="1260"/>
      <c r="BY25" s="1260"/>
      <c r="BZ25" s="1260"/>
      <c r="CA25" s="1260"/>
      <c r="CB25" s="1260"/>
      <c r="CC25" s="1260"/>
      <c r="CD25" s="1260"/>
      <c r="CE25" s="1260"/>
      <c r="CF25" s="1260"/>
      <c r="CG25" s="1260"/>
      <c r="CH25" s="1260"/>
      <c r="CI25" s="1260"/>
      <c r="CJ25" s="1260"/>
      <c r="CK25" s="1260"/>
      <c r="CL25" s="1260"/>
      <c r="CM25" s="1260"/>
      <c r="CN25" s="1260"/>
      <c r="CO25" s="1260"/>
      <c r="CP25" s="1260"/>
      <c r="CQ25" s="1260"/>
      <c r="CR25" s="1260"/>
      <c r="CS25" s="1260"/>
      <c r="CT25" s="1260"/>
      <c r="CU25" s="1260"/>
      <c r="CV25" s="1260"/>
      <c r="CW25" s="1260"/>
      <c r="CX25" s="1279"/>
      <c r="CY25"/>
      <c r="CZ25" s="2044"/>
      <c r="DA25" s="3062"/>
      <c r="DB25" s="3062"/>
      <c r="DC25" s="3062"/>
      <c r="DD25" s="3062"/>
      <c r="DE25" s="1267"/>
      <c r="DF25" s="3095"/>
      <c r="DG25" s="3062"/>
      <c r="DH25" s="3062"/>
      <c r="DI25" s="1267"/>
      <c r="DJ25" s="3083"/>
      <c r="DK25" s="3095"/>
      <c r="DL25" s="1267"/>
      <c r="DM25" s="3095"/>
      <c r="DN25" s="1267"/>
      <c r="DO25" s="3095"/>
      <c r="DP25" s="3062"/>
      <c r="DQ25" s="3062"/>
      <c r="DR25" s="3062"/>
      <c r="DS25" s="3062"/>
      <c r="DT25" s="3062"/>
      <c r="DU25" s="1267"/>
      <c r="DV25" s="3095"/>
      <c r="DW25" s="3062"/>
      <c r="DX25" s="3062"/>
      <c r="DY25" s="3062"/>
      <c r="DZ25" s="3062"/>
      <c r="EA25" s="3062"/>
      <c r="EB25" s="3062"/>
      <c r="EC25" s="1267"/>
      <c r="ED25" s="3095"/>
      <c r="EE25" s="3062"/>
      <c r="EF25" s="3062"/>
      <c r="EG25" s="3062"/>
      <c r="EH25" s="3062"/>
      <c r="EI25" s="1267"/>
      <c r="EJ25" s="3083"/>
      <c r="EK25" s="3083"/>
      <c r="EL25" s="3083"/>
      <c r="EM25" s="3083"/>
      <c r="EN25" s="3083"/>
      <c r="EO25" s="3083"/>
      <c r="EP25" s="3095"/>
      <c r="EQ25" s="3062"/>
      <c r="ER25" s="1267"/>
      <c r="ES25" s="3083"/>
    </row>
    <row r="26" spans="1:159" s="1231" customFormat="1" ht="15" customHeight="1">
      <c r="A26" s="14799"/>
      <c r="B26" s="14802"/>
      <c r="C26" s="1232" t="s">
        <v>7579</v>
      </c>
      <c r="D26" s="1235" t="s">
        <v>8581</v>
      </c>
      <c r="E26" s="1235" t="s">
        <v>1753</v>
      </c>
      <c r="F26" s="1235" t="s">
        <v>1073</v>
      </c>
      <c r="G26" s="1235">
        <v>0</v>
      </c>
      <c r="H26" s="936">
        <v>30</v>
      </c>
      <c r="I26" s="1234">
        <v>400</v>
      </c>
      <c r="J26" s="936">
        <v>30</v>
      </c>
      <c r="K26" s="1238" t="s">
        <v>4305</v>
      </c>
      <c r="L26" s="1236">
        <v>1</v>
      </c>
      <c r="M26" s="1234" t="s">
        <v>3202</v>
      </c>
      <c r="N26" s="1234" t="s">
        <v>3195</v>
      </c>
      <c r="O26" s="1264"/>
      <c r="P26" s="1265">
        <f>17847*T26</f>
        <v>267705</v>
      </c>
      <c r="Q26" s="1265">
        <v>267705</v>
      </c>
      <c r="R26" s="1264"/>
      <c r="S26" s="1264"/>
      <c r="T26" s="1263">
        <v>15</v>
      </c>
      <c r="U26" s="1263">
        <v>10</v>
      </c>
      <c r="V26" s="1263">
        <v>5</v>
      </c>
      <c r="W26" s="1263">
        <v>15</v>
      </c>
      <c r="X26" s="1264"/>
      <c r="Y26" s="1264"/>
      <c r="Z26" s="1264"/>
      <c r="AA26" s="1264"/>
      <c r="AB26" s="1264"/>
      <c r="AC26" s="1263">
        <v>14</v>
      </c>
      <c r="AD26" s="1263">
        <v>1</v>
      </c>
      <c r="AE26" s="1264"/>
      <c r="AF26" s="1263">
        <v>14</v>
      </c>
      <c r="AG26" s="1264"/>
      <c r="AH26" s="1263">
        <v>1</v>
      </c>
      <c r="AI26" s="1264"/>
      <c r="AJ26" s="1264"/>
      <c r="AK26" s="1264"/>
      <c r="AL26" s="1264"/>
      <c r="AM26" s="1264"/>
      <c r="AN26" s="1263">
        <v>15</v>
      </c>
      <c r="AO26" s="1264"/>
      <c r="AP26" s="1264"/>
      <c r="AQ26" s="1264"/>
      <c r="AR26" s="1264"/>
      <c r="AS26" s="1264"/>
      <c r="AT26" s="1264"/>
      <c r="AU26" s="1264"/>
      <c r="AV26" s="1264"/>
      <c r="AW26" s="1264"/>
      <c r="AX26" s="1264"/>
      <c r="AY26" s="1264"/>
      <c r="AZ26" s="1264"/>
      <c r="BA26" s="1264"/>
      <c r="BB26" s="1264"/>
      <c r="BC26" s="1267"/>
      <c r="BD26" s="1253">
        <v>1</v>
      </c>
      <c r="BE26" s="1253">
        <v>1</v>
      </c>
      <c r="BF26" s="1243">
        <f t="shared" si="0"/>
        <v>1</v>
      </c>
      <c r="BG26" s="14889"/>
      <c r="BH26" s="1254" t="s">
        <v>8693</v>
      </c>
      <c r="BI26" s="1255" t="s">
        <v>8694</v>
      </c>
      <c r="BJ26" s="1280"/>
      <c r="BK26" s="1275">
        <f>13232000+63000000</f>
        <v>76232000</v>
      </c>
      <c r="BL26" s="14766"/>
      <c r="BM26" s="1276">
        <f>13232000+63000000</f>
        <v>76232000</v>
      </c>
      <c r="BN26" s="1258"/>
      <c r="BO26" s="1258"/>
      <c r="BP26" s="1258">
        <v>211</v>
      </c>
      <c r="BQ26" s="1258">
        <v>156</v>
      </c>
      <c r="BR26" s="1258">
        <v>55</v>
      </c>
      <c r="BS26" s="1259"/>
      <c r="BT26" s="1259"/>
      <c r="BU26" s="1259"/>
      <c r="BV26" s="1259"/>
      <c r="BW26" s="1258"/>
      <c r="BX26" s="1258"/>
      <c r="BY26" s="1258"/>
      <c r="BZ26" s="1258"/>
      <c r="CA26" s="1258"/>
      <c r="CB26" s="1258"/>
      <c r="CC26" s="1258"/>
      <c r="CD26" s="1258"/>
      <c r="CE26" s="1258"/>
      <c r="CF26" s="1258"/>
      <c r="CG26" s="1258"/>
      <c r="CH26" s="1258"/>
      <c r="CI26" s="1258"/>
      <c r="CJ26" s="1258"/>
      <c r="CK26" s="1258"/>
      <c r="CL26" s="1259"/>
      <c r="CM26" s="1258"/>
      <c r="CN26" s="1258"/>
      <c r="CO26" s="1258"/>
      <c r="CP26" s="1258"/>
      <c r="CQ26" s="1258"/>
      <c r="CR26" s="1258"/>
      <c r="CS26" s="1258"/>
      <c r="CT26" s="1258"/>
      <c r="CU26" s="1258"/>
      <c r="CV26" s="1258"/>
      <c r="CW26" s="1258"/>
      <c r="CX26" s="1274"/>
      <c r="CY26"/>
      <c r="CZ26" s="2044"/>
      <c r="DA26" s="3062"/>
      <c r="DB26" s="3062"/>
      <c r="DC26" s="3062"/>
      <c r="DD26" s="3062"/>
      <c r="DE26" s="1267"/>
      <c r="DF26" s="3095"/>
      <c r="DG26" s="3062"/>
      <c r="DH26" s="3062"/>
      <c r="DI26" s="1267"/>
      <c r="DJ26" s="3083"/>
      <c r="DK26" s="3095"/>
      <c r="DL26" s="1267"/>
      <c r="DM26" s="3095"/>
      <c r="DN26" s="1267"/>
      <c r="DO26" s="3095"/>
      <c r="DP26" s="3062"/>
      <c r="DQ26" s="3062"/>
      <c r="DR26" s="3062"/>
      <c r="DS26" s="3062"/>
      <c r="DT26" s="3062"/>
      <c r="DU26" s="1267"/>
      <c r="DV26" s="3095"/>
      <c r="DW26" s="3062"/>
      <c r="DX26" s="3062"/>
      <c r="DY26" s="3062"/>
      <c r="DZ26" s="3062"/>
      <c r="EA26" s="3062"/>
      <c r="EB26" s="3062"/>
      <c r="EC26" s="1267"/>
      <c r="ED26" s="3095"/>
      <c r="EE26" s="3062"/>
      <c r="EF26" s="3062"/>
      <c r="EG26" s="3062"/>
      <c r="EH26" s="3062"/>
      <c r="EI26" s="1267"/>
      <c r="EJ26" s="3083"/>
      <c r="EK26" s="3083"/>
      <c r="EL26" s="3083"/>
      <c r="EM26" s="3083"/>
      <c r="EN26" s="3083"/>
      <c r="EO26" s="3083"/>
      <c r="EP26" s="3095"/>
      <c r="EQ26" s="3062"/>
      <c r="ER26" s="1267"/>
      <c r="ES26" s="3083"/>
    </row>
    <row r="27" spans="1:159" s="1231" customFormat="1" ht="15" customHeight="1">
      <c r="A27" s="14799"/>
      <c r="B27" s="14802"/>
      <c r="C27" s="1232" t="s">
        <v>7580</v>
      </c>
      <c r="D27" s="1271" t="s">
        <v>1754</v>
      </c>
      <c r="E27" s="1235" t="s">
        <v>1755</v>
      </c>
      <c r="F27" s="1235" t="s">
        <v>1073</v>
      </c>
      <c r="G27" s="1235" t="s">
        <v>1756</v>
      </c>
      <c r="H27" s="1263">
        <v>3</v>
      </c>
      <c r="I27" s="1234">
        <v>2</v>
      </c>
      <c r="J27" s="1263">
        <v>3</v>
      </c>
      <c r="K27" s="1238" t="s">
        <v>4305</v>
      </c>
      <c r="L27" s="1236">
        <v>1</v>
      </c>
      <c r="M27" s="1234" t="s">
        <v>3203</v>
      </c>
      <c r="N27" s="1234" t="s">
        <v>3204</v>
      </c>
      <c r="O27" s="1264"/>
      <c r="P27" s="1265">
        <f>+(242091848)+40000000+40000000</f>
        <v>322091848</v>
      </c>
      <c r="Q27" s="1265">
        <v>282091848</v>
      </c>
      <c r="R27" s="1264"/>
      <c r="S27" s="1264"/>
      <c r="T27" s="1281">
        <v>8354</v>
      </c>
      <c r="U27" s="1281">
        <v>4361</v>
      </c>
      <c r="V27" s="1281">
        <v>3993</v>
      </c>
      <c r="W27" s="1264"/>
      <c r="X27" s="1264"/>
      <c r="Y27" s="1264"/>
      <c r="Z27" s="1264"/>
      <c r="AA27" s="1264"/>
      <c r="AB27" s="1281">
        <v>5987</v>
      </c>
      <c r="AC27" s="1281">
        <v>1921</v>
      </c>
      <c r="AD27" s="1281">
        <v>428</v>
      </c>
      <c r="AE27" s="1281">
        <v>18</v>
      </c>
      <c r="AF27" s="1281">
        <v>468</v>
      </c>
      <c r="AG27" s="1281">
        <v>125</v>
      </c>
      <c r="AH27" s="1263">
        <v>1103</v>
      </c>
      <c r="AI27" s="1263">
        <v>435</v>
      </c>
      <c r="AJ27" s="1281">
        <v>1349</v>
      </c>
      <c r="AK27" s="1281">
        <v>61</v>
      </c>
      <c r="AL27" s="1281">
        <v>17</v>
      </c>
      <c r="AM27" s="1281">
        <v>302</v>
      </c>
      <c r="AN27" s="1281">
        <v>7227</v>
      </c>
      <c r="AO27" s="1281">
        <v>458</v>
      </c>
      <c r="AP27" s="1281">
        <v>175</v>
      </c>
      <c r="AQ27" s="1281"/>
      <c r="AR27" s="1281">
        <v>2</v>
      </c>
      <c r="AS27" s="1264"/>
      <c r="AT27" s="1264"/>
      <c r="AU27" s="1264"/>
      <c r="AV27" s="1264"/>
      <c r="AW27" s="1264"/>
      <c r="AX27" s="1264"/>
      <c r="AY27" s="1264"/>
      <c r="AZ27" s="1264"/>
      <c r="BA27" s="1264"/>
      <c r="BB27" s="1264"/>
      <c r="BC27" s="1267"/>
      <c r="BD27" s="1282">
        <v>1</v>
      </c>
      <c r="BE27" s="1282">
        <v>1</v>
      </c>
      <c r="BF27" s="1243">
        <f t="shared" si="0"/>
        <v>1</v>
      </c>
      <c r="BG27" s="14889"/>
      <c r="BH27" s="1254" t="s">
        <v>8695</v>
      </c>
      <c r="BI27" s="1255" t="s">
        <v>8696</v>
      </c>
      <c r="BJ27" s="1255" t="s">
        <v>8697</v>
      </c>
      <c r="BK27" s="1275">
        <v>70000000</v>
      </c>
      <c r="BL27" s="14766"/>
      <c r="BM27" s="1276">
        <v>70000000</v>
      </c>
      <c r="BN27" s="1258"/>
      <c r="BO27" s="1261"/>
      <c r="BP27" s="1261">
        <v>46</v>
      </c>
      <c r="BQ27" s="1258">
        <v>15</v>
      </c>
      <c r="BR27" s="1258">
        <v>31</v>
      </c>
      <c r="BS27" s="1259"/>
      <c r="BT27" s="1259"/>
      <c r="BU27" s="1259"/>
      <c r="BV27" s="1259"/>
      <c r="BW27" s="1259">
        <v>5</v>
      </c>
      <c r="BX27" s="1259">
        <v>24</v>
      </c>
      <c r="BY27" s="1259"/>
      <c r="BZ27" s="1259">
        <v>4</v>
      </c>
      <c r="CA27" s="1259">
        <v>39</v>
      </c>
      <c r="CB27" s="1259"/>
      <c r="CC27" s="1259">
        <v>1</v>
      </c>
      <c r="CD27" s="1259"/>
      <c r="CE27" s="1259">
        <v>3</v>
      </c>
      <c r="CF27" s="1259"/>
      <c r="CG27" s="1259"/>
      <c r="CH27" s="1259">
        <v>1</v>
      </c>
      <c r="CI27" s="1259"/>
      <c r="CJ27" s="1259">
        <v>2</v>
      </c>
      <c r="CK27" s="1259"/>
      <c r="CL27" s="1259"/>
      <c r="CM27" s="1259"/>
      <c r="CN27" s="1259"/>
      <c r="CO27" s="1259"/>
      <c r="CP27" s="1259"/>
      <c r="CQ27" s="1259"/>
      <c r="CR27" s="1259"/>
      <c r="CS27" s="1259"/>
      <c r="CT27" s="1259"/>
      <c r="CU27" s="1259"/>
      <c r="CV27" s="1259"/>
      <c r="CW27" s="1259"/>
      <c r="CX27" s="1262"/>
      <c r="CY27"/>
      <c r="CZ27" s="2044"/>
      <c r="DA27" s="3062"/>
      <c r="DB27" s="3062"/>
      <c r="DC27" s="3062"/>
      <c r="DD27" s="3062"/>
      <c r="DE27" s="1267"/>
      <c r="DF27" s="3095"/>
      <c r="DG27" s="3062"/>
      <c r="DH27" s="3062"/>
      <c r="DI27" s="1267"/>
      <c r="DJ27" s="3083"/>
      <c r="DK27" s="3095"/>
      <c r="DL27" s="1267"/>
      <c r="DM27" s="3095"/>
      <c r="DN27" s="1267"/>
      <c r="DO27" s="3095"/>
      <c r="DP27" s="3062"/>
      <c r="DQ27" s="3062"/>
      <c r="DR27" s="3062"/>
      <c r="DS27" s="3062"/>
      <c r="DT27" s="3062"/>
      <c r="DU27" s="1267"/>
      <c r="DV27" s="3095"/>
      <c r="DW27" s="3062"/>
      <c r="DX27" s="3062"/>
      <c r="DY27" s="3062"/>
      <c r="DZ27" s="3062"/>
      <c r="EA27" s="3062"/>
      <c r="EB27" s="3062"/>
      <c r="EC27" s="1267"/>
      <c r="ED27" s="3095"/>
      <c r="EE27" s="3062"/>
      <c r="EF27" s="3062"/>
      <c r="EG27" s="3062"/>
      <c r="EH27" s="3062"/>
      <c r="EI27" s="1267"/>
      <c r="EJ27" s="3083"/>
      <c r="EK27" s="3083"/>
      <c r="EL27" s="3083"/>
      <c r="EM27" s="3083"/>
      <c r="EN27" s="3083"/>
      <c r="EO27" s="3083"/>
      <c r="EP27" s="3095"/>
      <c r="EQ27" s="3062"/>
      <c r="ER27" s="1267"/>
      <c r="ES27" s="3083"/>
    </row>
    <row r="28" spans="1:159" s="1231" customFormat="1" ht="15" customHeight="1" thickBot="1">
      <c r="A28" s="14799"/>
      <c r="B28" s="14802"/>
      <c r="C28" s="1232" t="s">
        <v>7581</v>
      </c>
      <c r="D28" s="1235" t="s">
        <v>8582</v>
      </c>
      <c r="E28" s="1235" t="s">
        <v>1757</v>
      </c>
      <c r="F28" s="1235" t="s">
        <v>1073</v>
      </c>
      <c r="G28" s="1235" t="s">
        <v>1758</v>
      </c>
      <c r="H28" s="1263">
        <v>400</v>
      </c>
      <c r="I28" s="1237">
        <v>9</v>
      </c>
      <c r="J28" s="1263">
        <v>400</v>
      </c>
      <c r="K28" s="1238" t="s">
        <v>4305</v>
      </c>
      <c r="L28" s="1236">
        <v>1</v>
      </c>
      <c r="M28" s="1234" t="s">
        <v>3205</v>
      </c>
      <c r="N28" s="1234" t="s">
        <v>3206</v>
      </c>
      <c r="O28" s="1234" t="s">
        <v>3207</v>
      </c>
      <c r="P28" s="1265">
        <v>246000000</v>
      </c>
      <c r="Q28" s="1265">
        <v>246000000</v>
      </c>
      <c r="R28" s="1264"/>
      <c r="S28" s="1264"/>
      <c r="T28" s="1263"/>
      <c r="U28" s="1263"/>
      <c r="V28" s="1263"/>
      <c r="W28" s="1264"/>
      <c r="X28" s="1264"/>
      <c r="Y28" s="1264"/>
      <c r="Z28" s="1264"/>
      <c r="AA28" s="1264"/>
      <c r="AB28" s="1264"/>
      <c r="AC28" s="1264"/>
      <c r="AD28" s="1264"/>
      <c r="AE28" s="1264"/>
      <c r="AF28" s="1264"/>
      <c r="AG28" s="1264"/>
      <c r="AH28" s="1264"/>
      <c r="AI28" s="1264"/>
      <c r="AJ28" s="1264"/>
      <c r="AK28" s="1264"/>
      <c r="AL28" s="1264"/>
      <c r="AM28" s="1283"/>
      <c r="AN28" s="1264"/>
      <c r="AO28" s="1264"/>
      <c r="AP28" s="1264"/>
      <c r="AQ28" s="1264"/>
      <c r="AR28" s="1264"/>
      <c r="AS28" s="1264"/>
      <c r="AT28" s="1264"/>
      <c r="AU28" s="1264"/>
      <c r="AV28" s="1264"/>
      <c r="AW28" s="1264"/>
      <c r="AX28" s="1264"/>
      <c r="AY28" s="1264"/>
      <c r="AZ28" s="1264"/>
      <c r="BA28" s="1264"/>
      <c r="BB28" s="1264"/>
      <c r="BC28" s="1267"/>
      <c r="BD28" s="1253">
        <v>1</v>
      </c>
      <c r="BE28" s="1253">
        <v>1</v>
      </c>
      <c r="BF28" s="1243">
        <f t="shared" si="0"/>
        <v>1</v>
      </c>
      <c r="BG28" s="14889"/>
      <c r="BH28" s="1254" t="s">
        <v>8698</v>
      </c>
      <c r="BI28" s="1255" t="s">
        <v>8699</v>
      </c>
      <c r="BJ28" s="1255" t="s">
        <v>8700</v>
      </c>
      <c r="BK28" s="1275" t="s">
        <v>8656</v>
      </c>
      <c r="BL28" s="14766"/>
      <c r="BM28" s="1276" t="s">
        <v>8656</v>
      </c>
      <c r="BN28" s="1258"/>
      <c r="BO28" s="1284"/>
      <c r="BP28" s="1284">
        <v>412</v>
      </c>
      <c r="BQ28" s="1258"/>
      <c r="BR28" s="1258"/>
      <c r="BS28" s="1258"/>
      <c r="BT28" s="1259"/>
      <c r="BU28" s="1259"/>
      <c r="BV28" s="1259"/>
      <c r="BW28" s="1259"/>
      <c r="BX28" s="1259"/>
      <c r="BY28" s="1258"/>
      <c r="BZ28" s="1258"/>
      <c r="CA28" s="1259"/>
      <c r="CB28" s="1258"/>
      <c r="CC28" s="1259"/>
      <c r="CD28" s="1258"/>
      <c r="CE28" s="1259"/>
      <c r="CF28" s="1259"/>
      <c r="CG28" s="1259"/>
      <c r="CH28" s="1259"/>
      <c r="CI28" s="1259"/>
      <c r="CJ28" s="1258"/>
      <c r="CK28" s="1259"/>
      <c r="CL28" s="1259"/>
      <c r="CM28" s="1259"/>
      <c r="CN28" s="1259"/>
      <c r="CO28" s="1259"/>
      <c r="CP28" s="1259"/>
      <c r="CQ28" s="1259"/>
      <c r="CR28" s="1259"/>
      <c r="CS28" s="1259"/>
      <c r="CT28" s="1259"/>
      <c r="CU28" s="1259"/>
      <c r="CV28" s="1259"/>
      <c r="CW28" s="1259"/>
      <c r="CX28" s="1262"/>
      <c r="CY28"/>
      <c r="CZ28" s="2044"/>
      <c r="DA28" s="3062"/>
      <c r="DB28" s="3062"/>
      <c r="DC28" s="3062"/>
      <c r="DD28" s="3062"/>
      <c r="DE28" s="1267"/>
      <c r="DF28" s="3095"/>
      <c r="DG28" s="3062"/>
      <c r="DH28" s="3062"/>
      <c r="DI28" s="1267"/>
      <c r="DJ28" s="3083"/>
      <c r="DK28" s="3095"/>
      <c r="DL28" s="1267"/>
      <c r="DM28" s="3095"/>
      <c r="DN28" s="1267"/>
      <c r="DO28" s="3095"/>
      <c r="DP28" s="3062"/>
      <c r="DQ28" s="3062"/>
      <c r="DR28" s="3062"/>
      <c r="DS28" s="3062"/>
      <c r="DT28" s="3062"/>
      <c r="DU28" s="1267"/>
      <c r="DV28" s="3095"/>
      <c r="DW28" s="3062"/>
      <c r="DX28" s="3062"/>
      <c r="DY28" s="3062"/>
      <c r="DZ28" s="3062"/>
      <c r="EA28" s="3062"/>
      <c r="EB28" s="3062"/>
      <c r="EC28" s="1267"/>
      <c r="ED28" s="3095"/>
      <c r="EE28" s="3062"/>
      <c r="EF28" s="3062"/>
      <c r="EG28" s="3062"/>
      <c r="EH28" s="3062"/>
      <c r="EI28" s="1267"/>
      <c r="EJ28" s="3083"/>
      <c r="EK28" s="3083"/>
      <c r="EL28" s="3083"/>
      <c r="EM28" s="3083"/>
      <c r="EN28" s="3083"/>
      <c r="EO28" s="3083"/>
      <c r="EP28" s="3095"/>
      <c r="EQ28" s="3062"/>
      <c r="ER28" s="1267"/>
      <c r="ES28" s="3083"/>
    </row>
    <row r="29" spans="1:159" s="1231" customFormat="1" ht="15" customHeight="1">
      <c r="A29" s="14799"/>
      <c r="B29" s="14802" t="s">
        <v>1759</v>
      </c>
      <c r="C29" s="1232" t="s">
        <v>7582</v>
      </c>
      <c r="D29" s="1235" t="s">
        <v>1760</v>
      </c>
      <c r="E29" s="1235" t="s">
        <v>1761</v>
      </c>
      <c r="F29" s="1235" t="s">
        <v>1073</v>
      </c>
      <c r="G29" s="1235" t="s">
        <v>8654</v>
      </c>
      <c r="H29" s="1214">
        <v>38</v>
      </c>
      <c r="I29" s="1237">
        <v>4</v>
      </c>
      <c r="J29" s="1214">
        <v>38</v>
      </c>
      <c r="K29" s="1238" t="s">
        <v>4305</v>
      </c>
      <c r="L29" s="1285">
        <v>1</v>
      </c>
      <c r="M29" s="1286" t="s">
        <v>3208</v>
      </c>
      <c r="N29" s="1234" t="s">
        <v>3209</v>
      </c>
      <c r="O29" s="1234" t="s">
        <v>3210</v>
      </c>
      <c r="P29" s="1265">
        <f>+(40000000)+17847*T29</f>
        <v>40356940</v>
      </c>
      <c r="Q29" s="1265">
        <v>40356940</v>
      </c>
      <c r="R29" s="1264"/>
      <c r="S29" s="1264"/>
      <c r="T29" s="1263">
        <v>20</v>
      </c>
      <c r="U29" s="1263">
        <v>8</v>
      </c>
      <c r="V29" s="1263">
        <v>12</v>
      </c>
      <c r="W29" s="1264"/>
      <c r="X29" s="1264"/>
      <c r="Y29" s="1264"/>
      <c r="Z29" s="1264"/>
      <c r="AA29" s="1264"/>
      <c r="AB29" s="1264"/>
      <c r="AC29" s="1264"/>
      <c r="AD29" s="1264"/>
      <c r="AE29" s="1264"/>
      <c r="AF29" s="1264"/>
      <c r="AG29" s="1264"/>
      <c r="AH29" s="1264"/>
      <c r="AI29" s="1264"/>
      <c r="AJ29" s="1264"/>
      <c r="AK29" s="1264"/>
      <c r="AL29" s="1264"/>
      <c r="AM29" s="1264"/>
      <c r="AN29" s="1283"/>
      <c r="AO29" s="1264"/>
      <c r="AP29" s="1264"/>
      <c r="AQ29" s="1264"/>
      <c r="AR29" s="1264"/>
      <c r="AS29" s="1264"/>
      <c r="AT29" s="1264"/>
      <c r="AU29" s="1264"/>
      <c r="AV29" s="1264"/>
      <c r="AW29" s="1264"/>
      <c r="AX29" s="1264"/>
      <c r="AY29" s="1264"/>
      <c r="AZ29" s="1264"/>
      <c r="BA29" s="1264"/>
      <c r="BB29" s="1264"/>
      <c r="BC29" s="1267"/>
      <c r="BD29" s="1253">
        <v>1</v>
      </c>
      <c r="BE29" s="1253">
        <v>1</v>
      </c>
      <c r="BF29" s="1243">
        <f t="shared" si="0"/>
        <v>1</v>
      </c>
      <c r="BG29" s="14889"/>
      <c r="BH29" s="1287" t="s">
        <v>8701</v>
      </c>
      <c r="BI29" s="1255" t="s">
        <v>8702</v>
      </c>
      <c r="BJ29" s="1255" t="s">
        <v>8703</v>
      </c>
      <c r="BK29" s="1288">
        <f>148732000+39751599</f>
        <v>188483599</v>
      </c>
      <c r="BL29" s="14766"/>
      <c r="BM29" s="1289">
        <f>148732000+39751599</f>
        <v>188483599</v>
      </c>
      <c r="BN29" s="1258"/>
      <c r="BO29" s="1258"/>
      <c r="BP29" s="1290">
        <v>5337</v>
      </c>
      <c r="BQ29" s="1290">
        <v>2749</v>
      </c>
      <c r="BR29" s="1290">
        <v>2588</v>
      </c>
      <c r="BS29" s="1259"/>
      <c r="BT29" s="1259"/>
      <c r="BU29" s="1259"/>
      <c r="BV29" s="1259"/>
      <c r="BW29" s="1259"/>
      <c r="BX29" s="1290">
        <v>5987</v>
      </c>
      <c r="BY29" s="1290">
        <v>1921</v>
      </c>
      <c r="BZ29" s="1290">
        <v>428</v>
      </c>
      <c r="CA29" s="1290">
        <v>18</v>
      </c>
      <c r="CB29" s="1290">
        <v>468</v>
      </c>
      <c r="CC29" s="1290">
        <v>125</v>
      </c>
      <c r="CD29" s="1258">
        <v>1103</v>
      </c>
      <c r="CE29" s="1258">
        <v>435</v>
      </c>
      <c r="CF29" s="1290">
        <v>1349</v>
      </c>
      <c r="CG29" s="1290">
        <v>61</v>
      </c>
      <c r="CH29" s="1290">
        <v>17</v>
      </c>
      <c r="CI29" s="1290">
        <v>302</v>
      </c>
      <c r="CJ29" s="1290">
        <v>7227</v>
      </c>
      <c r="CK29" s="1290">
        <v>458</v>
      </c>
      <c r="CL29" s="1290">
        <v>175</v>
      </c>
      <c r="CM29" s="1290"/>
      <c r="CN29" s="1290">
        <v>2</v>
      </c>
      <c r="CO29" s="1259"/>
      <c r="CP29" s="1259"/>
      <c r="CQ29" s="1259"/>
      <c r="CR29" s="1259"/>
      <c r="CS29" s="1259"/>
      <c r="CT29" s="1259"/>
      <c r="CU29" s="1259"/>
      <c r="CV29" s="1259"/>
      <c r="CW29" s="1259"/>
      <c r="CX29" s="1262"/>
      <c r="CY29"/>
      <c r="CZ29" s="2044"/>
      <c r="DA29" s="3062"/>
      <c r="DB29" s="3062"/>
      <c r="DC29" s="3062"/>
      <c r="DD29" s="3062"/>
      <c r="DE29" s="1267"/>
      <c r="DF29" s="3095"/>
      <c r="DG29" s="3062"/>
      <c r="DH29" s="3062"/>
      <c r="DI29" s="1267"/>
      <c r="DJ29" s="3083"/>
      <c r="DK29" s="3095"/>
      <c r="DL29" s="1267"/>
      <c r="DM29" s="3095"/>
      <c r="DN29" s="1267"/>
      <c r="DO29" s="3095"/>
      <c r="DP29" s="3062"/>
      <c r="DQ29" s="3062"/>
      <c r="DR29" s="3062"/>
      <c r="DS29" s="3062"/>
      <c r="DT29" s="3062"/>
      <c r="DU29" s="1267"/>
      <c r="DV29" s="3095"/>
      <c r="DW29" s="3062"/>
      <c r="DX29" s="3062"/>
      <c r="DY29" s="3062"/>
      <c r="DZ29" s="3062"/>
      <c r="EA29" s="3062"/>
      <c r="EB29" s="3062"/>
      <c r="EC29" s="1267"/>
      <c r="ED29" s="3095"/>
      <c r="EE29" s="3062"/>
      <c r="EF29" s="3062"/>
      <c r="EG29" s="3062"/>
      <c r="EH29" s="3062"/>
      <c r="EI29" s="1267"/>
      <c r="EJ29" s="3083"/>
      <c r="EK29" s="3083"/>
      <c r="EL29" s="3083"/>
      <c r="EM29" s="3083"/>
      <c r="EN29" s="3083"/>
      <c r="EO29" s="3083"/>
      <c r="EP29" s="3095"/>
      <c r="EQ29" s="3062"/>
      <c r="ER29" s="1267"/>
      <c r="ES29" s="3083"/>
    </row>
    <row r="30" spans="1:159" s="1231" customFormat="1" ht="15" customHeight="1" thickBot="1">
      <c r="A30" s="14799"/>
      <c r="B30" s="14802"/>
      <c r="C30" s="1232" t="s">
        <v>7583</v>
      </c>
      <c r="D30" s="1235" t="s">
        <v>8583</v>
      </c>
      <c r="E30" s="1235" t="s">
        <v>1761</v>
      </c>
      <c r="F30" s="1235" t="s">
        <v>1763</v>
      </c>
      <c r="G30" s="1235" t="s">
        <v>1764</v>
      </c>
      <c r="H30" s="936">
        <v>13</v>
      </c>
      <c r="I30" s="1234">
        <v>1</v>
      </c>
      <c r="J30" s="936">
        <v>13</v>
      </c>
      <c r="K30" s="1238" t="s">
        <v>4305</v>
      </c>
      <c r="L30" s="1291">
        <v>0</v>
      </c>
      <c r="M30" s="1292"/>
      <c r="N30" s="912"/>
      <c r="O30" s="1293"/>
      <c r="P30" s="912"/>
      <c r="Q30" s="1293"/>
      <c r="R30" s="1293"/>
      <c r="S30" s="1293"/>
      <c r="T30" s="912"/>
      <c r="U30" s="1293"/>
      <c r="V30" s="1293"/>
      <c r="W30" s="1293"/>
      <c r="X30" s="1293"/>
      <c r="Y30" s="1293"/>
      <c r="Z30" s="1293"/>
      <c r="AA30" s="1293"/>
      <c r="AB30" s="1293"/>
      <c r="AC30" s="1293"/>
      <c r="AD30" s="1293"/>
      <c r="AE30" s="1293"/>
      <c r="AF30" s="1293"/>
      <c r="AG30" s="1293"/>
      <c r="AH30" s="1293"/>
      <c r="AI30" s="1293"/>
      <c r="AJ30" s="1293"/>
      <c r="AK30" s="1293"/>
      <c r="AL30" s="1293"/>
      <c r="AM30" s="1293"/>
      <c r="AN30" s="1293"/>
      <c r="AO30" s="1293"/>
      <c r="AP30" s="1293"/>
      <c r="AQ30" s="1293"/>
      <c r="AR30" s="1293"/>
      <c r="AS30" s="1293"/>
      <c r="AT30" s="1293"/>
      <c r="AU30" s="1293"/>
      <c r="AV30" s="1293"/>
      <c r="AW30" s="1293"/>
      <c r="AX30" s="1293"/>
      <c r="AY30" s="1293"/>
      <c r="AZ30" s="1293"/>
      <c r="BA30" s="1293"/>
      <c r="BB30" s="1293"/>
      <c r="BC30" s="1294"/>
      <c r="BD30" s="1253">
        <v>1</v>
      </c>
      <c r="BE30" s="1253">
        <v>1</v>
      </c>
      <c r="BF30" s="1243">
        <f t="shared" si="0"/>
        <v>1</v>
      </c>
      <c r="BG30" s="14889"/>
      <c r="BH30" s="1254" t="s">
        <v>9718</v>
      </c>
      <c r="BI30" s="1255" t="s">
        <v>9719</v>
      </c>
      <c r="BJ30" s="1255" t="s">
        <v>8704</v>
      </c>
      <c r="BK30" s="1288">
        <f>35000000+70000000+45000000+39393604+72400000+65000000</f>
        <v>326793604</v>
      </c>
      <c r="BL30" s="14766"/>
      <c r="BM30" s="1289">
        <f>35000000+70000000+45000000+39393604+72400000+65000000</f>
        <v>326793604</v>
      </c>
      <c r="BN30" s="1295"/>
      <c r="BO30" s="1295"/>
      <c r="BP30" s="1295"/>
      <c r="BQ30" s="1296"/>
      <c r="BR30" s="1296"/>
      <c r="BS30" s="1296"/>
      <c r="BT30" s="1296"/>
      <c r="BU30" s="1296"/>
      <c r="BV30" s="1296"/>
      <c r="BW30" s="1296"/>
      <c r="BX30" s="1296"/>
      <c r="BY30" s="1296"/>
      <c r="BZ30" s="1296"/>
      <c r="CA30" s="1296"/>
      <c r="CB30" s="1296"/>
      <c r="CC30" s="1296"/>
      <c r="CD30" s="1296"/>
      <c r="CE30" s="1296"/>
      <c r="CF30" s="1296"/>
      <c r="CG30" s="1296"/>
      <c r="CH30" s="1296"/>
      <c r="CI30" s="1296"/>
      <c r="CJ30" s="1296"/>
      <c r="CK30" s="1296"/>
      <c r="CL30" s="1296"/>
      <c r="CM30" s="1296"/>
      <c r="CN30" s="1296"/>
      <c r="CO30" s="1296"/>
      <c r="CP30" s="1277" t="s">
        <v>8705</v>
      </c>
      <c r="CQ30" s="1277" t="s">
        <v>8706</v>
      </c>
      <c r="CR30" s="1261" t="s">
        <v>9720</v>
      </c>
      <c r="CS30" s="1260" t="s">
        <v>8707</v>
      </c>
      <c r="CT30" s="1277" t="s">
        <v>8708</v>
      </c>
      <c r="CU30" s="1296"/>
      <c r="CV30" s="1296"/>
      <c r="CW30" s="1296"/>
      <c r="CX30" s="1297"/>
      <c r="CY30"/>
      <c r="CZ30" s="2044"/>
      <c r="DA30" s="3062"/>
      <c r="DB30" s="3062"/>
      <c r="DC30" s="3062"/>
      <c r="DD30" s="3062"/>
      <c r="DE30" s="1267"/>
      <c r="DF30" s="3095"/>
      <c r="DG30" s="3062"/>
      <c r="DH30" s="3062"/>
      <c r="DI30" s="1267"/>
      <c r="DJ30" s="3083"/>
      <c r="DK30" s="3095"/>
      <c r="DL30" s="1267"/>
      <c r="DM30" s="3095"/>
      <c r="DN30" s="1267"/>
      <c r="DO30" s="3095"/>
      <c r="DP30" s="3062"/>
      <c r="DQ30" s="3062"/>
      <c r="DR30" s="3062"/>
      <c r="DS30" s="3062"/>
      <c r="DT30" s="3062"/>
      <c r="DU30" s="1267"/>
      <c r="DV30" s="3095"/>
      <c r="DW30" s="3062"/>
      <c r="DX30" s="3062"/>
      <c r="DY30" s="3062"/>
      <c r="DZ30" s="3062"/>
      <c r="EA30" s="3062"/>
      <c r="EB30" s="3062"/>
      <c r="EC30" s="1267"/>
      <c r="ED30" s="3095"/>
      <c r="EE30" s="3062"/>
      <c r="EF30" s="3062"/>
      <c r="EG30" s="3062"/>
      <c r="EH30" s="3062"/>
      <c r="EI30" s="1267"/>
      <c r="EJ30" s="3083"/>
      <c r="EK30" s="3083"/>
      <c r="EL30" s="3083"/>
      <c r="EM30" s="3083"/>
      <c r="EN30" s="3083"/>
      <c r="EO30" s="3083"/>
      <c r="EP30" s="3095"/>
      <c r="EQ30" s="3062"/>
      <c r="ER30" s="1267"/>
      <c r="ES30" s="3083"/>
    </row>
    <row r="31" spans="1:159" s="1231" customFormat="1" ht="15" customHeight="1" thickBot="1">
      <c r="A31" s="14799"/>
      <c r="B31" s="14802" t="s">
        <v>1765</v>
      </c>
      <c r="C31" s="1232" t="s">
        <v>7584</v>
      </c>
      <c r="D31" s="1235" t="s">
        <v>8584</v>
      </c>
      <c r="E31" s="1235" t="s">
        <v>1766</v>
      </c>
      <c r="F31" s="1235" t="s">
        <v>1073</v>
      </c>
      <c r="G31" s="1298" t="s">
        <v>1732</v>
      </c>
      <c r="H31" s="1299">
        <v>4</v>
      </c>
      <c r="I31" s="1234">
        <v>1</v>
      </c>
      <c r="J31" s="1299">
        <v>4</v>
      </c>
      <c r="K31" s="1238" t="s">
        <v>4305</v>
      </c>
      <c r="L31" s="1291">
        <v>0</v>
      </c>
      <c r="M31" s="1300"/>
      <c r="N31" s="937"/>
      <c r="O31" s="1301"/>
      <c r="P31" s="912"/>
      <c r="Q31" s="1301"/>
      <c r="R31" s="1301"/>
      <c r="S31" s="1301"/>
      <c r="T31" s="912"/>
      <c r="U31" s="1301"/>
      <c r="V31" s="1301"/>
      <c r="W31" s="1301"/>
      <c r="X31" s="1301"/>
      <c r="Y31" s="1301"/>
      <c r="Z31" s="1301"/>
      <c r="AA31" s="1301"/>
      <c r="AB31" s="1301"/>
      <c r="AC31" s="1301"/>
      <c r="AD31" s="1301"/>
      <c r="AE31" s="1301"/>
      <c r="AF31" s="1301"/>
      <c r="AG31" s="1301"/>
      <c r="AH31" s="1301"/>
      <c r="AI31" s="1301"/>
      <c r="AJ31" s="1301"/>
      <c r="AK31" s="1301"/>
      <c r="AL31" s="1301"/>
      <c r="AM31" s="1301"/>
      <c r="AN31" s="1301"/>
      <c r="AO31" s="1301"/>
      <c r="AP31" s="1301"/>
      <c r="AQ31" s="1301"/>
      <c r="AR31" s="1301"/>
      <c r="AS31" s="1301"/>
      <c r="AT31" s="1301"/>
      <c r="AU31" s="1301"/>
      <c r="AV31" s="1301"/>
      <c r="AW31" s="1301"/>
      <c r="AX31" s="1301"/>
      <c r="AY31" s="1301"/>
      <c r="AZ31" s="1301"/>
      <c r="BA31" s="1301"/>
      <c r="BB31" s="1301"/>
      <c r="BC31" s="1302"/>
      <c r="BD31" s="1253">
        <v>1</v>
      </c>
      <c r="BE31" s="1253">
        <v>1</v>
      </c>
      <c r="BF31" s="1243">
        <f t="shared" si="0"/>
        <v>1</v>
      </c>
      <c r="BG31" s="14889"/>
      <c r="BH31" s="1254" t="s">
        <v>8674</v>
      </c>
      <c r="BI31" s="1255" t="s">
        <v>8709</v>
      </c>
      <c r="BJ31" s="1255" t="s">
        <v>8700</v>
      </c>
      <c r="BK31" s="1275" t="s">
        <v>8656</v>
      </c>
      <c r="BL31" s="14766"/>
      <c r="BM31" s="1276" t="s">
        <v>8656</v>
      </c>
      <c r="BN31" s="1258"/>
      <c r="BO31" s="1258"/>
      <c r="BP31" s="1258">
        <v>195</v>
      </c>
      <c r="BQ31" s="1258">
        <v>114</v>
      </c>
      <c r="BR31" s="1258">
        <v>81</v>
      </c>
      <c r="BS31" s="1259"/>
      <c r="BT31" s="1259"/>
      <c r="BU31" s="1259"/>
      <c r="BV31" s="1259"/>
      <c r="BW31" s="1258"/>
      <c r="BX31" s="1258"/>
      <c r="BY31" s="1258"/>
      <c r="BZ31" s="1258"/>
      <c r="CA31" s="1258"/>
      <c r="CB31" s="1258"/>
      <c r="CC31" s="1258"/>
      <c r="CD31" s="1258"/>
      <c r="CE31" s="1258"/>
      <c r="CF31" s="1258"/>
      <c r="CG31" s="1258"/>
      <c r="CH31" s="1258"/>
      <c r="CI31" s="1258"/>
      <c r="CJ31" s="1258"/>
      <c r="CK31" s="1258"/>
      <c r="CL31" s="1259"/>
      <c r="CM31" s="1259"/>
      <c r="CN31" s="1259"/>
      <c r="CO31" s="1259"/>
      <c r="CP31" s="1260" t="s">
        <v>8677</v>
      </c>
      <c r="CQ31" s="1260" t="s">
        <v>8678</v>
      </c>
      <c r="CR31" s="1259"/>
      <c r="CS31" s="1261" t="s">
        <v>8679</v>
      </c>
      <c r="CT31" s="1258" t="s">
        <v>8680</v>
      </c>
      <c r="CU31" s="1259"/>
      <c r="CV31" s="1259"/>
      <c r="CW31" s="1259"/>
      <c r="CX31" s="1262"/>
      <c r="CY31"/>
      <c r="CZ31" s="2044"/>
      <c r="DA31" s="3062"/>
      <c r="DB31" s="3062"/>
      <c r="DC31" s="3062"/>
      <c r="DD31" s="3062"/>
      <c r="DE31" s="1267"/>
      <c r="DF31" s="3095"/>
      <c r="DG31" s="3062"/>
      <c r="DH31" s="3062"/>
      <c r="DI31" s="1267"/>
      <c r="DJ31" s="3083"/>
      <c r="DK31" s="3095"/>
      <c r="DL31" s="1267"/>
      <c r="DM31" s="3095"/>
      <c r="DN31" s="1267"/>
      <c r="DO31" s="3095"/>
      <c r="DP31" s="3062"/>
      <c r="DQ31" s="3062"/>
      <c r="DR31" s="3062"/>
      <c r="DS31" s="3062"/>
      <c r="DT31" s="3062"/>
      <c r="DU31" s="1267"/>
      <c r="DV31" s="3095"/>
      <c r="DW31" s="3062"/>
      <c r="DX31" s="3062"/>
      <c r="DY31" s="3062"/>
      <c r="DZ31" s="3062"/>
      <c r="EA31" s="3062"/>
      <c r="EB31" s="3062"/>
      <c r="EC31" s="1267"/>
      <c r="ED31" s="3095"/>
      <c r="EE31" s="3062"/>
      <c r="EF31" s="3062"/>
      <c r="EG31" s="3062"/>
      <c r="EH31" s="3062"/>
      <c r="EI31" s="1267"/>
      <c r="EJ31" s="3083"/>
      <c r="EK31" s="3083"/>
      <c r="EL31" s="3083"/>
      <c r="EM31" s="3083"/>
      <c r="EN31" s="3083"/>
      <c r="EO31" s="3083"/>
      <c r="EP31" s="3095"/>
      <c r="EQ31" s="3062"/>
      <c r="ER31" s="1267"/>
      <c r="ES31" s="3083"/>
    </row>
    <row r="32" spans="1:159" s="1231" customFormat="1" ht="15" customHeight="1" thickBot="1">
      <c r="A32" s="14800"/>
      <c r="B32" s="14803"/>
      <c r="C32" s="1303" t="s">
        <v>7585</v>
      </c>
      <c r="D32" s="1304" t="s">
        <v>8585</v>
      </c>
      <c r="E32" s="1304" t="s">
        <v>1768</v>
      </c>
      <c r="F32" s="1304" t="s">
        <v>1073</v>
      </c>
      <c r="G32" s="1304" t="s">
        <v>1732</v>
      </c>
      <c r="H32" s="1305">
        <v>1</v>
      </c>
      <c r="I32" s="912">
        <v>1000</v>
      </c>
      <c r="J32" s="1305">
        <v>1</v>
      </c>
      <c r="K32" s="1306" t="s">
        <v>4305</v>
      </c>
      <c r="L32" s="1291">
        <v>0</v>
      </c>
      <c r="M32" s="1292"/>
      <c r="N32" s="912"/>
      <c r="O32" s="1293"/>
      <c r="P32" s="912"/>
      <c r="Q32" s="1293"/>
      <c r="R32" s="1293"/>
      <c r="S32" s="1293"/>
      <c r="T32" s="912"/>
      <c r="U32" s="1293"/>
      <c r="V32" s="1293"/>
      <c r="W32" s="1293"/>
      <c r="X32" s="1293"/>
      <c r="Y32" s="1293"/>
      <c r="Z32" s="1293"/>
      <c r="AA32" s="1293"/>
      <c r="AB32" s="1293"/>
      <c r="AC32" s="1293"/>
      <c r="AD32" s="1293"/>
      <c r="AE32" s="1293"/>
      <c r="AF32" s="1293"/>
      <c r="AG32" s="1293"/>
      <c r="AH32" s="1293"/>
      <c r="AI32" s="1293"/>
      <c r="AJ32" s="1293"/>
      <c r="AK32" s="1293"/>
      <c r="AL32" s="1293"/>
      <c r="AM32" s="1293"/>
      <c r="AN32" s="1293"/>
      <c r="AO32" s="1293"/>
      <c r="AP32" s="1293"/>
      <c r="AQ32" s="1293"/>
      <c r="AR32" s="1293"/>
      <c r="AS32" s="1293"/>
      <c r="AT32" s="1293"/>
      <c r="AU32" s="1293"/>
      <c r="AV32" s="1293"/>
      <c r="AW32" s="1293"/>
      <c r="AX32" s="1293"/>
      <c r="AY32" s="1293"/>
      <c r="AZ32" s="1293"/>
      <c r="BA32" s="1293"/>
      <c r="BB32" s="1293"/>
      <c r="BC32" s="1294"/>
      <c r="BD32" s="1307">
        <v>1</v>
      </c>
      <c r="BE32" s="1307">
        <v>1</v>
      </c>
      <c r="BF32" s="1308">
        <f t="shared" si="0"/>
        <v>1</v>
      </c>
      <c r="BG32" s="14890"/>
      <c r="BH32" s="1309" t="s">
        <v>8710</v>
      </c>
      <c r="BI32" s="1310" t="s">
        <v>8709</v>
      </c>
      <c r="BJ32" s="1310" t="s">
        <v>8711</v>
      </c>
      <c r="BK32" s="1311" t="s">
        <v>8656</v>
      </c>
      <c r="BL32" s="14767"/>
      <c r="BM32" s="1312" t="s">
        <v>8656</v>
      </c>
      <c r="BN32" s="1313"/>
      <c r="BO32" s="1313"/>
      <c r="BP32" s="1313">
        <v>94</v>
      </c>
      <c r="BQ32" s="1313"/>
      <c r="BR32" s="1313"/>
      <c r="BS32" s="1313"/>
      <c r="BT32" s="1313"/>
      <c r="BU32" s="1313"/>
      <c r="BV32" s="1313"/>
      <c r="BW32" s="1313"/>
      <c r="BX32" s="1313"/>
      <c r="BY32" s="1313"/>
      <c r="BZ32" s="1313"/>
      <c r="CA32" s="1313"/>
      <c r="CB32" s="1313"/>
      <c r="CC32" s="1313"/>
      <c r="CD32" s="1313"/>
      <c r="CE32" s="1313"/>
      <c r="CF32" s="1313"/>
      <c r="CG32" s="1313"/>
      <c r="CH32" s="1313"/>
      <c r="CI32" s="1313"/>
      <c r="CJ32" s="1313"/>
      <c r="CK32" s="1313"/>
      <c r="CL32" s="1313"/>
      <c r="CM32" s="1313"/>
      <c r="CN32" s="1313"/>
      <c r="CO32" s="1313"/>
      <c r="CP32" s="1314"/>
      <c r="CQ32" s="1313"/>
      <c r="CR32" s="1313"/>
      <c r="CS32" s="1313"/>
      <c r="CT32" s="1313"/>
      <c r="CU32" s="1313"/>
      <c r="CV32" s="1313"/>
      <c r="CW32" s="1313"/>
      <c r="CX32" s="1315"/>
      <c r="CY32"/>
      <c r="CZ32" s="3076"/>
      <c r="DA32" s="1293"/>
      <c r="DB32" s="1293"/>
      <c r="DC32" s="1293"/>
      <c r="DD32" s="1293"/>
      <c r="DE32" s="1294"/>
      <c r="DF32" s="3096"/>
      <c r="DG32" s="1293"/>
      <c r="DH32" s="1293"/>
      <c r="DI32" s="1294"/>
      <c r="DJ32" s="3084"/>
      <c r="DK32" s="3096"/>
      <c r="DL32" s="1294"/>
      <c r="DM32" s="3096"/>
      <c r="DN32" s="1294"/>
      <c r="DO32" s="3096"/>
      <c r="DP32" s="1293"/>
      <c r="DQ32" s="1293"/>
      <c r="DR32" s="1293"/>
      <c r="DS32" s="1293"/>
      <c r="DT32" s="1293"/>
      <c r="DU32" s="1294"/>
      <c r="DV32" s="3096"/>
      <c r="DW32" s="1293"/>
      <c r="DX32" s="1293"/>
      <c r="DY32" s="1293"/>
      <c r="DZ32" s="1293"/>
      <c r="EA32" s="1293"/>
      <c r="EB32" s="1293"/>
      <c r="EC32" s="1294"/>
      <c r="ED32" s="3096"/>
      <c r="EE32" s="1293"/>
      <c r="EF32" s="1293"/>
      <c r="EG32" s="1293"/>
      <c r="EH32" s="1293"/>
      <c r="EI32" s="1294"/>
      <c r="EJ32" s="3084"/>
      <c r="EK32" s="3084"/>
      <c r="EL32" s="3084"/>
      <c r="EM32" s="3084"/>
      <c r="EN32" s="3084"/>
      <c r="EO32" s="3084"/>
      <c r="EP32" s="3096"/>
      <c r="EQ32" s="1293"/>
      <c r="ER32" s="1294"/>
      <c r="ES32" s="3084"/>
      <c r="ET32" s="1335"/>
      <c r="EU32" s="1335"/>
      <c r="EV32" s="1335"/>
      <c r="EW32" s="1335"/>
      <c r="EX32" s="1335"/>
      <c r="EY32" s="1335"/>
      <c r="EZ32" s="1335"/>
      <c r="FA32" s="1335"/>
      <c r="FB32" s="1335"/>
      <c r="FC32" s="1335"/>
    </row>
    <row r="33" spans="1:159" s="1335" customFormat="1" ht="15" customHeight="1">
      <c r="A33" s="14848" t="s">
        <v>1769</v>
      </c>
      <c r="B33" s="1316" t="s">
        <v>1770</v>
      </c>
      <c r="C33" s="1317" t="s">
        <v>7586</v>
      </c>
      <c r="D33" s="1318" t="s">
        <v>1771</v>
      </c>
      <c r="E33" s="1318" t="s">
        <v>1772</v>
      </c>
      <c r="F33" s="1318" t="s">
        <v>1073</v>
      </c>
      <c r="G33" s="1318" t="s">
        <v>1773</v>
      </c>
      <c r="H33" s="1319">
        <v>1</v>
      </c>
      <c r="I33" s="1319">
        <v>1</v>
      </c>
      <c r="J33" s="1319">
        <v>1</v>
      </c>
      <c r="K33" s="1320" t="s">
        <v>4305</v>
      </c>
      <c r="L33" s="1321">
        <v>1</v>
      </c>
      <c r="M33" s="1319" t="s">
        <v>3211</v>
      </c>
      <c r="N33" s="1319" t="s">
        <v>3212</v>
      </c>
      <c r="O33" s="1322"/>
      <c r="P33" s="1323">
        <v>1250000000</v>
      </c>
      <c r="Q33" s="1323">
        <v>100000000</v>
      </c>
      <c r="R33" s="1322"/>
      <c r="S33" s="1322"/>
      <c r="T33" s="1324">
        <v>665</v>
      </c>
      <c r="U33" s="1324">
        <v>282</v>
      </c>
      <c r="V33" s="1324">
        <v>383</v>
      </c>
      <c r="W33" s="1324">
        <v>665</v>
      </c>
      <c r="X33" s="1322"/>
      <c r="Y33" s="1322"/>
      <c r="Z33" s="1322"/>
      <c r="AA33" s="1322"/>
      <c r="AB33" s="1324">
        <v>93</v>
      </c>
      <c r="AC33" s="1324">
        <v>183</v>
      </c>
      <c r="AD33" s="1324">
        <v>267</v>
      </c>
      <c r="AE33" s="1324">
        <v>122</v>
      </c>
      <c r="AF33" s="1324">
        <v>665</v>
      </c>
      <c r="AG33" s="1322"/>
      <c r="AH33" s="1322"/>
      <c r="AI33" s="1322"/>
      <c r="AJ33" s="1322"/>
      <c r="AK33" s="1322"/>
      <c r="AL33" s="1322"/>
      <c r="AM33" s="1322"/>
      <c r="AN33" s="1324">
        <v>637</v>
      </c>
      <c r="AO33" s="1324">
        <v>19</v>
      </c>
      <c r="AP33" s="1324">
        <v>1</v>
      </c>
      <c r="AQ33" s="1322"/>
      <c r="AR33" s="1322"/>
      <c r="AS33" s="1322"/>
      <c r="AT33" s="1322"/>
      <c r="AU33" s="1322"/>
      <c r="AV33" s="1322"/>
      <c r="AW33" s="1322"/>
      <c r="AX33" s="1322"/>
      <c r="AY33" s="1322"/>
      <c r="AZ33" s="1322"/>
      <c r="BA33" s="1322"/>
      <c r="BB33" s="1322"/>
      <c r="BC33" s="1325"/>
      <c r="BD33" s="1326">
        <v>1</v>
      </c>
      <c r="BE33" s="1326">
        <v>1</v>
      </c>
      <c r="BF33" s="1327">
        <f t="shared" si="0"/>
        <v>1</v>
      </c>
      <c r="BG33" s="14891">
        <f>AVERAGE(BF33:BF34)</f>
        <v>1</v>
      </c>
      <c r="BH33" s="1328" t="s">
        <v>8712</v>
      </c>
      <c r="BI33" s="1328" t="s">
        <v>8713</v>
      </c>
      <c r="BJ33" s="1329" t="s">
        <v>8714</v>
      </c>
      <c r="BK33" s="1330">
        <v>6576533</v>
      </c>
      <c r="BL33" s="14768">
        <f>SUM(BK33:BK34)</f>
        <v>6576533</v>
      </c>
      <c r="BM33" s="1330">
        <v>6576533</v>
      </c>
      <c r="BN33" s="1331"/>
      <c r="BO33" s="1331"/>
      <c r="BP33" s="1331"/>
      <c r="BQ33" s="1331"/>
      <c r="BR33" s="1331"/>
      <c r="BS33" s="1331"/>
      <c r="BT33" s="1331"/>
      <c r="BU33" s="1331"/>
      <c r="BV33" s="1331"/>
      <c r="BW33" s="1332"/>
      <c r="BX33" s="1332"/>
      <c r="BY33" s="1332"/>
      <c r="BZ33" s="1332"/>
      <c r="CA33" s="1332"/>
      <c r="CB33" s="1332"/>
      <c r="CC33" s="1332"/>
      <c r="CD33" s="1332"/>
      <c r="CE33" s="1332"/>
      <c r="CF33" s="1332"/>
      <c r="CG33" s="1332"/>
      <c r="CH33" s="1332"/>
      <c r="CI33" s="1332"/>
      <c r="CJ33" s="1332"/>
      <c r="CK33" s="1332"/>
      <c r="CL33" s="1332"/>
      <c r="CM33" s="1332"/>
      <c r="CN33" s="1332"/>
      <c r="CO33" s="1332"/>
      <c r="CP33" s="1333"/>
      <c r="CQ33" s="1332"/>
      <c r="CR33" s="1332"/>
      <c r="CS33" s="1332"/>
      <c r="CT33" s="1332"/>
      <c r="CU33" s="1332"/>
      <c r="CV33" s="1332"/>
      <c r="CW33" s="1332"/>
      <c r="CX33" s="1334"/>
      <c r="CY33"/>
      <c r="CZ33" s="3073"/>
      <c r="DA33" s="3074"/>
      <c r="DB33" s="3074"/>
      <c r="DC33" s="3074"/>
      <c r="DD33" s="3074"/>
      <c r="DE33" s="3075"/>
      <c r="DF33" s="3097"/>
      <c r="DG33" s="3074"/>
      <c r="DH33" s="3074"/>
      <c r="DI33" s="3075"/>
      <c r="DJ33" s="3085"/>
      <c r="DK33" s="3097"/>
      <c r="DL33" s="3075"/>
      <c r="DM33" s="3097"/>
      <c r="DN33" s="3075"/>
      <c r="DO33" s="3097"/>
      <c r="DP33" s="3074"/>
      <c r="DQ33" s="3074"/>
      <c r="DR33" s="3074"/>
      <c r="DS33" s="3074"/>
      <c r="DT33" s="3074"/>
      <c r="DU33" s="3075"/>
      <c r="DV33" s="3097"/>
      <c r="DW33" s="3074"/>
      <c r="DX33" s="3074"/>
      <c r="DY33" s="3074"/>
      <c r="DZ33" s="3074"/>
      <c r="EA33" s="3074"/>
      <c r="EB33" s="3074"/>
      <c r="EC33" s="3075"/>
      <c r="ED33" s="3097"/>
      <c r="EE33" s="3074"/>
      <c r="EF33" s="3074"/>
      <c r="EG33" s="3074"/>
      <c r="EH33" s="3074"/>
      <c r="EI33" s="3075"/>
      <c r="EJ33" s="3085"/>
      <c r="EK33" s="3085"/>
      <c r="EL33" s="3085"/>
      <c r="EM33" s="3085"/>
      <c r="EN33" s="3085"/>
      <c r="EO33" s="3085"/>
      <c r="EP33" s="3097"/>
      <c r="EQ33" s="3074"/>
      <c r="ER33" s="3075"/>
      <c r="ES33" s="3085"/>
    </row>
    <row r="34" spans="1:159" s="1335" customFormat="1" ht="15" customHeight="1" thickBot="1">
      <c r="A34" s="14849"/>
      <c r="B34" s="1336" t="s">
        <v>1774</v>
      </c>
      <c r="C34" s="1337" t="s">
        <v>7587</v>
      </c>
      <c r="D34" s="1338" t="s">
        <v>1775</v>
      </c>
      <c r="E34" s="1338" t="s">
        <v>1776</v>
      </c>
      <c r="F34" s="1338" t="s">
        <v>1073</v>
      </c>
      <c r="G34" s="1338" t="s">
        <v>1777</v>
      </c>
      <c r="H34" s="1339">
        <v>1000</v>
      </c>
      <c r="I34" s="1340">
        <v>150</v>
      </c>
      <c r="J34" s="1339">
        <v>1000</v>
      </c>
      <c r="K34" s="1341" t="s">
        <v>4305</v>
      </c>
      <c r="L34" s="1342">
        <v>1</v>
      </c>
      <c r="M34" s="1340" t="s">
        <v>3213</v>
      </c>
      <c r="N34" s="1343" t="s">
        <v>3214</v>
      </c>
      <c r="O34" s="1344"/>
      <c r="P34" s="1345">
        <v>123000000</v>
      </c>
      <c r="Q34" s="1345">
        <v>123000000</v>
      </c>
      <c r="R34" s="1344"/>
      <c r="S34" s="1344"/>
      <c r="T34" s="1344"/>
      <c r="U34" s="1344"/>
      <c r="V34" s="1344"/>
      <c r="W34" s="1344"/>
      <c r="X34" s="1344"/>
      <c r="Y34" s="1344"/>
      <c r="Z34" s="1344"/>
      <c r="AA34" s="1344"/>
      <c r="AB34" s="1344"/>
      <c r="AC34" s="1344"/>
      <c r="AD34" s="1344"/>
      <c r="AE34" s="1344"/>
      <c r="AF34" s="1344"/>
      <c r="AG34" s="1344"/>
      <c r="AH34" s="1344"/>
      <c r="AI34" s="1344"/>
      <c r="AJ34" s="1344"/>
      <c r="AK34" s="1344"/>
      <c r="AL34" s="1344"/>
      <c r="AM34" s="1344"/>
      <c r="AN34" s="1344"/>
      <c r="AO34" s="1344"/>
      <c r="AP34" s="1344"/>
      <c r="AQ34" s="1344"/>
      <c r="AR34" s="1344"/>
      <c r="AS34" s="1344"/>
      <c r="AT34" s="1344"/>
      <c r="AU34" s="1344"/>
      <c r="AV34" s="1344"/>
      <c r="AW34" s="1344"/>
      <c r="AX34" s="1344"/>
      <c r="AY34" s="1344"/>
      <c r="AZ34" s="1344"/>
      <c r="BA34" s="1344"/>
      <c r="BB34" s="1344"/>
      <c r="BC34" s="1346"/>
      <c r="BD34" s="1347">
        <v>1</v>
      </c>
      <c r="BE34" s="1347">
        <v>1</v>
      </c>
      <c r="BF34" s="1348">
        <f t="shared" si="0"/>
        <v>1</v>
      </c>
      <c r="BG34" s="14892"/>
      <c r="BH34" s="1349" t="s">
        <v>8715</v>
      </c>
      <c r="BI34" s="1350"/>
      <c r="BJ34" s="1350"/>
      <c r="BK34" s="1351"/>
      <c r="BL34" s="14769"/>
      <c r="BM34" s="1351"/>
      <c r="BN34" s="1351"/>
      <c r="BO34" s="1351"/>
      <c r="BP34" s="1351"/>
      <c r="BQ34" s="1351"/>
      <c r="BR34" s="1351"/>
      <c r="BS34" s="1351"/>
      <c r="BT34" s="1351"/>
      <c r="BU34" s="1351"/>
      <c r="BV34" s="1351"/>
      <c r="BW34" s="1351"/>
      <c r="BX34" s="1351"/>
      <c r="BY34" s="1351"/>
      <c r="BZ34" s="1351"/>
      <c r="CA34" s="1351"/>
      <c r="CB34" s="1351"/>
      <c r="CC34" s="1351"/>
      <c r="CD34" s="1351"/>
      <c r="CE34" s="1351"/>
      <c r="CF34" s="1351"/>
      <c r="CG34" s="1351"/>
      <c r="CH34" s="1351"/>
      <c r="CI34" s="1351"/>
      <c r="CJ34" s="1351"/>
      <c r="CK34" s="1351"/>
      <c r="CL34" s="1351"/>
      <c r="CM34" s="1351"/>
      <c r="CN34" s="1351"/>
      <c r="CO34" s="1351"/>
      <c r="CP34" s="1351"/>
      <c r="CQ34" s="1351"/>
      <c r="CR34" s="1351"/>
      <c r="CS34" s="1351"/>
      <c r="CT34" s="1351"/>
      <c r="CU34" s="1351"/>
      <c r="CV34" s="1351"/>
      <c r="CW34" s="1351"/>
      <c r="CX34" s="1352"/>
      <c r="CY34"/>
      <c r="CZ34" s="3072"/>
      <c r="DA34" s="1344"/>
      <c r="DB34" s="1344"/>
      <c r="DC34" s="1344"/>
      <c r="DD34" s="1344"/>
      <c r="DE34" s="1346"/>
      <c r="DF34" s="3098"/>
      <c r="DG34" s="1344"/>
      <c r="DH34" s="1344"/>
      <c r="DI34" s="1346"/>
      <c r="DJ34" s="3086"/>
      <c r="DK34" s="3098"/>
      <c r="DL34" s="1346"/>
      <c r="DM34" s="3098"/>
      <c r="DN34" s="1346"/>
      <c r="DO34" s="3098"/>
      <c r="DP34" s="1344"/>
      <c r="DQ34" s="1344"/>
      <c r="DR34" s="1344"/>
      <c r="DS34" s="1344"/>
      <c r="DT34" s="1344"/>
      <c r="DU34" s="1346"/>
      <c r="DV34" s="3098"/>
      <c r="DW34" s="1344"/>
      <c r="DX34" s="1344"/>
      <c r="DY34" s="1344"/>
      <c r="DZ34" s="1344"/>
      <c r="EA34" s="1344"/>
      <c r="EB34" s="1344"/>
      <c r="EC34" s="1346"/>
      <c r="ED34" s="3098"/>
      <c r="EE34" s="1344"/>
      <c r="EF34" s="1344"/>
      <c r="EG34" s="1344"/>
      <c r="EH34" s="1344"/>
      <c r="EI34" s="1346"/>
      <c r="EJ34" s="3086"/>
      <c r="EK34" s="3086"/>
      <c r="EL34" s="3086"/>
      <c r="EM34" s="3086"/>
      <c r="EN34" s="3086"/>
      <c r="EO34" s="3086"/>
      <c r="EP34" s="3098"/>
      <c r="EQ34" s="1344"/>
      <c r="ER34" s="1346"/>
      <c r="ES34" s="3086"/>
      <c r="ET34" s="1372"/>
      <c r="EU34" s="1372"/>
      <c r="EV34" s="1372"/>
      <c r="EW34" s="1372"/>
      <c r="EX34" s="1372"/>
      <c r="EY34" s="1372"/>
      <c r="EZ34" s="1372"/>
      <c r="FA34" s="1372"/>
      <c r="FB34" s="1372"/>
      <c r="FC34" s="1372"/>
    </row>
    <row r="35" spans="1:159" s="1372" customFormat="1" ht="15" customHeight="1">
      <c r="A35" s="14812" t="s">
        <v>1778</v>
      </c>
      <c r="B35" s="14815" t="s">
        <v>1779</v>
      </c>
      <c r="C35" s="1353" t="s">
        <v>7588</v>
      </c>
      <c r="D35" s="890" t="s">
        <v>8586</v>
      </c>
      <c r="E35" s="1354" t="s">
        <v>1780</v>
      </c>
      <c r="F35" s="1354" t="s">
        <v>1073</v>
      </c>
      <c r="G35" s="1354" t="s">
        <v>1781</v>
      </c>
      <c r="H35" s="1355">
        <v>1</v>
      </c>
      <c r="I35" s="1355">
        <v>1</v>
      </c>
      <c r="J35" s="1355">
        <v>1</v>
      </c>
      <c r="K35" s="1356" t="s">
        <v>4305</v>
      </c>
      <c r="L35" s="1357">
        <v>1</v>
      </c>
      <c r="M35" s="1355" t="s">
        <v>3215</v>
      </c>
      <c r="N35" s="1355" t="s">
        <v>3216</v>
      </c>
      <c r="O35" s="1358"/>
      <c r="P35" s="1359">
        <v>814000000</v>
      </c>
      <c r="Q35" s="1359">
        <v>814000000</v>
      </c>
      <c r="R35" s="1358"/>
      <c r="S35" s="1358"/>
      <c r="T35" s="1358"/>
      <c r="U35" s="1358"/>
      <c r="V35" s="1358"/>
      <c r="W35" s="1358"/>
      <c r="X35" s="1358"/>
      <c r="Y35" s="1358"/>
      <c r="Z35" s="1358"/>
      <c r="AA35" s="1358"/>
      <c r="AB35" s="1358"/>
      <c r="AC35" s="1358"/>
      <c r="AD35" s="1358"/>
      <c r="AE35" s="1358"/>
      <c r="AF35" s="1358"/>
      <c r="AG35" s="1358"/>
      <c r="AH35" s="1358"/>
      <c r="AI35" s="1358"/>
      <c r="AJ35" s="1358"/>
      <c r="AK35" s="1358"/>
      <c r="AL35" s="1358"/>
      <c r="AM35" s="1358"/>
      <c r="AN35" s="1358"/>
      <c r="AO35" s="1358"/>
      <c r="AP35" s="1358"/>
      <c r="AQ35" s="1358"/>
      <c r="AR35" s="1358"/>
      <c r="AS35" s="1358"/>
      <c r="AT35" s="1358"/>
      <c r="AU35" s="1358"/>
      <c r="AV35" s="1358"/>
      <c r="AW35" s="1358"/>
      <c r="AX35" s="1358"/>
      <c r="AY35" s="1358"/>
      <c r="AZ35" s="1358"/>
      <c r="BA35" s="1358"/>
      <c r="BB35" s="1358"/>
      <c r="BC35" s="1360"/>
      <c r="BD35" s="1361">
        <v>1</v>
      </c>
      <c r="BE35" s="1361">
        <v>1</v>
      </c>
      <c r="BF35" s="1362">
        <f t="shared" si="0"/>
        <v>1</v>
      </c>
      <c r="BG35" s="14893">
        <f>AVERAGE(BF35:BF42)</f>
        <v>1</v>
      </c>
      <c r="BH35" s="1363" t="s">
        <v>8716</v>
      </c>
      <c r="BI35" s="1363" t="s">
        <v>8717</v>
      </c>
      <c r="BJ35" s="1363" t="s">
        <v>8718</v>
      </c>
      <c r="BK35" s="1364">
        <f>987135908</f>
        <v>987135908</v>
      </c>
      <c r="BL35" s="14896">
        <f>SUM(BK35:BK42)</f>
        <v>1836402593</v>
      </c>
      <c r="BM35" s="1364">
        <f>987135908</f>
        <v>987135908</v>
      </c>
      <c r="BN35" s="1365"/>
      <c r="BO35" s="1366"/>
      <c r="BP35" s="1367" t="s">
        <v>8719</v>
      </c>
      <c r="BQ35" s="1368"/>
      <c r="BR35" s="1368"/>
      <c r="BS35" s="1368"/>
      <c r="BT35" s="1369"/>
      <c r="BU35" s="1369"/>
      <c r="BV35" s="1369"/>
      <c r="BW35" s="1369"/>
      <c r="BX35" s="1368"/>
      <c r="BY35" s="1368"/>
      <c r="BZ35" s="1368"/>
      <c r="CA35" s="1368"/>
      <c r="CB35" s="1368"/>
      <c r="CC35" s="1369"/>
      <c r="CD35" s="1369"/>
      <c r="CE35" s="1369"/>
      <c r="CF35" s="1369"/>
      <c r="CG35" s="1369"/>
      <c r="CH35" s="1369"/>
      <c r="CI35" s="1369"/>
      <c r="CJ35" s="1368"/>
      <c r="CK35" s="1368"/>
      <c r="CL35" s="1368"/>
      <c r="CM35" s="1368"/>
      <c r="CN35" s="1368"/>
      <c r="CO35" s="1368"/>
      <c r="CP35" s="1370"/>
      <c r="CQ35" s="1368"/>
      <c r="CR35" s="1368"/>
      <c r="CS35" s="1368"/>
      <c r="CT35" s="1368"/>
      <c r="CU35" s="1368"/>
      <c r="CV35" s="1368"/>
      <c r="CW35" s="1368"/>
      <c r="CX35" s="1371"/>
      <c r="CY35"/>
      <c r="CZ35" s="3071"/>
      <c r="DA35" s="1358"/>
      <c r="DB35" s="1358"/>
      <c r="DC35" s="1358"/>
      <c r="DD35" s="1358"/>
      <c r="DE35" s="1360"/>
      <c r="DF35" s="3099"/>
      <c r="DG35" s="1358"/>
      <c r="DH35" s="1358"/>
      <c r="DI35" s="1360"/>
      <c r="DJ35" s="3087"/>
      <c r="DK35" s="3099"/>
      <c r="DL35" s="1360"/>
      <c r="DM35" s="3099"/>
      <c r="DN35" s="1360"/>
      <c r="DO35" s="3099"/>
      <c r="DP35" s="1358"/>
      <c r="DQ35" s="1358"/>
      <c r="DR35" s="1358"/>
      <c r="DS35" s="1358"/>
      <c r="DT35" s="1358"/>
      <c r="DU35" s="1360"/>
      <c r="DV35" s="3099"/>
      <c r="DW35" s="1358"/>
      <c r="DX35" s="1358"/>
      <c r="DY35" s="1358"/>
      <c r="DZ35" s="1358"/>
      <c r="EA35" s="1358"/>
      <c r="EB35" s="1358"/>
      <c r="EC35" s="1360"/>
      <c r="ED35" s="3099"/>
      <c r="EE35" s="1358"/>
      <c r="EF35" s="1358"/>
      <c r="EG35" s="1358"/>
      <c r="EH35" s="1358"/>
      <c r="EI35" s="1360"/>
      <c r="EJ35" s="3087"/>
      <c r="EK35" s="3087"/>
      <c r="EL35" s="3087"/>
      <c r="EM35" s="3087"/>
      <c r="EN35" s="3087"/>
      <c r="EO35" s="3087"/>
      <c r="EP35" s="3099"/>
      <c r="EQ35" s="1358"/>
      <c r="ER35" s="1360"/>
      <c r="ES35" s="3087"/>
    </row>
    <row r="36" spans="1:159" s="1372" customFormat="1" ht="15" customHeight="1">
      <c r="A36" s="14813"/>
      <c r="B36" s="14816"/>
      <c r="C36" s="1373" t="s">
        <v>7589</v>
      </c>
      <c r="D36" s="888" t="s">
        <v>8587</v>
      </c>
      <c r="E36" s="1374" t="s">
        <v>1782</v>
      </c>
      <c r="F36" s="933" t="s">
        <v>1073</v>
      </c>
      <c r="G36" s="1375" t="s">
        <v>1732</v>
      </c>
      <c r="H36" s="1355">
        <v>150</v>
      </c>
      <c r="I36" s="1376">
        <v>1</v>
      </c>
      <c r="J36" s="1355">
        <v>150</v>
      </c>
      <c r="K36" s="1377" t="s">
        <v>4305</v>
      </c>
      <c r="L36" s="1378">
        <v>0</v>
      </c>
      <c r="M36" s="1379"/>
      <c r="N36" s="1376"/>
      <c r="O36" s="1380"/>
      <c r="P36" s="1379"/>
      <c r="Q36" s="1381"/>
      <c r="R36" s="1382"/>
      <c r="S36" s="1382"/>
      <c r="T36" s="1382"/>
      <c r="U36" s="1382"/>
      <c r="V36" s="1382"/>
      <c r="W36" s="1382"/>
      <c r="X36" s="1382"/>
      <c r="Y36" s="1382"/>
      <c r="Z36" s="1382"/>
      <c r="AA36" s="1382"/>
      <c r="AB36" s="1382"/>
      <c r="AC36" s="1382"/>
      <c r="AD36" s="1382"/>
      <c r="AE36" s="1382"/>
      <c r="AF36" s="1382"/>
      <c r="AG36" s="1382"/>
      <c r="AH36" s="1382"/>
      <c r="AI36" s="1382"/>
      <c r="AJ36" s="1382"/>
      <c r="AK36" s="1382"/>
      <c r="AL36" s="1382"/>
      <c r="AM36" s="1382"/>
      <c r="AN36" s="1382"/>
      <c r="AO36" s="1382"/>
      <c r="AP36" s="1382"/>
      <c r="AQ36" s="1382"/>
      <c r="AR36" s="1382"/>
      <c r="AS36" s="1382"/>
      <c r="AT36" s="1382"/>
      <c r="AU36" s="1382"/>
      <c r="AV36" s="1382"/>
      <c r="AW36" s="1382"/>
      <c r="AX36" s="1382"/>
      <c r="AY36" s="1382"/>
      <c r="AZ36" s="1382"/>
      <c r="BA36" s="1382"/>
      <c r="BB36" s="1382"/>
      <c r="BC36" s="1383"/>
      <c r="BD36" s="1384">
        <v>1</v>
      </c>
      <c r="BE36" s="1384">
        <v>1</v>
      </c>
      <c r="BF36" s="1385">
        <f t="shared" si="0"/>
        <v>1</v>
      </c>
      <c r="BG36" s="14894"/>
      <c r="BH36" s="1386" t="s">
        <v>8720</v>
      </c>
      <c r="BI36" s="1386" t="s">
        <v>8721</v>
      </c>
      <c r="BJ36" s="1387" t="s">
        <v>8714</v>
      </c>
      <c r="BK36" s="1388">
        <v>9266685</v>
      </c>
      <c r="BL36" s="14897"/>
      <c r="BM36" s="1388">
        <v>9266685</v>
      </c>
      <c r="BN36" s="1389"/>
      <c r="BO36" s="1390"/>
      <c r="BP36" s="1391">
        <v>286</v>
      </c>
      <c r="BQ36" s="1391">
        <v>127</v>
      </c>
      <c r="BR36" s="1391">
        <v>159</v>
      </c>
      <c r="BS36" s="1392"/>
      <c r="BT36" s="1392"/>
      <c r="BU36" s="1392"/>
      <c r="BV36" s="1392"/>
      <c r="BW36" s="1391"/>
      <c r="BX36" s="1391">
        <v>31</v>
      </c>
      <c r="BY36" s="1391">
        <v>121</v>
      </c>
      <c r="BZ36" s="1391">
        <v>115</v>
      </c>
      <c r="CA36" s="1391">
        <v>19</v>
      </c>
      <c r="CB36" s="1391"/>
      <c r="CC36" s="1391">
        <v>3</v>
      </c>
      <c r="CD36" s="1391">
        <v>13</v>
      </c>
      <c r="CE36" s="1391"/>
      <c r="CF36" s="1391">
        <v>3</v>
      </c>
      <c r="CG36" s="1389"/>
      <c r="CH36" s="1389"/>
      <c r="CI36" s="1389"/>
      <c r="CJ36" s="1389"/>
      <c r="CK36" s="1389"/>
      <c r="CL36" s="1389"/>
      <c r="CM36" s="1389"/>
      <c r="CN36" s="1389"/>
      <c r="CO36" s="1389"/>
      <c r="CP36" s="1392"/>
      <c r="CQ36" s="1389"/>
      <c r="CR36" s="1389"/>
      <c r="CS36" s="1389"/>
      <c r="CT36" s="1389"/>
      <c r="CU36" s="1389"/>
      <c r="CV36" s="1389"/>
      <c r="CW36" s="1389"/>
      <c r="CX36" s="1393"/>
      <c r="CY36"/>
      <c r="CZ36" s="3066"/>
      <c r="DA36" s="3063"/>
      <c r="DB36" s="3063"/>
      <c r="DC36" s="3063"/>
      <c r="DD36" s="3063"/>
      <c r="DE36" s="1383"/>
      <c r="DF36" s="3100"/>
      <c r="DG36" s="3063"/>
      <c r="DH36" s="3063"/>
      <c r="DI36" s="1383"/>
      <c r="DJ36" s="3088"/>
      <c r="DK36" s="3100"/>
      <c r="DL36" s="1383"/>
      <c r="DM36" s="3100"/>
      <c r="DN36" s="1383"/>
      <c r="DO36" s="3100"/>
      <c r="DP36" s="3063"/>
      <c r="DQ36" s="3063"/>
      <c r="DR36" s="3063"/>
      <c r="DS36" s="3063"/>
      <c r="DT36" s="3063"/>
      <c r="DU36" s="1383"/>
      <c r="DV36" s="3100"/>
      <c r="DW36" s="3063"/>
      <c r="DX36" s="3063"/>
      <c r="DY36" s="3063"/>
      <c r="DZ36" s="3063"/>
      <c r="EA36" s="3063"/>
      <c r="EB36" s="3063"/>
      <c r="EC36" s="1383"/>
      <c r="ED36" s="3100"/>
      <c r="EE36" s="3063"/>
      <c r="EF36" s="3063"/>
      <c r="EG36" s="3063"/>
      <c r="EH36" s="3063"/>
      <c r="EI36" s="1383"/>
      <c r="EJ36" s="3088"/>
      <c r="EK36" s="3088"/>
      <c r="EL36" s="3088"/>
      <c r="EM36" s="3088"/>
      <c r="EN36" s="3088"/>
      <c r="EO36" s="3088"/>
      <c r="EP36" s="3100"/>
      <c r="EQ36" s="3063"/>
      <c r="ER36" s="1383"/>
      <c r="ES36" s="3088"/>
    </row>
    <row r="37" spans="1:159" s="1372" customFormat="1" ht="15" customHeight="1">
      <c r="A37" s="14813"/>
      <c r="B37" s="14816"/>
      <c r="C37" s="1373" t="s">
        <v>7590</v>
      </c>
      <c r="D37" s="933" t="s">
        <v>8588</v>
      </c>
      <c r="E37" s="933" t="s">
        <v>1783</v>
      </c>
      <c r="F37" s="933" t="s">
        <v>1073</v>
      </c>
      <c r="G37" s="933" t="s">
        <v>1784</v>
      </c>
      <c r="H37" s="1355">
        <v>1</v>
      </c>
      <c r="I37" s="1376">
        <v>1</v>
      </c>
      <c r="J37" s="1355">
        <v>1</v>
      </c>
      <c r="K37" s="1377" t="s">
        <v>4305</v>
      </c>
      <c r="L37" s="1378">
        <v>1</v>
      </c>
      <c r="M37" s="1376" t="s">
        <v>3217</v>
      </c>
      <c r="N37" s="1376" t="s">
        <v>3218</v>
      </c>
      <c r="O37" s="1382"/>
      <c r="P37" s="1394">
        <v>380000000</v>
      </c>
      <c r="Q37" s="1394">
        <v>380000000</v>
      </c>
      <c r="R37" s="1382"/>
      <c r="S37" s="1382"/>
      <c r="T37" s="1382"/>
      <c r="U37" s="1382"/>
      <c r="V37" s="1382"/>
      <c r="W37" s="1382"/>
      <c r="X37" s="1382"/>
      <c r="Y37" s="1382"/>
      <c r="Z37" s="1382"/>
      <c r="AA37" s="1382"/>
      <c r="AB37" s="1382"/>
      <c r="AC37" s="1382"/>
      <c r="AD37" s="1382"/>
      <c r="AE37" s="1382"/>
      <c r="AF37" s="1382"/>
      <c r="AG37" s="1382"/>
      <c r="AH37" s="1382"/>
      <c r="AI37" s="1382"/>
      <c r="AJ37" s="1382"/>
      <c r="AK37" s="1382"/>
      <c r="AL37" s="1382"/>
      <c r="AM37" s="1382"/>
      <c r="AN37" s="1382"/>
      <c r="AO37" s="1382"/>
      <c r="AP37" s="1382"/>
      <c r="AQ37" s="1382"/>
      <c r="AR37" s="1382"/>
      <c r="AS37" s="1382"/>
      <c r="AT37" s="1382"/>
      <c r="AU37" s="1382"/>
      <c r="AV37" s="1382"/>
      <c r="AW37" s="1382"/>
      <c r="AX37" s="1382"/>
      <c r="AY37" s="1382"/>
      <c r="AZ37" s="1382"/>
      <c r="BA37" s="1382"/>
      <c r="BB37" s="1382"/>
      <c r="BC37" s="1383"/>
      <c r="BD37" s="1384">
        <v>1</v>
      </c>
      <c r="BE37" s="1384">
        <v>1</v>
      </c>
      <c r="BF37" s="1385">
        <f t="shared" si="0"/>
        <v>1</v>
      </c>
      <c r="BG37" s="14894"/>
      <c r="BH37" s="1395" t="s">
        <v>8722</v>
      </c>
      <c r="BI37" s="1396" t="s">
        <v>8656</v>
      </c>
      <c r="BJ37" s="1396" t="s">
        <v>8656</v>
      </c>
      <c r="BK37" s="1388"/>
      <c r="BL37" s="14897"/>
      <c r="BM37" s="1388"/>
      <c r="BN37" s="1391"/>
      <c r="BO37" s="1397"/>
      <c r="BP37" s="1391"/>
      <c r="BQ37" s="1391"/>
      <c r="BR37" s="1391"/>
      <c r="BS37" s="1392"/>
      <c r="BT37" s="1392"/>
      <c r="BU37" s="1392"/>
      <c r="BV37" s="1392"/>
      <c r="BW37" s="1392"/>
      <c r="BX37" s="1392"/>
      <c r="BY37" s="1392"/>
      <c r="BZ37" s="1392"/>
      <c r="CA37" s="1392"/>
      <c r="CB37" s="1392"/>
      <c r="CC37" s="1392"/>
      <c r="CD37" s="1392"/>
      <c r="CE37" s="1392"/>
      <c r="CF37" s="1392"/>
      <c r="CG37" s="1392"/>
      <c r="CH37" s="1392"/>
      <c r="CI37" s="1392"/>
      <c r="CJ37" s="1392"/>
      <c r="CK37" s="1392"/>
      <c r="CL37" s="1392"/>
      <c r="CM37" s="1392"/>
      <c r="CN37" s="1392"/>
      <c r="CO37" s="1392"/>
      <c r="CP37" s="1391"/>
      <c r="CQ37" s="1392"/>
      <c r="CR37" s="1392"/>
      <c r="CS37" s="1392"/>
      <c r="CT37" s="1392"/>
      <c r="CU37" s="1392"/>
      <c r="CV37" s="1392"/>
      <c r="CW37" s="1392"/>
      <c r="CX37" s="1398"/>
      <c r="CY37"/>
      <c r="CZ37" s="3066"/>
      <c r="DA37" s="3063"/>
      <c r="DB37" s="3063"/>
      <c r="DC37" s="3063"/>
      <c r="DD37" s="3063"/>
      <c r="DE37" s="1383"/>
      <c r="DF37" s="3100"/>
      <c r="DG37" s="3063"/>
      <c r="DH37" s="3063"/>
      <c r="DI37" s="1383"/>
      <c r="DJ37" s="3088"/>
      <c r="DK37" s="3100"/>
      <c r="DL37" s="1383"/>
      <c r="DM37" s="3100"/>
      <c r="DN37" s="1383"/>
      <c r="DO37" s="3100"/>
      <c r="DP37" s="3063"/>
      <c r="DQ37" s="3063"/>
      <c r="DR37" s="3063"/>
      <c r="DS37" s="3063"/>
      <c r="DT37" s="3063"/>
      <c r="DU37" s="1383"/>
      <c r="DV37" s="3100"/>
      <c r="DW37" s="3063"/>
      <c r="DX37" s="3063"/>
      <c r="DY37" s="3063"/>
      <c r="DZ37" s="3063"/>
      <c r="EA37" s="3063"/>
      <c r="EB37" s="3063"/>
      <c r="EC37" s="1383"/>
      <c r="ED37" s="3100"/>
      <c r="EE37" s="3063"/>
      <c r="EF37" s="3063"/>
      <c r="EG37" s="3063"/>
      <c r="EH37" s="3063"/>
      <c r="EI37" s="1383"/>
      <c r="EJ37" s="3088"/>
      <c r="EK37" s="3088"/>
      <c r="EL37" s="3088"/>
      <c r="EM37" s="3088"/>
      <c r="EN37" s="3088"/>
      <c r="EO37" s="3088"/>
      <c r="EP37" s="3100"/>
      <c r="EQ37" s="3063"/>
      <c r="ER37" s="1383"/>
      <c r="ES37" s="3088"/>
    </row>
    <row r="38" spans="1:159" s="1372" customFormat="1" ht="15" customHeight="1">
      <c r="A38" s="14813"/>
      <c r="B38" s="14816"/>
      <c r="C38" s="1373" t="s">
        <v>7591</v>
      </c>
      <c r="D38" s="933" t="s">
        <v>1785</v>
      </c>
      <c r="E38" s="933" t="s">
        <v>1776</v>
      </c>
      <c r="F38" s="933" t="s">
        <v>1073</v>
      </c>
      <c r="G38" s="933" t="s">
        <v>1777</v>
      </c>
      <c r="H38" s="1355">
        <v>1</v>
      </c>
      <c r="I38" s="1376">
        <v>1</v>
      </c>
      <c r="J38" s="1355">
        <v>1</v>
      </c>
      <c r="K38" s="1377" t="s">
        <v>4305</v>
      </c>
      <c r="L38" s="1399">
        <v>0.85</v>
      </c>
      <c r="M38" s="1400" t="s">
        <v>3861</v>
      </c>
      <c r="N38" s="1400" t="s">
        <v>3862</v>
      </c>
      <c r="O38" s="1400" t="s">
        <v>3863</v>
      </c>
      <c r="P38" s="14882">
        <v>2443178000</v>
      </c>
      <c r="Q38" s="14882">
        <f>+P38-R38</f>
        <v>1816259000</v>
      </c>
      <c r="R38" s="14882">
        <v>626919000</v>
      </c>
      <c r="S38" s="14882">
        <v>0</v>
      </c>
      <c r="T38" s="14882">
        <v>2952</v>
      </c>
      <c r="U38" s="1382"/>
      <c r="V38" s="1382"/>
      <c r="W38" s="1382"/>
      <c r="X38" s="14882">
        <v>2952</v>
      </c>
      <c r="Y38" s="1382" t="s">
        <v>3241</v>
      </c>
      <c r="Z38" s="1382" t="s">
        <v>3241</v>
      </c>
      <c r="AA38" s="1382" t="s">
        <v>3241</v>
      </c>
      <c r="AB38" s="1382" t="s">
        <v>3241</v>
      </c>
      <c r="AC38" s="1382" t="s">
        <v>3241</v>
      </c>
      <c r="AD38" s="1382" t="s">
        <v>3241</v>
      </c>
      <c r="AE38" s="1382" t="s">
        <v>3241</v>
      </c>
      <c r="AF38" s="1382" t="s">
        <v>3241</v>
      </c>
      <c r="AG38" s="1382" t="s">
        <v>3241</v>
      </c>
      <c r="AH38" s="1382" t="s">
        <v>3241</v>
      </c>
      <c r="AI38" s="1382" t="s">
        <v>3241</v>
      </c>
      <c r="AJ38" s="1382" t="s">
        <v>3241</v>
      </c>
      <c r="AK38" s="1382" t="s">
        <v>3241</v>
      </c>
      <c r="AL38" s="1382" t="s">
        <v>3241</v>
      </c>
      <c r="AM38" s="1382" t="s">
        <v>3241</v>
      </c>
      <c r="AN38" s="1382"/>
      <c r="AO38" s="1382"/>
      <c r="AP38" s="1382"/>
      <c r="AQ38" s="1382"/>
      <c r="AR38" s="1382"/>
      <c r="AS38" s="1382"/>
      <c r="AT38" s="1400" t="s">
        <v>3864</v>
      </c>
      <c r="AU38" s="1400" t="s">
        <v>3865</v>
      </c>
      <c r="AV38" s="1400" t="s">
        <v>3866</v>
      </c>
      <c r="AW38" s="1382" t="s">
        <v>3867</v>
      </c>
      <c r="AX38" s="1400" t="s">
        <v>3868</v>
      </c>
      <c r="AY38" s="1382" t="s">
        <v>3241</v>
      </c>
      <c r="AZ38" s="1382" t="s">
        <v>3241</v>
      </c>
      <c r="BA38" s="1382" t="s">
        <v>3241</v>
      </c>
      <c r="BB38" s="1382" t="s">
        <v>3241</v>
      </c>
      <c r="BC38" s="1382" t="s">
        <v>3241</v>
      </c>
      <c r="BD38" s="1384">
        <v>1</v>
      </c>
      <c r="BE38" s="1384">
        <v>1</v>
      </c>
      <c r="BF38" s="1385">
        <f t="shared" si="0"/>
        <v>1</v>
      </c>
      <c r="BG38" s="14894"/>
      <c r="BH38" s="1401" t="s">
        <v>8723</v>
      </c>
      <c r="BI38" s="1402" t="s">
        <v>8724</v>
      </c>
      <c r="BJ38" s="1379"/>
      <c r="BK38" s="1388">
        <v>460000000</v>
      </c>
      <c r="BL38" s="14897"/>
      <c r="BM38" s="1388">
        <v>460000000</v>
      </c>
      <c r="BN38" s="1391"/>
      <c r="BO38" s="1391"/>
      <c r="BP38" s="1391">
        <v>113</v>
      </c>
      <c r="BQ38" s="1391">
        <v>51</v>
      </c>
      <c r="BR38" s="1391">
        <v>62</v>
      </c>
      <c r="BS38" s="1392"/>
      <c r="BT38" s="1392"/>
      <c r="BU38" s="1392"/>
      <c r="BV38" s="1392"/>
      <c r="BW38" s="1392"/>
      <c r="BX38" s="1392"/>
      <c r="BY38" s="1392"/>
      <c r="BZ38" s="1392"/>
      <c r="CA38" s="1392"/>
      <c r="CB38" s="1392"/>
      <c r="CC38" s="1392"/>
      <c r="CD38" s="1392"/>
      <c r="CE38" s="1392"/>
      <c r="CF38" s="1392"/>
      <c r="CG38" s="1392"/>
      <c r="CH38" s="1392"/>
      <c r="CI38" s="1392"/>
      <c r="CJ38" s="1392"/>
      <c r="CK38" s="1392"/>
      <c r="CL38" s="1392"/>
      <c r="CM38" s="1392"/>
      <c r="CN38" s="1392"/>
      <c r="CO38" s="1392"/>
      <c r="CP38" s="1389"/>
      <c r="CQ38" s="1392"/>
      <c r="CR38" s="1392"/>
      <c r="CS38" s="1392"/>
      <c r="CT38" s="1392"/>
      <c r="CU38" s="1392"/>
      <c r="CV38" s="1392"/>
      <c r="CW38" s="1392"/>
      <c r="CX38" s="1398"/>
      <c r="CY38"/>
      <c r="CZ38" s="3066"/>
      <c r="DA38" s="3063"/>
      <c r="DB38" s="3063"/>
      <c r="DC38" s="3063"/>
      <c r="DD38" s="3063"/>
      <c r="DE38" s="1383"/>
      <c r="DF38" s="3100"/>
      <c r="DG38" s="3063"/>
      <c r="DH38" s="3063"/>
      <c r="DI38" s="1383"/>
      <c r="DJ38" s="3088"/>
      <c r="DK38" s="3100"/>
      <c r="DL38" s="1383"/>
      <c r="DM38" s="3100"/>
      <c r="DN38" s="1383"/>
      <c r="DO38" s="3100"/>
      <c r="DP38" s="3063"/>
      <c r="DQ38" s="3063"/>
      <c r="DR38" s="3063"/>
      <c r="DS38" s="3063"/>
      <c r="DT38" s="3063"/>
      <c r="DU38" s="1383"/>
      <c r="DV38" s="3100"/>
      <c r="DW38" s="3063"/>
      <c r="DX38" s="3063"/>
      <c r="DY38" s="3063"/>
      <c r="DZ38" s="3063"/>
      <c r="EA38" s="3063"/>
      <c r="EB38" s="3063"/>
      <c r="EC38" s="1383"/>
      <c r="ED38" s="3100"/>
      <c r="EE38" s="3063"/>
      <c r="EF38" s="3063"/>
      <c r="EG38" s="3063"/>
      <c r="EH38" s="3063"/>
      <c r="EI38" s="1383"/>
      <c r="EJ38" s="3088"/>
      <c r="EK38" s="3088"/>
      <c r="EL38" s="3088"/>
      <c r="EM38" s="3088"/>
      <c r="EN38" s="3088"/>
      <c r="EO38" s="3088"/>
      <c r="EP38" s="3100"/>
      <c r="EQ38" s="3063"/>
      <c r="ER38" s="1383"/>
      <c r="ES38" s="3088"/>
    </row>
    <row r="39" spans="1:159" s="1372" customFormat="1" ht="15" customHeight="1">
      <c r="A39" s="14813"/>
      <c r="B39" s="1403" t="s">
        <v>1786</v>
      </c>
      <c r="C39" s="1373" t="s">
        <v>7592</v>
      </c>
      <c r="D39" s="933" t="s">
        <v>1787</v>
      </c>
      <c r="E39" s="933" t="s">
        <v>1787</v>
      </c>
      <c r="F39" s="933" t="s">
        <v>1073</v>
      </c>
      <c r="G39" s="933" t="s">
        <v>1777</v>
      </c>
      <c r="H39" s="1355">
        <v>1</v>
      </c>
      <c r="I39" s="1376">
        <v>1</v>
      </c>
      <c r="J39" s="1355">
        <v>1</v>
      </c>
      <c r="K39" s="1377" t="s">
        <v>4305</v>
      </c>
      <c r="L39" s="1399">
        <v>0.9</v>
      </c>
      <c r="M39" s="1400" t="s">
        <v>3869</v>
      </c>
      <c r="N39" s="1400" t="s">
        <v>3870</v>
      </c>
      <c r="O39" s="1400" t="s">
        <v>3871</v>
      </c>
      <c r="P39" s="14883"/>
      <c r="Q39" s="14883"/>
      <c r="R39" s="14883"/>
      <c r="S39" s="14883"/>
      <c r="T39" s="14883"/>
      <c r="U39" s="1382"/>
      <c r="V39" s="1382"/>
      <c r="W39" s="1382"/>
      <c r="X39" s="14883"/>
      <c r="Y39" s="1382" t="s">
        <v>3241</v>
      </c>
      <c r="Z39" s="1382" t="s">
        <v>3241</v>
      </c>
      <c r="AA39" s="1382" t="s">
        <v>3241</v>
      </c>
      <c r="AB39" s="1382" t="s">
        <v>3241</v>
      </c>
      <c r="AC39" s="1382" t="s">
        <v>3241</v>
      </c>
      <c r="AD39" s="1382" t="s">
        <v>3241</v>
      </c>
      <c r="AE39" s="1382" t="s">
        <v>3241</v>
      </c>
      <c r="AF39" s="1382" t="s">
        <v>3241</v>
      </c>
      <c r="AG39" s="1382" t="s">
        <v>3241</v>
      </c>
      <c r="AH39" s="1382" t="s">
        <v>3241</v>
      </c>
      <c r="AI39" s="1382" t="s">
        <v>3241</v>
      </c>
      <c r="AJ39" s="1382" t="s">
        <v>3241</v>
      </c>
      <c r="AK39" s="1382" t="s">
        <v>3241</v>
      </c>
      <c r="AL39" s="1382" t="s">
        <v>3241</v>
      </c>
      <c r="AM39" s="1382" t="s">
        <v>3241</v>
      </c>
      <c r="AN39" s="1382"/>
      <c r="AO39" s="1382"/>
      <c r="AP39" s="1382"/>
      <c r="AQ39" s="1382"/>
      <c r="AR39" s="1382"/>
      <c r="AS39" s="1382"/>
      <c r="AT39" s="1382" t="s">
        <v>3241</v>
      </c>
      <c r="AU39" s="1382" t="s">
        <v>3241</v>
      </c>
      <c r="AV39" s="1382" t="s">
        <v>3241</v>
      </c>
      <c r="AW39" s="1382" t="s">
        <v>3241</v>
      </c>
      <c r="AX39" s="1382" t="s">
        <v>3241</v>
      </c>
      <c r="AY39" s="1382" t="s">
        <v>3241</v>
      </c>
      <c r="AZ39" s="1382" t="s">
        <v>3241</v>
      </c>
      <c r="BA39" s="1382" t="s">
        <v>3241</v>
      </c>
      <c r="BB39" s="1382" t="s">
        <v>3241</v>
      </c>
      <c r="BC39" s="1382" t="s">
        <v>3241</v>
      </c>
      <c r="BD39" s="1384">
        <v>1</v>
      </c>
      <c r="BE39" s="1384">
        <v>1</v>
      </c>
      <c r="BF39" s="1385">
        <f t="shared" si="0"/>
        <v>1</v>
      </c>
      <c r="BG39" s="14894"/>
      <c r="BH39" s="1401" t="s">
        <v>8725</v>
      </c>
      <c r="BI39" s="1402" t="s">
        <v>8726</v>
      </c>
      <c r="BJ39" s="1379"/>
      <c r="BK39" s="1388">
        <f>130000000+250000000</f>
        <v>380000000</v>
      </c>
      <c r="BL39" s="14897"/>
      <c r="BM39" s="1388">
        <f>130000000+250000000</f>
        <v>380000000</v>
      </c>
      <c r="BN39" s="1391"/>
      <c r="BO39" s="1391"/>
      <c r="BP39" s="1391">
        <v>24</v>
      </c>
      <c r="BQ39" s="1404">
        <v>11</v>
      </c>
      <c r="BR39" s="1391">
        <v>13</v>
      </c>
      <c r="BS39" s="1389"/>
      <c r="BT39" s="1389"/>
      <c r="BU39" s="1389"/>
      <c r="BV39" s="1389"/>
      <c r="BW39" s="1389"/>
      <c r="BX39" s="1389"/>
      <c r="BY39" s="1389"/>
      <c r="BZ39" s="1389"/>
      <c r="CA39" s="1389"/>
      <c r="CB39" s="1389"/>
      <c r="CC39" s="1389"/>
      <c r="CD39" s="1389"/>
      <c r="CE39" s="1389"/>
      <c r="CF39" s="1389"/>
      <c r="CG39" s="1389"/>
      <c r="CH39" s="1389"/>
      <c r="CI39" s="1389"/>
      <c r="CJ39" s="1389"/>
      <c r="CK39" s="1389"/>
      <c r="CL39" s="1389"/>
      <c r="CM39" s="1389"/>
      <c r="CN39" s="1389"/>
      <c r="CO39" s="1389"/>
      <c r="CP39" s="1389"/>
      <c r="CQ39" s="1389"/>
      <c r="CR39" s="1389"/>
      <c r="CS39" s="1389"/>
      <c r="CT39" s="1389"/>
      <c r="CU39" s="1389"/>
      <c r="CV39" s="1389"/>
      <c r="CW39" s="1389"/>
      <c r="CX39" s="1393"/>
      <c r="CY39"/>
      <c r="CZ39" s="3066"/>
      <c r="DA39" s="3063"/>
      <c r="DB39" s="3063"/>
      <c r="DC39" s="3063"/>
      <c r="DD39" s="3063"/>
      <c r="DE39" s="1383"/>
      <c r="DF39" s="3100"/>
      <c r="DG39" s="3063"/>
      <c r="DH39" s="3063"/>
      <c r="DI39" s="1383"/>
      <c r="DJ39" s="3088"/>
      <c r="DK39" s="3100"/>
      <c r="DL39" s="1383"/>
      <c r="DM39" s="3100"/>
      <c r="DN39" s="1383"/>
      <c r="DO39" s="3100"/>
      <c r="DP39" s="3063"/>
      <c r="DQ39" s="3063"/>
      <c r="DR39" s="3063"/>
      <c r="DS39" s="3063"/>
      <c r="DT39" s="3063"/>
      <c r="DU39" s="1383"/>
      <c r="DV39" s="3100"/>
      <c r="DW39" s="3063"/>
      <c r="DX39" s="3063"/>
      <c r="DY39" s="3063"/>
      <c r="DZ39" s="3063"/>
      <c r="EA39" s="3063"/>
      <c r="EB39" s="3063"/>
      <c r="EC39" s="1383"/>
      <c r="ED39" s="3100"/>
      <c r="EE39" s="3063"/>
      <c r="EF39" s="3063"/>
      <c r="EG39" s="3063"/>
      <c r="EH39" s="3063"/>
      <c r="EI39" s="1383"/>
      <c r="EJ39" s="3088"/>
      <c r="EK39" s="3088"/>
      <c r="EL39" s="3088"/>
      <c r="EM39" s="3088"/>
      <c r="EN39" s="3088"/>
      <c r="EO39" s="3088"/>
      <c r="EP39" s="3100"/>
      <c r="EQ39" s="3063"/>
      <c r="ER39" s="1383"/>
      <c r="ES39" s="3088"/>
    </row>
    <row r="40" spans="1:159" s="1372" customFormat="1" ht="15" customHeight="1" thickBot="1">
      <c r="A40" s="14813"/>
      <c r="B40" s="14816" t="s">
        <v>2884</v>
      </c>
      <c r="C40" s="1373" t="s">
        <v>7593</v>
      </c>
      <c r="D40" s="933" t="s">
        <v>2885</v>
      </c>
      <c r="E40" s="933" t="s">
        <v>2886</v>
      </c>
      <c r="F40" s="933" t="s">
        <v>1073</v>
      </c>
      <c r="G40" s="933">
        <v>1</v>
      </c>
      <c r="H40" s="1376">
        <v>1</v>
      </c>
      <c r="I40" s="1405">
        <v>23</v>
      </c>
      <c r="J40" s="1376">
        <v>1</v>
      </c>
      <c r="K40" s="1377" t="s">
        <v>26</v>
      </c>
      <c r="L40" s="1406">
        <v>82</v>
      </c>
      <c r="M40" s="1407" t="s">
        <v>3219</v>
      </c>
      <c r="N40" s="1407" t="s">
        <v>3220</v>
      </c>
      <c r="O40" s="1408"/>
      <c r="P40" s="1409">
        <v>127000000</v>
      </c>
      <c r="Q40" s="1409">
        <v>127000000</v>
      </c>
      <c r="R40" s="1408"/>
      <c r="S40" s="1408"/>
      <c r="T40" s="1408"/>
      <c r="U40" s="1408"/>
      <c r="V40" s="1408"/>
      <c r="W40" s="1408"/>
      <c r="X40" s="1408"/>
      <c r="Y40" s="1408"/>
      <c r="Z40" s="1408"/>
      <c r="AA40" s="1408"/>
      <c r="AB40" s="1408"/>
      <c r="AC40" s="1408"/>
      <c r="AD40" s="1408"/>
      <c r="AE40" s="1408"/>
      <c r="AF40" s="1408"/>
      <c r="AG40" s="1408"/>
      <c r="AH40" s="1408"/>
      <c r="AI40" s="1408"/>
      <c r="AJ40" s="1408"/>
      <c r="AK40" s="1408"/>
      <c r="AL40" s="1408"/>
      <c r="AM40" s="1408"/>
      <c r="AN40" s="1408"/>
      <c r="AO40" s="1408"/>
      <c r="AP40" s="1408"/>
      <c r="AQ40" s="1408"/>
      <c r="AR40" s="1408"/>
      <c r="AS40" s="1408"/>
      <c r="AT40" s="1408"/>
      <c r="AU40" s="1408"/>
      <c r="AV40" s="1408"/>
      <c r="AW40" s="1408"/>
      <c r="AX40" s="1408"/>
      <c r="AY40" s="1408"/>
      <c r="AZ40" s="1408"/>
      <c r="BA40" s="1408"/>
      <c r="BB40" s="1408"/>
      <c r="BC40" s="1410"/>
      <c r="BD40" s="1400"/>
      <c r="BE40" s="1411" t="s">
        <v>9841</v>
      </c>
      <c r="BF40" s="1385">
        <v>1</v>
      </c>
      <c r="BG40" s="14894"/>
      <c r="BH40" s="1411" t="s">
        <v>3861</v>
      </c>
      <c r="BI40" s="1411" t="s">
        <v>3862</v>
      </c>
      <c r="BJ40" s="1411" t="s">
        <v>3863</v>
      </c>
      <c r="BK40" s="1389"/>
      <c r="BL40" s="14897"/>
      <c r="BM40" s="1389"/>
      <c r="BN40" s="1389"/>
      <c r="BO40" s="1389"/>
      <c r="BP40" s="1389"/>
      <c r="BQ40" s="1389"/>
      <c r="BR40" s="1389"/>
      <c r="BS40" s="1389"/>
      <c r="BT40" s="1389"/>
      <c r="BU40" s="1389"/>
      <c r="BV40" s="1389"/>
      <c r="BW40" s="1389"/>
      <c r="BX40" s="1389"/>
      <c r="BY40" s="1389"/>
      <c r="BZ40" s="1389"/>
      <c r="CA40" s="1389"/>
      <c r="CB40" s="1389"/>
      <c r="CC40" s="1389"/>
      <c r="CD40" s="1389"/>
      <c r="CE40" s="1389"/>
      <c r="CF40" s="1389"/>
      <c r="CG40" s="1389"/>
      <c r="CH40" s="1389"/>
      <c r="CI40" s="1389"/>
      <c r="CJ40" s="1389"/>
      <c r="CK40" s="1389"/>
      <c r="CL40" s="1389"/>
      <c r="CM40" s="1389"/>
      <c r="CN40" s="1389"/>
      <c r="CO40" s="1389"/>
      <c r="CP40" s="1389"/>
      <c r="CQ40" s="1389"/>
      <c r="CR40" s="1389"/>
      <c r="CS40" s="1389"/>
      <c r="CT40" s="1389"/>
      <c r="CU40" s="1389"/>
      <c r="CV40" s="1389"/>
      <c r="CW40" s="1389"/>
      <c r="CX40" s="1393"/>
      <c r="CY40"/>
      <c r="CZ40" s="3066"/>
      <c r="DA40" s="3063"/>
      <c r="DB40" s="3063"/>
      <c r="DC40" s="3063"/>
      <c r="DD40" s="3063"/>
      <c r="DE40" s="1383"/>
      <c r="DF40" s="3100"/>
      <c r="DG40" s="3063"/>
      <c r="DH40" s="3063"/>
      <c r="DI40" s="1383"/>
      <c r="DJ40" s="3088"/>
      <c r="DK40" s="3100"/>
      <c r="DL40" s="1383"/>
      <c r="DM40" s="3100"/>
      <c r="DN40" s="1383"/>
      <c r="DO40" s="3100"/>
      <c r="DP40" s="3063"/>
      <c r="DQ40" s="3063"/>
      <c r="DR40" s="3063"/>
      <c r="DS40" s="3063"/>
      <c r="DT40" s="3063"/>
      <c r="DU40" s="1383"/>
      <c r="DV40" s="3100"/>
      <c r="DW40" s="3063"/>
      <c r="DX40" s="3063"/>
      <c r="DY40" s="3063"/>
      <c r="DZ40" s="3063"/>
      <c r="EA40" s="3063"/>
      <c r="EB40" s="3063"/>
      <c r="EC40" s="1383"/>
      <c r="ED40" s="3100"/>
      <c r="EE40" s="3063"/>
      <c r="EF40" s="3063"/>
      <c r="EG40" s="3063"/>
      <c r="EH40" s="3063"/>
      <c r="EI40" s="1383"/>
      <c r="EJ40" s="3088"/>
      <c r="EK40" s="3088"/>
      <c r="EL40" s="3088"/>
      <c r="EM40" s="3088"/>
      <c r="EN40" s="3088"/>
      <c r="EO40" s="3088"/>
      <c r="EP40" s="3100"/>
      <c r="EQ40" s="3063"/>
      <c r="ER40" s="1383"/>
      <c r="ES40" s="3088"/>
    </row>
    <row r="41" spans="1:159" s="1372" customFormat="1" ht="15" customHeight="1" thickBot="1">
      <c r="A41" s="14813"/>
      <c r="B41" s="14816"/>
      <c r="C41" s="14761" t="s">
        <v>7594</v>
      </c>
      <c r="D41" s="14763" t="s">
        <v>2887</v>
      </c>
      <c r="E41" s="933" t="s">
        <v>2888</v>
      </c>
      <c r="F41" s="933" t="s">
        <v>1073</v>
      </c>
      <c r="G41" s="933">
        <v>1</v>
      </c>
      <c r="H41" s="1376">
        <v>2600</v>
      </c>
      <c r="I41" s="1376">
        <v>1</v>
      </c>
      <c r="J41" s="1376">
        <v>2600</v>
      </c>
      <c r="K41" s="1376" t="s">
        <v>26</v>
      </c>
      <c r="L41" s="1378">
        <v>1</v>
      </c>
      <c r="M41" s="1412" t="s">
        <v>3221</v>
      </c>
      <c r="N41" s="1412" t="s">
        <v>3222</v>
      </c>
      <c r="O41" s="1413"/>
      <c r="P41" s="1414">
        <v>130400000</v>
      </c>
      <c r="Q41" s="1414">
        <v>130400000</v>
      </c>
      <c r="R41" s="1413"/>
      <c r="S41" s="1413"/>
      <c r="T41" s="1413"/>
      <c r="U41" s="1413"/>
      <c r="V41" s="1413"/>
      <c r="W41" s="1413"/>
      <c r="X41" s="1413"/>
      <c r="Y41" s="1413"/>
      <c r="Z41" s="1413"/>
      <c r="AA41" s="1413"/>
      <c r="AB41" s="1413"/>
      <c r="AC41" s="1413"/>
      <c r="AD41" s="1413"/>
      <c r="AE41" s="1413"/>
      <c r="AF41" s="1413"/>
      <c r="AG41" s="1413"/>
      <c r="AH41" s="1413"/>
      <c r="AI41" s="1413"/>
      <c r="AJ41" s="1413"/>
      <c r="AK41" s="1413"/>
      <c r="AL41" s="1413"/>
      <c r="AM41" s="1413"/>
      <c r="AN41" s="1413"/>
      <c r="AO41" s="1413"/>
      <c r="AP41" s="1413"/>
      <c r="AQ41" s="1413"/>
      <c r="AR41" s="1413"/>
      <c r="AS41" s="1413"/>
      <c r="AT41" s="1413"/>
      <c r="AU41" s="1413"/>
      <c r="AV41" s="1413"/>
      <c r="AW41" s="1413"/>
      <c r="AX41" s="1413"/>
      <c r="AY41" s="1413"/>
      <c r="AZ41" s="1413"/>
      <c r="BA41" s="1413"/>
      <c r="BB41" s="1413"/>
      <c r="BC41" s="1415"/>
      <c r="BD41" s="1400"/>
      <c r="BE41" s="1411">
        <v>2600</v>
      </c>
      <c r="BF41" s="1385">
        <v>1</v>
      </c>
      <c r="BG41" s="14894"/>
      <c r="BH41" s="1411" t="s">
        <v>9842</v>
      </c>
      <c r="BI41" s="1411" t="s">
        <v>3870</v>
      </c>
      <c r="BJ41" s="1411" t="s">
        <v>3871</v>
      </c>
      <c r="BK41" s="1389"/>
      <c r="BL41" s="14897"/>
      <c r="BM41" s="1389"/>
      <c r="BN41" s="1389"/>
      <c r="BO41" s="1389">
        <v>2600</v>
      </c>
      <c r="BP41" s="1389"/>
      <c r="BQ41" s="1389"/>
      <c r="BR41" s="1389"/>
      <c r="BS41" s="1389"/>
      <c r="BT41" s="1389"/>
      <c r="BU41" s="1389"/>
      <c r="BV41" s="1389"/>
      <c r="BW41" s="1389"/>
      <c r="BX41" s="1389"/>
      <c r="BY41" s="1389"/>
      <c r="BZ41" s="1389"/>
      <c r="CA41" s="1389"/>
      <c r="CB41" s="1389"/>
      <c r="CC41" s="1389"/>
      <c r="CD41" s="1389"/>
      <c r="CE41" s="1389"/>
      <c r="CF41" s="1389"/>
      <c r="CG41" s="1389"/>
      <c r="CH41" s="1389"/>
      <c r="CI41" s="1389"/>
      <c r="CJ41" s="1389"/>
      <c r="CK41" s="1389"/>
      <c r="CL41" s="1389"/>
      <c r="CM41" s="1389"/>
      <c r="CN41" s="1389"/>
      <c r="CO41" s="1389"/>
      <c r="CP41" s="1389"/>
      <c r="CQ41" s="1389"/>
      <c r="CR41" s="1389"/>
      <c r="CS41" s="1389"/>
      <c r="CT41" s="1389"/>
      <c r="CU41" s="1389"/>
      <c r="CV41" s="1389"/>
      <c r="CW41" s="1389"/>
      <c r="CX41" s="1393"/>
      <c r="CY41"/>
      <c r="CZ41" s="3066"/>
      <c r="DA41" s="3063"/>
      <c r="DB41" s="3063"/>
      <c r="DC41" s="3063"/>
      <c r="DD41" s="3063"/>
      <c r="DE41" s="1383"/>
      <c r="DF41" s="3100"/>
      <c r="DG41" s="3063"/>
      <c r="DH41" s="3063"/>
      <c r="DI41" s="1383"/>
      <c r="DJ41" s="3088"/>
      <c r="DK41" s="3100"/>
      <c r="DL41" s="1383"/>
      <c r="DM41" s="3100"/>
      <c r="DN41" s="1383"/>
      <c r="DO41" s="3100"/>
      <c r="DP41" s="3063"/>
      <c r="DQ41" s="3063"/>
      <c r="DR41" s="3063"/>
      <c r="DS41" s="3063"/>
      <c r="DT41" s="3063"/>
      <c r="DU41" s="1383"/>
      <c r="DV41" s="3100"/>
      <c r="DW41" s="3063"/>
      <c r="DX41" s="3063"/>
      <c r="DY41" s="3063"/>
      <c r="DZ41" s="3063"/>
      <c r="EA41" s="3063"/>
      <c r="EB41" s="3063"/>
      <c r="EC41" s="1383"/>
      <c r="ED41" s="3100"/>
      <c r="EE41" s="3063"/>
      <c r="EF41" s="3063"/>
      <c r="EG41" s="3063"/>
      <c r="EH41" s="3063"/>
      <c r="EI41" s="1383"/>
      <c r="EJ41" s="3088"/>
      <c r="EK41" s="3088"/>
      <c r="EL41" s="3088"/>
      <c r="EM41" s="3088"/>
      <c r="EN41" s="3088"/>
      <c r="EO41" s="3088"/>
      <c r="EP41" s="3100"/>
      <c r="EQ41" s="3063"/>
      <c r="ER41" s="1383"/>
      <c r="ES41" s="3088"/>
    </row>
    <row r="42" spans="1:159" s="1372" customFormat="1" ht="15" customHeight="1" thickBot="1">
      <c r="A42" s="14814"/>
      <c r="B42" s="1416" t="s">
        <v>1788</v>
      </c>
      <c r="C42" s="14762"/>
      <c r="D42" s="14764"/>
      <c r="E42" s="889" t="s">
        <v>1789</v>
      </c>
      <c r="F42" s="889" t="s">
        <v>1073</v>
      </c>
      <c r="G42" s="889" t="s">
        <v>1732</v>
      </c>
      <c r="H42" s="1417">
        <v>23</v>
      </c>
      <c r="I42" s="1418"/>
      <c r="J42" s="1412">
        <v>23</v>
      </c>
      <c r="K42" s="1419" t="s">
        <v>4305</v>
      </c>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c r="AJ42" s="1420"/>
      <c r="AK42" s="1420"/>
      <c r="AL42" s="1420"/>
      <c r="AM42" s="1420"/>
      <c r="AN42" s="1420"/>
      <c r="AO42" s="1420"/>
      <c r="AP42" s="1420"/>
      <c r="AQ42" s="1420"/>
      <c r="AR42" s="1420"/>
      <c r="AS42" s="1420"/>
      <c r="AT42" s="1420"/>
      <c r="AU42" s="1420"/>
      <c r="AV42" s="1420"/>
      <c r="AW42" s="1420"/>
      <c r="AX42" s="1420"/>
      <c r="AY42" s="1420"/>
      <c r="AZ42" s="1420"/>
      <c r="BA42" s="1420"/>
      <c r="BB42" s="1420"/>
      <c r="BC42" s="1420"/>
      <c r="BD42" s="1421">
        <v>1</v>
      </c>
      <c r="BE42" s="1421">
        <v>1</v>
      </c>
      <c r="BF42" s="1422">
        <f t="shared" si="0"/>
        <v>1</v>
      </c>
      <c r="BG42" s="14895"/>
      <c r="BH42" s="1423" t="s">
        <v>8727</v>
      </c>
      <c r="BI42" s="1423" t="s">
        <v>8728</v>
      </c>
      <c r="BJ42" s="1424" t="s">
        <v>8729</v>
      </c>
      <c r="BK42" s="1425"/>
      <c r="BL42" s="14898"/>
      <c r="BM42" s="1425"/>
      <c r="BN42" s="1426"/>
      <c r="BO42" s="1426"/>
      <c r="BP42" s="1427"/>
      <c r="BQ42" s="1427"/>
      <c r="BR42" s="1427"/>
      <c r="BS42" s="1428"/>
      <c r="BT42" s="1428"/>
      <c r="BU42" s="1428"/>
      <c r="BV42" s="1428"/>
      <c r="BW42" s="1428"/>
      <c r="BX42" s="1428"/>
      <c r="BY42" s="1428"/>
      <c r="BZ42" s="1428"/>
      <c r="CA42" s="1428"/>
      <c r="CB42" s="1428"/>
      <c r="CC42" s="1428"/>
      <c r="CD42" s="1428"/>
      <c r="CE42" s="1428"/>
      <c r="CF42" s="1428"/>
      <c r="CG42" s="1428"/>
      <c r="CH42" s="1428"/>
      <c r="CI42" s="1428"/>
      <c r="CJ42" s="1428"/>
      <c r="CK42" s="1428"/>
      <c r="CL42" s="1428"/>
      <c r="CM42" s="1428"/>
      <c r="CN42" s="1428"/>
      <c r="CO42" s="1428"/>
      <c r="CP42" s="1429"/>
      <c r="CQ42" s="1430"/>
      <c r="CR42" s="1430"/>
      <c r="CS42" s="1428"/>
      <c r="CT42" s="1430"/>
      <c r="CU42" s="1429"/>
      <c r="CV42" s="1429"/>
      <c r="CW42" s="1429"/>
      <c r="CX42" s="1431"/>
      <c r="CY42"/>
      <c r="CZ42" s="3070"/>
      <c r="DA42" s="1408"/>
      <c r="DB42" s="1408"/>
      <c r="DC42" s="1408"/>
      <c r="DD42" s="1408"/>
      <c r="DE42" s="1410"/>
      <c r="DF42" s="3101"/>
      <c r="DG42" s="1408"/>
      <c r="DH42" s="1408"/>
      <c r="DI42" s="1410"/>
      <c r="DJ42" s="3089"/>
      <c r="DK42" s="3101"/>
      <c r="DL42" s="1410"/>
      <c r="DM42" s="3101"/>
      <c r="DN42" s="1410"/>
      <c r="DO42" s="3101"/>
      <c r="DP42" s="1408"/>
      <c r="DQ42" s="1408"/>
      <c r="DR42" s="1408"/>
      <c r="DS42" s="1408"/>
      <c r="DT42" s="1408"/>
      <c r="DU42" s="1410"/>
      <c r="DV42" s="3101"/>
      <c r="DW42" s="1408"/>
      <c r="DX42" s="1408"/>
      <c r="DY42" s="1408"/>
      <c r="DZ42" s="1408"/>
      <c r="EA42" s="1408"/>
      <c r="EB42" s="1408"/>
      <c r="EC42" s="1410"/>
      <c r="ED42" s="3101"/>
      <c r="EE42" s="1408"/>
      <c r="EF42" s="1408"/>
      <c r="EG42" s="1408"/>
      <c r="EH42" s="1408"/>
      <c r="EI42" s="1410"/>
      <c r="EJ42" s="3089"/>
      <c r="EK42" s="3089"/>
      <c r="EL42" s="3089"/>
      <c r="EM42" s="3089"/>
      <c r="EN42" s="3089"/>
      <c r="EO42" s="3089"/>
      <c r="EP42" s="3101"/>
      <c r="EQ42" s="1408"/>
      <c r="ER42" s="1410"/>
      <c r="ES42" s="3089"/>
      <c r="ET42" s="1451"/>
      <c r="EU42" s="1451"/>
      <c r="EV42" s="1451"/>
      <c r="EW42" s="1451"/>
      <c r="EX42" s="1451"/>
      <c r="EY42" s="1451"/>
      <c r="EZ42" s="1451"/>
      <c r="FA42" s="1451"/>
      <c r="FB42" s="1451"/>
      <c r="FC42" s="1451"/>
    </row>
    <row r="43" spans="1:159" s="1451" customFormat="1" ht="15" customHeight="1" thickBot="1">
      <c r="A43" s="1432" t="s">
        <v>1790</v>
      </c>
      <c r="B43" s="1433" t="s">
        <v>1791</v>
      </c>
      <c r="C43" s="1434" t="s">
        <v>7596</v>
      </c>
      <c r="D43" s="1435" t="s">
        <v>1792</v>
      </c>
      <c r="E43" s="1435" t="s">
        <v>1792</v>
      </c>
      <c r="F43" s="1435" t="s">
        <v>1073</v>
      </c>
      <c r="G43" s="1435" t="s">
        <v>1732</v>
      </c>
      <c r="H43" s="1436">
        <v>1</v>
      </c>
      <c r="I43" s="1437"/>
      <c r="J43" s="1436">
        <v>1</v>
      </c>
      <c r="K43" s="1438" t="s">
        <v>4305</v>
      </c>
      <c r="L43" s="1439"/>
      <c r="M43" s="1439"/>
      <c r="N43" s="1439"/>
      <c r="O43" s="1439"/>
      <c r="P43" s="1439"/>
      <c r="Q43" s="1439"/>
      <c r="R43" s="1439"/>
      <c r="S43" s="1439"/>
      <c r="T43" s="1439"/>
      <c r="U43" s="1439"/>
      <c r="V43" s="1439"/>
      <c r="W43" s="1439"/>
      <c r="X43" s="1439"/>
      <c r="Y43" s="1439"/>
      <c r="Z43" s="1439"/>
      <c r="AA43" s="1439"/>
      <c r="AB43" s="1439"/>
      <c r="AC43" s="1439"/>
      <c r="AD43" s="1439"/>
      <c r="AE43" s="1439"/>
      <c r="AF43" s="1439"/>
      <c r="AG43" s="1439"/>
      <c r="AH43" s="1439"/>
      <c r="AI43" s="1439"/>
      <c r="AJ43" s="1439"/>
      <c r="AK43" s="1439"/>
      <c r="AL43" s="1439"/>
      <c r="AM43" s="1439"/>
      <c r="AN43" s="1439"/>
      <c r="AO43" s="1439"/>
      <c r="AP43" s="1439"/>
      <c r="AQ43" s="1439"/>
      <c r="AR43" s="1439"/>
      <c r="AS43" s="1439"/>
      <c r="AT43" s="1439"/>
      <c r="AU43" s="1439"/>
      <c r="AV43" s="1439"/>
      <c r="AW43" s="1439"/>
      <c r="AX43" s="1439"/>
      <c r="AY43" s="1439"/>
      <c r="AZ43" s="1439"/>
      <c r="BA43" s="1439"/>
      <c r="BB43" s="1439"/>
      <c r="BC43" s="1439"/>
      <c r="BD43" s="1440">
        <v>1</v>
      </c>
      <c r="BE43" s="1440">
        <v>1</v>
      </c>
      <c r="BF43" s="1441">
        <f t="shared" si="0"/>
        <v>1</v>
      </c>
      <c r="BG43" s="1441">
        <f>AVERAGE(BF43)</f>
        <v>1</v>
      </c>
      <c r="BH43" s="1442" t="s">
        <v>8730</v>
      </c>
      <c r="BI43" s="1443" t="s">
        <v>8731</v>
      </c>
      <c r="BJ43" s="1444" t="s">
        <v>8732</v>
      </c>
      <c r="BK43" s="1445">
        <f>130400000+80000000</f>
        <v>210400000</v>
      </c>
      <c r="BL43" s="1445">
        <f>BK43</f>
        <v>210400000</v>
      </c>
      <c r="BM43" s="1445">
        <f>130400000+80000000</f>
        <v>210400000</v>
      </c>
      <c r="BN43" s="1446"/>
      <c r="BO43" s="1446"/>
      <c r="BP43" s="1446"/>
      <c r="BQ43" s="1446"/>
      <c r="BR43" s="1446"/>
      <c r="BS43" s="1446"/>
      <c r="BT43" s="1446"/>
      <c r="BU43" s="1446"/>
      <c r="BV43" s="1446"/>
      <c r="BW43" s="1446"/>
      <c r="BX43" s="1446"/>
      <c r="BY43" s="1446"/>
      <c r="BZ43" s="1446"/>
      <c r="CA43" s="1446"/>
      <c r="CB43" s="1446"/>
      <c r="CC43" s="1446"/>
      <c r="CD43" s="1446"/>
      <c r="CE43" s="1446"/>
      <c r="CF43" s="1447"/>
      <c r="CG43" s="1447"/>
      <c r="CH43" s="1447"/>
      <c r="CI43" s="1447"/>
      <c r="CJ43" s="1447"/>
      <c r="CK43" s="1447"/>
      <c r="CL43" s="1447"/>
      <c r="CM43" s="1447"/>
      <c r="CN43" s="1447"/>
      <c r="CO43" s="1447"/>
      <c r="CP43" s="1448" t="s">
        <v>8733</v>
      </c>
      <c r="CQ43" s="1448" t="s">
        <v>8734</v>
      </c>
      <c r="CR43" s="1449" t="s">
        <v>8735</v>
      </c>
      <c r="CS43" s="1449" t="s">
        <v>8664</v>
      </c>
      <c r="CT43" s="1449" t="s">
        <v>8664</v>
      </c>
      <c r="CU43" s="1447"/>
      <c r="CV43" s="1447"/>
      <c r="CW43" s="1447"/>
      <c r="CX43" s="1450"/>
      <c r="CY43"/>
      <c r="CZ43" s="3067"/>
      <c r="DA43" s="3068"/>
      <c r="DB43" s="3068"/>
      <c r="DC43" s="3068"/>
      <c r="DD43" s="3068"/>
      <c r="DE43" s="3069"/>
      <c r="DF43" s="3102"/>
      <c r="DG43" s="3068"/>
      <c r="DH43" s="3068"/>
      <c r="DI43" s="3069"/>
      <c r="DJ43" s="3090"/>
      <c r="DK43" s="3102"/>
      <c r="DL43" s="3069"/>
      <c r="DM43" s="3102"/>
      <c r="DN43" s="3069"/>
      <c r="DO43" s="3102"/>
      <c r="DP43" s="3068"/>
      <c r="DQ43" s="3068"/>
      <c r="DR43" s="3068"/>
      <c r="DS43" s="3068"/>
      <c r="DT43" s="3068"/>
      <c r="DU43" s="3069"/>
      <c r="DV43" s="3102"/>
      <c r="DW43" s="3068"/>
      <c r="DX43" s="3068"/>
      <c r="DY43" s="3068"/>
      <c r="DZ43" s="3068"/>
      <c r="EA43" s="3068"/>
      <c r="EB43" s="3068"/>
      <c r="EC43" s="3069"/>
      <c r="ED43" s="3102"/>
      <c r="EE43" s="3068"/>
      <c r="EF43" s="3068"/>
      <c r="EG43" s="3068"/>
      <c r="EH43" s="3068"/>
      <c r="EI43" s="3069"/>
      <c r="EJ43" s="3090"/>
      <c r="EK43" s="3090"/>
      <c r="EL43" s="3090"/>
      <c r="EM43" s="3090"/>
      <c r="EN43" s="3090"/>
      <c r="EO43" s="3090"/>
      <c r="EP43" s="3102"/>
      <c r="EQ43" s="3068"/>
      <c r="ER43" s="3069"/>
      <c r="ES43" s="3090"/>
      <c r="ET43" s="786"/>
      <c r="EU43" s="786"/>
      <c r="EV43" s="786"/>
      <c r="EW43" s="786"/>
      <c r="EX43" s="786"/>
      <c r="EY43" s="786"/>
      <c r="EZ43" s="786"/>
      <c r="FA43" s="786"/>
      <c r="FB43" s="786"/>
      <c r="FC43" s="786"/>
    </row>
    <row r="44" spans="1:159" ht="15" customHeight="1">
      <c r="A44" s="805"/>
      <c r="B44" s="806"/>
      <c r="C44" s="806"/>
      <c r="D44" s="806"/>
      <c r="E44" s="807"/>
      <c r="F44" s="807"/>
      <c r="G44" s="807"/>
      <c r="H44" s="803"/>
      <c r="I44" s="803"/>
      <c r="J44" s="803"/>
      <c r="K44" s="751"/>
    </row>
    <row r="45" spans="1:159" ht="15" customHeight="1">
      <c r="A45" s="805"/>
      <c r="B45" s="806"/>
      <c r="C45" s="806"/>
      <c r="D45" s="806"/>
      <c r="E45" s="807"/>
      <c r="F45" s="807"/>
      <c r="G45" s="807"/>
      <c r="H45" s="803"/>
      <c r="I45" s="803"/>
      <c r="J45" s="803"/>
      <c r="K45" s="751"/>
      <c r="BK45" s="2947">
        <f>SUM(BK6:BK43)</f>
        <v>3673488974</v>
      </c>
      <c r="BO45" s="2947">
        <f>SUM(BO6:BO43)</f>
        <v>2600</v>
      </c>
    </row>
    <row r="46" spans="1:159" ht="15" customHeight="1">
      <c r="A46" s="805"/>
      <c r="B46" s="806"/>
      <c r="C46" s="806"/>
      <c r="D46" s="806"/>
      <c r="E46" s="807"/>
      <c r="F46" s="807"/>
      <c r="G46" s="807"/>
      <c r="H46" s="803"/>
      <c r="I46" s="803"/>
      <c r="J46" s="803"/>
      <c r="K46" s="751"/>
    </row>
    <row r="47" spans="1:159" ht="15" customHeight="1">
      <c r="A47" s="805"/>
      <c r="B47" s="806"/>
      <c r="C47" s="806"/>
      <c r="D47" s="806"/>
      <c r="E47" s="807"/>
      <c r="F47" s="807"/>
      <c r="G47" s="807"/>
      <c r="H47" s="803"/>
      <c r="I47" s="803"/>
      <c r="J47" s="803"/>
      <c r="K47" s="751"/>
    </row>
    <row r="48" spans="1:159" ht="15" customHeight="1">
      <c r="A48" s="805"/>
      <c r="B48" s="806"/>
      <c r="C48" s="806"/>
      <c r="D48" s="806"/>
      <c r="E48" s="807"/>
      <c r="F48" s="807"/>
      <c r="G48" s="807"/>
      <c r="H48" s="803"/>
      <c r="I48" s="803"/>
      <c r="J48" s="803"/>
      <c r="K48" s="751"/>
    </row>
    <row r="49" spans="1:11" ht="15" customHeight="1">
      <c r="A49" s="809"/>
      <c r="B49" s="806"/>
      <c r="C49" s="806"/>
      <c r="D49" s="806"/>
      <c r="E49" s="807"/>
      <c r="F49" s="807"/>
      <c r="G49" s="807"/>
      <c r="H49" s="803"/>
      <c r="I49" s="803"/>
      <c r="J49" s="803"/>
      <c r="K49" s="751"/>
    </row>
    <row r="50" spans="1:11" ht="15" customHeight="1">
      <c r="A50" s="809"/>
      <c r="B50" s="806"/>
      <c r="C50" s="806"/>
      <c r="D50" s="806"/>
      <c r="E50" s="807"/>
      <c r="F50" s="807"/>
      <c r="G50" s="807"/>
      <c r="H50" s="803"/>
      <c r="I50" s="803"/>
      <c r="J50" s="803"/>
      <c r="K50" s="751"/>
    </row>
    <row r="51" spans="1:11" ht="15" customHeight="1">
      <c r="A51" s="809"/>
      <c r="B51" s="806"/>
      <c r="C51" s="806"/>
      <c r="D51" s="806"/>
      <c r="E51" s="807"/>
      <c r="F51" s="807"/>
      <c r="G51" s="807"/>
      <c r="H51" s="807"/>
      <c r="I51" s="807"/>
      <c r="J51" s="807"/>
      <c r="K51" s="751"/>
    </row>
    <row r="52" spans="1:11" ht="15" customHeight="1">
      <c r="A52" s="809"/>
      <c r="B52" s="806"/>
      <c r="C52" s="806"/>
      <c r="D52" s="806"/>
      <c r="E52" s="807"/>
      <c r="F52" s="807"/>
      <c r="G52" s="807"/>
      <c r="H52" s="807"/>
      <c r="I52" s="807"/>
      <c r="J52" s="807"/>
      <c r="K52" s="751"/>
    </row>
    <row r="53" spans="1:11" ht="15" customHeight="1">
      <c r="A53" s="809"/>
      <c r="B53" s="806"/>
      <c r="C53" s="806"/>
      <c r="D53" s="806"/>
      <c r="E53" s="807"/>
      <c r="F53" s="807"/>
      <c r="G53" s="807"/>
      <c r="H53" s="810"/>
      <c r="I53" s="810"/>
      <c r="J53" s="810"/>
      <c r="K53" s="751"/>
    </row>
    <row r="54" spans="1:11" ht="15" customHeight="1">
      <c r="A54" s="809"/>
      <c r="B54" s="806"/>
      <c r="C54" s="806"/>
      <c r="D54" s="806"/>
      <c r="E54" s="807"/>
      <c r="F54" s="811"/>
      <c r="G54" s="807"/>
      <c r="H54" s="811"/>
      <c r="I54" s="811"/>
      <c r="J54" s="811"/>
      <c r="K54" s="751"/>
    </row>
    <row r="55" spans="1:11" ht="15" customHeight="1">
      <c r="A55" s="809"/>
      <c r="B55" s="806"/>
      <c r="C55" s="806"/>
      <c r="D55" s="806"/>
      <c r="E55" s="807"/>
      <c r="F55" s="811"/>
      <c r="G55" s="807"/>
      <c r="H55" s="811"/>
      <c r="I55" s="811"/>
      <c r="J55" s="811"/>
      <c r="K55" s="751"/>
    </row>
    <row r="56" spans="1:11" ht="15" customHeight="1">
      <c r="A56" s="809"/>
      <c r="B56" s="806"/>
      <c r="C56" s="806"/>
      <c r="D56" s="806"/>
      <c r="E56" s="807"/>
      <c r="F56" s="807"/>
      <c r="G56" s="807"/>
      <c r="H56" s="810"/>
      <c r="I56" s="810"/>
      <c r="J56" s="810"/>
      <c r="K56" s="751"/>
    </row>
    <row r="57" spans="1:11" ht="15" customHeight="1">
      <c r="A57" s="809"/>
      <c r="B57" s="806"/>
      <c r="C57" s="806"/>
      <c r="D57" s="806"/>
      <c r="E57" s="807"/>
      <c r="F57" s="807"/>
      <c r="G57" s="807"/>
      <c r="H57" s="810"/>
      <c r="I57" s="810"/>
      <c r="J57" s="810"/>
      <c r="K57" s="751"/>
    </row>
    <row r="58" spans="1:11" ht="15" customHeight="1">
      <c r="A58" s="809"/>
      <c r="B58" s="806"/>
      <c r="C58" s="806"/>
      <c r="D58" s="806"/>
      <c r="E58" s="807"/>
      <c r="F58" s="811"/>
      <c r="G58" s="811"/>
      <c r="H58" s="811"/>
      <c r="I58" s="811"/>
      <c r="J58" s="811"/>
      <c r="K58" s="751"/>
    </row>
    <row r="59" spans="1:11" ht="15" customHeight="1">
      <c r="A59" s="809"/>
      <c r="B59" s="806"/>
      <c r="C59" s="806"/>
      <c r="D59" s="806"/>
      <c r="E59" s="807"/>
      <c r="F59" s="811"/>
      <c r="G59" s="811"/>
      <c r="H59" s="811"/>
      <c r="I59" s="811"/>
      <c r="J59" s="811"/>
      <c r="K59" s="751"/>
    </row>
    <row r="60" spans="1:11" ht="15" customHeight="1">
      <c r="A60" s="809"/>
      <c r="B60" s="806"/>
      <c r="C60" s="806"/>
      <c r="D60" s="806"/>
      <c r="E60" s="807"/>
      <c r="F60" s="807"/>
      <c r="G60" s="807"/>
      <c r="H60" s="807"/>
      <c r="I60" s="807"/>
      <c r="J60" s="807"/>
      <c r="K60" s="751"/>
    </row>
    <row r="61" spans="1:11" ht="15" customHeight="1">
      <c r="A61" s="809"/>
      <c r="B61" s="806"/>
      <c r="C61" s="806"/>
      <c r="D61" s="806"/>
      <c r="E61" s="807"/>
      <c r="F61" s="807"/>
      <c r="G61" s="807"/>
      <c r="H61" s="807"/>
      <c r="I61" s="807"/>
      <c r="J61" s="807"/>
      <c r="K61" s="751"/>
    </row>
    <row r="62" spans="1:11" ht="15" customHeight="1">
      <c r="A62" s="809"/>
      <c r="B62" s="806"/>
      <c r="C62" s="806"/>
      <c r="D62" s="806"/>
      <c r="E62" s="807"/>
      <c r="F62" s="807"/>
      <c r="G62" s="807"/>
      <c r="H62" s="807"/>
      <c r="I62" s="807"/>
      <c r="J62" s="807"/>
      <c r="K62" s="751"/>
    </row>
    <row r="63" spans="1:11" ht="15" customHeight="1">
      <c r="A63" s="809"/>
      <c r="B63" s="806"/>
      <c r="C63" s="806"/>
      <c r="D63" s="806"/>
      <c r="E63" s="807"/>
      <c r="F63" s="807"/>
      <c r="G63" s="807"/>
      <c r="H63" s="807"/>
      <c r="I63" s="807"/>
      <c r="J63" s="807"/>
      <c r="K63" s="751"/>
    </row>
    <row r="64" spans="1:11" ht="15" customHeight="1">
      <c r="A64" s="809"/>
      <c r="B64" s="806"/>
      <c r="C64" s="806"/>
      <c r="D64" s="806"/>
      <c r="E64" s="807"/>
      <c r="F64" s="807"/>
      <c r="G64" s="807"/>
      <c r="H64" s="810"/>
      <c r="I64" s="810"/>
      <c r="J64" s="810"/>
      <c r="K64" s="751"/>
    </row>
    <row r="65" spans="1:11" ht="15" customHeight="1">
      <c r="A65" s="809"/>
      <c r="B65" s="806"/>
      <c r="C65" s="806"/>
      <c r="D65" s="806"/>
      <c r="E65" s="807"/>
      <c r="F65" s="807"/>
      <c r="G65" s="807"/>
      <c r="H65" s="807"/>
      <c r="I65" s="807"/>
      <c r="J65" s="807"/>
      <c r="K65" s="751"/>
    </row>
    <row r="66" spans="1:11" ht="15" customHeight="1">
      <c r="A66" s="809"/>
      <c r="B66" s="806"/>
      <c r="C66" s="806"/>
      <c r="D66" s="806"/>
      <c r="E66" s="807"/>
      <c r="F66" s="807"/>
      <c r="G66" s="807"/>
      <c r="H66" s="807"/>
      <c r="I66" s="807"/>
      <c r="J66" s="807"/>
      <c r="K66" s="751"/>
    </row>
    <row r="67" spans="1:11" ht="15" customHeight="1">
      <c r="A67" s="809"/>
      <c r="B67" s="806"/>
      <c r="C67" s="806"/>
      <c r="D67" s="806"/>
      <c r="E67" s="807"/>
      <c r="F67" s="807"/>
      <c r="G67" s="807"/>
      <c r="H67" s="807"/>
      <c r="I67" s="807"/>
      <c r="J67" s="807"/>
      <c r="K67" s="751"/>
    </row>
    <row r="68" spans="1:11" ht="15" customHeight="1">
      <c r="A68" s="809"/>
      <c r="B68" s="806"/>
      <c r="C68" s="806"/>
      <c r="D68" s="806"/>
      <c r="E68" s="807"/>
      <c r="F68" s="807"/>
      <c r="G68" s="807"/>
      <c r="H68" s="810"/>
      <c r="I68" s="810"/>
      <c r="J68" s="810"/>
      <c r="K68" s="751"/>
    </row>
    <row r="69" spans="1:11" ht="15" customHeight="1">
      <c r="A69" s="809"/>
      <c r="B69" s="806"/>
      <c r="C69" s="806"/>
      <c r="D69" s="806"/>
      <c r="E69" s="807"/>
      <c r="F69" s="807"/>
      <c r="G69" s="807"/>
      <c r="H69" s="807"/>
      <c r="I69" s="807"/>
      <c r="J69" s="807"/>
      <c r="K69" s="751"/>
    </row>
    <row r="70" spans="1:11" ht="15" customHeight="1">
      <c r="A70" s="809"/>
      <c r="B70" s="806"/>
      <c r="C70" s="806"/>
      <c r="D70" s="806"/>
      <c r="E70" s="807"/>
      <c r="F70" s="807"/>
      <c r="G70" s="807"/>
      <c r="H70" s="807"/>
      <c r="I70" s="807"/>
      <c r="J70" s="807"/>
      <c r="K70" s="751"/>
    </row>
    <row r="71" spans="1:11" ht="15" customHeight="1">
      <c r="A71" s="809"/>
      <c r="B71" s="806"/>
      <c r="C71" s="806"/>
      <c r="D71" s="806"/>
      <c r="E71" s="807"/>
      <c r="F71" s="807"/>
      <c r="G71" s="807"/>
      <c r="H71" s="807"/>
      <c r="I71" s="807"/>
      <c r="J71" s="807"/>
      <c r="K71" s="751"/>
    </row>
    <row r="72" spans="1:11" ht="15" customHeight="1">
      <c r="A72" s="809"/>
      <c r="B72" s="806"/>
      <c r="C72" s="806"/>
      <c r="D72" s="806"/>
      <c r="E72" s="807"/>
      <c r="F72" s="807"/>
      <c r="G72" s="807"/>
      <c r="H72" s="810"/>
      <c r="I72" s="810"/>
      <c r="J72" s="810"/>
      <c r="K72" s="751"/>
    </row>
    <row r="73" spans="1:11" ht="15" customHeight="1">
      <c r="A73" s="809"/>
      <c r="B73" s="806"/>
      <c r="C73" s="806"/>
      <c r="D73" s="806"/>
      <c r="E73" s="807"/>
      <c r="F73" s="807"/>
      <c r="G73" s="807"/>
      <c r="H73" s="807"/>
      <c r="I73" s="807"/>
      <c r="J73" s="807"/>
      <c r="K73" s="751"/>
    </row>
    <row r="74" spans="1:11" ht="15" customHeight="1">
      <c r="A74" s="809"/>
      <c r="B74" s="806"/>
      <c r="C74" s="806"/>
      <c r="D74" s="806"/>
      <c r="E74" s="807"/>
      <c r="F74" s="807"/>
      <c r="G74" s="807"/>
      <c r="H74" s="810"/>
      <c r="I74" s="810"/>
      <c r="J74" s="810"/>
      <c r="K74" s="751"/>
    </row>
    <row r="75" spans="1:11" ht="15" customHeight="1">
      <c r="A75" s="809"/>
      <c r="B75" s="806"/>
      <c r="C75" s="806"/>
      <c r="D75" s="806"/>
      <c r="E75" s="807"/>
      <c r="F75" s="807"/>
      <c r="G75" s="807"/>
      <c r="H75" s="810"/>
      <c r="I75" s="810"/>
      <c r="J75" s="810"/>
      <c r="K75" s="812"/>
    </row>
    <row r="76" spans="1:11" ht="15" customHeight="1">
      <c r="A76" s="809"/>
      <c r="B76" s="806"/>
      <c r="C76" s="806"/>
      <c r="D76" s="806"/>
      <c r="E76" s="807"/>
      <c r="F76" s="807"/>
      <c r="G76" s="807"/>
      <c r="H76" s="807"/>
      <c r="I76" s="807"/>
      <c r="J76" s="807"/>
      <c r="K76" s="812"/>
    </row>
    <row r="77" spans="1:11" ht="15" customHeight="1">
      <c r="A77" s="809"/>
      <c r="B77" s="806"/>
      <c r="C77" s="806"/>
      <c r="D77" s="806"/>
      <c r="E77" s="807"/>
      <c r="F77" s="807"/>
      <c r="G77" s="807"/>
      <c r="H77" s="807"/>
      <c r="I77" s="807"/>
      <c r="J77" s="807"/>
      <c r="K77" s="751"/>
    </row>
    <row r="78" spans="1:11" ht="15" customHeight="1">
      <c r="A78" s="809"/>
      <c r="B78" s="806"/>
      <c r="C78" s="806"/>
      <c r="D78" s="806"/>
      <c r="E78" s="751"/>
      <c r="F78" s="751"/>
      <c r="G78" s="813"/>
      <c r="H78" s="751"/>
      <c r="I78" s="751"/>
      <c r="J78" s="751"/>
      <c r="K78" s="812"/>
    </row>
    <row r="79" spans="1:11" ht="15" customHeight="1">
      <c r="A79" s="809"/>
      <c r="B79" s="806"/>
      <c r="C79" s="806"/>
      <c r="D79" s="806"/>
      <c r="E79" s="751"/>
      <c r="F79" s="751"/>
      <c r="G79" s="751"/>
      <c r="H79" s="751"/>
      <c r="I79" s="751"/>
      <c r="J79" s="751"/>
      <c r="K79" s="812"/>
    </row>
    <row r="80" spans="1:11" ht="15" customHeight="1">
      <c r="A80" s="809"/>
      <c r="B80" s="806"/>
      <c r="C80" s="806"/>
      <c r="D80" s="806"/>
      <c r="E80" s="751"/>
      <c r="F80" s="751"/>
      <c r="G80" s="751"/>
      <c r="H80" s="751"/>
      <c r="I80" s="751"/>
      <c r="J80" s="751"/>
      <c r="K80" s="751"/>
    </row>
    <row r="81" spans="1:11" ht="15" customHeight="1">
      <c r="A81" s="809"/>
      <c r="B81" s="806"/>
      <c r="C81" s="806"/>
      <c r="D81" s="806"/>
      <c r="E81" s="751"/>
      <c r="F81" s="751"/>
      <c r="G81" s="751"/>
      <c r="H81" s="751"/>
      <c r="I81" s="751"/>
      <c r="J81" s="751"/>
      <c r="K81" s="751"/>
    </row>
    <row r="82" spans="1:11" ht="15" customHeight="1">
      <c r="A82" s="809"/>
      <c r="B82" s="806"/>
      <c r="C82" s="806"/>
      <c r="D82" s="806"/>
      <c r="E82" s="751"/>
      <c r="F82" s="751"/>
      <c r="G82" s="751"/>
      <c r="H82" s="813"/>
      <c r="I82" s="813"/>
      <c r="J82" s="813"/>
      <c r="K82" s="751"/>
    </row>
    <row r="83" spans="1:11" ht="15" customHeight="1">
      <c r="A83" s="809"/>
      <c r="B83" s="806"/>
      <c r="C83" s="806"/>
      <c r="D83" s="806"/>
      <c r="E83" s="751"/>
      <c r="F83" s="751"/>
      <c r="G83" s="751"/>
      <c r="H83" s="751"/>
      <c r="I83" s="751"/>
      <c r="J83" s="751"/>
      <c r="K83" s="751"/>
    </row>
    <row r="84" spans="1:11" ht="15" customHeight="1">
      <c r="A84" s="809"/>
      <c r="B84" s="806"/>
      <c r="C84" s="806"/>
      <c r="D84" s="806"/>
      <c r="E84" s="751"/>
      <c r="F84" s="751"/>
      <c r="G84" s="751"/>
      <c r="H84" s="813"/>
      <c r="I84" s="813"/>
      <c r="J84" s="813"/>
      <c r="K84" s="751"/>
    </row>
    <row r="85" spans="1:11" ht="15" customHeight="1">
      <c r="A85" s="809"/>
      <c r="B85" s="806"/>
      <c r="C85" s="806"/>
      <c r="D85" s="806"/>
      <c r="E85" s="751"/>
      <c r="F85" s="751"/>
      <c r="G85" s="751"/>
      <c r="H85" s="751"/>
      <c r="I85" s="751"/>
      <c r="J85" s="751"/>
      <c r="K85" s="751"/>
    </row>
    <row r="86" spans="1:11" ht="15" customHeight="1">
      <c r="A86" s="809"/>
      <c r="B86" s="806"/>
      <c r="C86" s="806"/>
      <c r="D86" s="806"/>
      <c r="E86" s="751"/>
      <c r="F86" s="751"/>
      <c r="G86" s="751"/>
      <c r="H86" s="813"/>
      <c r="I86" s="813"/>
      <c r="J86" s="813"/>
      <c r="K86" s="751"/>
    </row>
    <row r="87" spans="1:11" ht="15" customHeight="1">
      <c r="A87" s="809"/>
      <c r="B87" s="806"/>
      <c r="C87" s="806"/>
      <c r="D87" s="806"/>
      <c r="E87" s="751"/>
      <c r="F87" s="751"/>
      <c r="G87" s="751"/>
      <c r="H87" s="813"/>
      <c r="I87" s="813"/>
      <c r="J87" s="813"/>
      <c r="K87" s="751"/>
    </row>
    <row r="88" spans="1:11" ht="15" customHeight="1">
      <c r="A88" s="809"/>
      <c r="B88" s="806"/>
      <c r="C88" s="806"/>
      <c r="D88" s="806"/>
      <c r="E88" s="751"/>
      <c r="F88" s="751"/>
      <c r="G88" s="751"/>
      <c r="H88" s="751"/>
      <c r="I88" s="751"/>
      <c r="J88" s="751"/>
      <c r="K88" s="751"/>
    </row>
    <row r="89" spans="1:11" ht="15" customHeight="1">
      <c r="A89" s="809"/>
      <c r="B89" s="806"/>
      <c r="C89" s="806"/>
      <c r="D89" s="806"/>
      <c r="E89" s="751"/>
      <c r="F89" s="751"/>
      <c r="G89" s="751"/>
      <c r="H89" s="751"/>
      <c r="I89" s="751"/>
      <c r="J89" s="751"/>
      <c r="K89" s="751"/>
    </row>
    <row r="90" spans="1:11" ht="15" customHeight="1">
      <c r="A90" s="809"/>
      <c r="B90" s="806"/>
      <c r="C90" s="806"/>
      <c r="D90" s="806"/>
      <c r="E90" s="751"/>
      <c r="F90" s="751"/>
      <c r="G90" s="751"/>
      <c r="H90" s="751"/>
      <c r="I90" s="751"/>
      <c r="J90" s="751"/>
      <c r="K90" s="751"/>
    </row>
    <row r="91" spans="1:11" ht="15" customHeight="1">
      <c r="A91" s="809"/>
      <c r="B91" s="806"/>
      <c r="C91" s="806"/>
      <c r="D91" s="806"/>
      <c r="E91" s="751"/>
      <c r="F91" s="751"/>
      <c r="G91" s="751"/>
      <c r="H91" s="813"/>
      <c r="I91" s="813"/>
      <c r="J91" s="813"/>
      <c r="K91" s="751"/>
    </row>
    <row r="92" spans="1:11" ht="15" customHeight="1">
      <c r="A92" s="809"/>
      <c r="B92" s="806"/>
      <c r="C92" s="806"/>
      <c r="D92" s="806"/>
      <c r="E92" s="751"/>
      <c r="F92" s="751"/>
      <c r="G92" s="751"/>
      <c r="H92" s="751"/>
      <c r="I92" s="751"/>
      <c r="J92" s="751"/>
      <c r="K92" s="751"/>
    </row>
    <row r="93" spans="1:11" ht="15" customHeight="1">
      <c r="A93" s="809"/>
      <c r="B93" s="806"/>
      <c r="C93" s="806"/>
      <c r="D93" s="806"/>
      <c r="E93" s="751"/>
      <c r="F93" s="751"/>
      <c r="G93" s="751"/>
      <c r="H93" s="751"/>
      <c r="I93" s="751"/>
      <c r="J93" s="751"/>
      <c r="K93" s="751"/>
    </row>
    <row r="94" spans="1:11" ht="15" customHeight="1">
      <c r="A94" s="809"/>
      <c r="B94" s="806"/>
      <c r="C94" s="806"/>
      <c r="D94" s="806"/>
      <c r="E94" s="751"/>
      <c r="F94" s="751"/>
      <c r="G94" s="751"/>
      <c r="H94" s="751"/>
      <c r="I94" s="751"/>
      <c r="J94" s="751"/>
      <c r="K94" s="751"/>
    </row>
    <row r="95" spans="1:11" ht="15" customHeight="1">
      <c r="A95" s="809"/>
      <c r="B95" s="806"/>
      <c r="C95" s="806"/>
      <c r="D95" s="806"/>
      <c r="E95" s="807"/>
      <c r="F95" s="807"/>
      <c r="G95" s="807"/>
      <c r="H95" s="803"/>
      <c r="I95" s="803"/>
      <c r="J95" s="803"/>
      <c r="K95" s="751"/>
    </row>
    <row r="96" spans="1:11" ht="15" customHeight="1">
      <c r="A96" s="809"/>
      <c r="B96" s="806"/>
      <c r="C96" s="806"/>
      <c r="D96" s="806"/>
      <c r="E96" s="807"/>
      <c r="F96" s="807"/>
      <c r="G96" s="807"/>
      <c r="H96" s="804"/>
      <c r="I96" s="804"/>
      <c r="J96" s="804"/>
      <c r="K96" s="812"/>
    </row>
    <row r="97" spans="1:11" ht="15" customHeight="1">
      <c r="A97" s="809"/>
      <c r="B97" s="806"/>
      <c r="C97" s="806"/>
      <c r="D97" s="806"/>
      <c r="E97" s="807"/>
      <c r="F97" s="807"/>
      <c r="G97" s="807"/>
      <c r="H97" s="804"/>
      <c r="I97" s="804"/>
      <c r="J97" s="804"/>
      <c r="K97" s="751"/>
    </row>
    <row r="98" spans="1:11" ht="15" customHeight="1">
      <c r="A98" s="809"/>
      <c r="B98" s="806"/>
      <c r="C98" s="806"/>
      <c r="D98" s="806"/>
      <c r="E98" s="807"/>
      <c r="F98" s="807"/>
      <c r="G98" s="807"/>
      <c r="H98" s="803"/>
      <c r="I98" s="803"/>
      <c r="J98" s="803"/>
      <c r="K98" s="812"/>
    </row>
    <row r="99" spans="1:11" ht="15" customHeight="1">
      <c r="A99" s="809"/>
      <c r="B99" s="806"/>
      <c r="C99" s="806"/>
      <c r="D99" s="806"/>
      <c r="E99" s="807"/>
      <c r="F99" s="807"/>
      <c r="G99" s="807"/>
      <c r="H99" s="803"/>
      <c r="I99" s="803"/>
      <c r="J99" s="803"/>
      <c r="K99" s="751"/>
    </row>
    <row r="100" spans="1:11" ht="15" customHeight="1">
      <c r="A100" s="809"/>
      <c r="B100" s="806"/>
      <c r="C100" s="806"/>
      <c r="D100" s="806"/>
      <c r="E100" s="807"/>
      <c r="F100" s="807"/>
      <c r="G100" s="807"/>
      <c r="H100" s="803"/>
      <c r="I100" s="803"/>
      <c r="J100" s="803"/>
      <c r="K100" s="812"/>
    </row>
    <row r="101" spans="1:11" ht="15" customHeight="1">
      <c r="A101" s="809"/>
      <c r="B101" s="806"/>
      <c r="C101" s="806"/>
      <c r="D101" s="806"/>
      <c r="E101" s="807"/>
      <c r="F101" s="807"/>
      <c r="G101" s="807"/>
      <c r="H101" s="803"/>
      <c r="I101" s="803"/>
      <c r="J101" s="803"/>
      <c r="K101" s="812"/>
    </row>
    <row r="102" spans="1:11" ht="15" customHeight="1">
      <c r="A102" s="809"/>
      <c r="B102" s="806"/>
      <c r="C102" s="806"/>
      <c r="D102" s="806"/>
      <c r="E102" s="807"/>
      <c r="F102" s="807"/>
      <c r="G102" s="807"/>
      <c r="H102" s="803"/>
      <c r="I102" s="803"/>
      <c r="J102" s="803"/>
      <c r="K102" s="812"/>
    </row>
    <row r="103" spans="1:11" ht="15" customHeight="1">
      <c r="A103" s="809"/>
      <c r="B103" s="806"/>
      <c r="C103" s="806"/>
      <c r="D103" s="806"/>
      <c r="E103" s="807"/>
      <c r="F103" s="807"/>
      <c r="G103" s="807"/>
      <c r="H103" s="803"/>
      <c r="I103" s="803"/>
      <c r="J103" s="803"/>
      <c r="K103" s="812"/>
    </row>
    <row r="104" spans="1:11" ht="15" customHeight="1">
      <c r="A104" s="809"/>
      <c r="B104" s="806"/>
      <c r="C104" s="806"/>
      <c r="D104" s="806"/>
      <c r="E104" s="807"/>
      <c r="F104" s="807"/>
      <c r="G104" s="807"/>
      <c r="H104" s="803"/>
      <c r="I104" s="803"/>
      <c r="J104" s="803"/>
      <c r="K104" s="812"/>
    </row>
    <row r="105" spans="1:11" ht="15" customHeight="1">
      <c r="A105" s="809"/>
      <c r="B105" s="806"/>
      <c r="C105" s="806"/>
      <c r="D105" s="806"/>
      <c r="E105" s="807"/>
      <c r="F105" s="807"/>
      <c r="G105" s="807"/>
      <c r="H105" s="803"/>
      <c r="I105" s="803"/>
      <c r="J105" s="803"/>
      <c r="K105" s="812"/>
    </row>
    <row r="106" spans="1:11" ht="15" customHeight="1">
      <c r="A106" s="809"/>
      <c r="B106" s="806"/>
      <c r="C106" s="806"/>
      <c r="D106" s="806"/>
      <c r="E106" s="807"/>
      <c r="F106" s="807"/>
      <c r="G106" s="807"/>
      <c r="H106" s="803"/>
      <c r="I106" s="803"/>
      <c r="J106" s="803"/>
      <c r="K106" s="812"/>
    </row>
    <row r="107" spans="1:11" ht="15" customHeight="1">
      <c r="A107" s="814"/>
      <c r="B107" s="814"/>
      <c r="C107" s="814"/>
      <c r="D107" s="814"/>
      <c r="E107" s="815"/>
      <c r="F107" s="815"/>
      <c r="G107" s="815"/>
      <c r="H107" s="814"/>
      <c r="I107" s="814"/>
      <c r="J107" s="814"/>
      <c r="K107" s="814"/>
    </row>
  </sheetData>
  <autoFilter ref="A5:CY43" xr:uid="{00000000-0009-0000-0000-00000A000000}"/>
  <mergeCells count="160">
    <mergeCell ref="EO4:EO5"/>
    <mergeCell ref="EP4:ER4"/>
    <mergeCell ref="CZ2:ES2"/>
    <mergeCell ref="CZ3:CZ5"/>
    <mergeCell ref="DA3:DA5"/>
    <mergeCell ref="DB3:DB5"/>
    <mergeCell ref="DC3:DC5"/>
    <mergeCell ref="DD3:DD5"/>
    <mergeCell ref="DE3:DE5"/>
    <mergeCell ref="DF3:DI3"/>
    <mergeCell ref="DJ3:EI3"/>
    <mergeCell ref="EJ3:EN3"/>
    <mergeCell ref="EO3:ES3"/>
    <mergeCell ref="DF4:DF5"/>
    <mergeCell ref="DG4:DG5"/>
    <mergeCell ref="DH4:DH5"/>
    <mergeCell ref="DI4:DI5"/>
    <mergeCell ref="DJ4:DJ5"/>
    <mergeCell ref="DK4:DL4"/>
    <mergeCell ref="DM4:DN4"/>
    <mergeCell ref="DO4:DU4"/>
    <mergeCell ref="DV4:EC4"/>
    <mergeCell ref="ED4:EI4"/>
    <mergeCell ref="EJ4:EJ5"/>
    <mergeCell ref="EK4:EK5"/>
    <mergeCell ref="EL4:EL5"/>
    <mergeCell ref="X38:X39"/>
    <mergeCell ref="P38:P39"/>
    <mergeCell ref="Q38:Q39"/>
    <mergeCell ref="R38:R39"/>
    <mergeCell ref="S38:S39"/>
    <mergeCell ref="T38:T39"/>
    <mergeCell ref="BL6:BL17"/>
    <mergeCell ref="BG6:BG17"/>
    <mergeCell ref="BG18:BG32"/>
    <mergeCell ref="BG33:BG34"/>
    <mergeCell ref="BG35:BG42"/>
    <mergeCell ref="BL35:BL42"/>
    <mergeCell ref="BR11:BR14"/>
    <mergeCell ref="BS11:BS14"/>
    <mergeCell ref="BT11:BT14"/>
    <mergeCell ref="BF2:BF5"/>
    <mergeCell ref="BG2:BG5"/>
    <mergeCell ref="AU3:AU5"/>
    <mergeCell ref="AV3:AV5"/>
    <mergeCell ref="AT2:AX2"/>
    <mergeCell ref="BH11:BH13"/>
    <mergeCell ref="BI11:BI14"/>
    <mergeCell ref="BE1:CX1"/>
    <mergeCell ref="BE2:BE5"/>
    <mergeCell ref="BH2:BH5"/>
    <mergeCell ref="BI2:BI5"/>
    <mergeCell ref="BJ2:BJ5"/>
    <mergeCell ref="BK2:BN2"/>
    <mergeCell ref="BO2:CN2"/>
    <mergeCell ref="CO2:CS2"/>
    <mergeCell ref="CT2:CX2"/>
    <mergeCell ref="BK3:BK5"/>
    <mergeCell ref="BL3:BL5"/>
    <mergeCell ref="BM3:BM5"/>
    <mergeCell ref="BN3:BN5"/>
    <mergeCell ref="BO3:BO5"/>
    <mergeCell ref="BP3:BQ3"/>
    <mergeCell ref="BR3:BS3"/>
    <mergeCell ref="CQ3:CQ5"/>
    <mergeCell ref="CT3:CT5"/>
    <mergeCell ref="CU3:CW3"/>
    <mergeCell ref="BT3:BZ3"/>
    <mergeCell ref="CA3:CH3"/>
    <mergeCell ref="CI3:CN3"/>
    <mergeCell ref="CO3:CO5"/>
    <mergeCell ref="CP3:CP5"/>
    <mergeCell ref="A35:A42"/>
    <mergeCell ref="B35:B38"/>
    <mergeCell ref="B40:B41"/>
    <mergeCell ref="A1:K2"/>
    <mergeCell ref="A3:K3"/>
    <mergeCell ref="L1:BC1"/>
    <mergeCell ref="P2:S2"/>
    <mergeCell ref="T2:AS2"/>
    <mergeCell ref="M2:M5"/>
    <mergeCell ref="N2:N5"/>
    <mergeCell ref="AZ3:BB3"/>
    <mergeCell ref="AY2:BC2"/>
    <mergeCell ref="AN3:AS3"/>
    <mergeCell ref="AT3:AT5"/>
    <mergeCell ref="AY3:AY5"/>
    <mergeCell ref="N10:N12"/>
    <mergeCell ref="P10:P12"/>
    <mergeCell ref="Q10:Q12"/>
    <mergeCell ref="Q3:Q5"/>
    <mergeCell ref="L2:L5"/>
    <mergeCell ref="D14:D15"/>
    <mergeCell ref="I22:I23"/>
    <mergeCell ref="G24:G25"/>
    <mergeCell ref="A33:A34"/>
    <mergeCell ref="A6:A17"/>
    <mergeCell ref="B6:B10"/>
    <mergeCell ref="B11:B16"/>
    <mergeCell ref="A18:A32"/>
    <mergeCell ref="B18:B22"/>
    <mergeCell ref="B23:B28"/>
    <mergeCell ref="B31:B32"/>
    <mergeCell ref="E24:E25"/>
    <mergeCell ref="F24:F25"/>
    <mergeCell ref="B29:B30"/>
    <mergeCell ref="C14:C15"/>
    <mergeCell ref="D16:D17"/>
    <mergeCell ref="C16:C17"/>
    <mergeCell ref="BN11:BN14"/>
    <mergeCell ref="BO11:BO14"/>
    <mergeCell ref="BP11:BP14"/>
    <mergeCell ref="BQ11:BQ14"/>
    <mergeCell ref="CV11:CV14"/>
    <mergeCell ref="CW11:CW14"/>
    <mergeCell ref="M10:M12"/>
    <mergeCell ref="P3:P5"/>
    <mergeCell ref="R3:R5"/>
    <mergeCell ref="S3:S5"/>
    <mergeCell ref="T3:T5"/>
    <mergeCell ref="U3:V3"/>
    <mergeCell ref="W3:X3"/>
    <mergeCell ref="Y3:AE3"/>
    <mergeCell ref="AF3:AM3"/>
    <mergeCell ref="O2:O5"/>
    <mergeCell ref="CX11:CX14"/>
    <mergeCell ref="CO11:CO14"/>
    <mergeCell ref="CP11:CP14"/>
    <mergeCell ref="CQ11:CQ14"/>
    <mergeCell ref="CR11:CR14"/>
    <mergeCell ref="CS11:CS14"/>
    <mergeCell ref="CJ11:CJ14"/>
    <mergeCell ref="CK11:CK14"/>
    <mergeCell ref="CL11:CL14"/>
    <mergeCell ref="CM11:CM14"/>
    <mergeCell ref="CN11:CN14"/>
    <mergeCell ref="C41:C42"/>
    <mergeCell ref="D41:D42"/>
    <mergeCell ref="BL18:BL32"/>
    <mergeCell ref="BL33:BL34"/>
    <mergeCell ref="CT11:CT14"/>
    <mergeCell ref="CU11:CU14"/>
    <mergeCell ref="CE11:CE14"/>
    <mergeCell ref="CF11:CF14"/>
    <mergeCell ref="CG11:CG14"/>
    <mergeCell ref="CH11:CH14"/>
    <mergeCell ref="CI11:CI14"/>
    <mergeCell ref="BZ11:BZ14"/>
    <mergeCell ref="CA11:CA14"/>
    <mergeCell ref="CB11:CB14"/>
    <mergeCell ref="CC11:CC14"/>
    <mergeCell ref="CD11:CD14"/>
    <mergeCell ref="BU11:BU14"/>
    <mergeCell ref="BV11:BV14"/>
    <mergeCell ref="BW11:BW14"/>
    <mergeCell ref="BX11:BX14"/>
    <mergeCell ref="BY11:BY14"/>
    <mergeCell ref="BJ11:BJ14"/>
    <mergeCell ref="BK11:BK14"/>
    <mergeCell ref="BM11:BM14"/>
  </mergeCells>
  <phoneticPr fontId="68" type="noConversion"/>
  <conditionalFormatting sqref="BF6">
    <cfRule type="cellIs" dxfId="323" priority="19" operator="between">
      <formula>0.81</formula>
      <formula>1</formula>
    </cfRule>
    <cfRule type="cellIs" dxfId="322" priority="20" operator="between">
      <formula>0.61</formula>
      <formula>0.8</formula>
    </cfRule>
    <cfRule type="cellIs" dxfId="321" priority="21" operator="between">
      <formula>0.31</formula>
      <formula>0.6</formula>
    </cfRule>
    <cfRule type="cellIs" dxfId="320" priority="22" operator="between">
      <formula>0</formula>
      <formula>0.3</formula>
    </cfRule>
  </conditionalFormatting>
  <conditionalFormatting sqref="BF7:BF43">
    <cfRule type="cellIs" dxfId="319" priority="15" operator="between">
      <formula>0.81</formula>
      <formula>1</formula>
    </cfRule>
    <cfRule type="cellIs" dxfId="318" priority="16" operator="between">
      <formula>0.61</formula>
      <formula>0.8</formula>
    </cfRule>
    <cfRule type="cellIs" dxfId="317" priority="17" operator="between">
      <formula>0.31</formula>
      <formula>0.6</formula>
    </cfRule>
    <cfRule type="cellIs" dxfId="316" priority="18" operator="between">
      <formula>0</formula>
      <formula>0.3</formula>
    </cfRule>
  </conditionalFormatting>
  <conditionalFormatting sqref="BG18 BG35 BG43">
    <cfRule type="cellIs" dxfId="315" priority="11" operator="between">
      <formula>0.81</formula>
      <formula>1</formula>
    </cfRule>
    <cfRule type="cellIs" dxfId="314" priority="12" operator="between">
      <formula>0.61</formula>
      <formula>0.8</formula>
    </cfRule>
    <cfRule type="cellIs" dxfId="313" priority="13" operator="between">
      <formula>0.31</formula>
      <formula>0.6</formula>
    </cfRule>
    <cfRule type="cellIs" dxfId="312" priority="14" operator="between">
      <formula>0</formula>
      <formula>0.3</formula>
    </cfRule>
  </conditionalFormatting>
  <conditionalFormatting sqref="BG6">
    <cfRule type="cellIs" dxfId="311" priority="7" operator="between">
      <formula>0.81</formula>
      <formula>1</formula>
    </cfRule>
    <cfRule type="cellIs" dxfId="310" priority="8" operator="between">
      <formula>0.61</formula>
      <formula>0.8</formula>
    </cfRule>
    <cfRule type="cellIs" dxfId="309" priority="9" operator="between">
      <formula>0.31</formula>
      <formula>0.6</formula>
    </cfRule>
    <cfRule type="cellIs" dxfId="308" priority="10" operator="between">
      <formula>0</formula>
      <formula>0.3</formula>
    </cfRule>
  </conditionalFormatting>
  <conditionalFormatting sqref="BG33">
    <cfRule type="cellIs" dxfId="307" priority="3" operator="between">
      <formula>0.81</formula>
      <formula>1</formula>
    </cfRule>
    <cfRule type="cellIs" dxfId="306" priority="4" operator="between">
      <formula>0.61</formula>
      <formula>0.8</formula>
    </cfRule>
    <cfRule type="cellIs" dxfId="305" priority="5" operator="between">
      <formula>0.31</formula>
      <formula>0.6</formula>
    </cfRule>
    <cfRule type="cellIs" dxfId="304" priority="6" operator="between">
      <formula>0</formula>
      <formula>0.3</formula>
    </cfRule>
  </conditionalFormatting>
  <conditionalFormatting sqref="BG33:BG34">
    <cfRule type="cellIs" dxfId="303" priority="1" operator="between">
      <formula>0.31</formula>
      <formula>0.6</formula>
    </cfRule>
    <cfRule type="cellIs" dxfId="302" priority="2" operator="between">
      <formula>0</formula>
      <formula>0.3</formula>
    </cfRule>
  </conditionalFormatting>
  <dataValidations count="1">
    <dataValidation type="list" allowBlank="1" showInputMessage="1" showErrorMessage="1" errorTitle="MENSAJE DE ERROR" error="NO VALIDO" promptTitle="TIPO DE INDICADOR" prompt="SELECCIONE UNA DE LAS  SIGUIENTES OPCIONES" sqref="F11:F43 F6:F9" xr:uid="{00000000-0002-0000-0A00-000000000000}">
      <formula1>#REF!</formula1>
    </dataValidation>
  </dataValidations>
  <pageMargins left="0.7" right="0.7" top="0.75" bottom="0.75" header="0.3" footer="0.3"/>
  <pageSetup paperSize="9" orientation="portrait" horizontalDpi="300" verticalDpi="3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2" tint="-0.89999084444715716"/>
  </sheetPr>
  <dimension ref="A1:EL1060"/>
  <sheetViews>
    <sheetView topLeftCell="BR89" zoomScale="80" zoomScaleNormal="80" workbookViewId="0">
      <selection activeCell="CF6" sqref="CF6:CF93"/>
    </sheetView>
  </sheetViews>
  <sheetFormatPr baseColWidth="10" defaultColWidth="11.42578125" defaultRowHeight="30" customHeight="1"/>
  <cols>
    <col min="1" max="1" width="28.42578125" style="592" customWidth="1"/>
    <col min="2" max="2" width="24.42578125" style="592" customWidth="1"/>
    <col min="3" max="3" width="23.85546875" style="592" customWidth="1"/>
    <col min="4" max="4" width="33.42578125" style="592" customWidth="1"/>
    <col min="5" max="7" width="14.42578125" style="592" customWidth="1"/>
    <col min="8" max="8" width="18.5703125" style="592" customWidth="1"/>
    <col min="9" max="9" width="21.42578125" style="592" customWidth="1"/>
    <col min="10" max="11" width="14.42578125" style="750" customWidth="1"/>
    <col min="12" max="12" width="71.42578125" style="712" customWidth="1"/>
    <col min="13" max="13" width="10.5703125" style="935" customWidth="1"/>
    <col min="14" max="14" width="15.42578125" style="592" customWidth="1"/>
    <col min="15" max="15" width="13.7109375" style="592" customWidth="1"/>
    <col min="16" max="16" width="15" style="592" customWidth="1"/>
    <col min="17" max="17" width="22" style="592" customWidth="1"/>
    <col min="18" max="19" width="15.42578125" style="592" customWidth="1"/>
    <col min="20" max="20" width="26.42578125" style="592" customWidth="1"/>
    <col min="21" max="21" width="24.7109375" style="592" customWidth="1"/>
    <col min="22" max="22" width="17.5703125" style="592" customWidth="1"/>
    <col min="23" max="23" width="22.5703125" style="592" customWidth="1"/>
    <col min="24" max="24" width="15.42578125" style="592" customWidth="1"/>
    <col min="25" max="25" width="19.140625" style="592" customWidth="1"/>
    <col min="26" max="26" width="16.5703125" style="592" customWidth="1"/>
    <col min="27" max="27" width="10.28515625" style="592" customWidth="1"/>
    <col min="28" max="28" width="16.7109375" style="592" customWidth="1"/>
    <col min="29" max="53" width="6.28515625" style="592" customWidth="1"/>
    <col min="54" max="54" width="22.140625" style="592" customWidth="1"/>
    <col min="55" max="55" width="24.28515625" style="592" customWidth="1"/>
    <col min="56" max="56" width="19.28515625" style="592" customWidth="1"/>
    <col min="57" max="57" width="25.140625" style="592" customWidth="1"/>
    <col min="58" max="58" width="23" style="592" customWidth="1"/>
    <col min="59" max="59" width="24.28515625" style="592" customWidth="1"/>
    <col min="60" max="60" width="13.7109375" style="592" customWidth="1"/>
    <col min="61" max="62" width="13.42578125" style="592" customWidth="1"/>
    <col min="63" max="63" width="33.7109375" style="592" customWidth="1"/>
    <col min="64" max="64" width="2.42578125" style="939" customWidth="1"/>
    <col min="65" max="65" width="20.140625" customWidth="1"/>
    <col min="66" max="66" width="21.5703125" customWidth="1"/>
    <col min="68" max="74" width="11.42578125" customWidth="1"/>
    <col min="80" max="80" width="17" customWidth="1"/>
    <col min="81" max="81" width="4.42578125" customWidth="1"/>
    <col min="82" max="82" width="4.7109375" customWidth="1"/>
    <col min="83" max="83" width="3.7109375" customWidth="1"/>
    <col min="84" max="84" width="32.42578125" customWidth="1"/>
    <col min="85" max="85" width="4.28515625" customWidth="1"/>
    <col min="86" max="86" width="4.85546875" customWidth="1"/>
    <col min="87" max="87" width="4.28515625" customWidth="1"/>
    <col min="89" max="89" width="23.42578125" customWidth="1"/>
    <col min="90" max="90" width="20.140625" customWidth="1"/>
    <col min="91" max="91" width="18.7109375" customWidth="1"/>
    <col min="92" max="92" width="18.140625" customWidth="1"/>
    <col min="93" max="93" width="20.85546875" customWidth="1"/>
    <col min="94" max="94" width="35.7109375" customWidth="1"/>
    <col min="96" max="96" width="16.5703125" customWidth="1"/>
    <col min="143" max="201" width="11.42578125" style="592"/>
    <col min="202" max="202" width="28.42578125" style="592" customWidth="1"/>
    <col min="203" max="203" width="24.42578125" style="592" customWidth="1"/>
    <col min="204" max="204" width="23.85546875" style="592" customWidth="1"/>
    <col min="205" max="205" width="33.42578125" style="592" customWidth="1"/>
    <col min="206" max="208" width="14.42578125" style="592" customWidth="1"/>
    <col min="209" max="209" width="18.5703125" style="592" customWidth="1"/>
    <col min="210" max="210" width="21.42578125" style="592" customWidth="1"/>
    <col min="211" max="211" width="14.42578125" style="592" customWidth="1"/>
    <col min="212" max="212" width="19.28515625" style="592" customWidth="1"/>
    <col min="213" max="213" width="18.5703125" style="592" customWidth="1"/>
    <col min="214" max="214" width="15.42578125" style="592" customWidth="1"/>
    <col min="215" max="215" width="13.7109375" style="592" customWidth="1"/>
    <col min="216" max="216" width="15" style="592" customWidth="1"/>
    <col min="217" max="217" width="22" style="592" customWidth="1"/>
    <col min="218" max="218" width="15.42578125" style="592" customWidth="1"/>
    <col min="219" max="457" width="11.42578125" style="592"/>
    <col min="458" max="458" width="28.42578125" style="592" customWidth="1"/>
    <col min="459" max="459" width="24.42578125" style="592" customWidth="1"/>
    <col min="460" max="460" width="23.85546875" style="592" customWidth="1"/>
    <col min="461" max="461" width="33.42578125" style="592" customWidth="1"/>
    <col min="462" max="464" width="14.42578125" style="592" customWidth="1"/>
    <col min="465" max="465" width="18.5703125" style="592" customWidth="1"/>
    <col min="466" max="466" width="21.42578125" style="592" customWidth="1"/>
    <col min="467" max="467" width="14.42578125" style="592" customWidth="1"/>
    <col min="468" max="468" width="19.28515625" style="592" customWidth="1"/>
    <col min="469" max="469" width="18.5703125" style="592" customWidth="1"/>
    <col min="470" max="470" width="15.42578125" style="592" customWidth="1"/>
    <col min="471" max="471" width="13.7109375" style="592" customWidth="1"/>
    <col min="472" max="472" width="15" style="592" customWidth="1"/>
    <col min="473" max="473" width="22" style="592" customWidth="1"/>
    <col min="474" max="474" width="15.42578125" style="592" customWidth="1"/>
    <col min="475" max="713" width="11.42578125" style="592"/>
    <col min="714" max="714" width="28.42578125" style="592" customWidth="1"/>
    <col min="715" max="715" width="24.42578125" style="592" customWidth="1"/>
    <col min="716" max="716" width="23.85546875" style="592" customWidth="1"/>
    <col min="717" max="717" width="33.42578125" style="592" customWidth="1"/>
    <col min="718" max="720" width="14.42578125" style="592" customWidth="1"/>
    <col min="721" max="721" width="18.5703125" style="592" customWidth="1"/>
    <col min="722" max="722" width="21.42578125" style="592" customWidth="1"/>
    <col min="723" max="723" width="14.42578125" style="592" customWidth="1"/>
    <col min="724" max="724" width="19.28515625" style="592" customWidth="1"/>
    <col min="725" max="725" width="18.5703125" style="592" customWidth="1"/>
    <col min="726" max="726" width="15.42578125" style="592" customWidth="1"/>
    <col min="727" max="727" width="13.7109375" style="592" customWidth="1"/>
    <col min="728" max="728" width="15" style="592" customWidth="1"/>
    <col min="729" max="729" width="22" style="592" customWidth="1"/>
    <col min="730" max="730" width="15.42578125" style="592" customWidth="1"/>
    <col min="731" max="969" width="11.42578125" style="592"/>
    <col min="970" max="970" width="28.42578125" style="592" customWidth="1"/>
    <col min="971" max="971" width="24.42578125" style="592" customWidth="1"/>
    <col min="972" max="972" width="23.85546875" style="592" customWidth="1"/>
    <col min="973" max="973" width="33.42578125" style="592" customWidth="1"/>
    <col min="974" max="976" width="14.42578125" style="592" customWidth="1"/>
    <col min="977" max="977" width="18.5703125" style="592" customWidth="1"/>
    <col min="978" max="978" width="21.42578125" style="592" customWidth="1"/>
    <col min="979" max="979" width="14.42578125" style="592" customWidth="1"/>
    <col min="980" max="980" width="19.28515625" style="592" customWidth="1"/>
    <col min="981" max="981" width="18.5703125" style="592" customWidth="1"/>
    <col min="982" max="982" width="15.42578125" style="592" customWidth="1"/>
    <col min="983" max="983" width="13.7109375" style="592" customWidth="1"/>
    <col min="984" max="984" width="15" style="592" customWidth="1"/>
    <col min="985" max="985" width="22" style="592" customWidth="1"/>
    <col min="986" max="986" width="15.42578125" style="592" customWidth="1"/>
    <col min="987" max="1225" width="11.42578125" style="592"/>
    <col min="1226" max="1226" width="28.42578125" style="592" customWidth="1"/>
    <col min="1227" max="1227" width="24.42578125" style="592" customWidth="1"/>
    <col min="1228" max="1228" width="23.85546875" style="592" customWidth="1"/>
    <col min="1229" max="1229" width="33.42578125" style="592" customWidth="1"/>
    <col min="1230" max="1232" width="14.42578125" style="592" customWidth="1"/>
    <col min="1233" max="1233" width="18.5703125" style="592" customWidth="1"/>
    <col min="1234" max="1234" width="21.42578125" style="592" customWidth="1"/>
    <col min="1235" max="1235" width="14.42578125" style="592" customWidth="1"/>
    <col min="1236" max="1236" width="19.28515625" style="592" customWidth="1"/>
    <col min="1237" max="1237" width="18.5703125" style="592" customWidth="1"/>
    <col min="1238" max="1238" width="15.42578125" style="592" customWidth="1"/>
    <col min="1239" max="1239" width="13.7109375" style="592" customWidth="1"/>
    <col min="1240" max="1240" width="15" style="592" customWidth="1"/>
    <col min="1241" max="1241" width="22" style="592" customWidth="1"/>
    <col min="1242" max="1242" width="15.42578125" style="592" customWidth="1"/>
    <col min="1243" max="1481" width="11.42578125" style="592"/>
    <col min="1482" max="1482" width="28.42578125" style="592" customWidth="1"/>
    <col min="1483" max="1483" width="24.42578125" style="592" customWidth="1"/>
    <col min="1484" max="1484" width="23.85546875" style="592" customWidth="1"/>
    <col min="1485" max="1485" width="33.42578125" style="592" customWidth="1"/>
    <col min="1486" max="1488" width="14.42578125" style="592" customWidth="1"/>
    <col min="1489" max="1489" width="18.5703125" style="592" customWidth="1"/>
    <col min="1490" max="1490" width="21.42578125" style="592" customWidth="1"/>
    <col min="1491" max="1491" width="14.42578125" style="592" customWidth="1"/>
    <col min="1492" max="1492" width="19.28515625" style="592" customWidth="1"/>
    <col min="1493" max="1493" width="18.5703125" style="592" customWidth="1"/>
    <col min="1494" max="1494" width="15.42578125" style="592" customWidth="1"/>
    <col min="1495" max="1495" width="13.7109375" style="592" customWidth="1"/>
    <col min="1496" max="1496" width="15" style="592" customWidth="1"/>
    <col min="1497" max="1497" width="22" style="592" customWidth="1"/>
    <col min="1498" max="1498" width="15.42578125" style="592" customWidth="1"/>
    <col min="1499" max="1737" width="11.42578125" style="592"/>
    <col min="1738" max="1738" width="28.42578125" style="592" customWidth="1"/>
    <col min="1739" max="1739" width="24.42578125" style="592" customWidth="1"/>
    <col min="1740" max="1740" width="23.85546875" style="592" customWidth="1"/>
    <col min="1741" max="1741" width="33.42578125" style="592" customWidth="1"/>
    <col min="1742" max="1744" width="14.42578125" style="592" customWidth="1"/>
    <col min="1745" max="1745" width="18.5703125" style="592" customWidth="1"/>
    <col min="1746" max="1746" width="21.42578125" style="592" customWidth="1"/>
    <col min="1747" max="1747" width="14.42578125" style="592" customWidth="1"/>
    <col min="1748" max="1748" width="19.28515625" style="592" customWidth="1"/>
    <col min="1749" max="1749" width="18.5703125" style="592" customWidth="1"/>
    <col min="1750" max="1750" width="15.42578125" style="592" customWidth="1"/>
    <col min="1751" max="1751" width="13.7109375" style="592" customWidth="1"/>
    <col min="1752" max="1752" width="15" style="592" customWidth="1"/>
    <col min="1753" max="1753" width="22" style="592" customWidth="1"/>
    <col min="1754" max="1754" width="15.42578125" style="592" customWidth="1"/>
    <col min="1755" max="1993" width="11.42578125" style="592"/>
    <col min="1994" max="1994" width="28.42578125" style="592" customWidth="1"/>
    <col min="1995" max="1995" width="24.42578125" style="592" customWidth="1"/>
    <col min="1996" max="1996" width="23.85546875" style="592" customWidth="1"/>
    <col min="1997" max="1997" width="33.42578125" style="592" customWidth="1"/>
    <col min="1998" max="2000" width="14.42578125" style="592" customWidth="1"/>
    <col min="2001" max="2001" width="18.5703125" style="592" customWidth="1"/>
    <col min="2002" max="2002" width="21.42578125" style="592" customWidth="1"/>
    <col min="2003" max="2003" width="14.42578125" style="592" customWidth="1"/>
    <col min="2004" max="2004" width="19.28515625" style="592" customWidth="1"/>
    <col min="2005" max="2005" width="18.5703125" style="592" customWidth="1"/>
    <col min="2006" max="2006" width="15.42578125" style="592" customWidth="1"/>
    <col min="2007" max="2007" width="13.7109375" style="592" customWidth="1"/>
    <col min="2008" max="2008" width="15" style="592" customWidth="1"/>
    <col min="2009" max="2009" width="22" style="592" customWidth="1"/>
    <col min="2010" max="2010" width="15.42578125" style="592" customWidth="1"/>
    <col min="2011" max="2249" width="11.42578125" style="592"/>
    <col min="2250" max="2250" width="28.42578125" style="592" customWidth="1"/>
    <col min="2251" max="2251" width="24.42578125" style="592" customWidth="1"/>
    <col min="2252" max="2252" width="23.85546875" style="592" customWidth="1"/>
    <col min="2253" max="2253" width="33.42578125" style="592" customWidth="1"/>
    <col min="2254" max="2256" width="14.42578125" style="592" customWidth="1"/>
    <col min="2257" max="2257" width="18.5703125" style="592" customWidth="1"/>
    <col min="2258" max="2258" width="21.42578125" style="592" customWidth="1"/>
    <col min="2259" max="2259" width="14.42578125" style="592" customWidth="1"/>
    <col min="2260" max="2260" width="19.28515625" style="592" customWidth="1"/>
    <col min="2261" max="2261" width="18.5703125" style="592" customWidth="1"/>
    <col min="2262" max="2262" width="15.42578125" style="592" customWidth="1"/>
    <col min="2263" max="2263" width="13.7109375" style="592" customWidth="1"/>
    <col min="2264" max="2264" width="15" style="592" customWidth="1"/>
    <col min="2265" max="2265" width="22" style="592" customWidth="1"/>
    <col min="2266" max="2266" width="15.42578125" style="592" customWidth="1"/>
    <col min="2267" max="2505" width="11.42578125" style="592"/>
    <col min="2506" max="2506" width="28.42578125" style="592" customWidth="1"/>
    <col min="2507" max="2507" width="24.42578125" style="592" customWidth="1"/>
    <col min="2508" max="2508" width="23.85546875" style="592" customWidth="1"/>
    <col min="2509" max="2509" width="33.42578125" style="592" customWidth="1"/>
    <col min="2510" max="2512" width="14.42578125" style="592" customWidth="1"/>
    <col min="2513" max="2513" width="18.5703125" style="592" customWidth="1"/>
    <col min="2514" max="2514" width="21.42578125" style="592" customWidth="1"/>
    <col min="2515" max="2515" width="14.42578125" style="592" customWidth="1"/>
    <col min="2516" max="2516" width="19.28515625" style="592" customWidth="1"/>
    <col min="2517" max="2517" width="18.5703125" style="592" customWidth="1"/>
    <col min="2518" max="2518" width="15.42578125" style="592" customWidth="1"/>
    <col min="2519" max="2519" width="13.7109375" style="592" customWidth="1"/>
    <col min="2520" max="2520" width="15" style="592" customWidth="1"/>
    <col min="2521" max="2521" width="22" style="592" customWidth="1"/>
    <col min="2522" max="2522" width="15.42578125" style="592" customWidth="1"/>
    <col min="2523" max="2761" width="11.42578125" style="592"/>
    <col min="2762" max="2762" width="28.42578125" style="592" customWidth="1"/>
    <col min="2763" max="2763" width="24.42578125" style="592" customWidth="1"/>
    <col min="2764" max="2764" width="23.85546875" style="592" customWidth="1"/>
    <col min="2765" max="2765" width="33.42578125" style="592" customWidth="1"/>
    <col min="2766" max="2768" width="14.42578125" style="592" customWidth="1"/>
    <col min="2769" max="2769" width="18.5703125" style="592" customWidth="1"/>
    <col min="2770" max="2770" width="21.42578125" style="592" customWidth="1"/>
    <col min="2771" max="2771" width="14.42578125" style="592" customWidth="1"/>
    <col min="2772" max="2772" width="19.28515625" style="592" customWidth="1"/>
    <col min="2773" max="2773" width="18.5703125" style="592" customWidth="1"/>
    <col min="2774" max="2774" width="15.42578125" style="592" customWidth="1"/>
    <col min="2775" max="2775" width="13.7109375" style="592" customWidth="1"/>
    <col min="2776" max="2776" width="15" style="592" customWidth="1"/>
    <col min="2777" max="2777" width="22" style="592" customWidth="1"/>
    <col min="2778" max="2778" width="15.42578125" style="592" customWidth="1"/>
    <col min="2779" max="3017" width="11.42578125" style="592"/>
    <col min="3018" max="3018" width="28.42578125" style="592" customWidth="1"/>
    <col min="3019" max="3019" width="24.42578125" style="592" customWidth="1"/>
    <col min="3020" max="3020" width="23.85546875" style="592" customWidth="1"/>
    <col min="3021" max="3021" width="33.42578125" style="592" customWidth="1"/>
    <col min="3022" max="3024" width="14.42578125" style="592" customWidth="1"/>
    <col min="3025" max="3025" width="18.5703125" style="592" customWidth="1"/>
    <col min="3026" max="3026" width="21.42578125" style="592" customWidth="1"/>
    <col min="3027" max="3027" width="14.42578125" style="592" customWidth="1"/>
    <col min="3028" max="3028" width="19.28515625" style="592" customWidth="1"/>
    <col min="3029" max="3029" width="18.5703125" style="592" customWidth="1"/>
    <col min="3030" max="3030" width="15.42578125" style="592" customWidth="1"/>
    <col min="3031" max="3031" width="13.7109375" style="592" customWidth="1"/>
    <col min="3032" max="3032" width="15" style="592" customWidth="1"/>
    <col min="3033" max="3033" width="22" style="592" customWidth="1"/>
    <col min="3034" max="3034" width="15.42578125" style="592" customWidth="1"/>
    <col min="3035" max="3273" width="11.42578125" style="592"/>
    <col min="3274" max="3274" width="28.42578125" style="592" customWidth="1"/>
    <col min="3275" max="3275" width="24.42578125" style="592" customWidth="1"/>
    <col min="3276" max="3276" width="23.85546875" style="592" customWidth="1"/>
    <col min="3277" max="3277" width="33.42578125" style="592" customWidth="1"/>
    <col min="3278" max="3280" width="14.42578125" style="592" customWidth="1"/>
    <col min="3281" max="3281" width="18.5703125" style="592" customWidth="1"/>
    <col min="3282" max="3282" width="21.42578125" style="592" customWidth="1"/>
    <col min="3283" max="3283" width="14.42578125" style="592" customWidth="1"/>
    <col min="3284" max="3284" width="19.28515625" style="592" customWidth="1"/>
    <col min="3285" max="3285" width="18.5703125" style="592" customWidth="1"/>
    <col min="3286" max="3286" width="15.42578125" style="592" customWidth="1"/>
    <col min="3287" max="3287" width="13.7109375" style="592" customWidth="1"/>
    <col min="3288" max="3288" width="15" style="592" customWidth="1"/>
    <col min="3289" max="3289" width="22" style="592" customWidth="1"/>
    <col min="3290" max="3290" width="15.42578125" style="592" customWidth="1"/>
    <col min="3291" max="3529" width="11.42578125" style="592"/>
    <col min="3530" max="3530" width="28.42578125" style="592" customWidth="1"/>
    <col min="3531" max="3531" width="24.42578125" style="592" customWidth="1"/>
    <col min="3532" max="3532" width="23.85546875" style="592" customWidth="1"/>
    <col min="3533" max="3533" width="33.42578125" style="592" customWidth="1"/>
    <col min="3534" max="3536" width="14.42578125" style="592" customWidth="1"/>
    <col min="3537" max="3537" width="18.5703125" style="592" customWidth="1"/>
    <col min="3538" max="3538" width="21.42578125" style="592" customWidth="1"/>
    <col min="3539" max="3539" width="14.42578125" style="592" customWidth="1"/>
    <col min="3540" max="3540" width="19.28515625" style="592" customWidth="1"/>
    <col min="3541" max="3541" width="18.5703125" style="592" customWidth="1"/>
    <col min="3542" max="3542" width="15.42578125" style="592" customWidth="1"/>
    <col min="3543" max="3543" width="13.7109375" style="592" customWidth="1"/>
    <col min="3544" max="3544" width="15" style="592" customWidth="1"/>
    <col min="3545" max="3545" width="22" style="592" customWidth="1"/>
    <col min="3546" max="3546" width="15.42578125" style="592" customWidth="1"/>
    <col min="3547" max="3785" width="11.42578125" style="592"/>
    <col min="3786" max="3786" width="28.42578125" style="592" customWidth="1"/>
    <col min="3787" max="3787" width="24.42578125" style="592" customWidth="1"/>
    <col min="3788" max="3788" width="23.85546875" style="592" customWidth="1"/>
    <col min="3789" max="3789" width="33.42578125" style="592" customWidth="1"/>
    <col min="3790" max="3792" width="14.42578125" style="592" customWidth="1"/>
    <col min="3793" max="3793" width="18.5703125" style="592" customWidth="1"/>
    <col min="3794" max="3794" width="21.42578125" style="592" customWidth="1"/>
    <col min="3795" max="3795" width="14.42578125" style="592" customWidth="1"/>
    <col min="3796" max="3796" width="19.28515625" style="592" customWidth="1"/>
    <col min="3797" max="3797" width="18.5703125" style="592" customWidth="1"/>
    <col min="3798" max="3798" width="15.42578125" style="592" customWidth="1"/>
    <col min="3799" max="3799" width="13.7109375" style="592" customWidth="1"/>
    <col min="3800" max="3800" width="15" style="592" customWidth="1"/>
    <col min="3801" max="3801" width="22" style="592" customWidth="1"/>
    <col min="3802" max="3802" width="15.42578125" style="592" customWidth="1"/>
    <col min="3803" max="4041" width="11.42578125" style="592"/>
    <col min="4042" max="4042" width="28.42578125" style="592" customWidth="1"/>
    <col min="4043" max="4043" width="24.42578125" style="592" customWidth="1"/>
    <col min="4044" max="4044" width="23.85546875" style="592" customWidth="1"/>
    <col min="4045" max="4045" width="33.42578125" style="592" customWidth="1"/>
    <col min="4046" max="4048" width="14.42578125" style="592" customWidth="1"/>
    <col min="4049" max="4049" width="18.5703125" style="592" customWidth="1"/>
    <col min="4050" max="4050" width="21.42578125" style="592" customWidth="1"/>
    <col min="4051" max="4051" width="14.42578125" style="592" customWidth="1"/>
    <col min="4052" max="4052" width="19.28515625" style="592" customWidth="1"/>
    <col min="4053" max="4053" width="18.5703125" style="592" customWidth="1"/>
    <col min="4054" max="4054" width="15.42578125" style="592" customWidth="1"/>
    <col min="4055" max="4055" width="13.7109375" style="592" customWidth="1"/>
    <col min="4056" max="4056" width="15" style="592" customWidth="1"/>
    <col min="4057" max="4057" width="22" style="592" customWidth="1"/>
    <col min="4058" max="4058" width="15.42578125" style="592" customWidth="1"/>
    <col min="4059" max="4297" width="11.42578125" style="592"/>
    <col min="4298" max="4298" width="28.42578125" style="592" customWidth="1"/>
    <col min="4299" max="4299" width="24.42578125" style="592" customWidth="1"/>
    <col min="4300" max="4300" width="23.85546875" style="592" customWidth="1"/>
    <col min="4301" max="4301" width="33.42578125" style="592" customWidth="1"/>
    <col min="4302" max="4304" width="14.42578125" style="592" customWidth="1"/>
    <col min="4305" max="4305" width="18.5703125" style="592" customWidth="1"/>
    <col min="4306" max="4306" width="21.42578125" style="592" customWidth="1"/>
    <col min="4307" max="4307" width="14.42578125" style="592" customWidth="1"/>
    <col min="4308" max="4308" width="19.28515625" style="592" customWidth="1"/>
    <col min="4309" max="4309" width="18.5703125" style="592" customWidth="1"/>
    <col min="4310" max="4310" width="15.42578125" style="592" customWidth="1"/>
    <col min="4311" max="4311" width="13.7109375" style="592" customWidth="1"/>
    <col min="4312" max="4312" width="15" style="592" customWidth="1"/>
    <col min="4313" max="4313" width="22" style="592" customWidth="1"/>
    <col min="4314" max="4314" width="15.42578125" style="592" customWidth="1"/>
    <col min="4315" max="4553" width="11.42578125" style="592"/>
    <col min="4554" max="4554" width="28.42578125" style="592" customWidth="1"/>
    <col min="4555" max="4555" width="24.42578125" style="592" customWidth="1"/>
    <col min="4556" max="4556" width="23.85546875" style="592" customWidth="1"/>
    <col min="4557" max="4557" width="33.42578125" style="592" customWidth="1"/>
    <col min="4558" max="4560" width="14.42578125" style="592" customWidth="1"/>
    <col min="4561" max="4561" width="18.5703125" style="592" customWidth="1"/>
    <col min="4562" max="4562" width="21.42578125" style="592" customWidth="1"/>
    <col min="4563" max="4563" width="14.42578125" style="592" customWidth="1"/>
    <col min="4564" max="4564" width="19.28515625" style="592" customWidth="1"/>
    <col min="4565" max="4565" width="18.5703125" style="592" customWidth="1"/>
    <col min="4566" max="4566" width="15.42578125" style="592" customWidth="1"/>
    <col min="4567" max="4567" width="13.7109375" style="592" customWidth="1"/>
    <col min="4568" max="4568" width="15" style="592" customWidth="1"/>
    <col min="4569" max="4569" width="22" style="592" customWidth="1"/>
    <col min="4570" max="4570" width="15.42578125" style="592" customWidth="1"/>
    <col min="4571" max="4809" width="11.42578125" style="592"/>
    <col min="4810" max="4810" width="28.42578125" style="592" customWidth="1"/>
    <col min="4811" max="4811" width="24.42578125" style="592" customWidth="1"/>
    <col min="4812" max="4812" width="23.85546875" style="592" customWidth="1"/>
    <col min="4813" max="4813" width="33.42578125" style="592" customWidth="1"/>
    <col min="4814" max="4816" width="14.42578125" style="592" customWidth="1"/>
    <col min="4817" max="4817" width="18.5703125" style="592" customWidth="1"/>
    <col min="4818" max="4818" width="21.42578125" style="592" customWidth="1"/>
    <col min="4819" max="4819" width="14.42578125" style="592" customWidth="1"/>
    <col min="4820" max="4820" width="19.28515625" style="592" customWidth="1"/>
    <col min="4821" max="4821" width="18.5703125" style="592" customWidth="1"/>
    <col min="4822" max="4822" width="15.42578125" style="592" customWidth="1"/>
    <col min="4823" max="4823" width="13.7109375" style="592" customWidth="1"/>
    <col min="4824" max="4824" width="15" style="592" customWidth="1"/>
    <col min="4825" max="4825" width="22" style="592" customWidth="1"/>
    <col min="4826" max="4826" width="15.42578125" style="592" customWidth="1"/>
    <col min="4827" max="5065" width="11.42578125" style="592"/>
    <col min="5066" max="5066" width="28.42578125" style="592" customWidth="1"/>
    <col min="5067" max="5067" width="24.42578125" style="592" customWidth="1"/>
    <col min="5068" max="5068" width="23.85546875" style="592" customWidth="1"/>
    <col min="5069" max="5069" width="33.42578125" style="592" customWidth="1"/>
    <col min="5070" max="5072" width="14.42578125" style="592" customWidth="1"/>
    <col min="5073" max="5073" width="18.5703125" style="592" customWidth="1"/>
    <col min="5074" max="5074" width="21.42578125" style="592" customWidth="1"/>
    <col min="5075" max="5075" width="14.42578125" style="592" customWidth="1"/>
    <col min="5076" max="5076" width="19.28515625" style="592" customWidth="1"/>
    <col min="5077" max="5077" width="18.5703125" style="592" customWidth="1"/>
    <col min="5078" max="5078" width="15.42578125" style="592" customWidth="1"/>
    <col min="5079" max="5079" width="13.7109375" style="592" customWidth="1"/>
    <col min="5080" max="5080" width="15" style="592" customWidth="1"/>
    <col min="5081" max="5081" width="22" style="592" customWidth="1"/>
    <col min="5082" max="5082" width="15.42578125" style="592" customWidth="1"/>
    <col min="5083" max="5321" width="11.42578125" style="592"/>
    <col min="5322" max="5322" width="28.42578125" style="592" customWidth="1"/>
    <col min="5323" max="5323" width="24.42578125" style="592" customWidth="1"/>
    <col min="5324" max="5324" width="23.85546875" style="592" customWidth="1"/>
    <col min="5325" max="5325" width="33.42578125" style="592" customWidth="1"/>
    <col min="5326" max="5328" width="14.42578125" style="592" customWidth="1"/>
    <col min="5329" max="5329" width="18.5703125" style="592" customWidth="1"/>
    <col min="5330" max="5330" width="21.42578125" style="592" customWidth="1"/>
    <col min="5331" max="5331" width="14.42578125" style="592" customWidth="1"/>
    <col min="5332" max="5332" width="19.28515625" style="592" customWidth="1"/>
    <col min="5333" max="5333" width="18.5703125" style="592" customWidth="1"/>
    <col min="5334" max="5334" width="15.42578125" style="592" customWidth="1"/>
    <col min="5335" max="5335" width="13.7109375" style="592" customWidth="1"/>
    <col min="5336" max="5336" width="15" style="592" customWidth="1"/>
    <col min="5337" max="5337" width="22" style="592" customWidth="1"/>
    <col min="5338" max="5338" width="15.42578125" style="592" customWidth="1"/>
    <col min="5339" max="5577" width="11.42578125" style="592"/>
    <col min="5578" max="5578" width="28.42578125" style="592" customWidth="1"/>
    <col min="5579" max="5579" width="24.42578125" style="592" customWidth="1"/>
    <col min="5580" max="5580" width="23.85546875" style="592" customWidth="1"/>
    <col min="5581" max="5581" width="33.42578125" style="592" customWidth="1"/>
    <col min="5582" max="5584" width="14.42578125" style="592" customWidth="1"/>
    <col min="5585" max="5585" width="18.5703125" style="592" customWidth="1"/>
    <col min="5586" max="5586" width="21.42578125" style="592" customWidth="1"/>
    <col min="5587" max="5587" width="14.42578125" style="592" customWidth="1"/>
    <col min="5588" max="5588" width="19.28515625" style="592" customWidth="1"/>
    <col min="5589" max="5589" width="18.5703125" style="592" customWidth="1"/>
    <col min="5590" max="5590" width="15.42578125" style="592" customWidth="1"/>
    <col min="5591" max="5591" width="13.7109375" style="592" customWidth="1"/>
    <col min="5592" max="5592" width="15" style="592" customWidth="1"/>
    <col min="5593" max="5593" width="22" style="592" customWidth="1"/>
    <col min="5594" max="5594" width="15.42578125" style="592" customWidth="1"/>
    <col min="5595" max="5833" width="11.42578125" style="592"/>
    <col min="5834" max="5834" width="28.42578125" style="592" customWidth="1"/>
    <col min="5835" max="5835" width="24.42578125" style="592" customWidth="1"/>
    <col min="5836" max="5836" width="23.85546875" style="592" customWidth="1"/>
    <col min="5837" max="5837" width="33.42578125" style="592" customWidth="1"/>
    <col min="5838" max="5840" width="14.42578125" style="592" customWidth="1"/>
    <col min="5841" max="5841" width="18.5703125" style="592" customWidth="1"/>
    <col min="5842" max="5842" width="21.42578125" style="592" customWidth="1"/>
    <col min="5843" max="5843" width="14.42578125" style="592" customWidth="1"/>
    <col min="5844" max="5844" width="19.28515625" style="592" customWidth="1"/>
    <col min="5845" max="5845" width="18.5703125" style="592" customWidth="1"/>
    <col min="5846" max="5846" width="15.42578125" style="592" customWidth="1"/>
    <col min="5847" max="5847" width="13.7109375" style="592" customWidth="1"/>
    <col min="5848" max="5848" width="15" style="592" customWidth="1"/>
    <col min="5849" max="5849" width="22" style="592" customWidth="1"/>
    <col min="5850" max="5850" width="15.42578125" style="592" customWidth="1"/>
    <col min="5851" max="6089" width="11.42578125" style="592"/>
    <col min="6090" max="6090" width="28.42578125" style="592" customWidth="1"/>
    <col min="6091" max="6091" width="24.42578125" style="592" customWidth="1"/>
    <col min="6092" max="6092" width="23.85546875" style="592" customWidth="1"/>
    <col min="6093" max="6093" width="33.42578125" style="592" customWidth="1"/>
    <col min="6094" max="6096" width="14.42578125" style="592" customWidth="1"/>
    <col min="6097" max="6097" width="18.5703125" style="592" customWidth="1"/>
    <col min="6098" max="6098" width="21.42578125" style="592" customWidth="1"/>
    <col min="6099" max="6099" width="14.42578125" style="592" customWidth="1"/>
    <col min="6100" max="6100" width="19.28515625" style="592" customWidth="1"/>
    <col min="6101" max="6101" width="18.5703125" style="592" customWidth="1"/>
    <col min="6102" max="6102" width="15.42578125" style="592" customWidth="1"/>
    <col min="6103" max="6103" width="13.7109375" style="592" customWidth="1"/>
    <col min="6104" max="6104" width="15" style="592" customWidth="1"/>
    <col min="6105" max="6105" width="22" style="592" customWidth="1"/>
    <col min="6106" max="6106" width="15.42578125" style="592" customWidth="1"/>
    <col min="6107" max="6345" width="11.42578125" style="592"/>
    <col min="6346" max="6346" width="28.42578125" style="592" customWidth="1"/>
    <col min="6347" max="6347" width="24.42578125" style="592" customWidth="1"/>
    <col min="6348" max="6348" width="23.85546875" style="592" customWidth="1"/>
    <col min="6349" max="6349" width="33.42578125" style="592" customWidth="1"/>
    <col min="6350" max="6352" width="14.42578125" style="592" customWidth="1"/>
    <col min="6353" max="6353" width="18.5703125" style="592" customWidth="1"/>
    <col min="6354" max="6354" width="21.42578125" style="592" customWidth="1"/>
    <col min="6355" max="6355" width="14.42578125" style="592" customWidth="1"/>
    <col min="6356" max="6356" width="19.28515625" style="592" customWidth="1"/>
    <col min="6357" max="6357" width="18.5703125" style="592" customWidth="1"/>
    <col min="6358" max="6358" width="15.42578125" style="592" customWidth="1"/>
    <col min="6359" max="6359" width="13.7109375" style="592" customWidth="1"/>
    <col min="6360" max="6360" width="15" style="592" customWidth="1"/>
    <col min="6361" max="6361" width="22" style="592" customWidth="1"/>
    <col min="6362" max="6362" width="15.42578125" style="592" customWidth="1"/>
    <col min="6363" max="6601" width="11.42578125" style="592"/>
    <col min="6602" max="6602" width="28.42578125" style="592" customWidth="1"/>
    <col min="6603" max="6603" width="24.42578125" style="592" customWidth="1"/>
    <col min="6604" max="6604" width="23.85546875" style="592" customWidth="1"/>
    <col min="6605" max="6605" width="33.42578125" style="592" customWidth="1"/>
    <col min="6606" max="6608" width="14.42578125" style="592" customWidth="1"/>
    <col min="6609" max="6609" width="18.5703125" style="592" customWidth="1"/>
    <col min="6610" max="6610" width="21.42578125" style="592" customWidth="1"/>
    <col min="6611" max="6611" width="14.42578125" style="592" customWidth="1"/>
    <col min="6612" max="6612" width="19.28515625" style="592" customWidth="1"/>
    <col min="6613" max="6613" width="18.5703125" style="592" customWidth="1"/>
    <col min="6614" max="6614" width="15.42578125" style="592" customWidth="1"/>
    <col min="6615" max="6615" width="13.7109375" style="592" customWidth="1"/>
    <col min="6616" max="6616" width="15" style="592" customWidth="1"/>
    <col min="6617" max="6617" width="22" style="592" customWidth="1"/>
    <col min="6618" max="6618" width="15.42578125" style="592" customWidth="1"/>
    <col min="6619" max="6857" width="11.42578125" style="592"/>
    <col min="6858" max="6858" width="28.42578125" style="592" customWidth="1"/>
    <col min="6859" max="6859" width="24.42578125" style="592" customWidth="1"/>
    <col min="6860" max="6860" width="23.85546875" style="592" customWidth="1"/>
    <col min="6861" max="6861" width="33.42578125" style="592" customWidth="1"/>
    <col min="6862" max="6864" width="14.42578125" style="592" customWidth="1"/>
    <col min="6865" max="6865" width="18.5703125" style="592" customWidth="1"/>
    <col min="6866" max="6866" width="21.42578125" style="592" customWidth="1"/>
    <col min="6867" max="6867" width="14.42578125" style="592" customWidth="1"/>
    <col min="6868" max="6868" width="19.28515625" style="592" customWidth="1"/>
    <col min="6869" max="6869" width="18.5703125" style="592" customWidth="1"/>
    <col min="6870" max="6870" width="15.42578125" style="592" customWidth="1"/>
    <col min="6871" max="6871" width="13.7109375" style="592" customWidth="1"/>
    <col min="6872" max="6872" width="15" style="592" customWidth="1"/>
    <col min="6873" max="6873" width="22" style="592" customWidth="1"/>
    <col min="6874" max="6874" width="15.42578125" style="592" customWidth="1"/>
    <col min="6875" max="7113" width="11.42578125" style="592"/>
    <col min="7114" max="7114" width="28.42578125" style="592" customWidth="1"/>
    <col min="7115" max="7115" width="24.42578125" style="592" customWidth="1"/>
    <col min="7116" max="7116" width="23.85546875" style="592" customWidth="1"/>
    <col min="7117" max="7117" width="33.42578125" style="592" customWidth="1"/>
    <col min="7118" max="7120" width="14.42578125" style="592" customWidth="1"/>
    <col min="7121" max="7121" width="18.5703125" style="592" customWidth="1"/>
    <col min="7122" max="7122" width="21.42578125" style="592" customWidth="1"/>
    <col min="7123" max="7123" width="14.42578125" style="592" customWidth="1"/>
    <col min="7124" max="7124" width="19.28515625" style="592" customWidth="1"/>
    <col min="7125" max="7125" width="18.5703125" style="592" customWidth="1"/>
    <col min="7126" max="7126" width="15.42578125" style="592" customWidth="1"/>
    <col min="7127" max="7127" width="13.7109375" style="592" customWidth="1"/>
    <col min="7128" max="7128" width="15" style="592" customWidth="1"/>
    <col min="7129" max="7129" width="22" style="592" customWidth="1"/>
    <col min="7130" max="7130" width="15.42578125" style="592" customWidth="1"/>
    <col min="7131" max="7369" width="11.42578125" style="592"/>
    <col min="7370" max="7370" width="28.42578125" style="592" customWidth="1"/>
    <col min="7371" max="7371" width="24.42578125" style="592" customWidth="1"/>
    <col min="7372" max="7372" width="23.85546875" style="592" customWidth="1"/>
    <col min="7373" max="7373" width="33.42578125" style="592" customWidth="1"/>
    <col min="7374" max="7376" width="14.42578125" style="592" customWidth="1"/>
    <col min="7377" max="7377" width="18.5703125" style="592" customWidth="1"/>
    <col min="7378" max="7378" width="21.42578125" style="592" customWidth="1"/>
    <col min="7379" max="7379" width="14.42578125" style="592" customWidth="1"/>
    <col min="7380" max="7380" width="19.28515625" style="592" customWidth="1"/>
    <col min="7381" max="7381" width="18.5703125" style="592" customWidth="1"/>
    <col min="7382" max="7382" width="15.42578125" style="592" customWidth="1"/>
    <col min="7383" max="7383" width="13.7109375" style="592" customWidth="1"/>
    <col min="7384" max="7384" width="15" style="592" customWidth="1"/>
    <col min="7385" max="7385" width="22" style="592" customWidth="1"/>
    <col min="7386" max="7386" width="15.42578125" style="592" customWidth="1"/>
    <col min="7387" max="7625" width="11.42578125" style="592"/>
    <col min="7626" max="7626" width="28.42578125" style="592" customWidth="1"/>
    <col min="7627" max="7627" width="24.42578125" style="592" customWidth="1"/>
    <col min="7628" max="7628" width="23.85546875" style="592" customWidth="1"/>
    <col min="7629" max="7629" width="33.42578125" style="592" customWidth="1"/>
    <col min="7630" max="7632" width="14.42578125" style="592" customWidth="1"/>
    <col min="7633" max="7633" width="18.5703125" style="592" customWidth="1"/>
    <col min="7634" max="7634" width="21.42578125" style="592" customWidth="1"/>
    <col min="7635" max="7635" width="14.42578125" style="592" customWidth="1"/>
    <col min="7636" max="7636" width="19.28515625" style="592" customWidth="1"/>
    <col min="7637" max="7637" width="18.5703125" style="592" customWidth="1"/>
    <col min="7638" max="7638" width="15.42578125" style="592" customWidth="1"/>
    <col min="7639" max="7639" width="13.7109375" style="592" customWidth="1"/>
    <col min="7640" max="7640" width="15" style="592" customWidth="1"/>
    <col min="7641" max="7641" width="22" style="592" customWidth="1"/>
    <col min="7642" max="7642" width="15.42578125" style="592" customWidth="1"/>
    <col min="7643" max="7881" width="11.42578125" style="592"/>
    <col min="7882" max="7882" width="28.42578125" style="592" customWidth="1"/>
    <col min="7883" max="7883" width="24.42578125" style="592" customWidth="1"/>
    <col min="7884" max="7884" width="23.85546875" style="592" customWidth="1"/>
    <col min="7885" max="7885" width="33.42578125" style="592" customWidth="1"/>
    <col min="7886" max="7888" width="14.42578125" style="592" customWidth="1"/>
    <col min="7889" max="7889" width="18.5703125" style="592" customWidth="1"/>
    <col min="7890" max="7890" width="21.42578125" style="592" customWidth="1"/>
    <col min="7891" max="7891" width="14.42578125" style="592" customWidth="1"/>
    <col min="7892" max="7892" width="19.28515625" style="592" customWidth="1"/>
    <col min="7893" max="7893" width="18.5703125" style="592" customWidth="1"/>
    <col min="7894" max="7894" width="15.42578125" style="592" customWidth="1"/>
    <col min="7895" max="7895" width="13.7109375" style="592" customWidth="1"/>
    <col min="7896" max="7896" width="15" style="592" customWidth="1"/>
    <col min="7897" max="7897" width="22" style="592" customWidth="1"/>
    <col min="7898" max="7898" width="15.42578125" style="592" customWidth="1"/>
    <col min="7899" max="8137" width="11.42578125" style="592"/>
    <col min="8138" max="8138" width="28.42578125" style="592" customWidth="1"/>
    <col min="8139" max="8139" width="24.42578125" style="592" customWidth="1"/>
    <col min="8140" max="8140" width="23.85546875" style="592" customWidth="1"/>
    <col min="8141" max="8141" width="33.42578125" style="592" customWidth="1"/>
    <col min="8142" max="8144" width="14.42578125" style="592" customWidth="1"/>
    <col min="8145" max="8145" width="18.5703125" style="592" customWidth="1"/>
    <col min="8146" max="8146" width="21.42578125" style="592" customWidth="1"/>
    <col min="8147" max="8147" width="14.42578125" style="592" customWidth="1"/>
    <col min="8148" max="8148" width="19.28515625" style="592" customWidth="1"/>
    <col min="8149" max="8149" width="18.5703125" style="592" customWidth="1"/>
    <col min="8150" max="8150" width="15.42578125" style="592" customWidth="1"/>
    <col min="8151" max="8151" width="13.7109375" style="592" customWidth="1"/>
    <col min="8152" max="8152" width="15" style="592" customWidth="1"/>
    <col min="8153" max="8153" width="22" style="592" customWidth="1"/>
    <col min="8154" max="8154" width="15.42578125" style="592" customWidth="1"/>
    <col min="8155" max="8393" width="11.42578125" style="592"/>
    <col min="8394" max="8394" width="28.42578125" style="592" customWidth="1"/>
    <col min="8395" max="8395" width="24.42578125" style="592" customWidth="1"/>
    <col min="8396" max="8396" width="23.85546875" style="592" customWidth="1"/>
    <col min="8397" max="8397" width="33.42578125" style="592" customWidth="1"/>
    <col min="8398" max="8400" width="14.42578125" style="592" customWidth="1"/>
    <col min="8401" max="8401" width="18.5703125" style="592" customWidth="1"/>
    <col min="8402" max="8402" width="21.42578125" style="592" customWidth="1"/>
    <col min="8403" max="8403" width="14.42578125" style="592" customWidth="1"/>
    <col min="8404" max="8404" width="19.28515625" style="592" customWidth="1"/>
    <col min="8405" max="8405" width="18.5703125" style="592" customWidth="1"/>
    <col min="8406" max="8406" width="15.42578125" style="592" customWidth="1"/>
    <col min="8407" max="8407" width="13.7109375" style="592" customWidth="1"/>
    <col min="8408" max="8408" width="15" style="592" customWidth="1"/>
    <col min="8409" max="8409" width="22" style="592" customWidth="1"/>
    <col min="8410" max="8410" width="15.42578125" style="592" customWidth="1"/>
    <col min="8411" max="8649" width="11.42578125" style="592"/>
    <col min="8650" max="8650" width="28.42578125" style="592" customWidth="1"/>
    <col min="8651" max="8651" width="24.42578125" style="592" customWidth="1"/>
    <col min="8652" max="8652" width="23.85546875" style="592" customWidth="1"/>
    <col min="8653" max="8653" width="33.42578125" style="592" customWidth="1"/>
    <col min="8654" max="8656" width="14.42578125" style="592" customWidth="1"/>
    <col min="8657" max="8657" width="18.5703125" style="592" customWidth="1"/>
    <col min="8658" max="8658" width="21.42578125" style="592" customWidth="1"/>
    <col min="8659" max="8659" width="14.42578125" style="592" customWidth="1"/>
    <col min="8660" max="8660" width="19.28515625" style="592" customWidth="1"/>
    <col min="8661" max="8661" width="18.5703125" style="592" customWidth="1"/>
    <col min="8662" max="8662" width="15.42578125" style="592" customWidth="1"/>
    <col min="8663" max="8663" width="13.7109375" style="592" customWidth="1"/>
    <col min="8664" max="8664" width="15" style="592" customWidth="1"/>
    <col min="8665" max="8665" width="22" style="592" customWidth="1"/>
    <col min="8666" max="8666" width="15.42578125" style="592" customWidth="1"/>
    <col min="8667" max="8905" width="11.42578125" style="592"/>
    <col min="8906" max="8906" width="28.42578125" style="592" customWidth="1"/>
    <col min="8907" max="8907" width="24.42578125" style="592" customWidth="1"/>
    <col min="8908" max="8908" width="23.85546875" style="592" customWidth="1"/>
    <col min="8909" max="8909" width="33.42578125" style="592" customWidth="1"/>
    <col min="8910" max="8912" width="14.42578125" style="592" customWidth="1"/>
    <col min="8913" max="8913" width="18.5703125" style="592" customWidth="1"/>
    <col min="8914" max="8914" width="21.42578125" style="592" customWidth="1"/>
    <col min="8915" max="8915" width="14.42578125" style="592" customWidth="1"/>
    <col min="8916" max="8916" width="19.28515625" style="592" customWidth="1"/>
    <col min="8917" max="8917" width="18.5703125" style="592" customWidth="1"/>
    <col min="8918" max="8918" width="15.42578125" style="592" customWidth="1"/>
    <col min="8919" max="8919" width="13.7109375" style="592" customWidth="1"/>
    <col min="8920" max="8920" width="15" style="592" customWidth="1"/>
    <col min="8921" max="8921" width="22" style="592" customWidth="1"/>
    <col min="8922" max="8922" width="15.42578125" style="592" customWidth="1"/>
    <col min="8923" max="9161" width="11.42578125" style="592"/>
    <col min="9162" max="9162" width="28.42578125" style="592" customWidth="1"/>
    <col min="9163" max="9163" width="24.42578125" style="592" customWidth="1"/>
    <col min="9164" max="9164" width="23.85546875" style="592" customWidth="1"/>
    <col min="9165" max="9165" width="33.42578125" style="592" customWidth="1"/>
    <col min="9166" max="9168" width="14.42578125" style="592" customWidth="1"/>
    <col min="9169" max="9169" width="18.5703125" style="592" customWidth="1"/>
    <col min="9170" max="9170" width="21.42578125" style="592" customWidth="1"/>
    <col min="9171" max="9171" width="14.42578125" style="592" customWidth="1"/>
    <col min="9172" max="9172" width="19.28515625" style="592" customWidth="1"/>
    <col min="9173" max="9173" width="18.5703125" style="592" customWidth="1"/>
    <col min="9174" max="9174" width="15.42578125" style="592" customWidth="1"/>
    <col min="9175" max="9175" width="13.7109375" style="592" customWidth="1"/>
    <col min="9176" max="9176" width="15" style="592" customWidth="1"/>
    <col min="9177" max="9177" width="22" style="592" customWidth="1"/>
    <col min="9178" max="9178" width="15.42578125" style="592" customWidth="1"/>
    <col min="9179" max="9417" width="11.42578125" style="592"/>
    <col min="9418" max="9418" width="28.42578125" style="592" customWidth="1"/>
    <col min="9419" max="9419" width="24.42578125" style="592" customWidth="1"/>
    <col min="9420" max="9420" width="23.85546875" style="592" customWidth="1"/>
    <col min="9421" max="9421" width="33.42578125" style="592" customWidth="1"/>
    <col min="9422" max="9424" width="14.42578125" style="592" customWidth="1"/>
    <col min="9425" max="9425" width="18.5703125" style="592" customWidth="1"/>
    <col min="9426" max="9426" width="21.42578125" style="592" customWidth="1"/>
    <col min="9427" max="9427" width="14.42578125" style="592" customWidth="1"/>
    <col min="9428" max="9428" width="19.28515625" style="592" customWidth="1"/>
    <col min="9429" max="9429" width="18.5703125" style="592" customWidth="1"/>
    <col min="9430" max="9430" width="15.42578125" style="592" customWidth="1"/>
    <col min="9431" max="9431" width="13.7109375" style="592" customWidth="1"/>
    <col min="9432" max="9432" width="15" style="592" customWidth="1"/>
    <col min="9433" max="9433" width="22" style="592" customWidth="1"/>
    <col min="9434" max="9434" width="15.42578125" style="592" customWidth="1"/>
    <col min="9435" max="9673" width="11.42578125" style="592"/>
    <col min="9674" max="9674" width="28.42578125" style="592" customWidth="1"/>
    <col min="9675" max="9675" width="24.42578125" style="592" customWidth="1"/>
    <col min="9676" max="9676" width="23.85546875" style="592" customWidth="1"/>
    <col min="9677" max="9677" width="33.42578125" style="592" customWidth="1"/>
    <col min="9678" max="9680" width="14.42578125" style="592" customWidth="1"/>
    <col min="9681" max="9681" width="18.5703125" style="592" customWidth="1"/>
    <col min="9682" max="9682" width="21.42578125" style="592" customWidth="1"/>
    <col min="9683" max="9683" width="14.42578125" style="592" customWidth="1"/>
    <col min="9684" max="9684" width="19.28515625" style="592" customWidth="1"/>
    <col min="9685" max="9685" width="18.5703125" style="592" customWidth="1"/>
    <col min="9686" max="9686" width="15.42578125" style="592" customWidth="1"/>
    <col min="9687" max="9687" width="13.7109375" style="592" customWidth="1"/>
    <col min="9688" max="9688" width="15" style="592" customWidth="1"/>
    <col min="9689" max="9689" width="22" style="592" customWidth="1"/>
    <col min="9690" max="9690" width="15.42578125" style="592" customWidth="1"/>
    <col min="9691" max="9929" width="11.42578125" style="592"/>
    <col min="9930" max="9930" width="28.42578125" style="592" customWidth="1"/>
    <col min="9931" max="9931" width="24.42578125" style="592" customWidth="1"/>
    <col min="9932" max="9932" width="23.85546875" style="592" customWidth="1"/>
    <col min="9933" max="9933" width="33.42578125" style="592" customWidth="1"/>
    <col min="9934" max="9936" width="14.42578125" style="592" customWidth="1"/>
    <col min="9937" max="9937" width="18.5703125" style="592" customWidth="1"/>
    <col min="9938" max="9938" width="21.42578125" style="592" customWidth="1"/>
    <col min="9939" max="9939" width="14.42578125" style="592" customWidth="1"/>
    <col min="9940" max="9940" width="19.28515625" style="592" customWidth="1"/>
    <col min="9941" max="9941" width="18.5703125" style="592" customWidth="1"/>
    <col min="9942" max="9942" width="15.42578125" style="592" customWidth="1"/>
    <col min="9943" max="9943" width="13.7109375" style="592" customWidth="1"/>
    <col min="9944" max="9944" width="15" style="592" customWidth="1"/>
    <col min="9945" max="9945" width="22" style="592" customWidth="1"/>
    <col min="9946" max="9946" width="15.42578125" style="592" customWidth="1"/>
    <col min="9947" max="10185" width="11.42578125" style="592"/>
    <col min="10186" max="10186" width="28.42578125" style="592" customWidth="1"/>
    <col min="10187" max="10187" width="24.42578125" style="592" customWidth="1"/>
    <col min="10188" max="10188" width="23.85546875" style="592" customWidth="1"/>
    <col min="10189" max="10189" width="33.42578125" style="592" customWidth="1"/>
    <col min="10190" max="10192" width="14.42578125" style="592" customWidth="1"/>
    <col min="10193" max="10193" width="18.5703125" style="592" customWidth="1"/>
    <col min="10194" max="10194" width="21.42578125" style="592" customWidth="1"/>
    <col min="10195" max="10195" width="14.42578125" style="592" customWidth="1"/>
    <col min="10196" max="10196" width="19.28515625" style="592" customWidth="1"/>
    <col min="10197" max="10197" width="18.5703125" style="592" customWidth="1"/>
    <col min="10198" max="10198" width="15.42578125" style="592" customWidth="1"/>
    <col min="10199" max="10199" width="13.7109375" style="592" customWidth="1"/>
    <col min="10200" max="10200" width="15" style="592" customWidth="1"/>
    <col min="10201" max="10201" width="22" style="592" customWidth="1"/>
    <col min="10202" max="10202" width="15.42578125" style="592" customWidth="1"/>
    <col min="10203" max="10441" width="11.42578125" style="592"/>
    <col min="10442" max="10442" width="28.42578125" style="592" customWidth="1"/>
    <col min="10443" max="10443" width="24.42578125" style="592" customWidth="1"/>
    <col min="10444" max="10444" width="23.85546875" style="592" customWidth="1"/>
    <col min="10445" max="10445" width="33.42578125" style="592" customWidth="1"/>
    <col min="10446" max="10448" width="14.42578125" style="592" customWidth="1"/>
    <col min="10449" max="10449" width="18.5703125" style="592" customWidth="1"/>
    <col min="10450" max="10450" width="21.42578125" style="592" customWidth="1"/>
    <col min="10451" max="10451" width="14.42578125" style="592" customWidth="1"/>
    <col min="10452" max="10452" width="19.28515625" style="592" customWidth="1"/>
    <col min="10453" max="10453" width="18.5703125" style="592" customWidth="1"/>
    <col min="10454" max="10454" width="15.42578125" style="592" customWidth="1"/>
    <col min="10455" max="10455" width="13.7109375" style="592" customWidth="1"/>
    <col min="10456" max="10456" width="15" style="592" customWidth="1"/>
    <col min="10457" max="10457" width="22" style="592" customWidth="1"/>
    <col min="10458" max="10458" width="15.42578125" style="592" customWidth="1"/>
    <col min="10459" max="10697" width="11.42578125" style="592"/>
    <col min="10698" max="10698" width="28.42578125" style="592" customWidth="1"/>
    <col min="10699" max="10699" width="24.42578125" style="592" customWidth="1"/>
    <col min="10700" max="10700" width="23.85546875" style="592" customWidth="1"/>
    <col min="10701" max="10701" width="33.42578125" style="592" customWidth="1"/>
    <col min="10702" max="10704" width="14.42578125" style="592" customWidth="1"/>
    <col min="10705" max="10705" width="18.5703125" style="592" customWidth="1"/>
    <col min="10706" max="10706" width="21.42578125" style="592" customWidth="1"/>
    <col min="10707" max="10707" width="14.42578125" style="592" customWidth="1"/>
    <col min="10708" max="10708" width="19.28515625" style="592" customWidth="1"/>
    <col min="10709" max="10709" width="18.5703125" style="592" customWidth="1"/>
    <col min="10710" max="10710" width="15.42578125" style="592" customWidth="1"/>
    <col min="10711" max="10711" width="13.7109375" style="592" customWidth="1"/>
    <col min="10712" max="10712" width="15" style="592" customWidth="1"/>
    <col min="10713" max="10713" width="22" style="592" customWidth="1"/>
    <col min="10714" max="10714" width="15.42578125" style="592" customWidth="1"/>
    <col min="10715" max="10953" width="11.42578125" style="592"/>
    <col min="10954" max="10954" width="28.42578125" style="592" customWidth="1"/>
    <col min="10955" max="10955" width="24.42578125" style="592" customWidth="1"/>
    <col min="10956" max="10956" width="23.85546875" style="592" customWidth="1"/>
    <col min="10957" max="10957" width="33.42578125" style="592" customWidth="1"/>
    <col min="10958" max="10960" width="14.42578125" style="592" customWidth="1"/>
    <col min="10961" max="10961" width="18.5703125" style="592" customWidth="1"/>
    <col min="10962" max="10962" width="21.42578125" style="592" customWidth="1"/>
    <col min="10963" max="10963" width="14.42578125" style="592" customWidth="1"/>
    <col min="10964" max="10964" width="19.28515625" style="592" customWidth="1"/>
    <col min="10965" max="10965" width="18.5703125" style="592" customWidth="1"/>
    <col min="10966" max="10966" width="15.42578125" style="592" customWidth="1"/>
    <col min="10967" max="10967" width="13.7109375" style="592" customWidth="1"/>
    <col min="10968" max="10968" width="15" style="592" customWidth="1"/>
    <col min="10969" max="10969" width="22" style="592" customWidth="1"/>
    <col min="10970" max="10970" width="15.42578125" style="592" customWidth="1"/>
    <col min="10971" max="11209" width="11.42578125" style="592"/>
    <col min="11210" max="11210" width="28.42578125" style="592" customWidth="1"/>
    <col min="11211" max="11211" width="24.42578125" style="592" customWidth="1"/>
    <col min="11212" max="11212" width="23.85546875" style="592" customWidth="1"/>
    <col min="11213" max="11213" width="33.42578125" style="592" customWidth="1"/>
    <col min="11214" max="11216" width="14.42578125" style="592" customWidth="1"/>
    <col min="11217" max="11217" width="18.5703125" style="592" customWidth="1"/>
    <col min="11218" max="11218" width="21.42578125" style="592" customWidth="1"/>
    <col min="11219" max="11219" width="14.42578125" style="592" customWidth="1"/>
    <col min="11220" max="11220" width="19.28515625" style="592" customWidth="1"/>
    <col min="11221" max="11221" width="18.5703125" style="592" customWidth="1"/>
    <col min="11222" max="11222" width="15.42578125" style="592" customWidth="1"/>
    <col min="11223" max="11223" width="13.7109375" style="592" customWidth="1"/>
    <col min="11224" max="11224" width="15" style="592" customWidth="1"/>
    <col min="11225" max="11225" width="22" style="592" customWidth="1"/>
    <col min="11226" max="11226" width="15.42578125" style="592" customWidth="1"/>
    <col min="11227" max="11465" width="11.42578125" style="592"/>
    <col min="11466" max="11466" width="28.42578125" style="592" customWidth="1"/>
    <col min="11467" max="11467" width="24.42578125" style="592" customWidth="1"/>
    <col min="11468" max="11468" width="23.85546875" style="592" customWidth="1"/>
    <col min="11469" max="11469" width="33.42578125" style="592" customWidth="1"/>
    <col min="11470" max="11472" width="14.42578125" style="592" customWidth="1"/>
    <col min="11473" max="11473" width="18.5703125" style="592" customWidth="1"/>
    <col min="11474" max="11474" width="21.42578125" style="592" customWidth="1"/>
    <col min="11475" max="11475" width="14.42578125" style="592" customWidth="1"/>
    <col min="11476" max="11476" width="19.28515625" style="592" customWidth="1"/>
    <col min="11477" max="11477" width="18.5703125" style="592" customWidth="1"/>
    <col min="11478" max="11478" width="15.42578125" style="592" customWidth="1"/>
    <col min="11479" max="11479" width="13.7109375" style="592" customWidth="1"/>
    <col min="11480" max="11480" width="15" style="592" customWidth="1"/>
    <col min="11481" max="11481" width="22" style="592" customWidth="1"/>
    <col min="11482" max="11482" width="15.42578125" style="592" customWidth="1"/>
    <col min="11483" max="11721" width="11.42578125" style="592"/>
    <col min="11722" max="11722" width="28.42578125" style="592" customWidth="1"/>
    <col min="11723" max="11723" width="24.42578125" style="592" customWidth="1"/>
    <col min="11724" max="11724" width="23.85546875" style="592" customWidth="1"/>
    <col min="11725" max="11725" width="33.42578125" style="592" customWidth="1"/>
    <col min="11726" max="11728" width="14.42578125" style="592" customWidth="1"/>
    <col min="11729" max="11729" width="18.5703125" style="592" customWidth="1"/>
    <col min="11730" max="11730" width="21.42578125" style="592" customWidth="1"/>
    <col min="11731" max="11731" width="14.42578125" style="592" customWidth="1"/>
    <col min="11732" max="11732" width="19.28515625" style="592" customWidth="1"/>
    <col min="11733" max="11733" width="18.5703125" style="592" customWidth="1"/>
    <col min="11734" max="11734" width="15.42578125" style="592" customWidth="1"/>
    <col min="11735" max="11735" width="13.7109375" style="592" customWidth="1"/>
    <col min="11736" max="11736" width="15" style="592" customWidth="1"/>
    <col min="11737" max="11737" width="22" style="592" customWidth="1"/>
    <col min="11738" max="11738" width="15.42578125" style="592" customWidth="1"/>
    <col min="11739" max="11977" width="11.42578125" style="592"/>
    <col min="11978" max="11978" width="28.42578125" style="592" customWidth="1"/>
    <col min="11979" max="11979" width="24.42578125" style="592" customWidth="1"/>
    <col min="11980" max="11980" width="23.85546875" style="592" customWidth="1"/>
    <col min="11981" max="11981" width="33.42578125" style="592" customWidth="1"/>
    <col min="11982" max="11984" width="14.42578125" style="592" customWidth="1"/>
    <col min="11985" max="11985" width="18.5703125" style="592" customWidth="1"/>
    <col min="11986" max="11986" width="21.42578125" style="592" customWidth="1"/>
    <col min="11987" max="11987" width="14.42578125" style="592" customWidth="1"/>
    <col min="11988" max="11988" width="19.28515625" style="592" customWidth="1"/>
    <col min="11989" max="11989" width="18.5703125" style="592" customWidth="1"/>
    <col min="11990" max="11990" width="15.42578125" style="592" customWidth="1"/>
    <col min="11991" max="11991" width="13.7109375" style="592" customWidth="1"/>
    <col min="11992" max="11992" width="15" style="592" customWidth="1"/>
    <col min="11993" max="11993" width="22" style="592" customWidth="1"/>
    <col min="11994" max="11994" width="15.42578125" style="592" customWidth="1"/>
    <col min="11995" max="12233" width="11.42578125" style="592"/>
    <col min="12234" max="12234" width="28.42578125" style="592" customWidth="1"/>
    <col min="12235" max="12235" width="24.42578125" style="592" customWidth="1"/>
    <col min="12236" max="12236" width="23.85546875" style="592" customWidth="1"/>
    <col min="12237" max="12237" width="33.42578125" style="592" customWidth="1"/>
    <col min="12238" max="12240" width="14.42578125" style="592" customWidth="1"/>
    <col min="12241" max="12241" width="18.5703125" style="592" customWidth="1"/>
    <col min="12242" max="12242" width="21.42578125" style="592" customWidth="1"/>
    <col min="12243" max="12243" width="14.42578125" style="592" customWidth="1"/>
    <col min="12244" max="12244" width="19.28515625" style="592" customWidth="1"/>
    <col min="12245" max="12245" width="18.5703125" style="592" customWidth="1"/>
    <col min="12246" max="12246" width="15.42578125" style="592" customWidth="1"/>
    <col min="12247" max="12247" width="13.7109375" style="592" customWidth="1"/>
    <col min="12248" max="12248" width="15" style="592" customWidth="1"/>
    <col min="12249" max="12249" width="22" style="592" customWidth="1"/>
    <col min="12250" max="12250" width="15.42578125" style="592" customWidth="1"/>
    <col min="12251" max="12489" width="11.42578125" style="592"/>
    <col min="12490" max="12490" width="28.42578125" style="592" customWidth="1"/>
    <col min="12491" max="12491" width="24.42578125" style="592" customWidth="1"/>
    <col min="12492" max="12492" width="23.85546875" style="592" customWidth="1"/>
    <col min="12493" max="12493" width="33.42578125" style="592" customWidth="1"/>
    <col min="12494" max="12496" width="14.42578125" style="592" customWidth="1"/>
    <col min="12497" max="12497" width="18.5703125" style="592" customWidth="1"/>
    <col min="12498" max="12498" width="21.42578125" style="592" customWidth="1"/>
    <col min="12499" max="12499" width="14.42578125" style="592" customWidth="1"/>
    <col min="12500" max="12500" width="19.28515625" style="592" customWidth="1"/>
    <col min="12501" max="12501" width="18.5703125" style="592" customWidth="1"/>
    <col min="12502" max="12502" width="15.42578125" style="592" customWidth="1"/>
    <col min="12503" max="12503" width="13.7109375" style="592" customWidth="1"/>
    <col min="12504" max="12504" width="15" style="592" customWidth="1"/>
    <col min="12505" max="12505" width="22" style="592" customWidth="1"/>
    <col min="12506" max="12506" width="15.42578125" style="592" customWidth="1"/>
    <col min="12507" max="12745" width="11.42578125" style="592"/>
    <col min="12746" max="12746" width="28.42578125" style="592" customWidth="1"/>
    <col min="12747" max="12747" width="24.42578125" style="592" customWidth="1"/>
    <col min="12748" max="12748" width="23.85546875" style="592" customWidth="1"/>
    <col min="12749" max="12749" width="33.42578125" style="592" customWidth="1"/>
    <col min="12750" max="12752" width="14.42578125" style="592" customWidth="1"/>
    <col min="12753" max="12753" width="18.5703125" style="592" customWidth="1"/>
    <col min="12754" max="12754" width="21.42578125" style="592" customWidth="1"/>
    <col min="12755" max="12755" width="14.42578125" style="592" customWidth="1"/>
    <col min="12756" max="12756" width="19.28515625" style="592" customWidth="1"/>
    <col min="12757" max="12757" width="18.5703125" style="592" customWidth="1"/>
    <col min="12758" max="12758" width="15.42578125" style="592" customWidth="1"/>
    <col min="12759" max="12759" width="13.7109375" style="592" customWidth="1"/>
    <col min="12760" max="12760" width="15" style="592" customWidth="1"/>
    <col min="12761" max="12761" width="22" style="592" customWidth="1"/>
    <col min="12762" max="12762" width="15.42578125" style="592" customWidth="1"/>
    <col min="12763" max="13001" width="11.42578125" style="592"/>
    <col min="13002" max="13002" width="28.42578125" style="592" customWidth="1"/>
    <col min="13003" max="13003" width="24.42578125" style="592" customWidth="1"/>
    <col min="13004" max="13004" width="23.85546875" style="592" customWidth="1"/>
    <col min="13005" max="13005" width="33.42578125" style="592" customWidth="1"/>
    <col min="13006" max="13008" width="14.42578125" style="592" customWidth="1"/>
    <col min="13009" max="13009" width="18.5703125" style="592" customWidth="1"/>
    <col min="13010" max="13010" width="21.42578125" style="592" customWidth="1"/>
    <col min="13011" max="13011" width="14.42578125" style="592" customWidth="1"/>
    <col min="13012" max="13012" width="19.28515625" style="592" customWidth="1"/>
    <col min="13013" max="13013" width="18.5703125" style="592" customWidth="1"/>
    <col min="13014" max="13014" width="15.42578125" style="592" customWidth="1"/>
    <col min="13015" max="13015" width="13.7109375" style="592" customWidth="1"/>
    <col min="13016" max="13016" width="15" style="592" customWidth="1"/>
    <col min="13017" max="13017" width="22" style="592" customWidth="1"/>
    <col min="13018" max="13018" width="15.42578125" style="592" customWidth="1"/>
    <col min="13019" max="13257" width="11.42578125" style="592"/>
    <col min="13258" max="13258" width="28.42578125" style="592" customWidth="1"/>
    <col min="13259" max="13259" width="24.42578125" style="592" customWidth="1"/>
    <col min="13260" max="13260" width="23.85546875" style="592" customWidth="1"/>
    <col min="13261" max="13261" width="33.42578125" style="592" customWidth="1"/>
    <col min="13262" max="13264" width="14.42578125" style="592" customWidth="1"/>
    <col min="13265" max="13265" width="18.5703125" style="592" customWidth="1"/>
    <col min="13266" max="13266" width="21.42578125" style="592" customWidth="1"/>
    <col min="13267" max="13267" width="14.42578125" style="592" customWidth="1"/>
    <col min="13268" max="13268" width="19.28515625" style="592" customWidth="1"/>
    <col min="13269" max="13269" width="18.5703125" style="592" customWidth="1"/>
    <col min="13270" max="13270" width="15.42578125" style="592" customWidth="1"/>
    <col min="13271" max="13271" width="13.7109375" style="592" customWidth="1"/>
    <col min="13272" max="13272" width="15" style="592" customWidth="1"/>
    <col min="13273" max="13273" width="22" style="592" customWidth="1"/>
    <col min="13274" max="13274" width="15.42578125" style="592" customWidth="1"/>
    <col min="13275" max="13513" width="11.42578125" style="592"/>
    <col min="13514" max="13514" width="28.42578125" style="592" customWidth="1"/>
    <col min="13515" max="13515" width="24.42578125" style="592" customWidth="1"/>
    <col min="13516" max="13516" width="23.85546875" style="592" customWidth="1"/>
    <col min="13517" max="13517" width="33.42578125" style="592" customWidth="1"/>
    <col min="13518" max="13520" width="14.42578125" style="592" customWidth="1"/>
    <col min="13521" max="13521" width="18.5703125" style="592" customWidth="1"/>
    <col min="13522" max="13522" width="21.42578125" style="592" customWidth="1"/>
    <col min="13523" max="13523" width="14.42578125" style="592" customWidth="1"/>
    <col min="13524" max="13524" width="19.28515625" style="592" customWidth="1"/>
    <col min="13525" max="13525" width="18.5703125" style="592" customWidth="1"/>
    <col min="13526" max="13526" width="15.42578125" style="592" customWidth="1"/>
    <col min="13527" max="13527" width="13.7109375" style="592" customWidth="1"/>
    <col min="13528" max="13528" width="15" style="592" customWidth="1"/>
    <col min="13529" max="13529" width="22" style="592" customWidth="1"/>
    <col min="13530" max="13530" width="15.42578125" style="592" customWidth="1"/>
    <col min="13531" max="13769" width="11.42578125" style="592"/>
    <col min="13770" max="13770" width="28.42578125" style="592" customWidth="1"/>
    <col min="13771" max="13771" width="24.42578125" style="592" customWidth="1"/>
    <col min="13772" max="13772" width="23.85546875" style="592" customWidth="1"/>
    <col min="13773" max="13773" width="33.42578125" style="592" customWidth="1"/>
    <col min="13774" max="13776" width="14.42578125" style="592" customWidth="1"/>
    <col min="13777" max="13777" width="18.5703125" style="592" customWidth="1"/>
    <col min="13778" max="13778" width="21.42578125" style="592" customWidth="1"/>
    <col min="13779" max="13779" width="14.42578125" style="592" customWidth="1"/>
    <col min="13780" max="13780" width="19.28515625" style="592" customWidth="1"/>
    <col min="13781" max="13781" width="18.5703125" style="592" customWidth="1"/>
    <col min="13782" max="13782" width="15.42578125" style="592" customWidth="1"/>
    <col min="13783" max="13783" width="13.7109375" style="592" customWidth="1"/>
    <col min="13784" max="13784" width="15" style="592" customWidth="1"/>
    <col min="13785" max="13785" width="22" style="592" customWidth="1"/>
    <col min="13786" max="13786" width="15.42578125" style="592" customWidth="1"/>
    <col min="13787" max="14025" width="11.42578125" style="592"/>
    <col min="14026" max="14026" width="28.42578125" style="592" customWidth="1"/>
    <col min="14027" max="14027" width="24.42578125" style="592" customWidth="1"/>
    <col min="14028" max="14028" width="23.85546875" style="592" customWidth="1"/>
    <col min="14029" max="14029" width="33.42578125" style="592" customWidth="1"/>
    <col min="14030" max="14032" width="14.42578125" style="592" customWidth="1"/>
    <col min="14033" max="14033" width="18.5703125" style="592" customWidth="1"/>
    <col min="14034" max="14034" width="21.42578125" style="592" customWidth="1"/>
    <col min="14035" max="14035" width="14.42578125" style="592" customWidth="1"/>
    <col min="14036" max="14036" width="19.28515625" style="592" customWidth="1"/>
    <col min="14037" max="14037" width="18.5703125" style="592" customWidth="1"/>
    <col min="14038" max="14038" width="15.42578125" style="592" customWidth="1"/>
    <col min="14039" max="14039" width="13.7109375" style="592" customWidth="1"/>
    <col min="14040" max="14040" width="15" style="592" customWidth="1"/>
    <col min="14041" max="14041" width="22" style="592" customWidth="1"/>
    <col min="14042" max="14042" width="15.42578125" style="592" customWidth="1"/>
    <col min="14043" max="14281" width="11.42578125" style="592"/>
    <col min="14282" max="14282" width="28.42578125" style="592" customWidth="1"/>
    <col min="14283" max="14283" width="24.42578125" style="592" customWidth="1"/>
    <col min="14284" max="14284" width="23.85546875" style="592" customWidth="1"/>
    <col min="14285" max="14285" width="33.42578125" style="592" customWidth="1"/>
    <col min="14286" max="14288" width="14.42578125" style="592" customWidth="1"/>
    <col min="14289" max="14289" width="18.5703125" style="592" customWidth="1"/>
    <col min="14290" max="14290" width="21.42578125" style="592" customWidth="1"/>
    <col min="14291" max="14291" width="14.42578125" style="592" customWidth="1"/>
    <col min="14292" max="14292" width="19.28515625" style="592" customWidth="1"/>
    <col min="14293" max="14293" width="18.5703125" style="592" customWidth="1"/>
    <col min="14294" max="14294" width="15.42578125" style="592" customWidth="1"/>
    <col min="14295" max="14295" width="13.7109375" style="592" customWidth="1"/>
    <col min="14296" max="14296" width="15" style="592" customWidth="1"/>
    <col min="14297" max="14297" width="22" style="592" customWidth="1"/>
    <col min="14298" max="14298" width="15.42578125" style="592" customWidth="1"/>
    <col min="14299" max="14537" width="11.42578125" style="592"/>
    <col min="14538" max="14538" width="28.42578125" style="592" customWidth="1"/>
    <col min="14539" max="14539" width="24.42578125" style="592" customWidth="1"/>
    <col min="14540" max="14540" width="23.85546875" style="592" customWidth="1"/>
    <col min="14541" max="14541" width="33.42578125" style="592" customWidth="1"/>
    <col min="14542" max="14544" width="14.42578125" style="592" customWidth="1"/>
    <col min="14545" max="14545" width="18.5703125" style="592" customWidth="1"/>
    <col min="14546" max="14546" width="21.42578125" style="592" customWidth="1"/>
    <col min="14547" max="14547" width="14.42578125" style="592" customWidth="1"/>
    <col min="14548" max="14548" width="19.28515625" style="592" customWidth="1"/>
    <col min="14549" max="14549" width="18.5703125" style="592" customWidth="1"/>
    <col min="14550" max="14550" width="15.42578125" style="592" customWidth="1"/>
    <col min="14551" max="14551" width="13.7109375" style="592" customWidth="1"/>
    <col min="14552" max="14552" width="15" style="592" customWidth="1"/>
    <col min="14553" max="14553" width="22" style="592" customWidth="1"/>
    <col min="14554" max="14554" width="15.42578125" style="592" customWidth="1"/>
    <col min="14555" max="14793" width="11.42578125" style="592"/>
    <col min="14794" max="14794" width="28.42578125" style="592" customWidth="1"/>
    <col min="14795" max="14795" width="24.42578125" style="592" customWidth="1"/>
    <col min="14796" max="14796" width="23.85546875" style="592" customWidth="1"/>
    <col min="14797" max="14797" width="33.42578125" style="592" customWidth="1"/>
    <col min="14798" max="14800" width="14.42578125" style="592" customWidth="1"/>
    <col min="14801" max="14801" width="18.5703125" style="592" customWidth="1"/>
    <col min="14802" max="14802" width="21.42578125" style="592" customWidth="1"/>
    <col min="14803" max="14803" width="14.42578125" style="592" customWidth="1"/>
    <col min="14804" max="14804" width="19.28515625" style="592" customWidth="1"/>
    <col min="14805" max="14805" width="18.5703125" style="592" customWidth="1"/>
    <col min="14806" max="14806" width="15.42578125" style="592" customWidth="1"/>
    <col min="14807" max="14807" width="13.7109375" style="592" customWidth="1"/>
    <col min="14808" max="14808" width="15" style="592" customWidth="1"/>
    <col min="14809" max="14809" width="22" style="592" customWidth="1"/>
    <col min="14810" max="14810" width="15.42578125" style="592" customWidth="1"/>
    <col min="14811" max="15049" width="11.42578125" style="592"/>
    <col min="15050" max="15050" width="28.42578125" style="592" customWidth="1"/>
    <col min="15051" max="15051" width="24.42578125" style="592" customWidth="1"/>
    <col min="15052" max="15052" width="23.85546875" style="592" customWidth="1"/>
    <col min="15053" max="15053" width="33.42578125" style="592" customWidth="1"/>
    <col min="15054" max="15056" width="14.42578125" style="592" customWidth="1"/>
    <col min="15057" max="15057" width="18.5703125" style="592" customWidth="1"/>
    <col min="15058" max="15058" width="21.42578125" style="592" customWidth="1"/>
    <col min="15059" max="15059" width="14.42578125" style="592" customWidth="1"/>
    <col min="15060" max="15060" width="19.28515625" style="592" customWidth="1"/>
    <col min="15061" max="15061" width="18.5703125" style="592" customWidth="1"/>
    <col min="15062" max="15062" width="15.42578125" style="592" customWidth="1"/>
    <col min="15063" max="15063" width="13.7109375" style="592" customWidth="1"/>
    <col min="15064" max="15064" width="15" style="592" customWidth="1"/>
    <col min="15065" max="15065" width="22" style="592" customWidth="1"/>
    <col min="15066" max="15066" width="15.42578125" style="592" customWidth="1"/>
    <col min="15067" max="15305" width="11.42578125" style="592"/>
    <col min="15306" max="15306" width="28.42578125" style="592" customWidth="1"/>
    <col min="15307" max="15307" width="24.42578125" style="592" customWidth="1"/>
    <col min="15308" max="15308" width="23.85546875" style="592" customWidth="1"/>
    <col min="15309" max="15309" width="33.42578125" style="592" customWidth="1"/>
    <col min="15310" max="15312" width="14.42578125" style="592" customWidth="1"/>
    <col min="15313" max="15313" width="18.5703125" style="592" customWidth="1"/>
    <col min="15314" max="15314" width="21.42578125" style="592" customWidth="1"/>
    <col min="15315" max="15315" width="14.42578125" style="592" customWidth="1"/>
    <col min="15316" max="15316" width="19.28515625" style="592" customWidth="1"/>
    <col min="15317" max="15317" width="18.5703125" style="592" customWidth="1"/>
    <col min="15318" max="15318" width="15.42578125" style="592" customWidth="1"/>
    <col min="15319" max="15319" width="13.7109375" style="592" customWidth="1"/>
    <col min="15320" max="15320" width="15" style="592" customWidth="1"/>
    <col min="15321" max="15321" width="22" style="592" customWidth="1"/>
    <col min="15322" max="15322" width="15.42578125" style="592" customWidth="1"/>
    <col min="15323" max="15561" width="11.42578125" style="592"/>
    <col min="15562" max="15562" width="28.42578125" style="592" customWidth="1"/>
    <col min="15563" max="15563" width="24.42578125" style="592" customWidth="1"/>
    <col min="15564" max="15564" width="23.85546875" style="592" customWidth="1"/>
    <col min="15565" max="15565" width="33.42578125" style="592" customWidth="1"/>
    <col min="15566" max="15568" width="14.42578125" style="592" customWidth="1"/>
    <col min="15569" max="15569" width="18.5703125" style="592" customWidth="1"/>
    <col min="15570" max="15570" width="21.42578125" style="592" customWidth="1"/>
    <col min="15571" max="15571" width="14.42578125" style="592" customWidth="1"/>
    <col min="15572" max="15572" width="19.28515625" style="592" customWidth="1"/>
    <col min="15573" max="15573" width="18.5703125" style="592" customWidth="1"/>
    <col min="15574" max="15574" width="15.42578125" style="592" customWidth="1"/>
    <col min="15575" max="15575" width="13.7109375" style="592" customWidth="1"/>
    <col min="15576" max="15576" width="15" style="592" customWidth="1"/>
    <col min="15577" max="15577" width="22" style="592" customWidth="1"/>
    <col min="15578" max="15578" width="15.42578125" style="592" customWidth="1"/>
    <col min="15579" max="15817" width="11.42578125" style="592"/>
    <col min="15818" max="15818" width="28.42578125" style="592" customWidth="1"/>
    <col min="15819" max="15819" width="24.42578125" style="592" customWidth="1"/>
    <col min="15820" max="15820" width="23.85546875" style="592" customWidth="1"/>
    <col min="15821" max="15821" width="33.42578125" style="592" customWidth="1"/>
    <col min="15822" max="15824" width="14.42578125" style="592" customWidth="1"/>
    <col min="15825" max="15825" width="18.5703125" style="592" customWidth="1"/>
    <col min="15826" max="15826" width="21.42578125" style="592" customWidth="1"/>
    <col min="15827" max="15827" width="14.42578125" style="592" customWidth="1"/>
    <col min="15828" max="15828" width="19.28515625" style="592" customWidth="1"/>
    <col min="15829" max="15829" width="18.5703125" style="592" customWidth="1"/>
    <col min="15830" max="15830" width="15.42578125" style="592" customWidth="1"/>
    <col min="15831" max="15831" width="13.7109375" style="592" customWidth="1"/>
    <col min="15832" max="15832" width="15" style="592" customWidth="1"/>
    <col min="15833" max="15833" width="22" style="592" customWidth="1"/>
    <col min="15834" max="15834" width="15.42578125" style="592" customWidth="1"/>
    <col min="15835" max="16073" width="11.42578125" style="592"/>
    <col min="16074" max="16074" width="28.42578125" style="592" customWidth="1"/>
    <col min="16075" max="16075" width="24.42578125" style="592" customWidth="1"/>
    <col min="16076" max="16076" width="23.85546875" style="592" customWidth="1"/>
    <col min="16077" max="16077" width="33.42578125" style="592" customWidth="1"/>
    <col min="16078" max="16080" width="14.42578125" style="592" customWidth="1"/>
    <col min="16081" max="16081" width="18.5703125" style="592" customWidth="1"/>
    <col min="16082" max="16082" width="21.42578125" style="592" customWidth="1"/>
    <col min="16083" max="16083" width="14.42578125" style="592" customWidth="1"/>
    <col min="16084" max="16084" width="19.28515625" style="592" customWidth="1"/>
    <col min="16085" max="16085" width="18.5703125" style="592" customWidth="1"/>
    <col min="16086" max="16086" width="15.42578125" style="592" customWidth="1"/>
    <col min="16087" max="16087" width="13.7109375" style="592" customWidth="1"/>
    <col min="16088" max="16088" width="15" style="592" customWidth="1"/>
    <col min="16089" max="16089" width="22" style="592" customWidth="1"/>
    <col min="16090" max="16090" width="15.42578125" style="592" customWidth="1"/>
    <col min="16091" max="16384" width="11.42578125" style="592"/>
  </cols>
  <sheetData>
    <row r="1" spans="1:142" ht="30" customHeight="1" thickBot="1">
      <c r="A1" s="15127" t="s">
        <v>2286</v>
      </c>
      <c r="B1" s="15128"/>
      <c r="C1" s="15128"/>
      <c r="D1" s="15076" t="s">
        <v>2287</v>
      </c>
      <c r="E1" s="15076"/>
      <c r="F1" s="15076"/>
      <c r="G1" s="15076"/>
      <c r="H1" s="15076"/>
      <c r="I1" s="15076" t="s">
        <v>2288</v>
      </c>
      <c r="J1" s="15076" t="s">
        <v>2289</v>
      </c>
      <c r="K1" s="593"/>
      <c r="L1" s="15077" t="s">
        <v>2612</v>
      </c>
      <c r="M1" s="15078"/>
      <c r="N1" s="15077"/>
      <c r="O1" s="15077"/>
      <c r="P1" s="15077"/>
      <c r="Q1" s="15077"/>
      <c r="R1" s="15079"/>
      <c r="S1" s="594"/>
      <c r="T1" s="15080" t="s">
        <v>1</v>
      </c>
      <c r="U1" s="15082" t="s">
        <v>2</v>
      </c>
      <c r="V1" s="15082" t="s">
        <v>3</v>
      </c>
      <c r="W1" s="15082" t="s">
        <v>4</v>
      </c>
      <c r="X1" s="15082" t="s">
        <v>355</v>
      </c>
      <c r="Y1" s="15082"/>
      <c r="Z1" s="15082"/>
      <c r="AA1" s="15082"/>
      <c r="AB1" s="15082" t="s">
        <v>356</v>
      </c>
      <c r="AC1" s="15082"/>
      <c r="AD1" s="15082"/>
      <c r="AE1" s="15082"/>
      <c r="AF1" s="15082"/>
      <c r="AG1" s="15082"/>
      <c r="AH1" s="15082"/>
      <c r="AI1" s="15082"/>
      <c r="AJ1" s="15082"/>
      <c r="AK1" s="15082"/>
      <c r="AL1" s="15082"/>
      <c r="AM1" s="15082"/>
      <c r="AN1" s="15082"/>
      <c r="AO1" s="15082"/>
      <c r="AP1" s="15082"/>
      <c r="AQ1" s="15082"/>
      <c r="AR1" s="15082"/>
      <c r="AS1" s="15082"/>
      <c r="AT1" s="15082"/>
      <c r="AU1" s="15082"/>
      <c r="AV1" s="15082"/>
      <c r="AW1" s="15082"/>
      <c r="AX1" s="15082"/>
      <c r="AY1" s="15082"/>
      <c r="AZ1" s="15082"/>
      <c r="BA1" s="15082"/>
      <c r="BB1" s="15095" t="s">
        <v>357</v>
      </c>
      <c r="BC1" s="15095"/>
      <c r="BD1" s="15095"/>
      <c r="BE1" s="15095"/>
      <c r="BF1" s="15095"/>
      <c r="BG1" s="15093" t="s">
        <v>5</v>
      </c>
      <c r="BH1" s="15093"/>
      <c r="BI1" s="15093"/>
      <c r="BJ1" s="15093"/>
      <c r="BK1" s="15094"/>
      <c r="BM1" s="15053" t="s">
        <v>9919</v>
      </c>
      <c r="BN1" s="15054"/>
      <c r="BO1" s="15054"/>
      <c r="BP1" s="15054"/>
      <c r="BQ1" s="15057" t="s">
        <v>2287</v>
      </c>
      <c r="BR1" s="15058"/>
      <c r="BS1" s="15058"/>
      <c r="BT1" s="15058"/>
      <c r="BU1" s="15059"/>
      <c r="BV1" s="15063" t="s">
        <v>2288</v>
      </c>
      <c r="BW1" s="1054"/>
      <c r="BX1" s="941"/>
      <c r="BY1" s="15066" t="s">
        <v>9920</v>
      </c>
      <c r="BZ1" s="15067"/>
      <c r="CA1" s="15067"/>
      <c r="CB1" s="15067"/>
      <c r="CC1" s="15067"/>
      <c r="CD1" s="15067"/>
      <c r="CE1" s="15067"/>
      <c r="CF1" s="15067"/>
      <c r="CG1" s="15067"/>
      <c r="CH1" s="15067"/>
      <c r="CI1" s="15067"/>
      <c r="CJ1" s="15068"/>
      <c r="CK1" s="942"/>
      <c r="CL1" s="942"/>
      <c r="CM1" s="942"/>
      <c r="CN1" s="942"/>
      <c r="CO1" s="942"/>
      <c r="CP1" s="942"/>
      <c r="CQ1" s="942"/>
      <c r="CR1" s="942"/>
      <c r="CS1" s="942"/>
      <c r="CT1" s="942"/>
      <c r="CU1" s="942"/>
      <c r="CV1" s="942"/>
      <c r="CW1" s="942"/>
      <c r="CX1" s="942"/>
      <c r="CY1" s="942"/>
      <c r="CZ1" s="942"/>
      <c r="DA1" s="942"/>
      <c r="DB1" s="942"/>
      <c r="DC1" s="942"/>
      <c r="DD1" s="942"/>
      <c r="DE1" s="942"/>
      <c r="DF1" s="942"/>
      <c r="DG1" s="942"/>
      <c r="DH1" s="942"/>
      <c r="DI1" s="942"/>
      <c r="DJ1" s="942"/>
      <c r="DK1" s="942"/>
      <c r="DL1" s="942"/>
      <c r="DM1" s="942"/>
      <c r="DN1" s="942"/>
      <c r="DO1" s="942"/>
      <c r="DP1" s="942"/>
      <c r="DQ1" s="942"/>
      <c r="DR1" s="942"/>
      <c r="DS1" s="942"/>
      <c r="DT1" s="942"/>
      <c r="DU1" s="942"/>
      <c r="DV1" s="942"/>
      <c r="DW1" s="942"/>
      <c r="DX1" s="942"/>
      <c r="DY1" s="942"/>
      <c r="DZ1" s="942"/>
    </row>
    <row r="2" spans="1:142" ht="30" customHeight="1" thickBot="1">
      <c r="A2" s="15127"/>
      <c r="B2" s="15128"/>
      <c r="C2" s="15128"/>
      <c r="D2" s="15076"/>
      <c r="E2" s="15076"/>
      <c r="F2" s="15076"/>
      <c r="G2" s="15076"/>
      <c r="H2" s="15076"/>
      <c r="I2" s="15076"/>
      <c r="J2" s="15076"/>
      <c r="K2" s="15084" t="s">
        <v>4635</v>
      </c>
      <c r="L2" s="15088" t="s">
        <v>9918</v>
      </c>
      <c r="M2" s="15088" t="s">
        <v>2290</v>
      </c>
      <c r="N2" s="15088" t="s">
        <v>2291</v>
      </c>
      <c r="O2" s="15088" t="s">
        <v>2292</v>
      </c>
      <c r="P2" s="15088" t="s">
        <v>2293</v>
      </c>
      <c r="Q2" s="15088" t="s">
        <v>2294</v>
      </c>
      <c r="R2" s="15106" t="s">
        <v>2295</v>
      </c>
      <c r="S2" s="15106" t="s">
        <v>2299</v>
      </c>
      <c r="T2" s="15080"/>
      <c r="U2" s="15082"/>
      <c r="V2" s="15082"/>
      <c r="W2" s="15082"/>
      <c r="X2" s="15091" t="s">
        <v>6</v>
      </c>
      <c r="Y2" s="15097" t="s">
        <v>7</v>
      </c>
      <c r="Z2" s="15097" t="s">
        <v>8</v>
      </c>
      <c r="AA2" s="15097" t="s">
        <v>9</v>
      </c>
      <c r="AB2" s="15091" t="s">
        <v>10</v>
      </c>
      <c r="AC2" s="15051" t="s">
        <v>11</v>
      </c>
      <c r="AD2" s="15051"/>
      <c r="AE2" s="15051" t="s">
        <v>12</v>
      </c>
      <c r="AF2" s="15051"/>
      <c r="AG2" s="15051" t="s">
        <v>13</v>
      </c>
      <c r="AH2" s="15051"/>
      <c r="AI2" s="15051"/>
      <c r="AJ2" s="15051"/>
      <c r="AK2" s="15051"/>
      <c r="AL2" s="15051"/>
      <c r="AM2" s="15051"/>
      <c r="AN2" s="15052" t="s">
        <v>14</v>
      </c>
      <c r="AO2" s="15052"/>
      <c r="AP2" s="15052"/>
      <c r="AQ2" s="15052"/>
      <c r="AR2" s="15052"/>
      <c r="AS2" s="15052"/>
      <c r="AT2" s="15052"/>
      <c r="AU2" s="15052"/>
      <c r="AV2" s="15052" t="s">
        <v>15</v>
      </c>
      <c r="AW2" s="15052"/>
      <c r="AX2" s="15052"/>
      <c r="AY2" s="15052"/>
      <c r="AZ2" s="15052"/>
      <c r="BA2" s="15052"/>
      <c r="BB2" s="15045" t="s">
        <v>16</v>
      </c>
      <c r="BC2" s="15045" t="s">
        <v>17</v>
      </c>
      <c r="BD2" s="15047" t="s">
        <v>18</v>
      </c>
      <c r="BE2" s="512" t="s">
        <v>19</v>
      </c>
      <c r="BF2" s="512" t="s">
        <v>20</v>
      </c>
      <c r="BG2" s="15045" t="s">
        <v>21</v>
      </c>
      <c r="BH2" s="15096" t="s">
        <v>22</v>
      </c>
      <c r="BI2" s="15096"/>
      <c r="BJ2" s="15096"/>
      <c r="BK2" s="513" t="s">
        <v>20</v>
      </c>
      <c r="BM2" s="15055"/>
      <c r="BN2" s="15056"/>
      <c r="BO2" s="15056"/>
      <c r="BP2" s="15056"/>
      <c r="BQ2" s="15060"/>
      <c r="BR2" s="15061"/>
      <c r="BS2" s="15061"/>
      <c r="BT2" s="15061"/>
      <c r="BU2" s="15062"/>
      <c r="BV2" s="15064"/>
      <c r="BW2" s="1054"/>
      <c r="BX2" s="943"/>
      <c r="BY2" s="15069" t="s">
        <v>9921</v>
      </c>
      <c r="BZ2" s="14926" t="s">
        <v>10056</v>
      </c>
      <c r="CA2" s="14926" t="s">
        <v>2290</v>
      </c>
      <c r="CB2" s="14926" t="s">
        <v>10096</v>
      </c>
      <c r="CC2" s="14926" t="s">
        <v>2291</v>
      </c>
      <c r="CD2" s="14926" t="s">
        <v>2292</v>
      </c>
      <c r="CE2" s="14926" t="s">
        <v>2293</v>
      </c>
      <c r="CF2" s="14926" t="s">
        <v>2294</v>
      </c>
      <c r="CG2" s="15070" t="s">
        <v>9922</v>
      </c>
      <c r="CH2" s="15064"/>
      <c r="CI2" s="15064"/>
      <c r="CJ2" s="15071"/>
      <c r="CK2" s="1055"/>
      <c r="CL2" s="1055"/>
      <c r="CM2" s="1055"/>
      <c r="CN2" s="1055"/>
      <c r="CO2" s="1055"/>
      <c r="CP2" s="1055"/>
      <c r="CQ2" s="1055"/>
      <c r="CR2" s="942"/>
      <c r="CS2" s="942"/>
      <c r="CT2" s="942"/>
      <c r="CU2" s="942"/>
      <c r="CV2" s="942"/>
      <c r="CW2" s="942"/>
      <c r="CX2" s="942"/>
      <c r="CY2" s="942"/>
      <c r="CZ2" s="942"/>
      <c r="DA2" s="942"/>
      <c r="DB2" s="942"/>
      <c r="DC2" s="942"/>
      <c r="DD2" s="942"/>
      <c r="DE2" s="942"/>
      <c r="DF2" s="942"/>
      <c r="DG2" s="942"/>
      <c r="DH2" s="942">
        <f>SUM(DH6:DH93)</f>
        <v>9868</v>
      </c>
      <c r="DI2" s="942">
        <f t="shared" ref="DI2:DO2" si="0">SUM(DI6:DI93)</f>
        <v>1326</v>
      </c>
      <c r="DJ2" s="942">
        <f t="shared" si="0"/>
        <v>332</v>
      </c>
      <c r="DK2" s="942">
        <f t="shared" si="0"/>
        <v>17798</v>
      </c>
      <c r="DL2" s="942">
        <f t="shared" si="0"/>
        <v>0</v>
      </c>
      <c r="DM2" s="942">
        <f t="shared" si="0"/>
        <v>0</v>
      </c>
      <c r="DN2" s="942">
        <f t="shared" si="0"/>
        <v>0</v>
      </c>
      <c r="DO2" s="942">
        <f t="shared" si="0"/>
        <v>0</v>
      </c>
      <c r="DP2" s="942"/>
      <c r="DQ2" s="942"/>
      <c r="DR2" s="942"/>
      <c r="DS2" s="942"/>
      <c r="DT2" s="942"/>
      <c r="DU2" s="942"/>
      <c r="DV2" s="942"/>
      <c r="DW2" s="942"/>
      <c r="DX2" s="942"/>
      <c r="DY2" s="942"/>
      <c r="DZ2" s="942"/>
    </row>
    <row r="3" spans="1:142" ht="30" customHeight="1" thickBot="1">
      <c r="A3" s="15087" t="s">
        <v>2296</v>
      </c>
      <c r="B3" s="15114" t="s">
        <v>1997</v>
      </c>
      <c r="C3" s="15115" t="s">
        <v>2297</v>
      </c>
      <c r="D3" s="15076" t="s">
        <v>2298</v>
      </c>
      <c r="E3" s="15076" t="s">
        <v>2291</v>
      </c>
      <c r="F3" s="15076" t="s">
        <v>2299</v>
      </c>
      <c r="G3" s="15076" t="s">
        <v>2300</v>
      </c>
      <c r="H3" s="15076" t="s">
        <v>2301</v>
      </c>
      <c r="I3" s="15076"/>
      <c r="J3" s="15076"/>
      <c r="K3" s="15085"/>
      <c r="L3" s="15088"/>
      <c r="M3" s="15088"/>
      <c r="N3" s="15088"/>
      <c r="O3" s="15088"/>
      <c r="P3" s="15088"/>
      <c r="Q3" s="15088"/>
      <c r="R3" s="15106"/>
      <c r="S3" s="15106"/>
      <c r="T3" s="15080"/>
      <c r="U3" s="15082"/>
      <c r="V3" s="15082"/>
      <c r="W3" s="15082"/>
      <c r="X3" s="15091"/>
      <c r="Y3" s="15097"/>
      <c r="Z3" s="15097"/>
      <c r="AA3" s="15097"/>
      <c r="AB3" s="15091"/>
      <c r="AC3" s="15089" t="s">
        <v>23</v>
      </c>
      <c r="AD3" s="15089" t="s">
        <v>24</v>
      </c>
      <c r="AE3" s="15089" t="s">
        <v>25</v>
      </c>
      <c r="AF3" s="15089" t="s">
        <v>26</v>
      </c>
      <c r="AG3" s="15089" t="s">
        <v>27</v>
      </c>
      <c r="AH3" s="15089" t="s">
        <v>28</v>
      </c>
      <c r="AI3" s="15089" t="s">
        <v>29</v>
      </c>
      <c r="AJ3" s="15089" t="s">
        <v>30</v>
      </c>
      <c r="AK3" s="15089" t="s">
        <v>31</v>
      </c>
      <c r="AL3" s="15089" t="s">
        <v>32</v>
      </c>
      <c r="AM3" s="15089" t="s">
        <v>33</v>
      </c>
      <c r="AN3" s="15089" t="s">
        <v>34</v>
      </c>
      <c r="AO3" s="15089" t="s">
        <v>35</v>
      </c>
      <c r="AP3" s="15089" t="s">
        <v>36</v>
      </c>
      <c r="AQ3" s="15089" t="s">
        <v>37</v>
      </c>
      <c r="AR3" s="15089" t="s">
        <v>38</v>
      </c>
      <c r="AS3" s="15089" t="s">
        <v>39</v>
      </c>
      <c r="AT3" s="15089" t="s">
        <v>40</v>
      </c>
      <c r="AU3" s="15089" t="s">
        <v>41</v>
      </c>
      <c r="AV3" s="15089" t="s">
        <v>42</v>
      </c>
      <c r="AW3" s="15089" t="s">
        <v>43</v>
      </c>
      <c r="AX3" s="15089" t="s">
        <v>44</v>
      </c>
      <c r="AY3" s="15089" t="s">
        <v>45</v>
      </c>
      <c r="AZ3" s="15089" t="s">
        <v>46</v>
      </c>
      <c r="BA3" s="15089" t="s">
        <v>47</v>
      </c>
      <c r="BB3" s="15045"/>
      <c r="BC3" s="15045"/>
      <c r="BD3" s="15047"/>
      <c r="BE3" s="15047" t="s">
        <v>48</v>
      </c>
      <c r="BF3" s="15047" t="s">
        <v>49</v>
      </c>
      <c r="BG3" s="15045"/>
      <c r="BH3" s="15045" t="s">
        <v>50</v>
      </c>
      <c r="BI3" s="15045" t="s">
        <v>51</v>
      </c>
      <c r="BJ3" s="15045" t="s">
        <v>52</v>
      </c>
      <c r="BK3" s="15099" t="s">
        <v>49</v>
      </c>
      <c r="BM3" s="15072" t="s">
        <v>2296</v>
      </c>
      <c r="BN3" s="15072" t="s">
        <v>1997</v>
      </c>
      <c r="BO3" s="15072" t="s">
        <v>2297</v>
      </c>
      <c r="BP3" s="15072"/>
      <c r="BQ3" s="15073" t="s">
        <v>2298</v>
      </c>
      <c r="BR3" s="14926" t="s">
        <v>2291</v>
      </c>
      <c r="BS3" s="14926" t="s">
        <v>2299</v>
      </c>
      <c r="BT3" s="14926" t="s">
        <v>2300</v>
      </c>
      <c r="BU3" s="15025" t="s">
        <v>2301</v>
      </c>
      <c r="BV3" s="15065"/>
      <c r="BW3" s="14926" t="s">
        <v>2289</v>
      </c>
      <c r="BX3" s="943"/>
      <c r="BY3" s="14927"/>
      <c r="BZ3" s="14927"/>
      <c r="CA3" s="14927"/>
      <c r="CB3" s="14927"/>
      <c r="CC3" s="14927"/>
      <c r="CD3" s="14927"/>
      <c r="CE3" s="14927"/>
      <c r="CF3" s="14927"/>
      <c r="CG3" s="14926" t="s">
        <v>9923</v>
      </c>
      <c r="CH3" s="14926" t="s">
        <v>9924</v>
      </c>
      <c r="CI3" s="14926" t="s">
        <v>9925</v>
      </c>
      <c r="CJ3" s="14926" t="s">
        <v>2299</v>
      </c>
      <c r="CK3" s="14926" t="s">
        <v>9926</v>
      </c>
      <c r="CL3" s="14926" t="s">
        <v>9927</v>
      </c>
      <c r="CM3" s="14926" t="s">
        <v>9928</v>
      </c>
      <c r="CN3" s="14926" t="s">
        <v>9929</v>
      </c>
      <c r="CO3" s="14926" t="s">
        <v>9930</v>
      </c>
      <c r="CP3" s="14926" t="s">
        <v>8491</v>
      </c>
      <c r="CQ3" s="14926" t="s">
        <v>4</v>
      </c>
      <c r="CR3" s="13299" t="s">
        <v>355</v>
      </c>
      <c r="CS3" s="13300"/>
      <c r="CT3" s="13300"/>
      <c r="CU3" s="13301"/>
      <c r="CV3" s="13299" t="s">
        <v>356</v>
      </c>
      <c r="CW3" s="13300"/>
      <c r="CX3" s="13300"/>
      <c r="CY3" s="13300"/>
      <c r="CZ3" s="13300"/>
      <c r="DA3" s="13300"/>
      <c r="DB3" s="13300"/>
      <c r="DC3" s="13300"/>
      <c r="DD3" s="13300"/>
      <c r="DE3" s="13300"/>
      <c r="DF3" s="13300"/>
      <c r="DG3" s="13300"/>
      <c r="DH3" s="13300"/>
      <c r="DI3" s="13300"/>
      <c r="DJ3" s="13300"/>
      <c r="DK3" s="13300"/>
      <c r="DL3" s="13300"/>
      <c r="DM3" s="13300"/>
      <c r="DN3" s="13300"/>
      <c r="DO3" s="13300"/>
      <c r="DP3" s="13300"/>
      <c r="DQ3" s="13300"/>
      <c r="DR3" s="13300"/>
      <c r="DS3" s="13300"/>
      <c r="DT3" s="13300"/>
      <c r="DU3" s="13301"/>
      <c r="DV3" s="13302" t="s">
        <v>357</v>
      </c>
      <c r="DW3" s="13303"/>
      <c r="DX3" s="13303"/>
      <c r="DY3" s="13303"/>
      <c r="DZ3" s="13304"/>
    </row>
    <row r="4" spans="1:142" ht="30" customHeight="1" thickBot="1">
      <c r="A4" s="15087"/>
      <c r="B4" s="15114"/>
      <c r="C4" s="15115"/>
      <c r="D4" s="15076"/>
      <c r="E4" s="15076"/>
      <c r="F4" s="15076"/>
      <c r="G4" s="15076"/>
      <c r="H4" s="15076"/>
      <c r="I4" s="15076"/>
      <c r="J4" s="15076"/>
      <c r="K4" s="15085"/>
      <c r="L4" s="15088"/>
      <c r="M4" s="15088"/>
      <c r="N4" s="15088"/>
      <c r="O4" s="15088"/>
      <c r="P4" s="15088"/>
      <c r="Q4" s="15088"/>
      <c r="R4" s="15106"/>
      <c r="S4" s="15106"/>
      <c r="T4" s="15080"/>
      <c r="U4" s="15082"/>
      <c r="V4" s="15082"/>
      <c r="W4" s="15082"/>
      <c r="X4" s="15091"/>
      <c r="Y4" s="15097"/>
      <c r="Z4" s="15097"/>
      <c r="AA4" s="15097"/>
      <c r="AB4" s="15091"/>
      <c r="AC4" s="15089"/>
      <c r="AD4" s="15089"/>
      <c r="AE4" s="15089"/>
      <c r="AF4" s="15089"/>
      <c r="AG4" s="15089"/>
      <c r="AH4" s="15089"/>
      <c r="AI4" s="15089"/>
      <c r="AJ4" s="15089"/>
      <c r="AK4" s="15089"/>
      <c r="AL4" s="15089"/>
      <c r="AM4" s="15089"/>
      <c r="AN4" s="15089"/>
      <c r="AO4" s="15089"/>
      <c r="AP4" s="15089"/>
      <c r="AQ4" s="15089"/>
      <c r="AR4" s="15089"/>
      <c r="AS4" s="15089"/>
      <c r="AT4" s="15089"/>
      <c r="AU4" s="15089"/>
      <c r="AV4" s="15089"/>
      <c r="AW4" s="15089"/>
      <c r="AX4" s="15089"/>
      <c r="AY4" s="15089"/>
      <c r="AZ4" s="15089"/>
      <c r="BA4" s="15089"/>
      <c r="BB4" s="15045"/>
      <c r="BC4" s="15045"/>
      <c r="BD4" s="15047"/>
      <c r="BE4" s="15047"/>
      <c r="BF4" s="15047"/>
      <c r="BG4" s="15045"/>
      <c r="BH4" s="15045"/>
      <c r="BI4" s="15045"/>
      <c r="BJ4" s="15045"/>
      <c r="BK4" s="15099"/>
      <c r="BM4" s="15072"/>
      <c r="BN4" s="15072"/>
      <c r="BO4" s="15072"/>
      <c r="BP4" s="15072"/>
      <c r="BQ4" s="15074"/>
      <c r="BR4" s="14927"/>
      <c r="BS4" s="14927"/>
      <c r="BT4" s="14927"/>
      <c r="BU4" s="15026"/>
      <c r="BV4" s="15065"/>
      <c r="BW4" s="14927"/>
      <c r="BX4" s="943"/>
      <c r="BY4" s="14927"/>
      <c r="BZ4" s="14927"/>
      <c r="CA4" s="14927"/>
      <c r="CB4" s="14927"/>
      <c r="CC4" s="14927"/>
      <c r="CD4" s="14927"/>
      <c r="CE4" s="14927"/>
      <c r="CF4" s="14927"/>
      <c r="CG4" s="14927"/>
      <c r="CH4" s="14927"/>
      <c r="CI4" s="14927"/>
      <c r="CJ4" s="14927"/>
      <c r="CK4" s="14927"/>
      <c r="CL4" s="14927"/>
      <c r="CM4" s="14927"/>
      <c r="CN4" s="14927"/>
      <c r="CO4" s="14927"/>
      <c r="CP4" s="14927"/>
      <c r="CQ4" s="14927"/>
      <c r="CR4" s="13308" t="s">
        <v>6</v>
      </c>
      <c r="CS4" s="13310" t="s">
        <v>7</v>
      </c>
      <c r="CT4" s="13312" t="s">
        <v>8</v>
      </c>
      <c r="CU4" s="13314" t="s">
        <v>9</v>
      </c>
      <c r="CV4" s="13308" t="s">
        <v>10</v>
      </c>
      <c r="CW4" s="13283"/>
      <c r="CX4" s="13284"/>
      <c r="CY4" s="13282" t="s">
        <v>12</v>
      </c>
      <c r="CZ4" s="13284"/>
      <c r="DA4" s="13282" t="s">
        <v>13</v>
      </c>
      <c r="DB4" s="13283"/>
      <c r="DC4" s="13283"/>
      <c r="DD4" s="13283"/>
      <c r="DE4" s="13283"/>
      <c r="DF4" s="13283"/>
      <c r="DG4" s="13284"/>
      <c r="DH4" s="13285" t="s">
        <v>14</v>
      </c>
      <c r="DI4" s="13286"/>
      <c r="DJ4" s="13286"/>
      <c r="DK4" s="13286"/>
      <c r="DL4" s="13286"/>
      <c r="DM4" s="13286"/>
      <c r="DN4" s="13286"/>
      <c r="DO4" s="13287"/>
      <c r="DP4" s="13285" t="s">
        <v>15</v>
      </c>
      <c r="DQ4" s="13286"/>
      <c r="DR4" s="13286"/>
      <c r="DS4" s="13286"/>
      <c r="DT4" s="13286"/>
      <c r="DU4" s="13287"/>
      <c r="DV4" s="13288" t="s">
        <v>16</v>
      </c>
      <c r="DW4" s="13288" t="s">
        <v>17</v>
      </c>
      <c r="DX4" s="13275" t="s">
        <v>18</v>
      </c>
      <c r="DY4" s="10" t="s">
        <v>19</v>
      </c>
      <c r="DZ4" s="489" t="s">
        <v>20</v>
      </c>
    </row>
    <row r="5" spans="1:142" ht="30" customHeight="1" thickBot="1">
      <c r="A5" s="15087"/>
      <c r="B5" s="15114"/>
      <c r="C5" s="15115"/>
      <c r="D5" s="15076"/>
      <c r="E5" s="15076"/>
      <c r="F5" s="15076"/>
      <c r="G5" s="15076"/>
      <c r="H5" s="15076"/>
      <c r="I5" s="15076"/>
      <c r="J5" s="15076"/>
      <c r="K5" s="15086"/>
      <c r="L5" s="15088"/>
      <c r="M5" s="15088"/>
      <c r="N5" s="15088"/>
      <c r="O5" s="15088"/>
      <c r="P5" s="15088"/>
      <c r="Q5" s="15088"/>
      <c r="R5" s="15106"/>
      <c r="S5" s="15106"/>
      <c r="T5" s="15081"/>
      <c r="U5" s="15083"/>
      <c r="V5" s="15083"/>
      <c r="W5" s="15083"/>
      <c r="X5" s="15092"/>
      <c r="Y5" s="15098"/>
      <c r="Z5" s="15098"/>
      <c r="AA5" s="15098"/>
      <c r="AB5" s="15092"/>
      <c r="AC5" s="15090"/>
      <c r="AD5" s="15090"/>
      <c r="AE5" s="15090"/>
      <c r="AF5" s="15090"/>
      <c r="AG5" s="15090"/>
      <c r="AH5" s="15090"/>
      <c r="AI5" s="15090"/>
      <c r="AJ5" s="15090"/>
      <c r="AK5" s="15090"/>
      <c r="AL5" s="15090"/>
      <c r="AM5" s="15090"/>
      <c r="AN5" s="15090"/>
      <c r="AO5" s="15090"/>
      <c r="AP5" s="15090"/>
      <c r="AQ5" s="15090"/>
      <c r="AR5" s="15090"/>
      <c r="AS5" s="15090"/>
      <c r="AT5" s="15090"/>
      <c r="AU5" s="15090"/>
      <c r="AV5" s="15090"/>
      <c r="AW5" s="15090"/>
      <c r="AX5" s="15090"/>
      <c r="AY5" s="15090"/>
      <c r="AZ5" s="15090"/>
      <c r="BA5" s="15090"/>
      <c r="BB5" s="15046"/>
      <c r="BC5" s="15046"/>
      <c r="BD5" s="15048"/>
      <c r="BE5" s="15048"/>
      <c r="BF5" s="15048"/>
      <c r="BG5" s="15046"/>
      <c r="BH5" s="15046"/>
      <c r="BI5" s="15046"/>
      <c r="BJ5" s="15046"/>
      <c r="BK5" s="15100"/>
      <c r="BM5" s="15072"/>
      <c r="BN5" s="15072"/>
      <c r="BO5" s="15072"/>
      <c r="BP5" s="15072"/>
      <c r="BQ5" s="15075"/>
      <c r="BR5" s="14928"/>
      <c r="BS5" s="14928"/>
      <c r="BT5" s="14928"/>
      <c r="BU5" s="15027"/>
      <c r="BV5" s="15065"/>
      <c r="BW5" s="14928"/>
      <c r="BX5" s="944"/>
      <c r="BY5" s="14928"/>
      <c r="BZ5" s="14928"/>
      <c r="CA5" s="14928"/>
      <c r="CB5" s="14928"/>
      <c r="CC5" s="14928"/>
      <c r="CD5" s="14928"/>
      <c r="CE5" s="14928"/>
      <c r="CF5" s="14928"/>
      <c r="CG5" s="14928"/>
      <c r="CH5" s="14928"/>
      <c r="CI5" s="14928"/>
      <c r="CJ5" s="14928"/>
      <c r="CK5" s="14928"/>
      <c r="CL5" s="14928"/>
      <c r="CM5" s="14928"/>
      <c r="CN5" s="14928"/>
      <c r="CO5" s="14928"/>
      <c r="CP5" s="14927"/>
      <c r="CQ5" s="14928"/>
      <c r="CR5" s="13309"/>
      <c r="CS5" s="13311"/>
      <c r="CT5" s="13313"/>
      <c r="CU5" s="13315"/>
      <c r="CV5" s="13309"/>
      <c r="CW5" s="945" t="s">
        <v>23</v>
      </c>
      <c r="CX5" s="946" t="s">
        <v>24</v>
      </c>
      <c r="CY5" s="945" t="s">
        <v>25</v>
      </c>
      <c r="CZ5" s="946" t="s">
        <v>26</v>
      </c>
      <c r="DA5" s="947" t="s">
        <v>27</v>
      </c>
      <c r="DB5" s="948" t="s">
        <v>28</v>
      </c>
      <c r="DC5" s="949" t="s">
        <v>29</v>
      </c>
      <c r="DD5" s="949" t="s">
        <v>30</v>
      </c>
      <c r="DE5" s="949" t="s">
        <v>31</v>
      </c>
      <c r="DF5" s="949" t="s">
        <v>32</v>
      </c>
      <c r="DG5" s="950" t="s">
        <v>33</v>
      </c>
      <c r="DH5" s="947" t="s">
        <v>34</v>
      </c>
      <c r="DI5" s="949" t="s">
        <v>35</v>
      </c>
      <c r="DJ5" s="949" t="s">
        <v>36</v>
      </c>
      <c r="DK5" s="949" t="s">
        <v>37</v>
      </c>
      <c r="DL5" s="949" t="s">
        <v>38</v>
      </c>
      <c r="DM5" s="949" t="s">
        <v>39</v>
      </c>
      <c r="DN5" s="949" t="s">
        <v>40</v>
      </c>
      <c r="DO5" s="950" t="s">
        <v>41</v>
      </c>
      <c r="DP5" s="951" t="s">
        <v>42</v>
      </c>
      <c r="DQ5" s="949" t="s">
        <v>43</v>
      </c>
      <c r="DR5" s="949" t="s">
        <v>44</v>
      </c>
      <c r="DS5" s="949" t="s">
        <v>45</v>
      </c>
      <c r="DT5" s="949" t="s">
        <v>46</v>
      </c>
      <c r="DU5" s="952" t="s">
        <v>47</v>
      </c>
      <c r="DV5" s="13289"/>
      <c r="DW5" s="13289"/>
      <c r="DX5" s="13276"/>
      <c r="DY5" s="931" t="s">
        <v>48</v>
      </c>
      <c r="DZ5" s="953" t="s">
        <v>49</v>
      </c>
    </row>
    <row r="6" spans="1:142" s="602" customFormat="1" ht="30" customHeight="1">
      <c r="A6" s="595" t="s">
        <v>2302</v>
      </c>
      <c r="B6" s="15103" t="s">
        <v>2303</v>
      </c>
      <c r="C6" s="596" t="s">
        <v>2304</v>
      </c>
      <c r="D6" s="597" t="s">
        <v>2305</v>
      </c>
      <c r="E6" s="598">
        <v>0</v>
      </c>
      <c r="F6" s="598">
        <v>1</v>
      </c>
      <c r="G6" s="597" t="s">
        <v>2009</v>
      </c>
      <c r="H6" s="597" t="s">
        <v>2306</v>
      </c>
      <c r="I6" s="597" t="s">
        <v>2307</v>
      </c>
      <c r="J6" s="597">
        <v>1</v>
      </c>
      <c r="K6" s="597" t="s">
        <v>7597</v>
      </c>
      <c r="L6" s="599" t="s">
        <v>9571</v>
      </c>
      <c r="M6" s="600" t="s">
        <v>2308</v>
      </c>
      <c r="N6" s="554" t="s">
        <v>2309</v>
      </c>
      <c r="O6" s="554">
        <v>1</v>
      </c>
      <c r="P6" s="522" t="s">
        <v>2009</v>
      </c>
      <c r="Q6" s="520" t="s">
        <v>4343</v>
      </c>
      <c r="R6" s="535">
        <v>1</v>
      </c>
      <c r="S6" s="601">
        <v>1</v>
      </c>
      <c r="T6" s="514">
        <v>1</v>
      </c>
      <c r="U6" s="515" t="s">
        <v>4344</v>
      </c>
      <c r="V6" s="516" t="s">
        <v>2333</v>
      </c>
      <c r="W6" s="515" t="s">
        <v>4345</v>
      </c>
      <c r="X6" s="517">
        <v>3894000</v>
      </c>
      <c r="Y6" s="517">
        <v>3894000</v>
      </c>
      <c r="Z6" s="516"/>
      <c r="AA6" s="516"/>
      <c r="AB6" s="516">
        <v>30</v>
      </c>
      <c r="AC6" s="516">
        <v>18</v>
      </c>
      <c r="AD6" s="516">
        <v>12</v>
      </c>
      <c r="AE6" s="516">
        <v>30</v>
      </c>
      <c r="AF6" s="516"/>
      <c r="AG6" s="516" t="s">
        <v>2333</v>
      </c>
      <c r="AH6" s="516" t="s">
        <v>2333</v>
      </c>
      <c r="AI6" s="516" t="s">
        <v>2333</v>
      </c>
      <c r="AJ6" s="516" t="s">
        <v>2333</v>
      </c>
      <c r="AK6" s="15049">
        <v>26</v>
      </c>
      <c r="AL6" s="15050"/>
      <c r="AM6" s="516">
        <v>2</v>
      </c>
      <c r="AN6" s="516"/>
      <c r="AO6" s="516"/>
      <c r="AP6" s="15049">
        <v>30</v>
      </c>
      <c r="AQ6" s="15050"/>
      <c r="AR6" s="516"/>
      <c r="AS6" s="516">
        <v>2</v>
      </c>
      <c r="AT6" s="516"/>
      <c r="AU6" s="516"/>
      <c r="AV6" s="516">
        <v>25</v>
      </c>
      <c r="AW6" s="516">
        <v>5</v>
      </c>
      <c r="AX6" s="516">
        <v>0</v>
      </c>
      <c r="AY6" s="516">
        <v>0</v>
      </c>
      <c r="AZ6" s="516">
        <v>0</v>
      </c>
      <c r="BA6" s="516">
        <v>0</v>
      </c>
      <c r="BB6" s="516"/>
      <c r="BC6" s="516"/>
      <c r="BD6" s="516"/>
      <c r="BE6" s="516"/>
      <c r="BF6" s="516"/>
      <c r="BG6" s="516"/>
      <c r="BH6" s="516"/>
      <c r="BI6" s="516"/>
      <c r="BJ6" s="516"/>
      <c r="BK6" s="518"/>
      <c r="BL6" s="939"/>
      <c r="BM6" s="15028" t="s">
        <v>2302</v>
      </c>
      <c r="BN6" s="15030" t="s">
        <v>2303</v>
      </c>
      <c r="BO6" s="15032" t="s">
        <v>2304</v>
      </c>
      <c r="BP6" s="15033"/>
      <c r="BQ6" s="954" t="s">
        <v>2305</v>
      </c>
      <c r="BR6" s="955">
        <v>0</v>
      </c>
      <c r="BS6" s="1031">
        <v>1</v>
      </c>
      <c r="BT6" s="1032" t="s">
        <v>2009</v>
      </c>
      <c r="BU6" s="1032" t="s">
        <v>2306</v>
      </c>
      <c r="BV6" s="1033" t="s">
        <v>2307</v>
      </c>
      <c r="BW6" s="1032">
        <v>1</v>
      </c>
      <c r="BX6" s="1032" t="s">
        <v>7597</v>
      </c>
      <c r="BY6" s="956" t="s">
        <v>4339</v>
      </c>
      <c r="BZ6" s="2854" t="s">
        <v>10066</v>
      </c>
      <c r="CA6" s="1032" t="s">
        <v>2308</v>
      </c>
      <c r="CB6" s="1032"/>
      <c r="CC6" s="1034" t="s">
        <v>2309</v>
      </c>
      <c r="CD6" s="1034">
        <v>1</v>
      </c>
      <c r="CE6" s="1036" t="s">
        <v>2009</v>
      </c>
      <c r="CF6" s="1032" t="s">
        <v>4343</v>
      </c>
      <c r="CG6" s="1034">
        <v>1</v>
      </c>
      <c r="CH6" s="1034">
        <v>1</v>
      </c>
      <c r="CI6" s="1034">
        <v>1</v>
      </c>
      <c r="CJ6" s="1034">
        <v>1</v>
      </c>
      <c r="CK6" s="1034">
        <v>1</v>
      </c>
      <c r="CL6" s="1167">
        <v>1</v>
      </c>
      <c r="CM6" s="14929">
        <f>AVERAGE(CK6:CK12)</f>
        <v>1</v>
      </c>
      <c r="CN6" s="14931">
        <v>9</v>
      </c>
      <c r="CO6" s="14936">
        <f>AVERAGE(CL6:CL12)</f>
        <v>1</v>
      </c>
      <c r="CP6" s="1031" t="s">
        <v>9931</v>
      </c>
      <c r="CQ6" s="1032"/>
      <c r="CR6" s="1035">
        <v>6000000</v>
      </c>
      <c r="CS6" s="1032"/>
      <c r="CT6" s="1032"/>
      <c r="CU6" s="1032"/>
      <c r="CV6" s="1032">
        <v>675</v>
      </c>
      <c r="CW6" s="1032"/>
      <c r="CX6" s="1032"/>
      <c r="CY6" s="1032"/>
      <c r="CZ6" s="1032"/>
      <c r="DA6" s="1032"/>
      <c r="DB6" s="1032"/>
      <c r="DC6" s="1032"/>
      <c r="DD6" s="1032"/>
      <c r="DE6" s="1032"/>
      <c r="DF6" s="1032"/>
      <c r="DG6" s="1036"/>
      <c r="DH6" s="1036"/>
      <c r="DI6" s="1036"/>
      <c r="DJ6" s="1036"/>
      <c r="DK6" s="1036"/>
      <c r="DL6" s="1036"/>
      <c r="DM6" s="1036"/>
      <c r="DN6" s="1036"/>
      <c r="DO6" s="1036"/>
      <c r="DP6" s="1036"/>
      <c r="DQ6" s="1036"/>
      <c r="DR6" s="1036"/>
      <c r="DS6" s="1036"/>
      <c r="DT6" s="1036"/>
      <c r="DU6" s="1036"/>
      <c r="DV6" s="1036"/>
      <c r="DW6" s="1036"/>
      <c r="DX6" s="1036"/>
      <c r="DY6" s="1036"/>
      <c r="DZ6" s="1036"/>
      <c r="EA6"/>
      <c r="EB6"/>
      <c r="EC6"/>
      <c r="ED6"/>
      <c r="EE6"/>
      <c r="EF6"/>
      <c r="EG6"/>
      <c r="EH6"/>
      <c r="EI6"/>
      <c r="EJ6"/>
      <c r="EK6"/>
      <c r="EL6"/>
    </row>
    <row r="7" spans="1:142" s="602" customFormat="1" ht="30" customHeight="1">
      <c r="A7" s="595" t="s">
        <v>2302</v>
      </c>
      <c r="B7" s="15104"/>
      <c r="C7" s="596" t="s">
        <v>2304</v>
      </c>
      <c r="D7" s="597" t="s">
        <v>2310</v>
      </c>
      <c r="E7" s="597" t="s">
        <v>2311</v>
      </c>
      <c r="F7" s="603">
        <v>0.24299999999999999</v>
      </c>
      <c r="G7" s="597" t="s">
        <v>2009</v>
      </c>
      <c r="H7" s="597" t="s">
        <v>2312</v>
      </c>
      <c r="I7" s="597" t="s">
        <v>2313</v>
      </c>
      <c r="J7" s="597">
        <v>2</v>
      </c>
      <c r="K7" s="597" t="s">
        <v>7598</v>
      </c>
      <c r="L7" s="599" t="s">
        <v>9572</v>
      </c>
      <c r="M7" s="600" t="s">
        <v>2308</v>
      </c>
      <c r="N7" s="522" t="s">
        <v>2315</v>
      </c>
      <c r="O7" s="554">
        <v>1</v>
      </c>
      <c r="P7" s="522" t="s">
        <v>2009</v>
      </c>
      <c r="Q7" s="520" t="s">
        <v>2316</v>
      </c>
      <c r="R7" s="535">
        <v>1</v>
      </c>
      <c r="S7" s="604">
        <v>1</v>
      </c>
      <c r="T7" s="519">
        <v>1</v>
      </c>
      <c r="U7" s="520" t="s">
        <v>4346</v>
      </c>
      <c r="V7" s="520" t="s">
        <v>4347</v>
      </c>
      <c r="W7" s="520"/>
      <c r="X7" s="521">
        <v>8100000</v>
      </c>
      <c r="Y7" s="521">
        <v>8100000</v>
      </c>
      <c r="Z7" s="522"/>
      <c r="AA7" s="522"/>
      <c r="AB7" s="522">
        <v>659</v>
      </c>
      <c r="AC7" s="522"/>
      <c r="AD7" s="522"/>
      <c r="AE7" s="522"/>
      <c r="AF7" s="522"/>
      <c r="AG7" s="522"/>
      <c r="AH7" s="15101">
        <v>481</v>
      </c>
      <c r="AI7" s="15102"/>
      <c r="AJ7" s="522"/>
      <c r="AK7" s="15101">
        <v>178</v>
      </c>
      <c r="AL7" s="15102"/>
      <c r="AM7" s="522"/>
      <c r="AN7" s="522"/>
      <c r="AO7" s="522"/>
      <c r="AP7" s="15101">
        <v>659</v>
      </c>
      <c r="AQ7" s="15102"/>
      <c r="AR7" s="522"/>
      <c r="AS7" s="522"/>
      <c r="AT7" s="522"/>
      <c r="AU7" s="522"/>
      <c r="AV7" s="522"/>
      <c r="AW7" s="522"/>
      <c r="AX7" s="522"/>
      <c r="AY7" s="522"/>
      <c r="AZ7" s="522"/>
      <c r="BA7" s="522"/>
      <c r="BB7" s="522"/>
      <c r="BC7" s="522"/>
      <c r="BD7" s="522"/>
      <c r="BE7" s="522"/>
      <c r="BF7" s="522"/>
      <c r="BG7" s="522"/>
      <c r="BH7" s="522"/>
      <c r="BI7" s="522"/>
      <c r="BJ7" s="522"/>
      <c r="BK7" s="523"/>
      <c r="BL7" s="939"/>
      <c r="BM7" s="15028"/>
      <c r="BN7" s="15030"/>
      <c r="BO7" s="15034"/>
      <c r="BP7" s="15035"/>
      <c r="BQ7" s="1032" t="s">
        <v>2310</v>
      </c>
      <c r="BR7" s="1033" t="s">
        <v>2311</v>
      </c>
      <c r="BS7" s="1037">
        <v>0.24299999999999999</v>
      </c>
      <c r="BT7" s="1032" t="s">
        <v>2009</v>
      </c>
      <c r="BU7" s="1032" t="s">
        <v>2312</v>
      </c>
      <c r="BV7" s="1033" t="s">
        <v>2313</v>
      </c>
      <c r="BW7" s="1032">
        <v>2</v>
      </c>
      <c r="BX7" s="1032" t="s">
        <v>7598</v>
      </c>
      <c r="BY7" s="956" t="s">
        <v>2314</v>
      </c>
      <c r="BZ7" s="2854" t="s">
        <v>10066</v>
      </c>
      <c r="CA7" s="1032" t="s">
        <v>2308</v>
      </c>
      <c r="CB7" s="1032"/>
      <c r="CC7" s="1036" t="s">
        <v>2315</v>
      </c>
      <c r="CD7" s="1034">
        <v>1</v>
      </c>
      <c r="CE7" s="1036" t="s">
        <v>2009</v>
      </c>
      <c r="CF7" s="1032" t="s">
        <v>2316</v>
      </c>
      <c r="CG7" s="1034">
        <v>1</v>
      </c>
      <c r="CH7" s="1034">
        <v>1</v>
      </c>
      <c r="CI7" s="1034">
        <v>1</v>
      </c>
      <c r="CJ7" s="1034">
        <v>1</v>
      </c>
      <c r="CK7" s="1034">
        <v>1</v>
      </c>
      <c r="CL7" s="1167">
        <v>1</v>
      </c>
      <c r="CM7" s="14930"/>
      <c r="CN7" s="14931"/>
      <c r="CO7" s="14937"/>
      <c r="CP7" s="1056" t="s">
        <v>9932</v>
      </c>
      <c r="CQ7" s="1032"/>
      <c r="CR7" s="14939">
        <v>36040596</v>
      </c>
      <c r="CS7" s="1032"/>
      <c r="CT7" s="1032"/>
      <c r="CU7" s="1032"/>
      <c r="CV7" s="1032">
        <v>60</v>
      </c>
      <c r="CW7" s="1032"/>
      <c r="CX7" s="1032"/>
      <c r="CY7" s="1032"/>
      <c r="CZ7" s="1032"/>
      <c r="DA7" s="1032"/>
      <c r="DB7" s="1032"/>
      <c r="DC7" s="1032"/>
      <c r="DD7" s="1032"/>
      <c r="DE7" s="1032"/>
      <c r="DF7" s="1032"/>
      <c r="DG7" s="1036"/>
      <c r="DH7" s="1036"/>
      <c r="DI7" s="1036"/>
      <c r="DJ7" s="1036"/>
      <c r="DK7" s="1036"/>
      <c r="DL7" s="1036"/>
      <c r="DM7" s="1036"/>
      <c r="DN7" s="1036"/>
      <c r="DO7" s="1036"/>
      <c r="DP7" s="1036"/>
      <c r="DQ7" s="1036"/>
      <c r="DR7" s="1036"/>
      <c r="DS7" s="1036"/>
      <c r="DT7" s="1036"/>
      <c r="DU7" s="1036"/>
      <c r="DV7" s="1036"/>
      <c r="DW7" s="1036"/>
      <c r="DX7" s="1036"/>
      <c r="DY7" s="1036"/>
      <c r="DZ7" s="1036"/>
      <c r="EA7"/>
      <c r="EB7"/>
      <c r="EC7"/>
      <c r="ED7"/>
      <c r="EE7"/>
      <c r="EF7"/>
      <c r="EG7"/>
      <c r="EH7"/>
      <c r="EI7"/>
      <c r="EJ7"/>
      <c r="EK7"/>
      <c r="EL7"/>
    </row>
    <row r="8" spans="1:142" s="602" customFormat="1" ht="30" customHeight="1">
      <c r="A8" s="595" t="s">
        <v>2302</v>
      </c>
      <c r="B8" s="15104"/>
      <c r="C8" s="596" t="s">
        <v>2304</v>
      </c>
      <c r="D8" s="597" t="s">
        <v>2310</v>
      </c>
      <c r="E8" s="597" t="s">
        <v>2311</v>
      </c>
      <c r="F8" s="603">
        <v>0.24299999999999999</v>
      </c>
      <c r="G8" s="597" t="s">
        <v>2009</v>
      </c>
      <c r="H8" s="597" t="s">
        <v>2312</v>
      </c>
      <c r="I8" s="597" t="s">
        <v>2313</v>
      </c>
      <c r="J8" s="597">
        <v>3</v>
      </c>
      <c r="K8" s="597" t="s">
        <v>7599</v>
      </c>
      <c r="L8" s="599" t="s">
        <v>9573</v>
      </c>
      <c r="M8" s="600" t="s">
        <v>2308</v>
      </c>
      <c r="N8" s="522" t="s">
        <v>70</v>
      </c>
      <c r="O8" s="554">
        <v>1</v>
      </c>
      <c r="P8" s="522" t="s">
        <v>2009</v>
      </c>
      <c r="Q8" s="520" t="s">
        <v>2318</v>
      </c>
      <c r="R8" s="535">
        <v>1</v>
      </c>
      <c r="S8" s="604">
        <v>1</v>
      </c>
      <c r="T8" s="519">
        <v>1</v>
      </c>
      <c r="U8" s="520" t="s">
        <v>4348</v>
      </c>
      <c r="V8" s="520" t="s">
        <v>4347</v>
      </c>
      <c r="W8" s="522"/>
      <c r="X8" s="521">
        <v>11000000</v>
      </c>
      <c r="Y8" s="521">
        <v>11000000</v>
      </c>
      <c r="Z8" s="522"/>
      <c r="AA8" s="522"/>
      <c r="AB8" s="522"/>
      <c r="AC8" s="522"/>
      <c r="AD8" s="522"/>
      <c r="AE8" s="522"/>
      <c r="AF8" s="522"/>
      <c r="AG8" s="522"/>
      <c r="AH8" s="522"/>
      <c r="AI8" s="522"/>
      <c r="AJ8" s="522"/>
      <c r="AK8" s="522"/>
      <c r="AL8" s="522"/>
      <c r="AM8" s="522"/>
      <c r="AN8" s="522"/>
      <c r="AO8" s="522"/>
      <c r="AP8" s="522"/>
      <c r="AQ8" s="522"/>
      <c r="AR8" s="522"/>
      <c r="AS8" s="522"/>
      <c r="AT8" s="522"/>
      <c r="AU8" s="522"/>
      <c r="AV8" s="522"/>
      <c r="AW8" s="522"/>
      <c r="AX8" s="522"/>
      <c r="AY8" s="522"/>
      <c r="AZ8" s="522"/>
      <c r="BA8" s="522"/>
      <c r="BB8" s="522"/>
      <c r="BC8" s="522"/>
      <c r="BD8" s="522"/>
      <c r="BE8" s="522"/>
      <c r="BF8" s="522"/>
      <c r="BG8" s="522"/>
      <c r="BH8" s="522"/>
      <c r="BI8" s="522"/>
      <c r="BJ8" s="522"/>
      <c r="BK8" s="523"/>
      <c r="BL8" s="939"/>
      <c r="BM8" s="15028"/>
      <c r="BN8" s="15030"/>
      <c r="BO8" s="15034"/>
      <c r="BP8" s="15035"/>
      <c r="BQ8" s="1032" t="s">
        <v>2310</v>
      </c>
      <c r="BR8" s="1033" t="s">
        <v>2311</v>
      </c>
      <c r="BS8" s="1037">
        <v>0.24299999999999999</v>
      </c>
      <c r="BT8" s="1032" t="s">
        <v>2009</v>
      </c>
      <c r="BU8" s="1032" t="s">
        <v>2312</v>
      </c>
      <c r="BV8" s="1033" t="s">
        <v>2313</v>
      </c>
      <c r="BW8" s="1032">
        <v>3</v>
      </c>
      <c r="BX8" s="1032" t="s">
        <v>7599</v>
      </c>
      <c r="BY8" s="956" t="s">
        <v>2317</v>
      </c>
      <c r="BZ8" s="2854" t="s">
        <v>10066</v>
      </c>
      <c r="CA8" s="1032" t="s">
        <v>2308</v>
      </c>
      <c r="CB8" s="1032"/>
      <c r="CC8" s="1036" t="s">
        <v>70</v>
      </c>
      <c r="CD8" s="1034">
        <v>1</v>
      </c>
      <c r="CE8" s="1036" t="s">
        <v>2009</v>
      </c>
      <c r="CF8" s="1032" t="s">
        <v>2318</v>
      </c>
      <c r="CG8" s="1034">
        <v>1</v>
      </c>
      <c r="CH8" s="1034">
        <v>1</v>
      </c>
      <c r="CI8" s="1034">
        <v>1</v>
      </c>
      <c r="CJ8" s="1034">
        <v>1</v>
      </c>
      <c r="CK8" s="1034">
        <v>1</v>
      </c>
      <c r="CL8" s="1167">
        <v>1</v>
      </c>
      <c r="CM8" s="14930"/>
      <c r="CN8" s="14931"/>
      <c r="CO8" s="14937"/>
      <c r="CP8" s="1031" t="s">
        <v>9933</v>
      </c>
      <c r="CQ8" s="1032"/>
      <c r="CR8" s="14940"/>
      <c r="CS8" s="1032"/>
      <c r="CT8" s="1032"/>
      <c r="CU8" s="1032"/>
      <c r="CV8" s="1032">
        <v>50</v>
      </c>
      <c r="CW8" s="1032"/>
      <c r="CX8" s="1032"/>
      <c r="CY8" s="1032"/>
      <c r="CZ8" s="1032"/>
      <c r="DA8" s="1032"/>
      <c r="DB8" s="1032"/>
      <c r="DC8" s="1032"/>
      <c r="DD8" s="1032"/>
      <c r="DE8" s="1032"/>
      <c r="DF8" s="1032"/>
      <c r="DG8" s="1036"/>
      <c r="DH8" s="1036"/>
      <c r="DI8" s="1036"/>
      <c r="DJ8" s="1036"/>
      <c r="DK8" s="1036"/>
      <c r="DL8" s="1036"/>
      <c r="DM8" s="1036"/>
      <c r="DN8" s="1036"/>
      <c r="DO8" s="1036"/>
      <c r="DP8" s="1036"/>
      <c r="DQ8" s="1036"/>
      <c r="DR8" s="1036"/>
      <c r="DS8" s="1036"/>
      <c r="DT8" s="1036"/>
      <c r="DU8" s="1036"/>
      <c r="DV8" s="1036"/>
      <c r="DW8" s="1036"/>
      <c r="DX8" s="1036"/>
      <c r="DY8" s="1036"/>
      <c r="DZ8" s="1036"/>
      <c r="EA8"/>
      <c r="EB8"/>
      <c r="EC8"/>
      <c r="ED8"/>
      <c r="EE8"/>
      <c r="EF8"/>
      <c r="EG8"/>
      <c r="EH8"/>
      <c r="EI8"/>
      <c r="EJ8"/>
      <c r="EK8"/>
      <c r="EL8"/>
    </row>
    <row r="9" spans="1:142" s="602" customFormat="1" ht="30" customHeight="1">
      <c r="A9" s="595" t="s">
        <v>2302</v>
      </c>
      <c r="B9" s="15104"/>
      <c r="C9" s="605"/>
      <c r="D9" s="597" t="s">
        <v>2319</v>
      </c>
      <c r="E9" s="598">
        <v>1</v>
      </c>
      <c r="F9" s="598">
        <v>1</v>
      </c>
      <c r="G9" s="597" t="s">
        <v>2009</v>
      </c>
      <c r="H9" s="597" t="s">
        <v>2320</v>
      </c>
      <c r="I9" s="597" t="s">
        <v>2321</v>
      </c>
      <c r="J9" s="597">
        <v>6</v>
      </c>
      <c r="K9" s="597" t="s">
        <v>7600</v>
      </c>
      <c r="L9" s="599" t="s">
        <v>2322</v>
      </c>
      <c r="M9" s="600" t="s">
        <v>2323</v>
      </c>
      <c r="N9" s="520" t="s">
        <v>2324</v>
      </c>
      <c r="O9" s="606">
        <v>1</v>
      </c>
      <c r="P9" s="522" t="s">
        <v>2009</v>
      </c>
      <c r="Q9" s="520" t="s">
        <v>2325</v>
      </c>
      <c r="R9" s="535">
        <v>1</v>
      </c>
      <c r="S9" s="604">
        <v>1</v>
      </c>
      <c r="T9" s="524">
        <v>1</v>
      </c>
      <c r="U9" s="525" t="s">
        <v>4349</v>
      </c>
      <c r="V9" s="526" t="s">
        <v>4350</v>
      </c>
      <c r="W9" s="526" t="s">
        <v>4351</v>
      </c>
      <c r="X9" s="527">
        <f>Y9+Z9+AA9</f>
        <v>5000000</v>
      </c>
      <c r="Y9" s="527">
        <v>5000000</v>
      </c>
      <c r="Z9" s="527"/>
      <c r="AA9" s="527"/>
      <c r="AB9" s="526" t="s">
        <v>4351</v>
      </c>
      <c r="AC9" s="528"/>
      <c r="AD9" s="528"/>
      <c r="AE9" s="528"/>
      <c r="AF9" s="528"/>
      <c r="AG9" s="528"/>
      <c r="AH9" s="528"/>
      <c r="AI9" s="528"/>
      <c r="AJ9" s="528"/>
      <c r="AK9" s="528"/>
      <c r="AL9" s="528"/>
      <c r="AM9" s="528"/>
      <c r="AN9" s="528"/>
      <c r="AO9" s="528"/>
      <c r="AP9" s="528"/>
      <c r="AQ9" s="528"/>
      <c r="AR9" s="528"/>
      <c r="AS9" s="528"/>
      <c r="AT9" s="528"/>
      <c r="AU9" s="528"/>
      <c r="AV9" s="528"/>
      <c r="AW9" s="528"/>
      <c r="AX9" s="528"/>
      <c r="AY9" s="528"/>
      <c r="AZ9" s="528"/>
      <c r="BA9" s="528"/>
      <c r="BB9" s="528"/>
      <c r="BC9" s="528"/>
      <c r="BD9" s="528"/>
      <c r="BE9" s="528"/>
      <c r="BF9" s="528"/>
      <c r="BG9" s="528"/>
      <c r="BH9" s="528"/>
      <c r="BI9" s="528"/>
      <c r="BJ9" s="528"/>
      <c r="BK9" s="529"/>
      <c r="BL9" s="939"/>
      <c r="BM9" s="15029"/>
      <c r="BN9" s="15030"/>
      <c r="BO9" s="15034"/>
      <c r="BP9" s="15035"/>
      <c r="BQ9" s="1032" t="s">
        <v>2319</v>
      </c>
      <c r="BR9" s="1039">
        <v>1</v>
      </c>
      <c r="BS9" s="1031">
        <v>1</v>
      </c>
      <c r="BT9" s="1032" t="s">
        <v>2009</v>
      </c>
      <c r="BU9" s="1032" t="s">
        <v>2320</v>
      </c>
      <c r="BV9" s="1033" t="s">
        <v>2321</v>
      </c>
      <c r="BW9" s="1032">
        <v>6</v>
      </c>
      <c r="BX9" s="1032" t="s">
        <v>7600</v>
      </c>
      <c r="BY9" s="956" t="s">
        <v>2322</v>
      </c>
      <c r="BZ9" s="2854" t="s">
        <v>10063</v>
      </c>
      <c r="CA9" s="1032" t="s">
        <v>2323</v>
      </c>
      <c r="CB9" s="1032"/>
      <c r="CC9" s="1032" t="s">
        <v>2324</v>
      </c>
      <c r="CD9" s="1038">
        <v>1</v>
      </c>
      <c r="CE9" s="1036" t="s">
        <v>2009</v>
      </c>
      <c r="CF9" s="1032" t="s">
        <v>2325</v>
      </c>
      <c r="CG9" s="1034">
        <v>1</v>
      </c>
      <c r="CH9" s="1034">
        <v>1</v>
      </c>
      <c r="CI9" s="1034">
        <v>1</v>
      </c>
      <c r="CJ9" s="1034">
        <v>1</v>
      </c>
      <c r="CK9" s="1034">
        <v>1</v>
      </c>
      <c r="CL9" s="1167">
        <v>1</v>
      </c>
      <c r="CM9" s="14930"/>
      <c r="CN9" s="14931"/>
      <c r="CO9" s="14937"/>
      <c r="CP9" s="957" t="s">
        <v>9934</v>
      </c>
      <c r="CQ9" s="1032"/>
      <c r="CR9" s="14940"/>
      <c r="CS9" s="1032"/>
      <c r="CT9" s="1032"/>
      <c r="CU9" s="1032"/>
      <c r="CV9" s="1032"/>
      <c r="CW9" s="1032">
        <v>141</v>
      </c>
      <c r="CX9" s="1032">
        <v>191</v>
      </c>
      <c r="CY9" s="1032">
        <v>0</v>
      </c>
      <c r="CZ9" s="1032">
        <v>332</v>
      </c>
      <c r="DA9" s="1032">
        <v>107</v>
      </c>
      <c r="DB9" s="1032">
        <v>61</v>
      </c>
      <c r="DC9" s="1032">
        <v>23</v>
      </c>
      <c r="DD9" s="1032">
        <v>67</v>
      </c>
      <c r="DE9" s="1032">
        <v>45</v>
      </c>
      <c r="DF9" s="1032">
        <v>18</v>
      </c>
      <c r="DG9" s="1036">
        <v>11</v>
      </c>
      <c r="DH9" s="1036"/>
      <c r="DI9" s="1036"/>
      <c r="DJ9" s="1036">
        <v>332</v>
      </c>
      <c r="DK9" s="1036"/>
      <c r="DL9" s="1036"/>
      <c r="DM9" s="1036"/>
      <c r="DN9" s="1036"/>
      <c r="DO9" s="1036"/>
      <c r="DP9" s="1036"/>
      <c r="DQ9" s="1036"/>
      <c r="DR9" s="1036">
        <v>332</v>
      </c>
      <c r="DS9" s="1036"/>
      <c r="DT9" s="1036"/>
      <c r="DU9" s="1036"/>
      <c r="DV9" s="1036"/>
      <c r="DW9" s="1036"/>
      <c r="DX9" s="1036"/>
      <c r="DY9" s="1036"/>
      <c r="DZ9" s="1036"/>
      <c r="EA9"/>
      <c r="EB9"/>
      <c r="EC9"/>
      <c r="ED9"/>
      <c r="EE9"/>
      <c r="EF9"/>
      <c r="EG9"/>
      <c r="EH9"/>
      <c r="EI9"/>
      <c r="EJ9"/>
      <c r="EK9"/>
      <c r="EL9"/>
    </row>
    <row r="10" spans="1:142" s="602" customFormat="1" ht="30" customHeight="1">
      <c r="A10" s="607"/>
      <c r="B10" s="15104"/>
      <c r="C10" s="596"/>
      <c r="D10" s="597" t="s">
        <v>2305</v>
      </c>
      <c r="E10" s="598">
        <v>0</v>
      </c>
      <c r="F10" s="598">
        <v>1</v>
      </c>
      <c r="G10" s="597" t="s">
        <v>2009</v>
      </c>
      <c r="H10" s="597" t="s">
        <v>2306</v>
      </c>
      <c r="I10" s="597" t="s">
        <v>2307</v>
      </c>
      <c r="J10" s="597">
        <v>7</v>
      </c>
      <c r="K10" s="597" t="s">
        <v>7601</v>
      </c>
      <c r="L10" s="599" t="s">
        <v>2326</v>
      </c>
      <c r="M10" s="600" t="s">
        <v>2308</v>
      </c>
      <c r="N10" s="520" t="s">
        <v>70</v>
      </c>
      <c r="O10" s="608">
        <v>1</v>
      </c>
      <c r="P10" s="520" t="s">
        <v>2009</v>
      </c>
      <c r="Q10" s="520" t="s">
        <v>2327</v>
      </c>
      <c r="R10" s="609">
        <v>1</v>
      </c>
      <c r="S10" s="610">
        <v>1</v>
      </c>
      <c r="T10" s="519">
        <v>1</v>
      </c>
      <c r="U10" s="520" t="s">
        <v>4352</v>
      </c>
      <c r="V10" s="520" t="s">
        <v>4353</v>
      </c>
      <c r="W10" s="522"/>
      <c r="X10" s="521">
        <v>3894000</v>
      </c>
      <c r="Y10" s="521">
        <v>3894000</v>
      </c>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c r="BG10" s="522"/>
      <c r="BH10" s="522"/>
      <c r="BI10" s="522"/>
      <c r="BJ10" s="522"/>
      <c r="BK10" s="523"/>
      <c r="BL10" s="939"/>
      <c r="BM10" s="1057"/>
      <c r="BN10" s="15030"/>
      <c r="BO10" s="15034"/>
      <c r="BP10" s="15035"/>
      <c r="BQ10" s="15038" t="s">
        <v>2305</v>
      </c>
      <c r="BR10" s="15040">
        <v>0</v>
      </c>
      <c r="BS10" s="15040">
        <v>1</v>
      </c>
      <c r="BT10" s="15042" t="s">
        <v>2009</v>
      </c>
      <c r="BU10" s="15042" t="s">
        <v>2306</v>
      </c>
      <c r="BV10" s="1033" t="s">
        <v>2307</v>
      </c>
      <c r="BW10" s="1032">
        <v>7</v>
      </c>
      <c r="BX10" s="1032" t="s">
        <v>7601</v>
      </c>
      <c r="BY10" s="956" t="s">
        <v>2326</v>
      </c>
      <c r="BZ10" s="2854" t="s">
        <v>10066</v>
      </c>
      <c r="CA10" s="1032" t="s">
        <v>2308</v>
      </c>
      <c r="CB10" s="1032"/>
      <c r="CC10" s="1032" t="s">
        <v>70</v>
      </c>
      <c r="CD10" s="1031">
        <v>1</v>
      </c>
      <c r="CE10" s="1032" t="s">
        <v>2009</v>
      </c>
      <c r="CF10" s="1032" t="s">
        <v>2327</v>
      </c>
      <c r="CG10" s="1031">
        <v>0.2</v>
      </c>
      <c r="CH10" s="1031">
        <v>1</v>
      </c>
      <c r="CI10" s="1032">
        <v>1</v>
      </c>
      <c r="CJ10" s="1032">
        <v>1</v>
      </c>
      <c r="CK10" s="1034">
        <v>1</v>
      </c>
      <c r="CL10" s="1167">
        <v>1</v>
      </c>
      <c r="CM10" s="14930"/>
      <c r="CN10" s="14931"/>
      <c r="CO10" s="14937"/>
      <c r="CP10" s="1031" t="s">
        <v>9935</v>
      </c>
      <c r="CQ10" s="1032"/>
      <c r="CR10" s="14941"/>
      <c r="CS10" s="1032"/>
      <c r="CT10" s="1032"/>
      <c r="CU10" s="1032"/>
      <c r="CV10" s="1032"/>
      <c r="CW10" s="1032"/>
      <c r="CX10" s="1032"/>
      <c r="CY10" s="1032"/>
      <c r="CZ10" s="1032"/>
      <c r="DA10" s="1032"/>
      <c r="DB10" s="1032"/>
      <c r="DC10" s="1032"/>
      <c r="DD10" s="1032"/>
      <c r="DE10" s="1032"/>
      <c r="DF10" s="1032"/>
      <c r="DG10" s="1036"/>
      <c r="DH10" s="1036"/>
      <c r="DI10" s="1036"/>
      <c r="DJ10" s="1036"/>
      <c r="DK10" s="1036"/>
      <c r="DL10" s="1036"/>
      <c r="DM10" s="1036"/>
      <c r="DN10" s="1036"/>
      <c r="DO10" s="1036"/>
      <c r="DP10" s="1036"/>
      <c r="DQ10" s="1036"/>
      <c r="DR10" s="1036"/>
      <c r="DS10" s="1036"/>
      <c r="DT10" s="1036"/>
      <c r="DU10" s="1036"/>
      <c r="DV10" s="1036"/>
      <c r="DW10" s="1036"/>
      <c r="DX10" s="1036"/>
      <c r="DY10" s="1036"/>
      <c r="DZ10" s="1036"/>
      <c r="EA10"/>
      <c r="EB10"/>
      <c r="EC10"/>
      <c r="ED10"/>
      <c r="EE10"/>
      <c r="EF10"/>
      <c r="EG10"/>
      <c r="EH10"/>
      <c r="EI10"/>
      <c r="EJ10"/>
      <c r="EK10"/>
      <c r="EL10"/>
    </row>
    <row r="11" spans="1:142" s="602" customFormat="1" ht="30" customHeight="1">
      <c r="A11" s="607"/>
      <c r="B11" s="15104"/>
      <c r="C11" s="596"/>
      <c r="D11" s="611"/>
      <c r="E11" s="612"/>
      <c r="F11" s="612"/>
      <c r="G11" s="611"/>
      <c r="H11" s="611"/>
      <c r="I11" s="597" t="s">
        <v>2307</v>
      </c>
      <c r="J11" s="597">
        <v>8</v>
      </c>
      <c r="K11" s="597" t="s">
        <v>7602</v>
      </c>
      <c r="L11" s="599" t="s">
        <v>9574</v>
      </c>
      <c r="M11" s="600" t="s">
        <v>2308</v>
      </c>
      <c r="N11" s="520" t="s">
        <v>70</v>
      </c>
      <c r="O11" s="608">
        <v>1</v>
      </c>
      <c r="P11" s="608" t="s">
        <v>2009</v>
      </c>
      <c r="Q11" s="520" t="s">
        <v>2329</v>
      </c>
      <c r="R11" s="613">
        <v>1</v>
      </c>
      <c r="S11" s="614">
        <v>1</v>
      </c>
      <c r="T11" s="519">
        <v>1</v>
      </c>
      <c r="U11" s="520" t="s">
        <v>4354</v>
      </c>
      <c r="V11" s="520" t="s">
        <v>4355</v>
      </c>
      <c r="W11" s="522"/>
      <c r="X11" s="521">
        <v>3894000</v>
      </c>
      <c r="Y11" s="521">
        <v>3894000</v>
      </c>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c r="BC11" s="522"/>
      <c r="BD11" s="522"/>
      <c r="BE11" s="522"/>
      <c r="BF11" s="522"/>
      <c r="BG11" s="522"/>
      <c r="BH11" s="522"/>
      <c r="BI11" s="522"/>
      <c r="BJ11" s="522"/>
      <c r="BK11" s="523"/>
      <c r="BL11" s="939"/>
      <c r="BM11" s="1057"/>
      <c r="BN11" s="15030"/>
      <c r="BO11" s="15036"/>
      <c r="BP11" s="15037"/>
      <c r="BQ11" s="15039"/>
      <c r="BR11" s="15041"/>
      <c r="BS11" s="15041"/>
      <c r="BT11" s="14964"/>
      <c r="BU11" s="14964"/>
      <c r="BV11" s="1033" t="s">
        <v>2307</v>
      </c>
      <c r="BW11" s="1032">
        <v>8</v>
      </c>
      <c r="BX11" s="1032" t="s">
        <v>7602</v>
      </c>
      <c r="BY11" s="956" t="s">
        <v>2328</v>
      </c>
      <c r="BZ11" s="2854" t="s">
        <v>10066</v>
      </c>
      <c r="CA11" s="1032" t="s">
        <v>2308</v>
      </c>
      <c r="CB11" s="1032"/>
      <c r="CC11" s="1032" t="s">
        <v>70</v>
      </c>
      <c r="CD11" s="1031">
        <v>1</v>
      </c>
      <c r="CE11" s="1031" t="s">
        <v>2009</v>
      </c>
      <c r="CF11" s="1032" t="s">
        <v>2329</v>
      </c>
      <c r="CG11" s="1031">
        <v>1</v>
      </c>
      <c r="CH11" s="1031">
        <v>1</v>
      </c>
      <c r="CI11" s="1031">
        <v>1</v>
      </c>
      <c r="CJ11" s="1031">
        <v>1</v>
      </c>
      <c r="CK11" s="1034">
        <v>1</v>
      </c>
      <c r="CL11" s="1167">
        <v>1</v>
      </c>
      <c r="CM11" s="14930"/>
      <c r="CN11" s="14931"/>
      <c r="CO11" s="14937"/>
      <c r="CP11" s="1034"/>
      <c r="CQ11" s="1032"/>
      <c r="CR11" s="1035"/>
      <c r="CS11" s="1032"/>
      <c r="CT11" s="1032"/>
      <c r="CU11" s="1032"/>
      <c r="CV11" s="1032"/>
      <c r="CW11" s="1032"/>
      <c r="CX11" s="1032"/>
      <c r="CY11" s="1032"/>
      <c r="CZ11" s="1032"/>
      <c r="DA11" s="1032"/>
      <c r="DB11" s="1032"/>
      <c r="DC11" s="1032"/>
      <c r="DD11" s="1032"/>
      <c r="DE11" s="1032"/>
      <c r="DF11" s="1032"/>
      <c r="DG11" s="1036"/>
      <c r="DH11" s="1036"/>
      <c r="DI11" s="1036"/>
      <c r="DJ11" s="1036"/>
      <c r="DK11" s="1036"/>
      <c r="DL11" s="1036"/>
      <c r="DM11" s="1036"/>
      <c r="DN11" s="1036"/>
      <c r="DO11" s="1036"/>
      <c r="DP11" s="1036"/>
      <c r="DQ11" s="1036"/>
      <c r="DR11" s="1036"/>
      <c r="DS11" s="1036"/>
      <c r="DT11" s="1036"/>
      <c r="DU11" s="1036"/>
      <c r="DV11" s="1036"/>
      <c r="DW11" s="1036"/>
      <c r="DX11" s="1036"/>
      <c r="DY11" s="1036"/>
      <c r="DZ11" s="1036"/>
      <c r="EA11"/>
      <c r="EB11"/>
      <c r="EC11"/>
      <c r="ED11"/>
      <c r="EE11"/>
      <c r="EF11"/>
      <c r="EG11"/>
      <c r="EH11"/>
      <c r="EI11"/>
      <c r="EJ11"/>
      <c r="EK11"/>
      <c r="EL11"/>
    </row>
    <row r="12" spans="1:142" s="602" customFormat="1" ht="30" customHeight="1">
      <c r="A12" s="615" t="s">
        <v>2330</v>
      </c>
      <c r="B12" s="15107"/>
      <c r="C12" s="596" t="s">
        <v>2331</v>
      </c>
      <c r="D12" s="597" t="s">
        <v>2305</v>
      </c>
      <c r="E12" s="598">
        <v>0</v>
      </c>
      <c r="F12" s="598">
        <v>1</v>
      </c>
      <c r="G12" s="597" t="s">
        <v>2009</v>
      </c>
      <c r="H12" s="597" t="s">
        <v>2306</v>
      </c>
      <c r="I12" s="597" t="s">
        <v>2307</v>
      </c>
      <c r="J12" s="597">
        <v>9</v>
      </c>
      <c r="K12" s="597" t="s">
        <v>7603</v>
      </c>
      <c r="L12" s="599" t="s">
        <v>9575</v>
      </c>
      <c r="M12" s="616" t="s">
        <v>2308</v>
      </c>
      <c r="N12" s="520" t="s">
        <v>2333</v>
      </c>
      <c r="O12" s="608">
        <v>1</v>
      </c>
      <c r="P12" s="608" t="s">
        <v>2009</v>
      </c>
      <c r="Q12" s="520" t="s">
        <v>2334</v>
      </c>
      <c r="R12" s="613">
        <v>1</v>
      </c>
      <c r="S12" s="614">
        <v>1</v>
      </c>
      <c r="T12" s="519">
        <v>0</v>
      </c>
      <c r="U12" s="520" t="s">
        <v>4356</v>
      </c>
      <c r="V12" s="522" t="s">
        <v>2333</v>
      </c>
      <c r="W12" s="522"/>
      <c r="X12" s="522" t="s">
        <v>2333</v>
      </c>
      <c r="Y12" s="522"/>
      <c r="Z12" s="522"/>
      <c r="AA12" s="522"/>
      <c r="AB12" s="522"/>
      <c r="AC12" s="522"/>
      <c r="AD12" s="522"/>
      <c r="AE12" s="522"/>
      <c r="AF12" s="522"/>
      <c r="AG12" s="522"/>
      <c r="AH12" s="522"/>
      <c r="AI12" s="522"/>
      <c r="AJ12" s="522"/>
      <c r="AK12" s="522"/>
      <c r="AL12" s="522"/>
      <c r="AM12" s="522"/>
      <c r="AN12" s="522"/>
      <c r="AO12" s="522"/>
      <c r="AP12" s="522"/>
      <c r="AQ12" s="522"/>
      <c r="AR12" s="522"/>
      <c r="AS12" s="522"/>
      <c r="AT12" s="522"/>
      <c r="AU12" s="522"/>
      <c r="AV12" s="522"/>
      <c r="AW12" s="522"/>
      <c r="AX12" s="522"/>
      <c r="AY12" s="522"/>
      <c r="AZ12" s="522"/>
      <c r="BA12" s="522"/>
      <c r="BB12" s="522"/>
      <c r="BC12" s="522"/>
      <c r="BD12" s="522"/>
      <c r="BE12" s="522"/>
      <c r="BF12" s="522"/>
      <c r="BG12" s="522"/>
      <c r="BH12" s="522"/>
      <c r="BI12" s="522"/>
      <c r="BJ12" s="522"/>
      <c r="BK12" s="523"/>
      <c r="BL12" s="939"/>
      <c r="BM12" s="1052" t="s">
        <v>2330</v>
      </c>
      <c r="BN12" s="15031"/>
      <c r="BO12" s="15043" t="s">
        <v>2331</v>
      </c>
      <c r="BP12" s="15044"/>
      <c r="BQ12" s="954" t="s">
        <v>2305</v>
      </c>
      <c r="BR12" s="955">
        <v>0</v>
      </c>
      <c r="BS12" s="1031">
        <v>1</v>
      </c>
      <c r="BT12" s="1032" t="s">
        <v>2009</v>
      </c>
      <c r="BU12" s="1032" t="s">
        <v>2306</v>
      </c>
      <c r="BV12" s="1033" t="s">
        <v>2307</v>
      </c>
      <c r="BW12" s="1032">
        <v>9</v>
      </c>
      <c r="BX12" s="1032" t="s">
        <v>7603</v>
      </c>
      <c r="BY12" s="956" t="s">
        <v>2332</v>
      </c>
      <c r="BZ12" s="2854" t="s">
        <v>10066</v>
      </c>
      <c r="CA12" s="1058" t="s">
        <v>2308</v>
      </c>
      <c r="CB12" s="1058"/>
      <c r="CC12" s="1032" t="s">
        <v>2333</v>
      </c>
      <c r="CD12" s="1031">
        <v>1</v>
      </c>
      <c r="CE12" s="1031" t="s">
        <v>2009</v>
      </c>
      <c r="CF12" s="1032" t="s">
        <v>2334</v>
      </c>
      <c r="CG12" s="1031">
        <v>1</v>
      </c>
      <c r="CH12" s="1031">
        <v>1</v>
      </c>
      <c r="CI12" s="1031">
        <v>1</v>
      </c>
      <c r="CJ12" s="1031">
        <v>1</v>
      </c>
      <c r="CK12" s="1034">
        <v>1</v>
      </c>
      <c r="CL12" s="1167">
        <v>1</v>
      </c>
      <c r="CM12" s="14930"/>
      <c r="CN12" s="14931"/>
      <c r="CO12" s="14938"/>
      <c r="CP12" s="1034"/>
      <c r="CQ12" s="1032"/>
      <c r="CR12" s="1035"/>
      <c r="CS12" s="1032"/>
      <c r="CT12" s="1032"/>
      <c r="CU12" s="1032"/>
      <c r="CV12" s="1032"/>
      <c r="CW12" s="1032"/>
      <c r="CX12" s="1032"/>
      <c r="CY12" s="1032"/>
      <c r="CZ12" s="1032"/>
      <c r="DA12" s="1032"/>
      <c r="DB12" s="1032"/>
      <c r="DC12" s="1032"/>
      <c r="DD12" s="1032"/>
      <c r="DE12" s="1032"/>
      <c r="DF12" s="1032"/>
      <c r="DG12" s="1036"/>
      <c r="DH12" s="1036"/>
      <c r="DI12" s="1036"/>
      <c r="DJ12" s="1036"/>
      <c r="DK12" s="1036"/>
      <c r="DL12" s="1036"/>
      <c r="DM12" s="1036"/>
      <c r="DN12" s="1036"/>
      <c r="DO12" s="1036"/>
      <c r="DP12" s="1036"/>
      <c r="DQ12" s="1036"/>
      <c r="DR12" s="1036"/>
      <c r="DS12" s="1036"/>
      <c r="DT12" s="1036"/>
      <c r="DU12" s="1036"/>
      <c r="DV12" s="1036"/>
      <c r="DW12" s="1036"/>
      <c r="DX12" s="1036"/>
      <c r="DY12" s="1036"/>
      <c r="DZ12" s="1036"/>
      <c r="EA12"/>
      <c r="EB12"/>
      <c r="EC12"/>
      <c r="ED12"/>
      <c r="EE12"/>
      <c r="EF12"/>
      <c r="EG12"/>
      <c r="EH12"/>
      <c r="EI12"/>
      <c r="EJ12"/>
      <c r="EK12"/>
      <c r="EL12"/>
    </row>
    <row r="13" spans="1:142" s="602" customFormat="1" ht="30" customHeight="1">
      <c r="A13" s="607" t="s">
        <v>2335</v>
      </c>
      <c r="B13" s="617" t="s">
        <v>2336</v>
      </c>
      <c r="C13" s="618" t="s">
        <v>2337</v>
      </c>
      <c r="D13" s="619" t="s">
        <v>2319</v>
      </c>
      <c r="E13" s="620">
        <v>1</v>
      </c>
      <c r="F13" s="620">
        <v>1</v>
      </c>
      <c r="G13" s="619" t="s">
        <v>2009</v>
      </c>
      <c r="H13" s="619" t="s">
        <v>2320</v>
      </c>
      <c r="I13" s="619" t="s">
        <v>2321</v>
      </c>
      <c r="J13" s="619">
        <v>10</v>
      </c>
      <c r="K13" s="619" t="s">
        <v>7604</v>
      </c>
      <c r="L13" s="599" t="s">
        <v>9576</v>
      </c>
      <c r="M13" s="600" t="s">
        <v>2323</v>
      </c>
      <c r="N13" s="554">
        <v>1</v>
      </c>
      <c r="O13" s="554">
        <v>1</v>
      </c>
      <c r="P13" s="522" t="s">
        <v>2009</v>
      </c>
      <c r="Q13" s="520" t="s">
        <v>2339</v>
      </c>
      <c r="R13" s="535">
        <v>1</v>
      </c>
      <c r="S13" s="601">
        <v>1</v>
      </c>
      <c r="T13" s="524">
        <f>1*100%</f>
        <v>1</v>
      </c>
      <c r="U13" s="532" t="s">
        <v>4357</v>
      </c>
      <c r="V13" s="526" t="s">
        <v>4358</v>
      </c>
      <c r="W13" s="526" t="s">
        <v>4359</v>
      </c>
      <c r="X13" s="527">
        <f>Y13+Z13+AA13</f>
        <v>539012418.42787886</v>
      </c>
      <c r="Y13" s="527">
        <f>236503172.31303/2</f>
        <v>118251586.156515</v>
      </c>
      <c r="Z13" s="527">
        <f>29188118.3572727/2</f>
        <v>14594059.17863635</v>
      </c>
      <c r="AA13" s="527">
        <f>812333546.185455/2</f>
        <v>406166773.09272748</v>
      </c>
      <c r="AB13" s="528">
        <v>11702</v>
      </c>
      <c r="AC13" s="528">
        <v>4129</v>
      </c>
      <c r="AD13" s="528">
        <v>7573</v>
      </c>
      <c r="AE13" s="528"/>
      <c r="AF13" s="528"/>
      <c r="AG13" s="528">
        <v>29</v>
      </c>
      <c r="AH13" s="528">
        <v>20</v>
      </c>
      <c r="AI13" s="528">
        <v>37</v>
      </c>
      <c r="AJ13" s="528">
        <f>1218+10</f>
        <v>1228</v>
      </c>
      <c r="AK13" s="528">
        <v>3964</v>
      </c>
      <c r="AL13" s="528">
        <v>4635</v>
      </c>
      <c r="AM13" s="528">
        <v>1789</v>
      </c>
      <c r="AN13" s="528"/>
      <c r="AO13" s="528"/>
      <c r="AP13" s="528"/>
      <c r="AQ13" s="528">
        <v>11702</v>
      </c>
      <c r="AR13" s="528"/>
      <c r="AS13" s="528"/>
      <c r="AT13" s="528"/>
      <c r="AU13" s="528"/>
      <c r="AV13" s="528">
        <f>8936+23</f>
        <v>8959</v>
      </c>
      <c r="AW13" s="528">
        <v>2246</v>
      </c>
      <c r="AX13" s="528">
        <v>494</v>
      </c>
      <c r="AY13" s="528"/>
      <c r="AZ13" s="528">
        <v>1</v>
      </c>
      <c r="BA13" s="528">
        <v>2</v>
      </c>
      <c r="BB13" s="528"/>
      <c r="BC13" s="528"/>
      <c r="BD13" s="528"/>
      <c r="BE13" s="528"/>
      <c r="BF13" s="528"/>
      <c r="BG13" s="528"/>
      <c r="BH13" s="528"/>
      <c r="BI13" s="528"/>
      <c r="BJ13" s="528"/>
      <c r="BK13" s="529"/>
      <c r="BL13" s="939"/>
      <c r="BM13" s="1059" t="s">
        <v>2335</v>
      </c>
      <c r="BN13" s="1053" t="s">
        <v>2336</v>
      </c>
      <c r="BO13" s="15010" t="s">
        <v>2337</v>
      </c>
      <c r="BP13" s="15011"/>
      <c r="BQ13" s="1060" t="s">
        <v>2319</v>
      </c>
      <c r="BR13" s="1061">
        <v>1</v>
      </c>
      <c r="BS13" s="1062">
        <v>1</v>
      </c>
      <c r="BT13" s="1060" t="s">
        <v>2009</v>
      </c>
      <c r="BU13" s="1060" t="s">
        <v>2320</v>
      </c>
      <c r="BV13" s="1063" t="s">
        <v>2321</v>
      </c>
      <c r="BW13" s="1060">
        <v>10</v>
      </c>
      <c r="BX13" s="1060" t="s">
        <v>7604</v>
      </c>
      <c r="BY13" s="958" t="s">
        <v>2338</v>
      </c>
      <c r="BZ13" s="2855" t="s">
        <v>10063</v>
      </c>
      <c r="CA13" s="1060" t="s">
        <v>2323</v>
      </c>
      <c r="CB13" s="1060"/>
      <c r="CC13" s="1064">
        <v>1</v>
      </c>
      <c r="CD13" s="1064">
        <v>1</v>
      </c>
      <c r="CE13" s="1065" t="s">
        <v>2009</v>
      </c>
      <c r="CF13" s="1060" t="s">
        <v>2339</v>
      </c>
      <c r="CG13" s="1064">
        <v>1</v>
      </c>
      <c r="CH13" s="1064">
        <v>1</v>
      </c>
      <c r="CI13" s="1064">
        <v>1</v>
      </c>
      <c r="CJ13" s="1064">
        <v>1</v>
      </c>
      <c r="CK13" s="1064">
        <v>1</v>
      </c>
      <c r="CL13" s="1167">
        <v>1</v>
      </c>
      <c r="CM13" s="1064">
        <v>1</v>
      </c>
      <c r="CN13" s="959">
        <v>1</v>
      </c>
      <c r="CO13" s="960">
        <f>AVERAGE(CL13)</f>
        <v>1</v>
      </c>
      <c r="CP13" s="961" t="s">
        <v>9936</v>
      </c>
      <c r="CQ13" s="1060"/>
      <c r="CR13" s="1066">
        <v>139486441</v>
      </c>
      <c r="CS13" s="1060"/>
      <c r="CT13" s="1060"/>
      <c r="CU13" s="1060"/>
      <c r="CV13" s="1060">
        <v>8813</v>
      </c>
      <c r="CW13" s="1060">
        <v>2990</v>
      </c>
      <c r="CX13" s="1060">
        <v>5823</v>
      </c>
      <c r="CY13" s="1060"/>
      <c r="CZ13" s="1060"/>
      <c r="DA13" s="1060">
        <v>15</v>
      </c>
      <c r="DB13" s="1060">
        <v>104</v>
      </c>
      <c r="DC13" s="1060">
        <v>43</v>
      </c>
      <c r="DD13" s="1060">
        <v>1028</v>
      </c>
      <c r="DE13" s="1060">
        <v>3107</v>
      </c>
      <c r="DF13" s="1060">
        <v>3258</v>
      </c>
      <c r="DG13" s="1065">
        <v>1258</v>
      </c>
      <c r="DH13" s="1065"/>
      <c r="DI13" s="1065"/>
      <c r="DJ13" s="1065"/>
      <c r="DK13" s="1065">
        <v>8813</v>
      </c>
      <c r="DL13" s="1065"/>
      <c r="DM13" s="1065"/>
      <c r="DN13" s="1065"/>
      <c r="DO13" s="1065"/>
      <c r="DP13" s="1065">
        <v>6601</v>
      </c>
      <c r="DQ13" s="1065">
        <v>1840</v>
      </c>
      <c r="DR13" s="1065">
        <v>371</v>
      </c>
      <c r="DS13" s="1065"/>
      <c r="DT13" s="1065"/>
      <c r="DU13" s="1065">
        <v>1</v>
      </c>
      <c r="DV13" s="1065"/>
      <c r="DW13" s="1065"/>
      <c r="DX13" s="1065"/>
      <c r="DY13" s="1065"/>
      <c r="DZ13" s="1065"/>
      <c r="EA13"/>
      <c r="EB13"/>
      <c r="EC13"/>
      <c r="ED13"/>
      <c r="EE13"/>
      <c r="EF13"/>
      <c r="EG13"/>
      <c r="EH13"/>
      <c r="EI13"/>
      <c r="EJ13"/>
      <c r="EK13"/>
      <c r="EL13"/>
    </row>
    <row r="14" spans="1:142" s="602" customFormat="1" ht="30" customHeight="1">
      <c r="A14" s="621" t="s">
        <v>2340</v>
      </c>
      <c r="B14" s="15108" t="s">
        <v>2341</v>
      </c>
      <c r="C14" s="622" t="s">
        <v>2342</v>
      </c>
      <c r="D14" s="623" t="s">
        <v>2319</v>
      </c>
      <c r="E14" s="624">
        <v>1</v>
      </c>
      <c r="F14" s="624">
        <v>1</v>
      </c>
      <c r="G14" s="623" t="s">
        <v>2009</v>
      </c>
      <c r="H14" s="623" t="s">
        <v>2320</v>
      </c>
      <c r="I14" s="623" t="s">
        <v>2321</v>
      </c>
      <c r="J14" s="623">
        <v>11</v>
      </c>
      <c r="K14" s="623" t="s">
        <v>7605</v>
      </c>
      <c r="L14" s="599" t="s">
        <v>2343</v>
      </c>
      <c r="M14" s="610" t="s">
        <v>2323</v>
      </c>
      <c r="N14" s="554">
        <v>1</v>
      </c>
      <c r="O14" s="554">
        <v>1</v>
      </c>
      <c r="P14" s="522" t="s">
        <v>2009</v>
      </c>
      <c r="Q14" s="520" t="s">
        <v>2344</v>
      </c>
      <c r="R14" s="613">
        <v>1</v>
      </c>
      <c r="S14" s="614">
        <v>1</v>
      </c>
      <c r="T14" s="524">
        <f>6/6*100%</f>
        <v>1</v>
      </c>
      <c r="U14" s="532" t="s">
        <v>4360</v>
      </c>
      <c r="V14" s="526" t="s">
        <v>4361</v>
      </c>
      <c r="W14" s="528"/>
      <c r="X14" s="527">
        <f>Y14+Z14+AA14</f>
        <v>57539227.237499997</v>
      </c>
      <c r="Y14" s="527">
        <v>836074.98750000005</v>
      </c>
      <c r="Z14" s="527">
        <v>56703152.25</v>
      </c>
      <c r="AA14" s="527">
        <v>0</v>
      </c>
      <c r="AB14" s="528">
        <v>6</v>
      </c>
      <c r="AC14" s="528">
        <v>4</v>
      </c>
      <c r="AD14" s="528">
        <v>2</v>
      </c>
      <c r="AE14" s="528">
        <v>4</v>
      </c>
      <c r="AF14" s="528">
        <v>2</v>
      </c>
      <c r="AG14" s="528">
        <v>0</v>
      </c>
      <c r="AH14" s="528">
        <v>0</v>
      </c>
      <c r="AI14" s="528">
        <v>0</v>
      </c>
      <c r="AJ14" s="528">
        <v>2</v>
      </c>
      <c r="AK14" s="528">
        <v>2</v>
      </c>
      <c r="AL14" s="528">
        <v>0</v>
      </c>
      <c r="AM14" s="528">
        <v>2</v>
      </c>
      <c r="AN14" s="528">
        <v>0</v>
      </c>
      <c r="AO14" s="528">
        <v>0</v>
      </c>
      <c r="AP14" s="528">
        <v>0</v>
      </c>
      <c r="AQ14" s="528">
        <v>6</v>
      </c>
      <c r="AR14" s="528">
        <v>0</v>
      </c>
      <c r="AS14" s="528">
        <v>0</v>
      </c>
      <c r="AT14" s="528">
        <v>0</v>
      </c>
      <c r="AU14" s="528">
        <v>0</v>
      </c>
      <c r="AV14" s="528">
        <v>6</v>
      </c>
      <c r="AW14" s="528">
        <v>0</v>
      </c>
      <c r="AX14" s="528">
        <v>0</v>
      </c>
      <c r="AY14" s="528">
        <v>0</v>
      </c>
      <c r="AZ14" s="528">
        <v>0</v>
      </c>
      <c r="BA14" s="528">
        <v>0</v>
      </c>
      <c r="BB14" s="528"/>
      <c r="BC14" s="528"/>
      <c r="BD14" s="528"/>
      <c r="BE14" s="528"/>
      <c r="BF14" s="528"/>
      <c r="BG14" s="528"/>
      <c r="BH14" s="528"/>
      <c r="BI14" s="528"/>
      <c r="BJ14" s="528"/>
      <c r="BK14" s="529"/>
      <c r="BL14" s="939"/>
      <c r="BM14" s="15012" t="s">
        <v>2340</v>
      </c>
      <c r="BN14" s="15012" t="s">
        <v>2341</v>
      </c>
      <c r="BO14" s="15013" t="s">
        <v>2342</v>
      </c>
      <c r="BP14" s="15014"/>
      <c r="BQ14" s="1067" t="s">
        <v>2319</v>
      </c>
      <c r="BR14" s="1068">
        <v>1</v>
      </c>
      <c r="BS14" s="1069">
        <v>1</v>
      </c>
      <c r="BT14" s="1067" t="s">
        <v>2009</v>
      </c>
      <c r="BU14" s="1067" t="s">
        <v>2320</v>
      </c>
      <c r="BV14" s="1070" t="s">
        <v>2321</v>
      </c>
      <c r="BW14" s="1067">
        <v>11</v>
      </c>
      <c r="BX14" s="1067" t="s">
        <v>7605</v>
      </c>
      <c r="BY14" s="962" t="s">
        <v>2343</v>
      </c>
      <c r="BZ14" s="2856" t="s">
        <v>10063</v>
      </c>
      <c r="CA14" s="1067" t="s">
        <v>2323</v>
      </c>
      <c r="CB14" s="1067"/>
      <c r="CC14" s="1071">
        <v>1</v>
      </c>
      <c r="CD14" s="1071">
        <v>1</v>
      </c>
      <c r="CE14" s="1072" t="s">
        <v>2009</v>
      </c>
      <c r="CF14" s="1067" t="s">
        <v>2344</v>
      </c>
      <c r="CG14" s="1069">
        <v>1</v>
      </c>
      <c r="CH14" s="1069">
        <v>1</v>
      </c>
      <c r="CI14" s="1069">
        <v>1</v>
      </c>
      <c r="CJ14" s="1069">
        <v>1</v>
      </c>
      <c r="CK14" s="1071">
        <v>1</v>
      </c>
      <c r="CL14" s="1167">
        <v>1</v>
      </c>
      <c r="CM14" s="14932">
        <f>AVERAGE(CL14:CL58)</f>
        <v>0.84244444444444455</v>
      </c>
      <c r="CN14" s="14935">
        <v>44</v>
      </c>
      <c r="CO14" s="14942">
        <f>AVERAGE(CL14:CL58)</f>
        <v>0.84244444444444455</v>
      </c>
      <c r="CP14" s="963" t="s">
        <v>9937</v>
      </c>
      <c r="CQ14" s="962"/>
      <c r="CR14" s="964">
        <v>142852743</v>
      </c>
      <c r="CS14" s="962"/>
      <c r="CT14" s="962"/>
      <c r="CU14" s="962"/>
      <c r="CV14" s="964">
        <v>1328</v>
      </c>
      <c r="CW14" s="962">
        <v>487</v>
      </c>
      <c r="CX14" s="962">
        <v>841</v>
      </c>
      <c r="CY14" s="962"/>
      <c r="CZ14" s="962"/>
      <c r="DA14" s="962" t="s">
        <v>2943</v>
      </c>
      <c r="DB14" s="962" t="s">
        <v>2943</v>
      </c>
      <c r="DC14" s="962" t="s">
        <v>2943</v>
      </c>
      <c r="DD14" s="962" t="s">
        <v>2943</v>
      </c>
      <c r="DE14" s="962" t="s">
        <v>2943</v>
      </c>
      <c r="DF14" s="1073" t="s">
        <v>2943</v>
      </c>
      <c r="DG14" s="1072" t="s">
        <v>2943</v>
      </c>
      <c r="DH14" s="1072" t="s">
        <v>2943</v>
      </c>
      <c r="DI14" s="1072" t="s">
        <v>2943</v>
      </c>
      <c r="DJ14" s="1072" t="s">
        <v>2943</v>
      </c>
      <c r="DK14" s="1072" t="s">
        <v>2943</v>
      </c>
      <c r="DL14" s="1072" t="s">
        <v>2943</v>
      </c>
      <c r="DM14" s="1072" t="s">
        <v>2943</v>
      </c>
      <c r="DN14" s="1072" t="s">
        <v>2943</v>
      </c>
      <c r="DO14" s="1072" t="s">
        <v>2943</v>
      </c>
      <c r="DP14" s="1072" t="s">
        <v>2943</v>
      </c>
      <c r="DQ14" s="1072" t="s">
        <v>2943</v>
      </c>
      <c r="DR14" s="1072" t="s">
        <v>2943</v>
      </c>
      <c r="DS14" s="1072" t="s">
        <v>2943</v>
      </c>
      <c r="DT14" s="1072" t="s">
        <v>2943</v>
      </c>
      <c r="DU14" s="1072" t="s">
        <v>2943</v>
      </c>
      <c r="DV14" s="1072"/>
      <c r="DW14" s="1072"/>
      <c r="DX14" s="1072"/>
      <c r="DY14" s="1072"/>
      <c r="DZ14" s="1072"/>
      <c r="EA14"/>
      <c r="EB14"/>
      <c r="EC14"/>
      <c r="ED14"/>
      <c r="EE14"/>
      <c r="EF14"/>
      <c r="EG14"/>
      <c r="EH14"/>
      <c r="EI14"/>
      <c r="EJ14"/>
      <c r="EK14"/>
      <c r="EL14"/>
    </row>
    <row r="15" spans="1:142" s="602" customFormat="1" ht="30" customHeight="1">
      <c r="A15" s="621" t="s">
        <v>2340</v>
      </c>
      <c r="B15" s="15109"/>
      <c r="C15" s="622" t="s">
        <v>2345</v>
      </c>
      <c r="D15" s="623" t="s">
        <v>2319</v>
      </c>
      <c r="E15" s="624">
        <v>1</v>
      </c>
      <c r="F15" s="624">
        <v>1</v>
      </c>
      <c r="G15" s="623" t="s">
        <v>2009</v>
      </c>
      <c r="H15" s="623" t="s">
        <v>2320</v>
      </c>
      <c r="I15" s="623" t="s">
        <v>2321</v>
      </c>
      <c r="J15" s="623">
        <v>12</v>
      </c>
      <c r="K15" s="623" t="s">
        <v>7606</v>
      </c>
      <c r="L15" s="599" t="s">
        <v>9577</v>
      </c>
      <c r="M15" s="600" t="s">
        <v>2323</v>
      </c>
      <c r="N15" s="554">
        <v>1</v>
      </c>
      <c r="O15" s="554">
        <v>1</v>
      </c>
      <c r="P15" s="522" t="s">
        <v>2009</v>
      </c>
      <c r="Q15" s="520" t="s">
        <v>2347</v>
      </c>
      <c r="R15" s="613">
        <v>1</v>
      </c>
      <c r="S15" s="614">
        <v>1</v>
      </c>
      <c r="T15" s="524">
        <f>956/956*100%</f>
        <v>1</v>
      </c>
      <c r="U15" s="525" t="s">
        <v>4362</v>
      </c>
      <c r="V15" s="526" t="s">
        <v>4361</v>
      </c>
      <c r="W15" s="528"/>
      <c r="X15" s="527">
        <f>Y15+Z15+AA15</f>
        <v>57539227.237499997</v>
      </c>
      <c r="Y15" s="527">
        <v>836074.98750000005</v>
      </c>
      <c r="Z15" s="527">
        <v>56703152.25</v>
      </c>
      <c r="AA15" s="527">
        <v>0</v>
      </c>
      <c r="AB15" s="528">
        <v>956</v>
      </c>
      <c r="AC15" s="528">
        <v>475</v>
      </c>
      <c r="AD15" s="528">
        <v>481</v>
      </c>
      <c r="AE15" s="528">
        <v>710</v>
      </c>
      <c r="AF15" s="528">
        <v>246</v>
      </c>
      <c r="AG15" s="528">
        <v>71</v>
      </c>
      <c r="AH15" s="528">
        <v>81</v>
      </c>
      <c r="AI15" s="528">
        <v>71</v>
      </c>
      <c r="AJ15" s="528">
        <v>283</v>
      </c>
      <c r="AK15" s="528">
        <v>325</v>
      </c>
      <c r="AL15" s="528">
        <v>117</v>
      </c>
      <c r="AM15" s="528">
        <v>8</v>
      </c>
      <c r="AN15" s="528">
        <v>0</v>
      </c>
      <c r="AO15" s="528">
        <v>0</v>
      </c>
      <c r="AP15" s="528">
        <v>956</v>
      </c>
      <c r="AQ15" s="528">
        <v>956</v>
      </c>
      <c r="AR15" s="528">
        <v>0</v>
      </c>
      <c r="AS15" s="528">
        <v>0</v>
      </c>
      <c r="AT15" s="528">
        <v>0</v>
      </c>
      <c r="AU15" s="528">
        <v>0</v>
      </c>
      <c r="AV15" s="528">
        <v>687</v>
      </c>
      <c r="AW15" s="528">
        <v>241</v>
      </c>
      <c r="AX15" s="528">
        <v>28</v>
      </c>
      <c r="AY15" s="528">
        <v>0</v>
      </c>
      <c r="AZ15" s="528">
        <v>0</v>
      </c>
      <c r="BA15" s="528">
        <v>0</v>
      </c>
      <c r="BB15" s="528"/>
      <c r="BC15" s="528"/>
      <c r="BD15" s="528"/>
      <c r="BE15" s="528"/>
      <c r="BF15" s="528"/>
      <c r="BG15" s="528"/>
      <c r="BH15" s="528"/>
      <c r="BI15" s="528"/>
      <c r="BJ15" s="528"/>
      <c r="BK15" s="529"/>
      <c r="BL15" s="939"/>
      <c r="BM15" s="15012"/>
      <c r="BN15" s="15012"/>
      <c r="BO15" s="15013" t="s">
        <v>2345</v>
      </c>
      <c r="BP15" s="15014"/>
      <c r="BQ15" s="1067" t="s">
        <v>2319</v>
      </c>
      <c r="BR15" s="1068">
        <v>1</v>
      </c>
      <c r="BS15" s="1069">
        <v>1</v>
      </c>
      <c r="BT15" s="1067" t="s">
        <v>2009</v>
      </c>
      <c r="BU15" s="1067" t="s">
        <v>2320</v>
      </c>
      <c r="BV15" s="1070" t="s">
        <v>2321</v>
      </c>
      <c r="BW15" s="1067">
        <v>12</v>
      </c>
      <c r="BX15" s="1067" t="s">
        <v>7606</v>
      </c>
      <c r="BY15" s="962" t="s">
        <v>2346</v>
      </c>
      <c r="BZ15" s="2856" t="s">
        <v>10063</v>
      </c>
      <c r="CA15" s="1067" t="s">
        <v>2323</v>
      </c>
      <c r="CB15" s="1067"/>
      <c r="CC15" s="1071">
        <v>1</v>
      </c>
      <c r="CD15" s="1071">
        <v>1</v>
      </c>
      <c r="CE15" s="1072" t="s">
        <v>2009</v>
      </c>
      <c r="CF15" s="1067" t="s">
        <v>2347</v>
      </c>
      <c r="CG15" s="1069">
        <v>1</v>
      </c>
      <c r="CH15" s="1069">
        <v>1</v>
      </c>
      <c r="CI15" s="1069">
        <v>1</v>
      </c>
      <c r="CJ15" s="1069">
        <v>1</v>
      </c>
      <c r="CK15" s="1071">
        <v>1</v>
      </c>
      <c r="CL15" s="1167">
        <v>1</v>
      </c>
      <c r="CM15" s="14933"/>
      <c r="CN15" s="14935"/>
      <c r="CO15" s="14943"/>
      <c r="CP15" s="965" t="s">
        <v>9938</v>
      </c>
      <c r="CQ15" s="962"/>
      <c r="CR15" s="964">
        <v>240637424</v>
      </c>
      <c r="CS15" s="962"/>
      <c r="CT15" s="962"/>
      <c r="CU15" s="962"/>
      <c r="CV15" s="964">
        <v>3403</v>
      </c>
      <c r="CW15" s="962">
        <v>1124</v>
      </c>
      <c r="CX15" s="962">
        <v>2279</v>
      </c>
      <c r="CY15" s="962" t="s">
        <v>2943</v>
      </c>
      <c r="CZ15" s="962" t="s">
        <v>2943</v>
      </c>
      <c r="DA15" s="962" t="s">
        <v>2943</v>
      </c>
      <c r="DB15" s="962" t="s">
        <v>2943</v>
      </c>
      <c r="DC15" s="962" t="s">
        <v>2943</v>
      </c>
      <c r="DD15" s="962" t="s">
        <v>2943</v>
      </c>
      <c r="DE15" s="962" t="s">
        <v>2943</v>
      </c>
      <c r="DF15" s="1074" t="s">
        <v>2943</v>
      </c>
      <c r="DG15" s="1072" t="s">
        <v>2943</v>
      </c>
      <c r="DH15" s="1072" t="s">
        <v>2943</v>
      </c>
      <c r="DI15" s="1072" t="s">
        <v>2943</v>
      </c>
      <c r="DJ15" s="1072" t="s">
        <v>2943</v>
      </c>
      <c r="DK15" s="1072" t="s">
        <v>2943</v>
      </c>
      <c r="DL15" s="1072" t="s">
        <v>2943</v>
      </c>
      <c r="DM15" s="1072" t="s">
        <v>2943</v>
      </c>
      <c r="DN15" s="1072" t="s">
        <v>2943</v>
      </c>
      <c r="DO15" s="1072" t="s">
        <v>2943</v>
      </c>
      <c r="DP15" s="1072" t="s">
        <v>2943</v>
      </c>
      <c r="DQ15" s="1072" t="s">
        <v>2943</v>
      </c>
      <c r="DR15" s="1072" t="s">
        <v>2943</v>
      </c>
      <c r="DS15" s="1072" t="s">
        <v>2943</v>
      </c>
      <c r="DT15" s="1072" t="s">
        <v>2943</v>
      </c>
      <c r="DU15" s="1072" t="s">
        <v>2943</v>
      </c>
      <c r="DV15" s="1072"/>
      <c r="DW15" s="1072"/>
      <c r="DX15" s="1072"/>
      <c r="DY15" s="1072"/>
      <c r="DZ15" s="1072"/>
      <c r="EA15"/>
      <c r="EB15"/>
      <c r="EC15"/>
      <c r="ED15"/>
      <c r="EE15"/>
      <c r="EF15"/>
      <c r="EG15"/>
      <c r="EH15"/>
      <c r="EI15"/>
      <c r="EJ15"/>
      <c r="EK15"/>
      <c r="EL15"/>
    </row>
    <row r="16" spans="1:142" s="602" customFormat="1" ht="30" customHeight="1">
      <c r="A16" s="621" t="s">
        <v>2340</v>
      </c>
      <c r="B16" s="15109"/>
      <c r="C16" s="622" t="s">
        <v>2348</v>
      </c>
      <c r="D16" s="623" t="s">
        <v>2319</v>
      </c>
      <c r="E16" s="624">
        <v>1</v>
      </c>
      <c r="F16" s="624">
        <v>1</v>
      </c>
      <c r="G16" s="623" t="s">
        <v>2009</v>
      </c>
      <c r="H16" s="623" t="s">
        <v>2320</v>
      </c>
      <c r="I16" s="623" t="s">
        <v>2321</v>
      </c>
      <c r="J16" s="623">
        <v>13</v>
      </c>
      <c r="K16" s="623" t="s">
        <v>7607</v>
      </c>
      <c r="L16" s="599" t="s">
        <v>9578</v>
      </c>
      <c r="M16" s="610" t="s">
        <v>2350</v>
      </c>
      <c r="N16" s="554" t="s">
        <v>70</v>
      </c>
      <c r="O16" s="554">
        <v>1</v>
      </c>
      <c r="P16" s="522" t="s">
        <v>2009</v>
      </c>
      <c r="Q16" s="520" t="s">
        <v>2351</v>
      </c>
      <c r="R16" s="535">
        <v>1</v>
      </c>
      <c r="S16" s="601">
        <v>1</v>
      </c>
      <c r="T16" s="524">
        <f>6097/6097*100%</f>
        <v>1</v>
      </c>
      <c r="U16" s="525" t="s">
        <v>4363</v>
      </c>
      <c r="V16" s="526" t="s">
        <v>4364</v>
      </c>
      <c r="W16" s="533" t="s">
        <v>4365</v>
      </c>
      <c r="X16" s="527">
        <f>Y16+Z16+AA16</f>
        <v>57539227.237499997</v>
      </c>
      <c r="Y16" s="527">
        <v>836074.98750000005</v>
      </c>
      <c r="Z16" s="527">
        <v>56703152.25</v>
      </c>
      <c r="AA16" s="527">
        <v>0</v>
      </c>
      <c r="AB16" s="528">
        <v>6097</v>
      </c>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c r="BH16" s="528"/>
      <c r="BI16" s="528"/>
      <c r="BJ16" s="528"/>
      <c r="BK16" s="529"/>
      <c r="BL16" s="939"/>
      <c r="BM16" s="15012"/>
      <c r="BN16" s="15012"/>
      <c r="BO16" s="15013" t="s">
        <v>2348</v>
      </c>
      <c r="BP16" s="15014"/>
      <c r="BQ16" s="1067" t="s">
        <v>2319</v>
      </c>
      <c r="BR16" s="1068">
        <v>1</v>
      </c>
      <c r="BS16" s="1069">
        <v>1</v>
      </c>
      <c r="BT16" s="1067" t="s">
        <v>2009</v>
      </c>
      <c r="BU16" s="1067" t="s">
        <v>2320</v>
      </c>
      <c r="BV16" s="1070" t="s">
        <v>2321</v>
      </c>
      <c r="BW16" s="1067">
        <v>13</v>
      </c>
      <c r="BX16" s="1067" t="s">
        <v>7607</v>
      </c>
      <c r="BY16" s="962" t="s">
        <v>2349</v>
      </c>
      <c r="BZ16" s="2856" t="s">
        <v>10063</v>
      </c>
      <c r="CA16" s="1067" t="s">
        <v>2350</v>
      </c>
      <c r="CB16" s="1067"/>
      <c r="CC16" s="1071" t="s">
        <v>70</v>
      </c>
      <c r="CD16" s="1071">
        <v>1</v>
      </c>
      <c r="CE16" s="1072" t="s">
        <v>2009</v>
      </c>
      <c r="CF16" s="1067" t="s">
        <v>2351</v>
      </c>
      <c r="CG16" s="1071">
        <v>1</v>
      </c>
      <c r="CH16" s="1071">
        <v>1</v>
      </c>
      <c r="CI16" s="1071">
        <v>1</v>
      </c>
      <c r="CJ16" s="1071">
        <v>1</v>
      </c>
      <c r="CK16" s="1071">
        <v>1</v>
      </c>
      <c r="CL16" s="1167">
        <v>1</v>
      </c>
      <c r="CM16" s="14933"/>
      <c r="CN16" s="14935"/>
      <c r="CO16" s="14943"/>
      <c r="CP16" s="966" t="s">
        <v>9939</v>
      </c>
      <c r="CQ16" s="962"/>
      <c r="CR16" s="964">
        <v>2443000000</v>
      </c>
      <c r="CS16" s="962"/>
      <c r="CT16" s="962"/>
      <c r="CU16" s="962"/>
      <c r="CV16" s="964">
        <v>2994</v>
      </c>
      <c r="CW16" s="962" t="s">
        <v>2943</v>
      </c>
      <c r="CX16" s="962" t="s">
        <v>2943</v>
      </c>
      <c r="CY16" s="962" t="s">
        <v>2943</v>
      </c>
      <c r="CZ16" s="962" t="s">
        <v>2943</v>
      </c>
      <c r="DA16" s="962" t="s">
        <v>2943</v>
      </c>
      <c r="DB16" s="962" t="s">
        <v>2943</v>
      </c>
      <c r="DC16" s="962" t="s">
        <v>2943</v>
      </c>
      <c r="DD16" s="962" t="s">
        <v>2943</v>
      </c>
      <c r="DE16" s="962" t="s">
        <v>2943</v>
      </c>
      <c r="DF16" s="1067" t="s">
        <v>2943</v>
      </c>
      <c r="DG16" s="1072" t="s">
        <v>2943</v>
      </c>
      <c r="DH16" s="1072" t="s">
        <v>2943</v>
      </c>
      <c r="DI16" s="1072" t="s">
        <v>2943</v>
      </c>
      <c r="DJ16" s="1072" t="s">
        <v>2943</v>
      </c>
      <c r="DK16" s="1072" t="s">
        <v>2943</v>
      </c>
      <c r="DL16" s="1072" t="s">
        <v>2943</v>
      </c>
      <c r="DM16" s="1072" t="s">
        <v>2943</v>
      </c>
      <c r="DN16" s="1072" t="s">
        <v>2943</v>
      </c>
      <c r="DO16" s="1072" t="s">
        <v>2943</v>
      </c>
      <c r="DP16" s="1072" t="s">
        <v>2943</v>
      </c>
      <c r="DQ16" s="1072" t="s">
        <v>2943</v>
      </c>
      <c r="DR16" s="1072" t="s">
        <v>2943</v>
      </c>
      <c r="DS16" s="1072" t="s">
        <v>2943</v>
      </c>
      <c r="DT16" s="1072" t="s">
        <v>2943</v>
      </c>
      <c r="DU16" s="1072" t="s">
        <v>2943</v>
      </c>
      <c r="DV16" s="1072"/>
      <c r="DW16" s="1072"/>
      <c r="DX16" s="1072"/>
      <c r="DY16" s="1072"/>
      <c r="DZ16" s="1072"/>
      <c r="EA16"/>
      <c r="EB16"/>
      <c r="EC16"/>
      <c r="ED16"/>
      <c r="EE16"/>
      <c r="EF16"/>
      <c r="EG16"/>
      <c r="EH16"/>
      <c r="EI16"/>
      <c r="EJ16"/>
      <c r="EK16"/>
      <c r="EL16"/>
    </row>
    <row r="17" spans="1:142" s="602" customFormat="1" ht="30" customHeight="1">
      <c r="A17" s="621" t="s">
        <v>2340</v>
      </c>
      <c r="B17" s="15109"/>
      <c r="C17" s="622" t="s">
        <v>2352</v>
      </c>
      <c r="D17" s="623" t="s">
        <v>2319</v>
      </c>
      <c r="E17" s="624">
        <v>1</v>
      </c>
      <c r="F17" s="624">
        <v>1</v>
      </c>
      <c r="G17" s="623" t="s">
        <v>2009</v>
      </c>
      <c r="H17" s="623" t="s">
        <v>2320</v>
      </c>
      <c r="I17" s="623" t="s">
        <v>2321</v>
      </c>
      <c r="J17" s="623">
        <v>14</v>
      </c>
      <c r="K17" s="623" t="s">
        <v>7608</v>
      </c>
      <c r="L17" s="599" t="s">
        <v>9579</v>
      </c>
      <c r="M17" s="600" t="s">
        <v>2360</v>
      </c>
      <c r="N17" s="554">
        <v>1</v>
      </c>
      <c r="O17" s="554">
        <v>1</v>
      </c>
      <c r="P17" s="522" t="s">
        <v>2009</v>
      </c>
      <c r="Q17" s="520" t="s">
        <v>2354</v>
      </c>
      <c r="R17" s="535">
        <v>1</v>
      </c>
      <c r="S17" s="601">
        <v>0.05</v>
      </c>
      <c r="T17" s="534">
        <v>1</v>
      </c>
      <c r="U17" s="532" t="s">
        <v>4366</v>
      </c>
      <c r="V17" s="526" t="s">
        <v>4367</v>
      </c>
      <c r="W17" s="526" t="s">
        <v>4368</v>
      </c>
      <c r="X17" s="527">
        <f>Y17+Z17+AA17</f>
        <v>54599999.997499995</v>
      </c>
      <c r="Y17" s="527">
        <v>436074.98750000005</v>
      </c>
      <c r="Z17" s="527">
        <v>54163925.009999998</v>
      </c>
      <c r="AA17" s="527">
        <v>0</v>
      </c>
      <c r="AB17" s="528">
        <v>57</v>
      </c>
      <c r="AC17" s="528"/>
      <c r="AD17" s="528"/>
      <c r="AE17" s="528"/>
      <c r="AF17" s="528"/>
      <c r="AG17" s="528"/>
      <c r="AH17" s="528"/>
      <c r="AI17" s="528"/>
      <c r="AJ17" s="528"/>
      <c r="AK17" s="528"/>
      <c r="AL17" s="528"/>
      <c r="AM17" s="528"/>
      <c r="AN17" s="528"/>
      <c r="AO17" s="528"/>
      <c r="AP17" s="528"/>
      <c r="AQ17" s="528"/>
      <c r="AR17" s="528"/>
      <c r="AS17" s="528"/>
      <c r="AT17" s="528"/>
      <c r="AU17" s="528"/>
      <c r="AV17" s="528"/>
      <c r="AW17" s="528"/>
      <c r="AX17" s="528"/>
      <c r="AY17" s="528"/>
      <c r="AZ17" s="528"/>
      <c r="BA17" s="528"/>
      <c r="BB17" s="528"/>
      <c r="BC17" s="528"/>
      <c r="BD17" s="528"/>
      <c r="BE17" s="528"/>
      <c r="BF17" s="528"/>
      <c r="BG17" s="528"/>
      <c r="BH17" s="528"/>
      <c r="BI17" s="528"/>
      <c r="BJ17" s="528"/>
      <c r="BK17" s="529"/>
      <c r="BL17" s="939"/>
      <c r="BM17" s="15012"/>
      <c r="BN17" s="15012"/>
      <c r="BO17" s="15013" t="s">
        <v>2352</v>
      </c>
      <c r="BP17" s="15014"/>
      <c r="BQ17" s="1067" t="s">
        <v>2319</v>
      </c>
      <c r="BR17" s="1068">
        <v>1</v>
      </c>
      <c r="BS17" s="1069">
        <v>1</v>
      </c>
      <c r="BT17" s="1067" t="s">
        <v>2009</v>
      </c>
      <c r="BU17" s="1067" t="s">
        <v>2320</v>
      </c>
      <c r="BV17" s="1070" t="s">
        <v>2321</v>
      </c>
      <c r="BW17" s="1075">
        <v>14</v>
      </c>
      <c r="BX17" s="1067" t="s">
        <v>7608</v>
      </c>
      <c r="BY17" s="962" t="s">
        <v>2353</v>
      </c>
      <c r="BZ17" s="2856" t="s">
        <v>10063</v>
      </c>
      <c r="CA17" s="1067" t="s">
        <v>2323</v>
      </c>
      <c r="CB17" s="1067"/>
      <c r="CC17" s="1071">
        <v>1</v>
      </c>
      <c r="CD17" s="1071">
        <v>1</v>
      </c>
      <c r="CE17" s="1072" t="s">
        <v>2009</v>
      </c>
      <c r="CF17" s="1067" t="s">
        <v>2354</v>
      </c>
      <c r="CG17" s="1071">
        <v>1</v>
      </c>
      <c r="CH17" s="1071">
        <v>1</v>
      </c>
      <c r="CI17" s="1071">
        <v>1</v>
      </c>
      <c r="CJ17" s="1071">
        <v>1</v>
      </c>
      <c r="CK17" s="1071">
        <v>1</v>
      </c>
      <c r="CL17" s="1167">
        <v>1</v>
      </c>
      <c r="CM17" s="14933"/>
      <c r="CN17" s="14935"/>
      <c r="CO17" s="14943"/>
      <c r="CP17" s="966" t="s">
        <v>9940</v>
      </c>
      <c r="CQ17" s="962"/>
      <c r="CR17" s="964">
        <v>9031000</v>
      </c>
      <c r="CS17" s="962"/>
      <c r="CT17" s="962"/>
      <c r="CU17" s="962">
        <v>0</v>
      </c>
      <c r="CV17" s="964">
        <v>38</v>
      </c>
      <c r="CW17" s="962">
        <v>21</v>
      </c>
      <c r="CX17" s="962">
        <v>17</v>
      </c>
      <c r="CY17" s="962"/>
      <c r="CZ17" s="962"/>
      <c r="DA17" s="962"/>
      <c r="DB17" s="962"/>
      <c r="DC17" s="962"/>
      <c r="DD17" s="962" t="s">
        <v>2943</v>
      </c>
      <c r="DE17" s="962" t="s">
        <v>2943</v>
      </c>
      <c r="DF17" s="1067" t="s">
        <v>2943</v>
      </c>
      <c r="DG17" s="1072" t="s">
        <v>2943</v>
      </c>
      <c r="DH17" s="1072"/>
      <c r="DI17" s="1072"/>
      <c r="DJ17" s="1072"/>
      <c r="DK17" s="1072">
        <v>38</v>
      </c>
      <c r="DL17" s="1072"/>
      <c r="DM17" s="1072"/>
      <c r="DN17" s="1072"/>
      <c r="DO17" s="1072"/>
      <c r="DP17" s="1072">
        <v>38</v>
      </c>
      <c r="DQ17" s="1072"/>
      <c r="DR17" s="1072"/>
      <c r="DS17" s="1072"/>
      <c r="DT17" s="1072"/>
      <c r="DU17" s="1072"/>
      <c r="DV17" s="1072"/>
      <c r="DW17" s="1072"/>
      <c r="DX17" s="1072"/>
      <c r="DY17" s="1072"/>
      <c r="DZ17" s="1072"/>
      <c r="EA17"/>
      <c r="EB17"/>
      <c r="EC17"/>
      <c r="ED17"/>
      <c r="EE17"/>
      <c r="EF17"/>
      <c r="EG17"/>
      <c r="EH17"/>
      <c r="EI17"/>
      <c r="EJ17"/>
      <c r="EK17"/>
      <c r="EL17"/>
    </row>
    <row r="18" spans="1:142" s="602" customFormat="1" ht="30" customHeight="1">
      <c r="A18" s="607" t="s">
        <v>1402</v>
      </c>
      <c r="B18" s="15109"/>
      <c r="C18" s="622" t="s">
        <v>1402</v>
      </c>
      <c r="D18" s="623" t="s">
        <v>2355</v>
      </c>
      <c r="E18" s="623" t="s">
        <v>2356</v>
      </c>
      <c r="F18" s="623">
        <v>5000</v>
      </c>
      <c r="G18" s="623" t="s">
        <v>2005</v>
      </c>
      <c r="H18" s="623" t="s">
        <v>2357</v>
      </c>
      <c r="I18" s="623" t="s">
        <v>2358</v>
      </c>
      <c r="J18" s="623">
        <v>15</v>
      </c>
      <c r="K18" s="623" t="s">
        <v>7609</v>
      </c>
      <c r="L18" s="599" t="s">
        <v>9580</v>
      </c>
      <c r="M18" s="600" t="s">
        <v>2360</v>
      </c>
      <c r="N18" s="522">
        <v>0</v>
      </c>
      <c r="O18" s="554">
        <v>0.2</v>
      </c>
      <c r="P18" s="522" t="s">
        <v>2009</v>
      </c>
      <c r="Q18" s="520" t="s">
        <v>2361</v>
      </c>
      <c r="R18" s="535">
        <v>0.05</v>
      </c>
      <c r="S18" s="625">
        <v>75</v>
      </c>
      <c r="T18" s="519">
        <v>1</v>
      </c>
      <c r="U18" s="525" t="s">
        <v>9613</v>
      </c>
      <c r="V18" s="520" t="s">
        <v>4369</v>
      </c>
      <c r="W18" s="626"/>
      <c r="X18" s="536">
        <v>1702600404</v>
      </c>
      <c r="Y18" s="536">
        <v>1702600404</v>
      </c>
      <c r="Z18" s="528"/>
      <c r="AA18" s="528"/>
      <c r="AB18" s="522">
        <v>146</v>
      </c>
      <c r="AC18" s="522" t="s">
        <v>2943</v>
      </c>
      <c r="AD18" s="522" t="s">
        <v>2943</v>
      </c>
      <c r="AE18" s="522" t="s">
        <v>2943</v>
      </c>
      <c r="AF18" s="522" t="s">
        <v>2943</v>
      </c>
      <c r="AG18" s="522" t="s">
        <v>2943</v>
      </c>
      <c r="AH18" s="522" t="s">
        <v>2943</v>
      </c>
      <c r="AI18" s="522" t="s">
        <v>2943</v>
      </c>
      <c r="AJ18" s="522" t="s">
        <v>2943</v>
      </c>
      <c r="AK18" s="522" t="s">
        <v>2943</v>
      </c>
      <c r="AL18" s="522" t="s">
        <v>2943</v>
      </c>
      <c r="AM18" s="522" t="s">
        <v>2943</v>
      </c>
      <c r="AN18" s="522"/>
      <c r="AO18" s="522"/>
      <c r="AP18" s="522" t="s">
        <v>2943</v>
      </c>
      <c r="AQ18" s="522" t="s">
        <v>2943</v>
      </c>
      <c r="AR18" s="522" t="s">
        <v>2943</v>
      </c>
      <c r="AS18" s="522"/>
      <c r="AT18" s="522"/>
      <c r="AU18" s="522"/>
      <c r="AV18" s="522" t="s">
        <v>2943</v>
      </c>
      <c r="AW18" s="522" t="s">
        <v>2943</v>
      </c>
      <c r="AX18" s="522" t="s">
        <v>2943</v>
      </c>
      <c r="AY18" s="522"/>
      <c r="AZ18" s="522"/>
      <c r="BA18" s="522"/>
      <c r="BB18" s="522"/>
      <c r="BC18" s="522"/>
      <c r="BD18" s="522"/>
      <c r="BE18" s="522"/>
      <c r="BF18" s="522"/>
      <c r="BG18" s="522"/>
      <c r="BH18" s="522"/>
      <c r="BI18" s="522"/>
      <c r="BJ18" s="522"/>
      <c r="BK18" s="523"/>
      <c r="BL18" s="939"/>
      <c r="BM18" s="1076" t="s">
        <v>1402</v>
      </c>
      <c r="BN18" s="15012"/>
      <c r="BO18" s="15015" t="s">
        <v>1402</v>
      </c>
      <c r="BP18" s="15016"/>
      <c r="BQ18" s="1006" t="s">
        <v>2355</v>
      </c>
      <c r="BR18" s="1070" t="s">
        <v>2356</v>
      </c>
      <c r="BS18" s="1067">
        <v>5000</v>
      </c>
      <c r="BT18" s="1067" t="s">
        <v>2005</v>
      </c>
      <c r="BU18" s="1067" t="s">
        <v>2357</v>
      </c>
      <c r="BV18" s="1070" t="s">
        <v>2358</v>
      </c>
      <c r="BW18" s="1067">
        <v>15</v>
      </c>
      <c r="BX18" s="1067" t="s">
        <v>7609</v>
      </c>
      <c r="BY18" s="962" t="s">
        <v>2359</v>
      </c>
      <c r="BZ18" s="2856" t="s">
        <v>65</v>
      </c>
      <c r="CA18" s="1067" t="s">
        <v>2360</v>
      </c>
      <c r="CB18" s="1067"/>
      <c r="CC18" s="1072">
        <v>0</v>
      </c>
      <c r="CD18" s="1071">
        <v>0.2</v>
      </c>
      <c r="CE18" s="1072" t="s">
        <v>2009</v>
      </c>
      <c r="CF18" s="1067" t="s">
        <v>2361</v>
      </c>
      <c r="CG18" s="1071">
        <v>0.05</v>
      </c>
      <c r="CH18" s="1071">
        <v>0.05</v>
      </c>
      <c r="CI18" s="1071">
        <v>0.05</v>
      </c>
      <c r="CJ18" s="1071">
        <v>0.05</v>
      </c>
      <c r="CK18" s="1071">
        <v>0</v>
      </c>
      <c r="CL18" s="1167">
        <v>0</v>
      </c>
      <c r="CM18" s="14933"/>
      <c r="CN18" s="14935"/>
      <c r="CO18" s="14943"/>
      <c r="CP18" s="966" t="s">
        <v>9941</v>
      </c>
      <c r="CQ18" s="962"/>
      <c r="CR18" s="964">
        <v>0</v>
      </c>
      <c r="CS18" s="962"/>
      <c r="CT18" s="962"/>
      <c r="CU18" s="962"/>
      <c r="CV18" s="962">
        <v>12</v>
      </c>
      <c r="CW18" s="962">
        <v>5</v>
      </c>
      <c r="CX18" s="962">
        <v>7</v>
      </c>
      <c r="CY18" s="962"/>
      <c r="CZ18" s="962"/>
      <c r="DA18" s="962"/>
      <c r="DB18" s="962"/>
      <c r="DC18" s="962"/>
      <c r="DD18" s="962"/>
      <c r="DE18" s="962"/>
      <c r="DF18" s="962"/>
      <c r="DG18" s="1072"/>
      <c r="DH18" s="1072"/>
      <c r="DI18" s="1072"/>
      <c r="DJ18" s="1072"/>
      <c r="DK18" s="1072"/>
      <c r="DL18" s="1072"/>
      <c r="DM18" s="1072"/>
      <c r="DN18" s="1072"/>
      <c r="DO18" s="1072"/>
      <c r="DP18" s="1072"/>
      <c r="DQ18" s="1072"/>
      <c r="DR18" s="1072"/>
      <c r="DS18" s="1072"/>
      <c r="DT18" s="1072"/>
      <c r="DU18" s="1072"/>
      <c r="DV18" s="1072"/>
      <c r="DW18" s="1072"/>
      <c r="DX18" s="1072"/>
      <c r="DY18" s="1072"/>
      <c r="DZ18" s="1072"/>
      <c r="EA18"/>
      <c r="EB18"/>
      <c r="EC18"/>
      <c r="ED18"/>
      <c r="EE18"/>
      <c r="EF18"/>
      <c r="EG18"/>
      <c r="EH18"/>
      <c r="EI18"/>
      <c r="EJ18"/>
      <c r="EK18"/>
      <c r="EL18"/>
    </row>
    <row r="19" spans="1:142" s="602" customFormat="1" ht="30" customHeight="1">
      <c r="A19" s="607"/>
      <c r="B19" s="15109"/>
      <c r="C19" s="622" t="s">
        <v>1402</v>
      </c>
      <c r="D19" s="623" t="s">
        <v>2355</v>
      </c>
      <c r="E19" s="623" t="s">
        <v>2356</v>
      </c>
      <c r="F19" s="623">
        <v>5000</v>
      </c>
      <c r="G19" s="623" t="s">
        <v>2005</v>
      </c>
      <c r="H19" s="623" t="s">
        <v>2357</v>
      </c>
      <c r="I19" s="623" t="s">
        <v>2362</v>
      </c>
      <c r="J19" s="623">
        <v>16</v>
      </c>
      <c r="K19" s="623" t="s">
        <v>7610</v>
      </c>
      <c r="L19" s="599" t="s">
        <v>9581</v>
      </c>
      <c r="M19" s="600" t="s">
        <v>2360</v>
      </c>
      <c r="N19" s="522">
        <v>0</v>
      </c>
      <c r="O19" s="627">
        <v>300</v>
      </c>
      <c r="P19" s="520" t="s">
        <v>2005</v>
      </c>
      <c r="Q19" s="520" t="s">
        <v>2364</v>
      </c>
      <c r="R19" s="628">
        <v>75</v>
      </c>
      <c r="S19" s="625">
        <v>5</v>
      </c>
      <c r="T19" s="524">
        <f>61/75</f>
        <v>0.81333333333333335</v>
      </c>
      <c r="U19" s="537" t="s">
        <v>4370</v>
      </c>
      <c r="V19" s="520" t="s">
        <v>4369</v>
      </c>
      <c r="W19" s="537" t="s">
        <v>4371</v>
      </c>
      <c r="X19" s="536">
        <v>47580000</v>
      </c>
      <c r="Y19" s="536">
        <v>47580000</v>
      </c>
      <c r="Z19" s="522"/>
      <c r="AA19" s="522"/>
      <c r="AB19" s="522">
        <v>61</v>
      </c>
      <c r="AC19" s="522" t="s">
        <v>2943</v>
      </c>
      <c r="AD19" s="522" t="s">
        <v>2943</v>
      </c>
      <c r="AE19" s="522" t="s">
        <v>2943</v>
      </c>
      <c r="AF19" s="522" t="s">
        <v>2943</v>
      </c>
      <c r="AG19" s="522" t="s">
        <v>2943</v>
      </c>
      <c r="AH19" s="522" t="s">
        <v>2943</v>
      </c>
      <c r="AI19" s="522" t="s">
        <v>2943</v>
      </c>
      <c r="AJ19" s="522" t="s">
        <v>2943</v>
      </c>
      <c r="AK19" s="522" t="s">
        <v>2943</v>
      </c>
      <c r="AL19" s="522" t="s">
        <v>2943</v>
      </c>
      <c r="AM19" s="522" t="s">
        <v>2943</v>
      </c>
      <c r="AN19" s="522"/>
      <c r="AO19" s="522"/>
      <c r="AP19" s="522" t="s">
        <v>2943</v>
      </c>
      <c r="AQ19" s="522" t="s">
        <v>2943</v>
      </c>
      <c r="AR19" s="522" t="s">
        <v>2943</v>
      </c>
      <c r="AS19" s="522"/>
      <c r="AT19" s="522"/>
      <c r="AU19" s="522"/>
      <c r="AV19" s="522" t="s">
        <v>2943</v>
      </c>
      <c r="AW19" s="522" t="s">
        <v>2943</v>
      </c>
      <c r="AX19" s="522" t="s">
        <v>2943</v>
      </c>
      <c r="AY19" s="522"/>
      <c r="AZ19" s="522"/>
      <c r="BA19" s="522"/>
      <c r="BB19" s="522"/>
      <c r="BC19" s="522"/>
      <c r="BD19" s="522"/>
      <c r="BE19" s="522"/>
      <c r="BF19" s="522"/>
      <c r="BG19" s="522"/>
      <c r="BH19" s="522"/>
      <c r="BI19" s="522"/>
      <c r="BJ19" s="522"/>
      <c r="BK19" s="523"/>
      <c r="BL19" s="939"/>
      <c r="BM19" s="1076"/>
      <c r="BN19" s="15012"/>
      <c r="BO19" s="15017"/>
      <c r="BP19" s="15018"/>
      <c r="BQ19" s="1006" t="s">
        <v>2355</v>
      </c>
      <c r="BR19" s="1070" t="s">
        <v>2356</v>
      </c>
      <c r="BS19" s="1067">
        <v>5000</v>
      </c>
      <c r="BT19" s="1067" t="s">
        <v>2005</v>
      </c>
      <c r="BU19" s="1067" t="s">
        <v>2357</v>
      </c>
      <c r="BV19" s="1070" t="s">
        <v>2362</v>
      </c>
      <c r="BW19" s="1067">
        <v>16</v>
      </c>
      <c r="BX19" s="1067" t="s">
        <v>7610</v>
      </c>
      <c r="BY19" s="962" t="s">
        <v>2363</v>
      </c>
      <c r="BZ19" s="2856" t="s">
        <v>65</v>
      </c>
      <c r="CA19" s="1067" t="s">
        <v>2360</v>
      </c>
      <c r="CB19" s="1067"/>
      <c r="CC19" s="1072">
        <v>0</v>
      </c>
      <c r="CD19" s="1078">
        <v>300</v>
      </c>
      <c r="CE19" s="1067" t="s">
        <v>2005</v>
      </c>
      <c r="CF19" s="1067" t="s">
        <v>2364</v>
      </c>
      <c r="CG19" s="1078">
        <v>75</v>
      </c>
      <c r="CH19" s="1078">
        <v>75</v>
      </c>
      <c r="CI19" s="1078">
        <v>75</v>
      </c>
      <c r="CJ19" s="1078">
        <v>75</v>
      </c>
      <c r="CK19" s="1071">
        <v>0.6</v>
      </c>
      <c r="CL19" s="1167">
        <v>0.6</v>
      </c>
      <c r="CM19" s="14933"/>
      <c r="CN19" s="14935"/>
      <c r="CO19" s="14943"/>
      <c r="CP19" s="967" t="s">
        <v>9942</v>
      </c>
      <c r="CQ19" s="1079"/>
      <c r="CR19" s="1080">
        <v>31620000</v>
      </c>
      <c r="CS19" s="1079"/>
      <c r="CT19" s="1079"/>
      <c r="CU19" s="1079"/>
      <c r="CV19" s="1079">
        <v>34</v>
      </c>
      <c r="CW19" s="1079">
        <v>19</v>
      </c>
      <c r="CX19" s="1079">
        <v>15</v>
      </c>
      <c r="CY19" s="1079"/>
      <c r="CZ19" s="1079"/>
      <c r="DA19" s="1079"/>
      <c r="DB19" s="1079"/>
      <c r="DC19" s="1079"/>
      <c r="DD19" s="1079"/>
      <c r="DE19" s="1079"/>
      <c r="DF19" s="1081"/>
      <c r="DG19" s="1072"/>
      <c r="DH19" s="1072"/>
      <c r="DI19" s="1072"/>
      <c r="DJ19" s="1072"/>
      <c r="DK19" s="1072"/>
      <c r="DL19" s="1072"/>
      <c r="DM19" s="1072"/>
      <c r="DN19" s="1072"/>
      <c r="DO19" s="1072"/>
      <c r="DP19" s="1072"/>
      <c r="DQ19" s="1072"/>
      <c r="DR19" s="1072"/>
      <c r="DS19" s="1072"/>
      <c r="DT19" s="1072"/>
      <c r="DU19" s="1072"/>
      <c r="DV19" s="1072"/>
      <c r="DW19" s="1072"/>
      <c r="DX19" s="1072"/>
      <c r="DY19" s="1072"/>
      <c r="DZ19" s="1072"/>
      <c r="EA19"/>
      <c r="EB19"/>
      <c r="EC19"/>
      <c r="ED19"/>
      <c r="EE19"/>
      <c r="EF19"/>
      <c r="EG19"/>
      <c r="EH19"/>
      <c r="EI19"/>
      <c r="EJ19"/>
      <c r="EK19"/>
      <c r="EL19"/>
    </row>
    <row r="20" spans="1:142" s="602" customFormat="1" ht="30" customHeight="1">
      <c r="A20" s="607"/>
      <c r="B20" s="15109"/>
      <c r="C20" s="622" t="s">
        <v>1402</v>
      </c>
      <c r="D20" s="623" t="s">
        <v>2355</v>
      </c>
      <c r="E20" s="623" t="s">
        <v>2356</v>
      </c>
      <c r="F20" s="623">
        <v>5000</v>
      </c>
      <c r="G20" s="623" t="s">
        <v>2005</v>
      </c>
      <c r="H20" s="623" t="s">
        <v>2357</v>
      </c>
      <c r="I20" s="623" t="s">
        <v>2362</v>
      </c>
      <c r="J20" s="623">
        <v>17</v>
      </c>
      <c r="K20" s="623" t="s">
        <v>7611</v>
      </c>
      <c r="L20" s="599" t="s">
        <v>9582</v>
      </c>
      <c r="M20" s="600" t="s">
        <v>2360</v>
      </c>
      <c r="N20" s="522">
        <v>0</v>
      </c>
      <c r="O20" s="627">
        <v>17</v>
      </c>
      <c r="P20" s="520" t="s">
        <v>2005</v>
      </c>
      <c r="Q20" s="520" t="s">
        <v>2366</v>
      </c>
      <c r="R20" s="628">
        <v>5</v>
      </c>
      <c r="S20" s="629">
        <v>0</v>
      </c>
      <c r="T20" s="538">
        <v>1</v>
      </c>
      <c r="U20" s="537" t="s">
        <v>4372</v>
      </c>
      <c r="V20" s="520" t="s">
        <v>4369</v>
      </c>
      <c r="W20" s="539" t="s">
        <v>4371</v>
      </c>
      <c r="X20" s="536">
        <v>27874000</v>
      </c>
      <c r="Y20" s="536">
        <v>25740000</v>
      </c>
      <c r="Z20" s="522">
        <v>2134000</v>
      </c>
      <c r="AA20" s="522"/>
      <c r="AB20" s="522">
        <v>33</v>
      </c>
      <c r="AC20" s="522" t="s">
        <v>2943</v>
      </c>
      <c r="AD20" s="522" t="s">
        <v>2943</v>
      </c>
      <c r="AE20" s="522" t="s">
        <v>2943</v>
      </c>
      <c r="AF20" s="522" t="s">
        <v>2943</v>
      </c>
      <c r="AG20" s="522" t="s">
        <v>2943</v>
      </c>
      <c r="AH20" s="522" t="s">
        <v>2943</v>
      </c>
      <c r="AI20" s="522" t="s">
        <v>2943</v>
      </c>
      <c r="AJ20" s="522" t="s">
        <v>2943</v>
      </c>
      <c r="AK20" s="522" t="s">
        <v>2943</v>
      </c>
      <c r="AL20" s="522" t="s">
        <v>2943</v>
      </c>
      <c r="AM20" s="522" t="s">
        <v>2943</v>
      </c>
      <c r="AN20" s="522"/>
      <c r="AO20" s="522"/>
      <c r="AP20" s="522" t="s">
        <v>2943</v>
      </c>
      <c r="AQ20" s="522" t="s">
        <v>2943</v>
      </c>
      <c r="AR20" s="522" t="s">
        <v>2943</v>
      </c>
      <c r="AS20" s="522"/>
      <c r="AT20" s="522"/>
      <c r="AU20" s="522"/>
      <c r="AV20" s="522" t="s">
        <v>2943</v>
      </c>
      <c r="AW20" s="522" t="s">
        <v>2943</v>
      </c>
      <c r="AX20" s="522" t="s">
        <v>2943</v>
      </c>
      <c r="AY20" s="522"/>
      <c r="AZ20" s="522"/>
      <c r="BA20" s="522"/>
      <c r="BB20" s="522"/>
      <c r="BC20" s="522"/>
      <c r="BD20" s="522"/>
      <c r="BE20" s="522"/>
      <c r="BF20" s="522"/>
      <c r="BG20" s="522"/>
      <c r="BH20" s="522"/>
      <c r="BI20" s="522"/>
      <c r="BJ20" s="522"/>
      <c r="BK20" s="523"/>
      <c r="BL20" s="939"/>
      <c r="BM20" s="1076"/>
      <c r="BN20" s="15012"/>
      <c r="BO20" s="15017"/>
      <c r="BP20" s="15018"/>
      <c r="BQ20" s="1006" t="s">
        <v>2355</v>
      </c>
      <c r="BR20" s="1070" t="s">
        <v>2356</v>
      </c>
      <c r="BS20" s="1067">
        <v>5000</v>
      </c>
      <c r="BT20" s="1067" t="s">
        <v>2005</v>
      </c>
      <c r="BU20" s="1067" t="s">
        <v>2357</v>
      </c>
      <c r="BV20" s="1070" t="s">
        <v>2362</v>
      </c>
      <c r="BW20" s="1067">
        <v>17</v>
      </c>
      <c r="BX20" s="1067" t="s">
        <v>7611</v>
      </c>
      <c r="BY20" s="962" t="s">
        <v>2365</v>
      </c>
      <c r="BZ20" s="2856" t="s">
        <v>65</v>
      </c>
      <c r="CA20" s="1067" t="s">
        <v>2360</v>
      </c>
      <c r="CB20" s="1067"/>
      <c r="CC20" s="1072">
        <v>0</v>
      </c>
      <c r="CD20" s="1078">
        <v>17</v>
      </c>
      <c r="CE20" s="1067" t="s">
        <v>2005</v>
      </c>
      <c r="CF20" s="1067" t="s">
        <v>2366</v>
      </c>
      <c r="CG20" s="1078">
        <v>2</v>
      </c>
      <c r="CH20" s="1078">
        <v>5</v>
      </c>
      <c r="CI20" s="1078">
        <v>5</v>
      </c>
      <c r="CJ20" s="1078">
        <v>5</v>
      </c>
      <c r="CK20" s="1071">
        <v>1</v>
      </c>
      <c r="CL20" s="1167">
        <v>1</v>
      </c>
      <c r="CM20" s="14933"/>
      <c r="CN20" s="14935"/>
      <c r="CO20" s="14943"/>
      <c r="CP20" s="967" t="s">
        <v>9943</v>
      </c>
      <c r="CQ20" s="1079"/>
      <c r="CR20" s="1080">
        <v>9186000</v>
      </c>
      <c r="CS20" s="1079"/>
      <c r="CT20" s="1079"/>
      <c r="CU20" s="1079"/>
      <c r="CV20" s="1079">
        <v>9</v>
      </c>
      <c r="CW20" s="1079">
        <v>6</v>
      </c>
      <c r="CX20" s="1079">
        <v>3</v>
      </c>
      <c r="CY20" s="1079"/>
      <c r="CZ20" s="1079"/>
      <c r="DA20" s="1079"/>
      <c r="DB20" s="1079"/>
      <c r="DC20" s="1079"/>
      <c r="DD20" s="1079"/>
      <c r="DE20" s="1079"/>
      <c r="DF20" s="1082"/>
      <c r="DG20" s="1072"/>
      <c r="DH20" s="1072"/>
      <c r="DI20" s="1072"/>
      <c r="DJ20" s="1072"/>
      <c r="DK20" s="1072"/>
      <c r="DL20" s="1072"/>
      <c r="DM20" s="1072"/>
      <c r="DN20" s="1072"/>
      <c r="DO20" s="1072"/>
      <c r="DP20" s="1072"/>
      <c r="DQ20" s="1072"/>
      <c r="DR20" s="1072"/>
      <c r="DS20" s="1072"/>
      <c r="DT20" s="1072"/>
      <c r="DU20" s="1072"/>
      <c r="DV20" s="1072"/>
      <c r="DW20" s="1072"/>
      <c r="DX20" s="1072"/>
      <c r="DY20" s="1072"/>
      <c r="DZ20" s="1072"/>
      <c r="EA20"/>
      <c r="EB20"/>
      <c r="EC20"/>
      <c r="ED20"/>
      <c r="EE20"/>
      <c r="EF20"/>
      <c r="EG20"/>
      <c r="EH20"/>
      <c r="EI20"/>
      <c r="EJ20"/>
      <c r="EK20"/>
      <c r="EL20"/>
    </row>
    <row r="21" spans="1:142" s="602" customFormat="1" ht="30" customHeight="1">
      <c r="A21" s="607"/>
      <c r="B21" s="15109"/>
      <c r="C21" s="622" t="s">
        <v>1402</v>
      </c>
      <c r="D21" s="623" t="s">
        <v>2355</v>
      </c>
      <c r="E21" s="623" t="s">
        <v>2356</v>
      </c>
      <c r="F21" s="623">
        <v>5000</v>
      </c>
      <c r="G21" s="623" t="s">
        <v>2005</v>
      </c>
      <c r="H21" s="623" t="s">
        <v>2357</v>
      </c>
      <c r="I21" s="623" t="s">
        <v>2362</v>
      </c>
      <c r="J21" s="623">
        <v>18</v>
      </c>
      <c r="K21" s="623" t="s">
        <v>7612</v>
      </c>
      <c r="L21" s="599" t="s">
        <v>9583</v>
      </c>
      <c r="M21" s="600" t="s">
        <v>2360</v>
      </c>
      <c r="N21" s="522">
        <v>0</v>
      </c>
      <c r="O21" s="627">
        <v>1</v>
      </c>
      <c r="P21" s="520" t="s">
        <v>2005</v>
      </c>
      <c r="Q21" s="520" t="s">
        <v>2368</v>
      </c>
      <c r="R21" s="628">
        <v>0</v>
      </c>
      <c r="S21" s="625">
        <v>2</v>
      </c>
      <c r="T21" s="524">
        <v>1</v>
      </c>
      <c r="U21" s="537" t="s">
        <v>4373</v>
      </c>
      <c r="V21" s="520" t="s">
        <v>4369</v>
      </c>
      <c r="W21" s="537"/>
      <c r="X21" s="536">
        <v>31005625</v>
      </c>
      <c r="Y21" s="536">
        <v>31005625</v>
      </c>
      <c r="Z21" s="522"/>
      <c r="AA21" s="522"/>
      <c r="AB21" s="522">
        <v>87</v>
      </c>
      <c r="AC21" s="522" t="s">
        <v>2943</v>
      </c>
      <c r="AD21" s="522" t="s">
        <v>2943</v>
      </c>
      <c r="AE21" s="522" t="s">
        <v>2943</v>
      </c>
      <c r="AF21" s="522" t="s">
        <v>2943</v>
      </c>
      <c r="AG21" s="522" t="s">
        <v>2943</v>
      </c>
      <c r="AH21" s="522" t="s">
        <v>2943</v>
      </c>
      <c r="AI21" s="522" t="s">
        <v>2943</v>
      </c>
      <c r="AJ21" s="522" t="s">
        <v>2943</v>
      </c>
      <c r="AK21" s="522" t="s">
        <v>2943</v>
      </c>
      <c r="AL21" s="522" t="s">
        <v>2943</v>
      </c>
      <c r="AM21" s="522" t="s">
        <v>2943</v>
      </c>
      <c r="AN21" s="522"/>
      <c r="AO21" s="522"/>
      <c r="AP21" s="522" t="s">
        <v>2943</v>
      </c>
      <c r="AQ21" s="522" t="s">
        <v>2943</v>
      </c>
      <c r="AR21" s="522" t="s">
        <v>2943</v>
      </c>
      <c r="AS21" s="522"/>
      <c r="AT21" s="522"/>
      <c r="AU21" s="522"/>
      <c r="AV21" s="522" t="s">
        <v>2943</v>
      </c>
      <c r="AW21" s="522" t="s">
        <v>2943</v>
      </c>
      <c r="AX21" s="522" t="s">
        <v>2943</v>
      </c>
      <c r="AY21" s="522"/>
      <c r="AZ21" s="522"/>
      <c r="BA21" s="522"/>
      <c r="BB21" s="522"/>
      <c r="BC21" s="522"/>
      <c r="BD21" s="522"/>
      <c r="BE21" s="522"/>
      <c r="BF21" s="522"/>
      <c r="BG21" s="522"/>
      <c r="BH21" s="522"/>
      <c r="BI21" s="522"/>
      <c r="BJ21" s="522"/>
      <c r="BK21" s="523"/>
      <c r="BL21" s="939"/>
      <c r="BM21" s="1076"/>
      <c r="BN21" s="15012"/>
      <c r="BO21" s="15017"/>
      <c r="BP21" s="15018"/>
      <c r="BQ21" s="1006" t="s">
        <v>2355</v>
      </c>
      <c r="BR21" s="1070" t="s">
        <v>2356</v>
      </c>
      <c r="BS21" s="1067">
        <v>5000</v>
      </c>
      <c r="BT21" s="1067" t="s">
        <v>2005</v>
      </c>
      <c r="BU21" s="1067" t="s">
        <v>2357</v>
      </c>
      <c r="BV21" s="1070" t="s">
        <v>2362</v>
      </c>
      <c r="BW21" s="1067">
        <v>18</v>
      </c>
      <c r="BX21" s="1067" t="s">
        <v>7612</v>
      </c>
      <c r="BY21" s="962" t="s">
        <v>2367</v>
      </c>
      <c r="BZ21" s="2856" t="s">
        <v>65</v>
      </c>
      <c r="CA21" s="1067" t="s">
        <v>2360</v>
      </c>
      <c r="CB21" s="1067"/>
      <c r="CC21" s="1072">
        <v>0</v>
      </c>
      <c r="CD21" s="1078">
        <v>1</v>
      </c>
      <c r="CE21" s="1067" t="s">
        <v>2005</v>
      </c>
      <c r="CF21" s="1067" t="s">
        <v>2368</v>
      </c>
      <c r="CG21" s="1078">
        <v>0</v>
      </c>
      <c r="CH21" s="1078">
        <v>1</v>
      </c>
      <c r="CI21" s="1078">
        <v>0</v>
      </c>
      <c r="CJ21" s="1072">
        <v>0</v>
      </c>
      <c r="CK21" s="1071">
        <v>1</v>
      </c>
      <c r="CL21" s="1167">
        <v>1</v>
      </c>
      <c r="CM21" s="14933"/>
      <c r="CN21" s="14935"/>
      <c r="CO21" s="14943"/>
      <c r="CP21" s="967" t="s">
        <v>9944</v>
      </c>
      <c r="CQ21" s="1079"/>
      <c r="CR21" s="1080">
        <v>0</v>
      </c>
      <c r="CS21" s="1079"/>
      <c r="CT21" s="1079"/>
      <c r="CU21" s="1079"/>
      <c r="CV21" s="1079">
        <v>0</v>
      </c>
      <c r="CW21" s="1079"/>
      <c r="CX21" s="1079"/>
      <c r="CY21" s="1079"/>
      <c r="CZ21" s="1079"/>
      <c r="DA21" s="1079"/>
      <c r="DB21" s="1079"/>
      <c r="DC21" s="1079"/>
      <c r="DD21" s="1079"/>
      <c r="DE21" s="1079"/>
      <c r="DF21" s="1079"/>
      <c r="DG21" s="1072"/>
      <c r="DH21" s="1072"/>
      <c r="DI21" s="1072"/>
      <c r="DJ21" s="1072"/>
      <c r="DK21" s="1072"/>
      <c r="DL21" s="1072"/>
      <c r="DM21" s="1072"/>
      <c r="DN21" s="1072"/>
      <c r="DO21" s="1072"/>
      <c r="DP21" s="1072"/>
      <c r="DQ21" s="1072"/>
      <c r="DR21" s="1072"/>
      <c r="DS21" s="1072"/>
      <c r="DT21" s="1072"/>
      <c r="DU21" s="1072"/>
      <c r="DV21" s="1072"/>
      <c r="DW21" s="1072"/>
      <c r="DX21" s="1072"/>
      <c r="DY21" s="1072"/>
      <c r="DZ21" s="1072"/>
      <c r="EA21"/>
      <c r="EB21"/>
      <c r="EC21"/>
      <c r="ED21"/>
      <c r="EE21"/>
      <c r="EF21"/>
      <c r="EG21"/>
      <c r="EH21"/>
      <c r="EI21"/>
      <c r="EJ21"/>
      <c r="EK21"/>
      <c r="EL21"/>
    </row>
    <row r="22" spans="1:142" s="602" customFormat="1" ht="30" customHeight="1">
      <c r="A22" s="607"/>
      <c r="B22" s="15109"/>
      <c r="C22" s="622" t="s">
        <v>1402</v>
      </c>
      <c r="D22" s="623" t="s">
        <v>2355</v>
      </c>
      <c r="E22" s="623" t="s">
        <v>2356</v>
      </c>
      <c r="F22" s="623">
        <v>5000</v>
      </c>
      <c r="G22" s="623" t="s">
        <v>2005</v>
      </c>
      <c r="H22" s="623" t="s">
        <v>2357</v>
      </c>
      <c r="I22" s="623" t="s">
        <v>2362</v>
      </c>
      <c r="J22" s="623">
        <v>19</v>
      </c>
      <c r="K22" s="623" t="s">
        <v>7613</v>
      </c>
      <c r="L22" s="599" t="s">
        <v>2371</v>
      </c>
      <c r="M22" s="610" t="s">
        <v>2323</v>
      </c>
      <c r="N22" s="522">
        <v>0</v>
      </c>
      <c r="O22" s="627">
        <v>8</v>
      </c>
      <c r="P22" s="520" t="s">
        <v>2005</v>
      </c>
      <c r="Q22" s="520" t="s">
        <v>4374</v>
      </c>
      <c r="R22" s="628">
        <v>2</v>
      </c>
      <c r="S22" s="630">
        <v>2</v>
      </c>
      <c r="T22" s="538">
        <v>1</v>
      </c>
      <c r="U22" s="537" t="s">
        <v>4375</v>
      </c>
      <c r="V22" s="520" t="s">
        <v>4369</v>
      </c>
      <c r="W22" s="537"/>
      <c r="X22" s="536">
        <v>31005625</v>
      </c>
      <c r="Y22" s="536">
        <v>31005625</v>
      </c>
      <c r="Z22" s="522"/>
      <c r="AA22" s="522"/>
      <c r="AB22" s="522">
        <v>20</v>
      </c>
      <c r="AC22" s="522" t="s">
        <v>2943</v>
      </c>
      <c r="AD22" s="522" t="s">
        <v>2943</v>
      </c>
      <c r="AE22" s="522" t="s">
        <v>2943</v>
      </c>
      <c r="AF22" s="522" t="s">
        <v>2943</v>
      </c>
      <c r="AG22" s="522" t="s">
        <v>2943</v>
      </c>
      <c r="AH22" s="522" t="s">
        <v>2943</v>
      </c>
      <c r="AI22" s="522" t="s">
        <v>2943</v>
      </c>
      <c r="AJ22" s="522" t="s">
        <v>2943</v>
      </c>
      <c r="AK22" s="522" t="s">
        <v>2943</v>
      </c>
      <c r="AL22" s="522" t="s">
        <v>2943</v>
      </c>
      <c r="AM22" s="522" t="s">
        <v>2943</v>
      </c>
      <c r="AN22" s="522"/>
      <c r="AO22" s="522"/>
      <c r="AP22" s="522" t="s">
        <v>2943</v>
      </c>
      <c r="AQ22" s="522" t="s">
        <v>2943</v>
      </c>
      <c r="AR22" s="522" t="s">
        <v>2943</v>
      </c>
      <c r="AS22" s="522"/>
      <c r="AT22" s="522"/>
      <c r="AU22" s="522"/>
      <c r="AV22" s="522" t="s">
        <v>2943</v>
      </c>
      <c r="AW22" s="522" t="s">
        <v>2943</v>
      </c>
      <c r="AX22" s="522" t="s">
        <v>2943</v>
      </c>
      <c r="AY22" s="522"/>
      <c r="AZ22" s="522"/>
      <c r="BA22" s="522"/>
      <c r="BB22" s="522"/>
      <c r="BC22" s="522"/>
      <c r="BD22" s="522"/>
      <c r="BE22" s="522"/>
      <c r="BF22" s="522"/>
      <c r="BG22" s="522"/>
      <c r="BH22" s="522"/>
      <c r="BI22" s="522"/>
      <c r="BJ22" s="522"/>
      <c r="BK22" s="523"/>
      <c r="BL22" s="939"/>
      <c r="BM22" s="1076"/>
      <c r="BN22" s="15012"/>
      <c r="BO22" s="15019"/>
      <c r="BP22" s="15020"/>
      <c r="BQ22" s="1006" t="s">
        <v>2355</v>
      </c>
      <c r="BR22" s="1070" t="s">
        <v>2356</v>
      </c>
      <c r="BS22" s="1067">
        <v>5000</v>
      </c>
      <c r="BT22" s="1067" t="s">
        <v>2005</v>
      </c>
      <c r="BU22" s="1067" t="s">
        <v>2357</v>
      </c>
      <c r="BV22" s="1070" t="s">
        <v>2362</v>
      </c>
      <c r="BW22" s="1067">
        <v>19</v>
      </c>
      <c r="BX22" s="1067" t="s">
        <v>7613</v>
      </c>
      <c r="BY22" s="962" t="s">
        <v>2369</v>
      </c>
      <c r="BZ22" s="2856" t="s">
        <v>65</v>
      </c>
      <c r="CA22" s="1067" t="s">
        <v>2360</v>
      </c>
      <c r="CB22" s="1067"/>
      <c r="CC22" s="1072">
        <v>0</v>
      </c>
      <c r="CD22" s="1078">
        <v>8</v>
      </c>
      <c r="CE22" s="1067" t="s">
        <v>2005</v>
      </c>
      <c r="CF22" s="1067" t="s">
        <v>4374</v>
      </c>
      <c r="CG22" s="1078">
        <v>2</v>
      </c>
      <c r="CH22" s="1078">
        <v>2</v>
      </c>
      <c r="CI22" s="1078">
        <v>2</v>
      </c>
      <c r="CJ22" s="1078">
        <v>2</v>
      </c>
      <c r="CK22" s="1071">
        <v>1</v>
      </c>
      <c r="CL22" s="1167">
        <v>1</v>
      </c>
      <c r="CM22" s="14933"/>
      <c r="CN22" s="14935"/>
      <c r="CO22" s="14943"/>
      <c r="CP22" s="967" t="s">
        <v>9945</v>
      </c>
      <c r="CQ22" s="1079"/>
      <c r="CR22" s="1080">
        <v>4000000</v>
      </c>
      <c r="CS22" s="1079"/>
      <c r="CT22" s="1079"/>
      <c r="CU22" s="1079"/>
      <c r="CV22" s="1079">
        <v>1</v>
      </c>
      <c r="CW22" s="1079"/>
      <c r="CX22" s="1079">
        <v>1</v>
      </c>
      <c r="CY22" s="1079"/>
      <c r="CZ22" s="1079"/>
      <c r="DA22" s="1079"/>
      <c r="DB22" s="1079"/>
      <c r="DC22" s="1079"/>
      <c r="DD22" s="1079"/>
      <c r="DE22" s="1079"/>
      <c r="DF22" s="1079"/>
      <c r="DG22" s="1072"/>
      <c r="DH22" s="1072"/>
      <c r="DI22" s="1072"/>
      <c r="DJ22" s="1072"/>
      <c r="DK22" s="1072"/>
      <c r="DL22" s="1072"/>
      <c r="DM22" s="1072"/>
      <c r="DN22" s="1072"/>
      <c r="DO22" s="1072"/>
      <c r="DP22" s="1072"/>
      <c r="DQ22" s="1072"/>
      <c r="DR22" s="1072"/>
      <c r="DS22" s="1072"/>
      <c r="DT22" s="1072"/>
      <c r="DU22" s="1072"/>
      <c r="DV22" s="1072"/>
      <c r="DW22" s="1072"/>
      <c r="DX22" s="1072"/>
      <c r="DY22" s="1072"/>
      <c r="DZ22" s="1072"/>
      <c r="EA22"/>
      <c r="EB22"/>
      <c r="EC22"/>
      <c r="ED22"/>
      <c r="EE22"/>
      <c r="EF22"/>
      <c r="EG22"/>
      <c r="EH22"/>
      <c r="EI22"/>
      <c r="EJ22"/>
      <c r="EK22"/>
      <c r="EL22"/>
    </row>
    <row r="23" spans="1:142" s="602" customFormat="1" ht="30" customHeight="1">
      <c r="A23" s="607" t="s">
        <v>2370</v>
      </c>
      <c r="B23" s="15109"/>
      <c r="C23" s="622" t="s">
        <v>2370</v>
      </c>
      <c r="D23" s="623" t="s">
        <v>2319</v>
      </c>
      <c r="E23" s="624">
        <v>1</v>
      </c>
      <c r="F23" s="624">
        <v>1</v>
      </c>
      <c r="G23" s="623" t="s">
        <v>2009</v>
      </c>
      <c r="H23" s="623" t="s">
        <v>2320</v>
      </c>
      <c r="I23" s="623" t="s">
        <v>2321</v>
      </c>
      <c r="J23" s="623">
        <v>20</v>
      </c>
      <c r="K23" s="623" t="s">
        <v>7614</v>
      </c>
      <c r="L23" s="599" t="s">
        <v>2378</v>
      </c>
      <c r="M23" s="631" t="s">
        <v>2379</v>
      </c>
      <c r="N23" s="522">
        <v>8</v>
      </c>
      <c r="O23" s="522">
        <v>8</v>
      </c>
      <c r="P23" s="522" t="s">
        <v>2005</v>
      </c>
      <c r="Q23" s="520" t="s">
        <v>2372</v>
      </c>
      <c r="R23" s="632">
        <v>2</v>
      </c>
      <c r="S23" s="601">
        <v>1</v>
      </c>
      <c r="T23" s="538">
        <v>1</v>
      </c>
      <c r="U23" s="525" t="s">
        <v>4376</v>
      </c>
      <c r="V23" s="526" t="s">
        <v>4377</v>
      </c>
      <c r="W23" s="526" t="s">
        <v>4378</v>
      </c>
      <c r="X23" s="527">
        <f>Y23+Z23+AA23</f>
        <v>2939227.24</v>
      </c>
      <c r="Y23" s="527">
        <v>400000</v>
      </c>
      <c r="Z23" s="527">
        <v>2539227.2400000002</v>
      </c>
      <c r="AA23" s="527">
        <v>0</v>
      </c>
      <c r="AB23" s="528">
        <v>474</v>
      </c>
      <c r="AC23" s="528">
        <v>172</v>
      </c>
      <c r="AD23" s="528">
        <v>302</v>
      </c>
      <c r="AE23" s="528"/>
      <c r="AF23" s="528"/>
      <c r="AG23" s="528"/>
      <c r="AH23" s="528"/>
      <c r="AI23" s="528"/>
      <c r="AJ23" s="528"/>
      <c r="AK23" s="528"/>
      <c r="AL23" s="528"/>
      <c r="AM23" s="528"/>
      <c r="AN23" s="528"/>
      <c r="AO23" s="528"/>
      <c r="AP23" s="528"/>
      <c r="AQ23" s="528"/>
      <c r="AR23" s="528"/>
      <c r="AS23" s="528"/>
      <c r="AT23" s="528"/>
      <c r="AU23" s="528"/>
      <c r="AV23" s="528"/>
      <c r="AW23" s="528"/>
      <c r="AX23" s="528"/>
      <c r="AY23" s="528"/>
      <c r="AZ23" s="528"/>
      <c r="BA23" s="528"/>
      <c r="BB23" s="528"/>
      <c r="BC23" s="528"/>
      <c r="BD23" s="528"/>
      <c r="BE23" s="528"/>
      <c r="BF23" s="528"/>
      <c r="BG23" s="528"/>
      <c r="BH23" s="528"/>
      <c r="BI23" s="528"/>
      <c r="BJ23" s="528"/>
      <c r="BK23" s="529"/>
      <c r="BL23" s="939"/>
      <c r="BM23" s="1076" t="s">
        <v>2370</v>
      </c>
      <c r="BN23" s="15012"/>
      <c r="BO23" s="15015" t="s">
        <v>2370</v>
      </c>
      <c r="BP23" s="15021"/>
      <c r="BQ23" s="1067" t="s">
        <v>2319</v>
      </c>
      <c r="BR23" s="1068">
        <v>1</v>
      </c>
      <c r="BS23" s="1069">
        <v>1</v>
      </c>
      <c r="BT23" s="1067" t="s">
        <v>2009</v>
      </c>
      <c r="BU23" s="1067" t="s">
        <v>2320</v>
      </c>
      <c r="BV23" s="1070" t="s">
        <v>2321</v>
      </c>
      <c r="BW23" s="1067">
        <v>20</v>
      </c>
      <c r="BX23" s="1067" t="s">
        <v>7614</v>
      </c>
      <c r="BY23" s="962" t="s">
        <v>2371</v>
      </c>
      <c r="BZ23" s="2856" t="s">
        <v>10063</v>
      </c>
      <c r="CA23" s="1067" t="s">
        <v>2323</v>
      </c>
      <c r="CB23" s="1067"/>
      <c r="CC23" s="1072">
        <v>8</v>
      </c>
      <c r="CD23" s="1072">
        <v>8</v>
      </c>
      <c r="CE23" s="1072" t="s">
        <v>2005</v>
      </c>
      <c r="CF23" s="1067" t="s">
        <v>2372</v>
      </c>
      <c r="CG23" s="1072">
        <v>4</v>
      </c>
      <c r="CH23" s="1072">
        <v>2</v>
      </c>
      <c r="CI23" s="1072">
        <v>2</v>
      </c>
      <c r="CJ23" s="1072">
        <v>2</v>
      </c>
      <c r="CK23" s="1071">
        <v>1</v>
      </c>
      <c r="CL23" s="1167">
        <v>1</v>
      </c>
      <c r="CM23" s="14933"/>
      <c r="CN23" s="14935"/>
      <c r="CO23" s="14943"/>
      <c r="CP23" s="966" t="s">
        <v>9946</v>
      </c>
      <c r="CQ23" s="962"/>
      <c r="CR23" s="964">
        <v>6071968</v>
      </c>
      <c r="CS23" s="962"/>
      <c r="CT23" s="962"/>
      <c r="CU23" s="962"/>
      <c r="CV23" s="964">
        <v>800</v>
      </c>
      <c r="CW23" s="962">
        <v>322</v>
      </c>
      <c r="CX23" s="962">
        <v>478</v>
      </c>
      <c r="CY23" s="962"/>
      <c r="CZ23" s="962"/>
      <c r="DA23" s="962"/>
      <c r="DB23" s="962"/>
      <c r="DC23" s="962">
        <v>0</v>
      </c>
      <c r="DD23" s="962">
        <v>311</v>
      </c>
      <c r="DE23" s="962">
        <v>251</v>
      </c>
      <c r="DF23" s="1067">
        <v>81</v>
      </c>
      <c r="DG23" s="1072">
        <v>157</v>
      </c>
      <c r="DH23" s="1072"/>
      <c r="DI23" s="1072"/>
      <c r="DJ23" s="1072"/>
      <c r="DK23" s="1072"/>
      <c r="DL23" s="1072"/>
      <c r="DM23" s="1072"/>
      <c r="DN23" s="1072"/>
      <c r="DO23" s="1072"/>
      <c r="DP23" s="1072">
        <v>621</v>
      </c>
      <c r="DQ23" s="1072">
        <v>176</v>
      </c>
      <c r="DR23" s="1072">
        <v>3</v>
      </c>
      <c r="DS23" s="1072"/>
      <c r="DT23" s="1072"/>
      <c r="DU23" s="1072"/>
      <c r="DV23" s="1072"/>
      <c r="DW23" s="1072"/>
      <c r="DX23" s="1072"/>
      <c r="DY23" s="1072"/>
      <c r="DZ23" s="1072"/>
      <c r="EA23"/>
      <c r="EB23"/>
      <c r="EC23"/>
      <c r="ED23"/>
      <c r="EE23"/>
      <c r="EF23"/>
      <c r="EG23"/>
      <c r="EH23"/>
      <c r="EI23"/>
      <c r="EJ23"/>
      <c r="EK23"/>
      <c r="EL23"/>
    </row>
    <row r="24" spans="1:142" s="602" customFormat="1" ht="30" customHeight="1">
      <c r="A24" s="607" t="s">
        <v>1415</v>
      </c>
      <c r="B24" s="15109"/>
      <c r="C24" s="622" t="s">
        <v>1415</v>
      </c>
      <c r="D24" s="623" t="s">
        <v>2373</v>
      </c>
      <c r="E24" s="623" t="s">
        <v>2374</v>
      </c>
      <c r="F24" s="624" t="s">
        <v>2375</v>
      </c>
      <c r="G24" s="623" t="s">
        <v>2009</v>
      </c>
      <c r="H24" s="623" t="s">
        <v>2376</v>
      </c>
      <c r="I24" s="623" t="s">
        <v>2377</v>
      </c>
      <c r="J24" s="623">
        <v>21</v>
      </c>
      <c r="K24" s="623" t="s">
        <v>7615</v>
      </c>
      <c r="L24" s="599" t="s">
        <v>2385</v>
      </c>
      <c r="M24" s="630" t="s">
        <v>2379</v>
      </c>
      <c r="N24" s="520" t="s">
        <v>2324</v>
      </c>
      <c r="O24" s="554">
        <v>1</v>
      </c>
      <c r="P24" s="520" t="s">
        <v>2009</v>
      </c>
      <c r="Q24" s="520" t="s">
        <v>2380</v>
      </c>
      <c r="R24" s="535">
        <v>1</v>
      </c>
      <c r="S24" s="625">
        <v>4</v>
      </c>
      <c r="T24" s="633">
        <v>1</v>
      </c>
      <c r="U24" s="634">
        <v>979316056</v>
      </c>
      <c r="V24" s="634">
        <v>3220726284</v>
      </c>
      <c r="W24" s="634" t="s">
        <v>4379</v>
      </c>
      <c r="X24" s="635">
        <v>10854</v>
      </c>
      <c r="Y24" s="636">
        <v>4790</v>
      </c>
      <c r="Z24" s="636">
        <v>6064</v>
      </c>
      <c r="AA24" s="636">
        <v>9592</v>
      </c>
      <c r="AB24" s="635">
        <v>1262</v>
      </c>
      <c r="AC24" s="635">
        <v>1189</v>
      </c>
      <c r="AD24" s="635">
        <v>1331</v>
      </c>
      <c r="AE24" s="635">
        <v>1265</v>
      </c>
      <c r="AF24" s="635">
        <v>2154</v>
      </c>
      <c r="AG24" s="635">
        <v>2141</v>
      </c>
      <c r="AH24" s="635">
        <v>2137</v>
      </c>
      <c r="AI24" s="635">
        <v>637</v>
      </c>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7"/>
      <c r="BH24" s="635"/>
      <c r="BI24" s="635"/>
      <c r="BJ24" s="635"/>
      <c r="BK24" s="637"/>
      <c r="BL24" s="939"/>
      <c r="BM24" s="1076" t="s">
        <v>1415</v>
      </c>
      <c r="BN24" s="15012"/>
      <c r="BO24" s="15015" t="s">
        <v>1415</v>
      </c>
      <c r="BP24" s="15021"/>
      <c r="BQ24" s="1006" t="s">
        <v>2373</v>
      </c>
      <c r="BR24" s="1070" t="s">
        <v>2374</v>
      </c>
      <c r="BS24" s="1069" t="s">
        <v>2375</v>
      </c>
      <c r="BT24" s="1067" t="s">
        <v>2009</v>
      </c>
      <c r="BU24" s="1067" t="s">
        <v>2376</v>
      </c>
      <c r="BV24" s="1070" t="s">
        <v>2377</v>
      </c>
      <c r="BW24" s="1067">
        <v>21</v>
      </c>
      <c r="BX24" s="1067" t="s">
        <v>7615</v>
      </c>
      <c r="BY24" s="962" t="s">
        <v>2378</v>
      </c>
      <c r="BZ24" s="2856" t="s">
        <v>86</v>
      </c>
      <c r="CA24" s="1072" t="s">
        <v>2379</v>
      </c>
      <c r="CB24" s="1072"/>
      <c r="CC24" s="1067" t="s">
        <v>2324</v>
      </c>
      <c r="CD24" s="1071">
        <v>1</v>
      </c>
      <c r="CE24" s="1067" t="s">
        <v>2009</v>
      </c>
      <c r="CF24" s="1067" t="s">
        <v>2380</v>
      </c>
      <c r="CG24" s="1071">
        <v>1</v>
      </c>
      <c r="CH24" s="1071">
        <v>1</v>
      </c>
      <c r="CI24" s="1071" t="s">
        <v>2381</v>
      </c>
      <c r="CJ24" s="1071">
        <v>1</v>
      </c>
      <c r="CK24" s="1071">
        <v>1</v>
      </c>
      <c r="CL24" s="1167">
        <v>1</v>
      </c>
      <c r="CM24" s="14933"/>
      <c r="CN24" s="14935"/>
      <c r="CO24" s="14943"/>
      <c r="CP24" s="966"/>
      <c r="CQ24" s="962"/>
      <c r="CR24" s="964"/>
      <c r="CS24" s="962"/>
      <c r="CT24" s="962"/>
      <c r="CU24" s="962"/>
      <c r="CV24" s="962"/>
      <c r="CW24" s="962"/>
      <c r="CX24" s="962"/>
      <c r="CY24" s="962"/>
      <c r="CZ24" s="962"/>
      <c r="DA24" s="962"/>
      <c r="DB24" s="962"/>
      <c r="DC24" s="962"/>
      <c r="DD24" s="962"/>
      <c r="DE24" s="962"/>
      <c r="DF24" s="1067"/>
      <c r="DG24" s="1072"/>
      <c r="DH24" s="1072"/>
      <c r="DI24" s="1072"/>
      <c r="DJ24" s="1072"/>
      <c r="DK24" s="1072"/>
      <c r="DL24" s="1072"/>
      <c r="DM24" s="1072"/>
      <c r="DN24" s="1072"/>
      <c r="DO24" s="1072"/>
      <c r="DP24" s="1072"/>
      <c r="DQ24" s="1072"/>
      <c r="DR24" s="1072"/>
      <c r="DS24" s="1072"/>
      <c r="DT24" s="1072"/>
      <c r="DU24" s="1072"/>
      <c r="DV24" s="1072"/>
      <c r="DW24" s="1072"/>
      <c r="DX24" s="1072"/>
      <c r="DY24" s="1072"/>
      <c r="DZ24" s="1072"/>
      <c r="EA24"/>
      <c r="EB24"/>
      <c r="EC24"/>
      <c r="ED24"/>
      <c r="EE24"/>
      <c r="EF24"/>
      <c r="EG24"/>
      <c r="EH24"/>
      <c r="EI24"/>
      <c r="EJ24"/>
      <c r="EK24"/>
      <c r="EL24"/>
    </row>
    <row r="25" spans="1:142" s="602" customFormat="1" ht="30" customHeight="1">
      <c r="A25" s="607"/>
      <c r="B25" s="15109"/>
      <c r="C25" s="622" t="s">
        <v>1415</v>
      </c>
      <c r="D25" s="623" t="s">
        <v>2382</v>
      </c>
      <c r="E25" s="638">
        <v>0</v>
      </c>
      <c r="F25" s="638">
        <v>0.25</v>
      </c>
      <c r="G25" s="623" t="s">
        <v>2009</v>
      </c>
      <c r="H25" s="623" t="s">
        <v>2383</v>
      </c>
      <c r="I25" s="623" t="s">
        <v>2384</v>
      </c>
      <c r="J25" s="623">
        <v>22</v>
      </c>
      <c r="K25" s="623" t="s">
        <v>7616</v>
      </c>
      <c r="L25" s="599" t="s">
        <v>9584</v>
      </c>
      <c r="M25" s="639" t="s">
        <v>2379</v>
      </c>
      <c r="N25" s="627">
        <v>2</v>
      </c>
      <c r="O25" s="627">
        <v>4</v>
      </c>
      <c r="P25" s="520" t="s">
        <v>2005</v>
      </c>
      <c r="Q25" s="520" t="s">
        <v>2386</v>
      </c>
      <c r="R25" s="628">
        <v>4</v>
      </c>
      <c r="S25" s="630">
        <v>13</v>
      </c>
      <c r="T25" s="538">
        <v>1</v>
      </c>
      <c r="U25" s="640" t="s">
        <v>4380</v>
      </c>
      <c r="V25" s="635" t="s">
        <v>4381</v>
      </c>
      <c r="W25" s="640" t="s">
        <v>4380</v>
      </c>
      <c r="X25" s="641">
        <v>240000</v>
      </c>
      <c r="Y25" s="636">
        <v>240000</v>
      </c>
      <c r="Z25" s="636"/>
      <c r="AA25" s="636"/>
      <c r="AB25" s="635"/>
      <c r="AC25" s="635"/>
      <c r="AD25" s="635"/>
      <c r="AE25" s="635"/>
      <c r="AF25" s="635"/>
      <c r="AG25" s="635"/>
      <c r="AH25" s="635"/>
      <c r="AI25" s="635"/>
      <c r="AJ25" s="635"/>
      <c r="AK25" s="635"/>
      <c r="AL25" s="635"/>
      <c r="AM25" s="635"/>
      <c r="AN25" s="635"/>
      <c r="AO25" s="635"/>
      <c r="AP25" s="635"/>
      <c r="AQ25" s="635"/>
      <c r="AR25" s="635"/>
      <c r="AS25" s="635"/>
      <c r="AT25" s="635"/>
      <c r="AU25" s="635"/>
      <c r="AV25" s="635"/>
      <c r="AW25" s="635"/>
      <c r="AX25" s="635"/>
      <c r="AY25" s="635"/>
      <c r="AZ25" s="635"/>
      <c r="BA25" s="635"/>
      <c r="BB25" s="635" t="s">
        <v>4382</v>
      </c>
      <c r="BC25" s="640" t="s">
        <v>4380</v>
      </c>
      <c r="BD25" s="635"/>
      <c r="BE25" s="635" t="s">
        <v>4383</v>
      </c>
      <c r="BF25" s="635" t="s">
        <v>4384</v>
      </c>
      <c r="BG25" s="635"/>
      <c r="BH25" s="635"/>
      <c r="BI25" s="635"/>
      <c r="BJ25" s="635"/>
      <c r="BK25" s="637"/>
      <c r="BL25" s="939"/>
      <c r="BM25" s="1076"/>
      <c r="BN25" s="15012"/>
      <c r="BO25" s="15017"/>
      <c r="BP25" s="15022"/>
      <c r="BQ25" s="1067" t="s">
        <v>2382</v>
      </c>
      <c r="BR25" s="1083">
        <v>0</v>
      </c>
      <c r="BS25" s="1084">
        <v>0.25</v>
      </c>
      <c r="BT25" s="1067" t="s">
        <v>2009</v>
      </c>
      <c r="BU25" s="1067" t="s">
        <v>2383</v>
      </c>
      <c r="BV25" s="1070" t="s">
        <v>2384</v>
      </c>
      <c r="BW25" s="1067">
        <v>22</v>
      </c>
      <c r="BX25" s="1067" t="s">
        <v>7616</v>
      </c>
      <c r="BY25" s="962" t="s">
        <v>2385</v>
      </c>
      <c r="BZ25" s="2856" t="s">
        <v>86</v>
      </c>
      <c r="CA25" s="1072" t="s">
        <v>2379</v>
      </c>
      <c r="CB25" s="1072"/>
      <c r="CC25" s="1078">
        <v>2</v>
      </c>
      <c r="CD25" s="1078">
        <v>4</v>
      </c>
      <c r="CE25" s="1067" t="s">
        <v>2005</v>
      </c>
      <c r="CF25" s="1067" t="s">
        <v>2386</v>
      </c>
      <c r="CG25" s="1078">
        <v>4</v>
      </c>
      <c r="CH25" s="1078">
        <v>4</v>
      </c>
      <c r="CI25" s="1078">
        <v>4</v>
      </c>
      <c r="CJ25" s="1078">
        <v>4</v>
      </c>
      <c r="CK25" s="1071">
        <v>0.25</v>
      </c>
      <c r="CL25" s="1167">
        <v>0.25</v>
      </c>
      <c r="CM25" s="14933"/>
      <c r="CN25" s="14935"/>
      <c r="CO25" s="14943"/>
      <c r="CP25" s="966"/>
      <c r="CQ25" s="962"/>
      <c r="CR25" s="964"/>
      <c r="CS25" s="962"/>
      <c r="CT25" s="962"/>
      <c r="CU25" s="962"/>
      <c r="CV25" s="962"/>
      <c r="CW25" s="962"/>
      <c r="CX25" s="962"/>
      <c r="CY25" s="962"/>
      <c r="CZ25" s="962"/>
      <c r="DA25" s="962"/>
      <c r="DB25" s="962"/>
      <c r="DC25" s="962"/>
      <c r="DD25" s="962"/>
      <c r="DE25" s="962"/>
      <c r="DF25" s="1067"/>
      <c r="DG25" s="1072"/>
      <c r="DH25" s="1072"/>
      <c r="DI25" s="1072"/>
      <c r="DJ25" s="1072"/>
      <c r="DK25" s="1072"/>
      <c r="DL25" s="1072"/>
      <c r="DM25" s="1072"/>
      <c r="DN25" s="1072"/>
      <c r="DO25" s="1072"/>
      <c r="DP25" s="1072"/>
      <c r="DQ25" s="1072"/>
      <c r="DR25" s="1072"/>
      <c r="DS25" s="1072"/>
      <c r="DT25" s="1072"/>
      <c r="DU25" s="1072"/>
      <c r="DV25" s="1072"/>
      <c r="DW25" s="1072"/>
      <c r="DX25" s="1072"/>
      <c r="DY25" s="1072"/>
      <c r="DZ25" s="1072"/>
      <c r="EA25"/>
      <c r="EB25"/>
      <c r="EC25"/>
      <c r="ED25"/>
      <c r="EE25"/>
      <c r="EF25"/>
      <c r="EG25"/>
      <c r="EH25"/>
      <c r="EI25"/>
      <c r="EJ25"/>
      <c r="EK25"/>
      <c r="EL25"/>
    </row>
    <row r="26" spans="1:142" s="602" customFormat="1" ht="30" customHeight="1" thickBot="1">
      <c r="A26" s="607"/>
      <c r="B26" s="15109"/>
      <c r="C26" s="622" t="s">
        <v>1415</v>
      </c>
      <c r="D26" s="623" t="s">
        <v>2387</v>
      </c>
      <c r="E26" s="642">
        <v>6</v>
      </c>
      <c r="F26" s="643">
        <v>13</v>
      </c>
      <c r="G26" s="623" t="s">
        <v>2005</v>
      </c>
      <c r="H26" s="623" t="s">
        <v>2388</v>
      </c>
      <c r="I26" s="623" t="s">
        <v>2389</v>
      </c>
      <c r="J26" s="623">
        <v>23</v>
      </c>
      <c r="K26" s="623" t="s">
        <v>7617</v>
      </c>
      <c r="L26" s="599" t="s">
        <v>2395</v>
      </c>
      <c r="M26" s="630" t="s">
        <v>2379</v>
      </c>
      <c r="N26" s="522">
        <v>6</v>
      </c>
      <c r="O26" s="522">
        <v>13</v>
      </c>
      <c r="P26" s="520" t="s">
        <v>2005</v>
      </c>
      <c r="Q26" s="520" t="s">
        <v>2391</v>
      </c>
      <c r="R26" s="632">
        <v>10</v>
      </c>
      <c r="S26" s="630">
        <v>165</v>
      </c>
      <c r="T26" s="538">
        <v>1</v>
      </c>
      <c r="U26" s="526" t="s">
        <v>4385</v>
      </c>
      <c r="V26" s="528" t="s">
        <v>3585</v>
      </c>
      <c r="W26" s="526" t="s">
        <v>4386</v>
      </c>
      <c r="X26" s="540">
        <v>2300000</v>
      </c>
      <c r="Y26" s="540">
        <v>2300000</v>
      </c>
      <c r="Z26" s="644"/>
      <c r="AA26" s="644"/>
      <c r="AB26" s="541">
        <v>275</v>
      </c>
      <c r="AC26" s="541">
        <v>110</v>
      </c>
      <c r="AD26" s="541">
        <v>165</v>
      </c>
      <c r="AE26" s="528">
        <v>132.96703296703296</v>
      </c>
      <c r="AF26" s="528">
        <v>142.03296703296701</v>
      </c>
      <c r="AG26" s="528">
        <v>0</v>
      </c>
      <c r="AH26" s="528">
        <v>0</v>
      </c>
      <c r="AI26" s="528">
        <v>0</v>
      </c>
      <c r="AJ26" s="528">
        <v>51.373626373626372</v>
      </c>
      <c r="AK26" s="528">
        <v>99.725274725274716</v>
      </c>
      <c r="AL26" s="528">
        <v>78.571428571428569</v>
      </c>
      <c r="AM26" s="528">
        <v>45.329670329670328</v>
      </c>
      <c r="AN26" s="528"/>
      <c r="AO26" s="528"/>
      <c r="AP26" s="528"/>
      <c r="AQ26" s="541">
        <v>275</v>
      </c>
      <c r="AR26" s="528"/>
      <c r="AS26" s="528"/>
      <c r="AT26" s="528"/>
      <c r="AU26" s="528"/>
      <c r="AV26" s="528">
        <v>75</v>
      </c>
      <c r="AW26" s="528">
        <v>13</v>
      </c>
      <c r="AX26" s="528">
        <v>3</v>
      </c>
      <c r="AY26" s="528"/>
      <c r="AZ26" s="528"/>
      <c r="BA26" s="528"/>
      <c r="BB26" s="528"/>
      <c r="BC26" s="528"/>
      <c r="BD26" s="528"/>
      <c r="BE26" s="528"/>
      <c r="BF26" s="528"/>
      <c r="BG26" s="528"/>
      <c r="BH26" s="528"/>
      <c r="BI26" s="528"/>
      <c r="BJ26" s="528"/>
      <c r="BK26" s="529"/>
      <c r="BL26" s="939"/>
      <c r="BM26" s="1076"/>
      <c r="BN26" s="15012"/>
      <c r="BO26" s="15017"/>
      <c r="BP26" s="15022"/>
      <c r="BQ26" s="1067" t="s">
        <v>2387</v>
      </c>
      <c r="BR26" s="1085">
        <v>6</v>
      </c>
      <c r="BS26" s="1073">
        <v>13</v>
      </c>
      <c r="BT26" s="1067" t="s">
        <v>2005</v>
      </c>
      <c r="BU26" s="1067" t="s">
        <v>2388</v>
      </c>
      <c r="BV26" s="1070" t="s">
        <v>2389</v>
      </c>
      <c r="BW26" s="1067">
        <v>23</v>
      </c>
      <c r="BX26" s="1067" t="s">
        <v>7617</v>
      </c>
      <c r="BY26" s="962" t="s">
        <v>2390</v>
      </c>
      <c r="BZ26" s="2856" t="s">
        <v>86</v>
      </c>
      <c r="CA26" s="1072" t="s">
        <v>2379</v>
      </c>
      <c r="CB26" s="1072"/>
      <c r="CC26" s="1072">
        <v>6</v>
      </c>
      <c r="CD26" s="1072">
        <v>13</v>
      </c>
      <c r="CE26" s="1067" t="s">
        <v>2005</v>
      </c>
      <c r="CF26" s="1067" t="s">
        <v>2391</v>
      </c>
      <c r="CG26" s="1072">
        <v>13</v>
      </c>
      <c r="CH26" s="1072">
        <v>8</v>
      </c>
      <c r="CI26" s="1072">
        <v>10</v>
      </c>
      <c r="CJ26" s="1072">
        <v>13</v>
      </c>
      <c r="CK26" s="1071">
        <v>0</v>
      </c>
      <c r="CL26" s="1167">
        <v>0</v>
      </c>
      <c r="CM26" s="14933"/>
      <c r="CN26" s="14935"/>
      <c r="CO26" s="14943"/>
      <c r="CP26" s="966"/>
      <c r="CQ26" s="962"/>
      <c r="CR26" s="964"/>
      <c r="CS26" s="962"/>
      <c r="CT26" s="962"/>
      <c r="CU26" s="962"/>
      <c r="CV26" s="962"/>
      <c r="CW26" s="962"/>
      <c r="CX26" s="962"/>
      <c r="CY26" s="962"/>
      <c r="CZ26" s="962"/>
      <c r="DA26" s="962"/>
      <c r="DB26" s="962"/>
      <c r="DC26" s="962"/>
      <c r="DD26" s="962"/>
      <c r="DE26" s="962"/>
      <c r="DF26" s="1067"/>
      <c r="DG26" s="1072"/>
      <c r="DH26" s="1072"/>
      <c r="DI26" s="1072"/>
      <c r="DJ26" s="1072"/>
      <c r="DK26" s="1072"/>
      <c r="DL26" s="1072"/>
      <c r="DM26" s="1072"/>
      <c r="DN26" s="1072"/>
      <c r="DO26" s="1072"/>
      <c r="DP26" s="1072"/>
      <c r="DQ26" s="1072"/>
      <c r="DR26" s="1072"/>
      <c r="DS26" s="1072"/>
      <c r="DT26" s="1072"/>
      <c r="DU26" s="1072"/>
      <c r="DV26" s="1072"/>
      <c r="DW26" s="1072"/>
      <c r="DX26" s="1072"/>
      <c r="DY26" s="1072"/>
      <c r="DZ26" s="1072"/>
      <c r="EA26"/>
      <c r="EB26"/>
      <c r="EC26"/>
      <c r="ED26"/>
      <c r="EE26"/>
      <c r="EF26"/>
      <c r="EG26"/>
      <c r="EH26"/>
      <c r="EI26"/>
      <c r="EJ26"/>
      <c r="EK26"/>
      <c r="EL26"/>
    </row>
    <row r="27" spans="1:142" s="602" customFormat="1" ht="30" customHeight="1">
      <c r="A27" s="607"/>
      <c r="B27" s="15109"/>
      <c r="C27" s="622" t="s">
        <v>1415</v>
      </c>
      <c r="D27" s="623" t="s">
        <v>2392</v>
      </c>
      <c r="E27" s="623" t="s">
        <v>70</v>
      </c>
      <c r="F27" s="645">
        <v>165</v>
      </c>
      <c r="G27" s="623" t="s">
        <v>2005</v>
      </c>
      <c r="H27" s="623" t="s">
        <v>2393</v>
      </c>
      <c r="I27" s="623" t="s">
        <v>2394</v>
      </c>
      <c r="J27" s="623">
        <v>24</v>
      </c>
      <c r="K27" s="623" t="s">
        <v>7618</v>
      </c>
      <c r="L27" s="599" t="s">
        <v>9585</v>
      </c>
      <c r="M27" s="600" t="s">
        <v>2402</v>
      </c>
      <c r="N27" s="522" t="s">
        <v>70</v>
      </c>
      <c r="O27" s="522">
        <v>165</v>
      </c>
      <c r="P27" s="520" t="s">
        <v>2005</v>
      </c>
      <c r="Q27" s="520" t="s">
        <v>2396</v>
      </c>
      <c r="R27" s="632">
        <v>165</v>
      </c>
      <c r="S27" s="604">
        <v>1</v>
      </c>
      <c r="T27" s="538">
        <v>1</v>
      </c>
      <c r="U27" s="640" t="s">
        <v>4387</v>
      </c>
      <c r="V27" s="640" t="s">
        <v>4388</v>
      </c>
      <c r="W27" s="635" t="s">
        <v>4389</v>
      </c>
      <c r="X27" s="634">
        <v>16896000</v>
      </c>
      <c r="Y27" s="636"/>
      <c r="Z27" s="636">
        <v>16896000</v>
      </c>
      <c r="AA27" s="636"/>
      <c r="AB27" s="635">
        <v>578</v>
      </c>
      <c r="AC27" s="635">
        <v>246</v>
      </c>
      <c r="AD27" s="635">
        <v>332</v>
      </c>
      <c r="AE27" s="635">
        <v>435</v>
      </c>
      <c r="AF27" s="635">
        <v>143</v>
      </c>
      <c r="AG27" s="635"/>
      <c r="AH27" s="635"/>
      <c r="AI27" s="635"/>
      <c r="AJ27" s="635"/>
      <c r="AK27" s="635"/>
      <c r="AL27" s="635"/>
      <c r="AM27" s="635"/>
      <c r="AN27" s="635">
        <v>552</v>
      </c>
      <c r="AO27" s="635">
        <v>26</v>
      </c>
      <c r="AP27" s="635"/>
      <c r="AQ27" s="635"/>
      <c r="AR27" s="635"/>
      <c r="AS27" s="635"/>
      <c r="AT27" s="635"/>
      <c r="AU27" s="635"/>
      <c r="AV27" s="635">
        <v>557</v>
      </c>
      <c r="AW27" s="635">
        <v>20</v>
      </c>
      <c r="AX27" s="635">
        <v>1</v>
      </c>
      <c r="AY27" s="635"/>
      <c r="AZ27" s="635"/>
      <c r="BA27" s="635"/>
      <c r="BB27" s="635"/>
      <c r="BC27" s="635"/>
      <c r="BD27" s="635"/>
      <c r="BE27" s="635"/>
      <c r="BF27" s="635"/>
      <c r="BG27" s="635"/>
      <c r="BH27" s="635"/>
      <c r="BI27" s="635"/>
      <c r="BJ27" s="635"/>
      <c r="BK27" s="637"/>
      <c r="BL27" s="939"/>
      <c r="BM27" s="1076"/>
      <c r="BN27" s="15012"/>
      <c r="BO27" s="15019"/>
      <c r="BP27" s="15023"/>
      <c r="BQ27" s="1067" t="s">
        <v>2392</v>
      </c>
      <c r="BR27" s="1070" t="s">
        <v>70</v>
      </c>
      <c r="BS27" s="1086">
        <v>165</v>
      </c>
      <c r="BT27" s="1067" t="s">
        <v>2005</v>
      </c>
      <c r="BU27" s="1067" t="s">
        <v>2393</v>
      </c>
      <c r="BV27" s="1070" t="s">
        <v>2394</v>
      </c>
      <c r="BW27" s="1067">
        <v>24</v>
      </c>
      <c r="BX27" s="1067" t="s">
        <v>7618</v>
      </c>
      <c r="BY27" s="962" t="s">
        <v>2395</v>
      </c>
      <c r="BZ27" s="2856" t="s">
        <v>86</v>
      </c>
      <c r="CA27" s="1072" t="s">
        <v>2379</v>
      </c>
      <c r="CB27" s="1072"/>
      <c r="CC27" s="1072" t="s">
        <v>70</v>
      </c>
      <c r="CD27" s="1072">
        <v>165</v>
      </c>
      <c r="CE27" s="1067" t="s">
        <v>2005</v>
      </c>
      <c r="CF27" s="1067" t="s">
        <v>2396</v>
      </c>
      <c r="CG27" s="1072">
        <v>165</v>
      </c>
      <c r="CH27" s="1072">
        <v>165</v>
      </c>
      <c r="CI27" s="1072">
        <v>165</v>
      </c>
      <c r="CJ27" s="1072">
        <v>165</v>
      </c>
      <c r="CK27" s="1071">
        <v>1</v>
      </c>
      <c r="CL27" s="1167">
        <v>1</v>
      </c>
      <c r="CM27" s="14933"/>
      <c r="CN27" s="14935"/>
      <c r="CO27" s="14943"/>
      <c r="CP27" s="966"/>
      <c r="CQ27" s="962"/>
      <c r="CR27" s="964"/>
      <c r="CS27" s="962"/>
      <c r="CT27" s="962"/>
      <c r="CU27" s="962"/>
      <c r="CV27" s="962"/>
      <c r="CW27" s="962"/>
      <c r="CX27" s="962"/>
      <c r="CY27" s="962"/>
      <c r="CZ27" s="962"/>
      <c r="DA27" s="962"/>
      <c r="DB27" s="962"/>
      <c r="DC27" s="962"/>
      <c r="DD27" s="962"/>
      <c r="DE27" s="962"/>
      <c r="DF27" s="1067"/>
      <c r="DG27" s="1072"/>
      <c r="DH27" s="1072"/>
      <c r="DI27" s="1072"/>
      <c r="DJ27" s="1072"/>
      <c r="DK27" s="1072"/>
      <c r="DL27" s="1072"/>
      <c r="DM27" s="1072"/>
      <c r="DN27" s="1072"/>
      <c r="DO27" s="1072"/>
      <c r="DP27" s="1072"/>
      <c r="DQ27" s="1072"/>
      <c r="DR27" s="1072"/>
      <c r="DS27" s="1072"/>
      <c r="DT27" s="1072"/>
      <c r="DU27" s="1072"/>
      <c r="DV27" s="1072"/>
      <c r="DW27" s="1072"/>
      <c r="DX27" s="1072"/>
      <c r="DY27" s="1072"/>
      <c r="DZ27" s="1072"/>
      <c r="EA27"/>
      <c r="EB27"/>
      <c r="EC27"/>
      <c r="ED27"/>
      <c r="EE27"/>
      <c r="EF27"/>
      <c r="EG27"/>
      <c r="EH27"/>
      <c r="EI27"/>
      <c r="EJ27"/>
      <c r="EK27"/>
      <c r="EL27"/>
    </row>
    <row r="28" spans="1:142" s="602" customFormat="1" ht="30" customHeight="1">
      <c r="A28" s="607" t="s">
        <v>569</v>
      </c>
      <c r="B28" s="15109"/>
      <c r="C28" s="622" t="s">
        <v>569</v>
      </c>
      <c r="D28" s="623" t="s">
        <v>2397</v>
      </c>
      <c r="E28" s="623" t="s">
        <v>2398</v>
      </c>
      <c r="F28" s="623">
        <v>55</v>
      </c>
      <c r="G28" s="623" t="s">
        <v>2009</v>
      </c>
      <c r="H28" s="623" t="s">
        <v>2399</v>
      </c>
      <c r="I28" s="623" t="s">
        <v>2400</v>
      </c>
      <c r="J28" s="623">
        <v>25</v>
      </c>
      <c r="K28" s="623" t="s">
        <v>7619</v>
      </c>
      <c r="L28" s="599" t="s">
        <v>9586</v>
      </c>
      <c r="M28" s="600" t="s">
        <v>2402</v>
      </c>
      <c r="N28" s="646">
        <v>1</v>
      </c>
      <c r="O28" s="554">
        <v>1</v>
      </c>
      <c r="P28" s="522" t="s">
        <v>2009</v>
      </c>
      <c r="Q28" s="520" t="s">
        <v>2403</v>
      </c>
      <c r="R28" s="535">
        <v>1</v>
      </c>
      <c r="S28" s="604">
        <v>1</v>
      </c>
      <c r="T28" s="519">
        <v>1</v>
      </c>
      <c r="U28" s="520" t="s">
        <v>4390</v>
      </c>
      <c r="V28" s="522"/>
      <c r="W28" s="520" t="s">
        <v>4391</v>
      </c>
      <c r="X28" s="542">
        <v>380846512</v>
      </c>
      <c r="Y28" s="522"/>
      <c r="Z28" s="522"/>
      <c r="AA28" s="522"/>
      <c r="AB28" s="543"/>
      <c r="AC28" s="543"/>
      <c r="AD28" s="543"/>
      <c r="AE28" s="522"/>
      <c r="AF28" s="522"/>
      <c r="AG28" s="522"/>
      <c r="AH28" s="522"/>
      <c r="AI28" s="522"/>
      <c r="AJ28" s="522"/>
      <c r="AK28" s="522"/>
      <c r="AL28" s="522"/>
      <c r="AM28" s="522"/>
      <c r="AN28" s="522"/>
      <c r="AO28" s="522"/>
      <c r="AP28" s="522"/>
      <c r="AQ28" s="522"/>
      <c r="AR28" s="522"/>
      <c r="AS28" s="522"/>
      <c r="AT28" s="522"/>
      <c r="AU28" s="522"/>
      <c r="AV28" s="522"/>
      <c r="AW28" s="522"/>
      <c r="AX28" s="522"/>
      <c r="AY28" s="522"/>
      <c r="AZ28" s="522"/>
      <c r="BA28" s="522"/>
      <c r="BB28" s="522"/>
      <c r="BC28" s="522"/>
      <c r="BD28" s="522"/>
      <c r="BE28" s="522"/>
      <c r="BF28" s="522"/>
      <c r="BG28" s="522"/>
      <c r="BH28" s="522"/>
      <c r="BI28" s="522"/>
      <c r="BJ28" s="522"/>
      <c r="BK28" s="523"/>
      <c r="BL28" s="939"/>
      <c r="BM28" s="1076" t="s">
        <v>569</v>
      </c>
      <c r="BN28" s="15012"/>
      <c r="BO28" s="15015" t="s">
        <v>569</v>
      </c>
      <c r="BP28" s="15021"/>
      <c r="BQ28" s="1067" t="s">
        <v>2397</v>
      </c>
      <c r="BR28" s="1070" t="s">
        <v>2398</v>
      </c>
      <c r="BS28" s="1067">
        <v>55</v>
      </c>
      <c r="BT28" s="1067" t="s">
        <v>2009</v>
      </c>
      <c r="BU28" s="1067" t="s">
        <v>2399</v>
      </c>
      <c r="BV28" s="1070" t="s">
        <v>2400</v>
      </c>
      <c r="BW28" s="1067">
        <v>25</v>
      </c>
      <c r="BX28" s="1067" t="s">
        <v>7619</v>
      </c>
      <c r="BY28" s="962" t="s">
        <v>2401</v>
      </c>
      <c r="BZ28" s="2856" t="s">
        <v>2896</v>
      </c>
      <c r="CA28" s="1067" t="s">
        <v>2402</v>
      </c>
      <c r="CB28" s="1067"/>
      <c r="CC28" s="1084">
        <v>1</v>
      </c>
      <c r="CD28" s="1071">
        <v>1</v>
      </c>
      <c r="CE28" s="1072" t="s">
        <v>2009</v>
      </c>
      <c r="CF28" s="1067" t="s">
        <v>2403</v>
      </c>
      <c r="CG28" s="1084">
        <v>1</v>
      </c>
      <c r="CH28" s="1071">
        <v>1</v>
      </c>
      <c r="CI28" s="1071">
        <v>1</v>
      </c>
      <c r="CJ28" s="1071">
        <v>1</v>
      </c>
      <c r="CK28" s="1071">
        <v>1</v>
      </c>
      <c r="CL28" s="1167">
        <v>1</v>
      </c>
      <c r="CM28" s="14933"/>
      <c r="CN28" s="14935"/>
      <c r="CO28" s="14943"/>
      <c r="CP28" s="966" t="s">
        <v>9947</v>
      </c>
      <c r="CQ28" s="962"/>
      <c r="CR28" s="964">
        <v>375869383</v>
      </c>
      <c r="CS28" s="962"/>
      <c r="CT28" s="962"/>
      <c r="CU28" s="962"/>
      <c r="CV28" s="962">
        <v>129</v>
      </c>
      <c r="CW28" s="962">
        <v>75</v>
      </c>
      <c r="CX28" s="962">
        <v>56</v>
      </c>
      <c r="CY28" s="962">
        <v>103</v>
      </c>
      <c r="CZ28" s="962">
        <v>26</v>
      </c>
      <c r="DA28" s="962"/>
      <c r="DB28" s="962"/>
      <c r="DC28" s="962"/>
      <c r="DD28" s="962"/>
      <c r="DE28" s="962"/>
      <c r="DF28" s="1067"/>
      <c r="DG28" s="1072"/>
      <c r="DH28" s="1072">
        <v>129</v>
      </c>
      <c r="DI28" s="1072">
        <v>0</v>
      </c>
      <c r="DJ28" s="1072"/>
      <c r="DK28" s="1072"/>
      <c r="DL28" s="1072"/>
      <c r="DM28" s="1072"/>
      <c r="DN28" s="1072"/>
      <c r="DO28" s="1072"/>
      <c r="DP28" s="1072">
        <v>106</v>
      </c>
      <c r="DQ28" s="1072">
        <v>16</v>
      </c>
      <c r="DR28" s="1072">
        <v>7</v>
      </c>
      <c r="DS28" s="1072"/>
      <c r="DT28" s="1072"/>
      <c r="DU28" s="1072"/>
      <c r="DV28" s="1072"/>
      <c r="DW28" s="1072"/>
      <c r="DX28" s="1072"/>
      <c r="DY28" s="1072"/>
      <c r="DZ28" s="1072"/>
      <c r="EA28"/>
      <c r="EB28"/>
      <c r="EC28"/>
      <c r="ED28"/>
      <c r="EE28"/>
      <c r="EF28"/>
      <c r="EG28"/>
      <c r="EH28"/>
      <c r="EI28"/>
      <c r="EJ28"/>
      <c r="EK28"/>
      <c r="EL28"/>
    </row>
    <row r="29" spans="1:142" s="602" customFormat="1" ht="30" customHeight="1">
      <c r="A29" s="607"/>
      <c r="B29" s="15109"/>
      <c r="C29" s="622" t="s">
        <v>569</v>
      </c>
      <c r="D29" s="623" t="s">
        <v>2397</v>
      </c>
      <c r="E29" s="623" t="s">
        <v>2398</v>
      </c>
      <c r="F29" s="623">
        <v>55</v>
      </c>
      <c r="G29" s="623" t="s">
        <v>2009</v>
      </c>
      <c r="H29" s="623" t="s">
        <v>2399</v>
      </c>
      <c r="I29" s="623" t="s">
        <v>2400</v>
      </c>
      <c r="J29" s="623">
        <v>26</v>
      </c>
      <c r="K29" s="623" t="s">
        <v>7620</v>
      </c>
      <c r="L29" s="599" t="s">
        <v>9587</v>
      </c>
      <c r="M29" s="600" t="s">
        <v>2402</v>
      </c>
      <c r="N29" s="554">
        <v>1</v>
      </c>
      <c r="O29" s="554">
        <v>1</v>
      </c>
      <c r="P29" s="522" t="s">
        <v>2009</v>
      </c>
      <c r="Q29" s="520" t="s">
        <v>2405</v>
      </c>
      <c r="R29" s="535">
        <v>1</v>
      </c>
      <c r="S29" s="604">
        <v>1</v>
      </c>
      <c r="T29" s="519">
        <v>1</v>
      </c>
      <c r="U29" s="520" t="s">
        <v>4392</v>
      </c>
      <c r="V29" s="522"/>
      <c r="W29" s="520" t="s">
        <v>4393</v>
      </c>
      <c r="X29" s="544">
        <v>2234183802</v>
      </c>
      <c r="Y29" s="522"/>
      <c r="Z29" s="522"/>
      <c r="AA29" s="522"/>
      <c r="AB29" s="543"/>
      <c r="AC29" s="543"/>
      <c r="AD29" s="543"/>
      <c r="AE29" s="522"/>
      <c r="AF29" s="522"/>
      <c r="AG29" s="522"/>
      <c r="AH29" s="522"/>
      <c r="AI29" s="522"/>
      <c r="AJ29" s="522"/>
      <c r="AK29" s="522"/>
      <c r="AL29" s="522"/>
      <c r="AM29" s="522"/>
      <c r="AN29" s="522"/>
      <c r="AO29" s="522"/>
      <c r="AP29" s="522"/>
      <c r="AQ29" s="522"/>
      <c r="AR29" s="522"/>
      <c r="AS29" s="522"/>
      <c r="AT29" s="522"/>
      <c r="AU29" s="522"/>
      <c r="AV29" s="522"/>
      <c r="AW29" s="522"/>
      <c r="AX29" s="522"/>
      <c r="AY29" s="522"/>
      <c r="AZ29" s="522"/>
      <c r="BA29" s="522"/>
      <c r="BB29" s="522"/>
      <c r="BC29" s="522"/>
      <c r="BD29" s="522"/>
      <c r="BE29" s="522"/>
      <c r="BF29" s="522"/>
      <c r="BG29" s="522"/>
      <c r="BH29" s="522"/>
      <c r="BI29" s="522"/>
      <c r="BJ29" s="522"/>
      <c r="BK29" s="523"/>
      <c r="BL29" s="939"/>
      <c r="BM29" s="1076"/>
      <c r="BN29" s="15012"/>
      <c r="BO29" s="15017"/>
      <c r="BP29" s="15022"/>
      <c r="BQ29" s="1067" t="s">
        <v>2397</v>
      </c>
      <c r="BR29" s="1070" t="s">
        <v>2398</v>
      </c>
      <c r="BS29" s="1067">
        <v>55</v>
      </c>
      <c r="BT29" s="1067" t="s">
        <v>2009</v>
      </c>
      <c r="BU29" s="1067" t="s">
        <v>2399</v>
      </c>
      <c r="BV29" s="1070" t="s">
        <v>2400</v>
      </c>
      <c r="BW29" s="1067">
        <v>26</v>
      </c>
      <c r="BX29" s="1067" t="s">
        <v>7620</v>
      </c>
      <c r="BY29" s="962" t="s">
        <v>2404</v>
      </c>
      <c r="BZ29" s="2856" t="s">
        <v>2896</v>
      </c>
      <c r="CA29" s="1067" t="s">
        <v>2402</v>
      </c>
      <c r="CB29" s="1067"/>
      <c r="CC29" s="1071">
        <v>1</v>
      </c>
      <c r="CD29" s="1071">
        <v>1</v>
      </c>
      <c r="CE29" s="1072" t="s">
        <v>2009</v>
      </c>
      <c r="CF29" s="1067" t="s">
        <v>2405</v>
      </c>
      <c r="CG29" s="1084">
        <v>1</v>
      </c>
      <c r="CH29" s="1071">
        <v>1</v>
      </c>
      <c r="CI29" s="1071">
        <v>1</v>
      </c>
      <c r="CJ29" s="1071">
        <v>1</v>
      </c>
      <c r="CK29" s="1071">
        <v>1</v>
      </c>
      <c r="CL29" s="1167">
        <v>1</v>
      </c>
      <c r="CM29" s="14933"/>
      <c r="CN29" s="14935"/>
      <c r="CO29" s="14943"/>
      <c r="CP29" s="966" t="s">
        <v>9948</v>
      </c>
      <c r="CQ29" s="962"/>
      <c r="CR29" s="964">
        <v>1773762533</v>
      </c>
      <c r="CS29" s="962"/>
      <c r="CT29" s="962"/>
      <c r="CU29" s="962"/>
      <c r="CV29" s="962">
        <v>1071</v>
      </c>
      <c r="CW29" s="962">
        <v>557</v>
      </c>
      <c r="CX29" s="962">
        <v>514</v>
      </c>
      <c r="CY29" s="962">
        <v>821</v>
      </c>
      <c r="CZ29" s="962">
        <v>250</v>
      </c>
      <c r="DA29" s="962"/>
      <c r="DB29" s="962"/>
      <c r="DC29" s="962"/>
      <c r="DD29" s="962"/>
      <c r="DE29" s="962"/>
      <c r="DF29" s="1067"/>
      <c r="DG29" s="1072"/>
      <c r="DH29" s="1072">
        <v>964</v>
      </c>
      <c r="DI29" s="1072">
        <v>107</v>
      </c>
      <c r="DJ29" s="1072"/>
      <c r="DK29" s="1072"/>
      <c r="DL29" s="1072"/>
      <c r="DM29" s="1072"/>
      <c r="DN29" s="1072"/>
      <c r="DO29" s="1072"/>
      <c r="DP29" s="1072">
        <v>859</v>
      </c>
      <c r="DQ29" s="1072">
        <v>140</v>
      </c>
      <c r="DR29" s="1072">
        <v>102</v>
      </c>
      <c r="DS29" s="1072"/>
      <c r="DT29" s="1072"/>
      <c r="DU29" s="1072"/>
      <c r="DV29" s="1072"/>
      <c r="DW29" s="1072"/>
      <c r="DX29" s="1067"/>
      <c r="DY29" s="1067"/>
      <c r="DZ29" s="1072"/>
      <c r="EA29"/>
      <c r="EB29"/>
      <c r="EC29"/>
      <c r="ED29"/>
      <c r="EE29"/>
      <c r="EF29"/>
      <c r="EG29"/>
      <c r="EH29"/>
      <c r="EI29"/>
      <c r="EJ29"/>
      <c r="EK29"/>
      <c r="EL29"/>
    </row>
    <row r="30" spans="1:142" s="602" customFormat="1" ht="30" customHeight="1">
      <c r="A30" s="607"/>
      <c r="B30" s="15109"/>
      <c r="C30" s="622" t="s">
        <v>569</v>
      </c>
      <c r="D30" s="623" t="s">
        <v>2397</v>
      </c>
      <c r="E30" s="623" t="s">
        <v>2398</v>
      </c>
      <c r="F30" s="623">
        <v>55</v>
      </c>
      <c r="G30" s="623" t="s">
        <v>2009</v>
      </c>
      <c r="H30" s="623" t="s">
        <v>2399</v>
      </c>
      <c r="I30" s="623" t="s">
        <v>2400</v>
      </c>
      <c r="J30" s="623">
        <v>27</v>
      </c>
      <c r="K30" s="623" t="s">
        <v>7621</v>
      </c>
      <c r="L30" s="599" t="s">
        <v>9588</v>
      </c>
      <c r="M30" s="600" t="s">
        <v>2402</v>
      </c>
      <c r="N30" s="647">
        <v>1</v>
      </c>
      <c r="O30" s="554">
        <v>1</v>
      </c>
      <c r="P30" s="522" t="s">
        <v>2009</v>
      </c>
      <c r="Q30" s="520" t="s">
        <v>2407</v>
      </c>
      <c r="R30" s="535">
        <v>1</v>
      </c>
      <c r="S30" s="604">
        <v>1</v>
      </c>
      <c r="T30" s="519">
        <v>1</v>
      </c>
      <c r="U30" s="520" t="s">
        <v>4394</v>
      </c>
      <c r="V30" s="522"/>
      <c r="W30" s="520" t="s">
        <v>4393</v>
      </c>
      <c r="X30" s="544">
        <v>2277107206</v>
      </c>
      <c r="Y30" s="522"/>
      <c r="Z30" s="522"/>
      <c r="AA30" s="522"/>
      <c r="AB30" s="543"/>
      <c r="AC30" s="543"/>
      <c r="AD30" s="543"/>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c r="BB30" s="522"/>
      <c r="BC30" s="522"/>
      <c r="BD30" s="522"/>
      <c r="BE30" s="522"/>
      <c r="BF30" s="522"/>
      <c r="BG30" s="522"/>
      <c r="BH30" s="522"/>
      <c r="BI30" s="522"/>
      <c r="BJ30" s="522"/>
      <c r="BK30" s="523"/>
      <c r="BL30" s="939"/>
      <c r="BM30" s="1076"/>
      <c r="BN30" s="15012"/>
      <c r="BO30" s="15017"/>
      <c r="BP30" s="15022"/>
      <c r="BQ30" s="1067" t="s">
        <v>2397</v>
      </c>
      <c r="BR30" s="1070" t="s">
        <v>2398</v>
      </c>
      <c r="BS30" s="1067">
        <v>55</v>
      </c>
      <c r="BT30" s="1067" t="s">
        <v>2009</v>
      </c>
      <c r="BU30" s="1067" t="s">
        <v>2399</v>
      </c>
      <c r="BV30" s="1070" t="s">
        <v>2400</v>
      </c>
      <c r="BW30" s="1067">
        <v>27</v>
      </c>
      <c r="BX30" s="1067" t="s">
        <v>7621</v>
      </c>
      <c r="BY30" s="962" t="s">
        <v>2406</v>
      </c>
      <c r="BZ30" s="2856" t="s">
        <v>2896</v>
      </c>
      <c r="CA30" s="1067" t="s">
        <v>2402</v>
      </c>
      <c r="CB30" s="1067"/>
      <c r="CC30" s="1087">
        <v>1</v>
      </c>
      <c r="CD30" s="1071">
        <v>1</v>
      </c>
      <c r="CE30" s="1072" t="s">
        <v>2009</v>
      </c>
      <c r="CF30" s="1067" t="s">
        <v>2407</v>
      </c>
      <c r="CG30" s="1084">
        <v>1</v>
      </c>
      <c r="CH30" s="1071">
        <v>1</v>
      </c>
      <c r="CI30" s="1071">
        <v>1</v>
      </c>
      <c r="CJ30" s="1071">
        <v>1</v>
      </c>
      <c r="CK30" s="1071">
        <v>1</v>
      </c>
      <c r="CL30" s="1167">
        <v>1</v>
      </c>
      <c r="CM30" s="14933"/>
      <c r="CN30" s="14935"/>
      <c r="CO30" s="14943"/>
      <c r="CP30" s="966" t="s">
        <v>9949</v>
      </c>
      <c r="CQ30" s="968"/>
      <c r="CR30" s="969">
        <v>2161518918</v>
      </c>
      <c r="CS30" s="968"/>
      <c r="CT30" s="968"/>
      <c r="CU30" s="968"/>
      <c r="CV30" s="968">
        <v>1193</v>
      </c>
      <c r="CW30" s="968">
        <v>578</v>
      </c>
      <c r="CX30" s="968">
        <v>615</v>
      </c>
      <c r="CY30" s="968">
        <v>897</v>
      </c>
      <c r="CZ30" s="968">
        <v>296</v>
      </c>
      <c r="DA30" s="968"/>
      <c r="DB30" s="968"/>
      <c r="DC30" s="968"/>
      <c r="DD30" s="968"/>
      <c r="DE30" s="968"/>
      <c r="DF30" s="1067"/>
      <c r="DG30" s="1072"/>
      <c r="DH30" s="1072">
        <v>1142</v>
      </c>
      <c r="DI30" s="1072">
        <v>51</v>
      </c>
      <c r="DJ30" s="1072"/>
      <c r="DK30" s="1072"/>
      <c r="DL30" s="1072"/>
      <c r="DM30" s="1072"/>
      <c r="DN30" s="1072"/>
      <c r="DO30" s="1072"/>
      <c r="DP30" s="1072">
        <v>1059</v>
      </c>
      <c r="DQ30" s="1072">
        <v>101</v>
      </c>
      <c r="DR30" s="1072">
        <v>33</v>
      </c>
      <c r="DS30" s="1072"/>
      <c r="DT30" s="1072"/>
      <c r="DU30" s="1072"/>
      <c r="DV30" s="1072"/>
      <c r="DW30" s="1072"/>
      <c r="DX30" s="1067"/>
      <c r="DY30" s="1067"/>
      <c r="DZ30" s="1072"/>
      <c r="EA30"/>
      <c r="EB30"/>
      <c r="EC30"/>
      <c r="ED30"/>
      <c r="EE30"/>
      <c r="EF30"/>
      <c r="EG30"/>
      <c r="EH30"/>
      <c r="EI30"/>
      <c r="EJ30"/>
      <c r="EK30"/>
      <c r="EL30"/>
    </row>
    <row r="31" spans="1:142" s="602" customFormat="1" ht="30" customHeight="1">
      <c r="A31" s="607"/>
      <c r="B31" s="15109"/>
      <c r="C31" s="622" t="s">
        <v>569</v>
      </c>
      <c r="D31" s="623" t="s">
        <v>2397</v>
      </c>
      <c r="E31" s="623" t="s">
        <v>2398</v>
      </c>
      <c r="F31" s="623">
        <v>55</v>
      </c>
      <c r="G31" s="623" t="s">
        <v>2009</v>
      </c>
      <c r="H31" s="623" t="s">
        <v>2399</v>
      </c>
      <c r="I31" s="623" t="s">
        <v>2400</v>
      </c>
      <c r="J31" s="623">
        <v>28</v>
      </c>
      <c r="K31" s="623" t="s">
        <v>7622</v>
      </c>
      <c r="L31" s="599" t="s">
        <v>4340</v>
      </c>
      <c r="M31" s="600" t="s">
        <v>2402</v>
      </c>
      <c r="N31" s="606">
        <v>1</v>
      </c>
      <c r="O31" s="554">
        <v>1</v>
      </c>
      <c r="P31" s="522" t="s">
        <v>2009</v>
      </c>
      <c r="Q31" s="520" t="s">
        <v>2409</v>
      </c>
      <c r="R31" s="535">
        <v>1</v>
      </c>
      <c r="S31" s="648">
        <v>15</v>
      </c>
      <c r="T31" s="519">
        <v>1</v>
      </c>
      <c r="U31" s="520" t="s">
        <v>4395</v>
      </c>
      <c r="V31" s="522"/>
      <c r="W31" s="520" t="s">
        <v>4393</v>
      </c>
      <c r="X31" s="544">
        <v>793843586</v>
      </c>
      <c r="Y31" s="522"/>
      <c r="Z31" s="522"/>
      <c r="AA31" s="522"/>
      <c r="AB31" s="543"/>
      <c r="AC31" s="543"/>
      <c r="AD31" s="543"/>
      <c r="AE31" s="522"/>
      <c r="AF31" s="522"/>
      <c r="AG31" s="522"/>
      <c r="AH31" s="522"/>
      <c r="AI31" s="522"/>
      <c r="AJ31" s="522"/>
      <c r="AK31" s="522"/>
      <c r="AL31" s="522"/>
      <c r="AM31" s="522"/>
      <c r="AN31" s="522"/>
      <c r="AO31" s="522"/>
      <c r="AP31" s="522"/>
      <c r="AQ31" s="522"/>
      <c r="AR31" s="522"/>
      <c r="AS31" s="522"/>
      <c r="AT31" s="522"/>
      <c r="AU31" s="522"/>
      <c r="AV31" s="522"/>
      <c r="AW31" s="522"/>
      <c r="AX31" s="522"/>
      <c r="AY31" s="522"/>
      <c r="AZ31" s="522"/>
      <c r="BA31" s="522"/>
      <c r="BB31" s="522"/>
      <c r="BC31" s="522"/>
      <c r="BD31" s="522"/>
      <c r="BE31" s="522"/>
      <c r="BF31" s="522"/>
      <c r="BG31" s="522"/>
      <c r="BH31" s="522"/>
      <c r="BI31" s="522"/>
      <c r="BJ31" s="522"/>
      <c r="BK31" s="523"/>
      <c r="BL31" s="939"/>
      <c r="BM31" s="1076"/>
      <c r="BN31" s="15012"/>
      <c r="BO31" s="15017"/>
      <c r="BP31" s="15022"/>
      <c r="BQ31" s="1067" t="s">
        <v>2397</v>
      </c>
      <c r="BR31" s="1070" t="s">
        <v>2398</v>
      </c>
      <c r="BS31" s="1067">
        <v>55</v>
      </c>
      <c r="BT31" s="1067" t="s">
        <v>2009</v>
      </c>
      <c r="BU31" s="1067" t="s">
        <v>2399</v>
      </c>
      <c r="BV31" s="1070" t="s">
        <v>2400</v>
      </c>
      <c r="BW31" s="1067">
        <v>28</v>
      </c>
      <c r="BX31" s="1067" t="s">
        <v>7622</v>
      </c>
      <c r="BY31" s="962" t="s">
        <v>2408</v>
      </c>
      <c r="BZ31" s="2856" t="s">
        <v>2896</v>
      </c>
      <c r="CA31" s="1067" t="s">
        <v>2402</v>
      </c>
      <c r="CB31" s="1067"/>
      <c r="CC31" s="1077">
        <v>1</v>
      </c>
      <c r="CD31" s="1071">
        <v>1</v>
      </c>
      <c r="CE31" s="1072" t="s">
        <v>2009</v>
      </c>
      <c r="CF31" s="1067" t="s">
        <v>2409</v>
      </c>
      <c r="CG31" s="1084">
        <v>1</v>
      </c>
      <c r="CH31" s="1071">
        <v>1</v>
      </c>
      <c r="CI31" s="1071">
        <v>1</v>
      </c>
      <c r="CJ31" s="1071">
        <v>1</v>
      </c>
      <c r="CK31" s="1071">
        <v>1</v>
      </c>
      <c r="CL31" s="1167">
        <v>1</v>
      </c>
      <c r="CM31" s="14933"/>
      <c r="CN31" s="14935"/>
      <c r="CO31" s="14943"/>
      <c r="CP31" s="966" t="s">
        <v>9950</v>
      </c>
      <c r="CQ31" s="962"/>
      <c r="CR31" s="964">
        <v>762890777</v>
      </c>
      <c r="CS31" s="962"/>
      <c r="CT31" s="962"/>
      <c r="CU31" s="962"/>
      <c r="CV31" s="962">
        <v>462</v>
      </c>
      <c r="CW31" s="962">
        <v>220</v>
      </c>
      <c r="CX31" s="962">
        <v>242</v>
      </c>
      <c r="CY31" s="962">
        <v>358</v>
      </c>
      <c r="CZ31" s="962">
        <v>104</v>
      </c>
      <c r="DA31" s="962"/>
      <c r="DB31" s="962"/>
      <c r="DC31" s="962"/>
      <c r="DD31" s="962"/>
      <c r="DE31" s="962"/>
      <c r="DF31" s="1067"/>
      <c r="DG31" s="1072"/>
      <c r="DH31" s="1072">
        <v>441</v>
      </c>
      <c r="DI31" s="1072">
        <v>21</v>
      </c>
      <c r="DJ31" s="1072"/>
      <c r="DK31" s="1072"/>
      <c r="DL31" s="1072"/>
      <c r="DM31" s="1072"/>
      <c r="DN31" s="1072"/>
      <c r="DO31" s="1072"/>
      <c r="DP31" s="1072">
        <v>357</v>
      </c>
      <c r="DQ31" s="1072">
        <v>75</v>
      </c>
      <c r="DR31" s="1072">
        <v>30</v>
      </c>
      <c r="DS31" s="1072"/>
      <c r="DT31" s="1072"/>
      <c r="DU31" s="1072"/>
      <c r="DV31" s="1072"/>
      <c r="DW31" s="1072"/>
      <c r="DX31" s="1067"/>
      <c r="DY31" s="1067"/>
      <c r="DZ31" s="1072"/>
      <c r="EA31"/>
      <c r="EB31"/>
      <c r="EC31"/>
      <c r="ED31"/>
      <c r="EE31"/>
      <c r="EF31"/>
      <c r="EG31"/>
      <c r="EH31"/>
      <c r="EI31"/>
      <c r="EJ31"/>
      <c r="EK31"/>
      <c r="EL31"/>
    </row>
    <row r="32" spans="1:142" s="602" customFormat="1" ht="30" customHeight="1">
      <c r="A32" s="607"/>
      <c r="B32" s="15109"/>
      <c r="C32" s="622" t="s">
        <v>569</v>
      </c>
      <c r="D32" s="623" t="s">
        <v>2397</v>
      </c>
      <c r="E32" s="623" t="s">
        <v>2398</v>
      </c>
      <c r="F32" s="623">
        <v>55</v>
      </c>
      <c r="G32" s="623" t="s">
        <v>2009</v>
      </c>
      <c r="H32" s="623" t="s">
        <v>2399</v>
      </c>
      <c r="I32" s="623" t="s">
        <v>2400</v>
      </c>
      <c r="J32" s="623">
        <v>29</v>
      </c>
      <c r="K32" s="623" t="s">
        <v>7623</v>
      </c>
      <c r="L32" s="599" t="s">
        <v>2411</v>
      </c>
      <c r="M32" s="600" t="s">
        <v>2402</v>
      </c>
      <c r="N32" s="520" t="s">
        <v>70</v>
      </c>
      <c r="O32" s="522">
        <v>60</v>
      </c>
      <c r="P32" s="522" t="s">
        <v>2005</v>
      </c>
      <c r="Q32" s="520" t="s">
        <v>2410</v>
      </c>
      <c r="R32" s="632">
        <v>15</v>
      </c>
      <c r="S32" s="648">
        <v>1</v>
      </c>
      <c r="T32" s="545">
        <v>1</v>
      </c>
      <c r="U32" s="520" t="s">
        <v>4396</v>
      </c>
      <c r="V32" s="522"/>
      <c r="W32" s="520" t="s">
        <v>4397</v>
      </c>
      <c r="X32" s="544">
        <v>780000000</v>
      </c>
      <c r="Y32" s="522"/>
      <c r="Z32" s="522"/>
      <c r="AA32" s="522"/>
      <c r="AB32" s="522">
        <v>2300</v>
      </c>
      <c r="AC32" s="543"/>
      <c r="AD32" s="543"/>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c r="BB32" s="522"/>
      <c r="BC32" s="522"/>
      <c r="BD32" s="522"/>
      <c r="BE32" s="522"/>
      <c r="BF32" s="522"/>
      <c r="BG32" s="522"/>
      <c r="BH32" s="522"/>
      <c r="BI32" s="522"/>
      <c r="BJ32" s="522"/>
      <c r="BK32" s="523"/>
      <c r="BL32" s="939"/>
      <c r="BM32" s="1076"/>
      <c r="BN32" s="15012"/>
      <c r="BO32" s="15017"/>
      <c r="BP32" s="15022"/>
      <c r="BQ32" s="1067" t="s">
        <v>2397</v>
      </c>
      <c r="BR32" s="1070" t="s">
        <v>2398</v>
      </c>
      <c r="BS32" s="1067">
        <v>55</v>
      </c>
      <c r="BT32" s="1067" t="s">
        <v>2009</v>
      </c>
      <c r="BU32" s="1067" t="s">
        <v>2399</v>
      </c>
      <c r="BV32" s="1070" t="s">
        <v>2400</v>
      </c>
      <c r="BW32" s="1067">
        <v>29</v>
      </c>
      <c r="BX32" s="1067" t="s">
        <v>7623</v>
      </c>
      <c r="BY32" s="962" t="s">
        <v>4340</v>
      </c>
      <c r="BZ32" s="2856" t="s">
        <v>2896</v>
      </c>
      <c r="CA32" s="1067" t="s">
        <v>2402</v>
      </c>
      <c r="CB32" s="1067"/>
      <c r="CC32" s="1067" t="s">
        <v>70</v>
      </c>
      <c r="CD32" s="1072">
        <v>60</v>
      </c>
      <c r="CE32" s="1072" t="s">
        <v>2005</v>
      </c>
      <c r="CF32" s="1067" t="s">
        <v>2410</v>
      </c>
      <c r="CG32" s="1072">
        <v>15</v>
      </c>
      <c r="CH32" s="1072">
        <v>15</v>
      </c>
      <c r="CI32" s="1072">
        <v>15</v>
      </c>
      <c r="CJ32" s="1072">
        <v>15</v>
      </c>
      <c r="CK32" s="1071">
        <v>0</v>
      </c>
      <c r="CL32" s="1167">
        <v>0</v>
      </c>
      <c r="CM32" s="14933"/>
      <c r="CN32" s="14935"/>
      <c r="CO32" s="14943"/>
      <c r="CP32" s="966" t="s">
        <v>9951</v>
      </c>
      <c r="CQ32" s="962"/>
      <c r="CR32" s="964">
        <v>0</v>
      </c>
      <c r="CS32" s="962"/>
      <c r="CT32" s="962"/>
      <c r="CU32" s="962"/>
      <c r="CV32" s="962">
        <v>0</v>
      </c>
      <c r="CW32" s="962">
        <v>0</v>
      </c>
      <c r="CX32" s="962">
        <v>0</v>
      </c>
      <c r="CY32" s="962">
        <v>0</v>
      </c>
      <c r="CZ32" s="962">
        <v>0</v>
      </c>
      <c r="DA32" s="962"/>
      <c r="DB32" s="962"/>
      <c r="DC32" s="962"/>
      <c r="DD32" s="962"/>
      <c r="DE32" s="962"/>
      <c r="DF32" s="1067"/>
      <c r="DG32" s="1072"/>
      <c r="DH32" s="1072">
        <v>0</v>
      </c>
      <c r="DI32" s="1072">
        <v>0</v>
      </c>
      <c r="DJ32" s="1072"/>
      <c r="DK32" s="1072"/>
      <c r="DL32" s="1072"/>
      <c r="DM32" s="1072"/>
      <c r="DN32" s="1072"/>
      <c r="DO32" s="1072"/>
      <c r="DP32" s="1072">
        <v>0</v>
      </c>
      <c r="DQ32" s="1072">
        <v>0</v>
      </c>
      <c r="DR32" s="1072">
        <v>0</v>
      </c>
      <c r="DS32" s="1072"/>
      <c r="DT32" s="1072"/>
      <c r="DU32" s="1072"/>
      <c r="DV32" s="1072"/>
      <c r="DW32" s="1072"/>
      <c r="DX32" s="1072"/>
      <c r="DY32" s="1072"/>
      <c r="DZ32" s="1072"/>
      <c r="EA32"/>
      <c r="EB32"/>
      <c r="EC32"/>
      <c r="ED32"/>
      <c r="EE32"/>
      <c r="EF32"/>
      <c r="EG32"/>
      <c r="EH32"/>
      <c r="EI32"/>
      <c r="EJ32"/>
      <c r="EK32"/>
      <c r="EL32"/>
    </row>
    <row r="33" spans="1:142" s="602" customFormat="1" ht="30" customHeight="1">
      <c r="A33" s="607"/>
      <c r="B33" s="15109"/>
      <c r="C33" s="622" t="s">
        <v>569</v>
      </c>
      <c r="D33" s="623" t="s">
        <v>2397</v>
      </c>
      <c r="E33" s="623" t="s">
        <v>2398</v>
      </c>
      <c r="F33" s="623">
        <v>55</v>
      </c>
      <c r="G33" s="623" t="s">
        <v>2009</v>
      </c>
      <c r="H33" s="623" t="s">
        <v>2399</v>
      </c>
      <c r="I33" s="623" t="s">
        <v>2400</v>
      </c>
      <c r="J33" s="623">
        <v>30</v>
      </c>
      <c r="K33" s="623" t="s">
        <v>7624</v>
      </c>
      <c r="L33" s="599" t="s">
        <v>2413</v>
      </c>
      <c r="M33" s="600" t="s">
        <v>2402</v>
      </c>
      <c r="N33" s="522">
        <v>0</v>
      </c>
      <c r="O33" s="522">
        <v>1</v>
      </c>
      <c r="P33" s="522" t="s">
        <v>2005</v>
      </c>
      <c r="Q33" s="520" t="s">
        <v>2412</v>
      </c>
      <c r="R33" s="632">
        <v>1</v>
      </c>
      <c r="S33" s="648">
        <v>4614</v>
      </c>
      <c r="T33" s="538">
        <v>1</v>
      </c>
      <c r="U33" s="520" t="s">
        <v>4398</v>
      </c>
      <c r="V33" s="522"/>
      <c r="W33" s="520" t="s">
        <v>4393</v>
      </c>
      <c r="X33" s="544">
        <v>2524000</v>
      </c>
      <c r="Y33" s="522"/>
      <c r="Z33" s="522"/>
      <c r="AA33" s="522"/>
      <c r="AB33" s="543"/>
      <c r="AC33" s="543"/>
      <c r="AD33" s="543"/>
      <c r="AE33" s="522"/>
      <c r="AF33" s="522"/>
      <c r="AG33" s="522"/>
      <c r="AH33" s="522"/>
      <c r="AI33" s="522"/>
      <c r="AJ33" s="522"/>
      <c r="AK33" s="522"/>
      <c r="AL33" s="522"/>
      <c r="AM33" s="522"/>
      <c r="AN33" s="522"/>
      <c r="AO33" s="522"/>
      <c r="AP33" s="522"/>
      <c r="AQ33" s="522"/>
      <c r="AR33" s="522"/>
      <c r="AS33" s="522"/>
      <c r="AT33" s="522"/>
      <c r="AU33" s="522"/>
      <c r="AV33" s="522"/>
      <c r="AW33" s="522"/>
      <c r="AX33" s="522"/>
      <c r="AY33" s="522"/>
      <c r="AZ33" s="522"/>
      <c r="BA33" s="522"/>
      <c r="BB33" s="522"/>
      <c r="BC33" s="522"/>
      <c r="BD33" s="522"/>
      <c r="BE33" s="522"/>
      <c r="BF33" s="522"/>
      <c r="BG33" s="522"/>
      <c r="BH33" s="522"/>
      <c r="BI33" s="522"/>
      <c r="BJ33" s="522"/>
      <c r="BK33" s="523"/>
      <c r="BL33" s="939"/>
      <c r="BM33" s="1076"/>
      <c r="BN33" s="15012"/>
      <c r="BO33" s="15017"/>
      <c r="BP33" s="15022"/>
      <c r="BQ33" s="1067" t="s">
        <v>2397</v>
      </c>
      <c r="BR33" s="1070" t="s">
        <v>2398</v>
      </c>
      <c r="BS33" s="1067">
        <v>55</v>
      </c>
      <c r="BT33" s="1067" t="s">
        <v>2009</v>
      </c>
      <c r="BU33" s="1067" t="s">
        <v>2399</v>
      </c>
      <c r="BV33" s="1070" t="s">
        <v>2400</v>
      </c>
      <c r="BW33" s="1067">
        <v>30</v>
      </c>
      <c r="BX33" s="1067" t="s">
        <v>7624</v>
      </c>
      <c r="BY33" s="962" t="s">
        <v>2411</v>
      </c>
      <c r="BZ33" s="2856" t="s">
        <v>2896</v>
      </c>
      <c r="CA33" s="1067" t="s">
        <v>2402</v>
      </c>
      <c r="CB33" s="1067"/>
      <c r="CC33" s="1072">
        <v>0</v>
      </c>
      <c r="CD33" s="1072">
        <v>1</v>
      </c>
      <c r="CE33" s="1072" t="s">
        <v>2005</v>
      </c>
      <c r="CF33" s="1067" t="s">
        <v>2412</v>
      </c>
      <c r="CG33" s="1072">
        <v>0</v>
      </c>
      <c r="CH33" s="1072">
        <v>1</v>
      </c>
      <c r="CI33" s="1072">
        <v>1</v>
      </c>
      <c r="CJ33" s="1072">
        <v>1</v>
      </c>
      <c r="CK33" s="1071">
        <v>1</v>
      </c>
      <c r="CL33" s="1167">
        <v>1</v>
      </c>
      <c r="CM33" s="14933"/>
      <c r="CN33" s="14935"/>
      <c r="CO33" s="14943"/>
      <c r="CP33" s="966" t="s">
        <v>2412</v>
      </c>
      <c r="CQ33" s="962"/>
      <c r="CR33" s="964">
        <v>2524000</v>
      </c>
      <c r="CS33" s="962"/>
      <c r="CT33" s="962"/>
      <c r="CU33" s="962"/>
      <c r="CV33" s="962">
        <v>431</v>
      </c>
      <c r="CW33" s="962">
        <v>175</v>
      </c>
      <c r="CX33" s="962">
        <v>256</v>
      </c>
      <c r="CY33" s="962">
        <v>326</v>
      </c>
      <c r="CZ33" s="962">
        <v>105</v>
      </c>
      <c r="DA33" s="962"/>
      <c r="DB33" s="962"/>
      <c r="DC33" s="962"/>
      <c r="DD33" s="962"/>
      <c r="DE33" s="962"/>
      <c r="DF33" s="1067"/>
      <c r="DG33" s="1072"/>
      <c r="DH33" s="1072">
        <v>413</v>
      </c>
      <c r="DI33" s="1072">
        <v>18</v>
      </c>
      <c r="DJ33" s="1072"/>
      <c r="DK33" s="1072"/>
      <c r="DL33" s="1072"/>
      <c r="DM33" s="1072"/>
      <c r="DN33" s="1072"/>
      <c r="DO33" s="1072"/>
      <c r="DP33" s="1072">
        <v>343</v>
      </c>
      <c r="DQ33" s="1072">
        <v>70</v>
      </c>
      <c r="DR33" s="1072">
        <v>18</v>
      </c>
      <c r="DS33" s="1072"/>
      <c r="DT33" s="1072"/>
      <c r="DU33" s="1072"/>
      <c r="DV33" s="1072"/>
      <c r="DW33" s="1072"/>
      <c r="DX33" s="1072"/>
      <c r="DY33" s="1067"/>
      <c r="DZ33" s="1072"/>
      <c r="EA33"/>
      <c r="EB33"/>
      <c r="EC33"/>
      <c r="ED33"/>
      <c r="EE33"/>
      <c r="EF33"/>
      <c r="EG33"/>
      <c r="EH33"/>
      <c r="EI33"/>
      <c r="EJ33"/>
      <c r="EK33"/>
      <c r="EL33"/>
    </row>
    <row r="34" spans="1:142" s="602" customFormat="1" ht="30" customHeight="1">
      <c r="A34" s="607"/>
      <c r="B34" s="15109"/>
      <c r="C34" s="622" t="s">
        <v>569</v>
      </c>
      <c r="D34" s="623" t="s">
        <v>2397</v>
      </c>
      <c r="E34" s="623" t="s">
        <v>2398</v>
      </c>
      <c r="F34" s="623">
        <v>55</v>
      </c>
      <c r="G34" s="623" t="s">
        <v>2009</v>
      </c>
      <c r="H34" s="623" t="s">
        <v>2399</v>
      </c>
      <c r="I34" s="623" t="s">
        <v>2400</v>
      </c>
      <c r="J34" s="623">
        <v>31</v>
      </c>
      <c r="K34" s="623" t="s">
        <v>7625</v>
      </c>
      <c r="L34" s="599" t="s">
        <v>9589</v>
      </c>
      <c r="M34" s="600" t="s">
        <v>2402</v>
      </c>
      <c r="N34" s="520" t="s">
        <v>70</v>
      </c>
      <c r="O34" s="554">
        <v>1</v>
      </c>
      <c r="P34" s="522" t="s">
        <v>2009</v>
      </c>
      <c r="Q34" s="520" t="s">
        <v>2414</v>
      </c>
      <c r="R34" s="632">
        <v>4589</v>
      </c>
      <c r="S34" s="648">
        <v>1</v>
      </c>
      <c r="T34" s="538">
        <v>1</v>
      </c>
      <c r="U34" s="520" t="s">
        <v>4399</v>
      </c>
      <c r="V34" s="522"/>
      <c r="W34" s="520" t="s">
        <v>4393</v>
      </c>
      <c r="X34" s="544">
        <v>44788194</v>
      </c>
      <c r="Y34" s="522"/>
      <c r="Z34" s="522"/>
      <c r="AA34" s="522"/>
      <c r="AB34" s="522">
        <v>198</v>
      </c>
      <c r="AC34" s="543"/>
      <c r="AD34" s="543"/>
      <c r="AE34" s="522"/>
      <c r="AF34" s="522"/>
      <c r="AG34" s="522"/>
      <c r="AH34" s="522"/>
      <c r="AI34" s="522"/>
      <c r="AJ34" s="522"/>
      <c r="AK34" s="522"/>
      <c r="AL34" s="522"/>
      <c r="AM34" s="522"/>
      <c r="AN34" s="522"/>
      <c r="AO34" s="522"/>
      <c r="AP34" s="522"/>
      <c r="AQ34" s="522"/>
      <c r="AR34" s="522"/>
      <c r="AS34" s="522"/>
      <c r="AT34" s="522"/>
      <c r="AU34" s="522"/>
      <c r="AV34" s="522"/>
      <c r="AW34" s="522"/>
      <c r="AX34" s="522"/>
      <c r="AY34" s="522"/>
      <c r="AZ34" s="522"/>
      <c r="BA34" s="522"/>
      <c r="BB34" s="522"/>
      <c r="BC34" s="522"/>
      <c r="BD34" s="522"/>
      <c r="BE34" s="522"/>
      <c r="BF34" s="522"/>
      <c r="BG34" s="522"/>
      <c r="BH34" s="522"/>
      <c r="BI34" s="522"/>
      <c r="BJ34" s="522"/>
      <c r="BK34" s="523"/>
      <c r="BL34" s="939"/>
      <c r="BM34" s="1076"/>
      <c r="BN34" s="15012"/>
      <c r="BO34" s="15017"/>
      <c r="BP34" s="15022"/>
      <c r="BQ34" s="1067" t="s">
        <v>2397</v>
      </c>
      <c r="BR34" s="1070" t="s">
        <v>2398</v>
      </c>
      <c r="BS34" s="1067">
        <v>55</v>
      </c>
      <c r="BT34" s="1067" t="s">
        <v>2009</v>
      </c>
      <c r="BU34" s="1067" t="s">
        <v>2399</v>
      </c>
      <c r="BV34" s="1070" t="s">
        <v>2400</v>
      </c>
      <c r="BW34" s="1067">
        <v>31</v>
      </c>
      <c r="BX34" s="1067" t="s">
        <v>7625</v>
      </c>
      <c r="BY34" s="962" t="s">
        <v>2413</v>
      </c>
      <c r="BZ34" s="2856" t="s">
        <v>2896</v>
      </c>
      <c r="CA34" s="1067" t="s">
        <v>2402</v>
      </c>
      <c r="CB34" s="1067"/>
      <c r="CC34" s="1067" t="s">
        <v>70</v>
      </c>
      <c r="CD34" s="1071">
        <v>1</v>
      </c>
      <c r="CE34" s="1072" t="s">
        <v>2009</v>
      </c>
      <c r="CF34" s="1067" t="s">
        <v>2414</v>
      </c>
      <c r="CG34" s="1071">
        <v>1</v>
      </c>
      <c r="CH34" s="1072">
        <v>4564</v>
      </c>
      <c r="CI34" s="1072">
        <v>4589</v>
      </c>
      <c r="CJ34" s="1072">
        <v>4614</v>
      </c>
      <c r="CK34" s="1071">
        <v>1</v>
      </c>
      <c r="CL34" s="1167">
        <v>1</v>
      </c>
      <c r="CM34" s="14933"/>
      <c r="CN34" s="14935"/>
      <c r="CO34" s="14943"/>
      <c r="CP34" s="966" t="s">
        <v>9952</v>
      </c>
      <c r="CQ34" s="962"/>
      <c r="CR34" s="964">
        <v>51290000</v>
      </c>
      <c r="CS34" s="962"/>
      <c r="CT34" s="962"/>
      <c r="CU34" s="962"/>
      <c r="CV34" s="962">
        <v>223</v>
      </c>
      <c r="CW34" s="962">
        <v>121</v>
      </c>
      <c r="CX34" s="962">
        <v>102</v>
      </c>
      <c r="CY34" s="962">
        <v>179</v>
      </c>
      <c r="CZ34" s="962">
        <v>44</v>
      </c>
      <c r="DA34" s="962"/>
      <c r="DB34" s="962"/>
      <c r="DC34" s="962"/>
      <c r="DD34" s="962"/>
      <c r="DE34" s="962"/>
      <c r="DF34" s="1067"/>
      <c r="DG34" s="1072"/>
      <c r="DH34" s="1072"/>
      <c r="DI34" s="1072">
        <v>223</v>
      </c>
      <c r="DJ34" s="1072"/>
      <c r="DK34" s="1072"/>
      <c r="DL34" s="1072"/>
      <c r="DM34" s="1072"/>
      <c r="DN34" s="1072"/>
      <c r="DO34" s="1072"/>
      <c r="DP34" s="1072">
        <v>157</v>
      </c>
      <c r="DQ34" s="1072">
        <v>59</v>
      </c>
      <c r="DR34" s="1072">
        <v>7</v>
      </c>
      <c r="DS34" s="1072"/>
      <c r="DT34" s="1072"/>
      <c r="DU34" s="1072"/>
      <c r="DV34" s="1072"/>
      <c r="DW34" s="1072"/>
      <c r="DX34" s="1067"/>
      <c r="DY34" s="1072"/>
      <c r="DZ34" s="1072"/>
      <c r="EA34"/>
      <c r="EB34"/>
      <c r="EC34"/>
      <c r="ED34"/>
      <c r="EE34"/>
      <c r="EF34"/>
      <c r="EG34"/>
      <c r="EH34"/>
      <c r="EI34"/>
      <c r="EJ34"/>
      <c r="EK34"/>
      <c r="EL34"/>
    </row>
    <row r="35" spans="1:142" s="602" customFormat="1" ht="30" customHeight="1">
      <c r="A35" s="607"/>
      <c r="B35" s="15109"/>
      <c r="C35" s="622" t="s">
        <v>569</v>
      </c>
      <c r="D35" s="623" t="s">
        <v>2397</v>
      </c>
      <c r="E35" s="623" t="s">
        <v>2398</v>
      </c>
      <c r="F35" s="623">
        <v>55</v>
      </c>
      <c r="G35" s="623" t="s">
        <v>2009</v>
      </c>
      <c r="H35" s="623" t="s">
        <v>2399</v>
      </c>
      <c r="I35" s="623" t="s">
        <v>2400</v>
      </c>
      <c r="J35" s="623">
        <v>32</v>
      </c>
      <c r="K35" s="623" t="s">
        <v>7626</v>
      </c>
      <c r="L35" s="599" t="s">
        <v>9590</v>
      </c>
      <c r="M35" s="600" t="s">
        <v>2402</v>
      </c>
      <c r="N35" s="520">
        <v>0</v>
      </c>
      <c r="O35" s="522">
        <v>1</v>
      </c>
      <c r="P35" s="522" t="s">
        <v>2005</v>
      </c>
      <c r="Q35" s="520" t="s">
        <v>2416</v>
      </c>
      <c r="R35" s="632">
        <v>1</v>
      </c>
      <c r="S35" s="648">
        <v>4</v>
      </c>
      <c r="T35" s="546">
        <v>1</v>
      </c>
      <c r="U35" s="547" t="s">
        <v>4400</v>
      </c>
      <c r="V35" s="548"/>
      <c r="W35" s="549"/>
      <c r="X35" s="550"/>
      <c r="Y35" s="548"/>
      <c r="Z35" s="548"/>
      <c r="AA35" s="548"/>
      <c r="AB35" s="548"/>
      <c r="AC35" s="548"/>
      <c r="AD35" s="548"/>
      <c r="AE35" s="548"/>
      <c r="AF35" s="548"/>
      <c r="AG35" s="548"/>
      <c r="AH35" s="548"/>
      <c r="AI35" s="548"/>
      <c r="AJ35" s="548"/>
      <c r="AK35" s="548"/>
      <c r="AL35" s="548"/>
      <c r="AM35" s="548"/>
      <c r="AN35" s="548"/>
      <c r="AO35" s="548"/>
      <c r="AP35" s="548"/>
      <c r="AQ35" s="548"/>
      <c r="AR35" s="548"/>
      <c r="AS35" s="548"/>
      <c r="AT35" s="548"/>
      <c r="AU35" s="548"/>
      <c r="AV35" s="548"/>
      <c r="AW35" s="548"/>
      <c r="AX35" s="548"/>
      <c r="AY35" s="548"/>
      <c r="AZ35" s="548"/>
      <c r="BA35" s="548"/>
      <c r="BB35" s="548"/>
      <c r="BC35" s="548"/>
      <c r="BD35" s="548"/>
      <c r="BE35" s="548"/>
      <c r="BF35" s="548"/>
      <c r="BG35" s="548"/>
      <c r="BH35" s="548"/>
      <c r="BI35" s="548"/>
      <c r="BJ35" s="548"/>
      <c r="BK35" s="551"/>
      <c r="BL35" s="939"/>
      <c r="BM35" s="1076"/>
      <c r="BN35" s="15012"/>
      <c r="BO35" s="15017"/>
      <c r="BP35" s="15022"/>
      <c r="BQ35" s="1067" t="s">
        <v>2397</v>
      </c>
      <c r="BR35" s="1070" t="s">
        <v>2398</v>
      </c>
      <c r="BS35" s="1067">
        <v>55</v>
      </c>
      <c r="BT35" s="1067" t="s">
        <v>2009</v>
      </c>
      <c r="BU35" s="1067" t="s">
        <v>2399</v>
      </c>
      <c r="BV35" s="1070" t="s">
        <v>2400</v>
      </c>
      <c r="BW35" s="1067">
        <v>32</v>
      </c>
      <c r="BX35" s="1067" t="s">
        <v>7626</v>
      </c>
      <c r="BY35" s="962" t="s">
        <v>2415</v>
      </c>
      <c r="BZ35" s="2856" t="s">
        <v>2896</v>
      </c>
      <c r="CA35" s="1067" t="s">
        <v>2402</v>
      </c>
      <c r="CB35" s="1067"/>
      <c r="CC35" s="1067">
        <v>0</v>
      </c>
      <c r="CD35" s="1072">
        <v>1</v>
      </c>
      <c r="CE35" s="1072" t="s">
        <v>2005</v>
      </c>
      <c r="CF35" s="1067" t="s">
        <v>2416</v>
      </c>
      <c r="CG35" s="1072">
        <v>1</v>
      </c>
      <c r="CH35" s="1072">
        <v>1</v>
      </c>
      <c r="CI35" s="1072">
        <v>1</v>
      </c>
      <c r="CJ35" s="1072">
        <v>1</v>
      </c>
      <c r="CK35" s="1071">
        <v>1</v>
      </c>
      <c r="CL35" s="1167">
        <v>1</v>
      </c>
      <c r="CM35" s="14933"/>
      <c r="CN35" s="14935"/>
      <c r="CO35" s="14943"/>
      <c r="CP35" s="966" t="s">
        <v>9953</v>
      </c>
      <c r="CQ35" s="962"/>
      <c r="CR35" s="964">
        <v>5171255647</v>
      </c>
      <c r="CS35" s="962"/>
      <c r="CT35" s="962"/>
      <c r="CU35" s="962"/>
      <c r="CV35" s="962">
        <v>654</v>
      </c>
      <c r="CW35" s="962">
        <v>296</v>
      </c>
      <c r="CX35" s="962">
        <v>358</v>
      </c>
      <c r="CY35" s="962">
        <v>505</v>
      </c>
      <c r="CZ35" s="962">
        <v>149</v>
      </c>
      <c r="DA35" s="962"/>
      <c r="DB35" s="962"/>
      <c r="DC35" s="962"/>
      <c r="DD35" s="962"/>
      <c r="DE35" s="962"/>
      <c r="DF35" s="1067"/>
      <c r="DG35" s="1072"/>
      <c r="DH35" s="1072">
        <v>413</v>
      </c>
      <c r="DI35" s="1072">
        <v>241</v>
      </c>
      <c r="DJ35" s="1072"/>
      <c r="DK35" s="1072"/>
      <c r="DL35" s="1072"/>
      <c r="DM35" s="1072"/>
      <c r="DN35" s="1072"/>
      <c r="DO35" s="1072"/>
      <c r="DP35" s="1072">
        <v>500</v>
      </c>
      <c r="DQ35" s="1072">
        <v>129</v>
      </c>
      <c r="DR35" s="1072">
        <v>25</v>
      </c>
      <c r="DS35" s="1072"/>
      <c r="DT35" s="1072"/>
      <c r="DU35" s="1072"/>
      <c r="DV35" s="1072"/>
      <c r="DW35" s="1072"/>
      <c r="DX35" s="1067"/>
      <c r="DY35" s="1072"/>
      <c r="DZ35" s="1067"/>
      <c r="EA35"/>
      <c r="EB35"/>
      <c r="EC35"/>
      <c r="ED35"/>
      <c r="EE35"/>
      <c r="EF35"/>
      <c r="EG35"/>
      <c r="EH35"/>
      <c r="EI35"/>
      <c r="EJ35"/>
      <c r="EK35"/>
      <c r="EL35"/>
    </row>
    <row r="36" spans="1:142" s="602" customFormat="1" ht="30" customHeight="1">
      <c r="A36" s="607"/>
      <c r="B36" s="15109"/>
      <c r="C36" s="622" t="s">
        <v>569</v>
      </c>
      <c r="D36" s="623" t="s">
        <v>2397</v>
      </c>
      <c r="E36" s="623" t="s">
        <v>2398</v>
      </c>
      <c r="F36" s="623">
        <v>55</v>
      </c>
      <c r="G36" s="623" t="s">
        <v>2009</v>
      </c>
      <c r="H36" s="623" t="s">
        <v>2399</v>
      </c>
      <c r="I36" s="623" t="s">
        <v>2400</v>
      </c>
      <c r="J36" s="623">
        <v>33</v>
      </c>
      <c r="K36" s="623" t="s">
        <v>7627</v>
      </c>
      <c r="L36" s="599" t="s">
        <v>9591</v>
      </c>
      <c r="M36" s="600" t="s">
        <v>2402</v>
      </c>
      <c r="N36" s="520">
        <v>4</v>
      </c>
      <c r="O36" s="522">
        <v>4</v>
      </c>
      <c r="P36" s="522" t="s">
        <v>2005</v>
      </c>
      <c r="Q36" s="520" t="s">
        <v>2418</v>
      </c>
      <c r="R36" s="632">
        <v>4</v>
      </c>
      <c r="S36" s="648">
        <v>15</v>
      </c>
      <c r="T36" s="538">
        <v>1</v>
      </c>
      <c r="U36" s="520" t="s">
        <v>4401</v>
      </c>
      <c r="V36" s="522"/>
      <c r="W36" s="520" t="s">
        <v>4402</v>
      </c>
      <c r="X36" s="544">
        <v>378704960</v>
      </c>
      <c r="Y36" s="522"/>
      <c r="Z36" s="522"/>
      <c r="AA36" s="522"/>
      <c r="AB36" s="522">
        <v>2689</v>
      </c>
      <c r="AC36" s="543"/>
      <c r="AD36" s="543"/>
      <c r="AE36" s="522"/>
      <c r="AF36" s="522"/>
      <c r="AG36" s="522"/>
      <c r="AH36" s="522"/>
      <c r="AI36" s="522"/>
      <c r="AJ36" s="522"/>
      <c r="AK36" s="522"/>
      <c r="AL36" s="522"/>
      <c r="AM36" s="522"/>
      <c r="AN36" s="522"/>
      <c r="AO36" s="522"/>
      <c r="AP36" s="522"/>
      <c r="AQ36" s="522"/>
      <c r="AR36" s="522"/>
      <c r="AS36" s="522"/>
      <c r="AT36" s="522"/>
      <c r="AU36" s="522"/>
      <c r="AV36" s="522"/>
      <c r="AW36" s="522"/>
      <c r="AX36" s="522"/>
      <c r="AY36" s="522"/>
      <c r="AZ36" s="522"/>
      <c r="BA36" s="522"/>
      <c r="BB36" s="522"/>
      <c r="BC36" s="522"/>
      <c r="BD36" s="522"/>
      <c r="BE36" s="522"/>
      <c r="BF36" s="522"/>
      <c r="BG36" s="522"/>
      <c r="BH36" s="522"/>
      <c r="BI36" s="522"/>
      <c r="BJ36" s="522"/>
      <c r="BK36" s="523"/>
      <c r="BL36" s="939"/>
      <c r="BM36" s="1076"/>
      <c r="BN36" s="15012"/>
      <c r="BO36" s="15017"/>
      <c r="BP36" s="15022"/>
      <c r="BQ36" s="1067" t="s">
        <v>2397</v>
      </c>
      <c r="BR36" s="1070" t="s">
        <v>2398</v>
      </c>
      <c r="BS36" s="1067">
        <v>55</v>
      </c>
      <c r="BT36" s="1067" t="s">
        <v>2009</v>
      </c>
      <c r="BU36" s="1067" t="s">
        <v>2399</v>
      </c>
      <c r="BV36" s="1070" t="s">
        <v>2400</v>
      </c>
      <c r="BW36" s="1067">
        <v>33</v>
      </c>
      <c r="BX36" s="1067" t="s">
        <v>7627</v>
      </c>
      <c r="BY36" s="962" t="s">
        <v>2417</v>
      </c>
      <c r="BZ36" s="2856" t="s">
        <v>2896</v>
      </c>
      <c r="CA36" s="1067" t="s">
        <v>2402</v>
      </c>
      <c r="CB36" s="1067"/>
      <c r="CC36" s="1067">
        <v>4</v>
      </c>
      <c r="CD36" s="1072">
        <v>4</v>
      </c>
      <c r="CE36" s="1072" t="s">
        <v>2005</v>
      </c>
      <c r="CF36" s="1067" t="s">
        <v>2418</v>
      </c>
      <c r="CG36" s="1072">
        <v>4</v>
      </c>
      <c r="CH36" s="1072">
        <v>4</v>
      </c>
      <c r="CI36" s="1072">
        <v>4</v>
      </c>
      <c r="CJ36" s="1072">
        <v>4</v>
      </c>
      <c r="CK36" s="1072">
        <v>4</v>
      </c>
      <c r="CL36" s="1167">
        <v>1</v>
      </c>
      <c r="CM36" s="14933"/>
      <c r="CN36" s="14935"/>
      <c r="CO36" s="14943"/>
      <c r="CP36" s="966" t="s">
        <v>9954</v>
      </c>
      <c r="CQ36" s="962"/>
      <c r="CR36" s="964">
        <v>308802744</v>
      </c>
      <c r="CS36" s="962"/>
      <c r="CT36" s="962"/>
      <c r="CU36" s="962"/>
      <c r="CV36" s="962">
        <v>654</v>
      </c>
      <c r="CW36" s="962">
        <v>296</v>
      </c>
      <c r="CX36" s="962">
        <v>358</v>
      </c>
      <c r="CY36" s="962">
        <v>505</v>
      </c>
      <c r="CZ36" s="962">
        <v>149</v>
      </c>
      <c r="DA36" s="962"/>
      <c r="DB36" s="962"/>
      <c r="DC36" s="962"/>
      <c r="DD36" s="962"/>
      <c r="DE36" s="962"/>
      <c r="DF36" s="1067"/>
      <c r="DG36" s="1072"/>
      <c r="DH36" s="1072">
        <v>413</v>
      </c>
      <c r="DI36" s="1072">
        <v>241</v>
      </c>
      <c r="DJ36" s="1072"/>
      <c r="DK36" s="1072"/>
      <c r="DL36" s="1072"/>
      <c r="DM36" s="1072"/>
      <c r="DN36" s="1072"/>
      <c r="DO36" s="1072"/>
      <c r="DP36" s="1072">
        <v>500</v>
      </c>
      <c r="DQ36" s="1072">
        <v>129</v>
      </c>
      <c r="DR36" s="1072">
        <v>25</v>
      </c>
      <c r="DS36" s="1072"/>
      <c r="DT36" s="1072"/>
      <c r="DU36" s="1072"/>
      <c r="DV36" s="1072"/>
      <c r="DW36" s="1072"/>
      <c r="DX36" s="1067"/>
      <c r="DY36" s="1067"/>
      <c r="DZ36" s="1067"/>
      <c r="EA36"/>
      <c r="EB36"/>
      <c r="EC36"/>
      <c r="ED36"/>
      <c r="EE36"/>
      <c r="EF36"/>
      <c r="EG36"/>
      <c r="EH36"/>
      <c r="EI36"/>
      <c r="EJ36"/>
      <c r="EK36"/>
      <c r="EL36"/>
    </row>
    <row r="37" spans="1:142" s="602" customFormat="1" ht="30" customHeight="1">
      <c r="A37" s="607"/>
      <c r="B37" s="15109"/>
      <c r="C37" s="622" t="s">
        <v>569</v>
      </c>
      <c r="D37" s="623" t="s">
        <v>2397</v>
      </c>
      <c r="E37" s="623" t="s">
        <v>2398</v>
      </c>
      <c r="F37" s="623">
        <v>55</v>
      </c>
      <c r="G37" s="623" t="s">
        <v>2419</v>
      </c>
      <c r="H37" s="623" t="s">
        <v>2399</v>
      </c>
      <c r="I37" s="623" t="s">
        <v>2420</v>
      </c>
      <c r="J37" s="623">
        <v>34</v>
      </c>
      <c r="K37" s="623" t="s">
        <v>7628</v>
      </c>
      <c r="L37" s="599" t="s">
        <v>9592</v>
      </c>
      <c r="M37" s="600" t="s">
        <v>2402</v>
      </c>
      <c r="N37" s="520" t="s">
        <v>70</v>
      </c>
      <c r="O37" s="522">
        <v>60</v>
      </c>
      <c r="P37" s="522" t="s">
        <v>2005</v>
      </c>
      <c r="Q37" s="520" t="s">
        <v>2422</v>
      </c>
      <c r="R37" s="632">
        <v>15</v>
      </c>
      <c r="S37" s="630">
        <v>9</v>
      </c>
      <c r="T37" s="538">
        <v>1</v>
      </c>
      <c r="U37" s="520" t="s">
        <v>4403</v>
      </c>
      <c r="V37" s="522"/>
      <c r="W37" s="522"/>
      <c r="X37" s="522">
        <v>386909914</v>
      </c>
      <c r="Y37" s="522" t="s">
        <v>2943</v>
      </c>
      <c r="Z37" s="522"/>
      <c r="AA37" s="522"/>
      <c r="AB37" s="522">
        <v>59</v>
      </c>
      <c r="AC37" s="522">
        <v>30</v>
      </c>
      <c r="AD37" s="522">
        <v>29</v>
      </c>
      <c r="AE37" s="522">
        <v>57</v>
      </c>
      <c r="AF37" s="522">
        <v>2</v>
      </c>
      <c r="AG37" s="522">
        <v>0</v>
      </c>
      <c r="AH37" s="522">
        <v>0</v>
      </c>
      <c r="AI37" s="522">
        <v>20</v>
      </c>
      <c r="AJ37" s="522">
        <v>38</v>
      </c>
      <c r="AK37" s="522">
        <v>1</v>
      </c>
      <c r="AL37" s="522">
        <v>0</v>
      </c>
      <c r="AM37" s="522">
        <v>0</v>
      </c>
      <c r="AN37" s="522">
        <v>0</v>
      </c>
      <c r="AO37" s="522">
        <v>0</v>
      </c>
      <c r="AP37" s="522">
        <v>3</v>
      </c>
      <c r="AQ37" s="522">
        <v>7</v>
      </c>
      <c r="AR37" s="522"/>
      <c r="AS37" s="522"/>
      <c r="AT37" s="522"/>
      <c r="AU37" s="522"/>
      <c r="AV37" s="522"/>
      <c r="AW37" s="522"/>
      <c r="AX37" s="522"/>
      <c r="AY37" s="522"/>
      <c r="AZ37" s="522"/>
      <c r="BA37" s="522"/>
      <c r="BB37" s="522"/>
      <c r="BC37" s="522"/>
      <c r="BD37" s="522"/>
      <c r="BE37" s="522"/>
      <c r="BF37" s="522"/>
      <c r="BG37" s="522"/>
      <c r="BH37" s="522"/>
      <c r="BI37" s="522"/>
      <c r="BJ37" s="522"/>
      <c r="BK37" s="523"/>
      <c r="BL37" s="939"/>
      <c r="BM37" s="1076"/>
      <c r="BN37" s="15012"/>
      <c r="BO37" s="15017"/>
      <c r="BP37" s="15022"/>
      <c r="BQ37" s="1067" t="s">
        <v>2397</v>
      </c>
      <c r="BR37" s="1070" t="s">
        <v>2398</v>
      </c>
      <c r="BS37" s="1067">
        <v>55</v>
      </c>
      <c r="BT37" s="1067" t="s">
        <v>2419</v>
      </c>
      <c r="BU37" s="1067" t="s">
        <v>2399</v>
      </c>
      <c r="BV37" s="1070" t="s">
        <v>2420</v>
      </c>
      <c r="BW37" s="1067">
        <v>34</v>
      </c>
      <c r="BX37" s="1067" t="s">
        <v>7628</v>
      </c>
      <c r="BY37" s="962" t="s">
        <v>2421</v>
      </c>
      <c r="BZ37" s="2856" t="s">
        <v>2896</v>
      </c>
      <c r="CA37" s="1067" t="s">
        <v>2402</v>
      </c>
      <c r="CB37" s="1067"/>
      <c r="CC37" s="1067" t="s">
        <v>70</v>
      </c>
      <c r="CD37" s="1072">
        <v>60</v>
      </c>
      <c r="CE37" s="1072" t="s">
        <v>2005</v>
      </c>
      <c r="CF37" s="1067" t="s">
        <v>2422</v>
      </c>
      <c r="CG37" s="1072">
        <v>1</v>
      </c>
      <c r="CH37" s="1072">
        <v>14</v>
      </c>
      <c r="CI37" s="1072">
        <v>15</v>
      </c>
      <c r="CJ37" s="1072">
        <v>15</v>
      </c>
      <c r="CK37" s="1072">
        <v>36</v>
      </c>
      <c r="CL37" s="1167">
        <v>1</v>
      </c>
      <c r="CM37" s="14933"/>
      <c r="CN37" s="14935"/>
      <c r="CO37" s="14943"/>
      <c r="CP37" s="966" t="s">
        <v>9955</v>
      </c>
      <c r="CQ37" s="962"/>
      <c r="CR37" s="964">
        <v>25000000</v>
      </c>
      <c r="CS37" s="962"/>
      <c r="CT37" s="962"/>
      <c r="CU37" s="962"/>
      <c r="CV37" s="962">
        <v>25</v>
      </c>
      <c r="CW37" s="962">
        <v>12</v>
      </c>
      <c r="CX37" s="962">
        <v>13</v>
      </c>
      <c r="CY37" s="962">
        <v>18</v>
      </c>
      <c r="CZ37" s="962">
        <v>7</v>
      </c>
      <c r="DA37" s="962"/>
      <c r="DB37" s="962"/>
      <c r="DC37" s="962"/>
      <c r="DD37" s="962"/>
      <c r="DE37" s="962"/>
      <c r="DF37" s="1067"/>
      <c r="DG37" s="1072"/>
      <c r="DH37" s="1072">
        <v>0</v>
      </c>
      <c r="DI37" s="1072">
        <v>0</v>
      </c>
      <c r="DJ37" s="1072"/>
      <c r="DK37" s="1072"/>
      <c r="DL37" s="1072"/>
      <c r="DM37" s="1072"/>
      <c r="DN37" s="1072"/>
      <c r="DO37" s="1072"/>
      <c r="DP37" s="1072">
        <v>21</v>
      </c>
      <c r="DQ37" s="1072">
        <v>3</v>
      </c>
      <c r="DR37" s="1072">
        <v>1</v>
      </c>
      <c r="DS37" s="1072"/>
      <c r="DT37" s="1072"/>
      <c r="DU37" s="1072"/>
      <c r="DV37" s="1072"/>
      <c r="DW37" s="1072"/>
      <c r="DX37" s="1067"/>
      <c r="DY37" s="1067"/>
      <c r="DZ37" s="1072"/>
      <c r="EA37"/>
      <c r="EB37"/>
      <c r="EC37"/>
      <c r="ED37"/>
      <c r="EE37"/>
      <c r="EF37"/>
      <c r="EG37"/>
      <c r="EH37"/>
      <c r="EI37"/>
      <c r="EJ37"/>
      <c r="EK37"/>
      <c r="EL37"/>
    </row>
    <row r="38" spans="1:142" s="602" customFormat="1" ht="30" customHeight="1">
      <c r="A38" s="607"/>
      <c r="B38" s="15109"/>
      <c r="C38" s="622" t="s">
        <v>569</v>
      </c>
      <c r="D38" s="623" t="s">
        <v>2397</v>
      </c>
      <c r="E38" s="623" t="s">
        <v>2398</v>
      </c>
      <c r="F38" s="623">
        <v>55</v>
      </c>
      <c r="G38" s="623" t="s">
        <v>2419</v>
      </c>
      <c r="H38" s="623" t="s">
        <v>2399</v>
      </c>
      <c r="I38" s="623" t="s">
        <v>2420</v>
      </c>
      <c r="J38" s="623">
        <v>35</v>
      </c>
      <c r="K38" s="623" t="s">
        <v>7629</v>
      </c>
      <c r="L38" s="599" t="s">
        <v>2425</v>
      </c>
      <c r="M38" s="600" t="s">
        <v>2402</v>
      </c>
      <c r="N38" s="520">
        <v>9</v>
      </c>
      <c r="O38" s="522">
        <v>9</v>
      </c>
      <c r="P38" s="522" t="s">
        <v>2005</v>
      </c>
      <c r="Q38" s="520" t="s">
        <v>2424</v>
      </c>
      <c r="R38" s="632">
        <v>9</v>
      </c>
      <c r="S38" s="604">
        <v>0.9</v>
      </c>
      <c r="T38" s="538">
        <v>1</v>
      </c>
      <c r="U38" s="520" t="s">
        <v>4404</v>
      </c>
      <c r="V38" s="522"/>
      <c r="W38" s="520" t="s">
        <v>4405</v>
      </c>
      <c r="X38" s="544">
        <v>2524000</v>
      </c>
      <c r="Y38" s="522"/>
      <c r="Z38" s="522"/>
      <c r="AA38" s="522"/>
      <c r="AB38" s="543"/>
      <c r="AC38" s="543"/>
      <c r="AD38" s="543"/>
      <c r="AE38" s="522"/>
      <c r="AF38" s="522"/>
      <c r="AG38" s="522"/>
      <c r="AH38" s="522"/>
      <c r="AI38" s="522"/>
      <c r="AJ38" s="522"/>
      <c r="AK38" s="522"/>
      <c r="AL38" s="522"/>
      <c r="AM38" s="522"/>
      <c r="AN38" s="522"/>
      <c r="AO38" s="522"/>
      <c r="AP38" s="522"/>
      <c r="AQ38" s="522"/>
      <c r="AR38" s="522"/>
      <c r="AS38" s="522"/>
      <c r="AT38" s="522"/>
      <c r="AU38" s="522"/>
      <c r="AV38" s="522"/>
      <c r="AW38" s="522"/>
      <c r="AX38" s="522"/>
      <c r="AY38" s="522"/>
      <c r="AZ38" s="522"/>
      <c r="BA38" s="522"/>
      <c r="BB38" s="522"/>
      <c r="BC38" s="522"/>
      <c r="BD38" s="522"/>
      <c r="BE38" s="522"/>
      <c r="BF38" s="522"/>
      <c r="BG38" s="522"/>
      <c r="BH38" s="522"/>
      <c r="BI38" s="522"/>
      <c r="BJ38" s="522"/>
      <c r="BK38" s="523"/>
      <c r="BL38" s="939"/>
      <c r="BM38" s="1076"/>
      <c r="BN38" s="15012"/>
      <c r="BO38" s="15017"/>
      <c r="BP38" s="15022"/>
      <c r="BQ38" s="970" t="s">
        <v>2397</v>
      </c>
      <c r="BR38" s="971" t="s">
        <v>2398</v>
      </c>
      <c r="BS38" s="1067">
        <v>55</v>
      </c>
      <c r="BT38" s="1067" t="s">
        <v>2419</v>
      </c>
      <c r="BU38" s="1067" t="s">
        <v>2399</v>
      </c>
      <c r="BV38" s="1070" t="s">
        <v>2420</v>
      </c>
      <c r="BW38" s="1067">
        <v>35</v>
      </c>
      <c r="BX38" s="1067" t="s">
        <v>7629</v>
      </c>
      <c r="BY38" s="962" t="s">
        <v>2423</v>
      </c>
      <c r="BZ38" s="2856" t="s">
        <v>2896</v>
      </c>
      <c r="CA38" s="1067" t="s">
        <v>2402</v>
      </c>
      <c r="CB38" s="1067"/>
      <c r="CC38" s="1067">
        <v>9</v>
      </c>
      <c r="CD38" s="1072">
        <v>9</v>
      </c>
      <c r="CE38" s="1072" t="s">
        <v>2005</v>
      </c>
      <c r="CF38" s="1067" t="s">
        <v>2424</v>
      </c>
      <c r="CG38" s="1072">
        <v>9</v>
      </c>
      <c r="CH38" s="1072">
        <v>4</v>
      </c>
      <c r="CI38" s="1072">
        <v>9</v>
      </c>
      <c r="CJ38" s="1072">
        <v>9</v>
      </c>
      <c r="CK38" s="1072">
        <v>9</v>
      </c>
      <c r="CL38" s="1167">
        <v>1</v>
      </c>
      <c r="CM38" s="14933"/>
      <c r="CN38" s="14935"/>
      <c r="CO38" s="14943"/>
      <c r="CP38" s="966" t="s">
        <v>9956</v>
      </c>
      <c r="CQ38" s="962"/>
      <c r="CR38" s="964"/>
      <c r="CS38" s="962"/>
      <c r="CT38" s="962"/>
      <c r="CU38" s="962"/>
      <c r="CV38" s="962">
        <v>2832</v>
      </c>
      <c r="CW38" s="962">
        <v>1401</v>
      </c>
      <c r="CX38" s="962">
        <v>1431</v>
      </c>
      <c r="CY38" s="962">
        <v>2119</v>
      </c>
      <c r="CZ38" s="962">
        <v>713</v>
      </c>
      <c r="DA38" s="962"/>
      <c r="DB38" s="962"/>
      <c r="DC38" s="962"/>
      <c r="DD38" s="962"/>
      <c r="DE38" s="962"/>
      <c r="DF38" s="1067"/>
      <c r="DG38" s="1072"/>
      <c r="DH38" s="1072">
        <v>2642</v>
      </c>
      <c r="DI38" s="1072">
        <v>190</v>
      </c>
      <c r="DJ38" s="1072"/>
      <c r="DK38" s="1072"/>
      <c r="DL38" s="1072"/>
      <c r="DM38" s="1072"/>
      <c r="DN38" s="1072"/>
      <c r="DO38" s="1072"/>
      <c r="DP38" s="1072">
        <v>2244</v>
      </c>
      <c r="DQ38" s="1072">
        <v>423</v>
      </c>
      <c r="DR38" s="1072">
        <v>165</v>
      </c>
      <c r="DS38" s="1072"/>
      <c r="DT38" s="1072"/>
      <c r="DU38" s="1072"/>
      <c r="DV38" s="1072"/>
      <c r="DW38" s="1072"/>
      <c r="DX38" s="1072"/>
      <c r="DY38" s="1072"/>
      <c r="DZ38" s="1072"/>
      <c r="EA38"/>
      <c r="EB38"/>
      <c r="EC38"/>
      <c r="ED38"/>
      <c r="EE38"/>
      <c r="EF38"/>
      <c r="EG38"/>
      <c r="EH38"/>
      <c r="EI38"/>
      <c r="EJ38"/>
      <c r="EK38"/>
      <c r="EL38"/>
    </row>
    <row r="39" spans="1:142" s="602" customFormat="1" ht="30" customHeight="1">
      <c r="A39" s="607"/>
      <c r="B39" s="15109"/>
      <c r="C39" s="622" t="s">
        <v>569</v>
      </c>
      <c r="D39" s="623" t="s">
        <v>2397</v>
      </c>
      <c r="E39" s="623" t="s">
        <v>2398</v>
      </c>
      <c r="F39" s="623">
        <v>55</v>
      </c>
      <c r="G39" s="623" t="s">
        <v>2419</v>
      </c>
      <c r="H39" s="623" t="s">
        <v>2399</v>
      </c>
      <c r="I39" s="623" t="s">
        <v>2420</v>
      </c>
      <c r="J39" s="623">
        <v>36</v>
      </c>
      <c r="K39" s="623" t="s">
        <v>7630</v>
      </c>
      <c r="L39" s="599" t="s">
        <v>9593</v>
      </c>
      <c r="M39" s="600" t="s">
        <v>2402</v>
      </c>
      <c r="N39" s="522">
        <v>0</v>
      </c>
      <c r="O39" s="554">
        <v>0.9</v>
      </c>
      <c r="P39" s="554" t="s">
        <v>2009</v>
      </c>
      <c r="Q39" s="520" t="s">
        <v>2426</v>
      </c>
      <c r="R39" s="535">
        <v>0.6</v>
      </c>
      <c r="S39" s="649">
        <v>1</v>
      </c>
      <c r="T39" s="552">
        <v>0.5</v>
      </c>
      <c r="U39" s="553" t="s">
        <v>4406</v>
      </c>
      <c r="V39" s="522"/>
      <c r="W39" s="520" t="s">
        <v>4407</v>
      </c>
      <c r="X39" s="544">
        <v>7592000</v>
      </c>
      <c r="Y39" s="522"/>
      <c r="Z39" s="522"/>
      <c r="AA39" s="522"/>
      <c r="AB39" s="543"/>
      <c r="AC39" s="543"/>
      <c r="AD39" s="543"/>
      <c r="AE39" s="522"/>
      <c r="AF39" s="522"/>
      <c r="AG39" s="522"/>
      <c r="AH39" s="522"/>
      <c r="AI39" s="522"/>
      <c r="AJ39" s="522"/>
      <c r="AK39" s="522"/>
      <c r="AL39" s="522"/>
      <c r="AM39" s="522"/>
      <c r="AN39" s="522"/>
      <c r="AO39" s="522"/>
      <c r="AP39" s="522"/>
      <c r="AQ39" s="522"/>
      <c r="AR39" s="522"/>
      <c r="AS39" s="522"/>
      <c r="AT39" s="522"/>
      <c r="AU39" s="522"/>
      <c r="AV39" s="522"/>
      <c r="AW39" s="522"/>
      <c r="AX39" s="522"/>
      <c r="AY39" s="522"/>
      <c r="AZ39" s="522"/>
      <c r="BA39" s="522"/>
      <c r="BB39" s="522"/>
      <c r="BC39" s="522"/>
      <c r="BD39" s="522"/>
      <c r="BE39" s="522"/>
      <c r="BF39" s="522"/>
      <c r="BG39" s="522"/>
      <c r="BH39" s="522"/>
      <c r="BI39" s="522"/>
      <c r="BJ39" s="522"/>
      <c r="BK39" s="523"/>
      <c r="BL39" s="939"/>
      <c r="BM39" s="1076"/>
      <c r="BN39" s="15012"/>
      <c r="BO39" s="15017"/>
      <c r="BP39" s="15022"/>
      <c r="BQ39" s="1067" t="s">
        <v>2397</v>
      </c>
      <c r="BR39" s="1070" t="s">
        <v>2398</v>
      </c>
      <c r="BS39" s="1067">
        <v>55</v>
      </c>
      <c r="BT39" s="1067" t="s">
        <v>2419</v>
      </c>
      <c r="BU39" s="1067" t="s">
        <v>2399</v>
      </c>
      <c r="BV39" s="1070" t="s">
        <v>2420</v>
      </c>
      <c r="BW39" s="1067">
        <v>36</v>
      </c>
      <c r="BX39" s="1067" t="s">
        <v>7630</v>
      </c>
      <c r="BY39" s="962" t="s">
        <v>2425</v>
      </c>
      <c r="BZ39" s="2856" t="s">
        <v>2896</v>
      </c>
      <c r="CA39" s="1067" t="s">
        <v>2402</v>
      </c>
      <c r="CB39" s="1067"/>
      <c r="CC39" s="1072">
        <v>0</v>
      </c>
      <c r="CD39" s="1071">
        <v>0.9</v>
      </c>
      <c r="CE39" s="1071" t="s">
        <v>2009</v>
      </c>
      <c r="CF39" s="1067" t="s">
        <v>2426</v>
      </c>
      <c r="CG39" s="1071">
        <v>0.1</v>
      </c>
      <c r="CH39" s="1071">
        <v>0.3</v>
      </c>
      <c r="CI39" s="1071">
        <v>0.6</v>
      </c>
      <c r="CJ39" s="1071">
        <v>0.9</v>
      </c>
      <c r="CK39" s="1071">
        <v>0.25</v>
      </c>
      <c r="CL39" s="1167">
        <v>0.25</v>
      </c>
      <c r="CM39" s="14933"/>
      <c r="CN39" s="14935"/>
      <c r="CO39" s="14943"/>
      <c r="CP39" s="966" t="s">
        <v>9956</v>
      </c>
      <c r="CQ39" s="962"/>
      <c r="CR39" s="964">
        <v>2524000</v>
      </c>
      <c r="CS39" s="962"/>
      <c r="CT39" s="962"/>
      <c r="CU39" s="962"/>
      <c r="CV39" s="962">
        <v>2832</v>
      </c>
      <c r="CW39" s="962">
        <v>1401</v>
      </c>
      <c r="CX39" s="962">
        <v>1431</v>
      </c>
      <c r="CY39" s="962">
        <v>2119</v>
      </c>
      <c r="CZ39" s="962">
        <v>713</v>
      </c>
      <c r="DA39" s="962"/>
      <c r="DB39" s="962"/>
      <c r="DC39" s="962"/>
      <c r="DD39" s="962"/>
      <c r="DE39" s="962"/>
      <c r="DF39" s="1067"/>
      <c r="DG39" s="1072"/>
      <c r="DH39" s="1072">
        <v>2642</v>
      </c>
      <c r="DI39" s="1072">
        <v>190</v>
      </c>
      <c r="DJ39" s="1072"/>
      <c r="DK39" s="1072"/>
      <c r="DL39" s="1072"/>
      <c r="DM39" s="1072"/>
      <c r="DN39" s="1072"/>
      <c r="DO39" s="1072"/>
      <c r="DP39" s="1072">
        <v>2244</v>
      </c>
      <c r="DQ39" s="1072">
        <v>423</v>
      </c>
      <c r="DR39" s="1072">
        <v>165</v>
      </c>
      <c r="DS39" s="1072"/>
      <c r="DT39" s="1072"/>
      <c r="DU39" s="1072"/>
      <c r="DV39" s="1072"/>
      <c r="DW39" s="1072"/>
      <c r="DX39" s="1067"/>
      <c r="DY39" s="1067"/>
      <c r="DZ39" s="1067"/>
      <c r="EA39"/>
      <c r="EB39"/>
      <c r="EC39"/>
      <c r="ED39"/>
      <c r="EE39"/>
      <c r="EF39"/>
      <c r="EG39"/>
      <c r="EH39"/>
      <c r="EI39"/>
      <c r="EJ39"/>
      <c r="EK39"/>
      <c r="EL39"/>
    </row>
    <row r="40" spans="1:142" s="602" customFormat="1" ht="30" customHeight="1">
      <c r="A40" s="607"/>
      <c r="B40" s="15109"/>
      <c r="C40" s="622" t="s">
        <v>569</v>
      </c>
      <c r="D40" s="623" t="s">
        <v>2397</v>
      </c>
      <c r="E40" s="623" t="s">
        <v>2398</v>
      </c>
      <c r="F40" s="623">
        <v>55</v>
      </c>
      <c r="G40" s="623" t="s">
        <v>2419</v>
      </c>
      <c r="H40" s="623" t="s">
        <v>2399</v>
      </c>
      <c r="I40" s="623" t="s">
        <v>2427</v>
      </c>
      <c r="J40" s="623">
        <v>37</v>
      </c>
      <c r="K40" s="623" t="s">
        <v>7631</v>
      </c>
      <c r="L40" s="599" t="s">
        <v>9594</v>
      </c>
      <c r="M40" s="600" t="s">
        <v>2434</v>
      </c>
      <c r="N40" s="520">
        <v>0</v>
      </c>
      <c r="O40" s="522">
        <v>1</v>
      </c>
      <c r="P40" s="522" t="s">
        <v>2005</v>
      </c>
      <c r="Q40" s="520" t="s">
        <v>2429</v>
      </c>
      <c r="R40" s="650">
        <v>1</v>
      </c>
      <c r="S40" s="630">
        <v>2</v>
      </c>
      <c r="T40" s="552">
        <v>1</v>
      </c>
      <c r="U40" s="553" t="s">
        <v>4408</v>
      </c>
      <c r="V40" s="522"/>
      <c r="W40" s="520" t="s">
        <v>4397</v>
      </c>
      <c r="X40" s="544">
        <v>18000000</v>
      </c>
      <c r="Y40" s="522"/>
      <c r="Z40" s="522"/>
      <c r="AA40" s="522"/>
      <c r="AB40" s="543"/>
      <c r="AC40" s="543"/>
      <c r="AD40" s="543"/>
      <c r="AE40" s="522"/>
      <c r="AF40" s="522"/>
      <c r="AG40" s="522"/>
      <c r="AH40" s="522"/>
      <c r="AI40" s="522"/>
      <c r="AJ40" s="522"/>
      <c r="AK40" s="522"/>
      <c r="AL40" s="522"/>
      <c r="AM40" s="522"/>
      <c r="AN40" s="522"/>
      <c r="AO40" s="522"/>
      <c r="AP40" s="522"/>
      <c r="AQ40" s="522"/>
      <c r="AR40" s="522"/>
      <c r="AS40" s="522"/>
      <c r="AT40" s="522"/>
      <c r="AU40" s="522"/>
      <c r="AV40" s="522"/>
      <c r="AW40" s="522"/>
      <c r="AX40" s="522"/>
      <c r="AY40" s="522"/>
      <c r="AZ40" s="522"/>
      <c r="BA40" s="522"/>
      <c r="BB40" s="522"/>
      <c r="BC40" s="522"/>
      <c r="BD40" s="522"/>
      <c r="BE40" s="522"/>
      <c r="BF40" s="522"/>
      <c r="BG40" s="522"/>
      <c r="BH40" s="522"/>
      <c r="BI40" s="522"/>
      <c r="BJ40" s="522"/>
      <c r="BK40" s="523"/>
      <c r="BL40" s="939"/>
      <c r="BM40" s="1076"/>
      <c r="BN40" s="15012"/>
      <c r="BO40" s="15017"/>
      <c r="BP40" s="15022"/>
      <c r="BQ40" s="1067" t="s">
        <v>2397</v>
      </c>
      <c r="BR40" s="1070" t="s">
        <v>2398</v>
      </c>
      <c r="BS40" s="1067">
        <v>55</v>
      </c>
      <c r="BT40" s="1067" t="s">
        <v>2419</v>
      </c>
      <c r="BU40" s="1067" t="s">
        <v>2399</v>
      </c>
      <c r="BV40" s="1070" t="s">
        <v>2427</v>
      </c>
      <c r="BW40" s="1067">
        <v>37</v>
      </c>
      <c r="BX40" s="1067" t="s">
        <v>7631</v>
      </c>
      <c r="BY40" s="962" t="s">
        <v>2428</v>
      </c>
      <c r="BZ40" s="2856" t="s">
        <v>2896</v>
      </c>
      <c r="CA40" s="1067" t="s">
        <v>2402</v>
      </c>
      <c r="CB40" s="1067"/>
      <c r="CC40" s="1067">
        <v>0</v>
      </c>
      <c r="CD40" s="1072">
        <v>1</v>
      </c>
      <c r="CE40" s="1072" t="s">
        <v>2005</v>
      </c>
      <c r="CF40" s="1067" t="s">
        <v>2429</v>
      </c>
      <c r="CG40" s="1067">
        <v>0</v>
      </c>
      <c r="CH40" s="1067">
        <v>1</v>
      </c>
      <c r="CI40" s="1073">
        <v>1</v>
      </c>
      <c r="CJ40" s="1067">
        <v>1</v>
      </c>
      <c r="CK40" s="1072">
        <v>1</v>
      </c>
      <c r="CL40" s="1167">
        <v>1</v>
      </c>
      <c r="CM40" s="14933"/>
      <c r="CN40" s="14935"/>
      <c r="CO40" s="14943"/>
      <c r="CP40" s="966" t="s">
        <v>9957</v>
      </c>
      <c r="CQ40" s="962"/>
      <c r="CR40" s="964">
        <v>3796000</v>
      </c>
      <c r="CS40" s="962"/>
      <c r="CT40" s="962"/>
      <c r="CU40" s="962"/>
      <c r="CV40" s="962">
        <v>713</v>
      </c>
      <c r="CW40" s="962">
        <v>358</v>
      </c>
      <c r="CX40" s="962">
        <v>355</v>
      </c>
      <c r="CY40" s="962">
        <v>0</v>
      </c>
      <c r="CZ40" s="962">
        <v>713</v>
      </c>
      <c r="DA40" s="962"/>
      <c r="DB40" s="962"/>
      <c r="DC40" s="962"/>
      <c r="DD40" s="962"/>
      <c r="DE40" s="962"/>
      <c r="DF40" s="1067"/>
      <c r="DG40" s="1072"/>
      <c r="DH40" s="1072">
        <v>669</v>
      </c>
      <c r="DI40" s="1072">
        <v>44</v>
      </c>
      <c r="DJ40" s="1072"/>
      <c r="DK40" s="1072"/>
      <c r="DL40" s="1072"/>
      <c r="DM40" s="1072"/>
      <c r="DN40" s="1072"/>
      <c r="DO40" s="1072"/>
      <c r="DP40" s="1072">
        <v>581</v>
      </c>
      <c r="DQ40" s="1072">
        <v>84</v>
      </c>
      <c r="DR40" s="1072">
        <v>48</v>
      </c>
      <c r="DS40" s="1072"/>
      <c r="DT40" s="1072"/>
      <c r="DU40" s="1072"/>
      <c r="DV40" s="1072"/>
      <c r="DW40" s="1072"/>
      <c r="DX40" s="1067"/>
      <c r="DY40" s="1067"/>
      <c r="DZ40" s="1072"/>
      <c r="EA40"/>
      <c r="EB40"/>
      <c r="EC40"/>
      <c r="ED40"/>
      <c r="EE40"/>
      <c r="EF40"/>
      <c r="EG40"/>
      <c r="EH40"/>
      <c r="EI40"/>
      <c r="EJ40"/>
      <c r="EK40"/>
      <c r="EL40"/>
    </row>
    <row r="41" spans="1:142" s="602" customFormat="1" ht="30" customHeight="1">
      <c r="A41" s="607"/>
      <c r="B41" s="15109"/>
      <c r="C41" s="622" t="s">
        <v>569</v>
      </c>
      <c r="D41" s="623" t="s">
        <v>2430</v>
      </c>
      <c r="E41" s="624">
        <v>0.21</v>
      </c>
      <c r="F41" s="624">
        <v>0.4</v>
      </c>
      <c r="G41" s="623" t="s">
        <v>2009</v>
      </c>
      <c r="H41" s="623" t="s">
        <v>2431</v>
      </c>
      <c r="I41" s="623" t="s">
        <v>2432</v>
      </c>
      <c r="J41" s="623">
        <v>38</v>
      </c>
      <c r="K41" s="623" t="s">
        <v>7632</v>
      </c>
      <c r="L41" s="599" t="s">
        <v>9595</v>
      </c>
      <c r="M41" s="600" t="s">
        <v>2434</v>
      </c>
      <c r="N41" s="522">
        <v>0</v>
      </c>
      <c r="O41" s="522">
        <v>2</v>
      </c>
      <c r="P41" s="522" t="s">
        <v>2005</v>
      </c>
      <c r="Q41" s="520" t="s">
        <v>2435</v>
      </c>
      <c r="R41" s="632">
        <v>2</v>
      </c>
      <c r="S41" s="630">
        <v>1</v>
      </c>
      <c r="T41" s="552">
        <v>1</v>
      </c>
      <c r="U41" s="651" t="s">
        <v>4409</v>
      </c>
      <c r="V41" s="522"/>
      <c r="W41" s="522"/>
      <c r="X41" s="652">
        <v>92273754</v>
      </c>
      <c r="Y41" s="652">
        <v>92273754</v>
      </c>
      <c r="Z41" s="522"/>
      <c r="AA41" s="522"/>
      <c r="AB41" s="640">
        <v>1013</v>
      </c>
      <c r="AC41" s="635">
        <v>428</v>
      </c>
      <c r="AD41" s="635">
        <v>585</v>
      </c>
      <c r="AE41" s="635">
        <v>877</v>
      </c>
      <c r="AF41" s="635">
        <v>136</v>
      </c>
      <c r="AG41" s="635">
        <v>524</v>
      </c>
      <c r="AH41" s="522"/>
      <c r="AI41" s="522"/>
      <c r="AJ41" s="635">
        <v>158</v>
      </c>
      <c r="AK41" s="635"/>
      <c r="AL41" s="522"/>
      <c r="AM41" s="522"/>
      <c r="AN41" s="522">
        <v>57</v>
      </c>
      <c r="AO41" s="635">
        <v>25</v>
      </c>
      <c r="AP41" s="522"/>
      <c r="AQ41" s="522"/>
      <c r="AR41" s="522"/>
      <c r="AS41" s="522"/>
      <c r="AT41" s="522"/>
      <c r="AU41" s="522"/>
      <c r="AV41" s="635">
        <v>657</v>
      </c>
      <c r="AW41" s="635">
        <v>472</v>
      </c>
      <c r="AX41" s="635">
        <v>66</v>
      </c>
      <c r="AY41" s="522"/>
      <c r="AZ41" s="522"/>
      <c r="BA41" s="522"/>
      <c r="BB41" s="522"/>
      <c r="BC41" s="522"/>
      <c r="BD41" s="522"/>
      <c r="BE41" s="522"/>
      <c r="BF41" s="522"/>
      <c r="BG41" s="522"/>
      <c r="BH41" s="522"/>
      <c r="BI41" s="522"/>
      <c r="BJ41" s="522"/>
      <c r="BK41" s="523"/>
      <c r="BL41" s="939"/>
      <c r="BM41" s="1076"/>
      <c r="BN41" s="15012"/>
      <c r="BO41" s="15017"/>
      <c r="BP41" s="15022"/>
      <c r="BQ41" s="1067" t="s">
        <v>2430</v>
      </c>
      <c r="BR41" s="1068">
        <v>0.21</v>
      </c>
      <c r="BS41" s="1069">
        <v>0.4</v>
      </c>
      <c r="BT41" s="1067" t="s">
        <v>2009</v>
      </c>
      <c r="BU41" s="1067" t="s">
        <v>2431</v>
      </c>
      <c r="BV41" s="1070" t="s">
        <v>2432</v>
      </c>
      <c r="BW41" s="1067">
        <v>38</v>
      </c>
      <c r="BX41" s="1067" t="s">
        <v>7632</v>
      </c>
      <c r="BY41" s="962" t="s">
        <v>2433</v>
      </c>
      <c r="BZ41" s="2856" t="s">
        <v>10067</v>
      </c>
      <c r="CA41" s="1067" t="s">
        <v>2434</v>
      </c>
      <c r="CB41" s="1067"/>
      <c r="CC41" s="1072">
        <v>0</v>
      </c>
      <c r="CD41" s="1072">
        <v>2</v>
      </c>
      <c r="CE41" s="1072" t="s">
        <v>2005</v>
      </c>
      <c r="CF41" s="1067" t="s">
        <v>2435</v>
      </c>
      <c r="CG41" s="1072">
        <v>2</v>
      </c>
      <c r="CH41" s="1072">
        <v>2</v>
      </c>
      <c r="CI41" s="1072">
        <v>2</v>
      </c>
      <c r="CJ41" s="1072">
        <v>2</v>
      </c>
      <c r="CK41" s="1088">
        <v>3</v>
      </c>
      <c r="CL41" s="1167">
        <v>1</v>
      </c>
      <c r="CM41" s="14933"/>
      <c r="CN41" s="14935"/>
      <c r="CO41" s="14943"/>
      <c r="CP41" s="966" t="s">
        <v>9958</v>
      </c>
      <c r="CQ41" s="1079"/>
      <c r="CR41" s="1080">
        <v>13600000</v>
      </c>
      <c r="CS41" s="1079"/>
      <c r="CT41" s="1079"/>
      <c r="CU41" s="1079"/>
      <c r="CV41" s="1079"/>
      <c r="CW41" s="1079"/>
      <c r="CX41" s="1079"/>
      <c r="CY41" s="1079"/>
      <c r="CZ41" s="1079"/>
      <c r="DA41" s="1079"/>
      <c r="DB41" s="1079"/>
      <c r="DC41" s="1079"/>
      <c r="DD41" s="1079"/>
      <c r="DE41" s="1079"/>
      <c r="DF41" s="1067"/>
      <c r="DG41" s="1072"/>
      <c r="DH41" s="1072"/>
      <c r="DI41" s="1072"/>
      <c r="DJ41" s="1072"/>
      <c r="DK41" s="1072"/>
      <c r="DL41" s="1072"/>
      <c r="DM41" s="1072"/>
      <c r="DN41" s="1072"/>
      <c r="DO41" s="1072"/>
      <c r="DP41" s="1072"/>
      <c r="DQ41" s="1072"/>
      <c r="DR41" s="1072"/>
      <c r="DS41" s="1072"/>
      <c r="DT41" s="1072"/>
      <c r="DU41" s="1072"/>
      <c r="DV41" s="1072"/>
      <c r="DW41" s="1072"/>
      <c r="DX41" s="1072"/>
      <c r="DY41" s="1072"/>
      <c r="DZ41" s="1072"/>
      <c r="EA41"/>
      <c r="EB41"/>
      <c r="EC41"/>
      <c r="ED41"/>
      <c r="EE41"/>
      <c r="EF41"/>
      <c r="EG41"/>
      <c r="EH41"/>
      <c r="EI41"/>
      <c r="EJ41"/>
      <c r="EK41"/>
      <c r="EL41"/>
    </row>
    <row r="42" spans="1:142" s="602" customFormat="1" ht="30" customHeight="1">
      <c r="A42" s="607"/>
      <c r="B42" s="15109"/>
      <c r="C42" s="622" t="s">
        <v>569</v>
      </c>
      <c r="D42" s="623" t="s">
        <v>2430</v>
      </c>
      <c r="E42" s="624">
        <v>0.21</v>
      </c>
      <c r="F42" s="624">
        <v>0.4</v>
      </c>
      <c r="G42" s="623" t="s">
        <v>2009</v>
      </c>
      <c r="H42" s="623" t="s">
        <v>2431</v>
      </c>
      <c r="I42" s="623" t="s">
        <v>2432</v>
      </c>
      <c r="J42" s="623">
        <v>39</v>
      </c>
      <c r="K42" s="623" t="s">
        <v>7633</v>
      </c>
      <c r="L42" s="599" t="s">
        <v>9596</v>
      </c>
      <c r="M42" s="600" t="s">
        <v>2434</v>
      </c>
      <c r="N42" s="522">
        <v>0</v>
      </c>
      <c r="O42" s="522">
        <v>1</v>
      </c>
      <c r="P42" s="522" t="s">
        <v>2005</v>
      </c>
      <c r="Q42" s="520" t="s">
        <v>2437</v>
      </c>
      <c r="R42" s="632">
        <v>1</v>
      </c>
      <c r="S42" s="630">
        <v>4</v>
      </c>
      <c r="T42" s="552">
        <v>1</v>
      </c>
      <c r="U42" s="651" t="s">
        <v>4410</v>
      </c>
      <c r="V42" s="522"/>
      <c r="W42" s="522"/>
      <c r="X42" s="522"/>
      <c r="Y42" s="522"/>
      <c r="Z42" s="522"/>
      <c r="AA42" s="522"/>
      <c r="AB42" s="522"/>
      <c r="AC42" s="522"/>
      <c r="AD42" s="522"/>
      <c r="AE42" s="522"/>
      <c r="AF42" s="522"/>
      <c r="AG42" s="522"/>
      <c r="AH42" s="522"/>
      <c r="AI42" s="522"/>
      <c r="AJ42" s="522"/>
      <c r="AK42" s="522"/>
      <c r="AL42" s="522"/>
      <c r="AM42" s="522"/>
      <c r="AN42" s="522"/>
      <c r="AO42" s="522"/>
      <c r="AP42" s="522"/>
      <c r="AQ42" s="522"/>
      <c r="AR42" s="522"/>
      <c r="AS42" s="522"/>
      <c r="AT42" s="522"/>
      <c r="AU42" s="522"/>
      <c r="AV42" s="522"/>
      <c r="AW42" s="522"/>
      <c r="AX42" s="522"/>
      <c r="AY42" s="522"/>
      <c r="AZ42" s="522"/>
      <c r="BA42" s="522"/>
      <c r="BB42" s="522"/>
      <c r="BC42" s="522"/>
      <c r="BD42" s="522"/>
      <c r="BE42" s="522"/>
      <c r="BF42" s="522"/>
      <c r="BG42" s="522"/>
      <c r="BH42" s="522"/>
      <c r="BI42" s="522"/>
      <c r="BJ42" s="522"/>
      <c r="BK42" s="523"/>
      <c r="BL42" s="939"/>
      <c r="BM42" s="1076"/>
      <c r="BN42" s="15012"/>
      <c r="BO42" s="15017"/>
      <c r="BP42" s="15022"/>
      <c r="BQ42" s="1067" t="s">
        <v>2430</v>
      </c>
      <c r="BR42" s="1068">
        <v>0.21</v>
      </c>
      <c r="BS42" s="1069">
        <v>0.4</v>
      </c>
      <c r="BT42" s="1067" t="s">
        <v>2009</v>
      </c>
      <c r="BU42" s="1067" t="s">
        <v>2431</v>
      </c>
      <c r="BV42" s="1070" t="s">
        <v>2432</v>
      </c>
      <c r="BW42" s="1067">
        <v>39</v>
      </c>
      <c r="BX42" s="1067" t="s">
        <v>7633</v>
      </c>
      <c r="BY42" s="962" t="s">
        <v>2436</v>
      </c>
      <c r="BZ42" s="2856" t="s">
        <v>10067</v>
      </c>
      <c r="CA42" s="1067" t="s">
        <v>2434</v>
      </c>
      <c r="CB42" s="1067"/>
      <c r="CC42" s="1072">
        <v>0</v>
      </c>
      <c r="CD42" s="1072">
        <v>1</v>
      </c>
      <c r="CE42" s="1072" t="s">
        <v>2005</v>
      </c>
      <c r="CF42" s="1067" t="s">
        <v>2437</v>
      </c>
      <c r="CG42" s="1072">
        <v>1</v>
      </c>
      <c r="CH42" s="1072">
        <v>1</v>
      </c>
      <c r="CI42" s="1072">
        <v>1</v>
      </c>
      <c r="CJ42" s="1072">
        <v>1</v>
      </c>
      <c r="CK42" s="1072">
        <v>5</v>
      </c>
      <c r="CL42" s="1167">
        <v>1</v>
      </c>
      <c r="CM42" s="14933"/>
      <c r="CN42" s="14935"/>
      <c r="CO42" s="14943"/>
      <c r="CP42" s="966" t="s">
        <v>9959</v>
      </c>
      <c r="CQ42" s="1079"/>
      <c r="CR42" s="1080">
        <v>13600000</v>
      </c>
      <c r="CS42" s="1079"/>
      <c r="CT42" s="1079"/>
      <c r="CU42" s="1079"/>
      <c r="CV42" s="1079" t="s">
        <v>9960</v>
      </c>
      <c r="CW42" s="1079"/>
      <c r="CX42" s="1079"/>
      <c r="CY42" s="1079"/>
      <c r="CZ42" s="1079"/>
      <c r="DA42" s="1079"/>
      <c r="DB42" s="1079"/>
      <c r="DC42" s="1079"/>
      <c r="DD42" s="1079"/>
      <c r="DE42" s="1079"/>
      <c r="DF42" s="1067"/>
      <c r="DG42" s="1072"/>
      <c r="DH42" s="1072"/>
      <c r="DI42" s="1072"/>
      <c r="DJ42" s="1072"/>
      <c r="DK42" s="1072"/>
      <c r="DL42" s="1072"/>
      <c r="DM42" s="1072"/>
      <c r="DN42" s="1072"/>
      <c r="DO42" s="1072"/>
      <c r="DP42" s="1072"/>
      <c r="DQ42" s="1072"/>
      <c r="DR42" s="1072"/>
      <c r="DS42" s="1072"/>
      <c r="DT42" s="1072"/>
      <c r="DU42" s="1072"/>
      <c r="DV42" s="1072"/>
      <c r="DW42" s="1072"/>
      <c r="DX42" s="1072"/>
      <c r="DY42" s="1072"/>
      <c r="DZ42" s="1072"/>
      <c r="EA42"/>
      <c r="EB42"/>
      <c r="EC42"/>
      <c r="ED42"/>
      <c r="EE42"/>
      <c r="EF42"/>
      <c r="EG42"/>
      <c r="EH42"/>
      <c r="EI42"/>
      <c r="EJ42"/>
      <c r="EK42"/>
      <c r="EL42"/>
    </row>
    <row r="43" spans="1:142" s="602" customFormat="1" ht="30" customHeight="1">
      <c r="A43" s="607"/>
      <c r="B43" s="15109"/>
      <c r="C43" s="622" t="s">
        <v>569</v>
      </c>
      <c r="D43" s="623" t="s">
        <v>2430</v>
      </c>
      <c r="E43" s="624">
        <v>0.21</v>
      </c>
      <c r="F43" s="624">
        <v>0.4</v>
      </c>
      <c r="G43" s="623" t="s">
        <v>2009</v>
      </c>
      <c r="H43" s="623" t="s">
        <v>2431</v>
      </c>
      <c r="I43" s="623" t="s">
        <v>2432</v>
      </c>
      <c r="J43" s="623">
        <v>40</v>
      </c>
      <c r="K43" s="623" t="s">
        <v>7634</v>
      </c>
      <c r="L43" s="599" t="s">
        <v>2440</v>
      </c>
      <c r="M43" s="610" t="s">
        <v>2434</v>
      </c>
      <c r="N43" s="522">
        <v>0</v>
      </c>
      <c r="O43" s="522">
        <v>4</v>
      </c>
      <c r="P43" s="522" t="s">
        <v>2005</v>
      </c>
      <c r="Q43" s="520" t="s">
        <v>2439</v>
      </c>
      <c r="R43" s="632">
        <v>4</v>
      </c>
      <c r="S43" s="630">
        <v>0</v>
      </c>
      <c r="T43" s="552">
        <v>1</v>
      </c>
      <c r="U43" s="654" t="s">
        <v>4411</v>
      </c>
      <c r="V43" s="522"/>
      <c r="W43" s="522"/>
      <c r="X43" s="522"/>
      <c r="Y43" s="522"/>
      <c r="Z43" s="522"/>
      <c r="AA43" s="522"/>
      <c r="AB43" s="522"/>
      <c r="AC43" s="522"/>
      <c r="AD43" s="522"/>
      <c r="AE43" s="522"/>
      <c r="AF43" s="522"/>
      <c r="AG43" s="522"/>
      <c r="AH43" s="522"/>
      <c r="AI43" s="522"/>
      <c r="AJ43" s="522"/>
      <c r="AK43" s="522"/>
      <c r="AL43" s="522"/>
      <c r="AM43" s="522"/>
      <c r="AN43" s="522"/>
      <c r="AO43" s="522"/>
      <c r="AP43" s="522"/>
      <c r="AQ43" s="522"/>
      <c r="AR43" s="522"/>
      <c r="AS43" s="522"/>
      <c r="AT43" s="522"/>
      <c r="AU43" s="522"/>
      <c r="AV43" s="522"/>
      <c r="AW43" s="522"/>
      <c r="AX43" s="522"/>
      <c r="AY43" s="522"/>
      <c r="AZ43" s="522"/>
      <c r="BA43" s="522"/>
      <c r="BB43" s="522"/>
      <c r="BC43" s="522"/>
      <c r="BD43" s="522"/>
      <c r="BE43" s="522"/>
      <c r="BF43" s="522"/>
      <c r="BG43" s="522"/>
      <c r="BH43" s="522"/>
      <c r="BI43" s="522"/>
      <c r="BJ43" s="522"/>
      <c r="BK43" s="523"/>
      <c r="BL43" s="939"/>
      <c r="BM43" s="1076"/>
      <c r="BN43" s="15012"/>
      <c r="BO43" s="15017"/>
      <c r="BP43" s="15022"/>
      <c r="BQ43" s="1067" t="s">
        <v>2430</v>
      </c>
      <c r="BR43" s="1068">
        <v>0.21</v>
      </c>
      <c r="BS43" s="1069">
        <v>0.4</v>
      </c>
      <c r="BT43" s="1067" t="s">
        <v>2009</v>
      </c>
      <c r="BU43" s="1067" t="s">
        <v>2431</v>
      </c>
      <c r="BV43" s="1070" t="s">
        <v>2432</v>
      </c>
      <c r="BW43" s="1067">
        <v>40</v>
      </c>
      <c r="BX43" s="1067" t="s">
        <v>7634</v>
      </c>
      <c r="BY43" s="962" t="s">
        <v>2438</v>
      </c>
      <c r="BZ43" s="2856" t="s">
        <v>10067</v>
      </c>
      <c r="CA43" s="1067" t="s">
        <v>2434</v>
      </c>
      <c r="CB43" s="1067"/>
      <c r="CC43" s="1072">
        <v>0</v>
      </c>
      <c r="CD43" s="1072">
        <v>4</v>
      </c>
      <c r="CE43" s="1072" t="s">
        <v>2005</v>
      </c>
      <c r="CF43" s="1067" t="s">
        <v>2439</v>
      </c>
      <c r="CG43" s="1072">
        <v>4</v>
      </c>
      <c r="CH43" s="1072">
        <v>4</v>
      </c>
      <c r="CI43" s="1072">
        <v>4</v>
      </c>
      <c r="CJ43" s="1072">
        <v>4</v>
      </c>
      <c r="CK43" s="1072">
        <v>4</v>
      </c>
      <c r="CL43" s="1167">
        <v>1</v>
      </c>
      <c r="CM43" s="14933"/>
      <c r="CN43" s="14935"/>
      <c r="CO43" s="14943"/>
      <c r="CP43" s="966" t="s">
        <v>9961</v>
      </c>
      <c r="CQ43" s="1079"/>
      <c r="CR43" s="1080">
        <v>13600000</v>
      </c>
      <c r="CS43" s="1079"/>
      <c r="CT43" s="1079"/>
      <c r="CU43" s="1079"/>
      <c r="CV43" s="1079" t="s">
        <v>9962</v>
      </c>
      <c r="CW43" s="1079"/>
      <c r="CX43" s="1079"/>
      <c r="CY43" s="1079"/>
      <c r="CZ43" s="1079"/>
      <c r="DA43" s="1079"/>
      <c r="DB43" s="1079"/>
      <c r="DC43" s="1079"/>
      <c r="DD43" s="1079"/>
      <c r="DE43" s="1079"/>
      <c r="DF43" s="1067"/>
      <c r="DG43" s="1072"/>
      <c r="DH43" s="1072"/>
      <c r="DI43" s="1072"/>
      <c r="DJ43" s="1072"/>
      <c r="DK43" s="1072"/>
      <c r="DL43" s="1072"/>
      <c r="DM43" s="1072"/>
      <c r="DN43" s="1072"/>
      <c r="DO43" s="1072"/>
      <c r="DP43" s="1072"/>
      <c r="DQ43" s="1072"/>
      <c r="DR43" s="1072"/>
      <c r="DS43" s="1072"/>
      <c r="DT43" s="1072"/>
      <c r="DU43" s="1072"/>
      <c r="DV43" s="1072"/>
      <c r="DW43" s="1072"/>
      <c r="DX43" s="1072"/>
      <c r="DY43" s="1072"/>
      <c r="DZ43" s="1072"/>
      <c r="EA43"/>
      <c r="EB43"/>
      <c r="EC43"/>
      <c r="ED43"/>
      <c r="EE43"/>
      <c r="EF43"/>
      <c r="EG43"/>
      <c r="EH43"/>
      <c r="EI43"/>
      <c r="EJ43"/>
      <c r="EK43"/>
      <c r="EL43"/>
    </row>
    <row r="44" spans="1:142" s="602" customFormat="1" ht="30" customHeight="1">
      <c r="A44" s="607"/>
      <c r="B44" s="15109"/>
      <c r="C44" s="622" t="s">
        <v>569</v>
      </c>
      <c r="D44" s="623" t="s">
        <v>2430</v>
      </c>
      <c r="E44" s="624">
        <v>0.21</v>
      </c>
      <c r="F44" s="624">
        <v>0.4</v>
      </c>
      <c r="G44" s="623" t="s">
        <v>2009</v>
      </c>
      <c r="H44" s="623" t="s">
        <v>2431</v>
      </c>
      <c r="I44" s="623" t="s">
        <v>2432</v>
      </c>
      <c r="J44" s="623">
        <v>41</v>
      </c>
      <c r="K44" s="623" t="s">
        <v>7635</v>
      </c>
      <c r="L44" s="599" t="s">
        <v>9597</v>
      </c>
      <c r="M44" s="600" t="s">
        <v>2434</v>
      </c>
      <c r="N44" s="522">
        <v>0</v>
      </c>
      <c r="O44" s="522">
        <v>1</v>
      </c>
      <c r="P44" s="522" t="s">
        <v>2005</v>
      </c>
      <c r="Q44" s="520" t="s">
        <v>2441</v>
      </c>
      <c r="R44" s="632">
        <v>0</v>
      </c>
      <c r="S44" s="625">
        <v>2</v>
      </c>
      <c r="T44" s="552">
        <v>1</v>
      </c>
      <c r="U44" s="531" t="s">
        <v>4412</v>
      </c>
      <c r="V44" s="522"/>
      <c r="W44" s="522"/>
      <c r="X44" s="522"/>
      <c r="Y44" s="522"/>
      <c r="Z44" s="522"/>
      <c r="AA44" s="522"/>
      <c r="AB44" s="522"/>
      <c r="AC44" s="522"/>
      <c r="AD44" s="522"/>
      <c r="AE44" s="522"/>
      <c r="AF44" s="522"/>
      <c r="AG44" s="522"/>
      <c r="AH44" s="522"/>
      <c r="AI44" s="522"/>
      <c r="AJ44" s="522"/>
      <c r="AK44" s="522"/>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3"/>
      <c r="BL44" s="939"/>
      <c r="BM44" s="1076"/>
      <c r="BN44" s="15012"/>
      <c r="BO44" s="15017"/>
      <c r="BP44" s="15022"/>
      <c r="BQ44" s="1067" t="s">
        <v>2430</v>
      </c>
      <c r="BR44" s="1068">
        <v>0.21</v>
      </c>
      <c r="BS44" s="1069">
        <v>0.4</v>
      </c>
      <c r="BT44" s="1067" t="s">
        <v>2009</v>
      </c>
      <c r="BU44" s="1067" t="s">
        <v>2431</v>
      </c>
      <c r="BV44" s="1070" t="s">
        <v>2432</v>
      </c>
      <c r="BW44" s="1067">
        <v>41</v>
      </c>
      <c r="BX44" s="1067" t="s">
        <v>7635</v>
      </c>
      <c r="BY44" s="962" t="s">
        <v>2440</v>
      </c>
      <c r="BZ44" s="2856" t="s">
        <v>10067</v>
      </c>
      <c r="CA44" s="1067" t="s">
        <v>2434</v>
      </c>
      <c r="CB44" s="1067"/>
      <c r="CC44" s="1072">
        <v>0</v>
      </c>
      <c r="CD44" s="1072">
        <v>1</v>
      </c>
      <c r="CE44" s="1072" t="s">
        <v>2005</v>
      </c>
      <c r="CF44" s="1067" t="s">
        <v>2441</v>
      </c>
      <c r="CG44" s="1072">
        <v>0</v>
      </c>
      <c r="CH44" s="1072">
        <v>1</v>
      </c>
      <c r="CI44" s="1072">
        <v>0</v>
      </c>
      <c r="CJ44" s="1072">
        <v>0</v>
      </c>
      <c r="CK44" s="1072">
        <v>1</v>
      </c>
      <c r="CL44" s="1167">
        <v>1</v>
      </c>
      <c r="CM44" s="14933"/>
      <c r="CN44" s="14935"/>
      <c r="CO44" s="14943"/>
      <c r="CP44" s="966" t="s">
        <v>9963</v>
      </c>
      <c r="CQ44" s="1079"/>
      <c r="CR44" s="1080">
        <v>10000000</v>
      </c>
      <c r="CS44" s="1079"/>
      <c r="CT44" s="1079"/>
      <c r="CU44" s="1079"/>
      <c r="CV44" s="1079" t="s">
        <v>9964</v>
      </c>
      <c r="CW44" s="1079"/>
      <c r="CX44" s="1079"/>
      <c r="CY44" s="1079"/>
      <c r="CZ44" s="1079"/>
      <c r="DA44" s="1079"/>
      <c r="DB44" s="1079"/>
      <c r="DC44" s="1079"/>
      <c r="DD44" s="1079"/>
      <c r="DE44" s="1079"/>
      <c r="DF44" s="1089"/>
      <c r="DG44" s="1072"/>
      <c r="DH44" s="1072"/>
      <c r="DI44" s="1072"/>
      <c r="DJ44" s="1072"/>
      <c r="DK44" s="1072"/>
      <c r="DL44" s="1072"/>
      <c r="DM44" s="1072"/>
      <c r="DN44" s="1072"/>
      <c r="DO44" s="1072"/>
      <c r="DP44" s="1072"/>
      <c r="DQ44" s="1072"/>
      <c r="DR44" s="1072"/>
      <c r="DS44" s="1072"/>
      <c r="DT44" s="1072"/>
      <c r="DU44" s="1072"/>
      <c r="DV44" s="1072"/>
      <c r="DW44" s="1072"/>
      <c r="DX44" s="1072"/>
      <c r="DY44" s="1072"/>
      <c r="DZ44" s="1072"/>
      <c r="EA44"/>
      <c r="EB44"/>
      <c r="EC44"/>
      <c r="ED44"/>
      <c r="EE44"/>
      <c r="EF44"/>
      <c r="EG44"/>
      <c r="EH44"/>
      <c r="EI44"/>
      <c r="EJ44"/>
      <c r="EK44"/>
      <c r="EL44"/>
    </row>
    <row r="45" spans="1:142" s="602" customFormat="1" ht="30" customHeight="1">
      <c r="A45" s="607"/>
      <c r="B45" s="15109"/>
      <c r="C45" s="622" t="s">
        <v>569</v>
      </c>
      <c r="D45" s="623" t="s">
        <v>2430</v>
      </c>
      <c r="E45" s="624">
        <v>0.21</v>
      </c>
      <c r="F45" s="624">
        <v>0.4</v>
      </c>
      <c r="G45" s="623" t="s">
        <v>2009</v>
      </c>
      <c r="H45" s="623" t="s">
        <v>2431</v>
      </c>
      <c r="I45" s="623" t="s">
        <v>2432</v>
      </c>
      <c r="J45" s="623">
        <v>42</v>
      </c>
      <c r="K45" s="623" t="s">
        <v>7636</v>
      </c>
      <c r="L45" s="599" t="s">
        <v>9598</v>
      </c>
      <c r="M45" s="600" t="s">
        <v>2449</v>
      </c>
      <c r="N45" s="522">
        <v>0</v>
      </c>
      <c r="O45" s="522">
        <v>2</v>
      </c>
      <c r="P45" s="522" t="s">
        <v>2005</v>
      </c>
      <c r="Q45" s="520" t="s">
        <v>2443</v>
      </c>
      <c r="R45" s="628">
        <v>2</v>
      </c>
      <c r="S45" s="630">
        <v>5</v>
      </c>
      <c r="T45" s="552">
        <v>1</v>
      </c>
      <c r="U45" s="592"/>
      <c r="V45" s="522"/>
      <c r="W45" s="522"/>
      <c r="X45" s="522"/>
      <c r="Y45" s="522"/>
      <c r="Z45" s="522"/>
      <c r="AA45" s="522"/>
      <c r="AB45" s="522"/>
      <c r="AC45" s="522"/>
      <c r="AD45" s="522"/>
      <c r="AE45" s="522"/>
      <c r="AF45" s="522"/>
      <c r="AG45" s="522"/>
      <c r="AH45" s="522"/>
      <c r="AI45" s="522"/>
      <c r="AJ45" s="522"/>
      <c r="AK45" s="522"/>
      <c r="AL45" s="522"/>
      <c r="AM45" s="522"/>
      <c r="AN45" s="522"/>
      <c r="AO45" s="522"/>
      <c r="AP45" s="522"/>
      <c r="AQ45" s="522"/>
      <c r="AR45" s="522"/>
      <c r="AS45" s="522"/>
      <c r="AT45" s="522"/>
      <c r="AU45" s="522"/>
      <c r="AV45" s="522"/>
      <c r="AW45" s="522"/>
      <c r="AX45" s="522"/>
      <c r="AY45" s="522"/>
      <c r="AZ45" s="522"/>
      <c r="BA45" s="522"/>
      <c r="BB45" s="522"/>
      <c r="BC45" s="522"/>
      <c r="BD45" s="522"/>
      <c r="BE45" s="522"/>
      <c r="BF45" s="522"/>
      <c r="BG45" s="522"/>
      <c r="BH45" s="522"/>
      <c r="BI45" s="522"/>
      <c r="BJ45" s="522"/>
      <c r="BK45" s="523"/>
      <c r="BL45" s="939"/>
      <c r="BM45" s="1076"/>
      <c r="BN45" s="15012"/>
      <c r="BO45" s="15019"/>
      <c r="BP45" s="15023"/>
      <c r="BQ45" s="1067" t="s">
        <v>2430</v>
      </c>
      <c r="BR45" s="1068">
        <v>0.21</v>
      </c>
      <c r="BS45" s="1069">
        <v>0.4</v>
      </c>
      <c r="BT45" s="1067" t="s">
        <v>2009</v>
      </c>
      <c r="BU45" s="1067" t="s">
        <v>2431</v>
      </c>
      <c r="BV45" s="1070" t="s">
        <v>2432</v>
      </c>
      <c r="BW45" s="1067">
        <v>42</v>
      </c>
      <c r="BX45" s="1067" t="s">
        <v>7636</v>
      </c>
      <c r="BY45" s="962" t="s">
        <v>2442</v>
      </c>
      <c r="BZ45" s="2856" t="s">
        <v>10067</v>
      </c>
      <c r="CA45" s="1067" t="s">
        <v>2434</v>
      </c>
      <c r="CB45" s="1067"/>
      <c r="CC45" s="1072">
        <v>0</v>
      </c>
      <c r="CD45" s="1072">
        <v>2</v>
      </c>
      <c r="CE45" s="1072" t="s">
        <v>2005</v>
      </c>
      <c r="CF45" s="1067" t="s">
        <v>2443</v>
      </c>
      <c r="CG45" s="1078">
        <v>2</v>
      </c>
      <c r="CH45" s="1078">
        <v>2</v>
      </c>
      <c r="CI45" s="1078">
        <v>2</v>
      </c>
      <c r="CJ45" s="1078">
        <v>2</v>
      </c>
      <c r="CK45" s="1072">
        <v>11</v>
      </c>
      <c r="CL45" s="1167">
        <v>1</v>
      </c>
      <c r="CM45" s="14933"/>
      <c r="CN45" s="14935"/>
      <c r="CO45" s="14943"/>
      <c r="CP45" s="966" t="s">
        <v>9965</v>
      </c>
      <c r="CQ45" s="1079"/>
      <c r="CR45" s="1080">
        <v>10000000</v>
      </c>
      <c r="CS45" s="1079"/>
      <c r="CT45" s="1079"/>
      <c r="CU45" s="1079"/>
      <c r="CV45" s="1079" t="s">
        <v>9966</v>
      </c>
      <c r="CW45" s="1079"/>
      <c r="CX45" s="1079"/>
      <c r="CY45" s="1079"/>
      <c r="CZ45" s="1079"/>
      <c r="DA45" s="1079"/>
      <c r="DB45" s="1079"/>
      <c r="DC45" s="1079"/>
      <c r="DD45" s="1079"/>
      <c r="DE45" s="1079"/>
      <c r="DF45" s="1089"/>
      <c r="DG45" s="1072"/>
      <c r="DH45" s="1072"/>
      <c r="DI45" s="1072"/>
      <c r="DJ45" s="1072"/>
      <c r="DK45" s="1072"/>
      <c r="DL45" s="1072"/>
      <c r="DM45" s="1072"/>
      <c r="DN45" s="1072"/>
      <c r="DO45" s="1072"/>
      <c r="DP45" s="1072"/>
      <c r="DQ45" s="1072"/>
      <c r="DR45" s="1072"/>
      <c r="DS45" s="1072"/>
      <c r="DT45" s="1072"/>
      <c r="DU45" s="1072"/>
      <c r="DV45" s="1072"/>
      <c r="DW45" s="1072"/>
      <c r="DX45" s="1072"/>
      <c r="DY45" s="1072"/>
      <c r="DZ45" s="1072"/>
      <c r="EA45"/>
      <c r="EB45"/>
      <c r="EC45"/>
      <c r="ED45"/>
      <c r="EE45"/>
      <c r="EF45"/>
      <c r="EG45"/>
      <c r="EH45"/>
      <c r="EI45"/>
      <c r="EJ45"/>
      <c r="EK45"/>
      <c r="EL45"/>
    </row>
    <row r="46" spans="1:142" s="602" customFormat="1" ht="30" customHeight="1">
      <c r="A46" s="607" t="s">
        <v>2444</v>
      </c>
      <c r="B46" s="15109"/>
      <c r="C46" s="622" t="s">
        <v>2444</v>
      </c>
      <c r="D46" s="623" t="s">
        <v>2445</v>
      </c>
      <c r="E46" s="623" t="s">
        <v>70</v>
      </c>
      <c r="F46" s="624">
        <v>0.25</v>
      </c>
      <c r="G46" s="623" t="s">
        <v>2009</v>
      </c>
      <c r="H46" s="623" t="s">
        <v>2446</v>
      </c>
      <c r="I46" s="623" t="s">
        <v>2447</v>
      </c>
      <c r="J46" s="623">
        <v>43</v>
      </c>
      <c r="K46" s="623" t="s">
        <v>7637</v>
      </c>
      <c r="L46" s="599" t="s">
        <v>9599</v>
      </c>
      <c r="M46" s="600" t="s">
        <v>2456</v>
      </c>
      <c r="N46" s="522" t="s">
        <v>70</v>
      </c>
      <c r="O46" s="522">
        <v>4</v>
      </c>
      <c r="P46" s="522" t="s">
        <v>2005</v>
      </c>
      <c r="Q46" s="520" t="s">
        <v>2450</v>
      </c>
      <c r="R46" s="632">
        <v>5</v>
      </c>
      <c r="S46" s="655">
        <v>3</v>
      </c>
      <c r="T46" s="567">
        <v>1</v>
      </c>
      <c r="U46" s="640" t="s">
        <v>4413</v>
      </c>
      <c r="V46" s="640" t="s">
        <v>4414</v>
      </c>
      <c r="W46" s="635"/>
      <c r="X46" s="652">
        <v>27500000</v>
      </c>
      <c r="Y46" s="652">
        <v>27500000</v>
      </c>
      <c r="Z46" s="635">
        <v>0</v>
      </c>
      <c r="AA46" s="635">
        <v>0</v>
      </c>
      <c r="AB46" s="635" t="s">
        <v>4415</v>
      </c>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7"/>
      <c r="BL46" s="939"/>
      <c r="BM46" s="1076" t="s">
        <v>2444</v>
      </c>
      <c r="BN46" s="15012"/>
      <c r="BO46" s="15015" t="s">
        <v>2444</v>
      </c>
      <c r="BP46" s="15021"/>
      <c r="BQ46" s="1006" t="s">
        <v>2445</v>
      </c>
      <c r="BR46" s="1070" t="s">
        <v>70</v>
      </c>
      <c r="BS46" s="1069">
        <v>0.25</v>
      </c>
      <c r="BT46" s="1067" t="s">
        <v>2009</v>
      </c>
      <c r="BU46" s="1067" t="s">
        <v>2446</v>
      </c>
      <c r="BV46" s="1070" t="s">
        <v>2447</v>
      </c>
      <c r="BW46" s="1067">
        <v>43</v>
      </c>
      <c r="BX46" s="1067" t="s">
        <v>7637</v>
      </c>
      <c r="BY46" s="962" t="s">
        <v>2448</v>
      </c>
      <c r="BZ46" s="2856" t="s">
        <v>26</v>
      </c>
      <c r="CA46" s="1067" t="s">
        <v>2449</v>
      </c>
      <c r="CB46" s="1067"/>
      <c r="CC46" s="1072" t="s">
        <v>70</v>
      </c>
      <c r="CD46" s="1072">
        <v>4</v>
      </c>
      <c r="CE46" s="1072" t="s">
        <v>2005</v>
      </c>
      <c r="CF46" s="1067" t="s">
        <v>2450</v>
      </c>
      <c r="CG46" s="1072">
        <v>4</v>
      </c>
      <c r="CH46" s="1072">
        <v>4</v>
      </c>
      <c r="CI46" s="1072">
        <v>5</v>
      </c>
      <c r="CJ46" s="1072">
        <v>5</v>
      </c>
      <c r="CK46" s="1072">
        <v>4</v>
      </c>
      <c r="CL46" s="1167">
        <v>1</v>
      </c>
      <c r="CM46" s="14933"/>
      <c r="CN46" s="14935"/>
      <c r="CO46" s="14943"/>
      <c r="CP46" s="966"/>
      <c r="CQ46" s="1079"/>
      <c r="CR46" s="1080"/>
      <c r="CS46" s="1079"/>
      <c r="CT46" s="1079"/>
      <c r="CU46" s="1079"/>
      <c r="CV46" s="1079"/>
      <c r="CW46" s="1079"/>
      <c r="CX46" s="1079"/>
      <c r="CY46" s="1079"/>
      <c r="CZ46" s="1079"/>
      <c r="DA46" s="1079"/>
      <c r="DB46" s="1079"/>
      <c r="DC46" s="1079"/>
      <c r="DD46" s="1079"/>
      <c r="DE46" s="1079"/>
      <c r="DF46" s="1089"/>
      <c r="DG46" s="1072"/>
      <c r="DH46" s="1072"/>
      <c r="DI46" s="1072"/>
      <c r="DJ46" s="1072"/>
      <c r="DK46" s="1072"/>
      <c r="DL46" s="1072"/>
      <c r="DM46" s="1072"/>
      <c r="DN46" s="1072"/>
      <c r="DO46" s="1072"/>
      <c r="DP46" s="1072"/>
      <c r="DQ46" s="1072"/>
      <c r="DR46" s="1072"/>
      <c r="DS46" s="1072"/>
      <c r="DT46" s="1072"/>
      <c r="DU46" s="1072"/>
      <c r="DV46" s="1072"/>
      <c r="DW46" s="1072"/>
      <c r="DX46" s="1072"/>
      <c r="DY46" s="1072"/>
      <c r="DZ46" s="1072"/>
      <c r="EA46"/>
      <c r="EB46"/>
      <c r="EC46"/>
      <c r="ED46"/>
      <c r="EE46"/>
      <c r="EF46"/>
      <c r="EG46"/>
      <c r="EH46"/>
      <c r="EI46"/>
      <c r="EJ46"/>
      <c r="EK46"/>
      <c r="EL46"/>
    </row>
    <row r="47" spans="1:142" s="602" customFormat="1" ht="30" customHeight="1">
      <c r="A47" s="607"/>
      <c r="B47" s="15109"/>
      <c r="C47" s="622" t="s">
        <v>2444</v>
      </c>
      <c r="D47" s="623" t="s">
        <v>2451</v>
      </c>
      <c r="E47" s="623" t="s">
        <v>2452</v>
      </c>
      <c r="F47" s="624">
        <v>0.45</v>
      </c>
      <c r="G47" s="623" t="s">
        <v>2009</v>
      </c>
      <c r="H47" s="623" t="s">
        <v>2453</v>
      </c>
      <c r="I47" s="623" t="s">
        <v>2454</v>
      </c>
      <c r="J47" s="623">
        <v>44</v>
      </c>
      <c r="K47" s="623" t="s">
        <v>7638</v>
      </c>
      <c r="L47" s="599" t="s">
        <v>2462</v>
      </c>
      <c r="M47" s="600" t="s">
        <v>2456</v>
      </c>
      <c r="N47" s="522" t="s">
        <v>70</v>
      </c>
      <c r="O47" s="627">
        <v>10</v>
      </c>
      <c r="P47" s="522" t="s">
        <v>2005</v>
      </c>
      <c r="Q47" s="520" t="s">
        <v>2457</v>
      </c>
      <c r="R47" s="656">
        <v>3</v>
      </c>
      <c r="S47" s="657">
        <v>1.25E-3</v>
      </c>
      <c r="T47" s="658"/>
      <c r="U47" s="659" t="s">
        <v>4416</v>
      </c>
      <c r="V47" s="555" t="s">
        <v>4417</v>
      </c>
      <c r="W47" s="659" t="s">
        <v>9615</v>
      </c>
      <c r="X47" s="556">
        <v>189936066</v>
      </c>
      <c r="Y47" s="556">
        <v>189936066</v>
      </c>
      <c r="Z47" s="522"/>
      <c r="AA47" s="522"/>
      <c r="AB47" s="522">
        <v>14</v>
      </c>
      <c r="AC47" s="522">
        <v>11</v>
      </c>
      <c r="AD47" s="522">
        <v>3</v>
      </c>
      <c r="AE47" s="522">
        <v>13</v>
      </c>
      <c r="AF47" s="522">
        <v>1</v>
      </c>
      <c r="AG47" s="522">
        <v>0</v>
      </c>
      <c r="AH47" s="522">
        <v>0</v>
      </c>
      <c r="AI47" s="522">
        <v>0</v>
      </c>
      <c r="AJ47" s="522">
        <v>1</v>
      </c>
      <c r="AK47" s="522">
        <v>5</v>
      </c>
      <c r="AL47" s="522">
        <v>7</v>
      </c>
      <c r="AM47" s="522">
        <v>1</v>
      </c>
      <c r="AN47" s="522">
        <v>4</v>
      </c>
      <c r="AO47" s="522">
        <v>0</v>
      </c>
      <c r="AP47" s="522">
        <v>1</v>
      </c>
      <c r="AQ47" s="522">
        <v>10</v>
      </c>
      <c r="AR47" s="522">
        <v>0</v>
      </c>
      <c r="AS47" s="522">
        <v>0</v>
      </c>
      <c r="AT47" s="522">
        <v>0</v>
      </c>
      <c r="AU47" s="522">
        <v>0</v>
      </c>
      <c r="AV47" s="522">
        <v>13</v>
      </c>
      <c r="AW47" s="522">
        <v>0</v>
      </c>
      <c r="AX47" s="522">
        <v>1</v>
      </c>
      <c r="AY47" s="522">
        <v>0</v>
      </c>
      <c r="AZ47" s="522">
        <v>0</v>
      </c>
      <c r="BA47" s="522">
        <v>0</v>
      </c>
      <c r="BB47" s="522"/>
      <c r="BC47" s="522"/>
      <c r="BD47" s="522"/>
      <c r="BE47" s="522"/>
      <c r="BF47" s="522"/>
      <c r="BG47" s="522"/>
      <c r="BH47" s="522"/>
      <c r="BI47" s="522"/>
      <c r="BJ47" s="522"/>
      <c r="BK47" s="523"/>
      <c r="BL47" s="939"/>
      <c r="BM47" s="1076"/>
      <c r="BN47" s="15012"/>
      <c r="BO47" s="15017"/>
      <c r="BP47" s="15022"/>
      <c r="BQ47" s="1067" t="s">
        <v>2451</v>
      </c>
      <c r="BR47" s="1070" t="s">
        <v>2452</v>
      </c>
      <c r="BS47" s="1069">
        <v>0.45</v>
      </c>
      <c r="BT47" s="1067" t="s">
        <v>2009</v>
      </c>
      <c r="BU47" s="1067" t="s">
        <v>2453</v>
      </c>
      <c r="BV47" s="1070" t="s">
        <v>2454</v>
      </c>
      <c r="BW47" s="1067">
        <v>44</v>
      </c>
      <c r="BX47" s="1067" t="s">
        <v>7638</v>
      </c>
      <c r="BY47" s="962" t="s">
        <v>2455</v>
      </c>
      <c r="BZ47" s="2856" t="s">
        <v>4305</v>
      </c>
      <c r="CA47" s="1067" t="s">
        <v>2456</v>
      </c>
      <c r="CB47" s="1067"/>
      <c r="CC47" s="1072" t="s">
        <v>70</v>
      </c>
      <c r="CD47" s="1078">
        <v>10</v>
      </c>
      <c r="CE47" s="1072" t="s">
        <v>2005</v>
      </c>
      <c r="CF47" s="1067" t="s">
        <v>2457</v>
      </c>
      <c r="CG47" s="1072">
        <v>1</v>
      </c>
      <c r="CH47" s="1072">
        <v>3</v>
      </c>
      <c r="CI47" s="1072">
        <v>3</v>
      </c>
      <c r="CJ47" s="1072">
        <v>3</v>
      </c>
      <c r="CK47" s="1072">
        <v>86</v>
      </c>
      <c r="CL47" s="1167">
        <v>1</v>
      </c>
      <c r="CM47" s="14933"/>
      <c r="CN47" s="14935"/>
      <c r="CO47" s="14943"/>
      <c r="CP47" s="966" t="s">
        <v>9967</v>
      </c>
      <c r="CQ47" s="1079"/>
      <c r="CR47" s="1080">
        <v>2572639</v>
      </c>
      <c r="CS47" s="1079"/>
      <c r="CT47" s="1079"/>
      <c r="CU47" s="1079"/>
      <c r="CV47" s="1079" t="s">
        <v>9968</v>
      </c>
      <c r="CW47" s="1079"/>
      <c r="CX47" s="1079"/>
      <c r="CY47" s="1079"/>
      <c r="CZ47" s="1079"/>
      <c r="DA47" s="1079"/>
      <c r="DB47" s="1079"/>
      <c r="DC47" s="1079"/>
      <c r="DD47" s="1079"/>
      <c r="DE47" s="1079"/>
      <c r="DF47" s="1089"/>
      <c r="DG47" s="1072"/>
      <c r="DH47" s="1072"/>
      <c r="DI47" s="1072"/>
      <c r="DJ47" s="1072"/>
      <c r="DK47" s="1072"/>
      <c r="DL47" s="1072"/>
      <c r="DM47" s="1072"/>
      <c r="DN47" s="1072"/>
      <c r="DO47" s="1072"/>
      <c r="DP47" s="1072"/>
      <c r="DQ47" s="1072"/>
      <c r="DR47" s="1072"/>
      <c r="DS47" s="1072"/>
      <c r="DT47" s="1072"/>
      <c r="DU47" s="1072"/>
      <c r="DV47" s="1072"/>
      <c r="DW47" s="1072"/>
      <c r="DX47" s="1072"/>
      <c r="DY47" s="1072"/>
      <c r="DZ47" s="1072"/>
      <c r="EA47"/>
      <c r="EB47"/>
      <c r="EC47"/>
      <c r="ED47"/>
      <c r="EE47"/>
      <c r="EF47"/>
      <c r="EG47"/>
      <c r="EH47"/>
      <c r="EI47"/>
      <c r="EJ47"/>
      <c r="EK47"/>
      <c r="EL47"/>
    </row>
    <row r="48" spans="1:142" s="602" customFormat="1" ht="30" customHeight="1">
      <c r="A48" s="607"/>
      <c r="B48" s="15109"/>
      <c r="C48" s="622" t="s">
        <v>2444</v>
      </c>
      <c r="D48" s="623" t="s">
        <v>2458</v>
      </c>
      <c r="E48" s="623" t="s">
        <v>2459</v>
      </c>
      <c r="F48" s="660">
        <v>0.26</v>
      </c>
      <c r="G48" s="623" t="s">
        <v>2009</v>
      </c>
      <c r="H48" s="623" t="s">
        <v>2460</v>
      </c>
      <c r="I48" s="623" t="s">
        <v>2461</v>
      </c>
      <c r="J48" s="623">
        <v>45</v>
      </c>
      <c r="K48" s="623" t="s">
        <v>7639</v>
      </c>
      <c r="L48" s="599" t="s">
        <v>2466</v>
      </c>
      <c r="M48" s="600" t="s">
        <v>2456</v>
      </c>
      <c r="N48" s="554" t="s">
        <v>70</v>
      </c>
      <c r="O48" s="627">
        <v>40</v>
      </c>
      <c r="P48" s="522" t="s">
        <v>2005</v>
      </c>
      <c r="Q48" s="520" t="s">
        <v>2463</v>
      </c>
      <c r="R48" s="661">
        <v>1.25E-3</v>
      </c>
      <c r="S48" s="648">
        <v>12</v>
      </c>
      <c r="T48" s="658"/>
      <c r="U48" s="659" t="s">
        <v>4418</v>
      </c>
      <c r="V48" s="555" t="s">
        <v>4419</v>
      </c>
      <c r="W48" s="659" t="s">
        <v>9616</v>
      </c>
      <c r="X48" s="556">
        <v>189936066</v>
      </c>
      <c r="Y48" s="556">
        <v>189936066</v>
      </c>
      <c r="Z48" s="522"/>
      <c r="AA48" s="522"/>
      <c r="AB48" s="522">
        <v>3</v>
      </c>
      <c r="AC48" s="522">
        <v>2</v>
      </c>
      <c r="AD48" s="522">
        <v>1</v>
      </c>
      <c r="AE48" s="522">
        <v>2</v>
      </c>
      <c r="AF48" s="522">
        <v>1</v>
      </c>
      <c r="AG48" s="522">
        <v>0</v>
      </c>
      <c r="AH48" s="522">
        <v>0</v>
      </c>
      <c r="AI48" s="522">
        <v>0</v>
      </c>
      <c r="AJ48" s="522">
        <v>0</v>
      </c>
      <c r="AK48" s="522">
        <v>3</v>
      </c>
      <c r="AL48" s="522">
        <v>0</v>
      </c>
      <c r="AM48" s="522">
        <v>0</v>
      </c>
      <c r="AN48" s="522">
        <v>0</v>
      </c>
      <c r="AO48" s="522">
        <v>0</v>
      </c>
      <c r="AP48" s="522">
        <v>0</v>
      </c>
      <c r="AQ48" s="522">
        <v>3</v>
      </c>
      <c r="AR48" s="522">
        <v>0</v>
      </c>
      <c r="AS48" s="522">
        <v>0</v>
      </c>
      <c r="AT48" s="522">
        <v>0</v>
      </c>
      <c r="AU48" s="522">
        <v>0</v>
      </c>
      <c r="AV48" s="522">
        <v>3</v>
      </c>
      <c r="AW48" s="522">
        <v>0</v>
      </c>
      <c r="AX48" s="522">
        <v>0</v>
      </c>
      <c r="AY48" s="522">
        <v>0</v>
      </c>
      <c r="AZ48" s="522">
        <v>0</v>
      </c>
      <c r="BA48" s="522">
        <v>0</v>
      </c>
      <c r="BB48" s="522"/>
      <c r="BC48" s="522"/>
      <c r="BD48" s="522"/>
      <c r="BE48" s="522"/>
      <c r="BF48" s="522"/>
      <c r="BG48" s="522"/>
      <c r="BH48" s="522"/>
      <c r="BI48" s="522"/>
      <c r="BJ48" s="522"/>
      <c r="BK48" s="523"/>
      <c r="BL48" s="939"/>
      <c r="BM48" s="1076"/>
      <c r="BN48" s="15012"/>
      <c r="BO48" s="15017"/>
      <c r="BP48" s="15022"/>
      <c r="BQ48" s="1067" t="s">
        <v>2458</v>
      </c>
      <c r="BR48" s="1070" t="s">
        <v>2459</v>
      </c>
      <c r="BS48" s="1071">
        <v>0.26</v>
      </c>
      <c r="BT48" s="1067" t="s">
        <v>2009</v>
      </c>
      <c r="BU48" s="1067" t="s">
        <v>2460</v>
      </c>
      <c r="BV48" s="1070" t="s">
        <v>2461</v>
      </c>
      <c r="BW48" s="1067">
        <v>45</v>
      </c>
      <c r="BX48" s="1067" t="s">
        <v>7639</v>
      </c>
      <c r="BY48" s="962" t="s">
        <v>2462</v>
      </c>
      <c r="BZ48" s="2856" t="s">
        <v>4305</v>
      </c>
      <c r="CA48" s="1067" t="s">
        <v>2456</v>
      </c>
      <c r="CB48" s="1067"/>
      <c r="CC48" s="1071" t="s">
        <v>70</v>
      </c>
      <c r="CD48" s="1078">
        <v>40</v>
      </c>
      <c r="CE48" s="1072" t="s">
        <v>2005</v>
      </c>
      <c r="CF48" s="1067" t="s">
        <v>2463</v>
      </c>
      <c r="CG48" s="1078">
        <v>10</v>
      </c>
      <c r="CH48" s="1090">
        <v>1.25E-3</v>
      </c>
      <c r="CI48" s="1090">
        <v>1.25E-3</v>
      </c>
      <c r="CJ48" s="1090">
        <v>1.25E-3</v>
      </c>
      <c r="CK48" s="1072">
        <v>45</v>
      </c>
      <c r="CL48" s="1167">
        <v>1</v>
      </c>
      <c r="CM48" s="14933"/>
      <c r="CN48" s="14935"/>
      <c r="CO48" s="14943"/>
      <c r="CP48" s="966" t="s">
        <v>9969</v>
      </c>
      <c r="CQ48" s="1079"/>
      <c r="CR48" s="1080">
        <v>2572639</v>
      </c>
      <c r="CS48" s="1079"/>
      <c r="CT48" s="1079"/>
      <c r="CU48" s="1079"/>
      <c r="CV48" s="1079" t="s">
        <v>9970</v>
      </c>
      <c r="CW48" s="1079"/>
      <c r="CX48" s="1079"/>
      <c r="CY48" s="1079"/>
      <c r="CZ48" s="1079"/>
      <c r="DA48" s="1079"/>
      <c r="DB48" s="1079"/>
      <c r="DC48" s="1079"/>
      <c r="DD48" s="1079"/>
      <c r="DE48" s="1079"/>
      <c r="DF48" s="1072"/>
      <c r="DG48" s="1072"/>
      <c r="DH48" s="1072"/>
      <c r="DI48" s="1072"/>
      <c r="DJ48" s="1072"/>
      <c r="DK48" s="1072"/>
      <c r="DL48" s="1072"/>
      <c r="DM48" s="1072"/>
      <c r="DN48" s="1072"/>
      <c r="DO48" s="1072"/>
      <c r="DP48" s="1072"/>
      <c r="DQ48" s="1072"/>
      <c r="DR48" s="1072"/>
      <c r="DS48" s="1072"/>
      <c r="DT48" s="1072"/>
      <c r="DU48" s="1072"/>
      <c r="DV48" s="1072"/>
      <c r="DW48" s="1072"/>
      <c r="DX48" s="1072"/>
      <c r="DY48" s="1072"/>
      <c r="DZ48" s="1072"/>
      <c r="EA48"/>
      <c r="EB48"/>
      <c r="EC48"/>
      <c r="ED48"/>
      <c r="EE48"/>
      <c r="EF48"/>
      <c r="EG48"/>
      <c r="EH48"/>
      <c r="EI48"/>
      <c r="EJ48"/>
      <c r="EK48"/>
      <c r="EL48"/>
    </row>
    <row r="49" spans="1:142" s="602" customFormat="1" ht="30" customHeight="1">
      <c r="A49" s="607"/>
      <c r="B49" s="15109"/>
      <c r="C49" s="622" t="s">
        <v>2444</v>
      </c>
      <c r="D49" s="623" t="s">
        <v>2464</v>
      </c>
      <c r="E49" s="642" t="s">
        <v>1732</v>
      </c>
      <c r="F49" s="642">
        <v>100</v>
      </c>
      <c r="G49" s="623" t="s">
        <v>2009</v>
      </c>
      <c r="H49" s="623" t="s">
        <v>2465</v>
      </c>
      <c r="I49" s="623" t="s">
        <v>2454</v>
      </c>
      <c r="J49" s="623">
        <v>46</v>
      </c>
      <c r="K49" s="623" t="s">
        <v>7640</v>
      </c>
      <c r="L49" s="599" t="s">
        <v>2468</v>
      </c>
      <c r="M49" s="600" t="s">
        <v>2456</v>
      </c>
      <c r="N49" s="520" t="s">
        <v>70</v>
      </c>
      <c r="O49" s="653">
        <v>50</v>
      </c>
      <c r="P49" s="520" t="s">
        <v>2005</v>
      </c>
      <c r="Q49" s="520" t="s">
        <v>2467</v>
      </c>
      <c r="R49" s="632">
        <v>12</v>
      </c>
      <c r="S49" s="648">
        <v>7</v>
      </c>
      <c r="T49" s="658"/>
      <c r="U49" s="555" t="s">
        <v>4420</v>
      </c>
      <c r="V49" s="520" t="s">
        <v>4417</v>
      </c>
      <c r="W49" s="662" t="s">
        <v>4421</v>
      </c>
      <c r="X49" s="557">
        <v>382919178</v>
      </c>
      <c r="Y49" s="557">
        <v>382919178</v>
      </c>
      <c r="Z49" s="558"/>
      <c r="AA49" s="558"/>
      <c r="AB49" s="558">
        <v>407</v>
      </c>
      <c r="AC49" s="558">
        <v>186</v>
      </c>
      <c r="AD49" s="558">
        <v>221</v>
      </c>
      <c r="AE49" s="558">
        <v>407</v>
      </c>
      <c r="AF49" s="558">
        <v>0</v>
      </c>
      <c r="AG49" s="558">
        <v>0</v>
      </c>
      <c r="AH49" s="558">
        <v>0</v>
      </c>
      <c r="AI49" s="558">
        <v>1</v>
      </c>
      <c r="AJ49" s="558">
        <v>182</v>
      </c>
      <c r="AK49" s="558">
        <v>160</v>
      </c>
      <c r="AL49" s="558">
        <v>60</v>
      </c>
      <c r="AM49" s="558">
        <v>4</v>
      </c>
      <c r="AN49" s="558">
        <v>0</v>
      </c>
      <c r="AO49" s="558">
        <v>1</v>
      </c>
      <c r="AP49" s="558">
        <v>250</v>
      </c>
      <c r="AQ49" s="558">
        <v>96</v>
      </c>
      <c r="AR49" s="558">
        <v>54</v>
      </c>
      <c r="AS49" s="558">
        <v>2</v>
      </c>
      <c r="AT49" s="558">
        <v>0</v>
      </c>
      <c r="AU49" s="558">
        <v>4</v>
      </c>
      <c r="AV49" s="558">
        <v>309</v>
      </c>
      <c r="AW49" s="558">
        <v>80</v>
      </c>
      <c r="AX49" s="558">
        <v>22</v>
      </c>
      <c r="AY49" s="558">
        <v>0</v>
      </c>
      <c r="AZ49" s="558">
        <v>0</v>
      </c>
      <c r="BA49" s="558">
        <v>0</v>
      </c>
      <c r="BB49" s="558"/>
      <c r="BC49" s="558"/>
      <c r="BD49" s="558"/>
      <c r="BE49" s="558"/>
      <c r="BF49" s="558"/>
      <c r="BG49" s="558"/>
      <c r="BH49" s="558"/>
      <c r="BI49" s="558"/>
      <c r="BJ49" s="558"/>
      <c r="BK49" s="559"/>
      <c r="BL49" s="939"/>
      <c r="BM49" s="1076"/>
      <c r="BN49" s="15012"/>
      <c r="BO49" s="15017"/>
      <c r="BP49" s="15022"/>
      <c r="BQ49" s="1067" t="s">
        <v>2464</v>
      </c>
      <c r="BR49" s="1085" t="s">
        <v>1732</v>
      </c>
      <c r="BS49" s="1072">
        <v>100</v>
      </c>
      <c r="BT49" s="1067" t="s">
        <v>2009</v>
      </c>
      <c r="BU49" s="1067" t="s">
        <v>2465</v>
      </c>
      <c r="BV49" s="1070" t="s">
        <v>2454</v>
      </c>
      <c r="BW49" s="1067">
        <v>46</v>
      </c>
      <c r="BX49" s="1067" t="s">
        <v>7640</v>
      </c>
      <c r="BY49" s="962" t="s">
        <v>2466</v>
      </c>
      <c r="BZ49" s="2856" t="s">
        <v>4305</v>
      </c>
      <c r="CA49" s="1067" t="s">
        <v>2456</v>
      </c>
      <c r="CB49" s="1067"/>
      <c r="CC49" s="1067" t="s">
        <v>70</v>
      </c>
      <c r="CD49" s="1091">
        <v>50</v>
      </c>
      <c r="CE49" s="1067" t="s">
        <v>2005</v>
      </c>
      <c r="CF49" s="1067" t="s">
        <v>2467</v>
      </c>
      <c r="CG49" s="1072">
        <v>13</v>
      </c>
      <c r="CH49" s="1072">
        <v>13</v>
      </c>
      <c r="CI49" s="1072">
        <v>12</v>
      </c>
      <c r="CJ49" s="1072">
        <v>12</v>
      </c>
      <c r="CK49" s="1072">
        <v>82</v>
      </c>
      <c r="CL49" s="1167">
        <v>1</v>
      </c>
      <c r="CM49" s="14933"/>
      <c r="CN49" s="14935"/>
      <c r="CO49" s="14943"/>
      <c r="CP49" s="966" t="s">
        <v>9971</v>
      </c>
      <c r="CQ49" s="1079"/>
      <c r="CR49" s="1080">
        <v>0</v>
      </c>
      <c r="CS49" s="1079"/>
      <c r="CT49" s="1079"/>
      <c r="CU49" s="1079"/>
      <c r="CV49" s="1079"/>
      <c r="CW49" s="1079"/>
      <c r="CX49" s="1079"/>
      <c r="CY49" s="1079"/>
      <c r="CZ49" s="1079"/>
      <c r="DA49" s="1079"/>
      <c r="DB49" s="1079"/>
      <c r="DC49" s="1079"/>
      <c r="DD49" s="1079"/>
      <c r="DE49" s="1079"/>
      <c r="DF49" s="1072"/>
      <c r="DG49" s="1072"/>
      <c r="DH49" s="1072"/>
      <c r="DI49" s="1072"/>
      <c r="DJ49" s="1072"/>
      <c r="DK49" s="1072"/>
      <c r="DL49" s="1072"/>
      <c r="DM49" s="1072"/>
      <c r="DN49" s="1072"/>
      <c r="DO49" s="1072"/>
      <c r="DP49" s="1072"/>
      <c r="DQ49" s="1072"/>
      <c r="DR49" s="1072"/>
      <c r="DS49" s="1072"/>
      <c r="DT49" s="1072"/>
      <c r="DU49" s="1072"/>
      <c r="DV49" s="1072"/>
      <c r="DW49" s="1072"/>
      <c r="DX49" s="1072"/>
      <c r="DY49" s="1072"/>
      <c r="DZ49" s="1072"/>
      <c r="EA49"/>
      <c r="EB49"/>
      <c r="EC49"/>
      <c r="ED49"/>
      <c r="EE49"/>
      <c r="EF49"/>
      <c r="EG49"/>
      <c r="EH49"/>
      <c r="EI49"/>
      <c r="EJ49"/>
      <c r="EK49"/>
      <c r="EL49"/>
    </row>
    <row r="50" spans="1:142" s="602" customFormat="1" ht="30" customHeight="1">
      <c r="A50" s="607"/>
      <c r="B50" s="15109"/>
      <c r="C50" s="663" t="s">
        <v>2444</v>
      </c>
      <c r="D50" s="664" t="s">
        <v>2464</v>
      </c>
      <c r="E50" s="665" t="s">
        <v>1732</v>
      </c>
      <c r="F50" s="665">
        <v>100</v>
      </c>
      <c r="G50" s="664" t="s">
        <v>2009</v>
      </c>
      <c r="H50" s="664" t="s">
        <v>2465</v>
      </c>
      <c r="I50" s="664" t="s">
        <v>2454</v>
      </c>
      <c r="J50" s="664">
        <v>47</v>
      </c>
      <c r="K50" s="623" t="s">
        <v>7641</v>
      </c>
      <c r="L50" s="599" t="s">
        <v>2470</v>
      </c>
      <c r="M50" s="600" t="s">
        <v>2456</v>
      </c>
      <c r="N50" s="560" t="s">
        <v>70</v>
      </c>
      <c r="O50" s="558">
        <v>30</v>
      </c>
      <c r="P50" s="560" t="s">
        <v>2005</v>
      </c>
      <c r="Q50" s="560" t="s">
        <v>2469</v>
      </c>
      <c r="R50" s="666">
        <v>8</v>
      </c>
      <c r="S50" s="667">
        <v>250</v>
      </c>
      <c r="T50" s="668"/>
      <c r="U50" s="669" t="s">
        <v>4422</v>
      </c>
      <c r="V50" s="560" t="s">
        <v>4417</v>
      </c>
      <c r="W50" s="670" t="s">
        <v>4423</v>
      </c>
      <c r="X50" s="557">
        <v>38501064</v>
      </c>
      <c r="Y50" s="557">
        <v>38501064</v>
      </c>
      <c r="Z50" s="558"/>
      <c r="AA50" s="558"/>
      <c r="AB50" s="558">
        <v>34</v>
      </c>
      <c r="AC50" s="558">
        <v>16</v>
      </c>
      <c r="AD50" s="558">
        <v>18</v>
      </c>
      <c r="AE50" s="558">
        <v>32</v>
      </c>
      <c r="AF50" s="558">
        <v>2</v>
      </c>
      <c r="AG50" s="558">
        <v>0</v>
      </c>
      <c r="AH50" s="558">
        <v>0</v>
      </c>
      <c r="AI50" s="558">
        <v>0</v>
      </c>
      <c r="AJ50" s="558">
        <v>3</v>
      </c>
      <c r="AK50" s="558">
        <v>13</v>
      </c>
      <c r="AL50" s="558">
        <v>14</v>
      </c>
      <c r="AM50" s="558">
        <v>4</v>
      </c>
      <c r="AN50" s="558">
        <v>0</v>
      </c>
      <c r="AO50" s="558">
        <v>0</v>
      </c>
      <c r="AP50" s="558">
        <v>0</v>
      </c>
      <c r="AQ50" s="558">
        <v>32</v>
      </c>
      <c r="AR50" s="558">
        <v>1</v>
      </c>
      <c r="AS50" s="558">
        <v>0</v>
      </c>
      <c r="AT50" s="558">
        <v>0</v>
      </c>
      <c r="AU50" s="558">
        <v>1</v>
      </c>
      <c r="AV50" s="558">
        <v>24</v>
      </c>
      <c r="AW50" s="558">
        <v>9</v>
      </c>
      <c r="AX50" s="558">
        <v>1</v>
      </c>
      <c r="AY50" s="558">
        <v>0</v>
      </c>
      <c r="AZ50" s="558">
        <v>0</v>
      </c>
      <c r="BA50" s="558">
        <v>0</v>
      </c>
      <c r="BB50" s="558"/>
      <c r="BC50" s="558"/>
      <c r="BD50" s="558"/>
      <c r="BE50" s="558"/>
      <c r="BF50" s="558"/>
      <c r="BG50" s="558"/>
      <c r="BH50" s="558"/>
      <c r="BI50" s="558"/>
      <c r="BJ50" s="558"/>
      <c r="BK50" s="559"/>
      <c r="BL50" s="939"/>
      <c r="BM50" s="1076"/>
      <c r="BN50" s="15012"/>
      <c r="BO50" s="15017"/>
      <c r="BP50" s="15022"/>
      <c r="BQ50" s="1067" t="s">
        <v>2464</v>
      </c>
      <c r="BR50" s="1085" t="s">
        <v>1732</v>
      </c>
      <c r="BS50" s="1072">
        <v>100</v>
      </c>
      <c r="BT50" s="1067" t="s">
        <v>2009</v>
      </c>
      <c r="BU50" s="1067" t="s">
        <v>2465</v>
      </c>
      <c r="BV50" s="1070" t="s">
        <v>2454</v>
      </c>
      <c r="BW50" s="1067">
        <v>47</v>
      </c>
      <c r="BX50" s="1067" t="s">
        <v>7641</v>
      </c>
      <c r="BY50" s="962" t="s">
        <v>2468</v>
      </c>
      <c r="BZ50" s="2856" t="s">
        <v>4305</v>
      </c>
      <c r="CA50" s="1067" t="s">
        <v>2456</v>
      </c>
      <c r="CB50" s="1067"/>
      <c r="CC50" s="1067" t="s">
        <v>70</v>
      </c>
      <c r="CD50" s="1072">
        <v>30</v>
      </c>
      <c r="CE50" s="1067" t="s">
        <v>2005</v>
      </c>
      <c r="CF50" s="1067" t="s">
        <v>2469</v>
      </c>
      <c r="CG50" s="1072">
        <v>7</v>
      </c>
      <c r="CH50" s="1072">
        <v>8</v>
      </c>
      <c r="CI50" s="1072">
        <v>8</v>
      </c>
      <c r="CJ50" s="1072">
        <v>7</v>
      </c>
      <c r="CK50" s="1072">
        <v>0</v>
      </c>
      <c r="CL50" s="1167">
        <v>0</v>
      </c>
      <c r="CM50" s="14933"/>
      <c r="CN50" s="14935"/>
      <c r="CO50" s="14943"/>
      <c r="CP50" s="966" t="s">
        <v>9972</v>
      </c>
      <c r="CQ50" s="1079"/>
      <c r="CR50" s="1080">
        <v>1524795</v>
      </c>
      <c r="CS50" s="1079"/>
      <c r="CT50" s="1079"/>
      <c r="CU50" s="1079"/>
      <c r="CV50" s="1079" t="s">
        <v>9973</v>
      </c>
      <c r="CW50" s="1079"/>
      <c r="CX50" s="1079"/>
      <c r="CY50" s="1079"/>
      <c r="CZ50" s="1079"/>
      <c r="DA50" s="1079"/>
      <c r="DB50" s="1079"/>
      <c r="DC50" s="1079"/>
      <c r="DD50" s="1079"/>
      <c r="DE50" s="1079"/>
      <c r="DF50" s="1072"/>
      <c r="DG50" s="1072"/>
      <c r="DH50" s="1072"/>
      <c r="DI50" s="1072"/>
      <c r="DJ50" s="1072"/>
      <c r="DK50" s="1072"/>
      <c r="DL50" s="1072"/>
      <c r="DM50" s="1072"/>
      <c r="DN50" s="1072"/>
      <c r="DO50" s="1072"/>
      <c r="DP50" s="1072"/>
      <c r="DQ50" s="1072"/>
      <c r="DR50" s="1072"/>
      <c r="DS50" s="1072"/>
      <c r="DT50" s="1072"/>
      <c r="DU50" s="1072"/>
      <c r="DV50" s="1072"/>
      <c r="DW50" s="1072"/>
      <c r="DX50" s="1072"/>
      <c r="DY50" s="1072"/>
      <c r="DZ50" s="1072"/>
      <c r="EA50"/>
      <c r="EB50"/>
      <c r="EC50"/>
      <c r="ED50"/>
      <c r="EE50"/>
      <c r="EF50"/>
      <c r="EG50"/>
      <c r="EH50"/>
      <c r="EI50"/>
      <c r="EJ50"/>
      <c r="EK50"/>
      <c r="EL50"/>
    </row>
    <row r="51" spans="1:142" s="602" customFormat="1" ht="30" customHeight="1">
      <c r="A51" s="607"/>
      <c r="B51" s="15109"/>
      <c r="C51" s="663" t="s">
        <v>2444</v>
      </c>
      <c r="D51" s="664" t="s">
        <v>2451</v>
      </c>
      <c r="E51" s="664" t="s">
        <v>2452</v>
      </c>
      <c r="F51" s="671">
        <v>0.45</v>
      </c>
      <c r="G51" s="664" t="s">
        <v>2009</v>
      </c>
      <c r="H51" s="664" t="s">
        <v>2453</v>
      </c>
      <c r="I51" s="664" t="s">
        <v>2454</v>
      </c>
      <c r="J51" s="664">
        <v>48</v>
      </c>
      <c r="K51" s="623" t="s">
        <v>7642</v>
      </c>
      <c r="L51" s="599" t="s">
        <v>9600</v>
      </c>
      <c r="M51" s="600" t="s">
        <v>2456</v>
      </c>
      <c r="N51" s="672" t="s">
        <v>70</v>
      </c>
      <c r="O51" s="566">
        <v>1000</v>
      </c>
      <c r="P51" s="558" t="s">
        <v>2005</v>
      </c>
      <c r="Q51" s="560" t="s">
        <v>2471</v>
      </c>
      <c r="R51" s="673">
        <v>250</v>
      </c>
      <c r="S51" s="674">
        <v>1.25E-3</v>
      </c>
      <c r="T51" s="668"/>
      <c r="U51" s="675" t="s">
        <v>4416</v>
      </c>
      <c r="V51" s="555" t="s">
        <v>4417</v>
      </c>
      <c r="W51" s="675" t="s">
        <v>9617</v>
      </c>
      <c r="X51" s="557">
        <v>189936066</v>
      </c>
      <c r="Y51" s="557">
        <v>189936066</v>
      </c>
      <c r="Z51" s="558"/>
      <c r="AA51" s="558"/>
      <c r="AB51" s="558">
        <v>129</v>
      </c>
      <c r="AC51" s="558">
        <v>65</v>
      </c>
      <c r="AD51" s="558">
        <v>64</v>
      </c>
      <c r="AE51" s="558">
        <v>129</v>
      </c>
      <c r="AF51" s="558">
        <v>0</v>
      </c>
      <c r="AG51" s="558">
        <v>0</v>
      </c>
      <c r="AH51" s="558">
        <v>0</v>
      </c>
      <c r="AI51" s="558">
        <v>8</v>
      </c>
      <c r="AJ51" s="558">
        <v>59</v>
      </c>
      <c r="AK51" s="558">
        <v>43</v>
      </c>
      <c r="AL51" s="558">
        <v>16</v>
      </c>
      <c r="AM51" s="558">
        <v>3</v>
      </c>
      <c r="AN51" s="558">
        <v>42</v>
      </c>
      <c r="AO51" s="558">
        <v>0</v>
      </c>
      <c r="AP51" s="558">
        <v>64</v>
      </c>
      <c r="AQ51" s="558">
        <v>12</v>
      </c>
      <c r="AR51" s="558">
        <v>8</v>
      </c>
      <c r="AS51" s="558">
        <v>0</v>
      </c>
      <c r="AT51" s="558">
        <v>0</v>
      </c>
      <c r="AU51" s="558">
        <v>3</v>
      </c>
      <c r="AV51" s="558">
        <v>107</v>
      </c>
      <c r="AW51" s="558">
        <v>19</v>
      </c>
      <c r="AX51" s="558">
        <v>3</v>
      </c>
      <c r="AY51" s="558">
        <v>0</v>
      </c>
      <c r="AZ51" s="558">
        <v>0</v>
      </c>
      <c r="BA51" s="558">
        <v>0</v>
      </c>
      <c r="BB51" s="558"/>
      <c r="BC51" s="558"/>
      <c r="BD51" s="558"/>
      <c r="BE51" s="558"/>
      <c r="BF51" s="558"/>
      <c r="BG51" s="558"/>
      <c r="BH51" s="558"/>
      <c r="BI51" s="558"/>
      <c r="BJ51" s="558"/>
      <c r="BK51" s="559"/>
      <c r="BL51" s="939"/>
      <c r="BM51" s="1076"/>
      <c r="BN51" s="15012"/>
      <c r="BO51" s="15017"/>
      <c r="BP51" s="15022"/>
      <c r="BQ51" s="1067" t="s">
        <v>2451</v>
      </c>
      <c r="BR51" s="1070" t="s">
        <v>2452</v>
      </c>
      <c r="BS51" s="1071">
        <v>0.45</v>
      </c>
      <c r="BT51" s="1067" t="s">
        <v>2009</v>
      </c>
      <c r="BU51" s="1067" t="s">
        <v>2453</v>
      </c>
      <c r="BV51" s="1070" t="s">
        <v>2454</v>
      </c>
      <c r="BW51" s="1067">
        <v>48</v>
      </c>
      <c r="BX51" s="1067" t="s">
        <v>7642</v>
      </c>
      <c r="BY51" s="962" t="s">
        <v>2470</v>
      </c>
      <c r="BZ51" s="2856" t="s">
        <v>4305</v>
      </c>
      <c r="CA51" s="1067" t="s">
        <v>2456</v>
      </c>
      <c r="CB51" s="1067"/>
      <c r="CC51" s="1074" t="s">
        <v>70</v>
      </c>
      <c r="CD51" s="1091">
        <v>1000</v>
      </c>
      <c r="CE51" s="1072" t="s">
        <v>2005</v>
      </c>
      <c r="CF51" s="1067" t="s">
        <v>2471</v>
      </c>
      <c r="CG51" s="1091">
        <v>250</v>
      </c>
      <c r="CH51" s="1091">
        <v>250</v>
      </c>
      <c r="CI51" s="1091">
        <v>250</v>
      </c>
      <c r="CJ51" s="1091">
        <v>250</v>
      </c>
      <c r="CK51" s="1072">
        <v>128</v>
      </c>
      <c r="CL51" s="1167">
        <v>0.53</v>
      </c>
      <c r="CM51" s="14933"/>
      <c r="CN51" s="14935"/>
      <c r="CO51" s="14943"/>
      <c r="CP51" s="966" t="s">
        <v>9974</v>
      </c>
      <c r="CQ51" s="1079"/>
      <c r="CR51" s="1080">
        <v>2572639</v>
      </c>
      <c r="CS51" s="1079"/>
      <c r="CT51" s="1079"/>
      <c r="CU51" s="1079"/>
      <c r="CV51" s="1079">
        <v>300</v>
      </c>
      <c r="CW51" s="1079"/>
      <c r="CX51" s="1079"/>
      <c r="CY51" s="1079"/>
      <c r="CZ51" s="1079"/>
      <c r="DA51" s="1079"/>
      <c r="DB51" s="1079"/>
      <c r="DC51" s="1079"/>
      <c r="DD51" s="1079"/>
      <c r="DE51" s="1079"/>
      <c r="DF51" s="1067"/>
      <c r="DG51" s="1072"/>
      <c r="DH51" s="1072"/>
      <c r="DI51" s="1072"/>
      <c r="DJ51" s="1072"/>
      <c r="DK51" s="1072"/>
      <c r="DL51" s="1072"/>
      <c r="DM51" s="1072"/>
      <c r="DN51" s="1072"/>
      <c r="DO51" s="1072"/>
      <c r="DP51" s="1072"/>
      <c r="DQ51" s="1072"/>
      <c r="DR51" s="1072"/>
      <c r="DS51" s="1072"/>
      <c r="DT51" s="1072"/>
      <c r="DU51" s="1072"/>
      <c r="DV51" s="1072"/>
      <c r="DW51" s="1072"/>
      <c r="DX51" s="1072"/>
      <c r="DY51" s="1072"/>
      <c r="DZ51" s="1072"/>
      <c r="EA51"/>
      <c r="EB51"/>
      <c r="EC51"/>
      <c r="ED51"/>
      <c r="EE51"/>
      <c r="EF51"/>
      <c r="EG51"/>
      <c r="EH51"/>
      <c r="EI51"/>
      <c r="EJ51"/>
      <c r="EK51"/>
      <c r="EL51"/>
    </row>
    <row r="52" spans="1:142" s="602" customFormat="1" ht="30" customHeight="1">
      <c r="A52" s="607"/>
      <c r="B52" s="15109"/>
      <c r="C52" s="663" t="s">
        <v>2444</v>
      </c>
      <c r="D52" s="664" t="s">
        <v>2464</v>
      </c>
      <c r="E52" s="665" t="s">
        <v>1732</v>
      </c>
      <c r="F52" s="665">
        <v>100</v>
      </c>
      <c r="G52" s="664" t="s">
        <v>2005</v>
      </c>
      <c r="H52" s="664" t="s">
        <v>2465</v>
      </c>
      <c r="I52" s="664" t="s">
        <v>2472</v>
      </c>
      <c r="J52" s="664">
        <v>49</v>
      </c>
      <c r="K52" s="623" t="s">
        <v>7643</v>
      </c>
      <c r="L52" s="599" t="s">
        <v>9601</v>
      </c>
      <c r="M52" s="600" t="s">
        <v>2479</v>
      </c>
      <c r="N52" s="560" t="s">
        <v>70</v>
      </c>
      <c r="O52" s="676">
        <v>5.0000000000000001E-3</v>
      </c>
      <c r="P52" s="558" t="s">
        <v>2005</v>
      </c>
      <c r="Q52" s="560" t="s">
        <v>2474</v>
      </c>
      <c r="R52" s="677">
        <v>1.25E-3</v>
      </c>
      <c r="S52" s="648">
        <v>10</v>
      </c>
      <c r="T52" s="668"/>
      <c r="U52" s="675" t="s">
        <v>9618</v>
      </c>
      <c r="V52" s="560" t="s">
        <v>4424</v>
      </c>
      <c r="W52" s="675" t="s">
        <v>4425</v>
      </c>
      <c r="X52" s="557">
        <v>154482048</v>
      </c>
      <c r="Y52" s="557">
        <v>154482048</v>
      </c>
      <c r="Z52" s="558"/>
      <c r="AA52" s="558"/>
      <c r="AB52" s="558">
        <v>290</v>
      </c>
      <c r="AC52" s="558">
        <v>133</v>
      </c>
      <c r="AD52" s="558">
        <v>157</v>
      </c>
      <c r="AE52" s="558">
        <v>276</v>
      </c>
      <c r="AF52" s="558">
        <v>14</v>
      </c>
      <c r="AG52" s="558">
        <v>0</v>
      </c>
      <c r="AH52" s="558">
        <v>0</v>
      </c>
      <c r="AI52" s="558">
        <v>6</v>
      </c>
      <c r="AJ52" s="558">
        <v>140</v>
      </c>
      <c r="AK52" s="558">
        <v>110</v>
      </c>
      <c r="AL52" s="558">
        <v>33</v>
      </c>
      <c r="AM52" s="558">
        <v>1</v>
      </c>
      <c r="AN52" s="558">
        <v>0</v>
      </c>
      <c r="AO52" s="558">
        <v>4</v>
      </c>
      <c r="AP52" s="558">
        <v>222</v>
      </c>
      <c r="AQ52" s="558">
        <v>40</v>
      </c>
      <c r="AR52" s="558">
        <v>24</v>
      </c>
      <c r="AS52" s="558">
        <v>0</v>
      </c>
      <c r="AT52" s="558">
        <v>0</v>
      </c>
      <c r="AU52" s="558">
        <v>0</v>
      </c>
      <c r="AV52" s="558">
        <v>200</v>
      </c>
      <c r="AW52" s="558">
        <v>73</v>
      </c>
      <c r="AX52" s="558">
        <v>17</v>
      </c>
      <c r="AY52" s="558">
        <v>0</v>
      </c>
      <c r="AZ52" s="558">
        <v>0</v>
      </c>
      <c r="BA52" s="558">
        <v>0</v>
      </c>
      <c r="BB52" s="558"/>
      <c r="BC52" s="558"/>
      <c r="BD52" s="558"/>
      <c r="BE52" s="558"/>
      <c r="BF52" s="558"/>
      <c r="BG52" s="558"/>
      <c r="BH52" s="558"/>
      <c r="BI52" s="558"/>
      <c r="BJ52" s="558"/>
      <c r="BK52" s="559"/>
      <c r="BL52" s="939"/>
      <c r="BM52" s="1076"/>
      <c r="BN52" s="15012"/>
      <c r="BO52" s="15017"/>
      <c r="BP52" s="15022"/>
      <c r="BQ52" s="1067" t="s">
        <v>2464</v>
      </c>
      <c r="BR52" s="1085" t="s">
        <v>1732</v>
      </c>
      <c r="BS52" s="1072">
        <v>100</v>
      </c>
      <c r="BT52" s="1067" t="s">
        <v>2005</v>
      </c>
      <c r="BU52" s="1067" t="s">
        <v>2465</v>
      </c>
      <c r="BV52" s="1070" t="s">
        <v>2472</v>
      </c>
      <c r="BW52" s="1067">
        <v>49</v>
      </c>
      <c r="BX52" s="1067" t="s">
        <v>7643</v>
      </c>
      <c r="BY52" s="962" t="s">
        <v>2473</v>
      </c>
      <c r="BZ52" s="2856" t="s">
        <v>4305</v>
      </c>
      <c r="CA52" s="1067" t="s">
        <v>2456</v>
      </c>
      <c r="CB52" s="1067"/>
      <c r="CC52" s="1067" t="s">
        <v>70</v>
      </c>
      <c r="CD52" s="1092">
        <v>5.0000000000000001E-3</v>
      </c>
      <c r="CE52" s="1072" t="s">
        <v>2005</v>
      </c>
      <c r="CF52" s="1067" t="s">
        <v>2474</v>
      </c>
      <c r="CG52" s="1093">
        <v>56</v>
      </c>
      <c r="CH52" s="1094">
        <v>1.25E-3</v>
      </c>
      <c r="CI52" s="1094">
        <v>1.25E-3</v>
      </c>
      <c r="CJ52" s="1094">
        <v>1.25E-3</v>
      </c>
      <c r="CK52" s="1072">
        <v>742</v>
      </c>
      <c r="CL52" s="1167">
        <v>1</v>
      </c>
      <c r="CM52" s="14933"/>
      <c r="CN52" s="14935"/>
      <c r="CO52" s="14943"/>
      <c r="CP52" s="966" t="s">
        <v>9975</v>
      </c>
      <c r="CQ52" s="1079"/>
      <c r="CR52" s="1080">
        <v>9652689</v>
      </c>
      <c r="CS52" s="1079"/>
      <c r="CT52" s="1079"/>
      <c r="CU52" s="1079"/>
      <c r="CV52" s="1079">
        <v>1000</v>
      </c>
      <c r="CW52" s="1079"/>
      <c r="CX52" s="1079"/>
      <c r="CY52" s="1079"/>
      <c r="CZ52" s="1079"/>
      <c r="DA52" s="1079"/>
      <c r="DB52" s="1079"/>
      <c r="DC52" s="1079"/>
      <c r="DD52" s="1079"/>
      <c r="DE52" s="1079"/>
      <c r="DF52" s="1067"/>
      <c r="DG52" s="1072"/>
      <c r="DH52" s="1072"/>
      <c r="DI52" s="1072"/>
      <c r="DJ52" s="1072"/>
      <c r="DK52" s="1072"/>
      <c r="DL52" s="1072"/>
      <c r="DM52" s="1072"/>
      <c r="DN52" s="1072"/>
      <c r="DO52" s="1072"/>
      <c r="DP52" s="1072"/>
      <c r="DQ52" s="1072"/>
      <c r="DR52" s="1072"/>
      <c r="DS52" s="1072"/>
      <c r="DT52" s="1072"/>
      <c r="DU52" s="1072"/>
      <c r="DV52" s="1072"/>
      <c r="DW52" s="1072"/>
      <c r="DX52" s="1072"/>
      <c r="DY52" s="1072"/>
      <c r="DZ52" s="1072"/>
      <c r="EA52"/>
      <c r="EB52"/>
      <c r="EC52"/>
      <c r="ED52"/>
      <c r="EE52"/>
      <c r="EF52"/>
      <c r="EG52"/>
      <c r="EH52"/>
      <c r="EI52"/>
      <c r="EJ52"/>
      <c r="EK52"/>
      <c r="EL52"/>
    </row>
    <row r="53" spans="1:142" s="602" customFormat="1" ht="30" customHeight="1">
      <c r="A53" s="607"/>
      <c r="B53" s="15109"/>
      <c r="C53" s="663" t="s">
        <v>2444</v>
      </c>
      <c r="D53" s="664" t="s">
        <v>2475</v>
      </c>
      <c r="E53" s="665">
        <v>1000</v>
      </c>
      <c r="F53" s="678">
        <v>15</v>
      </c>
      <c r="G53" s="664" t="s">
        <v>2005</v>
      </c>
      <c r="H53" s="664" t="s">
        <v>2476</v>
      </c>
      <c r="I53" s="664" t="s">
        <v>2477</v>
      </c>
      <c r="J53" s="664">
        <v>50</v>
      </c>
      <c r="K53" s="623" t="s">
        <v>7644</v>
      </c>
      <c r="L53" s="599" t="s">
        <v>9602</v>
      </c>
      <c r="M53" s="600" t="s">
        <v>2479</v>
      </c>
      <c r="N53" s="558" t="s">
        <v>70</v>
      </c>
      <c r="O53" s="566">
        <v>40</v>
      </c>
      <c r="P53" s="560" t="s">
        <v>2005</v>
      </c>
      <c r="Q53" s="560" t="s">
        <v>2480</v>
      </c>
      <c r="R53" s="666">
        <v>10</v>
      </c>
      <c r="S53" s="648">
        <v>5</v>
      </c>
      <c r="T53" s="679">
        <v>1</v>
      </c>
      <c r="U53" s="561" t="s">
        <v>4426</v>
      </c>
      <c r="V53" s="562" t="s">
        <v>9614</v>
      </c>
      <c r="W53" s="558"/>
      <c r="X53" s="563">
        <f>+Y53</f>
        <v>6102800</v>
      </c>
      <c r="Y53" s="680">
        <v>6102800</v>
      </c>
      <c r="Z53" s="558">
        <v>0</v>
      </c>
      <c r="AA53" s="558">
        <v>0</v>
      </c>
      <c r="AB53" s="558">
        <f>+AC53+AD53</f>
        <v>177</v>
      </c>
      <c r="AC53" s="681">
        <v>90</v>
      </c>
      <c r="AD53" s="681">
        <v>87</v>
      </c>
      <c r="AE53" s="681">
        <v>146</v>
      </c>
      <c r="AF53" s="681">
        <v>31</v>
      </c>
      <c r="AG53" s="558">
        <v>0</v>
      </c>
      <c r="AH53" s="558">
        <v>0</v>
      </c>
      <c r="AI53" s="681">
        <v>7</v>
      </c>
      <c r="AJ53" s="681">
        <v>162</v>
      </c>
      <c r="AK53" s="558">
        <v>0</v>
      </c>
      <c r="AL53" s="681">
        <v>8</v>
      </c>
      <c r="AM53" s="558"/>
      <c r="AN53" s="681">
        <v>171</v>
      </c>
      <c r="AO53" s="681">
        <v>6</v>
      </c>
      <c r="AP53" s="558">
        <v>0</v>
      </c>
      <c r="AQ53" s="558">
        <v>177</v>
      </c>
      <c r="AR53" s="558">
        <v>25</v>
      </c>
      <c r="AS53" s="558">
        <v>5</v>
      </c>
      <c r="AT53" s="558">
        <v>0</v>
      </c>
      <c r="AU53" s="558">
        <v>0</v>
      </c>
      <c r="AV53" s="681">
        <v>142</v>
      </c>
      <c r="AW53" s="681">
        <v>34</v>
      </c>
      <c r="AX53" s="558">
        <v>1</v>
      </c>
      <c r="AY53" s="558">
        <v>0</v>
      </c>
      <c r="AZ53" s="558">
        <v>0</v>
      </c>
      <c r="BA53" s="558">
        <v>0</v>
      </c>
      <c r="BB53" s="558" t="s">
        <v>545</v>
      </c>
      <c r="BC53" s="558" t="s">
        <v>545</v>
      </c>
      <c r="BD53" s="558" t="s">
        <v>545</v>
      </c>
      <c r="BE53" s="558" t="s">
        <v>545</v>
      </c>
      <c r="BF53" s="558" t="s">
        <v>545</v>
      </c>
      <c r="BG53" s="558" t="s">
        <v>545</v>
      </c>
      <c r="BH53" s="558" t="s">
        <v>545</v>
      </c>
      <c r="BI53" s="558" t="s">
        <v>545</v>
      </c>
      <c r="BJ53" s="558" t="s">
        <v>545</v>
      </c>
      <c r="BK53" s="558" t="s">
        <v>545</v>
      </c>
      <c r="BL53" s="939"/>
      <c r="BM53" s="1076"/>
      <c r="BN53" s="15012"/>
      <c r="BO53" s="15017"/>
      <c r="BP53" s="15022"/>
      <c r="BQ53" s="1067" t="s">
        <v>2475</v>
      </c>
      <c r="BR53" s="1085">
        <v>1000</v>
      </c>
      <c r="BS53" s="1095">
        <v>15</v>
      </c>
      <c r="BT53" s="1067" t="s">
        <v>2005</v>
      </c>
      <c r="BU53" s="1067" t="s">
        <v>2476</v>
      </c>
      <c r="BV53" s="1070" t="s">
        <v>2477</v>
      </c>
      <c r="BW53" s="1067">
        <v>50</v>
      </c>
      <c r="BX53" s="1067" t="s">
        <v>7644</v>
      </c>
      <c r="BY53" s="962" t="s">
        <v>2478</v>
      </c>
      <c r="BZ53" s="2856" t="s">
        <v>4337</v>
      </c>
      <c r="CA53" s="1067" t="s">
        <v>2479</v>
      </c>
      <c r="CB53" s="1067"/>
      <c r="CC53" s="1072" t="s">
        <v>70</v>
      </c>
      <c r="CD53" s="1091">
        <v>40</v>
      </c>
      <c r="CE53" s="1067" t="s">
        <v>2005</v>
      </c>
      <c r="CF53" s="1067" t="s">
        <v>2480</v>
      </c>
      <c r="CG53" s="1072">
        <v>10</v>
      </c>
      <c r="CH53" s="1072">
        <v>10</v>
      </c>
      <c r="CI53" s="1072">
        <v>10</v>
      </c>
      <c r="CJ53" s="1072">
        <v>10</v>
      </c>
      <c r="CK53" s="1072">
        <v>40</v>
      </c>
      <c r="CL53" s="1167">
        <v>1</v>
      </c>
      <c r="CM53" s="14933"/>
      <c r="CN53" s="14935"/>
      <c r="CO53" s="14943"/>
      <c r="CP53" s="966" t="s">
        <v>9976</v>
      </c>
      <c r="CQ53" s="962"/>
      <c r="CR53" s="964">
        <v>6102800</v>
      </c>
      <c r="CS53" s="962"/>
      <c r="CT53" s="962"/>
      <c r="CU53" s="962"/>
      <c r="CV53" s="962" t="s">
        <v>9977</v>
      </c>
      <c r="CW53" s="962"/>
      <c r="CX53" s="962"/>
      <c r="CY53" s="962"/>
      <c r="CZ53" s="962"/>
      <c r="DA53" s="962"/>
      <c r="DB53" s="962"/>
      <c r="DC53" s="962"/>
      <c r="DD53" s="962"/>
      <c r="DE53" s="962"/>
      <c r="DF53" s="1067"/>
      <c r="DG53" s="1072"/>
      <c r="DH53" s="1072"/>
      <c r="DI53" s="1072"/>
      <c r="DJ53" s="1072"/>
      <c r="DK53" s="1072"/>
      <c r="DL53" s="1072"/>
      <c r="DM53" s="1072"/>
      <c r="DN53" s="1072"/>
      <c r="DO53" s="1072"/>
      <c r="DP53" s="1072"/>
      <c r="DQ53" s="1072"/>
      <c r="DR53" s="1072"/>
      <c r="DS53" s="1072"/>
      <c r="DT53" s="1072"/>
      <c r="DU53" s="1072"/>
      <c r="DV53" s="1072"/>
      <c r="DW53" s="1072"/>
      <c r="DX53" s="1072"/>
      <c r="DY53" s="1072"/>
      <c r="DZ53" s="1072"/>
      <c r="EA53"/>
      <c r="EB53"/>
      <c r="EC53"/>
      <c r="ED53"/>
      <c r="EE53"/>
      <c r="EF53"/>
      <c r="EG53"/>
      <c r="EH53"/>
      <c r="EI53"/>
      <c r="EJ53"/>
      <c r="EK53"/>
      <c r="EL53"/>
    </row>
    <row r="54" spans="1:142" s="602" customFormat="1" ht="30" customHeight="1">
      <c r="A54" s="607"/>
      <c r="B54" s="15109"/>
      <c r="C54" s="663" t="s">
        <v>2444</v>
      </c>
      <c r="D54" s="664" t="s">
        <v>2481</v>
      </c>
      <c r="E54" s="665">
        <v>9174</v>
      </c>
      <c r="F54" s="683">
        <v>19374</v>
      </c>
      <c r="G54" s="664" t="s">
        <v>2005</v>
      </c>
      <c r="H54" s="664" t="s">
        <v>2482</v>
      </c>
      <c r="I54" s="664" t="s">
        <v>2477</v>
      </c>
      <c r="J54" s="664">
        <v>51</v>
      </c>
      <c r="K54" s="623" t="s">
        <v>7645</v>
      </c>
      <c r="L54" s="599" t="s">
        <v>9603</v>
      </c>
      <c r="M54" s="600" t="s">
        <v>2479</v>
      </c>
      <c r="N54" s="558" t="s">
        <v>70</v>
      </c>
      <c r="O54" s="558">
        <v>20</v>
      </c>
      <c r="P54" s="560" t="s">
        <v>2005</v>
      </c>
      <c r="Q54" s="560" t="s">
        <v>2484</v>
      </c>
      <c r="R54" s="666">
        <v>5</v>
      </c>
      <c r="S54" s="648">
        <v>5</v>
      </c>
      <c r="T54" s="679">
        <v>1</v>
      </c>
      <c r="U54" s="564" t="s">
        <v>4427</v>
      </c>
      <c r="V54" s="565" t="s">
        <v>4428</v>
      </c>
      <c r="W54" s="558"/>
      <c r="X54" s="566">
        <f>+Y54</f>
        <v>12350000</v>
      </c>
      <c r="Y54" s="684">
        <v>12350000</v>
      </c>
      <c r="Z54" s="558">
        <v>0</v>
      </c>
      <c r="AA54" s="558">
        <v>0</v>
      </c>
      <c r="AB54" s="558">
        <f>+AC54+AD54</f>
        <v>100</v>
      </c>
      <c r="AC54" s="681">
        <v>15</v>
      </c>
      <c r="AD54" s="681">
        <v>85</v>
      </c>
      <c r="AE54" s="681">
        <v>100</v>
      </c>
      <c r="AF54" s="681">
        <v>0</v>
      </c>
      <c r="AG54" s="558">
        <v>0</v>
      </c>
      <c r="AH54" s="558">
        <v>0</v>
      </c>
      <c r="AI54" s="681">
        <v>2</v>
      </c>
      <c r="AJ54" s="681">
        <v>97</v>
      </c>
      <c r="AK54" s="558">
        <v>0</v>
      </c>
      <c r="AL54" s="681">
        <v>1</v>
      </c>
      <c r="AM54" s="558"/>
      <c r="AN54" s="681">
        <v>99</v>
      </c>
      <c r="AO54" s="681">
        <v>1</v>
      </c>
      <c r="AP54" s="558">
        <v>0</v>
      </c>
      <c r="AQ54" s="558">
        <v>100</v>
      </c>
      <c r="AR54" s="558">
        <v>5</v>
      </c>
      <c r="AS54" s="558">
        <v>2</v>
      </c>
      <c r="AT54" s="558">
        <v>0</v>
      </c>
      <c r="AU54" s="558">
        <v>0</v>
      </c>
      <c r="AV54" s="681">
        <v>93</v>
      </c>
      <c r="AW54" s="681">
        <v>7</v>
      </c>
      <c r="AX54" s="558">
        <v>0</v>
      </c>
      <c r="AY54" s="558">
        <v>0</v>
      </c>
      <c r="AZ54" s="558">
        <v>0</v>
      </c>
      <c r="BA54" s="558">
        <v>0</v>
      </c>
      <c r="BB54" s="558" t="s">
        <v>545</v>
      </c>
      <c r="BC54" s="558" t="s">
        <v>545</v>
      </c>
      <c r="BD54" s="558" t="s">
        <v>545</v>
      </c>
      <c r="BE54" s="558" t="s">
        <v>545</v>
      </c>
      <c r="BF54" s="558" t="s">
        <v>545</v>
      </c>
      <c r="BG54" s="558" t="s">
        <v>545</v>
      </c>
      <c r="BH54" s="558" t="s">
        <v>545</v>
      </c>
      <c r="BI54" s="558" t="s">
        <v>545</v>
      </c>
      <c r="BJ54" s="558" t="s">
        <v>545</v>
      </c>
      <c r="BK54" s="558" t="s">
        <v>545</v>
      </c>
      <c r="BL54" s="939"/>
      <c r="BM54" s="1076"/>
      <c r="BN54" s="15012"/>
      <c r="BO54" s="15017"/>
      <c r="BP54" s="15022"/>
      <c r="BQ54" s="1067" t="s">
        <v>2481</v>
      </c>
      <c r="BR54" s="1085">
        <v>9174</v>
      </c>
      <c r="BS54" s="1091">
        <v>19374</v>
      </c>
      <c r="BT54" s="1067" t="s">
        <v>2005</v>
      </c>
      <c r="BU54" s="1067" t="s">
        <v>2482</v>
      </c>
      <c r="BV54" s="1070" t="s">
        <v>2477</v>
      </c>
      <c r="BW54" s="1067">
        <v>51</v>
      </c>
      <c r="BX54" s="1067" t="s">
        <v>7645</v>
      </c>
      <c r="BY54" s="962" t="s">
        <v>2483</v>
      </c>
      <c r="BZ54" s="2856" t="s">
        <v>4337</v>
      </c>
      <c r="CA54" s="1067" t="s">
        <v>2479</v>
      </c>
      <c r="CB54" s="1067"/>
      <c r="CC54" s="1072" t="s">
        <v>70</v>
      </c>
      <c r="CD54" s="1072">
        <v>20</v>
      </c>
      <c r="CE54" s="1067" t="s">
        <v>2005</v>
      </c>
      <c r="CF54" s="1067" t="s">
        <v>2484</v>
      </c>
      <c r="CG54" s="1072">
        <v>5</v>
      </c>
      <c r="CH54" s="1072">
        <v>5</v>
      </c>
      <c r="CI54" s="1072">
        <v>5</v>
      </c>
      <c r="CJ54" s="1072">
        <v>5</v>
      </c>
      <c r="CK54" s="1072">
        <v>69</v>
      </c>
      <c r="CL54" s="1167">
        <v>1</v>
      </c>
      <c r="CM54" s="14933"/>
      <c r="CN54" s="14935"/>
      <c r="CO54" s="14943"/>
      <c r="CP54" s="966" t="s">
        <v>9978</v>
      </c>
      <c r="CQ54" s="962"/>
      <c r="CR54" s="964">
        <v>12350000</v>
      </c>
      <c r="CS54" s="962"/>
      <c r="CT54" s="962"/>
      <c r="CU54" s="962"/>
      <c r="CV54" s="962" t="s">
        <v>9979</v>
      </c>
      <c r="CW54" s="962"/>
      <c r="CX54" s="962"/>
      <c r="CY54" s="962"/>
      <c r="CZ54" s="962"/>
      <c r="DA54" s="962"/>
      <c r="DB54" s="962"/>
      <c r="DC54" s="962"/>
      <c r="DD54" s="962"/>
      <c r="DE54" s="962"/>
      <c r="DF54" s="1067"/>
      <c r="DG54" s="1072"/>
      <c r="DH54" s="1072"/>
      <c r="DI54" s="1072"/>
      <c r="DJ54" s="1072"/>
      <c r="DK54" s="1072"/>
      <c r="DL54" s="1072"/>
      <c r="DM54" s="1072"/>
      <c r="DN54" s="1072"/>
      <c r="DO54" s="1072"/>
      <c r="DP54" s="1072"/>
      <c r="DQ54" s="1072"/>
      <c r="DR54" s="1072"/>
      <c r="DS54" s="1072"/>
      <c r="DT54" s="1072"/>
      <c r="DU54" s="1072"/>
      <c r="DV54" s="1072"/>
      <c r="DW54" s="1072"/>
      <c r="DX54" s="1072"/>
      <c r="DY54" s="1072"/>
      <c r="DZ54" s="1072"/>
      <c r="EA54"/>
      <c r="EB54"/>
      <c r="EC54"/>
      <c r="ED54"/>
      <c r="EE54"/>
      <c r="EF54"/>
      <c r="EG54"/>
      <c r="EH54"/>
      <c r="EI54"/>
      <c r="EJ54"/>
      <c r="EK54"/>
      <c r="EL54"/>
    </row>
    <row r="55" spans="1:142" s="602" customFormat="1" ht="30" customHeight="1">
      <c r="A55" s="607"/>
      <c r="B55" s="15109"/>
      <c r="C55" s="663" t="s">
        <v>2444</v>
      </c>
      <c r="D55" s="664" t="s">
        <v>2475</v>
      </c>
      <c r="E55" s="665">
        <v>1000</v>
      </c>
      <c r="F55" s="678">
        <v>15</v>
      </c>
      <c r="G55" s="664" t="s">
        <v>2005</v>
      </c>
      <c r="H55" s="664" t="s">
        <v>2476</v>
      </c>
      <c r="I55" s="664" t="s">
        <v>2477</v>
      </c>
      <c r="J55" s="664">
        <v>52</v>
      </c>
      <c r="K55" s="623" t="s">
        <v>7646</v>
      </c>
      <c r="L55" s="599" t="s">
        <v>9604</v>
      </c>
      <c r="M55" s="600" t="s">
        <v>2350</v>
      </c>
      <c r="N55" s="566" t="s">
        <v>70</v>
      </c>
      <c r="O55" s="558">
        <v>20</v>
      </c>
      <c r="P55" s="560" t="s">
        <v>2005</v>
      </c>
      <c r="Q55" s="560" t="s">
        <v>2486</v>
      </c>
      <c r="R55" s="666">
        <v>5</v>
      </c>
      <c r="S55" s="685">
        <v>500</v>
      </c>
      <c r="T55" s="679">
        <v>1</v>
      </c>
      <c r="U55" s="564" t="s">
        <v>4429</v>
      </c>
      <c r="V55" s="558" t="s">
        <v>4428</v>
      </c>
      <c r="W55" s="558"/>
      <c r="X55" s="566">
        <f>+Y55</f>
        <v>7500000</v>
      </c>
      <c r="Y55" s="684">
        <v>7500000</v>
      </c>
      <c r="Z55" s="558">
        <v>0</v>
      </c>
      <c r="AA55" s="558">
        <v>0</v>
      </c>
      <c r="AB55" s="558">
        <f>+AC55+AD55</f>
        <v>29</v>
      </c>
      <c r="AC55" s="681">
        <v>20</v>
      </c>
      <c r="AD55" s="681">
        <v>9</v>
      </c>
      <c r="AE55" s="681">
        <v>29</v>
      </c>
      <c r="AF55" s="681">
        <v>0</v>
      </c>
      <c r="AG55" s="558">
        <v>0</v>
      </c>
      <c r="AH55" s="558">
        <v>0</v>
      </c>
      <c r="AI55" s="681">
        <v>0</v>
      </c>
      <c r="AJ55" s="681">
        <v>29</v>
      </c>
      <c r="AK55" s="558">
        <v>0</v>
      </c>
      <c r="AL55" s="681">
        <v>0</v>
      </c>
      <c r="AM55" s="558"/>
      <c r="AN55" s="681">
        <v>29</v>
      </c>
      <c r="AO55" s="681">
        <v>0</v>
      </c>
      <c r="AP55" s="558">
        <v>0</v>
      </c>
      <c r="AQ55" s="558">
        <v>29</v>
      </c>
      <c r="AR55" s="558">
        <v>0</v>
      </c>
      <c r="AS55" s="558">
        <v>0</v>
      </c>
      <c r="AT55" s="558">
        <v>0</v>
      </c>
      <c r="AU55" s="558">
        <v>0</v>
      </c>
      <c r="AV55" s="681">
        <v>25</v>
      </c>
      <c r="AW55" s="681">
        <v>4</v>
      </c>
      <c r="AX55" s="558">
        <v>0</v>
      </c>
      <c r="AY55" s="558">
        <v>0</v>
      </c>
      <c r="AZ55" s="558">
        <v>0</v>
      </c>
      <c r="BA55" s="558">
        <v>0</v>
      </c>
      <c r="BB55" s="558" t="s">
        <v>545</v>
      </c>
      <c r="BC55" s="558" t="s">
        <v>545</v>
      </c>
      <c r="BD55" s="558" t="s">
        <v>545</v>
      </c>
      <c r="BE55" s="558" t="s">
        <v>545</v>
      </c>
      <c r="BF55" s="558" t="s">
        <v>545</v>
      </c>
      <c r="BG55" s="558" t="s">
        <v>545</v>
      </c>
      <c r="BH55" s="558" t="s">
        <v>545</v>
      </c>
      <c r="BI55" s="558" t="s">
        <v>545</v>
      </c>
      <c r="BJ55" s="558" t="s">
        <v>545</v>
      </c>
      <c r="BK55" s="558" t="s">
        <v>545</v>
      </c>
      <c r="BL55" s="939"/>
      <c r="BM55" s="1076"/>
      <c r="BN55" s="15012"/>
      <c r="BO55" s="15019"/>
      <c r="BP55" s="15023"/>
      <c r="BQ55" s="1067" t="s">
        <v>2475</v>
      </c>
      <c r="BR55" s="1085">
        <v>1000</v>
      </c>
      <c r="BS55" s="1095">
        <v>15</v>
      </c>
      <c r="BT55" s="1067" t="s">
        <v>2005</v>
      </c>
      <c r="BU55" s="1067" t="s">
        <v>2476</v>
      </c>
      <c r="BV55" s="1070" t="s">
        <v>2477</v>
      </c>
      <c r="BW55" s="1067">
        <v>52</v>
      </c>
      <c r="BX55" s="1067" t="s">
        <v>7646</v>
      </c>
      <c r="BY55" s="962" t="s">
        <v>2485</v>
      </c>
      <c r="BZ55" s="2856" t="s">
        <v>4337</v>
      </c>
      <c r="CA55" s="1067" t="s">
        <v>2479</v>
      </c>
      <c r="CB55" s="1067"/>
      <c r="CC55" s="1091" t="s">
        <v>70</v>
      </c>
      <c r="CD55" s="1072">
        <v>20</v>
      </c>
      <c r="CE55" s="1067" t="s">
        <v>2005</v>
      </c>
      <c r="CF55" s="1067" t="s">
        <v>2486</v>
      </c>
      <c r="CG55" s="1072">
        <v>5</v>
      </c>
      <c r="CH55" s="1072">
        <v>5</v>
      </c>
      <c r="CI55" s="1072">
        <v>5</v>
      </c>
      <c r="CJ55" s="1072">
        <v>5</v>
      </c>
      <c r="CK55" s="1072">
        <v>3</v>
      </c>
      <c r="CL55" s="1167">
        <f>+CK55/CJ55</f>
        <v>0.6</v>
      </c>
      <c r="CM55" s="14933"/>
      <c r="CN55" s="14935"/>
      <c r="CO55" s="14943"/>
      <c r="CP55" s="966" t="s">
        <v>9980</v>
      </c>
      <c r="CQ55" s="962"/>
      <c r="CR55" s="964">
        <v>7500000</v>
      </c>
      <c r="CS55" s="962"/>
      <c r="CT55" s="962"/>
      <c r="CU55" s="962"/>
      <c r="CV55" s="962" t="s">
        <v>9981</v>
      </c>
      <c r="CW55" s="962"/>
      <c r="CX55" s="962"/>
      <c r="CY55" s="962"/>
      <c r="CZ55" s="962"/>
      <c r="DA55" s="962"/>
      <c r="DB55" s="962"/>
      <c r="DC55" s="962"/>
      <c r="DD55" s="962"/>
      <c r="DE55" s="962"/>
      <c r="DF55" s="1067"/>
      <c r="DG55" s="1072"/>
      <c r="DH55" s="1072"/>
      <c r="DI55" s="1072"/>
      <c r="DJ55" s="1072"/>
      <c r="DK55" s="1072"/>
      <c r="DL55" s="1072"/>
      <c r="DM55" s="1072"/>
      <c r="DN55" s="1072"/>
      <c r="DO55" s="1072"/>
      <c r="DP55" s="1072"/>
      <c r="DQ55" s="1072"/>
      <c r="DR55" s="1072"/>
      <c r="DS55" s="1072"/>
      <c r="DT55" s="1072"/>
      <c r="DU55" s="1072"/>
      <c r="DV55" s="1072"/>
      <c r="DW55" s="1072"/>
      <c r="DX55" s="1072"/>
      <c r="DY55" s="1072"/>
      <c r="DZ55" s="1072"/>
      <c r="EA55"/>
      <c r="EB55"/>
      <c r="EC55"/>
      <c r="ED55"/>
      <c r="EE55"/>
      <c r="EF55"/>
      <c r="EG55"/>
      <c r="EH55"/>
      <c r="EI55"/>
      <c r="EJ55"/>
      <c r="EK55"/>
      <c r="EL55"/>
    </row>
    <row r="56" spans="1:142" s="602" customFormat="1" ht="30" customHeight="1">
      <c r="A56" s="607" t="s">
        <v>2487</v>
      </c>
      <c r="B56" s="15109"/>
      <c r="C56" s="663" t="s">
        <v>2488</v>
      </c>
      <c r="D56" s="664" t="s">
        <v>2489</v>
      </c>
      <c r="E56" s="686" t="s">
        <v>70</v>
      </c>
      <c r="F56" s="686">
        <v>0.5</v>
      </c>
      <c r="G56" s="664" t="s">
        <v>2009</v>
      </c>
      <c r="H56" s="664" t="s">
        <v>2490</v>
      </c>
      <c r="I56" s="664" t="s">
        <v>2491</v>
      </c>
      <c r="J56" s="664">
        <v>53</v>
      </c>
      <c r="K56" s="623" t="s">
        <v>7647</v>
      </c>
      <c r="L56" s="687" t="s">
        <v>9605</v>
      </c>
      <c r="M56" s="614" t="s">
        <v>2323</v>
      </c>
      <c r="N56" s="566" t="s">
        <v>70</v>
      </c>
      <c r="O56" s="566">
        <v>2000</v>
      </c>
      <c r="P56" s="558" t="s">
        <v>2005</v>
      </c>
      <c r="Q56" s="560" t="s">
        <v>2493</v>
      </c>
      <c r="R56" s="673">
        <v>500</v>
      </c>
      <c r="S56" s="601"/>
      <c r="T56" s="567">
        <v>0.68</v>
      </c>
      <c r="U56" s="568" t="s">
        <v>4430</v>
      </c>
      <c r="V56" s="568" t="s">
        <v>4431</v>
      </c>
      <c r="W56" s="569" t="s">
        <v>545</v>
      </c>
      <c r="X56" s="570">
        <f>Y56+Z56+AA56</f>
        <v>87143303.325312242</v>
      </c>
      <c r="Y56" s="570">
        <v>18619644.071606994</v>
      </c>
      <c r="Z56" s="570">
        <v>68523659.253705248</v>
      </c>
      <c r="AA56" s="570">
        <v>0</v>
      </c>
      <c r="AB56" s="569">
        <v>512</v>
      </c>
      <c r="AC56" s="569">
        <v>171</v>
      </c>
      <c r="AD56" s="569">
        <v>341</v>
      </c>
      <c r="AE56" s="569"/>
      <c r="AF56" s="569"/>
      <c r="AG56" s="569">
        <v>83</v>
      </c>
      <c r="AH56" s="569">
        <v>21</v>
      </c>
      <c r="AI56" s="569">
        <v>4</v>
      </c>
      <c r="AJ56" s="569">
        <v>42</v>
      </c>
      <c r="AK56" s="569">
        <v>89</v>
      </c>
      <c r="AL56" s="569">
        <v>152</v>
      </c>
      <c r="AM56" s="569">
        <v>121</v>
      </c>
      <c r="AN56" s="569">
        <v>0</v>
      </c>
      <c r="AO56" s="569">
        <v>0</v>
      </c>
      <c r="AP56" s="569">
        <v>0</v>
      </c>
      <c r="AQ56" s="569">
        <v>512</v>
      </c>
      <c r="AR56" s="569">
        <v>0</v>
      </c>
      <c r="AS56" s="569">
        <v>0</v>
      </c>
      <c r="AT56" s="569">
        <v>0</v>
      </c>
      <c r="AU56" s="569">
        <v>0</v>
      </c>
      <c r="AV56" s="569">
        <v>473</v>
      </c>
      <c r="AW56" s="569">
        <v>29</v>
      </c>
      <c r="AX56" s="569">
        <v>10</v>
      </c>
      <c r="AY56" s="569">
        <v>0</v>
      </c>
      <c r="AZ56" s="569">
        <v>0</v>
      </c>
      <c r="BA56" s="569">
        <v>0</v>
      </c>
      <c r="BB56" s="569"/>
      <c r="BC56" s="569"/>
      <c r="BD56" s="569"/>
      <c r="BE56" s="569"/>
      <c r="BF56" s="569"/>
      <c r="BG56" s="569"/>
      <c r="BH56" s="569"/>
      <c r="BI56" s="569"/>
      <c r="BJ56" s="569"/>
      <c r="BK56" s="571"/>
      <c r="BL56" s="939"/>
      <c r="BM56" s="1076" t="s">
        <v>2487</v>
      </c>
      <c r="BN56" s="15012"/>
      <c r="BO56" s="15015" t="s">
        <v>2488</v>
      </c>
      <c r="BP56" s="15016"/>
      <c r="BQ56" s="1067" t="s">
        <v>2489</v>
      </c>
      <c r="BR56" s="1096" t="s">
        <v>70</v>
      </c>
      <c r="BS56" s="1097">
        <v>0.5</v>
      </c>
      <c r="BT56" s="1067" t="s">
        <v>2009</v>
      </c>
      <c r="BU56" s="1067" t="s">
        <v>2490</v>
      </c>
      <c r="BV56" s="1070" t="s">
        <v>2491</v>
      </c>
      <c r="BW56" s="1067">
        <v>53</v>
      </c>
      <c r="BX56" s="1067" t="s">
        <v>7647</v>
      </c>
      <c r="BY56" s="962" t="s">
        <v>2492</v>
      </c>
      <c r="BZ56" s="2856" t="s">
        <v>10063</v>
      </c>
      <c r="CA56" s="1067" t="s">
        <v>2350</v>
      </c>
      <c r="CB56" s="1067"/>
      <c r="CC56" s="1091" t="s">
        <v>70</v>
      </c>
      <c r="CD56" s="1091">
        <v>2000</v>
      </c>
      <c r="CE56" s="1072" t="s">
        <v>2005</v>
      </c>
      <c r="CF56" s="1067" t="s">
        <v>2493</v>
      </c>
      <c r="CG56" s="1091">
        <v>500</v>
      </c>
      <c r="CH56" s="1091">
        <v>500</v>
      </c>
      <c r="CI56" s="1091">
        <v>500</v>
      </c>
      <c r="CJ56" s="1091">
        <v>500</v>
      </c>
      <c r="CK56" s="1098">
        <v>340</v>
      </c>
      <c r="CL56" s="1167">
        <f>+CK56/CJ56</f>
        <v>0.68</v>
      </c>
      <c r="CM56" s="14933"/>
      <c r="CN56" s="14935"/>
      <c r="CO56" s="14943"/>
      <c r="CP56" s="966" t="s">
        <v>9982</v>
      </c>
      <c r="CQ56" s="962"/>
      <c r="CR56" s="964"/>
      <c r="CS56" s="962"/>
      <c r="CT56" s="962"/>
      <c r="CU56" s="962"/>
      <c r="CV56" s="964">
        <v>295</v>
      </c>
      <c r="CW56" s="962">
        <v>94</v>
      </c>
      <c r="CX56" s="962">
        <v>201</v>
      </c>
      <c r="CY56" s="962" t="s">
        <v>2943</v>
      </c>
      <c r="CZ56" s="962" t="s">
        <v>2943</v>
      </c>
      <c r="DA56" s="962">
        <v>83</v>
      </c>
      <c r="DB56" s="962">
        <v>8</v>
      </c>
      <c r="DC56" s="962">
        <v>0</v>
      </c>
      <c r="DD56" s="962">
        <v>19</v>
      </c>
      <c r="DE56" s="962">
        <v>40</v>
      </c>
      <c r="DF56" s="1072">
        <v>74</v>
      </c>
      <c r="DG56" s="1072">
        <v>71</v>
      </c>
      <c r="DH56" s="1072"/>
      <c r="DI56" s="1072"/>
      <c r="DJ56" s="1072"/>
      <c r="DK56" s="1072"/>
      <c r="DL56" s="1072"/>
      <c r="DM56" s="1072"/>
      <c r="DN56" s="1072"/>
      <c r="DO56" s="1072"/>
      <c r="DP56" s="1072">
        <v>248</v>
      </c>
      <c r="DQ56" s="1072">
        <v>38</v>
      </c>
      <c r="DR56" s="1072">
        <v>9</v>
      </c>
      <c r="DS56" s="1072"/>
      <c r="DT56" s="1072"/>
      <c r="DU56" s="1072"/>
      <c r="DV56" s="1072"/>
      <c r="DW56" s="1072"/>
      <c r="DX56" s="1072"/>
      <c r="DY56" s="1072"/>
      <c r="DZ56" s="1072"/>
      <c r="EA56"/>
      <c r="EB56"/>
      <c r="EC56"/>
      <c r="ED56"/>
      <c r="EE56"/>
      <c r="EF56"/>
      <c r="EG56"/>
      <c r="EH56"/>
      <c r="EI56"/>
      <c r="EJ56"/>
      <c r="EK56"/>
      <c r="EL56"/>
    </row>
    <row r="57" spans="1:142" s="602" customFormat="1" ht="30" customHeight="1">
      <c r="A57" s="607" t="s">
        <v>2494</v>
      </c>
      <c r="B57" s="15109"/>
      <c r="C57" s="663" t="s">
        <v>2494</v>
      </c>
      <c r="D57" s="664" t="s">
        <v>2495</v>
      </c>
      <c r="E57" s="671">
        <v>1</v>
      </c>
      <c r="F57" s="688">
        <v>1</v>
      </c>
      <c r="G57" s="665" t="s">
        <v>2009</v>
      </c>
      <c r="H57" s="664" t="s">
        <v>2496</v>
      </c>
      <c r="I57" s="664" t="s">
        <v>2497</v>
      </c>
      <c r="J57" s="664">
        <v>54</v>
      </c>
      <c r="K57" s="623" t="s">
        <v>7648</v>
      </c>
      <c r="L57" s="599" t="s">
        <v>2502</v>
      </c>
      <c r="M57" s="600" t="s">
        <v>2323</v>
      </c>
      <c r="N57" s="558" t="s">
        <v>2009</v>
      </c>
      <c r="O57" s="682" t="s">
        <v>2498</v>
      </c>
      <c r="P57" s="558" t="s">
        <v>2009</v>
      </c>
      <c r="Q57" s="682">
        <v>1</v>
      </c>
      <c r="R57" s="689"/>
      <c r="S57" s="614">
        <v>1</v>
      </c>
      <c r="T57" s="524">
        <v>1</v>
      </c>
      <c r="U57" s="572" t="s">
        <v>4432</v>
      </c>
      <c r="V57" s="573" t="s">
        <v>4433</v>
      </c>
      <c r="W57" s="573" t="s">
        <v>4434</v>
      </c>
      <c r="X57" s="570">
        <f>Y57+Z57+AA57</f>
        <v>2401977.0562272733</v>
      </c>
      <c r="Y57" s="570">
        <v>421321.05965909094</v>
      </c>
      <c r="Z57" s="570">
        <v>61153.288181818185</v>
      </c>
      <c r="AA57" s="690">
        <v>1919502.7083863639</v>
      </c>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58"/>
      <c r="BJ57" s="558"/>
      <c r="BK57" s="559"/>
      <c r="BL57" s="939"/>
      <c r="BM57" s="1076" t="s">
        <v>2494</v>
      </c>
      <c r="BN57" s="15012"/>
      <c r="BO57" s="15015" t="s">
        <v>2494</v>
      </c>
      <c r="BP57" s="15024"/>
      <c r="BQ57" s="1067" t="s">
        <v>2495</v>
      </c>
      <c r="BR57" s="1099">
        <v>1</v>
      </c>
      <c r="BS57" s="1069">
        <v>1</v>
      </c>
      <c r="BT57" s="972" t="s">
        <v>2009</v>
      </c>
      <c r="BU57" s="1067" t="s">
        <v>2496</v>
      </c>
      <c r="BV57" s="1070" t="s">
        <v>2497</v>
      </c>
      <c r="BW57" s="1067">
        <v>54</v>
      </c>
      <c r="BX57" s="1067" t="s">
        <v>7648</v>
      </c>
      <c r="BY57" s="973" t="s">
        <v>4341</v>
      </c>
      <c r="BZ57" s="2857" t="s">
        <v>10063</v>
      </c>
      <c r="CA57" s="1069" t="s">
        <v>2323</v>
      </c>
      <c r="CB57" s="1069"/>
      <c r="CC57" s="1072" t="s">
        <v>2009</v>
      </c>
      <c r="CD57" s="1069" t="s">
        <v>2498</v>
      </c>
      <c r="CE57" s="1072" t="s">
        <v>2009</v>
      </c>
      <c r="CF57" s="1069">
        <v>1</v>
      </c>
      <c r="CG57" s="1071">
        <v>1</v>
      </c>
      <c r="CH57" s="1071">
        <v>1</v>
      </c>
      <c r="CI57" s="1071"/>
      <c r="CJ57" s="1071"/>
      <c r="CK57" s="1071">
        <v>1</v>
      </c>
      <c r="CL57" s="1167">
        <v>1</v>
      </c>
      <c r="CM57" s="14933"/>
      <c r="CN57" s="14935"/>
      <c r="CO57" s="14943"/>
      <c r="CP57" s="966" t="s">
        <v>9983</v>
      </c>
      <c r="CQ57" s="962"/>
      <c r="CR57" s="964"/>
      <c r="CS57" s="962"/>
      <c r="CT57" s="962"/>
      <c r="CU57" s="962"/>
      <c r="CV57" s="964"/>
      <c r="CW57" s="962"/>
      <c r="CX57" s="962"/>
      <c r="CY57" s="962"/>
      <c r="CZ57" s="962"/>
      <c r="DA57" s="962"/>
      <c r="DB57" s="962"/>
      <c r="DC57" s="962"/>
      <c r="DD57" s="962"/>
      <c r="DE57" s="962"/>
      <c r="DF57" s="1072"/>
      <c r="DG57" s="1072"/>
      <c r="DH57" s="1072"/>
      <c r="DI57" s="1072"/>
      <c r="DJ57" s="1072"/>
      <c r="DK57" s="1072"/>
      <c r="DL57" s="1072"/>
      <c r="DM57" s="1072"/>
      <c r="DN57" s="1072"/>
      <c r="DO57" s="1072"/>
      <c r="DP57" s="1072"/>
      <c r="DQ57" s="1072"/>
      <c r="DR57" s="1072"/>
      <c r="DS57" s="1072"/>
      <c r="DT57" s="1072"/>
      <c r="DU57" s="1072"/>
      <c r="DV57" s="1072"/>
      <c r="DW57" s="1072"/>
      <c r="DX57" s="1072"/>
      <c r="DY57" s="1072"/>
      <c r="DZ57" s="1072"/>
      <c r="EA57"/>
      <c r="EB57"/>
      <c r="EC57"/>
      <c r="ED57"/>
      <c r="EE57"/>
      <c r="EF57"/>
      <c r="EG57"/>
      <c r="EH57"/>
      <c r="EI57"/>
      <c r="EJ57"/>
      <c r="EK57"/>
      <c r="EL57"/>
    </row>
    <row r="58" spans="1:142" s="602" customFormat="1" ht="30" customHeight="1">
      <c r="A58" s="607"/>
      <c r="B58" s="15110"/>
      <c r="C58" s="663" t="s">
        <v>2499</v>
      </c>
      <c r="D58" s="664" t="s">
        <v>2500</v>
      </c>
      <c r="E58" s="688">
        <v>1</v>
      </c>
      <c r="F58" s="688">
        <v>1</v>
      </c>
      <c r="G58" s="664" t="s">
        <v>2009</v>
      </c>
      <c r="H58" s="664" t="s">
        <v>2501</v>
      </c>
      <c r="I58" s="664" t="s">
        <v>2321</v>
      </c>
      <c r="J58" s="664">
        <v>55</v>
      </c>
      <c r="K58" s="623" t="s">
        <v>7649</v>
      </c>
      <c r="L58" s="15116" t="s">
        <v>2508</v>
      </c>
      <c r="M58" s="15119" t="s">
        <v>2323</v>
      </c>
      <c r="N58" s="591">
        <v>1</v>
      </c>
      <c r="O58" s="591">
        <v>1</v>
      </c>
      <c r="P58" s="558" t="s">
        <v>2009</v>
      </c>
      <c r="Q58" s="560" t="s">
        <v>2503</v>
      </c>
      <c r="R58" s="691">
        <v>1</v>
      </c>
      <c r="S58" s="15122">
        <v>1</v>
      </c>
      <c r="T58" s="524">
        <f>9/9*100%</f>
        <v>1</v>
      </c>
      <c r="U58" s="568" t="s">
        <v>4435</v>
      </c>
      <c r="V58" s="573" t="s">
        <v>4435</v>
      </c>
      <c r="W58" s="573" t="s">
        <v>4436</v>
      </c>
      <c r="X58" s="570">
        <f>Y58+Z58+AA58</f>
        <v>4323558.7012090916</v>
      </c>
      <c r="Y58" s="570">
        <v>758377.9073863636</v>
      </c>
      <c r="Z58" s="570">
        <v>110075.91872727273</v>
      </c>
      <c r="AA58" s="570">
        <v>3455104.875095455</v>
      </c>
      <c r="AB58" s="569">
        <v>9</v>
      </c>
      <c r="AC58" s="569"/>
      <c r="AD58" s="569"/>
      <c r="AE58" s="569"/>
      <c r="AF58" s="569"/>
      <c r="AG58" s="569"/>
      <c r="AH58" s="569"/>
      <c r="AI58" s="569"/>
      <c r="AJ58" s="569"/>
      <c r="AK58" s="569"/>
      <c r="AL58" s="569"/>
      <c r="AM58" s="569"/>
      <c r="AN58" s="569"/>
      <c r="AO58" s="569"/>
      <c r="AP58" s="569"/>
      <c r="AQ58" s="569"/>
      <c r="AR58" s="569"/>
      <c r="AS58" s="569"/>
      <c r="AT58" s="569"/>
      <c r="AU58" s="569"/>
      <c r="AV58" s="569"/>
      <c r="AW58" s="569"/>
      <c r="AX58" s="569"/>
      <c r="AY58" s="569"/>
      <c r="AZ58" s="569"/>
      <c r="BA58" s="569"/>
      <c r="BB58" s="569"/>
      <c r="BC58" s="569"/>
      <c r="BD58" s="569"/>
      <c r="BE58" s="569"/>
      <c r="BF58" s="569"/>
      <c r="BG58" s="569"/>
      <c r="BH58" s="569"/>
      <c r="BI58" s="558"/>
      <c r="BJ58" s="558"/>
      <c r="BK58" s="559"/>
      <c r="BL58" s="939"/>
      <c r="BM58" s="1076"/>
      <c r="BN58" s="15012"/>
      <c r="BO58" s="15013" t="s">
        <v>2499</v>
      </c>
      <c r="BP58" s="15014"/>
      <c r="BQ58" s="1067" t="s">
        <v>2500</v>
      </c>
      <c r="BR58" s="1068">
        <v>1</v>
      </c>
      <c r="BS58" s="1069">
        <v>1</v>
      </c>
      <c r="BT58" s="1067" t="s">
        <v>2009</v>
      </c>
      <c r="BU58" s="1067" t="s">
        <v>2501</v>
      </c>
      <c r="BV58" s="1070" t="s">
        <v>2321</v>
      </c>
      <c r="BW58" s="1067">
        <v>55</v>
      </c>
      <c r="BX58" s="1067" t="s">
        <v>7649</v>
      </c>
      <c r="BY58" s="962" t="s">
        <v>2502</v>
      </c>
      <c r="BZ58" s="2856" t="s">
        <v>10063</v>
      </c>
      <c r="CA58" s="1067" t="s">
        <v>2323</v>
      </c>
      <c r="CB58" s="1067"/>
      <c r="CC58" s="1071">
        <v>1</v>
      </c>
      <c r="CD58" s="1071">
        <v>1</v>
      </c>
      <c r="CE58" s="1072" t="s">
        <v>2009</v>
      </c>
      <c r="CF58" s="1067" t="s">
        <v>2503</v>
      </c>
      <c r="CG58" s="1069">
        <v>1</v>
      </c>
      <c r="CH58" s="1069">
        <v>1</v>
      </c>
      <c r="CI58" s="1069">
        <v>1</v>
      </c>
      <c r="CJ58" s="1069">
        <v>1</v>
      </c>
      <c r="CK58" s="1071">
        <v>1</v>
      </c>
      <c r="CL58" s="1167">
        <v>1</v>
      </c>
      <c r="CM58" s="14934"/>
      <c r="CN58" s="14935"/>
      <c r="CO58" s="14944"/>
      <c r="CP58" s="966" t="s">
        <v>9984</v>
      </c>
      <c r="CQ58" s="962"/>
      <c r="CR58" s="974">
        <v>2924666</v>
      </c>
      <c r="CS58" s="968"/>
      <c r="CT58" s="968"/>
      <c r="CU58" s="968"/>
      <c r="CV58" s="974">
        <v>4</v>
      </c>
      <c r="CW58" s="968" t="s">
        <v>2943</v>
      </c>
      <c r="CX58" s="968" t="s">
        <v>2943</v>
      </c>
      <c r="CY58" s="968" t="s">
        <v>2943</v>
      </c>
      <c r="CZ58" s="968" t="s">
        <v>2943</v>
      </c>
      <c r="DA58" s="968" t="s">
        <v>2943</v>
      </c>
      <c r="DB58" s="968" t="s">
        <v>2943</v>
      </c>
      <c r="DC58" s="968" t="s">
        <v>2943</v>
      </c>
      <c r="DD58" s="968" t="s">
        <v>2943</v>
      </c>
      <c r="DE58" s="968" t="s">
        <v>2943</v>
      </c>
      <c r="DF58" s="972" t="s">
        <v>2943</v>
      </c>
      <c r="DG58" s="1072" t="s">
        <v>2943</v>
      </c>
      <c r="DH58" s="1072" t="s">
        <v>2943</v>
      </c>
      <c r="DI58" s="1072" t="s">
        <v>2943</v>
      </c>
      <c r="DJ58" s="1072" t="s">
        <v>2943</v>
      </c>
      <c r="DK58" s="1072" t="s">
        <v>2943</v>
      </c>
      <c r="DL58" s="1072" t="s">
        <v>2943</v>
      </c>
      <c r="DM58" s="1072" t="s">
        <v>2943</v>
      </c>
      <c r="DN58" s="1072" t="s">
        <v>2943</v>
      </c>
      <c r="DO58" s="1072" t="s">
        <v>2943</v>
      </c>
      <c r="DP58" s="1072" t="s">
        <v>2943</v>
      </c>
      <c r="DQ58" s="1072" t="s">
        <v>2943</v>
      </c>
      <c r="DR58" s="1072" t="s">
        <v>2943</v>
      </c>
      <c r="DS58" s="1072" t="s">
        <v>2943</v>
      </c>
      <c r="DT58" s="1072" t="s">
        <v>2943</v>
      </c>
      <c r="DU58" s="1072" t="s">
        <v>2943</v>
      </c>
      <c r="DV58" s="1072"/>
      <c r="DW58" s="1072"/>
      <c r="DX58" s="1072"/>
      <c r="DY58" s="1072"/>
      <c r="DZ58" s="1072"/>
      <c r="EA58"/>
      <c r="EB58"/>
      <c r="EC58"/>
      <c r="ED58"/>
      <c r="EE58"/>
      <c r="EF58"/>
      <c r="EG58"/>
      <c r="EH58"/>
      <c r="EI58"/>
      <c r="EJ58"/>
      <c r="EK58"/>
      <c r="EL58"/>
    </row>
    <row r="59" spans="1:142" s="602" customFormat="1" ht="30" customHeight="1">
      <c r="A59" s="621" t="s">
        <v>2504</v>
      </c>
      <c r="B59" s="692" t="s">
        <v>2505</v>
      </c>
      <c r="C59" s="693" t="s">
        <v>2506</v>
      </c>
      <c r="D59" s="694" t="s">
        <v>2495</v>
      </c>
      <c r="E59" s="695">
        <v>1</v>
      </c>
      <c r="F59" s="695" t="s">
        <v>2381</v>
      </c>
      <c r="G59" s="694" t="s">
        <v>2009</v>
      </c>
      <c r="H59" s="694" t="s">
        <v>2496</v>
      </c>
      <c r="I59" s="694" t="s">
        <v>2507</v>
      </c>
      <c r="J59" s="694">
        <v>56</v>
      </c>
      <c r="K59" s="696" t="s">
        <v>7650</v>
      </c>
      <c r="L59" s="15117"/>
      <c r="M59" s="15120"/>
      <c r="N59" s="697">
        <v>1</v>
      </c>
      <c r="O59" s="697">
        <v>4</v>
      </c>
      <c r="P59" s="697" t="s">
        <v>2005</v>
      </c>
      <c r="Q59" s="698" t="s">
        <v>2509</v>
      </c>
      <c r="R59" s="699">
        <v>1</v>
      </c>
      <c r="S59" s="15122"/>
      <c r="T59" s="524">
        <f>9/9*100%</f>
        <v>1</v>
      </c>
      <c r="U59" s="568" t="s">
        <v>4437</v>
      </c>
      <c r="V59" s="573" t="s">
        <v>4438</v>
      </c>
      <c r="W59" s="569"/>
      <c r="X59" s="570">
        <f>Y59+Z59+AA59</f>
        <v>5000000</v>
      </c>
      <c r="Y59" s="570">
        <v>5000000</v>
      </c>
      <c r="Z59" s="570">
        <v>0</v>
      </c>
      <c r="AA59" s="570">
        <v>0</v>
      </c>
      <c r="AB59" s="569">
        <v>220</v>
      </c>
      <c r="AC59" s="569">
        <v>67</v>
      </c>
      <c r="AD59" s="569">
        <v>153</v>
      </c>
      <c r="AE59" s="569"/>
      <c r="AF59" s="569"/>
      <c r="AG59" s="569"/>
      <c r="AH59" s="569"/>
      <c r="AI59" s="569"/>
      <c r="AJ59" s="569"/>
      <c r="AK59" s="569"/>
      <c r="AL59" s="569"/>
      <c r="AM59" s="569"/>
      <c r="AN59" s="569"/>
      <c r="AO59" s="569"/>
      <c r="AP59" s="569"/>
      <c r="AQ59" s="569"/>
      <c r="AR59" s="569"/>
      <c r="AS59" s="569"/>
      <c r="AT59" s="569"/>
      <c r="AU59" s="569"/>
      <c r="AV59" s="569"/>
      <c r="AW59" s="569"/>
      <c r="AX59" s="569"/>
      <c r="AY59" s="569"/>
      <c r="AZ59" s="569"/>
      <c r="BA59" s="569"/>
      <c r="BB59" s="569"/>
      <c r="BC59" s="569"/>
      <c r="BD59" s="569"/>
      <c r="BE59" s="569"/>
      <c r="BF59" s="569"/>
      <c r="BG59" s="569"/>
      <c r="BH59" s="569"/>
      <c r="BI59" s="558"/>
      <c r="BJ59" s="558"/>
      <c r="BK59" s="559"/>
      <c r="BL59" s="939"/>
      <c r="BM59" s="15003" t="s">
        <v>2504</v>
      </c>
      <c r="BN59" s="15003" t="s">
        <v>2505</v>
      </c>
      <c r="BO59" s="15006" t="s">
        <v>2506</v>
      </c>
      <c r="BP59" s="15006"/>
      <c r="BQ59" s="14910" t="s">
        <v>2495</v>
      </c>
      <c r="BR59" s="14997">
        <v>1</v>
      </c>
      <c r="BS59" s="14997" t="s">
        <v>2381</v>
      </c>
      <c r="BT59" s="14910" t="s">
        <v>2009</v>
      </c>
      <c r="BU59" s="14910" t="s">
        <v>2496</v>
      </c>
      <c r="BV59" s="15007" t="s">
        <v>2507</v>
      </c>
      <c r="BW59" s="14910">
        <v>56</v>
      </c>
      <c r="BX59" s="14910" t="s">
        <v>7650</v>
      </c>
      <c r="BY59" s="14910" t="s">
        <v>2508</v>
      </c>
      <c r="BZ59" s="14913" t="s">
        <v>10063</v>
      </c>
      <c r="CA59" s="14910" t="s">
        <v>2323</v>
      </c>
      <c r="CB59" s="14910"/>
      <c r="CC59" s="14992">
        <v>1</v>
      </c>
      <c r="CD59" s="14992">
        <v>4</v>
      </c>
      <c r="CE59" s="14992" t="s">
        <v>2005</v>
      </c>
      <c r="CF59" s="14910" t="s">
        <v>2509</v>
      </c>
      <c r="CG59" s="14992">
        <v>1</v>
      </c>
      <c r="CH59" s="14992">
        <v>1</v>
      </c>
      <c r="CI59" s="14995">
        <v>1</v>
      </c>
      <c r="CJ59" s="14992">
        <v>1</v>
      </c>
      <c r="CK59" s="14996">
        <v>1</v>
      </c>
      <c r="CL59" s="1167">
        <v>1</v>
      </c>
      <c r="CM59" s="14997">
        <v>1</v>
      </c>
      <c r="CN59" s="15000">
        <v>1</v>
      </c>
      <c r="CO59" s="14918">
        <f>AVERAGE(CM59)</f>
        <v>1</v>
      </c>
      <c r="CP59" s="975" t="s">
        <v>9985</v>
      </c>
      <c r="CQ59" s="1100"/>
      <c r="CR59" s="976">
        <v>10000000</v>
      </c>
      <c r="CS59" s="977"/>
      <c r="CT59" s="977"/>
      <c r="CU59" s="977"/>
      <c r="CV59" s="977">
        <v>320</v>
      </c>
      <c r="CW59" s="977">
        <v>112</v>
      </c>
      <c r="CX59" s="977">
        <v>208</v>
      </c>
      <c r="CY59" s="977" t="s">
        <v>2943</v>
      </c>
      <c r="CZ59" s="977" t="s">
        <v>2943</v>
      </c>
      <c r="DA59" s="977"/>
      <c r="DB59" s="977"/>
      <c r="DC59" s="977"/>
      <c r="DD59" s="977"/>
      <c r="DE59" s="977"/>
      <c r="DF59" s="978"/>
      <c r="DG59" s="1101"/>
      <c r="DH59" s="1101"/>
      <c r="DI59" s="1101"/>
      <c r="DJ59" s="1101"/>
      <c r="DK59" s="1101"/>
      <c r="DL59" s="1101"/>
      <c r="DM59" s="1101"/>
      <c r="DN59" s="1101"/>
      <c r="DO59" s="1101"/>
      <c r="DP59" s="1101"/>
      <c r="DQ59" s="1101"/>
      <c r="DR59" s="1101"/>
      <c r="DS59" s="1101"/>
      <c r="DT59" s="1101"/>
      <c r="DU59" s="1101"/>
      <c r="DV59" s="1101"/>
      <c r="DW59" s="1101"/>
      <c r="DX59" s="1101"/>
      <c r="DY59" s="1101"/>
      <c r="DZ59" s="1101"/>
      <c r="EA59"/>
      <c r="EB59"/>
      <c r="EC59"/>
      <c r="ED59"/>
      <c r="EE59"/>
      <c r="EF59"/>
      <c r="EG59"/>
      <c r="EH59"/>
      <c r="EI59"/>
      <c r="EJ59"/>
      <c r="EK59"/>
      <c r="EL59"/>
    </row>
    <row r="60" spans="1:142" s="602" customFormat="1" ht="30" customHeight="1">
      <c r="A60" s="621"/>
      <c r="B60" s="1007"/>
      <c r="C60" s="1008"/>
      <c r="D60" s="1009"/>
      <c r="E60" s="1010"/>
      <c r="F60" s="1010"/>
      <c r="G60" s="1009"/>
      <c r="H60" s="1009"/>
      <c r="I60" s="1009"/>
      <c r="J60" s="1009"/>
      <c r="K60" s="1009"/>
      <c r="L60" s="15117"/>
      <c r="M60" s="15120"/>
      <c r="N60" s="1011"/>
      <c r="O60" s="1011"/>
      <c r="P60" s="1011"/>
      <c r="Q60" s="1012"/>
      <c r="R60" s="1013"/>
      <c r="S60" s="15123"/>
      <c r="T60" s="1014"/>
      <c r="U60" s="1015"/>
      <c r="V60" s="1016"/>
      <c r="W60" s="1017"/>
      <c r="X60" s="1018"/>
      <c r="Y60" s="1018"/>
      <c r="Z60" s="1018"/>
      <c r="AA60" s="1018"/>
      <c r="AB60" s="1017"/>
      <c r="AC60" s="1017"/>
      <c r="AD60" s="1017"/>
      <c r="AE60" s="1017"/>
      <c r="AF60" s="1017"/>
      <c r="AG60" s="1017"/>
      <c r="AH60" s="1017"/>
      <c r="AI60" s="1017"/>
      <c r="AJ60" s="1017"/>
      <c r="AK60" s="1017"/>
      <c r="AL60" s="1017"/>
      <c r="AM60" s="1017"/>
      <c r="AN60" s="1017"/>
      <c r="AO60" s="1017"/>
      <c r="AP60" s="1017"/>
      <c r="AQ60" s="1017"/>
      <c r="AR60" s="1017"/>
      <c r="AS60" s="1017"/>
      <c r="AT60" s="1017"/>
      <c r="AU60" s="1017"/>
      <c r="AV60" s="1017"/>
      <c r="AW60" s="1017"/>
      <c r="AX60" s="1017"/>
      <c r="AY60" s="1017"/>
      <c r="AZ60" s="1017"/>
      <c r="BA60" s="1017"/>
      <c r="BB60" s="1017"/>
      <c r="BC60" s="1017"/>
      <c r="BD60" s="1017"/>
      <c r="BE60" s="1017"/>
      <c r="BF60" s="1017"/>
      <c r="BG60" s="1017"/>
      <c r="BH60" s="1017"/>
      <c r="BI60" s="1019"/>
      <c r="BJ60" s="1019"/>
      <c r="BK60" s="1020"/>
      <c r="BL60" s="939"/>
      <c r="BM60" s="15004"/>
      <c r="BN60" s="15004"/>
      <c r="BO60" s="14990" t="s">
        <v>9986</v>
      </c>
      <c r="BP60" s="14991"/>
      <c r="BQ60" s="14911"/>
      <c r="BR60" s="14998"/>
      <c r="BS60" s="14998"/>
      <c r="BT60" s="14911"/>
      <c r="BU60" s="14911"/>
      <c r="BV60" s="15008"/>
      <c r="BW60" s="14911"/>
      <c r="BX60" s="14911"/>
      <c r="BY60" s="14911"/>
      <c r="BZ60" s="14911"/>
      <c r="CA60" s="14911"/>
      <c r="CB60" s="14911"/>
      <c r="CC60" s="14993"/>
      <c r="CD60" s="14993"/>
      <c r="CE60" s="14993"/>
      <c r="CF60" s="14911"/>
      <c r="CG60" s="14993"/>
      <c r="CH60" s="14993"/>
      <c r="CI60" s="14995"/>
      <c r="CJ60" s="14993"/>
      <c r="CK60" s="14993"/>
      <c r="CL60" s="1167"/>
      <c r="CM60" s="14998"/>
      <c r="CN60" s="15001"/>
      <c r="CO60" s="14919"/>
      <c r="CP60" s="979"/>
      <c r="CQ60" s="980"/>
      <c r="CR60" s="981"/>
      <c r="CS60" s="980"/>
      <c r="CT60" s="980"/>
      <c r="CU60" s="980"/>
      <c r="CV60" s="980"/>
      <c r="CW60" s="980"/>
      <c r="CX60" s="980"/>
      <c r="CY60" s="980"/>
      <c r="CZ60" s="980"/>
      <c r="DA60" s="980"/>
      <c r="DB60" s="980"/>
      <c r="DC60" s="980"/>
      <c r="DD60" s="980"/>
      <c r="DE60" s="980"/>
      <c r="DF60" s="1100"/>
      <c r="DG60" s="1101"/>
      <c r="DH60" s="1101"/>
      <c r="DI60" s="1101"/>
      <c r="DJ60" s="1101"/>
      <c r="DK60" s="1101"/>
      <c r="DL60" s="1101"/>
      <c r="DM60" s="1101"/>
      <c r="DN60" s="1101"/>
      <c r="DO60" s="1101"/>
      <c r="DP60" s="1101"/>
      <c r="DQ60" s="1101"/>
      <c r="DR60" s="1101"/>
      <c r="DS60" s="1101"/>
      <c r="DT60" s="1101"/>
      <c r="DU60" s="1101"/>
      <c r="DV60" s="1101"/>
      <c r="DW60" s="1101"/>
      <c r="DX60" s="1101"/>
      <c r="DY60" s="1101"/>
      <c r="DZ60" s="1101"/>
      <c r="EA60"/>
      <c r="EB60"/>
      <c r="EC60"/>
      <c r="ED60"/>
      <c r="EE60"/>
      <c r="EF60"/>
      <c r="EG60"/>
      <c r="EH60"/>
      <c r="EI60"/>
      <c r="EJ60"/>
      <c r="EK60"/>
      <c r="EL60"/>
    </row>
    <row r="61" spans="1:142" s="602" customFormat="1" ht="30" customHeight="1">
      <c r="A61" s="621"/>
      <c r="B61" s="1007"/>
      <c r="C61" s="1008"/>
      <c r="D61" s="1009"/>
      <c r="E61" s="1010"/>
      <c r="F61" s="1010"/>
      <c r="G61" s="1009"/>
      <c r="H61" s="1009"/>
      <c r="I61" s="1009"/>
      <c r="J61" s="1009"/>
      <c r="K61" s="1009"/>
      <c r="L61" s="15117"/>
      <c r="M61" s="15120"/>
      <c r="N61" s="1011"/>
      <c r="O61" s="1011"/>
      <c r="P61" s="1011"/>
      <c r="Q61" s="1012"/>
      <c r="R61" s="1013"/>
      <c r="S61" s="15123"/>
      <c r="T61" s="1014"/>
      <c r="U61" s="1015"/>
      <c r="V61" s="1016"/>
      <c r="W61" s="1017"/>
      <c r="X61" s="1018"/>
      <c r="Y61" s="1018"/>
      <c r="Z61" s="1018"/>
      <c r="AA61" s="1018"/>
      <c r="AB61" s="1017"/>
      <c r="AC61" s="1017"/>
      <c r="AD61" s="1017"/>
      <c r="AE61" s="1017"/>
      <c r="AF61" s="1017"/>
      <c r="AG61" s="1017"/>
      <c r="AH61" s="1017"/>
      <c r="AI61" s="1017"/>
      <c r="AJ61" s="1017"/>
      <c r="AK61" s="1017"/>
      <c r="AL61" s="1017"/>
      <c r="AM61" s="1017"/>
      <c r="AN61" s="1017"/>
      <c r="AO61" s="1017"/>
      <c r="AP61" s="1017"/>
      <c r="AQ61" s="1017"/>
      <c r="AR61" s="1017"/>
      <c r="AS61" s="1017"/>
      <c r="AT61" s="1017"/>
      <c r="AU61" s="1017"/>
      <c r="AV61" s="1017"/>
      <c r="AW61" s="1017"/>
      <c r="AX61" s="1017"/>
      <c r="AY61" s="1017"/>
      <c r="AZ61" s="1017"/>
      <c r="BA61" s="1017"/>
      <c r="BB61" s="1017"/>
      <c r="BC61" s="1017"/>
      <c r="BD61" s="1017"/>
      <c r="BE61" s="1017"/>
      <c r="BF61" s="1017"/>
      <c r="BG61" s="1017"/>
      <c r="BH61" s="1017"/>
      <c r="BI61" s="1019"/>
      <c r="BJ61" s="1019"/>
      <c r="BK61" s="1020"/>
      <c r="BL61" s="939"/>
      <c r="BM61" s="15004"/>
      <c r="BN61" s="15004"/>
      <c r="BO61" s="14990" t="s">
        <v>9987</v>
      </c>
      <c r="BP61" s="14991"/>
      <c r="BQ61" s="14911"/>
      <c r="BR61" s="14998"/>
      <c r="BS61" s="14998"/>
      <c r="BT61" s="14911"/>
      <c r="BU61" s="14911"/>
      <c r="BV61" s="15008"/>
      <c r="BW61" s="14911"/>
      <c r="BX61" s="14911"/>
      <c r="BY61" s="14911"/>
      <c r="BZ61" s="14911"/>
      <c r="CA61" s="14911"/>
      <c r="CB61" s="14911"/>
      <c r="CC61" s="14993"/>
      <c r="CD61" s="14993"/>
      <c r="CE61" s="14993"/>
      <c r="CF61" s="14911"/>
      <c r="CG61" s="14993"/>
      <c r="CH61" s="14993"/>
      <c r="CI61" s="14995"/>
      <c r="CJ61" s="14993"/>
      <c r="CK61" s="14993"/>
      <c r="CL61" s="1167"/>
      <c r="CM61" s="14998"/>
      <c r="CN61" s="15001"/>
      <c r="CO61" s="14919"/>
      <c r="CP61" s="979"/>
      <c r="CQ61" s="980"/>
      <c r="CR61" s="981"/>
      <c r="CS61" s="980"/>
      <c r="CT61" s="980"/>
      <c r="CU61" s="980"/>
      <c r="CV61" s="980"/>
      <c r="CW61" s="980"/>
      <c r="CX61" s="980"/>
      <c r="CY61" s="980"/>
      <c r="CZ61" s="980"/>
      <c r="DA61" s="980"/>
      <c r="DB61" s="980"/>
      <c r="DC61" s="980"/>
      <c r="DD61" s="980"/>
      <c r="DE61" s="980"/>
      <c r="DF61" s="1100"/>
      <c r="DG61" s="1101"/>
      <c r="DH61" s="1101"/>
      <c r="DI61" s="1101"/>
      <c r="DJ61" s="1101"/>
      <c r="DK61" s="1101"/>
      <c r="DL61" s="1101"/>
      <c r="DM61" s="1101"/>
      <c r="DN61" s="1101"/>
      <c r="DO61" s="1101"/>
      <c r="DP61" s="1101"/>
      <c r="DQ61" s="1101"/>
      <c r="DR61" s="1101"/>
      <c r="DS61" s="1101"/>
      <c r="DT61" s="1101"/>
      <c r="DU61" s="1101"/>
      <c r="DV61" s="1101"/>
      <c r="DW61" s="1101"/>
      <c r="DX61" s="1101"/>
      <c r="DY61" s="1101"/>
      <c r="DZ61" s="1101"/>
      <c r="EA61"/>
      <c r="EB61"/>
      <c r="EC61"/>
      <c r="ED61"/>
      <c r="EE61"/>
      <c r="EF61"/>
      <c r="EG61"/>
      <c r="EH61"/>
      <c r="EI61"/>
      <c r="EJ61"/>
      <c r="EK61"/>
      <c r="EL61"/>
    </row>
    <row r="62" spans="1:142" s="602" customFormat="1" ht="30" customHeight="1">
      <c r="A62" s="621"/>
      <c r="B62" s="1007"/>
      <c r="C62" s="1008"/>
      <c r="D62" s="1009"/>
      <c r="E62" s="1010"/>
      <c r="F62" s="1010"/>
      <c r="G62" s="1009"/>
      <c r="H62" s="1009"/>
      <c r="I62" s="1009"/>
      <c r="J62" s="1009"/>
      <c r="K62" s="1009"/>
      <c r="L62" s="15117"/>
      <c r="M62" s="15120"/>
      <c r="N62" s="1011"/>
      <c r="O62" s="1011"/>
      <c r="P62" s="1011"/>
      <c r="Q62" s="1012"/>
      <c r="R62" s="1013"/>
      <c r="S62" s="15123"/>
      <c r="T62" s="1014"/>
      <c r="U62" s="1015"/>
      <c r="V62" s="1016"/>
      <c r="W62" s="1017"/>
      <c r="X62" s="1018"/>
      <c r="Y62" s="1018"/>
      <c r="Z62" s="1018"/>
      <c r="AA62" s="1018"/>
      <c r="AB62" s="1017"/>
      <c r="AC62" s="1017"/>
      <c r="AD62" s="1017"/>
      <c r="AE62" s="1017"/>
      <c r="AF62" s="1017"/>
      <c r="AG62" s="1017"/>
      <c r="AH62" s="1017"/>
      <c r="AI62" s="1017"/>
      <c r="AJ62" s="1017"/>
      <c r="AK62" s="1017"/>
      <c r="AL62" s="1017"/>
      <c r="AM62" s="1017"/>
      <c r="AN62" s="1017"/>
      <c r="AO62" s="1017"/>
      <c r="AP62" s="1017"/>
      <c r="AQ62" s="1017"/>
      <c r="AR62" s="1017"/>
      <c r="AS62" s="1017"/>
      <c r="AT62" s="1017"/>
      <c r="AU62" s="1017"/>
      <c r="AV62" s="1017"/>
      <c r="AW62" s="1017"/>
      <c r="AX62" s="1017"/>
      <c r="AY62" s="1017"/>
      <c r="AZ62" s="1017"/>
      <c r="BA62" s="1017"/>
      <c r="BB62" s="1017"/>
      <c r="BC62" s="1017"/>
      <c r="BD62" s="1017"/>
      <c r="BE62" s="1017"/>
      <c r="BF62" s="1017"/>
      <c r="BG62" s="1017"/>
      <c r="BH62" s="1017"/>
      <c r="BI62" s="1019"/>
      <c r="BJ62" s="1019"/>
      <c r="BK62" s="1020"/>
      <c r="BL62" s="939"/>
      <c r="BM62" s="15005"/>
      <c r="BN62" s="15005"/>
      <c r="BO62" s="14990" t="s">
        <v>9988</v>
      </c>
      <c r="BP62" s="14991"/>
      <c r="BQ62" s="14912"/>
      <c r="BR62" s="14999"/>
      <c r="BS62" s="14999"/>
      <c r="BT62" s="14912"/>
      <c r="BU62" s="14912"/>
      <c r="BV62" s="15009"/>
      <c r="BW62" s="14912"/>
      <c r="BX62" s="14912"/>
      <c r="BY62" s="14912"/>
      <c r="BZ62" s="14912"/>
      <c r="CA62" s="14912"/>
      <c r="CB62" s="14912"/>
      <c r="CC62" s="14994"/>
      <c r="CD62" s="14994"/>
      <c r="CE62" s="14994"/>
      <c r="CF62" s="14912"/>
      <c r="CG62" s="14994"/>
      <c r="CH62" s="14994"/>
      <c r="CI62" s="14995"/>
      <c r="CJ62" s="14994"/>
      <c r="CK62" s="14994"/>
      <c r="CL62" s="1167"/>
      <c r="CM62" s="14999"/>
      <c r="CN62" s="15002"/>
      <c r="CO62" s="14920"/>
      <c r="CP62" s="982"/>
      <c r="CQ62" s="983"/>
      <c r="CR62" s="984"/>
      <c r="CS62" s="983"/>
      <c r="CT62" s="983"/>
      <c r="CU62" s="983"/>
      <c r="CV62" s="983"/>
      <c r="CW62" s="983"/>
      <c r="CX62" s="983"/>
      <c r="CY62" s="983"/>
      <c r="CZ62" s="983"/>
      <c r="DA62" s="983"/>
      <c r="DB62" s="983"/>
      <c r="DC62" s="983"/>
      <c r="DD62" s="983"/>
      <c r="DE62" s="983"/>
      <c r="DF62" s="1100"/>
      <c r="DG62" s="1101"/>
      <c r="DH62" s="1101"/>
      <c r="DI62" s="1101"/>
      <c r="DJ62" s="1101"/>
      <c r="DK62" s="1101"/>
      <c r="DL62" s="1101"/>
      <c r="DM62" s="1101"/>
      <c r="DN62" s="1101"/>
      <c r="DO62" s="1101"/>
      <c r="DP62" s="1101"/>
      <c r="DQ62" s="1101"/>
      <c r="DR62" s="1101"/>
      <c r="DS62" s="1101"/>
      <c r="DT62" s="1101"/>
      <c r="DU62" s="1101"/>
      <c r="DV62" s="1101"/>
      <c r="DW62" s="1101"/>
      <c r="DX62" s="1101"/>
      <c r="DY62" s="1101"/>
      <c r="DZ62" s="1101"/>
      <c r="EA62"/>
      <c r="EB62"/>
      <c r="EC62"/>
      <c r="ED62"/>
      <c r="EE62"/>
      <c r="EF62"/>
      <c r="EG62"/>
      <c r="EH62"/>
      <c r="EI62"/>
      <c r="EJ62"/>
      <c r="EK62"/>
      <c r="EL62"/>
    </row>
    <row r="63" spans="1:142" s="602" customFormat="1" ht="30" customHeight="1">
      <c r="A63" s="595" t="s">
        <v>2510</v>
      </c>
      <c r="B63" s="15124" t="s">
        <v>2511</v>
      </c>
      <c r="C63" s="700" t="s">
        <v>2512</v>
      </c>
      <c r="D63" s="701"/>
      <c r="E63" s="702"/>
      <c r="F63" s="703"/>
      <c r="G63" s="702"/>
      <c r="H63" s="701"/>
      <c r="I63" s="702" t="s">
        <v>2513</v>
      </c>
      <c r="J63" s="702">
        <v>58</v>
      </c>
      <c r="K63" s="704" t="s">
        <v>7651</v>
      </c>
      <c r="L63" s="15118"/>
      <c r="M63" s="15121"/>
      <c r="N63" s="558" t="s">
        <v>70</v>
      </c>
      <c r="O63" s="591">
        <v>1</v>
      </c>
      <c r="P63" s="558" t="s">
        <v>2009</v>
      </c>
      <c r="Q63" s="698" t="s">
        <v>2516</v>
      </c>
      <c r="R63" s="666">
        <v>1005</v>
      </c>
      <c r="S63" s="15122"/>
      <c r="T63" s="705">
        <v>1</v>
      </c>
      <c r="U63" s="706"/>
      <c r="V63" s="706"/>
      <c r="W63" s="706"/>
      <c r="X63" s="706"/>
      <c r="Y63" s="707" t="s">
        <v>4439</v>
      </c>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6"/>
      <c r="AY63" s="706"/>
      <c r="AZ63" s="706"/>
      <c r="BA63" s="706"/>
      <c r="BB63" s="706"/>
      <c r="BC63" s="706"/>
      <c r="BD63" s="706"/>
      <c r="BE63" s="706"/>
      <c r="BF63" s="706"/>
      <c r="BG63" s="706"/>
      <c r="BH63" s="706"/>
      <c r="BI63" s="706"/>
      <c r="BJ63" s="706"/>
      <c r="BK63" s="706"/>
      <c r="BL63" s="939"/>
      <c r="BM63" s="14983" t="s">
        <v>2510</v>
      </c>
      <c r="BN63" s="14985" t="s">
        <v>2511</v>
      </c>
      <c r="BO63" s="14972" t="s">
        <v>2512</v>
      </c>
      <c r="BP63" s="1027" t="s">
        <v>9989</v>
      </c>
      <c r="BQ63" s="14975"/>
      <c r="BR63" s="1024"/>
      <c r="BS63" s="1029"/>
      <c r="BT63" s="1021"/>
      <c r="BU63" s="14975"/>
      <c r="BV63" s="1024" t="s">
        <v>2513</v>
      </c>
      <c r="BW63" s="1021">
        <v>58</v>
      </c>
      <c r="BX63" s="1021" t="s">
        <v>7651</v>
      </c>
      <c r="BY63" s="14975" t="s">
        <v>2514</v>
      </c>
      <c r="BZ63" s="14914" t="s">
        <v>4332</v>
      </c>
      <c r="CA63" s="14916" t="s">
        <v>2515</v>
      </c>
      <c r="CB63" s="1022"/>
      <c r="CC63" s="1022" t="s">
        <v>70</v>
      </c>
      <c r="CD63" s="1025">
        <v>1</v>
      </c>
      <c r="CE63" s="1022" t="s">
        <v>2009</v>
      </c>
      <c r="CF63" s="14975" t="s">
        <v>2516</v>
      </c>
      <c r="CG63" s="1025">
        <v>1</v>
      </c>
      <c r="CH63" s="1025">
        <v>1</v>
      </c>
      <c r="CI63" s="1022">
        <v>1005</v>
      </c>
      <c r="CJ63" s="1022">
        <v>1005</v>
      </c>
      <c r="CK63" s="1025">
        <v>1</v>
      </c>
      <c r="CL63" s="1167">
        <v>1</v>
      </c>
      <c r="CM63" s="14921">
        <f>AVERAGE(CL63:CL79)</f>
        <v>0.69500000000000006</v>
      </c>
      <c r="CN63" s="14987">
        <v>18</v>
      </c>
      <c r="CO63" s="14921">
        <f>AVERAGE(CL63:CL79)</f>
        <v>0.69500000000000006</v>
      </c>
      <c r="CP63" s="985"/>
      <c r="CQ63" s="1021"/>
      <c r="CR63" s="1030"/>
      <c r="CS63" s="1021"/>
      <c r="CT63" s="1021"/>
      <c r="CU63" s="1021"/>
      <c r="CV63" s="1021"/>
      <c r="CW63" s="1021"/>
      <c r="CX63" s="1021"/>
      <c r="CY63" s="1021"/>
      <c r="CZ63" s="1021"/>
      <c r="DA63" s="1021"/>
      <c r="DB63" s="1021"/>
      <c r="DC63" s="1021"/>
      <c r="DD63" s="1021"/>
      <c r="DE63" s="1021"/>
      <c r="DF63" s="1022"/>
      <c r="DG63" s="1022"/>
      <c r="DH63" s="1022"/>
      <c r="DI63" s="1022"/>
      <c r="DJ63" s="1022"/>
      <c r="DK63" s="1022"/>
      <c r="DL63" s="1022"/>
      <c r="DM63" s="1022"/>
      <c r="DN63" s="1022"/>
      <c r="DO63" s="1022"/>
      <c r="DP63" s="1022"/>
      <c r="DQ63" s="1022"/>
      <c r="DR63" s="1022"/>
      <c r="DS63" s="1022"/>
      <c r="DT63" s="1022"/>
      <c r="DU63" s="1022"/>
      <c r="DV63" s="1022"/>
      <c r="DW63" s="1022"/>
      <c r="DX63" s="1022"/>
      <c r="DY63" s="1022"/>
      <c r="DZ63" s="1022"/>
      <c r="EA63"/>
      <c r="EB63"/>
      <c r="EC63"/>
      <c r="ED63"/>
      <c r="EE63"/>
      <c r="EF63"/>
      <c r="EG63"/>
      <c r="EH63"/>
      <c r="EI63"/>
      <c r="EJ63"/>
      <c r="EK63"/>
      <c r="EL63"/>
    </row>
    <row r="64" spans="1:142" s="602" customFormat="1" ht="30" customHeight="1">
      <c r="A64" s="595" t="s">
        <v>2510</v>
      </c>
      <c r="B64" s="15125"/>
      <c r="C64" s="700" t="s">
        <v>2512</v>
      </c>
      <c r="D64" s="702" t="s">
        <v>2517</v>
      </c>
      <c r="E64" s="708" t="s">
        <v>1582</v>
      </c>
      <c r="F64" s="708">
        <v>8</v>
      </c>
      <c r="G64" s="702" t="s">
        <v>2005</v>
      </c>
      <c r="H64" s="702" t="s">
        <v>2518</v>
      </c>
      <c r="I64" s="702" t="s">
        <v>2472</v>
      </c>
      <c r="J64" s="702">
        <v>60</v>
      </c>
      <c r="K64" s="704" t="s">
        <v>7652</v>
      </c>
      <c r="L64" s="15116" t="s">
        <v>2514</v>
      </c>
      <c r="M64" s="630" t="s">
        <v>2515</v>
      </c>
      <c r="N64" s="560" t="s">
        <v>70</v>
      </c>
      <c r="O64" s="566">
        <v>100</v>
      </c>
      <c r="P64" s="558" t="s">
        <v>2005</v>
      </c>
      <c r="Q64" s="560" t="s">
        <v>2520</v>
      </c>
      <c r="R64" s="673">
        <v>25</v>
      </c>
      <c r="S64" s="630">
        <v>1005</v>
      </c>
      <c r="T64" s="668"/>
      <c r="U64" s="675" t="s">
        <v>9619</v>
      </c>
      <c r="V64" s="560" t="s">
        <v>4440</v>
      </c>
      <c r="W64" s="675" t="s">
        <v>4441</v>
      </c>
      <c r="X64" s="557">
        <v>51488866.598399997</v>
      </c>
      <c r="Y64" s="557">
        <v>51488866.598399997</v>
      </c>
      <c r="Z64" s="558"/>
      <c r="AA64" s="558"/>
      <c r="AB64" s="558">
        <v>38</v>
      </c>
      <c r="AC64" s="558">
        <v>30</v>
      </c>
      <c r="AD64" s="558">
        <v>8</v>
      </c>
      <c r="AE64" s="558">
        <v>38</v>
      </c>
      <c r="AF64" s="558">
        <v>0</v>
      </c>
      <c r="AG64" s="558">
        <v>0</v>
      </c>
      <c r="AH64" s="558">
        <v>0</v>
      </c>
      <c r="AI64" s="558">
        <v>0</v>
      </c>
      <c r="AJ64" s="558">
        <v>10</v>
      </c>
      <c r="AK64" s="558">
        <v>18</v>
      </c>
      <c r="AL64" s="558">
        <v>9</v>
      </c>
      <c r="AM64" s="558">
        <v>1</v>
      </c>
      <c r="AN64" s="558">
        <v>0</v>
      </c>
      <c r="AO64" s="558">
        <v>0</v>
      </c>
      <c r="AP64" s="558">
        <v>0</v>
      </c>
      <c r="AQ64" s="558">
        <v>38</v>
      </c>
      <c r="AR64" s="558">
        <v>0</v>
      </c>
      <c r="AS64" s="558">
        <v>0</v>
      </c>
      <c r="AT64" s="558">
        <v>0</v>
      </c>
      <c r="AU64" s="558">
        <v>0</v>
      </c>
      <c r="AV64" s="558">
        <v>35</v>
      </c>
      <c r="AW64" s="558">
        <v>2</v>
      </c>
      <c r="AX64" s="558">
        <v>1</v>
      </c>
      <c r="AY64" s="558">
        <v>0</v>
      </c>
      <c r="AZ64" s="558">
        <v>0</v>
      </c>
      <c r="BA64" s="558">
        <v>0</v>
      </c>
      <c r="BB64" s="558"/>
      <c r="BC64" s="558"/>
      <c r="BD64" s="558"/>
      <c r="BE64" s="558"/>
      <c r="BF64" s="558"/>
      <c r="BG64" s="558"/>
      <c r="BH64" s="558"/>
      <c r="BI64" s="558"/>
      <c r="BJ64" s="558"/>
      <c r="BK64" s="559"/>
      <c r="BL64" s="939"/>
      <c r="BM64" s="14983"/>
      <c r="BN64" s="14985"/>
      <c r="BO64" s="14973"/>
      <c r="BP64" s="1027" t="s">
        <v>9990</v>
      </c>
      <c r="BQ64" s="14915"/>
      <c r="BR64" s="1024"/>
      <c r="BS64" s="1029"/>
      <c r="BT64" s="1021"/>
      <c r="BU64" s="14915"/>
      <c r="BV64" s="1024" t="s">
        <v>2513</v>
      </c>
      <c r="BW64" s="1021">
        <v>59</v>
      </c>
      <c r="BX64" s="1021"/>
      <c r="BY64" s="14915"/>
      <c r="BZ64" s="14915"/>
      <c r="CA64" s="14917"/>
      <c r="CB64" s="1021"/>
      <c r="CC64" s="1022" t="s">
        <v>70</v>
      </c>
      <c r="CD64" s="1025">
        <v>1</v>
      </c>
      <c r="CE64" s="1022" t="s">
        <v>2009</v>
      </c>
      <c r="CF64" s="14915"/>
      <c r="CG64" s="1025">
        <v>1</v>
      </c>
      <c r="CH64" s="1025">
        <v>1</v>
      </c>
      <c r="CI64" s="1025">
        <v>1</v>
      </c>
      <c r="CJ64" s="1025">
        <v>1</v>
      </c>
      <c r="CK64" s="1025">
        <v>1</v>
      </c>
      <c r="CL64" s="1167">
        <v>1</v>
      </c>
      <c r="CM64" s="14922"/>
      <c r="CN64" s="14988"/>
      <c r="CO64" s="14922"/>
      <c r="CP64" s="986"/>
      <c r="CQ64" s="1022"/>
      <c r="CR64" s="1028"/>
      <c r="CS64" s="1022"/>
      <c r="CT64" s="1022"/>
      <c r="CU64" s="1022"/>
      <c r="CV64" s="1022"/>
      <c r="CW64" s="1022"/>
      <c r="CX64" s="1022"/>
      <c r="CY64" s="1022"/>
      <c r="CZ64" s="1022"/>
      <c r="DA64" s="1022"/>
      <c r="DB64" s="1022"/>
      <c r="DC64" s="1022"/>
      <c r="DD64" s="1022"/>
      <c r="DE64" s="1022"/>
      <c r="DF64" s="1022"/>
      <c r="DG64" s="1022"/>
      <c r="DH64" s="1022"/>
      <c r="DI64" s="1022"/>
      <c r="DJ64" s="1022"/>
      <c r="DK64" s="1022"/>
      <c r="DL64" s="1022"/>
      <c r="DM64" s="1022"/>
      <c r="DN64" s="1022"/>
      <c r="DO64" s="1022"/>
      <c r="DP64" s="1022"/>
      <c r="DQ64" s="1022"/>
      <c r="DR64" s="1022"/>
      <c r="DS64" s="1022"/>
      <c r="DT64" s="1022"/>
      <c r="DU64" s="1022"/>
      <c r="DV64" s="1022"/>
      <c r="DW64" s="1022"/>
      <c r="DX64" s="1022"/>
      <c r="DY64" s="1022"/>
      <c r="DZ64" s="1022"/>
      <c r="EA64"/>
      <c r="EB64"/>
      <c r="EC64"/>
      <c r="ED64"/>
      <c r="EE64"/>
      <c r="EF64"/>
      <c r="EG64"/>
      <c r="EH64"/>
      <c r="EI64"/>
      <c r="EJ64"/>
      <c r="EK64"/>
      <c r="EL64"/>
    </row>
    <row r="65" spans="1:142" s="602" customFormat="1" ht="30" customHeight="1">
      <c r="A65" s="595" t="s">
        <v>2510</v>
      </c>
      <c r="B65" s="15125"/>
      <c r="C65" s="700" t="s">
        <v>2512</v>
      </c>
      <c r="D65" s="702" t="s">
        <v>2517</v>
      </c>
      <c r="E65" s="708" t="s">
        <v>1582</v>
      </c>
      <c r="F65" s="708">
        <v>8</v>
      </c>
      <c r="G65" s="702" t="s">
        <v>284</v>
      </c>
      <c r="H65" s="702" t="s">
        <v>2518</v>
      </c>
      <c r="I65" s="702" t="s">
        <v>2461</v>
      </c>
      <c r="J65" s="702">
        <v>61</v>
      </c>
      <c r="K65" s="704" t="s">
        <v>7653</v>
      </c>
      <c r="L65" s="15118"/>
      <c r="M65" s="610" t="s">
        <v>2515</v>
      </c>
      <c r="N65" s="558" t="s">
        <v>1732</v>
      </c>
      <c r="O65" s="591">
        <v>0.25</v>
      </c>
      <c r="P65" s="558" t="s">
        <v>2009</v>
      </c>
      <c r="Q65" s="560" t="s">
        <v>2522</v>
      </c>
      <c r="R65" s="709">
        <v>0.75</v>
      </c>
      <c r="S65" s="601">
        <v>1</v>
      </c>
      <c r="T65" s="574"/>
      <c r="U65" s="675" t="s">
        <v>9620</v>
      </c>
      <c r="V65" s="560" t="s">
        <v>4417</v>
      </c>
      <c r="W65" s="675" t="s">
        <v>4425</v>
      </c>
      <c r="X65" s="557">
        <v>51488866.598399997</v>
      </c>
      <c r="Y65" s="557">
        <v>51488866.598399997</v>
      </c>
      <c r="Z65" s="558"/>
      <c r="AA65" s="558"/>
      <c r="AB65" s="558">
        <v>117</v>
      </c>
      <c r="AC65" s="558">
        <v>56</v>
      </c>
      <c r="AD65" s="558">
        <v>61</v>
      </c>
      <c r="AE65" s="558">
        <v>112</v>
      </c>
      <c r="AF65" s="558">
        <v>5</v>
      </c>
      <c r="AG65" s="558">
        <v>0</v>
      </c>
      <c r="AH65" s="558">
        <v>0</v>
      </c>
      <c r="AI65" s="558">
        <v>0</v>
      </c>
      <c r="AJ65" s="558">
        <v>117</v>
      </c>
      <c r="AK65" s="558">
        <v>0</v>
      </c>
      <c r="AL65" s="558">
        <v>0</v>
      </c>
      <c r="AM65" s="558">
        <v>0</v>
      </c>
      <c r="AN65" s="558">
        <v>0</v>
      </c>
      <c r="AO65" s="558">
        <v>0</v>
      </c>
      <c r="AP65" s="558">
        <v>0</v>
      </c>
      <c r="AQ65" s="558">
        <v>114</v>
      </c>
      <c r="AR65" s="558">
        <v>3</v>
      </c>
      <c r="AS65" s="558">
        <v>0</v>
      </c>
      <c r="AT65" s="558">
        <v>0</v>
      </c>
      <c r="AU65" s="558">
        <v>0</v>
      </c>
      <c r="AV65" s="558">
        <v>86</v>
      </c>
      <c r="AW65" s="558">
        <v>19</v>
      </c>
      <c r="AX65" s="558">
        <v>12</v>
      </c>
      <c r="AY65" s="558">
        <v>0</v>
      </c>
      <c r="AZ65" s="558">
        <v>0</v>
      </c>
      <c r="BA65" s="558">
        <v>0</v>
      </c>
      <c r="BB65" s="558"/>
      <c r="BC65" s="558"/>
      <c r="BD65" s="558"/>
      <c r="BE65" s="558"/>
      <c r="BF65" s="558"/>
      <c r="BG65" s="558"/>
      <c r="BH65" s="558"/>
      <c r="BI65" s="558"/>
      <c r="BJ65" s="558"/>
      <c r="BK65" s="559"/>
      <c r="BL65" s="939"/>
      <c r="BM65" s="14983"/>
      <c r="BN65" s="14985"/>
      <c r="BO65" s="14973"/>
      <c r="BP65" s="14976" t="s">
        <v>9991</v>
      </c>
      <c r="BQ65" s="1021" t="s">
        <v>2517</v>
      </c>
      <c r="BR65" s="1023" t="s">
        <v>1582</v>
      </c>
      <c r="BS65" s="1022">
        <v>8</v>
      </c>
      <c r="BT65" s="1021" t="s">
        <v>2005</v>
      </c>
      <c r="BU65" s="1021" t="s">
        <v>2518</v>
      </c>
      <c r="BV65" s="1024" t="s">
        <v>2472</v>
      </c>
      <c r="BW65" s="1021">
        <v>60</v>
      </c>
      <c r="BX65" s="1021" t="s">
        <v>7652</v>
      </c>
      <c r="BY65" s="987" t="s">
        <v>2519</v>
      </c>
      <c r="BZ65" s="2858" t="s">
        <v>4305</v>
      </c>
      <c r="CA65" s="1021" t="s">
        <v>2456</v>
      </c>
      <c r="CB65" s="1021"/>
      <c r="CC65" s="1021" t="s">
        <v>70</v>
      </c>
      <c r="CD65" s="1102">
        <v>100</v>
      </c>
      <c r="CE65" s="1022" t="s">
        <v>2005</v>
      </c>
      <c r="CF65" s="1021" t="s">
        <v>2520</v>
      </c>
      <c r="CG65" s="1102">
        <v>25</v>
      </c>
      <c r="CH65" s="1022">
        <v>25</v>
      </c>
      <c r="CI65" s="1102">
        <v>25</v>
      </c>
      <c r="CJ65" s="1022">
        <v>25</v>
      </c>
      <c r="CK65" s="1022">
        <v>190</v>
      </c>
      <c r="CL65" s="1167">
        <v>1</v>
      </c>
      <c r="CM65" s="14922"/>
      <c r="CN65" s="14988"/>
      <c r="CO65" s="14922"/>
      <c r="CP65" s="988" t="s">
        <v>9992</v>
      </c>
      <c r="CQ65" s="1026"/>
      <c r="CR65" s="14923">
        <v>9652689</v>
      </c>
      <c r="CS65" s="989"/>
      <c r="CT65" s="989"/>
      <c r="CU65" s="989"/>
      <c r="CV65" s="989" t="s">
        <v>9993</v>
      </c>
      <c r="CW65" s="989"/>
      <c r="CX65" s="989"/>
      <c r="CY65" s="989"/>
      <c r="CZ65" s="989"/>
      <c r="DA65" s="989"/>
      <c r="DB65" s="989"/>
      <c r="DC65" s="989"/>
      <c r="DD65" s="989"/>
      <c r="DE65" s="989"/>
      <c r="DF65" s="1103"/>
      <c r="DG65" s="1104"/>
      <c r="DH65" s="1104"/>
      <c r="DI65" s="1104"/>
      <c r="DJ65" s="1104"/>
      <c r="DK65" s="1104"/>
      <c r="DL65" s="1104"/>
      <c r="DM65" s="1104"/>
      <c r="DN65" s="1104"/>
      <c r="DO65" s="1104"/>
      <c r="DP65" s="1104"/>
      <c r="DQ65" s="1104"/>
      <c r="DR65" s="1104"/>
      <c r="DS65" s="1104"/>
      <c r="DT65" s="1104"/>
      <c r="DU65" s="1104"/>
      <c r="DV65" s="1104"/>
      <c r="DW65" s="1104"/>
      <c r="DX65" s="1104"/>
      <c r="DY65" s="1104"/>
      <c r="DZ65" s="1104"/>
      <c r="EA65"/>
      <c r="EB65"/>
      <c r="EC65"/>
      <c r="ED65"/>
      <c r="EE65"/>
      <c r="EF65"/>
      <c r="EG65"/>
      <c r="EH65"/>
      <c r="EI65"/>
      <c r="EJ65"/>
      <c r="EK65"/>
      <c r="EL65"/>
    </row>
    <row r="66" spans="1:142" s="602" customFormat="1" ht="30" customHeight="1">
      <c r="A66" s="595" t="s">
        <v>2510</v>
      </c>
      <c r="B66" s="15125"/>
      <c r="C66" s="700" t="s">
        <v>2512</v>
      </c>
      <c r="D66" s="702" t="s">
        <v>2464</v>
      </c>
      <c r="E66" s="708" t="s">
        <v>1732</v>
      </c>
      <c r="F66" s="708">
        <v>100</v>
      </c>
      <c r="G66" s="702" t="s">
        <v>2005</v>
      </c>
      <c r="H66" s="702" t="s">
        <v>2465</v>
      </c>
      <c r="I66" s="702" t="s">
        <v>2472</v>
      </c>
      <c r="J66" s="702">
        <v>62</v>
      </c>
      <c r="K66" s="704" t="s">
        <v>7654</v>
      </c>
      <c r="L66" s="599" t="s">
        <v>9606</v>
      </c>
      <c r="M66" s="600" t="s">
        <v>2456</v>
      </c>
      <c r="N66" s="558" t="s">
        <v>1732</v>
      </c>
      <c r="O66" s="558">
        <v>0.5</v>
      </c>
      <c r="P66" s="558" t="s">
        <v>2009</v>
      </c>
      <c r="Q66" s="560" t="s">
        <v>2524</v>
      </c>
      <c r="R66" s="666">
        <v>0.125</v>
      </c>
      <c r="S66" s="648">
        <v>25</v>
      </c>
      <c r="T66" s="574"/>
      <c r="U66" s="675" t="s">
        <v>9621</v>
      </c>
      <c r="V66" s="558"/>
      <c r="W66" s="675" t="s">
        <v>4425</v>
      </c>
      <c r="X66" s="557">
        <v>51488866.598399997</v>
      </c>
      <c r="Y66" s="557">
        <v>51488866.598399997</v>
      </c>
      <c r="Z66" s="558"/>
      <c r="AA66" s="558"/>
      <c r="AB66" s="558">
        <v>54</v>
      </c>
      <c r="AC66" s="558">
        <v>33</v>
      </c>
      <c r="AD66" s="558">
        <v>21</v>
      </c>
      <c r="AE66" s="558">
        <v>54</v>
      </c>
      <c r="AF66" s="558">
        <v>0</v>
      </c>
      <c r="AG66" s="558">
        <v>0</v>
      </c>
      <c r="AH66" s="558">
        <v>0</v>
      </c>
      <c r="AI66" s="558">
        <v>0</v>
      </c>
      <c r="AJ66" s="558">
        <v>4</v>
      </c>
      <c r="AK66" s="558">
        <v>39</v>
      </c>
      <c r="AL66" s="558">
        <v>11</v>
      </c>
      <c r="AM66" s="558">
        <v>0</v>
      </c>
      <c r="AN66" s="558">
        <v>0</v>
      </c>
      <c r="AO66" s="558">
        <v>0</v>
      </c>
      <c r="AP66" s="558">
        <v>0</v>
      </c>
      <c r="AQ66" s="558">
        <v>54</v>
      </c>
      <c r="AR66" s="558">
        <v>0</v>
      </c>
      <c r="AS66" s="558">
        <v>0</v>
      </c>
      <c r="AT66" s="558">
        <v>0</v>
      </c>
      <c r="AU66" s="558">
        <v>0</v>
      </c>
      <c r="AV66" s="558">
        <v>45</v>
      </c>
      <c r="AW66" s="558">
        <v>3</v>
      </c>
      <c r="AX66" s="558">
        <v>6</v>
      </c>
      <c r="AY66" s="558">
        <v>0</v>
      </c>
      <c r="AZ66" s="558">
        <v>0</v>
      </c>
      <c r="BA66" s="558">
        <v>0</v>
      </c>
      <c r="BB66" s="558"/>
      <c r="BC66" s="558"/>
      <c r="BD66" s="558"/>
      <c r="BE66" s="558"/>
      <c r="BF66" s="558"/>
      <c r="BG66" s="558"/>
      <c r="BH66" s="558"/>
      <c r="BI66" s="558"/>
      <c r="BJ66" s="558"/>
      <c r="BK66" s="559"/>
      <c r="BL66" s="939"/>
      <c r="BM66" s="14984"/>
      <c r="BN66" s="14986"/>
      <c r="BO66" s="14973"/>
      <c r="BP66" s="14977"/>
      <c r="BQ66" s="1103" t="s">
        <v>2517</v>
      </c>
      <c r="BR66" s="1105" t="s">
        <v>1582</v>
      </c>
      <c r="BS66" s="1104">
        <v>8</v>
      </c>
      <c r="BT66" s="1103" t="s">
        <v>284</v>
      </c>
      <c r="BU66" s="1103" t="s">
        <v>2518</v>
      </c>
      <c r="BV66" s="1106" t="s">
        <v>2461</v>
      </c>
      <c r="BW66" s="1103">
        <v>61</v>
      </c>
      <c r="BX66" s="1103" t="s">
        <v>7653</v>
      </c>
      <c r="BY66" s="1107" t="s">
        <v>2521</v>
      </c>
      <c r="BZ66" s="2858" t="s">
        <v>4305</v>
      </c>
      <c r="CA66" s="1103" t="s">
        <v>2456</v>
      </c>
      <c r="CB66" s="1103"/>
      <c r="CC66" s="1104" t="s">
        <v>1732</v>
      </c>
      <c r="CD66" s="1108">
        <v>0.25</v>
      </c>
      <c r="CE66" s="1104" t="s">
        <v>2009</v>
      </c>
      <c r="CF66" s="1103" t="s">
        <v>2522</v>
      </c>
      <c r="CG66" s="1109">
        <v>0.25</v>
      </c>
      <c r="CH66" s="1110">
        <v>0.75</v>
      </c>
      <c r="CI66" s="1110">
        <v>0.75</v>
      </c>
      <c r="CJ66" s="1110">
        <v>0.75</v>
      </c>
      <c r="CK66" s="1108">
        <v>0</v>
      </c>
      <c r="CL66" s="1167">
        <v>0</v>
      </c>
      <c r="CM66" s="14922"/>
      <c r="CN66" s="14988"/>
      <c r="CO66" s="14922"/>
      <c r="CP66" s="988" t="s">
        <v>9994</v>
      </c>
      <c r="CQ66" s="1111"/>
      <c r="CR66" s="14924"/>
      <c r="CS66" s="989"/>
      <c r="CT66" s="989"/>
      <c r="CU66" s="989"/>
      <c r="CV66" s="989" t="s">
        <v>9995</v>
      </c>
      <c r="CW66" s="989"/>
      <c r="CX66" s="989"/>
      <c r="CY66" s="989"/>
      <c r="CZ66" s="989"/>
      <c r="DA66" s="989"/>
      <c r="DB66" s="989"/>
      <c r="DC66" s="989"/>
      <c r="DD66" s="989"/>
      <c r="DE66" s="989"/>
      <c r="DF66" s="1103"/>
      <c r="DG66" s="1104"/>
      <c r="DH66" s="1104"/>
      <c r="DI66" s="1104"/>
      <c r="DJ66" s="1104"/>
      <c r="DK66" s="1104"/>
      <c r="DL66" s="1104"/>
      <c r="DM66" s="1104"/>
      <c r="DN66" s="1104"/>
      <c r="DO66" s="1104"/>
      <c r="DP66" s="1104"/>
      <c r="DQ66" s="1104"/>
      <c r="DR66" s="1104"/>
      <c r="DS66" s="1104"/>
      <c r="DT66" s="1104"/>
      <c r="DU66" s="1104"/>
      <c r="DV66" s="1104"/>
      <c r="DW66" s="1104"/>
      <c r="DX66" s="1104"/>
      <c r="DY66" s="1104"/>
      <c r="DZ66" s="1104"/>
      <c r="EA66"/>
      <c r="EB66"/>
      <c r="EC66"/>
      <c r="ED66"/>
      <c r="EE66"/>
      <c r="EF66"/>
      <c r="EG66"/>
      <c r="EH66"/>
      <c r="EI66"/>
      <c r="EJ66"/>
      <c r="EK66"/>
      <c r="EL66"/>
    </row>
    <row r="67" spans="1:142" s="602" customFormat="1" ht="30" customHeight="1">
      <c r="A67" s="595" t="s">
        <v>2510</v>
      </c>
      <c r="B67" s="15125"/>
      <c r="C67" s="700" t="s">
        <v>2512</v>
      </c>
      <c r="D67" s="702" t="s">
        <v>2464</v>
      </c>
      <c r="E67" s="708" t="s">
        <v>1732</v>
      </c>
      <c r="F67" s="708">
        <v>100</v>
      </c>
      <c r="G67" s="702" t="s">
        <v>2009</v>
      </c>
      <c r="H67" s="702" t="s">
        <v>2465</v>
      </c>
      <c r="I67" s="702" t="s">
        <v>2454</v>
      </c>
      <c r="J67" s="702">
        <v>63</v>
      </c>
      <c r="K67" s="704" t="s">
        <v>7655</v>
      </c>
      <c r="L67" s="599" t="s">
        <v>9607</v>
      </c>
      <c r="M67" s="600" t="s">
        <v>2456</v>
      </c>
      <c r="N67" s="558" t="s">
        <v>70</v>
      </c>
      <c r="O67" s="558">
        <v>30</v>
      </c>
      <c r="P67" s="558" t="s">
        <v>2005</v>
      </c>
      <c r="Q67" s="560" t="s">
        <v>2526</v>
      </c>
      <c r="R67" s="710" t="s">
        <v>2527</v>
      </c>
      <c r="S67" s="711">
        <v>0.75</v>
      </c>
      <c r="T67" s="567">
        <v>1</v>
      </c>
      <c r="U67" s="712" t="s">
        <v>4442</v>
      </c>
      <c r="V67" s="712" t="s">
        <v>4443</v>
      </c>
      <c r="W67" s="681"/>
      <c r="X67" s="713">
        <v>21944000</v>
      </c>
      <c r="Y67" s="713">
        <v>21944000</v>
      </c>
      <c r="Z67" s="681">
        <v>0</v>
      </c>
      <c r="AA67" s="681">
        <v>0</v>
      </c>
      <c r="AB67" s="681" t="s">
        <v>4415</v>
      </c>
      <c r="AC67" s="681"/>
      <c r="AD67" s="681"/>
      <c r="AE67" s="681"/>
      <c r="AF67" s="681"/>
      <c r="AG67" s="681"/>
      <c r="AH67" s="681"/>
      <c r="AI67" s="681"/>
      <c r="AJ67" s="681"/>
      <c r="AK67" s="681"/>
      <c r="AL67" s="681"/>
      <c r="AM67" s="681"/>
      <c r="AN67" s="681"/>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714"/>
      <c r="BL67" s="939"/>
      <c r="BM67" s="14984"/>
      <c r="BN67" s="14986"/>
      <c r="BO67" s="14973"/>
      <c r="BP67" s="14978"/>
      <c r="BQ67" s="1103" t="s">
        <v>2464</v>
      </c>
      <c r="BR67" s="1105" t="s">
        <v>1732</v>
      </c>
      <c r="BS67" s="1104">
        <v>100</v>
      </c>
      <c r="BT67" s="1103" t="s">
        <v>2005</v>
      </c>
      <c r="BU67" s="1103" t="s">
        <v>2465</v>
      </c>
      <c r="BV67" s="1106" t="s">
        <v>2472</v>
      </c>
      <c r="BW67" s="1103">
        <v>62</v>
      </c>
      <c r="BX67" s="1103" t="s">
        <v>7654</v>
      </c>
      <c r="BY67" s="987" t="s">
        <v>2523</v>
      </c>
      <c r="BZ67" s="2858" t="s">
        <v>4305</v>
      </c>
      <c r="CA67" s="1103" t="s">
        <v>2456</v>
      </c>
      <c r="CB67" s="1103"/>
      <c r="CC67" s="1104" t="s">
        <v>1732</v>
      </c>
      <c r="CD67" s="1104">
        <v>0.5</v>
      </c>
      <c r="CE67" s="1104" t="s">
        <v>2009</v>
      </c>
      <c r="CF67" s="1103" t="s">
        <v>2524</v>
      </c>
      <c r="CG67" s="1104">
        <v>0</v>
      </c>
      <c r="CH67" s="1104">
        <v>0.125</v>
      </c>
      <c r="CI67" s="1104">
        <v>0.125</v>
      </c>
      <c r="CJ67" s="1104">
        <v>0.125</v>
      </c>
      <c r="CK67" s="1104" t="s">
        <v>9996</v>
      </c>
      <c r="CL67" s="1167" t="s">
        <v>9996</v>
      </c>
      <c r="CM67" s="14922"/>
      <c r="CN67" s="14988"/>
      <c r="CO67" s="14922"/>
      <c r="CP67" s="988" t="s">
        <v>9997</v>
      </c>
      <c r="CQ67" s="1111"/>
      <c r="CR67" s="14925"/>
      <c r="CS67" s="989"/>
      <c r="CT67" s="989"/>
      <c r="CU67" s="989"/>
      <c r="CV67" s="989" t="s">
        <v>9995</v>
      </c>
      <c r="CW67" s="989"/>
      <c r="CX67" s="989"/>
      <c r="CY67" s="989"/>
      <c r="CZ67" s="989"/>
      <c r="DA67" s="989"/>
      <c r="DB67" s="989"/>
      <c r="DC67" s="989"/>
      <c r="DD67" s="989"/>
      <c r="DE67" s="989"/>
      <c r="DF67" s="1104"/>
      <c r="DG67" s="1104"/>
      <c r="DH67" s="1104"/>
      <c r="DI67" s="1104"/>
      <c r="DJ67" s="1104"/>
      <c r="DK67" s="1104"/>
      <c r="DL67" s="1104"/>
      <c r="DM67" s="1104"/>
      <c r="DN67" s="1104"/>
      <c r="DO67" s="1104"/>
      <c r="DP67" s="1104"/>
      <c r="DQ67" s="1104"/>
      <c r="DR67" s="1104"/>
      <c r="DS67" s="1104"/>
      <c r="DT67" s="1104"/>
      <c r="DU67" s="1104"/>
      <c r="DV67" s="1104"/>
      <c r="DW67" s="1104"/>
      <c r="DX67" s="1104"/>
      <c r="DY67" s="1104"/>
      <c r="DZ67" s="1104"/>
      <c r="EA67"/>
      <c r="EB67"/>
      <c r="EC67"/>
      <c r="ED67"/>
      <c r="EE67"/>
      <c r="EF67"/>
      <c r="EG67"/>
      <c r="EH67"/>
      <c r="EI67"/>
      <c r="EJ67"/>
      <c r="EK67"/>
      <c r="EL67"/>
    </row>
    <row r="68" spans="1:142" s="602" customFormat="1" ht="30" customHeight="1">
      <c r="A68" s="595" t="s">
        <v>2510</v>
      </c>
      <c r="B68" s="15125"/>
      <c r="C68" s="700" t="s">
        <v>2512</v>
      </c>
      <c r="D68" s="702" t="s">
        <v>2528</v>
      </c>
      <c r="E68" s="702" t="s">
        <v>70</v>
      </c>
      <c r="F68" s="703">
        <v>0.25</v>
      </c>
      <c r="G68" s="702" t="s">
        <v>2009</v>
      </c>
      <c r="H68" s="702" t="s">
        <v>2529</v>
      </c>
      <c r="I68" s="702" t="s">
        <v>2513</v>
      </c>
      <c r="J68" s="702">
        <v>64</v>
      </c>
      <c r="K68" s="704" t="s">
        <v>7656</v>
      </c>
      <c r="L68" s="599" t="s">
        <v>2523</v>
      </c>
      <c r="M68" s="600" t="s">
        <v>2456</v>
      </c>
      <c r="N68" s="558">
        <v>0</v>
      </c>
      <c r="O68" s="591">
        <v>1</v>
      </c>
      <c r="P68" s="558" t="s">
        <v>2009</v>
      </c>
      <c r="Q68" s="560" t="s">
        <v>2532</v>
      </c>
      <c r="R68" s="689">
        <v>1</v>
      </c>
      <c r="S68" s="648">
        <v>0.125</v>
      </c>
      <c r="T68" s="575"/>
      <c r="U68" s="558"/>
      <c r="V68" s="558"/>
      <c r="W68" s="558"/>
      <c r="X68" s="558"/>
      <c r="Y68" s="558"/>
      <c r="Z68" s="558"/>
      <c r="AA68" s="558"/>
      <c r="AB68" s="558"/>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58"/>
      <c r="AZ68" s="558"/>
      <c r="BA68" s="558"/>
      <c r="BB68" s="558"/>
      <c r="BC68" s="558"/>
      <c r="BD68" s="558"/>
      <c r="BE68" s="558"/>
      <c r="BF68" s="558"/>
      <c r="BG68" s="558"/>
      <c r="BH68" s="558"/>
      <c r="BI68" s="558"/>
      <c r="BJ68" s="558"/>
      <c r="BK68" s="559"/>
      <c r="BL68" s="939"/>
      <c r="BM68" s="14984"/>
      <c r="BN68" s="14986"/>
      <c r="BO68" s="14973"/>
      <c r="BP68" s="1112" t="s">
        <v>9998</v>
      </c>
      <c r="BQ68" s="1103" t="s">
        <v>2464</v>
      </c>
      <c r="BR68" s="1105" t="s">
        <v>1732</v>
      </c>
      <c r="BS68" s="1104">
        <v>100</v>
      </c>
      <c r="BT68" s="1103" t="s">
        <v>2009</v>
      </c>
      <c r="BU68" s="1103" t="s">
        <v>2465</v>
      </c>
      <c r="BV68" s="1106" t="s">
        <v>2454</v>
      </c>
      <c r="BW68" s="1103">
        <v>63</v>
      </c>
      <c r="BX68" s="1103" t="s">
        <v>7655</v>
      </c>
      <c r="BY68" s="987" t="s">
        <v>2525</v>
      </c>
      <c r="BZ68" s="2858" t="s">
        <v>26</v>
      </c>
      <c r="CA68" s="1103" t="s">
        <v>2449</v>
      </c>
      <c r="CB68" s="1103"/>
      <c r="CC68" s="1104" t="s">
        <v>70</v>
      </c>
      <c r="CD68" s="1104">
        <v>30</v>
      </c>
      <c r="CE68" s="1104" t="s">
        <v>2005</v>
      </c>
      <c r="CF68" s="1103" t="s">
        <v>2526</v>
      </c>
      <c r="CG68" s="1104">
        <v>0</v>
      </c>
      <c r="CH68" s="1113" t="s">
        <v>2527</v>
      </c>
      <c r="CI68" s="1113" t="s">
        <v>2527</v>
      </c>
      <c r="CJ68" s="1104">
        <v>7</v>
      </c>
      <c r="CK68" s="1104">
        <v>0</v>
      </c>
      <c r="CL68" s="1167">
        <v>0</v>
      </c>
      <c r="CM68" s="14922"/>
      <c r="CN68" s="14988"/>
      <c r="CO68" s="14922"/>
      <c r="CP68" s="986"/>
      <c r="CQ68" s="1104"/>
      <c r="CR68" s="1114"/>
      <c r="CS68" s="1104"/>
      <c r="CT68" s="1104"/>
      <c r="CU68" s="1104"/>
      <c r="CV68" s="1104"/>
      <c r="CW68" s="1104"/>
      <c r="CX68" s="1104"/>
      <c r="CY68" s="1104"/>
      <c r="CZ68" s="1104"/>
      <c r="DA68" s="1104"/>
      <c r="DB68" s="1104"/>
      <c r="DC68" s="1104"/>
      <c r="DD68" s="1104"/>
      <c r="DE68" s="1104"/>
      <c r="DF68" s="1104"/>
      <c r="DG68" s="1104"/>
      <c r="DH68" s="1104"/>
      <c r="DI68" s="1104"/>
      <c r="DJ68" s="1104"/>
      <c r="DK68" s="1104"/>
      <c r="DL68" s="1104"/>
      <c r="DM68" s="1104"/>
      <c r="DN68" s="1104"/>
      <c r="DO68" s="1104"/>
      <c r="DP68" s="1104"/>
      <c r="DQ68" s="1104"/>
      <c r="DR68" s="1104"/>
      <c r="DS68" s="1104"/>
      <c r="DT68" s="1104"/>
      <c r="DU68" s="1104"/>
      <c r="DV68" s="1104"/>
      <c r="DW68" s="1104"/>
      <c r="DX68" s="1104"/>
      <c r="DY68" s="1104"/>
      <c r="DZ68" s="1104"/>
      <c r="EA68"/>
      <c r="EB68"/>
      <c r="EC68"/>
      <c r="ED68"/>
      <c r="EE68"/>
      <c r="EF68"/>
      <c r="EG68"/>
      <c r="EH68"/>
      <c r="EI68"/>
      <c r="EJ68"/>
      <c r="EK68"/>
      <c r="EL68"/>
    </row>
    <row r="69" spans="1:142" s="602" customFormat="1" ht="30" customHeight="1">
      <c r="A69" s="595" t="s">
        <v>2510</v>
      </c>
      <c r="B69" s="15125"/>
      <c r="C69" s="715" t="s">
        <v>2533</v>
      </c>
      <c r="D69" s="702" t="s">
        <v>2305</v>
      </c>
      <c r="E69" s="703">
        <v>0</v>
      </c>
      <c r="F69" s="703">
        <v>1</v>
      </c>
      <c r="G69" s="702" t="s">
        <v>2009</v>
      </c>
      <c r="H69" s="702" t="s">
        <v>2306</v>
      </c>
      <c r="I69" s="702" t="s">
        <v>2307</v>
      </c>
      <c r="J69" s="702">
        <v>65</v>
      </c>
      <c r="K69" s="704" t="s">
        <v>7657</v>
      </c>
      <c r="L69" s="599" t="s">
        <v>2525</v>
      </c>
      <c r="M69" s="610" t="s">
        <v>2449</v>
      </c>
      <c r="N69" s="558" t="s">
        <v>70</v>
      </c>
      <c r="O69" s="591">
        <v>1</v>
      </c>
      <c r="P69" s="558" t="s">
        <v>2009</v>
      </c>
      <c r="Q69" s="560" t="s">
        <v>2535</v>
      </c>
      <c r="R69" s="666">
        <v>1</v>
      </c>
      <c r="S69" s="648">
        <v>7</v>
      </c>
      <c r="T69" s="524">
        <f>9/9*100%</f>
        <v>1</v>
      </c>
      <c r="U69" s="568" t="s">
        <v>4444</v>
      </c>
      <c r="V69" s="573" t="s">
        <v>4445</v>
      </c>
      <c r="W69" s="573" t="s">
        <v>4446</v>
      </c>
      <c r="X69" s="570">
        <f>Y69+Z69+AA69</f>
        <v>7686326.5799272731</v>
      </c>
      <c r="Y69" s="570">
        <v>1348227.3909090909</v>
      </c>
      <c r="Z69" s="570">
        <v>195690.5221818182</v>
      </c>
      <c r="AA69" s="570">
        <v>6142408.6668363642</v>
      </c>
      <c r="AB69" s="569"/>
      <c r="AC69" s="569"/>
      <c r="AD69" s="569"/>
      <c r="AE69" s="569"/>
      <c r="AF69" s="569"/>
      <c r="AG69" s="569"/>
      <c r="AH69" s="569"/>
      <c r="AI69" s="569"/>
      <c r="AJ69" s="569"/>
      <c r="AK69" s="569"/>
      <c r="AL69" s="569"/>
      <c r="AM69" s="569"/>
      <c r="AN69" s="569"/>
      <c r="AO69" s="569"/>
      <c r="AP69" s="569"/>
      <c r="AQ69" s="569"/>
      <c r="AR69" s="569"/>
      <c r="AS69" s="569"/>
      <c r="AT69" s="569"/>
      <c r="AU69" s="569"/>
      <c r="AV69" s="569"/>
      <c r="AW69" s="569"/>
      <c r="AX69" s="569"/>
      <c r="AY69" s="569"/>
      <c r="AZ69" s="569"/>
      <c r="BA69" s="569"/>
      <c r="BB69" s="569"/>
      <c r="BC69" s="569"/>
      <c r="BD69" s="569"/>
      <c r="BE69" s="569"/>
      <c r="BF69" s="569"/>
      <c r="BG69" s="569"/>
      <c r="BH69" s="569"/>
      <c r="BI69" s="569"/>
      <c r="BJ69" s="569"/>
      <c r="BK69" s="571"/>
      <c r="BL69" s="939"/>
      <c r="BM69" s="14984"/>
      <c r="BN69" s="14986"/>
      <c r="BO69" s="14974"/>
      <c r="BP69" s="1112" t="s">
        <v>9999</v>
      </c>
      <c r="BQ69" s="1103" t="s">
        <v>2528</v>
      </c>
      <c r="BR69" s="1106" t="s">
        <v>70</v>
      </c>
      <c r="BS69" s="1115">
        <v>0.25</v>
      </c>
      <c r="BT69" s="1103" t="s">
        <v>2009</v>
      </c>
      <c r="BU69" s="1103" t="s">
        <v>2529</v>
      </c>
      <c r="BV69" s="1106" t="s">
        <v>2513</v>
      </c>
      <c r="BW69" s="1103">
        <v>64</v>
      </c>
      <c r="BX69" s="1103" t="s">
        <v>7656</v>
      </c>
      <c r="BY69" s="987" t="s">
        <v>2530</v>
      </c>
      <c r="BZ69" s="2858" t="s">
        <v>8575</v>
      </c>
      <c r="CA69" s="1103" t="s">
        <v>2531</v>
      </c>
      <c r="CB69" s="1103"/>
      <c r="CC69" s="1104">
        <v>0</v>
      </c>
      <c r="CD69" s="1108">
        <v>1</v>
      </c>
      <c r="CE69" s="1104" t="s">
        <v>2009</v>
      </c>
      <c r="CF69" s="1103" t="s">
        <v>2532</v>
      </c>
      <c r="CG69" s="1108">
        <v>1</v>
      </c>
      <c r="CH69" s="1108">
        <v>1</v>
      </c>
      <c r="CI69" s="1108">
        <v>1</v>
      </c>
      <c r="CJ69" s="1108">
        <v>1</v>
      </c>
      <c r="CK69" s="1109">
        <v>1</v>
      </c>
      <c r="CL69" s="1167">
        <v>1</v>
      </c>
      <c r="CM69" s="14922"/>
      <c r="CN69" s="14988"/>
      <c r="CO69" s="14922"/>
      <c r="CP69" s="986"/>
      <c r="CQ69" s="1103"/>
      <c r="CR69" s="1116"/>
      <c r="CS69" s="1103"/>
      <c r="CT69" s="1103"/>
      <c r="CU69" s="1103"/>
      <c r="CV69" s="1103"/>
      <c r="CW69" s="1103"/>
      <c r="CX69" s="1103"/>
      <c r="CY69" s="1103"/>
      <c r="CZ69" s="1103"/>
      <c r="DA69" s="1103"/>
      <c r="DB69" s="1103"/>
      <c r="DC69" s="1103"/>
      <c r="DD69" s="1103"/>
      <c r="DE69" s="1103"/>
      <c r="DF69" s="1103"/>
      <c r="DG69" s="1104"/>
      <c r="DH69" s="1104"/>
      <c r="DI69" s="1104"/>
      <c r="DJ69" s="1104"/>
      <c r="DK69" s="1104"/>
      <c r="DL69" s="1104"/>
      <c r="DM69" s="1104"/>
      <c r="DN69" s="1104"/>
      <c r="DO69" s="1104"/>
      <c r="DP69" s="1104"/>
      <c r="DQ69" s="1104"/>
      <c r="DR69" s="1104"/>
      <c r="DS69" s="1104"/>
      <c r="DT69" s="1104"/>
      <c r="DU69" s="1104"/>
      <c r="DV69" s="1104"/>
      <c r="DW69" s="1104"/>
      <c r="DX69" s="1104"/>
      <c r="DY69" s="1104"/>
      <c r="DZ69" s="1104"/>
      <c r="EA69"/>
      <c r="EB69"/>
      <c r="EC69"/>
      <c r="ED69"/>
      <c r="EE69"/>
      <c r="EF69"/>
      <c r="EG69"/>
      <c r="EH69"/>
      <c r="EI69"/>
      <c r="EJ69"/>
      <c r="EK69"/>
      <c r="EL69"/>
    </row>
    <row r="70" spans="1:142" s="602" customFormat="1" ht="30" customHeight="1">
      <c r="A70" s="595" t="s">
        <v>2510</v>
      </c>
      <c r="B70" s="15125"/>
      <c r="C70" s="715" t="s">
        <v>2533</v>
      </c>
      <c r="D70" s="702" t="s">
        <v>2500</v>
      </c>
      <c r="E70" s="703">
        <v>1</v>
      </c>
      <c r="F70" s="703">
        <v>1</v>
      </c>
      <c r="G70" s="702" t="s">
        <v>2009</v>
      </c>
      <c r="H70" s="702" t="s">
        <v>2501</v>
      </c>
      <c r="I70" s="702" t="s">
        <v>2321</v>
      </c>
      <c r="J70" s="702">
        <v>66</v>
      </c>
      <c r="K70" s="704" t="s">
        <v>7658</v>
      </c>
      <c r="L70" s="599" t="s">
        <v>2530</v>
      </c>
      <c r="M70" s="600" t="s">
        <v>2531</v>
      </c>
      <c r="N70" s="560" t="s">
        <v>2324</v>
      </c>
      <c r="O70" s="591">
        <v>1</v>
      </c>
      <c r="P70" s="558" t="s">
        <v>2009</v>
      </c>
      <c r="Q70" s="560" t="s">
        <v>2537</v>
      </c>
      <c r="R70" s="689">
        <v>1</v>
      </c>
      <c r="S70" s="601">
        <v>1</v>
      </c>
      <c r="T70" s="524">
        <f>51/51*100%</f>
        <v>1</v>
      </c>
      <c r="U70" s="568" t="s">
        <v>4447</v>
      </c>
      <c r="V70" s="573" t="s">
        <v>4448</v>
      </c>
      <c r="W70" s="569"/>
      <c r="X70" s="570">
        <f>Y70+Z70+AA70</f>
        <v>5764744.9349454548</v>
      </c>
      <c r="Y70" s="570">
        <v>1011170.5431818182</v>
      </c>
      <c r="Z70" s="570">
        <v>146767.89163636364</v>
      </c>
      <c r="AA70" s="570">
        <v>4606806.5001272727</v>
      </c>
      <c r="AB70" s="569">
        <v>51</v>
      </c>
      <c r="AC70" s="569"/>
      <c r="AD70" s="569"/>
      <c r="AE70" s="569"/>
      <c r="AF70" s="569"/>
      <c r="AG70" s="569"/>
      <c r="AH70" s="569"/>
      <c r="AI70" s="569"/>
      <c r="AJ70" s="569"/>
      <c r="AK70" s="569"/>
      <c r="AL70" s="569"/>
      <c r="AM70" s="569"/>
      <c r="AN70" s="569"/>
      <c r="AO70" s="569"/>
      <c r="AP70" s="569"/>
      <c r="AQ70" s="569"/>
      <c r="AR70" s="569"/>
      <c r="AS70" s="569"/>
      <c r="AT70" s="569"/>
      <c r="AU70" s="569"/>
      <c r="AV70" s="569"/>
      <c r="AW70" s="569"/>
      <c r="AX70" s="569"/>
      <c r="AY70" s="569"/>
      <c r="AZ70" s="569"/>
      <c r="BA70" s="569"/>
      <c r="BB70" s="569"/>
      <c r="BC70" s="569"/>
      <c r="BD70" s="569"/>
      <c r="BE70" s="569"/>
      <c r="BF70" s="569"/>
      <c r="BG70" s="569"/>
      <c r="BH70" s="569"/>
      <c r="BI70" s="569"/>
      <c r="BJ70" s="569"/>
      <c r="BK70" s="571"/>
      <c r="BL70" s="939"/>
      <c r="BM70" s="14984"/>
      <c r="BN70" s="14986"/>
      <c r="BO70" s="14979" t="s">
        <v>2533</v>
      </c>
      <c r="BP70" s="14980"/>
      <c r="BQ70" s="990" t="s">
        <v>2305</v>
      </c>
      <c r="BR70" s="991">
        <v>0</v>
      </c>
      <c r="BS70" s="1115">
        <v>1</v>
      </c>
      <c r="BT70" s="1103" t="s">
        <v>2009</v>
      </c>
      <c r="BU70" s="1103" t="s">
        <v>2306</v>
      </c>
      <c r="BV70" s="1106" t="s">
        <v>2307</v>
      </c>
      <c r="BW70" s="1103">
        <v>65</v>
      </c>
      <c r="BX70" s="1103" t="s">
        <v>7657</v>
      </c>
      <c r="BY70" s="987" t="s">
        <v>2534</v>
      </c>
      <c r="BZ70" s="2858" t="s">
        <v>10063</v>
      </c>
      <c r="CA70" s="1103" t="s">
        <v>2323</v>
      </c>
      <c r="CB70" s="1103"/>
      <c r="CC70" s="1104" t="s">
        <v>70</v>
      </c>
      <c r="CD70" s="1108">
        <v>1</v>
      </c>
      <c r="CE70" s="1104" t="s">
        <v>2009</v>
      </c>
      <c r="CF70" s="1103" t="s">
        <v>2535</v>
      </c>
      <c r="CG70" s="1108">
        <v>1</v>
      </c>
      <c r="CH70" s="1104">
        <v>1</v>
      </c>
      <c r="CI70" s="1104">
        <v>1</v>
      </c>
      <c r="CJ70" s="1104">
        <v>1</v>
      </c>
      <c r="CK70" s="1108">
        <v>1</v>
      </c>
      <c r="CL70" s="1167">
        <v>1</v>
      </c>
      <c r="CM70" s="14922"/>
      <c r="CN70" s="14988"/>
      <c r="CO70" s="14922"/>
      <c r="CP70" s="986" t="s">
        <v>10000</v>
      </c>
      <c r="CQ70" s="1103"/>
      <c r="CR70" s="1116">
        <v>4043000</v>
      </c>
      <c r="CS70" s="1103"/>
      <c r="CT70" s="1103"/>
      <c r="CU70" s="1103"/>
      <c r="CV70" s="1103" t="s">
        <v>2943</v>
      </c>
      <c r="CW70" s="1103" t="s">
        <v>2943</v>
      </c>
      <c r="CX70" s="1103" t="s">
        <v>2943</v>
      </c>
      <c r="CY70" s="1103" t="s">
        <v>2943</v>
      </c>
      <c r="CZ70" s="1103" t="s">
        <v>2943</v>
      </c>
      <c r="DA70" s="1103" t="s">
        <v>2943</v>
      </c>
      <c r="DB70" s="1103" t="s">
        <v>2943</v>
      </c>
      <c r="DC70" s="1103" t="s">
        <v>2943</v>
      </c>
      <c r="DD70" s="1103" t="s">
        <v>2943</v>
      </c>
      <c r="DE70" s="1103" t="s">
        <v>2943</v>
      </c>
      <c r="DF70" s="1104" t="s">
        <v>2943</v>
      </c>
      <c r="DG70" s="1104" t="s">
        <v>2943</v>
      </c>
      <c r="DH70" s="1104" t="s">
        <v>2943</v>
      </c>
      <c r="DI70" s="1104" t="s">
        <v>2943</v>
      </c>
      <c r="DJ70" s="1104" t="s">
        <v>2943</v>
      </c>
      <c r="DK70" s="1104" t="s">
        <v>2943</v>
      </c>
      <c r="DL70" s="1104" t="s">
        <v>2943</v>
      </c>
      <c r="DM70" s="1104" t="s">
        <v>2943</v>
      </c>
      <c r="DN70" s="1104" t="s">
        <v>2943</v>
      </c>
      <c r="DO70" s="1104" t="s">
        <v>2943</v>
      </c>
      <c r="DP70" s="1104" t="s">
        <v>2943</v>
      </c>
      <c r="DQ70" s="1104" t="s">
        <v>2943</v>
      </c>
      <c r="DR70" s="1104" t="s">
        <v>2943</v>
      </c>
      <c r="DS70" s="1104" t="s">
        <v>2943</v>
      </c>
      <c r="DT70" s="1104" t="s">
        <v>2943</v>
      </c>
      <c r="DU70" s="1104" t="s">
        <v>2943</v>
      </c>
      <c r="DV70" s="1104"/>
      <c r="DW70" s="1104"/>
      <c r="DX70" s="1104"/>
      <c r="DY70" s="1104"/>
      <c r="DZ70" s="1104"/>
      <c r="EA70"/>
      <c r="EB70"/>
      <c r="EC70"/>
      <c r="ED70"/>
      <c r="EE70"/>
      <c r="EF70"/>
      <c r="EG70"/>
      <c r="EH70"/>
      <c r="EI70"/>
      <c r="EJ70"/>
      <c r="EK70"/>
      <c r="EL70"/>
    </row>
    <row r="71" spans="1:142" s="602" customFormat="1" ht="30" customHeight="1">
      <c r="A71" s="595" t="s">
        <v>2510</v>
      </c>
      <c r="B71" s="15125"/>
      <c r="C71" s="700" t="s">
        <v>2538</v>
      </c>
      <c r="D71" s="702" t="s">
        <v>2539</v>
      </c>
      <c r="E71" s="708" t="s">
        <v>70</v>
      </c>
      <c r="F71" s="703" t="s">
        <v>2540</v>
      </c>
      <c r="G71" s="702" t="s">
        <v>2009</v>
      </c>
      <c r="H71" s="702" t="s">
        <v>2541</v>
      </c>
      <c r="I71" s="702" t="s">
        <v>2542</v>
      </c>
      <c r="J71" s="702">
        <v>67</v>
      </c>
      <c r="K71" s="704" t="s">
        <v>7659</v>
      </c>
      <c r="L71" s="599" t="s">
        <v>9608</v>
      </c>
      <c r="M71" s="610" t="s">
        <v>2323</v>
      </c>
      <c r="N71" s="558" t="s">
        <v>70</v>
      </c>
      <c r="O71" s="591">
        <v>7.0000000000000007E-2</v>
      </c>
      <c r="P71" s="560" t="s">
        <v>2009</v>
      </c>
      <c r="Q71" s="560" t="s">
        <v>2544</v>
      </c>
      <c r="R71" s="689">
        <v>0.05</v>
      </c>
      <c r="S71" s="630">
        <v>1</v>
      </c>
      <c r="T71" s="538">
        <v>1</v>
      </c>
      <c r="U71" s="716">
        <v>0.05</v>
      </c>
      <c r="V71" s="681">
        <v>435</v>
      </c>
      <c r="W71" s="712" t="s">
        <v>4449</v>
      </c>
      <c r="X71" s="712" t="s">
        <v>4450</v>
      </c>
      <c r="Y71" s="15111">
        <v>38373600</v>
      </c>
      <c r="Z71" s="15111">
        <v>38373600</v>
      </c>
      <c r="AA71" s="717"/>
      <c r="AB71" s="681">
        <f>+AC71+AD71</f>
        <v>956</v>
      </c>
      <c r="AC71" s="681">
        <v>521</v>
      </c>
      <c r="AD71" s="681">
        <v>435</v>
      </c>
      <c r="AE71" s="681">
        <v>86</v>
      </c>
      <c r="AF71" s="681">
        <v>349</v>
      </c>
      <c r="AG71" s="681">
        <v>352</v>
      </c>
      <c r="AH71" s="681">
        <v>85</v>
      </c>
      <c r="AI71" s="681"/>
      <c r="AJ71" s="681"/>
      <c r="AK71" s="681">
        <v>2</v>
      </c>
      <c r="AL71" s="681">
        <v>69</v>
      </c>
      <c r="AM71" s="681">
        <v>211</v>
      </c>
      <c r="AN71" s="681">
        <v>35</v>
      </c>
      <c r="AO71" s="681">
        <v>14</v>
      </c>
      <c r="AP71" s="681"/>
      <c r="AQ71" s="681"/>
      <c r="AR71" s="681">
        <v>435</v>
      </c>
      <c r="AS71" s="681"/>
      <c r="AT71" s="681"/>
      <c r="AU71" s="681"/>
      <c r="AV71" s="681"/>
      <c r="AW71" s="681"/>
      <c r="AX71" s="681">
        <v>262</v>
      </c>
      <c r="AY71" s="681">
        <v>167</v>
      </c>
      <c r="AZ71" s="681">
        <v>6</v>
      </c>
      <c r="BA71" s="681"/>
      <c r="BB71" s="681"/>
      <c r="BC71" s="681"/>
      <c r="BD71" s="681"/>
      <c r="BE71" s="681"/>
      <c r="BF71" s="681"/>
      <c r="BG71" s="681"/>
      <c r="BH71" s="681"/>
      <c r="BI71" s="681"/>
      <c r="BJ71" s="681"/>
      <c r="BK71" s="681"/>
      <c r="BL71" s="939"/>
      <c r="BM71" s="14984"/>
      <c r="BN71" s="14986"/>
      <c r="BO71" s="14981"/>
      <c r="BP71" s="14982"/>
      <c r="BQ71" s="992" t="s">
        <v>2500</v>
      </c>
      <c r="BR71" s="991">
        <v>1</v>
      </c>
      <c r="BS71" s="1115">
        <v>1</v>
      </c>
      <c r="BT71" s="1103" t="s">
        <v>2009</v>
      </c>
      <c r="BU71" s="1103" t="s">
        <v>2501</v>
      </c>
      <c r="BV71" s="1106" t="s">
        <v>2321</v>
      </c>
      <c r="BW71" s="1103">
        <v>66</v>
      </c>
      <c r="BX71" s="1103" t="s">
        <v>7658</v>
      </c>
      <c r="BY71" s="987" t="s">
        <v>2536</v>
      </c>
      <c r="BZ71" s="2858" t="s">
        <v>10063</v>
      </c>
      <c r="CA71" s="1103" t="s">
        <v>2323</v>
      </c>
      <c r="CB71" s="1103"/>
      <c r="CC71" s="1103" t="s">
        <v>2324</v>
      </c>
      <c r="CD71" s="1108">
        <v>1</v>
      </c>
      <c r="CE71" s="1104" t="s">
        <v>2009</v>
      </c>
      <c r="CF71" s="1103" t="s">
        <v>2537</v>
      </c>
      <c r="CG71" s="1108">
        <v>1</v>
      </c>
      <c r="CH71" s="1108">
        <v>1</v>
      </c>
      <c r="CI71" s="1108">
        <v>1</v>
      </c>
      <c r="CJ71" s="1108">
        <v>1</v>
      </c>
      <c r="CK71" s="1108">
        <v>1</v>
      </c>
      <c r="CL71" s="1167">
        <v>1</v>
      </c>
      <c r="CM71" s="14922"/>
      <c r="CN71" s="14988"/>
      <c r="CO71" s="14922"/>
      <c r="CP71" s="986"/>
      <c r="CQ71" s="1103"/>
      <c r="CR71" s="1116">
        <v>1600000</v>
      </c>
      <c r="CS71" s="1103"/>
      <c r="CT71" s="1103"/>
      <c r="CU71" s="1103"/>
      <c r="CV71" s="1103">
        <v>173</v>
      </c>
      <c r="CW71" s="1103">
        <v>68</v>
      </c>
      <c r="CX71" s="1103">
        <v>105</v>
      </c>
      <c r="CY71" s="1103" t="s">
        <v>2943</v>
      </c>
      <c r="CZ71" s="1103" t="s">
        <v>2943</v>
      </c>
      <c r="DA71" s="1103" t="s">
        <v>2943</v>
      </c>
      <c r="DB71" s="1103" t="s">
        <v>2943</v>
      </c>
      <c r="DC71" s="1103" t="s">
        <v>2943</v>
      </c>
      <c r="DD71" s="1103" t="s">
        <v>2943</v>
      </c>
      <c r="DE71" s="1103" t="s">
        <v>2943</v>
      </c>
      <c r="DF71" s="1104" t="s">
        <v>2943</v>
      </c>
      <c r="DG71" s="1104" t="s">
        <v>2943</v>
      </c>
      <c r="DH71" s="1104"/>
      <c r="DI71" s="1104"/>
      <c r="DJ71" s="1104"/>
      <c r="DK71" s="1104"/>
      <c r="DL71" s="1104"/>
      <c r="DM71" s="1104"/>
      <c r="DN71" s="1104"/>
      <c r="DO71" s="1104"/>
      <c r="DP71" s="1104" t="s">
        <v>2943</v>
      </c>
      <c r="DQ71" s="1104" t="s">
        <v>2943</v>
      </c>
      <c r="DR71" s="1104" t="s">
        <v>2943</v>
      </c>
      <c r="DS71" s="1104" t="s">
        <v>2943</v>
      </c>
      <c r="DT71" s="1104" t="s">
        <v>2943</v>
      </c>
      <c r="DU71" s="1104" t="s">
        <v>2943</v>
      </c>
      <c r="DV71" s="1104"/>
      <c r="DW71" s="1104"/>
      <c r="DX71" s="1104"/>
      <c r="DY71" s="1104"/>
      <c r="DZ71" s="1104"/>
      <c r="EA71"/>
      <c r="EB71"/>
      <c r="EC71"/>
      <c r="ED71"/>
      <c r="EE71"/>
      <c r="EF71"/>
      <c r="EG71"/>
      <c r="EH71"/>
      <c r="EI71"/>
      <c r="EJ71"/>
      <c r="EK71"/>
      <c r="EL71"/>
    </row>
    <row r="72" spans="1:142" s="602" customFormat="1" ht="30" customHeight="1">
      <c r="A72" s="595" t="s">
        <v>2510</v>
      </c>
      <c r="B72" s="15125"/>
      <c r="C72" s="700" t="s">
        <v>2538</v>
      </c>
      <c r="D72" s="702" t="s">
        <v>2539</v>
      </c>
      <c r="E72" s="708" t="s">
        <v>70</v>
      </c>
      <c r="F72" s="703" t="s">
        <v>2540</v>
      </c>
      <c r="G72" s="702" t="s">
        <v>2009</v>
      </c>
      <c r="H72" s="702" t="s">
        <v>2541</v>
      </c>
      <c r="I72" s="702" t="s">
        <v>2542</v>
      </c>
      <c r="J72" s="702">
        <v>68</v>
      </c>
      <c r="K72" s="704" t="s">
        <v>7660</v>
      </c>
      <c r="L72" s="599" t="s">
        <v>2536</v>
      </c>
      <c r="M72" s="610" t="s">
        <v>2323</v>
      </c>
      <c r="N72" s="558" t="s">
        <v>70</v>
      </c>
      <c r="O72" s="591">
        <v>7.0000000000000007E-2</v>
      </c>
      <c r="P72" s="560" t="s">
        <v>2009</v>
      </c>
      <c r="Q72" s="560" t="s">
        <v>2544</v>
      </c>
      <c r="R72" s="689">
        <v>0.05</v>
      </c>
      <c r="S72" s="601">
        <v>1</v>
      </c>
      <c r="T72" s="538">
        <v>1</v>
      </c>
      <c r="U72" s="716">
        <v>0.05</v>
      </c>
      <c r="V72" s="681">
        <v>401</v>
      </c>
      <c r="W72" s="712" t="s">
        <v>4451</v>
      </c>
      <c r="X72" s="712" t="s">
        <v>4452</v>
      </c>
      <c r="Y72" s="15112"/>
      <c r="Z72" s="15112"/>
      <c r="AA72" s="717"/>
      <c r="AB72" s="681">
        <f>+AC72+AD72</f>
        <v>910</v>
      </c>
      <c r="AC72" s="681">
        <v>509</v>
      </c>
      <c r="AD72" s="681">
        <v>401</v>
      </c>
      <c r="AE72" s="681">
        <v>108</v>
      </c>
      <c r="AF72" s="681">
        <v>293</v>
      </c>
      <c r="AG72" s="681">
        <v>343</v>
      </c>
      <c r="AH72" s="681">
        <v>58</v>
      </c>
      <c r="AI72" s="681"/>
      <c r="AJ72" s="681"/>
      <c r="AK72" s="681">
        <v>6</v>
      </c>
      <c r="AL72" s="681">
        <v>71</v>
      </c>
      <c r="AM72" s="681">
        <v>120</v>
      </c>
      <c r="AN72" s="681">
        <v>106</v>
      </c>
      <c r="AO72" s="681">
        <v>7</v>
      </c>
      <c r="AP72" s="681"/>
      <c r="AQ72" s="681"/>
      <c r="AR72" s="681">
        <v>401</v>
      </c>
      <c r="AS72" s="681"/>
      <c r="AT72" s="681"/>
      <c r="AU72" s="681"/>
      <c r="AV72" s="681"/>
      <c r="AW72" s="681"/>
      <c r="AX72" s="681">
        <v>206</v>
      </c>
      <c r="AY72" s="681">
        <v>89</v>
      </c>
      <c r="AZ72" s="681">
        <v>106</v>
      </c>
      <c r="BA72" s="681"/>
      <c r="BB72" s="681"/>
      <c r="BC72" s="681"/>
      <c r="BD72" s="681"/>
      <c r="BE72" s="681"/>
      <c r="BF72" s="681"/>
      <c r="BG72" s="681"/>
      <c r="BH72" s="681"/>
      <c r="BI72" s="681"/>
      <c r="BJ72" s="681"/>
      <c r="BK72" s="681"/>
      <c r="BL72" s="939"/>
      <c r="BM72" s="14984"/>
      <c r="BN72" s="14986"/>
      <c r="BO72" s="14972" t="s">
        <v>2538</v>
      </c>
      <c r="BP72" s="1112" t="s">
        <v>10001</v>
      </c>
      <c r="BQ72" s="1103" t="s">
        <v>2539</v>
      </c>
      <c r="BR72" s="1105" t="s">
        <v>70</v>
      </c>
      <c r="BS72" s="1115" t="s">
        <v>2540</v>
      </c>
      <c r="BT72" s="1103" t="s">
        <v>2009</v>
      </c>
      <c r="BU72" s="1103" t="s">
        <v>2541</v>
      </c>
      <c r="BV72" s="1106" t="s">
        <v>2542</v>
      </c>
      <c r="BW72" s="1103">
        <v>67</v>
      </c>
      <c r="BX72" s="1103" t="s">
        <v>7659</v>
      </c>
      <c r="BY72" s="987" t="s">
        <v>2543</v>
      </c>
      <c r="BZ72" s="2858" t="s">
        <v>86</v>
      </c>
      <c r="CA72" s="1104" t="s">
        <v>2379</v>
      </c>
      <c r="CB72" s="1104"/>
      <c r="CC72" s="1104" t="s">
        <v>70</v>
      </c>
      <c r="CD72" s="1108">
        <v>7.0000000000000007E-2</v>
      </c>
      <c r="CE72" s="1103" t="s">
        <v>2009</v>
      </c>
      <c r="CF72" s="1103" t="s">
        <v>2544</v>
      </c>
      <c r="CG72" s="1108">
        <v>0.03</v>
      </c>
      <c r="CH72" s="1108">
        <v>0.04</v>
      </c>
      <c r="CI72" s="1108">
        <v>0.05</v>
      </c>
      <c r="CJ72" s="1104" t="s">
        <v>9612</v>
      </c>
      <c r="CK72" s="1108">
        <v>0.04</v>
      </c>
      <c r="CL72" s="1167">
        <v>0.04</v>
      </c>
      <c r="CM72" s="14922"/>
      <c r="CN72" s="14988"/>
      <c r="CO72" s="14922"/>
      <c r="CP72" s="986"/>
      <c r="CQ72" s="1103"/>
      <c r="CR72" s="1116"/>
      <c r="CS72" s="1103"/>
      <c r="CT72" s="1103"/>
      <c r="CU72" s="1103"/>
      <c r="CV72" s="1103"/>
      <c r="CW72" s="1103"/>
      <c r="CX72" s="1103"/>
      <c r="CY72" s="1103"/>
      <c r="CZ72" s="1103"/>
      <c r="DA72" s="1103"/>
      <c r="DB72" s="1103"/>
      <c r="DC72" s="1103"/>
      <c r="DD72" s="1103"/>
      <c r="DE72" s="1103"/>
      <c r="DF72" s="1103"/>
      <c r="DG72" s="1104"/>
      <c r="DH72" s="1104"/>
      <c r="DI72" s="1104"/>
      <c r="DJ72" s="1104"/>
      <c r="DK72" s="1104"/>
      <c r="DL72" s="1104"/>
      <c r="DM72" s="1104"/>
      <c r="DN72" s="1104"/>
      <c r="DO72" s="1104"/>
      <c r="DP72" s="1104"/>
      <c r="DQ72" s="1104"/>
      <c r="DR72" s="1104"/>
      <c r="DS72" s="1104"/>
      <c r="DT72" s="1104"/>
      <c r="DU72" s="1104"/>
      <c r="DV72" s="1104"/>
      <c r="DW72" s="1104"/>
      <c r="DX72" s="1104"/>
      <c r="DY72" s="1104"/>
      <c r="DZ72" s="1104"/>
      <c r="EA72"/>
      <c r="EB72"/>
      <c r="EC72"/>
      <c r="ED72"/>
      <c r="EE72"/>
      <c r="EF72"/>
      <c r="EG72"/>
      <c r="EH72"/>
      <c r="EI72"/>
      <c r="EJ72"/>
      <c r="EK72"/>
      <c r="EL72"/>
    </row>
    <row r="73" spans="1:142" s="602" customFormat="1" ht="30" customHeight="1">
      <c r="A73" s="595" t="s">
        <v>2510</v>
      </c>
      <c r="B73" s="15125"/>
      <c r="C73" s="700" t="s">
        <v>2538</v>
      </c>
      <c r="D73" s="702" t="s">
        <v>2539</v>
      </c>
      <c r="E73" s="708" t="s">
        <v>70</v>
      </c>
      <c r="F73" s="703" t="s">
        <v>2540</v>
      </c>
      <c r="G73" s="702" t="s">
        <v>2009</v>
      </c>
      <c r="H73" s="702" t="s">
        <v>2541</v>
      </c>
      <c r="I73" s="702" t="s">
        <v>2542</v>
      </c>
      <c r="J73" s="702">
        <v>69</v>
      </c>
      <c r="K73" s="704" t="s">
        <v>7661</v>
      </c>
      <c r="L73" s="599" t="s">
        <v>9609</v>
      </c>
      <c r="M73" s="639" t="s">
        <v>2379</v>
      </c>
      <c r="N73" s="558" t="s">
        <v>70</v>
      </c>
      <c r="O73" s="591">
        <v>7.0000000000000007E-2</v>
      </c>
      <c r="P73" s="560" t="s">
        <v>2009</v>
      </c>
      <c r="Q73" s="560" t="s">
        <v>2544</v>
      </c>
      <c r="R73" s="689">
        <v>0.05</v>
      </c>
      <c r="S73" s="630" t="s">
        <v>9612</v>
      </c>
      <c r="T73" s="538">
        <v>1</v>
      </c>
      <c r="U73" s="716">
        <v>0.05</v>
      </c>
      <c r="V73" s="681">
        <v>147</v>
      </c>
      <c r="W73" s="712" t="s">
        <v>4453</v>
      </c>
      <c r="X73" s="712" t="s">
        <v>4388</v>
      </c>
      <c r="Y73" s="15113"/>
      <c r="Z73" s="15113"/>
      <c r="AA73" s="717"/>
      <c r="AB73" s="681">
        <f>+AC73+AD73</f>
        <v>335</v>
      </c>
      <c r="AC73" s="681">
        <v>188</v>
      </c>
      <c r="AD73" s="681">
        <v>147</v>
      </c>
      <c r="AE73" s="681">
        <v>41</v>
      </c>
      <c r="AF73" s="681">
        <v>106</v>
      </c>
      <c r="AG73" s="681"/>
      <c r="AH73" s="681"/>
      <c r="AI73" s="681"/>
      <c r="AJ73" s="681"/>
      <c r="AK73" s="681"/>
      <c r="AL73" s="681">
        <v>5</v>
      </c>
      <c r="AM73" s="681">
        <v>12</v>
      </c>
      <c r="AN73" s="681">
        <v>15</v>
      </c>
      <c r="AO73" s="681">
        <v>1</v>
      </c>
      <c r="AP73" s="681"/>
      <c r="AQ73" s="681"/>
      <c r="AR73" s="681">
        <v>33</v>
      </c>
      <c r="AS73" s="681">
        <v>114</v>
      </c>
      <c r="AT73" s="681"/>
      <c r="AU73" s="681"/>
      <c r="AV73" s="681"/>
      <c r="AW73" s="681"/>
      <c r="AX73" s="681">
        <v>112</v>
      </c>
      <c r="AY73" s="681">
        <v>35</v>
      </c>
      <c r="AZ73" s="681"/>
      <c r="BA73" s="681"/>
      <c r="BB73" s="681"/>
      <c r="BC73" s="681"/>
      <c r="BD73" s="681"/>
      <c r="BE73" s="681"/>
      <c r="BF73" s="681"/>
      <c r="BG73" s="681"/>
      <c r="BH73" s="681"/>
      <c r="BI73" s="681"/>
      <c r="BJ73" s="681"/>
      <c r="BK73" s="681"/>
      <c r="BL73" s="939"/>
      <c r="BM73" s="14984"/>
      <c r="BN73" s="14986"/>
      <c r="BO73" s="14973"/>
      <c r="BP73" s="1117" t="s">
        <v>10002</v>
      </c>
      <c r="BQ73" s="1103" t="s">
        <v>2539</v>
      </c>
      <c r="BR73" s="1105" t="s">
        <v>70</v>
      </c>
      <c r="BS73" s="1115" t="s">
        <v>2540</v>
      </c>
      <c r="BT73" s="1103" t="s">
        <v>2009</v>
      </c>
      <c r="BU73" s="1103" t="s">
        <v>2541</v>
      </c>
      <c r="BV73" s="1106" t="s">
        <v>2542</v>
      </c>
      <c r="BW73" s="1103">
        <v>68</v>
      </c>
      <c r="BX73" s="1103" t="s">
        <v>7660</v>
      </c>
      <c r="BY73" s="987" t="s">
        <v>2543</v>
      </c>
      <c r="BZ73" s="2858" t="s">
        <v>86</v>
      </c>
      <c r="CA73" s="1104" t="s">
        <v>2379</v>
      </c>
      <c r="CB73" s="1104"/>
      <c r="CC73" s="1104" t="s">
        <v>70</v>
      </c>
      <c r="CD73" s="1108">
        <v>7.0000000000000007E-2</v>
      </c>
      <c r="CE73" s="1103" t="s">
        <v>2009</v>
      </c>
      <c r="CF73" s="1103" t="s">
        <v>2544</v>
      </c>
      <c r="CG73" s="1108">
        <v>0.03</v>
      </c>
      <c r="CH73" s="1108">
        <v>0.04</v>
      </c>
      <c r="CI73" s="1108">
        <v>0.05</v>
      </c>
      <c r="CJ73" s="1104" t="s">
        <v>9612</v>
      </c>
      <c r="CK73" s="1108">
        <v>0.04</v>
      </c>
      <c r="CL73" s="1167">
        <v>0.04</v>
      </c>
      <c r="CM73" s="14922"/>
      <c r="CN73" s="14988"/>
      <c r="CO73" s="14922"/>
      <c r="CP73" s="986"/>
      <c r="CQ73" s="1103"/>
      <c r="CR73" s="1116"/>
      <c r="CS73" s="1103"/>
      <c r="CT73" s="1103"/>
      <c r="CU73" s="1103"/>
      <c r="CV73" s="1103"/>
      <c r="CW73" s="1103"/>
      <c r="CX73" s="1103"/>
      <c r="CY73" s="1103"/>
      <c r="CZ73" s="1103"/>
      <c r="DA73" s="1103"/>
      <c r="DB73" s="1103"/>
      <c r="DC73" s="1103"/>
      <c r="DD73" s="1103"/>
      <c r="DE73" s="1103"/>
      <c r="DF73" s="1103"/>
      <c r="DG73" s="1104"/>
      <c r="DH73" s="1104"/>
      <c r="DI73" s="1104"/>
      <c r="DJ73" s="1104"/>
      <c r="DK73" s="1104"/>
      <c r="DL73" s="1104"/>
      <c r="DM73" s="1104"/>
      <c r="DN73" s="1104"/>
      <c r="DO73" s="1104"/>
      <c r="DP73" s="1104"/>
      <c r="DQ73" s="1104"/>
      <c r="DR73" s="1104"/>
      <c r="DS73" s="1104"/>
      <c r="DT73" s="1104"/>
      <c r="DU73" s="1104"/>
      <c r="DV73" s="1104"/>
      <c r="DW73" s="1104"/>
      <c r="DX73" s="1104"/>
      <c r="DY73" s="1104"/>
      <c r="DZ73" s="1104"/>
      <c r="EA73"/>
      <c r="EB73"/>
      <c r="EC73"/>
      <c r="ED73"/>
      <c r="EE73"/>
      <c r="EF73"/>
      <c r="EG73"/>
      <c r="EH73"/>
      <c r="EI73"/>
      <c r="EJ73"/>
      <c r="EK73"/>
      <c r="EL73"/>
    </row>
    <row r="74" spans="1:142" s="602" customFormat="1" ht="30" customHeight="1">
      <c r="A74" s="595" t="s">
        <v>2510</v>
      </c>
      <c r="B74" s="15125"/>
      <c r="C74" s="700" t="s">
        <v>2545</v>
      </c>
      <c r="D74" s="702" t="s">
        <v>2546</v>
      </c>
      <c r="E74" s="703">
        <v>0</v>
      </c>
      <c r="F74" s="703">
        <v>1</v>
      </c>
      <c r="G74" s="702" t="s">
        <v>2009</v>
      </c>
      <c r="H74" s="702" t="s">
        <v>2547</v>
      </c>
      <c r="I74" s="702" t="s">
        <v>2548</v>
      </c>
      <c r="J74" s="702">
        <v>70</v>
      </c>
      <c r="K74" s="704" t="s">
        <v>7662</v>
      </c>
      <c r="L74" s="599" t="s">
        <v>2543</v>
      </c>
      <c r="M74" s="630" t="s">
        <v>2379</v>
      </c>
      <c r="N74" s="560">
        <v>0</v>
      </c>
      <c r="O74" s="682">
        <v>1</v>
      </c>
      <c r="P74" s="560" t="s">
        <v>2009</v>
      </c>
      <c r="Q74" s="560" t="s">
        <v>2550</v>
      </c>
      <c r="R74" s="691">
        <v>0.25</v>
      </c>
      <c r="S74" s="630" t="s">
        <v>9612</v>
      </c>
      <c r="T74" s="519">
        <v>0.93</v>
      </c>
      <c r="U74" s="560" t="s">
        <v>4454</v>
      </c>
      <c r="V74" s="560" t="s">
        <v>4347</v>
      </c>
      <c r="W74" s="558"/>
      <c r="X74" s="576">
        <v>3894000</v>
      </c>
      <c r="Y74" s="576">
        <v>3894000</v>
      </c>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8"/>
      <c r="AZ74" s="558"/>
      <c r="BA74" s="558"/>
      <c r="BB74" s="558"/>
      <c r="BC74" s="558"/>
      <c r="BD74" s="558"/>
      <c r="BE74" s="558"/>
      <c r="BF74" s="558"/>
      <c r="BG74" s="558"/>
      <c r="BH74" s="558"/>
      <c r="BI74" s="558"/>
      <c r="BJ74" s="558"/>
      <c r="BK74" s="559"/>
      <c r="BL74" s="939"/>
      <c r="BM74" s="14984"/>
      <c r="BN74" s="14986"/>
      <c r="BO74" s="14974"/>
      <c r="BP74" s="1112" t="s">
        <v>10003</v>
      </c>
      <c r="BQ74" s="1103" t="s">
        <v>2539</v>
      </c>
      <c r="BR74" s="1105" t="s">
        <v>70</v>
      </c>
      <c r="BS74" s="1115" t="s">
        <v>2540</v>
      </c>
      <c r="BT74" s="1103" t="s">
        <v>2009</v>
      </c>
      <c r="BU74" s="1103" t="s">
        <v>2541</v>
      </c>
      <c r="BV74" s="1106" t="s">
        <v>2542</v>
      </c>
      <c r="BW74" s="1103">
        <v>69</v>
      </c>
      <c r="BX74" s="1103" t="s">
        <v>7661</v>
      </c>
      <c r="BY74" s="987" t="s">
        <v>2543</v>
      </c>
      <c r="BZ74" s="2858" t="s">
        <v>86</v>
      </c>
      <c r="CA74" s="1104" t="s">
        <v>2379</v>
      </c>
      <c r="CB74" s="1104"/>
      <c r="CC74" s="1104" t="s">
        <v>70</v>
      </c>
      <c r="CD74" s="1108">
        <v>7.0000000000000007E-2</v>
      </c>
      <c r="CE74" s="1103" t="s">
        <v>2009</v>
      </c>
      <c r="CF74" s="1103" t="s">
        <v>2544</v>
      </c>
      <c r="CG74" s="1108">
        <v>0.03</v>
      </c>
      <c r="CH74" s="1108">
        <v>0.04</v>
      </c>
      <c r="CI74" s="1108">
        <v>0.05</v>
      </c>
      <c r="CJ74" s="1104" t="s">
        <v>9612</v>
      </c>
      <c r="CK74" s="1108">
        <v>0.04</v>
      </c>
      <c r="CL74" s="1167">
        <v>0.04</v>
      </c>
      <c r="CM74" s="14922"/>
      <c r="CN74" s="14988"/>
      <c r="CO74" s="14922"/>
      <c r="CP74" s="986"/>
      <c r="CQ74" s="1103"/>
      <c r="CR74" s="1116"/>
      <c r="CS74" s="1103"/>
      <c r="CT74" s="1103"/>
      <c r="CU74" s="1103"/>
      <c r="CV74" s="1103"/>
      <c r="CW74" s="1103"/>
      <c r="CX74" s="1103"/>
      <c r="CY74" s="1103"/>
      <c r="CZ74" s="1103"/>
      <c r="DA74" s="1103"/>
      <c r="DB74" s="1103"/>
      <c r="DC74" s="1103"/>
      <c r="DD74" s="1103"/>
      <c r="DE74" s="1103"/>
      <c r="DF74" s="1103"/>
      <c r="DG74" s="1104"/>
      <c r="DH74" s="1104"/>
      <c r="DI74" s="1104"/>
      <c r="DJ74" s="1104"/>
      <c r="DK74" s="1104"/>
      <c r="DL74" s="1104"/>
      <c r="DM74" s="1104"/>
      <c r="DN74" s="1104"/>
      <c r="DO74" s="1104"/>
      <c r="DP74" s="1104"/>
      <c r="DQ74" s="1104"/>
      <c r="DR74" s="1104"/>
      <c r="DS74" s="1104"/>
      <c r="DT74" s="1104"/>
      <c r="DU74" s="1104"/>
      <c r="DV74" s="1104"/>
      <c r="DW74" s="1104"/>
      <c r="DX74" s="1104"/>
      <c r="DY74" s="1104"/>
      <c r="DZ74" s="1104"/>
      <c r="EA74"/>
      <c r="EB74"/>
      <c r="EC74"/>
      <c r="ED74"/>
      <c r="EE74"/>
      <c r="EF74"/>
      <c r="EG74"/>
      <c r="EH74"/>
      <c r="EI74"/>
      <c r="EJ74"/>
      <c r="EK74"/>
      <c r="EL74"/>
    </row>
    <row r="75" spans="1:142" s="602" customFormat="1" ht="30" customHeight="1">
      <c r="A75" s="595" t="s">
        <v>2510</v>
      </c>
      <c r="B75" s="15125"/>
      <c r="C75" s="700" t="s">
        <v>2545</v>
      </c>
      <c r="D75" s="702" t="s">
        <v>2305</v>
      </c>
      <c r="E75" s="703">
        <v>0</v>
      </c>
      <c r="F75" s="703">
        <v>1</v>
      </c>
      <c r="G75" s="702" t="s">
        <v>2009</v>
      </c>
      <c r="H75" s="702" t="s">
        <v>2306</v>
      </c>
      <c r="I75" s="702" t="s">
        <v>2307</v>
      </c>
      <c r="J75" s="702">
        <v>71</v>
      </c>
      <c r="K75" s="704" t="s">
        <v>7663</v>
      </c>
      <c r="L75" s="599" t="s">
        <v>2549</v>
      </c>
      <c r="M75" s="600" t="s">
        <v>2308</v>
      </c>
      <c r="N75" s="560" t="s">
        <v>70</v>
      </c>
      <c r="O75" s="682">
        <v>1</v>
      </c>
      <c r="P75" s="560" t="s">
        <v>2009</v>
      </c>
      <c r="Q75" s="560" t="s">
        <v>2552</v>
      </c>
      <c r="R75" s="691">
        <v>1</v>
      </c>
      <c r="S75" s="614">
        <v>0.25</v>
      </c>
      <c r="T75" s="519">
        <v>1</v>
      </c>
      <c r="U75" s="560" t="s">
        <v>4455</v>
      </c>
      <c r="V75" s="558" t="s">
        <v>2333</v>
      </c>
      <c r="W75" s="558"/>
      <c r="X75" s="577">
        <v>130000</v>
      </c>
      <c r="Y75" s="577">
        <v>130000</v>
      </c>
      <c r="Z75" s="558"/>
      <c r="AA75" s="558"/>
      <c r="AB75" s="558"/>
      <c r="AC75" s="558"/>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558"/>
      <c r="BF75" s="558"/>
      <c r="BG75" s="558"/>
      <c r="BH75" s="558"/>
      <c r="BI75" s="558"/>
      <c r="BJ75" s="558"/>
      <c r="BK75" s="559"/>
      <c r="BL75" s="939"/>
      <c r="BM75" s="14984"/>
      <c r="BN75" s="14986"/>
      <c r="BO75" s="14972" t="s">
        <v>2545</v>
      </c>
      <c r="BP75" s="1118" t="s">
        <v>10004</v>
      </c>
      <c r="BQ75" s="1103" t="s">
        <v>2546</v>
      </c>
      <c r="BR75" s="991">
        <v>0</v>
      </c>
      <c r="BS75" s="1115">
        <v>1</v>
      </c>
      <c r="BT75" s="1103" t="s">
        <v>2009</v>
      </c>
      <c r="BU75" s="1103" t="s">
        <v>2547</v>
      </c>
      <c r="BV75" s="1106" t="s">
        <v>2548</v>
      </c>
      <c r="BW75" s="1103">
        <v>70</v>
      </c>
      <c r="BX75" s="1103" t="s">
        <v>7662</v>
      </c>
      <c r="BY75" s="987" t="s">
        <v>2549</v>
      </c>
      <c r="BZ75" s="2858" t="s">
        <v>10066</v>
      </c>
      <c r="CA75" s="1103" t="s">
        <v>2308</v>
      </c>
      <c r="CB75" s="1103"/>
      <c r="CC75" s="1103">
        <v>0</v>
      </c>
      <c r="CD75" s="1115">
        <v>1</v>
      </c>
      <c r="CE75" s="1103" t="s">
        <v>2009</v>
      </c>
      <c r="CF75" s="1103" t="s">
        <v>2550</v>
      </c>
      <c r="CG75" s="1115">
        <v>0.25</v>
      </c>
      <c r="CH75" s="1115">
        <v>0.25</v>
      </c>
      <c r="CI75" s="1115">
        <v>0.25</v>
      </c>
      <c r="CJ75" s="1115">
        <v>0.25</v>
      </c>
      <c r="CK75" s="1108">
        <v>1</v>
      </c>
      <c r="CL75" s="1167">
        <v>1</v>
      </c>
      <c r="CM75" s="14922"/>
      <c r="CN75" s="14988"/>
      <c r="CO75" s="14922"/>
      <c r="CP75" s="993" t="s">
        <v>10005</v>
      </c>
      <c r="CQ75" s="1103"/>
      <c r="CR75" s="1116">
        <f>(3890000*3*8)/4</f>
        <v>23340000</v>
      </c>
      <c r="CS75" s="1103"/>
      <c r="CT75" s="1103"/>
      <c r="CU75" s="1103"/>
      <c r="CV75" s="1103"/>
      <c r="CW75" s="1103"/>
      <c r="CX75" s="1103"/>
      <c r="CY75" s="1103"/>
      <c r="CZ75" s="1103"/>
      <c r="DA75" s="1103"/>
      <c r="DB75" s="1103"/>
      <c r="DC75" s="1103"/>
      <c r="DD75" s="1103"/>
      <c r="DE75" s="1103"/>
      <c r="DF75" s="1104"/>
      <c r="DG75" s="1104"/>
      <c r="DH75" s="1104"/>
      <c r="DI75" s="1104"/>
      <c r="DJ75" s="1104"/>
      <c r="DK75" s="1104"/>
      <c r="DL75" s="1104"/>
      <c r="DM75" s="1104"/>
      <c r="DN75" s="1104"/>
      <c r="DO75" s="1104"/>
      <c r="DP75" s="1104"/>
      <c r="DQ75" s="1104"/>
      <c r="DR75" s="1104"/>
      <c r="DS75" s="1104"/>
      <c r="DT75" s="1104"/>
      <c r="DU75" s="1104"/>
      <c r="DV75" s="1104"/>
      <c r="DW75" s="1104"/>
      <c r="DX75" s="1104"/>
      <c r="DY75" s="1104"/>
      <c r="DZ75" s="1104"/>
      <c r="EA75"/>
      <c r="EB75"/>
      <c r="EC75"/>
      <c r="ED75"/>
      <c r="EE75"/>
      <c r="EF75"/>
      <c r="EG75"/>
      <c r="EH75"/>
      <c r="EI75"/>
      <c r="EJ75"/>
      <c r="EK75"/>
      <c r="EL75"/>
    </row>
    <row r="76" spans="1:142" s="602" customFormat="1" ht="30" customHeight="1">
      <c r="A76" s="595" t="s">
        <v>2510</v>
      </c>
      <c r="B76" s="15125"/>
      <c r="C76" s="700" t="s">
        <v>2545</v>
      </c>
      <c r="D76" s="702" t="s">
        <v>2495</v>
      </c>
      <c r="E76" s="703">
        <v>1</v>
      </c>
      <c r="F76" s="703">
        <v>1</v>
      </c>
      <c r="G76" s="702" t="s">
        <v>2009</v>
      </c>
      <c r="H76" s="702" t="s">
        <v>2501</v>
      </c>
      <c r="I76" s="702" t="s">
        <v>2321</v>
      </c>
      <c r="J76" s="702">
        <v>72</v>
      </c>
      <c r="K76" s="704" t="s">
        <v>7664</v>
      </c>
      <c r="L76" s="599" t="s">
        <v>2551</v>
      </c>
      <c r="M76" s="610" t="s">
        <v>2308</v>
      </c>
      <c r="N76" s="558">
        <v>1</v>
      </c>
      <c r="O76" s="558">
        <v>4</v>
      </c>
      <c r="P76" s="558" t="s">
        <v>2005</v>
      </c>
      <c r="Q76" s="560" t="s">
        <v>2509</v>
      </c>
      <c r="R76" s="666">
        <v>1</v>
      </c>
      <c r="S76" s="614">
        <v>1</v>
      </c>
      <c r="T76" s="575"/>
      <c r="U76" s="558"/>
      <c r="V76" s="558"/>
      <c r="W76" s="558"/>
      <c r="X76" s="558"/>
      <c r="Y76" s="558"/>
      <c r="Z76" s="558"/>
      <c r="AA76" s="558"/>
      <c r="AB76" s="558"/>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558"/>
      <c r="BF76" s="558"/>
      <c r="BG76" s="558"/>
      <c r="BH76" s="558"/>
      <c r="BI76" s="558"/>
      <c r="BJ76" s="558"/>
      <c r="BK76" s="559"/>
      <c r="BL76" s="939"/>
      <c r="BM76" s="14984"/>
      <c r="BN76" s="14986"/>
      <c r="BO76" s="14973"/>
      <c r="BP76" s="1118" t="s">
        <v>10006</v>
      </c>
      <c r="BQ76" s="990" t="s">
        <v>2305</v>
      </c>
      <c r="BR76" s="991">
        <v>0</v>
      </c>
      <c r="BS76" s="1115">
        <v>1</v>
      </c>
      <c r="BT76" s="1103" t="s">
        <v>2009</v>
      </c>
      <c r="BU76" s="1103" t="s">
        <v>2306</v>
      </c>
      <c r="BV76" s="1106" t="s">
        <v>2307</v>
      </c>
      <c r="BW76" s="1103">
        <v>71</v>
      </c>
      <c r="BX76" s="1103" t="s">
        <v>7663</v>
      </c>
      <c r="BY76" s="987" t="s">
        <v>2551</v>
      </c>
      <c r="BZ76" s="2858" t="s">
        <v>10066</v>
      </c>
      <c r="CA76" s="1103" t="s">
        <v>2308</v>
      </c>
      <c r="CB76" s="1103"/>
      <c r="CC76" s="1103" t="s">
        <v>70</v>
      </c>
      <c r="CD76" s="1115">
        <v>1</v>
      </c>
      <c r="CE76" s="1103" t="s">
        <v>2009</v>
      </c>
      <c r="CF76" s="1103" t="s">
        <v>2552</v>
      </c>
      <c r="CG76" s="1115">
        <v>1</v>
      </c>
      <c r="CH76" s="1115">
        <v>1</v>
      </c>
      <c r="CI76" s="1115">
        <v>1</v>
      </c>
      <c r="CJ76" s="1115">
        <v>1</v>
      </c>
      <c r="CK76" s="1108">
        <v>1</v>
      </c>
      <c r="CL76" s="1167">
        <v>1</v>
      </c>
      <c r="CM76" s="14922"/>
      <c r="CN76" s="14988"/>
      <c r="CO76" s="14922"/>
      <c r="CP76" s="986"/>
      <c r="CQ76" s="1103"/>
      <c r="CR76" s="1116"/>
      <c r="CS76" s="1103"/>
      <c r="CT76" s="1103"/>
      <c r="CU76" s="1103"/>
      <c r="CV76" s="1103"/>
      <c r="CW76" s="1103"/>
      <c r="CX76" s="1103"/>
      <c r="CY76" s="1103"/>
      <c r="CZ76" s="1103"/>
      <c r="DA76" s="1103"/>
      <c r="DB76" s="1103"/>
      <c r="DC76" s="1103"/>
      <c r="DD76" s="1103"/>
      <c r="DE76" s="1103"/>
      <c r="DF76" s="1104"/>
      <c r="DG76" s="1104"/>
      <c r="DH76" s="1104"/>
      <c r="DI76" s="1104"/>
      <c r="DJ76" s="1104"/>
      <c r="DK76" s="1104"/>
      <c r="DL76" s="1104"/>
      <c r="DM76" s="1104"/>
      <c r="DN76" s="1104"/>
      <c r="DO76" s="1104"/>
      <c r="DP76" s="1104"/>
      <c r="DQ76" s="1104"/>
      <c r="DR76" s="1104"/>
      <c r="DS76" s="1104"/>
      <c r="DT76" s="1104"/>
      <c r="DU76" s="1104"/>
      <c r="DV76" s="1104"/>
      <c r="DW76" s="1104"/>
      <c r="DX76" s="1104"/>
      <c r="DY76" s="1104"/>
      <c r="DZ76" s="1104"/>
      <c r="EA76"/>
      <c r="EB76"/>
      <c r="EC76"/>
      <c r="ED76"/>
      <c r="EE76"/>
      <c r="EF76"/>
      <c r="EG76"/>
      <c r="EH76"/>
      <c r="EI76"/>
      <c r="EJ76"/>
      <c r="EK76"/>
      <c r="EL76"/>
    </row>
    <row r="77" spans="1:142" s="602" customFormat="1" ht="30" customHeight="1">
      <c r="A77" s="595" t="s">
        <v>2510</v>
      </c>
      <c r="B77" s="15125"/>
      <c r="C77" s="718" t="s">
        <v>2553</v>
      </c>
      <c r="D77" s="702" t="s">
        <v>2500</v>
      </c>
      <c r="E77" s="703">
        <v>1</v>
      </c>
      <c r="F77" s="703">
        <v>1</v>
      </c>
      <c r="G77" s="702" t="s">
        <v>2009</v>
      </c>
      <c r="H77" s="702" t="s">
        <v>2496</v>
      </c>
      <c r="I77" s="702" t="s">
        <v>2497</v>
      </c>
      <c r="J77" s="702">
        <v>73</v>
      </c>
      <c r="K77" s="704" t="s">
        <v>7665</v>
      </c>
      <c r="L77" s="599" t="s">
        <v>2508</v>
      </c>
      <c r="M77" s="600" t="s">
        <v>2323</v>
      </c>
      <c r="N77" s="558" t="s">
        <v>70</v>
      </c>
      <c r="O77" s="591">
        <v>1</v>
      </c>
      <c r="P77" s="560" t="s">
        <v>2009</v>
      </c>
      <c r="Q77" s="560" t="s">
        <v>4456</v>
      </c>
      <c r="R77" s="689">
        <v>1</v>
      </c>
      <c r="S77" s="630">
        <v>1</v>
      </c>
      <c r="T77" s="524">
        <v>1</v>
      </c>
      <c r="U77" s="568" t="s">
        <v>4457</v>
      </c>
      <c r="V77" s="573" t="s">
        <v>4458</v>
      </c>
      <c r="W77" s="578" t="s">
        <v>4365</v>
      </c>
      <c r="X77" s="570">
        <f t="shared" ref="X77:X84" si="1">Y77+Z77+AA77</f>
        <v>960790.82249090914</v>
      </c>
      <c r="Y77" s="570">
        <v>168528.42386363636</v>
      </c>
      <c r="Z77" s="570">
        <v>24461.315272727275</v>
      </c>
      <c r="AA77" s="570">
        <v>767801.08335454552</v>
      </c>
      <c r="AB77" s="569">
        <v>412</v>
      </c>
      <c r="AC77" s="569"/>
      <c r="AD77" s="569"/>
      <c r="AE77" s="569"/>
      <c r="AF77" s="569"/>
      <c r="AG77" s="569"/>
      <c r="AH77" s="569"/>
      <c r="AI77" s="569"/>
      <c r="AJ77" s="569"/>
      <c r="AK77" s="569"/>
      <c r="AL77" s="569"/>
      <c r="AM77" s="569"/>
      <c r="AN77" s="569"/>
      <c r="AO77" s="569"/>
      <c r="AP77" s="569"/>
      <c r="AQ77" s="569"/>
      <c r="AR77" s="569"/>
      <c r="AS77" s="569"/>
      <c r="AT77" s="569"/>
      <c r="AU77" s="569"/>
      <c r="AV77" s="569"/>
      <c r="AW77" s="569"/>
      <c r="AX77" s="569"/>
      <c r="AY77" s="569"/>
      <c r="AZ77" s="569"/>
      <c r="BA77" s="569"/>
      <c r="BB77" s="569"/>
      <c r="BC77" s="569"/>
      <c r="BD77" s="569"/>
      <c r="BE77" s="569"/>
      <c r="BF77" s="569"/>
      <c r="BG77" s="569"/>
      <c r="BH77" s="569"/>
      <c r="BI77" s="569"/>
      <c r="BJ77" s="569"/>
      <c r="BK77" s="571"/>
      <c r="BL77" s="939"/>
      <c r="BM77" s="14984"/>
      <c r="BN77" s="14986"/>
      <c r="BO77" s="14974"/>
      <c r="BP77" s="1118" t="s">
        <v>10007</v>
      </c>
      <c r="BQ77" s="992" t="s">
        <v>2495</v>
      </c>
      <c r="BR77" s="991">
        <v>1</v>
      </c>
      <c r="BS77" s="1115">
        <v>1</v>
      </c>
      <c r="BT77" s="1103" t="s">
        <v>2009</v>
      </c>
      <c r="BU77" s="1103" t="s">
        <v>2501</v>
      </c>
      <c r="BV77" s="1106" t="s">
        <v>2321</v>
      </c>
      <c r="BW77" s="1103">
        <v>72</v>
      </c>
      <c r="BX77" s="1103" t="s">
        <v>7664</v>
      </c>
      <c r="BY77" s="987" t="s">
        <v>2508</v>
      </c>
      <c r="BZ77" s="2858" t="s">
        <v>10063</v>
      </c>
      <c r="CA77" s="1103" t="s">
        <v>2323</v>
      </c>
      <c r="CB77" s="1103"/>
      <c r="CC77" s="1104">
        <v>1</v>
      </c>
      <c r="CD77" s="1104">
        <v>4</v>
      </c>
      <c r="CE77" s="1104" t="s">
        <v>2005</v>
      </c>
      <c r="CF77" s="1103" t="s">
        <v>2509</v>
      </c>
      <c r="CG77" s="1104">
        <v>1</v>
      </c>
      <c r="CH77" s="1104">
        <v>1</v>
      </c>
      <c r="CI77" s="1104">
        <v>1</v>
      </c>
      <c r="CJ77" s="1104">
        <v>1</v>
      </c>
      <c r="CK77" s="1108">
        <v>1</v>
      </c>
      <c r="CL77" s="1167">
        <v>1</v>
      </c>
      <c r="CM77" s="14922"/>
      <c r="CN77" s="14988"/>
      <c r="CO77" s="14922"/>
      <c r="CP77" s="994" t="s">
        <v>10008</v>
      </c>
      <c r="CQ77" s="1104"/>
      <c r="CR77" s="1114"/>
      <c r="CS77" s="1104"/>
      <c r="CT77" s="1104"/>
      <c r="CU77" s="1104"/>
      <c r="CV77" s="1104"/>
      <c r="CW77" s="1104"/>
      <c r="CX77" s="1104"/>
      <c r="CY77" s="1104"/>
      <c r="CZ77" s="1104"/>
      <c r="DA77" s="1104"/>
      <c r="DB77" s="1104"/>
      <c r="DC77" s="1104"/>
      <c r="DD77" s="1104"/>
      <c r="DE77" s="1104"/>
      <c r="DF77" s="1104"/>
      <c r="DG77" s="1104"/>
      <c r="DH77" s="1104"/>
      <c r="DI77" s="1104"/>
      <c r="DJ77" s="1104"/>
      <c r="DK77" s="1104"/>
      <c r="DL77" s="1104"/>
      <c r="DM77" s="1104"/>
      <c r="DN77" s="1104"/>
      <c r="DO77" s="1104"/>
      <c r="DP77" s="1104"/>
      <c r="DQ77" s="1104"/>
      <c r="DR77" s="1104"/>
      <c r="DS77" s="1104"/>
      <c r="DT77" s="1104"/>
      <c r="DU77" s="1104"/>
      <c r="DV77" s="1104"/>
      <c r="DW77" s="1104"/>
      <c r="DX77" s="1104"/>
      <c r="DY77" s="1104"/>
      <c r="DZ77" s="1104"/>
      <c r="EA77"/>
      <c r="EB77"/>
      <c r="EC77"/>
      <c r="ED77"/>
      <c r="EE77"/>
      <c r="EF77"/>
      <c r="EG77"/>
      <c r="EH77"/>
      <c r="EI77"/>
      <c r="EJ77"/>
      <c r="EK77"/>
      <c r="EL77"/>
    </row>
    <row r="78" spans="1:142" s="602" customFormat="1" ht="30" customHeight="1">
      <c r="A78" s="595" t="s">
        <v>2510</v>
      </c>
      <c r="B78" s="15125"/>
      <c r="C78" s="715" t="s">
        <v>2555</v>
      </c>
      <c r="D78" s="702" t="s">
        <v>2305</v>
      </c>
      <c r="E78" s="703">
        <v>0</v>
      </c>
      <c r="F78" s="703">
        <v>1</v>
      </c>
      <c r="G78" s="702" t="s">
        <v>2009</v>
      </c>
      <c r="H78" s="702" t="s">
        <v>2306</v>
      </c>
      <c r="I78" s="702" t="s">
        <v>2307</v>
      </c>
      <c r="J78" s="702">
        <v>74</v>
      </c>
      <c r="K78" s="704" t="s">
        <v>7666</v>
      </c>
      <c r="L78" s="599" t="s">
        <v>2554</v>
      </c>
      <c r="M78" s="610" t="s">
        <v>2323</v>
      </c>
      <c r="N78" s="558" t="s">
        <v>70</v>
      </c>
      <c r="O78" s="558">
        <v>3</v>
      </c>
      <c r="P78" s="558" t="s">
        <v>2005</v>
      </c>
      <c r="Q78" s="560" t="s">
        <v>2557</v>
      </c>
      <c r="R78" s="666">
        <v>1</v>
      </c>
      <c r="S78" s="601">
        <v>1</v>
      </c>
      <c r="T78" s="524">
        <v>1</v>
      </c>
      <c r="U78" s="579" t="s">
        <v>4459</v>
      </c>
      <c r="V78" s="573" t="s">
        <v>4460</v>
      </c>
      <c r="W78" s="569"/>
      <c r="X78" s="570">
        <f t="shared" si="1"/>
        <v>2401977.0562272742</v>
      </c>
      <c r="Y78" s="570">
        <f>842642.119318182/2</f>
        <v>421321.059659091</v>
      </c>
      <c r="Z78" s="570">
        <f>122306.576363636/2</f>
        <v>61153.288181818003</v>
      </c>
      <c r="AA78" s="570">
        <f>3839005.41677273/2</f>
        <v>1919502.7083863651</v>
      </c>
      <c r="AB78" s="569">
        <v>1762</v>
      </c>
      <c r="AC78" s="569"/>
      <c r="AD78" s="569"/>
      <c r="AE78" s="569"/>
      <c r="AF78" s="569"/>
      <c r="AG78" s="569"/>
      <c r="AH78" s="569"/>
      <c r="AI78" s="569"/>
      <c r="AJ78" s="569"/>
      <c r="AK78" s="569"/>
      <c r="AL78" s="569"/>
      <c r="AM78" s="569"/>
      <c r="AN78" s="569"/>
      <c r="AO78" s="569"/>
      <c r="AP78" s="569"/>
      <c r="AQ78" s="569"/>
      <c r="AR78" s="569"/>
      <c r="AS78" s="569"/>
      <c r="AT78" s="569"/>
      <c r="AU78" s="569"/>
      <c r="AV78" s="569"/>
      <c r="AW78" s="569"/>
      <c r="AX78" s="569"/>
      <c r="AY78" s="569"/>
      <c r="AZ78" s="569"/>
      <c r="BA78" s="569"/>
      <c r="BB78" s="569"/>
      <c r="BC78" s="569"/>
      <c r="BD78" s="569"/>
      <c r="BE78" s="569"/>
      <c r="BF78" s="569"/>
      <c r="BG78" s="569"/>
      <c r="BH78" s="569"/>
      <c r="BI78" s="569"/>
      <c r="BJ78" s="569"/>
      <c r="BK78" s="571"/>
      <c r="BL78" s="939"/>
      <c r="BM78" s="14984"/>
      <c r="BN78" s="14986"/>
      <c r="BO78" s="1119" t="s">
        <v>2553</v>
      </c>
      <c r="BP78" s="1118" t="s">
        <v>10009</v>
      </c>
      <c r="BQ78" s="992" t="s">
        <v>2500</v>
      </c>
      <c r="BR78" s="991">
        <v>1</v>
      </c>
      <c r="BS78" s="1115">
        <v>1</v>
      </c>
      <c r="BT78" s="1103" t="s">
        <v>2009</v>
      </c>
      <c r="BU78" s="1103" t="s">
        <v>2496</v>
      </c>
      <c r="BV78" s="1106" t="s">
        <v>2497</v>
      </c>
      <c r="BW78" s="1103">
        <v>73</v>
      </c>
      <c r="BX78" s="1103" t="s">
        <v>7665</v>
      </c>
      <c r="BY78" s="987" t="s">
        <v>2554</v>
      </c>
      <c r="BZ78" s="2858" t="s">
        <v>10063</v>
      </c>
      <c r="CA78" s="1103" t="s">
        <v>2323</v>
      </c>
      <c r="CB78" s="1103"/>
      <c r="CC78" s="1104" t="s">
        <v>70</v>
      </c>
      <c r="CD78" s="1108">
        <v>1</v>
      </c>
      <c r="CE78" s="1103" t="s">
        <v>2009</v>
      </c>
      <c r="CF78" s="1103" t="s">
        <v>4456</v>
      </c>
      <c r="CG78" s="1108">
        <v>1</v>
      </c>
      <c r="CH78" s="1108">
        <v>1</v>
      </c>
      <c r="CI78" s="1108">
        <v>1</v>
      </c>
      <c r="CJ78" s="1108">
        <v>1</v>
      </c>
      <c r="CK78" s="1108">
        <v>1</v>
      </c>
      <c r="CL78" s="1167">
        <v>1</v>
      </c>
      <c r="CM78" s="14922"/>
      <c r="CN78" s="14988"/>
      <c r="CO78" s="14922"/>
      <c r="CP78" s="994"/>
      <c r="CQ78" s="1103"/>
      <c r="CR78" s="1116"/>
      <c r="CS78" s="1103"/>
      <c r="CT78" s="1103"/>
      <c r="CU78" s="1103"/>
      <c r="CV78" s="1103"/>
      <c r="CW78" s="1103"/>
      <c r="CX78" s="1103"/>
      <c r="CY78" s="1103"/>
      <c r="CZ78" s="1103"/>
      <c r="DA78" s="1103"/>
      <c r="DB78" s="1103"/>
      <c r="DC78" s="1103"/>
      <c r="DD78" s="1103"/>
      <c r="DE78" s="1103"/>
      <c r="DF78" s="1104"/>
      <c r="DG78" s="1104"/>
      <c r="DH78" s="1104"/>
      <c r="DI78" s="1104"/>
      <c r="DJ78" s="1104"/>
      <c r="DK78" s="1104"/>
      <c r="DL78" s="1104"/>
      <c r="DM78" s="1104"/>
      <c r="DN78" s="1104"/>
      <c r="DO78" s="1104"/>
      <c r="DP78" s="1104"/>
      <c r="DQ78" s="1104"/>
      <c r="DR78" s="1104"/>
      <c r="DS78" s="1104"/>
      <c r="DT78" s="1104"/>
      <c r="DU78" s="1104"/>
      <c r="DV78" s="1104"/>
      <c r="DW78" s="1104"/>
      <c r="DX78" s="1104"/>
      <c r="DY78" s="1104"/>
      <c r="DZ78" s="1104"/>
      <c r="EA78"/>
      <c r="EB78"/>
      <c r="EC78"/>
      <c r="ED78"/>
      <c r="EE78"/>
      <c r="EF78"/>
      <c r="EG78"/>
      <c r="EH78"/>
      <c r="EI78"/>
      <c r="EJ78"/>
      <c r="EK78"/>
      <c r="EL78"/>
    </row>
    <row r="79" spans="1:142" s="602" customFormat="1" ht="30" customHeight="1">
      <c r="A79" s="595"/>
      <c r="B79" s="15126"/>
      <c r="C79" s="1040"/>
      <c r="D79" s="1041"/>
      <c r="E79" s="1042"/>
      <c r="F79" s="1042"/>
      <c r="G79" s="1041"/>
      <c r="H79" s="1041"/>
      <c r="I79" s="1041"/>
      <c r="J79" s="1041"/>
      <c r="K79" s="1041"/>
      <c r="L79" s="938"/>
      <c r="M79" s="1043"/>
      <c r="N79" s="1044"/>
      <c r="O79" s="1044"/>
      <c r="P79" s="1044"/>
      <c r="Q79" s="1045"/>
      <c r="R79" s="1046"/>
      <c r="S79" s="1047"/>
      <c r="T79" s="524"/>
      <c r="U79" s="1048"/>
      <c r="V79" s="1049"/>
      <c r="W79" s="1050"/>
      <c r="X79" s="1051"/>
      <c r="Y79" s="1051"/>
      <c r="Z79" s="1051"/>
      <c r="AA79" s="1051"/>
      <c r="AB79" s="1050"/>
      <c r="AC79" s="1050"/>
      <c r="AD79" s="1050"/>
      <c r="AE79" s="1050"/>
      <c r="AF79" s="1050"/>
      <c r="AG79" s="1050"/>
      <c r="AH79" s="1050"/>
      <c r="AI79" s="1050"/>
      <c r="AJ79" s="1050"/>
      <c r="AK79" s="1050"/>
      <c r="AL79" s="1050"/>
      <c r="AM79" s="1050"/>
      <c r="AN79" s="1050"/>
      <c r="AO79" s="1050"/>
      <c r="AP79" s="1050"/>
      <c r="AQ79" s="1050"/>
      <c r="AR79" s="1050"/>
      <c r="AS79" s="1050"/>
      <c r="AT79" s="1050"/>
      <c r="AU79" s="1050"/>
      <c r="AV79" s="1050"/>
      <c r="AW79" s="1050"/>
      <c r="AX79" s="1050"/>
      <c r="AY79" s="1050"/>
      <c r="AZ79" s="1050"/>
      <c r="BA79" s="1050"/>
      <c r="BB79" s="1050"/>
      <c r="BC79" s="1050"/>
      <c r="BD79" s="1050"/>
      <c r="BE79" s="1050"/>
      <c r="BF79" s="1050"/>
      <c r="BG79" s="1050"/>
      <c r="BH79" s="1050"/>
      <c r="BI79" s="1050"/>
      <c r="BJ79" s="1050"/>
      <c r="BK79" s="571"/>
      <c r="BL79" s="939"/>
      <c r="BM79" s="14984"/>
      <c r="BN79" s="14986"/>
      <c r="BO79" s="14984" t="s">
        <v>2555</v>
      </c>
      <c r="BP79" s="14989"/>
      <c r="BQ79" s="990" t="s">
        <v>2305</v>
      </c>
      <c r="BR79" s="991">
        <v>0</v>
      </c>
      <c r="BS79" s="1115">
        <v>1</v>
      </c>
      <c r="BT79" s="1103" t="s">
        <v>2009</v>
      </c>
      <c r="BU79" s="1103" t="s">
        <v>2306</v>
      </c>
      <c r="BV79" s="1106" t="s">
        <v>2307</v>
      </c>
      <c r="BW79" s="1103">
        <v>74</v>
      </c>
      <c r="BX79" s="1103" t="s">
        <v>7666</v>
      </c>
      <c r="BY79" s="987" t="s">
        <v>2556</v>
      </c>
      <c r="BZ79" s="2858" t="s">
        <v>10063</v>
      </c>
      <c r="CA79" s="1103" t="s">
        <v>2323</v>
      </c>
      <c r="CB79" s="1103"/>
      <c r="CC79" s="1104" t="s">
        <v>70</v>
      </c>
      <c r="CD79" s="1104">
        <v>3</v>
      </c>
      <c r="CE79" s="1104" t="s">
        <v>2005</v>
      </c>
      <c r="CF79" s="1103" t="s">
        <v>2557</v>
      </c>
      <c r="CG79" s="1104">
        <v>0</v>
      </c>
      <c r="CH79" s="1104">
        <v>1</v>
      </c>
      <c r="CI79" s="1104">
        <v>1</v>
      </c>
      <c r="CJ79" s="1104">
        <v>1</v>
      </c>
      <c r="CK79" s="1114">
        <v>1</v>
      </c>
      <c r="CL79" s="1167">
        <v>1</v>
      </c>
      <c r="CM79" s="14922"/>
      <c r="CN79" s="14988"/>
      <c r="CO79" s="14922"/>
      <c r="CP79" s="994" t="s">
        <v>10010</v>
      </c>
      <c r="CQ79" s="1103"/>
      <c r="CR79" s="1116">
        <v>2524000</v>
      </c>
      <c r="CS79" s="1103"/>
      <c r="CT79" s="1103"/>
      <c r="CU79" s="1103"/>
      <c r="CV79" s="1103">
        <v>134</v>
      </c>
      <c r="CW79" s="1103"/>
      <c r="CX79" s="1103">
        <v>134</v>
      </c>
      <c r="CY79" s="1103" t="s">
        <v>2943</v>
      </c>
      <c r="CZ79" s="1103" t="s">
        <v>2943</v>
      </c>
      <c r="DA79" s="1103">
        <v>0</v>
      </c>
      <c r="DB79" s="1103">
        <v>0</v>
      </c>
      <c r="DC79" s="1103">
        <v>5</v>
      </c>
      <c r="DD79" s="1103">
        <v>55</v>
      </c>
      <c r="DE79" s="1103">
        <v>43</v>
      </c>
      <c r="DF79" s="1104">
        <v>24</v>
      </c>
      <c r="DG79" s="1104">
        <v>7</v>
      </c>
      <c r="DH79" s="1104"/>
      <c r="DI79" s="1104"/>
      <c r="DJ79" s="1104"/>
      <c r="DK79" s="1104">
        <v>134</v>
      </c>
      <c r="DL79" s="1104"/>
      <c r="DM79" s="1104"/>
      <c r="DN79" s="1104"/>
      <c r="DO79" s="1104"/>
      <c r="DP79" s="1104">
        <v>103</v>
      </c>
      <c r="DQ79" s="1104">
        <v>31</v>
      </c>
      <c r="DR79" s="1104">
        <v>0</v>
      </c>
      <c r="DS79" s="1104">
        <v>0</v>
      </c>
      <c r="DT79" s="1104">
        <v>0</v>
      </c>
      <c r="DU79" s="1104">
        <v>0</v>
      </c>
      <c r="DV79" s="1104"/>
      <c r="DW79" s="1104"/>
      <c r="DX79" s="1104"/>
      <c r="DY79" s="1104"/>
      <c r="DZ79" s="1104"/>
      <c r="EA79"/>
      <c r="EB79"/>
      <c r="EC79"/>
      <c r="ED79"/>
      <c r="EE79"/>
      <c r="EF79"/>
      <c r="EG79"/>
      <c r="EH79"/>
      <c r="EI79"/>
      <c r="EJ79"/>
      <c r="EK79"/>
      <c r="EL79"/>
    </row>
    <row r="80" spans="1:142" s="602" customFormat="1" ht="30" customHeight="1">
      <c r="A80" s="621" t="s">
        <v>2558</v>
      </c>
      <c r="B80" s="15103" t="s">
        <v>2559</v>
      </c>
      <c r="C80" s="719"/>
      <c r="D80" s="720" t="s">
        <v>2500</v>
      </c>
      <c r="E80" s="721">
        <v>1</v>
      </c>
      <c r="F80" s="721">
        <v>1</v>
      </c>
      <c r="G80" s="720" t="s">
        <v>2009</v>
      </c>
      <c r="H80" s="720" t="s">
        <v>2501</v>
      </c>
      <c r="I80" s="720" t="s">
        <v>2321</v>
      </c>
      <c r="J80" s="720">
        <v>76</v>
      </c>
      <c r="K80" s="597" t="s">
        <v>7667</v>
      </c>
      <c r="L80" s="599" t="s">
        <v>2556</v>
      </c>
      <c r="M80" s="610" t="s">
        <v>2323</v>
      </c>
      <c r="N80" s="722">
        <v>6</v>
      </c>
      <c r="O80" s="722">
        <v>6</v>
      </c>
      <c r="P80" s="560" t="s">
        <v>2005</v>
      </c>
      <c r="Q80" s="560" t="s">
        <v>2561</v>
      </c>
      <c r="R80" s="723">
        <v>6</v>
      </c>
      <c r="S80" s="630">
        <v>1</v>
      </c>
      <c r="T80" s="538">
        <v>1</v>
      </c>
      <c r="U80" s="579" t="s">
        <v>4461</v>
      </c>
      <c r="V80" s="573" t="s">
        <v>4462</v>
      </c>
      <c r="W80" s="573" t="s">
        <v>4463</v>
      </c>
      <c r="X80" s="570">
        <f t="shared" si="1"/>
        <v>33965816</v>
      </c>
      <c r="Y80" s="570">
        <v>0</v>
      </c>
      <c r="Z80" s="570">
        <v>33965816</v>
      </c>
      <c r="AA80" s="570">
        <v>0</v>
      </c>
      <c r="AB80" s="573" t="s">
        <v>4463</v>
      </c>
      <c r="AC80" s="569"/>
      <c r="AD80" s="569"/>
      <c r="AE80" s="569"/>
      <c r="AF80" s="569"/>
      <c r="AG80" s="569"/>
      <c r="AH80" s="569"/>
      <c r="AI80" s="569"/>
      <c r="AJ80" s="569"/>
      <c r="AK80" s="569"/>
      <c r="AL80" s="569"/>
      <c r="AM80" s="569"/>
      <c r="AN80" s="569"/>
      <c r="AO80" s="569"/>
      <c r="AP80" s="569"/>
      <c r="AQ80" s="569"/>
      <c r="AR80" s="569"/>
      <c r="AS80" s="569"/>
      <c r="AT80" s="569"/>
      <c r="AU80" s="569"/>
      <c r="AV80" s="569"/>
      <c r="AW80" s="569"/>
      <c r="AX80" s="569"/>
      <c r="AY80" s="569"/>
      <c r="AZ80" s="569"/>
      <c r="BA80" s="569"/>
      <c r="BB80" s="569"/>
      <c r="BC80" s="569"/>
      <c r="BD80" s="569"/>
      <c r="BE80" s="569"/>
      <c r="BF80" s="569"/>
      <c r="BG80" s="569"/>
      <c r="BH80" s="569"/>
      <c r="BI80" s="569"/>
      <c r="BJ80" s="569"/>
      <c r="BK80" s="571"/>
      <c r="BL80" s="939"/>
      <c r="BM80" s="14958" t="s">
        <v>2558</v>
      </c>
      <c r="BN80" s="14958" t="s">
        <v>2559</v>
      </c>
      <c r="BO80" s="14945"/>
      <c r="BP80" s="14946"/>
      <c r="BQ80" s="995" t="s">
        <v>2500</v>
      </c>
      <c r="BR80" s="955">
        <v>1</v>
      </c>
      <c r="BS80" s="1120">
        <v>1</v>
      </c>
      <c r="BT80" s="1121" t="s">
        <v>2009</v>
      </c>
      <c r="BU80" s="1121" t="s">
        <v>2501</v>
      </c>
      <c r="BV80" s="1122" t="s">
        <v>2321</v>
      </c>
      <c r="BW80" s="1121">
        <v>76</v>
      </c>
      <c r="BX80" s="1121" t="s">
        <v>7667</v>
      </c>
      <c r="BY80" s="956" t="s">
        <v>2560</v>
      </c>
      <c r="BZ80" s="2854" t="s">
        <v>10063</v>
      </c>
      <c r="CA80" s="1120" t="s">
        <v>2323</v>
      </c>
      <c r="CB80" s="1120"/>
      <c r="CC80" s="1123">
        <v>6</v>
      </c>
      <c r="CD80" s="1123">
        <v>6</v>
      </c>
      <c r="CE80" s="1121" t="s">
        <v>2005</v>
      </c>
      <c r="CF80" s="1121" t="s">
        <v>2561</v>
      </c>
      <c r="CG80" s="1124">
        <v>6</v>
      </c>
      <c r="CH80" s="1124">
        <v>6</v>
      </c>
      <c r="CI80" s="1124">
        <v>6</v>
      </c>
      <c r="CJ80" s="1124">
        <v>6</v>
      </c>
      <c r="CK80" s="1125">
        <v>9</v>
      </c>
      <c r="CL80" s="1167">
        <v>1</v>
      </c>
      <c r="CM80" s="14936">
        <f>AVERAGE(CL80:CL93)</f>
        <v>0.92307692307692313</v>
      </c>
      <c r="CN80" s="14949">
        <v>14</v>
      </c>
      <c r="CO80" s="14952">
        <f>AVERAGE(CL80:CL93)</f>
        <v>0.92307692307692313</v>
      </c>
      <c r="CP80" s="996" t="s">
        <v>10011</v>
      </c>
      <c r="CQ80" s="1121"/>
      <c r="CR80" s="1127">
        <v>56552196</v>
      </c>
      <c r="CS80" s="1121"/>
      <c r="CT80" s="1121"/>
      <c r="CU80" s="1121"/>
      <c r="CV80" s="1121" t="s">
        <v>10012</v>
      </c>
      <c r="CW80" s="1121" t="s">
        <v>2943</v>
      </c>
      <c r="CX80" s="1121" t="s">
        <v>2943</v>
      </c>
      <c r="CY80" s="1121" t="s">
        <v>2943</v>
      </c>
      <c r="CZ80" s="1121" t="s">
        <v>2943</v>
      </c>
      <c r="DA80" s="1121" t="s">
        <v>2943</v>
      </c>
      <c r="DB80" s="1121" t="s">
        <v>2943</v>
      </c>
      <c r="DC80" s="1121" t="s">
        <v>2943</v>
      </c>
      <c r="DD80" s="1121" t="s">
        <v>2943</v>
      </c>
      <c r="DE80" s="1121" t="s">
        <v>2943</v>
      </c>
      <c r="DF80" s="1128" t="s">
        <v>2943</v>
      </c>
      <c r="DG80" s="1128" t="s">
        <v>2943</v>
      </c>
      <c r="DH80" s="1128" t="s">
        <v>2943</v>
      </c>
      <c r="DI80" s="1128" t="s">
        <v>2943</v>
      </c>
      <c r="DJ80" s="1128" t="s">
        <v>2943</v>
      </c>
      <c r="DK80" s="1128" t="s">
        <v>2943</v>
      </c>
      <c r="DL80" s="1128" t="s">
        <v>2943</v>
      </c>
      <c r="DM80" s="1128" t="s">
        <v>2943</v>
      </c>
      <c r="DN80" s="1128" t="s">
        <v>2943</v>
      </c>
      <c r="DO80" s="1128" t="s">
        <v>2943</v>
      </c>
      <c r="DP80" s="1128" t="s">
        <v>2943</v>
      </c>
      <c r="DQ80" s="1128" t="s">
        <v>2943</v>
      </c>
      <c r="DR80" s="1128" t="s">
        <v>2943</v>
      </c>
      <c r="DS80" s="1128" t="s">
        <v>2943</v>
      </c>
      <c r="DT80" s="1128" t="s">
        <v>2943</v>
      </c>
      <c r="DU80" s="1128" t="s">
        <v>2943</v>
      </c>
      <c r="DV80" s="1128"/>
      <c r="DW80" s="1128"/>
      <c r="DX80" s="1128"/>
      <c r="DY80" s="1128"/>
      <c r="DZ80" s="1128"/>
      <c r="EA80"/>
      <c r="EB80"/>
      <c r="EC80"/>
      <c r="ED80"/>
      <c r="EE80"/>
      <c r="EF80"/>
      <c r="EG80"/>
      <c r="EH80"/>
      <c r="EI80"/>
      <c r="EJ80"/>
      <c r="EK80"/>
      <c r="EL80"/>
    </row>
    <row r="81" spans="1:142" s="602" customFormat="1" ht="30" customHeight="1">
      <c r="A81" s="621" t="s">
        <v>2558</v>
      </c>
      <c r="B81" s="15104"/>
      <c r="C81" s="719"/>
      <c r="D81" s="720" t="s">
        <v>2500</v>
      </c>
      <c r="E81" s="721">
        <v>1</v>
      </c>
      <c r="F81" s="721">
        <v>1</v>
      </c>
      <c r="G81" s="720" t="s">
        <v>2009</v>
      </c>
      <c r="H81" s="720" t="s">
        <v>2501</v>
      </c>
      <c r="I81" s="720" t="s">
        <v>2321</v>
      </c>
      <c r="J81" s="720">
        <v>77</v>
      </c>
      <c r="K81" s="597" t="s">
        <v>7668</v>
      </c>
      <c r="L81" s="599" t="s">
        <v>9610</v>
      </c>
      <c r="M81" s="724" t="s">
        <v>2323</v>
      </c>
      <c r="N81" s="560" t="s">
        <v>2324</v>
      </c>
      <c r="O81" s="682">
        <v>1</v>
      </c>
      <c r="P81" s="560" t="s">
        <v>2009</v>
      </c>
      <c r="Q81" s="560" t="s">
        <v>2563</v>
      </c>
      <c r="R81" s="586">
        <v>1</v>
      </c>
      <c r="S81" s="725">
        <v>6</v>
      </c>
      <c r="T81" s="530">
        <v>1</v>
      </c>
      <c r="U81" s="580" t="s">
        <v>4464</v>
      </c>
      <c r="V81" s="581" t="s">
        <v>4465</v>
      </c>
      <c r="W81" s="581" t="s">
        <v>4466</v>
      </c>
      <c r="X81" s="582">
        <f t="shared" si="1"/>
        <v>84906533</v>
      </c>
      <c r="Y81" s="582">
        <v>84906533</v>
      </c>
      <c r="Z81" s="582">
        <v>0</v>
      </c>
      <c r="AA81" s="582">
        <v>0</v>
      </c>
      <c r="AB81" s="583">
        <v>704</v>
      </c>
      <c r="AC81" s="583">
        <v>214</v>
      </c>
      <c r="AD81" s="583">
        <v>490</v>
      </c>
      <c r="AE81" s="583"/>
      <c r="AF81" s="583"/>
      <c r="AG81" s="583"/>
      <c r="AH81" s="583"/>
      <c r="AI81" s="583"/>
      <c r="AJ81" s="583"/>
      <c r="AK81" s="583"/>
      <c r="AL81" s="583"/>
      <c r="AM81" s="583"/>
      <c r="AN81" s="583"/>
      <c r="AO81" s="583"/>
      <c r="AP81" s="583"/>
      <c r="AQ81" s="583"/>
      <c r="AR81" s="583"/>
      <c r="AS81" s="583"/>
      <c r="AT81" s="583"/>
      <c r="AU81" s="583"/>
      <c r="AV81" s="583"/>
      <c r="AW81" s="583"/>
      <c r="AX81" s="583"/>
      <c r="AY81" s="583"/>
      <c r="AZ81" s="583"/>
      <c r="BA81" s="583"/>
      <c r="BB81" s="558"/>
      <c r="BC81" s="558"/>
      <c r="BD81" s="558"/>
      <c r="BE81" s="558"/>
      <c r="BF81" s="558"/>
      <c r="BG81" s="558"/>
      <c r="BH81" s="558"/>
      <c r="BI81" s="558"/>
      <c r="BJ81" s="558"/>
      <c r="BK81" s="559"/>
      <c r="BL81" s="939"/>
      <c r="BM81" s="14958"/>
      <c r="BN81" s="14958"/>
      <c r="BO81" s="14945"/>
      <c r="BP81" s="14946"/>
      <c r="BQ81" s="995" t="s">
        <v>2500</v>
      </c>
      <c r="BR81" s="955">
        <v>1</v>
      </c>
      <c r="BS81" s="1120">
        <v>1</v>
      </c>
      <c r="BT81" s="1121" t="s">
        <v>2009</v>
      </c>
      <c r="BU81" s="1121" t="s">
        <v>2501</v>
      </c>
      <c r="BV81" s="1122" t="s">
        <v>2321</v>
      </c>
      <c r="BW81" s="1121">
        <v>77</v>
      </c>
      <c r="BX81" s="1121" t="s">
        <v>7668</v>
      </c>
      <c r="BY81" s="956" t="s">
        <v>2562</v>
      </c>
      <c r="BZ81" s="2854" t="s">
        <v>10063</v>
      </c>
      <c r="CA81" s="1120" t="s">
        <v>2323</v>
      </c>
      <c r="CB81" s="1120"/>
      <c r="CC81" s="1121" t="s">
        <v>2324</v>
      </c>
      <c r="CD81" s="1120">
        <v>1</v>
      </c>
      <c r="CE81" s="1121" t="s">
        <v>2009</v>
      </c>
      <c r="CF81" s="1121" t="s">
        <v>2563</v>
      </c>
      <c r="CG81" s="1126">
        <v>1</v>
      </c>
      <c r="CH81" s="1129">
        <v>1</v>
      </c>
      <c r="CI81" s="1129">
        <v>1</v>
      </c>
      <c r="CJ81" s="1129">
        <v>1</v>
      </c>
      <c r="CK81" s="1126">
        <v>1</v>
      </c>
      <c r="CL81" s="1167">
        <v>1</v>
      </c>
      <c r="CM81" s="14947"/>
      <c r="CN81" s="14950"/>
      <c r="CO81" s="14953"/>
      <c r="CP81" s="997" t="s">
        <v>10013</v>
      </c>
      <c r="CQ81" s="1121"/>
      <c r="CR81" s="1127">
        <v>83116867</v>
      </c>
      <c r="CS81" s="1121"/>
      <c r="CT81" s="1121">
        <v>0</v>
      </c>
      <c r="CU81" s="1121">
        <v>0</v>
      </c>
      <c r="CV81" s="1121">
        <v>370</v>
      </c>
      <c r="CW81" s="1121">
        <v>150</v>
      </c>
      <c r="CX81" s="1121">
        <v>220</v>
      </c>
      <c r="CY81" s="1121"/>
      <c r="CZ81" s="1121"/>
      <c r="DA81" s="1121" t="s">
        <v>2943</v>
      </c>
      <c r="DB81" s="1121" t="s">
        <v>2943</v>
      </c>
      <c r="DC81" s="1121" t="s">
        <v>2943</v>
      </c>
      <c r="DD81" s="1121" t="s">
        <v>2943</v>
      </c>
      <c r="DE81" s="1121" t="s">
        <v>2943</v>
      </c>
      <c r="DF81" s="1128" t="s">
        <v>2943</v>
      </c>
      <c r="DG81" s="1128" t="s">
        <v>2943</v>
      </c>
      <c r="DH81" s="1128"/>
      <c r="DI81" s="1128"/>
      <c r="DJ81" s="1128"/>
      <c r="DK81" s="1128"/>
      <c r="DL81" s="1128"/>
      <c r="DM81" s="1128"/>
      <c r="DN81" s="1128"/>
      <c r="DO81" s="1128" t="s">
        <v>2943</v>
      </c>
      <c r="DP81" s="1128" t="s">
        <v>2943</v>
      </c>
      <c r="DQ81" s="1128" t="s">
        <v>2943</v>
      </c>
      <c r="DR81" s="1128" t="s">
        <v>2943</v>
      </c>
      <c r="DS81" s="1128" t="s">
        <v>2943</v>
      </c>
      <c r="DT81" s="1128" t="s">
        <v>2943</v>
      </c>
      <c r="DU81" s="1128" t="s">
        <v>2943</v>
      </c>
      <c r="DV81" s="1128"/>
      <c r="DW81" s="1128"/>
      <c r="DX81" s="1128"/>
      <c r="DY81" s="1128"/>
      <c r="DZ81" s="1128"/>
      <c r="EA81"/>
      <c r="EB81"/>
      <c r="EC81"/>
      <c r="ED81"/>
      <c r="EE81"/>
      <c r="EF81"/>
      <c r="EG81"/>
      <c r="EH81"/>
      <c r="EI81"/>
      <c r="EJ81"/>
      <c r="EK81"/>
      <c r="EL81"/>
    </row>
    <row r="82" spans="1:142" s="730" customFormat="1" ht="30" customHeight="1">
      <c r="A82" s="621" t="s">
        <v>2558</v>
      </c>
      <c r="B82" s="15104"/>
      <c r="C82" s="719" t="s">
        <v>2564</v>
      </c>
      <c r="D82" s="720" t="s">
        <v>2565</v>
      </c>
      <c r="E82" s="726">
        <v>3.0999999999999999E-3</v>
      </c>
      <c r="F82" s="726">
        <v>3.0999999999999999E-3</v>
      </c>
      <c r="G82" s="720" t="s">
        <v>2566</v>
      </c>
      <c r="H82" s="720" t="s">
        <v>2567</v>
      </c>
      <c r="I82" s="720" t="s">
        <v>2568</v>
      </c>
      <c r="J82" s="720">
        <v>78</v>
      </c>
      <c r="K82" s="597" t="s">
        <v>7669</v>
      </c>
      <c r="L82" s="599" t="s">
        <v>2562</v>
      </c>
      <c r="M82" s="614" t="s">
        <v>2323</v>
      </c>
      <c r="N82" s="722">
        <v>1</v>
      </c>
      <c r="O82" s="727">
        <v>1</v>
      </c>
      <c r="P82" s="560" t="s">
        <v>2005</v>
      </c>
      <c r="Q82" s="560" t="s">
        <v>2570</v>
      </c>
      <c r="R82" s="728">
        <v>1</v>
      </c>
      <c r="S82" s="729">
        <v>1</v>
      </c>
      <c r="T82" s="538">
        <v>1</v>
      </c>
      <c r="U82" s="568" t="s">
        <v>4467</v>
      </c>
      <c r="V82" s="573" t="s">
        <v>4468</v>
      </c>
      <c r="W82" s="573" t="s">
        <v>4469</v>
      </c>
      <c r="X82" s="570">
        <f t="shared" si="1"/>
        <v>1546066.2593749999</v>
      </c>
      <c r="Y82" s="570">
        <v>876785.00937500002</v>
      </c>
      <c r="Z82" s="570">
        <v>669281.25</v>
      </c>
      <c r="AA82" s="570">
        <v>0</v>
      </c>
      <c r="AB82" s="573" t="s">
        <v>4469</v>
      </c>
      <c r="AC82" s="569"/>
      <c r="AD82" s="569"/>
      <c r="AE82" s="569"/>
      <c r="AF82" s="569"/>
      <c r="AG82" s="569"/>
      <c r="AH82" s="569"/>
      <c r="AI82" s="569"/>
      <c r="AJ82" s="569"/>
      <c r="AK82" s="569"/>
      <c r="AL82" s="569"/>
      <c r="AM82" s="569"/>
      <c r="AN82" s="569"/>
      <c r="AO82" s="569"/>
      <c r="AP82" s="569"/>
      <c r="AQ82" s="569"/>
      <c r="AR82" s="569"/>
      <c r="AS82" s="569"/>
      <c r="AT82" s="569"/>
      <c r="AU82" s="569"/>
      <c r="AV82" s="569"/>
      <c r="AW82" s="569"/>
      <c r="AX82" s="569"/>
      <c r="AY82" s="569"/>
      <c r="AZ82" s="569"/>
      <c r="BA82" s="569"/>
      <c r="BB82" s="569"/>
      <c r="BC82" s="569"/>
      <c r="BD82" s="569"/>
      <c r="BE82" s="569"/>
      <c r="BF82" s="569"/>
      <c r="BG82" s="569"/>
      <c r="BH82" s="569"/>
      <c r="BI82" s="569"/>
      <c r="BJ82" s="569"/>
      <c r="BK82" s="571"/>
      <c r="BL82" s="940"/>
      <c r="BM82" s="14958"/>
      <c r="BN82" s="14958"/>
      <c r="BO82" s="14945" t="s">
        <v>2564</v>
      </c>
      <c r="BP82" s="14955"/>
      <c r="BQ82" s="1121" t="s">
        <v>2565</v>
      </c>
      <c r="BR82" s="1130">
        <v>3.0999999999999999E-3</v>
      </c>
      <c r="BS82" s="1131">
        <v>3.0999999999999999E-3</v>
      </c>
      <c r="BT82" s="1121" t="s">
        <v>2566</v>
      </c>
      <c r="BU82" s="1121" t="s">
        <v>2567</v>
      </c>
      <c r="BV82" s="1122" t="s">
        <v>2568</v>
      </c>
      <c r="BW82" s="1121">
        <v>78</v>
      </c>
      <c r="BX82" s="1121" t="s">
        <v>7669</v>
      </c>
      <c r="BY82" s="956" t="s">
        <v>2569</v>
      </c>
      <c r="BZ82" s="2854" t="s">
        <v>10063</v>
      </c>
      <c r="CA82" s="1121" t="s">
        <v>2323</v>
      </c>
      <c r="CB82" s="1121"/>
      <c r="CC82" s="1123">
        <v>1</v>
      </c>
      <c r="CD82" s="1121">
        <v>1</v>
      </c>
      <c r="CE82" s="1121" t="s">
        <v>2005</v>
      </c>
      <c r="CF82" s="1121" t="s">
        <v>2570</v>
      </c>
      <c r="CG82" s="1123">
        <v>1</v>
      </c>
      <c r="CH82" s="1123">
        <v>1</v>
      </c>
      <c r="CI82" s="1123">
        <v>1</v>
      </c>
      <c r="CJ82" s="1123">
        <v>1</v>
      </c>
      <c r="CK82" s="1125">
        <v>9</v>
      </c>
      <c r="CL82" s="1167">
        <v>1</v>
      </c>
      <c r="CM82" s="14947"/>
      <c r="CN82" s="14950"/>
      <c r="CO82" s="14953"/>
      <c r="CP82" s="997" t="s">
        <v>10014</v>
      </c>
      <c r="CQ82" s="1121"/>
      <c r="CR82" s="1127">
        <v>148117137</v>
      </c>
      <c r="CS82" s="1121"/>
      <c r="CT82" s="1121"/>
      <c r="CU82" s="1121">
        <v>0</v>
      </c>
      <c r="CV82" s="1121"/>
      <c r="CW82" s="1121"/>
      <c r="CX82" s="1121">
        <v>1</v>
      </c>
      <c r="CY82" s="1121" t="s">
        <v>2943</v>
      </c>
      <c r="CZ82" s="1121" t="s">
        <v>2943</v>
      </c>
      <c r="DA82" s="1121">
        <v>0</v>
      </c>
      <c r="DB82" s="1121">
        <v>1</v>
      </c>
      <c r="DC82" s="1121">
        <v>0</v>
      </c>
      <c r="DD82" s="1121">
        <v>0</v>
      </c>
      <c r="DE82" s="1121">
        <v>0</v>
      </c>
      <c r="DF82" s="1128">
        <v>0</v>
      </c>
      <c r="DG82" s="1128">
        <v>0</v>
      </c>
      <c r="DH82" s="1128" t="s">
        <v>2943</v>
      </c>
      <c r="DI82" s="1128" t="s">
        <v>2943</v>
      </c>
      <c r="DJ82" s="1128" t="s">
        <v>2943</v>
      </c>
      <c r="DK82" s="1128" t="s">
        <v>2943</v>
      </c>
      <c r="DL82" s="1128" t="s">
        <v>2943</v>
      </c>
      <c r="DM82" s="1128" t="s">
        <v>2943</v>
      </c>
      <c r="DN82" s="1128" t="s">
        <v>2943</v>
      </c>
      <c r="DO82" s="1128" t="s">
        <v>2943</v>
      </c>
      <c r="DP82" s="1128">
        <v>1</v>
      </c>
      <c r="DQ82" s="1128" t="s">
        <v>2943</v>
      </c>
      <c r="DR82" s="1128" t="s">
        <v>2943</v>
      </c>
      <c r="DS82" s="1128" t="s">
        <v>2943</v>
      </c>
      <c r="DT82" s="1128" t="s">
        <v>2943</v>
      </c>
      <c r="DU82" s="1128" t="s">
        <v>2943</v>
      </c>
      <c r="DV82" s="1128"/>
      <c r="DW82" s="1128"/>
      <c r="DX82" s="1128"/>
      <c r="DY82" s="1128"/>
      <c r="DZ82" s="1128"/>
      <c r="EA82"/>
      <c r="EB82"/>
      <c r="EC82"/>
      <c r="ED82"/>
      <c r="EE82"/>
      <c r="EF82"/>
      <c r="EG82"/>
      <c r="EH82"/>
      <c r="EI82"/>
      <c r="EJ82"/>
      <c r="EK82"/>
      <c r="EL82"/>
    </row>
    <row r="83" spans="1:142" s="730" customFormat="1" ht="30" customHeight="1">
      <c r="A83" s="621" t="s">
        <v>2558</v>
      </c>
      <c r="B83" s="15104"/>
      <c r="C83" s="719" t="s">
        <v>2564</v>
      </c>
      <c r="D83" s="720" t="s">
        <v>2571</v>
      </c>
      <c r="E83" s="726">
        <v>3.0999999999999999E-3</v>
      </c>
      <c r="F83" s="726">
        <v>3.0999999999999999E-3</v>
      </c>
      <c r="G83" s="720" t="s">
        <v>2566</v>
      </c>
      <c r="H83" s="720" t="s">
        <v>2567</v>
      </c>
      <c r="I83" s="720" t="s">
        <v>2568</v>
      </c>
      <c r="J83" s="720">
        <v>79</v>
      </c>
      <c r="K83" s="597" t="s">
        <v>7670</v>
      </c>
      <c r="L83" s="599" t="s">
        <v>2569</v>
      </c>
      <c r="M83" s="600" t="s">
        <v>2323</v>
      </c>
      <c r="N83" s="560" t="s">
        <v>2573</v>
      </c>
      <c r="O83" s="558" t="s">
        <v>2574</v>
      </c>
      <c r="P83" s="727" t="s">
        <v>2005</v>
      </c>
      <c r="Q83" s="560" t="s">
        <v>2575</v>
      </c>
      <c r="R83" s="728">
        <v>3</v>
      </c>
      <c r="S83" s="731">
        <v>1</v>
      </c>
      <c r="T83" s="538">
        <v>1</v>
      </c>
      <c r="U83" s="579" t="s">
        <v>4470</v>
      </c>
      <c r="V83" s="569" t="s">
        <v>3126</v>
      </c>
      <c r="W83" s="569"/>
      <c r="X83" s="570">
        <f t="shared" si="1"/>
        <v>22807627.921999998</v>
      </c>
      <c r="Y83" s="570">
        <v>20457400.364615384</v>
      </c>
      <c r="Z83" s="570">
        <v>2350227.5573846158</v>
      </c>
      <c r="AA83" s="570">
        <v>0</v>
      </c>
      <c r="AB83" s="569">
        <v>508</v>
      </c>
      <c r="AC83" s="569"/>
      <c r="AD83" s="569"/>
      <c r="AE83" s="569"/>
      <c r="AF83" s="584"/>
      <c r="AG83" s="569"/>
      <c r="AH83" s="569"/>
      <c r="AI83" s="569"/>
      <c r="AJ83" s="569">
        <v>508</v>
      </c>
      <c r="AK83" s="569"/>
      <c r="AL83" s="569"/>
      <c r="AM83" s="569"/>
      <c r="AN83" s="569"/>
      <c r="AO83" s="569"/>
      <c r="AP83" s="569"/>
      <c r="AQ83" s="569"/>
      <c r="AR83" s="569"/>
      <c r="AS83" s="569"/>
      <c r="AT83" s="569"/>
      <c r="AU83" s="569"/>
      <c r="AV83" s="569">
        <v>12</v>
      </c>
      <c r="AW83" s="569">
        <v>3</v>
      </c>
      <c r="AX83" s="569"/>
      <c r="AY83" s="569"/>
      <c r="AZ83" s="569"/>
      <c r="BA83" s="569"/>
      <c r="BB83" s="569"/>
      <c r="BC83" s="569"/>
      <c r="BD83" s="569"/>
      <c r="BE83" s="569"/>
      <c r="BF83" s="569"/>
      <c r="BG83" s="569"/>
      <c r="BH83" s="569"/>
      <c r="BI83" s="569"/>
      <c r="BJ83" s="569"/>
      <c r="BK83" s="571"/>
      <c r="BL83" s="940"/>
      <c r="BM83" s="14958"/>
      <c r="BN83" s="14958"/>
      <c r="BO83" s="14945"/>
      <c r="BP83" s="14955"/>
      <c r="BQ83" s="1121" t="s">
        <v>2571</v>
      </c>
      <c r="BR83" s="998">
        <v>3.0999999999999999E-3</v>
      </c>
      <c r="BS83" s="1131">
        <v>3.0999999999999999E-3</v>
      </c>
      <c r="BT83" s="1121" t="s">
        <v>2566</v>
      </c>
      <c r="BU83" s="1121" t="s">
        <v>2567</v>
      </c>
      <c r="BV83" s="1122" t="s">
        <v>2568</v>
      </c>
      <c r="BW83" s="1121">
        <v>79</v>
      </c>
      <c r="BX83" s="1121" t="s">
        <v>7670</v>
      </c>
      <c r="BY83" s="956" t="s">
        <v>2572</v>
      </c>
      <c r="BZ83" s="2854" t="s">
        <v>10063</v>
      </c>
      <c r="CA83" s="1121" t="s">
        <v>2323</v>
      </c>
      <c r="CB83" s="1121"/>
      <c r="CC83" s="1121" t="s">
        <v>2573</v>
      </c>
      <c r="CD83" s="1128" t="s">
        <v>2574</v>
      </c>
      <c r="CE83" s="1121" t="s">
        <v>2005</v>
      </c>
      <c r="CF83" s="1121" t="s">
        <v>2575</v>
      </c>
      <c r="CG83" s="1123">
        <v>1</v>
      </c>
      <c r="CH83" s="1123">
        <v>3</v>
      </c>
      <c r="CI83" s="1123">
        <v>3</v>
      </c>
      <c r="CJ83" s="1123">
        <v>3</v>
      </c>
      <c r="CK83" s="1123">
        <v>3</v>
      </c>
      <c r="CL83" s="1167">
        <v>1</v>
      </c>
      <c r="CM83" s="14947"/>
      <c r="CN83" s="14950"/>
      <c r="CO83" s="14953"/>
      <c r="CP83" s="997" t="s">
        <v>10015</v>
      </c>
      <c r="CQ83" s="1121"/>
      <c r="CR83" s="1127">
        <v>6890932</v>
      </c>
      <c r="CS83" s="1121"/>
      <c r="CT83" s="1121"/>
      <c r="CU83" s="1121">
        <v>0</v>
      </c>
      <c r="CV83" s="1121">
        <v>508</v>
      </c>
      <c r="CW83" s="1121">
        <v>225</v>
      </c>
      <c r="CX83" s="1121">
        <v>283</v>
      </c>
      <c r="CY83" s="1121" t="s">
        <v>2943</v>
      </c>
      <c r="CZ83" s="1121" t="s">
        <v>2943</v>
      </c>
      <c r="DA83" s="1121">
        <v>0</v>
      </c>
      <c r="DB83" s="1121">
        <v>1</v>
      </c>
      <c r="DC83" s="1121">
        <v>335</v>
      </c>
      <c r="DD83" s="1121">
        <v>135</v>
      </c>
      <c r="DE83" s="1121">
        <v>33</v>
      </c>
      <c r="DF83" s="1128">
        <v>3</v>
      </c>
      <c r="DG83" s="1128">
        <v>1</v>
      </c>
      <c r="DH83" s="1128" t="s">
        <v>2943</v>
      </c>
      <c r="DI83" s="1128" t="s">
        <v>2943</v>
      </c>
      <c r="DJ83" s="1128" t="s">
        <v>2943</v>
      </c>
      <c r="DK83" s="1128" t="s">
        <v>2943</v>
      </c>
      <c r="DL83" s="1128" t="s">
        <v>2943</v>
      </c>
      <c r="DM83" s="1128" t="s">
        <v>2943</v>
      </c>
      <c r="DN83" s="1128" t="s">
        <v>2943</v>
      </c>
      <c r="DO83" s="1128" t="s">
        <v>2943</v>
      </c>
      <c r="DP83" s="1128">
        <v>378</v>
      </c>
      <c r="DQ83" s="1128">
        <v>130</v>
      </c>
      <c r="DR83" s="1128" t="s">
        <v>2943</v>
      </c>
      <c r="DS83" s="1128" t="s">
        <v>2943</v>
      </c>
      <c r="DT83" s="1128" t="s">
        <v>2943</v>
      </c>
      <c r="DU83" s="1128" t="s">
        <v>2943</v>
      </c>
      <c r="DV83" s="1128"/>
      <c r="DW83" s="1128"/>
      <c r="DX83" s="1128"/>
      <c r="DY83" s="1128"/>
      <c r="DZ83" s="1128"/>
      <c r="EA83"/>
      <c r="EB83"/>
      <c r="EC83"/>
      <c r="ED83"/>
      <c r="EE83"/>
      <c r="EF83"/>
      <c r="EG83"/>
      <c r="EH83"/>
      <c r="EI83"/>
      <c r="EJ83"/>
      <c r="EK83"/>
      <c r="EL83"/>
    </row>
    <row r="84" spans="1:142" s="602" customFormat="1" ht="30" customHeight="1">
      <c r="A84" s="621" t="s">
        <v>2558</v>
      </c>
      <c r="B84" s="15104"/>
      <c r="C84" s="719" t="s">
        <v>2564</v>
      </c>
      <c r="D84" s="720" t="s">
        <v>2576</v>
      </c>
      <c r="E84" s="732">
        <v>329.4</v>
      </c>
      <c r="F84" s="732">
        <v>326.39999999999998</v>
      </c>
      <c r="G84" s="720" t="s">
        <v>2009</v>
      </c>
      <c r="H84" s="720" t="s">
        <v>2577</v>
      </c>
      <c r="I84" s="720" t="s">
        <v>2578</v>
      </c>
      <c r="J84" s="720">
        <v>80</v>
      </c>
      <c r="K84" s="597" t="s">
        <v>7671</v>
      </c>
      <c r="L84" s="599" t="s">
        <v>2572</v>
      </c>
      <c r="M84" s="600" t="s">
        <v>2323</v>
      </c>
      <c r="N84" s="733">
        <v>0</v>
      </c>
      <c r="O84" s="727">
        <v>1</v>
      </c>
      <c r="P84" s="560" t="s">
        <v>2005</v>
      </c>
      <c r="Q84" s="560" t="s">
        <v>2579</v>
      </c>
      <c r="R84" s="734">
        <v>1</v>
      </c>
      <c r="S84" s="731">
        <v>3</v>
      </c>
      <c r="T84" s="524">
        <v>1</v>
      </c>
      <c r="U84" s="568" t="s">
        <v>4471</v>
      </c>
      <c r="V84" s="573" t="s">
        <v>4472</v>
      </c>
      <c r="W84" s="573" t="s">
        <v>4463</v>
      </c>
      <c r="X84" s="570">
        <f t="shared" si="1"/>
        <v>2401977.0562272742</v>
      </c>
      <c r="Y84" s="570">
        <f>842642.119318182/2</f>
        <v>421321.059659091</v>
      </c>
      <c r="Z84" s="570">
        <f>122306.576363636/2</f>
        <v>61153.288181818003</v>
      </c>
      <c r="AA84" s="570">
        <f>3839005.41677273/2</f>
        <v>1919502.7083863651</v>
      </c>
      <c r="AB84" s="573" t="s">
        <v>4463</v>
      </c>
      <c r="AC84" s="569"/>
      <c r="AD84" s="569"/>
      <c r="AE84" s="569"/>
      <c r="AF84" s="569"/>
      <c r="AG84" s="569"/>
      <c r="AH84" s="569"/>
      <c r="AI84" s="569"/>
      <c r="AJ84" s="569"/>
      <c r="AK84" s="569"/>
      <c r="AL84" s="569"/>
      <c r="AM84" s="569"/>
      <c r="AN84" s="569"/>
      <c r="AO84" s="569"/>
      <c r="AP84" s="569"/>
      <c r="AQ84" s="569"/>
      <c r="AR84" s="569"/>
      <c r="AS84" s="569"/>
      <c r="AT84" s="569"/>
      <c r="AU84" s="569"/>
      <c r="AV84" s="569"/>
      <c r="AW84" s="569"/>
      <c r="AX84" s="569"/>
      <c r="AY84" s="569"/>
      <c r="AZ84" s="569"/>
      <c r="BA84" s="569"/>
      <c r="BB84" s="569"/>
      <c r="BC84" s="569"/>
      <c r="BD84" s="569"/>
      <c r="BE84" s="569"/>
      <c r="BF84" s="569"/>
      <c r="BG84" s="569"/>
      <c r="BH84" s="569"/>
      <c r="BI84" s="569"/>
      <c r="BJ84" s="569"/>
      <c r="BK84" s="571"/>
      <c r="BL84" s="939"/>
      <c r="BM84" s="14958"/>
      <c r="BN84" s="14958"/>
      <c r="BO84" s="14945"/>
      <c r="BP84" s="14955"/>
      <c r="BQ84" s="1121" t="s">
        <v>2576</v>
      </c>
      <c r="BR84" s="1122">
        <v>329.4</v>
      </c>
      <c r="BS84" s="1121">
        <v>326.39999999999998</v>
      </c>
      <c r="BT84" s="1121" t="s">
        <v>2009</v>
      </c>
      <c r="BU84" s="1121" t="s">
        <v>2577</v>
      </c>
      <c r="BV84" s="1122" t="s">
        <v>2578</v>
      </c>
      <c r="BW84" s="1121">
        <v>80</v>
      </c>
      <c r="BX84" s="1121" t="s">
        <v>7671</v>
      </c>
      <c r="BY84" s="956" t="s">
        <v>4342</v>
      </c>
      <c r="BZ84" s="2854" t="s">
        <v>10063</v>
      </c>
      <c r="CA84" s="1121" t="s">
        <v>2323</v>
      </c>
      <c r="CB84" s="1121"/>
      <c r="CC84" s="1132">
        <v>0</v>
      </c>
      <c r="CD84" s="1121">
        <v>1</v>
      </c>
      <c r="CE84" s="1121" t="s">
        <v>2005</v>
      </c>
      <c r="CF84" s="1121" t="s">
        <v>2579</v>
      </c>
      <c r="CG84" s="1121">
        <v>1</v>
      </c>
      <c r="CH84" s="1121">
        <v>1</v>
      </c>
      <c r="CI84" s="1121">
        <v>1</v>
      </c>
      <c r="CJ84" s="1121">
        <v>1</v>
      </c>
      <c r="CK84" s="1121">
        <v>1</v>
      </c>
      <c r="CL84" s="1167">
        <v>1</v>
      </c>
      <c r="CM84" s="14947"/>
      <c r="CN84" s="14950"/>
      <c r="CO84" s="14953"/>
      <c r="CP84" s="997" t="s">
        <v>10016</v>
      </c>
      <c r="CQ84" s="1121"/>
      <c r="CR84" s="1127">
        <v>1212000</v>
      </c>
      <c r="CS84" s="1121"/>
      <c r="CT84" s="1121"/>
      <c r="CU84" s="1121"/>
      <c r="CV84" s="1121" t="s">
        <v>10017</v>
      </c>
      <c r="CW84" s="1121" t="s">
        <v>2943</v>
      </c>
      <c r="CX84" s="1121" t="s">
        <v>2943</v>
      </c>
      <c r="CY84" s="1121" t="s">
        <v>2943</v>
      </c>
      <c r="CZ84" s="1121" t="s">
        <v>2943</v>
      </c>
      <c r="DA84" s="1121" t="s">
        <v>2943</v>
      </c>
      <c r="DB84" s="1121" t="s">
        <v>2943</v>
      </c>
      <c r="DC84" s="1121" t="s">
        <v>2943</v>
      </c>
      <c r="DD84" s="1121" t="s">
        <v>2943</v>
      </c>
      <c r="DE84" s="1121" t="s">
        <v>2943</v>
      </c>
      <c r="DF84" s="1128" t="s">
        <v>2943</v>
      </c>
      <c r="DG84" s="1128" t="s">
        <v>2943</v>
      </c>
      <c r="DH84" s="1128" t="s">
        <v>2943</v>
      </c>
      <c r="DI84" s="1128" t="s">
        <v>2943</v>
      </c>
      <c r="DJ84" s="1128" t="s">
        <v>2943</v>
      </c>
      <c r="DK84" s="1128" t="s">
        <v>2943</v>
      </c>
      <c r="DL84" s="1128" t="s">
        <v>2943</v>
      </c>
      <c r="DM84" s="1128" t="s">
        <v>2943</v>
      </c>
      <c r="DN84" s="1128" t="s">
        <v>2943</v>
      </c>
      <c r="DO84" s="1128" t="s">
        <v>2943</v>
      </c>
      <c r="DP84" s="1128" t="s">
        <v>2943</v>
      </c>
      <c r="DQ84" s="1128" t="s">
        <v>2943</v>
      </c>
      <c r="DR84" s="1128" t="s">
        <v>2943</v>
      </c>
      <c r="DS84" s="1128" t="s">
        <v>2943</v>
      </c>
      <c r="DT84" s="1128" t="s">
        <v>2943</v>
      </c>
      <c r="DU84" s="1128" t="s">
        <v>2943</v>
      </c>
      <c r="DV84" s="1128"/>
      <c r="DW84" s="1128"/>
      <c r="DX84" s="1128"/>
      <c r="DY84" s="1128"/>
      <c r="DZ84" s="1128"/>
      <c r="EA84"/>
      <c r="EB84"/>
      <c r="EC84"/>
      <c r="ED84"/>
      <c r="EE84"/>
      <c r="EF84"/>
      <c r="EG84"/>
      <c r="EH84"/>
      <c r="EI84"/>
      <c r="EJ84"/>
      <c r="EK84"/>
      <c r="EL84"/>
    </row>
    <row r="85" spans="1:142" s="602" customFormat="1" ht="30" customHeight="1">
      <c r="A85" s="621" t="s">
        <v>2558</v>
      </c>
      <c r="B85" s="15104"/>
      <c r="C85" s="719" t="s">
        <v>2564</v>
      </c>
      <c r="D85" s="720" t="s">
        <v>2580</v>
      </c>
      <c r="E85" s="735" t="s">
        <v>2581</v>
      </c>
      <c r="F85" s="726" t="s">
        <v>2582</v>
      </c>
      <c r="G85" s="720" t="s">
        <v>2566</v>
      </c>
      <c r="H85" s="720" t="s">
        <v>2583</v>
      </c>
      <c r="I85" s="720" t="s">
        <v>2491</v>
      </c>
      <c r="J85" s="720">
        <v>81</v>
      </c>
      <c r="K85" s="597" t="s">
        <v>7672</v>
      </c>
      <c r="L85" s="599" t="s">
        <v>4342</v>
      </c>
      <c r="M85" s="600" t="s">
        <v>2323</v>
      </c>
      <c r="N85" s="736" t="s">
        <v>1832</v>
      </c>
      <c r="O85" s="727">
        <v>1</v>
      </c>
      <c r="P85" s="560" t="s">
        <v>2009</v>
      </c>
      <c r="Q85" s="560" t="s">
        <v>2585</v>
      </c>
      <c r="R85" s="737">
        <v>1</v>
      </c>
      <c r="S85" s="738">
        <v>1</v>
      </c>
      <c r="T85" s="524">
        <v>1</v>
      </c>
      <c r="U85" s="579" t="s">
        <v>4473</v>
      </c>
      <c r="V85" s="569" t="s">
        <v>3126</v>
      </c>
      <c r="W85" s="569" t="s">
        <v>545</v>
      </c>
      <c r="X85" s="570">
        <f>Y85+Z85+AA85</f>
        <v>16428542.386822632</v>
      </c>
      <c r="Y85" s="570">
        <v>0</v>
      </c>
      <c r="Z85" s="570">
        <v>0</v>
      </c>
      <c r="AA85" s="570">
        <v>16428542.386822632</v>
      </c>
      <c r="AB85" s="569">
        <v>1308</v>
      </c>
      <c r="AC85" s="569">
        <v>929</v>
      </c>
      <c r="AD85" s="569">
        <v>379</v>
      </c>
      <c r="AE85" s="569"/>
      <c r="AF85" s="569"/>
      <c r="AG85" s="569"/>
      <c r="AH85" s="569"/>
      <c r="AI85" s="569"/>
      <c r="AJ85" s="569"/>
      <c r="AK85" s="569"/>
      <c r="AL85" s="569"/>
      <c r="AM85" s="569">
        <v>1308</v>
      </c>
      <c r="AN85" s="569"/>
      <c r="AO85" s="569"/>
      <c r="AP85" s="569"/>
      <c r="AQ85" s="569">
        <v>1308</v>
      </c>
      <c r="AR85" s="569"/>
      <c r="AS85" s="569"/>
      <c r="AT85" s="569"/>
      <c r="AU85" s="569"/>
      <c r="AV85" s="569">
        <f>503+796</f>
        <v>1299</v>
      </c>
      <c r="AW85" s="569">
        <v>9</v>
      </c>
      <c r="AX85" s="569"/>
      <c r="AY85" s="569"/>
      <c r="AZ85" s="569"/>
      <c r="BA85" s="569"/>
      <c r="BB85" s="569"/>
      <c r="BC85" s="569"/>
      <c r="BD85" s="569"/>
      <c r="BE85" s="569"/>
      <c r="BF85" s="569"/>
      <c r="BG85" s="569"/>
      <c r="BH85" s="569"/>
      <c r="BI85" s="569"/>
      <c r="BJ85" s="569"/>
      <c r="BK85" s="571"/>
      <c r="BL85" s="939"/>
      <c r="BM85" s="14958"/>
      <c r="BN85" s="14958"/>
      <c r="BO85" s="14945"/>
      <c r="BP85" s="14955"/>
      <c r="BQ85" s="1121" t="s">
        <v>2580</v>
      </c>
      <c r="BR85" s="1133" t="s">
        <v>2581</v>
      </c>
      <c r="BS85" s="1131" t="s">
        <v>2582</v>
      </c>
      <c r="BT85" s="1121" t="s">
        <v>2566</v>
      </c>
      <c r="BU85" s="1121" t="s">
        <v>2583</v>
      </c>
      <c r="BV85" s="1122" t="s">
        <v>2491</v>
      </c>
      <c r="BW85" s="1121">
        <v>81</v>
      </c>
      <c r="BX85" s="1121" t="s">
        <v>7672</v>
      </c>
      <c r="BY85" s="956" t="s">
        <v>2584</v>
      </c>
      <c r="BZ85" s="2854" t="s">
        <v>10063</v>
      </c>
      <c r="CA85" s="1121" t="s">
        <v>2323</v>
      </c>
      <c r="CB85" s="1121"/>
      <c r="CC85" s="1134" t="s">
        <v>1832</v>
      </c>
      <c r="CD85" s="1121">
        <v>1</v>
      </c>
      <c r="CE85" s="1121" t="s">
        <v>2009</v>
      </c>
      <c r="CF85" s="1121" t="s">
        <v>2585</v>
      </c>
      <c r="CG85" s="1135">
        <v>1</v>
      </c>
      <c r="CH85" s="1135">
        <v>1</v>
      </c>
      <c r="CI85" s="1135">
        <v>1</v>
      </c>
      <c r="CJ85" s="1135">
        <v>1</v>
      </c>
      <c r="CK85" s="1126">
        <v>1</v>
      </c>
      <c r="CL85" s="1167">
        <v>1</v>
      </c>
      <c r="CM85" s="14947"/>
      <c r="CN85" s="14950"/>
      <c r="CO85" s="14953"/>
      <c r="CP85" s="997" t="s">
        <v>10018</v>
      </c>
      <c r="CQ85" s="1121"/>
      <c r="CR85" s="1127">
        <v>880786670</v>
      </c>
      <c r="CS85" s="1121"/>
      <c r="CT85" s="1121">
        <v>0</v>
      </c>
      <c r="CU85" s="1121"/>
      <c r="CV85" s="1121">
        <v>991</v>
      </c>
      <c r="CW85" s="1121">
        <v>296</v>
      </c>
      <c r="CX85" s="1121">
        <v>695</v>
      </c>
      <c r="CY85" s="1121" t="s">
        <v>2943</v>
      </c>
      <c r="CZ85" s="1121" t="s">
        <v>2943</v>
      </c>
      <c r="DA85" s="1121" t="s">
        <v>2943</v>
      </c>
      <c r="DB85" s="1121" t="s">
        <v>2943</v>
      </c>
      <c r="DC85" s="1121" t="s">
        <v>2943</v>
      </c>
      <c r="DD85" s="1121" t="s">
        <v>2943</v>
      </c>
      <c r="DE85" s="1121">
        <v>2</v>
      </c>
      <c r="DF85" s="1128">
        <v>146</v>
      </c>
      <c r="DG85" s="1128">
        <v>843</v>
      </c>
      <c r="DH85" s="1128" t="s">
        <v>2943</v>
      </c>
      <c r="DI85" s="1128" t="s">
        <v>2943</v>
      </c>
      <c r="DJ85" s="1128" t="s">
        <v>2943</v>
      </c>
      <c r="DK85" s="1128" t="s">
        <v>2943</v>
      </c>
      <c r="DL85" s="1128" t="s">
        <v>2943</v>
      </c>
      <c r="DM85" s="1128" t="s">
        <v>2943</v>
      </c>
      <c r="DN85" s="1128" t="s">
        <v>2943</v>
      </c>
      <c r="DO85" s="1128" t="s">
        <v>2943</v>
      </c>
      <c r="DP85" s="1128">
        <v>936</v>
      </c>
      <c r="DQ85" s="1128">
        <v>23</v>
      </c>
      <c r="DR85" s="1128">
        <v>32</v>
      </c>
      <c r="DS85" s="1128" t="s">
        <v>2943</v>
      </c>
      <c r="DT85" s="1128" t="s">
        <v>2943</v>
      </c>
      <c r="DU85" s="1128" t="s">
        <v>2943</v>
      </c>
      <c r="DV85" s="1128"/>
      <c r="DW85" s="1128"/>
      <c r="DX85" s="1128"/>
      <c r="DY85" s="1128"/>
      <c r="DZ85" s="1128"/>
      <c r="EA85"/>
      <c r="EB85"/>
      <c r="EC85"/>
      <c r="ED85"/>
      <c r="EE85"/>
      <c r="EF85"/>
      <c r="EG85"/>
      <c r="EH85"/>
      <c r="EI85"/>
      <c r="EJ85"/>
      <c r="EK85"/>
      <c r="EL85"/>
    </row>
    <row r="86" spans="1:142" s="602" customFormat="1" ht="30" customHeight="1">
      <c r="A86" s="621" t="s">
        <v>2558</v>
      </c>
      <c r="B86" s="15104"/>
      <c r="C86" s="719" t="s">
        <v>2564</v>
      </c>
      <c r="D86" s="720" t="s">
        <v>2586</v>
      </c>
      <c r="E86" s="720" t="s">
        <v>2587</v>
      </c>
      <c r="F86" s="720" t="s">
        <v>2588</v>
      </c>
      <c r="G86" s="720" t="s">
        <v>2589</v>
      </c>
      <c r="H86" s="720" t="s">
        <v>2590</v>
      </c>
      <c r="I86" s="720" t="s">
        <v>2491</v>
      </c>
      <c r="J86" s="720">
        <v>82</v>
      </c>
      <c r="K86" s="597" t="s">
        <v>7673</v>
      </c>
      <c r="L86" s="599" t="s">
        <v>2584</v>
      </c>
      <c r="M86" s="600" t="s">
        <v>2323</v>
      </c>
      <c r="N86" s="736">
        <v>1</v>
      </c>
      <c r="O86" s="736">
        <v>1</v>
      </c>
      <c r="P86" s="560" t="s">
        <v>2009</v>
      </c>
      <c r="Q86" s="560" t="s">
        <v>2592</v>
      </c>
      <c r="R86" s="739">
        <v>1</v>
      </c>
      <c r="S86" s="740">
        <v>1</v>
      </c>
      <c r="T86" s="524">
        <f>3881/3881</f>
        <v>1</v>
      </c>
      <c r="U86" s="568" t="s">
        <v>4474</v>
      </c>
      <c r="V86" s="569"/>
      <c r="W86" s="569"/>
      <c r="X86" s="570">
        <f>Y86+Z86+AA86</f>
        <v>2635624819.3269954</v>
      </c>
      <c r="Y86" s="570">
        <v>126649260.48753923</v>
      </c>
      <c r="Z86" s="570">
        <v>14830478.124423113</v>
      </c>
      <c r="AA86" s="570">
        <v>2494145080.7150331</v>
      </c>
      <c r="AB86" s="569">
        <v>3881</v>
      </c>
      <c r="AC86" s="569">
        <v>461</v>
      </c>
      <c r="AD86" s="569">
        <v>3420</v>
      </c>
      <c r="AE86" s="569"/>
      <c r="AF86" s="569"/>
      <c r="AG86" s="569"/>
      <c r="AH86" s="569"/>
      <c r="AI86" s="569">
        <v>2</v>
      </c>
      <c r="AJ86" s="569">
        <v>734</v>
      </c>
      <c r="AK86" s="569">
        <v>2285</v>
      </c>
      <c r="AL86" s="569">
        <v>824</v>
      </c>
      <c r="AM86" s="569">
        <v>36</v>
      </c>
      <c r="AN86" s="569"/>
      <c r="AO86" s="569"/>
      <c r="AP86" s="569"/>
      <c r="AQ86" s="569">
        <v>3881</v>
      </c>
      <c r="AR86" s="569"/>
      <c r="AS86" s="569"/>
      <c r="AT86" s="569"/>
      <c r="AU86" s="569"/>
      <c r="AV86" s="569">
        <v>3252</v>
      </c>
      <c r="AW86" s="569">
        <v>472</v>
      </c>
      <c r="AX86" s="569">
        <v>157</v>
      </c>
      <c r="AY86" s="569"/>
      <c r="AZ86" s="569"/>
      <c r="BA86" s="569"/>
      <c r="BB86" s="569"/>
      <c r="BC86" s="569"/>
      <c r="BD86" s="569"/>
      <c r="BE86" s="569"/>
      <c r="BF86" s="569"/>
      <c r="BG86" s="569"/>
      <c r="BH86" s="569"/>
      <c r="BI86" s="569"/>
      <c r="BJ86" s="569"/>
      <c r="BK86" s="571"/>
      <c r="BL86" s="939"/>
      <c r="BM86" s="14958"/>
      <c r="BN86" s="14958"/>
      <c r="BO86" s="14956"/>
      <c r="BP86" s="14957"/>
      <c r="BQ86" s="1121" t="s">
        <v>2586</v>
      </c>
      <c r="BR86" s="1122" t="s">
        <v>2587</v>
      </c>
      <c r="BS86" s="1121" t="s">
        <v>2588</v>
      </c>
      <c r="BT86" s="1121" t="s">
        <v>2589</v>
      </c>
      <c r="BU86" s="1121" t="s">
        <v>2590</v>
      </c>
      <c r="BV86" s="1122" t="s">
        <v>2491</v>
      </c>
      <c r="BW86" s="1121">
        <v>82</v>
      </c>
      <c r="BX86" s="1121" t="s">
        <v>7673</v>
      </c>
      <c r="BY86" s="956" t="s">
        <v>2591</v>
      </c>
      <c r="BZ86" s="2854" t="s">
        <v>10063</v>
      </c>
      <c r="CA86" s="1121" t="s">
        <v>2323</v>
      </c>
      <c r="CB86" s="1121"/>
      <c r="CC86" s="1134">
        <v>1</v>
      </c>
      <c r="CD86" s="1134">
        <v>1</v>
      </c>
      <c r="CE86" s="1121" t="s">
        <v>2009</v>
      </c>
      <c r="CF86" s="1121" t="s">
        <v>2592</v>
      </c>
      <c r="CG86" s="1134">
        <v>1</v>
      </c>
      <c r="CH86" s="1134">
        <v>1</v>
      </c>
      <c r="CI86" s="1134">
        <v>1</v>
      </c>
      <c r="CJ86" s="1134">
        <v>1</v>
      </c>
      <c r="CK86" s="1126">
        <v>1</v>
      </c>
      <c r="CL86" s="1167">
        <v>1</v>
      </c>
      <c r="CM86" s="14947"/>
      <c r="CN86" s="14950"/>
      <c r="CO86" s="14953"/>
      <c r="CP86" s="997" t="s">
        <v>10019</v>
      </c>
      <c r="CQ86" s="1121"/>
      <c r="CR86" s="1127">
        <v>1954712429</v>
      </c>
      <c r="CS86" s="1121"/>
      <c r="CT86" s="1121"/>
      <c r="CU86" s="1121"/>
      <c r="CV86" s="1121">
        <v>3129</v>
      </c>
      <c r="CW86" s="1121">
        <v>367</v>
      </c>
      <c r="CX86" s="1121">
        <v>2762</v>
      </c>
      <c r="CY86" s="1121" t="s">
        <v>2943</v>
      </c>
      <c r="CZ86" s="1121" t="s">
        <v>2943</v>
      </c>
      <c r="DA86" s="1121">
        <v>1</v>
      </c>
      <c r="DB86" s="1121">
        <v>5</v>
      </c>
      <c r="DC86" s="1121">
        <v>8</v>
      </c>
      <c r="DD86" s="1121">
        <v>584</v>
      </c>
      <c r="DE86" s="1121">
        <v>1832</v>
      </c>
      <c r="DF86" s="1121">
        <v>673</v>
      </c>
      <c r="DG86" s="1128">
        <v>26</v>
      </c>
      <c r="DH86" s="1128" t="s">
        <v>2943</v>
      </c>
      <c r="DI86" s="1128" t="s">
        <v>2943</v>
      </c>
      <c r="DJ86" s="1128" t="s">
        <v>2943</v>
      </c>
      <c r="DK86" s="1128" t="s">
        <v>2943</v>
      </c>
      <c r="DL86" s="1128" t="s">
        <v>2943</v>
      </c>
      <c r="DM86" s="1128" t="s">
        <v>2943</v>
      </c>
      <c r="DN86" s="1128" t="s">
        <v>2943</v>
      </c>
      <c r="DO86" s="1128" t="s">
        <v>2943</v>
      </c>
      <c r="DP86" s="1128">
        <v>2318</v>
      </c>
      <c r="DQ86" s="1128">
        <v>547</v>
      </c>
      <c r="DR86" s="1128">
        <v>264</v>
      </c>
      <c r="DS86" s="1128" t="s">
        <v>2943</v>
      </c>
      <c r="DT86" s="1128" t="s">
        <v>2943</v>
      </c>
      <c r="DU86" s="1128" t="s">
        <v>2943</v>
      </c>
      <c r="DV86" s="1128"/>
      <c r="DW86" s="1128"/>
      <c r="DX86" s="1128"/>
      <c r="DY86" s="1128"/>
      <c r="DZ86" s="1128"/>
      <c r="EA86"/>
      <c r="EB86"/>
      <c r="EC86"/>
      <c r="ED86"/>
      <c r="EE86"/>
      <c r="EF86"/>
      <c r="EG86"/>
      <c r="EH86"/>
      <c r="EI86"/>
      <c r="EJ86"/>
      <c r="EK86"/>
      <c r="EL86"/>
    </row>
    <row r="87" spans="1:142" s="602" customFormat="1" ht="30" customHeight="1">
      <c r="A87" s="621" t="s">
        <v>2558</v>
      </c>
      <c r="B87" s="15104"/>
      <c r="C87" s="719" t="s">
        <v>2593</v>
      </c>
      <c r="D87" s="720" t="s">
        <v>2500</v>
      </c>
      <c r="E87" s="721">
        <v>1</v>
      </c>
      <c r="F87" s="721">
        <v>1</v>
      </c>
      <c r="G87" s="720" t="s">
        <v>2009</v>
      </c>
      <c r="H87" s="720" t="s">
        <v>2501</v>
      </c>
      <c r="I87" s="720" t="s">
        <v>2321</v>
      </c>
      <c r="J87" s="720">
        <v>83</v>
      </c>
      <c r="K87" s="597" t="s">
        <v>7674</v>
      </c>
      <c r="L87" s="599" t="s">
        <v>2591</v>
      </c>
      <c r="M87" s="600" t="s">
        <v>2323</v>
      </c>
      <c r="N87" s="682" t="s">
        <v>70</v>
      </c>
      <c r="O87" s="682">
        <v>1</v>
      </c>
      <c r="P87" s="560" t="s">
        <v>2009</v>
      </c>
      <c r="Q87" s="560" t="s">
        <v>2595</v>
      </c>
      <c r="R87" s="691">
        <v>1</v>
      </c>
      <c r="S87" s="741">
        <v>1</v>
      </c>
      <c r="T87" s="524">
        <v>1</v>
      </c>
      <c r="U87" s="568" t="s">
        <v>4475</v>
      </c>
      <c r="V87" s="573" t="s">
        <v>4476</v>
      </c>
      <c r="W87" s="573" t="s">
        <v>4477</v>
      </c>
      <c r="X87" s="570">
        <f t="shared" ref="X87:X93" si="2">Y87+Z87+AA87</f>
        <v>539012418.42787886</v>
      </c>
      <c r="Y87" s="570">
        <f>236503172.31303/2</f>
        <v>118251586.156515</v>
      </c>
      <c r="Z87" s="570">
        <f>29188118.3572727/2</f>
        <v>14594059.17863635</v>
      </c>
      <c r="AA87" s="570">
        <f>812333546.185455/2</f>
        <v>406166773.09272748</v>
      </c>
      <c r="AB87" s="569"/>
      <c r="AC87" s="569"/>
      <c r="AD87" s="569"/>
      <c r="AE87" s="569"/>
      <c r="AF87" s="569"/>
      <c r="AG87" s="569"/>
      <c r="AH87" s="569"/>
      <c r="AI87" s="569"/>
      <c r="AJ87" s="569"/>
      <c r="AK87" s="569"/>
      <c r="AL87" s="569"/>
      <c r="AM87" s="569"/>
      <c r="AN87" s="569"/>
      <c r="AO87" s="569"/>
      <c r="AP87" s="569"/>
      <c r="AQ87" s="569"/>
      <c r="AR87" s="569"/>
      <c r="AS87" s="569"/>
      <c r="AT87" s="569"/>
      <c r="AU87" s="569"/>
      <c r="AV87" s="569"/>
      <c r="AW87" s="569"/>
      <c r="AX87" s="569"/>
      <c r="AY87" s="569"/>
      <c r="AZ87" s="569"/>
      <c r="BA87" s="569"/>
      <c r="BB87" s="569"/>
      <c r="BC87" s="569"/>
      <c r="BD87" s="569"/>
      <c r="BE87" s="569"/>
      <c r="BF87" s="569"/>
      <c r="BG87" s="569"/>
      <c r="BH87" s="569"/>
      <c r="BI87" s="569"/>
      <c r="BJ87" s="569"/>
      <c r="BK87" s="571"/>
      <c r="BL87" s="939"/>
      <c r="BM87" s="14958"/>
      <c r="BN87" s="14958"/>
      <c r="BO87" s="14965" t="s">
        <v>2593</v>
      </c>
      <c r="BP87" s="14966"/>
      <c r="BQ87" s="995" t="s">
        <v>2500</v>
      </c>
      <c r="BR87" s="1136">
        <v>1</v>
      </c>
      <c r="BS87" s="1120">
        <v>1</v>
      </c>
      <c r="BT87" s="1121" t="s">
        <v>2009</v>
      </c>
      <c r="BU87" s="1121" t="s">
        <v>2501</v>
      </c>
      <c r="BV87" s="1122" t="s">
        <v>2321</v>
      </c>
      <c r="BW87" s="1121">
        <v>83</v>
      </c>
      <c r="BX87" s="1121" t="s">
        <v>7674</v>
      </c>
      <c r="BY87" s="956" t="s">
        <v>2594</v>
      </c>
      <c r="BZ87" s="2854" t="s">
        <v>10063</v>
      </c>
      <c r="CA87" s="1121" t="s">
        <v>2323</v>
      </c>
      <c r="CB87" s="1121"/>
      <c r="CC87" s="1120" t="s">
        <v>70</v>
      </c>
      <c r="CD87" s="1120">
        <v>1</v>
      </c>
      <c r="CE87" s="1121" t="s">
        <v>2009</v>
      </c>
      <c r="CF87" s="1121" t="s">
        <v>2595</v>
      </c>
      <c r="CG87" s="1120">
        <v>1</v>
      </c>
      <c r="CH87" s="1120">
        <v>1</v>
      </c>
      <c r="CI87" s="1120">
        <v>1</v>
      </c>
      <c r="CJ87" s="1120">
        <v>1</v>
      </c>
      <c r="CK87" s="1126">
        <v>1</v>
      </c>
      <c r="CL87" s="1167">
        <v>1</v>
      </c>
      <c r="CM87" s="14947"/>
      <c r="CN87" s="14950"/>
      <c r="CO87" s="14953"/>
      <c r="CP87" s="997" t="s">
        <v>4475</v>
      </c>
      <c r="CQ87" s="1121"/>
      <c r="CR87" s="1127"/>
      <c r="CS87" s="1121"/>
      <c r="CT87" s="1121"/>
      <c r="CU87" s="1121"/>
      <c r="CV87" s="1121">
        <v>8813</v>
      </c>
      <c r="CW87" s="1121">
        <v>2990</v>
      </c>
      <c r="CX87" s="1121">
        <v>5823</v>
      </c>
      <c r="CY87" s="1121"/>
      <c r="CZ87" s="1121"/>
      <c r="DA87" s="1121">
        <v>15</v>
      </c>
      <c r="DB87" s="1121">
        <v>104</v>
      </c>
      <c r="DC87" s="1121">
        <v>43</v>
      </c>
      <c r="DD87" s="1121">
        <v>1028</v>
      </c>
      <c r="DE87" s="1121">
        <v>3107</v>
      </c>
      <c r="DF87" s="1121">
        <v>3258</v>
      </c>
      <c r="DG87" s="1128">
        <v>1258</v>
      </c>
      <c r="DH87" s="1128"/>
      <c r="DI87" s="1128"/>
      <c r="DJ87" s="1128"/>
      <c r="DK87" s="1128">
        <v>8813</v>
      </c>
      <c r="DL87" s="1128"/>
      <c r="DM87" s="1128"/>
      <c r="DN87" s="1128"/>
      <c r="DO87" s="1128"/>
      <c r="DP87" s="1128">
        <v>6601</v>
      </c>
      <c r="DQ87" s="1128">
        <v>1840</v>
      </c>
      <c r="DR87" s="1128">
        <v>371</v>
      </c>
      <c r="DS87" s="1128"/>
      <c r="DT87" s="1128"/>
      <c r="DU87" s="1128">
        <v>1</v>
      </c>
      <c r="DV87" s="1128"/>
      <c r="DW87" s="1128"/>
      <c r="DX87" s="1128"/>
      <c r="DY87" s="1128"/>
      <c r="DZ87" s="1128"/>
      <c r="EA87"/>
      <c r="EB87"/>
      <c r="EC87"/>
      <c r="ED87"/>
      <c r="EE87"/>
      <c r="EF87"/>
      <c r="EG87"/>
      <c r="EH87"/>
      <c r="EI87"/>
      <c r="EJ87"/>
      <c r="EK87"/>
      <c r="EL87"/>
    </row>
    <row r="88" spans="1:142" s="602" customFormat="1" ht="30" customHeight="1">
      <c r="A88" s="621" t="s">
        <v>2558</v>
      </c>
      <c r="B88" s="15104"/>
      <c r="C88" s="719" t="s">
        <v>2593</v>
      </c>
      <c r="D88" s="720" t="s">
        <v>2500</v>
      </c>
      <c r="E88" s="721">
        <v>1</v>
      </c>
      <c r="F88" s="721">
        <v>1</v>
      </c>
      <c r="G88" s="720" t="s">
        <v>2009</v>
      </c>
      <c r="H88" s="720" t="s">
        <v>2501</v>
      </c>
      <c r="I88" s="720" t="s">
        <v>2321</v>
      </c>
      <c r="J88" s="720">
        <v>84</v>
      </c>
      <c r="K88" s="597" t="s">
        <v>7675</v>
      </c>
      <c r="L88" s="599" t="s">
        <v>2594</v>
      </c>
      <c r="M88" s="610" t="s">
        <v>2323</v>
      </c>
      <c r="N88" s="682">
        <v>1</v>
      </c>
      <c r="O88" s="682">
        <v>1</v>
      </c>
      <c r="P88" s="560" t="s">
        <v>2009</v>
      </c>
      <c r="Q88" s="560" t="s">
        <v>2597</v>
      </c>
      <c r="R88" s="691">
        <v>1</v>
      </c>
      <c r="S88" s="614">
        <v>1</v>
      </c>
      <c r="T88" s="524">
        <f>426/426*100%</f>
        <v>1</v>
      </c>
      <c r="U88" s="573" t="s">
        <v>4478</v>
      </c>
      <c r="V88" s="569"/>
      <c r="W88" s="573" t="s">
        <v>4466</v>
      </c>
      <c r="X88" s="570">
        <f t="shared" si="2"/>
        <v>2882372.4674727274</v>
      </c>
      <c r="Y88" s="570">
        <v>505585.27159090911</v>
      </c>
      <c r="Z88" s="570">
        <v>73383.945818181819</v>
      </c>
      <c r="AA88" s="570">
        <v>2303403.2500636363</v>
      </c>
      <c r="AB88" s="569">
        <v>426</v>
      </c>
      <c r="AC88" s="569">
        <v>124</v>
      </c>
      <c r="AD88" s="569">
        <v>302</v>
      </c>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71"/>
      <c r="BL88" s="939"/>
      <c r="BM88" s="14958"/>
      <c r="BN88" s="14958"/>
      <c r="BO88" s="14945"/>
      <c r="BP88" s="14967"/>
      <c r="BQ88" s="995" t="s">
        <v>2500</v>
      </c>
      <c r="BR88" s="1136">
        <v>1</v>
      </c>
      <c r="BS88" s="1120">
        <v>1</v>
      </c>
      <c r="BT88" s="1121" t="s">
        <v>2009</v>
      </c>
      <c r="BU88" s="1121" t="s">
        <v>2501</v>
      </c>
      <c r="BV88" s="1122" t="s">
        <v>2321</v>
      </c>
      <c r="BW88" s="1121">
        <v>84</v>
      </c>
      <c r="BX88" s="1121" t="s">
        <v>7675</v>
      </c>
      <c r="BY88" s="956" t="s">
        <v>2596</v>
      </c>
      <c r="BZ88" s="2854" t="s">
        <v>10063</v>
      </c>
      <c r="CA88" s="1121" t="s">
        <v>2323</v>
      </c>
      <c r="CB88" s="1121"/>
      <c r="CC88" s="1120">
        <v>1</v>
      </c>
      <c r="CD88" s="1120">
        <v>1</v>
      </c>
      <c r="CE88" s="1121" t="s">
        <v>2009</v>
      </c>
      <c r="CF88" s="1121" t="s">
        <v>2597</v>
      </c>
      <c r="CG88" s="1120">
        <v>1</v>
      </c>
      <c r="CH88" s="1120">
        <v>1</v>
      </c>
      <c r="CI88" s="1120">
        <v>1</v>
      </c>
      <c r="CJ88" s="1120">
        <v>1</v>
      </c>
      <c r="CK88" s="1126">
        <v>1</v>
      </c>
      <c r="CL88" s="1167">
        <v>1</v>
      </c>
      <c r="CM88" s="14947"/>
      <c r="CN88" s="14950"/>
      <c r="CO88" s="14953"/>
      <c r="CP88" s="997" t="s">
        <v>10020</v>
      </c>
      <c r="CQ88" s="1121"/>
      <c r="CR88" s="1127">
        <v>2524000</v>
      </c>
      <c r="CS88" s="1121"/>
      <c r="CT88" s="1121"/>
      <c r="CU88" s="1121"/>
      <c r="CV88" s="1121">
        <v>675</v>
      </c>
      <c r="CW88" s="1121">
        <v>241</v>
      </c>
      <c r="CX88" s="1121">
        <v>434</v>
      </c>
      <c r="CY88" s="1121" t="s">
        <v>2943</v>
      </c>
      <c r="CZ88" s="1121" t="s">
        <v>2943</v>
      </c>
      <c r="DA88" s="1121" t="s">
        <v>2943</v>
      </c>
      <c r="DB88" s="1121" t="s">
        <v>2943</v>
      </c>
      <c r="DC88" s="1121" t="s">
        <v>2943</v>
      </c>
      <c r="DD88" s="1121" t="s">
        <v>2943</v>
      </c>
      <c r="DE88" s="1121" t="s">
        <v>2943</v>
      </c>
      <c r="DF88" s="1121" t="s">
        <v>2943</v>
      </c>
      <c r="DG88" s="1128" t="s">
        <v>2943</v>
      </c>
      <c r="DH88" s="1128" t="s">
        <v>2943</v>
      </c>
      <c r="DI88" s="1128" t="s">
        <v>2943</v>
      </c>
      <c r="DJ88" s="1128" t="s">
        <v>2943</v>
      </c>
      <c r="DK88" s="1128" t="s">
        <v>2943</v>
      </c>
      <c r="DL88" s="1128" t="s">
        <v>2943</v>
      </c>
      <c r="DM88" s="1128" t="s">
        <v>2943</v>
      </c>
      <c r="DN88" s="1128" t="s">
        <v>2943</v>
      </c>
      <c r="DO88" s="1128" t="s">
        <v>2943</v>
      </c>
      <c r="DP88" s="1128" t="s">
        <v>2943</v>
      </c>
      <c r="DQ88" s="1128" t="s">
        <v>2943</v>
      </c>
      <c r="DR88" s="1128" t="s">
        <v>2943</v>
      </c>
      <c r="DS88" s="1128" t="s">
        <v>2943</v>
      </c>
      <c r="DT88" s="1128" t="s">
        <v>2943</v>
      </c>
      <c r="DU88" s="1128" t="s">
        <v>2943</v>
      </c>
      <c r="DV88" s="1128"/>
      <c r="DW88" s="1128"/>
      <c r="DX88" s="1128"/>
      <c r="DY88" s="1128"/>
      <c r="DZ88" s="1128"/>
      <c r="EA88"/>
      <c r="EB88"/>
      <c r="EC88"/>
      <c r="ED88"/>
      <c r="EE88"/>
      <c r="EF88"/>
      <c r="EG88"/>
      <c r="EH88"/>
      <c r="EI88"/>
      <c r="EJ88"/>
      <c r="EK88"/>
      <c r="EL88"/>
    </row>
    <row r="89" spans="1:142" s="602" customFormat="1" ht="30" customHeight="1">
      <c r="A89" s="621" t="s">
        <v>2558</v>
      </c>
      <c r="B89" s="15104"/>
      <c r="C89" s="719" t="s">
        <v>2593</v>
      </c>
      <c r="D89" s="720" t="s">
        <v>2500</v>
      </c>
      <c r="E89" s="721">
        <v>1</v>
      </c>
      <c r="F89" s="721">
        <v>1</v>
      </c>
      <c r="G89" s="720" t="s">
        <v>2009</v>
      </c>
      <c r="H89" s="720" t="s">
        <v>2501</v>
      </c>
      <c r="I89" s="720" t="s">
        <v>2321</v>
      </c>
      <c r="J89" s="720">
        <v>85</v>
      </c>
      <c r="K89" s="597" t="s">
        <v>7676</v>
      </c>
      <c r="L89" s="599" t="s">
        <v>2596</v>
      </c>
      <c r="M89" s="610" t="s">
        <v>2323</v>
      </c>
      <c r="N89" s="722">
        <v>1</v>
      </c>
      <c r="O89" s="722">
        <v>1</v>
      </c>
      <c r="P89" s="722" t="s">
        <v>2005</v>
      </c>
      <c r="Q89" s="560" t="s">
        <v>2599</v>
      </c>
      <c r="R89" s="728">
        <v>1</v>
      </c>
      <c r="S89" s="614">
        <v>1</v>
      </c>
      <c r="T89" s="524">
        <f>426/426*100%</f>
        <v>1</v>
      </c>
      <c r="U89" s="573" t="s">
        <v>4479</v>
      </c>
      <c r="V89" s="573" t="s">
        <v>3088</v>
      </c>
      <c r="W89" s="573" t="s">
        <v>4466</v>
      </c>
      <c r="X89" s="570">
        <f t="shared" si="2"/>
        <v>4803954.1124545466</v>
      </c>
      <c r="Y89" s="570">
        <v>842642.11931818188</v>
      </c>
      <c r="Z89" s="570">
        <v>122306.57636363637</v>
      </c>
      <c r="AA89" s="570">
        <v>3839005.4167727279</v>
      </c>
      <c r="AB89" s="569">
        <v>35</v>
      </c>
      <c r="AC89" s="569">
        <v>15</v>
      </c>
      <c r="AD89" s="569">
        <v>20</v>
      </c>
      <c r="AE89" s="569"/>
      <c r="AF89" s="569"/>
      <c r="AG89" s="569"/>
      <c r="AH89" s="569"/>
      <c r="AI89" s="569"/>
      <c r="AJ89" s="569"/>
      <c r="AK89" s="569"/>
      <c r="AL89" s="569"/>
      <c r="AM89" s="569"/>
      <c r="AN89" s="569"/>
      <c r="AO89" s="569"/>
      <c r="AP89" s="569"/>
      <c r="AQ89" s="569"/>
      <c r="AR89" s="569"/>
      <c r="AS89" s="569"/>
      <c r="AT89" s="569"/>
      <c r="AU89" s="569"/>
      <c r="AV89" s="569"/>
      <c r="AW89" s="569"/>
      <c r="AX89" s="569"/>
      <c r="AY89" s="569"/>
      <c r="AZ89" s="569"/>
      <c r="BA89" s="569"/>
      <c r="BB89" s="569"/>
      <c r="BC89" s="569"/>
      <c r="BD89" s="569"/>
      <c r="BE89" s="569"/>
      <c r="BF89" s="569"/>
      <c r="BG89" s="569"/>
      <c r="BH89" s="569"/>
      <c r="BI89" s="569"/>
      <c r="BJ89" s="569"/>
      <c r="BK89" s="571"/>
      <c r="BL89" s="939"/>
      <c r="BM89" s="14958"/>
      <c r="BN89" s="14958"/>
      <c r="BO89" s="14945"/>
      <c r="BP89" s="14967"/>
      <c r="BQ89" s="995" t="s">
        <v>2500</v>
      </c>
      <c r="BR89" s="1136">
        <v>1</v>
      </c>
      <c r="BS89" s="1120">
        <v>1</v>
      </c>
      <c r="BT89" s="1121" t="s">
        <v>2009</v>
      </c>
      <c r="BU89" s="1121" t="s">
        <v>2501</v>
      </c>
      <c r="BV89" s="1122" t="s">
        <v>2321</v>
      </c>
      <c r="BW89" s="1121">
        <v>85</v>
      </c>
      <c r="BX89" s="1121" t="s">
        <v>7676</v>
      </c>
      <c r="BY89" s="956" t="s">
        <v>2598</v>
      </c>
      <c r="BZ89" s="2854" t="s">
        <v>10063</v>
      </c>
      <c r="CA89" s="1121" t="s">
        <v>2323</v>
      </c>
      <c r="CB89" s="1121"/>
      <c r="CC89" s="1123">
        <v>1</v>
      </c>
      <c r="CD89" s="1123">
        <v>1</v>
      </c>
      <c r="CE89" s="1123" t="s">
        <v>2005</v>
      </c>
      <c r="CF89" s="1121" t="s">
        <v>2599</v>
      </c>
      <c r="CG89" s="1123">
        <v>1</v>
      </c>
      <c r="CH89" s="1123">
        <v>1</v>
      </c>
      <c r="CI89" s="1123">
        <v>1</v>
      </c>
      <c r="CJ89" s="1123">
        <v>1</v>
      </c>
      <c r="CK89" s="1123">
        <v>1</v>
      </c>
      <c r="CL89" s="1167">
        <v>1</v>
      </c>
      <c r="CM89" s="14947"/>
      <c r="CN89" s="14950"/>
      <c r="CO89" s="14953"/>
      <c r="CP89" s="997" t="s">
        <v>10021</v>
      </c>
      <c r="CQ89" s="1121"/>
      <c r="CR89" s="1127">
        <v>2524000</v>
      </c>
      <c r="CS89" s="1121"/>
      <c r="CT89" s="1121"/>
      <c r="CU89" s="1121"/>
      <c r="CV89" s="1121">
        <v>675</v>
      </c>
      <c r="CW89" s="1121">
        <v>241</v>
      </c>
      <c r="CX89" s="1121">
        <v>434</v>
      </c>
      <c r="CY89" s="1121" t="s">
        <v>2943</v>
      </c>
      <c r="CZ89" s="1121" t="s">
        <v>2943</v>
      </c>
      <c r="DA89" s="1121" t="s">
        <v>2943</v>
      </c>
      <c r="DB89" s="1121" t="s">
        <v>2943</v>
      </c>
      <c r="DC89" s="1121" t="s">
        <v>2943</v>
      </c>
      <c r="DD89" s="1121" t="s">
        <v>2943</v>
      </c>
      <c r="DE89" s="1121" t="s">
        <v>2943</v>
      </c>
      <c r="DF89" s="1128" t="s">
        <v>2943</v>
      </c>
      <c r="DG89" s="1128" t="s">
        <v>2943</v>
      </c>
      <c r="DH89" s="1128" t="s">
        <v>2943</v>
      </c>
      <c r="DI89" s="1128" t="s">
        <v>2943</v>
      </c>
      <c r="DJ89" s="1128" t="s">
        <v>2943</v>
      </c>
      <c r="DK89" s="1128" t="s">
        <v>2943</v>
      </c>
      <c r="DL89" s="1128" t="s">
        <v>2943</v>
      </c>
      <c r="DM89" s="1128" t="s">
        <v>2943</v>
      </c>
      <c r="DN89" s="1128" t="s">
        <v>2943</v>
      </c>
      <c r="DO89" s="1128" t="s">
        <v>2943</v>
      </c>
      <c r="DP89" s="1128" t="s">
        <v>2943</v>
      </c>
      <c r="DQ89" s="1128" t="s">
        <v>2943</v>
      </c>
      <c r="DR89" s="1128" t="s">
        <v>2943</v>
      </c>
      <c r="DS89" s="1128" t="s">
        <v>2943</v>
      </c>
      <c r="DT89" s="1128" t="s">
        <v>2943</v>
      </c>
      <c r="DU89" s="1128" t="s">
        <v>2943</v>
      </c>
      <c r="DV89" s="1128"/>
      <c r="DW89" s="1128"/>
      <c r="DX89" s="1128"/>
      <c r="DY89" s="1128"/>
      <c r="DZ89" s="1128"/>
      <c r="EA89"/>
      <c r="EB89"/>
      <c r="EC89"/>
      <c r="ED89"/>
      <c r="EE89"/>
      <c r="EF89"/>
      <c r="EG89"/>
      <c r="EH89"/>
      <c r="EI89"/>
      <c r="EJ89"/>
      <c r="EK89"/>
      <c r="EL89"/>
    </row>
    <row r="90" spans="1:142" s="602" customFormat="1" ht="30" customHeight="1">
      <c r="A90" s="621" t="s">
        <v>2558</v>
      </c>
      <c r="B90" s="15104"/>
      <c r="C90" s="719" t="s">
        <v>2593</v>
      </c>
      <c r="D90" s="720" t="s">
        <v>2500</v>
      </c>
      <c r="E90" s="721">
        <v>1</v>
      </c>
      <c r="F90" s="721">
        <v>1</v>
      </c>
      <c r="G90" s="720" t="s">
        <v>2009</v>
      </c>
      <c r="H90" s="720" t="s">
        <v>2501</v>
      </c>
      <c r="I90" s="720" t="s">
        <v>2321</v>
      </c>
      <c r="J90" s="720">
        <v>86</v>
      </c>
      <c r="K90" s="597" t="s">
        <v>7677</v>
      </c>
      <c r="L90" s="599" t="s">
        <v>2598</v>
      </c>
      <c r="M90" s="610" t="s">
        <v>2323</v>
      </c>
      <c r="N90" s="722" t="s">
        <v>2324</v>
      </c>
      <c r="O90" s="742">
        <v>1</v>
      </c>
      <c r="P90" s="722" t="s">
        <v>2009</v>
      </c>
      <c r="Q90" s="560" t="s">
        <v>2602</v>
      </c>
      <c r="R90" s="586">
        <v>1</v>
      </c>
      <c r="S90" s="731">
        <v>1</v>
      </c>
      <c r="T90" s="585">
        <v>1</v>
      </c>
      <c r="U90" s="568" t="s">
        <v>4480</v>
      </c>
      <c r="V90" s="573" t="s">
        <v>4481</v>
      </c>
      <c r="W90" s="573" t="s">
        <v>4482</v>
      </c>
      <c r="X90" s="570">
        <f t="shared" si="2"/>
        <v>71794680</v>
      </c>
      <c r="Y90" s="570">
        <v>68486633.200000003</v>
      </c>
      <c r="Z90" s="570">
        <v>3308046.8</v>
      </c>
      <c r="AA90" s="570">
        <v>0</v>
      </c>
      <c r="AB90" s="573" t="s">
        <v>4482</v>
      </c>
      <c r="AC90" s="569"/>
      <c r="AD90" s="569"/>
      <c r="AE90" s="569"/>
      <c r="AF90" s="569"/>
      <c r="AG90" s="569"/>
      <c r="AH90" s="569"/>
      <c r="AI90" s="569"/>
      <c r="AJ90" s="569"/>
      <c r="AK90" s="569"/>
      <c r="AL90" s="569"/>
      <c r="AM90" s="569"/>
      <c r="AN90" s="569"/>
      <c r="AO90" s="569"/>
      <c r="AP90" s="569"/>
      <c r="AQ90" s="569"/>
      <c r="AR90" s="569"/>
      <c r="AS90" s="569"/>
      <c r="AT90" s="569"/>
      <c r="AU90" s="569"/>
      <c r="AV90" s="569"/>
      <c r="AW90" s="569"/>
      <c r="AX90" s="569"/>
      <c r="AY90" s="569"/>
      <c r="AZ90" s="569"/>
      <c r="BA90" s="569"/>
      <c r="BB90" s="569"/>
      <c r="BC90" s="569"/>
      <c r="BD90" s="569"/>
      <c r="BE90" s="569"/>
      <c r="BF90" s="569"/>
      <c r="BG90" s="569"/>
      <c r="BH90" s="569"/>
      <c r="BI90" s="569"/>
      <c r="BJ90" s="569"/>
      <c r="BK90" s="571"/>
      <c r="BL90" s="939"/>
      <c r="BM90" s="14958"/>
      <c r="BN90" s="14958"/>
      <c r="BO90" s="14945"/>
      <c r="BP90" s="14967"/>
      <c r="BQ90" s="995" t="s">
        <v>2500</v>
      </c>
      <c r="BR90" s="1136">
        <v>1</v>
      </c>
      <c r="BS90" s="1120">
        <v>1</v>
      </c>
      <c r="BT90" s="1121" t="s">
        <v>2009</v>
      </c>
      <c r="BU90" s="1121" t="s">
        <v>2501</v>
      </c>
      <c r="BV90" s="1122" t="s">
        <v>2321</v>
      </c>
      <c r="BW90" s="14963">
        <v>86</v>
      </c>
      <c r="BX90" s="14963" t="s">
        <v>7677</v>
      </c>
      <c r="BY90" s="14963" t="s">
        <v>2600</v>
      </c>
      <c r="BZ90" s="2854" t="s">
        <v>10063</v>
      </c>
      <c r="CA90" s="1121" t="s">
        <v>2323</v>
      </c>
      <c r="CC90" s="1123" t="s">
        <v>2324</v>
      </c>
      <c r="CD90" s="1129">
        <v>1</v>
      </c>
      <c r="CE90" s="1123" t="s">
        <v>2009</v>
      </c>
      <c r="CF90" s="1121" t="s">
        <v>2602</v>
      </c>
      <c r="CG90" s="1129">
        <v>1</v>
      </c>
      <c r="CH90" s="1129">
        <v>1</v>
      </c>
      <c r="CI90" s="1129">
        <v>1</v>
      </c>
      <c r="CJ90" s="14968">
        <v>1</v>
      </c>
      <c r="CK90" s="14968">
        <v>1</v>
      </c>
      <c r="CL90" s="14970">
        <v>1</v>
      </c>
      <c r="CM90" s="14947"/>
      <c r="CN90" s="14950"/>
      <c r="CO90" s="14953"/>
      <c r="CP90" s="997" t="s">
        <v>10022</v>
      </c>
      <c r="CQ90" s="1121" t="s">
        <v>10023</v>
      </c>
      <c r="CR90" s="1127"/>
      <c r="CS90" s="1121"/>
      <c r="CT90" s="1121"/>
      <c r="CU90" s="1121">
        <v>0</v>
      </c>
      <c r="CV90" s="1121" t="s">
        <v>4482</v>
      </c>
      <c r="CW90" s="1121"/>
      <c r="CX90" s="1121"/>
      <c r="CY90" s="1121"/>
      <c r="CZ90" s="1121"/>
      <c r="DA90" s="1121"/>
      <c r="DB90" s="1121"/>
      <c r="DC90" s="1121"/>
      <c r="DD90" s="1121"/>
      <c r="DE90" s="1121"/>
      <c r="DF90" s="1121"/>
      <c r="DG90" s="1128"/>
      <c r="DH90" s="1128"/>
      <c r="DI90" s="1128"/>
      <c r="DJ90" s="1128"/>
      <c r="DK90" s="1128"/>
      <c r="DL90" s="1128"/>
      <c r="DM90" s="1128"/>
      <c r="DN90" s="1128"/>
      <c r="DO90" s="1128"/>
      <c r="DP90" s="1128"/>
      <c r="DQ90" s="1128"/>
      <c r="DR90" s="1128"/>
      <c r="DS90" s="1128"/>
      <c r="DT90" s="1128"/>
      <c r="DU90" s="1128"/>
      <c r="DV90" s="1128"/>
      <c r="DW90" s="1128"/>
      <c r="DX90" s="1128"/>
      <c r="DY90" s="1128"/>
      <c r="DZ90" s="1128"/>
      <c r="EA90"/>
      <c r="EB90"/>
      <c r="EC90"/>
      <c r="ED90"/>
      <c r="EE90"/>
      <c r="EF90"/>
      <c r="EG90"/>
      <c r="EH90"/>
      <c r="EI90"/>
      <c r="EJ90"/>
      <c r="EK90"/>
      <c r="EL90"/>
    </row>
    <row r="91" spans="1:142" s="602" customFormat="1" ht="30" customHeight="1">
      <c r="A91" s="621"/>
      <c r="B91" s="15104"/>
      <c r="C91" s="7602"/>
      <c r="D91" s="7603"/>
      <c r="E91" s="7604"/>
      <c r="F91" s="7604"/>
      <c r="G91" s="7603"/>
      <c r="H91" s="7603"/>
      <c r="I91" s="7603"/>
      <c r="J91" s="7603"/>
      <c r="K91" s="7603"/>
      <c r="L91" s="7605"/>
      <c r="M91" s="7606"/>
      <c r="N91" s="7607"/>
      <c r="O91" s="7608"/>
      <c r="P91" s="7607"/>
      <c r="Q91" s="7609"/>
      <c r="R91" s="7610"/>
      <c r="S91" s="7611"/>
      <c r="T91" s="7612"/>
      <c r="U91" s="7613"/>
      <c r="V91" s="7614"/>
      <c r="W91" s="7614"/>
      <c r="X91" s="7615"/>
      <c r="Y91" s="7615"/>
      <c r="Z91" s="7615"/>
      <c r="AA91" s="7615"/>
      <c r="AB91" s="7614"/>
      <c r="AC91" s="7616"/>
      <c r="AD91" s="7616"/>
      <c r="AE91" s="7616"/>
      <c r="AF91" s="7616"/>
      <c r="AG91" s="7616"/>
      <c r="AH91" s="7616"/>
      <c r="AI91" s="7616"/>
      <c r="AJ91" s="7616"/>
      <c r="AK91" s="7616"/>
      <c r="AL91" s="7616"/>
      <c r="AM91" s="7616"/>
      <c r="AN91" s="7616"/>
      <c r="AO91" s="7616"/>
      <c r="AP91" s="7616"/>
      <c r="AQ91" s="7616"/>
      <c r="AR91" s="7616"/>
      <c r="AS91" s="7616"/>
      <c r="AT91" s="7616"/>
      <c r="AU91" s="7616"/>
      <c r="AV91" s="7616"/>
      <c r="AW91" s="7616"/>
      <c r="AX91" s="7616"/>
      <c r="AY91" s="7616"/>
      <c r="AZ91" s="7616"/>
      <c r="BA91" s="7616"/>
      <c r="BB91" s="7616"/>
      <c r="BC91" s="7616"/>
      <c r="BD91" s="7616"/>
      <c r="BE91" s="7616"/>
      <c r="BF91" s="7616"/>
      <c r="BG91" s="7616"/>
      <c r="BH91" s="7616"/>
      <c r="BI91" s="7616"/>
      <c r="BJ91" s="7616"/>
      <c r="BK91" s="571"/>
      <c r="BL91" s="939"/>
      <c r="BM91" s="14959"/>
      <c r="BN91" s="14959"/>
      <c r="BO91" s="14956"/>
      <c r="BP91" s="14962"/>
      <c r="BQ91" s="7617"/>
      <c r="BR91" s="7618"/>
      <c r="BS91" s="7619"/>
      <c r="BT91" s="7620"/>
      <c r="BU91" s="7620"/>
      <c r="BV91" s="7621"/>
      <c r="BW91" s="14964"/>
      <c r="BX91" s="14964"/>
      <c r="BY91" s="14964"/>
      <c r="BZ91" s="2854" t="s">
        <v>10070</v>
      </c>
      <c r="CA91" s="7620"/>
      <c r="CB91" s="1121" t="s">
        <v>10097</v>
      </c>
      <c r="CC91" s="7622"/>
      <c r="CD91" s="7623"/>
      <c r="CE91" s="7622"/>
      <c r="CF91" s="7620"/>
      <c r="CG91" s="7623"/>
      <c r="CH91" s="7623"/>
      <c r="CI91" s="7623"/>
      <c r="CJ91" s="14969"/>
      <c r="CK91" s="14969"/>
      <c r="CL91" s="14971"/>
      <c r="CM91" s="14947"/>
      <c r="CN91" s="14950"/>
      <c r="CO91" s="14953"/>
      <c r="CP91" s="997"/>
      <c r="CQ91" s="7620"/>
      <c r="CR91" s="7624"/>
      <c r="CS91" s="7620"/>
      <c r="CT91" s="7620"/>
      <c r="CU91" s="7620"/>
      <c r="CV91" s="7620"/>
      <c r="CW91" s="7620"/>
      <c r="CX91" s="7620"/>
      <c r="CY91" s="7620"/>
      <c r="CZ91" s="7620"/>
      <c r="DA91" s="7620"/>
      <c r="DB91" s="7620"/>
      <c r="DC91" s="7620"/>
      <c r="DD91" s="7620"/>
      <c r="DE91" s="7620"/>
      <c r="DF91" s="7620"/>
      <c r="DG91" s="7625"/>
      <c r="DH91" s="7625"/>
      <c r="DI91" s="7625"/>
      <c r="DJ91" s="7625"/>
      <c r="DK91" s="7625"/>
      <c r="DL91" s="7625"/>
      <c r="DM91" s="7625"/>
      <c r="DN91" s="7625"/>
      <c r="DO91" s="7625"/>
      <c r="DP91" s="7625"/>
      <c r="DQ91" s="7625"/>
      <c r="DR91" s="7625"/>
      <c r="DS91" s="7625"/>
      <c r="DT91" s="7625"/>
      <c r="DU91" s="7625"/>
      <c r="DV91" s="7625"/>
      <c r="DW91" s="7625"/>
      <c r="DX91" s="7625"/>
      <c r="DY91" s="7625"/>
      <c r="DZ91" s="7625"/>
      <c r="EA91"/>
      <c r="EB91"/>
      <c r="EC91"/>
      <c r="ED91"/>
      <c r="EE91"/>
      <c r="EF91"/>
      <c r="EG91"/>
      <c r="EH91"/>
      <c r="EI91"/>
      <c r="EJ91"/>
      <c r="EK91"/>
      <c r="EL91"/>
    </row>
    <row r="92" spans="1:142" s="602" customFormat="1" ht="30" customHeight="1">
      <c r="A92" s="621" t="s">
        <v>2558</v>
      </c>
      <c r="B92" s="15104"/>
      <c r="C92" s="719" t="s">
        <v>2603</v>
      </c>
      <c r="D92" s="720" t="s">
        <v>2604</v>
      </c>
      <c r="E92" s="720">
        <v>0</v>
      </c>
      <c r="F92" s="720">
        <v>1</v>
      </c>
      <c r="G92" s="720" t="s">
        <v>2605</v>
      </c>
      <c r="H92" s="720" t="s">
        <v>2606</v>
      </c>
      <c r="I92" s="720" t="s">
        <v>2607</v>
      </c>
      <c r="J92" s="720">
        <v>87</v>
      </c>
      <c r="K92" s="597" t="s">
        <v>7678</v>
      </c>
      <c r="L92" s="599" t="s">
        <v>2600</v>
      </c>
      <c r="M92" s="600" t="s">
        <v>2601</v>
      </c>
      <c r="N92" s="682" t="s">
        <v>70</v>
      </c>
      <c r="O92" s="682">
        <v>1</v>
      </c>
      <c r="P92" s="560" t="s">
        <v>2009</v>
      </c>
      <c r="Q92" s="560" t="s">
        <v>2609</v>
      </c>
      <c r="R92" s="691">
        <v>1</v>
      </c>
      <c r="S92" s="729">
        <v>1</v>
      </c>
      <c r="T92" s="524">
        <v>1</v>
      </c>
      <c r="U92" s="568" t="s">
        <v>4483</v>
      </c>
      <c r="V92" s="573" t="s">
        <v>4484</v>
      </c>
      <c r="W92" s="569"/>
      <c r="X92" s="570">
        <f t="shared" si="2"/>
        <v>54528746.666666664</v>
      </c>
      <c r="Y92" s="570">
        <v>51220699.866666667</v>
      </c>
      <c r="Z92" s="570">
        <v>3308046.8000000003</v>
      </c>
      <c r="AA92" s="570">
        <v>0</v>
      </c>
      <c r="AB92" s="569">
        <v>6278</v>
      </c>
      <c r="AC92" s="569"/>
      <c r="AD92" s="569"/>
      <c r="AE92" s="569"/>
      <c r="AF92" s="569"/>
      <c r="AG92" s="569"/>
      <c r="AH92" s="569"/>
      <c r="AI92" s="569"/>
      <c r="AJ92" s="569"/>
      <c r="AK92" s="569"/>
      <c r="AL92" s="569"/>
      <c r="AM92" s="569"/>
      <c r="AN92" s="569"/>
      <c r="AO92" s="569"/>
      <c r="AP92" s="569"/>
      <c r="AQ92" s="569"/>
      <c r="AR92" s="569"/>
      <c r="AS92" s="569"/>
      <c r="AT92" s="569"/>
      <c r="AU92" s="569"/>
      <c r="AV92" s="569"/>
      <c r="AW92" s="569"/>
      <c r="AX92" s="569"/>
      <c r="AY92" s="569"/>
      <c r="AZ92" s="569"/>
      <c r="BA92" s="569"/>
      <c r="BB92" s="569"/>
      <c r="BC92" s="569"/>
      <c r="BD92" s="569"/>
      <c r="BE92" s="569"/>
      <c r="BF92" s="569"/>
      <c r="BG92" s="569"/>
      <c r="BH92" s="569"/>
      <c r="BI92" s="569"/>
      <c r="BJ92" s="569"/>
      <c r="BK92" s="571"/>
      <c r="BL92" s="939"/>
      <c r="BM92" s="14958"/>
      <c r="BN92" s="14958"/>
      <c r="BO92" s="14960" t="s">
        <v>2603</v>
      </c>
      <c r="BP92" s="14961"/>
      <c r="BQ92" s="954" t="s">
        <v>2604</v>
      </c>
      <c r="BR92" s="999">
        <v>0</v>
      </c>
      <c r="BS92" s="1121">
        <v>1</v>
      </c>
      <c r="BT92" s="1121" t="s">
        <v>2605</v>
      </c>
      <c r="BU92" s="1121" t="s">
        <v>2606</v>
      </c>
      <c r="BV92" s="1122" t="s">
        <v>2607</v>
      </c>
      <c r="BW92" s="1121">
        <v>87</v>
      </c>
      <c r="BX92" s="1121" t="s">
        <v>7678</v>
      </c>
      <c r="BY92" s="956" t="s">
        <v>2608</v>
      </c>
      <c r="BZ92" s="2854" t="s">
        <v>10063</v>
      </c>
      <c r="CA92" s="1121" t="s">
        <v>2323</v>
      </c>
      <c r="CB92" s="1121"/>
      <c r="CC92" s="1120" t="s">
        <v>70</v>
      </c>
      <c r="CD92" s="1120">
        <v>1</v>
      </c>
      <c r="CE92" s="1121" t="s">
        <v>2009</v>
      </c>
      <c r="CF92" s="1121" t="s">
        <v>2609</v>
      </c>
      <c r="CG92" s="1120">
        <v>0.1</v>
      </c>
      <c r="CH92" s="1120">
        <v>1</v>
      </c>
      <c r="CI92" s="1120">
        <v>1</v>
      </c>
      <c r="CJ92" s="1120">
        <v>1</v>
      </c>
      <c r="CK92" s="1126">
        <v>0</v>
      </c>
      <c r="CL92" s="1167">
        <v>0</v>
      </c>
      <c r="CM92" s="14947"/>
      <c r="CN92" s="14950"/>
      <c r="CO92" s="14953"/>
      <c r="CP92" s="997" t="s">
        <v>10024</v>
      </c>
      <c r="CQ92" s="1121"/>
      <c r="CR92" s="1127">
        <v>1600000</v>
      </c>
      <c r="CS92" s="1121"/>
      <c r="CT92" s="1121"/>
      <c r="CU92" s="1121">
        <v>0</v>
      </c>
      <c r="CV92" s="1121">
        <v>9005</v>
      </c>
      <c r="CW92" s="1121">
        <v>3249</v>
      </c>
      <c r="CX92" s="1121">
        <v>5756</v>
      </c>
      <c r="CY92" s="1121" t="s">
        <v>2943</v>
      </c>
      <c r="CZ92" s="1121" t="s">
        <v>2943</v>
      </c>
      <c r="DA92" s="1121" t="s">
        <v>2943</v>
      </c>
      <c r="DB92" s="1121" t="s">
        <v>2943</v>
      </c>
      <c r="DC92" s="1121" t="s">
        <v>2943</v>
      </c>
      <c r="DD92" s="1121" t="s">
        <v>2943</v>
      </c>
      <c r="DE92" s="1121" t="s">
        <v>2943</v>
      </c>
      <c r="DF92" s="1121" t="s">
        <v>2943</v>
      </c>
      <c r="DG92" s="1128" t="s">
        <v>2943</v>
      </c>
      <c r="DH92" s="1128" t="s">
        <v>2943</v>
      </c>
      <c r="DI92" s="1128" t="s">
        <v>2943</v>
      </c>
      <c r="DJ92" s="1128" t="s">
        <v>2943</v>
      </c>
      <c r="DK92" s="1128" t="s">
        <v>10025</v>
      </c>
      <c r="DL92" s="1128" t="s">
        <v>2943</v>
      </c>
      <c r="DM92" s="1128" t="s">
        <v>2943</v>
      </c>
      <c r="DN92" s="1128" t="s">
        <v>2943</v>
      </c>
      <c r="DO92" s="1128"/>
      <c r="DP92" s="1128" t="s">
        <v>2943</v>
      </c>
      <c r="DQ92" s="1128" t="s">
        <v>2943</v>
      </c>
      <c r="DR92" s="1128" t="s">
        <v>2943</v>
      </c>
      <c r="DS92" s="1128" t="s">
        <v>2943</v>
      </c>
      <c r="DT92" s="1128" t="s">
        <v>2943</v>
      </c>
      <c r="DU92" s="1128" t="s">
        <v>2943</v>
      </c>
      <c r="DV92" s="1128"/>
      <c r="DW92" s="1128"/>
      <c r="DX92" s="1128"/>
      <c r="DY92" s="1128"/>
      <c r="DZ92" s="1128"/>
      <c r="EA92"/>
      <c r="EB92"/>
      <c r="EC92"/>
      <c r="ED92"/>
      <c r="EE92"/>
      <c r="EF92"/>
      <c r="EG92"/>
      <c r="EH92"/>
      <c r="EI92"/>
      <c r="EJ92"/>
      <c r="EK92"/>
      <c r="EL92"/>
    </row>
    <row r="93" spans="1:142" s="602" customFormat="1" ht="30" customHeight="1" thickBot="1">
      <c r="A93" s="743" t="s">
        <v>2558</v>
      </c>
      <c r="B93" s="15105"/>
      <c r="C93" s="744" t="s">
        <v>2603</v>
      </c>
      <c r="D93" s="745" t="s">
        <v>2604</v>
      </c>
      <c r="E93" s="745">
        <v>0</v>
      </c>
      <c r="F93" s="745">
        <v>1</v>
      </c>
      <c r="G93" s="745" t="s">
        <v>2605</v>
      </c>
      <c r="H93" s="745" t="s">
        <v>2606</v>
      </c>
      <c r="I93" s="745" t="s">
        <v>2607</v>
      </c>
      <c r="J93" s="745">
        <v>88</v>
      </c>
      <c r="K93" s="597" t="s">
        <v>7679</v>
      </c>
      <c r="L93" s="599" t="s">
        <v>9611</v>
      </c>
      <c r="M93" s="610" t="s">
        <v>2323</v>
      </c>
      <c r="N93" s="746" t="s">
        <v>2324</v>
      </c>
      <c r="O93" s="747">
        <v>1</v>
      </c>
      <c r="P93" s="748" t="s">
        <v>2009</v>
      </c>
      <c r="Q93" s="746" t="s">
        <v>2611</v>
      </c>
      <c r="R93" s="749">
        <v>1</v>
      </c>
      <c r="S93" s="614">
        <v>1</v>
      </c>
      <c r="T93" s="587">
        <v>1</v>
      </c>
      <c r="U93" s="568" t="s">
        <v>4485</v>
      </c>
      <c r="V93" s="573" t="s">
        <v>4486</v>
      </c>
      <c r="W93" s="573" t="s">
        <v>4487</v>
      </c>
      <c r="X93" s="570">
        <f t="shared" si="2"/>
        <v>41020546.666666664</v>
      </c>
      <c r="Y93" s="570">
        <v>37712499.866666667</v>
      </c>
      <c r="Z93" s="588">
        <v>3308046.8000000003</v>
      </c>
      <c r="AA93" s="588">
        <v>0</v>
      </c>
      <c r="AB93" s="589"/>
      <c r="AC93" s="589"/>
      <c r="AD93" s="589"/>
      <c r="AE93" s="589"/>
      <c r="AF93" s="589"/>
      <c r="AG93" s="589"/>
      <c r="AH93" s="589"/>
      <c r="AI93" s="589"/>
      <c r="AJ93" s="589"/>
      <c r="AK93" s="589"/>
      <c r="AL93" s="589"/>
      <c r="AM93" s="589"/>
      <c r="AN93" s="589"/>
      <c r="AO93" s="589"/>
      <c r="AP93" s="589"/>
      <c r="AQ93" s="589"/>
      <c r="AR93" s="589"/>
      <c r="AS93" s="589"/>
      <c r="AT93" s="589"/>
      <c r="AU93" s="589"/>
      <c r="AV93" s="589"/>
      <c r="AW93" s="589"/>
      <c r="AX93" s="589"/>
      <c r="AY93" s="589"/>
      <c r="AZ93" s="589"/>
      <c r="BA93" s="589"/>
      <c r="BB93" s="589"/>
      <c r="BC93" s="589"/>
      <c r="BD93" s="589"/>
      <c r="BE93" s="589"/>
      <c r="BF93" s="589"/>
      <c r="BG93" s="589"/>
      <c r="BH93" s="589"/>
      <c r="BI93" s="589"/>
      <c r="BJ93" s="589"/>
      <c r="BK93" s="590"/>
      <c r="BL93" s="939"/>
      <c r="BM93" s="14958"/>
      <c r="BN93" s="14958"/>
      <c r="BO93" s="14956"/>
      <c r="BP93" s="14962"/>
      <c r="BQ93" s="1121" t="s">
        <v>2604</v>
      </c>
      <c r="BR93" s="1122">
        <v>0</v>
      </c>
      <c r="BS93" s="1121">
        <v>1</v>
      </c>
      <c r="BT93" s="1121" t="s">
        <v>2605</v>
      </c>
      <c r="BU93" s="1121" t="s">
        <v>2606</v>
      </c>
      <c r="BV93" s="1122" t="s">
        <v>2607</v>
      </c>
      <c r="BW93" s="1121">
        <v>88</v>
      </c>
      <c r="BX93" s="1121" t="s">
        <v>7679</v>
      </c>
      <c r="BY93" s="956" t="s">
        <v>2610</v>
      </c>
      <c r="BZ93" s="2854" t="s">
        <v>10063</v>
      </c>
      <c r="CA93" s="1121" t="s">
        <v>2323</v>
      </c>
      <c r="CB93" s="1121"/>
      <c r="CC93" s="1121" t="s">
        <v>2324</v>
      </c>
      <c r="CD93" s="1129">
        <v>1</v>
      </c>
      <c r="CE93" s="1123" t="s">
        <v>2009</v>
      </c>
      <c r="CF93" s="1121" t="s">
        <v>2611</v>
      </c>
      <c r="CG93" s="1129">
        <v>1</v>
      </c>
      <c r="CH93" s="1120">
        <v>1</v>
      </c>
      <c r="CI93" s="1123">
        <v>1</v>
      </c>
      <c r="CJ93" s="1123">
        <v>1</v>
      </c>
      <c r="CK93" s="1126"/>
      <c r="CL93" s="1167">
        <v>1</v>
      </c>
      <c r="CM93" s="14948"/>
      <c r="CN93" s="14951"/>
      <c r="CO93" s="14954"/>
      <c r="CP93" s="1000" t="s">
        <v>10026</v>
      </c>
      <c r="CQ93" s="1121"/>
      <c r="CR93" s="1127"/>
      <c r="CS93" s="1121"/>
      <c r="CT93" s="1121"/>
      <c r="CU93" s="1121">
        <v>0</v>
      </c>
      <c r="CV93" s="1121" t="s">
        <v>10027</v>
      </c>
      <c r="CW93" s="1121"/>
      <c r="CX93" s="1121"/>
      <c r="CY93" s="1121"/>
      <c r="CZ93" s="1121"/>
      <c r="DA93" s="1121"/>
      <c r="DB93" s="1121"/>
      <c r="DC93" s="1121"/>
      <c r="DD93" s="1121"/>
      <c r="DE93" s="1121"/>
      <c r="DF93" s="1121"/>
      <c r="DG93" s="1128"/>
      <c r="DH93" s="1128"/>
      <c r="DI93" s="1128"/>
      <c r="DJ93" s="1128"/>
      <c r="DK93" s="1128"/>
      <c r="DL93" s="1128"/>
      <c r="DM93" s="1128"/>
      <c r="DN93" s="1128"/>
      <c r="DO93" s="1128"/>
      <c r="DP93" s="1128"/>
      <c r="DQ93" s="1128"/>
      <c r="DR93" s="1128"/>
      <c r="DS93" s="1128"/>
      <c r="DT93" s="1128"/>
      <c r="DU93" s="1128"/>
      <c r="DV93" s="1128"/>
      <c r="DW93" s="1128"/>
      <c r="DX93" s="1128"/>
      <c r="DY93" s="1128"/>
      <c r="DZ93" s="1128"/>
      <c r="EA93"/>
      <c r="EB93"/>
      <c r="EC93"/>
      <c r="ED93"/>
      <c r="EE93"/>
      <c r="EF93"/>
      <c r="EG93"/>
      <c r="EH93"/>
      <c r="EI93"/>
      <c r="EJ93"/>
      <c r="EK93"/>
      <c r="EL93"/>
    </row>
    <row r="94" spans="1:142" ht="30" customHeight="1">
      <c r="L94" s="599" t="s">
        <v>2610</v>
      </c>
      <c r="M94" s="610" t="s">
        <v>2323</v>
      </c>
      <c r="S94" s="731">
        <v>1</v>
      </c>
      <c r="BM94" s="942"/>
      <c r="BN94" s="942"/>
      <c r="BO94" s="942"/>
      <c r="BP94" s="942"/>
      <c r="BQ94" s="942"/>
      <c r="BR94" s="942"/>
      <c r="BS94" s="942"/>
      <c r="BT94" s="942"/>
      <c r="BU94" s="942"/>
      <c r="BV94" s="1001"/>
      <c r="BW94" s="1001"/>
      <c r="BX94" s="1002"/>
      <c r="BY94" s="942"/>
      <c r="BZ94" s="942"/>
      <c r="CA94" s="942"/>
      <c r="CB94" s="942"/>
      <c r="CC94" s="942"/>
      <c r="CD94" s="942"/>
      <c r="CE94" s="942"/>
      <c r="CF94" s="942"/>
      <c r="CG94" s="942"/>
      <c r="CH94" s="942"/>
      <c r="CI94" s="942"/>
      <c r="CJ94" s="942"/>
      <c r="CK94" s="942"/>
      <c r="CL94" s="942"/>
      <c r="CM94" s="942"/>
      <c r="CN94" s="942"/>
      <c r="CO94" s="1003"/>
      <c r="CP94" s="1003"/>
      <c r="CQ94" s="942"/>
      <c r="CR94" s="942"/>
      <c r="CS94" s="942"/>
      <c r="CT94" s="942"/>
      <c r="CU94" s="942"/>
      <c r="CV94" s="942"/>
      <c r="CW94" s="942"/>
      <c r="CX94" s="942"/>
      <c r="CY94" s="942"/>
      <c r="CZ94" s="942"/>
      <c r="DA94" s="942"/>
      <c r="DB94" s="942"/>
      <c r="DC94" s="942"/>
      <c r="DD94" s="942"/>
      <c r="DE94" s="942"/>
      <c r="DF94" s="942"/>
      <c r="DG94" s="942"/>
      <c r="DH94" s="942"/>
      <c r="DI94" s="942"/>
      <c r="DJ94" s="942"/>
      <c r="DK94" s="942"/>
      <c r="DL94" s="942"/>
      <c r="DM94" s="942"/>
      <c r="DN94" s="942"/>
      <c r="DO94" s="942"/>
      <c r="DP94" s="942"/>
      <c r="DQ94" s="942"/>
      <c r="DR94" s="942"/>
      <c r="DS94" s="942"/>
      <c r="DT94" s="942"/>
      <c r="DU94" s="942"/>
      <c r="DV94" s="942"/>
      <c r="DW94" s="942"/>
      <c r="DX94" s="942"/>
      <c r="DY94" s="942"/>
      <c r="DZ94" s="942"/>
    </row>
    <row r="95" spans="1:142" ht="30" customHeight="1">
      <c r="L95" s="751"/>
      <c r="BM95" s="942"/>
      <c r="BN95" s="942"/>
      <c r="BO95" s="942"/>
      <c r="BP95" s="942"/>
      <c r="BQ95" s="942"/>
      <c r="BR95" s="942"/>
      <c r="BS95" s="942"/>
      <c r="BT95" s="942"/>
      <c r="BU95" s="942"/>
      <c r="BV95" s="1001"/>
      <c r="BW95" s="1001"/>
      <c r="BX95" s="1002"/>
      <c r="BY95" s="942"/>
      <c r="BZ95" s="942"/>
      <c r="CA95" s="942"/>
      <c r="CB95" s="942"/>
      <c r="CC95" s="942"/>
      <c r="CD95" s="942"/>
      <c r="CE95" s="942"/>
      <c r="CF95" s="942"/>
      <c r="CG95" s="942"/>
      <c r="CH95" s="942"/>
      <c r="CI95" s="942"/>
      <c r="CJ95" s="942"/>
      <c r="CK95" s="942"/>
      <c r="CL95" s="942"/>
      <c r="CM95" s="1004">
        <f>AVERAGE(CM6:CM93)</f>
        <v>0.91008689458689462</v>
      </c>
      <c r="CN95" s="942"/>
      <c r="CO95" s="1005">
        <f>AVERAGE(CO6:CO93)</f>
        <v>0.91008689458689462</v>
      </c>
      <c r="CP95" s="942"/>
      <c r="CQ95" s="942"/>
      <c r="CR95" s="2949">
        <f>SUM(CR6:CR93)</f>
        <v>17004928961</v>
      </c>
      <c r="CS95" s="942"/>
      <c r="CT95" s="942"/>
      <c r="CU95" s="942"/>
      <c r="CV95" s="2949">
        <f>SUM(CV6:CV93)</f>
        <v>55828</v>
      </c>
      <c r="CW95" s="942"/>
      <c r="CX95" s="942"/>
      <c r="CY95" s="942"/>
      <c r="CZ95" s="942"/>
      <c r="DA95" s="942"/>
      <c r="DB95" s="942"/>
      <c r="DC95" s="942"/>
      <c r="DD95" s="942"/>
      <c r="DE95" s="942"/>
      <c r="DF95" s="942"/>
      <c r="DG95" s="942"/>
      <c r="DH95" s="942"/>
      <c r="DI95" s="942"/>
      <c r="DJ95" s="942"/>
      <c r="DK95" s="942"/>
      <c r="DL95" s="942"/>
      <c r="DM95" s="942"/>
      <c r="DN95" s="942"/>
      <c r="DO95" s="942"/>
      <c r="DP95" s="942"/>
      <c r="DQ95" s="942"/>
      <c r="DR95" s="942"/>
      <c r="DS95" s="942"/>
      <c r="DT95" s="942"/>
      <c r="DU95" s="942"/>
      <c r="DV95" s="942"/>
      <c r="DW95" s="942"/>
      <c r="DX95" s="942"/>
      <c r="DY95" s="942"/>
      <c r="DZ95" s="942"/>
    </row>
    <row r="96" spans="1:142" ht="30" customHeight="1">
      <c r="L96" s="751"/>
    </row>
    <row r="97" spans="12:12" ht="30" customHeight="1">
      <c r="L97" s="751"/>
    </row>
    <row r="98" spans="12:12" ht="30" customHeight="1">
      <c r="L98" s="751"/>
    </row>
    <row r="99" spans="12:12" ht="30" customHeight="1">
      <c r="L99" s="751"/>
    </row>
    <row r="100" spans="12:12" ht="30" customHeight="1">
      <c r="L100" s="751"/>
    </row>
    <row r="101" spans="12:12" ht="30" customHeight="1">
      <c r="L101" s="751"/>
    </row>
    <row r="102" spans="12:12" ht="30" customHeight="1">
      <c r="L102" s="751"/>
    </row>
    <row r="103" spans="12:12" ht="30" customHeight="1">
      <c r="L103" s="751"/>
    </row>
    <row r="104" spans="12:12" ht="30" customHeight="1">
      <c r="L104" s="751"/>
    </row>
    <row r="105" spans="12:12" ht="30" customHeight="1">
      <c r="L105" s="751"/>
    </row>
    <row r="106" spans="12:12" ht="30" customHeight="1">
      <c r="L106" s="751"/>
    </row>
    <row r="107" spans="12:12" ht="30" customHeight="1">
      <c r="L107" s="751"/>
    </row>
    <row r="108" spans="12:12" ht="30" customHeight="1">
      <c r="L108" s="751"/>
    </row>
    <row r="109" spans="12:12" ht="30" customHeight="1">
      <c r="L109" s="751"/>
    </row>
    <row r="110" spans="12:12" ht="30" customHeight="1">
      <c r="L110" s="751"/>
    </row>
    <row r="111" spans="12:12" ht="30" customHeight="1">
      <c r="L111" s="751"/>
    </row>
    <row r="112" spans="12:12" ht="30" customHeight="1">
      <c r="L112" s="751"/>
    </row>
    <row r="113" spans="12:12" ht="30" customHeight="1">
      <c r="L113" s="751"/>
    </row>
    <row r="114" spans="12:12" ht="30" customHeight="1">
      <c r="L114" s="751"/>
    </row>
    <row r="115" spans="12:12" ht="30" customHeight="1">
      <c r="L115" s="751"/>
    </row>
    <row r="116" spans="12:12" ht="30" customHeight="1">
      <c r="L116" s="751"/>
    </row>
    <row r="117" spans="12:12" ht="30" customHeight="1">
      <c r="L117" s="751"/>
    </row>
    <row r="118" spans="12:12" ht="30" customHeight="1">
      <c r="L118" s="751"/>
    </row>
    <row r="119" spans="12:12" ht="30" customHeight="1">
      <c r="L119" s="751"/>
    </row>
    <row r="120" spans="12:12" ht="30" customHeight="1">
      <c r="L120" s="751"/>
    </row>
    <row r="121" spans="12:12" ht="30" customHeight="1">
      <c r="L121" s="751"/>
    </row>
    <row r="122" spans="12:12" ht="30" customHeight="1">
      <c r="L122" s="751"/>
    </row>
    <row r="123" spans="12:12" ht="30" customHeight="1">
      <c r="L123" s="751"/>
    </row>
    <row r="124" spans="12:12" ht="30" customHeight="1">
      <c r="L124" s="751"/>
    </row>
    <row r="125" spans="12:12" ht="30" customHeight="1">
      <c r="L125" s="751"/>
    </row>
    <row r="126" spans="12:12" ht="30" customHeight="1">
      <c r="L126" s="751"/>
    </row>
    <row r="127" spans="12:12" ht="30" customHeight="1">
      <c r="L127" s="751"/>
    </row>
    <row r="128" spans="12:12" ht="30" customHeight="1">
      <c r="L128" s="751"/>
    </row>
    <row r="129" spans="12:12" ht="30" customHeight="1">
      <c r="L129" s="751"/>
    </row>
    <row r="130" spans="12:12" ht="30" customHeight="1">
      <c r="L130" s="751"/>
    </row>
    <row r="131" spans="12:12" ht="30" customHeight="1">
      <c r="L131" s="751"/>
    </row>
    <row r="132" spans="12:12" ht="30" customHeight="1">
      <c r="L132" s="751"/>
    </row>
    <row r="133" spans="12:12" ht="30" customHeight="1">
      <c r="L133" s="751"/>
    </row>
    <row r="134" spans="12:12" ht="30" customHeight="1">
      <c r="L134" s="751"/>
    </row>
    <row r="135" spans="12:12" ht="30" customHeight="1">
      <c r="L135" s="751"/>
    </row>
    <row r="136" spans="12:12" ht="30" customHeight="1">
      <c r="L136" s="751"/>
    </row>
    <row r="137" spans="12:12" ht="30" customHeight="1">
      <c r="L137" s="751"/>
    </row>
    <row r="138" spans="12:12" ht="30" customHeight="1">
      <c r="L138" s="751"/>
    </row>
    <row r="139" spans="12:12" ht="30" customHeight="1">
      <c r="L139" s="751"/>
    </row>
    <row r="140" spans="12:12" ht="30" customHeight="1">
      <c r="L140" s="751"/>
    </row>
    <row r="141" spans="12:12" ht="30" customHeight="1">
      <c r="L141" s="751"/>
    </row>
    <row r="142" spans="12:12" ht="30" customHeight="1">
      <c r="L142" s="751"/>
    </row>
    <row r="143" spans="12:12" ht="30" customHeight="1">
      <c r="L143" s="751"/>
    </row>
    <row r="144" spans="12:12" ht="30" customHeight="1">
      <c r="L144" s="751"/>
    </row>
    <row r="145" spans="12:12" ht="30" customHeight="1">
      <c r="L145" s="751"/>
    </row>
    <row r="146" spans="12:12" ht="30" customHeight="1">
      <c r="L146" s="751"/>
    </row>
    <row r="147" spans="12:12" ht="30" customHeight="1">
      <c r="L147" s="751"/>
    </row>
    <row r="148" spans="12:12" ht="30" customHeight="1">
      <c r="L148" s="751"/>
    </row>
    <row r="149" spans="12:12" ht="30" customHeight="1">
      <c r="L149" s="751"/>
    </row>
    <row r="150" spans="12:12" ht="30" customHeight="1">
      <c r="L150" s="751"/>
    </row>
    <row r="151" spans="12:12" ht="30" customHeight="1">
      <c r="L151" s="751"/>
    </row>
    <row r="152" spans="12:12" ht="30" customHeight="1">
      <c r="L152" s="751"/>
    </row>
    <row r="153" spans="12:12" ht="30" customHeight="1">
      <c r="L153" s="751"/>
    </row>
    <row r="154" spans="12:12" ht="30" customHeight="1">
      <c r="L154" s="751"/>
    </row>
    <row r="155" spans="12:12" ht="30" customHeight="1">
      <c r="L155" s="751"/>
    </row>
    <row r="156" spans="12:12" ht="30" customHeight="1">
      <c r="L156" s="751"/>
    </row>
    <row r="157" spans="12:12" ht="30" customHeight="1">
      <c r="L157" s="751"/>
    </row>
    <row r="158" spans="12:12" ht="30" customHeight="1">
      <c r="L158" s="751"/>
    </row>
    <row r="159" spans="12:12" ht="30" customHeight="1">
      <c r="L159" s="751"/>
    </row>
    <row r="160" spans="12:12" ht="30" customHeight="1">
      <c r="L160" s="751"/>
    </row>
    <row r="161" spans="12:12" ht="30" customHeight="1">
      <c r="L161" s="751"/>
    </row>
    <row r="162" spans="12:12" ht="30" customHeight="1">
      <c r="L162" s="751"/>
    </row>
    <row r="163" spans="12:12" ht="30" customHeight="1">
      <c r="L163" s="751"/>
    </row>
    <row r="164" spans="12:12" ht="30" customHeight="1">
      <c r="L164" s="751"/>
    </row>
    <row r="165" spans="12:12" ht="30" customHeight="1">
      <c r="L165" s="751"/>
    </row>
    <row r="166" spans="12:12" ht="30" customHeight="1">
      <c r="L166" s="751"/>
    </row>
    <row r="167" spans="12:12" ht="30" customHeight="1">
      <c r="L167" s="751"/>
    </row>
    <row r="168" spans="12:12" ht="30" customHeight="1">
      <c r="L168" s="751"/>
    </row>
    <row r="169" spans="12:12" ht="30" customHeight="1">
      <c r="L169" s="751"/>
    </row>
    <row r="170" spans="12:12" ht="30" customHeight="1">
      <c r="L170" s="751"/>
    </row>
    <row r="171" spans="12:12" ht="30" customHeight="1">
      <c r="L171" s="751"/>
    </row>
    <row r="172" spans="12:12" ht="30" customHeight="1">
      <c r="L172" s="751"/>
    </row>
    <row r="173" spans="12:12" ht="30" customHeight="1">
      <c r="L173" s="751"/>
    </row>
    <row r="174" spans="12:12" ht="30" customHeight="1">
      <c r="L174" s="751"/>
    </row>
    <row r="175" spans="12:12" ht="30" customHeight="1">
      <c r="L175" s="751"/>
    </row>
    <row r="176" spans="12:12" ht="30" customHeight="1">
      <c r="L176" s="751"/>
    </row>
    <row r="177" spans="12:12" ht="30" customHeight="1">
      <c r="L177" s="751"/>
    </row>
    <row r="178" spans="12:12" ht="30" customHeight="1">
      <c r="L178" s="751"/>
    </row>
    <row r="179" spans="12:12" ht="30" customHeight="1">
      <c r="L179" s="751"/>
    </row>
    <row r="180" spans="12:12" ht="30" customHeight="1">
      <c r="L180" s="751"/>
    </row>
    <row r="181" spans="12:12" ht="30" customHeight="1">
      <c r="L181" s="751"/>
    </row>
    <row r="182" spans="12:12" ht="30" customHeight="1">
      <c r="L182" s="751"/>
    </row>
    <row r="183" spans="12:12" ht="30" customHeight="1">
      <c r="L183" s="751"/>
    </row>
    <row r="184" spans="12:12" ht="30" customHeight="1">
      <c r="L184" s="751"/>
    </row>
    <row r="185" spans="12:12" ht="30" customHeight="1">
      <c r="L185" s="751"/>
    </row>
    <row r="186" spans="12:12" ht="30" customHeight="1">
      <c r="L186" s="751"/>
    </row>
    <row r="187" spans="12:12" ht="30" customHeight="1">
      <c r="L187" s="751"/>
    </row>
    <row r="188" spans="12:12" ht="30" customHeight="1">
      <c r="L188" s="751"/>
    </row>
    <row r="189" spans="12:12" ht="30" customHeight="1">
      <c r="L189" s="751"/>
    </row>
    <row r="190" spans="12:12" ht="30" customHeight="1">
      <c r="L190" s="751"/>
    </row>
    <row r="191" spans="12:12" ht="30" customHeight="1">
      <c r="L191" s="751"/>
    </row>
    <row r="192" spans="12:12" ht="30" customHeight="1">
      <c r="L192" s="751"/>
    </row>
    <row r="193" spans="12:12" ht="30" customHeight="1">
      <c r="L193" s="751"/>
    </row>
    <row r="194" spans="12:12" ht="30" customHeight="1">
      <c r="L194" s="751"/>
    </row>
    <row r="195" spans="12:12" ht="30" customHeight="1">
      <c r="L195" s="751"/>
    </row>
    <row r="196" spans="12:12" ht="30" customHeight="1">
      <c r="L196" s="751"/>
    </row>
    <row r="197" spans="12:12" ht="30" customHeight="1">
      <c r="L197" s="751"/>
    </row>
    <row r="198" spans="12:12" ht="30" customHeight="1">
      <c r="L198" s="751"/>
    </row>
    <row r="199" spans="12:12" ht="30" customHeight="1">
      <c r="L199" s="751"/>
    </row>
    <row r="200" spans="12:12" ht="30" customHeight="1">
      <c r="L200" s="751"/>
    </row>
    <row r="201" spans="12:12" ht="30" customHeight="1">
      <c r="L201" s="751"/>
    </row>
    <row r="202" spans="12:12" ht="30" customHeight="1">
      <c r="L202" s="751"/>
    </row>
    <row r="203" spans="12:12" ht="30" customHeight="1">
      <c r="L203" s="751"/>
    </row>
    <row r="204" spans="12:12" ht="30" customHeight="1">
      <c r="L204" s="751"/>
    </row>
    <row r="205" spans="12:12" ht="30" customHeight="1">
      <c r="L205" s="751"/>
    </row>
    <row r="206" spans="12:12" ht="30" customHeight="1">
      <c r="L206" s="751"/>
    </row>
    <row r="207" spans="12:12" ht="30" customHeight="1">
      <c r="L207" s="751"/>
    </row>
    <row r="208" spans="12:12" ht="30" customHeight="1">
      <c r="L208" s="751"/>
    </row>
    <row r="209" spans="12:12" ht="30" customHeight="1">
      <c r="L209" s="751"/>
    </row>
    <row r="210" spans="12:12" ht="30" customHeight="1">
      <c r="L210" s="751"/>
    </row>
    <row r="211" spans="12:12" ht="30" customHeight="1">
      <c r="L211" s="751"/>
    </row>
    <row r="212" spans="12:12" ht="30" customHeight="1">
      <c r="L212" s="751"/>
    </row>
    <row r="213" spans="12:12" ht="30" customHeight="1">
      <c r="L213" s="751"/>
    </row>
    <row r="214" spans="12:12" ht="30" customHeight="1">
      <c r="L214" s="751"/>
    </row>
    <row r="215" spans="12:12" ht="30" customHeight="1">
      <c r="L215" s="751"/>
    </row>
    <row r="216" spans="12:12" ht="30" customHeight="1">
      <c r="L216" s="751"/>
    </row>
    <row r="217" spans="12:12" ht="30" customHeight="1">
      <c r="L217" s="751"/>
    </row>
    <row r="218" spans="12:12" ht="30" customHeight="1">
      <c r="L218" s="751"/>
    </row>
    <row r="219" spans="12:12" ht="30" customHeight="1">
      <c r="L219" s="751"/>
    </row>
    <row r="220" spans="12:12" ht="30" customHeight="1">
      <c r="L220" s="751"/>
    </row>
    <row r="221" spans="12:12" ht="30" customHeight="1">
      <c r="L221" s="751"/>
    </row>
    <row r="222" spans="12:12" ht="30" customHeight="1">
      <c r="L222" s="751"/>
    </row>
    <row r="223" spans="12:12" ht="30" customHeight="1">
      <c r="L223" s="751"/>
    </row>
    <row r="224" spans="12:12" ht="30" customHeight="1">
      <c r="L224" s="751"/>
    </row>
    <row r="225" spans="12:12" ht="30" customHeight="1">
      <c r="L225" s="751"/>
    </row>
    <row r="226" spans="12:12" ht="30" customHeight="1">
      <c r="L226" s="751"/>
    </row>
    <row r="227" spans="12:12" ht="30" customHeight="1">
      <c r="L227" s="751"/>
    </row>
    <row r="228" spans="12:12" ht="30" customHeight="1">
      <c r="L228" s="751"/>
    </row>
    <row r="229" spans="12:12" ht="30" customHeight="1">
      <c r="L229" s="751"/>
    </row>
    <row r="230" spans="12:12" ht="30" customHeight="1">
      <c r="L230" s="751"/>
    </row>
    <row r="231" spans="12:12" ht="30" customHeight="1">
      <c r="L231" s="751"/>
    </row>
    <row r="232" spans="12:12" ht="30" customHeight="1">
      <c r="L232" s="751"/>
    </row>
    <row r="233" spans="12:12" ht="30" customHeight="1">
      <c r="L233" s="751"/>
    </row>
    <row r="234" spans="12:12" ht="30" customHeight="1">
      <c r="L234" s="751"/>
    </row>
    <row r="235" spans="12:12" ht="30" customHeight="1">
      <c r="L235" s="751"/>
    </row>
    <row r="236" spans="12:12" ht="30" customHeight="1">
      <c r="L236" s="751"/>
    </row>
    <row r="237" spans="12:12" ht="30" customHeight="1">
      <c r="L237" s="751"/>
    </row>
    <row r="238" spans="12:12" ht="30" customHeight="1">
      <c r="L238" s="751"/>
    </row>
    <row r="239" spans="12:12" ht="30" customHeight="1">
      <c r="L239" s="751"/>
    </row>
    <row r="240" spans="12:12" ht="30" customHeight="1">
      <c r="L240" s="751"/>
    </row>
    <row r="241" spans="12:12" ht="30" customHeight="1">
      <c r="L241" s="751"/>
    </row>
    <row r="242" spans="12:12" ht="30" customHeight="1">
      <c r="L242" s="751"/>
    </row>
    <row r="243" spans="12:12" ht="30" customHeight="1">
      <c r="L243" s="751"/>
    </row>
    <row r="244" spans="12:12" ht="30" customHeight="1">
      <c r="L244" s="751"/>
    </row>
    <row r="245" spans="12:12" ht="30" customHeight="1">
      <c r="L245" s="751"/>
    </row>
    <row r="246" spans="12:12" ht="30" customHeight="1">
      <c r="L246" s="751"/>
    </row>
    <row r="247" spans="12:12" ht="30" customHeight="1">
      <c r="L247" s="751"/>
    </row>
    <row r="248" spans="12:12" ht="30" customHeight="1">
      <c r="L248" s="751"/>
    </row>
    <row r="249" spans="12:12" ht="30" customHeight="1">
      <c r="L249" s="751"/>
    </row>
    <row r="250" spans="12:12" ht="30" customHeight="1">
      <c r="L250" s="751"/>
    </row>
    <row r="251" spans="12:12" ht="30" customHeight="1">
      <c r="L251" s="751"/>
    </row>
    <row r="252" spans="12:12" ht="30" customHeight="1">
      <c r="L252" s="751"/>
    </row>
    <row r="253" spans="12:12" ht="30" customHeight="1">
      <c r="L253" s="751"/>
    </row>
    <row r="254" spans="12:12" ht="30" customHeight="1">
      <c r="L254" s="751"/>
    </row>
    <row r="255" spans="12:12" ht="30" customHeight="1">
      <c r="L255" s="751"/>
    </row>
    <row r="256" spans="12:12" ht="30" customHeight="1">
      <c r="L256" s="751"/>
    </row>
    <row r="257" spans="12:12" ht="30" customHeight="1">
      <c r="L257" s="751"/>
    </row>
    <row r="258" spans="12:12" ht="30" customHeight="1">
      <c r="L258" s="751"/>
    </row>
    <row r="259" spans="12:12" ht="30" customHeight="1">
      <c r="L259" s="751"/>
    </row>
    <row r="260" spans="12:12" ht="30" customHeight="1">
      <c r="L260" s="751"/>
    </row>
    <row r="261" spans="12:12" ht="30" customHeight="1">
      <c r="L261" s="751"/>
    </row>
    <row r="262" spans="12:12" ht="30" customHeight="1">
      <c r="L262" s="751"/>
    </row>
    <row r="263" spans="12:12" ht="30" customHeight="1">
      <c r="L263" s="751"/>
    </row>
    <row r="264" spans="12:12" ht="30" customHeight="1">
      <c r="L264" s="751"/>
    </row>
    <row r="265" spans="12:12" ht="30" customHeight="1">
      <c r="L265" s="751"/>
    </row>
    <row r="266" spans="12:12" ht="30" customHeight="1">
      <c r="L266" s="751"/>
    </row>
    <row r="267" spans="12:12" ht="30" customHeight="1">
      <c r="L267" s="751"/>
    </row>
    <row r="268" spans="12:12" ht="30" customHeight="1">
      <c r="L268" s="751"/>
    </row>
    <row r="269" spans="12:12" ht="30" customHeight="1">
      <c r="L269" s="751"/>
    </row>
    <row r="270" spans="12:12" ht="30" customHeight="1">
      <c r="L270" s="751"/>
    </row>
    <row r="271" spans="12:12" ht="30" customHeight="1">
      <c r="L271" s="751"/>
    </row>
    <row r="272" spans="12:12" ht="30" customHeight="1">
      <c r="L272" s="751"/>
    </row>
    <row r="273" spans="12:12" ht="30" customHeight="1">
      <c r="L273" s="751"/>
    </row>
    <row r="274" spans="12:12" ht="30" customHeight="1">
      <c r="L274" s="751"/>
    </row>
    <row r="275" spans="12:12" ht="30" customHeight="1">
      <c r="L275" s="751"/>
    </row>
    <row r="276" spans="12:12" ht="30" customHeight="1">
      <c r="L276" s="751"/>
    </row>
    <row r="277" spans="12:12" ht="30" customHeight="1">
      <c r="L277" s="751"/>
    </row>
    <row r="278" spans="12:12" ht="30" customHeight="1">
      <c r="L278" s="751"/>
    </row>
    <row r="279" spans="12:12" ht="30" customHeight="1">
      <c r="L279" s="751"/>
    </row>
    <row r="280" spans="12:12" ht="30" customHeight="1">
      <c r="L280" s="751"/>
    </row>
    <row r="281" spans="12:12" ht="30" customHeight="1">
      <c r="L281" s="751"/>
    </row>
    <row r="282" spans="12:12" ht="30" customHeight="1">
      <c r="L282" s="751"/>
    </row>
    <row r="283" spans="12:12" ht="30" customHeight="1">
      <c r="L283" s="751"/>
    </row>
    <row r="284" spans="12:12" ht="30" customHeight="1">
      <c r="L284" s="751"/>
    </row>
    <row r="285" spans="12:12" ht="30" customHeight="1">
      <c r="L285" s="751"/>
    </row>
    <row r="286" spans="12:12" ht="30" customHeight="1">
      <c r="L286" s="751"/>
    </row>
    <row r="287" spans="12:12" ht="30" customHeight="1">
      <c r="L287" s="751"/>
    </row>
    <row r="288" spans="12:12" ht="30" customHeight="1">
      <c r="L288" s="751"/>
    </row>
    <row r="289" spans="12:12" ht="30" customHeight="1">
      <c r="L289" s="751"/>
    </row>
    <row r="290" spans="12:12" ht="30" customHeight="1">
      <c r="L290" s="751"/>
    </row>
    <row r="291" spans="12:12" ht="30" customHeight="1">
      <c r="L291" s="751"/>
    </row>
    <row r="292" spans="12:12" ht="30" customHeight="1">
      <c r="L292" s="751"/>
    </row>
    <row r="293" spans="12:12" ht="30" customHeight="1">
      <c r="L293" s="751"/>
    </row>
    <row r="294" spans="12:12" ht="30" customHeight="1">
      <c r="L294" s="751"/>
    </row>
    <row r="295" spans="12:12" ht="30" customHeight="1">
      <c r="L295" s="751"/>
    </row>
    <row r="296" spans="12:12" ht="30" customHeight="1">
      <c r="L296" s="751"/>
    </row>
    <row r="297" spans="12:12" ht="30" customHeight="1">
      <c r="L297" s="751"/>
    </row>
    <row r="298" spans="12:12" ht="30" customHeight="1">
      <c r="L298" s="751"/>
    </row>
    <row r="299" spans="12:12" ht="30" customHeight="1">
      <c r="L299" s="751"/>
    </row>
    <row r="300" spans="12:12" ht="30" customHeight="1">
      <c r="L300" s="751"/>
    </row>
    <row r="301" spans="12:12" ht="30" customHeight="1">
      <c r="L301" s="751"/>
    </row>
    <row r="302" spans="12:12" ht="30" customHeight="1">
      <c r="L302" s="751"/>
    </row>
    <row r="303" spans="12:12" ht="30" customHeight="1">
      <c r="L303" s="751"/>
    </row>
    <row r="304" spans="12:12" ht="30" customHeight="1">
      <c r="L304" s="751"/>
    </row>
    <row r="305" spans="12:12" ht="30" customHeight="1">
      <c r="L305" s="751"/>
    </row>
    <row r="306" spans="12:12" ht="30" customHeight="1">
      <c r="L306" s="751"/>
    </row>
    <row r="307" spans="12:12" ht="30" customHeight="1">
      <c r="L307" s="751"/>
    </row>
    <row r="308" spans="12:12" ht="30" customHeight="1">
      <c r="L308" s="751"/>
    </row>
    <row r="309" spans="12:12" ht="30" customHeight="1">
      <c r="L309" s="751"/>
    </row>
    <row r="310" spans="12:12" ht="30" customHeight="1">
      <c r="L310" s="751"/>
    </row>
    <row r="311" spans="12:12" ht="30" customHeight="1">
      <c r="L311" s="751"/>
    </row>
    <row r="312" spans="12:12" ht="30" customHeight="1">
      <c r="L312" s="751"/>
    </row>
    <row r="313" spans="12:12" ht="30" customHeight="1">
      <c r="L313" s="751"/>
    </row>
    <row r="314" spans="12:12" ht="30" customHeight="1">
      <c r="L314" s="751"/>
    </row>
    <row r="315" spans="12:12" ht="30" customHeight="1">
      <c r="L315" s="751"/>
    </row>
    <row r="316" spans="12:12" ht="30" customHeight="1">
      <c r="L316" s="751"/>
    </row>
    <row r="317" spans="12:12" ht="30" customHeight="1">
      <c r="L317" s="751"/>
    </row>
    <row r="318" spans="12:12" ht="30" customHeight="1">
      <c r="L318" s="751"/>
    </row>
    <row r="319" spans="12:12" ht="30" customHeight="1">
      <c r="L319" s="751"/>
    </row>
    <row r="320" spans="12:12" ht="30" customHeight="1">
      <c r="L320" s="751"/>
    </row>
    <row r="321" spans="12:12" ht="30" customHeight="1">
      <c r="L321" s="751"/>
    </row>
    <row r="322" spans="12:12" ht="30" customHeight="1">
      <c r="L322" s="751"/>
    </row>
    <row r="323" spans="12:12" ht="30" customHeight="1">
      <c r="L323" s="751"/>
    </row>
    <row r="324" spans="12:12" ht="30" customHeight="1">
      <c r="L324" s="751"/>
    </row>
    <row r="325" spans="12:12" ht="30" customHeight="1">
      <c r="L325" s="751"/>
    </row>
    <row r="326" spans="12:12" ht="30" customHeight="1">
      <c r="L326" s="751"/>
    </row>
    <row r="327" spans="12:12" ht="30" customHeight="1">
      <c r="L327" s="751"/>
    </row>
    <row r="328" spans="12:12" ht="30" customHeight="1">
      <c r="L328" s="751"/>
    </row>
    <row r="329" spans="12:12" ht="30" customHeight="1">
      <c r="L329" s="751"/>
    </row>
    <row r="330" spans="12:12" ht="30" customHeight="1">
      <c r="L330" s="751"/>
    </row>
    <row r="331" spans="12:12" ht="30" customHeight="1">
      <c r="L331" s="751"/>
    </row>
    <row r="332" spans="12:12" ht="30" customHeight="1">
      <c r="L332" s="751"/>
    </row>
    <row r="333" spans="12:12" ht="30" customHeight="1">
      <c r="L333" s="751"/>
    </row>
    <row r="334" spans="12:12" ht="30" customHeight="1">
      <c r="L334" s="751"/>
    </row>
    <row r="335" spans="12:12" ht="30" customHeight="1">
      <c r="L335" s="751"/>
    </row>
    <row r="336" spans="12:12" ht="30" customHeight="1">
      <c r="L336" s="751"/>
    </row>
    <row r="337" spans="12:12" ht="30" customHeight="1">
      <c r="L337" s="751"/>
    </row>
    <row r="338" spans="12:12" ht="30" customHeight="1">
      <c r="L338" s="751"/>
    </row>
    <row r="339" spans="12:12" ht="30" customHeight="1">
      <c r="L339" s="751"/>
    </row>
    <row r="340" spans="12:12" ht="30" customHeight="1">
      <c r="L340" s="751"/>
    </row>
    <row r="341" spans="12:12" ht="30" customHeight="1">
      <c r="L341" s="751"/>
    </row>
    <row r="342" spans="12:12" ht="30" customHeight="1">
      <c r="L342" s="751"/>
    </row>
    <row r="343" spans="12:12" ht="30" customHeight="1">
      <c r="L343" s="751"/>
    </row>
    <row r="344" spans="12:12" ht="30" customHeight="1">
      <c r="L344" s="751"/>
    </row>
    <row r="345" spans="12:12" ht="30" customHeight="1">
      <c r="L345" s="751"/>
    </row>
    <row r="346" spans="12:12" ht="30" customHeight="1">
      <c r="L346" s="751"/>
    </row>
    <row r="347" spans="12:12" ht="30" customHeight="1">
      <c r="L347" s="751"/>
    </row>
    <row r="348" spans="12:12" ht="30" customHeight="1">
      <c r="L348" s="751"/>
    </row>
    <row r="349" spans="12:12" ht="30" customHeight="1">
      <c r="L349" s="751"/>
    </row>
    <row r="350" spans="12:12" ht="30" customHeight="1">
      <c r="L350" s="751"/>
    </row>
    <row r="351" spans="12:12" ht="30" customHeight="1">
      <c r="L351" s="751"/>
    </row>
    <row r="352" spans="12:12" ht="30" customHeight="1">
      <c r="L352" s="751"/>
    </row>
    <row r="353" spans="12:12" ht="30" customHeight="1">
      <c r="L353" s="751"/>
    </row>
    <row r="354" spans="12:12" ht="30" customHeight="1">
      <c r="L354" s="751"/>
    </row>
    <row r="355" spans="12:12" ht="30" customHeight="1">
      <c r="L355" s="751"/>
    </row>
    <row r="356" spans="12:12" ht="30" customHeight="1">
      <c r="L356" s="751"/>
    </row>
    <row r="357" spans="12:12" ht="30" customHeight="1">
      <c r="L357" s="751"/>
    </row>
    <row r="358" spans="12:12" ht="30" customHeight="1">
      <c r="L358" s="751"/>
    </row>
    <row r="359" spans="12:12" ht="30" customHeight="1">
      <c r="L359" s="751"/>
    </row>
    <row r="360" spans="12:12" ht="30" customHeight="1">
      <c r="L360" s="751"/>
    </row>
    <row r="361" spans="12:12" ht="30" customHeight="1">
      <c r="L361" s="751"/>
    </row>
    <row r="362" spans="12:12" ht="30" customHeight="1">
      <c r="L362" s="751"/>
    </row>
    <row r="363" spans="12:12" ht="30" customHeight="1">
      <c r="L363" s="751"/>
    </row>
    <row r="364" spans="12:12" ht="30" customHeight="1">
      <c r="L364" s="751"/>
    </row>
    <row r="365" spans="12:12" ht="30" customHeight="1">
      <c r="L365" s="751"/>
    </row>
    <row r="366" spans="12:12" ht="30" customHeight="1">
      <c r="L366" s="751"/>
    </row>
    <row r="367" spans="12:12" ht="30" customHeight="1">
      <c r="L367" s="751"/>
    </row>
    <row r="368" spans="12:12" ht="30" customHeight="1">
      <c r="L368" s="751"/>
    </row>
    <row r="369" spans="12:12" ht="30" customHeight="1">
      <c r="L369" s="751"/>
    </row>
    <row r="370" spans="12:12" ht="30" customHeight="1">
      <c r="L370" s="751"/>
    </row>
    <row r="371" spans="12:12" ht="30" customHeight="1">
      <c r="L371" s="751"/>
    </row>
    <row r="372" spans="12:12" ht="30" customHeight="1">
      <c r="L372" s="751"/>
    </row>
    <row r="373" spans="12:12" ht="30" customHeight="1">
      <c r="L373" s="751"/>
    </row>
    <row r="374" spans="12:12" ht="30" customHeight="1">
      <c r="L374" s="751"/>
    </row>
    <row r="375" spans="12:12" ht="30" customHeight="1">
      <c r="L375" s="751"/>
    </row>
    <row r="376" spans="12:12" ht="30" customHeight="1">
      <c r="L376" s="751"/>
    </row>
    <row r="377" spans="12:12" ht="30" customHeight="1">
      <c r="L377" s="751"/>
    </row>
    <row r="378" spans="12:12" ht="30" customHeight="1">
      <c r="L378" s="751"/>
    </row>
    <row r="379" spans="12:12" ht="30" customHeight="1">
      <c r="L379" s="751"/>
    </row>
    <row r="380" spans="12:12" ht="30" customHeight="1">
      <c r="L380" s="751"/>
    </row>
    <row r="381" spans="12:12" ht="30" customHeight="1">
      <c r="L381" s="751"/>
    </row>
    <row r="382" spans="12:12" ht="30" customHeight="1">
      <c r="L382" s="751"/>
    </row>
    <row r="383" spans="12:12" ht="30" customHeight="1">
      <c r="L383" s="751"/>
    </row>
    <row r="384" spans="12:12" ht="30" customHeight="1">
      <c r="L384" s="751"/>
    </row>
    <row r="385" spans="12:12" ht="30" customHeight="1">
      <c r="L385" s="751"/>
    </row>
    <row r="386" spans="12:12" ht="30" customHeight="1">
      <c r="L386" s="751"/>
    </row>
    <row r="387" spans="12:12" ht="30" customHeight="1">
      <c r="L387" s="751"/>
    </row>
    <row r="388" spans="12:12" ht="30" customHeight="1">
      <c r="L388" s="751"/>
    </row>
    <row r="389" spans="12:12" ht="30" customHeight="1">
      <c r="L389" s="751"/>
    </row>
    <row r="390" spans="12:12" ht="30" customHeight="1">
      <c r="L390" s="751"/>
    </row>
    <row r="391" spans="12:12" ht="30" customHeight="1">
      <c r="L391" s="751"/>
    </row>
    <row r="392" spans="12:12" ht="30" customHeight="1">
      <c r="L392" s="751"/>
    </row>
    <row r="393" spans="12:12" ht="30" customHeight="1">
      <c r="L393" s="751"/>
    </row>
    <row r="394" spans="12:12" ht="30" customHeight="1">
      <c r="L394" s="751"/>
    </row>
    <row r="395" spans="12:12" ht="30" customHeight="1">
      <c r="L395" s="751"/>
    </row>
    <row r="396" spans="12:12" ht="30" customHeight="1">
      <c r="L396" s="751"/>
    </row>
    <row r="397" spans="12:12" ht="30" customHeight="1">
      <c r="L397" s="751"/>
    </row>
    <row r="398" spans="12:12" ht="30" customHeight="1">
      <c r="L398" s="751"/>
    </row>
    <row r="399" spans="12:12" ht="30" customHeight="1">
      <c r="L399" s="751"/>
    </row>
    <row r="400" spans="12:12" ht="30" customHeight="1">
      <c r="L400" s="751"/>
    </row>
    <row r="401" spans="12:12" ht="30" customHeight="1">
      <c r="L401" s="751"/>
    </row>
    <row r="402" spans="12:12" ht="30" customHeight="1">
      <c r="L402" s="751"/>
    </row>
    <row r="403" spans="12:12" ht="30" customHeight="1">
      <c r="L403" s="751"/>
    </row>
    <row r="404" spans="12:12" ht="30" customHeight="1">
      <c r="L404" s="751"/>
    </row>
    <row r="405" spans="12:12" ht="30" customHeight="1">
      <c r="L405" s="751"/>
    </row>
    <row r="406" spans="12:12" ht="30" customHeight="1">
      <c r="L406" s="751"/>
    </row>
    <row r="407" spans="12:12" ht="30" customHeight="1">
      <c r="L407" s="751"/>
    </row>
    <row r="408" spans="12:12" ht="30" customHeight="1">
      <c r="L408" s="751"/>
    </row>
    <row r="409" spans="12:12" ht="30" customHeight="1">
      <c r="L409" s="751"/>
    </row>
    <row r="410" spans="12:12" ht="30" customHeight="1">
      <c r="L410" s="751"/>
    </row>
    <row r="411" spans="12:12" ht="30" customHeight="1">
      <c r="L411" s="751"/>
    </row>
    <row r="412" spans="12:12" ht="30" customHeight="1">
      <c r="L412" s="751"/>
    </row>
    <row r="413" spans="12:12" ht="30" customHeight="1">
      <c r="L413" s="751"/>
    </row>
    <row r="414" spans="12:12" ht="30" customHeight="1">
      <c r="L414" s="751"/>
    </row>
    <row r="415" spans="12:12" ht="30" customHeight="1">
      <c r="L415" s="751"/>
    </row>
    <row r="416" spans="12:12" ht="30" customHeight="1">
      <c r="L416" s="751"/>
    </row>
    <row r="417" spans="12:12" ht="30" customHeight="1">
      <c r="L417" s="751"/>
    </row>
    <row r="418" spans="12:12" ht="30" customHeight="1">
      <c r="L418" s="751"/>
    </row>
    <row r="419" spans="12:12" ht="30" customHeight="1">
      <c r="L419" s="751"/>
    </row>
    <row r="420" spans="12:12" ht="30" customHeight="1">
      <c r="L420" s="751"/>
    </row>
    <row r="421" spans="12:12" ht="30" customHeight="1">
      <c r="L421" s="751"/>
    </row>
    <row r="422" spans="12:12" ht="30" customHeight="1">
      <c r="L422" s="751"/>
    </row>
    <row r="423" spans="12:12" ht="30" customHeight="1">
      <c r="L423" s="751"/>
    </row>
    <row r="424" spans="12:12" ht="30" customHeight="1">
      <c r="L424" s="751"/>
    </row>
    <row r="425" spans="12:12" ht="30" customHeight="1">
      <c r="L425" s="751"/>
    </row>
    <row r="426" spans="12:12" ht="30" customHeight="1">
      <c r="L426" s="751"/>
    </row>
    <row r="427" spans="12:12" ht="30" customHeight="1">
      <c r="L427" s="751"/>
    </row>
    <row r="428" spans="12:12" ht="30" customHeight="1">
      <c r="L428" s="751"/>
    </row>
    <row r="429" spans="12:12" ht="30" customHeight="1">
      <c r="L429" s="751"/>
    </row>
    <row r="430" spans="12:12" ht="30" customHeight="1">
      <c r="L430" s="751"/>
    </row>
    <row r="431" spans="12:12" ht="30" customHeight="1">
      <c r="L431" s="751"/>
    </row>
    <row r="432" spans="12:12" ht="30" customHeight="1">
      <c r="L432" s="751"/>
    </row>
    <row r="433" spans="12:12" ht="30" customHeight="1">
      <c r="L433" s="751"/>
    </row>
    <row r="434" spans="12:12" ht="30" customHeight="1">
      <c r="L434" s="751"/>
    </row>
    <row r="435" spans="12:12" ht="30" customHeight="1">
      <c r="L435" s="751"/>
    </row>
    <row r="436" spans="12:12" ht="30" customHeight="1">
      <c r="L436" s="751"/>
    </row>
    <row r="437" spans="12:12" ht="30" customHeight="1">
      <c r="L437" s="751"/>
    </row>
    <row r="438" spans="12:12" ht="30" customHeight="1">
      <c r="L438" s="751"/>
    </row>
    <row r="439" spans="12:12" ht="30" customHeight="1">
      <c r="L439" s="751"/>
    </row>
    <row r="440" spans="12:12" ht="30" customHeight="1">
      <c r="L440" s="751"/>
    </row>
    <row r="441" spans="12:12" ht="30" customHeight="1">
      <c r="L441" s="751"/>
    </row>
    <row r="442" spans="12:12" ht="30" customHeight="1">
      <c r="L442" s="751"/>
    </row>
    <row r="443" spans="12:12" ht="30" customHeight="1">
      <c r="L443" s="751"/>
    </row>
    <row r="444" spans="12:12" ht="30" customHeight="1">
      <c r="L444" s="751"/>
    </row>
    <row r="445" spans="12:12" ht="30" customHeight="1">
      <c r="L445" s="751"/>
    </row>
    <row r="446" spans="12:12" ht="30" customHeight="1">
      <c r="L446" s="751"/>
    </row>
    <row r="447" spans="12:12" ht="30" customHeight="1">
      <c r="L447" s="751"/>
    </row>
    <row r="448" spans="12:12" ht="30" customHeight="1">
      <c r="L448" s="751"/>
    </row>
    <row r="449" spans="12:12" ht="30" customHeight="1">
      <c r="L449" s="751"/>
    </row>
    <row r="450" spans="12:12" ht="30" customHeight="1">
      <c r="L450" s="751"/>
    </row>
    <row r="451" spans="12:12" ht="30" customHeight="1">
      <c r="L451" s="751"/>
    </row>
    <row r="452" spans="12:12" ht="30" customHeight="1">
      <c r="L452" s="751"/>
    </row>
    <row r="453" spans="12:12" ht="30" customHeight="1">
      <c r="L453" s="751"/>
    </row>
    <row r="454" spans="12:12" ht="30" customHeight="1">
      <c r="L454" s="751"/>
    </row>
    <row r="455" spans="12:12" ht="30" customHeight="1">
      <c r="L455" s="751"/>
    </row>
    <row r="456" spans="12:12" ht="30" customHeight="1">
      <c r="L456" s="751"/>
    </row>
    <row r="457" spans="12:12" ht="30" customHeight="1">
      <c r="L457" s="751"/>
    </row>
    <row r="458" spans="12:12" ht="30" customHeight="1">
      <c r="L458" s="751"/>
    </row>
    <row r="459" spans="12:12" ht="30" customHeight="1">
      <c r="L459" s="751"/>
    </row>
    <row r="460" spans="12:12" ht="30" customHeight="1">
      <c r="L460" s="751"/>
    </row>
    <row r="461" spans="12:12" ht="30" customHeight="1">
      <c r="L461" s="751"/>
    </row>
    <row r="462" spans="12:12" ht="30" customHeight="1">
      <c r="L462" s="751"/>
    </row>
    <row r="463" spans="12:12" ht="30" customHeight="1">
      <c r="L463" s="751"/>
    </row>
    <row r="464" spans="12:12" ht="30" customHeight="1">
      <c r="L464" s="751"/>
    </row>
    <row r="465" spans="12:12" ht="30" customHeight="1">
      <c r="L465" s="751"/>
    </row>
    <row r="466" spans="12:12" ht="30" customHeight="1">
      <c r="L466" s="751"/>
    </row>
    <row r="467" spans="12:12" ht="30" customHeight="1">
      <c r="L467" s="751"/>
    </row>
    <row r="468" spans="12:12" ht="30" customHeight="1">
      <c r="L468" s="751"/>
    </row>
    <row r="469" spans="12:12" ht="30" customHeight="1">
      <c r="L469" s="751"/>
    </row>
    <row r="470" spans="12:12" ht="30" customHeight="1">
      <c r="L470" s="751"/>
    </row>
    <row r="471" spans="12:12" ht="30" customHeight="1">
      <c r="L471" s="751"/>
    </row>
    <row r="472" spans="12:12" ht="30" customHeight="1">
      <c r="L472" s="751"/>
    </row>
    <row r="473" spans="12:12" ht="30" customHeight="1">
      <c r="L473" s="751"/>
    </row>
    <row r="474" spans="12:12" ht="30" customHeight="1">
      <c r="L474" s="751"/>
    </row>
    <row r="475" spans="12:12" ht="30" customHeight="1">
      <c r="L475" s="751"/>
    </row>
    <row r="476" spans="12:12" ht="30" customHeight="1">
      <c r="L476" s="751"/>
    </row>
    <row r="477" spans="12:12" ht="30" customHeight="1">
      <c r="L477" s="751"/>
    </row>
    <row r="478" spans="12:12" ht="30" customHeight="1">
      <c r="L478" s="751"/>
    </row>
    <row r="479" spans="12:12" ht="30" customHeight="1">
      <c r="L479" s="751"/>
    </row>
    <row r="480" spans="12:12" ht="30" customHeight="1">
      <c r="L480" s="751"/>
    </row>
    <row r="481" spans="12:12" ht="30" customHeight="1">
      <c r="L481" s="751"/>
    </row>
    <row r="482" spans="12:12" ht="30" customHeight="1">
      <c r="L482" s="751"/>
    </row>
    <row r="483" spans="12:12" ht="30" customHeight="1">
      <c r="L483" s="751"/>
    </row>
    <row r="484" spans="12:12" ht="30" customHeight="1">
      <c r="L484" s="751"/>
    </row>
    <row r="485" spans="12:12" ht="30" customHeight="1">
      <c r="L485" s="751"/>
    </row>
    <row r="486" spans="12:12" ht="30" customHeight="1">
      <c r="L486" s="751"/>
    </row>
    <row r="487" spans="12:12" ht="30" customHeight="1">
      <c r="L487" s="751"/>
    </row>
    <row r="488" spans="12:12" ht="30" customHeight="1">
      <c r="L488" s="751"/>
    </row>
    <row r="489" spans="12:12" ht="30" customHeight="1">
      <c r="L489" s="751"/>
    </row>
    <row r="490" spans="12:12" ht="30" customHeight="1">
      <c r="L490" s="751"/>
    </row>
    <row r="491" spans="12:12" ht="30" customHeight="1">
      <c r="L491" s="751"/>
    </row>
    <row r="492" spans="12:12" ht="30" customHeight="1">
      <c r="L492" s="751"/>
    </row>
    <row r="493" spans="12:12" ht="30" customHeight="1">
      <c r="L493" s="751"/>
    </row>
    <row r="494" spans="12:12" ht="30" customHeight="1">
      <c r="L494" s="751"/>
    </row>
    <row r="495" spans="12:12" ht="30" customHeight="1">
      <c r="L495" s="751"/>
    </row>
    <row r="496" spans="12:12" ht="30" customHeight="1">
      <c r="L496" s="751"/>
    </row>
    <row r="497" spans="12:12" ht="30" customHeight="1">
      <c r="L497" s="751"/>
    </row>
    <row r="498" spans="12:12" ht="30" customHeight="1">
      <c r="L498" s="751"/>
    </row>
    <row r="499" spans="12:12" ht="30" customHeight="1">
      <c r="L499" s="751"/>
    </row>
    <row r="500" spans="12:12" ht="30" customHeight="1">
      <c r="L500" s="751"/>
    </row>
    <row r="501" spans="12:12" ht="30" customHeight="1">
      <c r="L501" s="751"/>
    </row>
    <row r="502" spans="12:12" ht="30" customHeight="1">
      <c r="L502" s="751"/>
    </row>
    <row r="503" spans="12:12" ht="30" customHeight="1">
      <c r="L503" s="751"/>
    </row>
    <row r="504" spans="12:12" ht="30" customHeight="1">
      <c r="L504" s="751"/>
    </row>
    <row r="505" spans="12:12" ht="30" customHeight="1">
      <c r="L505" s="751"/>
    </row>
    <row r="506" spans="12:12" ht="30" customHeight="1">
      <c r="L506" s="751"/>
    </row>
    <row r="507" spans="12:12" ht="30" customHeight="1">
      <c r="L507" s="751"/>
    </row>
    <row r="508" spans="12:12" ht="30" customHeight="1">
      <c r="L508" s="751"/>
    </row>
    <row r="509" spans="12:12" ht="30" customHeight="1">
      <c r="L509" s="751"/>
    </row>
    <row r="510" spans="12:12" ht="30" customHeight="1">
      <c r="L510" s="751"/>
    </row>
    <row r="511" spans="12:12" ht="30" customHeight="1">
      <c r="L511" s="751"/>
    </row>
    <row r="512" spans="12:12" ht="30" customHeight="1">
      <c r="L512" s="751"/>
    </row>
    <row r="513" spans="12:12" ht="30" customHeight="1">
      <c r="L513" s="751"/>
    </row>
    <row r="514" spans="12:12" ht="30" customHeight="1">
      <c r="L514" s="751"/>
    </row>
    <row r="515" spans="12:12" ht="30" customHeight="1">
      <c r="L515" s="751"/>
    </row>
    <row r="516" spans="12:12" ht="30" customHeight="1">
      <c r="L516" s="751"/>
    </row>
    <row r="517" spans="12:12" ht="30" customHeight="1">
      <c r="L517" s="751"/>
    </row>
    <row r="518" spans="12:12" ht="30" customHeight="1">
      <c r="L518" s="751"/>
    </row>
    <row r="519" spans="12:12" ht="30" customHeight="1">
      <c r="L519" s="751"/>
    </row>
    <row r="520" spans="12:12" ht="30" customHeight="1">
      <c r="L520" s="751"/>
    </row>
    <row r="521" spans="12:12" ht="30" customHeight="1">
      <c r="L521" s="751"/>
    </row>
    <row r="522" spans="12:12" ht="30" customHeight="1">
      <c r="L522" s="751"/>
    </row>
    <row r="523" spans="12:12" ht="30" customHeight="1">
      <c r="L523" s="751"/>
    </row>
    <row r="524" spans="12:12" ht="30" customHeight="1">
      <c r="L524" s="751"/>
    </row>
    <row r="525" spans="12:12" ht="30" customHeight="1">
      <c r="L525" s="751"/>
    </row>
    <row r="526" spans="12:12" ht="30" customHeight="1">
      <c r="L526" s="751"/>
    </row>
    <row r="527" spans="12:12" ht="30" customHeight="1">
      <c r="L527" s="751"/>
    </row>
    <row r="528" spans="12:12" ht="30" customHeight="1">
      <c r="L528" s="751"/>
    </row>
    <row r="529" spans="12:12" ht="30" customHeight="1">
      <c r="L529" s="751"/>
    </row>
    <row r="530" spans="12:12" ht="30" customHeight="1">
      <c r="L530" s="751"/>
    </row>
    <row r="531" spans="12:12" ht="30" customHeight="1">
      <c r="L531" s="751"/>
    </row>
    <row r="532" spans="12:12" ht="30" customHeight="1">
      <c r="L532" s="751"/>
    </row>
    <row r="533" spans="12:12" ht="30" customHeight="1">
      <c r="L533" s="751"/>
    </row>
    <row r="534" spans="12:12" ht="30" customHeight="1">
      <c r="L534" s="751"/>
    </row>
    <row r="535" spans="12:12" ht="30" customHeight="1">
      <c r="L535" s="751"/>
    </row>
    <row r="536" spans="12:12" ht="30" customHeight="1">
      <c r="L536" s="751"/>
    </row>
    <row r="537" spans="12:12" ht="30" customHeight="1">
      <c r="L537" s="751"/>
    </row>
    <row r="538" spans="12:12" ht="30" customHeight="1">
      <c r="L538" s="751"/>
    </row>
    <row r="539" spans="12:12" ht="30" customHeight="1">
      <c r="L539" s="751"/>
    </row>
    <row r="540" spans="12:12" ht="30" customHeight="1">
      <c r="L540" s="751"/>
    </row>
    <row r="541" spans="12:12" ht="30" customHeight="1">
      <c r="L541" s="751"/>
    </row>
    <row r="542" spans="12:12" ht="30" customHeight="1">
      <c r="L542" s="751"/>
    </row>
    <row r="543" spans="12:12" ht="30" customHeight="1">
      <c r="L543" s="751"/>
    </row>
    <row r="544" spans="12:12" ht="30" customHeight="1">
      <c r="L544" s="751"/>
    </row>
    <row r="545" spans="12:12" ht="30" customHeight="1">
      <c r="L545" s="751"/>
    </row>
    <row r="546" spans="12:12" ht="30" customHeight="1">
      <c r="L546" s="751"/>
    </row>
    <row r="547" spans="12:12" ht="30" customHeight="1">
      <c r="L547" s="751"/>
    </row>
    <row r="548" spans="12:12" ht="30" customHeight="1">
      <c r="L548" s="751"/>
    </row>
    <row r="549" spans="12:12" ht="30" customHeight="1">
      <c r="L549" s="751"/>
    </row>
    <row r="550" spans="12:12" ht="30" customHeight="1">
      <c r="L550" s="751"/>
    </row>
    <row r="551" spans="12:12" ht="30" customHeight="1">
      <c r="L551" s="751"/>
    </row>
    <row r="552" spans="12:12" ht="30" customHeight="1">
      <c r="L552" s="751"/>
    </row>
    <row r="553" spans="12:12" ht="30" customHeight="1">
      <c r="L553" s="751"/>
    </row>
    <row r="554" spans="12:12" ht="30" customHeight="1">
      <c r="L554" s="751"/>
    </row>
    <row r="555" spans="12:12" ht="30" customHeight="1">
      <c r="L555" s="751"/>
    </row>
    <row r="556" spans="12:12" ht="30" customHeight="1">
      <c r="L556" s="751"/>
    </row>
    <row r="557" spans="12:12" ht="30" customHeight="1">
      <c r="L557" s="751"/>
    </row>
    <row r="558" spans="12:12" ht="30" customHeight="1">
      <c r="L558" s="751"/>
    </row>
    <row r="559" spans="12:12" ht="30" customHeight="1">
      <c r="L559" s="751"/>
    </row>
    <row r="560" spans="12:12" ht="30" customHeight="1">
      <c r="L560" s="751"/>
    </row>
    <row r="561" spans="12:12" ht="30" customHeight="1">
      <c r="L561" s="751"/>
    </row>
    <row r="562" spans="12:12" ht="30" customHeight="1">
      <c r="L562" s="751"/>
    </row>
    <row r="563" spans="12:12" ht="30" customHeight="1">
      <c r="L563" s="751"/>
    </row>
    <row r="564" spans="12:12" ht="30" customHeight="1">
      <c r="L564" s="751"/>
    </row>
    <row r="565" spans="12:12" ht="30" customHeight="1">
      <c r="L565" s="751"/>
    </row>
    <row r="566" spans="12:12" ht="30" customHeight="1">
      <c r="L566" s="751"/>
    </row>
    <row r="567" spans="12:12" ht="30" customHeight="1">
      <c r="L567" s="751"/>
    </row>
    <row r="568" spans="12:12" ht="30" customHeight="1">
      <c r="L568" s="751"/>
    </row>
    <row r="569" spans="12:12" ht="30" customHeight="1">
      <c r="L569" s="751"/>
    </row>
    <row r="570" spans="12:12" ht="30" customHeight="1">
      <c r="L570" s="751"/>
    </row>
    <row r="571" spans="12:12" ht="30" customHeight="1">
      <c r="L571" s="751"/>
    </row>
    <row r="572" spans="12:12" ht="30" customHeight="1">
      <c r="L572" s="751"/>
    </row>
    <row r="573" spans="12:12" ht="30" customHeight="1">
      <c r="L573" s="751"/>
    </row>
    <row r="574" spans="12:12" ht="30" customHeight="1">
      <c r="L574" s="751"/>
    </row>
    <row r="575" spans="12:12" ht="30" customHeight="1">
      <c r="L575" s="751"/>
    </row>
    <row r="576" spans="12:12" ht="30" customHeight="1">
      <c r="L576" s="751"/>
    </row>
    <row r="577" spans="12:12" ht="30" customHeight="1">
      <c r="L577" s="751"/>
    </row>
    <row r="578" spans="12:12" ht="30" customHeight="1">
      <c r="L578" s="751"/>
    </row>
    <row r="579" spans="12:12" ht="30" customHeight="1">
      <c r="L579" s="751"/>
    </row>
    <row r="580" spans="12:12" ht="30" customHeight="1">
      <c r="L580" s="751"/>
    </row>
    <row r="581" spans="12:12" ht="30" customHeight="1">
      <c r="L581" s="751"/>
    </row>
    <row r="582" spans="12:12" ht="30" customHeight="1">
      <c r="L582" s="751"/>
    </row>
    <row r="583" spans="12:12" ht="30" customHeight="1">
      <c r="L583" s="751"/>
    </row>
    <row r="584" spans="12:12" ht="30" customHeight="1">
      <c r="L584" s="751"/>
    </row>
    <row r="585" spans="12:12" ht="30" customHeight="1">
      <c r="L585" s="751"/>
    </row>
    <row r="586" spans="12:12" ht="30" customHeight="1">
      <c r="L586" s="751"/>
    </row>
    <row r="587" spans="12:12" ht="30" customHeight="1">
      <c r="L587" s="751"/>
    </row>
    <row r="588" spans="12:12" ht="30" customHeight="1">
      <c r="L588" s="751"/>
    </row>
    <row r="589" spans="12:12" ht="30" customHeight="1">
      <c r="L589" s="751"/>
    </row>
    <row r="590" spans="12:12" ht="30" customHeight="1">
      <c r="L590" s="751"/>
    </row>
    <row r="591" spans="12:12" ht="30" customHeight="1">
      <c r="L591" s="751"/>
    </row>
    <row r="592" spans="12:12" ht="30" customHeight="1">
      <c r="L592" s="751"/>
    </row>
    <row r="593" spans="12:12" ht="30" customHeight="1">
      <c r="L593" s="751"/>
    </row>
    <row r="594" spans="12:12" ht="30" customHeight="1">
      <c r="L594" s="751"/>
    </row>
    <row r="595" spans="12:12" ht="30" customHeight="1">
      <c r="L595" s="751"/>
    </row>
    <row r="596" spans="12:12" ht="30" customHeight="1">
      <c r="L596" s="751"/>
    </row>
    <row r="597" spans="12:12" ht="30" customHeight="1">
      <c r="L597" s="751"/>
    </row>
    <row r="598" spans="12:12" ht="30" customHeight="1">
      <c r="L598" s="751"/>
    </row>
    <row r="599" spans="12:12" ht="30" customHeight="1">
      <c r="L599" s="751"/>
    </row>
    <row r="600" spans="12:12" ht="30" customHeight="1">
      <c r="L600" s="751"/>
    </row>
    <row r="601" spans="12:12" ht="30" customHeight="1">
      <c r="L601" s="751"/>
    </row>
    <row r="602" spans="12:12" ht="30" customHeight="1">
      <c r="L602" s="751"/>
    </row>
    <row r="603" spans="12:12" ht="30" customHeight="1">
      <c r="L603" s="751"/>
    </row>
    <row r="604" spans="12:12" ht="30" customHeight="1">
      <c r="L604" s="751"/>
    </row>
    <row r="605" spans="12:12" ht="30" customHeight="1">
      <c r="L605" s="751"/>
    </row>
    <row r="606" spans="12:12" ht="30" customHeight="1">
      <c r="L606" s="751"/>
    </row>
    <row r="607" spans="12:12" ht="30" customHeight="1">
      <c r="L607" s="751"/>
    </row>
    <row r="608" spans="12:12" ht="30" customHeight="1">
      <c r="L608" s="751"/>
    </row>
    <row r="609" spans="12:12" ht="30" customHeight="1">
      <c r="L609" s="751"/>
    </row>
    <row r="610" spans="12:12" ht="30" customHeight="1">
      <c r="L610" s="751"/>
    </row>
    <row r="611" spans="12:12" ht="30" customHeight="1">
      <c r="L611" s="751"/>
    </row>
    <row r="612" spans="12:12" ht="30" customHeight="1">
      <c r="L612" s="751"/>
    </row>
    <row r="613" spans="12:12" ht="30" customHeight="1">
      <c r="L613" s="751"/>
    </row>
    <row r="614" spans="12:12" ht="30" customHeight="1">
      <c r="L614" s="751"/>
    </row>
    <row r="615" spans="12:12" ht="30" customHeight="1">
      <c r="L615" s="751"/>
    </row>
    <row r="616" spans="12:12" ht="30" customHeight="1">
      <c r="L616" s="751"/>
    </row>
    <row r="617" spans="12:12" ht="30" customHeight="1">
      <c r="L617" s="751"/>
    </row>
    <row r="618" spans="12:12" ht="30" customHeight="1">
      <c r="L618" s="751"/>
    </row>
    <row r="619" spans="12:12" ht="30" customHeight="1">
      <c r="L619" s="751"/>
    </row>
    <row r="620" spans="12:12" ht="30" customHeight="1">
      <c r="L620" s="751"/>
    </row>
    <row r="621" spans="12:12" ht="30" customHeight="1">
      <c r="L621" s="751"/>
    </row>
    <row r="622" spans="12:12" ht="30" customHeight="1">
      <c r="L622" s="751"/>
    </row>
    <row r="623" spans="12:12" ht="30" customHeight="1">
      <c r="L623" s="751"/>
    </row>
    <row r="624" spans="12:12" ht="30" customHeight="1">
      <c r="L624" s="751"/>
    </row>
    <row r="625" spans="12:12" ht="30" customHeight="1">
      <c r="L625" s="751"/>
    </row>
    <row r="626" spans="12:12" ht="30" customHeight="1">
      <c r="L626" s="751"/>
    </row>
    <row r="627" spans="12:12" ht="30" customHeight="1">
      <c r="L627" s="751"/>
    </row>
    <row r="628" spans="12:12" ht="30" customHeight="1">
      <c r="L628" s="751"/>
    </row>
    <row r="629" spans="12:12" ht="30" customHeight="1">
      <c r="L629" s="751"/>
    </row>
    <row r="630" spans="12:12" ht="30" customHeight="1">
      <c r="L630" s="751"/>
    </row>
    <row r="631" spans="12:12" ht="30" customHeight="1">
      <c r="L631" s="751"/>
    </row>
    <row r="632" spans="12:12" ht="30" customHeight="1">
      <c r="L632" s="751"/>
    </row>
    <row r="633" spans="12:12" ht="30" customHeight="1">
      <c r="L633" s="751"/>
    </row>
    <row r="634" spans="12:12" ht="30" customHeight="1">
      <c r="L634" s="751"/>
    </row>
    <row r="635" spans="12:12" ht="30" customHeight="1">
      <c r="L635" s="751"/>
    </row>
    <row r="636" spans="12:12" ht="30" customHeight="1">
      <c r="L636" s="751"/>
    </row>
    <row r="637" spans="12:12" ht="30" customHeight="1">
      <c r="L637" s="751"/>
    </row>
    <row r="638" spans="12:12" ht="30" customHeight="1">
      <c r="L638" s="751"/>
    </row>
    <row r="639" spans="12:12" ht="30" customHeight="1">
      <c r="L639" s="751"/>
    </row>
    <row r="640" spans="12:12" ht="30" customHeight="1">
      <c r="L640" s="751"/>
    </row>
    <row r="641" spans="12:12" ht="30" customHeight="1">
      <c r="L641" s="751"/>
    </row>
    <row r="642" spans="12:12" ht="30" customHeight="1">
      <c r="L642" s="751"/>
    </row>
    <row r="643" spans="12:12" ht="30" customHeight="1">
      <c r="L643" s="751"/>
    </row>
    <row r="644" spans="12:12" ht="30" customHeight="1">
      <c r="L644" s="751"/>
    </row>
    <row r="645" spans="12:12" ht="30" customHeight="1">
      <c r="L645" s="751"/>
    </row>
    <row r="646" spans="12:12" ht="30" customHeight="1">
      <c r="L646" s="751"/>
    </row>
    <row r="647" spans="12:12" ht="30" customHeight="1">
      <c r="L647" s="751"/>
    </row>
    <row r="648" spans="12:12" ht="30" customHeight="1">
      <c r="L648" s="751"/>
    </row>
    <row r="649" spans="12:12" ht="30" customHeight="1">
      <c r="L649" s="751"/>
    </row>
    <row r="650" spans="12:12" ht="30" customHeight="1">
      <c r="L650" s="751"/>
    </row>
    <row r="651" spans="12:12" ht="30" customHeight="1">
      <c r="L651" s="751"/>
    </row>
    <row r="652" spans="12:12" ht="30" customHeight="1">
      <c r="L652" s="751"/>
    </row>
    <row r="653" spans="12:12" ht="30" customHeight="1">
      <c r="L653" s="751"/>
    </row>
    <row r="654" spans="12:12" ht="30" customHeight="1">
      <c r="L654" s="751"/>
    </row>
    <row r="655" spans="12:12" ht="30" customHeight="1">
      <c r="L655" s="751"/>
    </row>
    <row r="656" spans="12:12" ht="30" customHeight="1">
      <c r="L656" s="751"/>
    </row>
    <row r="657" spans="12:12" ht="30" customHeight="1">
      <c r="L657" s="751"/>
    </row>
    <row r="658" spans="12:12" ht="30" customHeight="1">
      <c r="L658" s="751"/>
    </row>
    <row r="659" spans="12:12" ht="30" customHeight="1">
      <c r="L659" s="751"/>
    </row>
    <row r="660" spans="12:12" ht="30" customHeight="1">
      <c r="L660" s="751"/>
    </row>
    <row r="661" spans="12:12" ht="30" customHeight="1">
      <c r="L661" s="751"/>
    </row>
    <row r="662" spans="12:12" ht="30" customHeight="1">
      <c r="L662" s="751"/>
    </row>
    <row r="663" spans="12:12" ht="30" customHeight="1">
      <c r="L663" s="751"/>
    </row>
    <row r="664" spans="12:12" ht="30" customHeight="1">
      <c r="L664" s="751"/>
    </row>
    <row r="665" spans="12:12" ht="30" customHeight="1">
      <c r="L665" s="751"/>
    </row>
    <row r="666" spans="12:12" ht="30" customHeight="1">
      <c r="L666" s="751"/>
    </row>
    <row r="667" spans="12:12" ht="30" customHeight="1">
      <c r="L667" s="751"/>
    </row>
    <row r="668" spans="12:12" ht="30" customHeight="1">
      <c r="L668" s="751"/>
    </row>
    <row r="669" spans="12:12" ht="30" customHeight="1">
      <c r="L669" s="751"/>
    </row>
    <row r="670" spans="12:12" ht="30" customHeight="1">
      <c r="L670" s="751"/>
    </row>
    <row r="671" spans="12:12" ht="30" customHeight="1">
      <c r="L671" s="751"/>
    </row>
    <row r="672" spans="12:12" ht="30" customHeight="1">
      <c r="L672" s="751"/>
    </row>
    <row r="673" spans="12:12" ht="30" customHeight="1">
      <c r="L673" s="751"/>
    </row>
    <row r="674" spans="12:12" ht="30" customHeight="1">
      <c r="L674" s="751"/>
    </row>
    <row r="675" spans="12:12" ht="30" customHeight="1">
      <c r="L675" s="751"/>
    </row>
    <row r="676" spans="12:12" ht="30" customHeight="1">
      <c r="L676" s="751"/>
    </row>
    <row r="677" spans="12:12" ht="30" customHeight="1">
      <c r="L677" s="751"/>
    </row>
    <row r="678" spans="12:12" ht="30" customHeight="1">
      <c r="L678" s="751"/>
    </row>
    <row r="679" spans="12:12" ht="30" customHeight="1">
      <c r="L679" s="751"/>
    </row>
    <row r="680" spans="12:12" ht="30" customHeight="1">
      <c r="L680" s="751"/>
    </row>
    <row r="681" spans="12:12" ht="30" customHeight="1">
      <c r="L681" s="751"/>
    </row>
    <row r="682" spans="12:12" ht="30" customHeight="1">
      <c r="L682" s="751"/>
    </row>
    <row r="683" spans="12:12" ht="30" customHeight="1">
      <c r="L683" s="751"/>
    </row>
    <row r="684" spans="12:12" ht="30" customHeight="1">
      <c r="L684" s="751"/>
    </row>
    <row r="685" spans="12:12" ht="30" customHeight="1">
      <c r="L685" s="751"/>
    </row>
    <row r="686" spans="12:12" ht="30" customHeight="1">
      <c r="L686" s="751"/>
    </row>
    <row r="687" spans="12:12" ht="30" customHeight="1">
      <c r="L687" s="751"/>
    </row>
    <row r="688" spans="12:12" ht="30" customHeight="1">
      <c r="L688" s="751"/>
    </row>
    <row r="689" spans="12:12" ht="30" customHeight="1">
      <c r="L689" s="751"/>
    </row>
    <row r="690" spans="12:12" ht="30" customHeight="1">
      <c r="L690" s="751"/>
    </row>
    <row r="691" spans="12:12" ht="30" customHeight="1">
      <c r="L691" s="751"/>
    </row>
    <row r="692" spans="12:12" ht="30" customHeight="1">
      <c r="L692" s="751"/>
    </row>
    <row r="693" spans="12:12" ht="30" customHeight="1">
      <c r="L693" s="751"/>
    </row>
    <row r="694" spans="12:12" ht="30" customHeight="1">
      <c r="L694" s="751"/>
    </row>
    <row r="695" spans="12:12" ht="30" customHeight="1">
      <c r="L695" s="751"/>
    </row>
    <row r="696" spans="12:12" ht="30" customHeight="1">
      <c r="L696" s="751"/>
    </row>
    <row r="697" spans="12:12" ht="30" customHeight="1">
      <c r="L697" s="751"/>
    </row>
    <row r="698" spans="12:12" ht="30" customHeight="1">
      <c r="L698" s="751"/>
    </row>
    <row r="699" spans="12:12" ht="30" customHeight="1">
      <c r="L699" s="751"/>
    </row>
    <row r="700" spans="12:12" ht="30" customHeight="1">
      <c r="L700" s="751"/>
    </row>
    <row r="701" spans="12:12" ht="30" customHeight="1">
      <c r="L701" s="751"/>
    </row>
    <row r="702" spans="12:12" ht="30" customHeight="1">
      <c r="L702" s="751"/>
    </row>
    <row r="703" spans="12:12" ht="30" customHeight="1">
      <c r="L703" s="751"/>
    </row>
    <row r="704" spans="12:12" ht="30" customHeight="1">
      <c r="L704" s="751"/>
    </row>
    <row r="705" spans="12:12" ht="30" customHeight="1">
      <c r="L705" s="751"/>
    </row>
    <row r="706" spans="12:12" ht="30" customHeight="1">
      <c r="L706" s="751"/>
    </row>
    <row r="707" spans="12:12" ht="30" customHeight="1">
      <c r="L707" s="751"/>
    </row>
    <row r="708" spans="12:12" ht="30" customHeight="1">
      <c r="L708" s="751"/>
    </row>
    <row r="709" spans="12:12" ht="30" customHeight="1">
      <c r="L709" s="751"/>
    </row>
    <row r="710" spans="12:12" ht="30" customHeight="1">
      <c r="L710" s="751"/>
    </row>
    <row r="711" spans="12:12" ht="30" customHeight="1">
      <c r="L711" s="751"/>
    </row>
    <row r="712" spans="12:12" ht="30" customHeight="1">
      <c r="L712" s="751"/>
    </row>
    <row r="713" spans="12:12" ht="30" customHeight="1">
      <c r="L713" s="751"/>
    </row>
    <row r="714" spans="12:12" ht="30" customHeight="1">
      <c r="L714" s="751"/>
    </row>
    <row r="715" spans="12:12" ht="30" customHeight="1">
      <c r="L715" s="751"/>
    </row>
    <row r="716" spans="12:12" ht="30" customHeight="1">
      <c r="L716" s="751"/>
    </row>
    <row r="717" spans="12:12" ht="30" customHeight="1">
      <c r="L717" s="751"/>
    </row>
    <row r="718" spans="12:12" ht="30" customHeight="1">
      <c r="L718" s="751"/>
    </row>
    <row r="719" spans="12:12" ht="30" customHeight="1">
      <c r="L719" s="751"/>
    </row>
    <row r="720" spans="12:12" ht="30" customHeight="1">
      <c r="L720" s="751"/>
    </row>
    <row r="721" spans="12:12" ht="30" customHeight="1">
      <c r="L721" s="751"/>
    </row>
    <row r="722" spans="12:12" ht="30" customHeight="1">
      <c r="L722" s="751"/>
    </row>
    <row r="723" spans="12:12" ht="30" customHeight="1">
      <c r="L723" s="751"/>
    </row>
    <row r="724" spans="12:12" ht="30" customHeight="1">
      <c r="L724" s="751"/>
    </row>
    <row r="725" spans="12:12" ht="30" customHeight="1">
      <c r="L725" s="751"/>
    </row>
    <row r="726" spans="12:12" ht="30" customHeight="1">
      <c r="L726" s="751"/>
    </row>
    <row r="727" spans="12:12" ht="30" customHeight="1">
      <c r="L727" s="751"/>
    </row>
    <row r="728" spans="12:12" ht="30" customHeight="1">
      <c r="L728" s="751"/>
    </row>
    <row r="729" spans="12:12" ht="30" customHeight="1">
      <c r="L729" s="751"/>
    </row>
    <row r="730" spans="12:12" ht="30" customHeight="1">
      <c r="L730" s="751"/>
    </row>
    <row r="731" spans="12:12" ht="30" customHeight="1">
      <c r="L731" s="751"/>
    </row>
    <row r="732" spans="12:12" ht="30" customHeight="1">
      <c r="L732" s="751"/>
    </row>
    <row r="733" spans="12:12" ht="30" customHeight="1">
      <c r="L733" s="751"/>
    </row>
    <row r="734" spans="12:12" ht="30" customHeight="1">
      <c r="L734" s="751"/>
    </row>
    <row r="735" spans="12:12" ht="30" customHeight="1">
      <c r="L735" s="751"/>
    </row>
    <row r="736" spans="12:12" ht="30" customHeight="1">
      <c r="L736" s="751"/>
    </row>
    <row r="737" spans="12:12" ht="30" customHeight="1">
      <c r="L737" s="751"/>
    </row>
    <row r="738" spans="12:12" ht="30" customHeight="1">
      <c r="L738" s="751"/>
    </row>
    <row r="739" spans="12:12" ht="30" customHeight="1">
      <c r="L739" s="751"/>
    </row>
    <row r="740" spans="12:12" ht="30" customHeight="1">
      <c r="L740" s="751"/>
    </row>
    <row r="741" spans="12:12" ht="30" customHeight="1">
      <c r="L741" s="751"/>
    </row>
    <row r="742" spans="12:12" ht="30" customHeight="1">
      <c r="L742" s="751"/>
    </row>
    <row r="743" spans="12:12" ht="30" customHeight="1">
      <c r="L743" s="751"/>
    </row>
    <row r="744" spans="12:12" ht="30" customHeight="1">
      <c r="L744" s="751"/>
    </row>
    <row r="745" spans="12:12" ht="30" customHeight="1">
      <c r="L745" s="751"/>
    </row>
    <row r="746" spans="12:12" ht="30" customHeight="1">
      <c r="L746" s="751"/>
    </row>
    <row r="747" spans="12:12" ht="30" customHeight="1">
      <c r="L747" s="751"/>
    </row>
    <row r="748" spans="12:12" ht="30" customHeight="1">
      <c r="L748" s="751"/>
    </row>
    <row r="749" spans="12:12" ht="30" customHeight="1">
      <c r="L749" s="751"/>
    </row>
    <row r="750" spans="12:12" ht="30" customHeight="1">
      <c r="L750" s="751"/>
    </row>
    <row r="751" spans="12:12" ht="30" customHeight="1">
      <c r="L751" s="751"/>
    </row>
    <row r="752" spans="12:12" ht="30" customHeight="1">
      <c r="L752" s="751"/>
    </row>
    <row r="753" spans="12:12" ht="30" customHeight="1">
      <c r="L753" s="751"/>
    </row>
    <row r="754" spans="12:12" ht="30" customHeight="1">
      <c r="L754" s="751"/>
    </row>
    <row r="755" spans="12:12" ht="30" customHeight="1">
      <c r="L755" s="751"/>
    </row>
    <row r="756" spans="12:12" ht="30" customHeight="1">
      <c r="L756" s="751"/>
    </row>
    <row r="757" spans="12:12" ht="30" customHeight="1">
      <c r="L757" s="751"/>
    </row>
    <row r="758" spans="12:12" ht="30" customHeight="1">
      <c r="L758" s="751"/>
    </row>
    <row r="759" spans="12:12" ht="30" customHeight="1">
      <c r="L759" s="751"/>
    </row>
    <row r="760" spans="12:12" ht="30" customHeight="1">
      <c r="L760" s="751"/>
    </row>
    <row r="761" spans="12:12" ht="30" customHeight="1">
      <c r="L761" s="751"/>
    </row>
    <row r="762" spans="12:12" ht="30" customHeight="1">
      <c r="L762" s="751"/>
    </row>
    <row r="763" spans="12:12" ht="30" customHeight="1">
      <c r="L763" s="751"/>
    </row>
    <row r="764" spans="12:12" ht="30" customHeight="1">
      <c r="L764" s="751"/>
    </row>
    <row r="765" spans="12:12" ht="30" customHeight="1">
      <c r="L765" s="751"/>
    </row>
    <row r="766" spans="12:12" ht="30" customHeight="1">
      <c r="L766" s="751"/>
    </row>
    <row r="767" spans="12:12" ht="30" customHeight="1">
      <c r="L767" s="751"/>
    </row>
    <row r="768" spans="12:12" ht="30" customHeight="1">
      <c r="L768" s="751"/>
    </row>
    <row r="769" spans="12:12" ht="30" customHeight="1">
      <c r="L769" s="751"/>
    </row>
    <row r="770" spans="12:12" ht="30" customHeight="1">
      <c r="L770" s="751"/>
    </row>
    <row r="771" spans="12:12" ht="30" customHeight="1">
      <c r="L771" s="751"/>
    </row>
    <row r="772" spans="12:12" ht="30" customHeight="1">
      <c r="L772" s="751"/>
    </row>
    <row r="773" spans="12:12" ht="30" customHeight="1">
      <c r="L773" s="751"/>
    </row>
    <row r="774" spans="12:12" ht="30" customHeight="1">
      <c r="L774" s="751"/>
    </row>
    <row r="775" spans="12:12" ht="30" customHeight="1">
      <c r="L775" s="751"/>
    </row>
    <row r="776" spans="12:12" ht="30" customHeight="1">
      <c r="L776" s="751"/>
    </row>
    <row r="777" spans="12:12" ht="30" customHeight="1">
      <c r="L777" s="751"/>
    </row>
    <row r="778" spans="12:12" ht="30" customHeight="1">
      <c r="L778" s="751"/>
    </row>
    <row r="779" spans="12:12" ht="30" customHeight="1">
      <c r="L779" s="751"/>
    </row>
    <row r="780" spans="12:12" ht="30" customHeight="1">
      <c r="L780" s="751"/>
    </row>
    <row r="781" spans="12:12" ht="30" customHeight="1">
      <c r="L781" s="751"/>
    </row>
    <row r="782" spans="12:12" ht="30" customHeight="1">
      <c r="L782" s="751"/>
    </row>
    <row r="783" spans="12:12" ht="30" customHeight="1">
      <c r="L783" s="751"/>
    </row>
    <row r="784" spans="12:12" ht="30" customHeight="1">
      <c r="L784" s="751"/>
    </row>
    <row r="785" spans="12:12" ht="30" customHeight="1">
      <c r="L785" s="751"/>
    </row>
    <row r="786" spans="12:12" ht="30" customHeight="1">
      <c r="L786" s="751"/>
    </row>
    <row r="787" spans="12:12" ht="30" customHeight="1">
      <c r="L787" s="751"/>
    </row>
    <row r="788" spans="12:12" ht="30" customHeight="1">
      <c r="L788" s="751"/>
    </row>
    <row r="789" spans="12:12" ht="30" customHeight="1">
      <c r="L789" s="751"/>
    </row>
    <row r="790" spans="12:12" ht="30" customHeight="1">
      <c r="L790" s="751"/>
    </row>
    <row r="791" spans="12:12" ht="30" customHeight="1">
      <c r="L791" s="751"/>
    </row>
    <row r="792" spans="12:12" ht="30" customHeight="1">
      <c r="L792" s="751"/>
    </row>
    <row r="793" spans="12:12" ht="30" customHeight="1">
      <c r="L793" s="751"/>
    </row>
    <row r="794" spans="12:12" ht="30" customHeight="1">
      <c r="L794" s="751"/>
    </row>
    <row r="795" spans="12:12" ht="30" customHeight="1">
      <c r="L795" s="751"/>
    </row>
    <row r="796" spans="12:12" ht="30" customHeight="1">
      <c r="L796" s="751"/>
    </row>
    <row r="797" spans="12:12" ht="30" customHeight="1">
      <c r="L797" s="751"/>
    </row>
    <row r="798" spans="12:12" ht="30" customHeight="1">
      <c r="L798" s="751"/>
    </row>
    <row r="799" spans="12:12" ht="30" customHeight="1">
      <c r="L799" s="751"/>
    </row>
    <row r="800" spans="12:12" ht="30" customHeight="1">
      <c r="L800" s="751"/>
    </row>
    <row r="801" spans="12:12" ht="30" customHeight="1">
      <c r="L801" s="751"/>
    </row>
    <row r="802" spans="12:12" ht="30" customHeight="1">
      <c r="L802" s="751"/>
    </row>
    <row r="803" spans="12:12" ht="30" customHeight="1">
      <c r="L803" s="751"/>
    </row>
    <row r="804" spans="12:12" ht="30" customHeight="1">
      <c r="L804" s="751"/>
    </row>
    <row r="805" spans="12:12" ht="30" customHeight="1">
      <c r="L805" s="751"/>
    </row>
    <row r="806" spans="12:12" ht="30" customHeight="1">
      <c r="L806" s="751"/>
    </row>
    <row r="807" spans="12:12" ht="30" customHeight="1">
      <c r="L807" s="751"/>
    </row>
    <row r="808" spans="12:12" ht="30" customHeight="1">
      <c r="L808" s="751"/>
    </row>
    <row r="809" spans="12:12" ht="30" customHeight="1">
      <c r="L809" s="751"/>
    </row>
    <row r="810" spans="12:12" ht="30" customHeight="1">
      <c r="L810" s="751"/>
    </row>
    <row r="811" spans="12:12" ht="30" customHeight="1">
      <c r="L811" s="751"/>
    </row>
    <row r="812" spans="12:12" ht="30" customHeight="1">
      <c r="L812" s="751"/>
    </row>
    <row r="813" spans="12:12" ht="30" customHeight="1">
      <c r="L813" s="751"/>
    </row>
    <row r="814" spans="12:12" ht="30" customHeight="1">
      <c r="L814" s="751"/>
    </row>
    <row r="815" spans="12:12" ht="30" customHeight="1">
      <c r="L815" s="751"/>
    </row>
    <row r="816" spans="12:12" ht="30" customHeight="1">
      <c r="L816" s="751"/>
    </row>
    <row r="817" spans="12:12" ht="30" customHeight="1">
      <c r="L817" s="751"/>
    </row>
    <row r="818" spans="12:12" ht="30" customHeight="1">
      <c r="L818" s="751"/>
    </row>
    <row r="819" spans="12:12" ht="30" customHeight="1">
      <c r="L819" s="751"/>
    </row>
    <row r="820" spans="12:12" ht="30" customHeight="1">
      <c r="L820" s="751"/>
    </row>
    <row r="821" spans="12:12" ht="30" customHeight="1">
      <c r="L821" s="751"/>
    </row>
    <row r="822" spans="12:12" ht="30" customHeight="1">
      <c r="L822" s="751"/>
    </row>
    <row r="823" spans="12:12" ht="30" customHeight="1">
      <c r="L823" s="751"/>
    </row>
    <row r="824" spans="12:12" ht="30" customHeight="1">
      <c r="L824" s="751"/>
    </row>
    <row r="825" spans="12:12" ht="30" customHeight="1">
      <c r="L825" s="751"/>
    </row>
    <row r="826" spans="12:12" ht="30" customHeight="1">
      <c r="L826" s="751"/>
    </row>
    <row r="827" spans="12:12" ht="30" customHeight="1">
      <c r="L827" s="751"/>
    </row>
    <row r="828" spans="12:12" ht="30" customHeight="1">
      <c r="L828" s="751"/>
    </row>
    <row r="829" spans="12:12" ht="30" customHeight="1">
      <c r="L829" s="751"/>
    </row>
    <row r="830" spans="12:12" ht="30" customHeight="1">
      <c r="L830" s="751"/>
    </row>
    <row r="831" spans="12:12" ht="30" customHeight="1">
      <c r="L831" s="751"/>
    </row>
    <row r="832" spans="12:12" ht="30" customHeight="1">
      <c r="L832" s="751"/>
    </row>
    <row r="833" spans="12:12" ht="30" customHeight="1">
      <c r="L833" s="751"/>
    </row>
    <row r="834" spans="12:12" ht="30" customHeight="1">
      <c r="L834" s="751"/>
    </row>
    <row r="835" spans="12:12" ht="30" customHeight="1">
      <c r="L835" s="751"/>
    </row>
    <row r="836" spans="12:12" ht="30" customHeight="1">
      <c r="L836" s="751"/>
    </row>
    <row r="837" spans="12:12" ht="30" customHeight="1">
      <c r="L837" s="751"/>
    </row>
    <row r="838" spans="12:12" ht="30" customHeight="1">
      <c r="L838" s="751"/>
    </row>
    <row r="839" spans="12:12" ht="30" customHeight="1">
      <c r="L839" s="751"/>
    </row>
    <row r="840" spans="12:12" ht="30" customHeight="1">
      <c r="L840" s="751"/>
    </row>
    <row r="841" spans="12:12" ht="30" customHeight="1">
      <c r="L841" s="751"/>
    </row>
    <row r="842" spans="12:12" ht="30" customHeight="1">
      <c r="L842" s="751"/>
    </row>
    <row r="843" spans="12:12" ht="30" customHeight="1">
      <c r="L843" s="751"/>
    </row>
    <row r="844" spans="12:12" ht="30" customHeight="1">
      <c r="L844" s="751"/>
    </row>
    <row r="845" spans="12:12" ht="30" customHeight="1">
      <c r="L845" s="751"/>
    </row>
    <row r="846" spans="12:12" ht="30" customHeight="1">
      <c r="L846" s="751"/>
    </row>
    <row r="847" spans="12:12" ht="30" customHeight="1">
      <c r="L847" s="751"/>
    </row>
    <row r="848" spans="12:12" ht="30" customHeight="1">
      <c r="L848" s="751"/>
    </row>
    <row r="849" spans="12:12" ht="30" customHeight="1">
      <c r="L849" s="751"/>
    </row>
    <row r="850" spans="12:12" ht="30" customHeight="1">
      <c r="L850" s="751"/>
    </row>
    <row r="851" spans="12:12" ht="30" customHeight="1">
      <c r="L851" s="751"/>
    </row>
    <row r="852" spans="12:12" ht="30" customHeight="1">
      <c r="L852" s="751"/>
    </row>
    <row r="853" spans="12:12" ht="30" customHeight="1">
      <c r="L853" s="751"/>
    </row>
    <row r="854" spans="12:12" ht="30" customHeight="1">
      <c r="L854" s="751"/>
    </row>
    <row r="855" spans="12:12" ht="30" customHeight="1">
      <c r="L855" s="751"/>
    </row>
    <row r="856" spans="12:12" ht="30" customHeight="1">
      <c r="L856" s="751"/>
    </row>
    <row r="857" spans="12:12" ht="30" customHeight="1">
      <c r="L857" s="751"/>
    </row>
    <row r="858" spans="12:12" ht="30" customHeight="1">
      <c r="L858" s="751"/>
    </row>
    <row r="859" spans="12:12" ht="30" customHeight="1">
      <c r="L859" s="751"/>
    </row>
    <row r="860" spans="12:12" ht="30" customHeight="1">
      <c r="L860" s="751"/>
    </row>
    <row r="861" spans="12:12" ht="30" customHeight="1">
      <c r="L861" s="751"/>
    </row>
    <row r="862" spans="12:12" ht="30" customHeight="1">
      <c r="L862" s="751"/>
    </row>
    <row r="863" spans="12:12" ht="30" customHeight="1">
      <c r="L863" s="751"/>
    </row>
    <row r="864" spans="12:12" ht="30" customHeight="1">
      <c r="L864" s="751"/>
    </row>
    <row r="865" spans="12:12" ht="30" customHeight="1">
      <c r="L865" s="751"/>
    </row>
    <row r="866" spans="12:12" ht="30" customHeight="1">
      <c r="L866" s="751"/>
    </row>
    <row r="867" spans="12:12" ht="30" customHeight="1">
      <c r="L867" s="751"/>
    </row>
    <row r="868" spans="12:12" ht="30" customHeight="1">
      <c r="L868" s="751"/>
    </row>
    <row r="869" spans="12:12" ht="30" customHeight="1">
      <c r="L869" s="751"/>
    </row>
    <row r="870" spans="12:12" ht="30" customHeight="1">
      <c r="L870" s="751"/>
    </row>
    <row r="871" spans="12:12" ht="30" customHeight="1">
      <c r="L871" s="751"/>
    </row>
    <row r="872" spans="12:12" ht="30" customHeight="1">
      <c r="L872" s="751"/>
    </row>
    <row r="873" spans="12:12" ht="30" customHeight="1">
      <c r="L873" s="751"/>
    </row>
    <row r="874" spans="12:12" ht="30" customHeight="1">
      <c r="L874" s="751"/>
    </row>
    <row r="875" spans="12:12" ht="30" customHeight="1">
      <c r="L875" s="751"/>
    </row>
    <row r="876" spans="12:12" ht="30" customHeight="1">
      <c r="L876" s="751"/>
    </row>
    <row r="877" spans="12:12" ht="30" customHeight="1">
      <c r="L877" s="751"/>
    </row>
    <row r="878" spans="12:12" ht="30" customHeight="1">
      <c r="L878" s="751"/>
    </row>
    <row r="879" spans="12:12" ht="30" customHeight="1">
      <c r="L879" s="751"/>
    </row>
    <row r="880" spans="12:12" ht="30" customHeight="1">
      <c r="L880" s="751"/>
    </row>
    <row r="881" spans="12:12" ht="30" customHeight="1">
      <c r="L881" s="751"/>
    </row>
    <row r="882" spans="12:12" ht="30" customHeight="1">
      <c r="L882" s="751"/>
    </row>
    <row r="883" spans="12:12" ht="30" customHeight="1">
      <c r="L883" s="751"/>
    </row>
    <row r="884" spans="12:12" ht="30" customHeight="1">
      <c r="L884" s="751"/>
    </row>
    <row r="885" spans="12:12" ht="30" customHeight="1">
      <c r="L885" s="751"/>
    </row>
    <row r="886" spans="12:12" ht="30" customHeight="1">
      <c r="L886" s="751"/>
    </row>
    <row r="887" spans="12:12" ht="30" customHeight="1">
      <c r="L887" s="751"/>
    </row>
    <row r="888" spans="12:12" ht="30" customHeight="1">
      <c r="L888" s="751"/>
    </row>
    <row r="889" spans="12:12" ht="30" customHeight="1">
      <c r="L889" s="751"/>
    </row>
    <row r="890" spans="12:12" ht="30" customHeight="1">
      <c r="L890" s="751"/>
    </row>
    <row r="891" spans="12:12" ht="30" customHeight="1">
      <c r="L891" s="751"/>
    </row>
    <row r="892" spans="12:12" ht="30" customHeight="1">
      <c r="L892" s="751"/>
    </row>
    <row r="893" spans="12:12" ht="30" customHeight="1">
      <c r="L893" s="751"/>
    </row>
    <row r="894" spans="12:12" ht="30" customHeight="1">
      <c r="L894" s="751"/>
    </row>
    <row r="895" spans="12:12" ht="30" customHeight="1">
      <c r="L895" s="751"/>
    </row>
    <row r="896" spans="12:12" ht="30" customHeight="1">
      <c r="L896" s="751"/>
    </row>
    <row r="897" spans="12:12" ht="30" customHeight="1">
      <c r="L897" s="751"/>
    </row>
    <row r="898" spans="12:12" ht="30" customHeight="1">
      <c r="L898" s="751"/>
    </row>
    <row r="899" spans="12:12" ht="30" customHeight="1">
      <c r="L899" s="751"/>
    </row>
    <row r="900" spans="12:12" ht="30" customHeight="1">
      <c r="L900" s="751"/>
    </row>
    <row r="901" spans="12:12" ht="30" customHeight="1">
      <c r="L901" s="751"/>
    </row>
    <row r="902" spans="12:12" ht="30" customHeight="1">
      <c r="L902" s="751"/>
    </row>
    <row r="903" spans="12:12" ht="30" customHeight="1">
      <c r="L903" s="751"/>
    </row>
    <row r="904" spans="12:12" ht="30" customHeight="1">
      <c r="L904" s="751"/>
    </row>
    <row r="905" spans="12:12" ht="30" customHeight="1">
      <c r="L905" s="751"/>
    </row>
    <row r="906" spans="12:12" ht="30" customHeight="1">
      <c r="L906" s="751"/>
    </row>
    <row r="907" spans="12:12" ht="30" customHeight="1">
      <c r="L907" s="751"/>
    </row>
    <row r="908" spans="12:12" ht="30" customHeight="1">
      <c r="L908" s="751"/>
    </row>
    <row r="909" spans="12:12" ht="30" customHeight="1">
      <c r="L909" s="751"/>
    </row>
    <row r="910" spans="12:12" ht="30" customHeight="1">
      <c r="L910" s="751"/>
    </row>
    <row r="911" spans="12:12" ht="30" customHeight="1">
      <c r="L911" s="751"/>
    </row>
    <row r="912" spans="12:12" ht="30" customHeight="1">
      <c r="L912" s="751"/>
    </row>
    <row r="913" spans="12:12" ht="30" customHeight="1">
      <c r="L913" s="751"/>
    </row>
    <row r="914" spans="12:12" ht="30" customHeight="1">
      <c r="L914" s="751"/>
    </row>
    <row r="915" spans="12:12" ht="30" customHeight="1">
      <c r="L915" s="751"/>
    </row>
    <row r="916" spans="12:12" ht="30" customHeight="1">
      <c r="L916" s="751"/>
    </row>
    <row r="917" spans="12:12" ht="30" customHeight="1">
      <c r="L917" s="751"/>
    </row>
    <row r="918" spans="12:12" ht="30" customHeight="1">
      <c r="L918" s="751"/>
    </row>
    <row r="919" spans="12:12" ht="30" customHeight="1">
      <c r="L919" s="751"/>
    </row>
    <row r="920" spans="12:12" ht="30" customHeight="1">
      <c r="L920" s="751"/>
    </row>
    <row r="921" spans="12:12" ht="30" customHeight="1">
      <c r="L921" s="751"/>
    </row>
    <row r="922" spans="12:12" ht="30" customHeight="1">
      <c r="L922" s="751"/>
    </row>
    <row r="923" spans="12:12" ht="30" customHeight="1">
      <c r="L923" s="751"/>
    </row>
    <row r="924" spans="12:12" ht="30" customHeight="1">
      <c r="L924" s="751"/>
    </row>
    <row r="925" spans="12:12" ht="30" customHeight="1">
      <c r="L925" s="751"/>
    </row>
    <row r="926" spans="12:12" ht="30" customHeight="1">
      <c r="L926" s="751"/>
    </row>
    <row r="927" spans="12:12" ht="30" customHeight="1">
      <c r="L927" s="751"/>
    </row>
    <row r="928" spans="12:12" ht="30" customHeight="1">
      <c r="L928" s="751"/>
    </row>
    <row r="929" spans="12:12" ht="30" customHeight="1">
      <c r="L929" s="751"/>
    </row>
    <row r="930" spans="12:12" ht="30" customHeight="1">
      <c r="L930" s="751"/>
    </row>
    <row r="931" spans="12:12" ht="30" customHeight="1">
      <c r="L931" s="751"/>
    </row>
    <row r="932" spans="12:12" ht="30" customHeight="1">
      <c r="L932" s="751"/>
    </row>
    <row r="933" spans="12:12" ht="30" customHeight="1">
      <c r="L933" s="751"/>
    </row>
    <row r="934" spans="12:12" ht="30" customHeight="1">
      <c r="L934" s="751"/>
    </row>
    <row r="935" spans="12:12" ht="30" customHeight="1">
      <c r="L935" s="751"/>
    </row>
    <row r="936" spans="12:12" ht="30" customHeight="1">
      <c r="L936" s="751"/>
    </row>
    <row r="937" spans="12:12" ht="30" customHeight="1">
      <c r="L937" s="751"/>
    </row>
    <row r="938" spans="12:12" ht="30" customHeight="1">
      <c r="L938" s="751"/>
    </row>
    <row r="939" spans="12:12" ht="30" customHeight="1">
      <c r="L939" s="751"/>
    </row>
    <row r="940" spans="12:12" ht="30" customHeight="1">
      <c r="L940" s="751"/>
    </row>
    <row r="941" spans="12:12" ht="30" customHeight="1">
      <c r="L941" s="751"/>
    </row>
    <row r="942" spans="12:12" ht="30" customHeight="1">
      <c r="L942" s="751"/>
    </row>
    <row r="943" spans="12:12" ht="30" customHeight="1">
      <c r="L943" s="751"/>
    </row>
    <row r="944" spans="12:12" ht="30" customHeight="1">
      <c r="L944" s="751"/>
    </row>
    <row r="945" spans="12:12" ht="30" customHeight="1">
      <c r="L945" s="751"/>
    </row>
    <row r="946" spans="12:12" ht="30" customHeight="1">
      <c r="L946" s="751"/>
    </row>
    <row r="947" spans="12:12" ht="30" customHeight="1">
      <c r="L947" s="751"/>
    </row>
    <row r="948" spans="12:12" ht="30" customHeight="1">
      <c r="L948" s="751"/>
    </row>
    <row r="949" spans="12:12" ht="30" customHeight="1">
      <c r="L949" s="751"/>
    </row>
    <row r="950" spans="12:12" ht="30" customHeight="1">
      <c r="L950" s="751"/>
    </row>
    <row r="951" spans="12:12" ht="30" customHeight="1">
      <c r="L951" s="751"/>
    </row>
    <row r="952" spans="12:12" ht="30" customHeight="1">
      <c r="L952" s="751"/>
    </row>
    <row r="953" spans="12:12" ht="30" customHeight="1">
      <c r="L953" s="751"/>
    </row>
    <row r="954" spans="12:12" ht="30" customHeight="1">
      <c r="L954" s="751"/>
    </row>
    <row r="955" spans="12:12" ht="30" customHeight="1">
      <c r="L955" s="751"/>
    </row>
    <row r="956" spans="12:12" ht="30" customHeight="1">
      <c r="L956" s="751"/>
    </row>
    <row r="957" spans="12:12" ht="30" customHeight="1">
      <c r="L957" s="751"/>
    </row>
    <row r="958" spans="12:12" ht="30" customHeight="1">
      <c r="L958" s="751"/>
    </row>
    <row r="959" spans="12:12" ht="30" customHeight="1">
      <c r="L959" s="751"/>
    </row>
    <row r="960" spans="12:12" ht="30" customHeight="1">
      <c r="L960" s="751"/>
    </row>
    <row r="961" spans="12:12" ht="30" customHeight="1">
      <c r="L961" s="751"/>
    </row>
    <row r="962" spans="12:12" ht="30" customHeight="1">
      <c r="L962" s="751"/>
    </row>
    <row r="963" spans="12:12" ht="30" customHeight="1">
      <c r="L963" s="751"/>
    </row>
    <row r="964" spans="12:12" ht="30" customHeight="1">
      <c r="L964" s="751"/>
    </row>
    <row r="965" spans="12:12" ht="30" customHeight="1">
      <c r="L965" s="751"/>
    </row>
    <row r="966" spans="12:12" ht="30" customHeight="1">
      <c r="L966" s="751"/>
    </row>
    <row r="967" spans="12:12" ht="30" customHeight="1">
      <c r="L967" s="751"/>
    </row>
    <row r="968" spans="12:12" ht="30" customHeight="1">
      <c r="L968" s="751"/>
    </row>
    <row r="969" spans="12:12" ht="30" customHeight="1">
      <c r="L969" s="751"/>
    </row>
    <row r="970" spans="12:12" ht="30" customHeight="1">
      <c r="L970" s="751"/>
    </row>
    <row r="971" spans="12:12" ht="30" customHeight="1">
      <c r="L971" s="751"/>
    </row>
    <row r="972" spans="12:12" ht="30" customHeight="1">
      <c r="L972" s="751"/>
    </row>
    <row r="973" spans="12:12" ht="30" customHeight="1">
      <c r="L973" s="751"/>
    </row>
    <row r="974" spans="12:12" ht="30" customHeight="1">
      <c r="L974" s="751"/>
    </row>
    <row r="975" spans="12:12" ht="30" customHeight="1">
      <c r="L975" s="751"/>
    </row>
    <row r="976" spans="12:12" ht="30" customHeight="1">
      <c r="L976" s="751"/>
    </row>
    <row r="977" spans="12:12" ht="30" customHeight="1">
      <c r="L977" s="751"/>
    </row>
    <row r="978" spans="12:12" ht="30" customHeight="1">
      <c r="L978" s="751"/>
    </row>
    <row r="979" spans="12:12" ht="30" customHeight="1">
      <c r="L979" s="751"/>
    </row>
    <row r="980" spans="12:12" ht="30" customHeight="1">
      <c r="L980" s="751"/>
    </row>
    <row r="981" spans="12:12" ht="30" customHeight="1">
      <c r="L981" s="751"/>
    </row>
    <row r="982" spans="12:12" ht="30" customHeight="1">
      <c r="L982" s="751"/>
    </row>
    <row r="983" spans="12:12" ht="30" customHeight="1">
      <c r="L983" s="751"/>
    </row>
    <row r="984" spans="12:12" ht="30" customHeight="1">
      <c r="L984" s="751"/>
    </row>
    <row r="985" spans="12:12" ht="30" customHeight="1">
      <c r="L985" s="751"/>
    </row>
    <row r="986" spans="12:12" ht="30" customHeight="1">
      <c r="L986" s="751"/>
    </row>
    <row r="987" spans="12:12" ht="30" customHeight="1">
      <c r="L987" s="751"/>
    </row>
    <row r="988" spans="12:12" ht="30" customHeight="1">
      <c r="L988" s="751"/>
    </row>
    <row r="989" spans="12:12" ht="30" customHeight="1">
      <c r="L989" s="751"/>
    </row>
    <row r="990" spans="12:12" ht="30" customHeight="1">
      <c r="L990" s="751"/>
    </row>
    <row r="991" spans="12:12" ht="30" customHeight="1">
      <c r="L991" s="751"/>
    </row>
    <row r="992" spans="12:12" ht="30" customHeight="1">
      <c r="L992" s="751"/>
    </row>
    <row r="993" spans="12:12" ht="30" customHeight="1">
      <c r="L993" s="751"/>
    </row>
    <row r="994" spans="12:12" ht="30" customHeight="1">
      <c r="L994" s="751"/>
    </row>
    <row r="995" spans="12:12" ht="30" customHeight="1">
      <c r="L995" s="751"/>
    </row>
    <row r="996" spans="12:12" ht="30" customHeight="1">
      <c r="L996" s="751"/>
    </row>
    <row r="997" spans="12:12" ht="30" customHeight="1">
      <c r="L997" s="751"/>
    </row>
    <row r="998" spans="12:12" ht="30" customHeight="1">
      <c r="L998" s="751"/>
    </row>
    <row r="999" spans="12:12" ht="30" customHeight="1">
      <c r="L999" s="751"/>
    </row>
    <row r="1000" spans="12:12" ht="30" customHeight="1">
      <c r="L1000" s="751"/>
    </row>
    <row r="1001" spans="12:12" ht="30" customHeight="1">
      <c r="L1001" s="751"/>
    </row>
    <row r="1002" spans="12:12" ht="30" customHeight="1">
      <c r="L1002" s="751"/>
    </row>
    <row r="1003" spans="12:12" ht="30" customHeight="1">
      <c r="L1003" s="751"/>
    </row>
    <row r="1004" spans="12:12" ht="30" customHeight="1">
      <c r="L1004" s="751"/>
    </row>
    <row r="1005" spans="12:12" ht="30" customHeight="1">
      <c r="L1005" s="751"/>
    </row>
    <row r="1006" spans="12:12" ht="30" customHeight="1">
      <c r="L1006" s="751"/>
    </row>
    <row r="1007" spans="12:12" ht="30" customHeight="1">
      <c r="L1007" s="751"/>
    </row>
    <row r="1008" spans="12:12" ht="30" customHeight="1">
      <c r="L1008" s="751"/>
    </row>
    <row r="1009" spans="12:12" ht="30" customHeight="1">
      <c r="L1009" s="751"/>
    </row>
    <row r="1010" spans="12:12" ht="30" customHeight="1">
      <c r="L1010" s="751"/>
    </row>
    <row r="1011" spans="12:12" ht="30" customHeight="1">
      <c r="L1011" s="751"/>
    </row>
    <row r="1012" spans="12:12" ht="30" customHeight="1">
      <c r="L1012" s="751"/>
    </row>
    <row r="1013" spans="12:12" ht="30" customHeight="1">
      <c r="L1013" s="751"/>
    </row>
    <row r="1014" spans="12:12" ht="30" customHeight="1">
      <c r="L1014" s="751"/>
    </row>
    <row r="1015" spans="12:12" ht="30" customHeight="1">
      <c r="L1015" s="751"/>
    </row>
    <row r="1016" spans="12:12" ht="30" customHeight="1">
      <c r="L1016" s="751"/>
    </row>
    <row r="1017" spans="12:12" ht="30" customHeight="1">
      <c r="L1017" s="751"/>
    </row>
    <row r="1018" spans="12:12" ht="30" customHeight="1">
      <c r="L1018" s="751"/>
    </row>
    <row r="1019" spans="12:12" ht="30" customHeight="1">
      <c r="L1019" s="751"/>
    </row>
    <row r="1020" spans="12:12" ht="30" customHeight="1">
      <c r="L1020" s="751"/>
    </row>
    <row r="1021" spans="12:12" ht="30" customHeight="1">
      <c r="L1021" s="751"/>
    </row>
    <row r="1022" spans="12:12" ht="30" customHeight="1">
      <c r="L1022" s="751"/>
    </row>
    <row r="1023" spans="12:12" ht="30" customHeight="1">
      <c r="L1023" s="751"/>
    </row>
    <row r="1024" spans="12:12" ht="30" customHeight="1">
      <c r="L1024" s="751"/>
    </row>
    <row r="1025" spans="12:12" ht="30" customHeight="1">
      <c r="L1025" s="751"/>
    </row>
    <row r="1026" spans="12:12" ht="30" customHeight="1">
      <c r="L1026" s="751"/>
    </row>
    <row r="1027" spans="12:12" ht="30" customHeight="1">
      <c r="L1027" s="751"/>
    </row>
    <row r="1028" spans="12:12" ht="30" customHeight="1">
      <c r="L1028" s="751"/>
    </row>
    <row r="1029" spans="12:12" ht="30" customHeight="1">
      <c r="L1029" s="751"/>
    </row>
    <row r="1030" spans="12:12" ht="30" customHeight="1">
      <c r="L1030" s="751"/>
    </row>
    <row r="1031" spans="12:12" ht="30" customHeight="1">
      <c r="L1031" s="751"/>
    </row>
    <row r="1032" spans="12:12" ht="30" customHeight="1">
      <c r="L1032" s="751"/>
    </row>
    <row r="1033" spans="12:12" ht="30" customHeight="1">
      <c r="L1033" s="751"/>
    </row>
    <row r="1034" spans="12:12" ht="30" customHeight="1">
      <c r="L1034" s="751"/>
    </row>
    <row r="1035" spans="12:12" ht="30" customHeight="1">
      <c r="L1035" s="751"/>
    </row>
    <row r="1036" spans="12:12" ht="30" customHeight="1">
      <c r="L1036" s="751"/>
    </row>
    <row r="1037" spans="12:12" ht="30" customHeight="1">
      <c r="L1037" s="751"/>
    </row>
    <row r="1038" spans="12:12" ht="30" customHeight="1">
      <c r="L1038" s="751"/>
    </row>
    <row r="1039" spans="12:12" ht="30" customHeight="1">
      <c r="L1039" s="751"/>
    </row>
    <row r="1040" spans="12:12" ht="30" customHeight="1">
      <c r="L1040" s="751"/>
    </row>
    <row r="1041" spans="12:12" ht="30" customHeight="1">
      <c r="L1041" s="751"/>
    </row>
    <row r="1042" spans="12:12" ht="30" customHeight="1">
      <c r="L1042" s="751"/>
    </row>
    <row r="1043" spans="12:12" ht="30" customHeight="1">
      <c r="L1043" s="751"/>
    </row>
    <row r="1044" spans="12:12" ht="30" customHeight="1">
      <c r="L1044" s="751"/>
    </row>
    <row r="1045" spans="12:12" ht="30" customHeight="1">
      <c r="L1045" s="751"/>
    </row>
    <row r="1046" spans="12:12" ht="30" customHeight="1">
      <c r="L1046" s="751"/>
    </row>
    <row r="1047" spans="12:12" ht="30" customHeight="1">
      <c r="L1047" s="751"/>
    </row>
    <row r="1048" spans="12:12" ht="30" customHeight="1">
      <c r="L1048" s="751"/>
    </row>
    <row r="1049" spans="12:12" ht="30" customHeight="1">
      <c r="L1049" s="751"/>
    </row>
    <row r="1050" spans="12:12" ht="30" customHeight="1">
      <c r="L1050" s="751"/>
    </row>
    <row r="1051" spans="12:12" ht="30" customHeight="1">
      <c r="L1051" s="751"/>
    </row>
    <row r="1052" spans="12:12" ht="30" customHeight="1">
      <c r="L1052" s="751"/>
    </row>
    <row r="1053" spans="12:12" ht="30" customHeight="1">
      <c r="L1053" s="751"/>
    </row>
    <row r="1054" spans="12:12" ht="30" customHeight="1">
      <c r="L1054" s="751"/>
    </row>
    <row r="1055" spans="12:12" ht="30" customHeight="1">
      <c r="L1055" s="751"/>
    </row>
    <row r="1056" spans="12:12" ht="30" customHeight="1">
      <c r="L1056" s="751"/>
    </row>
    <row r="1057" spans="12:12" ht="30" customHeight="1">
      <c r="L1057" s="751"/>
    </row>
    <row r="1058" spans="12:12" ht="30" customHeight="1">
      <c r="L1058" s="751"/>
    </row>
    <row r="1059" spans="12:12" ht="30" customHeight="1">
      <c r="L1059" s="751"/>
    </row>
    <row r="1060" spans="12:12" ht="30" customHeight="1">
      <c r="L1060" s="751"/>
    </row>
  </sheetData>
  <autoFilter ref="A5:EL94" xr:uid="{00000000-0009-0000-0000-00000B000000}">
    <filterColumn colId="66" showButton="0"/>
  </autoFilter>
  <mergeCells count="234">
    <mergeCell ref="B80:B93"/>
    <mergeCell ref="F3:F5"/>
    <mergeCell ref="R2:R5"/>
    <mergeCell ref="W1:W5"/>
    <mergeCell ref="Q2:Q5"/>
    <mergeCell ref="S2:S5"/>
    <mergeCell ref="X1:AA1"/>
    <mergeCell ref="B6:B12"/>
    <mergeCell ref="P2:P5"/>
    <mergeCell ref="B14:B58"/>
    <mergeCell ref="Y71:Y73"/>
    <mergeCell ref="Z71:Z73"/>
    <mergeCell ref="B3:B5"/>
    <mergeCell ref="C3:C5"/>
    <mergeCell ref="D3:D5"/>
    <mergeCell ref="E3:E5"/>
    <mergeCell ref="L58:L63"/>
    <mergeCell ref="L64:L65"/>
    <mergeCell ref="M58:M63"/>
    <mergeCell ref="S58:S63"/>
    <mergeCell ref="B63:B79"/>
    <mergeCell ref="A1:C2"/>
    <mergeCell ref="D1:H2"/>
    <mergeCell ref="I1:I5"/>
    <mergeCell ref="AH7:AI7"/>
    <mergeCell ref="AK7:AL7"/>
    <mergeCell ref="AP7:AQ7"/>
    <mergeCell ref="BF3:BF5"/>
    <mergeCell ref="AJ3:AJ5"/>
    <mergeCell ref="AK3:AK5"/>
    <mergeCell ref="AL3:AL5"/>
    <mergeCell ref="AM3:AM5"/>
    <mergeCell ref="AN3:AN5"/>
    <mergeCell ref="AP3:AP5"/>
    <mergeCell ref="AT3:AT5"/>
    <mergeCell ref="AU3:AU5"/>
    <mergeCell ref="AO3:AO5"/>
    <mergeCell ref="BE3:BE5"/>
    <mergeCell ref="AR3:AR5"/>
    <mergeCell ref="AS3:AS5"/>
    <mergeCell ref="AV3:AV5"/>
    <mergeCell ref="AW3:AW5"/>
    <mergeCell ref="AH3:AH5"/>
    <mergeCell ref="AI3:AI5"/>
    <mergeCell ref="AQ3:AQ5"/>
    <mergeCell ref="AX3:AX5"/>
    <mergeCell ref="AY3:AY5"/>
    <mergeCell ref="AZ3:AZ5"/>
    <mergeCell ref="AF3:AF5"/>
    <mergeCell ref="AG3:AG5"/>
    <mergeCell ref="AC3:AC5"/>
    <mergeCell ref="AD3:AD5"/>
    <mergeCell ref="AB2:AB5"/>
    <mergeCell ref="AE3:AE5"/>
    <mergeCell ref="AE2:AF2"/>
    <mergeCell ref="X2:X5"/>
    <mergeCell ref="BG1:BK1"/>
    <mergeCell ref="BB1:BF1"/>
    <mergeCell ref="BI3:BI5"/>
    <mergeCell ref="BJ3:BJ5"/>
    <mergeCell ref="AB1:BA1"/>
    <mergeCell ref="AC2:AD2"/>
    <mergeCell ref="BG2:BG5"/>
    <mergeCell ref="BH2:BJ2"/>
    <mergeCell ref="AV2:BA2"/>
    <mergeCell ref="BH3:BH5"/>
    <mergeCell ref="AA2:AA5"/>
    <mergeCell ref="Y2:Y5"/>
    <mergeCell ref="Z2:Z5"/>
    <mergeCell ref="BK3:BK5"/>
    <mergeCell ref="BA3:BA5"/>
    <mergeCell ref="BB2:BB5"/>
    <mergeCell ref="J1:J5"/>
    <mergeCell ref="L1:R1"/>
    <mergeCell ref="T1:T5"/>
    <mergeCell ref="U1:U5"/>
    <mergeCell ref="V1:V5"/>
    <mergeCell ref="K2:K5"/>
    <mergeCell ref="G3:G5"/>
    <mergeCell ref="A3:A5"/>
    <mergeCell ref="H3:H5"/>
    <mergeCell ref="L2:L5"/>
    <mergeCell ref="M2:M5"/>
    <mergeCell ref="N2:N5"/>
    <mergeCell ref="O2:O5"/>
    <mergeCell ref="BC2:BC5"/>
    <mergeCell ref="BD2:BD5"/>
    <mergeCell ref="BZ2:BZ5"/>
    <mergeCell ref="CA2:CA5"/>
    <mergeCell ref="AK6:AL6"/>
    <mergeCell ref="AP6:AQ6"/>
    <mergeCell ref="AG2:AM2"/>
    <mergeCell ref="AN2:AU2"/>
    <mergeCell ref="BM1:BP2"/>
    <mergeCell ref="BQ1:BU2"/>
    <mergeCell ref="BV1:BV5"/>
    <mergeCell ref="BY1:CJ1"/>
    <mergeCell ref="BY2:BY5"/>
    <mergeCell ref="CB2:CB5"/>
    <mergeCell ref="CC2:CC5"/>
    <mergeCell ref="CD2:CD5"/>
    <mergeCell ref="CE2:CE5"/>
    <mergeCell ref="CF2:CF5"/>
    <mergeCell ref="CG2:CJ2"/>
    <mergeCell ref="BM3:BM5"/>
    <mergeCell ref="BN3:BN5"/>
    <mergeCell ref="BO3:BP5"/>
    <mergeCell ref="BQ3:BQ5"/>
    <mergeCell ref="BR3:BR5"/>
    <mergeCell ref="BS3:BS5"/>
    <mergeCell ref="BT3:BT5"/>
    <mergeCell ref="BU3:BU5"/>
    <mergeCell ref="BW3:BW5"/>
    <mergeCell ref="CG3:CG5"/>
    <mergeCell ref="CH3:CH5"/>
    <mergeCell ref="CI3:CI5"/>
    <mergeCell ref="BM6:BM9"/>
    <mergeCell ref="BN6:BN12"/>
    <mergeCell ref="BO6:BP11"/>
    <mergeCell ref="BQ10:BQ11"/>
    <mergeCell ref="BR10:BR11"/>
    <mergeCell ref="BS10:BS11"/>
    <mergeCell ref="BT10:BT11"/>
    <mergeCell ref="BU10:BU11"/>
    <mergeCell ref="BO12:BP12"/>
    <mergeCell ref="BM14:BM17"/>
    <mergeCell ref="BN14:BN58"/>
    <mergeCell ref="BO14:BP14"/>
    <mergeCell ref="BO15:BP15"/>
    <mergeCell ref="BO16:BP16"/>
    <mergeCell ref="BO17:BP17"/>
    <mergeCell ref="BO18:BP22"/>
    <mergeCell ref="BO23:BP23"/>
    <mergeCell ref="BO24:BP27"/>
    <mergeCell ref="BO28:BP45"/>
    <mergeCell ref="BO46:BP55"/>
    <mergeCell ref="BO56:BP56"/>
    <mergeCell ref="BO57:BP57"/>
    <mergeCell ref="BO58:BP58"/>
    <mergeCell ref="BN59:BN62"/>
    <mergeCell ref="BO59:BP59"/>
    <mergeCell ref="BQ59:BQ62"/>
    <mergeCell ref="BR59:BR62"/>
    <mergeCell ref="BS59:BS62"/>
    <mergeCell ref="BT59:BT62"/>
    <mergeCell ref="BU59:BU62"/>
    <mergeCell ref="BV59:BV62"/>
    <mergeCell ref="BO13:BP13"/>
    <mergeCell ref="BM63:BM79"/>
    <mergeCell ref="BN63:BN79"/>
    <mergeCell ref="CM63:CM79"/>
    <mergeCell ref="CN63:CN79"/>
    <mergeCell ref="BO79:BP79"/>
    <mergeCell ref="BO60:BP60"/>
    <mergeCell ref="BO61:BP61"/>
    <mergeCell ref="BO62:BP62"/>
    <mergeCell ref="CG59:CG62"/>
    <mergeCell ref="CH59:CH62"/>
    <mergeCell ref="CI59:CI62"/>
    <mergeCell ref="CJ59:CJ62"/>
    <mergeCell ref="CK59:CK62"/>
    <mergeCell ref="CM59:CM62"/>
    <mergeCell ref="CN59:CN62"/>
    <mergeCell ref="BW59:BW62"/>
    <mergeCell ref="BX59:BX62"/>
    <mergeCell ref="BY59:BY62"/>
    <mergeCell ref="CB59:CB62"/>
    <mergeCell ref="CC59:CC62"/>
    <mergeCell ref="CD59:CD62"/>
    <mergeCell ref="CE59:CE62"/>
    <mergeCell ref="CF59:CF62"/>
    <mergeCell ref="BM59:BM62"/>
    <mergeCell ref="BO63:BO69"/>
    <mergeCell ref="BQ63:BQ64"/>
    <mergeCell ref="BU63:BU64"/>
    <mergeCell ref="BY63:BY64"/>
    <mergeCell ref="CF63:CF64"/>
    <mergeCell ref="BP65:BP67"/>
    <mergeCell ref="BO70:BP71"/>
    <mergeCell ref="BO72:BO74"/>
    <mergeCell ref="BO75:BO77"/>
    <mergeCell ref="BO80:BP81"/>
    <mergeCell ref="CM80:CM93"/>
    <mergeCell ref="CN80:CN93"/>
    <mergeCell ref="CO80:CO93"/>
    <mergeCell ref="BO82:BP86"/>
    <mergeCell ref="BM80:BM93"/>
    <mergeCell ref="BN80:BN93"/>
    <mergeCell ref="BO92:BP93"/>
    <mergeCell ref="BW90:BW91"/>
    <mergeCell ref="BO87:BP91"/>
    <mergeCell ref="BX90:BX91"/>
    <mergeCell ref="BY90:BY91"/>
    <mergeCell ref="CJ90:CJ91"/>
    <mergeCell ref="CK90:CK91"/>
    <mergeCell ref="CL90:CL91"/>
    <mergeCell ref="DP4:DU4"/>
    <mergeCell ref="DX4:DX5"/>
    <mergeCell ref="CO6:CO12"/>
    <mergeCell ref="CR7:CR10"/>
    <mergeCell ref="CO14:CO58"/>
    <mergeCell ref="CR4:CR5"/>
    <mergeCell ref="CS4:CS5"/>
    <mergeCell ref="CT4:CT5"/>
    <mergeCell ref="DV4:DV5"/>
    <mergeCell ref="DW4:DW5"/>
    <mergeCell ref="CO3:CO5"/>
    <mergeCell ref="CP3:CP5"/>
    <mergeCell ref="CQ3:CQ5"/>
    <mergeCell ref="CR3:CU3"/>
    <mergeCell ref="CV3:DU3"/>
    <mergeCell ref="DV3:DZ3"/>
    <mergeCell ref="CU4:CU5"/>
    <mergeCell ref="CV4:CV5"/>
    <mergeCell ref="CA59:CA62"/>
    <mergeCell ref="BZ59:BZ62"/>
    <mergeCell ref="BZ63:BZ64"/>
    <mergeCell ref="CA63:CA64"/>
    <mergeCell ref="CO59:CO62"/>
    <mergeCell ref="CW4:CX4"/>
    <mergeCell ref="CY4:CZ4"/>
    <mergeCell ref="DA4:DG4"/>
    <mergeCell ref="DH4:DO4"/>
    <mergeCell ref="CO63:CO79"/>
    <mergeCell ref="CR65:CR67"/>
    <mergeCell ref="CJ3:CJ5"/>
    <mergeCell ref="CK3:CK5"/>
    <mergeCell ref="CL3:CL5"/>
    <mergeCell ref="CM3:CM5"/>
    <mergeCell ref="CN3:CN5"/>
    <mergeCell ref="CM6:CM12"/>
    <mergeCell ref="CN6:CN12"/>
    <mergeCell ref="CM14:CM58"/>
    <mergeCell ref="CN14:CN58"/>
  </mergeCells>
  <conditionalFormatting sqref="CL6">
    <cfRule type="cellIs" dxfId="301" priority="9" operator="between">
      <formula>0.81</formula>
      <formula>1</formula>
    </cfRule>
    <cfRule type="cellIs" dxfId="300" priority="10" operator="between">
      <formula>0.61</formula>
      <formula>0.8</formula>
    </cfRule>
    <cfRule type="cellIs" dxfId="299" priority="11" operator="between">
      <formula>0.31</formula>
      <formula>0.6</formula>
    </cfRule>
    <cfRule type="cellIs" dxfId="298" priority="12" operator="between">
      <formula>0</formula>
      <formula>0.3</formula>
    </cfRule>
  </conditionalFormatting>
  <conditionalFormatting sqref="CL7:CL17">
    <cfRule type="cellIs" dxfId="297" priority="5" operator="between">
      <formula>0.81</formula>
      <formula>1</formula>
    </cfRule>
    <cfRule type="cellIs" dxfId="296" priority="6" operator="between">
      <formula>0.61</formula>
      <formula>0.8</formula>
    </cfRule>
    <cfRule type="cellIs" dxfId="295" priority="7" operator="between">
      <formula>0.31</formula>
      <formula>0.6</formula>
    </cfRule>
    <cfRule type="cellIs" dxfId="294" priority="8" operator="between">
      <formula>0</formula>
      <formula>0.3</formula>
    </cfRule>
  </conditionalFormatting>
  <conditionalFormatting sqref="CL18:CL90 CL92:CL93">
    <cfRule type="cellIs" dxfId="293" priority="1" operator="between">
      <formula>0.81</formula>
      <formula>1</formula>
    </cfRule>
    <cfRule type="cellIs" dxfId="292" priority="2" operator="between">
      <formula>0.61</formula>
      <formula>0.8</formula>
    </cfRule>
    <cfRule type="cellIs" dxfId="291" priority="3" operator="between">
      <formula>0.31</formula>
      <formula>0.6</formula>
    </cfRule>
    <cfRule type="cellIs" dxfId="290" priority="4" operator="between">
      <formula>0</formula>
      <formula>0.3</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2" tint="-0.89999084444715716"/>
  </sheetPr>
  <dimension ref="A1:GP98"/>
  <sheetViews>
    <sheetView showGridLines="0" zoomScale="80" zoomScaleNormal="80" workbookViewId="0">
      <selection sqref="A1:FP181"/>
    </sheetView>
  </sheetViews>
  <sheetFormatPr baseColWidth="10" defaultColWidth="11.42578125" defaultRowHeight="15" customHeight="1"/>
  <cols>
    <col min="1" max="1" width="27.28515625" style="123" customWidth="1"/>
    <col min="2" max="2" width="15.5703125" style="123" customWidth="1"/>
    <col min="3" max="3" width="18.42578125" style="123" customWidth="1"/>
    <col min="4" max="4" width="43.28515625" style="123" customWidth="1"/>
    <col min="5" max="5" width="24.5703125" style="123" customWidth="1"/>
    <col min="6" max="6" width="18.7109375" style="123" customWidth="1"/>
    <col min="7" max="8" width="22.140625" style="132" customWidth="1"/>
    <col min="9" max="9" width="29.42578125" style="123" customWidth="1"/>
    <col min="10" max="11" width="22.140625" style="123" customWidth="1"/>
    <col min="12" max="12" width="22.140625" style="132" customWidth="1"/>
    <col min="13" max="13" width="22.140625" style="123" customWidth="1"/>
    <col min="14" max="16" width="23.28515625" style="123" customWidth="1"/>
    <col min="17" max="17" width="20.85546875" style="123" customWidth="1"/>
    <col min="18" max="18" width="30" style="123" customWidth="1"/>
    <col min="19" max="19" width="23.28515625" style="123" customWidth="1"/>
    <col min="20" max="20" width="26" style="123" customWidth="1"/>
    <col min="21" max="21" width="19.28515625" style="123" customWidth="1"/>
    <col min="22" max="24" width="7.7109375" style="123" customWidth="1"/>
    <col min="25" max="25" width="15" style="123" customWidth="1"/>
    <col min="26" max="40" width="6.140625" style="123" customWidth="1"/>
    <col min="41" max="41" width="5.7109375" style="123" customWidth="1"/>
    <col min="42" max="42" width="6.140625" style="123" customWidth="1"/>
    <col min="43" max="43" width="5.5703125" style="123" customWidth="1"/>
    <col min="44" max="46" width="4.28515625" style="123" customWidth="1"/>
    <col min="47" max="50" width="6.140625" style="123" customWidth="1"/>
    <col min="51" max="51" width="25.7109375" style="123" customWidth="1"/>
    <col min="52" max="52" width="29.5703125" style="123" customWidth="1"/>
    <col min="53" max="53" width="19.42578125" style="123" customWidth="1"/>
    <col min="54" max="54" width="23.7109375" style="123" customWidth="1"/>
    <col min="55" max="55" width="20.28515625" style="123" customWidth="1"/>
    <col min="56" max="56" width="20.7109375" style="123" customWidth="1"/>
    <col min="57" max="57" width="14.28515625" style="123" customWidth="1"/>
    <col min="58" max="58" width="3.7109375" style="123" customWidth="1"/>
    <col min="59" max="59" width="5.7109375" style="123" customWidth="1"/>
    <col min="60" max="61" width="8" style="123" customWidth="1"/>
    <col min="62" max="62" width="12.28515625" style="481" customWidth="1"/>
    <col min="63" max="63" width="20.7109375" style="481" customWidth="1"/>
    <col min="64" max="64" width="18.5703125" style="481" customWidth="1"/>
    <col min="65" max="65" width="11.5703125" style="481" customWidth="1"/>
    <col min="66" max="66" width="14.5703125" style="481" customWidth="1"/>
    <col min="67" max="67" width="50.42578125" style="481" customWidth="1"/>
    <col min="68" max="68" width="22.28515625" style="827" customWidth="1"/>
    <col min="69" max="69" width="26.5703125" style="827" customWidth="1"/>
    <col min="70" max="70" width="19.42578125" style="827" customWidth="1"/>
    <col min="71" max="71" width="15.7109375" style="827" customWidth="1"/>
    <col min="72" max="72" width="18" style="827" customWidth="1"/>
    <col min="73" max="73" width="11.7109375" style="827" customWidth="1"/>
    <col min="74" max="94" width="11.5703125" style="827" customWidth="1"/>
    <col min="95" max="99" width="11.5703125" style="899" customWidth="1"/>
    <col min="100" max="101" width="11.42578125" style="899" customWidth="1"/>
    <col min="102" max="102" width="11.5703125" style="899" customWidth="1"/>
    <col min="103" max="109" width="11.42578125" style="899" customWidth="1"/>
    <col min="110" max="110" width="1.42578125" style="123" customWidth="1"/>
    <col min="111" max="16384" width="11.42578125" style="123"/>
  </cols>
  <sheetData>
    <row r="1" spans="1:158" ht="15" customHeight="1" thickBot="1">
      <c r="A1" s="15129" t="s">
        <v>2095</v>
      </c>
      <c r="B1" s="15130"/>
      <c r="C1" s="15130"/>
      <c r="D1" s="15130"/>
      <c r="E1" s="15130"/>
      <c r="F1" s="15130"/>
      <c r="G1" s="15130"/>
      <c r="H1" s="15130"/>
      <c r="I1" s="15130"/>
      <c r="J1" s="15131"/>
      <c r="K1" s="175"/>
      <c r="L1" s="175"/>
      <c r="M1" s="176"/>
      <c r="N1" s="175"/>
      <c r="O1" s="175"/>
      <c r="P1" s="175"/>
      <c r="Q1" s="15224" t="s">
        <v>0</v>
      </c>
      <c r="R1" s="15224"/>
      <c r="S1" s="15224"/>
      <c r="T1" s="15224"/>
      <c r="U1" s="15224"/>
      <c r="V1" s="15224"/>
      <c r="W1" s="15224"/>
      <c r="X1" s="15224"/>
      <c r="Y1" s="15224"/>
      <c r="Z1" s="15224"/>
      <c r="AA1" s="15224"/>
      <c r="AB1" s="15224"/>
      <c r="AC1" s="15224"/>
      <c r="AD1" s="15224"/>
      <c r="AE1" s="15224"/>
      <c r="AF1" s="15224"/>
      <c r="AG1" s="15224"/>
      <c r="AH1" s="15224"/>
      <c r="AI1" s="15224"/>
      <c r="AJ1" s="15224"/>
      <c r="AK1" s="15224"/>
      <c r="AL1" s="15224"/>
      <c r="AM1" s="15224"/>
      <c r="AN1" s="15224"/>
      <c r="AO1" s="15224"/>
      <c r="AP1" s="15224"/>
      <c r="AQ1" s="15224"/>
      <c r="AR1" s="15224"/>
      <c r="AS1" s="15224"/>
      <c r="AT1" s="15224"/>
      <c r="AU1" s="15224"/>
      <c r="AV1" s="15224"/>
      <c r="AW1" s="15224"/>
      <c r="AX1" s="15224"/>
      <c r="AY1" s="15224"/>
      <c r="AZ1" s="15224"/>
      <c r="BA1" s="15224"/>
      <c r="BB1" s="15224"/>
      <c r="BC1" s="15224"/>
      <c r="BD1" s="15224"/>
      <c r="BE1" s="15224"/>
      <c r="BF1" s="15224"/>
      <c r="BG1" s="15224"/>
      <c r="BH1" s="15225"/>
      <c r="BI1" s="900"/>
      <c r="BJ1" s="824"/>
      <c r="BK1" s="824"/>
      <c r="BL1" s="15224" t="s">
        <v>8493</v>
      </c>
      <c r="BM1" s="15224"/>
      <c r="BN1" s="15224"/>
      <c r="BO1" s="15224"/>
      <c r="BP1" s="15224"/>
      <c r="BQ1" s="15224"/>
      <c r="BR1" s="15224"/>
      <c r="BS1" s="15224"/>
      <c r="BT1" s="15224"/>
      <c r="BU1" s="15224"/>
      <c r="BV1" s="15224"/>
      <c r="BW1" s="15224"/>
      <c r="BX1" s="15224"/>
      <c r="BY1" s="15224"/>
      <c r="BZ1" s="15224"/>
      <c r="CA1" s="15224"/>
      <c r="CB1" s="15224"/>
      <c r="CC1" s="15224"/>
      <c r="CD1" s="15224"/>
      <c r="CE1" s="15224"/>
      <c r="CF1" s="15224"/>
      <c r="CG1" s="15224"/>
      <c r="CH1" s="15224"/>
      <c r="CI1" s="15224"/>
      <c r="CJ1" s="15224"/>
      <c r="CK1" s="15224"/>
      <c r="CL1" s="15224"/>
      <c r="CM1" s="15224"/>
      <c r="CN1" s="15224"/>
      <c r="CO1" s="15224"/>
      <c r="CP1" s="15224"/>
      <c r="CQ1" s="15224"/>
      <c r="CR1" s="15224"/>
      <c r="CS1" s="15224"/>
      <c r="CT1" s="15224"/>
      <c r="CU1" s="15224"/>
      <c r="CV1" s="15224"/>
      <c r="CW1" s="15224"/>
      <c r="CX1" s="15224"/>
      <c r="CY1" s="15224"/>
      <c r="CZ1" s="15224"/>
      <c r="DA1" s="15224"/>
      <c r="DB1" s="15224"/>
      <c r="DC1" s="15224"/>
      <c r="DD1" s="15224"/>
      <c r="DE1" s="15225"/>
      <c r="DG1" s="13291" t="s">
        <v>8497</v>
      </c>
      <c r="DH1" s="13291"/>
      <c r="DI1" s="13291"/>
      <c r="DJ1" s="13291"/>
      <c r="DK1" s="13291"/>
      <c r="DL1" s="13291"/>
      <c r="DM1" s="13618"/>
      <c r="DN1" s="13618"/>
      <c r="DO1" s="13618"/>
      <c r="DP1" s="13618"/>
      <c r="DQ1" s="13291"/>
      <c r="DR1" s="13291"/>
      <c r="DS1" s="13291"/>
      <c r="DT1" s="13291"/>
      <c r="DU1" s="13291"/>
      <c r="DV1" s="13291"/>
      <c r="DW1" s="13291"/>
      <c r="DX1" s="13291"/>
      <c r="DY1" s="13291"/>
      <c r="DZ1" s="13291"/>
      <c r="EA1" s="13291"/>
      <c r="EB1" s="13291"/>
      <c r="EC1" s="13291"/>
      <c r="ED1" s="13291"/>
      <c r="EE1" s="13291"/>
      <c r="EF1" s="13291"/>
      <c r="EG1" s="13291"/>
      <c r="EH1" s="13291"/>
      <c r="EI1" s="13291"/>
      <c r="EJ1" s="13291"/>
      <c r="EK1" s="13291"/>
      <c r="EL1" s="13291"/>
      <c r="EM1" s="13291"/>
      <c r="EN1" s="13291"/>
      <c r="EO1" s="13291"/>
      <c r="EP1" s="13291"/>
      <c r="EQ1" s="13291"/>
      <c r="ER1" s="13291"/>
      <c r="ES1" s="13291"/>
      <c r="ET1" s="13291"/>
      <c r="EU1" s="13291"/>
      <c r="EV1" s="13291"/>
      <c r="EW1" s="13291"/>
      <c r="EX1" s="13291"/>
      <c r="EY1" s="13291"/>
      <c r="EZ1" s="13292"/>
    </row>
    <row r="2" spans="1:158" ht="15" customHeight="1" thickBot="1">
      <c r="A2" s="15132" t="s">
        <v>2096</v>
      </c>
      <c r="B2" s="15133"/>
      <c r="C2" s="15133"/>
      <c r="D2" s="15133"/>
      <c r="E2" s="15133"/>
      <c r="F2" s="15133"/>
      <c r="G2" s="15133"/>
      <c r="H2" s="15133"/>
      <c r="I2" s="15133"/>
      <c r="J2" s="15134"/>
      <c r="K2" s="177"/>
      <c r="L2" s="177"/>
      <c r="M2" s="178"/>
      <c r="N2" s="177"/>
      <c r="O2" s="177"/>
      <c r="P2" s="177"/>
      <c r="Q2" s="15226" t="s">
        <v>1</v>
      </c>
      <c r="R2" s="15228" t="s">
        <v>2</v>
      </c>
      <c r="S2" s="15228" t="s">
        <v>3</v>
      </c>
      <c r="T2" s="15230" t="s">
        <v>4</v>
      </c>
      <c r="U2" s="15232" t="s">
        <v>355</v>
      </c>
      <c r="V2" s="15233"/>
      <c r="W2" s="15233"/>
      <c r="X2" s="15234"/>
      <c r="Y2" s="15232" t="s">
        <v>356</v>
      </c>
      <c r="Z2" s="15233"/>
      <c r="AA2" s="15233"/>
      <c r="AB2" s="15233"/>
      <c r="AC2" s="15233"/>
      <c r="AD2" s="15233"/>
      <c r="AE2" s="15233"/>
      <c r="AF2" s="15233"/>
      <c r="AG2" s="15233"/>
      <c r="AH2" s="15233"/>
      <c r="AI2" s="15233"/>
      <c r="AJ2" s="15233"/>
      <c r="AK2" s="15233"/>
      <c r="AL2" s="15233"/>
      <c r="AM2" s="15233"/>
      <c r="AN2" s="15233"/>
      <c r="AO2" s="15233"/>
      <c r="AP2" s="15233"/>
      <c r="AQ2" s="15233"/>
      <c r="AR2" s="15233"/>
      <c r="AS2" s="15233"/>
      <c r="AT2" s="15233"/>
      <c r="AU2" s="15233"/>
      <c r="AV2" s="15233"/>
      <c r="AW2" s="15233"/>
      <c r="AX2" s="15234"/>
      <c r="AY2" s="15235" t="s">
        <v>357</v>
      </c>
      <c r="AZ2" s="15236"/>
      <c r="BA2" s="15236"/>
      <c r="BB2" s="15236"/>
      <c r="BC2" s="15237"/>
      <c r="BD2" s="15238" t="s">
        <v>5</v>
      </c>
      <c r="BE2" s="15239"/>
      <c r="BF2" s="15239"/>
      <c r="BG2" s="15239"/>
      <c r="BH2" s="15239"/>
      <c r="BI2" s="15206" t="s">
        <v>9776</v>
      </c>
      <c r="BJ2" s="15206" t="s">
        <v>9777</v>
      </c>
      <c r="BK2" s="15272" t="s">
        <v>8490</v>
      </c>
      <c r="BL2" s="15204" t="s">
        <v>9778</v>
      </c>
      <c r="BM2" s="15166" t="s">
        <v>9779</v>
      </c>
      <c r="BN2" s="15168" t="s">
        <v>9651</v>
      </c>
      <c r="BO2" s="15273" t="s">
        <v>8491</v>
      </c>
      <c r="BP2" s="15275" t="s">
        <v>8492</v>
      </c>
      <c r="BQ2" s="15277" t="s">
        <v>4</v>
      </c>
      <c r="BR2" s="15279" t="s">
        <v>355</v>
      </c>
      <c r="BS2" s="15280"/>
      <c r="BT2" s="15280"/>
      <c r="BU2" s="15281"/>
      <c r="BV2" s="15282" t="s">
        <v>356</v>
      </c>
      <c r="BW2" s="15283"/>
      <c r="BX2" s="15283"/>
      <c r="BY2" s="15283"/>
      <c r="BZ2" s="15283"/>
      <c r="CA2" s="15283"/>
      <c r="CB2" s="15283"/>
      <c r="CC2" s="15283"/>
      <c r="CD2" s="15283"/>
      <c r="CE2" s="15283"/>
      <c r="CF2" s="15283"/>
      <c r="CG2" s="15283"/>
      <c r="CH2" s="15283"/>
      <c r="CI2" s="15283"/>
      <c r="CJ2" s="15283"/>
      <c r="CK2" s="15283"/>
      <c r="CL2" s="15283"/>
      <c r="CM2" s="15283"/>
      <c r="CN2" s="15283"/>
      <c r="CO2" s="15283"/>
      <c r="CP2" s="15283"/>
      <c r="CQ2" s="15283"/>
      <c r="CR2" s="15283"/>
      <c r="CS2" s="15283"/>
      <c r="CT2" s="15283"/>
      <c r="CU2" s="15284"/>
      <c r="CV2" s="15285" t="s">
        <v>357</v>
      </c>
      <c r="CW2" s="15286"/>
      <c r="CX2" s="15286"/>
      <c r="CY2" s="15286"/>
      <c r="CZ2" s="15287"/>
      <c r="DA2" s="15288" t="s">
        <v>5</v>
      </c>
      <c r="DB2" s="15289"/>
      <c r="DC2" s="15289"/>
      <c r="DD2" s="15289"/>
      <c r="DE2" s="15290"/>
      <c r="DG2" s="14600" t="s">
        <v>8498</v>
      </c>
      <c r="DH2" s="14609" t="s">
        <v>10189</v>
      </c>
      <c r="DI2" s="14609" t="s">
        <v>10190</v>
      </c>
      <c r="DJ2" s="13295" t="s">
        <v>8499</v>
      </c>
      <c r="DK2" s="13295" t="s">
        <v>8500</v>
      </c>
      <c r="DL2" s="13297" t="s">
        <v>4</v>
      </c>
      <c r="DM2" s="14602" t="s">
        <v>355</v>
      </c>
      <c r="DN2" s="14603"/>
      <c r="DO2" s="14603"/>
      <c r="DP2" s="14604"/>
      <c r="DQ2" s="13299" t="s">
        <v>356</v>
      </c>
      <c r="DR2" s="13300"/>
      <c r="DS2" s="13300"/>
      <c r="DT2" s="13300"/>
      <c r="DU2" s="13300"/>
      <c r="DV2" s="13300"/>
      <c r="DW2" s="13300"/>
      <c r="DX2" s="13300"/>
      <c r="DY2" s="13300"/>
      <c r="DZ2" s="13300"/>
      <c r="EA2" s="13300"/>
      <c r="EB2" s="13300"/>
      <c r="EC2" s="15138"/>
      <c r="ED2" s="15138"/>
      <c r="EE2" s="15138"/>
      <c r="EF2" s="15138"/>
      <c r="EG2" s="15138"/>
      <c r="EH2" s="15138"/>
      <c r="EI2" s="15138"/>
      <c r="EJ2" s="15138"/>
      <c r="EK2" s="15138"/>
      <c r="EL2" s="15138"/>
      <c r="EM2" s="15138"/>
      <c r="EN2" s="15138"/>
      <c r="EO2" s="15138"/>
      <c r="EP2" s="15139"/>
      <c r="EQ2" s="15140" t="s">
        <v>357</v>
      </c>
      <c r="ER2" s="15141"/>
      <c r="ES2" s="15141"/>
      <c r="ET2" s="15141"/>
      <c r="EU2" s="15142"/>
      <c r="EV2" s="13305" t="s">
        <v>5</v>
      </c>
      <c r="EW2" s="13306"/>
      <c r="EX2" s="13306"/>
      <c r="EY2" s="13306"/>
      <c r="EZ2" s="13307"/>
    </row>
    <row r="3" spans="1:158" ht="15" customHeight="1" thickBot="1">
      <c r="A3" s="3160" t="s">
        <v>2097</v>
      </c>
      <c r="B3" s="3162" t="s">
        <v>2098</v>
      </c>
      <c r="C3" s="3167" t="s">
        <v>4635</v>
      </c>
      <c r="D3" s="3162" t="s">
        <v>521</v>
      </c>
      <c r="E3" s="3158" t="s">
        <v>2099</v>
      </c>
      <c r="F3" s="3158" t="s">
        <v>2100</v>
      </c>
      <c r="G3" s="3159" t="s">
        <v>2104</v>
      </c>
      <c r="H3" s="3164" t="s">
        <v>10056</v>
      </c>
      <c r="I3" s="3158" t="s">
        <v>2101</v>
      </c>
      <c r="J3" s="3156" t="s">
        <v>523</v>
      </c>
      <c r="K3" s="15261" t="s">
        <v>2102</v>
      </c>
      <c r="L3" s="15261" t="s">
        <v>2103</v>
      </c>
      <c r="M3" s="15261" t="s">
        <v>2279</v>
      </c>
      <c r="N3" s="15261" t="s">
        <v>524</v>
      </c>
      <c r="O3" s="15261" t="s">
        <v>2104</v>
      </c>
      <c r="P3" s="15261" t="s">
        <v>9775</v>
      </c>
      <c r="Q3" s="15227"/>
      <c r="R3" s="15229"/>
      <c r="S3" s="15229"/>
      <c r="T3" s="15231"/>
      <c r="U3" s="15240" t="s">
        <v>6</v>
      </c>
      <c r="V3" s="15259" t="s">
        <v>7</v>
      </c>
      <c r="W3" s="15252" t="s">
        <v>8</v>
      </c>
      <c r="X3" s="15254" t="s">
        <v>9</v>
      </c>
      <c r="Y3" s="15240" t="s">
        <v>10</v>
      </c>
      <c r="Z3" s="15246" t="s">
        <v>11</v>
      </c>
      <c r="AA3" s="15247"/>
      <c r="AB3" s="15246" t="s">
        <v>12</v>
      </c>
      <c r="AC3" s="15247"/>
      <c r="AD3" s="15246" t="s">
        <v>13</v>
      </c>
      <c r="AE3" s="15248"/>
      <c r="AF3" s="15248"/>
      <c r="AG3" s="15248"/>
      <c r="AH3" s="15248"/>
      <c r="AI3" s="15248"/>
      <c r="AJ3" s="15247"/>
      <c r="AK3" s="15249" t="s">
        <v>14</v>
      </c>
      <c r="AL3" s="15250"/>
      <c r="AM3" s="15250"/>
      <c r="AN3" s="15250"/>
      <c r="AO3" s="15250"/>
      <c r="AP3" s="15250"/>
      <c r="AQ3" s="15250"/>
      <c r="AR3" s="15251"/>
      <c r="AS3" s="15249" t="s">
        <v>15</v>
      </c>
      <c r="AT3" s="15250"/>
      <c r="AU3" s="15250"/>
      <c r="AV3" s="15250"/>
      <c r="AW3" s="15250"/>
      <c r="AX3" s="15251"/>
      <c r="AY3" s="15244" t="s">
        <v>16</v>
      </c>
      <c r="AZ3" s="15244" t="s">
        <v>17</v>
      </c>
      <c r="BA3" s="15242" t="s">
        <v>18</v>
      </c>
      <c r="BB3" s="179" t="s">
        <v>19</v>
      </c>
      <c r="BC3" s="180" t="s">
        <v>20</v>
      </c>
      <c r="BD3" s="15210" t="s">
        <v>21</v>
      </c>
      <c r="BE3" s="15256" t="s">
        <v>22</v>
      </c>
      <c r="BF3" s="15257"/>
      <c r="BG3" s="15258"/>
      <c r="BH3" s="902" t="s">
        <v>20</v>
      </c>
      <c r="BI3" s="15206"/>
      <c r="BJ3" s="15206"/>
      <c r="BK3" s="15272"/>
      <c r="BL3" s="15205"/>
      <c r="BM3" s="15166"/>
      <c r="BN3" s="15168"/>
      <c r="BO3" s="15274"/>
      <c r="BP3" s="15276"/>
      <c r="BQ3" s="15278"/>
      <c r="BR3" s="15291" t="s">
        <v>6</v>
      </c>
      <c r="BS3" s="15293" t="s">
        <v>7</v>
      </c>
      <c r="BT3" s="15295" t="s">
        <v>8</v>
      </c>
      <c r="BU3" s="15297" t="s">
        <v>9</v>
      </c>
      <c r="BV3" s="15291" t="s">
        <v>10</v>
      </c>
      <c r="BW3" s="15299" t="s">
        <v>11</v>
      </c>
      <c r="BX3" s="15300"/>
      <c r="BY3" s="15299" t="s">
        <v>12</v>
      </c>
      <c r="BZ3" s="15300"/>
      <c r="CA3" s="15299" t="s">
        <v>13</v>
      </c>
      <c r="CB3" s="15308"/>
      <c r="CC3" s="15308"/>
      <c r="CD3" s="15308"/>
      <c r="CE3" s="15308"/>
      <c r="CF3" s="15308"/>
      <c r="CG3" s="15300"/>
      <c r="CH3" s="15309" t="s">
        <v>14</v>
      </c>
      <c r="CI3" s="15310"/>
      <c r="CJ3" s="15310"/>
      <c r="CK3" s="15310"/>
      <c r="CL3" s="15310"/>
      <c r="CM3" s="15310"/>
      <c r="CN3" s="15310"/>
      <c r="CO3" s="15311"/>
      <c r="CP3" s="15312" t="s">
        <v>15</v>
      </c>
      <c r="CQ3" s="15313"/>
      <c r="CR3" s="15313"/>
      <c r="CS3" s="15313"/>
      <c r="CT3" s="15313"/>
      <c r="CU3" s="15314"/>
      <c r="CV3" s="15315" t="s">
        <v>16</v>
      </c>
      <c r="CW3" s="15315" t="s">
        <v>17</v>
      </c>
      <c r="CX3" s="15301" t="s">
        <v>18</v>
      </c>
      <c r="CY3" s="817" t="s">
        <v>19</v>
      </c>
      <c r="CZ3" s="818" t="s">
        <v>20</v>
      </c>
      <c r="DA3" s="15303" t="s">
        <v>21</v>
      </c>
      <c r="DB3" s="15305" t="s">
        <v>22</v>
      </c>
      <c r="DC3" s="15306"/>
      <c r="DD3" s="15307"/>
      <c r="DE3" s="893" t="s">
        <v>20</v>
      </c>
      <c r="DG3" s="14601"/>
      <c r="DH3" s="14609"/>
      <c r="DI3" s="14609"/>
      <c r="DJ3" s="13296"/>
      <c r="DK3" s="13296"/>
      <c r="DL3" s="13298"/>
      <c r="DM3" s="14605" t="s">
        <v>6</v>
      </c>
      <c r="DN3" s="14611" t="s">
        <v>7</v>
      </c>
      <c r="DO3" s="14577" t="s">
        <v>8</v>
      </c>
      <c r="DP3" s="14579" t="s">
        <v>9</v>
      </c>
      <c r="DQ3" s="13308" t="s">
        <v>10</v>
      </c>
      <c r="DR3" s="13282" t="s">
        <v>11</v>
      </c>
      <c r="DS3" s="13284"/>
      <c r="DT3" s="13282" t="s">
        <v>12</v>
      </c>
      <c r="DU3" s="13284"/>
      <c r="DV3" s="13282" t="s">
        <v>13</v>
      </c>
      <c r="DW3" s="13283"/>
      <c r="DX3" s="13283"/>
      <c r="DY3" s="13283"/>
      <c r="DZ3" s="13283"/>
      <c r="EA3" s="13283"/>
      <c r="EB3" s="13283"/>
      <c r="EC3" s="15143" t="s">
        <v>14</v>
      </c>
      <c r="ED3" s="15144"/>
      <c r="EE3" s="15144"/>
      <c r="EF3" s="15144"/>
      <c r="EG3" s="15144"/>
      <c r="EH3" s="15144"/>
      <c r="EI3" s="15144"/>
      <c r="EJ3" s="15144"/>
      <c r="EK3" s="15144" t="s">
        <v>15</v>
      </c>
      <c r="EL3" s="15144"/>
      <c r="EM3" s="15144"/>
      <c r="EN3" s="15144"/>
      <c r="EO3" s="15144"/>
      <c r="EP3" s="15198"/>
      <c r="EQ3" s="15199" t="s">
        <v>16</v>
      </c>
      <c r="ER3" s="15183" t="s">
        <v>17</v>
      </c>
      <c r="ES3" s="15145" t="s">
        <v>18</v>
      </c>
      <c r="ET3" s="3375" t="s">
        <v>19</v>
      </c>
      <c r="EU3" s="3376" t="s">
        <v>20</v>
      </c>
      <c r="EV3" s="15135" t="s">
        <v>21</v>
      </c>
      <c r="EW3" s="13279" t="s">
        <v>22</v>
      </c>
      <c r="EX3" s="13280"/>
      <c r="EY3" s="13281"/>
      <c r="EZ3" s="12" t="s">
        <v>20</v>
      </c>
    </row>
    <row r="4" spans="1:158" ht="15" customHeight="1" thickBot="1">
      <c r="A4" s="3161"/>
      <c r="B4" s="3163"/>
      <c r="C4" s="4483"/>
      <c r="D4" s="4484"/>
      <c r="E4" s="4485"/>
      <c r="F4" s="4485"/>
      <c r="G4" s="4486"/>
      <c r="H4" s="4487"/>
      <c r="I4" s="4485"/>
      <c r="J4" s="3157"/>
      <c r="K4" s="15262"/>
      <c r="L4" s="15262"/>
      <c r="M4" s="15262"/>
      <c r="N4" s="15262"/>
      <c r="O4" s="15262"/>
      <c r="P4" s="15262"/>
      <c r="Q4" s="15227"/>
      <c r="R4" s="15229"/>
      <c r="S4" s="15229"/>
      <c r="T4" s="15231"/>
      <c r="U4" s="15241"/>
      <c r="V4" s="15260"/>
      <c r="W4" s="15253"/>
      <c r="X4" s="15255"/>
      <c r="Y4" s="15241"/>
      <c r="Z4" s="181" t="s">
        <v>23</v>
      </c>
      <c r="AA4" s="182" t="s">
        <v>24</v>
      </c>
      <c r="AB4" s="181" t="s">
        <v>25</v>
      </c>
      <c r="AC4" s="182" t="s">
        <v>26</v>
      </c>
      <c r="AD4" s="183" t="s">
        <v>27</v>
      </c>
      <c r="AE4" s="184" t="s">
        <v>28</v>
      </c>
      <c r="AF4" s="185" t="s">
        <v>29</v>
      </c>
      <c r="AG4" s="185" t="s">
        <v>30</v>
      </c>
      <c r="AH4" s="185" t="s">
        <v>31</v>
      </c>
      <c r="AI4" s="185" t="s">
        <v>32</v>
      </c>
      <c r="AJ4" s="186" t="s">
        <v>33</v>
      </c>
      <c r="AK4" s="183" t="s">
        <v>34</v>
      </c>
      <c r="AL4" s="185" t="s">
        <v>35</v>
      </c>
      <c r="AM4" s="185" t="s">
        <v>36</v>
      </c>
      <c r="AN4" s="185" t="s">
        <v>37</v>
      </c>
      <c r="AO4" s="185" t="s">
        <v>38</v>
      </c>
      <c r="AP4" s="185" t="s">
        <v>39</v>
      </c>
      <c r="AQ4" s="185" t="s">
        <v>40</v>
      </c>
      <c r="AR4" s="186" t="s">
        <v>41</v>
      </c>
      <c r="AS4" s="187" t="s">
        <v>42</v>
      </c>
      <c r="AT4" s="185" t="s">
        <v>43</v>
      </c>
      <c r="AU4" s="185" t="s">
        <v>44</v>
      </c>
      <c r="AV4" s="185" t="s">
        <v>45</v>
      </c>
      <c r="AW4" s="185" t="s">
        <v>46</v>
      </c>
      <c r="AX4" s="188" t="s">
        <v>47</v>
      </c>
      <c r="AY4" s="15245"/>
      <c r="AZ4" s="15245"/>
      <c r="BA4" s="15243"/>
      <c r="BB4" s="903" t="s">
        <v>48</v>
      </c>
      <c r="BC4" s="189" t="s">
        <v>49</v>
      </c>
      <c r="BD4" s="15211"/>
      <c r="BE4" s="190" t="s">
        <v>50</v>
      </c>
      <c r="BF4" s="190" t="s">
        <v>51</v>
      </c>
      <c r="BG4" s="190" t="s">
        <v>52</v>
      </c>
      <c r="BH4" s="822" t="s">
        <v>49</v>
      </c>
      <c r="BI4" s="15206"/>
      <c r="BJ4" s="15206"/>
      <c r="BK4" s="15272"/>
      <c r="BL4" s="15205"/>
      <c r="BM4" s="15167"/>
      <c r="BN4" s="15169"/>
      <c r="BO4" s="15274"/>
      <c r="BP4" s="15276"/>
      <c r="BQ4" s="15278"/>
      <c r="BR4" s="15292"/>
      <c r="BS4" s="15294"/>
      <c r="BT4" s="15296"/>
      <c r="BU4" s="15298"/>
      <c r="BV4" s="15292"/>
      <c r="BW4" s="825" t="s">
        <v>23</v>
      </c>
      <c r="BX4" s="826" t="s">
        <v>24</v>
      </c>
      <c r="BY4" s="825" t="s">
        <v>25</v>
      </c>
      <c r="BZ4" s="826" t="s">
        <v>26</v>
      </c>
      <c r="CA4" s="825" t="s">
        <v>27</v>
      </c>
      <c r="CB4" s="895" t="s">
        <v>28</v>
      </c>
      <c r="CC4" s="895" t="s">
        <v>29</v>
      </c>
      <c r="CD4" s="895" t="s">
        <v>30</v>
      </c>
      <c r="CE4" s="895" t="s">
        <v>31</v>
      </c>
      <c r="CF4" s="895" t="s">
        <v>32</v>
      </c>
      <c r="CG4" s="826" t="s">
        <v>33</v>
      </c>
      <c r="CH4" s="825" t="s">
        <v>34</v>
      </c>
      <c r="CI4" s="895" t="s">
        <v>35</v>
      </c>
      <c r="CJ4" s="895" t="s">
        <v>36</v>
      </c>
      <c r="CK4" s="895" t="s">
        <v>37</v>
      </c>
      <c r="CL4" s="895" t="s">
        <v>38</v>
      </c>
      <c r="CM4" s="895" t="s">
        <v>39</v>
      </c>
      <c r="CN4" s="895" t="s">
        <v>40</v>
      </c>
      <c r="CO4" s="826" t="s">
        <v>41</v>
      </c>
      <c r="CP4" s="896" t="s">
        <v>42</v>
      </c>
      <c r="CQ4" s="897" t="s">
        <v>43</v>
      </c>
      <c r="CR4" s="897" t="s">
        <v>44</v>
      </c>
      <c r="CS4" s="897" t="s">
        <v>45</v>
      </c>
      <c r="CT4" s="897" t="s">
        <v>46</v>
      </c>
      <c r="CU4" s="898" t="s">
        <v>47</v>
      </c>
      <c r="CV4" s="15316"/>
      <c r="CW4" s="15316"/>
      <c r="CX4" s="15302"/>
      <c r="CY4" s="901" t="s">
        <v>48</v>
      </c>
      <c r="CZ4" s="819" t="s">
        <v>49</v>
      </c>
      <c r="DA4" s="15304"/>
      <c r="DB4" s="820" t="s">
        <v>50</v>
      </c>
      <c r="DC4" s="820" t="s">
        <v>51</v>
      </c>
      <c r="DD4" s="820" t="s">
        <v>52</v>
      </c>
      <c r="DE4" s="894" t="s">
        <v>49</v>
      </c>
      <c r="DG4" s="14601"/>
      <c r="DH4" s="15137"/>
      <c r="DI4" s="15137"/>
      <c r="DJ4" s="13296"/>
      <c r="DK4" s="13296"/>
      <c r="DL4" s="13298"/>
      <c r="DM4" s="14606"/>
      <c r="DN4" s="14612"/>
      <c r="DO4" s="14578"/>
      <c r="DP4" s="14580"/>
      <c r="DQ4" s="13309"/>
      <c r="DR4" s="3462" t="s">
        <v>23</v>
      </c>
      <c r="DS4" s="3463" t="s">
        <v>24</v>
      </c>
      <c r="DT4" s="3462" t="s">
        <v>25</v>
      </c>
      <c r="DU4" s="3463" t="s">
        <v>26</v>
      </c>
      <c r="DV4" s="3464" t="s">
        <v>27</v>
      </c>
      <c r="DW4" s="3465" t="s">
        <v>28</v>
      </c>
      <c r="DX4" s="3466" t="s">
        <v>29</v>
      </c>
      <c r="DY4" s="3466" t="s">
        <v>30</v>
      </c>
      <c r="DZ4" s="3466" t="s">
        <v>31</v>
      </c>
      <c r="EA4" s="3466" t="s">
        <v>32</v>
      </c>
      <c r="EB4" s="3373" t="s">
        <v>33</v>
      </c>
      <c r="EC4" s="3464" t="s">
        <v>34</v>
      </c>
      <c r="ED4" s="3466" t="s">
        <v>35</v>
      </c>
      <c r="EE4" s="3466" t="s">
        <v>36</v>
      </c>
      <c r="EF4" s="3466" t="s">
        <v>37</v>
      </c>
      <c r="EG4" s="3466" t="s">
        <v>38</v>
      </c>
      <c r="EH4" s="3466" t="s">
        <v>39</v>
      </c>
      <c r="EI4" s="3466" t="s">
        <v>40</v>
      </c>
      <c r="EJ4" s="3466" t="s">
        <v>41</v>
      </c>
      <c r="EK4" s="3466" t="s">
        <v>42</v>
      </c>
      <c r="EL4" s="3466" t="s">
        <v>43</v>
      </c>
      <c r="EM4" s="3466" t="s">
        <v>44</v>
      </c>
      <c r="EN4" s="3466" t="s">
        <v>45</v>
      </c>
      <c r="EO4" s="3466" t="s">
        <v>46</v>
      </c>
      <c r="EP4" s="3467" t="s">
        <v>47</v>
      </c>
      <c r="EQ4" s="15200"/>
      <c r="ER4" s="15184"/>
      <c r="ES4" s="15146"/>
      <c r="ET4" s="4137" t="s">
        <v>48</v>
      </c>
      <c r="EU4" s="3469" t="s">
        <v>49</v>
      </c>
      <c r="EV4" s="15136"/>
      <c r="EW4" s="4136" t="s">
        <v>50</v>
      </c>
      <c r="EX4" s="4136" t="s">
        <v>51</v>
      </c>
      <c r="EY4" s="4136" t="s">
        <v>52</v>
      </c>
      <c r="EZ4" s="2217" t="s">
        <v>49</v>
      </c>
      <c r="FA4" s="1467"/>
      <c r="FB4" s="1467"/>
    </row>
    <row r="5" spans="1:158" s="1467" customFormat="1" ht="15" customHeight="1" thickBot="1">
      <c r="A5" s="3168" t="s">
        <v>2105</v>
      </c>
      <c r="B5" s="4495" t="s">
        <v>2106</v>
      </c>
      <c r="C5" s="4552" t="s">
        <v>4880</v>
      </c>
      <c r="D5" s="3014" t="s">
        <v>2107</v>
      </c>
      <c r="E5" s="3014" t="s">
        <v>2108</v>
      </c>
      <c r="F5" s="1452" t="s">
        <v>2109</v>
      </c>
      <c r="G5" s="1453">
        <v>9276</v>
      </c>
      <c r="H5" s="1453" t="s">
        <v>26</v>
      </c>
      <c r="I5" s="1452" t="s">
        <v>390</v>
      </c>
      <c r="J5" s="4553"/>
      <c r="K5" s="4519" t="s">
        <v>2110</v>
      </c>
      <c r="L5" s="1452">
        <v>2010</v>
      </c>
      <c r="M5" s="1452" t="s">
        <v>2111</v>
      </c>
      <c r="N5" s="1453">
        <v>9276</v>
      </c>
      <c r="O5" s="1453">
        <v>9276</v>
      </c>
      <c r="P5" s="1453">
        <v>9276</v>
      </c>
      <c r="Q5" s="1454">
        <v>233959.60500000001</v>
      </c>
      <c r="R5" s="15219" t="s">
        <v>3244</v>
      </c>
      <c r="S5" s="15219" t="s">
        <v>3245</v>
      </c>
      <c r="T5" s="1455"/>
      <c r="U5" s="15212">
        <v>2443178000</v>
      </c>
      <c r="V5" s="15215">
        <f>+U5-W5</f>
        <v>1816259000</v>
      </c>
      <c r="W5" s="15212">
        <v>626919000</v>
      </c>
      <c r="X5" s="15218">
        <v>0</v>
      </c>
      <c r="Y5" s="15219">
        <v>2952</v>
      </c>
      <c r="Z5" s="1455"/>
      <c r="AA5" s="1455"/>
      <c r="AB5" s="1455"/>
      <c r="AC5" s="1455"/>
      <c r="AD5" s="1455"/>
      <c r="AE5" s="1455"/>
      <c r="AF5" s="1455"/>
      <c r="AG5" s="1455"/>
      <c r="AH5" s="1455"/>
      <c r="AI5" s="1455"/>
      <c r="AJ5" s="1455"/>
      <c r="AK5" s="1455"/>
      <c r="AL5" s="1455"/>
      <c r="AM5" s="1455"/>
      <c r="AN5" s="1455"/>
      <c r="AO5" s="1455"/>
      <c r="AP5" s="1455"/>
      <c r="AQ5" s="1455"/>
      <c r="AR5" s="1455"/>
      <c r="AS5" s="1455"/>
      <c r="AT5" s="1455"/>
      <c r="AU5" s="1455"/>
      <c r="AV5" s="1455"/>
      <c r="AW5" s="1455"/>
      <c r="AX5" s="1455"/>
      <c r="AY5" s="1456"/>
      <c r="AZ5" s="1456"/>
      <c r="BA5" s="1456"/>
      <c r="BB5" s="1456"/>
      <c r="BC5" s="1456"/>
      <c r="BD5" s="1456"/>
      <c r="BE5" s="1456"/>
      <c r="BF5" s="1456"/>
      <c r="BG5" s="1456"/>
      <c r="BH5" s="1457"/>
      <c r="BI5" s="1458">
        <v>233959.60500000001</v>
      </c>
      <c r="BJ5" s="1459">
        <v>1</v>
      </c>
      <c r="BK5" s="1460">
        <v>1000000</v>
      </c>
      <c r="BL5" s="1461">
        <v>1000000</v>
      </c>
      <c r="BM5" s="1167">
        <v>1</v>
      </c>
      <c r="BN5" s="15188">
        <f>AVERAGE(BM5:BM17,BM20:BM23)</f>
        <v>0.76927571500071501</v>
      </c>
      <c r="BO5" s="15154" t="s">
        <v>3244</v>
      </c>
      <c r="BP5" s="1462" t="s">
        <v>8755</v>
      </c>
      <c r="BQ5" s="1463" t="s">
        <v>8756</v>
      </c>
      <c r="BR5" s="15170" t="s">
        <v>9744</v>
      </c>
      <c r="BS5" s="1464" t="s">
        <v>2943</v>
      </c>
      <c r="BT5" s="1464"/>
      <c r="BU5" s="1464"/>
      <c r="BV5" s="15147" t="s">
        <v>9745</v>
      </c>
      <c r="BW5" s="1464"/>
      <c r="BX5" s="1464"/>
      <c r="BY5" s="15150" t="s">
        <v>9746</v>
      </c>
      <c r="BZ5" s="15151"/>
      <c r="CA5" s="1464"/>
      <c r="CB5" s="1464"/>
      <c r="CC5" s="1464"/>
      <c r="CD5" s="1464"/>
      <c r="CE5" s="1464"/>
      <c r="CF5" s="1464"/>
      <c r="CG5" s="1464"/>
      <c r="CH5" s="1464"/>
      <c r="CI5" s="1464"/>
      <c r="CJ5" s="1464"/>
      <c r="CK5" s="1464"/>
      <c r="CL5" s="1464"/>
      <c r="CM5" s="1464"/>
      <c r="CN5" s="1464"/>
      <c r="CO5" s="1464"/>
      <c r="CP5" s="1464"/>
      <c r="CQ5" s="1464"/>
      <c r="CR5" s="1464"/>
      <c r="CS5" s="1464"/>
      <c r="CT5" s="1464"/>
      <c r="CU5" s="1464"/>
      <c r="CV5" s="1465" t="s">
        <v>9747</v>
      </c>
      <c r="CW5" s="1464" t="s">
        <v>9748</v>
      </c>
      <c r="CX5" s="1464">
        <v>60</v>
      </c>
      <c r="CY5" s="1463" t="s">
        <v>9746</v>
      </c>
      <c r="CZ5" s="1464" t="s">
        <v>9749</v>
      </c>
      <c r="DA5" s="1464"/>
      <c r="DB5" s="1464" t="s">
        <v>9750</v>
      </c>
      <c r="DC5" s="1464"/>
      <c r="DD5" s="1464"/>
      <c r="DE5" s="1466"/>
      <c r="DG5" s="4585"/>
      <c r="DH5" s="1456"/>
      <c r="DI5" s="1456"/>
      <c r="DJ5" s="1456"/>
      <c r="DK5" s="1456"/>
      <c r="DL5" s="1456"/>
      <c r="DM5" s="1456"/>
      <c r="DN5" s="1456"/>
      <c r="DO5" s="1456"/>
      <c r="DP5" s="1456"/>
      <c r="DQ5" s="1456"/>
      <c r="DR5" s="1456"/>
      <c r="DS5" s="1456"/>
      <c r="DT5" s="1456"/>
      <c r="DU5" s="1456"/>
      <c r="DV5" s="1456"/>
      <c r="DW5" s="1456"/>
      <c r="DX5" s="1456"/>
      <c r="DY5" s="1456"/>
      <c r="DZ5" s="1456"/>
      <c r="EA5" s="1456"/>
      <c r="EB5" s="1456"/>
      <c r="EC5" s="1456"/>
      <c r="ED5" s="1456"/>
      <c r="EE5" s="1456"/>
      <c r="EF5" s="1456"/>
      <c r="EG5" s="1456"/>
      <c r="EH5" s="1456"/>
      <c r="EI5" s="1456"/>
      <c r="EJ5" s="1456"/>
      <c r="EK5" s="1456"/>
      <c r="EL5" s="1456"/>
      <c r="EM5" s="1456"/>
      <c r="EN5" s="1456"/>
      <c r="EO5" s="1456"/>
      <c r="EP5" s="1456"/>
      <c r="EQ5" s="1456"/>
      <c r="ER5" s="1456"/>
      <c r="ES5" s="1456"/>
      <c r="ET5" s="1456"/>
      <c r="EU5" s="1456"/>
      <c r="EV5" s="1456"/>
      <c r="EW5" s="1456"/>
      <c r="EX5" s="1456"/>
      <c r="EY5" s="1456"/>
      <c r="EZ5" s="1457"/>
    </row>
    <row r="6" spans="1:158" s="1467" customFormat="1" ht="15" customHeight="1" thickBot="1">
      <c r="A6" s="3169"/>
      <c r="B6" s="4496"/>
      <c r="C6" s="4554" t="s">
        <v>4881</v>
      </c>
      <c r="D6" s="3104" t="s">
        <v>2112</v>
      </c>
      <c r="E6" s="3104" t="s">
        <v>2113</v>
      </c>
      <c r="F6" s="4147" t="s">
        <v>2114</v>
      </c>
      <c r="G6" s="4147" t="s">
        <v>2117</v>
      </c>
      <c r="H6" s="2717" t="s">
        <v>26</v>
      </c>
      <c r="I6" s="4147" t="s">
        <v>390</v>
      </c>
      <c r="J6" s="4555"/>
      <c r="K6" s="4520" t="s">
        <v>2115</v>
      </c>
      <c r="L6" s="1469">
        <v>2010</v>
      </c>
      <c r="M6" s="1469" t="s">
        <v>2116</v>
      </c>
      <c r="N6" s="1470"/>
      <c r="O6" s="1469" t="s">
        <v>2117</v>
      </c>
      <c r="P6" s="1471" t="s">
        <v>2117</v>
      </c>
      <c r="Q6" s="1454">
        <v>6111.2</v>
      </c>
      <c r="R6" s="15220"/>
      <c r="S6" s="15220"/>
      <c r="T6" s="1472"/>
      <c r="U6" s="15213"/>
      <c r="V6" s="15216"/>
      <c r="W6" s="15213"/>
      <c r="X6" s="15216"/>
      <c r="Y6" s="15220"/>
      <c r="Z6" s="1472"/>
      <c r="AA6" s="1472"/>
      <c r="AB6" s="1472"/>
      <c r="AC6" s="1472"/>
      <c r="AD6" s="1472"/>
      <c r="AE6" s="1472"/>
      <c r="AF6" s="1472"/>
      <c r="AG6" s="1472"/>
      <c r="AH6" s="1472"/>
      <c r="AI6" s="1472"/>
      <c r="AJ6" s="1472"/>
      <c r="AK6" s="1472"/>
      <c r="AL6" s="1472"/>
      <c r="AM6" s="1472"/>
      <c r="AN6" s="1472"/>
      <c r="AO6" s="1472"/>
      <c r="AP6" s="1472"/>
      <c r="AQ6" s="1472"/>
      <c r="AR6" s="1472"/>
      <c r="AS6" s="1472"/>
      <c r="AT6" s="1472"/>
      <c r="AU6" s="1472"/>
      <c r="AV6" s="1472"/>
      <c r="AW6" s="1472"/>
      <c r="AX6" s="1472"/>
      <c r="AY6" s="1473"/>
      <c r="AZ6" s="1473"/>
      <c r="BA6" s="1473"/>
      <c r="BB6" s="1473"/>
      <c r="BC6" s="1473"/>
      <c r="BD6" s="1473"/>
      <c r="BE6" s="1473"/>
      <c r="BF6" s="1473"/>
      <c r="BG6" s="1473"/>
      <c r="BH6" s="1474"/>
      <c r="BI6" s="1453">
        <v>6111.2</v>
      </c>
      <c r="BJ6" s="1459">
        <v>0.93</v>
      </c>
      <c r="BK6" s="1475">
        <v>35</v>
      </c>
      <c r="BL6" s="1475">
        <v>35</v>
      </c>
      <c r="BM6" s="1167">
        <v>1</v>
      </c>
      <c r="BN6" s="15189"/>
      <c r="BO6" s="15154"/>
      <c r="BP6" s="1476" t="s">
        <v>8757</v>
      </c>
      <c r="BQ6" s="1463" t="s">
        <v>8756</v>
      </c>
      <c r="BR6" s="15171"/>
      <c r="BS6" s="1465" t="s">
        <v>2943</v>
      </c>
      <c r="BT6" s="1465"/>
      <c r="BU6" s="1465"/>
      <c r="BV6" s="15148"/>
      <c r="BW6" s="1465"/>
      <c r="BX6" s="1465"/>
      <c r="BY6" s="15152" t="s">
        <v>9751</v>
      </c>
      <c r="BZ6" s="15153"/>
      <c r="CA6" s="1477" t="s">
        <v>9752</v>
      </c>
      <c r="CB6" s="1465"/>
      <c r="CC6" s="1465"/>
      <c r="CD6" s="1465"/>
      <c r="CE6" s="1465"/>
      <c r="CF6" s="1465"/>
      <c r="CG6" s="1465"/>
      <c r="CH6" s="1465" t="s">
        <v>9753</v>
      </c>
      <c r="CI6" s="1465"/>
      <c r="CJ6" s="1465"/>
      <c r="CK6" s="1465"/>
      <c r="CL6" s="1465"/>
      <c r="CM6" s="1465"/>
      <c r="CN6" s="1465"/>
      <c r="CO6" s="1465"/>
      <c r="CP6" s="1465"/>
      <c r="CQ6" s="1465"/>
      <c r="CR6" s="1465"/>
      <c r="CS6" s="1465"/>
      <c r="CT6" s="1465"/>
      <c r="CU6" s="1465"/>
      <c r="CV6" s="1465" t="s">
        <v>9747</v>
      </c>
      <c r="CW6" s="1465" t="s">
        <v>9748</v>
      </c>
      <c r="CX6" s="1465" t="s">
        <v>9754</v>
      </c>
      <c r="CY6" s="1465" t="s">
        <v>9751</v>
      </c>
      <c r="CZ6" s="1465" t="s">
        <v>9749</v>
      </c>
      <c r="DA6" s="1465"/>
      <c r="DB6" s="1465"/>
      <c r="DC6" s="1465"/>
      <c r="DD6" s="1465"/>
      <c r="DE6" s="1478"/>
      <c r="DG6" s="4586"/>
      <c r="DH6" s="2704"/>
      <c r="DI6" s="2704"/>
      <c r="DJ6" s="2704"/>
      <c r="DK6" s="2704"/>
      <c r="DL6" s="2704"/>
      <c r="DM6" s="2704"/>
      <c r="DN6" s="2704"/>
      <c r="DO6" s="2704"/>
      <c r="DP6" s="2704"/>
      <c r="DQ6" s="2704"/>
      <c r="DR6" s="2704"/>
      <c r="DS6" s="2704"/>
      <c r="DT6" s="2704"/>
      <c r="DU6" s="2704"/>
      <c r="DV6" s="2704"/>
      <c r="DW6" s="2704"/>
      <c r="DX6" s="2704"/>
      <c r="DY6" s="2704"/>
      <c r="DZ6" s="2704"/>
      <c r="EA6" s="2704"/>
      <c r="EB6" s="2704"/>
      <c r="EC6" s="2704"/>
      <c r="ED6" s="2704"/>
      <c r="EE6" s="2704"/>
      <c r="EF6" s="2704"/>
      <c r="EG6" s="2704"/>
      <c r="EH6" s="2704"/>
      <c r="EI6" s="2704"/>
      <c r="EJ6" s="2704"/>
      <c r="EK6" s="2704"/>
      <c r="EL6" s="2704"/>
      <c r="EM6" s="2704"/>
      <c r="EN6" s="2704"/>
      <c r="EO6" s="2704"/>
      <c r="EP6" s="2704"/>
      <c r="EQ6" s="2704"/>
      <c r="ER6" s="2704"/>
      <c r="ES6" s="2704"/>
      <c r="ET6" s="2704"/>
      <c r="EU6" s="2704"/>
      <c r="EV6" s="2704"/>
      <c r="EW6" s="2704"/>
      <c r="EX6" s="2704"/>
      <c r="EY6" s="2704"/>
      <c r="EZ6" s="3107"/>
    </row>
    <row r="7" spans="1:158" s="1467" customFormat="1" ht="15" customHeight="1" thickBot="1">
      <c r="A7" s="3169"/>
      <c r="B7" s="4496"/>
      <c r="C7" s="15321" t="s">
        <v>4882</v>
      </c>
      <c r="D7" s="15324" t="s">
        <v>2118</v>
      </c>
      <c r="E7" s="15317" t="s">
        <v>2119</v>
      </c>
      <c r="F7" s="15318" t="s">
        <v>2114</v>
      </c>
      <c r="G7" s="15319">
        <v>38814</v>
      </c>
      <c r="H7" s="2717" t="s">
        <v>26</v>
      </c>
      <c r="I7" s="4147" t="s">
        <v>390</v>
      </c>
      <c r="J7" s="3107"/>
      <c r="K7" s="4520">
        <v>971</v>
      </c>
      <c r="L7" s="1469">
        <v>2010</v>
      </c>
      <c r="M7" s="1469" t="s">
        <v>2117</v>
      </c>
      <c r="N7" s="1480">
        <v>38814</v>
      </c>
      <c r="O7" s="1479">
        <v>38814</v>
      </c>
      <c r="P7" s="1481">
        <v>38814</v>
      </c>
      <c r="Q7" s="1482">
        <v>6517</v>
      </c>
      <c r="R7" s="15220"/>
      <c r="S7" s="15220"/>
      <c r="T7" s="1472"/>
      <c r="U7" s="15213"/>
      <c r="V7" s="15216"/>
      <c r="W7" s="15213"/>
      <c r="X7" s="15216"/>
      <c r="Y7" s="15220"/>
      <c r="Z7" s="1472"/>
      <c r="AA7" s="1472"/>
      <c r="AB7" s="1472"/>
      <c r="AC7" s="1472"/>
      <c r="AD7" s="1472"/>
      <c r="AE7" s="1472"/>
      <c r="AF7" s="1472"/>
      <c r="AG7" s="1472"/>
      <c r="AH7" s="1472"/>
      <c r="AI7" s="1472"/>
      <c r="AJ7" s="1472"/>
      <c r="AK7" s="1472"/>
      <c r="AL7" s="1472"/>
      <c r="AM7" s="1472"/>
      <c r="AN7" s="1472"/>
      <c r="AO7" s="1472"/>
      <c r="AP7" s="1472"/>
      <c r="AQ7" s="1472"/>
      <c r="AR7" s="1472"/>
      <c r="AS7" s="1472"/>
      <c r="AT7" s="1472"/>
      <c r="AU7" s="1472"/>
      <c r="AV7" s="1472"/>
      <c r="AW7" s="1472"/>
      <c r="AX7" s="1472"/>
      <c r="AY7" s="1473"/>
      <c r="AZ7" s="1473"/>
      <c r="BA7" s="1473"/>
      <c r="BB7" s="1473"/>
      <c r="BC7" s="1473"/>
      <c r="BD7" s="1473"/>
      <c r="BE7" s="1473"/>
      <c r="BF7" s="1473"/>
      <c r="BG7" s="1473"/>
      <c r="BH7" s="1474"/>
      <c r="BI7" s="1477">
        <v>6517</v>
      </c>
      <c r="BJ7" s="1459" t="s">
        <v>715</v>
      </c>
      <c r="BK7" s="1475">
        <v>25000</v>
      </c>
      <c r="BL7" s="1475">
        <v>25000</v>
      </c>
      <c r="BM7" s="1167">
        <f>BL7/P7</f>
        <v>0.6440974905961766</v>
      </c>
      <c r="BN7" s="15189"/>
      <c r="BO7" s="15154"/>
      <c r="BP7" s="1483" t="s">
        <v>8757</v>
      </c>
      <c r="BQ7" s="1484" t="s">
        <v>8756</v>
      </c>
      <c r="BR7" s="15171"/>
      <c r="BS7" s="1465" t="s">
        <v>2943</v>
      </c>
      <c r="BT7" s="1465"/>
      <c r="BU7" s="1465"/>
      <c r="BV7" s="15148"/>
      <c r="BW7" s="1465"/>
      <c r="BX7" s="1465"/>
      <c r="BY7" s="1465"/>
      <c r="BZ7" s="1465"/>
      <c r="CA7" s="1465"/>
      <c r="CB7" s="1465"/>
      <c r="CC7" s="1465"/>
      <c r="CD7" s="1465"/>
      <c r="CE7" s="1465"/>
      <c r="CF7" s="1465"/>
      <c r="CG7" s="1465"/>
      <c r="CH7" s="1465"/>
      <c r="CI7" s="1465"/>
      <c r="CJ7" s="1465"/>
      <c r="CK7" s="1465"/>
      <c r="CL7" s="1465"/>
      <c r="CM7" s="1465"/>
      <c r="CN7" s="1465"/>
      <c r="CO7" s="1465"/>
      <c r="CP7" s="1465"/>
      <c r="CQ7" s="1465"/>
      <c r="CR7" s="1465"/>
      <c r="CS7" s="1465"/>
      <c r="CT7" s="1465"/>
      <c r="CU7" s="1465"/>
      <c r="CV7" s="1465"/>
      <c r="CW7" s="1465"/>
      <c r="CX7" s="1465"/>
      <c r="CY7" s="1465"/>
      <c r="CZ7" s="1465"/>
      <c r="DA7" s="1465"/>
      <c r="DB7" s="1465"/>
      <c r="DC7" s="1465"/>
      <c r="DD7" s="1465"/>
      <c r="DE7" s="1478"/>
      <c r="DG7" s="4586"/>
      <c r="DH7" s="2704"/>
      <c r="DI7" s="2704"/>
      <c r="DJ7" s="2704"/>
      <c r="DK7" s="2704"/>
      <c r="DL7" s="2704"/>
      <c r="DM7" s="2704"/>
      <c r="DN7" s="2704"/>
      <c r="DO7" s="2704"/>
      <c r="DP7" s="2704"/>
      <c r="DQ7" s="2704"/>
      <c r="DR7" s="2704"/>
      <c r="DS7" s="2704"/>
      <c r="DT7" s="2704"/>
      <c r="DU7" s="2704"/>
      <c r="DV7" s="2704"/>
      <c r="DW7" s="2704"/>
      <c r="DX7" s="2704"/>
      <c r="DY7" s="2704"/>
      <c r="DZ7" s="2704"/>
      <c r="EA7" s="2704"/>
      <c r="EB7" s="2704"/>
      <c r="EC7" s="2704"/>
      <c r="ED7" s="2704"/>
      <c r="EE7" s="2704"/>
      <c r="EF7" s="2704"/>
      <c r="EG7" s="2704"/>
      <c r="EH7" s="2704"/>
      <c r="EI7" s="2704"/>
      <c r="EJ7" s="2704"/>
      <c r="EK7" s="2704"/>
      <c r="EL7" s="2704"/>
      <c r="EM7" s="2704"/>
      <c r="EN7" s="2704"/>
      <c r="EO7" s="2704"/>
      <c r="EP7" s="2704"/>
      <c r="EQ7" s="2704"/>
      <c r="ER7" s="2704"/>
      <c r="ES7" s="2704"/>
      <c r="ET7" s="2704"/>
      <c r="EU7" s="2704"/>
      <c r="EV7" s="2704"/>
      <c r="EW7" s="2704"/>
      <c r="EX7" s="2704"/>
      <c r="EY7" s="2704"/>
      <c r="EZ7" s="3107"/>
    </row>
    <row r="8" spans="1:158" s="1467" customFormat="1" ht="15" customHeight="1" thickBot="1">
      <c r="A8" s="3169"/>
      <c r="B8" s="4496"/>
      <c r="C8" s="15322"/>
      <c r="D8" s="15325"/>
      <c r="E8" s="15317"/>
      <c r="F8" s="15318"/>
      <c r="G8" s="15319"/>
      <c r="H8" s="2717" t="s">
        <v>10191</v>
      </c>
      <c r="I8" s="4147"/>
      <c r="J8" s="4555" t="s">
        <v>2120</v>
      </c>
      <c r="K8" s="4520"/>
      <c r="L8" s="3040"/>
      <c r="M8" s="3040"/>
      <c r="N8" s="3105"/>
      <c r="O8" s="2717"/>
      <c r="P8" s="2717"/>
      <c r="Q8" s="3106"/>
      <c r="R8" s="15220"/>
      <c r="S8" s="15220"/>
      <c r="T8" s="2703"/>
      <c r="U8" s="15213"/>
      <c r="V8" s="15216"/>
      <c r="W8" s="15213"/>
      <c r="X8" s="15216"/>
      <c r="Y8" s="15220"/>
      <c r="Z8" s="2703"/>
      <c r="AA8" s="2703"/>
      <c r="AB8" s="2703"/>
      <c r="AC8" s="2703"/>
      <c r="AD8" s="2703"/>
      <c r="AE8" s="2703"/>
      <c r="AF8" s="2703"/>
      <c r="AG8" s="2703"/>
      <c r="AH8" s="2703"/>
      <c r="AI8" s="2703"/>
      <c r="AJ8" s="2703"/>
      <c r="AK8" s="2703"/>
      <c r="AL8" s="2703"/>
      <c r="AM8" s="2703"/>
      <c r="AN8" s="2703"/>
      <c r="AO8" s="2703"/>
      <c r="AP8" s="2703"/>
      <c r="AQ8" s="2703"/>
      <c r="AR8" s="2703"/>
      <c r="AS8" s="2703"/>
      <c r="AT8" s="2703"/>
      <c r="AU8" s="2703"/>
      <c r="AV8" s="2703"/>
      <c r="AW8" s="2703"/>
      <c r="AX8" s="2703"/>
      <c r="AY8" s="2704"/>
      <c r="AZ8" s="2704"/>
      <c r="BA8" s="2704"/>
      <c r="BB8" s="2704"/>
      <c r="BC8" s="2704"/>
      <c r="BD8" s="2704"/>
      <c r="BE8" s="2704"/>
      <c r="BF8" s="2704"/>
      <c r="BG8" s="2704"/>
      <c r="BH8" s="3107"/>
      <c r="BI8" s="3108"/>
      <c r="BJ8" s="1459"/>
      <c r="BK8" s="3109"/>
      <c r="BL8" s="3109"/>
      <c r="BM8" s="3110"/>
      <c r="BN8" s="15189"/>
      <c r="BO8" s="15155"/>
      <c r="BP8" s="3111"/>
      <c r="BQ8" s="1484"/>
      <c r="BR8" s="15171"/>
      <c r="BS8" s="3112"/>
      <c r="BT8" s="3112"/>
      <c r="BU8" s="3112"/>
      <c r="BV8" s="15148"/>
      <c r="BW8" s="3112"/>
      <c r="BX8" s="3112"/>
      <c r="BY8" s="3112"/>
      <c r="BZ8" s="3112"/>
      <c r="CA8" s="3112"/>
      <c r="CB8" s="3112"/>
      <c r="CC8" s="3112"/>
      <c r="CD8" s="3112"/>
      <c r="CE8" s="3112"/>
      <c r="CF8" s="3112"/>
      <c r="CG8" s="3112"/>
      <c r="CH8" s="3112"/>
      <c r="CI8" s="3112"/>
      <c r="CJ8" s="3112"/>
      <c r="CK8" s="3112"/>
      <c r="CL8" s="3112"/>
      <c r="CM8" s="3112"/>
      <c r="CN8" s="3112"/>
      <c r="CO8" s="3112"/>
      <c r="CP8" s="3112"/>
      <c r="CQ8" s="3112"/>
      <c r="CR8" s="3112"/>
      <c r="CS8" s="3112"/>
      <c r="CT8" s="3112"/>
      <c r="CU8" s="3112"/>
      <c r="CV8" s="3112"/>
      <c r="CW8" s="3112"/>
      <c r="CX8" s="3112"/>
      <c r="CY8" s="3112"/>
      <c r="CZ8" s="3112"/>
      <c r="DA8" s="3112"/>
      <c r="DB8" s="3112"/>
      <c r="DC8" s="3112"/>
      <c r="DD8" s="3112"/>
      <c r="DE8" s="1478"/>
      <c r="DG8" s="4586"/>
      <c r="DH8" s="2704"/>
      <c r="DI8" s="2704"/>
      <c r="DJ8" s="2704"/>
      <c r="DK8" s="2704"/>
      <c r="DL8" s="2704"/>
      <c r="DM8" s="2704"/>
      <c r="DN8" s="2704"/>
      <c r="DO8" s="2704"/>
      <c r="DP8" s="2704"/>
      <c r="DQ8" s="2704"/>
      <c r="DR8" s="2704"/>
      <c r="DS8" s="2704"/>
      <c r="DT8" s="2704"/>
      <c r="DU8" s="2704"/>
      <c r="DV8" s="2704"/>
      <c r="DW8" s="2704"/>
      <c r="DX8" s="2704"/>
      <c r="DY8" s="2704"/>
      <c r="DZ8" s="2704"/>
      <c r="EA8" s="2704"/>
      <c r="EB8" s="2704"/>
      <c r="EC8" s="2704"/>
      <c r="ED8" s="2704"/>
      <c r="EE8" s="2704"/>
      <c r="EF8" s="2704"/>
      <c r="EG8" s="2704"/>
      <c r="EH8" s="2704"/>
      <c r="EI8" s="2704"/>
      <c r="EJ8" s="2704"/>
      <c r="EK8" s="2704"/>
      <c r="EL8" s="2704"/>
      <c r="EM8" s="2704"/>
      <c r="EN8" s="2704"/>
      <c r="EO8" s="2704"/>
      <c r="EP8" s="2704"/>
      <c r="EQ8" s="2704"/>
      <c r="ER8" s="2704"/>
      <c r="ES8" s="2704"/>
      <c r="ET8" s="2704"/>
      <c r="EU8" s="2704"/>
      <c r="EV8" s="2704"/>
      <c r="EW8" s="2704"/>
      <c r="EX8" s="2704"/>
      <c r="EY8" s="2704"/>
      <c r="EZ8" s="3107"/>
    </row>
    <row r="9" spans="1:158" s="1467" customFormat="1" ht="15" customHeight="1" thickBot="1">
      <c r="A9" s="3169"/>
      <c r="B9" s="4496"/>
      <c r="C9" s="15323"/>
      <c r="D9" s="15326"/>
      <c r="E9" s="3104" t="s">
        <v>2121</v>
      </c>
      <c r="F9" s="4147" t="s">
        <v>2114</v>
      </c>
      <c r="G9" s="4147" t="s">
        <v>2117</v>
      </c>
      <c r="H9" s="2717" t="s">
        <v>26</v>
      </c>
      <c r="I9" s="4147" t="s">
        <v>390</v>
      </c>
      <c r="J9" s="4555"/>
      <c r="K9" s="4520">
        <v>114.4</v>
      </c>
      <c r="L9" s="1469">
        <v>2010</v>
      </c>
      <c r="M9" s="1469" t="s">
        <v>2117</v>
      </c>
      <c r="N9" s="1486"/>
      <c r="O9" s="1469" t="s">
        <v>2117</v>
      </c>
      <c r="P9" s="1471" t="s">
        <v>2117</v>
      </c>
      <c r="Q9" s="1482">
        <v>56347200</v>
      </c>
      <c r="R9" s="15220"/>
      <c r="S9" s="15220"/>
      <c r="T9" s="1472"/>
      <c r="U9" s="15213"/>
      <c r="V9" s="15216"/>
      <c r="W9" s="15213"/>
      <c r="X9" s="15216"/>
      <c r="Y9" s="15220"/>
      <c r="Z9" s="1472"/>
      <c r="AA9" s="1472"/>
      <c r="AB9" s="1472"/>
      <c r="AC9" s="1472"/>
      <c r="AD9" s="1472"/>
      <c r="AE9" s="1472"/>
      <c r="AF9" s="1472"/>
      <c r="AG9" s="1472"/>
      <c r="AH9" s="1472"/>
      <c r="AI9" s="1472"/>
      <c r="AJ9" s="1472"/>
      <c r="AK9" s="1472"/>
      <c r="AL9" s="1472"/>
      <c r="AM9" s="1472"/>
      <c r="AN9" s="1472"/>
      <c r="AO9" s="1472"/>
      <c r="AP9" s="1472"/>
      <c r="AQ9" s="1472"/>
      <c r="AR9" s="1472"/>
      <c r="AS9" s="1472"/>
      <c r="AT9" s="1472"/>
      <c r="AU9" s="1472"/>
      <c r="AV9" s="1472"/>
      <c r="AW9" s="1472"/>
      <c r="AX9" s="1472"/>
      <c r="AY9" s="1473"/>
      <c r="AZ9" s="1473"/>
      <c r="BA9" s="1473"/>
      <c r="BB9" s="1473"/>
      <c r="BC9" s="1473"/>
      <c r="BD9" s="1473"/>
      <c r="BE9" s="1473"/>
      <c r="BF9" s="1473"/>
      <c r="BG9" s="1473"/>
      <c r="BH9" s="1474"/>
      <c r="BI9" s="1477">
        <v>56347200</v>
      </c>
      <c r="BJ9" s="1459">
        <v>1</v>
      </c>
      <c r="BK9" s="1475">
        <v>35770000</v>
      </c>
      <c r="BL9" s="1475">
        <v>35770000</v>
      </c>
      <c r="BM9" s="1167">
        <v>1</v>
      </c>
      <c r="BN9" s="15189"/>
      <c r="BO9" s="15154"/>
      <c r="BP9" s="1487"/>
      <c r="BQ9" s="1463" t="s">
        <v>8756</v>
      </c>
      <c r="BR9" s="15171"/>
      <c r="BS9" s="1465"/>
      <c r="BT9" s="1465"/>
      <c r="BU9" s="1465"/>
      <c r="BV9" s="15148"/>
      <c r="BW9" s="1465"/>
      <c r="BX9" s="1465"/>
      <c r="BY9" s="1465"/>
      <c r="BZ9" s="1465"/>
      <c r="CA9" s="1465"/>
      <c r="CB9" s="1465"/>
      <c r="CC9" s="1465"/>
      <c r="CD9" s="1465"/>
      <c r="CE9" s="1465"/>
      <c r="CF9" s="1465"/>
      <c r="CG9" s="1465"/>
      <c r="CH9" s="1465"/>
      <c r="CI9" s="1465"/>
      <c r="CJ9" s="1465"/>
      <c r="CK9" s="1465"/>
      <c r="CL9" s="1465"/>
      <c r="CM9" s="1465"/>
      <c r="CN9" s="1465"/>
      <c r="CO9" s="1465"/>
      <c r="CP9" s="1465"/>
      <c r="CQ9" s="1465"/>
      <c r="CR9" s="1465"/>
      <c r="CS9" s="1465"/>
      <c r="CT9" s="1465"/>
      <c r="CU9" s="1465"/>
      <c r="CV9" s="1465"/>
      <c r="CW9" s="1465"/>
      <c r="CX9" s="1465"/>
      <c r="CY9" s="1465"/>
      <c r="CZ9" s="1465"/>
      <c r="DA9" s="1465"/>
      <c r="DB9" s="1465"/>
      <c r="DC9" s="1465"/>
      <c r="DD9" s="1465"/>
      <c r="DE9" s="1478"/>
      <c r="DG9" s="4586"/>
      <c r="DH9" s="2704"/>
      <c r="DI9" s="2704"/>
      <c r="DJ9" s="2704"/>
      <c r="DK9" s="2704"/>
      <c r="DL9" s="2704"/>
      <c r="DM9" s="2704"/>
      <c r="DN9" s="2704"/>
      <c r="DO9" s="2704"/>
      <c r="DP9" s="2704"/>
      <c r="DQ9" s="2704"/>
      <c r="DR9" s="2704"/>
      <c r="DS9" s="2704"/>
      <c r="DT9" s="2704"/>
      <c r="DU9" s="2704"/>
      <c r="DV9" s="2704"/>
      <c r="DW9" s="2704"/>
      <c r="DX9" s="2704"/>
      <c r="DY9" s="2704"/>
      <c r="DZ9" s="2704"/>
      <c r="EA9" s="2704"/>
      <c r="EB9" s="2704"/>
      <c r="EC9" s="2704"/>
      <c r="ED9" s="2704"/>
      <c r="EE9" s="2704"/>
      <c r="EF9" s="2704"/>
      <c r="EG9" s="2704"/>
      <c r="EH9" s="2704"/>
      <c r="EI9" s="2704"/>
      <c r="EJ9" s="2704"/>
      <c r="EK9" s="2704"/>
      <c r="EL9" s="2704"/>
      <c r="EM9" s="2704"/>
      <c r="EN9" s="2704"/>
      <c r="EO9" s="2704"/>
      <c r="EP9" s="2704"/>
      <c r="EQ9" s="2704"/>
      <c r="ER9" s="2704"/>
      <c r="ES9" s="2704"/>
      <c r="ET9" s="2704"/>
      <c r="EU9" s="2704"/>
      <c r="EV9" s="2704"/>
      <c r="EW9" s="2704"/>
      <c r="EX9" s="2704"/>
      <c r="EY9" s="2704"/>
      <c r="EZ9" s="3107"/>
    </row>
    <row r="10" spans="1:158" s="1467" customFormat="1" ht="15" customHeight="1" thickBot="1">
      <c r="A10" s="3169"/>
      <c r="B10" s="4496"/>
      <c r="C10" s="4554" t="s">
        <v>4883</v>
      </c>
      <c r="D10" s="3104" t="s">
        <v>2122</v>
      </c>
      <c r="E10" s="3104" t="s">
        <v>2123</v>
      </c>
      <c r="F10" s="4147" t="s">
        <v>2114</v>
      </c>
      <c r="G10" s="4488">
        <v>17065795</v>
      </c>
      <c r="H10" s="2717" t="s">
        <v>26</v>
      </c>
      <c r="I10" s="4147" t="s">
        <v>390</v>
      </c>
      <c r="J10" s="4555"/>
      <c r="K10" s="4520">
        <v>259.32100000000003</v>
      </c>
      <c r="L10" s="1469">
        <v>2010</v>
      </c>
      <c r="M10" s="1469" t="s">
        <v>2117</v>
      </c>
      <c r="N10" s="1480">
        <v>17065795</v>
      </c>
      <c r="O10" s="1488">
        <v>17065795</v>
      </c>
      <c r="P10" s="1489">
        <v>17065795</v>
      </c>
      <c r="Q10" s="1482">
        <v>12561874</v>
      </c>
      <c r="R10" s="15221"/>
      <c r="S10" s="15221"/>
      <c r="T10" s="1472"/>
      <c r="U10" s="15214"/>
      <c r="V10" s="15217"/>
      <c r="W10" s="15214"/>
      <c r="X10" s="15217"/>
      <c r="Y10" s="15221"/>
      <c r="Z10" s="1472"/>
      <c r="AA10" s="1472"/>
      <c r="AB10" s="1472"/>
      <c r="AC10" s="1472"/>
      <c r="AD10" s="1472"/>
      <c r="AE10" s="1472"/>
      <c r="AF10" s="1472"/>
      <c r="AG10" s="1472"/>
      <c r="AH10" s="1472"/>
      <c r="AI10" s="1472"/>
      <c r="AJ10" s="1472"/>
      <c r="AK10" s="1472"/>
      <c r="AL10" s="1472"/>
      <c r="AM10" s="1472"/>
      <c r="AN10" s="1472"/>
      <c r="AO10" s="1472"/>
      <c r="AP10" s="1472"/>
      <c r="AQ10" s="1472"/>
      <c r="AR10" s="1472"/>
      <c r="AS10" s="1472"/>
      <c r="AT10" s="1472"/>
      <c r="AU10" s="1472"/>
      <c r="AV10" s="1472"/>
      <c r="AW10" s="1472"/>
      <c r="AX10" s="1472"/>
      <c r="AY10" s="1473"/>
      <c r="AZ10" s="1473"/>
      <c r="BA10" s="1473"/>
      <c r="BB10" s="1473"/>
      <c r="BC10" s="1473"/>
      <c r="BD10" s="1473"/>
      <c r="BE10" s="1473"/>
      <c r="BF10" s="1473"/>
      <c r="BG10" s="1473"/>
      <c r="BH10" s="1474"/>
      <c r="BI10" s="1477">
        <v>12561874</v>
      </c>
      <c r="BJ10" s="1459">
        <v>0.73</v>
      </c>
      <c r="BK10" s="1475">
        <v>13013</v>
      </c>
      <c r="BL10" s="1477">
        <f>13013+R10</f>
        <v>13013</v>
      </c>
      <c r="BM10" s="1167">
        <f>BL10/P10</f>
        <v>7.6251941383334327E-4</v>
      </c>
      <c r="BN10" s="15189"/>
      <c r="BO10" s="15154"/>
      <c r="BP10" s="1487"/>
      <c r="BQ10" s="1463" t="s">
        <v>8756</v>
      </c>
      <c r="BR10" s="15172"/>
      <c r="BS10" s="1465" t="s">
        <v>2943</v>
      </c>
      <c r="BT10" s="1465"/>
      <c r="BU10" s="1465"/>
      <c r="BV10" s="15149"/>
      <c r="BW10" s="1465"/>
      <c r="BX10" s="1465"/>
      <c r="BY10" s="1465"/>
      <c r="BZ10" s="1465"/>
      <c r="CA10" s="1465"/>
      <c r="CB10" s="1465"/>
      <c r="CC10" s="1465"/>
      <c r="CD10" s="1465"/>
      <c r="CE10" s="1465"/>
      <c r="CF10" s="1465"/>
      <c r="CG10" s="1465"/>
      <c r="CH10" s="1465"/>
      <c r="CI10" s="1465"/>
      <c r="CJ10" s="1465"/>
      <c r="CK10" s="1465"/>
      <c r="CL10" s="1465"/>
      <c r="CM10" s="1465"/>
      <c r="CN10" s="1465"/>
      <c r="CO10" s="1465"/>
      <c r="CP10" s="1465"/>
      <c r="CQ10" s="1465"/>
      <c r="CR10" s="1465"/>
      <c r="CS10" s="1465"/>
      <c r="CT10" s="1465"/>
      <c r="CU10" s="1465"/>
      <c r="CV10" s="1465"/>
      <c r="CW10" s="1465"/>
      <c r="CX10" s="1465"/>
      <c r="CY10" s="1465"/>
      <c r="CZ10" s="1465"/>
      <c r="DA10" s="1465"/>
      <c r="DB10" s="1465"/>
      <c r="DC10" s="1465"/>
      <c r="DD10" s="1465"/>
      <c r="DE10" s="1478"/>
      <c r="DG10" s="4586"/>
      <c r="DH10" s="2704"/>
      <c r="DI10" s="2704"/>
      <c r="DJ10" s="2704"/>
      <c r="DK10" s="2704"/>
      <c r="DL10" s="2704"/>
      <c r="DM10" s="2704"/>
      <c r="DN10" s="2704"/>
      <c r="DO10" s="2704"/>
      <c r="DP10" s="2704"/>
      <c r="DQ10" s="2704"/>
      <c r="DR10" s="2704"/>
      <c r="DS10" s="2704"/>
      <c r="DT10" s="2704"/>
      <c r="DU10" s="2704"/>
      <c r="DV10" s="2704"/>
      <c r="DW10" s="2704"/>
      <c r="DX10" s="2704"/>
      <c r="DY10" s="2704"/>
      <c r="DZ10" s="2704"/>
      <c r="EA10" s="2704"/>
      <c r="EB10" s="2704"/>
      <c r="EC10" s="2704"/>
      <c r="ED10" s="2704"/>
      <c r="EE10" s="2704"/>
      <c r="EF10" s="2704"/>
      <c r="EG10" s="2704"/>
      <c r="EH10" s="2704"/>
      <c r="EI10" s="2704"/>
      <c r="EJ10" s="2704"/>
      <c r="EK10" s="2704"/>
      <c r="EL10" s="2704"/>
      <c r="EM10" s="2704"/>
      <c r="EN10" s="2704"/>
      <c r="EO10" s="2704"/>
      <c r="EP10" s="2704"/>
      <c r="EQ10" s="2704"/>
      <c r="ER10" s="2704"/>
      <c r="ES10" s="2704"/>
      <c r="ET10" s="2704"/>
      <c r="EU10" s="2704"/>
      <c r="EV10" s="2704"/>
      <c r="EW10" s="2704"/>
      <c r="EX10" s="2704"/>
      <c r="EY10" s="2704"/>
      <c r="EZ10" s="3107"/>
    </row>
    <row r="11" spans="1:158" s="1467" customFormat="1" ht="15" customHeight="1">
      <c r="A11" s="3169"/>
      <c r="B11" s="4496"/>
      <c r="C11" s="15320" t="s">
        <v>4884</v>
      </c>
      <c r="D11" s="15317" t="s">
        <v>2124</v>
      </c>
      <c r="E11" s="15317" t="s">
        <v>2125</v>
      </c>
      <c r="F11" s="15318" t="s">
        <v>2126</v>
      </c>
      <c r="G11" s="15318" t="s">
        <v>2127</v>
      </c>
      <c r="H11" s="2717" t="s">
        <v>26</v>
      </c>
      <c r="I11" s="4147" t="s">
        <v>390</v>
      </c>
      <c r="J11" s="3107"/>
      <c r="K11" s="4520">
        <v>0.15</v>
      </c>
      <c r="L11" s="1469">
        <v>2008</v>
      </c>
      <c r="M11" s="1469" t="s">
        <v>2117</v>
      </c>
      <c r="N11" s="1470">
        <f>5%/4</f>
        <v>1.2500000000000001E-2</v>
      </c>
      <c r="O11" s="1469" t="s">
        <v>2127</v>
      </c>
      <c r="P11" s="1490">
        <v>0.3</v>
      </c>
      <c r="Q11" s="1491">
        <v>29596</v>
      </c>
      <c r="R11" s="1492" t="s">
        <v>3246</v>
      </c>
      <c r="S11" s="1492" t="s">
        <v>3245</v>
      </c>
      <c r="T11" s="1492" t="s">
        <v>3247</v>
      </c>
      <c r="U11" s="1472" t="s">
        <v>2951</v>
      </c>
      <c r="V11" s="1472"/>
      <c r="W11" s="1472"/>
      <c r="X11" s="1472"/>
      <c r="Y11" s="1472" t="s">
        <v>2951</v>
      </c>
      <c r="Z11" s="1472"/>
      <c r="AA11" s="1472"/>
      <c r="AB11" s="1472"/>
      <c r="AC11" s="1472"/>
      <c r="AD11" s="1472"/>
      <c r="AE11" s="1472"/>
      <c r="AF11" s="1472"/>
      <c r="AG11" s="1472"/>
      <c r="AH11" s="1472"/>
      <c r="AI11" s="1472"/>
      <c r="AJ11" s="1472"/>
      <c r="AK11" s="1472"/>
      <c r="AL11" s="1472"/>
      <c r="AM11" s="1472"/>
      <c r="AN11" s="1472"/>
      <c r="AO11" s="1472"/>
      <c r="AP11" s="1472"/>
      <c r="AQ11" s="1472"/>
      <c r="AR11" s="1472"/>
      <c r="AS11" s="1472"/>
      <c r="AT11" s="1472"/>
      <c r="AU11" s="1472"/>
      <c r="AV11" s="1472"/>
      <c r="AW11" s="1472"/>
      <c r="AX11" s="1472"/>
      <c r="AY11" s="1473"/>
      <c r="AZ11" s="1473"/>
      <c r="BA11" s="1473"/>
      <c r="BB11" s="1473"/>
      <c r="BC11" s="1473"/>
      <c r="BD11" s="1473"/>
      <c r="BE11" s="1473"/>
      <c r="BF11" s="1473"/>
      <c r="BG11" s="1473"/>
      <c r="BH11" s="1474"/>
      <c r="BI11" s="1493">
        <v>29596</v>
      </c>
      <c r="BJ11" s="1459">
        <v>0.65</v>
      </c>
      <c r="BK11" s="1475" t="s">
        <v>9653</v>
      </c>
      <c r="BL11" s="1475" t="s">
        <v>9653</v>
      </c>
      <c r="BM11" s="1167">
        <v>0</v>
      </c>
      <c r="BN11" s="15190"/>
      <c r="BO11" s="1494" t="s">
        <v>8749</v>
      </c>
      <c r="BP11" s="1495" t="s">
        <v>3245</v>
      </c>
      <c r="BQ11" s="1465"/>
      <c r="BR11" s="1496" t="s">
        <v>9744</v>
      </c>
      <c r="BS11" s="1465" t="s">
        <v>2943</v>
      </c>
      <c r="BT11" s="1465"/>
      <c r="BU11" s="1465"/>
      <c r="BV11" s="1465"/>
      <c r="BW11" s="1465"/>
      <c r="BX11" s="1465"/>
      <c r="BY11" s="1465"/>
      <c r="BZ11" s="1465"/>
      <c r="CA11" s="1465"/>
      <c r="CB11" s="1465"/>
      <c r="CC11" s="1465"/>
      <c r="CD11" s="1465"/>
      <c r="CE11" s="1465"/>
      <c r="CF11" s="1465"/>
      <c r="CG11" s="1465"/>
      <c r="CH11" s="1465"/>
      <c r="CI11" s="1465"/>
      <c r="CJ11" s="1465"/>
      <c r="CK11" s="1465"/>
      <c r="CL11" s="1465"/>
      <c r="CM11" s="1465"/>
      <c r="CN11" s="1465"/>
      <c r="CO11" s="1465"/>
      <c r="CP11" s="1465"/>
      <c r="CQ11" s="1465"/>
      <c r="CR11" s="1465"/>
      <c r="CS11" s="1465"/>
      <c r="CT11" s="1465"/>
      <c r="CU11" s="1465"/>
      <c r="CV11" s="1465"/>
      <c r="CW11" s="1465"/>
      <c r="CX11" s="1465"/>
      <c r="CY11" s="1465"/>
      <c r="CZ11" s="1465"/>
      <c r="DA11" s="1465"/>
      <c r="DB11" s="1465"/>
      <c r="DC11" s="1465"/>
      <c r="DD11" s="1465"/>
      <c r="DE11" s="1478"/>
      <c r="DG11" s="4586"/>
      <c r="DH11" s="2704"/>
      <c r="DI11" s="2704"/>
      <c r="DJ11" s="2704"/>
      <c r="DK11" s="2704"/>
      <c r="DL11" s="2704"/>
      <c r="DM11" s="2704"/>
      <c r="DN11" s="2704"/>
      <c r="DO11" s="2704"/>
      <c r="DP11" s="2704"/>
      <c r="DQ11" s="2704"/>
      <c r="DR11" s="2704"/>
      <c r="DS11" s="2704"/>
      <c r="DT11" s="2704"/>
      <c r="DU11" s="2704"/>
      <c r="DV11" s="2704"/>
      <c r="DW11" s="2704"/>
      <c r="DX11" s="2704"/>
      <c r="DY11" s="2704"/>
      <c r="DZ11" s="2704"/>
      <c r="EA11" s="2704"/>
      <c r="EB11" s="2704"/>
      <c r="EC11" s="2704"/>
      <c r="ED11" s="2704"/>
      <c r="EE11" s="2704"/>
      <c r="EF11" s="2704"/>
      <c r="EG11" s="2704"/>
      <c r="EH11" s="2704"/>
      <c r="EI11" s="2704"/>
      <c r="EJ11" s="2704"/>
      <c r="EK11" s="2704"/>
      <c r="EL11" s="2704"/>
      <c r="EM11" s="2704"/>
      <c r="EN11" s="2704"/>
      <c r="EO11" s="2704"/>
      <c r="EP11" s="2704"/>
      <c r="EQ11" s="2704"/>
      <c r="ER11" s="2704"/>
      <c r="ES11" s="2704"/>
      <c r="ET11" s="2704"/>
      <c r="EU11" s="2704"/>
      <c r="EV11" s="2704"/>
      <c r="EW11" s="2704"/>
      <c r="EX11" s="2704"/>
      <c r="EY11" s="2704"/>
      <c r="EZ11" s="3107"/>
    </row>
    <row r="12" spans="1:158" s="1467" customFormat="1" ht="15" customHeight="1">
      <c r="A12" s="3169"/>
      <c r="B12" s="4496"/>
      <c r="C12" s="15320"/>
      <c r="D12" s="15317"/>
      <c r="E12" s="15317"/>
      <c r="F12" s="15318"/>
      <c r="G12" s="15318"/>
      <c r="H12" s="2717" t="s">
        <v>477</v>
      </c>
      <c r="I12" s="4147"/>
      <c r="J12" s="4555" t="s">
        <v>477</v>
      </c>
      <c r="K12" s="4520"/>
      <c r="L12" s="3040"/>
      <c r="M12" s="3040"/>
      <c r="N12" s="3113"/>
      <c r="O12" s="3040"/>
      <c r="P12" s="3114"/>
      <c r="Q12" s="3115"/>
      <c r="R12" s="3040"/>
      <c r="S12" s="3040"/>
      <c r="T12" s="3040"/>
      <c r="U12" s="2703"/>
      <c r="V12" s="2703"/>
      <c r="W12" s="2703"/>
      <c r="X12" s="2703"/>
      <c r="Y12" s="2703"/>
      <c r="Z12" s="2703"/>
      <c r="AA12" s="2703"/>
      <c r="AB12" s="2703"/>
      <c r="AC12" s="2703"/>
      <c r="AD12" s="2703"/>
      <c r="AE12" s="2703"/>
      <c r="AF12" s="2703"/>
      <c r="AG12" s="2703"/>
      <c r="AH12" s="2703"/>
      <c r="AI12" s="2703"/>
      <c r="AJ12" s="2703"/>
      <c r="AK12" s="2703"/>
      <c r="AL12" s="2703"/>
      <c r="AM12" s="2703"/>
      <c r="AN12" s="2703"/>
      <c r="AO12" s="2703"/>
      <c r="AP12" s="2703"/>
      <c r="AQ12" s="2703"/>
      <c r="AR12" s="2703"/>
      <c r="AS12" s="2703"/>
      <c r="AT12" s="2703"/>
      <c r="AU12" s="2703"/>
      <c r="AV12" s="2703"/>
      <c r="AW12" s="2703"/>
      <c r="AX12" s="2703"/>
      <c r="AY12" s="2704"/>
      <c r="AZ12" s="2704"/>
      <c r="BA12" s="2704"/>
      <c r="BB12" s="2704"/>
      <c r="BC12" s="2704"/>
      <c r="BD12" s="2704"/>
      <c r="BE12" s="2704"/>
      <c r="BF12" s="2704"/>
      <c r="BG12" s="2704"/>
      <c r="BH12" s="3107"/>
      <c r="BI12" s="3012"/>
      <c r="BJ12" s="1459"/>
      <c r="BK12" s="3109"/>
      <c r="BL12" s="3109"/>
      <c r="BM12" s="3110"/>
      <c r="BN12" s="15190"/>
      <c r="BO12" s="1494"/>
      <c r="BP12" s="3116"/>
      <c r="BQ12" s="3112"/>
      <c r="BR12" s="3117"/>
      <c r="BS12" s="3112"/>
      <c r="BT12" s="3112"/>
      <c r="BU12" s="3112"/>
      <c r="BV12" s="3112"/>
      <c r="BW12" s="3112"/>
      <c r="BX12" s="3112"/>
      <c r="BY12" s="3112"/>
      <c r="BZ12" s="3112"/>
      <c r="CA12" s="3112"/>
      <c r="CB12" s="3112"/>
      <c r="CC12" s="3112"/>
      <c r="CD12" s="3112"/>
      <c r="CE12" s="3112"/>
      <c r="CF12" s="3112"/>
      <c r="CG12" s="3112"/>
      <c r="CH12" s="3112"/>
      <c r="CI12" s="3112"/>
      <c r="CJ12" s="3112"/>
      <c r="CK12" s="3112"/>
      <c r="CL12" s="3112"/>
      <c r="CM12" s="3112"/>
      <c r="CN12" s="3112"/>
      <c r="CO12" s="3112"/>
      <c r="CP12" s="3112"/>
      <c r="CQ12" s="3112"/>
      <c r="CR12" s="3112"/>
      <c r="CS12" s="3112"/>
      <c r="CT12" s="3112"/>
      <c r="CU12" s="3112"/>
      <c r="CV12" s="3112"/>
      <c r="CW12" s="3112"/>
      <c r="CX12" s="3112"/>
      <c r="CY12" s="3112"/>
      <c r="CZ12" s="3112"/>
      <c r="DA12" s="3112"/>
      <c r="DB12" s="3112"/>
      <c r="DC12" s="3112"/>
      <c r="DD12" s="3112"/>
      <c r="DE12" s="1478"/>
      <c r="DG12" s="4586"/>
      <c r="DH12" s="2704"/>
      <c r="DI12" s="2704"/>
      <c r="DJ12" s="2704"/>
      <c r="DK12" s="2704"/>
      <c r="DL12" s="2704"/>
      <c r="DM12" s="2704"/>
      <c r="DN12" s="2704"/>
      <c r="DO12" s="2704"/>
      <c r="DP12" s="2704"/>
      <c r="DQ12" s="2704"/>
      <c r="DR12" s="2704"/>
      <c r="DS12" s="2704"/>
      <c r="DT12" s="2704"/>
      <c r="DU12" s="2704"/>
      <c r="DV12" s="2704"/>
      <c r="DW12" s="2704"/>
      <c r="DX12" s="2704"/>
      <c r="DY12" s="2704"/>
      <c r="DZ12" s="2704"/>
      <c r="EA12" s="2704"/>
      <c r="EB12" s="2704"/>
      <c r="EC12" s="2704"/>
      <c r="ED12" s="2704"/>
      <c r="EE12" s="2704"/>
      <c r="EF12" s="2704"/>
      <c r="EG12" s="2704"/>
      <c r="EH12" s="2704"/>
      <c r="EI12" s="2704"/>
      <c r="EJ12" s="2704"/>
      <c r="EK12" s="2704"/>
      <c r="EL12" s="2704"/>
      <c r="EM12" s="2704"/>
      <c r="EN12" s="2704"/>
      <c r="EO12" s="2704"/>
      <c r="EP12" s="2704"/>
      <c r="EQ12" s="2704"/>
      <c r="ER12" s="2704"/>
      <c r="ES12" s="2704"/>
      <c r="ET12" s="2704"/>
      <c r="EU12" s="2704"/>
      <c r="EV12" s="2704"/>
      <c r="EW12" s="2704"/>
      <c r="EX12" s="2704"/>
      <c r="EY12" s="2704"/>
      <c r="EZ12" s="3107"/>
    </row>
    <row r="13" spans="1:158" s="1467" customFormat="1" ht="15" customHeight="1">
      <c r="A13" s="3169"/>
      <c r="B13" s="4496"/>
      <c r="C13" s="15320" t="s">
        <v>4885</v>
      </c>
      <c r="D13" s="15317" t="s">
        <v>2128</v>
      </c>
      <c r="E13" s="15317" t="s">
        <v>2129</v>
      </c>
      <c r="F13" s="15318" t="s">
        <v>2130</v>
      </c>
      <c r="G13" s="15318" t="s">
        <v>2132</v>
      </c>
      <c r="H13" s="2717" t="s">
        <v>26</v>
      </c>
      <c r="I13" s="4147" t="s">
        <v>390</v>
      </c>
      <c r="J13" s="3107"/>
      <c r="K13" s="4520">
        <v>35</v>
      </c>
      <c r="L13" s="1469">
        <v>2011</v>
      </c>
      <c r="M13" s="1469" t="s">
        <v>2131</v>
      </c>
      <c r="N13" s="1486"/>
      <c r="O13" s="1469" t="s">
        <v>2132</v>
      </c>
      <c r="P13" s="1471">
        <v>35</v>
      </c>
      <c r="Q13" s="1472">
        <v>35</v>
      </c>
      <c r="R13" s="1492" t="s">
        <v>3248</v>
      </c>
      <c r="S13" s="1492" t="s">
        <v>3245</v>
      </c>
      <c r="T13" s="1492" t="s">
        <v>3247</v>
      </c>
      <c r="U13" s="1472" t="s">
        <v>2951</v>
      </c>
      <c r="V13" s="1472"/>
      <c r="W13" s="1472"/>
      <c r="X13" s="1472"/>
      <c r="Y13" s="1472">
        <v>35</v>
      </c>
      <c r="Z13" s="1472"/>
      <c r="AA13" s="1472"/>
      <c r="AB13" s="1472"/>
      <c r="AC13" s="1472"/>
      <c r="AD13" s="1472"/>
      <c r="AE13" s="1472"/>
      <c r="AF13" s="1472"/>
      <c r="AG13" s="1472"/>
      <c r="AH13" s="1472"/>
      <c r="AI13" s="1472"/>
      <c r="AJ13" s="1472"/>
      <c r="AK13" s="1472"/>
      <c r="AL13" s="1472"/>
      <c r="AM13" s="1472"/>
      <c r="AN13" s="1472"/>
      <c r="AO13" s="1472"/>
      <c r="AP13" s="1472"/>
      <c r="AQ13" s="1472"/>
      <c r="AR13" s="1472"/>
      <c r="AS13" s="1472"/>
      <c r="AT13" s="1472"/>
      <c r="AU13" s="1472"/>
      <c r="AV13" s="1472"/>
      <c r="AW13" s="1472"/>
      <c r="AX13" s="1472"/>
      <c r="AY13" s="1473"/>
      <c r="AZ13" s="1473"/>
      <c r="BA13" s="1473"/>
      <c r="BB13" s="1473"/>
      <c r="BC13" s="1473"/>
      <c r="BD13" s="1473"/>
      <c r="BE13" s="1473"/>
      <c r="BF13" s="1473"/>
      <c r="BG13" s="1473"/>
      <c r="BH13" s="1474"/>
      <c r="BI13" s="1475">
        <v>35</v>
      </c>
      <c r="BJ13" s="1459">
        <v>0.5</v>
      </c>
      <c r="BK13" s="1475" t="s">
        <v>8747</v>
      </c>
      <c r="BL13" s="1475">
        <f>35+15</f>
        <v>50</v>
      </c>
      <c r="BM13" s="1167">
        <v>1</v>
      </c>
      <c r="BN13" s="15190"/>
      <c r="BO13" s="1497" t="s">
        <v>3248</v>
      </c>
      <c r="BP13" s="1495" t="s">
        <v>3245</v>
      </c>
      <c r="BQ13" s="1496" t="s">
        <v>8758</v>
      </c>
      <c r="BR13" s="1498">
        <v>0</v>
      </c>
      <c r="BS13" s="1465"/>
      <c r="BT13" s="1465"/>
      <c r="BU13" s="1465"/>
      <c r="BV13" s="1465"/>
      <c r="BW13" s="1465"/>
      <c r="BX13" s="1465"/>
      <c r="BY13" s="1465"/>
      <c r="BZ13" s="1465"/>
      <c r="CA13" s="1465"/>
      <c r="CB13" s="1465"/>
      <c r="CC13" s="1465"/>
      <c r="CD13" s="1465"/>
      <c r="CE13" s="1465"/>
      <c r="CF13" s="1465"/>
      <c r="CG13" s="1465"/>
      <c r="CH13" s="1465"/>
      <c r="CI13" s="1465"/>
      <c r="CJ13" s="1465"/>
      <c r="CK13" s="1465"/>
      <c r="CL13" s="1465"/>
      <c r="CM13" s="1465"/>
      <c r="CN13" s="1465"/>
      <c r="CO13" s="1465"/>
      <c r="CP13" s="1465"/>
      <c r="CQ13" s="1465"/>
      <c r="CR13" s="1465"/>
      <c r="CS13" s="1465"/>
      <c r="CT13" s="1465"/>
      <c r="CU13" s="1465"/>
      <c r="CV13" s="1465"/>
      <c r="CW13" s="1465"/>
      <c r="CX13" s="1465"/>
      <c r="CY13" s="1465"/>
      <c r="CZ13" s="1465"/>
      <c r="DA13" s="1465"/>
      <c r="DB13" s="1465"/>
      <c r="DC13" s="1465"/>
      <c r="DD13" s="1465"/>
      <c r="DE13" s="1478"/>
      <c r="DG13" s="4586"/>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3107"/>
    </row>
    <row r="14" spans="1:158" s="1467" customFormat="1" ht="15" customHeight="1">
      <c r="A14" s="3169"/>
      <c r="B14" s="4496"/>
      <c r="C14" s="15320"/>
      <c r="D14" s="15317"/>
      <c r="E14" s="15317"/>
      <c r="F14" s="15318"/>
      <c r="G14" s="15318"/>
      <c r="H14" s="2717" t="s">
        <v>477</v>
      </c>
      <c r="I14" s="4147"/>
      <c r="J14" s="4555" t="s">
        <v>477</v>
      </c>
      <c r="K14" s="4520"/>
      <c r="L14" s="3040"/>
      <c r="M14" s="3040"/>
      <c r="N14" s="3118"/>
      <c r="O14" s="3040"/>
      <c r="P14" s="3040"/>
      <c r="Q14" s="2703"/>
      <c r="R14" s="3040"/>
      <c r="S14" s="3040"/>
      <c r="T14" s="3040"/>
      <c r="U14" s="2703"/>
      <c r="V14" s="2703"/>
      <c r="W14" s="2703"/>
      <c r="X14" s="2703"/>
      <c r="Y14" s="2703"/>
      <c r="Z14" s="2703"/>
      <c r="AA14" s="2703"/>
      <c r="AB14" s="2703"/>
      <c r="AC14" s="2703"/>
      <c r="AD14" s="2703"/>
      <c r="AE14" s="2703"/>
      <c r="AF14" s="2703"/>
      <c r="AG14" s="2703"/>
      <c r="AH14" s="2703"/>
      <c r="AI14" s="2703"/>
      <c r="AJ14" s="2703"/>
      <c r="AK14" s="2703"/>
      <c r="AL14" s="2703"/>
      <c r="AM14" s="2703"/>
      <c r="AN14" s="2703"/>
      <c r="AO14" s="2703"/>
      <c r="AP14" s="2703"/>
      <c r="AQ14" s="2703"/>
      <c r="AR14" s="2703"/>
      <c r="AS14" s="2703"/>
      <c r="AT14" s="2703"/>
      <c r="AU14" s="2703"/>
      <c r="AV14" s="2703"/>
      <c r="AW14" s="2703"/>
      <c r="AX14" s="2703"/>
      <c r="AY14" s="2704"/>
      <c r="AZ14" s="2704"/>
      <c r="BA14" s="2704"/>
      <c r="BB14" s="2704"/>
      <c r="BC14" s="2704"/>
      <c r="BD14" s="2704"/>
      <c r="BE14" s="2704"/>
      <c r="BF14" s="2704"/>
      <c r="BG14" s="2704"/>
      <c r="BH14" s="3107"/>
      <c r="BI14" s="3109"/>
      <c r="BJ14" s="1459"/>
      <c r="BK14" s="3109"/>
      <c r="BL14" s="3109"/>
      <c r="BM14" s="3110"/>
      <c r="BN14" s="15190"/>
      <c r="BO14" s="3119"/>
      <c r="BP14" s="3116"/>
      <c r="BQ14" s="3117"/>
      <c r="BR14" s="3120"/>
      <c r="BS14" s="3112"/>
      <c r="BT14" s="3112"/>
      <c r="BU14" s="3112"/>
      <c r="BV14" s="3112"/>
      <c r="BW14" s="3112"/>
      <c r="BX14" s="3112"/>
      <c r="BY14" s="3112"/>
      <c r="BZ14" s="3112"/>
      <c r="CA14" s="3112"/>
      <c r="CB14" s="3112"/>
      <c r="CC14" s="3112"/>
      <c r="CD14" s="3112"/>
      <c r="CE14" s="3112"/>
      <c r="CF14" s="3112"/>
      <c r="CG14" s="3112"/>
      <c r="CH14" s="3112"/>
      <c r="CI14" s="3112"/>
      <c r="CJ14" s="3112"/>
      <c r="CK14" s="3112"/>
      <c r="CL14" s="3112"/>
      <c r="CM14" s="3112"/>
      <c r="CN14" s="3112"/>
      <c r="CO14" s="3112"/>
      <c r="CP14" s="3112"/>
      <c r="CQ14" s="3112"/>
      <c r="CR14" s="3112"/>
      <c r="CS14" s="3112"/>
      <c r="CT14" s="3112"/>
      <c r="CU14" s="3112"/>
      <c r="CV14" s="3112"/>
      <c r="CW14" s="3112"/>
      <c r="CX14" s="3112"/>
      <c r="CY14" s="3112"/>
      <c r="CZ14" s="3112"/>
      <c r="DA14" s="3112"/>
      <c r="DB14" s="3112"/>
      <c r="DC14" s="3112"/>
      <c r="DD14" s="3112"/>
      <c r="DE14" s="1478"/>
      <c r="DG14" s="4586"/>
      <c r="DH14" s="2704"/>
      <c r="DI14" s="2704"/>
      <c r="DJ14" s="2704"/>
      <c r="DK14" s="2704"/>
      <c r="DL14" s="2704"/>
      <c r="DM14" s="2704"/>
      <c r="DN14" s="2704"/>
      <c r="DO14" s="2704"/>
      <c r="DP14" s="2704"/>
      <c r="DQ14" s="2704"/>
      <c r="DR14" s="2704"/>
      <c r="DS14" s="2704"/>
      <c r="DT14" s="2704"/>
      <c r="DU14" s="2704"/>
      <c r="DV14" s="2704"/>
      <c r="DW14" s="2704"/>
      <c r="DX14" s="2704"/>
      <c r="DY14" s="2704"/>
      <c r="DZ14" s="2704"/>
      <c r="EA14" s="2704"/>
      <c r="EB14" s="2704"/>
      <c r="EC14" s="2704"/>
      <c r="ED14" s="2704"/>
      <c r="EE14" s="2704"/>
      <c r="EF14" s="2704"/>
      <c r="EG14" s="2704"/>
      <c r="EH14" s="2704"/>
      <c r="EI14" s="2704"/>
      <c r="EJ14" s="2704"/>
      <c r="EK14" s="2704"/>
      <c r="EL14" s="2704"/>
      <c r="EM14" s="2704"/>
      <c r="EN14" s="2704"/>
      <c r="EO14" s="2704"/>
      <c r="EP14" s="2704"/>
      <c r="EQ14" s="2704"/>
      <c r="ER14" s="2704"/>
      <c r="ES14" s="2704"/>
      <c r="ET14" s="2704"/>
      <c r="EU14" s="2704"/>
      <c r="EV14" s="2704"/>
      <c r="EW14" s="2704"/>
      <c r="EX14" s="2704"/>
      <c r="EY14" s="2704"/>
      <c r="EZ14" s="3107"/>
    </row>
    <row r="15" spans="1:158" s="1467" customFormat="1" ht="15" customHeight="1">
      <c r="A15" s="3169"/>
      <c r="B15" s="4496"/>
      <c r="C15" s="4554" t="s">
        <v>4886</v>
      </c>
      <c r="D15" s="3104" t="s">
        <v>2133</v>
      </c>
      <c r="E15" s="3104" t="s">
        <v>2134</v>
      </c>
      <c r="F15" s="4147" t="s">
        <v>2109</v>
      </c>
      <c r="G15" s="4147" t="s">
        <v>2135</v>
      </c>
      <c r="H15" s="2717" t="s">
        <v>26</v>
      </c>
      <c r="I15" s="4147" t="s">
        <v>390</v>
      </c>
      <c r="J15" s="4555"/>
      <c r="K15" s="4520">
        <v>0.05</v>
      </c>
      <c r="L15" s="1469">
        <v>2010</v>
      </c>
      <c r="M15" s="1469" t="s">
        <v>2117</v>
      </c>
      <c r="N15" s="1486"/>
      <c r="O15" s="1469" t="s">
        <v>2135</v>
      </c>
      <c r="P15" s="1490">
        <v>0.4</v>
      </c>
      <c r="Q15" s="1499">
        <f>(210/260)</f>
        <v>0.80769230769230771</v>
      </c>
      <c r="R15" s="1492" t="s">
        <v>3249</v>
      </c>
      <c r="S15" s="1492" t="s">
        <v>3250</v>
      </c>
      <c r="T15" s="1472"/>
      <c r="U15" s="1500">
        <v>74738648</v>
      </c>
      <c r="V15" s="1500">
        <v>46982029</v>
      </c>
      <c r="W15" s="1500">
        <v>27756619</v>
      </c>
      <c r="X15" s="1472"/>
      <c r="Y15" s="1472">
        <v>69</v>
      </c>
      <c r="Z15" s="1472"/>
      <c r="AA15" s="1472"/>
      <c r="AB15" s="1472"/>
      <c r="AC15" s="1472"/>
      <c r="AD15" s="1472"/>
      <c r="AE15" s="1472"/>
      <c r="AF15" s="1472"/>
      <c r="AG15" s="1472"/>
      <c r="AH15" s="1472"/>
      <c r="AI15" s="1472"/>
      <c r="AJ15" s="1472"/>
      <c r="AK15" s="1472"/>
      <c r="AL15" s="1472"/>
      <c r="AM15" s="1472"/>
      <c r="AN15" s="1472"/>
      <c r="AO15" s="1472"/>
      <c r="AP15" s="1472"/>
      <c r="AQ15" s="1472"/>
      <c r="AR15" s="1472"/>
      <c r="AS15" s="1472"/>
      <c r="AT15" s="1472"/>
      <c r="AU15" s="1472"/>
      <c r="AV15" s="1472"/>
      <c r="AW15" s="1472"/>
      <c r="AX15" s="1472"/>
      <c r="AY15" s="1473"/>
      <c r="AZ15" s="1473"/>
      <c r="BA15" s="1473"/>
      <c r="BB15" s="1473"/>
      <c r="BC15" s="1473"/>
      <c r="BD15" s="1473"/>
      <c r="BE15" s="1473"/>
      <c r="BF15" s="1473"/>
      <c r="BG15" s="1473"/>
      <c r="BH15" s="1474"/>
      <c r="BI15" s="1501" t="s">
        <v>9767</v>
      </c>
      <c r="BJ15" s="1459">
        <v>0.81</v>
      </c>
      <c r="BK15" s="1475">
        <v>133</v>
      </c>
      <c r="BL15" s="1475">
        <v>133</v>
      </c>
      <c r="BM15" s="1167">
        <v>1</v>
      </c>
      <c r="BN15" s="15190"/>
      <c r="BO15" s="1502"/>
      <c r="BP15" s="1465"/>
      <c r="BQ15" s="1496" t="s">
        <v>8759</v>
      </c>
      <c r="BR15" s="1498">
        <v>25000000</v>
      </c>
      <c r="BS15" s="1465" t="s">
        <v>2943</v>
      </c>
      <c r="BT15" s="1465"/>
      <c r="BU15" s="1465"/>
      <c r="BV15" s="1465"/>
      <c r="BW15" s="1465"/>
      <c r="BX15" s="1465"/>
      <c r="BY15" s="1465"/>
      <c r="BZ15" s="1465"/>
      <c r="CA15" s="1465"/>
      <c r="CB15" s="1465"/>
      <c r="CC15" s="1465"/>
      <c r="CD15" s="1465"/>
      <c r="CE15" s="1465"/>
      <c r="CF15" s="1465"/>
      <c r="CG15" s="1465"/>
      <c r="CH15" s="1465"/>
      <c r="CI15" s="1465"/>
      <c r="CJ15" s="1465"/>
      <c r="CK15" s="1465"/>
      <c r="CL15" s="1465"/>
      <c r="CM15" s="1465"/>
      <c r="CN15" s="1465"/>
      <c r="CO15" s="1465"/>
      <c r="CP15" s="1465"/>
      <c r="CQ15" s="1465"/>
      <c r="CR15" s="1465"/>
      <c r="CS15" s="1465"/>
      <c r="CT15" s="1465"/>
      <c r="CU15" s="1465"/>
      <c r="CV15" s="1465"/>
      <c r="CW15" s="1465"/>
      <c r="CX15" s="1465"/>
      <c r="CY15" s="1465"/>
      <c r="CZ15" s="1465"/>
      <c r="DA15" s="1465"/>
      <c r="DB15" s="1465"/>
      <c r="DC15" s="1465"/>
      <c r="DD15" s="1465"/>
      <c r="DE15" s="1478"/>
      <c r="DG15" s="4586"/>
      <c r="DH15" s="2704"/>
      <c r="DI15" s="2704"/>
      <c r="DJ15" s="2704"/>
      <c r="DK15" s="2704"/>
      <c r="DL15" s="2704"/>
      <c r="DM15" s="2704"/>
      <c r="DN15" s="2704"/>
      <c r="DO15" s="2704"/>
      <c r="DP15" s="2704"/>
      <c r="DQ15" s="2704"/>
      <c r="DR15" s="2704"/>
      <c r="DS15" s="2704"/>
      <c r="DT15" s="2704"/>
      <c r="DU15" s="2704"/>
      <c r="DV15" s="2704"/>
      <c r="DW15" s="2704"/>
      <c r="DX15" s="2704"/>
      <c r="DY15" s="2704"/>
      <c r="DZ15" s="2704"/>
      <c r="EA15" s="2704"/>
      <c r="EB15" s="2704"/>
      <c r="EC15" s="2704"/>
      <c r="ED15" s="2704"/>
      <c r="EE15" s="2704"/>
      <c r="EF15" s="2704"/>
      <c r="EG15" s="2704"/>
      <c r="EH15" s="2704"/>
      <c r="EI15" s="2704"/>
      <c r="EJ15" s="2704"/>
      <c r="EK15" s="2704"/>
      <c r="EL15" s="2704"/>
      <c r="EM15" s="2704"/>
      <c r="EN15" s="2704"/>
      <c r="EO15" s="2704"/>
      <c r="EP15" s="2704"/>
      <c r="EQ15" s="2704"/>
      <c r="ER15" s="2704"/>
      <c r="ES15" s="2704"/>
      <c r="ET15" s="2704"/>
      <c r="EU15" s="2704"/>
      <c r="EV15" s="2704"/>
      <c r="EW15" s="2704"/>
      <c r="EX15" s="2704"/>
      <c r="EY15" s="2704"/>
      <c r="EZ15" s="3107"/>
    </row>
    <row r="16" spans="1:158" s="1467" customFormat="1" ht="15" customHeight="1">
      <c r="A16" s="3169"/>
      <c r="B16" s="4496" t="s">
        <v>2136</v>
      </c>
      <c r="C16" s="4554" t="s">
        <v>4888</v>
      </c>
      <c r="D16" s="3104" t="s">
        <v>2137</v>
      </c>
      <c r="E16" s="3104" t="s">
        <v>2138</v>
      </c>
      <c r="F16" s="3104" t="s">
        <v>2139</v>
      </c>
      <c r="G16" s="4147" t="s">
        <v>2140</v>
      </c>
      <c r="H16" s="2717" t="s">
        <v>26</v>
      </c>
      <c r="I16" s="4147" t="s">
        <v>390</v>
      </c>
      <c r="J16" s="4555"/>
      <c r="K16" s="4521">
        <v>0.2</v>
      </c>
      <c r="L16" s="1469">
        <v>2010</v>
      </c>
      <c r="M16" s="1469" t="s">
        <v>2117</v>
      </c>
      <c r="N16" s="1479">
        <v>272</v>
      </c>
      <c r="O16" s="1469" t="s">
        <v>2140</v>
      </c>
      <c r="P16" s="1490">
        <v>1</v>
      </c>
      <c r="Q16" s="1503">
        <f>508/1220</f>
        <v>0.4163934426229508</v>
      </c>
      <c r="R16" s="1492" t="s">
        <v>3251</v>
      </c>
      <c r="S16" s="1485" t="s">
        <v>3252</v>
      </c>
      <c r="T16" s="1504"/>
      <c r="U16" s="1500">
        <v>311194000</v>
      </c>
      <c r="V16" s="1500">
        <v>311194000</v>
      </c>
      <c r="W16" s="1472"/>
      <c r="X16" s="1472"/>
      <c r="Y16" s="1472">
        <v>508</v>
      </c>
      <c r="Z16" s="1472"/>
      <c r="AA16" s="1472"/>
      <c r="AB16" s="1472"/>
      <c r="AC16" s="1472">
        <v>508</v>
      </c>
      <c r="AD16" s="1472"/>
      <c r="AE16" s="1472"/>
      <c r="AF16" s="1472"/>
      <c r="AG16" s="1472"/>
      <c r="AH16" s="1472"/>
      <c r="AI16" s="1472"/>
      <c r="AJ16" s="1472"/>
      <c r="AK16" s="1472"/>
      <c r="AL16" s="1472"/>
      <c r="AM16" s="1472"/>
      <c r="AN16" s="1472"/>
      <c r="AO16" s="1472"/>
      <c r="AP16" s="1472"/>
      <c r="AQ16" s="1472"/>
      <c r="AR16" s="1472"/>
      <c r="AS16" s="1472"/>
      <c r="AT16" s="1472"/>
      <c r="AU16" s="1472"/>
      <c r="AV16" s="1472"/>
      <c r="AW16" s="1472"/>
      <c r="AX16" s="1472"/>
      <c r="AY16" s="1473"/>
      <c r="AZ16" s="1473"/>
      <c r="BA16" s="1473"/>
      <c r="BB16" s="1473"/>
      <c r="BC16" s="1473"/>
      <c r="BD16" s="1473"/>
      <c r="BE16" s="1473"/>
      <c r="BF16" s="1473"/>
      <c r="BG16" s="1473"/>
      <c r="BH16" s="1474"/>
      <c r="BI16" s="1505">
        <f>508/1220</f>
        <v>0.4163934426229508</v>
      </c>
      <c r="BJ16" s="1459">
        <v>0.42</v>
      </c>
      <c r="BK16" s="1475">
        <v>176</v>
      </c>
      <c r="BL16" s="1475">
        <v>176</v>
      </c>
      <c r="BM16" s="1167">
        <v>1</v>
      </c>
      <c r="BN16" s="15190"/>
      <c r="BO16" s="1497" t="s">
        <v>8750</v>
      </c>
      <c r="BP16" s="1506" t="s">
        <v>3252</v>
      </c>
      <c r="BQ16" s="1495" t="s">
        <v>8760</v>
      </c>
      <c r="BR16" s="1507">
        <v>0</v>
      </c>
      <c r="BS16" s="1508"/>
      <c r="BT16" s="1465"/>
      <c r="BU16" s="1465"/>
      <c r="BV16" s="1465"/>
      <c r="BW16" s="1465"/>
      <c r="BX16" s="1465"/>
      <c r="BY16" s="1465" t="s">
        <v>9749</v>
      </c>
      <c r="BZ16" s="1465"/>
      <c r="CA16" s="1465" t="s">
        <v>9752</v>
      </c>
      <c r="CB16" s="1465"/>
      <c r="CC16" s="1465"/>
      <c r="CD16" s="1465"/>
      <c r="CE16" s="1465"/>
      <c r="CF16" s="1465"/>
      <c r="CG16" s="1465"/>
      <c r="CH16" s="1465"/>
      <c r="CI16" s="1465"/>
      <c r="CJ16" s="1465"/>
      <c r="CK16" s="1465"/>
      <c r="CL16" s="1465"/>
      <c r="CM16" s="1465"/>
      <c r="CN16" s="1465"/>
      <c r="CO16" s="1465"/>
      <c r="CP16" s="1465"/>
      <c r="CQ16" s="1465"/>
      <c r="CR16" s="1465"/>
      <c r="CS16" s="1465"/>
      <c r="CT16" s="1465"/>
      <c r="CU16" s="1465"/>
      <c r="CV16" s="1495" t="s">
        <v>9755</v>
      </c>
      <c r="CW16" s="1495" t="s">
        <v>9756</v>
      </c>
      <c r="CX16" s="1465"/>
      <c r="CY16" s="1477" t="s">
        <v>9751</v>
      </c>
      <c r="CZ16" s="1465"/>
      <c r="DA16" s="1465"/>
      <c r="DB16" s="1465"/>
      <c r="DC16" s="1465"/>
      <c r="DD16" s="1465"/>
      <c r="DE16" s="1478"/>
      <c r="DG16" s="4586"/>
      <c r="DH16" s="2704"/>
      <c r="DI16" s="2704"/>
      <c r="DJ16" s="2704"/>
      <c r="DK16" s="2704"/>
      <c r="DL16" s="2704"/>
      <c r="DM16" s="2704"/>
      <c r="DN16" s="2704"/>
      <c r="DO16" s="2704"/>
      <c r="DP16" s="2704"/>
      <c r="DQ16" s="2704"/>
      <c r="DR16" s="2704"/>
      <c r="DS16" s="2704"/>
      <c r="DT16" s="2704"/>
      <c r="DU16" s="2704"/>
      <c r="DV16" s="2704"/>
      <c r="DW16" s="2704"/>
      <c r="DX16" s="2704"/>
      <c r="DY16" s="2704"/>
      <c r="DZ16" s="2704"/>
      <c r="EA16" s="2704"/>
      <c r="EB16" s="2704"/>
      <c r="EC16" s="2704"/>
      <c r="ED16" s="2704"/>
      <c r="EE16" s="2704"/>
      <c r="EF16" s="2704"/>
      <c r="EG16" s="2704"/>
      <c r="EH16" s="2704"/>
      <c r="EI16" s="2704"/>
      <c r="EJ16" s="2704"/>
      <c r="EK16" s="2704"/>
      <c r="EL16" s="2704"/>
      <c r="EM16" s="2704"/>
      <c r="EN16" s="2704"/>
      <c r="EO16" s="2704"/>
      <c r="EP16" s="2704"/>
      <c r="EQ16" s="2704"/>
      <c r="ER16" s="2704"/>
      <c r="ES16" s="2704"/>
      <c r="ET16" s="2704"/>
      <c r="EU16" s="2704"/>
      <c r="EV16" s="2704"/>
      <c r="EW16" s="2704"/>
      <c r="EX16" s="2704"/>
      <c r="EY16" s="2704"/>
      <c r="EZ16" s="3107"/>
    </row>
    <row r="17" spans="1:198" s="1467" customFormat="1" ht="15" customHeight="1">
      <c r="A17" s="3169"/>
      <c r="B17" s="4496"/>
      <c r="C17" s="4554" t="s">
        <v>4889</v>
      </c>
      <c r="D17" s="3104" t="s">
        <v>2141</v>
      </c>
      <c r="E17" s="3104" t="s">
        <v>2142</v>
      </c>
      <c r="F17" s="3104" t="s">
        <v>2139</v>
      </c>
      <c r="G17" s="4147" t="s">
        <v>2144</v>
      </c>
      <c r="H17" s="2717" t="s">
        <v>26</v>
      </c>
      <c r="I17" s="4147" t="s">
        <v>390</v>
      </c>
      <c r="J17" s="4555"/>
      <c r="K17" s="4520" t="s">
        <v>2143</v>
      </c>
      <c r="L17" s="1469">
        <v>2010</v>
      </c>
      <c r="M17" s="1469" t="s">
        <v>2117</v>
      </c>
      <c r="N17" s="1509">
        <v>0.25</v>
      </c>
      <c r="O17" s="1469" t="s">
        <v>2144</v>
      </c>
      <c r="P17" s="1490">
        <v>0.8</v>
      </c>
      <c r="Q17" s="1472"/>
      <c r="R17" s="1492" t="s">
        <v>3249</v>
      </c>
      <c r="S17" s="1492" t="s">
        <v>3253</v>
      </c>
      <c r="T17" s="1472"/>
      <c r="U17" s="1500">
        <v>74738648</v>
      </c>
      <c r="V17" s="1500">
        <v>46982029</v>
      </c>
      <c r="W17" s="1500">
        <v>27756619</v>
      </c>
      <c r="X17" s="1472"/>
      <c r="Y17" s="1472">
        <v>69</v>
      </c>
      <c r="Z17" s="1472"/>
      <c r="AA17" s="1472"/>
      <c r="AB17" s="1472"/>
      <c r="AC17" s="1472"/>
      <c r="AD17" s="1472"/>
      <c r="AE17" s="1472"/>
      <c r="AF17" s="1472"/>
      <c r="AG17" s="1472"/>
      <c r="AH17" s="1472"/>
      <c r="AI17" s="1472"/>
      <c r="AJ17" s="1472"/>
      <c r="AK17" s="1472"/>
      <c r="AL17" s="1472"/>
      <c r="AM17" s="1472"/>
      <c r="AN17" s="1472"/>
      <c r="AO17" s="1472"/>
      <c r="AP17" s="1472"/>
      <c r="AQ17" s="1472"/>
      <c r="AR17" s="1472"/>
      <c r="AS17" s="1472"/>
      <c r="AT17" s="1472"/>
      <c r="AU17" s="1472"/>
      <c r="AV17" s="1472"/>
      <c r="AW17" s="1472"/>
      <c r="AX17" s="1472"/>
      <c r="AY17" s="1473"/>
      <c r="AZ17" s="1473"/>
      <c r="BA17" s="1473"/>
      <c r="BB17" s="1473"/>
      <c r="BC17" s="1473"/>
      <c r="BD17" s="1473"/>
      <c r="BE17" s="1473"/>
      <c r="BF17" s="1473"/>
      <c r="BG17" s="1473"/>
      <c r="BH17" s="1474"/>
      <c r="BI17" s="1468" t="s">
        <v>9768</v>
      </c>
      <c r="BJ17" s="1459">
        <v>0.17</v>
      </c>
      <c r="BK17" s="1510">
        <v>0.1</v>
      </c>
      <c r="BL17" s="1510">
        <v>0.1</v>
      </c>
      <c r="BM17" s="1167">
        <f>BL17/P17</f>
        <v>0.125</v>
      </c>
      <c r="BN17" s="15190"/>
      <c r="BO17" s="1502"/>
      <c r="BP17" s="1495" t="s">
        <v>3253</v>
      </c>
      <c r="BQ17" s="1496" t="s">
        <v>8761</v>
      </c>
      <c r="BR17" s="1498">
        <v>50000000</v>
      </c>
      <c r="BS17" s="1465" t="s">
        <v>2943</v>
      </c>
      <c r="BT17" s="1465"/>
      <c r="BU17" s="1465"/>
      <c r="BV17" s="1465"/>
      <c r="BW17" s="1465"/>
      <c r="BX17" s="1465"/>
      <c r="BY17" s="1465" t="s">
        <v>9749</v>
      </c>
      <c r="BZ17" s="1465"/>
      <c r="CA17" s="1465" t="s">
        <v>9752</v>
      </c>
      <c r="CB17" s="1465"/>
      <c r="CC17" s="1465"/>
      <c r="CD17" s="1465"/>
      <c r="CE17" s="1465"/>
      <c r="CF17" s="1465"/>
      <c r="CG17" s="1465"/>
      <c r="CH17" s="1465"/>
      <c r="CI17" s="1465"/>
      <c r="CJ17" s="1465"/>
      <c r="CK17" s="1465"/>
      <c r="CL17" s="1465"/>
      <c r="CM17" s="1465"/>
      <c r="CN17" s="1465"/>
      <c r="CO17" s="1465"/>
      <c r="CP17" s="1465"/>
      <c r="CQ17" s="1465"/>
      <c r="CR17" s="1465"/>
      <c r="CS17" s="1465"/>
      <c r="CT17" s="1465"/>
      <c r="CU17" s="1465"/>
      <c r="CV17" s="1465"/>
      <c r="CW17" s="1465"/>
      <c r="CX17" s="1465"/>
      <c r="CY17" s="1465"/>
      <c r="CZ17" s="1465"/>
      <c r="DA17" s="1465"/>
      <c r="DB17" s="1465"/>
      <c r="DC17" s="1465"/>
      <c r="DD17" s="1465"/>
      <c r="DE17" s="1478"/>
      <c r="DG17" s="4586"/>
      <c r="DH17" s="2704"/>
      <c r="DI17" s="2704"/>
      <c r="DJ17" s="2704"/>
      <c r="DK17" s="2704"/>
      <c r="DL17" s="2704"/>
      <c r="DM17" s="2704"/>
      <c r="DN17" s="2704"/>
      <c r="DO17" s="2704"/>
      <c r="DP17" s="2704"/>
      <c r="DQ17" s="2704"/>
      <c r="DR17" s="2704"/>
      <c r="DS17" s="2704"/>
      <c r="DT17" s="2704"/>
      <c r="DU17" s="2704"/>
      <c r="DV17" s="2704"/>
      <c r="DW17" s="2704"/>
      <c r="DX17" s="2704"/>
      <c r="DY17" s="2704"/>
      <c r="DZ17" s="2704"/>
      <c r="EA17" s="2704"/>
      <c r="EB17" s="2704"/>
      <c r="EC17" s="2704"/>
      <c r="ED17" s="2704"/>
      <c r="EE17" s="2704"/>
      <c r="EF17" s="2704"/>
      <c r="EG17" s="2704"/>
      <c r="EH17" s="2704"/>
      <c r="EI17" s="2704"/>
      <c r="EJ17" s="2704"/>
      <c r="EK17" s="2704"/>
      <c r="EL17" s="2704"/>
      <c r="EM17" s="2704"/>
      <c r="EN17" s="2704"/>
      <c r="EO17" s="2704"/>
      <c r="EP17" s="2704"/>
      <c r="EQ17" s="2704"/>
      <c r="ER17" s="2704"/>
      <c r="ES17" s="2704"/>
      <c r="ET17" s="2704"/>
      <c r="EU17" s="2704"/>
      <c r="EV17" s="2704"/>
      <c r="EW17" s="2704"/>
      <c r="EX17" s="2704"/>
      <c r="EY17" s="2704"/>
      <c r="EZ17" s="3107"/>
    </row>
    <row r="18" spans="1:198" s="1467" customFormat="1" ht="15" customHeight="1">
      <c r="A18" s="3169"/>
      <c r="B18" s="4496"/>
      <c r="C18" s="15320" t="s">
        <v>4890</v>
      </c>
      <c r="D18" s="15317" t="s">
        <v>2145</v>
      </c>
      <c r="E18" s="15317" t="s">
        <v>2146</v>
      </c>
      <c r="F18" s="15317" t="s">
        <v>890</v>
      </c>
      <c r="G18" s="15317" t="s">
        <v>2148</v>
      </c>
      <c r="H18" s="2717" t="s">
        <v>26</v>
      </c>
      <c r="I18" s="4147" t="s">
        <v>390</v>
      </c>
      <c r="J18" s="3107"/>
      <c r="K18" s="4522">
        <v>0.1</v>
      </c>
      <c r="L18" s="1468">
        <v>2009</v>
      </c>
      <c r="M18" s="1468" t="s">
        <v>2148</v>
      </c>
      <c r="N18" s="1479">
        <v>196</v>
      </c>
      <c r="O18" s="1468" t="s">
        <v>2148</v>
      </c>
      <c r="P18" s="1511">
        <v>0.8</v>
      </c>
      <c r="Q18" s="1472" t="s">
        <v>3241</v>
      </c>
      <c r="R18" s="1472" t="s">
        <v>3241</v>
      </c>
      <c r="S18" s="1472" t="s">
        <v>3241</v>
      </c>
      <c r="T18" s="1492" t="s">
        <v>3254</v>
      </c>
      <c r="U18" s="1472"/>
      <c r="V18" s="1472"/>
      <c r="W18" s="1472"/>
      <c r="X18" s="1472"/>
      <c r="Y18" s="1472"/>
      <c r="Z18" s="1472"/>
      <c r="AA18" s="1472"/>
      <c r="AB18" s="1472"/>
      <c r="AC18" s="1472"/>
      <c r="AD18" s="1472"/>
      <c r="AE18" s="1472"/>
      <c r="AF18" s="1472"/>
      <c r="AG18" s="1472"/>
      <c r="AH18" s="1472"/>
      <c r="AI18" s="1472"/>
      <c r="AJ18" s="1472"/>
      <c r="AK18" s="1472"/>
      <c r="AL18" s="1472"/>
      <c r="AM18" s="1472"/>
      <c r="AN18" s="1472"/>
      <c r="AO18" s="1472"/>
      <c r="AP18" s="1472"/>
      <c r="AQ18" s="1472"/>
      <c r="AR18" s="1472"/>
      <c r="AS18" s="1472"/>
      <c r="AT18" s="1472"/>
      <c r="AU18" s="1472"/>
      <c r="AV18" s="1472"/>
      <c r="AW18" s="1472"/>
      <c r="AX18" s="1472"/>
      <c r="AY18" s="1473"/>
      <c r="AZ18" s="1473"/>
      <c r="BA18" s="1473"/>
      <c r="BB18" s="1473"/>
      <c r="BC18" s="1473"/>
      <c r="BD18" s="1473"/>
      <c r="BE18" s="1473"/>
      <c r="BF18" s="1473"/>
      <c r="BG18" s="1473"/>
      <c r="BH18" s="1474"/>
      <c r="BI18" s="1502" t="s">
        <v>1732</v>
      </c>
      <c r="BJ18" s="1459" t="s">
        <v>1732</v>
      </c>
      <c r="BK18" s="1475" t="s">
        <v>2951</v>
      </c>
      <c r="BL18" s="1475" t="s">
        <v>2951</v>
      </c>
      <c r="BM18" s="1167" t="s">
        <v>2951</v>
      </c>
      <c r="BN18" s="15190"/>
      <c r="BO18" s="1502"/>
      <c r="BP18" s="1465"/>
      <c r="BQ18" s="1496" t="s">
        <v>8762</v>
      </c>
      <c r="BR18" s="1512">
        <v>0</v>
      </c>
      <c r="BS18" s="1465"/>
      <c r="BT18" s="1465"/>
      <c r="BU18" s="1465"/>
      <c r="BV18" s="1465"/>
      <c r="BW18" s="1465"/>
      <c r="BX18" s="1465"/>
      <c r="BY18" s="1465"/>
      <c r="BZ18" s="1465"/>
      <c r="CA18" s="1465"/>
      <c r="CB18" s="1465"/>
      <c r="CC18" s="1465"/>
      <c r="CD18" s="1465"/>
      <c r="CE18" s="1465"/>
      <c r="CF18" s="1465"/>
      <c r="CG18" s="1465"/>
      <c r="CH18" s="1465"/>
      <c r="CI18" s="1465"/>
      <c r="CJ18" s="1465"/>
      <c r="CK18" s="1465"/>
      <c r="CL18" s="1465"/>
      <c r="CM18" s="1465"/>
      <c r="CN18" s="1465"/>
      <c r="CO18" s="1465"/>
      <c r="CP18" s="1465"/>
      <c r="CQ18" s="1465"/>
      <c r="CR18" s="1465"/>
      <c r="CS18" s="1465"/>
      <c r="CT18" s="1465"/>
      <c r="CU18" s="1465"/>
      <c r="CV18" s="1465"/>
      <c r="CW18" s="1465"/>
      <c r="CX18" s="1465"/>
      <c r="CY18" s="1465"/>
      <c r="CZ18" s="1465"/>
      <c r="DA18" s="1465" t="s">
        <v>9757</v>
      </c>
      <c r="DB18" s="1465" t="s">
        <v>9758</v>
      </c>
      <c r="DC18" s="1465"/>
      <c r="DD18" s="1465"/>
      <c r="DE18" s="1478" t="s">
        <v>9751</v>
      </c>
      <c r="DG18" s="4586"/>
      <c r="DH18" s="2704"/>
      <c r="DI18" s="2704"/>
      <c r="DJ18" s="2704"/>
      <c r="DK18" s="2704"/>
      <c r="DL18" s="2704"/>
      <c r="DM18" s="2704"/>
      <c r="DN18" s="2704"/>
      <c r="DO18" s="2704"/>
      <c r="DP18" s="2704"/>
      <c r="DQ18" s="2704"/>
      <c r="DR18" s="2704"/>
      <c r="DS18" s="2704"/>
      <c r="DT18" s="2704"/>
      <c r="DU18" s="2704"/>
      <c r="DV18" s="2704"/>
      <c r="DW18" s="2704"/>
      <c r="DX18" s="2704"/>
      <c r="DY18" s="2704"/>
      <c r="DZ18" s="2704"/>
      <c r="EA18" s="2704"/>
      <c r="EB18" s="2704"/>
      <c r="EC18" s="2704"/>
      <c r="ED18" s="2704"/>
      <c r="EE18" s="2704"/>
      <c r="EF18" s="2704"/>
      <c r="EG18" s="2704"/>
      <c r="EH18" s="2704"/>
      <c r="EI18" s="2704"/>
      <c r="EJ18" s="2704"/>
      <c r="EK18" s="2704"/>
      <c r="EL18" s="2704"/>
      <c r="EM18" s="2704"/>
      <c r="EN18" s="2704"/>
      <c r="EO18" s="2704"/>
      <c r="EP18" s="2704"/>
      <c r="EQ18" s="2704"/>
      <c r="ER18" s="2704"/>
      <c r="ES18" s="2704"/>
      <c r="ET18" s="2704"/>
      <c r="EU18" s="2704"/>
      <c r="EV18" s="2704"/>
      <c r="EW18" s="2704"/>
      <c r="EX18" s="2704"/>
      <c r="EY18" s="2704"/>
      <c r="EZ18" s="3107"/>
    </row>
    <row r="19" spans="1:198" s="1467" customFormat="1" ht="15" customHeight="1">
      <c r="A19" s="3169"/>
      <c r="B19" s="4496"/>
      <c r="C19" s="15320"/>
      <c r="D19" s="15317"/>
      <c r="E19" s="15317"/>
      <c r="F19" s="15317"/>
      <c r="G19" s="15317"/>
      <c r="H19" s="2717" t="s">
        <v>10092</v>
      </c>
      <c r="I19" s="4147"/>
      <c r="J19" s="4556" t="s">
        <v>2147</v>
      </c>
      <c r="K19" s="4522"/>
      <c r="L19" s="3104"/>
      <c r="M19" s="3104"/>
      <c r="N19" s="2717"/>
      <c r="O19" s="3104"/>
      <c r="P19" s="3121"/>
      <c r="Q19" s="2703"/>
      <c r="R19" s="2703"/>
      <c r="S19" s="2703"/>
      <c r="T19" s="3040"/>
      <c r="U19" s="2703"/>
      <c r="V19" s="2703"/>
      <c r="W19" s="2703"/>
      <c r="X19" s="2703"/>
      <c r="Y19" s="2703"/>
      <c r="Z19" s="2703"/>
      <c r="AA19" s="2703"/>
      <c r="AB19" s="2703"/>
      <c r="AC19" s="2703"/>
      <c r="AD19" s="2703"/>
      <c r="AE19" s="2703"/>
      <c r="AF19" s="2703"/>
      <c r="AG19" s="2703"/>
      <c r="AH19" s="2703"/>
      <c r="AI19" s="2703"/>
      <c r="AJ19" s="2703"/>
      <c r="AK19" s="2703"/>
      <c r="AL19" s="2703"/>
      <c r="AM19" s="2703"/>
      <c r="AN19" s="2703"/>
      <c r="AO19" s="2703"/>
      <c r="AP19" s="2703"/>
      <c r="AQ19" s="2703"/>
      <c r="AR19" s="2703"/>
      <c r="AS19" s="2703"/>
      <c r="AT19" s="2703"/>
      <c r="AU19" s="2703"/>
      <c r="AV19" s="2703"/>
      <c r="AW19" s="2703"/>
      <c r="AX19" s="2703"/>
      <c r="AY19" s="2704"/>
      <c r="AZ19" s="2704"/>
      <c r="BA19" s="2704"/>
      <c r="BB19" s="2704"/>
      <c r="BC19" s="2704"/>
      <c r="BD19" s="2704"/>
      <c r="BE19" s="2704"/>
      <c r="BF19" s="2704"/>
      <c r="BG19" s="2704"/>
      <c r="BH19" s="3107"/>
      <c r="BI19" s="3122"/>
      <c r="BJ19" s="1459"/>
      <c r="BK19" s="3109"/>
      <c r="BL19" s="3109"/>
      <c r="BM19" s="3110"/>
      <c r="BN19" s="15190"/>
      <c r="BO19" s="3123"/>
      <c r="BP19" s="3112"/>
      <c r="BQ19" s="3117"/>
      <c r="BR19" s="3124"/>
      <c r="BS19" s="3112"/>
      <c r="BT19" s="3112"/>
      <c r="BU19" s="3112"/>
      <c r="BV19" s="3112"/>
      <c r="BW19" s="3112"/>
      <c r="BX19" s="3112"/>
      <c r="BY19" s="3112"/>
      <c r="BZ19" s="3112"/>
      <c r="CA19" s="3112"/>
      <c r="CB19" s="3112"/>
      <c r="CC19" s="3112"/>
      <c r="CD19" s="3112"/>
      <c r="CE19" s="3112"/>
      <c r="CF19" s="3112"/>
      <c r="CG19" s="3112"/>
      <c r="CH19" s="3112"/>
      <c r="CI19" s="3112"/>
      <c r="CJ19" s="3112"/>
      <c r="CK19" s="3112"/>
      <c r="CL19" s="3112"/>
      <c r="CM19" s="3112"/>
      <c r="CN19" s="3112"/>
      <c r="CO19" s="3112"/>
      <c r="CP19" s="3112"/>
      <c r="CQ19" s="3112"/>
      <c r="CR19" s="3112"/>
      <c r="CS19" s="3112"/>
      <c r="CT19" s="3112"/>
      <c r="CU19" s="3112"/>
      <c r="CV19" s="3112"/>
      <c r="CW19" s="3112"/>
      <c r="CX19" s="3112"/>
      <c r="CY19" s="3112"/>
      <c r="CZ19" s="3112"/>
      <c r="DA19" s="3112"/>
      <c r="DB19" s="3112"/>
      <c r="DC19" s="3112"/>
      <c r="DD19" s="3112"/>
      <c r="DE19" s="1478"/>
      <c r="DG19" s="4586"/>
      <c r="DH19" s="2704"/>
      <c r="DI19" s="2704"/>
      <c r="DJ19" s="2704"/>
      <c r="DK19" s="2704"/>
      <c r="DL19" s="2704"/>
      <c r="DM19" s="2704"/>
      <c r="DN19" s="2704"/>
      <c r="DO19" s="2704"/>
      <c r="DP19" s="2704"/>
      <c r="DQ19" s="2704"/>
      <c r="DR19" s="2704"/>
      <c r="DS19" s="2704"/>
      <c r="DT19" s="2704"/>
      <c r="DU19" s="2704"/>
      <c r="DV19" s="2704"/>
      <c r="DW19" s="2704"/>
      <c r="DX19" s="2704"/>
      <c r="DY19" s="2704"/>
      <c r="DZ19" s="2704"/>
      <c r="EA19" s="2704"/>
      <c r="EB19" s="2704"/>
      <c r="EC19" s="2704"/>
      <c r="ED19" s="2704"/>
      <c r="EE19" s="2704"/>
      <c r="EF19" s="2704"/>
      <c r="EG19" s="2704"/>
      <c r="EH19" s="2704"/>
      <c r="EI19" s="2704"/>
      <c r="EJ19" s="2704"/>
      <c r="EK19" s="2704"/>
      <c r="EL19" s="2704"/>
      <c r="EM19" s="2704"/>
      <c r="EN19" s="2704"/>
      <c r="EO19" s="2704"/>
      <c r="EP19" s="2704"/>
      <c r="EQ19" s="2704"/>
      <c r="ER19" s="2704"/>
      <c r="ES19" s="2704"/>
      <c r="ET19" s="2704"/>
      <c r="EU19" s="2704"/>
      <c r="EV19" s="2704"/>
      <c r="EW19" s="2704"/>
      <c r="EX19" s="2704"/>
      <c r="EY19" s="2704"/>
      <c r="EZ19" s="3107"/>
    </row>
    <row r="20" spans="1:198" s="1467" customFormat="1" ht="15" customHeight="1">
      <c r="A20" s="3169"/>
      <c r="B20" s="4496"/>
      <c r="C20" s="4554" t="s">
        <v>4891</v>
      </c>
      <c r="D20" s="3104" t="s">
        <v>2149</v>
      </c>
      <c r="E20" s="3104" t="s">
        <v>2150</v>
      </c>
      <c r="F20" s="3104" t="s">
        <v>2139</v>
      </c>
      <c r="G20" s="4147" t="s">
        <v>2151</v>
      </c>
      <c r="H20" s="2717" t="s">
        <v>26</v>
      </c>
      <c r="I20" s="4147" t="s">
        <v>390</v>
      </c>
      <c r="J20" s="4555"/>
      <c r="K20" s="4521">
        <v>1</v>
      </c>
      <c r="L20" s="1469">
        <v>2010</v>
      </c>
      <c r="M20" s="1469" t="s">
        <v>2151</v>
      </c>
      <c r="N20" s="1479">
        <v>116</v>
      </c>
      <c r="O20" s="1469" t="s">
        <v>2151</v>
      </c>
      <c r="P20" s="1490">
        <v>1</v>
      </c>
      <c r="Q20" s="1499">
        <f>8/15</f>
        <v>0.53333333333333333</v>
      </c>
      <c r="R20" s="1492" t="s">
        <v>3255</v>
      </c>
      <c r="S20" s="1492" t="s">
        <v>3256</v>
      </c>
      <c r="T20" s="1492" t="s">
        <v>3257</v>
      </c>
      <c r="U20" s="1500">
        <v>562820733</v>
      </c>
      <c r="V20" s="1472"/>
      <c r="W20" s="1472"/>
      <c r="X20" s="1472"/>
      <c r="Y20" s="1472">
        <v>8</v>
      </c>
      <c r="Z20" s="1472"/>
      <c r="AA20" s="1472"/>
      <c r="AB20" s="1472"/>
      <c r="AC20" s="1472"/>
      <c r="AD20" s="1472"/>
      <c r="AE20" s="1472"/>
      <c r="AF20" s="1472"/>
      <c r="AG20" s="1472"/>
      <c r="AH20" s="1472"/>
      <c r="AI20" s="1472"/>
      <c r="AJ20" s="1472"/>
      <c r="AK20" s="1472"/>
      <c r="AL20" s="1472"/>
      <c r="AM20" s="1472"/>
      <c r="AN20" s="1472"/>
      <c r="AO20" s="1472"/>
      <c r="AP20" s="1472"/>
      <c r="AQ20" s="1472"/>
      <c r="AR20" s="1472"/>
      <c r="AS20" s="1472"/>
      <c r="AT20" s="1472"/>
      <c r="AU20" s="1472"/>
      <c r="AV20" s="1472"/>
      <c r="AW20" s="1472"/>
      <c r="AX20" s="1472"/>
      <c r="AY20" s="1473"/>
      <c r="AZ20" s="1473"/>
      <c r="BA20" s="1473"/>
      <c r="BB20" s="1473"/>
      <c r="BC20" s="1473"/>
      <c r="BD20" s="1473"/>
      <c r="BE20" s="1473"/>
      <c r="BF20" s="1473"/>
      <c r="BG20" s="1473"/>
      <c r="BH20" s="1474"/>
      <c r="BI20" s="1468" t="s">
        <v>3257</v>
      </c>
      <c r="BJ20" s="1459">
        <v>0.53</v>
      </c>
      <c r="BK20" s="1475" t="s">
        <v>8748</v>
      </c>
      <c r="BL20" s="1475" t="s">
        <v>8748</v>
      </c>
      <c r="BM20" s="1167">
        <v>1</v>
      </c>
      <c r="BN20" s="15190"/>
      <c r="BO20" s="1513" t="s">
        <v>8751</v>
      </c>
      <c r="BP20" s="1495" t="s">
        <v>3256</v>
      </c>
      <c r="BQ20" s="1495" t="s">
        <v>8763</v>
      </c>
      <c r="BR20" s="1498">
        <v>95700000</v>
      </c>
      <c r="BS20" s="1465" t="s">
        <v>2943</v>
      </c>
      <c r="BT20" s="1465"/>
      <c r="BU20" s="1465"/>
      <c r="BV20" s="1465"/>
      <c r="BW20" s="1465"/>
      <c r="BX20" s="1465"/>
      <c r="BY20" s="1465"/>
      <c r="BZ20" s="1496" t="s">
        <v>9749</v>
      </c>
      <c r="CA20" s="1465" t="s">
        <v>9759</v>
      </c>
      <c r="CB20" s="1465"/>
      <c r="CC20" s="1465"/>
      <c r="CD20" s="1465"/>
      <c r="CE20" s="1465"/>
      <c r="CF20" s="1465"/>
      <c r="CG20" s="1465"/>
      <c r="CH20" s="1465"/>
      <c r="CI20" s="1465"/>
      <c r="CJ20" s="1465"/>
      <c r="CK20" s="1465"/>
      <c r="CL20" s="1465"/>
      <c r="CM20" s="1465"/>
      <c r="CN20" s="1465"/>
      <c r="CO20" s="1465"/>
      <c r="CP20" s="1465"/>
      <c r="CQ20" s="1465"/>
      <c r="CR20" s="1465"/>
      <c r="CS20" s="1465"/>
      <c r="CT20" s="1465"/>
      <c r="CU20" s="1465"/>
      <c r="CV20" s="1465" t="s">
        <v>9760</v>
      </c>
      <c r="CW20" s="1465" t="s">
        <v>9761</v>
      </c>
      <c r="CX20" s="1465" t="s">
        <v>2951</v>
      </c>
      <c r="CY20" s="1465" t="s">
        <v>9751</v>
      </c>
      <c r="CZ20" s="1465" t="s">
        <v>9762</v>
      </c>
      <c r="DA20" s="1465"/>
      <c r="DB20" s="1465"/>
      <c r="DC20" s="1465"/>
      <c r="DD20" s="1465"/>
      <c r="DE20" s="1478"/>
      <c r="DG20" s="4586"/>
      <c r="DH20" s="2704"/>
      <c r="DI20" s="2704"/>
      <c r="DJ20" s="2704"/>
      <c r="DK20" s="2704"/>
      <c r="DL20" s="2704"/>
      <c r="DM20" s="2704"/>
      <c r="DN20" s="2704"/>
      <c r="DO20" s="2704"/>
      <c r="DP20" s="2704"/>
      <c r="DQ20" s="2704"/>
      <c r="DR20" s="2704"/>
      <c r="DS20" s="2704"/>
      <c r="DT20" s="2704"/>
      <c r="DU20" s="2704"/>
      <c r="DV20" s="2704"/>
      <c r="DW20" s="2704"/>
      <c r="DX20" s="2704"/>
      <c r="DY20" s="2704"/>
      <c r="DZ20" s="2704"/>
      <c r="EA20" s="2704"/>
      <c r="EB20" s="2704"/>
      <c r="EC20" s="2704"/>
      <c r="ED20" s="2704"/>
      <c r="EE20" s="2704"/>
      <c r="EF20" s="2704"/>
      <c r="EG20" s="2704"/>
      <c r="EH20" s="2704"/>
      <c r="EI20" s="2704"/>
      <c r="EJ20" s="2704"/>
      <c r="EK20" s="2704"/>
      <c r="EL20" s="2704"/>
      <c r="EM20" s="2704"/>
      <c r="EN20" s="2704"/>
      <c r="EO20" s="2704"/>
      <c r="EP20" s="2704"/>
      <c r="EQ20" s="2704"/>
      <c r="ER20" s="2704"/>
      <c r="ES20" s="2704"/>
      <c r="ET20" s="2704"/>
      <c r="EU20" s="2704"/>
      <c r="EV20" s="2704"/>
      <c r="EW20" s="2704"/>
      <c r="EX20" s="2704"/>
      <c r="EY20" s="2704"/>
      <c r="EZ20" s="3107"/>
    </row>
    <row r="21" spans="1:198" s="1467" customFormat="1" ht="15" customHeight="1">
      <c r="A21" s="3169"/>
      <c r="B21" s="4496" t="s">
        <v>2152</v>
      </c>
      <c r="C21" s="15321" t="s">
        <v>4892</v>
      </c>
      <c r="D21" s="3165" t="s">
        <v>2153</v>
      </c>
      <c r="E21" s="4489" t="s">
        <v>2154</v>
      </c>
      <c r="F21" s="4489" t="s">
        <v>2155</v>
      </c>
      <c r="G21" s="3104" t="s">
        <v>2157</v>
      </c>
      <c r="H21" s="2717" t="s">
        <v>26</v>
      </c>
      <c r="I21" s="4147" t="s">
        <v>390</v>
      </c>
      <c r="J21" s="4557"/>
      <c r="K21" s="4523">
        <v>6</v>
      </c>
      <c r="L21" s="1468">
        <v>2011</v>
      </c>
      <c r="M21" s="1468" t="s">
        <v>2156</v>
      </c>
      <c r="N21" s="1475">
        <v>5</v>
      </c>
      <c r="O21" s="1468" t="s">
        <v>2157</v>
      </c>
      <c r="P21" s="1511">
        <v>0.3</v>
      </c>
      <c r="Q21" s="1472">
        <v>7</v>
      </c>
      <c r="R21" s="1492" t="s">
        <v>3258</v>
      </c>
      <c r="S21" s="1492" t="s">
        <v>3259</v>
      </c>
      <c r="T21" s="1472"/>
      <c r="U21" s="15222">
        <v>231699000</v>
      </c>
      <c r="V21" s="15222">
        <v>231699000</v>
      </c>
      <c r="W21" s="1472">
        <v>0</v>
      </c>
      <c r="X21" s="1472">
        <v>0</v>
      </c>
      <c r="Y21" s="1492">
        <v>22</v>
      </c>
      <c r="Z21" s="1472"/>
      <c r="AA21" s="1472"/>
      <c r="AB21" s="1472"/>
      <c r="AC21" s="1472"/>
      <c r="AD21" s="1472"/>
      <c r="AE21" s="1472"/>
      <c r="AF21" s="1472"/>
      <c r="AG21" s="1472"/>
      <c r="AH21" s="1472"/>
      <c r="AI21" s="1472"/>
      <c r="AJ21" s="1472"/>
      <c r="AK21" s="1472"/>
      <c r="AL21" s="1472"/>
      <c r="AM21" s="1472"/>
      <c r="AN21" s="1472"/>
      <c r="AO21" s="1472"/>
      <c r="AP21" s="1472"/>
      <c r="AQ21" s="1472"/>
      <c r="AR21" s="1472"/>
      <c r="AS21" s="1472"/>
      <c r="AT21" s="1472"/>
      <c r="AU21" s="1472"/>
      <c r="AV21" s="1472"/>
      <c r="AW21" s="1472"/>
      <c r="AX21" s="1472"/>
      <c r="AY21" s="1473"/>
      <c r="AZ21" s="1473"/>
      <c r="BA21" s="1473"/>
      <c r="BB21" s="1473"/>
      <c r="BC21" s="1473"/>
      <c r="BD21" s="1473"/>
      <c r="BE21" s="1473"/>
      <c r="BF21" s="1473"/>
      <c r="BG21" s="1473"/>
      <c r="BH21" s="1474"/>
      <c r="BI21" s="1475">
        <v>7</v>
      </c>
      <c r="BJ21" s="1459">
        <v>1</v>
      </c>
      <c r="BK21" s="1475">
        <v>2</v>
      </c>
      <c r="BL21" s="1475">
        <v>2</v>
      </c>
      <c r="BM21" s="1167">
        <v>1</v>
      </c>
      <c r="BN21" s="15190"/>
      <c r="BO21" s="1514" t="s">
        <v>8752</v>
      </c>
      <c r="BP21" s="1496" t="s">
        <v>8764</v>
      </c>
      <c r="BQ21" s="1496" t="s">
        <v>8765</v>
      </c>
      <c r="BR21" s="1496" t="s">
        <v>9744</v>
      </c>
      <c r="BS21" s="1465" t="s">
        <v>2943</v>
      </c>
      <c r="BT21" s="1465"/>
      <c r="BU21" s="1465"/>
      <c r="BV21" s="1465"/>
      <c r="BW21" s="1465"/>
      <c r="BX21" s="1465"/>
      <c r="BY21" s="1465"/>
      <c r="BZ21" s="1465"/>
      <c r="CA21" s="1465" t="s">
        <v>9759</v>
      </c>
      <c r="CB21" s="1465"/>
      <c r="CC21" s="1465"/>
      <c r="CD21" s="1465"/>
      <c r="CE21" s="1465"/>
      <c r="CF21" s="1465"/>
      <c r="CG21" s="1465"/>
      <c r="CH21" s="1465"/>
      <c r="CI21" s="1465"/>
      <c r="CJ21" s="1465"/>
      <c r="CK21" s="1465"/>
      <c r="CL21" s="1465"/>
      <c r="CM21" s="1465"/>
      <c r="CN21" s="1465"/>
      <c r="CO21" s="1465"/>
      <c r="CP21" s="1465"/>
      <c r="CQ21" s="1465"/>
      <c r="CR21" s="1465"/>
      <c r="CS21" s="1465"/>
      <c r="CT21" s="1465"/>
      <c r="CU21" s="1465"/>
      <c r="CV21" s="1465" t="s">
        <v>9763</v>
      </c>
      <c r="CW21" s="1465" t="s">
        <v>9761</v>
      </c>
      <c r="CX21" s="1465"/>
      <c r="CY21" s="1465" t="s">
        <v>9751</v>
      </c>
      <c r="CZ21" s="1465" t="s">
        <v>9762</v>
      </c>
      <c r="DA21" s="1465"/>
      <c r="DB21" s="1465"/>
      <c r="DC21" s="1465"/>
      <c r="DD21" s="1465"/>
      <c r="DE21" s="1478"/>
      <c r="DG21" s="4586"/>
      <c r="DH21" s="2704"/>
      <c r="DI21" s="2704"/>
      <c r="DJ21" s="2704"/>
      <c r="DK21" s="2704"/>
      <c r="DL21" s="2704"/>
      <c r="DM21" s="2704"/>
      <c r="DN21" s="2704"/>
      <c r="DO21" s="2704"/>
      <c r="DP21" s="2704"/>
      <c r="DQ21" s="2704"/>
      <c r="DR21" s="2704"/>
      <c r="DS21" s="2704"/>
      <c r="DT21" s="2704"/>
      <c r="DU21" s="2704"/>
      <c r="DV21" s="2704"/>
      <c r="DW21" s="2704"/>
      <c r="DX21" s="2704"/>
      <c r="DY21" s="2704"/>
      <c r="DZ21" s="2704"/>
      <c r="EA21" s="2704"/>
      <c r="EB21" s="2704"/>
      <c r="EC21" s="2704"/>
      <c r="ED21" s="2704"/>
      <c r="EE21" s="2704"/>
      <c r="EF21" s="2704"/>
      <c r="EG21" s="2704"/>
      <c r="EH21" s="2704"/>
      <c r="EI21" s="2704"/>
      <c r="EJ21" s="2704"/>
      <c r="EK21" s="2704"/>
      <c r="EL21" s="2704"/>
      <c r="EM21" s="2704"/>
      <c r="EN21" s="2704"/>
      <c r="EO21" s="2704"/>
      <c r="EP21" s="2704"/>
      <c r="EQ21" s="2704"/>
      <c r="ER21" s="2704"/>
      <c r="ES21" s="2704"/>
      <c r="ET21" s="2704"/>
      <c r="EU21" s="2704"/>
      <c r="EV21" s="2704"/>
      <c r="EW21" s="2704"/>
      <c r="EX21" s="2704"/>
      <c r="EY21" s="2704"/>
      <c r="EZ21" s="3107"/>
    </row>
    <row r="22" spans="1:198" s="1467" customFormat="1" ht="15" customHeight="1">
      <c r="A22" s="3169"/>
      <c r="B22" s="4496"/>
      <c r="C22" s="15322"/>
      <c r="D22" s="3165"/>
      <c r="E22" s="4489" t="s">
        <v>2158</v>
      </c>
      <c r="F22" s="4489" t="s">
        <v>2159</v>
      </c>
      <c r="G22" s="2717">
        <v>5</v>
      </c>
      <c r="H22" s="2717" t="s">
        <v>26</v>
      </c>
      <c r="I22" s="4147" t="s">
        <v>390</v>
      </c>
      <c r="J22" s="4557"/>
      <c r="K22" s="4520"/>
      <c r="L22" s="1469"/>
      <c r="M22" s="1469"/>
      <c r="N22" s="1479">
        <v>5</v>
      </c>
      <c r="O22" s="1479">
        <v>5</v>
      </c>
      <c r="P22" s="1481">
        <v>5</v>
      </c>
      <c r="Q22" s="1472">
        <v>18</v>
      </c>
      <c r="R22" s="1492" t="s">
        <v>3260</v>
      </c>
      <c r="S22" s="1492" t="s">
        <v>3261</v>
      </c>
      <c r="T22" s="1472"/>
      <c r="U22" s="15223"/>
      <c r="V22" s="15223"/>
      <c r="W22" s="1472">
        <v>0</v>
      </c>
      <c r="X22" s="1472">
        <v>0</v>
      </c>
      <c r="Y22" s="1492">
        <v>573</v>
      </c>
      <c r="Z22" s="1472"/>
      <c r="AA22" s="1472"/>
      <c r="AB22" s="1472"/>
      <c r="AC22" s="1472"/>
      <c r="AD22" s="1472"/>
      <c r="AE22" s="1472"/>
      <c r="AF22" s="1472"/>
      <c r="AG22" s="1472"/>
      <c r="AH22" s="1472"/>
      <c r="AI22" s="1472"/>
      <c r="AJ22" s="1472"/>
      <c r="AK22" s="1472"/>
      <c r="AL22" s="1472"/>
      <c r="AM22" s="1472"/>
      <c r="AN22" s="1472"/>
      <c r="AO22" s="1472"/>
      <c r="AP22" s="1472"/>
      <c r="AQ22" s="1472"/>
      <c r="AR22" s="1472"/>
      <c r="AS22" s="1472"/>
      <c r="AT22" s="1472"/>
      <c r="AU22" s="1472"/>
      <c r="AV22" s="1472"/>
      <c r="AW22" s="1472"/>
      <c r="AX22" s="1472"/>
      <c r="AY22" s="1473"/>
      <c r="AZ22" s="1473"/>
      <c r="BA22" s="1473"/>
      <c r="BB22" s="1473"/>
      <c r="BC22" s="1473"/>
      <c r="BD22" s="1473"/>
      <c r="BE22" s="1473"/>
      <c r="BF22" s="1473"/>
      <c r="BG22" s="1473"/>
      <c r="BH22" s="1474"/>
      <c r="BI22" s="1515">
        <v>18</v>
      </c>
      <c r="BJ22" s="1459">
        <v>1</v>
      </c>
      <c r="BK22" s="1475">
        <v>7</v>
      </c>
      <c r="BL22" s="1475">
        <v>7</v>
      </c>
      <c r="BM22" s="1167">
        <v>1</v>
      </c>
      <c r="BN22" s="15190"/>
      <c r="BO22" s="1514" t="s">
        <v>8753</v>
      </c>
      <c r="BP22" s="1495" t="s">
        <v>3261</v>
      </c>
      <c r="BQ22" s="1465"/>
      <c r="BR22" s="1498">
        <v>0</v>
      </c>
      <c r="BS22" s="1465"/>
      <c r="BT22" s="1465"/>
      <c r="BU22" s="1465"/>
      <c r="BV22" s="1465"/>
      <c r="BW22" s="1465"/>
      <c r="BX22" s="1465"/>
      <c r="BY22" s="1465"/>
      <c r="BZ22" s="1465"/>
      <c r="CA22" s="1465"/>
      <c r="CB22" s="1465"/>
      <c r="CC22" s="1465"/>
      <c r="CD22" s="1465"/>
      <c r="CE22" s="1465"/>
      <c r="CF22" s="1465"/>
      <c r="CG22" s="1465"/>
      <c r="CH22" s="1465"/>
      <c r="CI22" s="1465"/>
      <c r="CJ22" s="1465"/>
      <c r="CK22" s="1465"/>
      <c r="CL22" s="1465"/>
      <c r="CM22" s="1465"/>
      <c r="CN22" s="1465"/>
      <c r="CO22" s="1465"/>
      <c r="CP22" s="1465"/>
      <c r="CQ22" s="1465"/>
      <c r="CR22" s="1465"/>
      <c r="CS22" s="1465"/>
      <c r="CT22" s="1465"/>
      <c r="CU22" s="1465"/>
      <c r="CV22" s="1465"/>
      <c r="CW22" s="1465"/>
      <c r="CX22" s="1465"/>
      <c r="CY22" s="1465"/>
      <c r="CZ22" s="1465"/>
      <c r="DA22" s="1465"/>
      <c r="DB22" s="1465"/>
      <c r="DC22" s="1465"/>
      <c r="DD22" s="1465"/>
      <c r="DE22" s="1478"/>
      <c r="DG22" s="4586"/>
      <c r="DH22" s="2704"/>
      <c r="DI22" s="2704"/>
      <c r="DJ22" s="2704"/>
      <c r="DK22" s="2704"/>
      <c r="DL22" s="2704"/>
      <c r="DM22" s="2704"/>
      <c r="DN22" s="2704"/>
      <c r="DO22" s="2704"/>
      <c r="DP22" s="2704"/>
      <c r="DQ22" s="2704"/>
      <c r="DR22" s="2704"/>
      <c r="DS22" s="2704"/>
      <c r="DT22" s="2704"/>
      <c r="DU22" s="2704"/>
      <c r="DV22" s="2704"/>
      <c r="DW22" s="2704"/>
      <c r="DX22" s="2704"/>
      <c r="DY22" s="2704"/>
      <c r="DZ22" s="2704"/>
      <c r="EA22" s="2704"/>
      <c r="EB22" s="2704"/>
      <c r="EC22" s="2704"/>
      <c r="ED22" s="2704"/>
      <c r="EE22" s="2704"/>
      <c r="EF22" s="2704"/>
      <c r="EG22" s="2704"/>
      <c r="EH22" s="2704"/>
      <c r="EI22" s="2704"/>
      <c r="EJ22" s="2704"/>
      <c r="EK22" s="2704"/>
      <c r="EL22" s="2704"/>
      <c r="EM22" s="2704"/>
      <c r="EN22" s="2704"/>
      <c r="EO22" s="2704"/>
      <c r="EP22" s="2704"/>
      <c r="EQ22" s="2704"/>
      <c r="ER22" s="2704"/>
      <c r="ES22" s="2704"/>
      <c r="ET22" s="2704"/>
      <c r="EU22" s="2704"/>
      <c r="EV22" s="2704"/>
      <c r="EW22" s="2704"/>
      <c r="EX22" s="2704"/>
      <c r="EY22" s="2704"/>
      <c r="EZ22" s="3107"/>
    </row>
    <row r="23" spans="1:198" s="1467" customFormat="1" ht="15" customHeight="1" thickBot="1">
      <c r="A23" s="3170"/>
      <c r="B23" s="4497"/>
      <c r="C23" s="15331"/>
      <c r="D23" s="3166"/>
      <c r="E23" s="1516" t="s">
        <v>2160</v>
      </c>
      <c r="F23" s="1516" t="s">
        <v>390</v>
      </c>
      <c r="G23" s="1517">
        <f>0.9/4</f>
        <v>0.22500000000000001</v>
      </c>
      <c r="H23" s="1517" t="s">
        <v>26</v>
      </c>
      <c r="I23" s="4148" t="s">
        <v>390</v>
      </c>
      <c r="J23" s="4584"/>
      <c r="K23" s="4524"/>
      <c r="L23" s="1518"/>
      <c r="M23" s="1518"/>
      <c r="N23" s="1517">
        <f>0.9/4</f>
        <v>0.22500000000000001</v>
      </c>
      <c r="O23" s="1517">
        <f>0.9/4</f>
        <v>0.22500000000000001</v>
      </c>
      <c r="P23" s="1517">
        <f>0.9/4</f>
        <v>0.22500000000000001</v>
      </c>
      <c r="Q23" s="1519">
        <v>0.1153</v>
      </c>
      <c r="R23" s="1520" t="s">
        <v>3262</v>
      </c>
      <c r="S23" s="1518" t="s">
        <v>3263</v>
      </c>
      <c r="T23" s="1518" t="s">
        <v>3264</v>
      </c>
      <c r="U23" s="1521" t="s">
        <v>2951</v>
      </c>
      <c r="V23" s="1521"/>
      <c r="W23" s="1521"/>
      <c r="X23" s="1521"/>
      <c r="Y23" s="1521" t="s">
        <v>2951</v>
      </c>
      <c r="Z23" s="1521"/>
      <c r="AA23" s="1521"/>
      <c r="AB23" s="1521"/>
      <c r="AC23" s="1521"/>
      <c r="AD23" s="1521"/>
      <c r="AE23" s="1521"/>
      <c r="AF23" s="1521"/>
      <c r="AG23" s="1521"/>
      <c r="AH23" s="1521"/>
      <c r="AI23" s="1521"/>
      <c r="AJ23" s="1521"/>
      <c r="AK23" s="1521"/>
      <c r="AL23" s="1521"/>
      <c r="AM23" s="1521"/>
      <c r="AN23" s="1521"/>
      <c r="AO23" s="1521"/>
      <c r="AP23" s="1521"/>
      <c r="AQ23" s="1521"/>
      <c r="AR23" s="1521"/>
      <c r="AS23" s="1521"/>
      <c r="AT23" s="1521"/>
      <c r="AU23" s="1521"/>
      <c r="AV23" s="1521"/>
      <c r="AW23" s="1521"/>
      <c r="AX23" s="1521"/>
      <c r="AY23" s="1522"/>
      <c r="AZ23" s="1522"/>
      <c r="BA23" s="1522"/>
      <c r="BB23" s="1522"/>
      <c r="BC23" s="1522"/>
      <c r="BD23" s="1522"/>
      <c r="BE23" s="1522"/>
      <c r="BF23" s="1522"/>
      <c r="BG23" s="1522"/>
      <c r="BH23" s="1523"/>
      <c r="BI23" s="1524">
        <v>0.1153</v>
      </c>
      <c r="BJ23" s="1525">
        <v>1</v>
      </c>
      <c r="BK23" s="1526">
        <v>0.9</v>
      </c>
      <c r="BL23" s="1526">
        <v>0.9</v>
      </c>
      <c r="BM23" s="1167">
        <v>1</v>
      </c>
      <c r="BN23" s="15191"/>
      <c r="BO23" s="1527" t="s">
        <v>8754</v>
      </c>
      <c r="BP23" s="1528"/>
      <c r="BQ23" s="1496" t="s">
        <v>8759</v>
      </c>
      <c r="BR23" s="1529">
        <v>35000000</v>
      </c>
      <c r="BS23" s="1530" t="s">
        <v>2943</v>
      </c>
      <c r="BT23" s="1530"/>
      <c r="BU23" s="1530"/>
      <c r="BV23" s="1530"/>
      <c r="BW23" s="1530"/>
      <c r="BX23" s="1530"/>
      <c r="BY23" s="1530"/>
      <c r="BZ23" s="1530"/>
      <c r="CA23" s="1530"/>
      <c r="CB23" s="1530"/>
      <c r="CC23" s="1530"/>
      <c r="CD23" s="1530"/>
      <c r="CE23" s="1530"/>
      <c r="CF23" s="1530"/>
      <c r="CG23" s="1530"/>
      <c r="CH23" s="1530"/>
      <c r="CI23" s="1530"/>
      <c r="CJ23" s="1530"/>
      <c r="CK23" s="1530"/>
      <c r="CL23" s="1530"/>
      <c r="CM23" s="1530"/>
      <c r="CN23" s="1530"/>
      <c r="CO23" s="1530"/>
      <c r="CP23" s="1530"/>
      <c r="CQ23" s="1530"/>
      <c r="CR23" s="1530"/>
      <c r="CS23" s="1530"/>
      <c r="CT23" s="1530"/>
      <c r="CU23" s="1530"/>
      <c r="CV23" s="1530"/>
      <c r="CW23" s="1530"/>
      <c r="CX23" s="1530"/>
      <c r="CY23" s="1530"/>
      <c r="CZ23" s="1530"/>
      <c r="DA23" s="1530"/>
      <c r="DB23" s="1530"/>
      <c r="DC23" s="1530"/>
      <c r="DD23" s="1530"/>
      <c r="DE23" s="1531"/>
      <c r="DG23" s="4608"/>
      <c r="DH23" s="1522"/>
      <c r="DI23" s="1522"/>
      <c r="DJ23" s="1522"/>
      <c r="DK23" s="1522"/>
      <c r="DL23" s="1522"/>
      <c r="DM23" s="1522"/>
      <c r="DN23" s="1522"/>
      <c r="DO23" s="1522"/>
      <c r="DP23" s="1522"/>
      <c r="DQ23" s="1522"/>
      <c r="DR23" s="1522"/>
      <c r="DS23" s="1522"/>
      <c r="DT23" s="1522"/>
      <c r="DU23" s="1522"/>
      <c r="DV23" s="1522"/>
      <c r="DW23" s="1522"/>
      <c r="DX23" s="1522"/>
      <c r="DY23" s="1522"/>
      <c r="DZ23" s="1522"/>
      <c r="EA23" s="1522"/>
      <c r="EB23" s="1522"/>
      <c r="EC23" s="1522"/>
      <c r="ED23" s="1522"/>
      <c r="EE23" s="1522"/>
      <c r="EF23" s="1522"/>
      <c r="EG23" s="1522"/>
      <c r="EH23" s="1522"/>
      <c r="EI23" s="1522"/>
      <c r="EJ23" s="1522"/>
      <c r="EK23" s="1522"/>
      <c r="EL23" s="1522"/>
      <c r="EM23" s="1522"/>
      <c r="EN23" s="1522"/>
      <c r="EO23" s="1522"/>
      <c r="EP23" s="1522"/>
      <c r="EQ23" s="1522"/>
      <c r="ER23" s="1522"/>
      <c r="ES23" s="1522"/>
      <c r="ET23" s="1522"/>
      <c r="EU23" s="1522"/>
      <c r="EV23" s="1522"/>
      <c r="EW23" s="1522"/>
      <c r="EX23" s="1522"/>
      <c r="EY23" s="1522"/>
      <c r="EZ23" s="1523"/>
    </row>
    <row r="24" spans="1:198" s="1544" customFormat="1" ht="15" customHeight="1">
      <c r="A24" s="3171" t="s">
        <v>2161</v>
      </c>
      <c r="B24" s="4498" t="s">
        <v>2162</v>
      </c>
      <c r="C24" s="15332" t="s">
        <v>4893</v>
      </c>
      <c r="D24" s="15329" t="s">
        <v>2163</v>
      </c>
      <c r="E24" s="15329" t="s">
        <v>9811</v>
      </c>
      <c r="F24" s="15329" t="s">
        <v>2164</v>
      </c>
      <c r="G24" s="15327">
        <v>1</v>
      </c>
      <c r="H24" s="4118" t="s">
        <v>26</v>
      </c>
      <c r="I24" s="4116" t="s">
        <v>390</v>
      </c>
      <c r="J24" s="4583"/>
      <c r="K24" s="4525" t="s">
        <v>2165</v>
      </c>
      <c r="L24" s="1533">
        <v>2011</v>
      </c>
      <c r="M24" s="1532">
        <v>0.5</v>
      </c>
      <c r="N24" s="1534"/>
      <c r="O24" s="1532">
        <v>1</v>
      </c>
      <c r="P24" s="1532">
        <v>1</v>
      </c>
      <c r="Q24" s="1535" t="s">
        <v>2951</v>
      </c>
      <c r="R24" s="1535" t="s">
        <v>3241</v>
      </c>
      <c r="S24" s="1535" t="s">
        <v>3241</v>
      </c>
      <c r="T24" s="15269" t="s">
        <v>3265</v>
      </c>
      <c r="U24" s="1535" t="s">
        <v>3241</v>
      </c>
      <c r="V24" s="1535"/>
      <c r="W24" s="1535"/>
      <c r="X24" s="1535"/>
      <c r="Y24" s="1535" t="s">
        <v>3241</v>
      </c>
      <c r="Z24" s="1535"/>
      <c r="AA24" s="1535"/>
      <c r="AB24" s="1535"/>
      <c r="AC24" s="1535"/>
      <c r="AD24" s="1535"/>
      <c r="AE24" s="1535"/>
      <c r="AF24" s="1535"/>
      <c r="AG24" s="1535"/>
      <c r="AH24" s="1535"/>
      <c r="AI24" s="1535"/>
      <c r="AJ24" s="1535"/>
      <c r="AK24" s="1535"/>
      <c r="AL24" s="1535"/>
      <c r="AM24" s="1535"/>
      <c r="AN24" s="1535"/>
      <c r="AO24" s="1535"/>
      <c r="AP24" s="1535"/>
      <c r="AQ24" s="1535"/>
      <c r="AR24" s="1535"/>
      <c r="AS24" s="1535"/>
      <c r="AT24" s="1535"/>
      <c r="AU24" s="1535"/>
      <c r="AV24" s="1535"/>
      <c r="AW24" s="1535"/>
      <c r="AX24" s="1535"/>
      <c r="AY24" s="1536"/>
      <c r="AZ24" s="1536"/>
      <c r="BA24" s="1536"/>
      <c r="BB24" s="1536"/>
      <c r="BC24" s="1536"/>
      <c r="BD24" s="1536"/>
      <c r="BE24" s="1536"/>
      <c r="BF24" s="1536"/>
      <c r="BG24" s="1536"/>
      <c r="BH24" s="1537"/>
      <c r="BI24" s="1538" t="s">
        <v>2951</v>
      </c>
      <c r="BJ24" s="1539" t="s">
        <v>1732</v>
      </c>
      <c r="BK24" s="1538" t="s">
        <v>2951</v>
      </c>
      <c r="BL24" s="1538" t="s">
        <v>2951</v>
      </c>
      <c r="BM24" s="1243" t="s">
        <v>2951</v>
      </c>
      <c r="BN24" s="15192">
        <f>AVERAGE(BM28:BM31)</f>
        <v>0.66666666666666663</v>
      </c>
      <c r="BO24" s="1540" t="s">
        <v>3241</v>
      </c>
      <c r="BP24" s="1541" t="s">
        <v>3241</v>
      </c>
      <c r="BQ24" s="15158" t="s">
        <v>8766</v>
      </c>
      <c r="BR24" s="1542">
        <v>0</v>
      </c>
      <c r="BS24" s="1541"/>
      <c r="BT24" s="1541"/>
      <c r="BU24" s="1541"/>
      <c r="BV24" s="1541"/>
      <c r="BW24" s="1541"/>
      <c r="BX24" s="1541"/>
      <c r="BY24" s="1541"/>
      <c r="BZ24" s="1541"/>
      <c r="CA24" s="1541"/>
      <c r="CB24" s="1541"/>
      <c r="CC24" s="1541"/>
      <c r="CD24" s="1541"/>
      <c r="CE24" s="1541"/>
      <c r="CF24" s="1541"/>
      <c r="CG24" s="1541"/>
      <c r="CH24" s="1541"/>
      <c r="CI24" s="1541"/>
      <c r="CJ24" s="1541"/>
      <c r="CK24" s="1541"/>
      <c r="CL24" s="1541"/>
      <c r="CM24" s="1541"/>
      <c r="CN24" s="1541"/>
      <c r="CO24" s="1541"/>
      <c r="CP24" s="1541"/>
      <c r="CQ24" s="1541"/>
      <c r="CR24" s="1541"/>
      <c r="CS24" s="1541"/>
      <c r="CT24" s="1541"/>
      <c r="CU24" s="1541"/>
      <c r="CV24" s="1541"/>
      <c r="CW24" s="1541"/>
      <c r="CX24" s="1541"/>
      <c r="CY24" s="1541"/>
      <c r="CZ24" s="1541"/>
      <c r="DA24" s="1541"/>
      <c r="DB24" s="1541"/>
      <c r="DC24" s="1541"/>
      <c r="DD24" s="1541"/>
      <c r="DE24" s="1543"/>
      <c r="DG24" s="4607"/>
      <c r="DH24" s="1536"/>
      <c r="DI24" s="1536"/>
      <c r="DJ24" s="1536"/>
      <c r="DK24" s="1536"/>
      <c r="DL24" s="1536"/>
      <c r="DM24" s="1536"/>
      <c r="DN24" s="1536"/>
      <c r="DO24" s="1536"/>
      <c r="DP24" s="1536"/>
      <c r="DQ24" s="1536"/>
      <c r="DR24" s="1536"/>
      <c r="DS24" s="1536"/>
      <c r="DT24" s="1536"/>
      <c r="DU24" s="1536"/>
      <c r="DV24" s="1536"/>
      <c r="DW24" s="1536"/>
      <c r="DX24" s="1536"/>
      <c r="DY24" s="1536"/>
      <c r="DZ24" s="1536"/>
      <c r="EA24" s="1536"/>
      <c r="EB24" s="1536"/>
      <c r="EC24" s="1536"/>
      <c r="ED24" s="1536"/>
      <c r="EE24" s="1536"/>
      <c r="EF24" s="1536"/>
      <c r="EG24" s="1536"/>
      <c r="EH24" s="1536"/>
      <c r="EI24" s="1536"/>
      <c r="EJ24" s="1536"/>
      <c r="EK24" s="1536"/>
      <c r="EL24" s="1536"/>
      <c r="EM24" s="1536"/>
      <c r="EN24" s="1536"/>
      <c r="EO24" s="1536"/>
      <c r="EP24" s="1536"/>
      <c r="EQ24" s="1536"/>
      <c r="ER24" s="1536"/>
      <c r="ES24" s="1536"/>
      <c r="ET24" s="1536"/>
      <c r="EU24" s="1536"/>
      <c r="EV24" s="1536"/>
      <c r="EW24" s="1536"/>
      <c r="EX24" s="1536"/>
      <c r="EY24" s="1536"/>
      <c r="EZ24" s="1537"/>
      <c r="FC24" s="1467"/>
      <c r="FD24" s="1467"/>
      <c r="FE24" s="1467"/>
      <c r="FF24" s="1467"/>
      <c r="FG24" s="1467"/>
      <c r="FH24" s="1467"/>
      <c r="FI24" s="1467"/>
      <c r="FJ24" s="1467"/>
      <c r="FK24" s="1467"/>
      <c r="FL24" s="1467"/>
      <c r="FM24" s="1467"/>
      <c r="FN24" s="1467"/>
      <c r="FO24" s="1467"/>
      <c r="FP24" s="1467"/>
      <c r="FQ24" s="1467"/>
      <c r="FR24" s="1467"/>
      <c r="FS24" s="1467"/>
      <c r="FT24" s="1467"/>
      <c r="FU24" s="1467"/>
      <c r="FV24" s="1467"/>
      <c r="FW24" s="1467"/>
      <c r="FX24" s="1467"/>
      <c r="FY24" s="1467"/>
      <c r="FZ24" s="1467"/>
      <c r="GA24" s="1467"/>
      <c r="GB24" s="1467"/>
      <c r="GC24" s="1467"/>
      <c r="GD24" s="1467"/>
      <c r="GE24" s="1467"/>
      <c r="GF24" s="1467"/>
      <c r="GG24" s="1467"/>
      <c r="GH24" s="1467"/>
      <c r="GI24" s="1467"/>
      <c r="GJ24" s="1467"/>
      <c r="GK24" s="1467"/>
      <c r="GL24" s="1467"/>
      <c r="GM24" s="1467"/>
      <c r="GN24" s="1467"/>
      <c r="GO24" s="1467"/>
      <c r="GP24" s="1467"/>
    </row>
    <row r="25" spans="1:198" s="1544" customFormat="1" ht="15" customHeight="1">
      <c r="A25" s="3172"/>
      <c r="B25" s="4499"/>
      <c r="C25" s="15333"/>
      <c r="D25" s="15330"/>
      <c r="E25" s="15330"/>
      <c r="F25" s="15330"/>
      <c r="G25" s="15328"/>
      <c r="H25" s="3128" t="s">
        <v>10063</v>
      </c>
      <c r="I25" s="4146"/>
      <c r="J25" s="4558" t="s">
        <v>2187</v>
      </c>
      <c r="K25" s="4526"/>
      <c r="L25" s="3036"/>
      <c r="M25" s="2718"/>
      <c r="N25" s="3125"/>
      <c r="O25" s="2718"/>
      <c r="P25" s="2718"/>
      <c r="Q25" s="3042"/>
      <c r="R25" s="3042"/>
      <c r="S25" s="3042"/>
      <c r="T25" s="15270"/>
      <c r="U25" s="3042"/>
      <c r="V25" s="3042"/>
      <c r="W25" s="3042"/>
      <c r="X25" s="3042"/>
      <c r="Y25" s="3042"/>
      <c r="Z25" s="3042"/>
      <c r="AA25" s="3042"/>
      <c r="AB25" s="3042"/>
      <c r="AC25" s="3042"/>
      <c r="AD25" s="3042"/>
      <c r="AE25" s="3042"/>
      <c r="AF25" s="3042"/>
      <c r="AG25" s="3042"/>
      <c r="AH25" s="3042"/>
      <c r="AI25" s="3042"/>
      <c r="AJ25" s="3042"/>
      <c r="AK25" s="3042"/>
      <c r="AL25" s="3042"/>
      <c r="AM25" s="3042"/>
      <c r="AN25" s="3042"/>
      <c r="AO25" s="3042"/>
      <c r="AP25" s="3042"/>
      <c r="AQ25" s="3042"/>
      <c r="AR25" s="3042"/>
      <c r="AS25" s="3042"/>
      <c r="AT25" s="3042"/>
      <c r="AU25" s="3042"/>
      <c r="AV25" s="3042"/>
      <c r="AW25" s="3042"/>
      <c r="AX25" s="3042"/>
      <c r="AY25" s="1536"/>
      <c r="AZ25" s="1536"/>
      <c r="BA25" s="1536"/>
      <c r="BB25" s="1536"/>
      <c r="BC25" s="1536"/>
      <c r="BD25" s="1536"/>
      <c r="BE25" s="1536"/>
      <c r="BF25" s="1536"/>
      <c r="BG25" s="1536"/>
      <c r="BH25" s="1537"/>
      <c r="BI25" s="3036"/>
      <c r="BJ25" s="1552"/>
      <c r="BK25" s="3036"/>
      <c r="BL25" s="3036"/>
      <c r="BM25" s="3126"/>
      <c r="BN25" s="15193"/>
      <c r="BO25" s="1540"/>
      <c r="BP25" s="1541"/>
      <c r="BQ25" s="15159"/>
      <c r="BR25" s="1542"/>
      <c r="BS25" s="1541"/>
      <c r="BT25" s="1541"/>
      <c r="BU25" s="1541"/>
      <c r="BV25" s="1541"/>
      <c r="BW25" s="1541"/>
      <c r="BX25" s="1541"/>
      <c r="BY25" s="1541"/>
      <c r="BZ25" s="1541"/>
      <c r="CA25" s="1541"/>
      <c r="CB25" s="1541"/>
      <c r="CC25" s="1541"/>
      <c r="CD25" s="1541"/>
      <c r="CE25" s="1541"/>
      <c r="CF25" s="1541"/>
      <c r="CG25" s="1541"/>
      <c r="CH25" s="1541"/>
      <c r="CI25" s="1541"/>
      <c r="CJ25" s="1541"/>
      <c r="CK25" s="1541"/>
      <c r="CL25" s="1541"/>
      <c r="CM25" s="1541"/>
      <c r="CN25" s="1541"/>
      <c r="CO25" s="1541"/>
      <c r="CP25" s="1541"/>
      <c r="CQ25" s="1541"/>
      <c r="CR25" s="1541"/>
      <c r="CS25" s="1541"/>
      <c r="CT25" s="1541"/>
      <c r="CU25" s="1541"/>
      <c r="CV25" s="1541"/>
      <c r="CW25" s="1541"/>
      <c r="CX25" s="1541"/>
      <c r="CY25" s="1541"/>
      <c r="CZ25" s="1541"/>
      <c r="DA25" s="1541"/>
      <c r="DB25" s="1541"/>
      <c r="DC25" s="1541"/>
      <c r="DD25" s="1541"/>
      <c r="DE25" s="1543"/>
      <c r="DG25" s="4587"/>
      <c r="DH25" s="2501"/>
      <c r="DI25" s="2501"/>
      <c r="DJ25" s="2501"/>
      <c r="DK25" s="2501"/>
      <c r="DL25" s="2501"/>
      <c r="DM25" s="2501"/>
      <c r="DN25" s="2501"/>
      <c r="DO25" s="2501"/>
      <c r="DP25" s="2501"/>
      <c r="DQ25" s="2501"/>
      <c r="DR25" s="2501"/>
      <c r="DS25" s="2501"/>
      <c r="DT25" s="2501"/>
      <c r="DU25" s="2501"/>
      <c r="DV25" s="2501"/>
      <c r="DW25" s="2501"/>
      <c r="DX25" s="2501"/>
      <c r="DY25" s="2501"/>
      <c r="DZ25" s="2501"/>
      <c r="EA25" s="2501"/>
      <c r="EB25" s="2501"/>
      <c r="EC25" s="2501"/>
      <c r="ED25" s="2501"/>
      <c r="EE25" s="2501"/>
      <c r="EF25" s="2501"/>
      <c r="EG25" s="2501"/>
      <c r="EH25" s="2501"/>
      <c r="EI25" s="2501"/>
      <c r="EJ25" s="2501"/>
      <c r="EK25" s="2501"/>
      <c r="EL25" s="2501"/>
      <c r="EM25" s="2501"/>
      <c r="EN25" s="2501"/>
      <c r="EO25" s="2501"/>
      <c r="EP25" s="2501"/>
      <c r="EQ25" s="2501"/>
      <c r="ER25" s="2501"/>
      <c r="ES25" s="2501"/>
      <c r="ET25" s="2501"/>
      <c r="EU25" s="2501"/>
      <c r="EV25" s="2501"/>
      <c r="EW25" s="2501"/>
      <c r="EX25" s="2501"/>
      <c r="EY25" s="2501"/>
      <c r="EZ25" s="3131"/>
    </row>
    <row r="26" spans="1:198" s="1544" customFormat="1" ht="15" customHeight="1">
      <c r="A26" s="3173"/>
      <c r="B26" s="4500"/>
      <c r="C26" s="15333"/>
      <c r="D26" s="15330"/>
      <c r="E26" s="15330" t="s">
        <v>9812</v>
      </c>
      <c r="F26" s="15330" t="s">
        <v>2164</v>
      </c>
      <c r="G26" s="15328">
        <v>1</v>
      </c>
      <c r="H26" s="3128" t="s">
        <v>26</v>
      </c>
      <c r="I26" s="4146" t="s">
        <v>390</v>
      </c>
      <c r="J26" s="4558"/>
      <c r="K26" s="4527" t="s">
        <v>2166</v>
      </c>
      <c r="L26" s="1546">
        <v>2011</v>
      </c>
      <c r="M26" s="1545">
        <v>0.5</v>
      </c>
      <c r="N26" s="1547"/>
      <c r="O26" s="1545">
        <v>1</v>
      </c>
      <c r="P26" s="1548">
        <v>1</v>
      </c>
      <c r="Q26" s="1549" t="s">
        <v>2951</v>
      </c>
      <c r="R26" s="1535" t="s">
        <v>3241</v>
      </c>
      <c r="S26" s="1535" t="s">
        <v>3241</v>
      </c>
      <c r="T26" s="15271"/>
      <c r="U26" s="1535" t="s">
        <v>3241</v>
      </c>
      <c r="V26" s="1549"/>
      <c r="W26" s="1549"/>
      <c r="X26" s="1549"/>
      <c r="Y26" s="1535" t="s">
        <v>3241</v>
      </c>
      <c r="Z26" s="1549"/>
      <c r="AA26" s="1549"/>
      <c r="AB26" s="1549"/>
      <c r="AC26" s="1549"/>
      <c r="AD26" s="1549"/>
      <c r="AE26" s="1549"/>
      <c r="AF26" s="1549"/>
      <c r="AG26" s="1549"/>
      <c r="AH26" s="1549"/>
      <c r="AI26" s="1549"/>
      <c r="AJ26" s="1549"/>
      <c r="AK26" s="1549"/>
      <c r="AL26" s="1549"/>
      <c r="AM26" s="1549"/>
      <c r="AN26" s="1549"/>
      <c r="AO26" s="1549"/>
      <c r="AP26" s="1549"/>
      <c r="AQ26" s="1549"/>
      <c r="AR26" s="1549"/>
      <c r="AS26" s="1549"/>
      <c r="AT26" s="1549"/>
      <c r="AU26" s="1549"/>
      <c r="AV26" s="1549"/>
      <c r="AW26" s="1549"/>
      <c r="AX26" s="1549"/>
      <c r="AY26" s="1550"/>
      <c r="AZ26" s="1550"/>
      <c r="BA26" s="1550"/>
      <c r="BB26" s="1550"/>
      <c r="BC26" s="1550"/>
      <c r="BD26" s="1550"/>
      <c r="BE26" s="1550"/>
      <c r="BF26" s="1550"/>
      <c r="BG26" s="1550"/>
      <c r="BH26" s="1551"/>
      <c r="BI26" s="1546" t="s">
        <v>2951</v>
      </c>
      <c r="BJ26" s="1552" t="s">
        <v>1732</v>
      </c>
      <c r="BK26" s="1538" t="s">
        <v>2951</v>
      </c>
      <c r="BL26" s="1538" t="s">
        <v>2951</v>
      </c>
      <c r="BM26" s="1243" t="s">
        <v>2951</v>
      </c>
      <c r="BN26" s="15193"/>
      <c r="BO26" s="1553" t="s">
        <v>3241</v>
      </c>
      <c r="BP26" s="1554" t="s">
        <v>3241</v>
      </c>
      <c r="BQ26" s="15160"/>
      <c r="BR26" s="1555">
        <v>0</v>
      </c>
      <c r="BS26" s="1554"/>
      <c r="BT26" s="1554"/>
      <c r="BU26" s="1554"/>
      <c r="BV26" s="1554"/>
      <c r="BW26" s="1554"/>
      <c r="BX26" s="1554"/>
      <c r="BY26" s="1554"/>
      <c r="BZ26" s="1554"/>
      <c r="CA26" s="1554"/>
      <c r="CB26" s="1554"/>
      <c r="CC26" s="1554"/>
      <c r="CD26" s="1554"/>
      <c r="CE26" s="1554"/>
      <c r="CF26" s="1554"/>
      <c r="CG26" s="1554"/>
      <c r="CH26" s="1554"/>
      <c r="CI26" s="1554"/>
      <c r="CJ26" s="1554"/>
      <c r="CK26" s="1554"/>
      <c r="CL26" s="1554"/>
      <c r="CM26" s="1554"/>
      <c r="CN26" s="1554"/>
      <c r="CO26" s="1554"/>
      <c r="CP26" s="1554"/>
      <c r="CQ26" s="1554"/>
      <c r="CR26" s="1554"/>
      <c r="CS26" s="1554"/>
      <c r="CT26" s="1554"/>
      <c r="CU26" s="1554"/>
      <c r="CV26" s="1554"/>
      <c r="CW26" s="1554"/>
      <c r="CX26" s="1554"/>
      <c r="CY26" s="1554"/>
      <c r="CZ26" s="1554"/>
      <c r="DA26" s="1554"/>
      <c r="DB26" s="1554"/>
      <c r="DC26" s="1554"/>
      <c r="DD26" s="1554"/>
      <c r="DE26" s="1556"/>
      <c r="DG26" s="4587"/>
      <c r="DH26" s="2501"/>
      <c r="DI26" s="2501"/>
      <c r="DJ26" s="2501"/>
      <c r="DK26" s="2501"/>
      <c r="DL26" s="2501"/>
      <c r="DM26" s="2501"/>
      <c r="DN26" s="2501"/>
      <c r="DO26" s="2501"/>
      <c r="DP26" s="2501"/>
      <c r="DQ26" s="2501"/>
      <c r="DR26" s="2501"/>
      <c r="DS26" s="2501"/>
      <c r="DT26" s="2501"/>
      <c r="DU26" s="2501"/>
      <c r="DV26" s="2501"/>
      <c r="DW26" s="2501"/>
      <c r="DX26" s="2501"/>
      <c r="DY26" s="2501"/>
      <c r="DZ26" s="2501"/>
      <c r="EA26" s="2501"/>
      <c r="EB26" s="2501"/>
      <c r="EC26" s="2501"/>
      <c r="ED26" s="2501"/>
      <c r="EE26" s="2501"/>
      <c r="EF26" s="2501"/>
      <c r="EG26" s="2501"/>
      <c r="EH26" s="2501"/>
      <c r="EI26" s="2501"/>
      <c r="EJ26" s="2501"/>
      <c r="EK26" s="2501"/>
      <c r="EL26" s="2501"/>
      <c r="EM26" s="2501"/>
      <c r="EN26" s="2501"/>
      <c r="EO26" s="2501"/>
      <c r="EP26" s="2501"/>
      <c r="EQ26" s="2501"/>
      <c r="ER26" s="2501"/>
      <c r="ES26" s="2501"/>
      <c r="ET26" s="2501"/>
      <c r="EU26" s="2501"/>
      <c r="EV26" s="2501"/>
      <c r="EW26" s="2501"/>
      <c r="EX26" s="2501"/>
      <c r="EY26" s="2501"/>
      <c r="EZ26" s="3131"/>
    </row>
    <row r="27" spans="1:198" s="1544" customFormat="1" ht="15" customHeight="1">
      <c r="A27" s="3173"/>
      <c r="B27" s="4500"/>
      <c r="C27" s="15334"/>
      <c r="D27" s="15330"/>
      <c r="E27" s="15330"/>
      <c r="F27" s="15330"/>
      <c r="G27" s="15328"/>
      <c r="H27" s="3128" t="s">
        <v>10063</v>
      </c>
      <c r="I27" s="4146"/>
      <c r="J27" s="4558" t="s">
        <v>2187</v>
      </c>
      <c r="K27" s="4527"/>
      <c r="L27" s="3129"/>
      <c r="M27" s="3128"/>
      <c r="N27" s="3130"/>
      <c r="O27" s="3128"/>
      <c r="P27" s="3128"/>
      <c r="Q27" s="2716"/>
      <c r="R27" s="3042"/>
      <c r="S27" s="3042"/>
      <c r="T27" s="3009"/>
      <c r="U27" s="3042"/>
      <c r="V27" s="2716"/>
      <c r="W27" s="2716"/>
      <c r="X27" s="2716"/>
      <c r="Y27" s="3042"/>
      <c r="Z27" s="2716"/>
      <c r="AA27" s="2716"/>
      <c r="AB27" s="2716"/>
      <c r="AC27" s="2716"/>
      <c r="AD27" s="2716"/>
      <c r="AE27" s="2716"/>
      <c r="AF27" s="2716"/>
      <c r="AG27" s="2716"/>
      <c r="AH27" s="2716"/>
      <c r="AI27" s="2716"/>
      <c r="AJ27" s="2716"/>
      <c r="AK27" s="2716"/>
      <c r="AL27" s="2716"/>
      <c r="AM27" s="2716"/>
      <c r="AN27" s="2716"/>
      <c r="AO27" s="2716"/>
      <c r="AP27" s="2716"/>
      <c r="AQ27" s="2716"/>
      <c r="AR27" s="2716"/>
      <c r="AS27" s="2716"/>
      <c r="AT27" s="2716"/>
      <c r="AU27" s="2716"/>
      <c r="AV27" s="2716"/>
      <c r="AW27" s="2716"/>
      <c r="AX27" s="2716"/>
      <c r="AY27" s="2501"/>
      <c r="AZ27" s="2501"/>
      <c r="BA27" s="2501"/>
      <c r="BB27" s="2501"/>
      <c r="BC27" s="2501"/>
      <c r="BD27" s="2501"/>
      <c r="BE27" s="2501"/>
      <c r="BF27" s="2501"/>
      <c r="BG27" s="2501"/>
      <c r="BH27" s="3131"/>
      <c r="BI27" s="3129"/>
      <c r="BJ27" s="1552"/>
      <c r="BK27" s="3036"/>
      <c r="BL27" s="3036"/>
      <c r="BM27" s="3126"/>
      <c r="BN27" s="15193"/>
      <c r="BO27" s="3132"/>
      <c r="BP27" s="3133"/>
      <c r="BQ27" s="3013"/>
      <c r="BR27" s="3134"/>
      <c r="BS27" s="3133"/>
      <c r="BT27" s="3133"/>
      <c r="BU27" s="3133"/>
      <c r="BV27" s="3133"/>
      <c r="BW27" s="3133"/>
      <c r="BX27" s="3133"/>
      <c r="BY27" s="3133"/>
      <c r="BZ27" s="3133"/>
      <c r="CA27" s="3133"/>
      <c r="CB27" s="3133"/>
      <c r="CC27" s="3133"/>
      <c r="CD27" s="3133"/>
      <c r="CE27" s="3133"/>
      <c r="CF27" s="3133"/>
      <c r="CG27" s="3133"/>
      <c r="CH27" s="3133"/>
      <c r="CI27" s="3133"/>
      <c r="CJ27" s="3133"/>
      <c r="CK27" s="3133"/>
      <c r="CL27" s="3133"/>
      <c r="CM27" s="3133"/>
      <c r="CN27" s="3133"/>
      <c r="CO27" s="3133"/>
      <c r="CP27" s="3133"/>
      <c r="CQ27" s="3133"/>
      <c r="CR27" s="3133"/>
      <c r="CS27" s="3133"/>
      <c r="CT27" s="3133"/>
      <c r="CU27" s="3133"/>
      <c r="CV27" s="3133"/>
      <c r="CW27" s="3133"/>
      <c r="CX27" s="3133"/>
      <c r="CY27" s="3133"/>
      <c r="CZ27" s="3133"/>
      <c r="DA27" s="3133"/>
      <c r="DB27" s="3133"/>
      <c r="DC27" s="3133"/>
      <c r="DD27" s="3133"/>
      <c r="DE27" s="1556"/>
      <c r="DG27" s="4587"/>
      <c r="DH27" s="2501"/>
      <c r="DI27" s="2501"/>
      <c r="DJ27" s="2501"/>
      <c r="DK27" s="2501"/>
      <c r="DL27" s="2501"/>
      <c r="DM27" s="2501"/>
      <c r="DN27" s="2501"/>
      <c r="DO27" s="2501"/>
      <c r="DP27" s="2501"/>
      <c r="DQ27" s="2501"/>
      <c r="DR27" s="2501"/>
      <c r="DS27" s="2501"/>
      <c r="DT27" s="2501"/>
      <c r="DU27" s="2501"/>
      <c r="DV27" s="2501"/>
      <c r="DW27" s="2501"/>
      <c r="DX27" s="2501"/>
      <c r="DY27" s="2501"/>
      <c r="DZ27" s="2501"/>
      <c r="EA27" s="2501"/>
      <c r="EB27" s="2501"/>
      <c r="EC27" s="2501"/>
      <c r="ED27" s="2501"/>
      <c r="EE27" s="2501"/>
      <c r="EF27" s="2501"/>
      <c r="EG27" s="2501"/>
      <c r="EH27" s="2501"/>
      <c r="EI27" s="2501"/>
      <c r="EJ27" s="2501"/>
      <c r="EK27" s="2501"/>
      <c r="EL27" s="2501"/>
      <c r="EM27" s="2501"/>
      <c r="EN27" s="2501"/>
      <c r="EO27" s="2501"/>
      <c r="EP27" s="2501"/>
      <c r="EQ27" s="2501"/>
      <c r="ER27" s="2501"/>
      <c r="ES27" s="2501"/>
      <c r="ET27" s="2501"/>
      <c r="EU27" s="2501"/>
      <c r="EV27" s="2501"/>
      <c r="EW27" s="2501"/>
      <c r="EX27" s="2501"/>
      <c r="EY27" s="2501"/>
      <c r="EZ27" s="3131"/>
    </row>
    <row r="28" spans="1:198" s="1544" customFormat="1" ht="15" customHeight="1">
      <c r="A28" s="3173"/>
      <c r="B28" s="4500"/>
      <c r="C28" s="4559" t="s">
        <v>4894</v>
      </c>
      <c r="D28" s="2719" t="s">
        <v>2167</v>
      </c>
      <c r="E28" s="2719" t="s">
        <v>2168</v>
      </c>
      <c r="F28" s="2719" t="s">
        <v>2169</v>
      </c>
      <c r="G28" s="4490">
        <v>0.6</v>
      </c>
      <c r="H28" s="4490" t="s">
        <v>26</v>
      </c>
      <c r="I28" s="4146" t="s">
        <v>390</v>
      </c>
      <c r="J28" s="4558"/>
      <c r="K28" s="4527" t="s">
        <v>2170</v>
      </c>
      <c r="L28" s="1558" t="s">
        <v>2170</v>
      </c>
      <c r="M28" s="1559" t="s">
        <v>2171</v>
      </c>
      <c r="N28" s="1547"/>
      <c r="O28" s="1557">
        <v>0.6</v>
      </c>
      <c r="P28" s="1560">
        <v>0.6</v>
      </c>
      <c r="Q28" s="1549">
        <v>16.5</v>
      </c>
      <c r="R28" s="1561" t="s">
        <v>3244</v>
      </c>
      <c r="S28" s="1561" t="s">
        <v>3266</v>
      </c>
      <c r="T28" s="1561" t="s">
        <v>3247</v>
      </c>
      <c r="U28" s="1549" t="s">
        <v>2951</v>
      </c>
      <c r="V28" s="1549" t="s">
        <v>3241</v>
      </c>
      <c r="W28" s="1549" t="s">
        <v>3241</v>
      </c>
      <c r="X28" s="1549" t="s">
        <v>3241</v>
      </c>
      <c r="Y28" s="1549">
        <v>2952</v>
      </c>
      <c r="Z28" s="1549"/>
      <c r="AA28" s="1549"/>
      <c r="AB28" s="1549"/>
      <c r="AC28" s="1549"/>
      <c r="AD28" s="1549"/>
      <c r="AE28" s="1549"/>
      <c r="AF28" s="1549"/>
      <c r="AG28" s="1549"/>
      <c r="AH28" s="1549"/>
      <c r="AI28" s="1549"/>
      <c r="AJ28" s="1549"/>
      <c r="AK28" s="1549"/>
      <c r="AL28" s="1549"/>
      <c r="AM28" s="1549"/>
      <c r="AN28" s="1549"/>
      <c r="AO28" s="1549"/>
      <c r="AP28" s="1549"/>
      <c r="AQ28" s="1549"/>
      <c r="AR28" s="1549"/>
      <c r="AS28" s="1549"/>
      <c r="AT28" s="1549"/>
      <c r="AU28" s="1549"/>
      <c r="AV28" s="1549"/>
      <c r="AW28" s="1549"/>
      <c r="AX28" s="1549"/>
      <c r="AY28" s="1550"/>
      <c r="AZ28" s="1550"/>
      <c r="BA28" s="1550"/>
      <c r="BB28" s="1550"/>
      <c r="BC28" s="1550"/>
      <c r="BD28" s="1550"/>
      <c r="BE28" s="1550"/>
      <c r="BF28" s="1550"/>
      <c r="BG28" s="1550"/>
      <c r="BH28" s="1551"/>
      <c r="BI28" s="1546">
        <v>16.5</v>
      </c>
      <c r="BJ28" s="1552">
        <v>1</v>
      </c>
      <c r="BK28" s="1546">
        <v>0</v>
      </c>
      <c r="BL28" s="1546">
        <v>0</v>
      </c>
      <c r="BM28" s="1243">
        <f>BL28/P28</f>
        <v>0</v>
      </c>
      <c r="BN28" s="15193"/>
      <c r="BO28" s="507" t="s">
        <v>3244</v>
      </c>
      <c r="BP28" s="1562" t="s">
        <v>3266</v>
      </c>
      <c r="BQ28" s="1554"/>
      <c r="BR28" s="1563" t="s">
        <v>9744</v>
      </c>
      <c r="BS28" s="1554" t="s">
        <v>2943</v>
      </c>
      <c r="BT28" s="1554"/>
      <c r="BU28" s="1554"/>
      <c r="BV28" s="1554"/>
      <c r="BW28" s="1554"/>
      <c r="BX28" s="1554"/>
      <c r="BY28" s="1554"/>
      <c r="BZ28" s="1554"/>
      <c r="CA28" s="1554"/>
      <c r="CB28" s="1554"/>
      <c r="CC28" s="1554"/>
      <c r="CD28" s="1554"/>
      <c r="CE28" s="1554"/>
      <c r="CF28" s="1554"/>
      <c r="CG28" s="1554"/>
      <c r="CH28" s="1554"/>
      <c r="CI28" s="1554"/>
      <c r="CJ28" s="1554"/>
      <c r="CK28" s="1554"/>
      <c r="CL28" s="1554"/>
      <c r="CM28" s="1554"/>
      <c r="CN28" s="1554"/>
      <c r="CO28" s="1554"/>
      <c r="CP28" s="1554"/>
      <c r="CQ28" s="1554"/>
      <c r="CR28" s="1554"/>
      <c r="CS28" s="1554"/>
      <c r="CT28" s="1554"/>
      <c r="CU28" s="1554"/>
      <c r="CV28" s="1554"/>
      <c r="CW28" s="1554"/>
      <c r="CX28" s="1554"/>
      <c r="CY28" s="1554"/>
      <c r="CZ28" s="1554"/>
      <c r="DA28" s="1554"/>
      <c r="DB28" s="1554"/>
      <c r="DC28" s="1554"/>
      <c r="DD28" s="1554"/>
      <c r="DE28" s="1556"/>
      <c r="DG28" s="4587"/>
      <c r="DH28" s="2501"/>
      <c r="DI28" s="2501"/>
      <c r="DJ28" s="2501"/>
      <c r="DK28" s="2501"/>
      <c r="DL28" s="2501"/>
      <c r="DM28" s="2501"/>
      <c r="DN28" s="2501"/>
      <c r="DO28" s="2501"/>
      <c r="DP28" s="2501"/>
      <c r="DQ28" s="2501"/>
      <c r="DR28" s="2501"/>
      <c r="DS28" s="2501"/>
      <c r="DT28" s="2501"/>
      <c r="DU28" s="2501"/>
      <c r="DV28" s="2501"/>
      <c r="DW28" s="2501"/>
      <c r="DX28" s="2501"/>
      <c r="DY28" s="2501"/>
      <c r="DZ28" s="2501"/>
      <c r="EA28" s="2501"/>
      <c r="EB28" s="2501"/>
      <c r="EC28" s="2501"/>
      <c r="ED28" s="2501"/>
      <c r="EE28" s="2501"/>
      <c r="EF28" s="2501"/>
      <c r="EG28" s="2501"/>
      <c r="EH28" s="2501"/>
      <c r="EI28" s="2501"/>
      <c r="EJ28" s="2501"/>
      <c r="EK28" s="2501"/>
      <c r="EL28" s="2501"/>
      <c r="EM28" s="2501"/>
      <c r="EN28" s="2501"/>
      <c r="EO28" s="2501"/>
      <c r="EP28" s="2501"/>
      <c r="EQ28" s="2501"/>
      <c r="ER28" s="2501"/>
      <c r="ES28" s="2501"/>
      <c r="ET28" s="2501"/>
      <c r="EU28" s="2501"/>
      <c r="EV28" s="2501"/>
      <c r="EW28" s="2501"/>
      <c r="EX28" s="2501"/>
      <c r="EY28" s="2501"/>
      <c r="EZ28" s="3131"/>
    </row>
    <row r="29" spans="1:198" s="1544" customFormat="1" ht="15" customHeight="1">
      <c r="A29" s="3173"/>
      <c r="B29" s="4500" t="s">
        <v>2172</v>
      </c>
      <c r="C29" s="4559" t="s">
        <v>4896</v>
      </c>
      <c r="D29" s="2719" t="s">
        <v>2173</v>
      </c>
      <c r="E29" s="2719" t="s">
        <v>9813</v>
      </c>
      <c r="F29" s="2719" t="s">
        <v>2174</v>
      </c>
      <c r="G29" s="2719" t="s">
        <v>2177</v>
      </c>
      <c r="H29" s="3127" t="s">
        <v>10063</v>
      </c>
      <c r="I29" s="2719" t="s">
        <v>2174</v>
      </c>
      <c r="J29" s="4558"/>
      <c r="K29" s="4527" t="s">
        <v>2175</v>
      </c>
      <c r="L29" s="1546">
        <v>2011</v>
      </c>
      <c r="M29" s="507" t="s">
        <v>2176</v>
      </c>
      <c r="N29" s="1547"/>
      <c r="O29" s="507" t="s">
        <v>2177</v>
      </c>
      <c r="P29" s="1564">
        <v>0.25</v>
      </c>
      <c r="Q29" s="1565">
        <v>0.8</v>
      </c>
      <c r="R29" s="1566" t="s">
        <v>3144</v>
      </c>
      <c r="S29" s="1566" t="s">
        <v>3145</v>
      </c>
      <c r="T29" s="1566" t="s">
        <v>3146</v>
      </c>
      <c r="U29" s="1567">
        <f>+V29+W29+X29</f>
        <v>151800590</v>
      </c>
      <c r="V29" s="1567">
        <v>126696229</v>
      </c>
      <c r="W29" s="1567">
        <v>25104361</v>
      </c>
      <c r="X29" s="1568">
        <v>0</v>
      </c>
      <c r="Y29" s="1550"/>
      <c r="Z29" s="1550"/>
      <c r="AA29" s="1550"/>
      <c r="AB29" s="1550"/>
      <c r="AC29" s="1550"/>
      <c r="AD29" s="1550"/>
      <c r="AE29" s="1550"/>
      <c r="AF29" s="1550"/>
      <c r="AG29" s="1550"/>
      <c r="AH29" s="1550"/>
      <c r="AI29" s="1550"/>
      <c r="AJ29" s="1550"/>
      <c r="AK29" s="1550"/>
      <c r="AL29" s="1550"/>
      <c r="AM29" s="1550"/>
      <c r="AN29" s="1550"/>
      <c r="AO29" s="1550"/>
      <c r="AP29" s="1550"/>
      <c r="AQ29" s="1550"/>
      <c r="AR29" s="1550"/>
      <c r="AS29" s="1550"/>
      <c r="AT29" s="1550"/>
      <c r="AU29" s="1550"/>
      <c r="AV29" s="1550"/>
      <c r="AW29" s="1550"/>
      <c r="AX29" s="1550"/>
      <c r="AY29" s="1549"/>
      <c r="AZ29" s="1549"/>
      <c r="BA29" s="1549"/>
      <c r="BB29" s="1549"/>
      <c r="BC29" s="1549"/>
      <c r="BD29" s="1549"/>
      <c r="BE29" s="1549"/>
      <c r="BF29" s="1549"/>
      <c r="BG29" s="1549"/>
      <c r="BH29" s="1549"/>
      <c r="BI29" s="1546">
        <v>6</v>
      </c>
      <c r="BJ29" s="1552">
        <v>1</v>
      </c>
      <c r="BK29" s="1545">
        <v>1</v>
      </c>
      <c r="BL29" s="1545">
        <v>1</v>
      </c>
      <c r="BM29" s="1243">
        <v>1</v>
      </c>
      <c r="BN29" s="15193"/>
      <c r="BO29" s="507" t="s">
        <v>9729</v>
      </c>
      <c r="BP29" s="1569" t="s">
        <v>9730</v>
      </c>
      <c r="BQ29" s="1562"/>
      <c r="BR29" s="1555">
        <f>BS29+BT29+BU29</f>
        <v>164694633.19999999</v>
      </c>
      <c r="BS29" s="1570">
        <f>+'[1]11. ASISTENCIA ALIMENTARIA'!$Q$15</f>
        <v>164694633.19999999</v>
      </c>
      <c r="BT29" s="1562">
        <v>0</v>
      </c>
      <c r="BU29" s="1571">
        <v>0</v>
      </c>
      <c r="BV29" s="1572" t="s">
        <v>9764</v>
      </c>
      <c r="BW29" s="1554"/>
      <c r="BX29" s="1554"/>
      <c r="BY29" s="1554"/>
      <c r="BZ29" s="1554"/>
      <c r="CA29" s="1554"/>
      <c r="CB29" s="1554"/>
      <c r="CC29" s="1554"/>
      <c r="CD29" s="1554"/>
      <c r="CE29" s="1554"/>
      <c r="CF29" s="1554"/>
      <c r="CG29" s="1554"/>
      <c r="CH29" s="1554"/>
      <c r="CI29" s="1554"/>
      <c r="CJ29" s="1554"/>
      <c r="CK29" s="1554"/>
      <c r="CL29" s="1554"/>
      <c r="CM29" s="1554"/>
      <c r="CN29" s="1554"/>
      <c r="CO29" s="1554"/>
      <c r="CP29" s="1554"/>
      <c r="CQ29" s="1554"/>
      <c r="CR29" s="1554"/>
      <c r="CS29" s="1554"/>
      <c r="CT29" s="1554"/>
      <c r="CU29" s="1554"/>
      <c r="CV29" s="1554"/>
      <c r="CW29" s="1554"/>
      <c r="CX29" s="1554"/>
      <c r="CY29" s="1554"/>
      <c r="CZ29" s="1554"/>
      <c r="DA29" s="1554"/>
      <c r="DB29" s="1554"/>
      <c r="DC29" s="1554"/>
      <c r="DD29" s="1554"/>
      <c r="DE29" s="1556"/>
      <c r="DG29" s="4587"/>
      <c r="DH29" s="2501"/>
      <c r="DI29" s="2501"/>
      <c r="DJ29" s="2501"/>
      <c r="DK29" s="2501"/>
      <c r="DL29" s="2501"/>
      <c r="DM29" s="2501"/>
      <c r="DN29" s="2501"/>
      <c r="DO29" s="2501"/>
      <c r="DP29" s="2501"/>
      <c r="DQ29" s="2501"/>
      <c r="DR29" s="2501"/>
      <c r="DS29" s="2501"/>
      <c r="DT29" s="2501"/>
      <c r="DU29" s="2501"/>
      <c r="DV29" s="2501"/>
      <c r="DW29" s="2501"/>
      <c r="DX29" s="2501"/>
      <c r="DY29" s="2501"/>
      <c r="DZ29" s="2501"/>
      <c r="EA29" s="2501"/>
      <c r="EB29" s="2501"/>
      <c r="EC29" s="2501"/>
      <c r="ED29" s="2501"/>
      <c r="EE29" s="2501"/>
      <c r="EF29" s="2501"/>
      <c r="EG29" s="2501"/>
      <c r="EH29" s="2501"/>
      <c r="EI29" s="2501"/>
      <c r="EJ29" s="2501"/>
      <c r="EK29" s="2501"/>
      <c r="EL29" s="2501"/>
      <c r="EM29" s="2501"/>
      <c r="EN29" s="2501"/>
      <c r="EO29" s="2501"/>
      <c r="EP29" s="2501"/>
      <c r="EQ29" s="2501"/>
      <c r="ER29" s="2501"/>
      <c r="ES29" s="2501"/>
      <c r="ET29" s="2501"/>
      <c r="EU29" s="2501"/>
      <c r="EV29" s="2501"/>
      <c r="EW29" s="2501"/>
      <c r="EX29" s="2501"/>
      <c r="EY29" s="2501"/>
      <c r="EZ29" s="3131"/>
    </row>
    <row r="30" spans="1:198" s="1544" customFormat="1" ht="15" customHeight="1" thickBot="1">
      <c r="A30" s="3174"/>
      <c r="B30" s="4501"/>
      <c r="C30" s="15335" t="s">
        <v>4897</v>
      </c>
      <c r="D30" s="15330" t="s">
        <v>2178</v>
      </c>
      <c r="E30" s="15330" t="s">
        <v>2179</v>
      </c>
      <c r="F30" s="15330" t="s">
        <v>2174</v>
      </c>
      <c r="G30" s="15330" t="s">
        <v>2181</v>
      </c>
      <c r="H30" s="3127" t="s">
        <v>10063</v>
      </c>
      <c r="I30" s="3127" t="s">
        <v>2174</v>
      </c>
      <c r="J30" s="4560"/>
      <c r="K30" s="4528">
        <v>3.7900000000000003E-2</v>
      </c>
      <c r="L30" s="3129">
        <v>2011</v>
      </c>
      <c r="M30" s="3127" t="s">
        <v>2180</v>
      </c>
      <c r="N30" s="3129"/>
      <c r="O30" s="3127" t="s">
        <v>2181</v>
      </c>
      <c r="P30" s="3146">
        <v>0.05</v>
      </c>
      <c r="Q30" s="3147">
        <v>1</v>
      </c>
      <c r="R30" s="2508" t="s">
        <v>3147</v>
      </c>
      <c r="S30" s="2498" t="s">
        <v>3148</v>
      </c>
      <c r="T30" s="2501"/>
      <c r="U30" s="3148">
        <f>+V30+W30+X30</f>
        <v>463841217.61000001</v>
      </c>
      <c r="V30" s="3148">
        <v>4846080</v>
      </c>
      <c r="W30" s="3148">
        <v>458995137.61000001</v>
      </c>
      <c r="X30" s="2529">
        <v>0</v>
      </c>
      <c r="Y30" s="2716">
        <v>3134</v>
      </c>
      <c r="Z30" s="2506">
        <v>947</v>
      </c>
      <c r="AA30" s="2506">
        <v>2187</v>
      </c>
      <c r="AB30" s="2506">
        <v>2528</v>
      </c>
      <c r="AC30" s="2506">
        <v>606</v>
      </c>
      <c r="AD30" s="2506">
        <v>380</v>
      </c>
      <c r="AE30" s="2506">
        <v>50</v>
      </c>
      <c r="AF30" s="2506">
        <v>18</v>
      </c>
      <c r="AG30" s="2506">
        <v>307</v>
      </c>
      <c r="AH30" s="2506">
        <v>561</v>
      </c>
      <c r="AI30" s="2506">
        <v>870</v>
      </c>
      <c r="AJ30" s="2506">
        <v>948</v>
      </c>
      <c r="AK30" s="2506">
        <v>3086</v>
      </c>
      <c r="AL30" s="2506">
        <v>48</v>
      </c>
      <c r="AM30" s="2506">
        <v>0</v>
      </c>
      <c r="AN30" s="2506">
        <v>0</v>
      </c>
      <c r="AO30" s="2506">
        <v>1278</v>
      </c>
      <c r="AP30" s="2506">
        <v>3134</v>
      </c>
      <c r="AQ30" s="2506">
        <v>0</v>
      </c>
      <c r="AR30" s="2506">
        <v>137</v>
      </c>
      <c r="AS30" s="2506">
        <v>3047</v>
      </c>
      <c r="AT30" s="2506">
        <v>58</v>
      </c>
      <c r="AU30" s="2506">
        <v>28</v>
      </c>
      <c r="AV30" s="2506">
        <v>1</v>
      </c>
      <c r="AW30" s="2506">
        <v>0</v>
      </c>
      <c r="AX30" s="2506">
        <v>0</v>
      </c>
      <c r="AY30" s="1549"/>
      <c r="AZ30" s="1549"/>
      <c r="BA30" s="1549"/>
      <c r="BB30" s="1549"/>
      <c r="BC30" s="1549"/>
      <c r="BD30" s="1549"/>
      <c r="BE30" s="1549"/>
      <c r="BF30" s="1549"/>
      <c r="BG30" s="1549"/>
      <c r="BH30" s="1549"/>
      <c r="BI30" s="1573">
        <v>0.11545</v>
      </c>
      <c r="BJ30" s="1574">
        <v>1</v>
      </c>
      <c r="BK30" s="1545">
        <v>0.16</v>
      </c>
      <c r="BL30" s="1545">
        <v>0.16</v>
      </c>
      <c r="BM30" s="3005">
        <v>1</v>
      </c>
      <c r="BN30" s="15193"/>
      <c r="BO30" s="1575" t="s">
        <v>9731</v>
      </c>
      <c r="BP30" s="1562" t="s">
        <v>9732</v>
      </c>
      <c r="BQ30" s="1576"/>
      <c r="BR30" s="1555">
        <f>BS30+BT30+BU30</f>
        <v>353810946.80000001</v>
      </c>
      <c r="BS30" s="1562">
        <f>+'[1]11. ASISTENCIA ALIMENTARIA'!$Q$16</f>
        <v>3903786.8</v>
      </c>
      <c r="BT30" s="1562">
        <f>+'[1]11. ASISTENCIA ALIMENTARIA'!$R$16</f>
        <v>349907160</v>
      </c>
      <c r="BU30" s="1577">
        <v>0</v>
      </c>
      <c r="BV30" s="1578">
        <v>4643</v>
      </c>
      <c r="BW30" s="1579">
        <v>3289</v>
      </c>
      <c r="BX30" s="1579">
        <v>1354</v>
      </c>
      <c r="BY30" s="1579">
        <v>3715</v>
      </c>
      <c r="BZ30" s="1579">
        <v>928</v>
      </c>
      <c r="CA30" s="1579">
        <v>1325</v>
      </c>
      <c r="CB30" s="1579">
        <v>12</v>
      </c>
      <c r="CC30" s="1579">
        <v>5</v>
      </c>
      <c r="CD30" s="1579">
        <v>363</v>
      </c>
      <c r="CE30" s="1579">
        <v>702</v>
      </c>
      <c r="CF30" s="1579">
        <v>1079</v>
      </c>
      <c r="CG30" s="1579">
        <v>1157</v>
      </c>
      <c r="CH30" s="1579">
        <v>3272</v>
      </c>
      <c r="CI30" s="1579">
        <v>87</v>
      </c>
      <c r="CJ30" s="1576"/>
      <c r="CK30" s="1576"/>
      <c r="CL30" s="1579">
        <v>912</v>
      </c>
      <c r="CM30" s="1579"/>
      <c r="CN30" s="1579"/>
      <c r="CO30" s="1579">
        <v>372</v>
      </c>
      <c r="CP30" s="1579">
        <v>4521</v>
      </c>
      <c r="CQ30" s="1579">
        <v>88</v>
      </c>
      <c r="CR30" s="1579">
        <v>31</v>
      </c>
      <c r="CS30" s="1579">
        <v>3</v>
      </c>
      <c r="CT30" s="1576"/>
      <c r="CU30" s="1576"/>
      <c r="CV30" s="1576"/>
      <c r="CW30" s="1576"/>
      <c r="CX30" s="1576"/>
      <c r="CY30" s="1576"/>
      <c r="CZ30" s="1576"/>
      <c r="DA30" s="1576"/>
      <c r="DB30" s="1576"/>
      <c r="DC30" s="1576"/>
      <c r="DD30" s="1576"/>
      <c r="DE30" s="1580"/>
      <c r="DG30" s="4587"/>
      <c r="DH30" s="2501"/>
      <c r="DI30" s="2501"/>
      <c r="DJ30" s="2501"/>
      <c r="DK30" s="2501"/>
      <c r="DL30" s="2501"/>
      <c r="DM30" s="2501"/>
      <c r="DN30" s="2501"/>
      <c r="DO30" s="2501"/>
      <c r="DP30" s="2501"/>
      <c r="DQ30" s="2501"/>
      <c r="DR30" s="2501"/>
      <c r="DS30" s="2501"/>
      <c r="DT30" s="2501"/>
      <c r="DU30" s="2501"/>
      <c r="DV30" s="2501"/>
      <c r="DW30" s="2501"/>
      <c r="DX30" s="2501"/>
      <c r="DY30" s="2501"/>
      <c r="DZ30" s="2501"/>
      <c r="EA30" s="2501"/>
      <c r="EB30" s="2501"/>
      <c r="EC30" s="2501"/>
      <c r="ED30" s="2501"/>
      <c r="EE30" s="2501"/>
      <c r="EF30" s="2501"/>
      <c r="EG30" s="2501"/>
      <c r="EH30" s="2501"/>
      <c r="EI30" s="2501"/>
      <c r="EJ30" s="2501"/>
      <c r="EK30" s="2501"/>
      <c r="EL30" s="2501"/>
      <c r="EM30" s="2501"/>
      <c r="EN30" s="2501"/>
      <c r="EO30" s="2501"/>
      <c r="EP30" s="2501"/>
      <c r="EQ30" s="2501"/>
      <c r="ER30" s="2501"/>
      <c r="ES30" s="2501"/>
      <c r="ET30" s="2501"/>
      <c r="EU30" s="2501"/>
      <c r="EV30" s="2501"/>
      <c r="EW30" s="2501"/>
      <c r="EX30" s="2501"/>
      <c r="EY30" s="2501"/>
      <c r="EZ30" s="3131"/>
    </row>
    <row r="31" spans="1:198" s="1544" customFormat="1" ht="15" customHeight="1" thickBot="1">
      <c r="A31" s="3175"/>
      <c r="B31" s="4502"/>
      <c r="C31" s="15336"/>
      <c r="D31" s="15337"/>
      <c r="E31" s="15337"/>
      <c r="F31" s="15337"/>
      <c r="G31" s="15337"/>
      <c r="H31" s="4581" t="s">
        <v>2896</v>
      </c>
      <c r="I31" s="4581"/>
      <c r="J31" s="4582" t="s">
        <v>163</v>
      </c>
      <c r="K31" s="4529"/>
      <c r="L31" s="3136"/>
      <c r="M31" s="3135"/>
      <c r="N31" s="3136"/>
      <c r="O31" s="3135"/>
      <c r="P31" s="3137"/>
      <c r="Q31" s="3138"/>
      <c r="R31" s="3139"/>
      <c r="S31" s="3140"/>
      <c r="T31" s="3141"/>
      <c r="U31" s="3142"/>
      <c r="V31" s="3142"/>
      <c r="W31" s="3142"/>
      <c r="X31" s="3143"/>
      <c r="Y31" s="3144"/>
      <c r="Z31" s="3145"/>
      <c r="AA31" s="3145"/>
      <c r="AB31" s="3145"/>
      <c r="AC31" s="3145"/>
      <c r="AD31" s="3145"/>
      <c r="AE31" s="3145"/>
      <c r="AF31" s="3145"/>
      <c r="AG31" s="3145"/>
      <c r="AH31" s="3145"/>
      <c r="AI31" s="3145"/>
      <c r="AJ31" s="3145"/>
      <c r="AK31" s="3145"/>
      <c r="AL31" s="3145"/>
      <c r="AM31" s="3145"/>
      <c r="AN31" s="3145"/>
      <c r="AO31" s="3145"/>
      <c r="AP31" s="3145"/>
      <c r="AQ31" s="3145"/>
      <c r="AR31" s="3145"/>
      <c r="AS31" s="3145"/>
      <c r="AT31" s="3145"/>
      <c r="AU31" s="3145"/>
      <c r="AV31" s="3145"/>
      <c r="AW31" s="3145"/>
      <c r="AX31" s="3145"/>
      <c r="AY31" s="1549"/>
      <c r="AZ31" s="1549"/>
      <c r="BA31" s="1549"/>
      <c r="BB31" s="1549"/>
      <c r="BC31" s="1549"/>
      <c r="BD31" s="1549"/>
      <c r="BE31" s="1549"/>
      <c r="BF31" s="1549"/>
      <c r="BG31" s="1549"/>
      <c r="BH31" s="1549"/>
      <c r="BI31" s="1573"/>
      <c r="BJ31" s="1574"/>
      <c r="BK31" s="1545"/>
      <c r="BL31" s="1545"/>
      <c r="BM31" s="1243"/>
      <c r="BN31" s="15194"/>
      <c r="BO31" s="1575"/>
      <c r="BP31" s="1562"/>
      <c r="BQ31" s="1576"/>
      <c r="BR31" s="1555"/>
      <c r="BS31" s="1562"/>
      <c r="BT31" s="1562"/>
      <c r="BU31" s="1577"/>
      <c r="BV31" s="1578"/>
      <c r="BW31" s="1579"/>
      <c r="BX31" s="1579"/>
      <c r="BY31" s="1579"/>
      <c r="BZ31" s="1579"/>
      <c r="CA31" s="1579"/>
      <c r="CB31" s="1579"/>
      <c r="CC31" s="1579"/>
      <c r="CD31" s="1579"/>
      <c r="CE31" s="1579"/>
      <c r="CF31" s="1579"/>
      <c r="CG31" s="1579"/>
      <c r="CH31" s="1579"/>
      <c r="CI31" s="1579"/>
      <c r="CJ31" s="1576"/>
      <c r="CK31" s="1576"/>
      <c r="CL31" s="1579"/>
      <c r="CM31" s="1579"/>
      <c r="CN31" s="1579"/>
      <c r="CO31" s="1579"/>
      <c r="CP31" s="1579"/>
      <c r="CQ31" s="1579"/>
      <c r="CR31" s="1579"/>
      <c r="CS31" s="1579"/>
      <c r="CT31" s="1576"/>
      <c r="CU31" s="1576"/>
      <c r="CV31" s="1576"/>
      <c r="CW31" s="1576"/>
      <c r="CX31" s="1576"/>
      <c r="CY31" s="1576"/>
      <c r="CZ31" s="1576"/>
      <c r="DA31" s="1576"/>
      <c r="DB31" s="1576"/>
      <c r="DC31" s="1576"/>
      <c r="DD31" s="1576"/>
      <c r="DE31" s="1580"/>
      <c r="DG31" s="4604"/>
      <c r="DH31" s="4605"/>
      <c r="DI31" s="4605"/>
      <c r="DJ31" s="4605"/>
      <c r="DK31" s="4605"/>
      <c r="DL31" s="4605"/>
      <c r="DM31" s="4605"/>
      <c r="DN31" s="4605"/>
      <c r="DO31" s="4605"/>
      <c r="DP31" s="4605"/>
      <c r="DQ31" s="4605"/>
      <c r="DR31" s="4605"/>
      <c r="DS31" s="4605"/>
      <c r="DT31" s="4605"/>
      <c r="DU31" s="4605"/>
      <c r="DV31" s="4605"/>
      <c r="DW31" s="4605"/>
      <c r="DX31" s="4605"/>
      <c r="DY31" s="4605"/>
      <c r="DZ31" s="4605"/>
      <c r="EA31" s="4605"/>
      <c r="EB31" s="4605"/>
      <c r="EC31" s="4605"/>
      <c r="ED31" s="4605"/>
      <c r="EE31" s="4605"/>
      <c r="EF31" s="4605"/>
      <c r="EG31" s="4605"/>
      <c r="EH31" s="4605"/>
      <c r="EI31" s="4605"/>
      <c r="EJ31" s="4605"/>
      <c r="EK31" s="4605"/>
      <c r="EL31" s="4605"/>
      <c r="EM31" s="4605"/>
      <c r="EN31" s="4605"/>
      <c r="EO31" s="4605"/>
      <c r="EP31" s="4605"/>
      <c r="EQ31" s="4605"/>
      <c r="ER31" s="4605"/>
      <c r="ES31" s="4605"/>
      <c r="ET31" s="4605"/>
      <c r="EU31" s="4605"/>
      <c r="EV31" s="4605"/>
      <c r="EW31" s="4605"/>
      <c r="EX31" s="4605"/>
      <c r="EY31" s="4605"/>
      <c r="EZ31" s="4606"/>
    </row>
    <row r="32" spans="1:198" s="1599" customFormat="1" ht="15" customHeight="1">
      <c r="A32" s="3176" t="s">
        <v>2182</v>
      </c>
      <c r="B32" s="4503" t="s">
        <v>2183</v>
      </c>
      <c r="C32" s="15338" t="s">
        <v>4898</v>
      </c>
      <c r="D32" s="14665" t="s">
        <v>2184</v>
      </c>
      <c r="E32" s="14665" t="s">
        <v>2185</v>
      </c>
      <c r="F32" s="14665" t="s">
        <v>2186</v>
      </c>
      <c r="G32" s="14665" t="s">
        <v>2188</v>
      </c>
      <c r="H32" s="4119" t="s">
        <v>86</v>
      </c>
      <c r="I32" s="4119" t="s">
        <v>422</v>
      </c>
      <c r="J32" s="4580"/>
      <c r="K32" s="4530">
        <v>0.87</v>
      </c>
      <c r="L32" s="1582">
        <v>2009</v>
      </c>
      <c r="M32" s="1582" t="s">
        <v>2117</v>
      </c>
      <c r="N32" s="1583"/>
      <c r="O32" s="1582" t="s">
        <v>2188</v>
      </c>
      <c r="P32" s="401" t="s">
        <v>2188</v>
      </c>
      <c r="Q32" s="1584">
        <v>0.6</v>
      </c>
      <c r="R32" s="1585" t="s">
        <v>3722</v>
      </c>
      <c r="S32" s="1586" t="s">
        <v>3723</v>
      </c>
      <c r="T32" s="1585" t="s">
        <v>3724</v>
      </c>
      <c r="U32" s="1586" t="s">
        <v>3725</v>
      </c>
      <c r="V32" s="1586"/>
      <c r="W32" s="1586">
        <v>29700000</v>
      </c>
      <c r="X32" s="1586"/>
      <c r="Y32" s="1586"/>
      <c r="Z32" s="1586"/>
      <c r="AA32" s="1586"/>
      <c r="AB32" s="1586"/>
      <c r="AC32" s="1586"/>
      <c r="AD32" s="1586"/>
      <c r="AE32" s="1586"/>
      <c r="AF32" s="1586"/>
      <c r="AG32" s="1586"/>
      <c r="AH32" s="1586"/>
      <c r="AI32" s="1586"/>
      <c r="AJ32" s="1586"/>
      <c r="AK32" s="1586"/>
      <c r="AL32" s="1586"/>
      <c r="AM32" s="1586"/>
      <c r="AN32" s="1586"/>
      <c r="AO32" s="1586"/>
      <c r="AP32" s="1586"/>
      <c r="AQ32" s="1586"/>
      <c r="AR32" s="1586"/>
      <c r="AS32" s="1586"/>
      <c r="AT32" s="1586"/>
      <c r="AU32" s="1586"/>
      <c r="AV32" s="1586"/>
      <c r="AW32" s="1586"/>
      <c r="AX32" s="1586"/>
      <c r="AY32" s="1586" t="s">
        <v>2191</v>
      </c>
      <c r="AZ32" s="1586" t="s">
        <v>9306</v>
      </c>
      <c r="BA32" s="1586">
        <v>32</v>
      </c>
      <c r="BB32" s="1586" t="s">
        <v>3726</v>
      </c>
      <c r="BC32" s="1586"/>
      <c r="BD32" s="1586"/>
      <c r="BE32" s="1586"/>
      <c r="BF32" s="1586"/>
      <c r="BG32" s="1586"/>
      <c r="BH32" s="1587"/>
      <c r="BI32" s="1588" t="s">
        <v>2315</v>
      </c>
      <c r="BJ32" s="1589">
        <v>1</v>
      </c>
      <c r="BK32" s="1581" t="s">
        <v>9721</v>
      </c>
      <c r="BL32" s="1581" t="s">
        <v>9721</v>
      </c>
      <c r="BM32" s="1590">
        <v>1</v>
      </c>
      <c r="BN32" s="15195">
        <f>AVERAGE(BM32:BM38)</f>
        <v>0.92944444444444452</v>
      </c>
      <c r="BO32" s="1591" t="s">
        <v>9733</v>
      </c>
      <c r="BP32" s="1592" t="s">
        <v>3723</v>
      </c>
      <c r="BQ32" s="1593" t="s">
        <v>3724</v>
      </c>
      <c r="BR32" s="1594">
        <v>29700000</v>
      </c>
      <c r="BS32" s="1595"/>
      <c r="BT32" s="1595">
        <v>29700000</v>
      </c>
      <c r="BU32" s="1596"/>
      <c r="BV32" s="1595" t="s">
        <v>3513</v>
      </c>
      <c r="BW32" s="1595" t="s">
        <v>2951</v>
      </c>
      <c r="BX32" s="1595" t="s">
        <v>9765</v>
      </c>
      <c r="BY32" s="1595" t="s">
        <v>2951</v>
      </c>
      <c r="BZ32" s="1595" t="s">
        <v>2951</v>
      </c>
      <c r="CA32" s="1595" t="s">
        <v>2951</v>
      </c>
      <c r="CB32" s="1595" t="s">
        <v>2951</v>
      </c>
      <c r="CC32" s="1595" t="s">
        <v>2951</v>
      </c>
      <c r="CD32" s="1595" t="s">
        <v>2951</v>
      </c>
      <c r="CE32" s="1595"/>
      <c r="CF32" s="1595"/>
      <c r="CG32" s="1595"/>
      <c r="CH32" s="1595"/>
      <c r="CI32" s="1595"/>
      <c r="CJ32" s="1595"/>
      <c r="CK32" s="1595"/>
      <c r="CL32" s="1595"/>
      <c r="CM32" s="1595"/>
      <c r="CN32" s="1595"/>
      <c r="CO32" s="1595"/>
      <c r="CP32" s="1595"/>
      <c r="CQ32" s="1595"/>
      <c r="CR32" s="1595"/>
      <c r="CS32" s="1595"/>
      <c r="CT32" s="1595"/>
      <c r="CU32" s="1595"/>
      <c r="CV32" s="1595" t="s">
        <v>2191</v>
      </c>
      <c r="CW32" s="1595" t="s">
        <v>9814</v>
      </c>
      <c r="CX32" s="1595">
        <v>32</v>
      </c>
      <c r="CY32" s="1595" t="s">
        <v>3726</v>
      </c>
      <c r="CZ32" s="1597"/>
      <c r="DA32" s="1597"/>
      <c r="DB32" s="1597"/>
      <c r="DC32" s="1597"/>
      <c r="DD32" s="1597"/>
      <c r="DE32" s="1598"/>
      <c r="DG32" s="4601"/>
      <c r="DH32" s="4602"/>
      <c r="DI32" s="4602"/>
      <c r="DJ32" s="4602"/>
      <c r="DK32" s="4602"/>
      <c r="DL32" s="4602"/>
      <c r="DM32" s="4602"/>
      <c r="DN32" s="4602"/>
      <c r="DO32" s="4602"/>
      <c r="DP32" s="4602"/>
      <c r="DQ32" s="4602"/>
      <c r="DR32" s="4602"/>
      <c r="DS32" s="4602"/>
      <c r="DT32" s="4602"/>
      <c r="DU32" s="4602"/>
      <c r="DV32" s="4602"/>
      <c r="DW32" s="4602"/>
      <c r="DX32" s="4602"/>
      <c r="DY32" s="4602"/>
      <c r="DZ32" s="4602"/>
      <c r="EA32" s="4602"/>
      <c r="EB32" s="4602"/>
      <c r="EC32" s="4602"/>
      <c r="ED32" s="4602"/>
      <c r="EE32" s="4602"/>
      <c r="EF32" s="4602"/>
      <c r="EG32" s="4602"/>
      <c r="EH32" s="4602"/>
      <c r="EI32" s="4602"/>
      <c r="EJ32" s="4602"/>
      <c r="EK32" s="4602"/>
      <c r="EL32" s="4602"/>
      <c r="EM32" s="4602"/>
      <c r="EN32" s="4602"/>
      <c r="EO32" s="4602"/>
      <c r="EP32" s="4602"/>
      <c r="EQ32" s="4602"/>
      <c r="ER32" s="4602"/>
      <c r="ES32" s="4602"/>
      <c r="ET32" s="4602"/>
      <c r="EU32" s="4602"/>
      <c r="EV32" s="4602"/>
      <c r="EW32" s="4602"/>
      <c r="EX32" s="4602"/>
      <c r="EY32" s="4602"/>
      <c r="EZ32" s="4603"/>
      <c r="FC32" s="1544"/>
      <c r="FD32" s="1544"/>
      <c r="FE32" s="1544"/>
      <c r="FF32" s="1544"/>
      <c r="FG32" s="1544"/>
      <c r="FH32" s="1544"/>
      <c r="FI32" s="1544"/>
      <c r="FJ32" s="1544"/>
      <c r="FK32" s="1544"/>
      <c r="FL32" s="1544"/>
      <c r="FM32" s="1544"/>
      <c r="FN32" s="1544"/>
      <c r="FO32" s="1544"/>
      <c r="FP32" s="1544"/>
      <c r="FQ32" s="1544"/>
      <c r="FR32" s="1544"/>
      <c r="FS32" s="1544"/>
      <c r="FT32" s="1544"/>
      <c r="FU32" s="1544"/>
      <c r="FV32" s="1544"/>
      <c r="FW32" s="1544"/>
      <c r="FX32" s="1544"/>
      <c r="FY32" s="1544"/>
      <c r="FZ32" s="1544"/>
      <c r="GA32" s="1544"/>
      <c r="GB32" s="1544"/>
      <c r="GC32" s="1544"/>
      <c r="GD32" s="1544"/>
      <c r="GE32" s="1544"/>
      <c r="GF32" s="1544"/>
      <c r="GG32" s="1544"/>
      <c r="GH32" s="1544"/>
      <c r="GI32" s="1544"/>
      <c r="GJ32" s="1544"/>
      <c r="GK32" s="1544"/>
      <c r="GL32" s="1544"/>
      <c r="GM32" s="1544"/>
      <c r="GN32" s="1544"/>
      <c r="GO32" s="1544"/>
      <c r="GP32" s="1544"/>
    </row>
    <row r="33" spans="1:198" s="1599" customFormat="1" ht="15" customHeight="1">
      <c r="A33" s="3177"/>
      <c r="B33" s="4504"/>
      <c r="C33" s="15339"/>
      <c r="D33" s="15340"/>
      <c r="E33" s="15340"/>
      <c r="F33" s="15340"/>
      <c r="G33" s="15340"/>
      <c r="H33" s="2721" t="s">
        <v>10063</v>
      </c>
      <c r="I33" s="2721"/>
      <c r="J33" s="4561" t="s">
        <v>2187</v>
      </c>
      <c r="K33" s="4531"/>
      <c r="L33" s="3017"/>
      <c r="M33" s="3017"/>
      <c r="N33" s="1951"/>
      <c r="O33" s="3017"/>
      <c r="P33" s="403"/>
      <c r="Q33" s="1584"/>
      <c r="R33" s="1585"/>
      <c r="S33" s="1586"/>
      <c r="T33" s="1585"/>
      <c r="U33" s="1586"/>
      <c r="V33" s="1586"/>
      <c r="W33" s="1586"/>
      <c r="X33" s="1586"/>
      <c r="Y33" s="1586"/>
      <c r="Z33" s="1586"/>
      <c r="AA33" s="1586"/>
      <c r="AB33" s="1586"/>
      <c r="AC33" s="1586"/>
      <c r="AD33" s="1586"/>
      <c r="AE33" s="1586"/>
      <c r="AF33" s="1586"/>
      <c r="AG33" s="1586"/>
      <c r="AH33" s="1586"/>
      <c r="AI33" s="1586"/>
      <c r="AJ33" s="1586"/>
      <c r="AK33" s="1586"/>
      <c r="AL33" s="1586"/>
      <c r="AM33" s="1586"/>
      <c r="AN33" s="1586"/>
      <c r="AO33" s="1586"/>
      <c r="AP33" s="1586"/>
      <c r="AQ33" s="1586"/>
      <c r="AR33" s="1586"/>
      <c r="AS33" s="1586"/>
      <c r="AT33" s="1586"/>
      <c r="AU33" s="1586"/>
      <c r="AV33" s="1586"/>
      <c r="AW33" s="1586"/>
      <c r="AX33" s="1586"/>
      <c r="AY33" s="1586"/>
      <c r="AZ33" s="1586"/>
      <c r="BA33" s="1586"/>
      <c r="BB33" s="1586"/>
      <c r="BC33" s="1586"/>
      <c r="BD33" s="1586"/>
      <c r="BE33" s="1586"/>
      <c r="BF33" s="1586"/>
      <c r="BG33" s="1586"/>
      <c r="BH33" s="1587"/>
      <c r="BI33" s="1950"/>
      <c r="BJ33" s="1604"/>
      <c r="BK33" s="3017"/>
      <c r="BL33" s="3017"/>
      <c r="BM33" s="3149"/>
      <c r="BN33" s="15196"/>
      <c r="BO33" s="2721"/>
      <c r="BP33" s="3150"/>
      <c r="BQ33" s="3151"/>
      <c r="BR33" s="1594"/>
      <c r="BS33" s="1595"/>
      <c r="BT33" s="1595"/>
      <c r="BU33" s="1596"/>
      <c r="BV33" s="1595"/>
      <c r="BW33" s="1595"/>
      <c r="BX33" s="1595"/>
      <c r="BY33" s="1595"/>
      <c r="BZ33" s="1595"/>
      <c r="CA33" s="1595"/>
      <c r="CB33" s="1595"/>
      <c r="CC33" s="1595"/>
      <c r="CD33" s="1595"/>
      <c r="CE33" s="1595"/>
      <c r="CF33" s="1595"/>
      <c r="CG33" s="1595"/>
      <c r="CH33" s="1595"/>
      <c r="CI33" s="1595"/>
      <c r="CJ33" s="1595"/>
      <c r="CK33" s="1595"/>
      <c r="CL33" s="1595"/>
      <c r="CM33" s="1595"/>
      <c r="CN33" s="1595"/>
      <c r="CO33" s="1595"/>
      <c r="CP33" s="1595"/>
      <c r="CQ33" s="1595"/>
      <c r="CR33" s="1595"/>
      <c r="CS33" s="1595"/>
      <c r="CT33" s="1595"/>
      <c r="CU33" s="1595"/>
      <c r="CV33" s="1595"/>
      <c r="CW33" s="1595"/>
      <c r="CX33" s="1595"/>
      <c r="CY33" s="1595"/>
      <c r="CZ33" s="1597"/>
      <c r="DA33" s="1597"/>
      <c r="DB33" s="1597"/>
      <c r="DC33" s="1597"/>
      <c r="DD33" s="1597"/>
      <c r="DE33" s="1598"/>
      <c r="DG33" s="4588"/>
      <c r="DH33" s="2602"/>
      <c r="DI33" s="2602"/>
      <c r="DJ33" s="2602"/>
      <c r="DK33" s="2602"/>
      <c r="DL33" s="2602"/>
      <c r="DM33" s="2602"/>
      <c r="DN33" s="2602"/>
      <c r="DO33" s="2602"/>
      <c r="DP33" s="2602"/>
      <c r="DQ33" s="2602"/>
      <c r="DR33" s="2602"/>
      <c r="DS33" s="2602"/>
      <c r="DT33" s="2602"/>
      <c r="DU33" s="2602"/>
      <c r="DV33" s="2602"/>
      <c r="DW33" s="2602"/>
      <c r="DX33" s="2602"/>
      <c r="DY33" s="2602"/>
      <c r="DZ33" s="2602"/>
      <c r="EA33" s="2602"/>
      <c r="EB33" s="2602"/>
      <c r="EC33" s="2602"/>
      <c r="ED33" s="2602"/>
      <c r="EE33" s="2602"/>
      <c r="EF33" s="2602"/>
      <c r="EG33" s="2602"/>
      <c r="EH33" s="2602"/>
      <c r="EI33" s="2602"/>
      <c r="EJ33" s="2602"/>
      <c r="EK33" s="2602"/>
      <c r="EL33" s="2602"/>
      <c r="EM33" s="2602"/>
      <c r="EN33" s="2602"/>
      <c r="EO33" s="2602"/>
      <c r="EP33" s="2602"/>
      <c r="EQ33" s="2602"/>
      <c r="ER33" s="2602"/>
      <c r="ES33" s="2602"/>
      <c r="ET33" s="2602"/>
      <c r="EU33" s="2602"/>
      <c r="EV33" s="2602"/>
      <c r="EW33" s="2602"/>
      <c r="EX33" s="2602"/>
      <c r="EY33" s="2602"/>
      <c r="EZ33" s="4589"/>
    </row>
    <row r="34" spans="1:198" s="1599" customFormat="1" ht="15" customHeight="1">
      <c r="A34" s="3178"/>
      <c r="B34" s="4505"/>
      <c r="C34" s="4562" t="s">
        <v>4899</v>
      </c>
      <c r="D34" s="4491" t="s">
        <v>2189</v>
      </c>
      <c r="E34" s="4491" t="s">
        <v>2190</v>
      </c>
      <c r="F34" s="4491" t="s">
        <v>2191</v>
      </c>
      <c r="G34" s="4491" t="s">
        <v>2192</v>
      </c>
      <c r="H34" s="2721" t="s">
        <v>86</v>
      </c>
      <c r="I34" s="2721" t="s">
        <v>422</v>
      </c>
      <c r="J34" s="4561"/>
      <c r="K34" s="4532">
        <v>0.48</v>
      </c>
      <c r="L34" s="1591">
        <v>2009</v>
      </c>
      <c r="M34" s="1591"/>
      <c r="N34" s="932"/>
      <c r="O34" s="1591" t="s">
        <v>2192</v>
      </c>
      <c r="P34" s="1601">
        <v>0.9</v>
      </c>
      <c r="Q34" s="1602">
        <v>0.92300000000000004</v>
      </c>
      <c r="R34" s="1585" t="s">
        <v>3727</v>
      </c>
      <c r="S34" s="1586" t="s">
        <v>3723</v>
      </c>
      <c r="T34" s="1585"/>
      <c r="U34" s="1586" t="s">
        <v>3725</v>
      </c>
      <c r="V34" s="1586"/>
      <c r="W34" s="1586">
        <v>29700000</v>
      </c>
      <c r="X34" s="1586"/>
      <c r="Y34" s="1586"/>
      <c r="Z34" s="1586"/>
      <c r="AA34" s="1586"/>
      <c r="AB34" s="1586"/>
      <c r="AC34" s="1586"/>
      <c r="AD34" s="1586"/>
      <c r="AE34" s="1586"/>
      <c r="AF34" s="1586"/>
      <c r="AG34" s="1586"/>
      <c r="AH34" s="1586"/>
      <c r="AI34" s="1586"/>
      <c r="AJ34" s="1586"/>
      <c r="AK34" s="1586"/>
      <c r="AL34" s="1586"/>
      <c r="AM34" s="1586"/>
      <c r="AN34" s="1586"/>
      <c r="AO34" s="1586"/>
      <c r="AP34" s="1586"/>
      <c r="AQ34" s="1586"/>
      <c r="AR34" s="1586"/>
      <c r="AS34" s="1586"/>
      <c r="AT34" s="1586"/>
      <c r="AU34" s="1586"/>
      <c r="AV34" s="1586"/>
      <c r="AW34" s="1586"/>
      <c r="AX34" s="1586"/>
      <c r="AY34" s="1586" t="s">
        <v>2191</v>
      </c>
      <c r="AZ34" s="1586" t="s">
        <v>9306</v>
      </c>
      <c r="BA34" s="1586">
        <v>32</v>
      </c>
      <c r="BB34" s="1586" t="s">
        <v>3726</v>
      </c>
      <c r="BC34" s="1586"/>
      <c r="BD34" s="1586"/>
      <c r="BE34" s="1586"/>
      <c r="BF34" s="1586"/>
      <c r="BG34" s="1586"/>
      <c r="BH34" s="1587"/>
      <c r="BI34" s="1603">
        <v>0.92300000000000004</v>
      </c>
      <c r="BJ34" s="1604">
        <v>1</v>
      </c>
      <c r="BK34" s="1605">
        <v>0.91200000000000003</v>
      </c>
      <c r="BL34" s="1605">
        <v>0.91200000000000003</v>
      </c>
      <c r="BM34" s="1590">
        <v>1</v>
      </c>
      <c r="BN34" s="15196"/>
      <c r="BO34" s="1591" t="s">
        <v>3727</v>
      </c>
      <c r="BP34" s="1592" t="s">
        <v>3723</v>
      </c>
      <c r="BQ34" s="1593" t="s">
        <v>9734</v>
      </c>
      <c r="BR34" s="1594">
        <v>29700000</v>
      </c>
      <c r="BS34" s="1595"/>
      <c r="BT34" s="1595">
        <v>29700000</v>
      </c>
      <c r="BU34" s="1595"/>
      <c r="BV34" s="1595" t="s">
        <v>3508</v>
      </c>
      <c r="BW34" s="1595" t="s">
        <v>2951</v>
      </c>
      <c r="BX34" s="1595" t="s">
        <v>2951</v>
      </c>
      <c r="BY34" s="1595" t="s">
        <v>2951</v>
      </c>
      <c r="BZ34" s="1595" t="s">
        <v>2951</v>
      </c>
      <c r="CA34" s="1595" t="s">
        <v>2951</v>
      </c>
      <c r="CB34" s="1595" t="s">
        <v>2951</v>
      </c>
      <c r="CC34" s="1595" t="s">
        <v>2951</v>
      </c>
      <c r="CD34" s="1595" t="s">
        <v>2951</v>
      </c>
      <c r="CE34" s="1595"/>
      <c r="CF34" s="1595"/>
      <c r="CG34" s="1595"/>
      <c r="CH34" s="1595"/>
      <c r="CI34" s="1595"/>
      <c r="CJ34" s="1595"/>
      <c r="CK34" s="1595"/>
      <c r="CL34" s="1595"/>
      <c r="CM34" s="1595"/>
      <c r="CN34" s="1595"/>
      <c r="CO34" s="1595"/>
      <c r="CP34" s="1595"/>
      <c r="CQ34" s="1595"/>
      <c r="CR34" s="1595"/>
      <c r="CS34" s="1595"/>
      <c r="CT34" s="1595"/>
      <c r="CU34" s="1595"/>
      <c r="CV34" s="1595" t="s">
        <v>2191</v>
      </c>
      <c r="CW34" s="1595" t="s">
        <v>9814</v>
      </c>
      <c r="CX34" s="1595">
        <v>32</v>
      </c>
      <c r="CY34" s="1595" t="s">
        <v>3726</v>
      </c>
      <c r="CZ34" s="1597"/>
      <c r="DA34" s="1597"/>
      <c r="DB34" s="1597"/>
      <c r="DC34" s="1597"/>
      <c r="DD34" s="1597"/>
      <c r="DE34" s="1598"/>
      <c r="DG34" s="4588"/>
      <c r="DH34" s="2602"/>
      <c r="DI34" s="2602"/>
      <c r="DJ34" s="2602"/>
      <c r="DK34" s="2602"/>
      <c r="DL34" s="2602"/>
      <c r="DM34" s="2602"/>
      <c r="DN34" s="2602"/>
      <c r="DO34" s="2602"/>
      <c r="DP34" s="2602"/>
      <c r="DQ34" s="2602"/>
      <c r="DR34" s="2602"/>
      <c r="DS34" s="2602"/>
      <c r="DT34" s="2602"/>
      <c r="DU34" s="2602"/>
      <c r="DV34" s="2602"/>
      <c r="DW34" s="2602"/>
      <c r="DX34" s="2602"/>
      <c r="DY34" s="2602"/>
      <c r="DZ34" s="2602"/>
      <c r="EA34" s="2602"/>
      <c r="EB34" s="2602"/>
      <c r="EC34" s="2602"/>
      <c r="ED34" s="2602"/>
      <c r="EE34" s="2602"/>
      <c r="EF34" s="2602"/>
      <c r="EG34" s="2602"/>
      <c r="EH34" s="2602"/>
      <c r="EI34" s="2602"/>
      <c r="EJ34" s="2602"/>
      <c r="EK34" s="2602"/>
      <c r="EL34" s="2602"/>
      <c r="EM34" s="2602"/>
      <c r="EN34" s="2602"/>
      <c r="EO34" s="2602"/>
      <c r="EP34" s="2602"/>
      <c r="EQ34" s="2602"/>
      <c r="ER34" s="2602"/>
      <c r="ES34" s="2602"/>
      <c r="ET34" s="2602"/>
      <c r="EU34" s="2602"/>
      <c r="EV34" s="2602"/>
      <c r="EW34" s="2602"/>
      <c r="EX34" s="2602"/>
      <c r="EY34" s="2602"/>
      <c r="EZ34" s="4589"/>
    </row>
    <row r="35" spans="1:198" s="1599" customFormat="1" ht="15" customHeight="1">
      <c r="A35" s="3178"/>
      <c r="B35" s="4505"/>
      <c r="C35" s="4562" t="s">
        <v>4900</v>
      </c>
      <c r="D35" s="2721" t="s">
        <v>2193</v>
      </c>
      <c r="E35" s="2721" t="s">
        <v>2194</v>
      </c>
      <c r="F35" s="2721" t="s">
        <v>2195</v>
      </c>
      <c r="G35" s="2720">
        <v>1</v>
      </c>
      <c r="H35" s="2720" t="s">
        <v>86</v>
      </c>
      <c r="I35" s="2721" t="s">
        <v>422</v>
      </c>
      <c r="J35" s="4563"/>
      <c r="K35" s="4533">
        <v>1</v>
      </c>
      <c r="L35" s="932">
        <v>2011</v>
      </c>
      <c r="M35" s="1606">
        <v>1</v>
      </c>
      <c r="N35" s="932"/>
      <c r="O35" s="1606">
        <v>1</v>
      </c>
      <c r="P35" s="1607">
        <v>1</v>
      </c>
      <c r="Q35" s="1608">
        <v>1</v>
      </c>
      <c r="R35" s="1609" t="s">
        <v>3728</v>
      </c>
      <c r="S35" s="1609" t="s">
        <v>3729</v>
      </c>
      <c r="T35" s="1609" t="s">
        <v>3730</v>
      </c>
      <c r="U35" s="1610">
        <v>124720000</v>
      </c>
      <c r="V35" s="1610">
        <v>124720000</v>
      </c>
      <c r="W35" s="1611"/>
      <c r="X35" s="1611"/>
      <c r="Y35" s="1611">
        <v>19471</v>
      </c>
      <c r="Z35" s="1611">
        <v>9080</v>
      </c>
      <c r="AA35" s="1611">
        <v>10391</v>
      </c>
      <c r="AB35" s="1611">
        <v>13475</v>
      </c>
      <c r="AC35" s="1611">
        <v>5996</v>
      </c>
      <c r="AD35" s="1611">
        <v>3478</v>
      </c>
      <c r="AE35" s="1611">
        <v>5915</v>
      </c>
      <c r="AF35" s="1611">
        <v>4736</v>
      </c>
      <c r="AG35" s="1611">
        <v>5342</v>
      </c>
      <c r="AH35" s="1611"/>
      <c r="AI35" s="1611"/>
      <c r="AJ35" s="1611"/>
      <c r="AK35" s="1611"/>
      <c r="AL35" s="1611"/>
      <c r="AM35" s="1611"/>
      <c r="AN35" s="1611"/>
      <c r="AO35" s="1611"/>
      <c r="AP35" s="1611"/>
      <c r="AQ35" s="1611"/>
      <c r="AR35" s="1611"/>
      <c r="AS35" s="1611">
        <v>18019</v>
      </c>
      <c r="AT35" s="1611">
        <v>1202</v>
      </c>
      <c r="AU35" s="1611">
        <v>250</v>
      </c>
      <c r="AV35" s="1611"/>
      <c r="AW35" s="1611"/>
      <c r="AX35" s="1611"/>
      <c r="AY35" s="1611"/>
      <c r="AZ35" s="1611"/>
      <c r="BA35" s="1611"/>
      <c r="BB35" s="1611"/>
      <c r="BC35" s="1611"/>
      <c r="BD35" s="1611"/>
      <c r="BE35" s="1611"/>
      <c r="BF35" s="1611"/>
      <c r="BG35" s="1611"/>
      <c r="BH35" s="1612"/>
      <c r="BI35" s="1613">
        <f>19471/19900</f>
        <v>0.9784422110552764</v>
      </c>
      <c r="BJ35" s="1604">
        <f>BI35/P35</f>
        <v>0.9784422110552764</v>
      </c>
      <c r="BK35" s="1581">
        <v>20394</v>
      </c>
      <c r="BL35" s="1581">
        <v>20394</v>
      </c>
      <c r="BM35" s="1590">
        <v>1</v>
      </c>
      <c r="BN35" s="15196"/>
      <c r="BO35" s="1591" t="s">
        <v>3728</v>
      </c>
      <c r="BP35" s="1593" t="s">
        <v>9735</v>
      </c>
      <c r="BQ35" s="1593" t="s">
        <v>3730</v>
      </c>
      <c r="BR35" s="1614">
        <v>124720000</v>
      </c>
      <c r="BS35" s="1592">
        <v>124720000</v>
      </c>
      <c r="BT35" s="1592"/>
      <c r="BU35" s="1592"/>
      <c r="BV35" s="1592">
        <v>20394</v>
      </c>
      <c r="BW35" s="1592">
        <v>9080</v>
      </c>
      <c r="BX35" s="1592">
        <v>11314</v>
      </c>
      <c r="BY35" s="1592">
        <v>13475</v>
      </c>
      <c r="BZ35" s="1592">
        <v>6919</v>
      </c>
      <c r="CA35" s="1592">
        <v>3478</v>
      </c>
      <c r="CB35" s="1592">
        <v>6838</v>
      </c>
      <c r="CC35" s="1592">
        <v>4736</v>
      </c>
      <c r="CD35" s="1592">
        <v>5342</v>
      </c>
      <c r="CE35" s="1592"/>
      <c r="CF35" s="1592"/>
      <c r="CG35" s="1592"/>
      <c r="CH35" s="1592">
        <v>19439</v>
      </c>
      <c r="CI35" s="1592">
        <v>146</v>
      </c>
      <c r="CJ35" s="1592">
        <v>809</v>
      </c>
      <c r="CK35" s="1592"/>
      <c r="CL35" s="1592"/>
      <c r="CM35" s="1592"/>
      <c r="CN35" s="1592"/>
      <c r="CO35" s="1592"/>
      <c r="CP35" s="1592">
        <v>18942</v>
      </c>
      <c r="CQ35" s="1592">
        <v>1202</v>
      </c>
      <c r="CR35" s="1592">
        <v>250</v>
      </c>
      <c r="CS35" s="1592"/>
      <c r="CT35" s="1592"/>
      <c r="CU35" s="1592"/>
      <c r="CV35" s="1592"/>
      <c r="CW35" s="1592"/>
      <c r="CX35" s="1592"/>
      <c r="CY35" s="1592"/>
      <c r="CZ35" s="1615"/>
      <c r="DA35" s="1615"/>
      <c r="DB35" s="1615"/>
      <c r="DC35" s="1615"/>
      <c r="DD35" s="1615"/>
      <c r="DE35" s="1616"/>
      <c r="DG35" s="4588"/>
      <c r="DH35" s="2602"/>
      <c r="DI35" s="2602"/>
      <c r="DJ35" s="2602"/>
      <c r="DK35" s="2602"/>
      <c r="DL35" s="2602"/>
      <c r="DM35" s="2602"/>
      <c r="DN35" s="2602"/>
      <c r="DO35" s="2602"/>
      <c r="DP35" s="2602"/>
      <c r="DQ35" s="2602"/>
      <c r="DR35" s="2602"/>
      <c r="DS35" s="2602"/>
      <c r="DT35" s="2602"/>
      <c r="DU35" s="2602"/>
      <c r="DV35" s="2602"/>
      <c r="DW35" s="2602"/>
      <c r="DX35" s="2602"/>
      <c r="DY35" s="2602"/>
      <c r="DZ35" s="2602"/>
      <c r="EA35" s="2602"/>
      <c r="EB35" s="2602"/>
      <c r="EC35" s="2602"/>
      <c r="ED35" s="2602"/>
      <c r="EE35" s="2602"/>
      <c r="EF35" s="2602"/>
      <c r="EG35" s="2602"/>
      <c r="EH35" s="2602"/>
      <c r="EI35" s="2602"/>
      <c r="EJ35" s="2602"/>
      <c r="EK35" s="2602"/>
      <c r="EL35" s="2602"/>
      <c r="EM35" s="2602"/>
      <c r="EN35" s="2602"/>
      <c r="EO35" s="2602"/>
      <c r="EP35" s="2602"/>
      <c r="EQ35" s="2602"/>
      <c r="ER35" s="2602"/>
      <c r="ES35" s="2602"/>
      <c r="ET35" s="2602"/>
      <c r="EU35" s="2602"/>
      <c r="EV35" s="2602"/>
      <c r="EW35" s="2602"/>
      <c r="EX35" s="2602"/>
      <c r="EY35" s="2602"/>
      <c r="EZ35" s="4589"/>
    </row>
    <row r="36" spans="1:198" s="1599" customFormat="1" ht="15" customHeight="1">
      <c r="A36" s="3178"/>
      <c r="B36" s="4505" t="s">
        <v>2196</v>
      </c>
      <c r="C36" s="4564" t="s">
        <v>4901</v>
      </c>
      <c r="D36" s="4491" t="s">
        <v>2197</v>
      </c>
      <c r="E36" s="4491" t="s">
        <v>2198</v>
      </c>
      <c r="F36" s="4491" t="s">
        <v>2199</v>
      </c>
      <c r="G36" s="4491" t="s">
        <v>2203</v>
      </c>
      <c r="H36" s="2721" t="s">
        <v>2896</v>
      </c>
      <c r="I36" s="4491" t="s">
        <v>2200</v>
      </c>
      <c r="J36" s="4561"/>
      <c r="K36" s="4534" t="s">
        <v>2201</v>
      </c>
      <c r="L36" s="932">
        <v>2011</v>
      </c>
      <c r="M36" s="1600" t="s">
        <v>2202</v>
      </c>
      <c r="N36" s="1618"/>
      <c r="O36" s="1600" t="s">
        <v>2203</v>
      </c>
      <c r="P36" s="1617" t="s">
        <v>2203</v>
      </c>
      <c r="Q36" s="1619">
        <v>1</v>
      </c>
      <c r="R36" s="1620" t="s">
        <v>4070</v>
      </c>
      <c r="S36" s="1621"/>
      <c r="T36" s="1621"/>
      <c r="U36" s="1621"/>
      <c r="V36" s="1621"/>
      <c r="W36" s="1621"/>
      <c r="X36" s="1621"/>
      <c r="Y36" s="1621"/>
      <c r="Z36" s="1621"/>
      <c r="AA36" s="1621"/>
      <c r="AB36" s="1621"/>
      <c r="AC36" s="1621"/>
      <c r="AD36" s="1621"/>
      <c r="AE36" s="1621"/>
      <c r="AF36" s="1621"/>
      <c r="AG36" s="1621"/>
      <c r="AH36" s="1621"/>
      <c r="AI36" s="1621"/>
      <c r="AJ36" s="1621"/>
      <c r="AK36" s="1621"/>
      <c r="AL36" s="1621"/>
      <c r="AM36" s="1621"/>
      <c r="AN36" s="1621"/>
      <c r="AO36" s="1621"/>
      <c r="AP36" s="1621"/>
      <c r="AQ36" s="1621"/>
      <c r="AR36" s="1621"/>
      <c r="AS36" s="1621"/>
      <c r="AT36" s="1621"/>
      <c r="AU36" s="1621"/>
      <c r="AV36" s="1621"/>
      <c r="AW36" s="1621"/>
      <c r="AX36" s="1621"/>
      <c r="AY36" s="1621"/>
      <c r="AZ36" s="1621"/>
      <c r="BA36" s="1621"/>
      <c r="BB36" s="1621"/>
      <c r="BC36" s="1621"/>
      <c r="BD36" s="1621"/>
      <c r="BE36" s="1621"/>
      <c r="BF36" s="1621"/>
      <c r="BG36" s="1621"/>
      <c r="BH36" s="1622"/>
      <c r="BI36" s="1623" t="s">
        <v>9769</v>
      </c>
      <c r="BJ36" s="1604">
        <v>1</v>
      </c>
      <c r="BK36" s="932">
        <v>20394</v>
      </c>
      <c r="BL36" s="932">
        <v>20394</v>
      </c>
      <c r="BM36" s="1590">
        <v>1</v>
      </c>
      <c r="BN36" s="15196"/>
      <c r="BO36" s="1591" t="s">
        <v>9736</v>
      </c>
      <c r="BP36" s="1592" t="s">
        <v>3731</v>
      </c>
      <c r="BQ36" s="1593" t="s">
        <v>3533</v>
      </c>
      <c r="BR36" s="1614">
        <v>1981000</v>
      </c>
      <c r="BS36" s="1615" t="s">
        <v>2943</v>
      </c>
      <c r="BT36" s="1615"/>
      <c r="BU36" s="1615"/>
      <c r="BV36" s="1624" t="s">
        <v>9766</v>
      </c>
      <c r="BW36" s="1615"/>
      <c r="BX36" s="1615"/>
      <c r="BY36" s="1615"/>
      <c r="BZ36" s="1615"/>
      <c r="CA36" s="1615"/>
      <c r="CB36" s="1615"/>
      <c r="CC36" s="1615"/>
      <c r="CD36" s="1615"/>
      <c r="CE36" s="1615"/>
      <c r="CF36" s="1615"/>
      <c r="CG36" s="1615"/>
      <c r="CH36" s="1615"/>
      <c r="CI36" s="1615"/>
      <c r="CJ36" s="1615"/>
      <c r="CK36" s="1615"/>
      <c r="CL36" s="1615"/>
      <c r="CM36" s="1615"/>
      <c r="CN36" s="1615"/>
      <c r="CO36" s="1615"/>
      <c r="CP36" s="1615"/>
      <c r="CQ36" s="1615"/>
      <c r="CR36" s="1615"/>
      <c r="CS36" s="1615"/>
      <c r="CT36" s="1615"/>
      <c r="CU36" s="1615"/>
      <c r="CV36" s="1615"/>
      <c r="CW36" s="1615"/>
      <c r="CX36" s="1615"/>
      <c r="CY36" s="1615"/>
      <c r="CZ36" s="1615"/>
      <c r="DA36" s="1615"/>
      <c r="DB36" s="1615"/>
      <c r="DC36" s="1615"/>
      <c r="DD36" s="1615"/>
      <c r="DE36" s="1616"/>
      <c r="DG36" s="4588"/>
      <c r="DH36" s="2602"/>
      <c r="DI36" s="2602"/>
      <c r="DJ36" s="2602"/>
      <c r="DK36" s="2602"/>
      <c r="DL36" s="2602"/>
      <c r="DM36" s="2602"/>
      <c r="DN36" s="2602"/>
      <c r="DO36" s="2602"/>
      <c r="DP36" s="2602"/>
      <c r="DQ36" s="2602"/>
      <c r="DR36" s="2602"/>
      <c r="DS36" s="2602"/>
      <c r="DT36" s="2602"/>
      <c r="DU36" s="2602"/>
      <c r="DV36" s="2602"/>
      <c r="DW36" s="2602"/>
      <c r="DX36" s="2602"/>
      <c r="DY36" s="2602"/>
      <c r="DZ36" s="2602"/>
      <c r="EA36" s="2602"/>
      <c r="EB36" s="2602"/>
      <c r="EC36" s="2602"/>
      <c r="ED36" s="2602"/>
      <c r="EE36" s="2602"/>
      <c r="EF36" s="2602"/>
      <c r="EG36" s="2602"/>
      <c r="EH36" s="2602"/>
      <c r="EI36" s="2602"/>
      <c r="EJ36" s="2602"/>
      <c r="EK36" s="2602"/>
      <c r="EL36" s="2602"/>
      <c r="EM36" s="2602"/>
      <c r="EN36" s="2602"/>
      <c r="EO36" s="2602"/>
      <c r="EP36" s="2602"/>
      <c r="EQ36" s="2602"/>
      <c r="ER36" s="2602"/>
      <c r="ES36" s="2602"/>
      <c r="ET36" s="2602"/>
      <c r="EU36" s="2602"/>
      <c r="EV36" s="2602"/>
      <c r="EW36" s="2602"/>
      <c r="EX36" s="2602"/>
      <c r="EY36" s="2602"/>
      <c r="EZ36" s="4589"/>
    </row>
    <row r="37" spans="1:198" s="1599" customFormat="1" ht="15" customHeight="1">
      <c r="A37" s="3178"/>
      <c r="B37" s="4505" t="s">
        <v>2204</v>
      </c>
      <c r="C37" s="4564" t="s">
        <v>4902</v>
      </c>
      <c r="D37" s="4074" t="s">
        <v>2205</v>
      </c>
      <c r="E37" s="4074" t="s">
        <v>2206</v>
      </c>
      <c r="F37" s="4074" t="s">
        <v>2207</v>
      </c>
      <c r="G37" s="2721" t="s">
        <v>2210</v>
      </c>
      <c r="H37" s="2721" t="s">
        <v>86</v>
      </c>
      <c r="I37" s="2721" t="s">
        <v>422</v>
      </c>
      <c r="J37" s="4565"/>
      <c r="K37" s="4535" t="s">
        <v>2208</v>
      </c>
      <c r="L37" s="932">
        <v>2010</v>
      </c>
      <c r="M37" s="1591" t="s">
        <v>2209</v>
      </c>
      <c r="N37" s="932"/>
      <c r="O37" s="1591" t="s">
        <v>2210</v>
      </c>
      <c r="P37" s="1625">
        <v>6</v>
      </c>
      <c r="Q37" s="1626">
        <f>4/6</f>
        <v>0.66666666666666663</v>
      </c>
      <c r="R37" s="1609" t="s">
        <v>3532</v>
      </c>
      <c r="S37" s="1611" t="s">
        <v>3731</v>
      </c>
      <c r="T37" s="1609" t="s">
        <v>3533</v>
      </c>
      <c r="U37" s="1611"/>
      <c r="V37" s="1611"/>
      <c r="W37" s="1611"/>
      <c r="X37" s="1611"/>
      <c r="Y37" s="1611"/>
      <c r="Z37" s="1611"/>
      <c r="AA37" s="1611"/>
      <c r="AB37" s="1611"/>
      <c r="AC37" s="1611"/>
      <c r="AD37" s="1611"/>
      <c r="AE37" s="1611"/>
      <c r="AF37" s="1611"/>
      <c r="AG37" s="1611"/>
      <c r="AH37" s="1611"/>
      <c r="AI37" s="1611"/>
      <c r="AJ37" s="1611"/>
      <c r="AK37" s="1611"/>
      <c r="AL37" s="1611"/>
      <c r="AM37" s="1611"/>
      <c r="AN37" s="1611"/>
      <c r="AO37" s="1611"/>
      <c r="AP37" s="1611"/>
      <c r="AQ37" s="1611"/>
      <c r="AR37" s="1611"/>
      <c r="AS37" s="1611"/>
      <c r="AT37" s="1611"/>
      <c r="AU37" s="1611"/>
      <c r="AV37" s="1611"/>
      <c r="AW37" s="1611"/>
      <c r="AX37" s="1611"/>
      <c r="AY37" s="1611"/>
      <c r="AZ37" s="1611"/>
      <c r="BA37" s="1611"/>
      <c r="BB37" s="1611"/>
      <c r="BC37" s="1611"/>
      <c r="BD37" s="1611"/>
      <c r="BE37" s="1611"/>
      <c r="BF37" s="1611"/>
      <c r="BG37" s="1611"/>
      <c r="BH37" s="1612"/>
      <c r="BI37" s="932">
        <v>4</v>
      </c>
      <c r="BJ37" s="1604">
        <f>BI37/6</f>
        <v>0.66666666666666663</v>
      </c>
      <c r="BK37" s="932">
        <v>4</v>
      </c>
      <c r="BL37" s="932">
        <v>4</v>
      </c>
      <c r="BM37" s="1590">
        <f>BL37/P37</f>
        <v>0.66666666666666663</v>
      </c>
      <c r="BN37" s="15196"/>
      <c r="BO37" s="1591" t="s">
        <v>9736</v>
      </c>
      <c r="BP37" s="1592" t="s">
        <v>3731</v>
      </c>
      <c r="BQ37" s="1593" t="s">
        <v>3533</v>
      </c>
      <c r="BR37" s="1614">
        <v>26000000</v>
      </c>
      <c r="BS37" s="1592"/>
      <c r="BT37" s="1592">
        <v>26000000</v>
      </c>
      <c r="BU37" s="1592"/>
      <c r="BV37" s="1627">
        <v>959</v>
      </c>
      <c r="BW37" s="1627">
        <v>184</v>
      </c>
      <c r="BX37" s="1627">
        <v>775</v>
      </c>
      <c r="BY37" s="1627">
        <v>930</v>
      </c>
      <c r="BZ37" s="1627">
        <v>29</v>
      </c>
      <c r="CA37" s="1627">
        <v>0</v>
      </c>
      <c r="CB37" s="1627">
        <v>4</v>
      </c>
      <c r="CC37" s="1627">
        <v>19</v>
      </c>
      <c r="CD37" s="1627">
        <v>443</v>
      </c>
      <c r="CE37" s="1627">
        <v>398</v>
      </c>
      <c r="CF37" s="1627">
        <v>95</v>
      </c>
      <c r="CG37" s="1627"/>
      <c r="CH37" s="1627">
        <v>836</v>
      </c>
      <c r="CI37" s="1627"/>
      <c r="CJ37" s="1627">
        <v>44</v>
      </c>
      <c r="CK37" s="1627"/>
      <c r="CL37" s="1627">
        <v>73</v>
      </c>
      <c r="CM37" s="1627"/>
      <c r="CN37" s="1627"/>
      <c r="CO37" s="1627">
        <v>6</v>
      </c>
      <c r="CP37" s="1627">
        <v>918</v>
      </c>
      <c r="CQ37" s="1627">
        <v>31</v>
      </c>
      <c r="CR37" s="1627">
        <v>10</v>
      </c>
      <c r="CS37" s="1627"/>
      <c r="CT37" s="1627"/>
      <c r="CU37" s="1627"/>
      <c r="CV37" s="1627"/>
      <c r="CW37" s="1627"/>
      <c r="CX37" s="1627"/>
      <c r="CY37" s="1627"/>
      <c r="CZ37" s="1627"/>
      <c r="DA37" s="1627"/>
      <c r="DB37" s="1627"/>
      <c r="DC37" s="1627"/>
      <c r="DD37" s="1627"/>
      <c r="DE37" s="1627"/>
      <c r="DG37" s="4588"/>
      <c r="DH37" s="2602"/>
      <c r="DI37" s="2602"/>
      <c r="DJ37" s="2602"/>
      <c r="DK37" s="2602"/>
      <c r="DL37" s="2602"/>
      <c r="DM37" s="2602"/>
      <c r="DN37" s="2602"/>
      <c r="DO37" s="2602"/>
      <c r="DP37" s="2602"/>
      <c r="DQ37" s="2602"/>
      <c r="DR37" s="2602"/>
      <c r="DS37" s="2602"/>
      <c r="DT37" s="2602"/>
      <c r="DU37" s="2602"/>
      <c r="DV37" s="2602"/>
      <c r="DW37" s="2602"/>
      <c r="DX37" s="2602"/>
      <c r="DY37" s="2602"/>
      <c r="DZ37" s="2602"/>
      <c r="EA37" s="2602"/>
      <c r="EB37" s="2602"/>
      <c r="EC37" s="2602"/>
      <c r="ED37" s="2602"/>
      <c r="EE37" s="2602"/>
      <c r="EF37" s="2602"/>
      <c r="EG37" s="2602"/>
      <c r="EH37" s="2602"/>
      <c r="EI37" s="2602"/>
      <c r="EJ37" s="2602"/>
      <c r="EK37" s="2602"/>
      <c r="EL37" s="2602"/>
      <c r="EM37" s="2602"/>
      <c r="EN37" s="2602"/>
      <c r="EO37" s="2602"/>
      <c r="EP37" s="2602"/>
      <c r="EQ37" s="2602"/>
      <c r="ER37" s="2602"/>
      <c r="ES37" s="2602"/>
      <c r="ET37" s="2602"/>
      <c r="EU37" s="2602"/>
      <c r="EV37" s="2602"/>
      <c r="EW37" s="2602"/>
      <c r="EX37" s="2602"/>
      <c r="EY37" s="2602"/>
      <c r="EZ37" s="4589"/>
    </row>
    <row r="38" spans="1:198" s="1599" customFormat="1" ht="15" customHeight="1">
      <c r="A38" s="3178"/>
      <c r="B38" s="4506"/>
      <c r="C38" s="4564" t="s">
        <v>4902</v>
      </c>
      <c r="D38" s="4074" t="s">
        <v>2211</v>
      </c>
      <c r="E38" s="4074" t="s">
        <v>2212</v>
      </c>
      <c r="F38" s="4074" t="s">
        <v>2186</v>
      </c>
      <c r="G38" s="4074" t="s">
        <v>2213</v>
      </c>
      <c r="H38" s="2721" t="s">
        <v>86</v>
      </c>
      <c r="I38" s="2721" t="s">
        <v>422</v>
      </c>
      <c r="J38" s="4565"/>
      <c r="K38" s="4533">
        <v>0.87</v>
      </c>
      <c r="L38" s="932">
        <v>2009</v>
      </c>
      <c r="M38" s="1591" t="s">
        <v>2213</v>
      </c>
      <c r="N38" s="932"/>
      <c r="O38" s="1591" t="s">
        <v>2213</v>
      </c>
      <c r="P38" s="1628">
        <v>1</v>
      </c>
      <c r="Q38" s="1629">
        <v>0.89</v>
      </c>
      <c r="R38" s="1609" t="s">
        <v>3518</v>
      </c>
      <c r="S38" s="1609" t="s">
        <v>3517</v>
      </c>
      <c r="T38" s="1611"/>
      <c r="U38" s="1611">
        <v>38000000</v>
      </c>
      <c r="V38" s="1611"/>
      <c r="W38" s="1611">
        <v>38000000</v>
      </c>
      <c r="X38" s="1611"/>
      <c r="Y38" s="1630">
        <v>4582</v>
      </c>
      <c r="Z38" s="1630">
        <v>2249</v>
      </c>
      <c r="AA38" s="1630">
        <v>2333</v>
      </c>
      <c r="AB38" s="1630">
        <v>3975</v>
      </c>
      <c r="AC38" s="1630">
        <v>607</v>
      </c>
      <c r="AD38" s="1630">
        <v>4582</v>
      </c>
      <c r="AE38" s="1630"/>
      <c r="AF38" s="1630"/>
      <c r="AG38" s="1630"/>
      <c r="AH38" s="1630"/>
      <c r="AI38" s="1630"/>
      <c r="AJ38" s="1630"/>
      <c r="AK38" s="1630"/>
      <c r="AL38" s="1630"/>
      <c r="AM38" s="1630"/>
      <c r="AN38" s="1630"/>
      <c r="AO38" s="1630"/>
      <c r="AP38" s="1630"/>
      <c r="AQ38" s="1630"/>
      <c r="AR38" s="1630"/>
      <c r="AS38" s="1630"/>
      <c r="AT38" s="1630"/>
      <c r="AU38" s="1630"/>
      <c r="AV38" s="1630"/>
      <c r="AW38" s="1630"/>
      <c r="AX38" s="1630"/>
      <c r="AY38" s="1630"/>
      <c r="AZ38" s="1611"/>
      <c r="BA38" s="1611"/>
      <c r="BB38" s="1611"/>
      <c r="BC38" s="1611"/>
      <c r="BD38" s="1611"/>
      <c r="BE38" s="1611"/>
      <c r="BF38" s="1611"/>
      <c r="BG38" s="1611"/>
      <c r="BH38" s="1631"/>
      <c r="BI38" s="1632">
        <v>0.89</v>
      </c>
      <c r="BJ38" s="1604">
        <f>BI38/100%</f>
        <v>0.89</v>
      </c>
      <c r="BK38" s="1632">
        <v>0.91</v>
      </c>
      <c r="BL38" s="1632">
        <v>0.91</v>
      </c>
      <c r="BM38" s="1590">
        <f>BL38/P38</f>
        <v>0.91</v>
      </c>
      <c r="BN38" s="15196"/>
      <c r="BO38" s="1591" t="s">
        <v>9737</v>
      </c>
      <c r="BP38" s="1593" t="s">
        <v>3517</v>
      </c>
      <c r="BQ38" s="1593" t="s">
        <v>9738</v>
      </c>
      <c r="BR38" s="1614">
        <v>38000000</v>
      </c>
      <c r="BS38" s="1592"/>
      <c r="BT38" s="1592">
        <v>38000000</v>
      </c>
      <c r="BU38" s="1592"/>
      <c r="BV38" s="1633">
        <v>4448</v>
      </c>
      <c r="BW38" s="1593">
        <f>+BV38-BX38</f>
        <v>2349</v>
      </c>
      <c r="BX38" s="1593">
        <v>2099</v>
      </c>
      <c r="BY38" s="1593"/>
      <c r="BZ38" s="1593"/>
      <c r="CA38" s="1593">
        <v>4448</v>
      </c>
      <c r="CB38" s="1593"/>
      <c r="CC38" s="1593"/>
      <c r="CD38" s="1593"/>
      <c r="CE38" s="1593"/>
      <c r="CF38" s="1593"/>
      <c r="CG38" s="1593"/>
      <c r="CH38" s="1593">
        <v>4308</v>
      </c>
      <c r="CI38" s="1593">
        <v>0</v>
      </c>
      <c r="CJ38" s="1593">
        <v>2</v>
      </c>
      <c r="CK38" s="1593">
        <v>0</v>
      </c>
      <c r="CL38" s="1593">
        <v>0</v>
      </c>
      <c r="CM38" s="1593">
        <v>0</v>
      </c>
      <c r="CN38" s="1593">
        <v>0</v>
      </c>
      <c r="CO38" s="1593">
        <v>138</v>
      </c>
      <c r="CP38" s="1593">
        <f>4031+358</f>
        <v>4389</v>
      </c>
      <c r="CQ38" s="1593">
        <v>38</v>
      </c>
      <c r="CR38" s="1593">
        <v>13</v>
      </c>
      <c r="CS38" s="1593">
        <v>8</v>
      </c>
      <c r="CT38" s="1593">
        <v>0</v>
      </c>
      <c r="CU38" s="1593">
        <v>0</v>
      </c>
      <c r="CV38" s="1592"/>
      <c r="CW38" s="1592"/>
      <c r="CX38" s="1592"/>
      <c r="CY38" s="1592"/>
      <c r="CZ38" s="1615"/>
      <c r="DA38" s="1615"/>
      <c r="DB38" s="1615"/>
      <c r="DC38" s="1615"/>
      <c r="DD38" s="1615"/>
      <c r="DE38" s="1616"/>
      <c r="DG38" s="4588"/>
      <c r="DH38" s="2602"/>
      <c r="DI38" s="2602"/>
      <c r="DJ38" s="2602"/>
      <c r="DK38" s="2602"/>
      <c r="DL38" s="2602"/>
      <c r="DM38" s="2602"/>
      <c r="DN38" s="2602"/>
      <c r="DO38" s="2602"/>
      <c r="DP38" s="2602"/>
      <c r="DQ38" s="2602"/>
      <c r="DR38" s="2602"/>
      <c r="DS38" s="2602"/>
      <c r="DT38" s="2602"/>
      <c r="DU38" s="2602"/>
      <c r="DV38" s="2602"/>
      <c r="DW38" s="2602"/>
      <c r="DX38" s="2602"/>
      <c r="DY38" s="2602"/>
      <c r="DZ38" s="2602"/>
      <c r="EA38" s="2602"/>
      <c r="EB38" s="2602"/>
      <c r="EC38" s="2602"/>
      <c r="ED38" s="2602"/>
      <c r="EE38" s="2602"/>
      <c r="EF38" s="2602"/>
      <c r="EG38" s="2602"/>
      <c r="EH38" s="2602"/>
      <c r="EI38" s="2602"/>
      <c r="EJ38" s="2602"/>
      <c r="EK38" s="2602"/>
      <c r="EL38" s="2602"/>
      <c r="EM38" s="2602"/>
      <c r="EN38" s="2602"/>
      <c r="EO38" s="2602"/>
      <c r="EP38" s="2602"/>
      <c r="EQ38" s="2602"/>
      <c r="ER38" s="2602"/>
      <c r="ES38" s="2602"/>
      <c r="ET38" s="2602"/>
      <c r="EU38" s="2602"/>
      <c r="EV38" s="2602"/>
      <c r="EW38" s="2602"/>
      <c r="EX38" s="2602"/>
      <c r="EY38" s="2602"/>
      <c r="EZ38" s="4589"/>
    </row>
    <row r="39" spans="1:198" s="1599" customFormat="1" ht="15" customHeight="1" thickBot="1">
      <c r="A39" s="3179"/>
      <c r="B39" s="4507" t="s">
        <v>2214</v>
      </c>
      <c r="C39" s="4578" t="s">
        <v>4902</v>
      </c>
      <c r="D39" s="1634" t="s">
        <v>2215</v>
      </c>
      <c r="E39" s="1634" t="s">
        <v>2216</v>
      </c>
      <c r="F39" s="1634" t="s">
        <v>2195</v>
      </c>
      <c r="G39" s="1634" t="s">
        <v>2217</v>
      </c>
      <c r="H39" s="1634" t="s">
        <v>86</v>
      </c>
      <c r="I39" s="1634" t="s">
        <v>422</v>
      </c>
      <c r="J39" s="4579"/>
      <c r="K39" s="4536" t="s">
        <v>2117</v>
      </c>
      <c r="L39" s="1635">
        <v>2011</v>
      </c>
      <c r="M39" s="1636">
        <v>0.8</v>
      </c>
      <c r="N39" s="1635"/>
      <c r="O39" s="1634" t="s">
        <v>2217</v>
      </c>
      <c r="P39" s="1637">
        <v>1</v>
      </c>
      <c r="Q39" s="1638">
        <v>1</v>
      </c>
      <c r="R39" s="1639" t="s">
        <v>3732</v>
      </c>
      <c r="S39" s="1640"/>
      <c r="T39" s="1640"/>
      <c r="U39" s="1640"/>
      <c r="V39" s="1640"/>
      <c r="W39" s="1640"/>
      <c r="X39" s="1640"/>
      <c r="Y39" s="1641"/>
      <c r="Z39" s="1640"/>
      <c r="AA39" s="1640"/>
      <c r="AB39" s="1640"/>
      <c r="AC39" s="1640"/>
      <c r="AD39" s="1640"/>
      <c r="AE39" s="1640"/>
      <c r="AF39" s="1640"/>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2"/>
      <c r="BI39" s="1643" t="s">
        <v>1582</v>
      </c>
      <c r="BJ39" s="1644" t="s">
        <v>1732</v>
      </c>
      <c r="BK39" s="1635" t="s">
        <v>9362</v>
      </c>
      <c r="BL39" s="1635" t="s">
        <v>9362</v>
      </c>
      <c r="BM39" s="1590" t="s">
        <v>2951</v>
      </c>
      <c r="BN39" s="15197"/>
      <c r="BO39" s="1591" t="s">
        <v>3732</v>
      </c>
      <c r="BP39" s="1592" t="s">
        <v>9701</v>
      </c>
      <c r="BQ39" s="1593" t="s">
        <v>9739</v>
      </c>
      <c r="BR39" s="1645">
        <v>0</v>
      </c>
      <c r="BS39" s="1646"/>
      <c r="BT39" s="1646"/>
      <c r="BU39" s="1646"/>
      <c r="BV39" s="1627"/>
      <c r="BW39" s="1627"/>
      <c r="BX39" s="1627"/>
      <c r="BY39" s="1627"/>
      <c r="BZ39" s="1627"/>
      <c r="CA39" s="1627"/>
      <c r="CB39" s="1627"/>
      <c r="CC39" s="1627"/>
      <c r="CD39" s="1627"/>
      <c r="CE39" s="1627"/>
      <c r="CF39" s="1627"/>
      <c r="CG39" s="1627"/>
      <c r="CH39" s="1627"/>
      <c r="CI39" s="1627"/>
      <c r="CJ39" s="1627"/>
      <c r="CK39" s="1627"/>
      <c r="CL39" s="1627"/>
      <c r="CM39" s="1627"/>
      <c r="CN39" s="1627"/>
      <c r="CO39" s="1627"/>
      <c r="CP39" s="1627"/>
      <c r="CQ39" s="1627"/>
      <c r="CR39" s="1627"/>
      <c r="CS39" s="1627"/>
      <c r="CT39" s="1627"/>
      <c r="CU39" s="1627"/>
      <c r="CV39" s="1627"/>
      <c r="CW39" s="1627"/>
      <c r="CX39" s="1627"/>
      <c r="CY39" s="1627"/>
      <c r="CZ39" s="1627"/>
      <c r="DA39" s="1627"/>
      <c r="DB39" s="1627"/>
      <c r="DC39" s="1627"/>
      <c r="DD39" s="1627"/>
      <c r="DE39" s="1627"/>
      <c r="DG39" s="4598"/>
      <c r="DH39" s="4599"/>
      <c r="DI39" s="4599"/>
      <c r="DJ39" s="4599"/>
      <c r="DK39" s="4599"/>
      <c r="DL39" s="4599"/>
      <c r="DM39" s="4599"/>
      <c r="DN39" s="4599"/>
      <c r="DO39" s="4599"/>
      <c r="DP39" s="4599"/>
      <c r="DQ39" s="4599"/>
      <c r="DR39" s="4599"/>
      <c r="DS39" s="4599"/>
      <c r="DT39" s="4599"/>
      <c r="DU39" s="4599"/>
      <c r="DV39" s="4599"/>
      <c r="DW39" s="4599"/>
      <c r="DX39" s="4599"/>
      <c r="DY39" s="4599"/>
      <c r="DZ39" s="4599"/>
      <c r="EA39" s="4599"/>
      <c r="EB39" s="4599"/>
      <c r="EC39" s="4599"/>
      <c r="ED39" s="4599"/>
      <c r="EE39" s="4599"/>
      <c r="EF39" s="4599"/>
      <c r="EG39" s="4599"/>
      <c r="EH39" s="4599"/>
      <c r="EI39" s="4599"/>
      <c r="EJ39" s="4599"/>
      <c r="EK39" s="4599"/>
      <c r="EL39" s="4599"/>
      <c r="EM39" s="4599"/>
      <c r="EN39" s="4599"/>
      <c r="EO39" s="4599"/>
      <c r="EP39" s="4599"/>
      <c r="EQ39" s="4599"/>
      <c r="ER39" s="4599"/>
      <c r="ES39" s="4599"/>
      <c r="ET39" s="4599"/>
      <c r="EU39" s="4599"/>
      <c r="EV39" s="4599"/>
      <c r="EW39" s="4599"/>
      <c r="EX39" s="4599"/>
      <c r="EY39" s="4599"/>
      <c r="EZ39" s="4600"/>
    </row>
    <row r="40" spans="1:198" s="1658" customFormat="1" ht="15" customHeight="1" thickBot="1">
      <c r="A40" s="3180" t="s">
        <v>2243</v>
      </c>
      <c r="B40" s="4508" t="s">
        <v>2218</v>
      </c>
      <c r="C40" s="4574" t="s">
        <v>4903</v>
      </c>
      <c r="D40" s="4113" t="s">
        <v>2219</v>
      </c>
      <c r="E40" s="4575" t="s">
        <v>2220</v>
      </c>
      <c r="F40" s="4575" t="s">
        <v>2221</v>
      </c>
      <c r="G40" s="4576">
        <v>1</v>
      </c>
      <c r="H40" s="2722" t="s">
        <v>86</v>
      </c>
      <c r="I40" s="4113" t="s">
        <v>422</v>
      </c>
      <c r="J40" s="4577"/>
      <c r="K40" s="1992" t="s">
        <v>2117</v>
      </c>
      <c r="L40" s="1647">
        <v>2011</v>
      </c>
      <c r="M40" s="1647" t="s">
        <v>2117</v>
      </c>
      <c r="N40" s="1649"/>
      <c r="O40" s="1648">
        <v>1</v>
      </c>
      <c r="P40" s="1648">
        <v>1</v>
      </c>
      <c r="Q40" s="15263">
        <v>1</v>
      </c>
      <c r="R40" s="15265" t="s">
        <v>3528</v>
      </c>
      <c r="S40" s="15265" t="s">
        <v>3733</v>
      </c>
      <c r="T40" s="1650" t="s">
        <v>3734</v>
      </c>
      <c r="U40" s="15267">
        <v>200000000</v>
      </c>
      <c r="V40" s="15267">
        <v>200000000</v>
      </c>
      <c r="W40" s="1651"/>
      <c r="X40" s="1651"/>
      <c r="Y40" s="1652"/>
      <c r="Z40" s="1651"/>
      <c r="AA40" s="1651"/>
      <c r="AB40" s="1651"/>
      <c r="AC40" s="1651"/>
      <c r="AD40" s="1651"/>
      <c r="AE40" s="1651"/>
      <c r="AF40" s="1651"/>
      <c r="AG40" s="1651"/>
      <c r="AH40" s="1651"/>
      <c r="AI40" s="1651"/>
      <c r="AJ40" s="1651"/>
      <c r="AK40" s="1651"/>
      <c r="AL40" s="1651"/>
      <c r="AM40" s="1651"/>
      <c r="AN40" s="1651"/>
      <c r="AO40" s="1651"/>
      <c r="AP40" s="1651"/>
      <c r="AQ40" s="1651"/>
      <c r="AR40" s="1651"/>
      <c r="AS40" s="1651"/>
      <c r="AT40" s="1651"/>
      <c r="AU40" s="1651"/>
      <c r="AV40" s="1651"/>
      <c r="AW40" s="1651"/>
      <c r="AX40" s="1651"/>
      <c r="AY40" s="1651"/>
      <c r="AZ40" s="1651"/>
      <c r="BA40" s="1651"/>
      <c r="BB40" s="1651"/>
      <c r="BC40" s="1651"/>
      <c r="BD40" s="1651"/>
      <c r="BE40" s="1651"/>
      <c r="BF40" s="1651"/>
      <c r="BG40" s="1651"/>
      <c r="BH40" s="1653"/>
      <c r="BI40" s="15207" t="s">
        <v>9722</v>
      </c>
      <c r="BJ40" s="1654">
        <v>1</v>
      </c>
      <c r="BK40" s="15209" t="s">
        <v>9722</v>
      </c>
      <c r="BL40" s="15209" t="s">
        <v>9722</v>
      </c>
      <c r="BM40" s="1655">
        <v>1</v>
      </c>
      <c r="BN40" s="15177">
        <f>AVERAGE(BM40:BM50)</f>
        <v>0.92760416666666667</v>
      </c>
      <c r="BO40" s="15156" t="s">
        <v>9740</v>
      </c>
      <c r="BP40" s="15161" t="s">
        <v>3733</v>
      </c>
      <c r="BQ40" s="15161" t="s">
        <v>9741</v>
      </c>
      <c r="BR40" s="15173">
        <v>253000000</v>
      </c>
      <c r="BS40" s="15175">
        <v>253000000</v>
      </c>
      <c r="BT40" s="1656"/>
      <c r="BU40" s="1656"/>
      <c r="BV40" s="1657">
        <v>1866</v>
      </c>
      <c r="BW40" s="1657"/>
      <c r="BX40" s="1657"/>
      <c r="BY40" s="1657"/>
      <c r="BZ40" s="1657"/>
      <c r="CA40" s="1657">
        <v>260</v>
      </c>
      <c r="CB40" s="1657">
        <v>778</v>
      </c>
      <c r="CC40" s="1657">
        <v>828</v>
      </c>
      <c r="CD40" s="1657"/>
      <c r="CE40" s="1657"/>
      <c r="CF40" s="1657"/>
      <c r="CG40" s="1657"/>
      <c r="CH40" s="1657"/>
      <c r="CI40" s="1657"/>
      <c r="CJ40" s="1657"/>
      <c r="CK40" s="1657"/>
      <c r="CL40" s="1657"/>
      <c r="CM40" s="1657"/>
      <c r="CN40" s="1657"/>
      <c r="CO40" s="1657"/>
      <c r="CP40" s="1657"/>
      <c r="CQ40" s="1657"/>
      <c r="CR40" s="1657"/>
      <c r="CS40" s="1657"/>
      <c r="CT40" s="1657"/>
      <c r="CU40" s="1657"/>
      <c r="CV40" s="1657"/>
      <c r="CW40" s="1657"/>
      <c r="CX40" s="1657"/>
      <c r="CY40" s="1657"/>
      <c r="CZ40" s="1657"/>
      <c r="DA40" s="1657"/>
      <c r="DB40" s="1657"/>
      <c r="DC40" s="1657"/>
      <c r="DD40" s="1657"/>
      <c r="DE40" s="1657"/>
      <c r="DG40" s="4595"/>
      <c r="DH40" s="4596"/>
      <c r="DI40" s="4596"/>
      <c r="DJ40" s="4596"/>
      <c r="DK40" s="4596"/>
      <c r="DL40" s="4596"/>
      <c r="DM40" s="4596"/>
      <c r="DN40" s="4596"/>
      <c r="DO40" s="4596"/>
      <c r="DP40" s="4596"/>
      <c r="DQ40" s="4596"/>
      <c r="DR40" s="4596"/>
      <c r="DS40" s="4596"/>
      <c r="DT40" s="4596"/>
      <c r="DU40" s="4596"/>
      <c r="DV40" s="4596"/>
      <c r="DW40" s="4596"/>
      <c r="DX40" s="4596"/>
      <c r="DY40" s="4596"/>
      <c r="DZ40" s="4596"/>
      <c r="EA40" s="4596"/>
      <c r="EB40" s="4596"/>
      <c r="EC40" s="4596"/>
      <c r="ED40" s="4596"/>
      <c r="EE40" s="4596"/>
      <c r="EF40" s="4596"/>
      <c r="EG40" s="4596"/>
      <c r="EH40" s="4596"/>
      <c r="EI40" s="4596"/>
      <c r="EJ40" s="4596"/>
      <c r="EK40" s="4596"/>
      <c r="EL40" s="4596"/>
      <c r="EM40" s="4596"/>
      <c r="EN40" s="4596"/>
      <c r="EO40" s="4596"/>
      <c r="EP40" s="4596"/>
      <c r="EQ40" s="4596"/>
      <c r="ER40" s="4596"/>
      <c r="ES40" s="4596"/>
      <c r="ET40" s="4596"/>
      <c r="EU40" s="4596"/>
      <c r="EV40" s="4596"/>
      <c r="EW40" s="4596"/>
      <c r="EX40" s="4596"/>
      <c r="EY40" s="4596"/>
      <c r="EZ40" s="4597"/>
      <c r="FC40" s="1599"/>
      <c r="FD40" s="1599"/>
      <c r="FE40" s="1599"/>
      <c r="FF40" s="1599"/>
      <c r="FG40" s="1599"/>
      <c r="FH40" s="1599"/>
      <c r="FI40" s="1599"/>
      <c r="FJ40" s="1599"/>
      <c r="FK40" s="1599"/>
      <c r="FL40" s="1599"/>
      <c r="FM40" s="1599"/>
      <c r="FN40" s="1599"/>
      <c r="FO40" s="1599"/>
      <c r="FP40" s="1599"/>
      <c r="FQ40" s="1599"/>
      <c r="FR40" s="1599"/>
      <c r="FS40" s="1599"/>
      <c r="FT40" s="1599"/>
      <c r="FU40" s="1599"/>
      <c r="FV40" s="1599"/>
      <c r="FW40" s="1599"/>
      <c r="FX40" s="1599"/>
      <c r="FY40" s="1599"/>
      <c r="FZ40" s="1599"/>
      <c r="GA40" s="1599"/>
      <c r="GB40" s="1599"/>
      <c r="GC40" s="1599"/>
      <c r="GD40" s="1599"/>
      <c r="GE40" s="1599"/>
      <c r="GF40" s="1599"/>
      <c r="GG40" s="1599"/>
      <c r="GH40" s="1599"/>
      <c r="GI40" s="1599"/>
      <c r="GJ40" s="1599"/>
      <c r="GK40" s="1599"/>
      <c r="GL40" s="1599"/>
      <c r="GM40" s="1599"/>
      <c r="GN40" s="1599"/>
      <c r="GO40" s="1599"/>
      <c r="GP40" s="1599"/>
    </row>
    <row r="41" spans="1:198" s="1658" customFormat="1" ht="15" customHeight="1">
      <c r="A41" s="2001"/>
      <c r="B41" s="4509"/>
      <c r="C41" s="2000" t="s">
        <v>4904</v>
      </c>
      <c r="D41" s="3183" t="s">
        <v>2222</v>
      </c>
      <c r="E41" s="3183" t="s">
        <v>2223</v>
      </c>
      <c r="F41" s="3183" t="s">
        <v>2221</v>
      </c>
      <c r="G41" s="2723">
        <v>1</v>
      </c>
      <c r="H41" s="2723" t="s">
        <v>86</v>
      </c>
      <c r="I41" s="3183" t="s">
        <v>422</v>
      </c>
      <c r="J41" s="4566"/>
      <c r="K41" s="4537" t="s">
        <v>2117</v>
      </c>
      <c r="L41" s="1659">
        <v>2011</v>
      </c>
      <c r="M41" s="1659" t="s">
        <v>2117</v>
      </c>
      <c r="N41" s="1660"/>
      <c r="O41" s="1648">
        <v>1</v>
      </c>
      <c r="P41" s="1648">
        <v>1</v>
      </c>
      <c r="Q41" s="15264"/>
      <c r="R41" s="15266"/>
      <c r="S41" s="15266"/>
      <c r="T41" s="1661"/>
      <c r="U41" s="15268"/>
      <c r="V41" s="15268"/>
      <c r="W41" s="1662"/>
      <c r="X41" s="1662"/>
      <c r="Y41" s="1663">
        <v>10</v>
      </c>
      <c r="Z41" s="1663">
        <v>6</v>
      </c>
      <c r="AA41" s="1663">
        <v>4</v>
      </c>
      <c r="AB41" s="1663">
        <v>10</v>
      </c>
      <c r="AC41" s="1663">
        <v>0</v>
      </c>
      <c r="AD41" s="1663">
        <v>10</v>
      </c>
      <c r="AE41" s="1663"/>
      <c r="AF41" s="1663"/>
      <c r="AG41" s="1663"/>
      <c r="AH41" s="1662"/>
      <c r="AI41" s="1662"/>
      <c r="AJ41" s="1662"/>
      <c r="AK41" s="1662"/>
      <c r="AL41" s="1662"/>
      <c r="AM41" s="1662"/>
      <c r="AN41" s="1662"/>
      <c r="AO41" s="1662"/>
      <c r="AP41" s="1662"/>
      <c r="AQ41" s="1662"/>
      <c r="AR41" s="1662"/>
      <c r="AS41" s="1663">
        <v>10</v>
      </c>
      <c r="AT41" s="1663"/>
      <c r="AU41" s="1663"/>
      <c r="AV41" s="1662"/>
      <c r="AW41" s="1662"/>
      <c r="AX41" s="1662"/>
      <c r="AY41" s="1662"/>
      <c r="AZ41" s="1662"/>
      <c r="BA41" s="1662"/>
      <c r="BB41" s="1662"/>
      <c r="BC41" s="1662"/>
      <c r="BD41" s="1662"/>
      <c r="BE41" s="1662"/>
      <c r="BF41" s="1662"/>
      <c r="BG41" s="1662"/>
      <c r="BH41" s="1664"/>
      <c r="BI41" s="15208"/>
      <c r="BJ41" s="1665">
        <v>1</v>
      </c>
      <c r="BK41" s="15157"/>
      <c r="BL41" s="15157"/>
      <c r="BM41" s="1655">
        <v>1</v>
      </c>
      <c r="BN41" s="15178"/>
      <c r="BO41" s="15157"/>
      <c r="BP41" s="15162"/>
      <c r="BQ41" s="15162"/>
      <c r="BR41" s="15174"/>
      <c r="BS41" s="15176"/>
      <c r="BT41" s="1666"/>
      <c r="BU41" s="1666"/>
      <c r="BV41" s="1657">
        <v>10</v>
      </c>
      <c r="BW41" s="1657">
        <v>6</v>
      </c>
      <c r="BX41" s="1657">
        <v>4</v>
      </c>
      <c r="BY41" s="1657">
        <v>10</v>
      </c>
      <c r="BZ41" s="1657">
        <v>0</v>
      </c>
      <c r="CA41" s="1657">
        <v>10</v>
      </c>
      <c r="CB41" s="1657"/>
      <c r="CC41" s="1657"/>
      <c r="CD41" s="1657"/>
      <c r="CE41" s="1657"/>
      <c r="CF41" s="1657"/>
      <c r="CG41" s="1657"/>
      <c r="CH41" s="1657"/>
      <c r="CI41" s="1657"/>
      <c r="CJ41" s="1657"/>
      <c r="CK41" s="1657"/>
      <c r="CL41" s="1657"/>
      <c r="CM41" s="1657"/>
      <c r="CN41" s="1657"/>
      <c r="CO41" s="1657"/>
      <c r="CP41" s="1657">
        <v>10</v>
      </c>
      <c r="CQ41" s="1657"/>
      <c r="CR41" s="1657"/>
      <c r="CS41" s="1657"/>
      <c r="CT41" s="1657"/>
      <c r="CU41" s="1657"/>
      <c r="CV41" s="1657"/>
      <c r="CW41" s="1657"/>
      <c r="CX41" s="1657"/>
      <c r="CY41" s="1657"/>
      <c r="CZ41" s="1657"/>
      <c r="DA41" s="1657"/>
      <c r="DB41" s="1657"/>
      <c r="DC41" s="1657"/>
      <c r="DD41" s="1657"/>
      <c r="DE41" s="1657"/>
      <c r="DG41" s="4590"/>
      <c r="DH41" s="3202"/>
      <c r="DI41" s="3202"/>
      <c r="DJ41" s="3202"/>
      <c r="DK41" s="3202"/>
      <c r="DL41" s="3202"/>
      <c r="DM41" s="3202"/>
      <c r="DN41" s="3202"/>
      <c r="DO41" s="3202"/>
      <c r="DP41" s="3202"/>
      <c r="DQ41" s="3202"/>
      <c r="DR41" s="3202"/>
      <c r="DS41" s="3202"/>
      <c r="DT41" s="3202"/>
      <c r="DU41" s="3202"/>
      <c r="DV41" s="3202"/>
      <c r="DW41" s="3202"/>
      <c r="DX41" s="3202"/>
      <c r="DY41" s="3202"/>
      <c r="DZ41" s="3202"/>
      <c r="EA41" s="3202"/>
      <c r="EB41" s="3202"/>
      <c r="EC41" s="3202"/>
      <c r="ED41" s="3202"/>
      <c r="EE41" s="3202"/>
      <c r="EF41" s="3202"/>
      <c r="EG41" s="3202"/>
      <c r="EH41" s="3202"/>
      <c r="EI41" s="3202"/>
      <c r="EJ41" s="3202"/>
      <c r="EK41" s="3202"/>
      <c r="EL41" s="3202"/>
      <c r="EM41" s="3202"/>
      <c r="EN41" s="3202"/>
      <c r="EO41" s="3202"/>
      <c r="EP41" s="3202"/>
      <c r="EQ41" s="3202"/>
      <c r="ER41" s="3202"/>
      <c r="ES41" s="3202"/>
      <c r="ET41" s="3202"/>
      <c r="EU41" s="3202"/>
      <c r="EV41" s="3202"/>
      <c r="EW41" s="3202"/>
      <c r="EX41" s="3202"/>
      <c r="EY41" s="3202"/>
      <c r="EZ41" s="3203"/>
    </row>
    <row r="42" spans="1:198" s="1658" customFormat="1" ht="15" customHeight="1">
      <c r="A42" s="2001"/>
      <c r="B42" s="4510" t="s">
        <v>2224</v>
      </c>
      <c r="C42" s="2000" t="s">
        <v>4905</v>
      </c>
      <c r="D42" s="3183" t="s">
        <v>2225</v>
      </c>
      <c r="E42" s="3183" t="s">
        <v>2226</v>
      </c>
      <c r="F42" s="3183" t="s">
        <v>2221</v>
      </c>
      <c r="G42" s="2723">
        <v>0.6</v>
      </c>
      <c r="H42" s="2723" t="s">
        <v>86</v>
      </c>
      <c r="I42" s="3183" t="s">
        <v>422</v>
      </c>
      <c r="J42" s="4566"/>
      <c r="K42" s="4538">
        <v>0.4</v>
      </c>
      <c r="L42" s="1659">
        <v>2011</v>
      </c>
      <c r="M42" s="1667">
        <v>0.6</v>
      </c>
      <c r="N42" s="1660"/>
      <c r="O42" s="1667">
        <v>0.6</v>
      </c>
      <c r="P42" s="1668">
        <v>0.6</v>
      </c>
      <c r="Q42" s="1669">
        <v>1</v>
      </c>
      <c r="R42" s="1670" t="s">
        <v>3735</v>
      </c>
      <c r="S42" s="1662" t="s">
        <v>3585</v>
      </c>
      <c r="T42" s="1662"/>
      <c r="U42" s="1662">
        <v>22000000</v>
      </c>
      <c r="V42" s="1662"/>
      <c r="W42" s="1662">
        <v>22000000</v>
      </c>
      <c r="X42" s="1662"/>
      <c r="Y42" s="1671">
        <v>4867</v>
      </c>
      <c r="Z42" s="1671">
        <v>2624</v>
      </c>
      <c r="AA42" s="1671">
        <v>2243</v>
      </c>
      <c r="AB42" s="1671">
        <v>3699</v>
      </c>
      <c r="AC42" s="1671">
        <v>1168</v>
      </c>
      <c r="AD42" s="1671"/>
      <c r="AE42" s="1671">
        <v>4160</v>
      </c>
      <c r="AF42" s="1671">
        <v>700</v>
      </c>
      <c r="AG42" s="1671">
        <v>7</v>
      </c>
      <c r="AH42" s="1671"/>
      <c r="AI42" s="1671"/>
      <c r="AJ42" s="1671"/>
      <c r="AK42" s="1671">
        <v>4701</v>
      </c>
      <c r="AL42" s="1671">
        <v>80</v>
      </c>
      <c r="AM42" s="1671">
        <v>75</v>
      </c>
      <c r="AN42" s="1671">
        <v>11</v>
      </c>
      <c r="AO42" s="1671"/>
      <c r="AP42" s="1671"/>
      <c r="AQ42" s="1671"/>
      <c r="AR42" s="1671"/>
      <c r="AS42" s="1671">
        <v>4656</v>
      </c>
      <c r="AT42" s="1671">
        <v>144</v>
      </c>
      <c r="AU42" s="1671">
        <v>67</v>
      </c>
      <c r="AV42" s="1671"/>
      <c r="AW42" s="1671"/>
      <c r="AX42" s="1671"/>
      <c r="AY42" s="1662"/>
      <c r="AZ42" s="1662"/>
      <c r="BA42" s="1662"/>
      <c r="BB42" s="1662"/>
      <c r="BC42" s="1662"/>
      <c r="BD42" s="1662"/>
      <c r="BE42" s="1662"/>
      <c r="BF42" s="1662"/>
      <c r="BG42" s="1662"/>
      <c r="BH42" s="1672"/>
      <c r="BI42" s="1673" t="s">
        <v>9770</v>
      </c>
      <c r="BJ42" s="1665">
        <f>4867/467185</f>
        <v>1.0417714609844066E-2</v>
      </c>
      <c r="BK42" s="1659" t="s">
        <v>9723</v>
      </c>
      <c r="BL42" s="1659" t="s">
        <v>9723</v>
      </c>
      <c r="BM42" s="1655">
        <v>1</v>
      </c>
      <c r="BN42" s="15178"/>
      <c r="BO42" s="1659" t="s">
        <v>3735</v>
      </c>
      <c r="BP42" s="1666" t="s">
        <v>3585</v>
      </c>
      <c r="BQ42" s="1666" t="s">
        <v>9701</v>
      </c>
      <c r="BR42" s="1674">
        <v>22000000</v>
      </c>
      <c r="BS42" s="1666"/>
      <c r="BT42" s="1666">
        <v>22000000</v>
      </c>
      <c r="BU42" s="1666"/>
      <c r="BV42" s="1657">
        <v>14694</v>
      </c>
      <c r="BW42" s="1657">
        <v>6704</v>
      </c>
      <c r="BX42" s="1657">
        <v>7990</v>
      </c>
      <c r="BY42" s="1657">
        <v>13057</v>
      </c>
      <c r="BZ42" s="1657">
        <v>1637</v>
      </c>
      <c r="CA42" s="1657">
        <v>1702</v>
      </c>
      <c r="CB42" s="1657">
        <v>5081</v>
      </c>
      <c r="CC42" s="1657">
        <v>3481</v>
      </c>
      <c r="CD42" s="1657">
        <v>1686</v>
      </c>
      <c r="CE42" s="1657">
        <v>1194</v>
      </c>
      <c r="CF42" s="1657">
        <v>1550</v>
      </c>
      <c r="CG42" s="1657"/>
      <c r="CH42" s="1657"/>
      <c r="CI42" s="1657"/>
      <c r="CJ42" s="1657">
        <v>384</v>
      </c>
      <c r="CK42" s="1657">
        <v>65</v>
      </c>
      <c r="CL42" s="1657">
        <v>142</v>
      </c>
      <c r="CM42" s="1657"/>
      <c r="CN42" s="1657"/>
      <c r="CO42" s="1657">
        <v>33</v>
      </c>
      <c r="CP42" s="1657">
        <v>13998</v>
      </c>
      <c r="CQ42" s="1657">
        <v>568</v>
      </c>
      <c r="CR42" s="1657">
        <v>128</v>
      </c>
      <c r="CS42" s="1657"/>
      <c r="CT42" s="1657"/>
      <c r="CU42" s="1657"/>
      <c r="CV42" s="1657"/>
      <c r="CW42" s="1657"/>
      <c r="CX42" s="1657"/>
      <c r="CY42" s="1657"/>
      <c r="CZ42" s="1657"/>
      <c r="DA42" s="1657"/>
      <c r="DB42" s="1657"/>
      <c r="DC42" s="1657"/>
      <c r="DD42" s="1657"/>
      <c r="DE42" s="1657"/>
      <c r="DG42" s="4590"/>
      <c r="DH42" s="3202"/>
      <c r="DI42" s="3202"/>
      <c r="DJ42" s="3202"/>
      <c r="DK42" s="3202"/>
      <c r="DL42" s="3202"/>
      <c r="DM42" s="3202"/>
      <c r="DN42" s="3202"/>
      <c r="DO42" s="3202"/>
      <c r="DP42" s="3202"/>
      <c r="DQ42" s="3202"/>
      <c r="DR42" s="3202"/>
      <c r="DS42" s="3202"/>
      <c r="DT42" s="3202"/>
      <c r="DU42" s="3202"/>
      <c r="DV42" s="3202"/>
      <c r="DW42" s="3202"/>
      <c r="DX42" s="3202"/>
      <c r="DY42" s="3202"/>
      <c r="DZ42" s="3202"/>
      <c r="EA42" s="3202"/>
      <c r="EB42" s="3202"/>
      <c r="EC42" s="3202"/>
      <c r="ED42" s="3202"/>
      <c r="EE42" s="3202"/>
      <c r="EF42" s="3202"/>
      <c r="EG42" s="3202"/>
      <c r="EH42" s="3202"/>
      <c r="EI42" s="3202"/>
      <c r="EJ42" s="3202"/>
      <c r="EK42" s="3202"/>
      <c r="EL42" s="3202"/>
      <c r="EM42" s="3202"/>
      <c r="EN42" s="3202"/>
      <c r="EO42" s="3202"/>
      <c r="EP42" s="3202"/>
      <c r="EQ42" s="3202"/>
      <c r="ER42" s="3202"/>
      <c r="ES42" s="3202"/>
      <c r="ET42" s="3202"/>
      <c r="EU42" s="3202"/>
      <c r="EV42" s="3202"/>
      <c r="EW42" s="3202"/>
      <c r="EX42" s="3202"/>
      <c r="EY42" s="3202"/>
      <c r="EZ42" s="3203"/>
    </row>
    <row r="43" spans="1:198" s="1658" customFormat="1" ht="15" customHeight="1" thickBot="1">
      <c r="A43" s="2001"/>
      <c r="B43" s="4509" t="s">
        <v>2244</v>
      </c>
      <c r="C43" s="15341" t="s">
        <v>4906</v>
      </c>
      <c r="D43" s="15342" t="s">
        <v>2227</v>
      </c>
      <c r="E43" s="15342" t="s">
        <v>2228</v>
      </c>
      <c r="F43" s="15342" t="s">
        <v>2229</v>
      </c>
      <c r="G43" s="15343">
        <v>95</v>
      </c>
      <c r="H43" s="2724" t="s">
        <v>26</v>
      </c>
      <c r="I43" s="3201" t="s">
        <v>390</v>
      </c>
      <c r="J43" s="4566"/>
      <c r="K43" s="4539">
        <v>1</v>
      </c>
      <c r="L43" s="1659">
        <v>2011</v>
      </c>
      <c r="M43" s="1659" t="s">
        <v>2230</v>
      </c>
      <c r="N43" s="1677"/>
      <c r="O43" s="1676">
        <v>95</v>
      </c>
      <c r="P43" s="1678">
        <v>0.95</v>
      </c>
      <c r="Q43" s="1679">
        <v>1</v>
      </c>
      <c r="R43" s="1680" t="s">
        <v>3736</v>
      </c>
      <c r="S43" s="1681"/>
      <c r="T43" s="1681"/>
      <c r="U43" s="1662"/>
      <c r="V43" s="1662"/>
      <c r="W43" s="1662"/>
      <c r="X43" s="1662"/>
      <c r="Y43" s="1662"/>
      <c r="Z43" s="1662"/>
      <c r="AA43" s="1662"/>
      <c r="AB43" s="1662"/>
      <c r="AC43" s="1662"/>
      <c r="AD43" s="1662"/>
      <c r="AE43" s="1662"/>
      <c r="AF43" s="1662"/>
      <c r="AG43" s="1662"/>
      <c r="AH43" s="1662"/>
      <c r="AI43" s="1662"/>
      <c r="AJ43" s="1662"/>
      <c r="AK43" s="1662"/>
      <c r="AL43" s="1662"/>
      <c r="AM43" s="1662"/>
      <c r="AN43" s="1662"/>
      <c r="AO43" s="1662"/>
      <c r="AP43" s="1662"/>
      <c r="AQ43" s="1662"/>
      <c r="AR43" s="1662"/>
      <c r="AS43" s="1662"/>
      <c r="AT43" s="1662"/>
      <c r="AU43" s="1662"/>
      <c r="AV43" s="1662"/>
      <c r="AW43" s="1662"/>
      <c r="AX43" s="1662"/>
      <c r="AY43" s="1662"/>
      <c r="AZ43" s="1662"/>
      <c r="BA43" s="1662"/>
      <c r="BB43" s="1662"/>
      <c r="BC43" s="1662"/>
      <c r="BD43" s="1662"/>
      <c r="BE43" s="1662"/>
      <c r="BF43" s="1662"/>
      <c r="BG43" s="1662"/>
      <c r="BH43" s="1672"/>
      <c r="BI43" s="1659" t="s">
        <v>9771</v>
      </c>
      <c r="BJ43" s="1665">
        <v>1</v>
      </c>
      <c r="BK43" s="1667">
        <v>0.95</v>
      </c>
      <c r="BL43" s="1667">
        <v>0.95</v>
      </c>
      <c r="BM43" s="1655">
        <f>BL43/P43</f>
        <v>1</v>
      </c>
      <c r="BN43" s="15178"/>
      <c r="BO43" s="1682"/>
      <c r="BP43" s="1683"/>
      <c r="BQ43" s="1684"/>
      <c r="BR43" s="1674">
        <v>0</v>
      </c>
      <c r="BS43" s="1683"/>
      <c r="BT43" s="1683"/>
      <c r="BU43" s="1683"/>
      <c r="BV43" s="1657"/>
      <c r="BW43" s="1657"/>
      <c r="BX43" s="1657"/>
      <c r="BY43" s="1657"/>
      <c r="BZ43" s="1657"/>
      <c r="CA43" s="1657"/>
      <c r="CB43" s="1657"/>
      <c r="CC43" s="1657"/>
      <c r="CD43" s="1657"/>
      <c r="CE43" s="1657"/>
      <c r="CF43" s="1657"/>
      <c r="CG43" s="1657"/>
      <c r="CH43" s="1657"/>
      <c r="CI43" s="1657"/>
      <c r="CJ43" s="1657"/>
      <c r="CK43" s="1657"/>
      <c r="CL43" s="1657"/>
      <c r="CM43" s="1657"/>
      <c r="CN43" s="1657"/>
      <c r="CO43" s="1657"/>
      <c r="CP43" s="1657"/>
      <c r="CQ43" s="1657"/>
      <c r="CR43" s="1657"/>
      <c r="CS43" s="1657"/>
      <c r="CT43" s="1657"/>
      <c r="CU43" s="1657"/>
      <c r="CV43" s="1657"/>
      <c r="CW43" s="1657"/>
      <c r="CX43" s="1657"/>
      <c r="CY43" s="1657"/>
      <c r="CZ43" s="1657"/>
      <c r="DA43" s="1657"/>
      <c r="DB43" s="1657"/>
      <c r="DC43" s="1657"/>
      <c r="DD43" s="1657"/>
      <c r="DE43" s="1657"/>
      <c r="DG43" s="4590"/>
      <c r="DH43" s="3202"/>
      <c r="DI43" s="3202"/>
      <c r="DJ43" s="3202"/>
      <c r="DK43" s="3202"/>
      <c r="DL43" s="3202"/>
      <c r="DM43" s="3202"/>
      <c r="DN43" s="3202"/>
      <c r="DO43" s="3202"/>
      <c r="DP43" s="3202"/>
      <c r="DQ43" s="3202"/>
      <c r="DR43" s="3202"/>
      <c r="DS43" s="3202"/>
      <c r="DT43" s="3202"/>
      <c r="DU43" s="3202"/>
      <c r="DV43" s="3202"/>
      <c r="DW43" s="3202"/>
      <c r="DX43" s="3202"/>
      <c r="DY43" s="3202"/>
      <c r="DZ43" s="3202"/>
      <c r="EA43" s="3202"/>
      <c r="EB43" s="3202"/>
      <c r="EC43" s="3202"/>
      <c r="ED43" s="3202"/>
      <c r="EE43" s="3202"/>
      <c r="EF43" s="3202"/>
      <c r="EG43" s="3202"/>
      <c r="EH43" s="3202"/>
      <c r="EI43" s="3202"/>
      <c r="EJ43" s="3202"/>
      <c r="EK43" s="3202"/>
      <c r="EL43" s="3202"/>
      <c r="EM43" s="3202"/>
      <c r="EN43" s="3202"/>
      <c r="EO43" s="3202"/>
      <c r="EP43" s="3202"/>
      <c r="EQ43" s="3202"/>
      <c r="ER43" s="3202"/>
      <c r="ES43" s="3202"/>
      <c r="ET43" s="3202"/>
      <c r="EU43" s="3202"/>
      <c r="EV43" s="3202"/>
      <c r="EW43" s="3202"/>
      <c r="EX43" s="3202"/>
      <c r="EY43" s="3202"/>
      <c r="EZ43" s="3203"/>
    </row>
    <row r="44" spans="1:198" s="1658" customFormat="1" ht="15" customHeight="1">
      <c r="A44" s="2001"/>
      <c r="B44" s="4509"/>
      <c r="C44" s="15341"/>
      <c r="D44" s="15342"/>
      <c r="E44" s="15342"/>
      <c r="F44" s="15342"/>
      <c r="G44" s="15343"/>
      <c r="H44" s="2724" t="s">
        <v>10188</v>
      </c>
      <c r="I44" s="3201"/>
      <c r="J44" s="4566" t="s">
        <v>2229</v>
      </c>
      <c r="K44" s="4539"/>
      <c r="L44" s="3183"/>
      <c r="M44" s="3183"/>
      <c r="N44" s="3185"/>
      <c r="O44" s="2724"/>
      <c r="P44" s="2724"/>
      <c r="Q44" s="3186"/>
      <c r="R44" s="3187"/>
      <c r="S44" s="3188"/>
      <c r="T44" s="3188"/>
      <c r="U44" s="3189"/>
      <c r="V44" s="3189"/>
      <c r="W44" s="3189"/>
      <c r="X44" s="3189"/>
      <c r="Y44" s="3189"/>
      <c r="Z44" s="3189"/>
      <c r="AA44" s="3189"/>
      <c r="AB44" s="3189"/>
      <c r="AC44" s="3189"/>
      <c r="AD44" s="3189"/>
      <c r="AE44" s="3189"/>
      <c r="AF44" s="3189"/>
      <c r="AG44" s="3189"/>
      <c r="AH44" s="3189"/>
      <c r="AI44" s="3189"/>
      <c r="AJ44" s="3189"/>
      <c r="AK44" s="3189"/>
      <c r="AL44" s="3189"/>
      <c r="AM44" s="3189"/>
      <c r="AN44" s="3189"/>
      <c r="AO44" s="3189"/>
      <c r="AP44" s="3189"/>
      <c r="AQ44" s="3189"/>
      <c r="AR44" s="3189"/>
      <c r="AS44" s="3189"/>
      <c r="AT44" s="3189"/>
      <c r="AU44" s="3189"/>
      <c r="AV44" s="3189"/>
      <c r="AW44" s="3189"/>
      <c r="AX44" s="3189"/>
      <c r="AY44" s="3189"/>
      <c r="AZ44" s="3189"/>
      <c r="BA44" s="3189"/>
      <c r="BB44" s="3189"/>
      <c r="BC44" s="3189"/>
      <c r="BD44" s="3189"/>
      <c r="BE44" s="3189"/>
      <c r="BF44" s="3189"/>
      <c r="BG44" s="3189"/>
      <c r="BH44" s="3190"/>
      <c r="BI44" s="3183"/>
      <c r="BJ44" s="1665"/>
      <c r="BK44" s="3191"/>
      <c r="BL44" s="3191"/>
      <c r="BM44" s="3192"/>
      <c r="BN44" s="15178"/>
      <c r="BO44" s="3193"/>
      <c r="BP44" s="3194"/>
      <c r="BQ44" s="3195"/>
      <c r="BR44" s="3196"/>
      <c r="BS44" s="3194"/>
      <c r="BT44" s="3194"/>
      <c r="BU44" s="3194"/>
      <c r="BV44" s="3197"/>
      <c r="BW44" s="3197"/>
      <c r="BX44" s="3197"/>
      <c r="BY44" s="3197"/>
      <c r="BZ44" s="3197"/>
      <c r="CA44" s="3197"/>
      <c r="CB44" s="3197"/>
      <c r="CC44" s="3197"/>
      <c r="CD44" s="3197"/>
      <c r="CE44" s="3197"/>
      <c r="CF44" s="3197"/>
      <c r="CG44" s="3197"/>
      <c r="CH44" s="3197"/>
      <c r="CI44" s="3197"/>
      <c r="CJ44" s="3197"/>
      <c r="CK44" s="3197"/>
      <c r="CL44" s="3197"/>
      <c r="CM44" s="3197"/>
      <c r="CN44" s="3197"/>
      <c r="CO44" s="3197"/>
      <c r="CP44" s="3197"/>
      <c r="CQ44" s="3197"/>
      <c r="CR44" s="3197"/>
      <c r="CS44" s="3197"/>
      <c r="CT44" s="3197"/>
      <c r="CU44" s="3197"/>
      <c r="CV44" s="3197"/>
      <c r="CW44" s="3197"/>
      <c r="CX44" s="3197"/>
      <c r="CY44" s="3197"/>
      <c r="CZ44" s="3197"/>
      <c r="DA44" s="3197"/>
      <c r="DB44" s="3197"/>
      <c r="DC44" s="3197"/>
      <c r="DD44" s="3197"/>
      <c r="DE44" s="3197"/>
      <c r="DG44" s="4590"/>
      <c r="DH44" s="3202"/>
      <c r="DI44" s="3202"/>
      <c r="DJ44" s="3202"/>
      <c r="DK44" s="3202"/>
      <c r="DL44" s="3202"/>
      <c r="DM44" s="3202"/>
      <c r="DN44" s="3202"/>
      <c r="DO44" s="3202"/>
      <c r="DP44" s="3202"/>
      <c r="DQ44" s="3202"/>
      <c r="DR44" s="3202"/>
      <c r="DS44" s="3202"/>
      <c r="DT44" s="3202"/>
      <c r="DU44" s="3202"/>
      <c r="DV44" s="3202"/>
      <c r="DW44" s="3202"/>
      <c r="DX44" s="3202"/>
      <c r="DY44" s="3202"/>
      <c r="DZ44" s="3202"/>
      <c r="EA44" s="3202"/>
      <c r="EB44" s="3202"/>
      <c r="EC44" s="3202"/>
      <c r="ED44" s="3202"/>
      <c r="EE44" s="3202"/>
      <c r="EF44" s="3202"/>
      <c r="EG44" s="3202"/>
      <c r="EH44" s="3202"/>
      <c r="EI44" s="3202"/>
      <c r="EJ44" s="3202"/>
      <c r="EK44" s="3202"/>
      <c r="EL44" s="3202"/>
      <c r="EM44" s="3202"/>
      <c r="EN44" s="3202"/>
      <c r="EO44" s="3202"/>
      <c r="EP44" s="3202"/>
      <c r="EQ44" s="3202"/>
      <c r="ER44" s="3202"/>
      <c r="ES44" s="3202"/>
      <c r="ET44" s="3202"/>
      <c r="EU44" s="3202"/>
      <c r="EV44" s="3202"/>
      <c r="EW44" s="3202"/>
      <c r="EX44" s="3202"/>
      <c r="EY44" s="3202"/>
      <c r="EZ44" s="3203"/>
    </row>
    <row r="45" spans="1:198" s="1658" customFormat="1" ht="15" customHeight="1" thickBot="1">
      <c r="A45" s="2001"/>
      <c r="B45" s="4509"/>
      <c r="C45" s="15341" t="s">
        <v>4907</v>
      </c>
      <c r="D45" s="15342" t="s">
        <v>2231</v>
      </c>
      <c r="E45" s="15342" t="s">
        <v>2232</v>
      </c>
      <c r="F45" s="15342" t="s">
        <v>2229</v>
      </c>
      <c r="G45" s="15344">
        <v>0.99860000000000004</v>
      </c>
      <c r="H45" s="2724" t="s">
        <v>26</v>
      </c>
      <c r="I45" s="3201" t="s">
        <v>390</v>
      </c>
      <c r="J45" s="4566"/>
      <c r="K45" s="4540">
        <v>0.98299999999999998</v>
      </c>
      <c r="L45" s="1659">
        <v>2011</v>
      </c>
      <c r="M45" s="1685">
        <v>0.99860000000000004</v>
      </c>
      <c r="N45" s="1677"/>
      <c r="O45" s="1685">
        <v>0.99860000000000004</v>
      </c>
      <c r="P45" s="1687">
        <v>0.99860000000000004</v>
      </c>
      <c r="Q45" s="1688" t="s">
        <v>3241</v>
      </c>
      <c r="R45" s="1688" t="s">
        <v>3241</v>
      </c>
      <c r="S45" s="1688" t="s">
        <v>3241</v>
      </c>
      <c r="T45" s="1689" t="s">
        <v>3267</v>
      </c>
      <c r="U45" s="1688"/>
      <c r="V45" s="1688"/>
      <c r="W45" s="1688"/>
      <c r="X45" s="1688"/>
      <c r="Y45" s="1688"/>
      <c r="Z45" s="1688"/>
      <c r="AA45" s="1688"/>
      <c r="AB45" s="1688"/>
      <c r="AC45" s="1688"/>
      <c r="AD45" s="1688"/>
      <c r="AE45" s="1688"/>
      <c r="AF45" s="1688"/>
      <c r="AG45" s="1688"/>
      <c r="AH45" s="1688"/>
      <c r="AI45" s="1688"/>
      <c r="AJ45" s="1688"/>
      <c r="AK45" s="1688"/>
      <c r="AL45" s="1688"/>
      <c r="AM45" s="1688"/>
      <c r="AN45" s="1688"/>
      <c r="AO45" s="1688"/>
      <c r="AP45" s="1688"/>
      <c r="AQ45" s="1688"/>
      <c r="AR45" s="1688"/>
      <c r="AS45" s="1688"/>
      <c r="AT45" s="1688"/>
      <c r="AU45" s="1688"/>
      <c r="AV45" s="1688"/>
      <c r="AW45" s="1688"/>
      <c r="AX45" s="1688"/>
      <c r="AY45" s="1690"/>
      <c r="AZ45" s="1690"/>
      <c r="BA45" s="1690"/>
      <c r="BB45" s="1690"/>
      <c r="BC45" s="1690"/>
      <c r="BD45" s="1690"/>
      <c r="BE45" s="1690"/>
      <c r="BF45" s="1690"/>
      <c r="BG45" s="1690"/>
      <c r="BH45" s="1691"/>
      <c r="BI45" s="1686">
        <v>0.99539999999999995</v>
      </c>
      <c r="BJ45" s="1665">
        <v>1</v>
      </c>
      <c r="BK45" s="1692" t="s">
        <v>9724</v>
      </c>
      <c r="BL45" s="1692" t="s">
        <v>9724</v>
      </c>
      <c r="BM45" s="1655">
        <v>1</v>
      </c>
      <c r="BN45" s="15178"/>
      <c r="BO45" s="1682"/>
      <c r="BP45" s="1683"/>
      <c r="BQ45" s="1684"/>
      <c r="BR45" s="1674">
        <v>0</v>
      </c>
      <c r="BS45" s="1683"/>
      <c r="BT45" s="1683"/>
      <c r="BU45" s="1683"/>
      <c r="BV45" s="1657"/>
      <c r="BW45" s="1657"/>
      <c r="BX45" s="1657"/>
      <c r="BY45" s="1657"/>
      <c r="BZ45" s="1657"/>
      <c r="CA45" s="1657"/>
      <c r="CB45" s="1657"/>
      <c r="CC45" s="1657"/>
      <c r="CD45" s="1657"/>
      <c r="CE45" s="1657"/>
      <c r="CF45" s="1657"/>
      <c r="CG45" s="1657"/>
      <c r="CH45" s="1657"/>
      <c r="CI45" s="1657"/>
      <c r="CJ45" s="1657"/>
      <c r="CK45" s="1657"/>
      <c r="CL45" s="1657"/>
      <c r="CM45" s="1657"/>
      <c r="CN45" s="1657"/>
      <c r="CO45" s="1657"/>
      <c r="CP45" s="1657"/>
      <c r="CQ45" s="1657"/>
      <c r="CR45" s="1657"/>
      <c r="CS45" s="1657"/>
      <c r="CT45" s="1657"/>
      <c r="CU45" s="1657"/>
      <c r="CV45" s="1657"/>
      <c r="CW45" s="1657"/>
      <c r="CX45" s="1657"/>
      <c r="CY45" s="1657"/>
      <c r="CZ45" s="1657"/>
      <c r="DA45" s="1657"/>
      <c r="DB45" s="1657"/>
      <c r="DC45" s="1657"/>
      <c r="DD45" s="1657"/>
      <c r="DE45" s="1657"/>
      <c r="DG45" s="4590"/>
      <c r="DH45" s="3202"/>
      <c r="DI45" s="3202"/>
      <c r="DJ45" s="3202"/>
      <c r="DK45" s="3202"/>
      <c r="DL45" s="3202"/>
      <c r="DM45" s="3202"/>
      <c r="DN45" s="3202"/>
      <c r="DO45" s="3202"/>
      <c r="DP45" s="3202"/>
      <c r="DQ45" s="3202"/>
      <c r="DR45" s="3202"/>
      <c r="DS45" s="3202"/>
      <c r="DT45" s="3202"/>
      <c r="DU45" s="3202"/>
      <c r="DV45" s="3202"/>
      <c r="DW45" s="3202"/>
      <c r="DX45" s="3202"/>
      <c r="DY45" s="3202"/>
      <c r="DZ45" s="3202"/>
      <c r="EA45" s="3202"/>
      <c r="EB45" s="3202"/>
      <c r="EC45" s="3202"/>
      <c r="ED45" s="3202"/>
      <c r="EE45" s="3202"/>
      <c r="EF45" s="3202"/>
      <c r="EG45" s="3202"/>
      <c r="EH45" s="3202"/>
      <c r="EI45" s="3202"/>
      <c r="EJ45" s="3202"/>
      <c r="EK45" s="3202"/>
      <c r="EL45" s="3202"/>
      <c r="EM45" s="3202"/>
      <c r="EN45" s="3202"/>
      <c r="EO45" s="3202"/>
      <c r="EP45" s="3202"/>
      <c r="EQ45" s="3202"/>
      <c r="ER45" s="3202"/>
      <c r="ES45" s="3202"/>
      <c r="ET45" s="3202"/>
      <c r="EU45" s="3202"/>
      <c r="EV45" s="3202"/>
      <c r="EW45" s="3202"/>
      <c r="EX45" s="3202"/>
      <c r="EY45" s="3202"/>
      <c r="EZ45" s="3203"/>
    </row>
    <row r="46" spans="1:198" s="1658" customFormat="1" ht="15" customHeight="1">
      <c r="A46" s="2001"/>
      <c r="B46" s="4509"/>
      <c r="C46" s="15341"/>
      <c r="D46" s="15342"/>
      <c r="E46" s="15342"/>
      <c r="F46" s="15342"/>
      <c r="G46" s="15344"/>
      <c r="H46" s="2724" t="s">
        <v>10188</v>
      </c>
      <c r="I46" s="3201"/>
      <c r="J46" s="4566" t="s">
        <v>2229</v>
      </c>
      <c r="K46" s="4540"/>
      <c r="L46" s="3183"/>
      <c r="M46" s="3198"/>
      <c r="N46" s="3185"/>
      <c r="O46" s="3198"/>
      <c r="P46" s="3198"/>
      <c r="Q46" s="3200"/>
      <c r="R46" s="3200"/>
      <c r="S46" s="3200"/>
      <c r="T46" s="3201"/>
      <c r="U46" s="3200"/>
      <c r="V46" s="3200"/>
      <c r="W46" s="3200"/>
      <c r="X46" s="3200"/>
      <c r="Y46" s="3200"/>
      <c r="Z46" s="3200"/>
      <c r="AA46" s="3200"/>
      <c r="AB46" s="3200"/>
      <c r="AC46" s="3200"/>
      <c r="AD46" s="3200"/>
      <c r="AE46" s="3200"/>
      <c r="AF46" s="3200"/>
      <c r="AG46" s="3200"/>
      <c r="AH46" s="3200"/>
      <c r="AI46" s="3200"/>
      <c r="AJ46" s="3200"/>
      <c r="AK46" s="3200"/>
      <c r="AL46" s="3200"/>
      <c r="AM46" s="3200"/>
      <c r="AN46" s="3200"/>
      <c r="AO46" s="3200"/>
      <c r="AP46" s="3200"/>
      <c r="AQ46" s="3200"/>
      <c r="AR46" s="3200"/>
      <c r="AS46" s="3200"/>
      <c r="AT46" s="3200"/>
      <c r="AU46" s="3200"/>
      <c r="AV46" s="3200"/>
      <c r="AW46" s="3200"/>
      <c r="AX46" s="3200"/>
      <c r="AY46" s="3202"/>
      <c r="AZ46" s="3202"/>
      <c r="BA46" s="3202"/>
      <c r="BB46" s="3202"/>
      <c r="BC46" s="3202"/>
      <c r="BD46" s="3202"/>
      <c r="BE46" s="3202"/>
      <c r="BF46" s="3202"/>
      <c r="BG46" s="3202"/>
      <c r="BH46" s="3203"/>
      <c r="BI46" s="3199"/>
      <c r="BJ46" s="1665"/>
      <c r="BK46" s="3204"/>
      <c r="BL46" s="3204"/>
      <c r="BM46" s="3192"/>
      <c r="BN46" s="15178"/>
      <c r="BO46" s="3193"/>
      <c r="BP46" s="3194"/>
      <c r="BQ46" s="3195"/>
      <c r="BR46" s="3196"/>
      <c r="BS46" s="3194"/>
      <c r="BT46" s="3194"/>
      <c r="BU46" s="3194"/>
      <c r="BV46" s="3197"/>
      <c r="BW46" s="3197"/>
      <c r="BX46" s="3197"/>
      <c r="BY46" s="3197"/>
      <c r="BZ46" s="3197"/>
      <c r="CA46" s="3197"/>
      <c r="CB46" s="3197"/>
      <c r="CC46" s="3197"/>
      <c r="CD46" s="3197"/>
      <c r="CE46" s="3197"/>
      <c r="CF46" s="3197"/>
      <c r="CG46" s="3197"/>
      <c r="CH46" s="3197"/>
      <c r="CI46" s="3197"/>
      <c r="CJ46" s="3197"/>
      <c r="CK46" s="3197"/>
      <c r="CL46" s="3197"/>
      <c r="CM46" s="3197"/>
      <c r="CN46" s="3197"/>
      <c r="CO46" s="3197"/>
      <c r="CP46" s="3197"/>
      <c r="CQ46" s="3197"/>
      <c r="CR46" s="3197"/>
      <c r="CS46" s="3197"/>
      <c r="CT46" s="3197"/>
      <c r="CU46" s="3197"/>
      <c r="CV46" s="3197"/>
      <c r="CW46" s="3197"/>
      <c r="CX46" s="3197"/>
      <c r="CY46" s="3197"/>
      <c r="CZ46" s="3197"/>
      <c r="DA46" s="3197"/>
      <c r="DB46" s="3197"/>
      <c r="DC46" s="3197"/>
      <c r="DD46" s="3197"/>
      <c r="DE46" s="3197"/>
      <c r="DG46" s="4590"/>
      <c r="DH46" s="3202"/>
      <c r="DI46" s="3202"/>
      <c r="DJ46" s="3202"/>
      <c r="DK46" s="3202"/>
      <c r="DL46" s="3202"/>
      <c r="DM46" s="3202"/>
      <c r="DN46" s="3202"/>
      <c r="DO46" s="3202"/>
      <c r="DP46" s="3202"/>
      <c r="DQ46" s="3202"/>
      <c r="DR46" s="3202"/>
      <c r="DS46" s="3202"/>
      <c r="DT46" s="3202"/>
      <c r="DU46" s="3202"/>
      <c r="DV46" s="3202"/>
      <c r="DW46" s="3202"/>
      <c r="DX46" s="3202"/>
      <c r="DY46" s="3202"/>
      <c r="DZ46" s="3202"/>
      <c r="EA46" s="3202"/>
      <c r="EB46" s="3202"/>
      <c r="EC46" s="3202"/>
      <c r="ED46" s="3202"/>
      <c r="EE46" s="3202"/>
      <c r="EF46" s="3202"/>
      <c r="EG46" s="3202"/>
      <c r="EH46" s="3202"/>
      <c r="EI46" s="3202"/>
      <c r="EJ46" s="3202"/>
      <c r="EK46" s="3202"/>
      <c r="EL46" s="3202"/>
      <c r="EM46" s="3202"/>
      <c r="EN46" s="3202"/>
      <c r="EO46" s="3202"/>
      <c r="EP46" s="3202"/>
      <c r="EQ46" s="3202"/>
      <c r="ER46" s="3202"/>
      <c r="ES46" s="3202"/>
      <c r="ET46" s="3202"/>
      <c r="EU46" s="3202"/>
      <c r="EV46" s="3202"/>
      <c r="EW46" s="3202"/>
      <c r="EX46" s="3202"/>
      <c r="EY46" s="3202"/>
      <c r="EZ46" s="3203"/>
    </row>
    <row r="47" spans="1:198" s="1658" customFormat="1" ht="15" customHeight="1">
      <c r="A47" s="2001"/>
      <c r="B47" s="4509"/>
      <c r="C47" s="2000" t="s">
        <v>4908</v>
      </c>
      <c r="D47" s="3183" t="s">
        <v>2233</v>
      </c>
      <c r="E47" s="3182" t="s">
        <v>2234</v>
      </c>
      <c r="F47" s="3183" t="s">
        <v>2235</v>
      </c>
      <c r="G47" s="2724">
        <v>74</v>
      </c>
      <c r="H47" s="2724" t="s">
        <v>86</v>
      </c>
      <c r="I47" s="3183" t="s">
        <v>422</v>
      </c>
      <c r="J47" s="4566"/>
      <c r="K47" s="4541" t="s">
        <v>2117</v>
      </c>
      <c r="L47" s="1659" t="s">
        <v>1732</v>
      </c>
      <c r="M47" s="1659" t="s">
        <v>2236</v>
      </c>
      <c r="N47" s="1660"/>
      <c r="O47" s="1676">
        <v>74</v>
      </c>
      <c r="P47" s="1678">
        <v>74</v>
      </c>
      <c r="Q47" s="1690"/>
      <c r="R47" s="1690"/>
      <c r="S47" s="1690"/>
      <c r="T47" s="1690"/>
      <c r="U47" s="1690"/>
      <c r="V47" s="1690"/>
      <c r="W47" s="1690"/>
      <c r="X47" s="1690"/>
      <c r="Y47" s="1690"/>
      <c r="Z47" s="1690"/>
      <c r="AA47" s="1690"/>
      <c r="AB47" s="1690"/>
      <c r="AC47" s="1690"/>
      <c r="AD47" s="1690"/>
      <c r="AE47" s="1690"/>
      <c r="AF47" s="1690"/>
      <c r="AG47" s="1690"/>
      <c r="AH47" s="1690"/>
      <c r="AI47" s="1690"/>
      <c r="AJ47" s="1690"/>
      <c r="AK47" s="1690"/>
      <c r="AL47" s="1690"/>
      <c r="AM47" s="1690"/>
      <c r="AN47" s="1690"/>
      <c r="AO47" s="1690"/>
      <c r="AP47" s="1690"/>
      <c r="AQ47" s="1690"/>
      <c r="AR47" s="1690"/>
      <c r="AS47" s="1690"/>
      <c r="AT47" s="1690"/>
      <c r="AU47" s="1690"/>
      <c r="AV47" s="1690"/>
      <c r="AW47" s="1690"/>
      <c r="AX47" s="1690"/>
      <c r="AY47" s="1690"/>
      <c r="AZ47" s="1690"/>
      <c r="BA47" s="1690"/>
      <c r="BB47" s="1690"/>
      <c r="BC47" s="1690"/>
      <c r="BD47" s="1690"/>
      <c r="BE47" s="1690"/>
      <c r="BF47" s="1690"/>
      <c r="BG47" s="1690"/>
      <c r="BH47" s="1691"/>
      <c r="BI47" s="1682"/>
      <c r="BJ47" s="1665">
        <v>0</v>
      </c>
      <c r="BK47" s="1659" t="s">
        <v>9725</v>
      </c>
      <c r="BL47" s="1659" t="s">
        <v>9725</v>
      </c>
      <c r="BM47" s="1655">
        <v>1</v>
      </c>
      <c r="BN47" s="15178"/>
      <c r="BO47" s="1660" t="s">
        <v>9701</v>
      </c>
      <c r="BP47" s="1666" t="s">
        <v>9701</v>
      </c>
      <c r="BQ47" s="1666" t="s">
        <v>9701</v>
      </c>
      <c r="BR47" s="1674">
        <v>0</v>
      </c>
      <c r="BS47" s="1683"/>
      <c r="BT47" s="1683"/>
      <c r="BU47" s="1683"/>
      <c r="BV47" s="1657"/>
      <c r="BW47" s="1657"/>
      <c r="BX47" s="1657"/>
      <c r="BY47" s="1657"/>
      <c r="BZ47" s="1657"/>
      <c r="CA47" s="1657"/>
      <c r="CB47" s="1657"/>
      <c r="CC47" s="1657"/>
      <c r="CD47" s="1657"/>
      <c r="CE47" s="1657"/>
      <c r="CF47" s="1657"/>
      <c r="CG47" s="1657"/>
      <c r="CH47" s="1657"/>
      <c r="CI47" s="1657"/>
      <c r="CJ47" s="1657"/>
      <c r="CK47" s="1657"/>
      <c r="CL47" s="1657"/>
      <c r="CM47" s="1657"/>
      <c r="CN47" s="1657"/>
      <c r="CO47" s="1657"/>
      <c r="CP47" s="1657"/>
      <c r="CQ47" s="1657"/>
      <c r="CR47" s="1657"/>
      <c r="CS47" s="1657"/>
      <c r="CT47" s="1657"/>
      <c r="CU47" s="1657"/>
      <c r="CV47" s="1657"/>
      <c r="CW47" s="1657"/>
      <c r="CX47" s="1657"/>
      <c r="CY47" s="1657"/>
      <c r="CZ47" s="1657"/>
      <c r="DA47" s="1657"/>
      <c r="DB47" s="1657"/>
      <c r="DC47" s="1657"/>
      <c r="DD47" s="1657"/>
      <c r="DE47" s="1657"/>
      <c r="DG47" s="4590"/>
      <c r="DH47" s="3202"/>
      <c r="DI47" s="3202"/>
      <c r="DJ47" s="3202"/>
      <c r="DK47" s="3202"/>
      <c r="DL47" s="3202"/>
      <c r="DM47" s="3202"/>
      <c r="DN47" s="3202"/>
      <c r="DO47" s="3202"/>
      <c r="DP47" s="3202"/>
      <c r="DQ47" s="3202"/>
      <c r="DR47" s="3202"/>
      <c r="DS47" s="3202"/>
      <c r="DT47" s="3202"/>
      <c r="DU47" s="3202"/>
      <c r="DV47" s="3202"/>
      <c r="DW47" s="3202"/>
      <c r="DX47" s="3202"/>
      <c r="DY47" s="3202"/>
      <c r="DZ47" s="3202"/>
      <c r="EA47" s="3202"/>
      <c r="EB47" s="3202"/>
      <c r="EC47" s="3202"/>
      <c r="ED47" s="3202"/>
      <c r="EE47" s="3202"/>
      <c r="EF47" s="3202"/>
      <c r="EG47" s="3202"/>
      <c r="EH47" s="3202"/>
      <c r="EI47" s="3202"/>
      <c r="EJ47" s="3202"/>
      <c r="EK47" s="3202"/>
      <c r="EL47" s="3202"/>
      <c r="EM47" s="3202"/>
      <c r="EN47" s="3202"/>
      <c r="EO47" s="3202"/>
      <c r="EP47" s="3202"/>
      <c r="EQ47" s="3202"/>
      <c r="ER47" s="3202"/>
      <c r="ES47" s="3202"/>
      <c r="ET47" s="3202"/>
      <c r="EU47" s="3202"/>
      <c r="EV47" s="3202"/>
      <c r="EW47" s="3202"/>
      <c r="EX47" s="3202"/>
      <c r="EY47" s="3202"/>
      <c r="EZ47" s="3203"/>
    </row>
    <row r="48" spans="1:198" s="1658" customFormat="1" ht="15" customHeight="1" thickBot="1">
      <c r="A48" s="2001"/>
      <c r="B48" s="4509"/>
      <c r="C48" s="15341" t="s">
        <v>4909</v>
      </c>
      <c r="D48" s="15342" t="s">
        <v>2237</v>
      </c>
      <c r="E48" s="15345" t="s">
        <v>2238</v>
      </c>
      <c r="F48" s="15342" t="s">
        <v>2229</v>
      </c>
      <c r="G48" s="15346">
        <v>0.96</v>
      </c>
      <c r="H48" s="4493" t="s">
        <v>26</v>
      </c>
      <c r="I48" s="3201" t="s">
        <v>390</v>
      </c>
      <c r="J48" s="4566"/>
      <c r="K48" s="4541" t="s">
        <v>2239</v>
      </c>
      <c r="L48" s="1659">
        <v>2011</v>
      </c>
      <c r="M48" s="1659" t="s">
        <v>2240</v>
      </c>
      <c r="N48" s="1677"/>
      <c r="O48" s="1693">
        <v>0.96</v>
      </c>
      <c r="P48" s="1694">
        <v>0.96</v>
      </c>
      <c r="Q48" s="1688" t="s">
        <v>3241</v>
      </c>
      <c r="R48" s="1688" t="s">
        <v>3241</v>
      </c>
      <c r="S48" s="1688" t="s">
        <v>3241</v>
      </c>
      <c r="T48" s="1689" t="s">
        <v>3267</v>
      </c>
      <c r="U48" s="1688"/>
      <c r="V48" s="1688"/>
      <c r="W48" s="1688"/>
      <c r="X48" s="1688"/>
      <c r="Y48" s="1688"/>
      <c r="Z48" s="1688"/>
      <c r="AA48" s="1688"/>
      <c r="AB48" s="1688"/>
      <c r="AC48" s="1688"/>
      <c r="AD48" s="1688"/>
      <c r="AE48" s="1688"/>
      <c r="AF48" s="1688"/>
      <c r="AG48" s="1688"/>
      <c r="AH48" s="1688"/>
      <c r="AI48" s="1688"/>
      <c r="AJ48" s="1688"/>
      <c r="AK48" s="1688"/>
      <c r="AL48" s="1688"/>
      <c r="AM48" s="1688"/>
      <c r="AN48" s="1688"/>
      <c r="AO48" s="1688"/>
      <c r="AP48" s="1688"/>
      <c r="AQ48" s="1688"/>
      <c r="AR48" s="1688"/>
      <c r="AS48" s="1688"/>
      <c r="AT48" s="1688"/>
      <c r="AU48" s="1688"/>
      <c r="AV48" s="1688"/>
      <c r="AW48" s="1688"/>
      <c r="AX48" s="1688"/>
      <c r="AY48" s="1690"/>
      <c r="AZ48" s="1690"/>
      <c r="BA48" s="1690"/>
      <c r="BB48" s="1690"/>
      <c r="BC48" s="1690"/>
      <c r="BD48" s="1690"/>
      <c r="BE48" s="1690"/>
      <c r="BF48" s="1690"/>
      <c r="BG48" s="1690"/>
      <c r="BH48" s="1691"/>
      <c r="BI48" s="1673" t="s">
        <v>9772</v>
      </c>
      <c r="BJ48" s="1665">
        <v>1</v>
      </c>
      <c r="BK48" s="1667" t="s">
        <v>9726</v>
      </c>
      <c r="BL48" s="1667">
        <v>0.5</v>
      </c>
      <c r="BM48" s="1655">
        <f>BL48/P48</f>
        <v>0.52083333333333337</v>
      </c>
      <c r="BN48" s="15178"/>
      <c r="BO48" s="1695"/>
      <c r="BP48" s="1683"/>
      <c r="BQ48" s="1684"/>
      <c r="BR48" s="1674">
        <v>0</v>
      </c>
      <c r="BS48" s="1683"/>
      <c r="BT48" s="1683"/>
      <c r="BU48" s="1683"/>
      <c r="BV48" s="1657"/>
      <c r="BW48" s="1657"/>
      <c r="BX48" s="1657"/>
      <c r="BY48" s="1657"/>
      <c r="BZ48" s="1657"/>
      <c r="CA48" s="1657"/>
      <c r="CB48" s="1657"/>
      <c r="CC48" s="1657"/>
      <c r="CD48" s="1657"/>
      <c r="CE48" s="1657"/>
      <c r="CF48" s="1657"/>
      <c r="CG48" s="1657"/>
      <c r="CH48" s="1657"/>
      <c r="CI48" s="1657"/>
      <c r="CJ48" s="1657"/>
      <c r="CK48" s="1657"/>
      <c r="CL48" s="1657"/>
      <c r="CM48" s="1657"/>
      <c r="CN48" s="1657"/>
      <c r="CO48" s="1657"/>
      <c r="CP48" s="1657"/>
      <c r="CQ48" s="1657"/>
      <c r="CR48" s="1657"/>
      <c r="CS48" s="1657"/>
      <c r="CT48" s="1657"/>
      <c r="CU48" s="1657"/>
      <c r="CV48" s="1657"/>
      <c r="CW48" s="1657"/>
      <c r="CX48" s="1657"/>
      <c r="CY48" s="1657"/>
      <c r="CZ48" s="1657"/>
      <c r="DA48" s="1657"/>
      <c r="DB48" s="1657"/>
      <c r="DC48" s="1657"/>
      <c r="DD48" s="1657"/>
      <c r="DE48" s="1657"/>
      <c r="DG48" s="4590"/>
      <c r="DH48" s="3202"/>
      <c r="DI48" s="3202"/>
      <c r="DJ48" s="3202"/>
      <c r="DK48" s="3202"/>
      <c r="DL48" s="3202"/>
      <c r="DM48" s="3202"/>
      <c r="DN48" s="3202"/>
      <c r="DO48" s="3202"/>
      <c r="DP48" s="3202"/>
      <c r="DQ48" s="3202"/>
      <c r="DR48" s="3202"/>
      <c r="DS48" s="3202"/>
      <c r="DT48" s="3202"/>
      <c r="DU48" s="3202"/>
      <c r="DV48" s="3202"/>
      <c r="DW48" s="3202"/>
      <c r="DX48" s="3202"/>
      <c r="DY48" s="3202"/>
      <c r="DZ48" s="3202"/>
      <c r="EA48" s="3202"/>
      <c r="EB48" s="3202"/>
      <c r="EC48" s="3202"/>
      <c r="ED48" s="3202"/>
      <c r="EE48" s="3202"/>
      <c r="EF48" s="3202"/>
      <c r="EG48" s="3202"/>
      <c r="EH48" s="3202"/>
      <c r="EI48" s="3202"/>
      <c r="EJ48" s="3202"/>
      <c r="EK48" s="3202"/>
      <c r="EL48" s="3202"/>
      <c r="EM48" s="3202"/>
      <c r="EN48" s="3202"/>
      <c r="EO48" s="3202"/>
      <c r="EP48" s="3202"/>
      <c r="EQ48" s="3202"/>
      <c r="ER48" s="3202"/>
      <c r="ES48" s="3202"/>
      <c r="ET48" s="3202"/>
      <c r="EU48" s="3202"/>
      <c r="EV48" s="3202"/>
      <c r="EW48" s="3202"/>
      <c r="EX48" s="3202"/>
      <c r="EY48" s="3202"/>
      <c r="EZ48" s="3203"/>
    </row>
    <row r="49" spans="1:198" s="1658" customFormat="1" ht="15" customHeight="1" thickBot="1">
      <c r="A49" s="3205"/>
      <c r="B49" s="4511"/>
      <c r="C49" s="15341"/>
      <c r="D49" s="15342"/>
      <c r="E49" s="15345"/>
      <c r="F49" s="15342"/>
      <c r="G49" s="15346"/>
      <c r="H49" s="4493" t="s">
        <v>10188</v>
      </c>
      <c r="I49" s="3201"/>
      <c r="J49" s="4566" t="s">
        <v>2229</v>
      </c>
      <c r="K49" s="4542"/>
      <c r="L49" s="3204"/>
      <c r="M49" s="3204"/>
      <c r="N49" s="3206"/>
      <c r="O49" s="3207"/>
      <c r="P49" s="3208"/>
      <c r="Q49" s="3209"/>
      <c r="R49" s="3209"/>
      <c r="S49" s="3209"/>
      <c r="T49" s="3210"/>
      <c r="U49" s="3209"/>
      <c r="V49" s="3209"/>
      <c r="W49" s="3209"/>
      <c r="X49" s="3209"/>
      <c r="Y49" s="3209"/>
      <c r="Z49" s="3209"/>
      <c r="AA49" s="3209"/>
      <c r="AB49" s="3209"/>
      <c r="AC49" s="3209"/>
      <c r="AD49" s="3209"/>
      <c r="AE49" s="3209"/>
      <c r="AF49" s="3209"/>
      <c r="AG49" s="3209"/>
      <c r="AH49" s="3209"/>
      <c r="AI49" s="3209"/>
      <c r="AJ49" s="3209"/>
      <c r="AK49" s="3209"/>
      <c r="AL49" s="3209"/>
      <c r="AM49" s="3209"/>
      <c r="AN49" s="3209"/>
      <c r="AO49" s="3209"/>
      <c r="AP49" s="3209"/>
      <c r="AQ49" s="3209"/>
      <c r="AR49" s="3209"/>
      <c r="AS49" s="3209"/>
      <c r="AT49" s="3209"/>
      <c r="AU49" s="3209"/>
      <c r="AV49" s="3209"/>
      <c r="AW49" s="3209"/>
      <c r="AX49" s="3209"/>
      <c r="AY49" s="3211"/>
      <c r="AZ49" s="3211"/>
      <c r="BA49" s="3211"/>
      <c r="BB49" s="3211"/>
      <c r="BC49" s="3211"/>
      <c r="BD49" s="3211"/>
      <c r="BE49" s="3211"/>
      <c r="BF49" s="3211"/>
      <c r="BG49" s="3211"/>
      <c r="BH49" s="3212"/>
      <c r="BI49" s="3213"/>
      <c r="BJ49" s="3214"/>
      <c r="BK49" s="2723"/>
      <c r="BL49" s="2723"/>
      <c r="BM49" s="3192"/>
      <c r="BN49" s="15178"/>
      <c r="BO49" s="1695"/>
      <c r="BP49" s="3194"/>
      <c r="BQ49" s="3195"/>
      <c r="BR49" s="3196"/>
      <c r="BS49" s="3194"/>
      <c r="BT49" s="3215"/>
      <c r="BU49" s="3215"/>
      <c r="BV49" s="3197"/>
      <c r="BW49" s="3197"/>
      <c r="BX49" s="3197"/>
      <c r="BY49" s="3197"/>
      <c r="BZ49" s="3197"/>
      <c r="CA49" s="3197"/>
      <c r="CB49" s="3197"/>
      <c r="CC49" s="3197"/>
      <c r="CD49" s="3197"/>
      <c r="CE49" s="3197"/>
      <c r="CF49" s="3197"/>
      <c r="CG49" s="3197"/>
      <c r="CH49" s="3197"/>
      <c r="CI49" s="3197"/>
      <c r="CJ49" s="3197"/>
      <c r="CK49" s="3197"/>
      <c r="CL49" s="3197"/>
      <c r="CM49" s="3197"/>
      <c r="CN49" s="3197"/>
      <c r="CO49" s="3197"/>
      <c r="CP49" s="3197"/>
      <c r="CQ49" s="3197"/>
      <c r="CR49" s="3197"/>
      <c r="CS49" s="3197"/>
      <c r="CT49" s="3197"/>
      <c r="CU49" s="3197"/>
      <c r="CV49" s="3197"/>
      <c r="CW49" s="3197"/>
      <c r="CX49" s="3197"/>
      <c r="CY49" s="3197"/>
      <c r="CZ49" s="3197"/>
      <c r="DA49" s="3197"/>
      <c r="DB49" s="3197"/>
      <c r="DC49" s="3197"/>
      <c r="DD49" s="3197"/>
      <c r="DE49" s="3197"/>
      <c r="DG49" s="4590"/>
      <c r="DH49" s="3202"/>
      <c r="DI49" s="3202"/>
      <c r="DJ49" s="3202"/>
      <c r="DK49" s="3202"/>
      <c r="DL49" s="3202"/>
      <c r="DM49" s="3202"/>
      <c r="DN49" s="3202"/>
      <c r="DO49" s="3202"/>
      <c r="DP49" s="3202"/>
      <c r="DQ49" s="3202"/>
      <c r="DR49" s="3202"/>
      <c r="DS49" s="3202"/>
      <c r="DT49" s="3202"/>
      <c r="DU49" s="3202"/>
      <c r="DV49" s="3202"/>
      <c r="DW49" s="3202"/>
      <c r="DX49" s="3202"/>
      <c r="DY49" s="3202"/>
      <c r="DZ49" s="3202"/>
      <c r="EA49" s="3202"/>
      <c r="EB49" s="3202"/>
      <c r="EC49" s="3202"/>
      <c r="ED49" s="3202"/>
      <c r="EE49" s="3202"/>
      <c r="EF49" s="3202"/>
      <c r="EG49" s="3202"/>
      <c r="EH49" s="3202"/>
      <c r="EI49" s="3202"/>
      <c r="EJ49" s="3202"/>
      <c r="EK49" s="3202"/>
      <c r="EL49" s="3202"/>
      <c r="EM49" s="3202"/>
      <c r="EN49" s="3202"/>
      <c r="EO49" s="3202"/>
      <c r="EP49" s="3202"/>
      <c r="EQ49" s="3202"/>
      <c r="ER49" s="3202"/>
      <c r="ES49" s="3202"/>
      <c r="ET49" s="3202"/>
      <c r="EU49" s="3202"/>
      <c r="EV49" s="3202"/>
      <c r="EW49" s="3202"/>
      <c r="EX49" s="3202"/>
      <c r="EY49" s="3202"/>
      <c r="EZ49" s="3203"/>
    </row>
    <row r="50" spans="1:198" s="1658" customFormat="1" ht="15" customHeight="1" thickBot="1">
      <c r="A50" s="3181"/>
      <c r="B50" s="4512"/>
      <c r="C50" s="4572" t="s">
        <v>4910</v>
      </c>
      <c r="D50" s="3020" t="s">
        <v>2241</v>
      </c>
      <c r="E50" s="1696" t="s">
        <v>2238</v>
      </c>
      <c r="F50" s="3020" t="s">
        <v>1037</v>
      </c>
      <c r="G50" s="1697">
        <v>0.61399999999999999</v>
      </c>
      <c r="H50" s="1697" t="s">
        <v>86</v>
      </c>
      <c r="I50" s="3020" t="s">
        <v>422</v>
      </c>
      <c r="J50" s="4573"/>
      <c r="K50" s="4543" t="s">
        <v>2117</v>
      </c>
      <c r="L50" s="1692" t="s">
        <v>1732</v>
      </c>
      <c r="M50" s="1692" t="s">
        <v>2242</v>
      </c>
      <c r="N50" s="1698"/>
      <c r="O50" s="1697">
        <v>0.61399999999999999</v>
      </c>
      <c r="P50" s="1697">
        <v>0.61399999999999999</v>
      </c>
      <c r="Q50" s="1699"/>
      <c r="R50" s="1699"/>
      <c r="S50" s="1699"/>
      <c r="T50" s="1699"/>
      <c r="U50" s="1699"/>
      <c r="V50" s="1699"/>
      <c r="W50" s="1699"/>
      <c r="X50" s="1699"/>
      <c r="Y50" s="1699"/>
      <c r="Z50" s="1699"/>
      <c r="AA50" s="1699"/>
      <c r="AB50" s="1699"/>
      <c r="AC50" s="1699"/>
      <c r="AD50" s="1699"/>
      <c r="AE50" s="1699"/>
      <c r="AF50" s="1699"/>
      <c r="AG50" s="1699"/>
      <c r="AH50" s="1699"/>
      <c r="AI50" s="1699"/>
      <c r="AJ50" s="1699"/>
      <c r="AK50" s="1699"/>
      <c r="AL50" s="1699"/>
      <c r="AM50" s="1699"/>
      <c r="AN50" s="1699"/>
      <c r="AO50" s="1699"/>
      <c r="AP50" s="1699"/>
      <c r="AQ50" s="1699"/>
      <c r="AR50" s="1699"/>
      <c r="AS50" s="1699"/>
      <c r="AT50" s="1699"/>
      <c r="AU50" s="1699"/>
      <c r="AV50" s="1699"/>
      <c r="AW50" s="1699"/>
      <c r="AX50" s="1699"/>
      <c r="AY50" s="1699"/>
      <c r="AZ50" s="1699"/>
      <c r="BA50" s="1699"/>
      <c r="BB50" s="1699"/>
      <c r="BC50" s="1699"/>
      <c r="BD50" s="1699"/>
      <c r="BE50" s="1699"/>
      <c r="BF50" s="1699"/>
      <c r="BG50" s="1699"/>
      <c r="BH50" s="1700"/>
      <c r="BI50" s="1692" t="s">
        <v>9773</v>
      </c>
      <c r="BJ50" s="1701">
        <v>1</v>
      </c>
      <c r="BK50" s="1667" t="s">
        <v>9724</v>
      </c>
      <c r="BL50" s="1667" t="s">
        <v>9724</v>
      </c>
      <c r="BM50" s="1655">
        <v>0.9</v>
      </c>
      <c r="BN50" s="15179"/>
      <c r="BO50" s="1695" t="s">
        <v>9742</v>
      </c>
      <c r="BP50" s="1666" t="s">
        <v>9701</v>
      </c>
      <c r="BQ50" s="1666" t="s">
        <v>9701</v>
      </c>
      <c r="BR50" s="1674">
        <v>0</v>
      </c>
      <c r="BS50" s="1674">
        <v>0</v>
      </c>
      <c r="BT50" s="1702"/>
      <c r="BU50" s="1702"/>
      <c r="BV50" s="1657" t="s">
        <v>1732</v>
      </c>
      <c r="BW50" s="1657"/>
      <c r="BX50" s="1657"/>
      <c r="BY50" s="1657"/>
      <c r="BZ50" s="1657"/>
      <c r="CA50" s="1657"/>
      <c r="CB50" s="1657"/>
      <c r="CC50" s="1657"/>
      <c r="CD50" s="1657"/>
      <c r="CE50" s="1657"/>
      <c r="CF50" s="1657"/>
      <c r="CG50" s="1657"/>
      <c r="CH50" s="1657"/>
      <c r="CI50" s="1657"/>
      <c r="CJ50" s="1657"/>
      <c r="CK50" s="1657"/>
      <c r="CL50" s="1657"/>
      <c r="CM50" s="1657"/>
      <c r="CN50" s="1657"/>
      <c r="CO50" s="1657"/>
      <c r="CP50" s="1657"/>
      <c r="CQ50" s="1657"/>
      <c r="CR50" s="1657"/>
      <c r="CS50" s="1657"/>
      <c r="CT50" s="1657"/>
      <c r="CU50" s="1657"/>
      <c r="CV50" s="1657"/>
      <c r="CW50" s="1657"/>
      <c r="CX50" s="1657"/>
      <c r="CY50" s="1657"/>
      <c r="CZ50" s="1657"/>
      <c r="DA50" s="1657"/>
      <c r="DB50" s="1657"/>
      <c r="DC50" s="1657"/>
      <c r="DD50" s="1657"/>
      <c r="DE50" s="1657"/>
      <c r="DG50" s="4594"/>
      <c r="DH50" s="1699"/>
      <c r="DI50" s="1699"/>
      <c r="DJ50" s="1699"/>
      <c r="DK50" s="1699"/>
      <c r="DL50" s="1699"/>
      <c r="DM50" s="1699"/>
      <c r="DN50" s="1699"/>
      <c r="DO50" s="1699"/>
      <c r="DP50" s="1699"/>
      <c r="DQ50" s="1699"/>
      <c r="DR50" s="1699"/>
      <c r="DS50" s="1699"/>
      <c r="DT50" s="1699"/>
      <c r="DU50" s="1699"/>
      <c r="DV50" s="1699"/>
      <c r="DW50" s="1699"/>
      <c r="DX50" s="1699"/>
      <c r="DY50" s="1699"/>
      <c r="DZ50" s="1699"/>
      <c r="EA50" s="1699"/>
      <c r="EB50" s="1699"/>
      <c r="EC50" s="1699"/>
      <c r="ED50" s="1699"/>
      <c r="EE50" s="1699"/>
      <c r="EF50" s="1699"/>
      <c r="EG50" s="1699"/>
      <c r="EH50" s="1699"/>
      <c r="EI50" s="1699"/>
      <c r="EJ50" s="1699"/>
      <c r="EK50" s="1699"/>
      <c r="EL50" s="1699"/>
      <c r="EM50" s="1699"/>
      <c r="EN50" s="1699"/>
      <c r="EO50" s="1699"/>
      <c r="EP50" s="1699"/>
      <c r="EQ50" s="1699"/>
      <c r="ER50" s="1699"/>
      <c r="ES50" s="1699"/>
      <c r="ET50" s="1699"/>
      <c r="EU50" s="1699"/>
      <c r="EV50" s="1699"/>
      <c r="EW50" s="1699"/>
      <c r="EX50" s="1699"/>
      <c r="EY50" s="1699"/>
      <c r="EZ50" s="1700"/>
    </row>
    <row r="51" spans="1:198" s="1720" customFormat="1" ht="15" customHeight="1">
      <c r="A51" s="3153" t="s">
        <v>2245</v>
      </c>
      <c r="B51" s="4513" t="s">
        <v>2246</v>
      </c>
      <c r="C51" s="15347" t="s">
        <v>4911</v>
      </c>
      <c r="D51" s="15349" t="s">
        <v>2247</v>
      </c>
      <c r="E51" s="15349" t="s">
        <v>2248</v>
      </c>
      <c r="F51" s="15349" t="s">
        <v>2249</v>
      </c>
      <c r="G51" s="15351">
        <v>1</v>
      </c>
      <c r="H51" s="4121" t="s">
        <v>26</v>
      </c>
      <c r="I51" s="4143" t="s">
        <v>390</v>
      </c>
      <c r="J51" s="4571"/>
      <c r="K51" s="4544">
        <v>0.16750000000000001</v>
      </c>
      <c r="L51" s="1703" t="s">
        <v>2250</v>
      </c>
      <c r="M51" s="1705">
        <v>0.6</v>
      </c>
      <c r="N51" s="1706"/>
      <c r="O51" s="1705">
        <v>1</v>
      </c>
      <c r="P51" s="1705">
        <v>1</v>
      </c>
      <c r="Q51" s="1707">
        <f>508/1220</f>
        <v>0.4163934426229508</v>
      </c>
      <c r="R51" s="1708" t="s">
        <v>3268</v>
      </c>
      <c r="S51" s="1708" t="s">
        <v>3252</v>
      </c>
      <c r="T51" s="1709"/>
      <c r="U51" s="1710">
        <v>311194000</v>
      </c>
      <c r="V51" s="1710">
        <v>311194000</v>
      </c>
      <c r="W51" s="1709">
        <v>0</v>
      </c>
      <c r="X51" s="1709">
        <v>0</v>
      </c>
      <c r="Y51" s="1709">
        <v>508</v>
      </c>
      <c r="Z51" s="1709"/>
      <c r="AA51" s="1709"/>
      <c r="AB51" s="1709"/>
      <c r="AC51" s="1709"/>
      <c r="AD51" s="1709"/>
      <c r="AE51" s="1709"/>
      <c r="AF51" s="1709"/>
      <c r="AG51" s="1709"/>
      <c r="AH51" s="1709"/>
      <c r="AI51" s="1709"/>
      <c r="AJ51" s="1709"/>
      <c r="AK51" s="1709"/>
      <c r="AL51" s="1709"/>
      <c r="AM51" s="1709"/>
      <c r="AN51" s="1709"/>
      <c r="AO51" s="1709"/>
      <c r="AP51" s="1709"/>
      <c r="AQ51" s="1709"/>
      <c r="AR51" s="1709"/>
      <c r="AS51" s="1709"/>
      <c r="AT51" s="1709"/>
      <c r="AU51" s="1709"/>
      <c r="AV51" s="1709"/>
      <c r="AW51" s="1709"/>
      <c r="AX51" s="1709"/>
      <c r="AY51" s="1711"/>
      <c r="AZ51" s="1711"/>
      <c r="BA51" s="1711"/>
      <c r="BB51" s="1711"/>
      <c r="BC51" s="1711"/>
      <c r="BD51" s="1711"/>
      <c r="BE51" s="1711"/>
      <c r="BF51" s="1711"/>
      <c r="BG51" s="1711"/>
      <c r="BH51" s="1712"/>
      <c r="BI51" s="1713">
        <f>508/1220</f>
        <v>0.4163934426229508</v>
      </c>
      <c r="BJ51" s="1714">
        <v>0.42</v>
      </c>
      <c r="BK51" s="1715" t="s">
        <v>9727</v>
      </c>
      <c r="BL51" s="1715">
        <v>0.72</v>
      </c>
      <c r="BM51" s="1716">
        <f>BL51/P51</f>
        <v>0.72</v>
      </c>
      <c r="BN51" s="15180">
        <f>AVERAGE(BM51:BM59)</f>
        <v>0.77213307240704498</v>
      </c>
      <c r="BO51" s="1704"/>
      <c r="BP51" s="1717"/>
      <c r="BQ51" s="1717"/>
      <c r="BR51" s="15185">
        <v>217800000</v>
      </c>
      <c r="BS51" s="15163">
        <v>217800000</v>
      </c>
      <c r="BT51" s="1718"/>
      <c r="BU51" s="1718"/>
      <c r="BV51" s="1719"/>
      <c r="BW51" s="1719"/>
      <c r="BX51" s="1719"/>
      <c r="BY51" s="1719"/>
      <c r="BZ51" s="1719"/>
      <c r="CA51" s="1719"/>
      <c r="CB51" s="1719"/>
      <c r="CC51" s="1719"/>
      <c r="CD51" s="1719"/>
      <c r="CE51" s="1719"/>
      <c r="CF51" s="1719"/>
      <c r="CG51" s="1719"/>
      <c r="CH51" s="1719"/>
      <c r="CI51" s="1719"/>
      <c r="CJ51" s="1719"/>
      <c r="CK51" s="1719"/>
      <c r="CL51" s="1719"/>
      <c r="CM51" s="1719"/>
      <c r="CN51" s="1719"/>
      <c r="CO51" s="1719"/>
      <c r="CP51" s="1719"/>
      <c r="CQ51" s="1719"/>
      <c r="CR51" s="1719"/>
      <c r="CS51" s="1719"/>
      <c r="CT51" s="1719"/>
      <c r="CU51" s="1719"/>
      <c r="CV51" s="1719"/>
      <c r="CW51" s="1719"/>
      <c r="CX51" s="1719"/>
      <c r="CY51" s="1719"/>
      <c r="CZ51" s="1719"/>
      <c r="DA51" s="1719"/>
      <c r="DB51" s="1719"/>
      <c r="DC51" s="1719"/>
      <c r="DD51" s="1719"/>
      <c r="DE51" s="1719"/>
      <c r="DG51" s="4593"/>
      <c r="DH51" s="1711"/>
      <c r="DI51" s="1711"/>
      <c r="DJ51" s="1711"/>
      <c r="DK51" s="1711"/>
      <c r="DL51" s="1711"/>
      <c r="DM51" s="1711"/>
      <c r="DN51" s="1711"/>
      <c r="DO51" s="1711"/>
      <c r="DP51" s="1711"/>
      <c r="DQ51" s="1711"/>
      <c r="DR51" s="1711"/>
      <c r="DS51" s="1711"/>
      <c r="DT51" s="1711"/>
      <c r="DU51" s="1711"/>
      <c r="DV51" s="1711"/>
      <c r="DW51" s="1711"/>
      <c r="DX51" s="1711"/>
      <c r="DY51" s="1711"/>
      <c r="DZ51" s="1711"/>
      <c r="EA51" s="1711"/>
      <c r="EB51" s="1711"/>
      <c r="EC51" s="1711"/>
      <c r="ED51" s="1711"/>
      <c r="EE51" s="1711"/>
      <c r="EF51" s="1711"/>
      <c r="EG51" s="1711"/>
      <c r="EH51" s="1711"/>
      <c r="EI51" s="1711"/>
      <c r="EJ51" s="1711"/>
      <c r="EK51" s="1711"/>
      <c r="EL51" s="1711"/>
      <c r="EM51" s="1711"/>
      <c r="EN51" s="1711"/>
      <c r="EO51" s="1711"/>
      <c r="EP51" s="1711"/>
      <c r="EQ51" s="1711"/>
      <c r="ER51" s="1711"/>
      <c r="ES51" s="1711"/>
      <c r="ET51" s="1711"/>
      <c r="EU51" s="1711"/>
      <c r="EV51" s="1711"/>
      <c r="EW51" s="1711"/>
      <c r="EX51" s="1711"/>
      <c r="EY51" s="1711"/>
      <c r="EZ51" s="1712"/>
      <c r="FC51" s="1658"/>
      <c r="FD51" s="1658"/>
      <c r="FE51" s="1658"/>
      <c r="FF51" s="1658"/>
      <c r="FG51" s="1658"/>
      <c r="FH51" s="1658"/>
      <c r="FI51" s="1658"/>
      <c r="FJ51" s="1658"/>
      <c r="FK51" s="1658"/>
      <c r="FL51" s="1658"/>
      <c r="FM51" s="1658"/>
      <c r="FN51" s="1658"/>
      <c r="FO51" s="1658"/>
      <c r="FP51" s="1658"/>
      <c r="FQ51" s="1658"/>
      <c r="FR51" s="1658"/>
      <c r="FS51" s="1658"/>
      <c r="FT51" s="1658"/>
      <c r="FU51" s="1658"/>
      <c r="FV51" s="1658"/>
      <c r="FW51" s="1658"/>
      <c r="FX51" s="1658"/>
      <c r="FY51" s="1658"/>
      <c r="FZ51" s="1658"/>
      <c r="GA51" s="1658"/>
      <c r="GB51" s="1658"/>
      <c r="GC51" s="1658"/>
      <c r="GD51" s="1658"/>
      <c r="GE51" s="1658"/>
      <c r="GF51" s="1658"/>
      <c r="GG51" s="1658"/>
      <c r="GH51" s="1658"/>
      <c r="GI51" s="1658"/>
      <c r="GJ51" s="1658"/>
      <c r="GK51" s="1658"/>
      <c r="GL51" s="1658"/>
      <c r="GM51" s="1658"/>
      <c r="GN51" s="1658"/>
      <c r="GO51" s="1658"/>
      <c r="GP51" s="1658"/>
    </row>
    <row r="52" spans="1:198" s="1720" customFormat="1" ht="15" customHeight="1">
      <c r="A52" s="3216"/>
      <c r="B52" s="4514"/>
      <c r="C52" s="15348"/>
      <c r="D52" s="15350"/>
      <c r="E52" s="15350"/>
      <c r="F52" s="15350"/>
      <c r="G52" s="15352"/>
      <c r="H52" s="3152" t="s">
        <v>2249</v>
      </c>
      <c r="I52" s="4144"/>
      <c r="J52" s="4567" t="s">
        <v>2249</v>
      </c>
      <c r="K52" s="4545"/>
      <c r="L52" s="3035"/>
      <c r="M52" s="3217"/>
      <c r="N52" s="3218"/>
      <c r="O52" s="3217"/>
      <c r="P52" s="3217"/>
      <c r="Q52" s="1707"/>
      <c r="R52" s="3037"/>
      <c r="S52" s="3037"/>
      <c r="T52" s="1709"/>
      <c r="U52" s="1710"/>
      <c r="V52" s="1710"/>
      <c r="W52" s="1709"/>
      <c r="X52" s="1709"/>
      <c r="Y52" s="1709"/>
      <c r="Z52" s="1709"/>
      <c r="AA52" s="1709"/>
      <c r="AB52" s="1709"/>
      <c r="AC52" s="1709"/>
      <c r="AD52" s="1709"/>
      <c r="AE52" s="1709"/>
      <c r="AF52" s="1709"/>
      <c r="AG52" s="1709"/>
      <c r="AH52" s="1709"/>
      <c r="AI52" s="1709"/>
      <c r="AJ52" s="1709"/>
      <c r="AK52" s="1709"/>
      <c r="AL52" s="1709"/>
      <c r="AM52" s="1709"/>
      <c r="AN52" s="1709"/>
      <c r="AO52" s="1709"/>
      <c r="AP52" s="1709"/>
      <c r="AQ52" s="1709"/>
      <c r="AR52" s="1709"/>
      <c r="AS52" s="1709"/>
      <c r="AT52" s="1709"/>
      <c r="AU52" s="1709"/>
      <c r="AV52" s="1709"/>
      <c r="AW52" s="1709"/>
      <c r="AX52" s="1709"/>
      <c r="AY52" s="1711"/>
      <c r="AZ52" s="1711"/>
      <c r="BA52" s="1711"/>
      <c r="BB52" s="1711"/>
      <c r="BC52" s="1711"/>
      <c r="BD52" s="1711"/>
      <c r="BE52" s="1711"/>
      <c r="BF52" s="1711"/>
      <c r="BG52" s="1711"/>
      <c r="BH52" s="1712"/>
      <c r="BI52" s="1713"/>
      <c r="BJ52" s="1727"/>
      <c r="BK52" s="3152"/>
      <c r="BL52" s="3152"/>
      <c r="BM52" s="3219"/>
      <c r="BN52" s="15181"/>
      <c r="BO52" s="3035"/>
      <c r="BP52" s="1717"/>
      <c r="BQ52" s="1717"/>
      <c r="BR52" s="15186"/>
      <c r="BS52" s="15164"/>
      <c r="BT52" s="3010"/>
      <c r="BU52" s="3010"/>
      <c r="BV52" s="3220"/>
      <c r="BW52" s="3220"/>
      <c r="BX52" s="3220"/>
      <c r="BY52" s="3220"/>
      <c r="BZ52" s="3220"/>
      <c r="CA52" s="3220"/>
      <c r="CB52" s="3220"/>
      <c r="CC52" s="3220"/>
      <c r="CD52" s="3220"/>
      <c r="CE52" s="3220"/>
      <c r="CF52" s="3220"/>
      <c r="CG52" s="3220"/>
      <c r="CH52" s="3220"/>
      <c r="CI52" s="3220"/>
      <c r="CJ52" s="3220"/>
      <c r="CK52" s="3220"/>
      <c r="CL52" s="3220"/>
      <c r="CM52" s="3220"/>
      <c r="CN52" s="3220"/>
      <c r="CO52" s="3220"/>
      <c r="CP52" s="3220"/>
      <c r="CQ52" s="3220"/>
      <c r="CR52" s="3220"/>
      <c r="CS52" s="3220"/>
      <c r="CT52" s="3220"/>
      <c r="CU52" s="3220"/>
      <c r="CV52" s="3220"/>
      <c r="CW52" s="3220"/>
      <c r="CX52" s="3220"/>
      <c r="CY52" s="3220"/>
      <c r="CZ52" s="3220"/>
      <c r="DA52" s="3220"/>
      <c r="DB52" s="3220"/>
      <c r="DC52" s="3220"/>
      <c r="DD52" s="3220"/>
      <c r="DE52" s="3220"/>
      <c r="DG52" s="4591"/>
      <c r="DH52" s="2711"/>
      <c r="DI52" s="2711"/>
      <c r="DJ52" s="2711"/>
      <c r="DK52" s="2711"/>
      <c r="DL52" s="2711"/>
      <c r="DM52" s="2711"/>
      <c r="DN52" s="2711"/>
      <c r="DO52" s="2711"/>
      <c r="DP52" s="2711"/>
      <c r="DQ52" s="2711"/>
      <c r="DR52" s="2711"/>
      <c r="DS52" s="2711"/>
      <c r="DT52" s="2711"/>
      <c r="DU52" s="2711"/>
      <c r="DV52" s="2711"/>
      <c r="DW52" s="2711"/>
      <c r="DX52" s="2711"/>
      <c r="DY52" s="2711"/>
      <c r="DZ52" s="2711"/>
      <c r="EA52" s="2711"/>
      <c r="EB52" s="2711"/>
      <c r="EC52" s="2711"/>
      <c r="ED52" s="2711"/>
      <c r="EE52" s="2711"/>
      <c r="EF52" s="2711"/>
      <c r="EG52" s="2711"/>
      <c r="EH52" s="2711"/>
      <c r="EI52" s="2711"/>
      <c r="EJ52" s="2711"/>
      <c r="EK52" s="2711"/>
      <c r="EL52" s="2711"/>
      <c r="EM52" s="2711"/>
      <c r="EN52" s="2711"/>
      <c r="EO52" s="2711"/>
      <c r="EP52" s="2711"/>
      <c r="EQ52" s="2711"/>
      <c r="ER52" s="2711"/>
      <c r="ES52" s="2711"/>
      <c r="ET52" s="2711"/>
      <c r="EU52" s="2711"/>
      <c r="EV52" s="2711"/>
      <c r="EW52" s="2711"/>
      <c r="EX52" s="2711"/>
      <c r="EY52" s="2711"/>
      <c r="EZ52" s="3223"/>
    </row>
    <row r="53" spans="1:198" s="1720" customFormat="1" ht="15" customHeight="1">
      <c r="A53" s="3154"/>
      <c r="B53" s="4515" t="s">
        <v>2251</v>
      </c>
      <c r="C53" s="15348" t="s">
        <v>4912</v>
      </c>
      <c r="D53" s="15350" t="s">
        <v>2252</v>
      </c>
      <c r="E53" s="15350" t="s">
        <v>2253</v>
      </c>
      <c r="F53" s="15350" t="s">
        <v>2254</v>
      </c>
      <c r="G53" s="15350" t="s">
        <v>2117</v>
      </c>
      <c r="H53" s="2725" t="s">
        <v>26</v>
      </c>
      <c r="I53" s="4144" t="s">
        <v>390</v>
      </c>
      <c r="J53" s="4567"/>
      <c r="K53" s="4546" t="s">
        <v>2117</v>
      </c>
      <c r="L53" s="1721" t="s">
        <v>2117</v>
      </c>
      <c r="M53" s="1721" t="s">
        <v>2117</v>
      </c>
      <c r="N53" s="892"/>
      <c r="O53" s="1721" t="s">
        <v>2117</v>
      </c>
      <c r="P53" s="272" t="s">
        <v>2117</v>
      </c>
      <c r="Q53" s="1722" t="s">
        <v>3241</v>
      </c>
      <c r="R53" s="1722" t="s">
        <v>3241</v>
      </c>
      <c r="S53" s="1722" t="s">
        <v>3241</v>
      </c>
      <c r="T53" s="1723" t="s">
        <v>3267</v>
      </c>
      <c r="U53" s="1722"/>
      <c r="V53" s="1722"/>
      <c r="W53" s="1722"/>
      <c r="X53" s="1722"/>
      <c r="Y53" s="1722"/>
      <c r="Z53" s="1722"/>
      <c r="AA53" s="1722"/>
      <c r="AB53" s="1722"/>
      <c r="AC53" s="1722"/>
      <c r="AD53" s="1722"/>
      <c r="AE53" s="1722"/>
      <c r="AF53" s="1722"/>
      <c r="AG53" s="1722"/>
      <c r="AH53" s="1722"/>
      <c r="AI53" s="1722"/>
      <c r="AJ53" s="1722"/>
      <c r="AK53" s="1722"/>
      <c r="AL53" s="1722"/>
      <c r="AM53" s="1722"/>
      <c r="AN53" s="1722"/>
      <c r="AO53" s="1722"/>
      <c r="AP53" s="1722"/>
      <c r="AQ53" s="1722"/>
      <c r="AR53" s="1722"/>
      <c r="AS53" s="1722"/>
      <c r="AT53" s="1722"/>
      <c r="AU53" s="1722"/>
      <c r="AV53" s="1722"/>
      <c r="AW53" s="1722"/>
      <c r="AX53" s="1722"/>
      <c r="AY53" s="1724"/>
      <c r="AZ53" s="1724"/>
      <c r="BA53" s="1724"/>
      <c r="BB53" s="1724"/>
      <c r="BC53" s="1724"/>
      <c r="BD53" s="1724"/>
      <c r="BE53" s="1724"/>
      <c r="BF53" s="1724"/>
      <c r="BG53" s="1724"/>
      <c r="BH53" s="1725"/>
      <c r="BI53" s="1726" t="s">
        <v>9774</v>
      </c>
      <c r="BJ53" s="1727" t="s">
        <v>1732</v>
      </c>
      <c r="BK53" s="892">
        <v>3</v>
      </c>
      <c r="BL53" s="892">
        <v>3</v>
      </c>
      <c r="BM53" s="1716">
        <v>1</v>
      </c>
      <c r="BN53" s="15181"/>
      <c r="BO53" s="1721"/>
      <c r="BP53" s="1728"/>
      <c r="BQ53" s="1729"/>
      <c r="BR53" s="15186"/>
      <c r="BS53" s="15164"/>
      <c r="BT53" s="1728"/>
      <c r="BU53" s="1728"/>
      <c r="BV53" s="1719"/>
      <c r="BW53" s="1719"/>
      <c r="BX53" s="1719"/>
      <c r="BY53" s="1719"/>
      <c r="BZ53" s="1719"/>
      <c r="CA53" s="1719"/>
      <c r="CB53" s="1719"/>
      <c r="CC53" s="1719"/>
      <c r="CD53" s="1719"/>
      <c r="CE53" s="1719"/>
      <c r="CF53" s="1719"/>
      <c r="CG53" s="1719"/>
      <c r="CH53" s="1719"/>
      <c r="CI53" s="1719"/>
      <c r="CJ53" s="1719"/>
      <c r="CK53" s="1719"/>
      <c r="CL53" s="1719"/>
      <c r="CM53" s="1719"/>
      <c r="CN53" s="1719"/>
      <c r="CO53" s="1719"/>
      <c r="CP53" s="1719"/>
      <c r="CQ53" s="1719"/>
      <c r="CR53" s="1719"/>
      <c r="CS53" s="1719"/>
      <c r="CT53" s="1719"/>
      <c r="CU53" s="1719"/>
      <c r="CV53" s="1719"/>
      <c r="CW53" s="1719"/>
      <c r="CX53" s="1719"/>
      <c r="CY53" s="1719"/>
      <c r="CZ53" s="1719"/>
      <c r="DA53" s="1719"/>
      <c r="DB53" s="1719"/>
      <c r="DC53" s="1719"/>
      <c r="DD53" s="1719"/>
      <c r="DE53" s="1719"/>
      <c r="DG53" s="4591"/>
      <c r="DH53" s="2711"/>
      <c r="DI53" s="2711"/>
      <c r="DJ53" s="2711"/>
      <c r="DK53" s="2711"/>
      <c r="DL53" s="2711"/>
      <c r="DM53" s="2711"/>
      <c r="DN53" s="2711"/>
      <c r="DO53" s="2711"/>
      <c r="DP53" s="2711"/>
      <c r="DQ53" s="2711"/>
      <c r="DR53" s="2711"/>
      <c r="DS53" s="2711"/>
      <c r="DT53" s="2711"/>
      <c r="DU53" s="2711"/>
      <c r="DV53" s="2711"/>
      <c r="DW53" s="2711"/>
      <c r="DX53" s="2711"/>
      <c r="DY53" s="2711"/>
      <c r="DZ53" s="2711"/>
      <c r="EA53" s="2711"/>
      <c r="EB53" s="2711"/>
      <c r="EC53" s="2711"/>
      <c r="ED53" s="2711"/>
      <c r="EE53" s="2711"/>
      <c r="EF53" s="2711"/>
      <c r="EG53" s="2711"/>
      <c r="EH53" s="2711"/>
      <c r="EI53" s="2711"/>
      <c r="EJ53" s="2711"/>
      <c r="EK53" s="2711"/>
      <c r="EL53" s="2711"/>
      <c r="EM53" s="2711"/>
      <c r="EN53" s="2711"/>
      <c r="EO53" s="2711"/>
      <c r="EP53" s="2711"/>
      <c r="EQ53" s="2711"/>
      <c r="ER53" s="2711"/>
      <c r="ES53" s="2711"/>
      <c r="ET53" s="2711"/>
      <c r="EU53" s="2711"/>
      <c r="EV53" s="2711"/>
      <c r="EW53" s="2711"/>
      <c r="EX53" s="2711"/>
      <c r="EY53" s="2711"/>
      <c r="EZ53" s="3223"/>
    </row>
    <row r="54" spans="1:198" s="1720" customFormat="1" ht="15" customHeight="1">
      <c r="A54" s="3154"/>
      <c r="B54" s="4515"/>
      <c r="C54" s="15348"/>
      <c r="D54" s="15350"/>
      <c r="E54" s="15350"/>
      <c r="F54" s="15350"/>
      <c r="G54" s="15350"/>
      <c r="H54" s="2725" t="s">
        <v>2254</v>
      </c>
      <c r="I54" s="4144"/>
      <c r="J54" s="4567" t="s">
        <v>2254</v>
      </c>
      <c r="K54" s="4546"/>
      <c r="L54" s="2725"/>
      <c r="M54" s="2725"/>
      <c r="N54" s="3221"/>
      <c r="O54" s="2725"/>
      <c r="P54" s="2725"/>
      <c r="Q54" s="2710"/>
      <c r="R54" s="2710"/>
      <c r="S54" s="2710"/>
      <c r="T54" s="3038"/>
      <c r="U54" s="3222"/>
      <c r="V54" s="3222"/>
      <c r="W54" s="2710"/>
      <c r="X54" s="2710"/>
      <c r="Y54" s="2710"/>
      <c r="Z54" s="2710"/>
      <c r="AA54" s="2710"/>
      <c r="AB54" s="2710"/>
      <c r="AC54" s="2710"/>
      <c r="AD54" s="2710"/>
      <c r="AE54" s="2710"/>
      <c r="AF54" s="2710"/>
      <c r="AG54" s="2710"/>
      <c r="AH54" s="2710"/>
      <c r="AI54" s="2710"/>
      <c r="AJ54" s="2710"/>
      <c r="AK54" s="2710"/>
      <c r="AL54" s="2710"/>
      <c r="AM54" s="2710"/>
      <c r="AN54" s="2710"/>
      <c r="AO54" s="2710"/>
      <c r="AP54" s="2710"/>
      <c r="AQ54" s="2710"/>
      <c r="AR54" s="2710"/>
      <c r="AS54" s="2710"/>
      <c r="AT54" s="2710"/>
      <c r="AU54" s="2710"/>
      <c r="AV54" s="2710"/>
      <c r="AW54" s="2710"/>
      <c r="AX54" s="2710"/>
      <c r="AY54" s="2711"/>
      <c r="AZ54" s="2711"/>
      <c r="BA54" s="2711"/>
      <c r="BB54" s="2711"/>
      <c r="BC54" s="2711"/>
      <c r="BD54" s="2711"/>
      <c r="BE54" s="2711"/>
      <c r="BF54" s="2711"/>
      <c r="BG54" s="2711"/>
      <c r="BH54" s="3223"/>
      <c r="BI54" s="3224"/>
      <c r="BJ54" s="1727"/>
      <c r="BK54" s="3221"/>
      <c r="BL54" s="3221"/>
      <c r="BM54" s="3219"/>
      <c r="BN54" s="15181"/>
      <c r="BO54" s="2725"/>
      <c r="BP54" s="3225"/>
      <c r="BQ54" s="3226"/>
      <c r="BR54" s="15186"/>
      <c r="BS54" s="15164"/>
      <c r="BT54" s="3225"/>
      <c r="BU54" s="3225"/>
      <c r="BV54" s="3220"/>
      <c r="BW54" s="3220"/>
      <c r="BX54" s="3220"/>
      <c r="BY54" s="3220"/>
      <c r="BZ54" s="3220"/>
      <c r="CA54" s="3220"/>
      <c r="CB54" s="3220"/>
      <c r="CC54" s="3220"/>
      <c r="CD54" s="3220"/>
      <c r="CE54" s="3220"/>
      <c r="CF54" s="3220"/>
      <c r="CG54" s="3220"/>
      <c r="CH54" s="3220"/>
      <c r="CI54" s="3220"/>
      <c r="CJ54" s="3220"/>
      <c r="CK54" s="3220"/>
      <c r="CL54" s="3220"/>
      <c r="CM54" s="3220"/>
      <c r="CN54" s="3220"/>
      <c r="CO54" s="3220"/>
      <c r="CP54" s="3220"/>
      <c r="CQ54" s="3220"/>
      <c r="CR54" s="3220"/>
      <c r="CS54" s="3220"/>
      <c r="CT54" s="3220"/>
      <c r="CU54" s="3220"/>
      <c r="CV54" s="3220"/>
      <c r="CW54" s="3220"/>
      <c r="CX54" s="3220"/>
      <c r="CY54" s="3220"/>
      <c r="CZ54" s="3220"/>
      <c r="DA54" s="3220"/>
      <c r="DB54" s="3220"/>
      <c r="DC54" s="3220"/>
      <c r="DD54" s="3220"/>
      <c r="DE54" s="3220"/>
      <c r="DG54" s="4591"/>
      <c r="DH54" s="2711"/>
      <c r="DI54" s="2711"/>
      <c r="DJ54" s="2711"/>
      <c r="DK54" s="2711"/>
      <c r="DL54" s="2711"/>
      <c r="DM54" s="2711"/>
      <c r="DN54" s="2711"/>
      <c r="DO54" s="2711"/>
      <c r="DP54" s="2711"/>
      <c r="DQ54" s="2711"/>
      <c r="DR54" s="2711"/>
      <c r="DS54" s="2711"/>
      <c r="DT54" s="2711"/>
      <c r="DU54" s="2711"/>
      <c r="DV54" s="2711"/>
      <c r="DW54" s="2711"/>
      <c r="DX54" s="2711"/>
      <c r="DY54" s="2711"/>
      <c r="DZ54" s="2711"/>
      <c r="EA54" s="2711"/>
      <c r="EB54" s="2711"/>
      <c r="EC54" s="2711"/>
      <c r="ED54" s="2711"/>
      <c r="EE54" s="2711"/>
      <c r="EF54" s="2711"/>
      <c r="EG54" s="2711"/>
      <c r="EH54" s="2711"/>
      <c r="EI54" s="2711"/>
      <c r="EJ54" s="2711"/>
      <c r="EK54" s="2711"/>
      <c r="EL54" s="2711"/>
      <c r="EM54" s="2711"/>
      <c r="EN54" s="2711"/>
      <c r="EO54" s="2711"/>
      <c r="EP54" s="2711"/>
      <c r="EQ54" s="2711"/>
      <c r="ER54" s="2711"/>
      <c r="ES54" s="2711"/>
      <c r="ET54" s="2711"/>
      <c r="EU54" s="2711"/>
      <c r="EV54" s="2711"/>
      <c r="EW54" s="2711"/>
      <c r="EX54" s="2711"/>
      <c r="EY54" s="2711"/>
      <c r="EZ54" s="3223"/>
    </row>
    <row r="55" spans="1:198" s="1720" customFormat="1" ht="15" customHeight="1">
      <c r="A55" s="3154"/>
      <c r="B55" s="4515" t="s">
        <v>2255</v>
      </c>
      <c r="C55" s="4568" t="s">
        <v>4913</v>
      </c>
      <c r="D55" s="2725" t="s">
        <v>2256</v>
      </c>
      <c r="E55" s="2725" t="s">
        <v>2257</v>
      </c>
      <c r="F55" s="2725" t="s">
        <v>422</v>
      </c>
      <c r="G55" s="2725" t="s">
        <v>2117</v>
      </c>
      <c r="H55" s="2725" t="s">
        <v>86</v>
      </c>
      <c r="I55" s="2725" t="s">
        <v>422</v>
      </c>
      <c r="J55" s="4567"/>
      <c r="K55" s="4547" t="s">
        <v>2258</v>
      </c>
      <c r="L55" s="892">
        <v>2011</v>
      </c>
      <c r="M55" s="1721" t="s">
        <v>2117</v>
      </c>
      <c r="N55" s="892"/>
      <c r="O55" s="1721" t="s">
        <v>2117</v>
      </c>
      <c r="P55" s="272" t="s">
        <v>2117</v>
      </c>
      <c r="Q55" s="1730">
        <v>1</v>
      </c>
      <c r="R55" s="1731" t="s">
        <v>3723</v>
      </c>
      <c r="S55" s="1731"/>
      <c r="T55" s="1724"/>
      <c r="U55" s="15201">
        <v>217800000</v>
      </c>
      <c r="V55" s="15201">
        <v>217800000</v>
      </c>
      <c r="W55" s="1724"/>
      <c r="X55" s="1724"/>
      <c r="Y55" s="1724"/>
      <c r="Z55" s="1724"/>
      <c r="AA55" s="1724"/>
      <c r="AB55" s="1724"/>
      <c r="AC55" s="1724"/>
      <c r="AD55" s="1724"/>
      <c r="AE55" s="1724"/>
      <c r="AF55" s="1724"/>
      <c r="AG55" s="1724"/>
      <c r="AH55" s="1724"/>
      <c r="AI55" s="1724"/>
      <c r="AJ55" s="1724"/>
      <c r="AK55" s="1724"/>
      <c r="AL55" s="1724"/>
      <c r="AM55" s="1724"/>
      <c r="AN55" s="1724"/>
      <c r="AO55" s="1724"/>
      <c r="AP55" s="1724"/>
      <c r="AQ55" s="1724"/>
      <c r="AR55" s="1724"/>
      <c r="AS55" s="1724"/>
      <c r="AT55" s="1724"/>
      <c r="AU55" s="1724"/>
      <c r="AV55" s="1724"/>
      <c r="AW55" s="1724"/>
      <c r="AX55" s="1724"/>
      <c r="AY55" s="1724"/>
      <c r="AZ55" s="1724"/>
      <c r="BA55" s="1724"/>
      <c r="BB55" s="1724"/>
      <c r="BC55" s="1724"/>
      <c r="BD55" s="1724"/>
      <c r="BE55" s="1724"/>
      <c r="BF55" s="1724"/>
      <c r="BG55" s="1724"/>
      <c r="BH55" s="1725"/>
      <c r="BI55" s="1726">
        <v>90</v>
      </c>
      <c r="BJ55" s="1727">
        <v>0.9</v>
      </c>
      <c r="BK55" s="892">
        <v>7300</v>
      </c>
      <c r="BL55" s="892">
        <v>7300</v>
      </c>
      <c r="BM55" s="1716">
        <v>1</v>
      </c>
      <c r="BN55" s="15181"/>
      <c r="BO55" s="1721" t="s">
        <v>9743</v>
      </c>
      <c r="BP55" s="1732" t="s">
        <v>3723</v>
      </c>
      <c r="BQ55" s="1732" t="s">
        <v>9701</v>
      </c>
      <c r="BR55" s="15186"/>
      <c r="BS55" s="15164"/>
      <c r="BT55" s="1728"/>
      <c r="BU55" s="1728"/>
      <c r="BV55" s="1719" t="s">
        <v>1732</v>
      </c>
      <c r="BW55" s="1719"/>
      <c r="BX55" s="1719"/>
      <c r="BY55" s="1719"/>
      <c r="BZ55" s="1719"/>
      <c r="CA55" s="1719"/>
      <c r="CB55" s="1719"/>
      <c r="CC55" s="1719"/>
      <c r="CD55" s="1719"/>
      <c r="CE55" s="1719"/>
      <c r="CF55" s="1719"/>
      <c r="CG55" s="1719"/>
      <c r="CH55" s="1719"/>
      <c r="CI55" s="1719"/>
      <c r="CJ55" s="1719"/>
      <c r="CK55" s="1719"/>
      <c r="CL55" s="1719"/>
      <c r="CM55" s="1719"/>
      <c r="CN55" s="1719"/>
      <c r="CO55" s="1719"/>
      <c r="CP55" s="1719"/>
      <c r="CQ55" s="1719"/>
      <c r="CR55" s="1719"/>
      <c r="CS55" s="1719"/>
      <c r="CT55" s="1719"/>
      <c r="CU55" s="1719"/>
      <c r="CV55" s="1719"/>
      <c r="CW55" s="1719"/>
      <c r="CX55" s="1719"/>
      <c r="CY55" s="1719"/>
      <c r="CZ55" s="1719"/>
      <c r="DA55" s="1719"/>
      <c r="DB55" s="1719"/>
      <c r="DC55" s="1719"/>
      <c r="DD55" s="1719"/>
      <c r="DE55" s="1719"/>
      <c r="DG55" s="4591"/>
      <c r="DH55" s="2711"/>
      <c r="DI55" s="2711"/>
      <c r="DJ55" s="2711"/>
      <c r="DK55" s="2711"/>
      <c r="DL55" s="2711"/>
      <c r="DM55" s="2711"/>
      <c r="DN55" s="2711"/>
      <c r="DO55" s="2711"/>
      <c r="DP55" s="2711"/>
      <c r="DQ55" s="2711"/>
      <c r="DR55" s="2711"/>
      <c r="DS55" s="2711"/>
      <c r="DT55" s="2711"/>
      <c r="DU55" s="2711"/>
      <c r="DV55" s="2711"/>
      <c r="DW55" s="2711"/>
      <c r="DX55" s="2711"/>
      <c r="DY55" s="2711"/>
      <c r="DZ55" s="2711"/>
      <c r="EA55" s="2711"/>
      <c r="EB55" s="2711"/>
      <c r="EC55" s="2711"/>
      <c r="ED55" s="2711"/>
      <c r="EE55" s="2711"/>
      <c r="EF55" s="2711"/>
      <c r="EG55" s="2711"/>
      <c r="EH55" s="2711"/>
      <c r="EI55" s="2711"/>
      <c r="EJ55" s="2711"/>
      <c r="EK55" s="2711"/>
      <c r="EL55" s="2711"/>
      <c r="EM55" s="2711"/>
      <c r="EN55" s="2711"/>
      <c r="EO55" s="2711"/>
      <c r="EP55" s="2711"/>
      <c r="EQ55" s="2711"/>
      <c r="ER55" s="2711"/>
      <c r="ES55" s="2711"/>
      <c r="ET55" s="2711"/>
      <c r="EU55" s="2711"/>
      <c r="EV55" s="2711"/>
      <c r="EW55" s="2711"/>
      <c r="EX55" s="2711"/>
      <c r="EY55" s="2711"/>
      <c r="EZ55" s="3223"/>
    </row>
    <row r="56" spans="1:198" s="1720" customFormat="1" ht="15" customHeight="1">
      <c r="A56" s="3154"/>
      <c r="B56" s="4516" t="s">
        <v>2259</v>
      </c>
      <c r="C56" s="4568" t="s">
        <v>4914</v>
      </c>
      <c r="D56" s="2725" t="s">
        <v>2260</v>
      </c>
      <c r="E56" s="2725" t="s">
        <v>2261</v>
      </c>
      <c r="F56" s="3440" t="s">
        <v>422</v>
      </c>
      <c r="G56" s="4494">
        <v>0.73</v>
      </c>
      <c r="H56" s="3152" t="s">
        <v>86</v>
      </c>
      <c r="I56" s="2725" t="s">
        <v>422</v>
      </c>
      <c r="J56" s="4569"/>
      <c r="K56" s="4548">
        <v>0.73</v>
      </c>
      <c r="L56" s="892">
        <v>2011</v>
      </c>
      <c r="M56" s="892" t="s">
        <v>2117</v>
      </c>
      <c r="N56" s="892"/>
      <c r="O56" s="1715">
        <v>0.73</v>
      </c>
      <c r="P56" s="1734">
        <v>0.73</v>
      </c>
      <c r="Q56" s="1730">
        <v>1</v>
      </c>
      <c r="R56" s="1731" t="s">
        <v>3723</v>
      </c>
      <c r="S56" s="1731"/>
      <c r="T56" s="1724"/>
      <c r="U56" s="15202"/>
      <c r="V56" s="15202"/>
      <c r="W56" s="1724"/>
      <c r="X56" s="1724"/>
      <c r="Y56" s="1724"/>
      <c r="Z56" s="1724"/>
      <c r="AA56" s="1724"/>
      <c r="AB56" s="1724"/>
      <c r="AC56" s="1724"/>
      <c r="AD56" s="1724"/>
      <c r="AE56" s="1724"/>
      <c r="AF56" s="1724"/>
      <c r="AG56" s="1724"/>
      <c r="AH56" s="1724"/>
      <c r="AI56" s="1724"/>
      <c r="AJ56" s="1724"/>
      <c r="AK56" s="1724"/>
      <c r="AL56" s="1724"/>
      <c r="AM56" s="1724"/>
      <c r="AN56" s="1724"/>
      <c r="AO56" s="1724"/>
      <c r="AP56" s="1724"/>
      <c r="AQ56" s="1724"/>
      <c r="AR56" s="1724"/>
      <c r="AS56" s="1724"/>
      <c r="AT56" s="1724"/>
      <c r="AU56" s="1724"/>
      <c r="AV56" s="1724"/>
      <c r="AW56" s="1724"/>
      <c r="AX56" s="1724"/>
      <c r="AY56" s="1724"/>
      <c r="AZ56" s="1724"/>
      <c r="BA56" s="1724"/>
      <c r="BB56" s="1724"/>
      <c r="BC56" s="1724"/>
      <c r="BD56" s="1724"/>
      <c r="BE56" s="1724"/>
      <c r="BF56" s="1724"/>
      <c r="BG56" s="1724"/>
      <c r="BH56" s="1725"/>
      <c r="BI56" s="1735">
        <v>0.37</v>
      </c>
      <c r="BJ56" s="1727">
        <f>BI56/P56</f>
        <v>0.50684931506849318</v>
      </c>
      <c r="BK56" s="1715" t="s">
        <v>9726</v>
      </c>
      <c r="BL56" s="1715">
        <v>0.5</v>
      </c>
      <c r="BM56" s="1716">
        <f>BL56/P56</f>
        <v>0.68493150684931503</v>
      </c>
      <c r="BN56" s="15181"/>
      <c r="BO56" s="1721" t="s">
        <v>9743</v>
      </c>
      <c r="BP56" s="1732" t="s">
        <v>3723</v>
      </c>
      <c r="BQ56" s="1732" t="s">
        <v>9701</v>
      </c>
      <c r="BR56" s="15186"/>
      <c r="BS56" s="15164"/>
      <c r="BT56" s="1728"/>
      <c r="BU56" s="1728"/>
      <c r="BV56" s="1719" t="s">
        <v>1732</v>
      </c>
      <c r="BW56" s="1719"/>
      <c r="BX56" s="1719"/>
      <c r="BY56" s="1719"/>
      <c r="BZ56" s="1719"/>
      <c r="CA56" s="1719"/>
      <c r="CB56" s="1719"/>
      <c r="CC56" s="1719"/>
      <c r="CD56" s="1719"/>
      <c r="CE56" s="1719"/>
      <c r="CF56" s="1719"/>
      <c r="CG56" s="1719"/>
      <c r="CH56" s="1719"/>
      <c r="CI56" s="1719"/>
      <c r="CJ56" s="1719"/>
      <c r="CK56" s="1719"/>
      <c r="CL56" s="1719"/>
      <c r="CM56" s="1719"/>
      <c r="CN56" s="1719"/>
      <c r="CO56" s="1719"/>
      <c r="CP56" s="1719"/>
      <c r="CQ56" s="1719"/>
      <c r="CR56" s="1719"/>
      <c r="CS56" s="1719"/>
      <c r="CT56" s="1719"/>
      <c r="CU56" s="1719"/>
      <c r="CV56" s="1719"/>
      <c r="CW56" s="1719"/>
      <c r="CX56" s="1719"/>
      <c r="CY56" s="1719"/>
      <c r="CZ56" s="1719"/>
      <c r="DA56" s="1719"/>
      <c r="DB56" s="1719"/>
      <c r="DC56" s="1719"/>
      <c r="DD56" s="1719"/>
      <c r="DE56" s="1719"/>
      <c r="DG56" s="4591"/>
      <c r="DH56" s="2711"/>
      <c r="DI56" s="2711"/>
      <c r="DJ56" s="2711"/>
      <c r="DK56" s="2711"/>
      <c r="DL56" s="2711"/>
      <c r="DM56" s="2711"/>
      <c r="DN56" s="2711"/>
      <c r="DO56" s="2711"/>
      <c r="DP56" s="2711"/>
      <c r="DQ56" s="2711"/>
      <c r="DR56" s="2711"/>
      <c r="DS56" s="2711"/>
      <c r="DT56" s="2711"/>
      <c r="DU56" s="2711"/>
      <c r="DV56" s="2711"/>
      <c r="DW56" s="2711"/>
      <c r="DX56" s="2711"/>
      <c r="DY56" s="2711"/>
      <c r="DZ56" s="2711"/>
      <c r="EA56" s="2711"/>
      <c r="EB56" s="2711"/>
      <c r="EC56" s="2711"/>
      <c r="ED56" s="2711"/>
      <c r="EE56" s="2711"/>
      <c r="EF56" s="2711"/>
      <c r="EG56" s="2711"/>
      <c r="EH56" s="2711"/>
      <c r="EI56" s="2711"/>
      <c r="EJ56" s="2711"/>
      <c r="EK56" s="2711"/>
      <c r="EL56" s="2711"/>
      <c r="EM56" s="2711"/>
      <c r="EN56" s="2711"/>
      <c r="EO56" s="2711"/>
      <c r="EP56" s="2711"/>
      <c r="EQ56" s="2711"/>
      <c r="ER56" s="2711"/>
      <c r="ES56" s="2711"/>
      <c r="ET56" s="2711"/>
      <c r="EU56" s="2711"/>
      <c r="EV56" s="2711"/>
      <c r="EW56" s="2711"/>
      <c r="EX56" s="2711"/>
      <c r="EY56" s="2711"/>
      <c r="EZ56" s="3223"/>
    </row>
    <row r="57" spans="1:198" s="1720" customFormat="1" ht="15" customHeight="1">
      <c r="A57" s="3154"/>
      <c r="B57" s="4516"/>
      <c r="C57" s="4568" t="s">
        <v>4915</v>
      </c>
      <c r="D57" s="2725" t="s">
        <v>2262</v>
      </c>
      <c r="E57" s="2725" t="s">
        <v>2263</v>
      </c>
      <c r="F57" s="3440" t="s">
        <v>422</v>
      </c>
      <c r="G57" s="4494">
        <v>0.18</v>
      </c>
      <c r="H57" s="3152" t="s">
        <v>86</v>
      </c>
      <c r="I57" s="2725" t="s">
        <v>422</v>
      </c>
      <c r="J57" s="4569"/>
      <c r="K57" s="4548">
        <v>0.18</v>
      </c>
      <c r="L57" s="892">
        <v>2011</v>
      </c>
      <c r="M57" s="892" t="s">
        <v>2117</v>
      </c>
      <c r="N57" s="892"/>
      <c r="O57" s="1715">
        <v>0.18</v>
      </c>
      <c r="P57" s="1734">
        <v>0.18</v>
      </c>
      <c r="Q57" s="1730">
        <v>1</v>
      </c>
      <c r="R57" s="1731" t="s">
        <v>3723</v>
      </c>
      <c r="S57" s="1731"/>
      <c r="T57" s="1724"/>
      <c r="U57" s="15202"/>
      <c r="V57" s="15202"/>
      <c r="W57" s="1724"/>
      <c r="X57" s="1724"/>
      <c r="Y57" s="1724"/>
      <c r="Z57" s="1724"/>
      <c r="AA57" s="1724"/>
      <c r="AB57" s="1724"/>
      <c r="AC57" s="1724"/>
      <c r="AD57" s="1724"/>
      <c r="AE57" s="1724"/>
      <c r="AF57" s="1724"/>
      <c r="AG57" s="1724"/>
      <c r="AH57" s="1724"/>
      <c r="AI57" s="1724"/>
      <c r="AJ57" s="1724"/>
      <c r="AK57" s="1724"/>
      <c r="AL57" s="1724"/>
      <c r="AM57" s="1724"/>
      <c r="AN57" s="1724"/>
      <c r="AO57" s="1724"/>
      <c r="AP57" s="1724"/>
      <c r="AQ57" s="1724"/>
      <c r="AR57" s="1724"/>
      <c r="AS57" s="1724"/>
      <c r="AT57" s="1724"/>
      <c r="AU57" s="1724"/>
      <c r="AV57" s="1724"/>
      <c r="AW57" s="1724"/>
      <c r="AX57" s="1724"/>
      <c r="AY57" s="1724"/>
      <c r="AZ57" s="1724"/>
      <c r="BA57" s="1724"/>
      <c r="BB57" s="1724"/>
      <c r="BC57" s="1724"/>
      <c r="BD57" s="1724"/>
      <c r="BE57" s="1724"/>
      <c r="BF57" s="1724"/>
      <c r="BG57" s="1724"/>
      <c r="BH57" s="1725"/>
      <c r="BI57" s="1735">
        <v>0.6</v>
      </c>
      <c r="BJ57" s="1727">
        <v>1</v>
      </c>
      <c r="BK57" s="1715" t="s">
        <v>9728</v>
      </c>
      <c r="BL57" s="1715">
        <v>0.48</v>
      </c>
      <c r="BM57" s="1716">
        <v>1</v>
      </c>
      <c r="BN57" s="15181"/>
      <c r="BO57" s="1721" t="s">
        <v>9743</v>
      </c>
      <c r="BP57" s="1732" t="s">
        <v>3723</v>
      </c>
      <c r="BQ57" s="1732" t="s">
        <v>9701</v>
      </c>
      <c r="BR57" s="15186"/>
      <c r="BS57" s="15164"/>
      <c r="BT57" s="1728"/>
      <c r="BU57" s="1728"/>
      <c r="BV57" s="1719" t="s">
        <v>1732</v>
      </c>
      <c r="BW57" s="1719"/>
      <c r="BX57" s="1719"/>
      <c r="BY57" s="1719"/>
      <c r="BZ57" s="1719"/>
      <c r="CA57" s="1719"/>
      <c r="CB57" s="1719"/>
      <c r="CC57" s="1719"/>
      <c r="CD57" s="1719"/>
      <c r="CE57" s="1719"/>
      <c r="CF57" s="1719"/>
      <c r="CG57" s="1719"/>
      <c r="CH57" s="1719"/>
      <c r="CI57" s="1719"/>
      <c r="CJ57" s="1719"/>
      <c r="CK57" s="1719"/>
      <c r="CL57" s="1719"/>
      <c r="CM57" s="1719"/>
      <c r="CN57" s="1719"/>
      <c r="CO57" s="1719"/>
      <c r="CP57" s="1719"/>
      <c r="CQ57" s="1719"/>
      <c r="CR57" s="1719"/>
      <c r="CS57" s="1719"/>
      <c r="CT57" s="1719"/>
      <c r="CU57" s="1719"/>
      <c r="CV57" s="1719"/>
      <c r="CW57" s="1719"/>
      <c r="CX57" s="1719"/>
      <c r="CY57" s="1719"/>
      <c r="CZ57" s="1719"/>
      <c r="DA57" s="1719"/>
      <c r="DB57" s="1719"/>
      <c r="DC57" s="1719"/>
      <c r="DD57" s="1719"/>
      <c r="DE57" s="1719"/>
      <c r="DG57" s="4591"/>
      <c r="DH57" s="2711"/>
      <c r="DI57" s="2711"/>
      <c r="DJ57" s="2711"/>
      <c r="DK57" s="2711"/>
      <c r="DL57" s="2711"/>
      <c r="DM57" s="2711"/>
      <c r="DN57" s="2711"/>
      <c r="DO57" s="2711"/>
      <c r="DP57" s="2711"/>
      <c r="DQ57" s="2711"/>
      <c r="DR57" s="2711"/>
      <c r="DS57" s="2711"/>
      <c r="DT57" s="2711"/>
      <c r="DU57" s="2711"/>
      <c r="DV57" s="2711"/>
      <c r="DW57" s="2711"/>
      <c r="DX57" s="2711"/>
      <c r="DY57" s="2711"/>
      <c r="DZ57" s="2711"/>
      <c r="EA57" s="2711"/>
      <c r="EB57" s="2711"/>
      <c r="EC57" s="2711"/>
      <c r="ED57" s="2711"/>
      <c r="EE57" s="2711"/>
      <c r="EF57" s="2711"/>
      <c r="EG57" s="2711"/>
      <c r="EH57" s="2711"/>
      <c r="EI57" s="2711"/>
      <c r="EJ57" s="2711"/>
      <c r="EK57" s="2711"/>
      <c r="EL57" s="2711"/>
      <c r="EM57" s="2711"/>
      <c r="EN57" s="2711"/>
      <c r="EO57" s="2711"/>
      <c r="EP57" s="2711"/>
      <c r="EQ57" s="2711"/>
      <c r="ER57" s="2711"/>
      <c r="ES57" s="2711"/>
      <c r="ET57" s="2711"/>
      <c r="EU57" s="2711"/>
      <c r="EV57" s="2711"/>
      <c r="EW57" s="2711"/>
      <c r="EX57" s="2711"/>
      <c r="EY57" s="2711"/>
      <c r="EZ57" s="3223"/>
    </row>
    <row r="58" spans="1:198" s="1720" customFormat="1" ht="15" customHeight="1">
      <c r="A58" s="3154"/>
      <c r="B58" s="4516"/>
      <c r="C58" s="4568" t="s">
        <v>4916</v>
      </c>
      <c r="D58" s="2725" t="s">
        <v>2264</v>
      </c>
      <c r="E58" s="2725" t="s">
        <v>2265</v>
      </c>
      <c r="F58" s="3440" t="s">
        <v>422</v>
      </c>
      <c r="G58" s="4494">
        <v>0.03</v>
      </c>
      <c r="H58" s="3152" t="s">
        <v>86</v>
      </c>
      <c r="I58" s="2725" t="s">
        <v>422</v>
      </c>
      <c r="J58" s="4569"/>
      <c r="K58" s="4548">
        <v>0.09</v>
      </c>
      <c r="L58" s="892">
        <v>2011</v>
      </c>
      <c r="M58" s="892" t="s">
        <v>2117</v>
      </c>
      <c r="N58" s="892"/>
      <c r="O58" s="1715">
        <v>0.03</v>
      </c>
      <c r="P58" s="1734">
        <v>0.03</v>
      </c>
      <c r="Q58" s="1730">
        <v>1</v>
      </c>
      <c r="R58" s="1731" t="s">
        <v>3723</v>
      </c>
      <c r="S58" s="1731"/>
      <c r="T58" s="1724"/>
      <c r="U58" s="15203"/>
      <c r="V58" s="15203"/>
      <c r="W58" s="1724"/>
      <c r="X58" s="1724"/>
      <c r="Y58" s="1724"/>
      <c r="Z58" s="1724"/>
      <c r="AA58" s="1724"/>
      <c r="AB58" s="1724"/>
      <c r="AC58" s="1724"/>
      <c r="AD58" s="1724"/>
      <c r="AE58" s="1724"/>
      <c r="AF58" s="1724"/>
      <c r="AG58" s="1724"/>
      <c r="AH58" s="1724"/>
      <c r="AI58" s="1724"/>
      <c r="AJ58" s="1724"/>
      <c r="AK58" s="1724"/>
      <c r="AL58" s="1724"/>
      <c r="AM58" s="1724"/>
      <c r="AN58" s="1724"/>
      <c r="AO58" s="1724"/>
      <c r="AP58" s="1724"/>
      <c r="AQ58" s="1724"/>
      <c r="AR58" s="1724"/>
      <c r="AS58" s="1724"/>
      <c r="AT58" s="1724"/>
      <c r="AU58" s="1724"/>
      <c r="AV58" s="1724"/>
      <c r="AW58" s="1724"/>
      <c r="AX58" s="1724"/>
      <c r="AY58" s="1724"/>
      <c r="AZ58" s="1724"/>
      <c r="BA58" s="1724"/>
      <c r="BB58" s="1724"/>
      <c r="BC58" s="1724"/>
      <c r="BD58" s="1724"/>
      <c r="BE58" s="1724"/>
      <c r="BF58" s="1724"/>
      <c r="BG58" s="1724"/>
      <c r="BH58" s="1725"/>
      <c r="BI58" s="1735">
        <v>0.02</v>
      </c>
      <c r="BJ58" s="1727">
        <f>BI58/P58</f>
        <v>0.66666666666666674</v>
      </c>
      <c r="BK58" s="1715" t="s">
        <v>9727</v>
      </c>
      <c r="BL58" s="1715">
        <v>0.72</v>
      </c>
      <c r="BM58" s="1716">
        <v>1</v>
      </c>
      <c r="BN58" s="15181"/>
      <c r="BO58" s="1721" t="s">
        <v>9743</v>
      </c>
      <c r="BP58" s="1732" t="s">
        <v>3723</v>
      </c>
      <c r="BQ58" s="1732" t="s">
        <v>9701</v>
      </c>
      <c r="BR58" s="15187"/>
      <c r="BS58" s="15165"/>
      <c r="BT58" s="1728"/>
      <c r="BU58" s="1728"/>
      <c r="BV58" s="1719" t="s">
        <v>1732</v>
      </c>
      <c r="BW58" s="1719"/>
      <c r="BX58" s="1719"/>
      <c r="BY58" s="1719"/>
      <c r="BZ58" s="1719"/>
      <c r="CA58" s="1719"/>
      <c r="CB58" s="1719"/>
      <c r="CC58" s="1719"/>
      <c r="CD58" s="1719"/>
      <c r="CE58" s="1719"/>
      <c r="CF58" s="1719"/>
      <c r="CG58" s="1719"/>
      <c r="CH58" s="1719"/>
      <c r="CI58" s="1719"/>
      <c r="CJ58" s="1719"/>
      <c r="CK58" s="1719"/>
      <c r="CL58" s="1719"/>
      <c r="CM58" s="1719"/>
      <c r="CN58" s="1719"/>
      <c r="CO58" s="1719"/>
      <c r="CP58" s="1719"/>
      <c r="CQ58" s="1719"/>
      <c r="CR58" s="1719"/>
      <c r="CS58" s="1719"/>
      <c r="CT58" s="1719"/>
      <c r="CU58" s="1719"/>
      <c r="CV58" s="1719"/>
      <c r="CW58" s="1719"/>
      <c r="CX58" s="1719"/>
      <c r="CY58" s="1719"/>
      <c r="CZ58" s="1719"/>
      <c r="DA58" s="1719"/>
      <c r="DB58" s="1719"/>
      <c r="DC58" s="1719"/>
      <c r="DD58" s="1719"/>
      <c r="DE58" s="1719"/>
      <c r="DG58" s="4591"/>
      <c r="DH58" s="2711"/>
      <c r="DI58" s="2711"/>
      <c r="DJ58" s="2711"/>
      <c r="DK58" s="2711"/>
      <c r="DL58" s="2711"/>
      <c r="DM58" s="2711"/>
      <c r="DN58" s="2711"/>
      <c r="DO58" s="2711"/>
      <c r="DP58" s="2711"/>
      <c r="DQ58" s="2711"/>
      <c r="DR58" s="2711"/>
      <c r="DS58" s="2711"/>
      <c r="DT58" s="2711"/>
      <c r="DU58" s="2711"/>
      <c r="DV58" s="2711"/>
      <c r="DW58" s="2711"/>
      <c r="DX58" s="2711"/>
      <c r="DY58" s="2711"/>
      <c r="DZ58" s="2711"/>
      <c r="EA58" s="2711"/>
      <c r="EB58" s="2711"/>
      <c r="EC58" s="2711"/>
      <c r="ED58" s="2711"/>
      <c r="EE58" s="2711"/>
      <c r="EF58" s="2711"/>
      <c r="EG58" s="2711"/>
      <c r="EH58" s="2711"/>
      <c r="EI58" s="2711"/>
      <c r="EJ58" s="2711"/>
      <c r="EK58" s="2711"/>
      <c r="EL58" s="2711"/>
      <c r="EM58" s="2711"/>
      <c r="EN58" s="2711"/>
      <c r="EO58" s="2711"/>
      <c r="EP58" s="2711"/>
      <c r="EQ58" s="2711"/>
      <c r="ER58" s="2711"/>
      <c r="ES58" s="2711"/>
      <c r="ET58" s="2711"/>
      <c r="EU58" s="2711"/>
      <c r="EV58" s="2711"/>
      <c r="EW58" s="2711"/>
      <c r="EX58" s="2711"/>
      <c r="EY58" s="2711"/>
      <c r="EZ58" s="3223"/>
    </row>
    <row r="59" spans="1:198" s="1720" customFormat="1" ht="15" customHeight="1">
      <c r="A59" s="3154"/>
      <c r="B59" s="4516" t="s">
        <v>2266</v>
      </c>
      <c r="C59" s="15348" t="s">
        <v>4917</v>
      </c>
      <c r="D59" s="15350" t="s">
        <v>2267</v>
      </c>
      <c r="E59" s="15350" t="s">
        <v>2268</v>
      </c>
      <c r="F59" s="15350" t="s">
        <v>2269</v>
      </c>
      <c r="G59" s="15350" t="s">
        <v>2272</v>
      </c>
      <c r="H59" s="2725" t="s">
        <v>26</v>
      </c>
      <c r="I59" s="4144" t="s">
        <v>390</v>
      </c>
      <c r="J59" s="4569"/>
      <c r="K59" s="4549" t="s">
        <v>2270</v>
      </c>
      <c r="L59" s="1721">
        <v>2011</v>
      </c>
      <c r="M59" s="1733" t="s">
        <v>2271</v>
      </c>
      <c r="N59" s="1736"/>
      <c r="O59" s="1733" t="s">
        <v>2272</v>
      </c>
      <c r="P59" s="1737">
        <v>6</v>
      </c>
      <c r="Q59" s="1722">
        <v>3</v>
      </c>
      <c r="R59" s="1723" t="s">
        <v>3269</v>
      </c>
      <c r="S59" s="1723" t="s">
        <v>3270</v>
      </c>
      <c r="T59" s="1722"/>
      <c r="U59" s="1738">
        <v>258532755</v>
      </c>
      <c r="V59" s="1738">
        <v>258532755</v>
      </c>
      <c r="W59" s="1722">
        <v>0</v>
      </c>
      <c r="X59" s="1722">
        <v>0</v>
      </c>
      <c r="Y59" s="1739">
        <v>1575</v>
      </c>
      <c r="Z59" s="1722"/>
      <c r="AA59" s="1722"/>
      <c r="AB59" s="1722"/>
      <c r="AC59" s="1722"/>
      <c r="AD59" s="1722"/>
      <c r="AE59" s="1722"/>
      <c r="AF59" s="1722"/>
      <c r="AG59" s="1722"/>
      <c r="AH59" s="1722"/>
      <c r="AI59" s="1722"/>
      <c r="AJ59" s="1722"/>
      <c r="AK59" s="1722"/>
      <c r="AL59" s="1722"/>
      <c r="AM59" s="1722"/>
      <c r="AN59" s="1722"/>
      <c r="AO59" s="1722"/>
      <c r="AP59" s="1722"/>
      <c r="AQ59" s="1722"/>
      <c r="AR59" s="1722"/>
      <c r="AS59" s="1722"/>
      <c r="AT59" s="1722"/>
      <c r="AU59" s="1722"/>
      <c r="AV59" s="1722"/>
      <c r="AW59" s="1722"/>
      <c r="AX59" s="1722"/>
      <c r="AY59" s="1724"/>
      <c r="AZ59" s="1724"/>
      <c r="BA59" s="1724"/>
      <c r="BB59" s="1724"/>
      <c r="BC59" s="1724"/>
      <c r="BD59" s="1724"/>
      <c r="BE59" s="1724"/>
      <c r="BF59" s="1724"/>
      <c r="BG59" s="1724"/>
      <c r="BH59" s="1725"/>
      <c r="BI59" s="892">
        <v>3</v>
      </c>
      <c r="BJ59" s="1727">
        <v>0.5</v>
      </c>
      <c r="BK59" s="892">
        <v>0</v>
      </c>
      <c r="BL59" s="892">
        <v>0</v>
      </c>
      <c r="BM59" s="1716">
        <f>BL59/P59</f>
        <v>0</v>
      </c>
      <c r="BN59" s="15181"/>
      <c r="BO59" s="1721"/>
      <c r="BP59" s="1729"/>
      <c r="BQ59" s="1732"/>
      <c r="BR59" s="1740">
        <v>0</v>
      </c>
      <c r="BS59" s="1740"/>
      <c r="BT59" s="1732"/>
      <c r="BU59" s="1732"/>
      <c r="BV59" s="1719"/>
      <c r="BW59" s="1719"/>
      <c r="BX59" s="1719"/>
      <c r="BY59" s="1719"/>
      <c r="BZ59" s="1719"/>
      <c r="CA59" s="1719"/>
      <c r="CB59" s="1719"/>
      <c r="CC59" s="1719"/>
      <c r="CD59" s="1719"/>
      <c r="CE59" s="1719"/>
      <c r="CF59" s="1719"/>
      <c r="CG59" s="1719"/>
      <c r="CH59" s="1719"/>
      <c r="CI59" s="1719"/>
      <c r="CJ59" s="1719"/>
      <c r="CK59" s="1719"/>
      <c r="CL59" s="1719"/>
      <c r="CM59" s="1719"/>
      <c r="CN59" s="1719"/>
      <c r="CO59" s="1719"/>
      <c r="CP59" s="1719"/>
      <c r="CQ59" s="1719"/>
      <c r="CR59" s="1719"/>
      <c r="CS59" s="1719"/>
      <c r="CT59" s="1719"/>
      <c r="CU59" s="1719"/>
      <c r="CV59" s="1719"/>
      <c r="CW59" s="1719"/>
      <c r="CX59" s="1719"/>
      <c r="CY59" s="1719"/>
      <c r="CZ59" s="1719"/>
      <c r="DA59" s="1719"/>
      <c r="DB59" s="1719"/>
      <c r="DC59" s="1719"/>
      <c r="DD59" s="1719"/>
      <c r="DE59" s="1719"/>
      <c r="DG59" s="4591"/>
      <c r="DH59" s="2711"/>
      <c r="DI59" s="2711"/>
      <c r="DJ59" s="2711"/>
      <c r="DK59" s="2711"/>
      <c r="DL59" s="2711"/>
      <c r="DM59" s="2711"/>
      <c r="DN59" s="2711"/>
      <c r="DO59" s="2711"/>
      <c r="DP59" s="2711"/>
      <c r="DQ59" s="2711"/>
      <c r="DR59" s="2711"/>
      <c r="DS59" s="2711"/>
      <c r="DT59" s="2711"/>
      <c r="DU59" s="2711"/>
      <c r="DV59" s="2711"/>
      <c r="DW59" s="2711"/>
      <c r="DX59" s="2711"/>
      <c r="DY59" s="2711"/>
      <c r="DZ59" s="2711"/>
      <c r="EA59" s="2711"/>
      <c r="EB59" s="2711"/>
      <c r="EC59" s="2711"/>
      <c r="ED59" s="2711"/>
      <c r="EE59" s="2711"/>
      <c r="EF59" s="2711"/>
      <c r="EG59" s="2711"/>
      <c r="EH59" s="2711"/>
      <c r="EI59" s="2711"/>
      <c r="EJ59" s="2711"/>
      <c r="EK59" s="2711"/>
      <c r="EL59" s="2711"/>
      <c r="EM59" s="2711"/>
      <c r="EN59" s="2711"/>
      <c r="EO59" s="2711"/>
      <c r="EP59" s="2711"/>
      <c r="EQ59" s="2711"/>
      <c r="ER59" s="2711"/>
      <c r="ES59" s="2711"/>
      <c r="ET59" s="2711"/>
      <c r="EU59" s="2711"/>
      <c r="EV59" s="2711"/>
      <c r="EW59" s="2711"/>
      <c r="EX59" s="2711"/>
      <c r="EY59" s="2711"/>
      <c r="EZ59" s="3223"/>
    </row>
    <row r="60" spans="1:198" s="1720" customFormat="1" ht="15" customHeight="1">
      <c r="A60" s="3228"/>
      <c r="B60" s="4517"/>
      <c r="C60" s="15348"/>
      <c r="D60" s="15350"/>
      <c r="E60" s="15350"/>
      <c r="F60" s="15350"/>
      <c r="G60" s="15350"/>
      <c r="H60" s="2725" t="s">
        <v>477</v>
      </c>
      <c r="I60" s="4144"/>
      <c r="J60" s="4569" t="s">
        <v>477</v>
      </c>
      <c r="K60" s="4550"/>
      <c r="L60" s="3227"/>
      <c r="M60" s="3229"/>
      <c r="N60" s="3230"/>
      <c r="O60" s="3229"/>
      <c r="P60" s="3229"/>
      <c r="Q60" s="3222"/>
      <c r="R60" s="3231"/>
      <c r="S60" s="3231"/>
      <c r="T60" s="3222"/>
      <c r="U60" s="3232"/>
      <c r="V60" s="3232"/>
      <c r="W60" s="3222"/>
      <c r="X60" s="3222"/>
      <c r="Y60" s="3233"/>
      <c r="Z60" s="3222"/>
      <c r="AA60" s="3222"/>
      <c r="AB60" s="3222"/>
      <c r="AC60" s="3222"/>
      <c r="AD60" s="3222"/>
      <c r="AE60" s="3222"/>
      <c r="AF60" s="3222"/>
      <c r="AG60" s="3222"/>
      <c r="AH60" s="3222"/>
      <c r="AI60" s="3222"/>
      <c r="AJ60" s="3222"/>
      <c r="AK60" s="3222"/>
      <c r="AL60" s="3222"/>
      <c r="AM60" s="3222"/>
      <c r="AN60" s="3222"/>
      <c r="AO60" s="3222"/>
      <c r="AP60" s="3222"/>
      <c r="AQ60" s="3222"/>
      <c r="AR60" s="3222"/>
      <c r="AS60" s="3222"/>
      <c r="AT60" s="3222"/>
      <c r="AU60" s="3222"/>
      <c r="AV60" s="3222"/>
      <c r="AW60" s="3222"/>
      <c r="AX60" s="3222"/>
      <c r="AY60" s="3234"/>
      <c r="AZ60" s="3234"/>
      <c r="BA60" s="3234"/>
      <c r="BB60" s="3234"/>
      <c r="BC60" s="3234"/>
      <c r="BD60" s="3234"/>
      <c r="BE60" s="3234"/>
      <c r="BF60" s="3234"/>
      <c r="BG60" s="3234"/>
      <c r="BH60" s="3235"/>
      <c r="BI60" s="3236"/>
      <c r="BJ60" s="3237"/>
      <c r="BK60" s="3236"/>
      <c r="BL60" s="3236"/>
      <c r="BM60" s="3219"/>
      <c r="BN60" s="15181"/>
      <c r="BO60" s="3227"/>
      <c r="BP60" s="3238"/>
      <c r="BQ60" s="3239"/>
      <c r="BR60" s="3240"/>
      <c r="BS60" s="3241"/>
      <c r="BT60" s="3239"/>
      <c r="BU60" s="3239"/>
      <c r="BV60" s="3220"/>
      <c r="BW60" s="3220"/>
      <c r="BX60" s="3220"/>
      <c r="BY60" s="3220"/>
      <c r="BZ60" s="3220"/>
      <c r="CA60" s="3220"/>
      <c r="CB60" s="3220"/>
      <c r="CC60" s="3220"/>
      <c r="CD60" s="3220"/>
      <c r="CE60" s="3220"/>
      <c r="CF60" s="3220"/>
      <c r="CG60" s="3220"/>
      <c r="CH60" s="3220"/>
      <c r="CI60" s="3220"/>
      <c r="CJ60" s="3220"/>
      <c r="CK60" s="3220"/>
      <c r="CL60" s="3220"/>
      <c r="CM60" s="3220"/>
      <c r="CN60" s="3220"/>
      <c r="CO60" s="3220"/>
      <c r="CP60" s="3220"/>
      <c r="CQ60" s="3220"/>
      <c r="CR60" s="3220"/>
      <c r="CS60" s="3220"/>
      <c r="CT60" s="3220"/>
      <c r="CU60" s="3220"/>
      <c r="CV60" s="3220"/>
      <c r="CW60" s="3220"/>
      <c r="CX60" s="3220"/>
      <c r="CY60" s="3220"/>
      <c r="CZ60" s="3220"/>
      <c r="DA60" s="3220"/>
      <c r="DB60" s="3220"/>
      <c r="DC60" s="3220"/>
      <c r="DD60" s="3220"/>
      <c r="DE60" s="3220"/>
      <c r="DG60" s="4591"/>
      <c r="DH60" s="2711"/>
      <c r="DI60" s="2711"/>
      <c r="DJ60" s="2711"/>
      <c r="DK60" s="2711"/>
      <c r="DL60" s="2711"/>
      <c r="DM60" s="2711"/>
      <c r="DN60" s="2711"/>
      <c r="DO60" s="2711"/>
      <c r="DP60" s="2711"/>
      <c r="DQ60" s="2711"/>
      <c r="DR60" s="2711"/>
      <c r="DS60" s="2711"/>
      <c r="DT60" s="2711"/>
      <c r="DU60" s="2711"/>
      <c r="DV60" s="2711"/>
      <c r="DW60" s="2711"/>
      <c r="DX60" s="2711"/>
      <c r="DY60" s="2711"/>
      <c r="DZ60" s="2711"/>
      <c r="EA60" s="2711"/>
      <c r="EB60" s="2711"/>
      <c r="EC60" s="2711"/>
      <c r="ED60" s="2711"/>
      <c r="EE60" s="2711"/>
      <c r="EF60" s="2711"/>
      <c r="EG60" s="2711"/>
      <c r="EH60" s="2711"/>
      <c r="EI60" s="2711"/>
      <c r="EJ60" s="2711"/>
      <c r="EK60" s="2711"/>
      <c r="EL60" s="2711"/>
      <c r="EM60" s="2711"/>
      <c r="EN60" s="2711"/>
      <c r="EO60" s="2711"/>
      <c r="EP60" s="2711"/>
      <c r="EQ60" s="2711"/>
      <c r="ER60" s="2711"/>
      <c r="ES60" s="2711"/>
      <c r="ET60" s="2711"/>
      <c r="EU60" s="2711"/>
      <c r="EV60" s="2711"/>
      <c r="EW60" s="2711"/>
      <c r="EX60" s="2711"/>
      <c r="EY60" s="2711"/>
      <c r="EZ60" s="3223"/>
    </row>
    <row r="61" spans="1:198" s="1720" customFormat="1" ht="15" customHeight="1" thickBot="1">
      <c r="A61" s="3228"/>
      <c r="B61" s="4517"/>
      <c r="C61" s="15348" t="s">
        <v>4918</v>
      </c>
      <c r="D61" s="15350" t="s">
        <v>2273</v>
      </c>
      <c r="E61" s="15350" t="s">
        <v>2274</v>
      </c>
      <c r="F61" s="15350" t="s">
        <v>2275</v>
      </c>
      <c r="G61" s="15350" t="s">
        <v>2278</v>
      </c>
      <c r="H61" s="2725" t="s">
        <v>26</v>
      </c>
      <c r="I61" s="4144" t="s">
        <v>390</v>
      </c>
      <c r="J61" s="4569"/>
      <c r="K61" s="4551" t="s">
        <v>2277</v>
      </c>
      <c r="L61" s="3008">
        <v>2011</v>
      </c>
      <c r="M61" s="1742" t="s">
        <v>2278</v>
      </c>
      <c r="N61" s="1743"/>
      <c r="O61" s="1742" t="s">
        <v>2278</v>
      </c>
      <c r="P61" s="1744">
        <v>1</v>
      </c>
      <c r="Q61" s="1745" t="s">
        <v>2951</v>
      </c>
      <c r="R61" s="1745" t="s">
        <v>3241</v>
      </c>
      <c r="S61" s="1745" t="s">
        <v>3241</v>
      </c>
      <c r="T61" s="3039" t="s">
        <v>3271</v>
      </c>
      <c r="U61" s="1745" t="s">
        <v>2951</v>
      </c>
      <c r="V61" s="1745" t="s">
        <v>3241</v>
      </c>
      <c r="W61" s="1745" t="s">
        <v>3241</v>
      </c>
      <c r="X61" s="1745" t="s">
        <v>3241</v>
      </c>
      <c r="Y61" s="1745" t="s">
        <v>3241</v>
      </c>
      <c r="Z61" s="1745"/>
      <c r="AA61" s="1745"/>
      <c r="AB61" s="1745"/>
      <c r="AC61" s="1745"/>
      <c r="AD61" s="1745"/>
      <c r="AE61" s="1745"/>
      <c r="AF61" s="1745"/>
      <c r="AG61" s="1745"/>
      <c r="AH61" s="1745"/>
      <c r="AI61" s="1745"/>
      <c r="AJ61" s="1745"/>
      <c r="AK61" s="1745"/>
      <c r="AL61" s="1745"/>
      <c r="AM61" s="1745"/>
      <c r="AN61" s="1745"/>
      <c r="AO61" s="1745"/>
      <c r="AP61" s="1745"/>
      <c r="AQ61" s="1745"/>
      <c r="AR61" s="1745"/>
      <c r="AS61" s="1745"/>
      <c r="AT61" s="1745"/>
      <c r="AU61" s="1745"/>
      <c r="AV61" s="1745"/>
      <c r="AW61" s="1745"/>
      <c r="AX61" s="1745"/>
      <c r="AY61" s="1747"/>
      <c r="AZ61" s="1747"/>
      <c r="BA61" s="1747"/>
      <c r="BB61" s="1747"/>
      <c r="BC61" s="1747"/>
      <c r="BD61" s="1747"/>
      <c r="BE61" s="1747"/>
      <c r="BF61" s="1747"/>
      <c r="BG61" s="1747"/>
      <c r="BH61" s="1748"/>
      <c r="BI61" s="1749" t="s">
        <v>2951</v>
      </c>
      <c r="BJ61" s="1750" t="s">
        <v>1732</v>
      </c>
      <c r="BK61" s="1749">
        <v>0</v>
      </c>
      <c r="BL61" s="1749">
        <v>0</v>
      </c>
      <c r="BM61" s="1716" t="s">
        <v>2951</v>
      </c>
      <c r="BN61" s="15181"/>
      <c r="BO61" s="1751"/>
      <c r="BP61" s="1752"/>
      <c r="BQ61" s="1753"/>
      <c r="BR61" s="1740">
        <v>0</v>
      </c>
      <c r="BS61" s="1752"/>
      <c r="BT61" s="1752"/>
      <c r="BU61" s="1752"/>
      <c r="BV61" s="1719"/>
      <c r="BW61" s="1719"/>
      <c r="BX61" s="1719"/>
      <c r="BY61" s="1719"/>
      <c r="BZ61" s="1719"/>
      <c r="CA61" s="1719"/>
      <c r="CB61" s="1719"/>
      <c r="CC61" s="1719"/>
      <c r="CD61" s="1719"/>
      <c r="CE61" s="1719"/>
      <c r="CF61" s="1719"/>
      <c r="CG61" s="1719"/>
      <c r="CH61" s="1719"/>
      <c r="CI61" s="1719"/>
      <c r="CJ61" s="1719"/>
      <c r="CK61" s="1719"/>
      <c r="CL61" s="1719"/>
      <c r="CM61" s="1719"/>
      <c r="CN61" s="1719"/>
      <c r="CO61" s="1719"/>
      <c r="CP61" s="1719"/>
      <c r="CQ61" s="1719"/>
      <c r="CR61" s="1719"/>
      <c r="CS61" s="1719"/>
      <c r="CT61" s="1719"/>
      <c r="CU61" s="1719"/>
      <c r="CV61" s="1719"/>
      <c r="CW61" s="1719"/>
      <c r="CX61" s="1719"/>
      <c r="CY61" s="1719"/>
      <c r="CZ61" s="1719"/>
      <c r="DA61" s="1719"/>
      <c r="DB61" s="1719"/>
      <c r="DC61" s="1719"/>
      <c r="DD61" s="1719"/>
      <c r="DE61" s="1719"/>
      <c r="DG61" s="4591"/>
      <c r="DH61" s="2711"/>
      <c r="DI61" s="2711"/>
      <c r="DJ61" s="2711"/>
      <c r="DK61" s="2711"/>
      <c r="DL61" s="2711"/>
      <c r="DM61" s="2711"/>
      <c r="DN61" s="2711"/>
      <c r="DO61" s="2711"/>
      <c r="DP61" s="2711"/>
      <c r="DQ61" s="2711"/>
      <c r="DR61" s="2711"/>
      <c r="DS61" s="2711"/>
      <c r="DT61" s="2711"/>
      <c r="DU61" s="2711"/>
      <c r="DV61" s="2711"/>
      <c r="DW61" s="2711"/>
      <c r="DX61" s="2711"/>
      <c r="DY61" s="2711"/>
      <c r="DZ61" s="2711"/>
      <c r="EA61" s="2711"/>
      <c r="EB61" s="2711"/>
      <c r="EC61" s="2711"/>
      <c r="ED61" s="2711"/>
      <c r="EE61" s="2711"/>
      <c r="EF61" s="2711"/>
      <c r="EG61" s="2711"/>
      <c r="EH61" s="2711"/>
      <c r="EI61" s="2711"/>
      <c r="EJ61" s="2711"/>
      <c r="EK61" s="2711"/>
      <c r="EL61" s="2711"/>
      <c r="EM61" s="2711"/>
      <c r="EN61" s="2711"/>
      <c r="EO61" s="2711"/>
      <c r="EP61" s="2711"/>
      <c r="EQ61" s="2711"/>
      <c r="ER61" s="2711"/>
      <c r="ES61" s="2711"/>
      <c r="ET61" s="2711"/>
      <c r="EU61" s="2711"/>
      <c r="EV61" s="2711"/>
      <c r="EW61" s="2711"/>
      <c r="EX61" s="2711"/>
      <c r="EY61" s="2711"/>
      <c r="EZ61" s="3223"/>
    </row>
    <row r="62" spans="1:198" s="1720" customFormat="1" ht="15" customHeight="1" thickBot="1">
      <c r="A62" s="3155"/>
      <c r="B62" s="4518"/>
      <c r="C62" s="15353"/>
      <c r="D62" s="15354"/>
      <c r="E62" s="15354"/>
      <c r="F62" s="15354"/>
      <c r="G62" s="15354"/>
      <c r="H62" s="3008" t="s">
        <v>477</v>
      </c>
      <c r="I62" s="4145"/>
      <c r="J62" s="4570" t="s">
        <v>2276</v>
      </c>
      <c r="K62" s="4551"/>
      <c r="L62" s="1741"/>
      <c r="M62" s="1742"/>
      <c r="N62" s="1743"/>
      <c r="O62" s="1742"/>
      <c r="P62" s="1744"/>
      <c r="Q62" s="1745"/>
      <c r="R62" s="1745"/>
      <c r="S62" s="1745"/>
      <c r="T62" s="1746"/>
      <c r="U62" s="1745"/>
      <c r="V62" s="1745"/>
      <c r="W62" s="1745"/>
      <c r="X62" s="1745"/>
      <c r="Y62" s="1745"/>
      <c r="Z62" s="1745"/>
      <c r="AA62" s="1745"/>
      <c r="AB62" s="1745"/>
      <c r="AC62" s="1745"/>
      <c r="AD62" s="1745"/>
      <c r="AE62" s="1745"/>
      <c r="AF62" s="1745"/>
      <c r="AG62" s="1745"/>
      <c r="AH62" s="1745"/>
      <c r="AI62" s="1745"/>
      <c r="AJ62" s="1745"/>
      <c r="AK62" s="1745"/>
      <c r="AL62" s="1745"/>
      <c r="AM62" s="1745"/>
      <c r="AN62" s="1745"/>
      <c r="AO62" s="1745"/>
      <c r="AP62" s="1745"/>
      <c r="AQ62" s="1745"/>
      <c r="AR62" s="1745"/>
      <c r="AS62" s="1745"/>
      <c r="AT62" s="1745"/>
      <c r="AU62" s="1745"/>
      <c r="AV62" s="1745"/>
      <c r="AW62" s="1745"/>
      <c r="AX62" s="1745"/>
      <c r="AY62" s="1747"/>
      <c r="AZ62" s="1747"/>
      <c r="BA62" s="1747"/>
      <c r="BB62" s="1747"/>
      <c r="BC62" s="1747"/>
      <c r="BD62" s="1747"/>
      <c r="BE62" s="1747"/>
      <c r="BF62" s="1747"/>
      <c r="BG62" s="1747"/>
      <c r="BH62" s="1748"/>
      <c r="BI62" s="1749"/>
      <c r="BJ62" s="1750"/>
      <c r="BK62" s="1749"/>
      <c r="BL62" s="1749"/>
      <c r="BM62" s="1716"/>
      <c r="BN62" s="15182"/>
      <c r="BO62" s="1751"/>
      <c r="BP62" s="1752"/>
      <c r="BQ62" s="1753"/>
      <c r="BR62" s="1740"/>
      <c r="BS62" s="1752"/>
      <c r="BT62" s="1752"/>
      <c r="BU62" s="1752"/>
      <c r="BV62" s="1719"/>
      <c r="BW62" s="1719"/>
      <c r="BX62" s="1719"/>
      <c r="BY62" s="1719"/>
      <c r="BZ62" s="1719"/>
      <c r="CA62" s="1719"/>
      <c r="CB62" s="1719"/>
      <c r="CC62" s="1719"/>
      <c r="CD62" s="1719"/>
      <c r="CE62" s="1719"/>
      <c r="CF62" s="1719"/>
      <c r="CG62" s="1719"/>
      <c r="CH62" s="1719"/>
      <c r="CI62" s="1719"/>
      <c r="CJ62" s="1719"/>
      <c r="CK62" s="1719"/>
      <c r="CL62" s="1719"/>
      <c r="CM62" s="1719"/>
      <c r="CN62" s="1719"/>
      <c r="CO62" s="1719"/>
      <c r="CP62" s="1719"/>
      <c r="CQ62" s="1719"/>
      <c r="CR62" s="1719"/>
      <c r="CS62" s="1719"/>
      <c r="CT62" s="1719"/>
      <c r="CU62" s="1719"/>
      <c r="CV62" s="1719"/>
      <c r="CW62" s="1719"/>
      <c r="CX62" s="1719"/>
      <c r="CY62" s="1719"/>
      <c r="CZ62" s="1719"/>
      <c r="DA62" s="1719"/>
      <c r="DB62" s="1719"/>
      <c r="DC62" s="1719"/>
      <c r="DD62" s="1719"/>
      <c r="DE62" s="1719"/>
      <c r="DG62" s="4592"/>
      <c r="DH62" s="1747"/>
      <c r="DI62" s="1747"/>
      <c r="DJ62" s="1747"/>
      <c r="DK62" s="1747"/>
      <c r="DL62" s="1747"/>
      <c r="DM62" s="1747"/>
      <c r="DN62" s="1747"/>
      <c r="DO62" s="1747"/>
      <c r="DP62" s="1747"/>
      <c r="DQ62" s="1747"/>
      <c r="DR62" s="1747"/>
      <c r="DS62" s="1747"/>
      <c r="DT62" s="1747"/>
      <c r="DU62" s="1747"/>
      <c r="DV62" s="1747"/>
      <c r="DW62" s="1747"/>
      <c r="DX62" s="1747"/>
      <c r="DY62" s="1747"/>
      <c r="DZ62" s="1747"/>
      <c r="EA62" s="1747"/>
      <c r="EB62" s="1747"/>
      <c r="EC62" s="1747"/>
      <c r="ED62" s="1747"/>
      <c r="EE62" s="1747"/>
      <c r="EF62" s="1747"/>
      <c r="EG62" s="1747"/>
      <c r="EH62" s="1747"/>
      <c r="EI62" s="1747"/>
      <c r="EJ62" s="1747"/>
      <c r="EK62" s="1747"/>
      <c r="EL62" s="1747"/>
      <c r="EM62" s="1747"/>
      <c r="EN62" s="1747"/>
      <c r="EO62" s="1747"/>
      <c r="EP62" s="1747"/>
      <c r="EQ62" s="1747"/>
      <c r="ER62" s="1747"/>
      <c r="ES62" s="1747"/>
      <c r="ET62" s="1747"/>
      <c r="EU62" s="1747"/>
      <c r="EV62" s="1747"/>
      <c r="EW62" s="1747"/>
      <c r="EX62" s="1747"/>
      <c r="EY62" s="1747"/>
      <c r="EZ62" s="1748"/>
    </row>
    <row r="63" spans="1:198" ht="15" customHeight="1">
      <c r="C63" s="2"/>
      <c r="FC63" s="1720"/>
      <c r="FD63" s="1720"/>
      <c r="FE63" s="1720"/>
      <c r="FF63" s="1720"/>
      <c r="FG63" s="1720"/>
      <c r="FH63" s="1720"/>
      <c r="FI63" s="1720"/>
      <c r="FJ63" s="1720"/>
      <c r="FK63" s="1720"/>
      <c r="FL63" s="1720"/>
      <c r="FM63" s="1720"/>
      <c r="FN63" s="1720"/>
      <c r="FO63" s="1720"/>
      <c r="FP63" s="1720"/>
      <c r="FQ63" s="1720"/>
      <c r="FR63" s="1720"/>
      <c r="FS63" s="1720"/>
      <c r="FT63" s="1720"/>
      <c r="FU63" s="1720"/>
      <c r="FV63" s="1720"/>
      <c r="FW63" s="1720"/>
      <c r="FX63" s="1720"/>
      <c r="FY63" s="1720"/>
      <c r="FZ63" s="1720"/>
      <c r="GA63" s="1720"/>
      <c r="GB63" s="1720"/>
      <c r="GC63" s="1720"/>
      <c r="GD63" s="1720"/>
      <c r="GE63" s="1720"/>
      <c r="GF63" s="1720"/>
      <c r="GG63" s="1720"/>
      <c r="GH63" s="1720"/>
      <c r="GI63" s="1720"/>
      <c r="GJ63" s="1720"/>
      <c r="GK63" s="1720"/>
      <c r="GL63" s="1720"/>
      <c r="GM63" s="1720"/>
      <c r="GN63" s="1720"/>
      <c r="GO63" s="1720"/>
      <c r="GP63" s="1720"/>
    </row>
    <row r="64" spans="1:198" ht="15" customHeight="1">
      <c r="C64" s="2"/>
    </row>
    <row r="65" spans="3:74" ht="15" customHeight="1">
      <c r="C65" s="2"/>
      <c r="BR65" s="2950">
        <f>SUM(BR5:BR62)</f>
        <v>1467106580</v>
      </c>
      <c r="BV65" s="2950">
        <f>SUM(BV5:BV62)</f>
        <v>47014</v>
      </c>
    </row>
    <row r="66" spans="3:74" ht="15" customHeight="1">
      <c r="C66" s="2"/>
    </row>
    <row r="67" spans="3:74" ht="15" customHeight="1">
      <c r="C67" s="2"/>
    </row>
    <row r="68" spans="3:74" ht="15" customHeight="1">
      <c r="C68" s="2"/>
    </row>
    <row r="69" spans="3:74" ht="15" customHeight="1">
      <c r="C69" s="2"/>
      <c r="R69" s="192"/>
    </row>
    <row r="70" spans="3:74" ht="15" customHeight="1">
      <c r="C70" s="2"/>
    </row>
    <row r="71" spans="3:74" ht="15" customHeight="1">
      <c r="C71" s="2"/>
    </row>
    <row r="72" spans="3:74" ht="15" customHeight="1">
      <c r="C72" s="2"/>
    </row>
    <row r="73" spans="3:74" ht="15" customHeight="1">
      <c r="C73" s="2"/>
    </row>
    <row r="74" spans="3:74" ht="15" customHeight="1">
      <c r="C74" s="2"/>
    </row>
    <row r="75" spans="3:74" ht="15" customHeight="1">
      <c r="C75" s="2"/>
    </row>
    <row r="76" spans="3:74" ht="15" customHeight="1">
      <c r="C76" s="2"/>
    </row>
    <row r="77" spans="3:74" ht="15" customHeight="1">
      <c r="C77" s="2"/>
    </row>
    <row r="78" spans="3:74" ht="15" customHeight="1">
      <c r="C78" s="2"/>
    </row>
    <row r="79" spans="3:74" ht="15" customHeight="1">
      <c r="C79" s="2"/>
    </row>
    <row r="80" spans="3:74" ht="15" customHeight="1">
      <c r="C80" s="2"/>
    </row>
    <row r="81" spans="3:3" ht="15" customHeight="1">
      <c r="C81" s="2"/>
    </row>
    <row r="82" spans="3:3" ht="15" customHeight="1">
      <c r="C82" s="2"/>
    </row>
    <row r="83" spans="3:3" ht="15" customHeight="1">
      <c r="C83" s="2"/>
    </row>
    <row r="84" spans="3:3" ht="15" customHeight="1">
      <c r="C84" s="2"/>
    </row>
    <row r="85" spans="3:3" ht="15" customHeight="1">
      <c r="C85" s="2"/>
    </row>
    <row r="86" spans="3:3" ht="15" customHeight="1">
      <c r="C86" s="2"/>
    </row>
    <row r="87" spans="3:3" ht="15" customHeight="1">
      <c r="C87" s="2"/>
    </row>
    <row r="88" spans="3:3" ht="15" customHeight="1">
      <c r="C88" s="2"/>
    </row>
    <row r="89" spans="3:3" ht="15" customHeight="1">
      <c r="C89" s="2"/>
    </row>
    <row r="90" spans="3:3" ht="15" customHeight="1">
      <c r="C90" s="2"/>
    </row>
    <row r="91" spans="3:3" ht="15" customHeight="1">
      <c r="C91" s="2"/>
    </row>
    <row r="92" spans="3:3" ht="15" customHeight="1">
      <c r="C92" s="2"/>
    </row>
    <row r="93" spans="3:3" ht="15" customHeight="1">
      <c r="C93" s="2"/>
    </row>
    <row r="94" spans="3:3" ht="15" customHeight="1">
      <c r="C94" s="2"/>
    </row>
    <row r="95" spans="3:3" ht="15" customHeight="1">
      <c r="C95" s="2"/>
    </row>
    <row r="96" spans="3:3" ht="15" customHeight="1">
      <c r="C96" s="2"/>
    </row>
    <row r="97" spans="3:3" ht="15" customHeight="1">
      <c r="C97" s="2"/>
    </row>
    <row r="98" spans="3:3" ht="15" customHeight="1">
      <c r="C98" s="2"/>
    </row>
  </sheetData>
  <autoFilter ref="A4:DE62" xr:uid="{00000000-0009-0000-0000-00000C000000}"/>
  <mergeCells count="199">
    <mergeCell ref="C61:C62"/>
    <mergeCell ref="D61:D62"/>
    <mergeCell ref="E61:E62"/>
    <mergeCell ref="F61:F62"/>
    <mergeCell ref="G61:G62"/>
    <mergeCell ref="C53:C54"/>
    <mergeCell ref="D53:D54"/>
    <mergeCell ref="E53:E54"/>
    <mergeCell ref="F53:F54"/>
    <mergeCell ref="G53:G54"/>
    <mergeCell ref="G59:G60"/>
    <mergeCell ref="F59:F60"/>
    <mergeCell ref="E59:E60"/>
    <mergeCell ref="D59:D60"/>
    <mergeCell ref="C59:C60"/>
    <mergeCell ref="C48:C49"/>
    <mergeCell ref="D48:D49"/>
    <mergeCell ref="E48:E49"/>
    <mergeCell ref="F48:F49"/>
    <mergeCell ref="G48:G49"/>
    <mergeCell ref="C51:C52"/>
    <mergeCell ref="D51:D52"/>
    <mergeCell ref="E51:E52"/>
    <mergeCell ref="F51:F52"/>
    <mergeCell ref="G51:G52"/>
    <mergeCell ref="C43:C44"/>
    <mergeCell ref="D43:D44"/>
    <mergeCell ref="E43:E44"/>
    <mergeCell ref="F43:F44"/>
    <mergeCell ref="G43:G44"/>
    <mergeCell ref="C45:C46"/>
    <mergeCell ref="D45:D46"/>
    <mergeCell ref="E45:E46"/>
    <mergeCell ref="F45:F46"/>
    <mergeCell ref="G45:G46"/>
    <mergeCell ref="C30:C31"/>
    <mergeCell ref="D30:D31"/>
    <mergeCell ref="E30:E31"/>
    <mergeCell ref="F30:F31"/>
    <mergeCell ref="G30:G31"/>
    <mergeCell ref="C32:C33"/>
    <mergeCell ref="D32:D33"/>
    <mergeCell ref="E32:E33"/>
    <mergeCell ref="F32:F33"/>
    <mergeCell ref="G32:G33"/>
    <mergeCell ref="G18:G19"/>
    <mergeCell ref="F18:F19"/>
    <mergeCell ref="E18:E19"/>
    <mergeCell ref="D18:D19"/>
    <mergeCell ref="C18:C19"/>
    <mergeCell ref="G24:G25"/>
    <mergeCell ref="F24:F25"/>
    <mergeCell ref="E24:E25"/>
    <mergeCell ref="C21:C23"/>
    <mergeCell ref="C24:C27"/>
    <mergeCell ref="G26:G27"/>
    <mergeCell ref="F26:F27"/>
    <mergeCell ref="E26:E27"/>
    <mergeCell ref="D24:D27"/>
    <mergeCell ref="E7:E8"/>
    <mergeCell ref="F7:F8"/>
    <mergeCell ref="G7:G8"/>
    <mergeCell ref="G11:G12"/>
    <mergeCell ref="F11:F12"/>
    <mergeCell ref="E11:E12"/>
    <mergeCell ref="D11:D12"/>
    <mergeCell ref="C11:C12"/>
    <mergeCell ref="G13:G14"/>
    <mergeCell ref="F13:F14"/>
    <mergeCell ref="E13:E14"/>
    <mergeCell ref="D13:D14"/>
    <mergeCell ref="C13:C14"/>
    <mergeCell ref="C7:C9"/>
    <mergeCell ref="D7:D9"/>
    <mergeCell ref="BL1:DE1"/>
    <mergeCell ref="BK2:BK4"/>
    <mergeCell ref="BO2:BO4"/>
    <mergeCell ref="BP2:BP4"/>
    <mergeCell ref="BQ2:BQ4"/>
    <mergeCell ref="BR2:BU2"/>
    <mergeCell ref="BV2:CU2"/>
    <mergeCell ref="CV2:CZ2"/>
    <mergeCell ref="DA2:DE2"/>
    <mergeCell ref="BR3:BR4"/>
    <mergeCell ref="BS3:BS4"/>
    <mergeCell ref="BT3:BT4"/>
    <mergeCell ref="BU3:BU4"/>
    <mergeCell ref="BV3:BV4"/>
    <mergeCell ref="BW3:BX3"/>
    <mergeCell ref="BY3:BZ3"/>
    <mergeCell ref="CX3:CX4"/>
    <mergeCell ref="DA3:DA4"/>
    <mergeCell ref="DB3:DD3"/>
    <mergeCell ref="CA3:CG3"/>
    <mergeCell ref="CH3:CO3"/>
    <mergeCell ref="CP3:CU3"/>
    <mergeCell ref="CV3:CV4"/>
    <mergeCell ref="CW3:CW4"/>
    <mergeCell ref="K3:K4"/>
    <mergeCell ref="L3:L4"/>
    <mergeCell ref="N3:N4"/>
    <mergeCell ref="Q40:Q41"/>
    <mergeCell ref="R40:R41"/>
    <mergeCell ref="S40:S41"/>
    <mergeCell ref="U40:U41"/>
    <mergeCell ref="V40:V41"/>
    <mergeCell ref="T24:T26"/>
    <mergeCell ref="P3:P4"/>
    <mergeCell ref="M3:M4"/>
    <mergeCell ref="O3:O4"/>
    <mergeCell ref="R5:R10"/>
    <mergeCell ref="S5:S10"/>
    <mergeCell ref="Q1:BH1"/>
    <mergeCell ref="Q2:Q4"/>
    <mergeCell ref="R2:R4"/>
    <mergeCell ref="S2:S4"/>
    <mergeCell ref="T2:T4"/>
    <mergeCell ref="U2:X2"/>
    <mergeCell ref="Y2:AX2"/>
    <mergeCell ref="AY2:BC2"/>
    <mergeCell ref="BD2:BH2"/>
    <mergeCell ref="Y3:Y4"/>
    <mergeCell ref="U3:U4"/>
    <mergeCell ref="BA3:BA4"/>
    <mergeCell ref="AZ3:AZ4"/>
    <mergeCell ref="AY3:AY4"/>
    <mergeCell ref="Z3:AA3"/>
    <mergeCell ref="AB3:AC3"/>
    <mergeCell ref="AD3:AJ3"/>
    <mergeCell ref="AK3:AR3"/>
    <mergeCell ref="AS3:AX3"/>
    <mergeCell ref="W3:W4"/>
    <mergeCell ref="X3:X4"/>
    <mergeCell ref="BE3:BG3"/>
    <mergeCell ref="V3:V4"/>
    <mergeCell ref="U55:U58"/>
    <mergeCell ref="V55:V58"/>
    <mergeCell ref="BL2:BL4"/>
    <mergeCell ref="BJ2:BJ4"/>
    <mergeCell ref="BI2:BI4"/>
    <mergeCell ref="BI40:BI41"/>
    <mergeCell ref="BL40:BL41"/>
    <mergeCell ref="BD3:BD4"/>
    <mergeCell ref="U5:U10"/>
    <mergeCell ref="V5:V10"/>
    <mergeCell ref="W5:W10"/>
    <mergeCell ref="X5:X10"/>
    <mergeCell ref="Y5:Y10"/>
    <mergeCell ref="U21:U22"/>
    <mergeCell ref="V21:V22"/>
    <mergeCell ref="BK40:BK41"/>
    <mergeCell ref="BS51:BS58"/>
    <mergeCell ref="BM2:BM4"/>
    <mergeCell ref="BN2:BN4"/>
    <mergeCell ref="BR5:BR10"/>
    <mergeCell ref="BR40:BR41"/>
    <mergeCell ref="BS40:BS41"/>
    <mergeCell ref="BN40:BN50"/>
    <mergeCell ref="BN51:BN62"/>
    <mergeCell ref="ER3:ER4"/>
    <mergeCell ref="BR51:BR58"/>
    <mergeCell ref="BN5:BN23"/>
    <mergeCell ref="BN24:BN31"/>
    <mergeCell ref="BN32:BN39"/>
    <mergeCell ref="EK3:EP3"/>
    <mergeCell ref="EQ3:EQ4"/>
    <mergeCell ref="ES3:ES4"/>
    <mergeCell ref="BV5:BV10"/>
    <mergeCell ref="BY5:BZ5"/>
    <mergeCell ref="BY6:BZ6"/>
    <mergeCell ref="BO5:BO10"/>
    <mergeCell ref="BO40:BO41"/>
    <mergeCell ref="BQ24:BQ26"/>
    <mergeCell ref="BP40:BP41"/>
    <mergeCell ref="BQ40:BQ41"/>
    <mergeCell ref="A1:J1"/>
    <mergeCell ref="A2:J2"/>
    <mergeCell ref="EV3:EV4"/>
    <mergeCell ref="EW3:EY3"/>
    <mergeCell ref="DG1:EZ1"/>
    <mergeCell ref="DG2:DG4"/>
    <mergeCell ref="DH2:DH4"/>
    <mergeCell ref="DI2:DI4"/>
    <mergeCell ref="DJ2:DJ4"/>
    <mergeCell ref="DK2:DK4"/>
    <mergeCell ref="DL2:DL4"/>
    <mergeCell ref="DM2:DP2"/>
    <mergeCell ref="DQ2:EP2"/>
    <mergeCell ref="EQ2:EU2"/>
    <mergeCell ref="EV2:EZ2"/>
    <mergeCell ref="DM3:DM4"/>
    <mergeCell ref="DN3:DN4"/>
    <mergeCell ref="DO3:DO4"/>
    <mergeCell ref="DP3:DP4"/>
    <mergeCell ref="DQ3:DQ4"/>
    <mergeCell ref="DR3:DS3"/>
    <mergeCell ref="DT3:DU3"/>
    <mergeCell ref="DV3:EB3"/>
    <mergeCell ref="EC3:EJ3"/>
  </mergeCells>
  <conditionalFormatting sqref="BM5">
    <cfRule type="cellIs" dxfId="289" priority="13" operator="between">
      <formula>0.81</formula>
      <formula>1</formula>
    </cfRule>
    <cfRule type="cellIs" dxfId="288" priority="14" operator="between">
      <formula>0.61</formula>
      <formula>0.8</formula>
    </cfRule>
    <cfRule type="cellIs" dxfId="287" priority="15" operator="between">
      <formula>0.31</formula>
      <formula>0.6</formula>
    </cfRule>
    <cfRule type="cellIs" dxfId="286" priority="16" operator="between">
      <formula>0</formula>
      <formula>0.3</formula>
    </cfRule>
  </conditionalFormatting>
  <conditionalFormatting sqref="BM6:BM29 BM31:BM60 BM62">
    <cfRule type="cellIs" dxfId="285" priority="9" operator="between">
      <formula>0.81</formula>
      <formula>1</formula>
    </cfRule>
    <cfRule type="cellIs" dxfId="284" priority="10" operator="between">
      <formula>0.61</formula>
      <formula>0.8</formula>
    </cfRule>
    <cfRule type="cellIs" dxfId="283" priority="11" operator="between">
      <formula>0.31</formula>
      <formula>0.6</formula>
    </cfRule>
    <cfRule type="cellIs" dxfId="282" priority="12" operator="between">
      <formula>0</formula>
      <formula>0.3</formula>
    </cfRule>
  </conditionalFormatting>
  <conditionalFormatting sqref="BM30">
    <cfRule type="cellIs" dxfId="281" priority="5" operator="between">
      <formula>0.81</formula>
      <formula>1</formula>
    </cfRule>
    <cfRule type="cellIs" dxfId="280" priority="6" operator="between">
      <formula>0.61</formula>
      <formula>0.8</formula>
    </cfRule>
    <cfRule type="cellIs" dxfId="279" priority="7" operator="between">
      <formula>0.31</formula>
      <formula>0.6</formula>
    </cfRule>
    <cfRule type="cellIs" dxfId="278" priority="8" operator="between">
      <formula>0</formula>
      <formula>0.3</formula>
    </cfRule>
  </conditionalFormatting>
  <conditionalFormatting sqref="BM61">
    <cfRule type="cellIs" dxfId="277" priority="1" operator="between">
      <formula>0.81</formula>
      <formula>1</formula>
    </cfRule>
    <cfRule type="cellIs" dxfId="276" priority="2" operator="between">
      <formula>0.61</formula>
      <formula>0.8</formula>
    </cfRule>
    <cfRule type="cellIs" dxfId="275" priority="3" operator="between">
      <formula>0.31</formula>
      <formula>0.6</formula>
    </cfRule>
    <cfRule type="cellIs" dxfId="274" priority="4" operator="between">
      <formula>0</formula>
      <formula>0.3</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2" tint="-0.89999084444715716"/>
  </sheetPr>
  <dimension ref="A1:MD105"/>
  <sheetViews>
    <sheetView topLeftCell="C1" zoomScale="80" zoomScaleNormal="80" workbookViewId="0">
      <selection activeCell="J3" sqref="J3:J5"/>
    </sheetView>
  </sheetViews>
  <sheetFormatPr baseColWidth="10" defaultRowHeight="15" customHeight="1"/>
  <cols>
    <col min="1" max="1" width="17.140625" style="2275" customWidth="1"/>
    <col min="2" max="2" width="16.5703125" style="2275" customWidth="1"/>
    <col min="3" max="3" width="19.140625" style="2276" customWidth="1"/>
    <col min="4" max="4" width="15.42578125" style="2277" customWidth="1"/>
    <col min="5" max="5" width="11.42578125" style="2277" customWidth="1"/>
    <col min="6" max="6" width="26.7109375" style="268" customWidth="1"/>
    <col min="7" max="7" width="71.42578125" customWidth="1"/>
    <col min="8" max="8" width="27.42578125" style="2274" customWidth="1"/>
    <col min="9" max="9" width="22.42578125" customWidth="1"/>
    <col min="10" max="10" width="27.42578125" customWidth="1"/>
    <col min="11" max="11" width="13.140625" style="2274" customWidth="1"/>
    <col min="12" max="12" width="33.7109375" customWidth="1"/>
    <col min="13" max="13" width="22.7109375" customWidth="1"/>
    <col min="14" max="14" width="20.7109375" customWidth="1"/>
    <col min="15" max="16" width="13.7109375" customWidth="1"/>
    <col min="17" max="17" width="13.42578125" customWidth="1"/>
    <col min="18" max="18" width="11.42578125" customWidth="1"/>
    <col min="19" max="19" width="14" customWidth="1"/>
    <col min="20" max="45" width="11.42578125" customWidth="1"/>
    <col min="46" max="46" width="15.7109375" customWidth="1"/>
    <col min="47" max="47" width="19.140625" customWidth="1"/>
    <col min="48" max="54" width="11.42578125" customWidth="1"/>
    <col min="55" max="55" width="0.140625" customWidth="1"/>
    <col min="56" max="56" width="19" customWidth="1"/>
    <col min="57" max="57" width="14.7109375" customWidth="1"/>
    <col min="58" max="58" width="20.5703125" customWidth="1"/>
    <col min="59" max="59" width="38.5703125" customWidth="1"/>
    <col min="60" max="60" width="38.5703125" style="2276" customWidth="1"/>
    <col min="61" max="62" width="19.85546875" customWidth="1"/>
    <col min="63" max="63" width="11.42578125" customWidth="1"/>
    <col min="64" max="64" width="31.28515625" customWidth="1"/>
    <col min="65" max="65" width="20.42578125" customWidth="1"/>
    <col min="66" max="66" width="20.85546875" customWidth="1"/>
    <col min="67" max="67" width="17.28515625" style="2276" customWidth="1"/>
    <col min="68" max="68" width="21.5703125" style="2274" customWidth="1"/>
    <col min="69" max="70" width="11.42578125" style="2274" customWidth="1"/>
    <col min="71" max="71" width="15.42578125" style="2274" customWidth="1"/>
    <col min="72" max="72" width="13.85546875" customWidth="1"/>
    <col min="73" max="107" width="11.42578125" customWidth="1"/>
    <col min="108" max="108" width="1.42578125" customWidth="1"/>
  </cols>
  <sheetData>
    <row r="1" spans="1:342" ht="15" customHeight="1" thickBot="1">
      <c r="DE1" s="786"/>
      <c r="DF1" s="786"/>
      <c r="DG1" s="786"/>
      <c r="DH1" s="786"/>
      <c r="DI1" s="786"/>
      <c r="DJ1" s="786"/>
      <c r="DK1" s="786"/>
      <c r="DL1" s="786"/>
      <c r="DM1" s="786"/>
      <c r="DN1" s="786"/>
      <c r="DO1" s="786"/>
      <c r="DP1" s="786"/>
      <c r="DQ1" s="786"/>
      <c r="DR1" s="786"/>
      <c r="DS1" s="786"/>
      <c r="DT1" s="786"/>
      <c r="DU1" s="786"/>
      <c r="DV1" s="786"/>
      <c r="DW1" s="786"/>
      <c r="DX1" s="786"/>
      <c r="DY1" s="786"/>
      <c r="DZ1" s="786"/>
      <c r="EA1" s="786"/>
      <c r="EB1" s="786"/>
      <c r="EC1" s="786"/>
      <c r="ED1" s="786"/>
      <c r="EE1" s="786"/>
      <c r="EF1" s="786"/>
      <c r="EG1" s="786"/>
      <c r="EH1" s="786"/>
      <c r="EI1" s="786"/>
      <c r="EJ1" s="786"/>
      <c r="EK1" s="786"/>
      <c r="EL1" s="786"/>
      <c r="EM1" s="786"/>
      <c r="EN1" s="786"/>
      <c r="EO1" s="786"/>
      <c r="EP1" s="786"/>
      <c r="EQ1" s="786"/>
      <c r="ER1" s="786"/>
      <c r="ES1" s="786"/>
      <c r="ET1" s="786"/>
      <c r="EU1" s="786"/>
      <c r="EV1" s="786"/>
      <c r="EW1" s="786"/>
      <c r="EX1" s="786"/>
    </row>
    <row r="2" spans="1:342" s="269" customFormat="1" ht="15" customHeight="1" thickBot="1">
      <c r="A2" s="15414" t="s">
        <v>3272</v>
      </c>
      <c r="B2" s="15415"/>
      <c r="C2" s="15415"/>
      <c r="D2" s="15415"/>
      <c r="E2" s="15415"/>
      <c r="F2" s="15415"/>
      <c r="G2" s="15415"/>
      <c r="H2" s="15416"/>
      <c r="I2" s="13290" t="s">
        <v>0</v>
      </c>
      <c r="J2" s="13291"/>
      <c r="K2" s="13291"/>
      <c r="L2" s="13291"/>
      <c r="M2" s="13291"/>
      <c r="N2" s="13291"/>
      <c r="O2" s="13291"/>
      <c r="P2" s="13291"/>
      <c r="Q2" s="13291"/>
      <c r="R2" s="13291"/>
      <c r="S2" s="13291"/>
      <c r="T2" s="13291"/>
      <c r="U2" s="13291"/>
      <c r="V2" s="13291"/>
      <c r="W2" s="13291"/>
      <c r="X2" s="13291"/>
      <c r="Y2" s="13291"/>
      <c r="Z2" s="13291"/>
      <c r="AA2" s="13291"/>
      <c r="AB2" s="13291"/>
      <c r="AC2" s="13291"/>
      <c r="AD2" s="13291"/>
      <c r="AE2" s="13291"/>
      <c r="AF2" s="13291"/>
      <c r="AG2" s="13291"/>
      <c r="AH2" s="13291"/>
      <c r="AI2" s="13291"/>
      <c r="AJ2" s="13291"/>
      <c r="AK2" s="13291"/>
      <c r="AL2" s="13291"/>
      <c r="AM2" s="13291"/>
      <c r="AN2" s="13291"/>
      <c r="AO2" s="13291"/>
      <c r="AP2" s="13291"/>
      <c r="AQ2" s="13291"/>
      <c r="AR2" s="13291"/>
      <c r="AS2" s="13291"/>
      <c r="AT2" s="13291"/>
      <c r="AU2" s="13291"/>
      <c r="AV2" s="13291"/>
      <c r="AW2" s="13291"/>
      <c r="AX2" s="13291"/>
      <c r="AY2" s="13291"/>
      <c r="AZ2" s="13291"/>
      <c r="BA2" s="13291"/>
      <c r="BB2" s="13291"/>
      <c r="BC2" s="13292"/>
      <c r="BD2" s="13290" t="s">
        <v>8493</v>
      </c>
      <c r="BE2" s="13291"/>
      <c r="BF2" s="13291"/>
      <c r="BG2" s="13291"/>
      <c r="BH2" s="13291"/>
      <c r="BI2" s="13291"/>
      <c r="BJ2" s="13291"/>
      <c r="BK2" s="13291"/>
      <c r="BL2" s="13291"/>
      <c r="BM2" s="13291"/>
      <c r="BN2" s="13291"/>
      <c r="BO2" s="13291"/>
      <c r="BP2" s="13291"/>
      <c r="BQ2" s="13291"/>
      <c r="BR2" s="13291"/>
      <c r="BS2" s="13291"/>
      <c r="BT2" s="13291"/>
      <c r="BU2" s="13291"/>
      <c r="BV2" s="13291"/>
      <c r="BW2" s="13291"/>
      <c r="BX2" s="13291"/>
      <c r="BY2" s="13291"/>
      <c r="BZ2" s="13291"/>
      <c r="CA2" s="13291"/>
      <c r="CB2" s="13291"/>
      <c r="CC2" s="13291"/>
      <c r="CD2" s="13291"/>
      <c r="CE2" s="13291"/>
      <c r="CF2" s="13291"/>
      <c r="CG2" s="13291"/>
      <c r="CH2" s="13291"/>
      <c r="CI2" s="13291"/>
      <c r="CJ2" s="13291"/>
      <c r="CK2" s="13291"/>
      <c r="CL2" s="13291"/>
      <c r="CM2" s="13291"/>
      <c r="CN2" s="13291"/>
      <c r="CO2" s="13291"/>
      <c r="CP2" s="13291"/>
      <c r="CQ2" s="13291"/>
      <c r="CR2" s="13291"/>
      <c r="CS2" s="13291"/>
      <c r="CT2" s="13291"/>
      <c r="CU2" s="13291"/>
      <c r="CV2" s="13291"/>
      <c r="CW2" s="13291"/>
      <c r="CX2" s="13291"/>
      <c r="CY2" s="13291"/>
      <c r="CZ2" s="13291"/>
      <c r="DA2" s="13291"/>
      <c r="DB2" s="13291"/>
      <c r="DC2" s="13292"/>
      <c r="DE2" s="13291" t="s">
        <v>8497</v>
      </c>
      <c r="DF2" s="13291"/>
      <c r="DG2" s="13291"/>
      <c r="DH2" s="13291"/>
      <c r="DI2" s="13291"/>
      <c r="DJ2" s="13291"/>
      <c r="DK2" s="13618"/>
      <c r="DL2" s="13618"/>
      <c r="DM2" s="13618"/>
      <c r="DN2" s="13618"/>
      <c r="DO2" s="13291"/>
      <c r="DP2" s="13291"/>
      <c r="DQ2" s="13291"/>
      <c r="DR2" s="13291"/>
      <c r="DS2" s="13291"/>
      <c r="DT2" s="13291"/>
      <c r="DU2" s="13291"/>
      <c r="DV2" s="13291"/>
      <c r="DW2" s="13291"/>
      <c r="DX2" s="13291"/>
      <c r="DY2" s="13291"/>
      <c r="DZ2" s="13291"/>
      <c r="EA2" s="13291"/>
      <c r="EB2" s="13291"/>
      <c r="EC2" s="13291"/>
      <c r="ED2" s="13291"/>
      <c r="EE2" s="13291"/>
      <c r="EF2" s="13291"/>
      <c r="EG2" s="13291"/>
      <c r="EH2" s="13291"/>
      <c r="EI2" s="13291"/>
      <c r="EJ2" s="13291"/>
      <c r="EK2" s="13291"/>
      <c r="EL2" s="13291"/>
      <c r="EM2" s="13291"/>
      <c r="EN2" s="13291"/>
      <c r="EO2" s="13291"/>
      <c r="EP2" s="13291"/>
      <c r="EQ2" s="13291"/>
      <c r="ER2" s="13291"/>
      <c r="ES2" s="13291"/>
      <c r="ET2" s="13291"/>
      <c r="EU2" s="13291"/>
      <c r="EV2" s="13291"/>
      <c r="EW2" s="13291"/>
      <c r="EX2" s="13292"/>
      <c r="LW2" s="752"/>
      <c r="LX2" s="752"/>
      <c r="LY2" s="752"/>
      <c r="LZ2" s="752"/>
      <c r="MA2" s="752"/>
      <c r="MB2" s="752"/>
      <c r="MC2" s="752"/>
      <c r="MD2" s="752"/>
    </row>
    <row r="3" spans="1:342" s="269" customFormat="1" ht="15" customHeight="1" thickBot="1">
      <c r="A3" s="15418" t="s">
        <v>3273</v>
      </c>
      <c r="B3" s="15418" t="s">
        <v>3274</v>
      </c>
      <c r="C3" s="15420" t="s">
        <v>3275</v>
      </c>
      <c r="D3" s="15421"/>
      <c r="E3" s="15422"/>
      <c r="F3" s="15418" t="s">
        <v>4635</v>
      </c>
      <c r="G3" s="15418" t="s">
        <v>3276</v>
      </c>
      <c r="H3" s="15562" t="s">
        <v>522</v>
      </c>
      <c r="I3" s="15426" t="s">
        <v>3277</v>
      </c>
      <c r="J3" s="15426" t="s">
        <v>3278</v>
      </c>
      <c r="K3" s="13293" t="s">
        <v>1</v>
      </c>
      <c r="L3" s="13295" t="s">
        <v>2</v>
      </c>
      <c r="M3" s="13295" t="s">
        <v>3</v>
      </c>
      <c r="N3" s="13297" t="s">
        <v>4</v>
      </c>
      <c r="O3" s="13299" t="s">
        <v>355</v>
      </c>
      <c r="P3" s="13300"/>
      <c r="Q3" s="13300"/>
      <c r="R3" s="13300"/>
      <c r="S3" s="13301"/>
      <c r="T3" s="13299" t="s">
        <v>356</v>
      </c>
      <c r="U3" s="13300"/>
      <c r="V3" s="13300"/>
      <c r="W3" s="13300"/>
      <c r="X3" s="13300"/>
      <c r="Y3" s="13300"/>
      <c r="Z3" s="13300"/>
      <c r="AA3" s="13300"/>
      <c r="AB3" s="13300"/>
      <c r="AC3" s="13300"/>
      <c r="AD3" s="13300"/>
      <c r="AE3" s="13300"/>
      <c r="AF3" s="13300"/>
      <c r="AG3" s="13300"/>
      <c r="AH3" s="13300"/>
      <c r="AI3" s="13300"/>
      <c r="AJ3" s="13300"/>
      <c r="AK3" s="13300"/>
      <c r="AL3" s="13300"/>
      <c r="AM3" s="13300"/>
      <c r="AN3" s="13300"/>
      <c r="AO3" s="13300"/>
      <c r="AP3" s="13300"/>
      <c r="AQ3" s="13300"/>
      <c r="AR3" s="13300"/>
      <c r="AS3" s="13301"/>
      <c r="AT3" s="13302" t="s">
        <v>357</v>
      </c>
      <c r="AU3" s="13303"/>
      <c r="AV3" s="13303"/>
      <c r="AW3" s="13303"/>
      <c r="AX3" s="13304"/>
      <c r="AY3" s="13305" t="s">
        <v>5</v>
      </c>
      <c r="AZ3" s="13306"/>
      <c r="BA3" s="13306"/>
      <c r="BB3" s="13306"/>
      <c r="BC3" s="15406"/>
      <c r="BD3" s="15426" t="s">
        <v>3277</v>
      </c>
      <c r="BE3" s="15426" t="s">
        <v>8495</v>
      </c>
      <c r="BF3" s="13293" t="s">
        <v>522</v>
      </c>
      <c r="BG3" s="15517" t="s">
        <v>8744</v>
      </c>
      <c r="BH3" s="15517" t="s">
        <v>9650</v>
      </c>
      <c r="BI3" s="13293" t="s">
        <v>8490</v>
      </c>
      <c r="BJ3" s="15520" t="s">
        <v>9652</v>
      </c>
      <c r="BK3" s="15520" t="s">
        <v>9651</v>
      </c>
      <c r="BL3" s="13295" t="s">
        <v>8491</v>
      </c>
      <c r="BM3" s="13295" t="s">
        <v>8492</v>
      </c>
      <c r="BN3" s="13297" t="s">
        <v>4</v>
      </c>
      <c r="BO3" s="13299" t="s">
        <v>355</v>
      </c>
      <c r="BP3" s="13300"/>
      <c r="BQ3" s="13300"/>
      <c r="BR3" s="13300"/>
      <c r="BS3" s="13301"/>
      <c r="BT3" s="13299" t="s">
        <v>356</v>
      </c>
      <c r="BU3" s="13300"/>
      <c r="BV3" s="13300"/>
      <c r="BW3" s="13300"/>
      <c r="BX3" s="13300"/>
      <c r="BY3" s="13300"/>
      <c r="BZ3" s="13300"/>
      <c r="CA3" s="13300"/>
      <c r="CB3" s="13300"/>
      <c r="CC3" s="13300"/>
      <c r="CD3" s="13300"/>
      <c r="CE3" s="13300"/>
      <c r="CF3" s="13300"/>
      <c r="CG3" s="13300"/>
      <c r="CH3" s="13300"/>
      <c r="CI3" s="13300"/>
      <c r="CJ3" s="13300"/>
      <c r="CK3" s="13300"/>
      <c r="CL3" s="13300"/>
      <c r="CM3" s="13300"/>
      <c r="CN3" s="13300"/>
      <c r="CO3" s="13300"/>
      <c r="CP3" s="13300"/>
      <c r="CQ3" s="13300"/>
      <c r="CR3" s="13300"/>
      <c r="CS3" s="13301"/>
      <c r="CT3" s="13302" t="s">
        <v>357</v>
      </c>
      <c r="CU3" s="13303"/>
      <c r="CV3" s="13303"/>
      <c r="CW3" s="13303"/>
      <c r="CX3" s="13304"/>
      <c r="CY3" s="15140" t="s">
        <v>5</v>
      </c>
      <c r="CZ3" s="15141"/>
      <c r="DA3" s="15141"/>
      <c r="DB3" s="15141"/>
      <c r="DC3" s="15141"/>
      <c r="DE3" s="14600" t="s">
        <v>8498</v>
      </c>
      <c r="DF3" s="14609" t="s">
        <v>10189</v>
      </c>
      <c r="DG3" s="14609" t="s">
        <v>10190</v>
      </c>
      <c r="DH3" s="13295" t="s">
        <v>8499</v>
      </c>
      <c r="DI3" s="13295" t="s">
        <v>8500</v>
      </c>
      <c r="DJ3" s="13297" t="s">
        <v>4</v>
      </c>
      <c r="DK3" s="14602" t="s">
        <v>355</v>
      </c>
      <c r="DL3" s="14603"/>
      <c r="DM3" s="14603"/>
      <c r="DN3" s="14604"/>
      <c r="DO3" s="13299" t="s">
        <v>356</v>
      </c>
      <c r="DP3" s="13300"/>
      <c r="DQ3" s="13300"/>
      <c r="DR3" s="13300"/>
      <c r="DS3" s="13300"/>
      <c r="DT3" s="13300"/>
      <c r="DU3" s="13300"/>
      <c r="DV3" s="13300"/>
      <c r="DW3" s="13300"/>
      <c r="DX3" s="13300"/>
      <c r="DY3" s="13300"/>
      <c r="DZ3" s="13300"/>
      <c r="EA3" s="15138"/>
      <c r="EB3" s="15138"/>
      <c r="EC3" s="15138"/>
      <c r="ED3" s="15138"/>
      <c r="EE3" s="15138"/>
      <c r="EF3" s="15138"/>
      <c r="EG3" s="15138"/>
      <c r="EH3" s="15138"/>
      <c r="EI3" s="15138"/>
      <c r="EJ3" s="15138"/>
      <c r="EK3" s="15138"/>
      <c r="EL3" s="15138"/>
      <c r="EM3" s="15138"/>
      <c r="EN3" s="15139"/>
      <c r="EO3" s="15140" t="s">
        <v>357</v>
      </c>
      <c r="EP3" s="15141"/>
      <c r="EQ3" s="15141"/>
      <c r="ER3" s="15141"/>
      <c r="ES3" s="15142"/>
      <c r="ET3" s="13305" t="s">
        <v>5</v>
      </c>
      <c r="EU3" s="13306"/>
      <c r="EV3" s="13306"/>
      <c r="EW3" s="13306"/>
      <c r="EX3" s="13307"/>
      <c r="LW3" s="752"/>
      <c r="LX3" s="752"/>
      <c r="LY3" s="752"/>
      <c r="LZ3" s="752"/>
      <c r="MA3" s="752"/>
      <c r="MB3" s="752"/>
      <c r="MC3" s="752"/>
      <c r="MD3" s="752"/>
    </row>
    <row r="4" spans="1:342" s="269" customFormat="1" ht="15" customHeight="1" thickBot="1">
      <c r="A4" s="15418"/>
      <c r="B4" s="15418"/>
      <c r="C4" s="15423"/>
      <c r="D4" s="15424"/>
      <c r="E4" s="15425"/>
      <c r="F4" s="15418"/>
      <c r="G4" s="15418"/>
      <c r="H4" s="15563"/>
      <c r="I4" s="15427"/>
      <c r="J4" s="15427"/>
      <c r="K4" s="13294"/>
      <c r="L4" s="13296"/>
      <c r="M4" s="13296"/>
      <c r="N4" s="13298"/>
      <c r="O4" s="13308" t="s">
        <v>6</v>
      </c>
      <c r="P4" s="15393" t="s">
        <v>4187</v>
      </c>
      <c r="Q4" s="13310" t="s">
        <v>7</v>
      </c>
      <c r="R4" s="13312" t="s">
        <v>8</v>
      </c>
      <c r="S4" s="13314" t="s">
        <v>9</v>
      </c>
      <c r="T4" s="13308" t="s">
        <v>10</v>
      </c>
      <c r="U4" s="13282" t="s">
        <v>11</v>
      </c>
      <c r="V4" s="13284"/>
      <c r="W4" s="13282" t="s">
        <v>12</v>
      </c>
      <c r="X4" s="13284"/>
      <c r="Y4" s="13282" t="s">
        <v>13</v>
      </c>
      <c r="Z4" s="13283"/>
      <c r="AA4" s="13283"/>
      <c r="AB4" s="13283"/>
      <c r="AC4" s="13283"/>
      <c r="AD4" s="13283"/>
      <c r="AE4" s="13284"/>
      <c r="AF4" s="13285" t="s">
        <v>14</v>
      </c>
      <c r="AG4" s="13286"/>
      <c r="AH4" s="13286"/>
      <c r="AI4" s="13286"/>
      <c r="AJ4" s="13286"/>
      <c r="AK4" s="13286"/>
      <c r="AL4" s="13286"/>
      <c r="AM4" s="13287"/>
      <c r="AN4" s="13285" t="s">
        <v>15</v>
      </c>
      <c r="AO4" s="13286"/>
      <c r="AP4" s="13286"/>
      <c r="AQ4" s="13286"/>
      <c r="AR4" s="13286"/>
      <c r="AS4" s="13287"/>
      <c r="AT4" s="13288" t="s">
        <v>16</v>
      </c>
      <c r="AU4" s="13288" t="s">
        <v>17</v>
      </c>
      <c r="AV4" s="13275" t="s">
        <v>18</v>
      </c>
      <c r="AW4" s="10" t="s">
        <v>19</v>
      </c>
      <c r="AX4" s="489" t="s">
        <v>20</v>
      </c>
      <c r="AY4" s="13277" t="s">
        <v>21</v>
      </c>
      <c r="AZ4" s="13279" t="s">
        <v>22</v>
      </c>
      <c r="BA4" s="13280"/>
      <c r="BB4" s="13281"/>
      <c r="BC4" s="2278" t="s">
        <v>20</v>
      </c>
      <c r="BD4" s="15427"/>
      <c r="BE4" s="15427"/>
      <c r="BF4" s="13294"/>
      <c r="BG4" s="15518"/>
      <c r="BH4" s="15518"/>
      <c r="BI4" s="13294"/>
      <c r="BJ4" s="15520"/>
      <c r="BK4" s="15520"/>
      <c r="BL4" s="13296"/>
      <c r="BM4" s="13296"/>
      <c r="BN4" s="13298"/>
      <c r="BO4" s="13308" t="s">
        <v>6</v>
      </c>
      <c r="BP4" s="15510" t="s">
        <v>4187</v>
      </c>
      <c r="BQ4" s="13310" t="s">
        <v>7</v>
      </c>
      <c r="BR4" s="13312" t="s">
        <v>8</v>
      </c>
      <c r="BS4" s="13314" t="s">
        <v>9</v>
      </c>
      <c r="BT4" s="13308" t="s">
        <v>10</v>
      </c>
      <c r="BU4" s="13282" t="s">
        <v>11</v>
      </c>
      <c r="BV4" s="13284"/>
      <c r="BW4" s="13282" t="s">
        <v>12</v>
      </c>
      <c r="BX4" s="13284"/>
      <c r="BY4" s="13282" t="s">
        <v>13</v>
      </c>
      <c r="BZ4" s="13283"/>
      <c r="CA4" s="13283"/>
      <c r="CB4" s="13283"/>
      <c r="CC4" s="13283"/>
      <c r="CD4" s="13283"/>
      <c r="CE4" s="13284"/>
      <c r="CF4" s="13285" t="s">
        <v>14</v>
      </c>
      <c r="CG4" s="13286"/>
      <c r="CH4" s="13286"/>
      <c r="CI4" s="13286"/>
      <c r="CJ4" s="13286"/>
      <c r="CK4" s="13286"/>
      <c r="CL4" s="13286"/>
      <c r="CM4" s="13287"/>
      <c r="CN4" s="13285" t="s">
        <v>15</v>
      </c>
      <c r="CO4" s="13286"/>
      <c r="CP4" s="13286"/>
      <c r="CQ4" s="13286"/>
      <c r="CR4" s="13286"/>
      <c r="CS4" s="13287"/>
      <c r="CT4" s="13288" t="s">
        <v>16</v>
      </c>
      <c r="CU4" s="13288" t="s">
        <v>17</v>
      </c>
      <c r="CV4" s="13275" t="s">
        <v>18</v>
      </c>
      <c r="CW4" s="10" t="s">
        <v>19</v>
      </c>
      <c r="CX4" s="489" t="s">
        <v>20</v>
      </c>
      <c r="CY4" s="13277" t="s">
        <v>21</v>
      </c>
      <c r="CZ4" s="13279" t="s">
        <v>22</v>
      </c>
      <c r="DA4" s="13280"/>
      <c r="DB4" s="13281"/>
      <c r="DC4" s="2278" t="s">
        <v>20</v>
      </c>
      <c r="DE4" s="14601"/>
      <c r="DF4" s="14609"/>
      <c r="DG4" s="14609"/>
      <c r="DH4" s="13296"/>
      <c r="DI4" s="13296"/>
      <c r="DJ4" s="13298"/>
      <c r="DK4" s="14605" t="s">
        <v>6</v>
      </c>
      <c r="DL4" s="14611" t="s">
        <v>7</v>
      </c>
      <c r="DM4" s="14577" t="s">
        <v>8</v>
      </c>
      <c r="DN4" s="14579" t="s">
        <v>9</v>
      </c>
      <c r="DO4" s="13308" t="s">
        <v>10</v>
      </c>
      <c r="DP4" s="13282" t="s">
        <v>11</v>
      </c>
      <c r="DQ4" s="13284"/>
      <c r="DR4" s="13282" t="s">
        <v>12</v>
      </c>
      <c r="DS4" s="13284"/>
      <c r="DT4" s="13282" t="s">
        <v>13</v>
      </c>
      <c r="DU4" s="13283"/>
      <c r="DV4" s="13283"/>
      <c r="DW4" s="13283"/>
      <c r="DX4" s="13283"/>
      <c r="DY4" s="13283"/>
      <c r="DZ4" s="13283"/>
      <c r="EA4" s="15143" t="s">
        <v>14</v>
      </c>
      <c r="EB4" s="15144"/>
      <c r="EC4" s="15144"/>
      <c r="ED4" s="15144"/>
      <c r="EE4" s="15144"/>
      <c r="EF4" s="15144"/>
      <c r="EG4" s="15144"/>
      <c r="EH4" s="15144"/>
      <c r="EI4" s="15144" t="s">
        <v>15</v>
      </c>
      <c r="EJ4" s="15144"/>
      <c r="EK4" s="15144"/>
      <c r="EL4" s="15144"/>
      <c r="EM4" s="15144"/>
      <c r="EN4" s="15198"/>
      <c r="EO4" s="15199" t="s">
        <v>16</v>
      </c>
      <c r="EP4" s="15183" t="s">
        <v>17</v>
      </c>
      <c r="EQ4" s="15145" t="s">
        <v>18</v>
      </c>
      <c r="ER4" s="3375" t="s">
        <v>19</v>
      </c>
      <c r="ES4" s="3376" t="s">
        <v>20</v>
      </c>
      <c r="ET4" s="15135" t="s">
        <v>21</v>
      </c>
      <c r="EU4" s="13279" t="s">
        <v>22</v>
      </c>
      <c r="EV4" s="13280"/>
      <c r="EW4" s="13281"/>
      <c r="EX4" s="12" t="s">
        <v>20</v>
      </c>
      <c r="LW4" s="752"/>
      <c r="LX4" s="752"/>
      <c r="LY4" s="752"/>
      <c r="LZ4" s="752"/>
      <c r="MA4" s="752"/>
      <c r="MB4" s="752"/>
      <c r="MC4" s="752"/>
      <c r="MD4" s="752"/>
    </row>
    <row r="5" spans="1:342" s="269" customFormat="1" ht="15" customHeight="1" thickBot="1">
      <c r="A5" s="15419"/>
      <c r="B5" s="15419"/>
      <c r="C5" s="2279" t="s">
        <v>521</v>
      </c>
      <c r="D5" s="2279" t="s">
        <v>365</v>
      </c>
      <c r="E5" s="2279" t="s">
        <v>3279</v>
      </c>
      <c r="F5" s="15419"/>
      <c r="G5" s="15419"/>
      <c r="H5" s="15563"/>
      <c r="I5" s="15427"/>
      <c r="J5" s="15427"/>
      <c r="K5" s="13294"/>
      <c r="L5" s="13296"/>
      <c r="M5" s="13296"/>
      <c r="N5" s="13298"/>
      <c r="O5" s="13309"/>
      <c r="P5" s="15394"/>
      <c r="Q5" s="13311"/>
      <c r="R5" s="13313"/>
      <c r="S5" s="13315"/>
      <c r="T5" s="13309"/>
      <c r="U5" s="2208" t="s">
        <v>23</v>
      </c>
      <c r="V5" s="2209" t="s">
        <v>24</v>
      </c>
      <c r="W5" s="2208" t="s">
        <v>25</v>
      </c>
      <c r="X5" s="2209" t="s">
        <v>26</v>
      </c>
      <c r="Y5" s="2210" t="s">
        <v>27</v>
      </c>
      <c r="Z5" s="2211" t="s">
        <v>28</v>
      </c>
      <c r="AA5" s="2212" t="s">
        <v>29</v>
      </c>
      <c r="AB5" s="2212" t="s">
        <v>30</v>
      </c>
      <c r="AC5" s="2212" t="s">
        <v>31</v>
      </c>
      <c r="AD5" s="2212" t="s">
        <v>32</v>
      </c>
      <c r="AE5" s="2213" t="s">
        <v>33</v>
      </c>
      <c r="AF5" s="2210" t="s">
        <v>34</v>
      </c>
      <c r="AG5" s="2212" t="s">
        <v>35</v>
      </c>
      <c r="AH5" s="2212" t="s">
        <v>36</v>
      </c>
      <c r="AI5" s="2212" t="s">
        <v>37</v>
      </c>
      <c r="AJ5" s="2212" t="s">
        <v>38</v>
      </c>
      <c r="AK5" s="2212" t="s">
        <v>39</v>
      </c>
      <c r="AL5" s="2212" t="s">
        <v>40</v>
      </c>
      <c r="AM5" s="2213" t="s">
        <v>41</v>
      </c>
      <c r="AN5" s="2214" t="s">
        <v>42</v>
      </c>
      <c r="AO5" s="2212" t="s">
        <v>43</v>
      </c>
      <c r="AP5" s="2212" t="s">
        <v>44</v>
      </c>
      <c r="AQ5" s="2212" t="s">
        <v>45</v>
      </c>
      <c r="AR5" s="2212" t="s">
        <v>46</v>
      </c>
      <c r="AS5" s="2215" t="s">
        <v>47</v>
      </c>
      <c r="AT5" s="13289"/>
      <c r="AU5" s="13289"/>
      <c r="AV5" s="13276"/>
      <c r="AW5" s="2195" t="s">
        <v>48</v>
      </c>
      <c r="AX5" s="953" t="s">
        <v>49</v>
      </c>
      <c r="AY5" s="13278"/>
      <c r="AZ5" s="2216" t="s">
        <v>50</v>
      </c>
      <c r="BA5" s="2216" t="s">
        <v>51</v>
      </c>
      <c r="BB5" s="2216" t="s">
        <v>52</v>
      </c>
      <c r="BC5" s="2280" t="s">
        <v>49</v>
      </c>
      <c r="BD5" s="15427"/>
      <c r="BE5" s="15427"/>
      <c r="BF5" s="13294"/>
      <c r="BG5" s="15518"/>
      <c r="BH5" s="15519"/>
      <c r="BI5" s="13294"/>
      <c r="BJ5" s="15521"/>
      <c r="BK5" s="15521"/>
      <c r="BL5" s="13296"/>
      <c r="BM5" s="13296"/>
      <c r="BN5" s="13298"/>
      <c r="BO5" s="13309"/>
      <c r="BP5" s="15511"/>
      <c r="BQ5" s="13311"/>
      <c r="BR5" s="13313"/>
      <c r="BS5" s="13315"/>
      <c r="BT5" s="13309"/>
      <c r="BU5" s="2208" t="s">
        <v>23</v>
      </c>
      <c r="BV5" s="2209" t="s">
        <v>24</v>
      </c>
      <c r="BW5" s="2208" t="s">
        <v>25</v>
      </c>
      <c r="BX5" s="2209" t="s">
        <v>26</v>
      </c>
      <c r="BY5" s="2210" t="s">
        <v>27</v>
      </c>
      <c r="BZ5" s="2211" t="s">
        <v>28</v>
      </c>
      <c r="CA5" s="2212" t="s">
        <v>29</v>
      </c>
      <c r="CB5" s="2212" t="s">
        <v>30</v>
      </c>
      <c r="CC5" s="2212" t="s">
        <v>31</v>
      </c>
      <c r="CD5" s="2212" t="s">
        <v>32</v>
      </c>
      <c r="CE5" s="2213" t="s">
        <v>33</v>
      </c>
      <c r="CF5" s="2210" t="s">
        <v>34</v>
      </c>
      <c r="CG5" s="2212" t="s">
        <v>35</v>
      </c>
      <c r="CH5" s="2212" t="s">
        <v>36</v>
      </c>
      <c r="CI5" s="2212" t="s">
        <v>37</v>
      </c>
      <c r="CJ5" s="2212" t="s">
        <v>38</v>
      </c>
      <c r="CK5" s="2212" t="s">
        <v>39</v>
      </c>
      <c r="CL5" s="2212" t="s">
        <v>40</v>
      </c>
      <c r="CM5" s="2213" t="s">
        <v>41</v>
      </c>
      <c r="CN5" s="2214" t="s">
        <v>42</v>
      </c>
      <c r="CO5" s="2212" t="s">
        <v>43</v>
      </c>
      <c r="CP5" s="2212" t="s">
        <v>44</v>
      </c>
      <c r="CQ5" s="2212" t="s">
        <v>45</v>
      </c>
      <c r="CR5" s="2212" t="s">
        <v>46</v>
      </c>
      <c r="CS5" s="2215" t="s">
        <v>47</v>
      </c>
      <c r="CT5" s="13289"/>
      <c r="CU5" s="13289"/>
      <c r="CV5" s="13276"/>
      <c r="CW5" s="2195" t="s">
        <v>48</v>
      </c>
      <c r="CX5" s="953" t="s">
        <v>49</v>
      </c>
      <c r="CY5" s="13278"/>
      <c r="CZ5" s="2216" t="s">
        <v>50</v>
      </c>
      <c r="DA5" s="2216" t="s">
        <v>51</v>
      </c>
      <c r="DB5" s="2216" t="s">
        <v>52</v>
      </c>
      <c r="DC5" s="2280" t="s">
        <v>49</v>
      </c>
      <c r="DE5" s="14601"/>
      <c r="DF5" s="14610"/>
      <c r="DG5" s="14610"/>
      <c r="DH5" s="13296"/>
      <c r="DI5" s="13296"/>
      <c r="DJ5" s="13298"/>
      <c r="DK5" s="14606"/>
      <c r="DL5" s="14612"/>
      <c r="DM5" s="14578"/>
      <c r="DN5" s="14580"/>
      <c r="DO5" s="13309"/>
      <c r="DP5" s="776" t="s">
        <v>23</v>
      </c>
      <c r="DQ5" s="777" t="s">
        <v>24</v>
      </c>
      <c r="DR5" s="776" t="s">
        <v>25</v>
      </c>
      <c r="DS5" s="777" t="s">
        <v>26</v>
      </c>
      <c r="DT5" s="778" t="s">
        <v>27</v>
      </c>
      <c r="DU5" s="779" t="s">
        <v>28</v>
      </c>
      <c r="DV5" s="780" t="s">
        <v>29</v>
      </c>
      <c r="DW5" s="780" t="s">
        <v>30</v>
      </c>
      <c r="DX5" s="780" t="s">
        <v>31</v>
      </c>
      <c r="DY5" s="780" t="s">
        <v>32</v>
      </c>
      <c r="DZ5" s="3373" t="s">
        <v>33</v>
      </c>
      <c r="EA5" s="3377" t="s">
        <v>34</v>
      </c>
      <c r="EB5" s="3374" t="s">
        <v>35</v>
      </c>
      <c r="EC5" s="3374" t="s">
        <v>36</v>
      </c>
      <c r="ED5" s="3374" t="s">
        <v>37</v>
      </c>
      <c r="EE5" s="3374" t="s">
        <v>38</v>
      </c>
      <c r="EF5" s="3374" t="s">
        <v>39</v>
      </c>
      <c r="EG5" s="3374" t="s">
        <v>40</v>
      </c>
      <c r="EH5" s="3374" t="s">
        <v>41</v>
      </c>
      <c r="EI5" s="3374" t="s">
        <v>42</v>
      </c>
      <c r="EJ5" s="3374" t="s">
        <v>43</v>
      </c>
      <c r="EK5" s="3374" t="s">
        <v>44</v>
      </c>
      <c r="EL5" s="3374" t="s">
        <v>45</v>
      </c>
      <c r="EM5" s="3374" t="s">
        <v>46</v>
      </c>
      <c r="EN5" s="3382" t="s">
        <v>47</v>
      </c>
      <c r="EO5" s="15529"/>
      <c r="EP5" s="15530"/>
      <c r="EQ5" s="15561"/>
      <c r="ER5" s="3041" t="s">
        <v>48</v>
      </c>
      <c r="ES5" s="3378" t="s">
        <v>49</v>
      </c>
      <c r="ET5" s="15136"/>
      <c r="EU5" s="784" t="s">
        <v>50</v>
      </c>
      <c r="EV5" s="784" t="s">
        <v>51</v>
      </c>
      <c r="EW5" s="784" t="s">
        <v>52</v>
      </c>
      <c r="EX5" s="823" t="s">
        <v>49</v>
      </c>
      <c r="LS5" s="752"/>
      <c r="LT5" s="752"/>
      <c r="LU5" s="752"/>
      <c r="LV5" s="752"/>
      <c r="LW5" s="752"/>
      <c r="LX5" s="752"/>
      <c r="LY5" s="752"/>
      <c r="LZ5" s="752"/>
    </row>
    <row r="6" spans="1:342" s="2298" customFormat="1" ht="15" customHeight="1" thickBot="1">
      <c r="A6" s="15383" t="s">
        <v>3280</v>
      </c>
      <c r="B6" s="15386" t="s">
        <v>3281</v>
      </c>
      <c r="C6" s="2281" t="s">
        <v>3282</v>
      </c>
      <c r="D6" s="2282">
        <v>87.3</v>
      </c>
      <c r="E6" s="2282">
        <v>45.36</v>
      </c>
      <c r="F6" s="1771" t="s">
        <v>7680</v>
      </c>
      <c r="G6" s="3242" t="s">
        <v>3283</v>
      </c>
      <c r="H6" s="3262" t="s">
        <v>86</v>
      </c>
      <c r="I6" s="3260">
        <v>30.2</v>
      </c>
      <c r="J6" s="2283" t="s">
        <v>3284</v>
      </c>
      <c r="K6" s="2284">
        <v>1</v>
      </c>
      <c r="L6" s="2283" t="s">
        <v>4188</v>
      </c>
      <c r="M6" s="2283" t="s">
        <v>3285</v>
      </c>
      <c r="N6" s="2283" t="s">
        <v>3286</v>
      </c>
      <c r="O6" s="2285">
        <v>15239000</v>
      </c>
      <c r="P6" s="15407">
        <f>SUM(O6:O25)</f>
        <v>418858000</v>
      </c>
      <c r="Q6" s="2285">
        <v>52410800</v>
      </c>
      <c r="R6" s="2285">
        <v>229343164</v>
      </c>
      <c r="S6" s="2285">
        <v>11986687</v>
      </c>
      <c r="T6" s="2286"/>
      <c r="U6" s="2286"/>
      <c r="V6" s="2286"/>
      <c r="W6" s="2286"/>
      <c r="X6" s="2287"/>
      <c r="Y6" s="2287"/>
      <c r="Z6" s="2287"/>
      <c r="AA6" s="2287"/>
      <c r="AB6" s="2287"/>
      <c r="AC6" s="2287"/>
      <c r="AD6" s="2287"/>
      <c r="AE6" s="2287"/>
      <c r="AF6" s="2287"/>
      <c r="AG6" s="2287"/>
      <c r="AH6" s="2287"/>
      <c r="AI6" s="2287"/>
      <c r="AJ6" s="2287"/>
      <c r="AK6" s="2287"/>
      <c r="AL6" s="2287"/>
      <c r="AM6" s="2287"/>
      <c r="AN6" s="2287"/>
      <c r="AO6" s="2288"/>
      <c r="AP6" s="2288"/>
      <c r="AQ6" s="2288"/>
      <c r="AR6" s="2288"/>
      <c r="AS6" s="2288"/>
      <c r="AT6" s="2289" t="s">
        <v>3287</v>
      </c>
      <c r="AU6" s="2283" t="s">
        <v>3288</v>
      </c>
      <c r="AV6" s="2290">
        <v>41</v>
      </c>
      <c r="AW6" s="2288"/>
      <c r="AX6" s="2288"/>
      <c r="AY6" s="2288"/>
      <c r="AZ6" s="2288"/>
      <c r="BA6" s="2288"/>
      <c r="BB6" s="2288"/>
      <c r="BC6" s="2291"/>
      <c r="BD6" s="2282">
        <v>30.2</v>
      </c>
      <c r="BE6" s="2283" t="s">
        <v>3284</v>
      </c>
      <c r="BF6" s="2292" t="s">
        <v>1509</v>
      </c>
      <c r="BG6" s="2283" t="s">
        <v>3284</v>
      </c>
      <c r="BH6" s="2293" t="s">
        <v>9631</v>
      </c>
      <c r="BI6" s="2294">
        <v>30.5</v>
      </c>
      <c r="BJ6" s="2295">
        <v>0</v>
      </c>
      <c r="BK6" s="15522">
        <f>AVERAGE(BJ6:BJ26)</f>
        <v>0.94388471177944866</v>
      </c>
      <c r="BL6" s="2283" t="s">
        <v>4188</v>
      </c>
      <c r="BM6" s="2283" t="s">
        <v>3285</v>
      </c>
      <c r="BN6" s="2283" t="s">
        <v>8739</v>
      </c>
      <c r="BO6" s="2296">
        <v>10000000</v>
      </c>
      <c r="BP6" s="15407">
        <f>SUM(BO6:BO26)</f>
        <v>101259333</v>
      </c>
      <c r="BQ6" s="2296">
        <v>8400000</v>
      </c>
      <c r="BR6" s="2296">
        <f>BO6-BQ6</f>
        <v>1600000</v>
      </c>
      <c r="BS6" s="2296"/>
      <c r="BT6" s="2297">
        <v>214</v>
      </c>
      <c r="BU6" s="2297"/>
      <c r="BV6" s="2297">
        <v>214</v>
      </c>
      <c r="BW6" s="2297">
        <v>127</v>
      </c>
      <c r="BX6" s="2297">
        <v>86</v>
      </c>
      <c r="BY6" s="2297"/>
      <c r="BZ6" s="2297"/>
      <c r="CA6" s="2297">
        <v>23</v>
      </c>
      <c r="CB6" s="2297">
        <v>146</v>
      </c>
      <c r="CC6" s="2297">
        <v>49</v>
      </c>
      <c r="CD6" s="2297"/>
      <c r="CE6" s="2297"/>
      <c r="CF6" s="2297"/>
      <c r="CG6" s="2297"/>
      <c r="CH6" s="2297"/>
      <c r="CI6" s="2297"/>
      <c r="CJ6" s="2297"/>
      <c r="CK6" s="2297"/>
      <c r="CL6" s="2297"/>
      <c r="CM6" s="2297"/>
      <c r="CN6" s="2297"/>
      <c r="CO6" s="2290"/>
      <c r="CP6" s="2290"/>
      <c r="CQ6" s="2290"/>
      <c r="CR6" s="2290"/>
      <c r="CS6" s="2290"/>
      <c r="CT6" s="2289" t="s">
        <v>3287</v>
      </c>
      <c r="CU6" s="2283" t="s">
        <v>3288</v>
      </c>
      <c r="CV6" s="2290">
        <v>41</v>
      </c>
      <c r="CW6" s="2288"/>
      <c r="CX6" s="2288"/>
      <c r="CY6" s="2288"/>
      <c r="CZ6" s="2288"/>
      <c r="DA6" s="2288"/>
      <c r="DB6" s="2288"/>
      <c r="DC6" s="2291"/>
      <c r="DE6" s="3285"/>
      <c r="DF6" s="2288"/>
      <c r="DG6" s="2288"/>
      <c r="DH6" s="2288"/>
      <c r="DI6" s="2288"/>
      <c r="DJ6" s="2291"/>
      <c r="DK6" s="3285"/>
      <c r="DL6" s="2288"/>
      <c r="DM6" s="2288"/>
      <c r="DN6" s="3286"/>
      <c r="DO6" s="3357"/>
      <c r="DP6" s="3339"/>
      <c r="DQ6" s="3286"/>
      <c r="DR6" s="3339"/>
      <c r="DS6" s="3286"/>
      <c r="DT6" s="3339"/>
      <c r="DU6" s="2288"/>
      <c r="DV6" s="2288"/>
      <c r="DW6" s="2288"/>
      <c r="DX6" s="2288"/>
      <c r="DY6" s="2288"/>
      <c r="DZ6" s="2291"/>
      <c r="EA6" s="3379"/>
      <c r="EB6" s="3284"/>
      <c r="EC6" s="3284"/>
      <c r="ED6" s="3284"/>
      <c r="EE6" s="3284"/>
      <c r="EF6" s="3284"/>
      <c r="EG6" s="3284"/>
      <c r="EH6" s="3284"/>
      <c r="EI6" s="3284"/>
      <c r="EJ6" s="3284"/>
      <c r="EK6" s="3284"/>
      <c r="EL6" s="3284"/>
      <c r="EM6" s="3284"/>
      <c r="EN6" s="3380"/>
      <c r="EO6" s="3381"/>
      <c r="EP6" s="3284"/>
      <c r="EQ6" s="3284"/>
      <c r="ER6" s="3284"/>
      <c r="ES6" s="3383"/>
      <c r="ET6" s="3285"/>
      <c r="EU6" s="2288"/>
      <c r="EV6" s="2288"/>
      <c r="EW6" s="2288"/>
      <c r="EX6" s="3286"/>
    </row>
    <row r="7" spans="1:342" s="1755" customFormat="1" ht="15" customHeight="1" thickBot="1">
      <c r="A7" s="15384"/>
      <c r="B7" s="15370"/>
      <c r="C7" s="15366" t="s">
        <v>3289</v>
      </c>
      <c r="D7" s="15428">
        <v>0.218</v>
      </c>
      <c r="E7" s="15430">
        <v>0</v>
      </c>
      <c r="F7" s="2306" t="s">
        <v>7681</v>
      </c>
      <c r="G7" s="3243" t="s">
        <v>3290</v>
      </c>
      <c r="H7" s="3263" t="s">
        <v>86</v>
      </c>
      <c r="I7" s="15410">
        <v>0.185</v>
      </c>
      <c r="J7" s="2299" t="s">
        <v>3291</v>
      </c>
      <c r="K7" s="2284">
        <v>1</v>
      </c>
      <c r="L7" s="2300" t="s">
        <v>3292</v>
      </c>
      <c r="M7" s="2301" t="s">
        <v>3293</v>
      </c>
      <c r="N7" s="2302"/>
      <c r="O7" s="2303">
        <v>15239000</v>
      </c>
      <c r="P7" s="15408"/>
      <c r="Q7" s="2303">
        <v>52410800</v>
      </c>
      <c r="R7" s="2303">
        <v>229343164</v>
      </c>
      <c r="S7" s="2303">
        <v>11986687</v>
      </c>
      <c r="T7" s="2304">
        <v>250</v>
      </c>
      <c r="U7" s="2302"/>
      <c r="V7" s="2305">
        <v>250</v>
      </c>
      <c r="W7" s="2305">
        <v>165</v>
      </c>
      <c r="X7" s="2305">
        <v>85</v>
      </c>
      <c r="Y7" s="2306"/>
      <c r="Z7" s="2305">
        <v>1</v>
      </c>
      <c r="AA7" s="2305">
        <v>35</v>
      </c>
      <c r="AB7" s="2305">
        <v>157</v>
      </c>
      <c r="AC7" s="2305">
        <v>56</v>
      </c>
      <c r="AD7" s="2305">
        <v>1</v>
      </c>
      <c r="AE7" s="2306"/>
      <c r="AF7" s="2306"/>
      <c r="AG7" s="2306"/>
      <c r="AH7" s="2306"/>
      <c r="AI7" s="2306"/>
      <c r="AJ7" s="2306"/>
      <c r="AK7" s="2306"/>
      <c r="AL7" s="2306"/>
      <c r="AM7" s="2306"/>
      <c r="AN7" s="2305">
        <v>228</v>
      </c>
      <c r="AO7" s="2305">
        <v>16</v>
      </c>
      <c r="AP7" s="2305">
        <v>6</v>
      </c>
      <c r="AQ7" s="2306"/>
      <c r="AR7" s="2306"/>
      <c r="AS7" s="2306"/>
      <c r="AT7" s="2306"/>
      <c r="AU7" s="2306"/>
      <c r="AV7" s="2306"/>
      <c r="AW7" s="2306"/>
      <c r="AX7" s="2306"/>
      <c r="AY7" s="2306"/>
      <c r="AZ7" s="2306"/>
      <c r="BA7" s="2306"/>
      <c r="BB7" s="2306"/>
      <c r="BC7" s="2306"/>
      <c r="BD7" s="15428">
        <v>0.185</v>
      </c>
      <c r="BE7" s="2299" t="s">
        <v>3291</v>
      </c>
      <c r="BF7" s="2292" t="s">
        <v>1509</v>
      </c>
      <c r="BG7" s="2299" t="s">
        <v>3291</v>
      </c>
      <c r="BH7" s="2307">
        <v>1</v>
      </c>
      <c r="BI7" s="2307">
        <v>1</v>
      </c>
      <c r="BJ7" s="2295">
        <v>1</v>
      </c>
      <c r="BK7" s="15523"/>
      <c r="BL7" s="2300" t="s">
        <v>3292</v>
      </c>
      <c r="BM7" s="2301" t="s">
        <v>3293</v>
      </c>
      <c r="BN7" s="2302"/>
      <c r="BO7" s="2308">
        <v>1871111</v>
      </c>
      <c r="BP7" s="15408"/>
      <c r="BQ7" s="2296">
        <v>1571733</v>
      </c>
      <c r="BR7" s="2296">
        <f t="shared" ref="BR7:BR70" si="0">BO7-BQ7</f>
        <v>299378</v>
      </c>
      <c r="BS7" s="2296"/>
      <c r="BT7" s="2304">
        <v>250</v>
      </c>
      <c r="BU7" s="2306"/>
      <c r="BV7" s="2305">
        <v>250</v>
      </c>
      <c r="BW7" s="2305">
        <v>165</v>
      </c>
      <c r="BX7" s="2305">
        <v>85</v>
      </c>
      <c r="BY7" s="2306"/>
      <c r="BZ7" s="2305">
        <v>0</v>
      </c>
      <c r="CA7" s="2305">
        <v>23</v>
      </c>
      <c r="CB7" s="2305">
        <v>141</v>
      </c>
      <c r="CC7" s="2305">
        <v>49</v>
      </c>
      <c r="CD7" s="2305"/>
      <c r="CE7" s="2306"/>
      <c r="CF7" s="2306"/>
      <c r="CG7" s="2306"/>
      <c r="CH7" s="2306"/>
      <c r="CI7" s="2306"/>
      <c r="CJ7" s="2306"/>
      <c r="CK7" s="2306"/>
      <c r="CL7" s="2306"/>
      <c r="CM7" s="2306"/>
      <c r="CN7" s="2305">
        <v>228</v>
      </c>
      <c r="CO7" s="2305">
        <v>16</v>
      </c>
      <c r="CP7" s="2305">
        <v>6</v>
      </c>
      <c r="CQ7" s="2306"/>
      <c r="CR7" s="2306"/>
      <c r="CS7" s="2306"/>
      <c r="CT7" s="2306"/>
      <c r="CU7" s="2306"/>
      <c r="CV7" s="2306"/>
      <c r="CW7" s="2306"/>
      <c r="CX7" s="2306"/>
      <c r="CY7" s="2306"/>
      <c r="CZ7" s="2306"/>
      <c r="DA7" s="2306"/>
      <c r="DB7" s="2306"/>
      <c r="DC7" s="2306"/>
      <c r="DE7" s="3287"/>
      <c r="DF7" s="2306"/>
      <c r="DG7" s="2306"/>
      <c r="DH7" s="2306"/>
      <c r="DI7" s="2306"/>
      <c r="DJ7" s="3326"/>
      <c r="DK7" s="3287"/>
      <c r="DL7" s="2306"/>
      <c r="DM7" s="2306"/>
      <c r="DN7" s="3288"/>
      <c r="DO7" s="3358"/>
      <c r="DP7" s="3340"/>
      <c r="DQ7" s="3288"/>
      <c r="DR7" s="3340"/>
      <c r="DS7" s="3288"/>
      <c r="DT7" s="3340"/>
      <c r="DU7" s="2306"/>
      <c r="DV7" s="2306"/>
      <c r="DW7" s="2306"/>
      <c r="DX7" s="2306"/>
      <c r="DY7" s="2306"/>
      <c r="DZ7" s="3326"/>
      <c r="EA7" s="3287"/>
      <c r="EB7" s="2306"/>
      <c r="EC7" s="2306"/>
      <c r="ED7" s="2306"/>
      <c r="EE7" s="2306"/>
      <c r="EF7" s="2306"/>
      <c r="EG7" s="2306"/>
      <c r="EH7" s="2306"/>
      <c r="EI7" s="2306"/>
      <c r="EJ7" s="2306"/>
      <c r="EK7" s="2306"/>
      <c r="EL7" s="2306"/>
      <c r="EM7" s="2306"/>
      <c r="EN7" s="3288"/>
      <c r="EO7" s="3340"/>
      <c r="EP7" s="2306"/>
      <c r="EQ7" s="2306"/>
      <c r="ER7" s="2306"/>
      <c r="ES7" s="3326"/>
      <c r="ET7" s="3287"/>
      <c r="EU7" s="2306"/>
      <c r="EV7" s="2306"/>
      <c r="EW7" s="2306"/>
      <c r="EX7" s="3288"/>
    </row>
    <row r="8" spans="1:342" s="2310" customFormat="1" ht="15" customHeight="1" thickBot="1">
      <c r="A8" s="15384"/>
      <c r="B8" s="15370"/>
      <c r="C8" s="15367"/>
      <c r="D8" s="15429"/>
      <c r="E8" s="15431"/>
      <c r="F8" s="2306" t="s">
        <v>7682</v>
      </c>
      <c r="G8" s="3243" t="s">
        <v>3294</v>
      </c>
      <c r="H8" s="3263" t="s">
        <v>86</v>
      </c>
      <c r="I8" s="15411"/>
      <c r="J8" s="2299" t="s">
        <v>3291</v>
      </c>
      <c r="K8" s="2284" t="s">
        <v>715</v>
      </c>
      <c r="L8" s="2299" t="s">
        <v>3295</v>
      </c>
      <c r="M8" s="2301" t="s">
        <v>3293</v>
      </c>
      <c r="N8" s="2301" t="s">
        <v>3296</v>
      </c>
      <c r="O8" s="2309">
        <v>15239000</v>
      </c>
      <c r="P8" s="15408"/>
      <c r="Q8" s="2309">
        <v>52410800</v>
      </c>
      <c r="R8" s="2309">
        <v>229343164</v>
      </c>
      <c r="S8" s="2309">
        <v>11986687</v>
      </c>
      <c r="T8" s="2304">
        <v>250</v>
      </c>
      <c r="U8" s="2302"/>
      <c r="V8" s="2304">
        <v>250</v>
      </c>
      <c r="W8" s="2304">
        <v>165</v>
      </c>
      <c r="X8" s="2304">
        <v>85</v>
      </c>
      <c r="Y8" s="2304"/>
      <c r="Z8" s="2304">
        <v>1</v>
      </c>
      <c r="AA8" s="2304">
        <v>35</v>
      </c>
      <c r="AB8" s="2304">
        <v>157</v>
      </c>
      <c r="AC8" s="2304">
        <v>56</v>
      </c>
      <c r="AD8" s="2304">
        <v>1</v>
      </c>
      <c r="AE8" s="2306"/>
      <c r="AF8" s="2306"/>
      <c r="AG8" s="2306"/>
      <c r="AH8" s="2306"/>
      <c r="AI8" s="2306"/>
      <c r="AJ8" s="2306"/>
      <c r="AK8" s="2306"/>
      <c r="AL8" s="2306"/>
      <c r="AM8" s="2306"/>
      <c r="AN8" s="2305">
        <v>228</v>
      </c>
      <c r="AO8" s="2305">
        <v>16</v>
      </c>
      <c r="AP8" s="2305">
        <v>6</v>
      </c>
      <c r="AQ8" s="2306"/>
      <c r="AR8" s="2306"/>
      <c r="AS8" s="2305"/>
      <c r="AT8" s="2305"/>
      <c r="AU8" s="2305"/>
      <c r="AV8" s="2305"/>
      <c r="AW8" s="2305"/>
      <c r="AX8" s="2305"/>
      <c r="AY8" s="2305"/>
      <c r="AZ8" s="2305"/>
      <c r="BA8" s="2305"/>
      <c r="BB8" s="2305"/>
      <c r="BC8" s="2305"/>
      <c r="BD8" s="15429"/>
      <c r="BE8" s="2299" t="s">
        <v>3291</v>
      </c>
      <c r="BF8" s="2292" t="s">
        <v>1509</v>
      </c>
      <c r="BG8" s="2299" t="s">
        <v>3291</v>
      </c>
      <c r="BH8" s="2307">
        <v>1</v>
      </c>
      <c r="BI8" s="2307">
        <v>1</v>
      </c>
      <c r="BJ8" s="2295">
        <v>1</v>
      </c>
      <c r="BK8" s="15523"/>
      <c r="BL8" s="2299" t="s">
        <v>3295</v>
      </c>
      <c r="BM8" s="2301" t="s">
        <v>3293</v>
      </c>
      <c r="BN8" s="2301" t="s">
        <v>3296</v>
      </c>
      <c r="BO8" s="2308">
        <v>1871111</v>
      </c>
      <c r="BP8" s="15408"/>
      <c r="BQ8" s="2296">
        <v>1571733</v>
      </c>
      <c r="BR8" s="2296">
        <f t="shared" si="0"/>
        <v>299378</v>
      </c>
      <c r="BS8" s="2296"/>
      <c r="BT8" s="2304">
        <v>250</v>
      </c>
      <c r="BU8" s="2306"/>
      <c r="BV8" s="2304">
        <v>250</v>
      </c>
      <c r="BW8" s="2304">
        <v>165</v>
      </c>
      <c r="BX8" s="2304">
        <v>85</v>
      </c>
      <c r="BY8" s="2304"/>
      <c r="BZ8" s="2304">
        <v>0</v>
      </c>
      <c r="CA8" s="2304">
        <v>23</v>
      </c>
      <c r="CB8" s="2304">
        <v>141</v>
      </c>
      <c r="CC8" s="2304">
        <v>49</v>
      </c>
      <c r="CD8" s="2304"/>
      <c r="CE8" s="2306"/>
      <c r="CF8" s="2306"/>
      <c r="CG8" s="2306"/>
      <c r="CH8" s="2306"/>
      <c r="CI8" s="2306"/>
      <c r="CJ8" s="2306"/>
      <c r="CK8" s="2306"/>
      <c r="CL8" s="2306"/>
      <c r="CM8" s="2306"/>
      <c r="CN8" s="2305">
        <v>228</v>
      </c>
      <c r="CO8" s="2305">
        <v>16</v>
      </c>
      <c r="CP8" s="2305">
        <v>6</v>
      </c>
      <c r="CQ8" s="2306"/>
      <c r="CR8" s="2306"/>
      <c r="CS8" s="2305"/>
      <c r="CT8" s="2305"/>
      <c r="CU8" s="2305"/>
      <c r="CV8" s="2305"/>
      <c r="CW8" s="2305"/>
      <c r="CX8" s="2305"/>
      <c r="CY8" s="2305"/>
      <c r="CZ8" s="2305"/>
      <c r="DA8" s="2305"/>
      <c r="DB8" s="2305"/>
      <c r="DC8" s="2305"/>
      <c r="DE8" s="3289"/>
      <c r="DF8" s="3021"/>
      <c r="DG8" s="3021"/>
      <c r="DH8" s="3021"/>
      <c r="DI8" s="3021"/>
      <c r="DJ8" s="3327"/>
      <c r="DK8" s="3289"/>
      <c r="DL8" s="3021"/>
      <c r="DM8" s="3021"/>
      <c r="DN8" s="3290"/>
      <c r="DO8" s="3278"/>
      <c r="DP8" s="3341"/>
      <c r="DQ8" s="3290"/>
      <c r="DR8" s="3341"/>
      <c r="DS8" s="3290"/>
      <c r="DT8" s="3341"/>
      <c r="DU8" s="3021"/>
      <c r="DV8" s="3021"/>
      <c r="DW8" s="3021"/>
      <c r="DX8" s="3021"/>
      <c r="DY8" s="3021"/>
      <c r="DZ8" s="3327"/>
      <c r="EA8" s="3289"/>
      <c r="EB8" s="3021"/>
      <c r="EC8" s="3021"/>
      <c r="ED8" s="3021"/>
      <c r="EE8" s="3021"/>
      <c r="EF8" s="3021"/>
      <c r="EG8" s="3021"/>
      <c r="EH8" s="3021"/>
      <c r="EI8" s="3021"/>
      <c r="EJ8" s="3021"/>
      <c r="EK8" s="3021"/>
      <c r="EL8" s="3021"/>
      <c r="EM8" s="3021"/>
      <c r="EN8" s="3290"/>
      <c r="EO8" s="3341"/>
      <c r="EP8" s="3021"/>
      <c r="EQ8" s="3021"/>
      <c r="ER8" s="3021"/>
      <c r="ES8" s="3327"/>
      <c r="ET8" s="3289"/>
      <c r="EU8" s="3021"/>
      <c r="EV8" s="3021"/>
      <c r="EW8" s="3021"/>
      <c r="EX8" s="3290"/>
    </row>
    <row r="9" spans="1:342" s="2310" customFormat="1" ht="15" customHeight="1" thickBot="1">
      <c r="A9" s="15384"/>
      <c r="B9" s="15370"/>
      <c r="C9" s="15366" t="s">
        <v>3297</v>
      </c>
      <c r="D9" s="15368">
        <v>11.9</v>
      </c>
      <c r="E9" s="15392">
        <v>4</v>
      </c>
      <c r="F9" s="2306" t="s">
        <v>7683</v>
      </c>
      <c r="G9" s="3243" t="s">
        <v>3298</v>
      </c>
      <c r="H9" s="3263" t="s">
        <v>86</v>
      </c>
      <c r="I9" s="15412">
        <v>3.3</v>
      </c>
      <c r="J9" s="2311" t="s">
        <v>3299</v>
      </c>
      <c r="K9" s="2284">
        <v>1</v>
      </c>
      <c r="L9" s="2311" t="s">
        <v>3300</v>
      </c>
      <c r="M9" s="2311" t="s">
        <v>3285</v>
      </c>
      <c r="N9" s="2311" t="s">
        <v>3301</v>
      </c>
      <c r="O9" s="2312">
        <v>30478000</v>
      </c>
      <c r="P9" s="15408"/>
      <c r="Q9" s="2309">
        <v>52410800</v>
      </c>
      <c r="R9" s="2309">
        <v>229343164</v>
      </c>
      <c r="S9" s="2309">
        <v>11986687</v>
      </c>
      <c r="T9" s="2305">
        <v>22</v>
      </c>
      <c r="U9" s="2305"/>
      <c r="V9" s="2305">
        <v>22</v>
      </c>
      <c r="W9" s="2305">
        <v>16</v>
      </c>
      <c r="X9" s="2305">
        <v>6</v>
      </c>
      <c r="Y9" s="2305"/>
      <c r="Z9" s="2305"/>
      <c r="AA9" s="2305">
        <v>1</v>
      </c>
      <c r="AB9" s="2305">
        <v>10</v>
      </c>
      <c r="AC9" s="2305">
        <v>11</v>
      </c>
      <c r="AD9" s="2305"/>
      <c r="AE9" s="2305"/>
      <c r="AF9" s="2305"/>
      <c r="AG9" s="2305"/>
      <c r="AH9" s="2305"/>
      <c r="AI9" s="2305"/>
      <c r="AJ9" s="2305"/>
      <c r="AK9" s="2305"/>
      <c r="AL9" s="2305"/>
      <c r="AM9" s="2305"/>
      <c r="AN9" s="2305">
        <v>20</v>
      </c>
      <c r="AO9" s="2305">
        <v>1</v>
      </c>
      <c r="AP9" s="2305">
        <v>1</v>
      </c>
      <c r="AQ9" s="2305"/>
      <c r="AR9" s="2305"/>
      <c r="AS9" s="2305"/>
      <c r="AT9" s="2305"/>
      <c r="AU9" s="2305"/>
      <c r="AV9" s="2305"/>
      <c r="AW9" s="2305"/>
      <c r="AX9" s="2305"/>
      <c r="AY9" s="2305"/>
      <c r="AZ9" s="2305"/>
      <c r="BA9" s="2305"/>
      <c r="BB9" s="2305"/>
      <c r="BC9" s="2305"/>
      <c r="BD9" s="15512">
        <v>3.3</v>
      </c>
      <c r="BE9" s="2311" t="s">
        <v>3299</v>
      </c>
      <c r="BF9" s="2292" t="s">
        <v>1509</v>
      </c>
      <c r="BG9" s="2311" t="s">
        <v>3299</v>
      </c>
      <c r="BH9" s="2305" t="s">
        <v>9632</v>
      </c>
      <c r="BI9" s="2307">
        <v>1</v>
      </c>
      <c r="BJ9" s="2295">
        <v>1</v>
      </c>
      <c r="BK9" s="15523"/>
      <c r="BL9" s="2311" t="s">
        <v>3300</v>
      </c>
      <c r="BM9" s="2311" t="s">
        <v>3285</v>
      </c>
      <c r="BN9" s="2311" t="s">
        <v>8740</v>
      </c>
      <c r="BO9" s="2308">
        <v>5038000</v>
      </c>
      <c r="BP9" s="15408"/>
      <c r="BQ9" s="2296">
        <v>4231920</v>
      </c>
      <c r="BR9" s="2296">
        <f t="shared" si="0"/>
        <v>806080</v>
      </c>
      <c r="BS9" s="2296"/>
      <c r="BT9" s="2305">
        <v>14</v>
      </c>
      <c r="BU9" s="2305"/>
      <c r="BV9" s="2305">
        <v>14</v>
      </c>
      <c r="BW9" s="2305"/>
      <c r="BX9" s="2305"/>
      <c r="BY9" s="2305"/>
      <c r="BZ9" s="2305"/>
      <c r="CA9" s="2305"/>
      <c r="CB9" s="2305"/>
      <c r="CC9" s="2305"/>
      <c r="CD9" s="2305"/>
      <c r="CE9" s="2305"/>
      <c r="CF9" s="2305"/>
      <c r="CG9" s="2305"/>
      <c r="CH9" s="2305"/>
      <c r="CI9" s="2305"/>
      <c r="CJ9" s="2305"/>
      <c r="CK9" s="2305"/>
      <c r="CL9" s="2305"/>
      <c r="CM9" s="2305"/>
      <c r="CN9" s="2305">
        <v>20</v>
      </c>
      <c r="CO9" s="2305">
        <v>1</v>
      </c>
      <c r="CP9" s="2305">
        <v>1</v>
      </c>
      <c r="CQ9" s="2305"/>
      <c r="CR9" s="2305"/>
      <c r="CS9" s="2305"/>
      <c r="CT9" s="2305"/>
      <c r="CU9" s="2305"/>
      <c r="CV9" s="2305"/>
      <c r="CW9" s="2305"/>
      <c r="CX9" s="2305"/>
      <c r="CY9" s="2305"/>
      <c r="CZ9" s="2305"/>
      <c r="DA9" s="2305"/>
      <c r="DB9" s="2305"/>
      <c r="DC9" s="2305"/>
      <c r="DE9" s="3289"/>
      <c r="DF9" s="3021"/>
      <c r="DG9" s="3021"/>
      <c r="DH9" s="3021"/>
      <c r="DI9" s="3021"/>
      <c r="DJ9" s="3327"/>
      <c r="DK9" s="3289"/>
      <c r="DL9" s="3021"/>
      <c r="DM9" s="3021"/>
      <c r="DN9" s="3290"/>
      <c r="DO9" s="3278"/>
      <c r="DP9" s="3341"/>
      <c r="DQ9" s="3290"/>
      <c r="DR9" s="3341"/>
      <c r="DS9" s="3290"/>
      <c r="DT9" s="3341"/>
      <c r="DU9" s="3021"/>
      <c r="DV9" s="3021"/>
      <c r="DW9" s="3021"/>
      <c r="DX9" s="3021"/>
      <c r="DY9" s="3021"/>
      <c r="DZ9" s="3327"/>
      <c r="EA9" s="3289"/>
      <c r="EB9" s="3021"/>
      <c r="EC9" s="3021"/>
      <c r="ED9" s="3021"/>
      <c r="EE9" s="3021"/>
      <c r="EF9" s="3021"/>
      <c r="EG9" s="3021"/>
      <c r="EH9" s="3021"/>
      <c r="EI9" s="3021"/>
      <c r="EJ9" s="3021"/>
      <c r="EK9" s="3021"/>
      <c r="EL9" s="3021"/>
      <c r="EM9" s="3021"/>
      <c r="EN9" s="3290"/>
      <c r="EO9" s="3341"/>
      <c r="EP9" s="3021"/>
      <c r="EQ9" s="3021"/>
      <c r="ER9" s="3021"/>
      <c r="ES9" s="3327"/>
      <c r="ET9" s="3289"/>
      <c r="EU9" s="3021"/>
      <c r="EV9" s="3021"/>
      <c r="EW9" s="3021"/>
      <c r="EX9" s="3290"/>
    </row>
    <row r="10" spans="1:342" s="2310" customFormat="1" ht="15" customHeight="1" thickBot="1">
      <c r="A10" s="15384"/>
      <c r="B10" s="15370"/>
      <c r="C10" s="15367"/>
      <c r="D10" s="15368"/>
      <c r="E10" s="15392"/>
      <c r="F10" s="2306" t="s">
        <v>7684</v>
      </c>
      <c r="G10" s="3244" t="s">
        <v>3302</v>
      </c>
      <c r="H10" s="3264" t="s">
        <v>86</v>
      </c>
      <c r="I10" s="15413"/>
      <c r="J10" s="2299" t="s">
        <v>3303</v>
      </c>
      <c r="K10" s="2284">
        <v>1</v>
      </c>
      <c r="L10" s="2299" t="s">
        <v>3304</v>
      </c>
      <c r="M10" s="2311" t="s">
        <v>3305</v>
      </c>
      <c r="N10" s="2301"/>
      <c r="O10" s="2312">
        <v>15239000</v>
      </c>
      <c r="P10" s="15408"/>
      <c r="Q10" s="2309">
        <v>52410800</v>
      </c>
      <c r="R10" s="2309">
        <v>229343164</v>
      </c>
      <c r="S10" s="2309">
        <v>11986687</v>
      </c>
      <c r="T10" s="2300"/>
      <c r="U10" s="2300"/>
      <c r="V10" s="2300"/>
      <c r="W10" s="2300"/>
      <c r="X10" s="2305"/>
      <c r="Y10" s="2305"/>
      <c r="Z10" s="2305"/>
      <c r="AA10" s="2305"/>
      <c r="AB10" s="2305"/>
      <c r="AC10" s="2305"/>
      <c r="AD10" s="2305"/>
      <c r="AE10" s="2305"/>
      <c r="AF10" s="2305"/>
      <c r="AG10" s="2305"/>
      <c r="AH10" s="2305"/>
      <c r="AI10" s="2305"/>
      <c r="AJ10" s="2305"/>
      <c r="AK10" s="2305"/>
      <c r="AL10" s="2305"/>
      <c r="AM10" s="2305"/>
      <c r="AN10" s="2305"/>
      <c r="AO10" s="2305"/>
      <c r="AP10" s="2305"/>
      <c r="AQ10" s="2305"/>
      <c r="AR10" s="2305"/>
      <c r="AS10" s="2305"/>
      <c r="AT10" s="2314" t="s">
        <v>3287</v>
      </c>
      <c r="AU10" s="2299" t="s">
        <v>3288</v>
      </c>
      <c r="AV10" s="2305">
        <v>35</v>
      </c>
      <c r="AW10" s="2305"/>
      <c r="AX10" s="2305"/>
      <c r="AY10" s="2305"/>
      <c r="AZ10" s="2305"/>
      <c r="BA10" s="2305"/>
      <c r="BB10" s="2305"/>
      <c r="BC10" s="2305"/>
      <c r="BD10" s="15513"/>
      <c r="BE10" s="2299" t="s">
        <v>3303</v>
      </c>
      <c r="BF10" s="2292" t="s">
        <v>1509</v>
      </c>
      <c r="BG10" s="2299" t="s">
        <v>3303</v>
      </c>
      <c r="BH10" s="2305" t="s">
        <v>9633</v>
      </c>
      <c r="BI10" s="2307">
        <v>1</v>
      </c>
      <c r="BJ10" s="2295">
        <v>1</v>
      </c>
      <c r="BK10" s="15523"/>
      <c r="BL10" s="2299" t="s">
        <v>3304</v>
      </c>
      <c r="BM10" s="2311" t="s">
        <v>3305</v>
      </c>
      <c r="BN10" s="2301"/>
      <c r="BO10" s="2308">
        <v>5038000</v>
      </c>
      <c r="BP10" s="15408"/>
      <c r="BQ10" s="2296">
        <v>4231920</v>
      </c>
      <c r="BR10" s="2296">
        <f t="shared" si="0"/>
        <v>806080</v>
      </c>
      <c r="BS10" s="2296"/>
      <c r="BT10" s="2297">
        <v>214</v>
      </c>
      <c r="BU10" s="2297"/>
      <c r="BV10" s="2297">
        <v>214</v>
      </c>
      <c r="BW10" s="2297">
        <v>127</v>
      </c>
      <c r="BX10" s="2297">
        <v>86</v>
      </c>
      <c r="BY10" s="2297"/>
      <c r="BZ10" s="2297"/>
      <c r="CA10" s="2297">
        <v>23</v>
      </c>
      <c r="CB10" s="2297">
        <v>146</v>
      </c>
      <c r="CC10" s="2297">
        <v>49</v>
      </c>
      <c r="CD10" s="2297"/>
      <c r="CE10" s="2297"/>
      <c r="CF10" s="2305"/>
      <c r="CG10" s="2305"/>
      <c r="CH10" s="2305"/>
      <c r="CI10" s="2305"/>
      <c r="CJ10" s="2305"/>
      <c r="CK10" s="2305"/>
      <c r="CL10" s="2305"/>
      <c r="CM10" s="2305"/>
      <c r="CN10" s="2305"/>
      <c r="CO10" s="2305"/>
      <c r="CP10" s="2305"/>
      <c r="CQ10" s="2305"/>
      <c r="CR10" s="2305"/>
      <c r="CS10" s="2305"/>
      <c r="CT10" s="2314" t="s">
        <v>3287</v>
      </c>
      <c r="CU10" s="2299" t="s">
        <v>3288</v>
      </c>
      <c r="CV10" s="2305">
        <v>35</v>
      </c>
      <c r="CW10" s="2305"/>
      <c r="CX10" s="2305"/>
      <c r="CY10" s="2305"/>
      <c r="CZ10" s="2305"/>
      <c r="DA10" s="2305"/>
      <c r="DB10" s="2305"/>
      <c r="DC10" s="2305"/>
      <c r="DE10" s="3289"/>
      <c r="DF10" s="3021"/>
      <c r="DG10" s="3021"/>
      <c r="DH10" s="3021"/>
      <c r="DI10" s="3021"/>
      <c r="DJ10" s="3327"/>
      <c r="DK10" s="3289"/>
      <c r="DL10" s="3021"/>
      <c r="DM10" s="3021"/>
      <c r="DN10" s="3290"/>
      <c r="DO10" s="3278"/>
      <c r="DP10" s="3341"/>
      <c r="DQ10" s="3290"/>
      <c r="DR10" s="3341"/>
      <c r="DS10" s="3290"/>
      <c r="DT10" s="3341"/>
      <c r="DU10" s="3021"/>
      <c r="DV10" s="3021"/>
      <c r="DW10" s="3021"/>
      <c r="DX10" s="3021"/>
      <c r="DY10" s="3021"/>
      <c r="DZ10" s="3327"/>
      <c r="EA10" s="3289"/>
      <c r="EB10" s="3021"/>
      <c r="EC10" s="3021"/>
      <c r="ED10" s="3021"/>
      <c r="EE10" s="3021"/>
      <c r="EF10" s="3021"/>
      <c r="EG10" s="3021"/>
      <c r="EH10" s="3021"/>
      <c r="EI10" s="3021"/>
      <c r="EJ10" s="3021"/>
      <c r="EK10" s="3021"/>
      <c r="EL10" s="3021"/>
      <c r="EM10" s="3021"/>
      <c r="EN10" s="3290"/>
      <c r="EO10" s="3341"/>
      <c r="EP10" s="3021"/>
      <c r="EQ10" s="3021"/>
      <c r="ER10" s="3021"/>
      <c r="ES10" s="3327"/>
      <c r="ET10" s="3289"/>
      <c r="EU10" s="3021"/>
      <c r="EV10" s="3021"/>
      <c r="EW10" s="3021"/>
      <c r="EX10" s="3290"/>
    </row>
    <row r="11" spans="1:342" s="2310" customFormat="1" ht="15" customHeight="1" thickBot="1">
      <c r="A11" s="15384"/>
      <c r="B11" s="15370"/>
      <c r="C11" s="15369" t="s">
        <v>3306</v>
      </c>
      <c r="D11" s="15368">
        <v>9.1</v>
      </c>
      <c r="E11" s="15368">
        <v>7.5</v>
      </c>
      <c r="F11" s="2306" t="s">
        <v>7685</v>
      </c>
      <c r="G11" s="3243" t="s">
        <v>3307</v>
      </c>
      <c r="H11" s="3263" t="s">
        <v>86</v>
      </c>
      <c r="I11" s="15417">
        <v>6.6</v>
      </c>
      <c r="J11" s="2311" t="s">
        <v>3299</v>
      </c>
      <c r="K11" s="2284">
        <v>1</v>
      </c>
      <c r="L11" s="2311" t="s">
        <v>4189</v>
      </c>
      <c r="M11" s="2311" t="s">
        <v>3285</v>
      </c>
      <c r="N11" s="2311" t="s">
        <v>3301</v>
      </c>
      <c r="O11" s="2312">
        <v>15239000</v>
      </c>
      <c r="P11" s="15408"/>
      <c r="Q11" s="2309">
        <v>52410800</v>
      </c>
      <c r="R11" s="2309">
        <v>229343164</v>
      </c>
      <c r="S11" s="2309">
        <v>11986687</v>
      </c>
      <c r="T11" s="2305">
        <v>22</v>
      </c>
      <c r="U11" s="2305"/>
      <c r="V11" s="2305">
        <v>22</v>
      </c>
      <c r="W11" s="2305">
        <v>16</v>
      </c>
      <c r="X11" s="2305">
        <v>6</v>
      </c>
      <c r="Y11" s="2305"/>
      <c r="Z11" s="2305"/>
      <c r="AA11" s="2305">
        <v>1</v>
      </c>
      <c r="AB11" s="2305">
        <v>10</v>
      </c>
      <c r="AC11" s="2305">
        <v>11</v>
      </c>
      <c r="AD11" s="2305"/>
      <c r="AE11" s="2305"/>
      <c r="AF11" s="2305"/>
      <c r="AG11" s="2305"/>
      <c r="AH11" s="2305"/>
      <c r="AI11" s="2305"/>
      <c r="AJ11" s="2305"/>
      <c r="AK11" s="2305"/>
      <c r="AL11" s="2305"/>
      <c r="AM11" s="2305"/>
      <c r="AN11" s="2305">
        <v>20</v>
      </c>
      <c r="AO11" s="2305">
        <v>1</v>
      </c>
      <c r="AP11" s="2305">
        <v>1</v>
      </c>
      <c r="AQ11" s="2305"/>
      <c r="AR11" s="2305"/>
      <c r="AS11" s="2305"/>
      <c r="AT11" s="2305"/>
      <c r="AU11" s="2305"/>
      <c r="AV11" s="2305"/>
      <c r="AW11" s="2305"/>
      <c r="AX11" s="2305"/>
      <c r="AY11" s="2305"/>
      <c r="AZ11" s="2305"/>
      <c r="BA11" s="2305"/>
      <c r="BB11" s="2305"/>
      <c r="BC11" s="2305"/>
      <c r="BD11" s="15368">
        <v>6.6</v>
      </c>
      <c r="BE11" s="2311" t="s">
        <v>3299</v>
      </c>
      <c r="BF11" s="2292" t="s">
        <v>1509</v>
      </c>
      <c r="BG11" s="2311" t="s">
        <v>3299</v>
      </c>
      <c r="BH11" s="2305" t="s">
        <v>9632</v>
      </c>
      <c r="BI11" s="2307">
        <v>1</v>
      </c>
      <c r="BJ11" s="2295">
        <v>1</v>
      </c>
      <c r="BK11" s="15523"/>
      <c r="BL11" s="2311" t="s">
        <v>4189</v>
      </c>
      <c r="BM11" s="2311" t="s">
        <v>3285</v>
      </c>
      <c r="BN11" s="2311" t="s">
        <v>8740</v>
      </c>
      <c r="BO11" s="2308">
        <v>5038000</v>
      </c>
      <c r="BP11" s="15408"/>
      <c r="BQ11" s="2296">
        <v>4231920</v>
      </c>
      <c r="BR11" s="2296">
        <f t="shared" si="0"/>
        <v>806080</v>
      </c>
      <c r="BS11" s="2296"/>
      <c r="BT11" s="2305">
        <v>16</v>
      </c>
      <c r="BU11" s="2305"/>
      <c r="BV11" s="2305">
        <v>16</v>
      </c>
      <c r="BW11" s="2305"/>
      <c r="BX11" s="2305"/>
      <c r="BY11" s="2305"/>
      <c r="BZ11" s="2305"/>
      <c r="CA11" s="2305">
        <v>6</v>
      </c>
      <c r="CB11" s="2305">
        <v>6</v>
      </c>
      <c r="CC11" s="2305">
        <v>5</v>
      </c>
      <c r="CD11" s="2305"/>
      <c r="CE11" s="2305"/>
      <c r="CF11" s="2305"/>
      <c r="CG11" s="2305"/>
      <c r="CH11" s="2305"/>
      <c r="CI11" s="2305"/>
      <c r="CJ11" s="2305"/>
      <c r="CK11" s="2305"/>
      <c r="CL11" s="2305"/>
      <c r="CM11" s="2305"/>
      <c r="CN11" s="2305">
        <v>20</v>
      </c>
      <c r="CO11" s="2305">
        <v>1</v>
      </c>
      <c r="CP11" s="2305">
        <v>1</v>
      </c>
      <c r="CQ11" s="2305"/>
      <c r="CR11" s="2305"/>
      <c r="CS11" s="2305"/>
      <c r="CT11" s="2305"/>
      <c r="CU11" s="2305"/>
      <c r="CV11" s="2305"/>
      <c r="CW11" s="2305"/>
      <c r="CX11" s="2305"/>
      <c r="CY11" s="2305"/>
      <c r="CZ11" s="2305"/>
      <c r="DA11" s="2305"/>
      <c r="DB11" s="2305"/>
      <c r="DC11" s="2305"/>
      <c r="DE11" s="3289"/>
      <c r="DF11" s="3021"/>
      <c r="DG11" s="3021"/>
      <c r="DH11" s="3021"/>
      <c r="DI11" s="3021"/>
      <c r="DJ11" s="3327"/>
      <c r="DK11" s="3289"/>
      <c r="DL11" s="3021"/>
      <c r="DM11" s="3021"/>
      <c r="DN11" s="3290"/>
      <c r="DO11" s="3278"/>
      <c r="DP11" s="3341"/>
      <c r="DQ11" s="3290"/>
      <c r="DR11" s="3341"/>
      <c r="DS11" s="3290"/>
      <c r="DT11" s="3341"/>
      <c r="DU11" s="3021"/>
      <c r="DV11" s="3021"/>
      <c r="DW11" s="3021"/>
      <c r="DX11" s="3021"/>
      <c r="DY11" s="3021"/>
      <c r="DZ11" s="3327"/>
      <c r="EA11" s="3289"/>
      <c r="EB11" s="3021"/>
      <c r="EC11" s="3021"/>
      <c r="ED11" s="3021"/>
      <c r="EE11" s="3021"/>
      <c r="EF11" s="3021"/>
      <c r="EG11" s="3021"/>
      <c r="EH11" s="3021"/>
      <c r="EI11" s="3021"/>
      <c r="EJ11" s="3021"/>
      <c r="EK11" s="3021"/>
      <c r="EL11" s="3021"/>
      <c r="EM11" s="3021"/>
      <c r="EN11" s="3290"/>
      <c r="EO11" s="3341"/>
      <c r="EP11" s="3021"/>
      <c r="EQ11" s="3021"/>
      <c r="ER11" s="3021"/>
      <c r="ES11" s="3327"/>
      <c r="ET11" s="3289"/>
      <c r="EU11" s="3021"/>
      <c r="EV11" s="3021"/>
      <c r="EW11" s="3021"/>
      <c r="EX11" s="3290"/>
    </row>
    <row r="12" spans="1:342" s="2310" customFormat="1" ht="15" customHeight="1" thickBot="1">
      <c r="A12" s="15384"/>
      <c r="B12" s="15370"/>
      <c r="C12" s="15369"/>
      <c r="D12" s="15368"/>
      <c r="E12" s="15368"/>
      <c r="F12" s="2306" t="s">
        <v>7686</v>
      </c>
      <c r="G12" s="3243" t="s">
        <v>3308</v>
      </c>
      <c r="H12" s="3263" t="s">
        <v>86</v>
      </c>
      <c r="I12" s="15417"/>
      <c r="J12" s="2311" t="s">
        <v>4092</v>
      </c>
      <c r="K12" s="2284">
        <v>0.85</v>
      </c>
      <c r="L12" s="2311" t="s">
        <v>4090</v>
      </c>
      <c r="M12" s="2311" t="s">
        <v>3285</v>
      </c>
      <c r="N12" s="2311" t="s">
        <v>4091</v>
      </c>
      <c r="O12" s="2312">
        <v>15239000</v>
      </c>
      <c r="P12" s="15408"/>
      <c r="Q12" s="2309">
        <v>52410800</v>
      </c>
      <c r="R12" s="2309">
        <v>229343164</v>
      </c>
      <c r="S12" s="2309">
        <v>11986687</v>
      </c>
      <c r="T12" s="2305">
        <v>22</v>
      </c>
      <c r="U12" s="2305">
        <v>16</v>
      </c>
      <c r="V12" s="2305">
        <v>6</v>
      </c>
      <c r="W12" s="2305"/>
      <c r="X12" s="2305"/>
      <c r="Y12" s="2305">
        <v>1</v>
      </c>
      <c r="Z12" s="2305">
        <v>10</v>
      </c>
      <c r="AA12" s="2305">
        <v>11</v>
      </c>
      <c r="AB12" s="2305"/>
      <c r="AC12" s="2305"/>
      <c r="AD12" s="2305">
        <v>22</v>
      </c>
      <c r="AE12" s="2305"/>
      <c r="AF12" s="2305"/>
      <c r="AG12" s="2305"/>
      <c r="AH12" s="2305"/>
      <c r="AI12" s="2305"/>
      <c r="AJ12" s="2305"/>
      <c r="AK12" s="2305"/>
      <c r="AL12" s="2305">
        <v>20</v>
      </c>
      <c r="AM12" s="2305">
        <v>1</v>
      </c>
      <c r="AN12" s="2305"/>
      <c r="AO12" s="2305"/>
      <c r="AP12" s="2305"/>
      <c r="AQ12" s="2305">
        <v>1</v>
      </c>
      <c r="AR12" s="2305"/>
      <c r="AS12" s="2305"/>
      <c r="AT12" s="2305"/>
      <c r="AU12" s="2305"/>
      <c r="AV12" s="2305"/>
      <c r="AW12" s="2305"/>
      <c r="AX12" s="2305"/>
      <c r="AY12" s="2305"/>
      <c r="AZ12" s="2305"/>
      <c r="BA12" s="2305"/>
      <c r="BB12" s="2305"/>
      <c r="BC12" s="2305"/>
      <c r="BD12" s="15368"/>
      <c r="BE12" s="2311" t="s">
        <v>4092</v>
      </c>
      <c r="BF12" s="2292" t="s">
        <v>1509</v>
      </c>
      <c r="BG12" s="2300" t="s">
        <v>4092</v>
      </c>
      <c r="BH12" s="2307" t="s">
        <v>9634</v>
      </c>
      <c r="BI12" s="2307">
        <v>0.85</v>
      </c>
      <c r="BJ12" s="2295">
        <v>0.85</v>
      </c>
      <c r="BK12" s="15523"/>
      <c r="BL12" s="2300" t="s">
        <v>8736</v>
      </c>
      <c r="BM12" s="2311" t="s">
        <v>3285</v>
      </c>
      <c r="BN12" s="2300" t="s">
        <v>8741</v>
      </c>
      <c r="BO12" s="2308">
        <v>5038000</v>
      </c>
      <c r="BP12" s="15408"/>
      <c r="BQ12" s="2296">
        <v>4231920</v>
      </c>
      <c r="BR12" s="2296">
        <f t="shared" si="0"/>
        <v>806080</v>
      </c>
      <c r="BS12" s="2296"/>
      <c r="BT12" s="2305"/>
      <c r="BU12" s="2305"/>
      <c r="BV12" s="2305"/>
      <c r="BW12" s="2305"/>
      <c r="BX12" s="2305"/>
      <c r="BY12" s="2305"/>
      <c r="BZ12" s="2305"/>
      <c r="CA12" s="2305"/>
      <c r="CB12" s="2305"/>
      <c r="CC12" s="2305"/>
      <c r="CD12" s="2305"/>
      <c r="CE12" s="2305"/>
      <c r="CF12" s="2305"/>
      <c r="CG12" s="2305"/>
      <c r="CH12" s="2305"/>
      <c r="CI12" s="2305"/>
      <c r="CJ12" s="2305"/>
      <c r="CK12" s="2305"/>
      <c r="CL12" s="2305"/>
      <c r="CM12" s="2305"/>
      <c r="CN12" s="2305"/>
      <c r="CO12" s="2305"/>
      <c r="CP12" s="2305"/>
      <c r="CQ12" s="2305">
        <v>1</v>
      </c>
      <c r="CR12" s="2305"/>
      <c r="CS12" s="2305"/>
      <c r="CT12" s="2305" t="s">
        <v>2191</v>
      </c>
      <c r="CU12" s="2305" t="s">
        <v>8746</v>
      </c>
      <c r="CV12" s="2305">
        <v>18</v>
      </c>
      <c r="CW12" s="2305"/>
      <c r="CX12" s="2305"/>
      <c r="CY12" s="2305"/>
      <c r="CZ12" s="2305"/>
      <c r="DA12" s="2305"/>
      <c r="DB12" s="2305"/>
      <c r="DC12" s="2305"/>
      <c r="DE12" s="3289"/>
      <c r="DF12" s="3021"/>
      <c r="DG12" s="3021"/>
      <c r="DH12" s="3021"/>
      <c r="DI12" s="3021"/>
      <c r="DJ12" s="3327"/>
      <c r="DK12" s="3289"/>
      <c r="DL12" s="3021"/>
      <c r="DM12" s="3021"/>
      <c r="DN12" s="3290"/>
      <c r="DO12" s="3278"/>
      <c r="DP12" s="3341"/>
      <c r="DQ12" s="3290"/>
      <c r="DR12" s="3341"/>
      <c r="DS12" s="3290"/>
      <c r="DT12" s="3341"/>
      <c r="DU12" s="3021"/>
      <c r="DV12" s="3021"/>
      <c r="DW12" s="3021"/>
      <c r="DX12" s="3021"/>
      <c r="DY12" s="3021"/>
      <c r="DZ12" s="3327"/>
      <c r="EA12" s="3289"/>
      <c r="EB12" s="3021"/>
      <c r="EC12" s="3021"/>
      <c r="ED12" s="3021"/>
      <c r="EE12" s="3021"/>
      <c r="EF12" s="3021"/>
      <c r="EG12" s="3021"/>
      <c r="EH12" s="3021"/>
      <c r="EI12" s="3021"/>
      <c r="EJ12" s="3021"/>
      <c r="EK12" s="3021"/>
      <c r="EL12" s="3021"/>
      <c r="EM12" s="3021"/>
      <c r="EN12" s="3290"/>
      <c r="EO12" s="3341"/>
      <c r="EP12" s="3021"/>
      <c r="EQ12" s="3021"/>
      <c r="ER12" s="3021"/>
      <c r="ES12" s="3327"/>
      <c r="ET12" s="3289"/>
      <c r="EU12" s="3021"/>
      <c r="EV12" s="3021"/>
      <c r="EW12" s="3021"/>
      <c r="EX12" s="3290"/>
    </row>
    <row r="13" spans="1:342" s="2310" customFormat="1" ht="15" customHeight="1" thickBot="1">
      <c r="A13" s="15384"/>
      <c r="B13" s="15370" t="s">
        <v>3309</v>
      </c>
      <c r="C13" s="15369" t="s">
        <v>3310</v>
      </c>
      <c r="D13" s="15381">
        <v>0.89100000000000001</v>
      </c>
      <c r="E13" s="15382">
        <v>0.95</v>
      </c>
      <c r="F13" s="2306" t="s">
        <v>7687</v>
      </c>
      <c r="G13" s="3243" t="s">
        <v>3311</v>
      </c>
      <c r="H13" s="3263" t="s">
        <v>86</v>
      </c>
      <c r="I13" s="15471">
        <v>0.92300000000000004</v>
      </c>
      <c r="J13" s="2311" t="s">
        <v>3303</v>
      </c>
      <c r="K13" s="2284">
        <v>1</v>
      </c>
      <c r="L13" s="2311" t="s">
        <v>4190</v>
      </c>
      <c r="M13" s="2311" t="s">
        <v>3305</v>
      </c>
      <c r="N13" s="2300"/>
      <c r="O13" s="2312">
        <v>15239000</v>
      </c>
      <c r="P13" s="15408"/>
      <c r="Q13" s="2309">
        <v>52410800</v>
      </c>
      <c r="R13" s="2309">
        <v>229343164</v>
      </c>
      <c r="S13" s="2309">
        <v>11986687</v>
      </c>
      <c r="T13" s="2300"/>
      <c r="U13" s="2300"/>
      <c r="V13" s="2300"/>
      <c r="W13" s="2300"/>
      <c r="X13" s="2305"/>
      <c r="Y13" s="2305"/>
      <c r="Z13" s="2305"/>
      <c r="AA13" s="2305"/>
      <c r="AB13" s="2305"/>
      <c r="AC13" s="2305"/>
      <c r="AD13" s="2305"/>
      <c r="AE13" s="2305"/>
      <c r="AF13" s="2305"/>
      <c r="AG13" s="2305"/>
      <c r="AH13" s="2305"/>
      <c r="AI13" s="2305"/>
      <c r="AJ13" s="2305"/>
      <c r="AK13" s="2305"/>
      <c r="AL13" s="2305"/>
      <c r="AM13" s="2305"/>
      <c r="AN13" s="2305"/>
      <c r="AO13" s="2305"/>
      <c r="AP13" s="2305"/>
      <c r="AQ13" s="2305"/>
      <c r="AR13" s="2305"/>
      <c r="AS13" s="2305"/>
      <c r="AT13" s="2314" t="s">
        <v>3287</v>
      </c>
      <c r="AU13" s="2313" t="s">
        <v>3288</v>
      </c>
      <c r="AV13" s="2304">
        <v>41</v>
      </c>
      <c r="AW13" s="2305"/>
      <c r="AX13" s="2305"/>
      <c r="AY13" s="2305"/>
      <c r="AZ13" s="2305"/>
      <c r="BA13" s="2305"/>
      <c r="BB13" s="2305"/>
      <c r="BC13" s="2305"/>
      <c r="BD13" s="15381">
        <v>0.92300000000000004</v>
      </c>
      <c r="BE13" s="2311" t="s">
        <v>3303</v>
      </c>
      <c r="BF13" s="2292" t="s">
        <v>1509</v>
      </c>
      <c r="BG13" s="2311" t="s">
        <v>3303</v>
      </c>
      <c r="BH13" s="2307">
        <v>1</v>
      </c>
      <c r="BI13" s="2307">
        <v>1</v>
      </c>
      <c r="BJ13" s="2295">
        <v>1</v>
      </c>
      <c r="BK13" s="15523"/>
      <c r="BL13" s="2311" t="s">
        <v>4190</v>
      </c>
      <c r="BM13" s="2311" t="s">
        <v>3305</v>
      </c>
      <c r="BN13" s="2300"/>
      <c r="BO13" s="2308">
        <v>5038000</v>
      </c>
      <c r="BP13" s="15408"/>
      <c r="BQ13" s="2296">
        <v>4231920</v>
      </c>
      <c r="BR13" s="2296">
        <f t="shared" si="0"/>
        <v>806080</v>
      </c>
      <c r="BS13" s="2296"/>
      <c r="BT13" s="2305"/>
      <c r="BU13" s="2305"/>
      <c r="BV13" s="2305"/>
      <c r="BW13" s="2305"/>
      <c r="BX13" s="2305"/>
      <c r="BY13" s="2305"/>
      <c r="BZ13" s="2305"/>
      <c r="CA13" s="2305"/>
      <c r="CB13" s="2305"/>
      <c r="CC13" s="2305"/>
      <c r="CD13" s="2305"/>
      <c r="CE13" s="2305"/>
      <c r="CF13" s="2305"/>
      <c r="CG13" s="2305"/>
      <c r="CH13" s="2305"/>
      <c r="CI13" s="2305"/>
      <c r="CJ13" s="2305"/>
      <c r="CK13" s="2305"/>
      <c r="CL13" s="2305"/>
      <c r="CM13" s="2305"/>
      <c r="CN13" s="2305"/>
      <c r="CO13" s="2305"/>
      <c r="CP13" s="2305"/>
      <c r="CQ13" s="2305"/>
      <c r="CR13" s="2305"/>
      <c r="CS13" s="2305"/>
      <c r="CT13" s="2314" t="s">
        <v>3287</v>
      </c>
      <c r="CU13" s="2313" t="s">
        <v>3288</v>
      </c>
      <c r="CV13" s="2304">
        <v>41</v>
      </c>
      <c r="CW13" s="2305"/>
      <c r="CX13" s="2305"/>
      <c r="CY13" s="2305"/>
      <c r="CZ13" s="2305"/>
      <c r="DA13" s="2305"/>
      <c r="DB13" s="2305"/>
      <c r="DC13" s="2305"/>
      <c r="DE13" s="3289"/>
      <c r="DF13" s="3021"/>
      <c r="DG13" s="3021"/>
      <c r="DH13" s="3021"/>
      <c r="DI13" s="3021"/>
      <c r="DJ13" s="3327"/>
      <c r="DK13" s="3289"/>
      <c r="DL13" s="3021"/>
      <c r="DM13" s="3021"/>
      <c r="DN13" s="3290"/>
      <c r="DO13" s="3278"/>
      <c r="DP13" s="3341"/>
      <c r="DQ13" s="3290"/>
      <c r="DR13" s="3341"/>
      <c r="DS13" s="3290"/>
      <c r="DT13" s="3341"/>
      <c r="DU13" s="3021"/>
      <c r="DV13" s="3021"/>
      <c r="DW13" s="3021"/>
      <c r="DX13" s="3021"/>
      <c r="DY13" s="3021"/>
      <c r="DZ13" s="3327"/>
      <c r="EA13" s="3289"/>
      <c r="EB13" s="3021"/>
      <c r="EC13" s="3021"/>
      <c r="ED13" s="3021"/>
      <c r="EE13" s="3021"/>
      <c r="EF13" s="3021"/>
      <c r="EG13" s="3021"/>
      <c r="EH13" s="3021"/>
      <c r="EI13" s="3021"/>
      <c r="EJ13" s="3021"/>
      <c r="EK13" s="3021"/>
      <c r="EL13" s="3021"/>
      <c r="EM13" s="3021"/>
      <c r="EN13" s="3290"/>
      <c r="EO13" s="3341"/>
      <c r="EP13" s="3021"/>
      <c r="EQ13" s="3021"/>
      <c r="ER13" s="3021"/>
      <c r="ES13" s="3327"/>
      <c r="ET13" s="3289"/>
      <c r="EU13" s="3021"/>
      <c r="EV13" s="3021"/>
      <c r="EW13" s="3021"/>
      <c r="EX13" s="3290"/>
    </row>
    <row r="14" spans="1:342" s="2310" customFormat="1" ht="15" customHeight="1" thickBot="1">
      <c r="A14" s="15384"/>
      <c r="B14" s="15370"/>
      <c r="C14" s="15369"/>
      <c r="D14" s="15381"/>
      <c r="E14" s="15382"/>
      <c r="F14" s="2306" t="s">
        <v>7688</v>
      </c>
      <c r="G14" s="3244" t="s">
        <v>3312</v>
      </c>
      <c r="H14" s="3264" t="s">
        <v>86</v>
      </c>
      <c r="I14" s="15471"/>
      <c r="J14" s="2311" t="s">
        <v>3313</v>
      </c>
      <c r="K14" s="2284">
        <v>1</v>
      </c>
      <c r="L14" s="2311" t="s">
        <v>3314</v>
      </c>
      <c r="M14" s="2311" t="s">
        <v>3315</v>
      </c>
      <c r="N14" s="2311" t="s">
        <v>3315</v>
      </c>
      <c r="O14" s="2312">
        <v>15239000</v>
      </c>
      <c r="P14" s="15408"/>
      <c r="Q14" s="2309">
        <v>52410800</v>
      </c>
      <c r="R14" s="2309">
        <v>229343164</v>
      </c>
      <c r="S14" s="2309">
        <v>11986687</v>
      </c>
      <c r="T14" s="2300"/>
      <c r="U14" s="2300"/>
      <c r="V14" s="2300"/>
      <c r="W14" s="2300"/>
      <c r="X14" s="2305"/>
      <c r="Y14" s="2305"/>
      <c r="Z14" s="2305"/>
      <c r="AA14" s="2305"/>
      <c r="AB14" s="2305"/>
      <c r="AC14" s="2305"/>
      <c r="AD14" s="2305"/>
      <c r="AE14" s="2305"/>
      <c r="AF14" s="2305"/>
      <c r="AG14" s="2305"/>
      <c r="AH14" s="2305"/>
      <c r="AI14" s="2305"/>
      <c r="AJ14" s="2305"/>
      <c r="AK14" s="2305"/>
      <c r="AL14" s="2305"/>
      <c r="AM14" s="2305"/>
      <c r="AN14" s="2305"/>
      <c r="AO14" s="2305"/>
      <c r="AP14" s="2305"/>
      <c r="AQ14" s="2305"/>
      <c r="AR14" s="2305"/>
      <c r="AS14" s="2305"/>
      <c r="AT14" s="2314" t="s">
        <v>3287</v>
      </c>
      <c r="AU14" s="2299" t="s">
        <v>3288</v>
      </c>
      <c r="AV14" s="2305">
        <v>35</v>
      </c>
      <c r="AW14" s="2305"/>
      <c r="AX14" s="2305"/>
      <c r="AY14" s="2305"/>
      <c r="AZ14" s="2305"/>
      <c r="BA14" s="2305"/>
      <c r="BB14" s="2305"/>
      <c r="BC14" s="2305"/>
      <c r="BD14" s="15381"/>
      <c r="BE14" s="2311" t="s">
        <v>3313</v>
      </c>
      <c r="BF14" s="2292" t="s">
        <v>1509</v>
      </c>
      <c r="BG14" s="2311" t="s">
        <v>3313</v>
      </c>
      <c r="BH14" s="2307">
        <v>1</v>
      </c>
      <c r="BI14" s="2307">
        <v>1</v>
      </c>
      <c r="BJ14" s="2295">
        <v>1</v>
      </c>
      <c r="BK14" s="15523"/>
      <c r="BL14" s="2311" t="s">
        <v>3314</v>
      </c>
      <c r="BM14" s="2311" t="s">
        <v>3315</v>
      </c>
      <c r="BN14" s="2311" t="s">
        <v>3315</v>
      </c>
      <c r="BO14" s="2308">
        <v>5038000</v>
      </c>
      <c r="BP14" s="15408"/>
      <c r="BQ14" s="2296">
        <v>4231920</v>
      </c>
      <c r="BR14" s="2296">
        <f t="shared" si="0"/>
        <v>806080</v>
      </c>
      <c r="BS14" s="2296"/>
      <c r="BT14" s="2305"/>
      <c r="BU14" s="2305"/>
      <c r="BV14" s="2305"/>
      <c r="BW14" s="2305"/>
      <c r="BX14" s="2305"/>
      <c r="BY14" s="2305"/>
      <c r="BZ14" s="2305"/>
      <c r="CA14" s="2305"/>
      <c r="CB14" s="2305"/>
      <c r="CC14" s="2305"/>
      <c r="CD14" s="2305"/>
      <c r="CE14" s="2305"/>
      <c r="CF14" s="2305"/>
      <c r="CG14" s="2305"/>
      <c r="CH14" s="2305"/>
      <c r="CI14" s="2305"/>
      <c r="CJ14" s="2305"/>
      <c r="CK14" s="2305"/>
      <c r="CL14" s="2305"/>
      <c r="CM14" s="2305"/>
      <c r="CN14" s="2305"/>
      <c r="CO14" s="2305"/>
      <c r="CP14" s="2305"/>
      <c r="CQ14" s="2305"/>
      <c r="CR14" s="2305"/>
      <c r="CS14" s="2305"/>
      <c r="CT14" s="2314" t="s">
        <v>3287</v>
      </c>
      <c r="CU14" s="2299" t="s">
        <v>3288</v>
      </c>
      <c r="CV14" s="2305">
        <v>35</v>
      </c>
      <c r="CW14" s="2305"/>
      <c r="CX14" s="2305"/>
      <c r="CY14" s="2305"/>
      <c r="CZ14" s="2305"/>
      <c r="DA14" s="2305"/>
      <c r="DB14" s="2305"/>
      <c r="DC14" s="2305"/>
      <c r="DE14" s="3289"/>
      <c r="DF14" s="3021"/>
      <c r="DG14" s="3021"/>
      <c r="DH14" s="3021"/>
      <c r="DI14" s="3021"/>
      <c r="DJ14" s="3327"/>
      <c r="DK14" s="3289"/>
      <c r="DL14" s="3021"/>
      <c r="DM14" s="3021"/>
      <c r="DN14" s="3290"/>
      <c r="DO14" s="3278"/>
      <c r="DP14" s="3341"/>
      <c r="DQ14" s="3290"/>
      <c r="DR14" s="3341"/>
      <c r="DS14" s="3290"/>
      <c r="DT14" s="3341"/>
      <c r="DU14" s="3021"/>
      <c r="DV14" s="3021"/>
      <c r="DW14" s="3021"/>
      <c r="DX14" s="3021"/>
      <c r="DY14" s="3021"/>
      <c r="DZ14" s="3327"/>
      <c r="EA14" s="3289"/>
      <c r="EB14" s="3021"/>
      <c r="EC14" s="3021"/>
      <c r="ED14" s="3021"/>
      <c r="EE14" s="3021"/>
      <c r="EF14" s="3021"/>
      <c r="EG14" s="3021"/>
      <c r="EH14" s="3021"/>
      <c r="EI14" s="3021"/>
      <c r="EJ14" s="3021"/>
      <c r="EK14" s="3021"/>
      <c r="EL14" s="3021"/>
      <c r="EM14" s="3021"/>
      <c r="EN14" s="3290"/>
      <c r="EO14" s="3341"/>
      <c r="EP14" s="3021"/>
      <c r="EQ14" s="3021"/>
      <c r="ER14" s="3021"/>
      <c r="ES14" s="3327"/>
      <c r="ET14" s="3289"/>
      <c r="EU14" s="3021"/>
      <c r="EV14" s="3021"/>
      <c r="EW14" s="3021"/>
      <c r="EX14" s="3290"/>
    </row>
    <row r="15" spans="1:342" s="2310" customFormat="1" ht="15" customHeight="1" thickBot="1">
      <c r="A15" s="15384"/>
      <c r="B15" s="15370"/>
      <c r="C15" s="15369"/>
      <c r="D15" s="15381"/>
      <c r="E15" s="15382"/>
      <c r="F15" s="2306" t="s">
        <v>7689</v>
      </c>
      <c r="G15" s="3244" t="s">
        <v>3316</v>
      </c>
      <c r="H15" s="3264" t="s">
        <v>86</v>
      </c>
      <c r="I15" s="15471"/>
      <c r="J15" s="2311" t="s">
        <v>3317</v>
      </c>
      <c r="K15" s="2284">
        <v>1</v>
      </c>
      <c r="L15" s="2311" t="s">
        <v>3318</v>
      </c>
      <c r="M15" s="2311" t="s">
        <v>3319</v>
      </c>
      <c r="N15" s="2311" t="s">
        <v>3320</v>
      </c>
      <c r="O15" s="2312">
        <v>15239000</v>
      </c>
      <c r="P15" s="15408"/>
      <c r="Q15" s="2309">
        <v>52410800</v>
      </c>
      <c r="R15" s="2309">
        <v>229343164</v>
      </c>
      <c r="S15" s="2309">
        <v>11986687</v>
      </c>
      <c r="T15" s="2305">
        <v>1</v>
      </c>
      <c r="U15" s="2305"/>
      <c r="V15" s="2305">
        <v>1</v>
      </c>
      <c r="W15" s="2305"/>
      <c r="X15" s="2305">
        <v>1</v>
      </c>
      <c r="Y15" s="2305"/>
      <c r="Z15" s="2305"/>
      <c r="AA15" s="2305"/>
      <c r="AB15" s="2305">
        <v>1</v>
      </c>
      <c r="AC15" s="2305"/>
      <c r="AD15" s="2305"/>
      <c r="AE15" s="2305"/>
      <c r="AF15" s="2305"/>
      <c r="AG15" s="2305"/>
      <c r="AH15" s="2305"/>
      <c r="AI15" s="2305"/>
      <c r="AJ15" s="2305"/>
      <c r="AK15" s="2305"/>
      <c r="AL15" s="2305"/>
      <c r="AM15" s="2305"/>
      <c r="AN15" s="2305">
        <v>1</v>
      </c>
      <c r="AO15" s="2305"/>
      <c r="AP15" s="2305"/>
      <c r="AQ15" s="2305"/>
      <c r="AR15" s="2305"/>
      <c r="AS15" s="2305"/>
      <c r="AT15" s="2305"/>
      <c r="AU15" s="2305"/>
      <c r="AV15" s="2305"/>
      <c r="AW15" s="2305"/>
      <c r="AX15" s="2305"/>
      <c r="AY15" s="2305"/>
      <c r="AZ15" s="2305"/>
      <c r="BA15" s="2305"/>
      <c r="BB15" s="2305"/>
      <c r="BC15" s="2305"/>
      <c r="BD15" s="15381"/>
      <c r="BE15" s="2311" t="s">
        <v>3317</v>
      </c>
      <c r="BF15" s="2292" t="s">
        <v>1509</v>
      </c>
      <c r="BG15" s="2311" t="s">
        <v>3317</v>
      </c>
      <c r="BH15" s="2307">
        <v>1</v>
      </c>
      <c r="BI15" s="2307">
        <v>1</v>
      </c>
      <c r="BJ15" s="2295">
        <v>1</v>
      </c>
      <c r="BK15" s="15523"/>
      <c r="BL15" s="2311" t="s">
        <v>3318</v>
      </c>
      <c r="BM15" s="2311" t="s">
        <v>3319</v>
      </c>
      <c r="BN15" s="2311" t="s">
        <v>8742</v>
      </c>
      <c r="BO15" s="2308">
        <v>5038000</v>
      </c>
      <c r="BP15" s="15408"/>
      <c r="BQ15" s="2296">
        <v>4231920</v>
      </c>
      <c r="BR15" s="2296">
        <f t="shared" si="0"/>
        <v>806080</v>
      </c>
      <c r="BS15" s="2296"/>
      <c r="BT15" s="2305">
        <v>8</v>
      </c>
      <c r="BU15" s="2305"/>
      <c r="BV15" s="2305">
        <v>8</v>
      </c>
      <c r="BW15" s="2305">
        <v>8</v>
      </c>
      <c r="BX15" s="2305"/>
      <c r="BY15" s="2305"/>
      <c r="BZ15" s="2305"/>
      <c r="CA15" s="2305"/>
      <c r="CB15" s="2305"/>
      <c r="CC15" s="2305"/>
      <c r="CD15" s="2305"/>
      <c r="CE15" s="2305"/>
      <c r="CF15" s="2305"/>
      <c r="CG15" s="2305"/>
      <c r="CH15" s="2305"/>
      <c r="CI15" s="2305"/>
      <c r="CJ15" s="2305"/>
      <c r="CK15" s="2305"/>
      <c r="CL15" s="2305"/>
      <c r="CM15" s="2305"/>
      <c r="CN15" s="2305">
        <v>1</v>
      </c>
      <c r="CO15" s="2305"/>
      <c r="CP15" s="2305"/>
      <c r="CQ15" s="2305"/>
      <c r="CR15" s="2305"/>
      <c r="CS15" s="2305"/>
      <c r="CT15" s="2305"/>
      <c r="CU15" s="2305"/>
      <c r="CV15" s="2305"/>
      <c r="CW15" s="2305"/>
      <c r="CX15" s="2305"/>
      <c r="CY15" s="2305"/>
      <c r="CZ15" s="2305"/>
      <c r="DA15" s="2305"/>
      <c r="DB15" s="2305"/>
      <c r="DC15" s="2305"/>
      <c r="DE15" s="3289"/>
      <c r="DF15" s="3021"/>
      <c r="DG15" s="3021"/>
      <c r="DH15" s="3021"/>
      <c r="DI15" s="3021"/>
      <c r="DJ15" s="3327"/>
      <c r="DK15" s="3289"/>
      <c r="DL15" s="3021"/>
      <c r="DM15" s="3021"/>
      <c r="DN15" s="3290"/>
      <c r="DO15" s="3278"/>
      <c r="DP15" s="3341"/>
      <c r="DQ15" s="3290"/>
      <c r="DR15" s="3341"/>
      <c r="DS15" s="3290"/>
      <c r="DT15" s="3341"/>
      <c r="DU15" s="3021"/>
      <c r="DV15" s="3021"/>
      <c r="DW15" s="3021"/>
      <c r="DX15" s="3021"/>
      <c r="DY15" s="3021"/>
      <c r="DZ15" s="3327"/>
      <c r="EA15" s="3289"/>
      <c r="EB15" s="3021"/>
      <c r="EC15" s="3021"/>
      <c r="ED15" s="3021"/>
      <c r="EE15" s="3021"/>
      <c r="EF15" s="3021"/>
      <c r="EG15" s="3021"/>
      <c r="EH15" s="3021"/>
      <c r="EI15" s="3021"/>
      <c r="EJ15" s="3021"/>
      <c r="EK15" s="3021"/>
      <c r="EL15" s="3021"/>
      <c r="EM15" s="3021"/>
      <c r="EN15" s="3290"/>
      <c r="EO15" s="3341"/>
      <c r="EP15" s="3021"/>
      <c r="EQ15" s="3021"/>
      <c r="ER15" s="3021"/>
      <c r="ES15" s="3327"/>
      <c r="ET15" s="3289"/>
      <c r="EU15" s="3021"/>
      <c r="EV15" s="3021"/>
      <c r="EW15" s="3021"/>
      <c r="EX15" s="3290"/>
    </row>
    <row r="16" spans="1:342" s="2310" customFormat="1" ht="15" customHeight="1" thickBot="1">
      <c r="A16" s="15384"/>
      <c r="B16" s="15370"/>
      <c r="C16" s="15369"/>
      <c r="D16" s="15381"/>
      <c r="E16" s="15382"/>
      <c r="F16" s="2306" t="s">
        <v>7690</v>
      </c>
      <c r="G16" s="3243" t="s">
        <v>3321</v>
      </c>
      <c r="H16" s="3263" t="s">
        <v>86</v>
      </c>
      <c r="I16" s="15471"/>
      <c r="J16" s="2311" t="s">
        <v>3322</v>
      </c>
      <c r="K16" s="2284">
        <v>1</v>
      </c>
      <c r="L16" s="2311" t="s">
        <v>3323</v>
      </c>
      <c r="M16" s="2311" t="s">
        <v>3324</v>
      </c>
      <c r="N16" s="2311" t="s">
        <v>3325</v>
      </c>
      <c r="O16" s="2312">
        <v>15239000</v>
      </c>
      <c r="P16" s="15408"/>
      <c r="Q16" s="2309">
        <v>52410800</v>
      </c>
      <c r="R16" s="2309">
        <v>229343164</v>
      </c>
      <c r="S16" s="2309">
        <v>11986687</v>
      </c>
      <c r="T16" s="2300"/>
      <c r="U16" s="2300"/>
      <c r="V16" s="2305">
        <v>233</v>
      </c>
      <c r="W16" s="2305">
        <v>219</v>
      </c>
      <c r="X16" s="2305">
        <v>14</v>
      </c>
      <c r="Y16" s="2305"/>
      <c r="Z16" s="2305"/>
      <c r="AA16" s="2305">
        <v>17</v>
      </c>
      <c r="AB16" s="2305">
        <v>127</v>
      </c>
      <c r="AC16" s="2305">
        <v>89</v>
      </c>
      <c r="AD16" s="2305"/>
      <c r="AE16" s="2305"/>
      <c r="AF16" s="2305"/>
      <c r="AG16" s="2305"/>
      <c r="AH16" s="2305"/>
      <c r="AI16" s="2305"/>
      <c r="AJ16" s="2305"/>
      <c r="AK16" s="2305"/>
      <c r="AL16" s="2305"/>
      <c r="AM16" s="2305"/>
      <c r="AN16" s="2305">
        <v>216</v>
      </c>
      <c r="AO16" s="2305">
        <v>7</v>
      </c>
      <c r="AP16" s="2305">
        <v>10</v>
      </c>
      <c r="AQ16" s="2305"/>
      <c r="AR16" s="2305"/>
      <c r="AS16" s="2305"/>
      <c r="AT16" s="2305"/>
      <c r="AU16" s="2305"/>
      <c r="AV16" s="2305"/>
      <c r="AW16" s="2305"/>
      <c r="AX16" s="2305"/>
      <c r="AY16" s="2305"/>
      <c r="AZ16" s="2305"/>
      <c r="BA16" s="2305"/>
      <c r="BB16" s="2305"/>
      <c r="BC16" s="2305"/>
      <c r="BD16" s="15381"/>
      <c r="BE16" s="2311" t="s">
        <v>3322</v>
      </c>
      <c r="BF16" s="2292" t="s">
        <v>1509</v>
      </c>
      <c r="BG16" s="2311" t="s">
        <v>3322</v>
      </c>
      <c r="BH16" s="2307">
        <v>1</v>
      </c>
      <c r="BI16" s="2307">
        <v>1</v>
      </c>
      <c r="BJ16" s="2295">
        <v>1</v>
      </c>
      <c r="BK16" s="15523"/>
      <c r="BL16" s="2311" t="s">
        <v>3323</v>
      </c>
      <c r="BM16" s="2311" t="s">
        <v>3324</v>
      </c>
      <c r="BN16" s="2311" t="s">
        <v>3325</v>
      </c>
      <c r="BO16" s="2308">
        <v>5038000</v>
      </c>
      <c r="BP16" s="15408"/>
      <c r="BQ16" s="2296">
        <v>4231920</v>
      </c>
      <c r="BR16" s="2296">
        <f t="shared" si="0"/>
        <v>806080</v>
      </c>
      <c r="BS16" s="2296"/>
      <c r="BT16" s="2305">
        <v>38</v>
      </c>
      <c r="BU16" s="2305"/>
      <c r="BV16" s="2305">
        <v>38</v>
      </c>
      <c r="BW16" s="2305">
        <v>38</v>
      </c>
      <c r="BX16" s="2305"/>
      <c r="BY16" s="2305"/>
      <c r="BZ16" s="2305"/>
      <c r="CA16" s="2305"/>
      <c r="CB16" s="2305"/>
      <c r="CC16" s="2305"/>
      <c r="CD16" s="2305"/>
      <c r="CE16" s="2305"/>
      <c r="CF16" s="2305"/>
      <c r="CG16" s="2305"/>
      <c r="CH16" s="2305"/>
      <c r="CI16" s="2305"/>
      <c r="CJ16" s="2305"/>
      <c r="CK16" s="2305"/>
      <c r="CL16" s="2305"/>
      <c r="CM16" s="2305"/>
      <c r="CN16" s="2305">
        <v>216</v>
      </c>
      <c r="CO16" s="2305">
        <v>7</v>
      </c>
      <c r="CP16" s="2305">
        <v>10</v>
      </c>
      <c r="CQ16" s="2305"/>
      <c r="CR16" s="2305"/>
      <c r="CS16" s="2305"/>
      <c r="CT16" s="2305"/>
      <c r="CU16" s="2305"/>
      <c r="CV16" s="2305"/>
      <c r="CW16" s="2305"/>
      <c r="CX16" s="2305"/>
      <c r="CY16" s="2305"/>
      <c r="CZ16" s="2305"/>
      <c r="DA16" s="2305"/>
      <c r="DB16" s="2305"/>
      <c r="DC16" s="2305"/>
      <c r="DE16" s="3289"/>
      <c r="DF16" s="3021"/>
      <c r="DG16" s="3021"/>
      <c r="DH16" s="3021"/>
      <c r="DI16" s="3021"/>
      <c r="DJ16" s="3327"/>
      <c r="DK16" s="3289"/>
      <c r="DL16" s="3021"/>
      <c r="DM16" s="3021"/>
      <c r="DN16" s="3290"/>
      <c r="DO16" s="3278"/>
      <c r="DP16" s="3341"/>
      <c r="DQ16" s="3290"/>
      <c r="DR16" s="3341"/>
      <c r="DS16" s="3290"/>
      <c r="DT16" s="3341"/>
      <c r="DU16" s="3021"/>
      <c r="DV16" s="3021"/>
      <c r="DW16" s="3021"/>
      <c r="DX16" s="3021"/>
      <c r="DY16" s="3021"/>
      <c r="DZ16" s="3327"/>
      <c r="EA16" s="3289"/>
      <c r="EB16" s="3021"/>
      <c r="EC16" s="3021"/>
      <c r="ED16" s="3021"/>
      <c r="EE16" s="3021"/>
      <c r="EF16" s="3021"/>
      <c r="EG16" s="3021"/>
      <c r="EH16" s="3021"/>
      <c r="EI16" s="3021"/>
      <c r="EJ16" s="3021"/>
      <c r="EK16" s="3021"/>
      <c r="EL16" s="3021"/>
      <c r="EM16" s="3021"/>
      <c r="EN16" s="3290"/>
      <c r="EO16" s="3341"/>
      <c r="EP16" s="3021"/>
      <c r="EQ16" s="3021"/>
      <c r="ER16" s="3021"/>
      <c r="ES16" s="3327"/>
      <c r="ET16" s="3289"/>
      <c r="EU16" s="3021"/>
      <c r="EV16" s="3021"/>
      <c r="EW16" s="3021"/>
      <c r="EX16" s="3290"/>
    </row>
    <row r="17" spans="1:154" s="2310" customFormat="1" ht="15" customHeight="1" thickBot="1">
      <c r="A17" s="15384"/>
      <c r="B17" s="15370"/>
      <c r="C17" s="15369"/>
      <c r="D17" s="15381"/>
      <c r="E17" s="15382"/>
      <c r="F17" s="2306" t="s">
        <v>7691</v>
      </c>
      <c r="G17" s="3245" t="s">
        <v>3326</v>
      </c>
      <c r="H17" s="3263" t="s">
        <v>86</v>
      </c>
      <c r="I17" s="15471"/>
      <c r="J17" s="2311" t="s">
        <v>3291</v>
      </c>
      <c r="K17" s="2284">
        <v>1</v>
      </c>
      <c r="L17" s="2311" t="s">
        <v>3327</v>
      </c>
      <c r="M17" s="2311" t="s">
        <v>4191</v>
      </c>
      <c r="N17" s="2300"/>
      <c r="O17" s="2312">
        <v>30478000</v>
      </c>
      <c r="P17" s="15408"/>
      <c r="Q17" s="2309">
        <v>52410800</v>
      </c>
      <c r="R17" s="2309">
        <v>229343164</v>
      </c>
      <c r="S17" s="2309">
        <v>11986687</v>
      </c>
      <c r="T17" s="2304">
        <v>250</v>
      </c>
      <c r="U17" s="2302"/>
      <c r="V17" s="2305">
        <v>250</v>
      </c>
      <c r="W17" s="2305">
        <v>165</v>
      </c>
      <c r="X17" s="2305">
        <v>85</v>
      </c>
      <c r="Y17" s="2305"/>
      <c r="Z17" s="2305">
        <v>1</v>
      </c>
      <c r="AA17" s="2305">
        <v>35</v>
      </c>
      <c r="AB17" s="2305">
        <v>157</v>
      </c>
      <c r="AC17" s="2305">
        <v>56</v>
      </c>
      <c r="AD17" s="2305">
        <v>1</v>
      </c>
      <c r="AE17" s="2306"/>
      <c r="AF17" s="2306"/>
      <c r="AG17" s="2306"/>
      <c r="AH17" s="2306"/>
      <c r="AI17" s="2306"/>
      <c r="AJ17" s="2306"/>
      <c r="AK17" s="2306"/>
      <c r="AL17" s="2306"/>
      <c r="AM17" s="2306"/>
      <c r="AN17" s="2305">
        <v>228</v>
      </c>
      <c r="AO17" s="2305">
        <v>16</v>
      </c>
      <c r="AP17" s="2305">
        <v>6</v>
      </c>
      <c r="AQ17" s="2306"/>
      <c r="AR17" s="2306"/>
      <c r="AS17" s="2305"/>
      <c r="AT17" s="2305"/>
      <c r="AU17" s="2305"/>
      <c r="AV17" s="2305"/>
      <c r="AW17" s="2305"/>
      <c r="AX17" s="2305"/>
      <c r="AY17" s="2305"/>
      <c r="AZ17" s="2305"/>
      <c r="BA17" s="2305"/>
      <c r="BB17" s="2305"/>
      <c r="BC17" s="2305"/>
      <c r="BD17" s="15381"/>
      <c r="BE17" s="2311" t="s">
        <v>3291</v>
      </c>
      <c r="BF17" s="2292" t="s">
        <v>1509</v>
      </c>
      <c r="BG17" s="2311" t="s">
        <v>3291</v>
      </c>
      <c r="BH17" s="2307">
        <v>1</v>
      </c>
      <c r="BI17" s="2307">
        <v>1</v>
      </c>
      <c r="BJ17" s="2295">
        <v>1</v>
      </c>
      <c r="BK17" s="15523"/>
      <c r="BL17" s="2311" t="s">
        <v>3327</v>
      </c>
      <c r="BM17" s="2311" t="s">
        <v>4191</v>
      </c>
      <c r="BN17" s="2300"/>
      <c r="BO17" s="2308">
        <v>5038000</v>
      </c>
      <c r="BP17" s="15408"/>
      <c r="BQ17" s="2296">
        <v>4231920</v>
      </c>
      <c r="BR17" s="2296">
        <f t="shared" si="0"/>
        <v>806080</v>
      </c>
      <c r="BS17" s="2296"/>
      <c r="BT17" s="2304">
        <v>250</v>
      </c>
      <c r="BU17" s="2306"/>
      <c r="BV17" s="2305">
        <v>250</v>
      </c>
      <c r="BW17" s="2305">
        <v>165</v>
      </c>
      <c r="BX17" s="2305">
        <v>85</v>
      </c>
      <c r="BY17" s="2305"/>
      <c r="BZ17" s="2305"/>
      <c r="CA17" s="2304">
        <v>23</v>
      </c>
      <c r="CB17" s="2304">
        <v>141</v>
      </c>
      <c r="CC17" s="2304">
        <v>49</v>
      </c>
      <c r="CD17" s="2305"/>
      <c r="CE17" s="2306"/>
      <c r="CF17" s="2306"/>
      <c r="CG17" s="2306"/>
      <c r="CH17" s="2306"/>
      <c r="CI17" s="2306"/>
      <c r="CJ17" s="2306"/>
      <c r="CK17" s="2306"/>
      <c r="CL17" s="2306"/>
      <c r="CM17" s="2306"/>
      <c r="CN17" s="2305">
        <v>228</v>
      </c>
      <c r="CO17" s="2305">
        <v>16</v>
      </c>
      <c r="CP17" s="2305">
        <v>6</v>
      </c>
      <c r="CQ17" s="2306"/>
      <c r="CR17" s="2306"/>
      <c r="CS17" s="2305"/>
      <c r="CT17" s="2305"/>
      <c r="CU17" s="2305"/>
      <c r="CV17" s="2305"/>
      <c r="CW17" s="2305"/>
      <c r="CX17" s="2305"/>
      <c r="CY17" s="2305"/>
      <c r="CZ17" s="2305"/>
      <c r="DA17" s="2305"/>
      <c r="DB17" s="2305"/>
      <c r="DC17" s="2305"/>
      <c r="DE17" s="3289"/>
      <c r="DF17" s="3021"/>
      <c r="DG17" s="3021"/>
      <c r="DH17" s="3021"/>
      <c r="DI17" s="3021"/>
      <c r="DJ17" s="3327"/>
      <c r="DK17" s="3289"/>
      <c r="DL17" s="3021"/>
      <c r="DM17" s="3021"/>
      <c r="DN17" s="3290"/>
      <c r="DO17" s="3278"/>
      <c r="DP17" s="3341"/>
      <c r="DQ17" s="3290"/>
      <c r="DR17" s="3341"/>
      <c r="DS17" s="3290"/>
      <c r="DT17" s="3341"/>
      <c r="DU17" s="3021"/>
      <c r="DV17" s="3021"/>
      <c r="DW17" s="3021"/>
      <c r="DX17" s="3021"/>
      <c r="DY17" s="3021"/>
      <c r="DZ17" s="3327"/>
      <c r="EA17" s="3289"/>
      <c r="EB17" s="3021"/>
      <c r="EC17" s="3021"/>
      <c r="ED17" s="3021"/>
      <c r="EE17" s="3021"/>
      <c r="EF17" s="3021"/>
      <c r="EG17" s="3021"/>
      <c r="EH17" s="3021"/>
      <c r="EI17" s="3021"/>
      <c r="EJ17" s="3021"/>
      <c r="EK17" s="3021"/>
      <c r="EL17" s="3021"/>
      <c r="EM17" s="3021"/>
      <c r="EN17" s="3290"/>
      <c r="EO17" s="3341"/>
      <c r="EP17" s="3021"/>
      <c r="EQ17" s="3021"/>
      <c r="ER17" s="3021"/>
      <c r="ES17" s="3327"/>
      <c r="ET17" s="3289"/>
      <c r="EU17" s="3021"/>
      <c r="EV17" s="3021"/>
      <c r="EW17" s="3021"/>
      <c r="EX17" s="3290"/>
    </row>
    <row r="18" spans="1:154" s="2310" customFormat="1" ht="15" customHeight="1" thickBot="1">
      <c r="A18" s="15384"/>
      <c r="B18" s="15370" t="s">
        <v>3328</v>
      </c>
      <c r="C18" s="15369"/>
      <c r="D18" s="15381"/>
      <c r="E18" s="15382"/>
      <c r="F18" s="2306" t="s">
        <v>7692</v>
      </c>
      <c r="G18" s="3244" t="s">
        <v>3329</v>
      </c>
      <c r="H18" s="3264" t="s">
        <v>86</v>
      </c>
      <c r="I18" s="15471"/>
      <c r="J18" s="2311" t="s">
        <v>3330</v>
      </c>
      <c r="K18" s="2284">
        <v>1</v>
      </c>
      <c r="L18" s="2311" t="s">
        <v>3331</v>
      </c>
      <c r="M18" s="2311" t="s">
        <v>3305</v>
      </c>
      <c r="N18" s="2300"/>
      <c r="O18" s="2312">
        <v>30478000</v>
      </c>
      <c r="P18" s="15408"/>
      <c r="Q18" s="2309">
        <v>52410800</v>
      </c>
      <c r="R18" s="2309">
        <v>229343164</v>
      </c>
      <c r="S18" s="2309">
        <v>11986687</v>
      </c>
      <c r="T18" s="2300"/>
      <c r="U18" s="2300"/>
      <c r="V18" s="2300"/>
      <c r="W18" s="2300"/>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5"/>
      <c r="AS18" s="2305"/>
      <c r="AT18" s="2305" t="s">
        <v>3332</v>
      </c>
      <c r="AU18" s="2315" t="s">
        <v>3333</v>
      </c>
      <c r="AV18" s="2305">
        <v>35</v>
      </c>
      <c r="AW18" s="2305" t="s">
        <v>3334</v>
      </c>
      <c r="AX18" s="2305"/>
      <c r="AY18" s="2305"/>
      <c r="AZ18" s="2305"/>
      <c r="BA18" s="2305"/>
      <c r="BB18" s="2305"/>
      <c r="BC18" s="2305"/>
      <c r="BD18" s="15381"/>
      <c r="BE18" s="2311" t="s">
        <v>3330</v>
      </c>
      <c r="BF18" s="2292" t="s">
        <v>1509</v>
      </c>
      <c r="BG18" s="2311" t="s">
        <v>3330</v>
      </c>
      <c r="BH18" s="2307">
        <v>1</v>
      </c>
      <c r="BI18" s="2307">
        <v>1</v>
      </c>
      <c r="BJ18" s="2295">
        <v>1</v>
      </c>
      <c r="BK18" s="15523"/>
      <c r="BL18" s="2311" t="s">
        <v>3331</v>
      </c>
      <c r="BM18" s="2311" t="s">
        <v>3305</v>
      </c>
      <c r="BN18" s="2300"/>
      <c r="BO18" s="2308">
        <v>5038000</v>
      </c>
      <c r="BP18" s="15408"/>
      <c r="BQ18" s="2296">
        <v>4231920</v>
      </c>
      <c r="BR18" s="2296">
        <f t="shared" si="0"/>
        <v>806080</v>
      </c>
      <c r="BS18" s="2296"/>
      <c r="BT18" s="2305"/>
      <c r="BU18" s="2305"/>
      <c r="BV18" s="2305"/>
      <c r="BW18" s="2305"/>
      <c r="BX18" s="2305"/>
      <c r="BY18" s="2305"/>
      <c r="BZ18" s="2305"/>
      <c r="CA18" s="2305"/>
      <c r="CB18" s="2305"/>
      <c r="CC18" s="2305"/>
      <c r="CD18" s="2305"/>
      <c r="CE18" s="2305"/>
      <c r="CF18" s="2305"/>
      <c r="CG18" s="2305"/>
      <c r="CH18" s="2305"/>
      <c r="CI18" s="2305"/>
      <c r="CJ18" s="2305"/>
      <c r="CK18" s="2305"/>
      <c r="CL18" s="2305"/>
      <c r="CM18" s="2305"/>
      <c r="CN18" s="2305"/>
      <c r="CO18" s="2305"/>
      <c r="CP18" s="2305"/>
      <c r="CQ18" s="2305"/>
      <c r="CR18" s="2305"/>
      <c r="CS18" s="2305"/>
      <c r="CT18" s="2305" t="s">
        <v>3332</v>
      </c>
      <c r="CU18" s="2315" t="s">
        <v>3333</v>
      </c>
      <c r="CV18" s="2305">
        <v>35</v>
      </c>
      <c r="CW18" s="2305" t="s">
        <v>3334</v>
      </c>
      <c r="CX18" s="2305"/>
      <c r="CY18" s="2305"/>
      <c r="CZ18" s="2305"/>
      <c r="DA18" s="2305"/>
      <c r="DB18" s="2305"/>
      <c r="DC18" s="2305"/>
      <c r="DE18" s="3289"/>
      <c r="DF18" s="3021"/>
      <c r="DG18" s="3021"/>
      <c r="DH18" s="3021"/>
      <c r="DI18" s="3021"/>
      <c r="DJ18" s="3327"/>
      <c r="DK18" s="3289"/>
      <c r="DL18" s="3021"/>
      <c r="DM18" s="3021"/>
      <c r="DN18" s="3290"/>
      <c r="DO18" s="3278"/>
      <c r="DP18" s="3341"/>
      <c r="DQ18" s="3290"/>
      <c r="DR18" s="3341"/>
      <c r="DS18" s="3290"/>
      <c r="DT18" s="3341"/>
      <c r="DU18" s="3021"/>
      <c r="DV18" s="3021"/>
      <c r="DW18" s="3021"/>
      <c r="DX18" s="3021"/>
      <c r="DY18" s="3021"/>
      <c r="DZ18" s="3327"/>
      <c r="EA18" s="3289"/>
      <c r="EB18" s="3021"/>
      <c r="EC18" s="3021"/>
      <c r="ED18" s="3021"/>
      <c r="EE18" s="3021"/>
      <c r="EF18" s="3021"/>
      <c r="EG18" s="3021"/>
      <c r="EH18" s="3021"/>
      <c r="EI18" s="3021"/>
      <c r="EJ18" s="3021"/>
      <c r="EK18" s="3021"/>
      <c r="EL18" s="3021"/>
      <c r="EM18" s="3021"/>
      <c r="EN18" s="3290"/>
      <c r="EO18" s="3341"/>
      <c r="EP18" s="3021"/>
      <c r="EQ18" s="3021"/>
      <c r="ER18" s="3021"/>
      <c r="ES18" s="3327"/>
      <c r="ET18" s="3289"/>
      <c r="EU18" s="3021"/>
      <c r="EV18" s="3021"/>
      <c r="EW18" s="3021"/>
      <c r="EX18" s="3290"/>
    </row>
    <row r="19" spans="1:154" s="2310" customFormat="1" ht="15" customHeight="1" thickBot="1">
      <c r="A19" s="15384"/>
      <c r="B19" s="15370"/>
      <c r="C19" s="15369"/>
      <c r="D19" s="15381"/>
      <c r="E19" s="15382"/>
      <c r="F19" s="2306" t="s">
        <v>7693</v>
      </c>
      <c r="G19" s="3243" t="s">
        <v>4176</v>
      </c>
      <c r="H19" s="3263" t="s">
        <v>86</v>
      </c>
      <c r="I19" s="15471"/>
      <c r="J19" s="2311" t="s">
        <v>3303</v>
      </c>
      <c r="K19" s="2284">
        <v>1</v>
      </c>
      <c r="L19" s="2311" t="s">
        <v>3342</v>
      </c>
      <c r="M19" s="2311" t="s">
        <v>3305</v>
      </c>
      <c r="N19" s="2305"/>
      <c r="O19" s="2312">
        <v>41800000</v>
      </c>
      <c r="P19" s="15408"/>
      <c r="Q19" s="2309">
        <v>52410800</v>
      </c>
      <c r="R19" s="2309">
        <v>229343164</v>
      </c>
      <c r="S19" s="2309">
        <v>11986687</v>
      </c>
      <c r="T19" s="2305"/>
      <c r="U19" s="2305"/>
      <c r="V19" s="2305"/>
      <c r="W19" s="2305"/>
      <c r="X19" s="2305"/>
      <c r="Y19" s="2305"/>
      <c r="Z19" s="2305"/>
      <c r="AA19" s="2305"/>
      <c r="AB19" s="2305"/>
      <c r="AC19" s="2305"/>
      <c r="AD19" s="2305"/>
      <c r="AE19" s="2305"/>
      <c r="AF19" s="2305"/>
      <c r="AG19" s="2305"/>
      <c r="AH19" s="2305"/>
      <c r="AI19" s="2305"/>
      <c r="AJ19" s="2305"/>
      <c r="AK19" s="2305"/>
      <c r="AL19" s="2305"/>
      <c r="AM19" s="2305"/>
      <c r="AN19" s="2305"/>
      <c r="AO19" s="2305"/>
      <c r="AP19" s="2305"/>
      <c r="AQ19" s="2305"/>
      <c r="AR19" s="2305"/>
      <c r="AS19" s="2305"/>
      <c r="AT19" s="2314" t="s">
        <v>3287</v>
      </c>
      <c r="AU19" s="2299" t="s">
        <v>3288</v>
      </c>
      <c r="AV19" s="2305">
        <v>38</v>
      </c>
      <c r="AW19" s="2305"/>
      <c r="AX19" s="2305"/>
      <c r="AY19" s="2305"/>
      <c r="AZ19" s="2305"/>
      <c r="BA19" s="2305"/>
      <c r="BB19" s="2305"/>
      <c r="BC19" s="2305"/>
      <c r="BD19" s="15381"/>
      <c r="BE19" s="2311" t="s">
        <v>3303</v>
      </c>
      <c r="BF19" s="2292" t="s">
        <v>1509</v>
      </c>
      <c r="BG19" s="2311" t="s">
        <v>3303</v>
      </c>
      <c r="BH19" s="2307">
        <v>1</v>
      </c>
      <c r="BI19" s="2307">
        <v>1</v>
      </c>
      <c r="BJ19" s="2295">
        <v>1</v>
      </c>
      <c r="BK19" s="15523"/>
      <c r="BL19" s="2311" t="s">
        <v>3342</v>
      </c>
      <c r="BM19" s="2311" t="s">
        <v>3305</v>
      </c>
      <c r="BN19" s="2305"/>
      <c r="BO19" s="2308">
        <v>5038000</v>
      </c>
      <c r="BP19" s="15408"/>
      <c r="BQ19" s="2296">
        <v>4231920</v>
      </c>
      <c r="BR19" s="2296">
        <f t="shared" si="0"/>
        <v>806080</v>
      </c>
      <c r="BS19" s="2296"/>
      <c r="BT19" s="2305"/>
      <c r="BU19" s="2305"/>
      <c r="BV19" s="2305"/>
      <c r="BW19" s="2305"/>
      <c r="BX19" s="2305"/>
      <c r="BY19" s="2305"/>
      <c r="BZ19" s="2305"/>
      <c r="CA19" s="2305"/>
      <c r="CB19" s="2305"/>
      <c r="CC19" s="2305"/>
      <c r="CD19" s="2305"/>
      <c r="CE19" s="2305"/>
      <c r="CF19" s="2305"/>
      <c r="CG19" s="2305"/>
      <c r="CH19" s="2305"/>
      <c r="CI19" s="2305"/>
      <c r="CJ19" s="2305"/>
      <c r="CK19" s="2305"/>
      <c r="CL19" s="2305"/>
      <c r="CM19" s="2305"/>
      <c r="CN19" s="2305"/>
      <c r="CO19" s="2305"/>
      <c r="CP19" s="2305"/>
      <c r="CQ19" s="2305"/>
      <c r="CR19" s="2305"/>
      <c r="CS19" s="2305"/>
      <c r="CT19" s="2314" t="s">
        <v>3287</v>
      </c>
      <c r="CU19" s="2299" t="s">
        <v>3288</v>
      </c>
      <c r="CV19" s="2305">
        <v>38</v>
      </c>
      <c r="CW19" s="2305"/>
      <c r="CX19" s="2305"/>
      <c r="CY19" s="2305"/>
      <c r="CZ19" s="2305"/>
      <c r="DA19" s="2305"/>
      <c r="DB19" s="2305"/>
      <c r="DC19" s="2305"/>
      <c r="DE19" s="3289"/>
      <c r="DF19" s="3021"/>
      <c r="DG19" s="3021"/>
      <c r="DH19" s="3021"/>
      <c r="DI19" s="3021"/>
      <c r="DJ19" s="3327"/>
      <c r="DK19" s="3289"/>
      <c r="DL19" s="3021"/>
      <c r="DM19" s="3021"/>
      <c r="DN19" s="3290"/>
      <c r="DO19" s="3278"/>
      <c r="DP19" s="3341"/>
      <c r="DQ19" s="3290"/>
      <c r="DR19" s="3341"/>
      <c r="DS19" s="3290"/>
      <c r="DT19" s="3341"/>
      <c r="DU19" s="3021"/>
      <c r="DV19" s="3021"/>
      <c r="DW19" s="3021"/>
      <c r="DX19" s="3021"/>
      <c r="DY19" s="3021"/>
      <c r="DZ19" s="3327"/>
      <c r="EA19" s="3289"/>
      <c r="EB19" s="3021"/>
      <c r="EC19" s="3021"/>
      <c r="ED19" s="3021"/>
      <c r="EE19" s="3021"/>
      <c r="EF19" s="3021"/>
      <c r="EG19" s="3021"/>
      <c r="EH19" s="3021"/>
      <c r="EI19" s="3021"/>
      <c r="EJ19" s="3021"/>
      <c r="EK19" s="3021"/>
      <c r="EL19" s="3021"/>
      <c r="EM19" s="3021"/>
      <c r="EN19" s="3290"/>
      <c r="EO19" s="3341"/>
      <c r="EP19" s="3021"/>
      <c r="EQ19" s="3021"/>
      <c r="ER19" s="3021"/>
      <c r="ES19" s="3327"/>
      <c r="ET19" s="3289"/>
      <c r="EU19" s="3021"/>
      <c r="EV19" s="3021"/>
      <c r="EW19" s="3021"/>
      <c r="EX19" s="3290"/>
    </row>
    <row r="20" spans="1:154" s="2310" customFormat="1" ht="15" customHeight="1" thickBot="1">
      <c r="A20" s="15384"/>
      <c r="B20" s="15370"/>
      <c r="C20" s="15369"/>
      <c r="D20" s="15381"/>
      <c r="E20" s="15382"/>
      <c r="F20" s="2306" t="s">
        <v>7694</v>
      </c>
      <c r="G20" s="3243" t="s">
        <v>3335</v>
      </c>
      <c r="H20" s="3263" t="s">
        <v>86</v>
      </c>
      <c r="I20" s="15471"/>
      <c r="J20" s="2311" t="s">
        <v>3291</v>
      </c>
      <c r="K20" s="2284">
        <v>1</v>
      </c>
      <c r="L20" s="2311" t="s">
        <v>3336</v>
      </c>
      <c r="M20" s="2311" t="s">
        <v>3337</v>
      </c>
      <c r="N20" s="2300"/>
      <c r="O20" s="2312">
        <v>30478000</v>
      </c>
      <c r="P20" s="15408"/>
      <c r="Q20" s="2309">
        <v>52410800</v>
      </c>
      <c r="R20" s="2309">
        <v>229343164</v>
      </c>
      <c r="S20" s="2309">
        <v>11986687</v>
      </c>
      <c r="T20" s="2315">
        <v>13333</v>
      </c>
      <c r="U20" s="2315"/>
      <c r="V20" s="2315">
        <v>13333</v>
      </c>
      <c r="W20" s="2315">
        <v>9383</v>
      </c>
      <c r="X20" s="2315">
        <v>3950</v>
      </c>
      <c r="Y20" s="2315"/>
      <c r="Z20" s="2315"/>
      <c r="AA20" s="2315"/>
      <c r="AB20" s="2315">
        <v>3255</v>
      </c>
      <c r="AC20" s="2315">
        <v>3668</v>
      </c>
      <c r="AD20" s="2315">
        <v>4506</v>
      </c>
      <c r="AE20" s="2315">
        <v>1904</v>
      </c>
      <c r="AF20" s="2315">
        <v>12055</v>
      </c>
      <c r="AG20" s="2315">
        <v>396</v>
      </c>
      <c r="AH20" s="2315">
        <v>1332</v>
      </c>
      <c r="AI20" s="2315"/>
      <c r="AJ20" s="2315"/>
      <c r="AK20" s="2315"/>
      <c r="AL20" s="2315"/>
      <c r="AM20" s="2315"/>
      <c r="AN20" s="2315">
        <v>12406</v>
      </c>
      <c r="AO20" s="2315">
        <v>751</v>
      </c>
      <c r="AP20" s="2315">
        <v>156</v>
      </c>
      <c r="AQ20" s="2315">
        <v>20</v>
      </c>
      <c r="AR20" s="2315"/>
      <c r="AS20" s="2315"/>
      <c r="AT20" s="2305"/>
      <c r="AU20" s="2305"/>
      <c r="AV20" s="2305"/>
      <c r="AW20" s="2305"/>
      <c r="AX20" s="2305"/>
      <c r="AY20" s="2305"/>
      <c r="AZ20" s="2305"/>
      <c r="BA20" s="2305"/>
      <c r="BB20" s="2305"/>
      <c r="BC20" s="2305"/>
      <c r="BD20" s="15381"/>
      <c r="BE20" s="2311" t="s">
        <v>3291</v>
      </c>
      <c r="BF20" s="2292" t="s">
        <v>1509</v>
      </c>
      <c r="BG20" s="2311" t="s">
        <v>3291</v>
      </c>
      <c r="BH20" s="2305" t="s">
        <v>8738</v>
      </c>
      <c r="BI20" s="2307">
        <v>1</v>
      </c>
      <c r="BJ20" s="2295">
        <v>1</v>
      </c>
      <c r="BK20" s="15523"/>
      <c r="BL20" s="2311" t="s">
        <v>3336</v>
      </c>
      <c r="BM20" s="2311" t="s">
        <v>3337</v>
      </c>
      <c r="BN20" s="2300"/>
      <c r="BO20" s="2308">
        <v>1871111</v>
      </c>
      <c r="BP20" s="15408"/>
      <c r="BQ20" s="2296">
        <v>1571733</v>
      </c>
      <c r="BR20" s="2296">
        <f t="shared" si="0"/>
        <v>299378</v>
      </c>
      <c r="BS20" s="2296"/>
      <c r="BT20" s="2305">
        <v>15080</v>
      </c>
      <c r="BU20" s="2305">
        <v>5.0270000000000001</v>
      </c>
      <c r="BV20" s="2305">
        <v>10.053000000000001</v>
      </c>
      <c r="BW20" s="2305">
        <v>10150</v>
      </c>
      <c r="BX20" s="2305">
        <v>4930</v>
      </c>
      <c r="BY20" s="2305"/>
      <c r="BZ20" s="2305"/>
      <c r="CA20" s="2305"/>
      <c r="CB20" s="2305">
        <v>3255</v>
      </c>
      <c r="CC20" s="2305">
        <v>3668</v>
      </c>
      <c r="CD20" s="2305">
        <v>4506</v>
      </c>
      <c r="CE20" s="2305">
        <v>1904</v>
      </c>
      <c r="CF20" s="2305">
        <v>12055</v>
      </c>
      <c r="CG20" s="2305">
        <v>396</v>
      </c>
      <c r="CH20" s="2305">
        <v>1332</v>
      </c>
      <c r="CI20" s="2305"/>
      <c r="CJ20" s="2305"/>
      <c r="CK20" s="2305"/>
      <c r="CL20" s="2305"/>
      <c r="CM20" s="2305"/>
      <c r="CN20" s="2305">
        <v>12406</v>
      </c>
      <c r="CO20" s="2305">
        <v>751</v>
      </c>
      <c r="CP20" s="2305">
        <v>156</v>
      </c>
      <c r="CQ20" s="2305">
        <v>20</v>
      </c>
      <c r="CR20" s="2305"/>
      <c r="CS20" s="2305"/>
      <c r="CT20" s="2305"/>
      <c r="CU20" s="2305"/>
      <c r="CV20" s="2305"/>
      <c r="CW20" s="2305"/>
      <c r="CX20" s="2305"/>
      <c r="CY20" s="2305"/>
      <c r="CZ20" s="2305"/>
      <c r="DA20" s="2305"/>
      <c r="DB20" s="2305"/>
      <c r="DC20" s="2305"/>
      <c r="DE20" s="3289"/>
      <c r="DF20" s="3021"/>
      <c r="DG20" s="3021"/>
      <c r="DH20" s="3021"/>
      <c r="DI20" s="3021"/>
      <c r="DJ20" s="3327"/>
      <c r="DK20" s="3289"/>
      <c r="DL20" s="3021"/>
      <c r="DM20" s="3021"/>
      <c r="DN20" s="3290"/>
      <c r="DO20" s="3278"/>
      <c r="DP20" s="3341"/>
      <c r="DQ20" s="3290"/>
      <c r="DR20" s="3341"/>
      <c r="DS20" s="3290"/>
      <c r="DT20" s="3341"/>
      <c r="DU20" s="3021"/>
      <c r="DV20" s="3021"/>
      <c r="DW20" s="3021"/>
      <c r="DX20" s="3021"/>
      <c r="DY20" s="3021"/>
      <c r="DZ20" s="3327"/>
      <c r="EA20" s="3289"/>
      <c r="EB20" s="3021"/>
      <c r="EC20" s="3021"/>
      <c r="ED20" s="3021"/>
      <c r="EE20" s="3021"/>
      <c r="EF20" s="3021"/>
      <c r="EG20" s="3021"/>
      <c r="EH20" s="3021"/>
      <c r="EI20" s="3021"/>
      <c r="EJ20" s="3021"/>
      <c r="EK20" s="3021"/>
      <c r="EL20" s="3021"/>
      <c r="EM20" s="3021"/>
      <c r="EN20" s="3290"/>
      <c r="EO20" s="3341"/>
      <c r="EP20" s="3021"/>
      <c r="EQ20" s="3021"/>
      <c r="ER20" s="3021"/>
      <c r="ES20" s="3327"/>
      <c r="ET20" s="3289"/>
      <c r="EU20" s="3021"/>
      <c r="EV20" s="3021"/>
      <c r="EW20" s="3021"/>
      <c r="EX20" s="3290"/>
    </row>
    <row r="21" spans="1:154" s="2310" customFormat="1" ht="15" customHeight="1" thickBot="1">
      <c r="A21" s="15384"/>
      <c r="B21" s="15370"/>
      <c r="C21" s="15369"/>
      <c r="D21" s="15381"/>
      <c r="E21" s="15382"/>
      <c r="F21" s="2306" t="s">
        <v>7695</v>
      </c>
      <c r="G21" s="3244" t="s">
        <v>3338</v>
      </c>
      <c r="H21" s="3264" t="s">
        <v>86</v>
      </c>
      <c r="I21" s="15471"/>
      <c r="J21" s="2311" t="s">
        <v>3339</v>
      </c>
      <c r="K21" s="2284">
        <v>0.97157894736842099</v>
      </c>
      <c r="L21" s="2316" t="s">
        <v>3340</v>
      </c>
      <c r="M21" s="2311" t="s">
        <v>3305</v>
      </c>
      <c r="N21" s="2317"/>
      <c r="O21" s="2312">
        <v>41800000</v>
      </c>
      <c r="P21" s="15408"/>
      <c r="Q21" s="2309">
        <v>52410800</v>
      </c>
      <c r="R21" s="2309">
        <v>229343164</v>
      </c>
      <c r="S21" s="2309">
        <v>11986687</v>
      </c>
      <c r="T21" s="2305">
        <v>4674</v>
      </c>
      <c r="U21" s="2300"/>
      <c r="V21" s="2305">
        <v>4674</v>
      </c>
      <c r="W21" s="2305">
        <v>4027</v>
      </c>
      <c r="X21" s="2305">
        <v>647</v>
      </c>
      <c r="Y21" s="2305"/>
      <c r="Z21" s="2305"/>
      <c r="AA21" s="2305">
        <v>793</v>
      </c>
      <c r="AB21" s="2305">
        <v>2570</v>
      </c>
      <c r="AC21" s="2305">
        <v>1304</v>
      </c>
      <c r="AD21" s="2305">
        <v>7</v>
      </c>
      <c r="AE21" s="2305"/>
      <c r="AF21" s="2305"/>
      <c r="AG21" s="2305"/>
      <c r="AH21" s="2305"/>
      <c r="AI21" s="2305"/>
      <c r="AJ21" s="2305"/>
      <c r="AK21" s="2305"/>
      <c r="AL21" s="2305"/>
      <c r="AM21" s="2305"/>
      <c r="AN21" s="2305"/>
      <c r="AO21" s="2305"/>
      <c r="AP21" s="2305"/>
      <c r="AQ21" s="2305"/>
      <c r="AR21" s="2305"/>
      <c r="AS21" s="2305"/>
      <c r="AT21" s="2305"/>
      <c r="AU21" s="2305"/>
      <c r="AV21" s="2305"/>
      <c r="AW21" s="2305"/>
      <c r="AX21" s="2305"/>
      <c r="AY21" s="2305"/>
      <c r="AZ21" s="2305"/>
      <c r="BA21" s="2305"/>
      <c r="BB21" s="2305"/>
      <c r="BC21" s="2305"/>
      <c r="BD21" s="15381"/>
      <c r="BE21" s="2311" t="s">
        <v>3339</v>
      </c>
      <c r="BF21" s="2292" t="s">
        <v>1509</v>
      </c>
      <c r="BG21" s="2311" t="s">
        <v>3339</v>
      </c>
      <c r="BH21" s="2318">
        <v>0.92300000000000004</v>
      </c>
      <c r="BI21" s="2318">
        <f>(92.3%*100%)/95%</f>
        <v>0.97157894736842099</v>
      </c>
      <c r="BJ21" s="2295">
        <f>(92.3%*100%)/95%</f>
        <v>0.97157894736842099</v>
      </c>
      <c r="BK21" s="15523"/>
      <c r="BL21" s="2316" t="s">
        <v>3340</v>
      </c>
      <c r="BM21" s="2311" t="s">
        <v>3305</v>
      </c>
      <c r="BN21" s="2317"/>
      <c r="BO21" s="2308">
        <v>5038000</v>
      </c>
      <c r="BP21" s="15408"/>
      <c r="BQ21" s="2296">
        <v>4231920</v>
      </c>
      <c r="BR21" s="2296">
        <f t="shared" si="0"/>
        <v>806080</v>
      </c>
      <c r="BS21" s="2296"/>
      <c r="BT21" s="2297">
        <v>214</v>
      </c>
      <c r="BU21" s="2297"/>
      <c r="BV21" s="2297">
        <v>214</v>
      </c>
      <c r="BW21" s="2297">
        <v>127</v>
      </c>
      <c r="BX21" s="2297">
        <v>86</v>
      </c>
      <c r="BY21" s="2305"/>
      <c r="BZ21" s="2305"/>
      <c r="CA21" s="2305">
        <v>23</v>
      </c>
      <c r="CB21" s="2305">
        <v>146</v>
      </c>
      <c r="CC21" s="2305">
        <v>49</v>
      </c>
      <c r="CD21" s="2305"/>
      <c r="CE21" s="2305"/>
      <c r="CF21" s="2305"/>
      <c r="CG21" s="2305"/>
      <c r="CH21" s="2305"/>
      <c r="CI21" s="2305"/>
      <c r="CJ21" s="2305"/>
      <c r="CK21" s="2305"/>
      <c r="CL21" s="2305"/>
      <c r="CM21" s="2305"/>
      <c r="CN21" s="2305"/>
      <c r="CO21" s="2305"/>
      <c r="CP21" s="2305"/>
      <c r="CQ21" s="2305"/>
      <c r="CR21" s="2305"/>
      <c r="CS21" s="2305"/>
      <c r="CT21" s="2305"/>
      <c r="CU21" s="2305"/>
      <c r="CV21" s="2305"/>
      <c r="CW21" s="2305"/>
      <c r="CX21" s="2305"/>
      <c r="CY21" s="2305"/>
      <c r="CZ21" s="2305"/>
      <c r="DA21" s="2305"/>
      <c r="DB21" s="2305"/>
      <c r="DC21" s="2305"/>
      <c r="DE21" s="3289"/>
      <c r="DF21" s="3021"/>
      <c r="DG21" s="3021"/>
      <c r="DH21" s="3021"/>
      <c r="DI21" s="3021"/>
      <c r="DJ21" s="3327"/>
      <c r="DK21" s="3289"/>
      <c r="DL21" s="3021"/>
      <c r="DM21" s="3021"/>
      <c r="DN21" s="3290"/>
      <c r="DO21" s="3278"/>
      <c r="DP21" s="3341"/>
      <c r="DQ21" s="3290"/>
      <c r="DR21" s="3341"/>
      <c r="DS21" s="3290"/>
      <c r="DT21" s="3341"/>
      <c r="DU21" s="3021"/>
      <c r="DV21" s="3021"/>
      <c r="DW21" s="3021"/>
      <c r="DX21" s="3021"/>
      <c r="DY21" s="3021"/>
      <c r="DZ21" s="3327"/>
      <c r="EA21" s="3289"/>
      <c r="EB21" s="3021"/>
      <c r="EC21" s="3021"/>
      <c r="ED21" s="3021"/>
      <c r="EE21" s="3021"/>
      <c r="EF21" s="3021"/>
      <c r="EG21" s="3021"/>
      <c r="EH21" s="3021"/>
      <c r="EI21" s="3021"/>
      <c r="EJ21" s="3021"/>
      <c r="EK21" s="3021"/>
      <c r="EL21" s="3021"/>
      <c r="EM21" s="3021"/>
      <c r="EN21" s="3290"/>
      <c r="EO21" s="3341"/>
      <c r="EP21" s="3021"/>
      <c r="EQ21" s="3021"/>
      <c r="ER21" s="3021"/>
      <c r="ES21" s="3327"/>
      <c r="ET21" s="3289"/>
      <c r="EU21" s="3021"/>
      <c r="EV21" s="3021"/>
      <c r="EW21" s="3021"/>
      <c r="EX21" s="3290"/>
    </row>
    <row r="22" spans="1:154" s="2310" customFormat="1" ht="15" customHeight="1" thickBot="1">
      <c r="A22" s="15384"/>
      <c r="B22" s="15370"/>
      <c r="C22" s="15369"/>
      <c r="D22" s="15381"/>
      <c r="E22" s="15382"/>
      <c r="F22" s="2306" t="s">
        <v>7696</v>
      </c>
      <c r="G22" s="3243" t="s">
        <v>3341</v>
      </c>
      <c r="H22" s="3263" t="s">
        <v>86</v>
      </c>
      <c r="I22" s="15471"/>
      <c r="J22" s="2311" t="s">
        <v>3303</v>
      </c>
      <c r="K22" s="2284">
        <v>1</v>
      </c>
      <c r="L22" s="2311" t="s">
        <v>3342</v>
      </c>
      <c r="M22" s="2311" t="s">
        <v>3305</v>
      </c>
      <c r="N22" s="2300"/>
      <c r="O22" s="2309">
        <v>15239000</v>
      </c>
      <c r="P22" s="15408"/>
      <c r="Q22" s="2309">
        <v>52410800</v>
      </c>
      <c r="R22" s="2309">
        <v>229343164</v>
      </c>
      <c r="S22" s="2309">
        <v>11986687</v>
      </c>
      <c r="T22" s="2300"/>
      <c r="U22" s="2300"/>
      <c r="V22" s="2300"/>
      <c r="W22" s="2300"/>
      <c r="X22" s="2305"/>
      <c r="Y22" s="2305"/>
      <c r="Z22" s="2305"/>
      <c r="AA22" s="2305"/>
      <c r="AB22" s="2305"/>
      <c r="AC22" s="2305"/>
      <c r="AD22" s="2305"/>
      <c r="AE22" s="2305"/>
      <c r="AF22" s="2305"/>
      <c r="AG22" s="2305"/>
      <c r="AH22" s="2305"/>
      <c r="AI22" s="2305"/>
      <c r="AJ22" s="2305"/>
      <c r="AK22" s="2305"/>
      <c r="AL22" s="2305"/>
      <c r="AM22" s="2305"/>
      <c r="AN22" s="2305"/>
      <c r="AO22" s="2305"/>
      <c r="AP22" s="2305"/>
      <c r="AQ22" s="2305"/>
      <c r="AR22" s="2305"/>
      <c r="AS22" s="2305"/>
      <c r="AT22" s="2319" t="s">
        <v>3287</v>
      </c>
      <c r="AU22" s="2313" t="s">
        <v>3288</v>
      </c>
      <c r="AV22" s="2304">
        <v>41</v>
      </c>
      <c r="AW22" s="2305"/>
      <c r="AX22" s="2305"/>
      <c r="AY22" s="2305"/>
      <c r="AZ22" s="2305"/>
      <c r="BA22" s="2305"/>
      <c r="BB22" s="2305"/>
      <c r="BC22" s="2305"/>
      <c r="BD22" s="15381"/>
      <c r="BE22" s="2311" t="s">
        <v>3303</v>
      </c>
      <c r="BF22" s="2292" t="s">
        <v>1509</v>
      </c>
      <c r="BG22" s="2311" t="s">
        <v>3303</v>
      </c>
      <c r="BH22" s="2307">
        <v>1</v>
      </c>
      <c r="BI22" s="2307">
        <v>1</v>
      </c>
      <c r="BJ22" s="2295">
        <v>1</v>
      </c>
      <c r="BK22" s="15523"/>
      <c r="BL22" s="2311" t="s">
        <v>3342</v>
      </c>
      <c r="BM22" s="2311" t="s">
        <v>3305</v>
      </c>
      <c r="BN22" s="2300"/>
      <c r="BO22" s="2308">
        <v>5038000</v>
      </c>
      <c r="BP22" s="15408"/>
      <c r="BQ22" s="2296">
        <v>4231920</v>
      </c>
      <c r="BR22" s="2296">
        <f t="shared" si="0"/>
        <v>806080</v>
      </c>
      <c r="BS22" s="2296"/>
      <c r="BT22" s="2297">
        <v>214</v>
      </c>
      <c r="BU22" s="2297"/>
      <c r="BV22" s="2297">
        <v>214</v>
      </c>
      <c r="BW22" s="2297">
        <v>127</v>
      </c>
      <c r="BX22" s="2297">
        <v>86</v>
      </c>
      <c r="BY22" s="2305"/>
      <c r="BZ22" s="2305"/>
      <c r="CA22" s="2305">
        <v>23</v>
      </c>
      <c r="CB22" s="2305">
        <v>146</v>
      </c>
      <c r="CC22" s="2305">
        <v>49</v>
      </c>
      <c r="CD22" s="2305"/>
      <c r="CE22" s="2305"/>
      <c r="CF22" s="2305"/>
      <c r="CG22" s="2305"/>
      <c r="CH22" s="2305"/>
      <c r="CI22" s="2305"/>
      <c r="CJ22" s="2305"/>
      <c r="CK22" s="2305"/>
      <c r="CL22" s="2305"/>
      <c r="CM22" s="2305"/>
      <c r="CN22" s="2305"/>
      <c r="CO22" s="2305"/>
      <c r="CP22" s="2305"/>
      <c r="CQ22" s="2305"/>
      <c r="CR22" s="2305"/>
      <c r="CS22" s="2305"/>
      <c r="CT22" s="2319" t="s">
        <v>3287</v>
      </c>
      <c r="CU22" s="2313" t="s">
        <v>3288</v>
      </c>
      <c r="CV22" s="2304">
        <v>41</v>
      </c>
      <c r="CW22" s="2305"/>
      <c r="CX22" s="2305"/>
      <c r="CY22" s="2305"/>
      <c r="CZ22" s="2305"/>
      <c r="DA22" s="2305"/>
      <c r="DB22" s="2305"/>
      <c r="DC22" s="2305"/>
      <c r="DE22" s="3289"/>
      <c r="DF22" s="3021"/>
      <c r="DG22" s="3021"/>
      <c r="DH22" s="3021"/>
      <c r="DI22" s="3021"/>
      <c r="DJ22" s="3327"/>
      <c r="DK22" s="3289"/>
      <c r="DL22" s="3021"/>
      <c r="DM22" s="3021"/>
      <c r="DN22" s="3290"/>
      <c r="DO22" s="3278"/>
      <c r="DP22" s="3341"/>
      <c r="DQ22" s="3290"/>
      <c r="DR22" s="3341"/>
      <c r="DS22" s="3290"/>
      <c r="DT22" s="3341"/>
      <c r="DU22" s="3021"/>
      <c r="DV22" s="3021"/>
      <c r="DW22" s="3021"/>
      <c r="DX22" s="3021"/>
      <c r="DY22" s="3021"/>
      <c r="DZ22" s="3327"/>
      <c r="EA22" s="3289"/>
      <c r="EB22" s="3021"/>
      <c r="EC22" s="3021"/>
      <c r="ED22" s="3021"/>
      <c r="EE22" s="3021"/>
      <c r="EF22" s="3021"/>
      <c r="EG22" s="3021"/>
      <c r="EH22" s="3021"/>
      <c r="EI22" s="3021"/>
      <c r="EJ22" s="3021"/>
      <c r="EK22" s="3021"/>
      <c r="EL22" s="3021"/>
      <c r="EM22" s="3021"/>
      <c r="EN22" s="3290"/>
      <c r="EO22" s="3341"/>
      <c r="EP22" s="3021"/>
      <c r="EQ22" s="3021"/>
      <c r="ER22" s="3021"/>
      <c r="ES22" s="3327"/>
      <c r="ET22" s="3289"/>
      <c r="EU22" s="3021"/>
      <c r="EV22" s="3021"/>
      <c r="EW22" s="3021"/>
      <c r="EX22" s="3290"/>
    </row>
    <row r="23" spans="1:154" s="2310" customFormat="1" ht="15" customHeight="1" thickBot="1">
      <c r="A23" s="15384"/>
      <c r="B23" s="15370"/>
      <c r="C23" s="15369" t="s">
        <v>3343</v>
      </c>
      <c r="D23" s="15368" t="s">
        <v>2315</v>
      </c>
      <c r="E23" s="15390">
        <v>1</v>
      </c>
      <c r="F23" s="2306" t="s">
        <v>7697</v>
      </c>
      <c r="G23" s="3245" t="s">
        <v>3344</v>
      </c>
      <c r="H23" s="3263" t="s">
        <v>86</v>
      </c>
      <c r="I23" s="15472">
        <v>1</v>
      </c>
      <c r="J23" s="2311" t="s">
        <v>3303</v>
      </c>
      <c r="K23" s="2284">
        <v>1</v>
      </c>
      <c r="L23" s="2311" t="s">
        <v>3345</v>
      </c>
      <c r="M23" s="2311" t="s">
        <v>3305</v>
      </c>
      <c r="N23" s="2311" t="s">
        <v>3346</v>
      </c>
      <c r="O23" s="2309">
        <v>15239000</v>
      </c>
      <c r="P23" s="15408"/>
      <c r="Q23" s="2309">
        <v>52410800</v>
      </c>
      <c r="R23" s="2309">
        <v>229343164</v>
      </c>
      <c r="S23" s="2309">
        <v>11986687</v>
      </c>
      <c r="T23" s="2300"/>
      <c r="U23" s="2300"/>
      <c r="V23" s="2300"/>
      <c r="W23" s="2300"/>
      <c r="X23" s="2305"/>
      <c r="Y23" s="2305"/>
      <c r="Z23" s="2305"/>
      <c r="AA23" s="2305"/>
      <c r="AB23" s="2305"/>
      <c r="AC23" s="2305"/>
      <c r="AD23" s="2305"/>
      <c r="AE23" s="2305"/>
      <c r="AF23" s="2305"/>
      <c r="AG23" s="2305"/>
      <c r="AH23" s="2305"/>
      <c r="AI23" s="2305"/>
      <c r="AJ23" s="2305"/>
      <c r="AK23" s="2305"/>
      <c r="AL23" s="2305"/>
      <c r="AM23" s="2305"/>
      <c r="AN23" s="2305"/>
      <c r="AO23" s="2305"/>
      <c r="AP23" s="2305"/>
      <c r="AQ23" s="2305"/>
      <c r="AR23" s="2305"/>
      <c r="AS23" s="2305"/>
      <c r="AT23" s="2319" t="s">
        <v>3287</v>
      </c>
      <c r="AU23" s="2299" t="s">
        <v>3288</v>
      </c>
      <c r="AV23" s="2304">
        <v>41</v>
      </c>
      <c r="AW23" s="2305"/>
      <c r="AX23" s="2305"/>
      <c r="AY23" s="2305"/>
      <c r="AZ23" s="2305"/>
      <c r="BA23" s="2305"/>
      <c r="BB23" s="2305"/>
      <c r="BC23" s="2305"/>
      <c r="BD23" s="15382">
        <v>1</v>
      </c>
      <c r="BE23" s="2311" t="s">
        <v>3303</v>
      </c>
      <c r="BF23" s="2292" t="s">
        <v>1509</v>
      </c>
      <c r="BG23" s="2311" t="s">
        <v>3303</v>
      </c>
      <c r="BH23" s="2307">
        <v>1</v>
      </c>
      <c r="BI23" s="2307">
        <v>1</v>
      </c>
      <c r="BJ23" s="2295">
        <v>1</v>
      </c>
      <c r="BK23" s="15523"/>
      <c r="BL23" s="2311" t="s">
        <v>3345</v>
      </c>
      <c r="BM23" s="2311" t="s">
        <v>3305</v>
      </c>
      <c r="BN23" s="2311" t="s">
        <v>3346</v>
      </c>
      <c r="BO23" s="2308">
        <v>5038000</v>
      </c>
      <c r="BP23" s="15408"/>
      <c r="BQ23" s="2296">
        <v>4231920</v>
      </c>
      <c r="BR23" s="2296">
        <f t="shared" si="0"/>
        <v>806080</v>
      </c>
      <c r="BS23" s="2296"/>
      <c r="BT23" s="2305"/>
      <c r="BU23" s="2305"/>
      <c r="BV23" s="2305"/>
      <c r="BW23" s="2305"/>
      <c r="BX23" s="2305"/>
      <c r="BY23" s="2305"/>
      <c r="BZ23" s="2305"/>
      <c r="CA23" s="2305"/>
      <c r="CB23" s="2305"/>
      <c r="CC23" s="2305"/>
      <c r="CD23" s="2305"/>
      <c r="CE23" s="2305"/>
      <c r="CF23" s="2305"/>
      <c r="CG23" s="2305"/>
      <c r="CH23" s="2305"/>
      <c r="CI23" s="2305"/>
      <c r="CJ23" s="2305"/>
      <c r="CK23" s="2305"/>
      <c r="CL23" s="2305"/>
      <c r="CM23" s="2305"/>
      <c r="CN23" s="2305"/>
      <c r="CO23" s="2305"/>
      <c r="CP23" s="2305"/>
      <c r="CQ23" s="2305"/>
      <c r="CR23" s="2305"/>
      <c r="CS23" s="2305"/>
      <c r="CT23" s="2319" t="s">
        <v>3287</v>
      </c>
      <c r="CU23" s="2299" t="s">
        <v>3288</v>
      </c>
      <c r="CV23" s="2304">
        <v>41</v>
      </c>
      <c r="CW23" s="2305"/>
      <c r="CX23" s="2305"/>
      <c r="CY23" s="2305"/>
      <c r="CZ23" s="2305"/>
      <c r="DA23" s="2305"/>
      <c r="DB23" s="2305"/>
      <c r="DC23" s="2305"/>
      <c r="DE23" s="3289"/>
      <c r="DF23" s="3021"/>
      <c r="DG23" s="3021"/>
      <c r="DH23" s="3021"/>
      <c r="DI23" s="3021"/>
      <c r="DJ23" s="3327"/>
      <c r="DK23" s="3289"/>
      <c r="DL23" s="3021"/>
      <c r="DM23" s="3021"/>
      <c r="DN23" s="3290"/>
      <c r="DO23" s="3278"/>
      <c r="DP23" s="3341"/>
      <c r="DQ23" s="3290"/>
      <c r="DR23" s="3341"/>
      <c r="DS23" s="3290"/>
      <c r="DT23" s="3341"/>
      <c r="DU23" s="3021"/>
      <c r="DV23" s="3021"/>
      <c r="DW23" s="3021"/>
      <c r="DX23" s="3021"/>
      <c r="DY23" s="3021"/>
      <c r="DZ23" s="3327"/>
      <c r="EA23" s="3289"/>
      <c r="EB23" s="3021"/>
      <c r="EC23" s="3021"/>
      <c r="ED23" s="3021"/>
      <c r="EE23" s="3021"/>
      <c r="EF23" s="3021"/>
      <c r="EG23" s="3021"/>
      <c r="EH23" s="3021"/>
      <c r="EI23" s="3021"/>
      <c r="EJ23" s="3021"/>
      <c r="EK23" s="3021"/>
      <c r="EL23" s="3021"/>
      <c r="EM23" s="3021"/>
      <c r="EN23" s="3290"/>
      <c r="EO23" s="3341"/>
      <c r="EP23" s="3021"/>
      <c r="EQ23" s="3021"/>
      <c r="ER23" s="3021"/>
      <c r="ES23" s="3327"/>
      <c r="ET23" s="3289"/>
      <c r="EU23" s="3021"/>
      <c r="EV23" s="3021"/>
      <c r="EW23" s="3021"/>
      <c r="EX23" s="3290"/>
    </row>
    <row r="24" spans="1:154" s="2310" customFormat="1" ht="15" customHeight="1" thickBot="1">
      <c r="A24" s="15384"/>
      <c r="B24" s="15370" t="s">
        <v>3347</v>
      </c>
      <c r="C24" s="15369"/>
      <c r="D24" s="15368"/>
      <c r="E24" s="15390"/>
      <c r="F24" s="2306" t="s">
        <v>7698</v>
      </c>
      <c r="G24" s="3243" t="s">
        <v>3348</v>
      </c>
      <c r="H24" s="3263" t="s">
        <v>86</v>
      </c>
      <c r="I24" s="15417"/>
      <c r="J24" s="2311" t="s">
        <v>3303</v>
      </c>
      <c r="K24" s="2284">
        <v>1</v>
      </c>
      <c r="L24" s="2311" t="s">
        <v>4094</v>
      </c>
      <c r="M24" s="2311" t="s">
        <v>4095</v>
      </c>
      <c r="N24" s="2311"/>
      <c r="O24" s="2312">
        <v>15239000</v>
      </c>
      <c r="P24" s="15408"/>
      <c r="Q24" s="2312">
        <v>52410800</v>
      </c>
      <c r="R24" s="2312">
        <v>229343164</v>
      </c>
      <c r="S24" s="2312">
        <v>11986687</v>
      </c>
      <c r="T24" s="2311"/>
      <c r="U24" s="2311"/>
      <c r="V24" s="2311"/>
      <c r="W24" s="2311"/>
      <c r="X24" s="2311"/>
      <c r="Y24" s="2311"/>
      <c r="Z24" s="2311"/>
      <c r="AA24" s="2311"/>
      <c r="AB24" s="2311"/>
      <c r="AC24" s="2311"/>
      <c r="AD24" s="2311"/>
      <c r="AE24" s="2311"/>
      <c r="AF24" s="2311"/>
      <c r="AG24" s="2311"/>
      <c r="AH24" s="2311"/>
      <c r="AI24" s="2311"/>
      <c r="AJ24" s="2311"/>
      <c r="AK24" s="2311"/>
      <c r="AL24" s="2311"/>
      <c r="AM24" s="2311"/>
      <c r="AN24" s="2311"/>
      <c r="AO24" s="2311"/>
      <c r="AP24" s="2311"/>
      <c r="AQ24" s="2311"/>
      <c r="AR24" s="2311"/>
      <c r="AS24" s="2311"/>
      <c r="AT24" s="2319" t="s">
        <v>3287</v>
      </c>
      <c r="AU24" s="2299" t="s">
        <v>3288</v>
      </c>
      <c r="AV24" s="2304">
        <v>38</v>
      </c>
      <c r="AW24" s="2311"/>
      <c r="AX24" s="2311"/>
      <c r="AY24" s="2311"/>
      <c r="AZ24" s="2311"/>
      <c r="BA24" s="2311"/>
      <c r="BB24" s="2311"/>
      <c r="BC24" s="2311"/>
      <c r="BD24" s="15368"/>
      <c r="BE24" s="2311" t="s">
        <v>3303</v>
      </c>
      <c r="BF24" s="2292" t="s">
        <v>1509</v>
      </c>
      <c r="BG24" s="2311" t="s">
        <v>3303</v>
      </c>
      <c r="BH24" s="2305" t="s">
        <v>9635</v>
      </c>
      <c r="BI24" s="2318">
        <v>1</v>
      </c>
      <c r="BJ24" s="2295">
        <v>1</v>
      </c>
      <c r="BK24" s="15523"/>
      <c r="BL24" s="2311" t="s">
        <v>4094</v>
      </c>
      <c r="BM24" s="2311" t="s">
        <v>4095</v>
      </c>
      <c r="BN24" s="2311"/>
      <c r="BO24" s="2308">
        <v>5038000</v>
      </c>
      <c r="BP24" s="15408"/>
      <c r="BQ24" s="2296">
        <v>4231920</v>
      </c>
      <c r="BR24" s="2296">
        <f t="shared" si="0"/>
        <v>806080</v>
      </c>
      <c r="BS24" s="2296"/>
      <c r="BT24" s="2305"/>
      <c r="BU24" s="2305"/>
      <c r="BV24" s="2305"/>
      <c r="BW24" s="2305"/>
      <c r="BX24" s="2305"/>
      <c r="BY24" s="2305"/>
      <c r="BZ24" s="2305"/>
      <c r="CA24" s="2305"/>
      <c r="CB24" s="2305"/>
      <c r="CC24" s="2305"/>
      <c r="CD24" s="2305"/>
      <c r="CE24" s="2305"/>
      <c r="CF24" s="2305"/>
      <c r="CG24" s="2305"/>
      <c r="CH24" s="2305"/>
      <c r="CI24" s="2305"/>
      <c r="CJ24" s="2305"/>
      <c r="CK24" s="2305"/>
      <c r="CL24" s="2305"/>
      <c r="CM24" s="2305"/>
      <c r="CN24" s="2305"/>
      <c r="CO24" s="2305"/>
      <c r="CP24" s="2305"/>
      <c r="CQ24" s="2305"/>
      <c r="CR24" s="2305"/>
      <c r="CS24" s="2305"/>
      <c r="CT24" s="2319" t="s">
        <v>3287</v>
      </c>
      <c r="CU24" s="2299" t="s">
        <v>3288</v>
      </c>
      <c r="CV24" s="2304">
        <v>38</v>
      </c>
      <c r="CW24" s="2311"/>
      <c r="CX24" s="2311"/>
      <c r="CY24" s="2311"/>
      <c r="CZ24" s="2311"/>
      <c r="DA24" s="2311"/>
      <c r="DB24" s="2311"/>
      <c r="DC24" s="2311"/>
      <c r="DE24" s="3289"/>
      <c r="DF24" s="3021"/>
      <c r="DG24" s="3021"/>
      <c r="DH24" s="3021"/>
      <c r="DI24" s="3021"/>
      <c r="DJ24" s="3327"/>
      <c r="DK24" s="3289"/>
      <c r="DL24" s="3021"/>
      <c r="DM24" s="3021"/>
      <c r="DN24" s="3290"/>
      <c r="DO24" s="3278"/>
      <c r="DP24" s="3341"/>
      <c r="DQ24" s="3290"/>
      <c r="DR24" s="3341"/>
      <c r="DS24" s="3290"/>
      <c r="DT24" s="3341"/>
      <c r="DU24" s="3021"/>
      <c r="DV24" s="3021"/>
      <c r="DW24" s="3021"/>
      <c r="DX24" s="3021"/>
      <c r="DY24" s="3021"/>
      <c r="DZ24" s="3327"/>
      <c r="EA24" s="3289"/>
      <c r="EB24" s="3021"/>
      <c r="EC24" s="3021"/>
      <c r="ED24" s="3021"/>
      <c r="EE24" s="3021"/>
      <c r="EF24" s="3021"/>
      <c r="EG24" s="3021"/>
      <c r="EH24" s="3021"/>
      <c r="EI24" s="3021"/>
      <c r="EJ24" s="3021"/>
      <c r="EK24" s="3021"/>
      <c r="EL24" s="3021"/>
      <c r="EM24" s="3021"/>
      <c r="EN24" s="3290"/>
      <c r="EO24" s="3341"/>
      <c r="EP24" s="3021"/>
      <c r="EQ24" s="3021"/>
      <c r="ER24" s="3021"/>
      <c r="ES24" s="3327"/>
      <c r="ET24" s="3289"/>
      <c r="EU24" s="3021"/>
      <c r="EV24" s="3021"/>
      <c r="EW24" s="3021"/>
      <c r="EX24" s="3290"/>
    </row>
    <row r="25" spans="1:154" s="2310" customFormat="1" ht="15" customHeight="1" thickBot="1">
      <c r="A25" s="15384"/>
      <c r="B25" s="15370"/>
      <c r="C25" s="15369"/>
      <c r="D25" s="15368"/>
      <c r="E25" s="15390"/>
      <c r="F25" s="2306" t="s">
        <v>7699</v>
      </c>
      <c r="G25" s="3243" t="s">
        <v>3349</v>
      </c>
      <c r="H25" s="3263" t="s">
        <v>86</v>
      </c>
      <c r="I25" s="15417"/>
      <c r="J25" s="2311" t="s">
        <v>4093</v>
      </c>
      <c r="K25" s="2284">
        <v>1</v>
      </c>
      <c r="L25" s="2315" t="s">
        <v>4096</v>
      </c>
      <c r="M25" s="2315" t="s">
        <v>4097</v>
      </c>
      <c r="N25" s="2305"/>
      <c r="O25" s="2309">
        <v>15239000</v>
      </c>
      <c r="P25" s="15409"/>
      <c r="Q25" s="2309">
        <v>52410800</v>
      </c>
      <c r="R25" s="2309">
        <v>229343164</v>
      </c>
      <c r="S25" s="2309">
        <v>11986687</v>
      </c>
      <c r="T25" s="2305"/>
      <c r="U25" s="2305"/>
      <c r="V25" s="2305"/>
      <c r="W25" s="2305"/>
      <c r="X25" s="2305"/>
      <c r="Y25" s="2305"/>
      <c r="Z25" s="2305"/>
      <c r="AA25" s="2305"/>
      <c r="AB25" s="2305"/>
      <c r="AC25" s="2305"/>
      <c r="AD25" s="2305"/>
      <c r="AE25" s="2305"/>
      <c r="AF25" s="2305"/>
      <c r="AG25" s="2305"/>
      <c r="AH25" s="2305"/>
      <c r="AI25" s="2305"/>
      <c r="AJ25" s="2305"/>
      <c r="AK25" s="2305"/>
      <c r="AL25" s="2305"/>
      <c r="AM25" s="2305"/>
      <c r="AN25" s="2305"/>
      <c r="AO25" s="2305"/>
      <c r="AP25" s="2305"/>
      <c r="AQ25" s="2305"/>
      <c r="AR25" s="2305"/>
      <c r="AS25" s="2305"/>
      <c r="AT25" s="2315" t="s">
        <v>4098</v>
      </c>
      <c r="AU25" s="2305" t="s">
        <v>4099</v>
      </c>
      <c r="AV25" s="2305">
        <v>24</v>
      </c>
      <c r="AW25" s="2305"/>
      <c r="AX25" s="2305"/>
      <c r="AY25" s="2305"/>
      <c r="AZ25" s="2305"/>
      <c r="BA25" s="2305"/>
      <c r="BB25" s="2305"/>
      <c r="BC25" s="2305"/>
      <c r="BD25" s="15368"/>
      <c r="BE25" s="2311" t="s">
        <v>4093</v>
      </c>
      <c r="BF25" s="2292" t="s">
        <v>1509</v>
      </c>
      <c r="BG25" s="2311" t="s">
        <v>4093</v>
      </c>
      <c r="BH25" s="2305" t="s">
        <v>9636</v>
      </c>
      <c r="BI25" s="2307">
        <v>1</v>
      </c>
      <c r="BJ25" s="2295">
        <v>1</v>
      </c>
      <c r="BK25" s="15523"/>
      <c r="BL25" s="2315" t="s">
        <v>4096</v>
      </c>
      <c r="BM25" s="2315" t="s">
        <v>4097</v>
      </c>
      <c r="BN25" s="2305"/>
      <c r="BO25" s="2320">
        <v>5038000</v>
      </c>
      <c r="BP25" s="15408"/>
      <c r="BQ25" s="2296">
        <v>4231920</v>
      </c>
      <c r="BR25" s="2296">
        <f t="shared" si="0"/>
        <v>806080</v>
      </c>
      <c r="BS25" s="2296"/>
      <c r="BT25" s="2305"/>
      <c r="BU25" s="2305"/>
      <c r="BV25" s="2305"/>
      <c r="BW25" s="2305"/>
      <c r="BX25" s="2305"/>
      <c r="BY25" s="2305"/>
      <c r="BZ25" s="2305"/>
      <c r="CA25" s="2305"/>
      <c r="CB25" s="2305"/>
      <c r="CC25" s="2305"/>
      <c r="CD25" s="2305"/>
      <c r="CE25" s="2305"/>
      <c r="CF25" s="2305"/>
      <c r="CG25" s="2305"/>
      <c r="CH25" s="2305"/>
      <c r="CI25" s="2305"/>
      <c r="CJ25" s="2305"/>
      <c r="CK25" s="2305"/>
      <c r="CL25" s="2305"/>
      <c r="CM25" s="2305"/>
      <c r="CN25" s="2305"/>
      <c r="CO25" s="2305"/>
      <c r="CP25" s="2305"/>
      <c r="CQ25" s="2305"/>
      <c r="CR25" s="2305"/>
      <c r="CS25" s="2305"/>
      <c r="CT25" s="2315" t="s">
        <v>4098</v>
      </c>
      <c r="CU25" s="2305" t="s">
        <v>4099</v>
      </c>
      <c r="CV25" s="2305">
        <v>24</v>
      </c>
      <c r="CW25" s="2305"/>
      <c r="CX25" s="2305"/>
      <c r="CY25" s="2305"/>
      <c r="CZ25" s="2305"/>
      <c r="DA25" s="2305"/>
      <c r="DB25" s="2305"/>
      <c r="DC25" s="2305"/>
      <c r="DE25" s="3289"/>
      <c r="DF25" s="3021"/>
      <c r="DG25" s="3021"/>
      <c r="DH25" s="3021"/>
      <c r="DI25" s="3021"/>
      <c r="DJ25" s="3327"/>
      <c r="DK25" s="3289"/>
      <c r="DL25" s="3021"/>
      <c r="DM25" s="3021"/>
      <c r="DN25" s="3290"/>
      <c r="DO25" s="3278"/>
      <c r="DP25" s="3341"/>
      <c r="DQ25" s="3290"/>
      <c r="DR25" s="3341"/>
      <c r="DS25" s="3290"/>
      <c r="DT25" s="3341"/>
      <c r="DU25" s="3021"/>
      <c r="DV25" s="3021"/>
      <c r="DW25" s="3021"/>
      <c r="DX25" s="3021"/>
      <c r="DY25" s="3021"/>
      <c r="DZ25" s="3327"/>
      <c r="EA25" s="3289"/>
      <c r="EB25" s="3021"/>
      <c r="EC25" s="3021"/>
      <c r="ED25" s="3021"/>
      <c r="EE25" s="3021"/>
      <c r="EF25" s="3021"/>
      <c r="EG25" s="3021"/>
      <c r="EH25" s="3021"/>
      <c r="EI25" s="3021"/>
      <c r="EJ25" s="3021"/>
      <c r="EK25" s="3021"/>
      <c r="EL25" s="3021"/>
      <c r="EM25" s="3021"/>
      <c r="EN25" s="3290"/>
      <c r="EO25" s="3341"/>
      <c r="EP25" s="3021"/>
      <c r="EQ25" s="3021"/>
      <c r="ER25" s="3021"/>
      <c r="ES25" s="3327"/>
      <c r="ET25" s="3289"/>
      <c r="EU25" s="3021"/>
      <c r="EV25" s="3021"/>
      <c r="EW25" s="3021"/>
      <c r="EX25" s="3290"/>
    </row>
    <row r="26" spans="1:154" s="2310" customFormat="1" ht="15" customHeight="1" thickBot="1">
      <c r="A26" s="15385"/>
      <c r="B26" s="15371"/>
      <c r="C26" s="15432"/>
      <c r="D26" s="15433"/>
      <c r="E26" s="15391"/>
      <c r="F26" s="1772" t="s">
        <v>7700</v>
      </c>
      <c r="G26" s="3246" t="s">
        <v>3350</v>
      </c>
      <c r="H26" s="3265" t="s">
        <v>86</v>
      </c>
      <c r="I26" s="15473"/>
      <c r="J26" s="2299" t="s">
        <v>3291</v>
      </c>
      <c r="K26" s="2284">
        <v>1</v>
      </c>
      <c r="L26" s="2299" t="s">
        <v>3295</v>
      </c>
      <c r="M26" s="2301" t="s">
        <v>3293</v>
      </c>
      <c r="N26" s="2301" t="s">
        <v>3296</v>
      </c>
      <c r="O26" s="2309">
        <v>15239000</v>
      </c>
      <c r="P26" s="15474">
        <f>SUM(O26:O40)</f>
        <v>274302000</v>
      </c>
      <c r="Q26" s="2309">
        <v>52410800</v>
      </c>
      <c r="R26" s="2309">
        <v>229343164</v>
      </c>
      <c r="S26" s="2309">
        <v>11986687</v>
      </c>
      <c r="T26" s="2304">
        <v>250</v>
      </c>
      <c r="U26" s="2302"/>
      <c r="V26" s="2304">
        <v>250</v>
      </c>
      <c r="W26" s="2304">
        <v>165</v>
      </c>
      <c r="X26" s="2304">
        <v>85</v>
      </c>
      <c r="Y26" s="2304"/>
      <c r="Z26" s="2304">
        <v>1</v>
      </c>
      <c r="AA26" s="2304">
        <v>35</v>
      </c>
      <c r="AB26" s="2304">
        <v>157</v>
      </c>
      <c r="AC26" s="2304">
        <v>56</v>
      </c>
      <c r="AD26" s="2304">
        <v>1</v>
      </c>
      <c r="AE26" s="2306"/>
      <c r="AF26" s="2306"/>
      <c r="AG26" s="2306"/>
      <c r="AH26" s="2306"/>
      <c r="AI26" s="2306"/>
      <c r="AJ26" s="2306"/>
      <c r="AK26" s="2306"/>
      <c r="AL26" s="2306"/>
      <c r="AM26" s="2306"/>
      <c r="AN26" s="2305">
        <v>228</v>
      </c>
      <c r="AO26" s="2305">
        <v>16</v>
      </c>
      <c r="AP26" s="2305">
        <v>6</v>
      </c>
      <c r="AQ26" s="2305"/>
      <c r="AR26" s="2305"/>
      <c r="AS26" s="2305"/>
      <c r="AT26" s="2305"/>
      <c r="AU26" s="2305"/>
      <c r="AV26" s="2305"/>
      <c r="AW26" s="2305"/>
      <c r="AX26" s="2305"/>
      <c r="AY26" s="2305"/>
      <c r="AZ26" s="2305"/>
      <c r="BA26" s="2305"/>
      <c r="BB26" s="2305"/>
      <c r="BC26" s="2305"/>
      <c r="BD26" s="15512"/>
      <c r="BE26" s="2321" t="s">
        <v>3291</v>
      </c>
      <c r="BF26" s="2322" t="s">
        <v>1509</v>
      </c>
      <c r="BG26" s="2321" t="s">
        <v>3291</v>
      </c>
      <c r="BH26" s="2323">
        <v>1</v>
      </c>
      <c r="BI26" s="2323">
        <v>1</v>
      </c>
      <c r="BJ26" s="2295">
        <v>1</v>
      </c>
      <c r="BK26" s="15523"/>
      <c r="BL26" s="2321" t="s">
        <v>3295</v>
      </c>
      <c r="BM26" s="2324" t="s">
        <v>3293</v>
      </c>
      <c r="BN26" s="2324" t="s">
        <v>3296</v>
      </c>
      <c r="BO26" s="2296">
        <v>5038000</v>
      </c>
      <c r="BP26" s="15528"/>
      <c r="BQ26" s="2296">
        <v>4231920</v>
      </c>
      <c r="BR26" s="2296">
        <f t="shared" si="0"/>
        <v>806080</v>
      </c>
      <c r="BS26" s="2296"/>
      <c r="BT26" s="2304">
        <v>2.0390000000000001</v>
      </c>
      <c r="BU26" s="2306"/>
      <c r="BV26" s="2304"/>
      <c r="BW26" s="2304"/>
      <c r="BX26" s="2304"/>
      <c r="BY26" s="2304"/>
      <c r="BZ26" s="2304"/>
      <c r="CA26" s="2304"/>
      <c r="CB26" s="2304"/>
      <c r="CC26" s="2304"/>
      <c r="CD26" s="2304"/>
      <c r="CE26" s="2306"/>
      <c r="CF26" s="2306"/>
      <c r="CG26" s="2306"/>
      <c r="CH26" s="2306"/>
      <c r="CI26" s="2306"/>
      <c r="CJ26" s="2306"/>
      <c r="CK26" s="2306"/>
      <c r="CL26" s="2306"/>
      <c r="CM26" s="2306"/>
      <c r="CN26" s="2305">
        <v>228</v>
      </c>
      <c r="CO26" s="2305">
        <v>16</v>
      </c>
      <c r="CP26" s="2305">
        <v>6</v>
      </c>
      <c r="CQ26" s="2305"/>
      <c r="CR26" s="2305"/>
      <c r="CS26" s="2305"/>
      <c r="CT26" s="2305"/>
      <c r="CU26" s="2305"/>
      <c r="CV26" s="2305"/>
      <c r="CW26" s="2305"/>
      <c r="CX26" s="2305"/>
      <c r="CY26" s="2305"/>
      <c r="CZ26" s="2305"/>
      <c r="DA26" s="2305"/>
      <c r="DB26" s="2305"/>
      <c r="DC26" s="2305"/>
      <c r="DE26" s="3324"/>
      <c r="DF26" s="3022"/>
      <c r="DG26" s="3022"/>
      <c r="DH26" s="3022"/>
      <c r="DI26" s="3022"/>
      <c r="DJ26" s="3328"/>
      <c r="DK26" s="3324"/>
      <c r="DL26" s="3022"/>
      <c r="DM26" s="3022"/>
      <c r="DN26" s="3325"/>
      <c r="DO26" s="3279"/>
      <c r="DP26" s="3342"/>
      <c r="DQ26" s="3325"/>
      <c r="DR26" s="3342"/>
      <c r="DS26" s="3325"/>
      <c r="DT26" s="3342"/>
      <c r="DU26" s="3022"/>
      <c r="DV26" s="3022"/>
      <c r="DW26" s="3022"/>
      <c r="DX26" s="3022"/>
      <c r="DY26" s="3022"/>
      <c r="DZ26" s="3328"/>
      <c r="EA26" s="3324"/>
      <c r="EB26" s="3022"/>
      <c r="EC26" s="3022"/>
      <c r="ED26" s="3022"/>
      <c r="EE26" s="3022"/>
      <c r="EF26" s="3022"/>
      <c r="EG26" s="3022"/>
      <c r="EH26" s="3022"/>
      <c r="EI26" s="3022"/>
      <c r="EJ26" s="3022"/>
      <c r="EK26" s="3022"/>
      <c r="EL26" s="3022"/>
      <c r="EM26" s="3022"/>
      <c r="EN26" s="3325"/>
      <c r="EO26" s="3342"/>
      <c r="EP26" s="3022"/>
      <c r="EQ26" s="3022"/>
      <c r="ER26" s="3022"/>
      <c r="ES26" s="3328"/>
      <c r="ET26" s="3324"/>
      <c r="EU26" s="3022"/>
      <c r="EV26" s="3022"/>
      <c r="EW26" s="3022"/>
      <c r="EX26" s="3325"/>
    </row>
    <row r="27" spans="1:154" s="2340" customFormat="1" ht="15" customHeight="1" thickBot="1">
      <c r="A27" s="15372" t="s">
        <v>3351</v>
      </c>
      <c r="B27" s="15373" t="s">
        <v>3281</v>
      </c>
      <c r="C27" s="15375" t="s">
        <v>3352</v>
      </c>
      <c r="D27" s="15375">
        <v>12.5</v>
      </c>
      <c r="E27" s="15378">
        <v>10</v>
      </c>
      <c r="F27" s="1756" t="s">
        <v>7701</v>
      </c>
      <c r="G27" s="3247" t="s">
        <v>3353</v>
      </c>
      <c r="H27" s="3266" t="s">
        <v>86</v>
      </c>
      <c r="I27" s="15476">
        <v>11</v>
      </c>
      <c r="J27" s="2325" t="s">
        <v>3354</v>
      </c>
      <c r="K27" s="2326">
        <v>1</v>
      </c>
      <c r="L27" s="2325" t="s">
        <v>3355</v>
      </c>
      <c r="M27" s="2325" t="s">
        <v>3356</v>
      </c>
      <c r="N27" s="2327"/>
      <c r="O27" s="2328">
        <v>15239000</v>
      </c>
      <c r="P27" s="15475"/>
      <c r="Q27" s="2328">
        <v>52410800</v>
      </c>
      <c r="R27" s="2328">
        <v>229343164</v>
      </c>
      <c r="S27" s="2328">
        <v>11986687</v>
      </c>
      <c r="T27" s="2329">
        <v>730</v>
      </c>
      <c r="U27" s="2329">
        <v>122</v>
      </c>
      <c r="V27" s="2329">
        <v>608</v>
      </c>
      <c r="W27" s="2329">
        <v>730</v>
      </c>
      <c r="X27" s="2329"/>
      <c r="Y27" s="2329"/>
      <c r="Z27" s="2329">
        <v>14</v>
      </c>
      <c r="AA27" s="2329">
        <v>79</v>
      </c>
      <c r="AB27" s="2329">
        <v>373</v>
      </c>
      <c r="AC27" s="2329">
        <v>218</v>
      </c>
      <c r="AD27" s="2329">
        <v>46</v>
      </c>
      <c r="AE27" s="2329"/>
      <c r="AF27" s="2329"/>
      <c r="AG27" s="2329"/>
      <c r="AH27" s="2329"/>
      <c r="AI27" s="2329"/>
      <c r="AJ27" s="2329"/>
      <c r="AK27" s="2329"/>
      <c r="AL27" s="2329"/>
      <c r="AM27" s="2329"/>
      <c r="AN27" s="2329">
        <v>723</v>
      </c>
      <c r="AO27" s="2329">
        <v>5</v>
      </c>
      <c r="AP27" s="2329">
        <v>2</v>
      </c>
      <c r="AQ27" s="2329"/>
      <c r="AR27" s="2329"/>
      <c r="AS27" s="2329"/>
      <c r="AT27" s="2329"/>
      <c r="AU27" s="2329"/>
      <c r="AV27" s="2329"/>
      <c r="AW27" s="2329"/>
      <c r="AX27" s="2329"/>
      <c r="AY27" s="2329"/>
      <c r="AZ27" s="2329"/>
      <c r="BA27" s="2329"/>
      <c r="BB27" s="2329"/>
      <c r="BC27" s="2330"/>
      <c r="BD27" s="15514">
        <v>11</v>
      </c>
      <c r="BE27" s="2331" t="s">
        <v>3354</v>
      </c>
      <c r="BF27" s="2332" t="s">
        <v>1509</v>
      </c>
      <c r="BG27" s="2331" t="s">
        <v>3354</v>
      </c>
      <c r="BH27" s="2332" t="s">
        <v>9637</v>
      </c>
      <c r="BI27" s="2333">
        <v>1</v>
      </c>
      <c r="BJ27" s="2334">
        <v>1</v>
      </c>
      <c r="BK27" s="15524">
        <f>AVERAGE(BJ27:BJ40)</f>
        <v>1</v>
      </c>
      <c r="BL27" s="2331" t="s">
        <v>3355</v>
      </c>
      <c r="BM27" s="2331" t="s">
        <v>3356</v>
      </c>
      <c r="BN27" s="2335"/>
      <c r="BO27" s="2336">
        <v>5038000</v>
      </c>
      <c r="BP27" s="15526">
        <f>SUM(BO27:BO40)</f>
        <v>70532000</v>
      </c>
      <c r="BQ27" s="2337">
        <v>4231920</v>
      </c>
      <c r="BR27" s="2338">
        <f t="shared" si="0"/>
        <v>806080</v>
      </c>
      <c r="BS27" s="2338"/>
      <c r="BT27" s="2339">
        <v>3.7679999999999998</v>
      </c>
      <c r="BU27" s="2339">
        <v>1795</v>
      </c>
      <c r="BV27" s="2339">
        <v>1972</v>
      </c>
      <c r="BW27" s="2339">
        <v>2676</v>
      </c>
      <c r="BX27" s="2339">
        <v>1091</v>
      </c>
      <c r="BY27" s="2329"/>
      <c r="BZ27" s="2329"/>
      <c r="CA27" s="2329">
        <v>3768</v>
      </c>
      <c r="CB27" s="2329"/>
      <c r="CC27" s="2329"/>
      <c r="CD27" s="2329"/>
      <c r="CE27" s="2329"/>
      <c r="CF27" s="2329"/>
      <c r="CG27" s="2329"/>
      <c r="CH27" s="2329"/>
      <c r="CI27" s="2329"/>
      <c r="CJ27" s="2329"/>
      <c r="CK27" s="2329"/>
      <c r="CL27" s="2329"/>
      <c r="CM27" s="2329"/>
      <c r="CN27" s="2329">
        <v>723</v>
      </c>
      <c r="CO27" s="2329">
        <v>5</v>
      </c>
      <c r="CP27" s="2329">
        <v>2</v>
      </c>
      <c r="CQ27" s="2329"/>
      <c r="CR27" s="2329"/>
      <c r="CS27" s="2329"/>
      <c r="CT27" s="2329"/>
      <c r="CU27" s="2329"/>
      <c r="CV27" s="2329"/>
      <c r="CW27" s="2329"/>
      <c r="CX27" s="2329"/>
      <c r="CY27" s="2329"/>
      <c r="CZ27" s="2329"/>
      <c r="DA27" s="2329"/>
      <c r="DB27" s="2329"/>
      <c r="DC27" s="2329"/>
      <c r="DE27" s="3322"/>
      <c r="DF27" s="3024"/>
      <c r="DG27" s="3024"/>
      <c r="DH27" s="3024"/>
      <c r="DI27" s="3024"/>
      <c r="DJ27" s="3329"/>
      <c r="DK27" s="3322"/>
      <c r="DL27" s="3024"/>
      <c r="DM27" s="3024"/>
      <c r="DN27" s="3323"/>
      <c r="DO27" s="3359"/>
      <c r="DP27" s="3343"/>
      <c r="DQ27" s="3323"/>
      <c r="DR27" s="3343"/>
      <c r="DS27" s="3323"/>
      <c r="DT27" s="3343"/>
      <c r="DU27" s="3024"/>
      <c r="DV27" s="3024"/>
      <c r="DW27" s="3024"/>
      <c r="DX27" s="3024"/>
      <c r="DY27" s="3024"/>
      <c r="DZ27" s="3329"/>
      <c r="EA27" s="3322"/>
      <c r="EB27" s="3024"/>
      <c r="EC27" s="3024"/>
      <c r="ED27" s="3024"/>
      <c r="EE27" s="3024"/>
      <c r="EF27" s="3024"/>
      <c r="EG27" s="3024"/>
      <c r="EH27" s="3024"/>
      <c r="EI27" s="3024"/>
      <c r="EJ27" s="3024"/>
      <c r="EK27" s="3024"/>
      <c r="EL27" s="3024"/>
      <c r="EM27" s="3024"/>
      <c r="EN27" s="3323"/>
      <c r="EO27" s="3343"/>
      <c r="EP27" s="3024"/>
      <c r="EQ27" s="3024"/>
      <c r="ER27" s="3024"/>
      <c r="ES27" s="3329"/>
      <c r="ET27" s="3322"/>
      <c r="EU27" s="3024"/>
      <c r="EV27" s="3024"/>
      <c r="EW27" s="3024"/>
      <c r="EX27" s="3323"/>
    </row>
    <row r="28" spans="1:154" s="2340" customFormat="1" ht="15" customHeight="1" thickBot="1">
      <c r="A28" s="15372"/>
      <c r="B28" s="15374"/>
      <c r="C28" s="15376"/>
      <c r="D28" s="15376"/>
      <c r="E28" s="15379"/>
      <c r="F28" s="1756" t="s">
        <v>7702</v>
      </c>
      <c r="G28" s="3248" t="s">
        <v>3357</v>
      </c>
      <c r="H28" s="3267" t="s">
        <v>86</v>
      </c>
      <c r="I28" s="15477"/>
      <c r="J28" s="2325" t="s">
        <v>3354</v>
      </c>
      <c r="K28" s="2326">
        <v>1</v>
      </c>
      <c r="L28" s="2325" t="s">
        <v>3358</v>
      </c>
      <c r="M28" s="2325" t="s">
        <v>3356</v>
      </c>
      <c r="N28" s="2327"/>
      <c r="O28" s="2328">
        <v>15239000</v>
      </c>
      <c r="P28" s="15475"/>
      <c r="Q28" s="2328">
        <v>52410800</v>
      </c>
      <c r="R28" s="2328">
        <v>229343164</v>
      </c>
      <c r="S28" s="2328">
        <v>11986687</v>
      </c>
      <c r="T28" s="2329">
        <v>730</v>
      </c>
      <c r="U28" s="2329">
        <v>122</v>
      </c>
      <c r="V28" s="2329">
        <v>608</v>
      </c>
      <c r="W28" s="2329">
        <v>730</v>
      </c>
      <c r="X28" s="2329"/>
      <c r="Y28" s="2329"/>
      <c r="Z28" s="2329">
        <v>14</v>
      </c>
      <c r="AA28" s="2329">
        <v>79</v>
      </c>
      <c r="AB28" s="2329">
        <v>373</v>
      </c>
      <c r="AC28" s="2329">
        <v>218</v>
      </c>
      <c r="AD28" s="2329">
        <v>46</v>
      </c>
      <c r="AE28" s="2329"/>
      <c r="AF28" s="2329"/>
      <c r="AG28" s="2329"/>
      <c r="AH28" s="2329"/>
      <c r="AI28" s="2329"/>
      <c r="AJ28" s="2329"/>
      <c r="AK28" s="2329"/>
      <c r="AL28" s="2329"/>
      <c r="AM28" s="2329"/>
      <c r="AN28" s="2329">
        <v>723</v>
      </c>
      <c r="AO28" s="2329">
        <v>5</v>
      </c>
      <c r="AP28" s="2329">
        <v>2</v>
      </c>
      <c r="AQ28" s="2329"/>
      <c r="AR28" s="2329"/>
      <c r="AS28" s="2329"/>
      <c r="AT28" s="2329"/>
      <c r="AU28" s="2329"/>
      <c r="AV28" s="2329"/>
      <c r="AW28" s="2329"/>
      <c r="AX28" s="2329"/>
      <c r="AY28" s="2329"/>
      <c r="AZ28" s="2329"/>
      <c r="BA28" s="2329"/>
      <c r="BB28" s="2329"/>
      <c r="BC28" s="2330"/>
      <c r="BD28" s="15515"/>
      <c r="BE28" s="2325" t="s">
        <v>3354</v>
      </c>
      <c r="BF28" s="2342" t="s">
        <v>1509</v>
      </c>
      <c r="BG28" s="2325" t="s">
        <v>3354</v>
      </c>
      <c r="BH28" s="2329" t="s">
        <v>9638</v>
      </c>
      <c r="BI28" s="2343">
        <v>1</v>
      </c>
      <c r="BJ28" s="2334">
        <v>1</v>
      </c>
      <c r="BK28" s="15525"/>
      <c r="BL28" s="2325" t="s">
        <v>3358</v>
      </c>
      <c r="BM28" s="2325" t="s">
        <v>3356</v>
      </c>
      <c r="BN28" s="2327"/>
      <c r="BO28" s="2344">
        <v>5038000</v>
      </c>
      <c r="BP28" s="15527"/>
      <c r="BQ28" s="2337">
        <v>4231920</v>
      </c>
      <c r="BR28" s="2338">
        <f t="shared" si="0"/>
        <v>806080</v>
      </c>
      <c r="BS28" s="2338"/>
      <c r="BT28" s="2339">
        <v>3.7679999999999998</v>
      </c>
      <c r="BU28" s="2339">
        <v>1795</v>
      </c>
      <c r="BV28" s="2339">
        <v>1972</v>
      </c>
      <c r="BW28" s="2339">
        <v>2676</v>
      </c>
      <c r="BX28" s="2339">
        <v>1091</v>
      </c>
      <c r="BY28" s="2329"/>
      <c r="BZ28" s="2329"/>
      <c r="CA28" s="2329">
        <v>3768</v>
      </c>
      <c r="CB28" s="2329"/>
      <c r="CC28" s="2329"/>
      <c r="CD28" s="2329"/>
      <c r="CE28" s="2329"/>
      <c r="CF28" s="2329"/>
      <c r="CG28" s="2329"/>
      <c r="CH28" s="2329"/>
      <c r="CI28" s="2329"/>
      <c r="CJ28" s="2329"/>
      <c r="CK28" s="2329"/>
      <c r="CL28" s="2329"/>
      <c r="CM28" s="2329"/>
      <c r="CN28" s="2329">
        <v>723</v>
      </c>
      <c r="CO28" s="2329">
        <v>5</v>
      </c>
      <c r="CP28" s="2329">
        <v>2</v>
      </c>
      <c r="CQ28" s="2329"/>
      <c r="CR28" s="2329"/>
      <c r="CS28" s="2329"/>
      <c r="CT28" s="2329"/>
      <c r="CU28" s="2329"/>
      <c r="CV28" s="2329"/>
      <c r="CW28" s="2329"/>
      <c r="CX28" s="2329"/>
      <c r="CY28" s="2329"/>
      <c r="CZ28" s="2329"/>
      <c r="DA28" s="2329"/>
      <c r="DB28" s="2329"/>
      <c r="DC28" s="2329"/>
      <c r="DE28" s="3291"/>
      <c r="DF28" s="3023"/>
      <c r="DG28" s="3023"/>
      <c r="DH28" s="3023"/>
      <c r="DI28" s="3023"/>
      <c r="DJ28" s="2330"/>
      <c r="DK28" s="3291"/>
      <c r="DL28" s="3023"/>
      <c r="DM28" s="3023"/>
      <c r="DN28" s="3292"/>
      <c r="DO28" s="3269"/>
      <c r="DP28" s="3344"/>
      <c r="DQ28" s="3292"/>
      <c r="DR28" s="3344"/>
      <c r="DS28" s="3292"/>
      <c r="DT28" s="3344"/>
      <c r="DU28" s="3023"/>
      <c r="DV28" s="3023"/>
      <c r="DW28" s="3023"/>
      <c r="DX28" s="3023"/>
      <c r="DY28" s="3023"/>
      <c r="DZ28" s="2330"/>
      <c r="EA28" s="3291"/>
      <c r="EB28" s="3023"/>
      <c r="EC28" s="3023"/>
      <c r="ED28" s="3023"/>
      <c r="EE28" s="3023"/>
      <c r="EF28" s="3023"/>
      <c r="EG28" s="3023"/>
      <c r="EH28" s="3023"/>
      <c r="EI28" s="3023"/>
      <c r="EJ28" s="3023"/>
      <c r="EK28" s="3023"/>
      <c r="EL28" s="3023"/>
      <c r="EM28" s="3023"/>
      <c r="EN28" s="3292"/>
      <c r="EO28" s="3344"/>
      <c r="EP28" s="3023"/>
      <c r="EQ28" s="3023"/>
      <c r="ER28" s="3023"/>
      <c r="ES28" s="2330"/>
      <c r="ET28" s="3291"/>
      <c r="EU28" s="3023"/>
      <c r="EV28" s="3023"/>
      <c r="EW28" s="3023"/>
      <c r="EX28" s="3292"/>
    </row>
    <row r="29" spans="1:154" s="2351" customFormat="1" ht="15" customHeight="1" thickBot="1">
      <c r="A29" s="15372"/>
      <c r="B29" s="15374"/>
      <c r="C29" s="15376"/>
      <c r="D29" s="15376"/>
      <c r="E29" s="15379"/>
      <c r="F29" s="1756" t="s">
        <v>7703</v>
      </c>
      <c r="G29" s="2350" t="s">
        <v>3359</v>
      </c>
      <c r="H29" s="3268" t="s">
        <v>86</v>
      </c>
      <c r="I29" s="15477"/>
      <c r="J29" s="2341" t="s">
        <v>3330</v>
      </c>
      <c r="K29" s="2326">
        <v>1</v>
      </c>
      <c r="L29" s="2341" t="s">
        <v>3360</v>
      </c>
      <c r="M29" s="2325" t="s">
        <v>3305</v>
      </c>
      <c r="N29" s="2341"/>
      <c r="O29" s="2346">
        <v>30478000</v>
      </c>
      <c r="P29" s="15475"/>
      <c r="Q29" s="2328">
        <v>52410800</v>
      </c>
      <c r="R29" s="2328">
        <v>229343164</v>
      </c>
      <c r="S29" s="2328">
        <v>11986687</v>
      </c>
      <c r="T29" s="2341"/>
      <c r="U29" s="2341"/>
      <c r="V29" s="2341"/>
      <c r="W29" s="2341"/>
      <c r="X29" s="2345"/>
      <c r="Y29" s="2345"/>
      <c r="Z29" s="2345"/>
      <c r="AA29" s="2345"/>
      <c r="AB29" s="2345"/>
      <c r="AC29" s="2345"/>
      <c r="AD29" s="2345"/>
      <c r="AE29" s="2345"/>
      <c r="AF29" s="2345"/>
      <c r="AG29" s="2345"/>
      <c r="AH29" s="2345"/>
      <c r="AI29" s="2345"/>
      <c r="AJ29" s="2345"/>
      <c r="AK29" s="2345"/>
      <c r="AL29" s="2345"/>
      <c r="AM29" s="2345"/>
      <c r="AN29" s="2345"/>
      <c r="AO29" s="2345"/>
      <c r="AP29" s="2345"/>
      <c r="AQ29" s="2345"/>
      <c r="AR29" s="2345"/>
      <c r="AS29" s="2345"/>
      <c r="AT29" s="2347" t="s">
        <v>3287</v>
      </c>
      <c r="AU29" s="2348" t="s">
        <v>3288</v>
      </c>
      <c r="AV29" s="2349">
        <v>35</v>
      </c>
      <c r="AW29" s="2345"/>
      <c r="AX29" s="2345"/>
      <c r="AY29" s="2345"/>
      <c r="AZ29" s="2345"/>
      <c r="BA29" s="2345"/>
      <c r="BB29" s="2345"/>
      <c r="BC29" s="2350"/>
      <c r="BD29" s="15515"/>
      <c r="BE29" s="2341" t="s">
        <v>3330</v>
      </c>
      <c r="BF29" s="2342" t="s">
        <v>1509</v>
      </c>
      <c r="BG29" s="2341" t="s">
        <v>3330</v>
      </c>
      <c r="BH29" s="2343">
        <v>1</v>
      </c>
      <c r="BI29" s="2343">
        <v>1</v>
      </c>
      <c r="BJ29" s="2334">
        <v>1</v>
      </c>
      <c r="BK29" s="15525"/>
      <c r="BL29" s="2341" t="s">
        <v>3360</v>
      </c>
      <c r="BM29" s="2325" t="s">
        <v>3305</v>
      </c>
      <c r="BN29" s="2341"/>
      <c r="BO29" s="2344">
        <v>5038000</v>
      </c>
      <c r="BP29" s="15527"/>
      <c r="BQ29" s="2337">
        <v>4231920</v>
      </c>
      <c r="BR29" s="2338">
        <f t="shared" si="0"/>
        <v>806080</v>
      </c>
      <c r="BS29" s="2338"/>
      <c r="BT29" s="2329">
        <v>46</v>
      </c>
      <c r="BU29" s="2329"/>
      <c r="BV29" s="2329"/>
      <c r="BW29" s="2329"/>
      <c r="BX29" s="2329"/>
      <c r="BY29" s="2329"/>
      <c r="BZ29" s="2329"/>
      <c r="CA29" s="2329"/>
      <c r="CB29" s="2329"/>
      <c r="CC29" s="2329"/>
      <c r="CD29" s="2329"/>
      <c r="CE29" s="2329"/>
      <c r="CF29" s="2329"/>
      <c r="CG29" s="2329"/>
      <c r="CH29" s="2329"/>
      <c r="CI29" s="2329"/>
      <c r="CJ29" s="2329"/>
      <c r="CK29" s="2329"/>
      <c r="CL29" s="2329"/>
      <c r="CM29" s="2329"/>
      <c r="CN29" s="2329"/>
      <c r="CO29" s="2329"/>
      <c r="CP29" s="2329"/>
      <c r="CQ29" s="2329"/>
      <c r="CR29" s="2329"/>
      <c r="CS29" s="2329"/>
      <c r="CT29" s="2347" t="s">
        <v>3287</v>
      </c>
      <c r="CU29" s="2348" t="s">
        <v>3288</v>
      </c>
      <c r="CV29" s="2349">
        <v>35</v>
      </c>
      <c r="CW29" s="2345"/>
      <c r="CX29" s="2345"/>
      <c r="CY29" s="2345"/>
      <c r="CZ29" s="2345"/>
      <c r="DA29" s="2345"/>
      <c r="DB29" s="2345"/>
      <c r="DC29" s="2345"/>
      <c r="DE29" s="3293"/>
      <c r="DF29" s="2345"/>
      <c r="DG29" s="2345"/>
      <c r="DH29" s="2345"/>
      <c r="DI29" s="2345"/>
      <c r="DJ29" s="2350"/>
      <c r="DK29" s="3293"/>
      <c r="DL29" s="2345"/>
      <c r="DM29" s="2345"/>
      <c r="DN29" s="3294"/>
      <c r="DO29" s="3360"/>
      <c r="DP29" s="3345"/>
      <c r="DQ29" s="3294"/>
      <c r="DR29" s="3345"/>
      <c r="DS29" s="3294"/>
      <c r="DT29" s="3345"/>
      <c r="DU29" s="2345"/>
      <c r="DV29" s="2345"/>
      <c r="DW29" s="2345"/>
      <c r="DX29" s="2345"/>
      <c r="DY29" s="2345"/>
      <c r="DZ29" s="2350"/>
      <c r="EA29" s="3293"/>
      <c r="EB29" s="2345"/>
      <c r="EC29" s="2345"/>
      <c r="ED29" s="2345"/>
      <c r="EE29" s="2345"/>
      <c r="EF29" s="2345"/>
      <c r="EG29" s="2345"/>
      <c r="EH29" s="2345"/>
      <c r="EI29" s="2345"/>
      <c r="EJ29" s="2345"/>
      <c r="EK29" s="2345"/>
      <c r="EL29" s="2345"/>
      <c r="EM29" s="2345"/>
      <c r="EN29" s="3294"/>
      <c r="EO29" s="3345"/>
      <c r="EP29" s="2345"/>
      <c r="EQ29" s="2345"/>
      <c r="ER29" s="2345"/>
      <c r="ES29" s="2350"/>
      <c r="ET29" s="3293"/>
      <c r="EU29" s="2345"/>
      <c r="EV29" s="2345"/>
      <c r="EW29" s="2345"/>
      <c r="EX29" s="3294"/>
    </row>
    <row r="30" spans="1:154" s="2351" customFormat="1" ht="15" customHeight="1" thickBot="1">
      <c r="A30" s="15372"/>
      <c r="B30" s="15374"/>
      <c r="C30" s="15376"/>
      <c r="D30" s="15376"/>
      <c r="E30" s="15379"/>
      <c r="F30" s="1756" t="s">
        <v>7704</v>
      </c>
      <c r="G30" s="3248" t="s">
        <v>3361</v>
      </c>
      <c r="H30" s="3267" t="s">
        <v>86</v>
      </c>
      <c r="I30" s="15477"/>
      <c r="J30" s="2341" t="s">
        <v>3330</v>
      </c>
      <c r="K30" s="2326">
        <v>1</v>
      </c>
      <c r="L30" s="2341" t="s">
        <v>3362</v>
      </c>
      <c r="M30" s="2325" t="s">
        <v>3305</v>
      </c>
      <c r="N30" s="2341"/>
      <c r="O30" s="2346">
        <v>30478000</v>
      </c>
      <c r="P30" s="15475"/>
      <c r="Q30" s="2328">
        <v>52410800</v>
      </c>
      <c r="R30" s="2328">
        <v>229343164</v>
      </c>
      <c r="S30" s="2328">
        <v>11986687</v>
      </c>
      <c r="T30" s="2341"/>
      <c r="U30" s="2341"/>
      <c r="V30" s="2341"/>
      <c r="W30" s="2341"/>
      <c r="X30" s="2345"/>
      <c r="Y30" s="2345"/>
      <c r="Z30" s="2345"/>
      <c r="AA30" s="2345"/>
      <c r="AB30" s="2345"/>
      <c r="AC30" s="2345"/>
      <c r="AD30" s="2345"/>
      <c r="AE30" s="2345"/>
      <c r="AF30" s="2345"/>
      <c r="AG30" s="2345"/>
      <c r="AH30" s="2345"/>
      <c r="AI30" s="2345"/>
      <c r="AJ30" s="2345"/>
      <c r="AK30" s="2345"/>
      <c r="AL30" s="2345"/>
      <c r="AM30" s="2345"/>
      <c r="AN30" s="2345"/>
      <c r="AO30" s="2345"/>
      <c r="AP30" s="2345"/>
      <c r="AQ30" s="2345"/>
      <c r="AR30" s="2345"/>
      <c r="AS30" s="2345"/>
      <c r="AT30" s="2347" t="s">
        <v>3287</v>
      </c>
      <c r="AU30" s="2348" t="s">
        <v>3288</v>
      </c>
      <c r="AV30" s="2349">
        <v>35</v>
      </c>
      <c r="AW30" s="2345"/>
      <c r="AX30" s="2345"/>
      <c r="AY30" s="2345"/>
      <c r="AZ30" s="2345"/>
      <c r="BA30" s="2345"/>
      <c r="BB30" s="2345"/>
      <c r="BC30" s="2350"/>
      <c r="BD30" s="15515"/>
      <c r="BE30" s="2341" t="s">
        <v>3330</v>
      </c>
      <c r="BF30" s="2342" t="s">
        <v>1509</v>
      </c>
      <c r="BG30" s="2341" t="s">
        <v>3330</v>
      </c>
      <c r="BH30" s="2343">
        <v>1</v>
      </c>
      <c r="BI30" s="2343">
        <v>1</v>
      </c>
      <c r="BJ30" s="2334">
        <v>1</v>
      </c>
      <c r="BK30" s="15525"/>
      <c r="BL30" s="2341" t="s">
        <v>3362</v>
      </c>
      <c r="BM30" s="2325" t="s">
        <v>3305</v>
      </c>
      <c r="BN30" s="2341"/>
      <c r="BO30" s="2344">
        <v>5038000</v>
      </c>
      <c r="BP30" s="15527"/>
      <c r="BQ30" s="2337">
        <v>4231920</v>
      </c>
      <c r="BR30" s="2338">
        <f t="shared" si="0"/>
        <v>806080</v>
      </c>
      <c r="BS30" s="2338"/>
      <c r="BT30" s="2329">
        <v>46</v>
      </c>
      <c r="BU30" s="2329"/>
      <c r="BV30" s="2329"/>
      <c r="BW30" s="2329"/>
      <c r="BX30" s="2329"/>
      <c r="BY30" s="2329"/>
      <c r="BZ30" s="2329"/>
      <c r="CA30" s="2329"/>
      <c r="CB30" s="2329"/>
      <c r="CC30" s="2329"/>
      <c r="CD30" s="2329"/>
      <c r="CE30" s="2329"/>
      <c r="CF30" s="2329"/>
      <c r="CG30" s="2329"/>
      <c r="CH30" s="2329"/>
      <c r="CI30" s="2329"/>
      <c r="CJ30" s="2329"/>
      <c r="CK30" s="2329"/>
      <c r="CL30" s="2329"/>
      <c r="CM30" s="2329"/>
      <c r="CN30" s="2329"/>
      <c r="CO30" s="2329"/>
      <c r="CP30" s="2329"/>
      <c r="CQ30" s="2329"/>
      <c r="CR30" s="2329"/>
      <c r="CS30" s="2329"/>
      <c r="CT30" s="2347" t="s">
        <v>3287</v>
      </c>
      <c r="CU30" s="2348" t="s">
        <v>3288</v>
      </c>
      <c r="CV30" s="2349">
        <v>35</v>
      </c>
      <c r="CW30" s="2345"/>
      <c r="CX30" s="2345"/>
      <c r="CY30" s="2345"/>
      <c r="CZ30" s="2345"/>
      <c r="DA30" s="2345"/>
      <c r="DB30" s="2345"/>
      <c r="DC30" s="2345"/>
      <c r="DE30" s="3293"/>
      <c r="DF30" s="2345"/>
      <c r="DG30" s="2345"/>
      <c r="DH30" s="2345"/>
      <c r="DI30" s="2345"/>
      <c r="DJ30" s="2350"/>
      <c r="DK30" s="3293"/>
      <c r="DL30" s="2345"/>
      <c r="DM30" s="2345"/>
      <c r="DN30" s="3294"/>
      <c r="DO30" s="3360"/>
      <c r="DP30" s="3345"/>
      <c r="DQ30" s="3294"/>
      <c r="DR30" s="3345"/>
      <c r="DS30" s="3294"/>
      <c r="DT30" s="3345"/>
      <c r="DU30" s="2345"/>
      <c r="DV30" s="2345"/>
      <c r="DW30" s="2345"/>
      <c r="DX30" s="2345"/>
      <c r="DY30" s="2345"/>
      <c r="DZ30" s="2350"/>
      <c r="EA30" s="3293"/>
      <c r="EB30" s="2345"/>
      <c r="EC30" s="2345"/>
      <c r="ED30" s="2345"/>
      <c r="EE30" s="2345"/>
      <c r="EF30" s="2345"/>
      <c r="EG30" s="2345"/>
      <c r="EH30" s="2345"/>
      <c r="EI30" s="2345"/>
      <c r="EJ30" s="2345"/>
      <c r="EK30" s="2345"/>
      <c r="EL30" s="2345"/>
      <c r="EM30" s="2345"/>
      <c r="EN30" s="3294"/>
      <c r="EO30" s="3345"/>
      <c r="EP30" s="2345"/>
      <c r="EQ30" s="2345"/>
      <c r="ER30" s="2345"/>
      <c r="ES30" s="2350"/>
      <c r="ET30" s="3293"/>
      <c r="EU30" s="2345"/>
      <c r="EV30" s="2345"/>
      <c r="EW30" s="2345"/>
      <c r="EX30" s="3294"/>
    </row>
    <row r="31" spans="1:154" s="2351" customFormat="1" ht="15" customHeight="1" thickBot="1">
      <c r="A31" s="15372"/>
      <c r="B31" s="15374"/>
      <c r="C31" s="15376"/>
      <c r="D31" s="15376"/>
      <c r="E31" s="15379"/>
      <c r="F31" s="1756" t="s">
        <v>7705</v>
      </c>
      <c r="G31" s="3248" t="s">
        <v>3363</v>
      </c>
      <c r="H31" s="3267" t="s">
        <v>86</v>
      </c>
      <c r="I31" s="15477"/>
      <c r="J31" s="2341" t="s">
        <v>3330</v>
      </c>
      <c r="K31" s="2326">
        <v>1</v>
      </c>
      <c r="L31" s="2341" t="s">
        <v>3364</v>
      </c>
      <c r="M31" s="2325" t="s">
        <v>3305</v>
      </c>
      <c r="N31" s="2341"/>
      <c r="O31" s="2346">
        <v>30478000</v>
      </c>
      <c r="P31" s="15475"/>
      <c r="Q31" s="2328">
        <v>52410800</v>
      </c>
      <c r="R31" s="2328">
        <v>229343164</v>
      </c>
      <c r="S31" s="2328">
        <v>11986687</v>
      </c>
      <c r="T31" s="2341"/>
      <c r="U31" s="2341"/>
      <c r="V31" s="2341"/>
      <c r="W31" s="2341"/>
      <c r="X31" s="2345"/>
      <c r="Y31" s="2345"/>
      <c r="Z31" s="2345"/>
      <c r="AA31" s="2345"/>
      <c r="AB31" s="2345"/>
      <c r="AC31" s="2345"/>
      <c r="AD31" s="2345"/>
      <c r="AE31" s="2345"/>
      <c r="AF31" s="2345"/>
      <c r="AG31" s="2345"/>
      <c r="AH31" s="2345"/>
      <c r="AI31" s="2345"/>
      <c r="AJ31" s="2345"/>
      <c r="AK31" s="2345"/>
      <c r="AL31" s="2345"/>
      <c r="AM31" s="2345"/>
      <c r="AN31" s="2345"/>
      <c r="AO31" s="2345"/>
      <c r="AP31" s="2345"/>
      <c r="AQ31" s="2345"/>
      <c r="AR31" s="2345"/>
      <c r="AS31" s="2345"/>
      <c r="AT31" s="2347" t="s">
        <v>3287</v>
      </c>
      <c r="AU31" s="2348" t="s">
        <v>3288</v>
      </c>
      <c r="AV31" s="2349">
        <v>35</v>
      </c>
      <c r="AW31" s="2345"/>
      <c r="AX31" s="2345"/>
      <c r="AY31" s="2345"/>
      <c r="AZ31" s="2345"/>
      <c r="BA31" s="2345"/>
      <c r="BB31" s="2345"/>
      <c r="BC31" s="2350"/>
      <c r="BD31" s="15515"/>
      <c r="BE31" s="2341" t="s">
        <v>3330</v>
      </c>
      <c r="BF31" s="2342" t="s">
        <v>1509</v>
      </c>
      <c r="BG31" s="2341" t="s">
        <v>3330</v>
      </c>
      <c r="BH31" s="2343">
        <v>1</v>
      </c>
      <c r="BI31" s="2343">
        <v>1</v>
      </c>
      <c r="BJ31" s="2334">
        <v>1</v>
      </c>
      <c r="BK31" s="15525"/>
      <c r="BL31" s="2341" t="s">
        <v>3364</v>
      </c>
      <c r="BM31" s="2325" t="s">
        <v>3305</v>
      </c>
      <c r="BN31" s="2341"/>
      <c r="BO31" s="2344">
        <v>5038000</v>
      </c>
      <c r="BP31" s="15527"/>
      <c r="BQ31" s="2337">
        <v>4231920</v>
      </c>
      <c r="BR31" s="2338">
        <f t="shared" si="0"/>
        <v>806080</v>
      </c>
      <c r="BS31" s="2338"/>
      <c r="BT31" s="2329">
        <v>46</v>
      </c>
      <c r="BU31" s="2329"/>
      <c r="BV31" s="2329"/>
      <c r="BW31" s="2329"/>
      <c r="BX31" s="2329"/>
      <c r="BY31" s="2329"/>
      <c r="BZ31" s="2329"/>
      <c r="CA31" s="2329"/>
      <c r="CB31" s="2329"/>
      <c r="CC31" s="2329"/>
      <c r="CD31" s="2329"/>
      <c r="CE31" s="2329"/>
      <c r="CF31" s="2329"/>
      <c r="CG31" s="2329"/>
      <c r="CH31" s="2329"/>
      <c r="CI31" s="2329"/>
      <c r="CJ31" s="2329"/>
      <c r="CK31" s="2329"/>
      <c r="CL31" s="2329"/>
      <c r="CM31" s="2329"/>
      <c r="CN31" s="2329"/>
      <c r="CO31" s="2329"/>
      <c r="CP31" s="2329"/>
      <c r="CQ31" s="2329"/>
      <c r="CR31" s="2329"/>
      <c r="CS31" s="2329"/>
      <c r="CT31" s="2347" t="s">
        <v>3287</v>
      </c>
      <c r="CU31" s="2348" t="s">
        <v>3288</v>
      </c>
      <c r="CV31" s="2349">
        <v>35</v>
      </c>
      <c r="CW31" s="2345"/>
      <c r="CX31" s="2345"/>
      <c r="CY31" s="2345"/>
      <c r="CZ31" s="2345"/>
      <c r="DA31" s="2345"/>
      <c r="DB31" s="2345"/>
      <c r="DC31" s="2345"/>
      <c r="DE31" s="3293"/>
      <c r="DF31" s="2345"/>
      <c r="DG31" s="2345"/>
      <c r="DH31" s="2345"/>
      <c r="DI31" s="2345"/>
      <c r="DJ31" s="2350"/>
      <c r="DK31" s="3293"/>
      <c r="DL31" s="2345"/>
      <c r="DM31" s="2345"/>
      <c r="DN31" s="3294"/>
      <c r="DO31" s="3360"/>
      <c r="DP31" s="3345"/>
      <c r="DQ31" s="3294"/>
      <c r="DR31" s="3345"/>
      <c r="DS31" s="3294"/>
      <c r="DT31" s="3345"/>
      <c r="DU31" s="2345"/>
      <c r="DV31" s="2345"/>
      <c r="DW31" s="2345"/>
      <c r="DX31" s="2345"/>
      <c r="DY31" s="2345"/>
      <c r="DZ31" s="2350"/>
      <c r="EA31" s="3293"/>
      <c r="EB31" s="2345"/>
      <c r="EC31" s="2345"/>
      <c r="ED31" s="2345"/>
      <c r="EE31" s="2345"/>
      <c r="EF31" s="2345"/>
      <c r="EG31" s="2345"/>
      <c r="EH31" s="2345"/>
      <c r="EI31" s="2345"/>
      <c r="EJ31" s="2345"/>
      <c r="EK31" s="2345"/>
      <c r="EL31" s="2345"/>
      <c r="EM31" s="2345"/>
      <c r="EN31" s="3294"/>
      <c r="EO31" s="3345"/>
      <c r="EP31" s="2345"/>
      <c r="EQ31" s="2345"/>
      <c r="ER31" s="2345"/>
      <c r="ES31" s="2350"/>
      <c r="ET31" s="3293"/>
      <c r="EU31" s="2345"/>
      <c r="EV31" s="2345"/>
      <c r="EW31" s="2345"/>
      <c r="EX31" s="3294"/>
    </row>
    <row r="32" spans="1:154" s="2351" customFormat="1" ht="15" customHeight="1" thickBot="1">
      <c r="A32" s="15372"/>
      <c r="B32" s="15374" t="s">
        <v>3309</v>
      </c>
      <c r="C32" s="15376"/>
      <c r="D32" s="15376"/>
      <c r="E32" s="15379"/>
      <c r="F32" s="1756" t="s">
        <v>7706</v>
      </c>
      <c r="G32" s="2350" t="s">
        <v>3365</v>
      </c>
      <c r="H32" s="3268" t="s">
        <v>86</v>
      </c>
      <c r="I32" s="15477"/>
      <c r="J32" s="2345" t="s">
        <v>4100</v>
      </c>
      <c r="K32" s="2326">
        <v>1</v>
      </c>
      <c r="L32" s="2341" t="s">
        <v>4101</v>
      </c>
      <c r="M32" s="2341" t="s">
        <v>4102</v>
      </c>
      <c r="N32" s="2345"/>
      <c r="O32" s="2328">
        <v>15239000</v>
      </c>
      <c r="P32" s="15475"/>
      <c r="Q32" s="2328">
        <v>52410800</v>
      </c>
      <c r="R32" s="2328">
        <v>229343164</v>
      </c>
      <c r="S32" s="2328">
        <v>11986687</v>
      </c>
      <c r="T32" s="2345"/>
      <c r="U32" s="2345"/>
      <c r="V32" s="2345"/>
      <c r="W32" s="2345"/>
      <c r="X32" s="2345"/>
      <c r="Y32" s="2345"/>
      <c r="Z32" s="2345"/>
      <c r="AA32" s="2345"/>
      <c r="AB32" s="2345"/>
      <c r="AC32" s="2345"/>
      <c r="AD32" s="2345"/>
      <c r="AE32" s="2345"/>
      <c r="AF32" s="2345"/>
      <c r="AG32" s="2345"/>
      <c r="AH32" s="2345"/>
      <c r="AI32" s="2345"/>
      <c r="AJ32" s="2345"/>
      <c r="AK32" s="2345"/>
      <c r="AL32" s="2345"/>
      <c r="AM32" s="2345"/>
      <c r="AN32" s="2345"/>
      <c r="AO32" s="2345"/>
      <c r="AP32" s="2345"/>
      <c r="AQ32" s="2345"/>
      <c r="AR32" s="2345"/>
      <c r="AS32" s="2345"/>
      <c r="AT32" s="2352" t="s">
        <v>4192</v>
      </c>
      <c r="AU32" s="2352" t="s">
        <v>4193</v>
      </c>
      <c r="AV32" s="2349">
        <v>35</v>
      </c>
      <c r="AW32" s="2345"/>
      <c r="AX32" s="2345"/>
      <c r="AY32" s="2345"/>
      <c r="AZ32" s="2345"/>
      <c r="BA32" s="2345"/>
      <c r="BB32" s="2345"/>
      <c r="BC32" s="2350"/>
      <c r="BD32" s="15515"/>
      <c r="BE32" s="2345" t="s">
        <v>4100</v>
      </c>
      <c r="BF32" s="2342" t="s">
        <v>1509</v>
      </c>
      <c r="BG32" s="2345" t="s">
        <v>4100</v>
      </c>
      <c r="BH32" s="2343">
        <v>1</v>
      </c>
      <c r="BI32" s="2343">
        <v>1</v>
      </c>
      <c r="BJ32" s="2334">
        <v>1</v>
      </c>
      <c r="BK32" s="15525"/>
      <c r="BL32" s="2341" t="s">
        <v>4101</v>
      </c>
      <c r="BM32" s="2341" t="s">
        <v>4102</v>
      </c>
      <c r="BN32" s="2345"/>
      <c r="BO32" s="2344">
        <v>5038000</v>
      </c>
      <c r="BP32" s="15527"/>
      <c r="BQ32" s="2337">
        <v>4231920</v>
      </c>
      <c r="BR32" s="2338">
        <f t="shared" si="0"/>
        <v>806080</v>
      </c>
      <c r="BS32" s="2338"/>
      <c r="BT32" s="2329">
        <v>46</v>
      </c>
      <c r="BU32" s="2329"/>
      <c r="BV32" s="2329"/>
      <c r="BW32" s="2329"/>
      <c r="BX32" s="2329"/>
      <c r="BY32" s="2329"/>
      <c r="BZ32" s="2329"/>
      <c r="CA32" s="2329"/>
      <c r="CB32" s="2329"/>
      <c r="CC32" s="2329"/>
      <c r="CD32" s="2329"/>
      <c r="CE32" s="2329"/>
      <c r="CF32" s="2329"/>
      <c r="CG32" s="2329"/>
      <c r="CH32" s="2329"/>
      <c r="CI32" s="2329"/>
      <c r="CJ32" s="2329"/>
      <c r="CK32" s="2329"/>
      <c r="CL32" s="2329"/>
      <c r="CM32" s="2329"/>
      <c r="CN32" s="2329"/>
      <c r="CO32" s="2329"/>
      <c r="CP32" s="2329"/>
      <c r="CQ32" s="2329"/>
      <c r="CR32" s="2329"/>
      <c r="CS32" s="2329"/>
      <c r="CT32" s="2352" t="s">
        <v>4192</v>
      </c>
      <c r="CU32" s="2352" t="s">
        <v>4193</v>
      </c>
      <c r="CV32" s="2349">
        <v>35</v>
      </c>
      <c r="CW32" s="2345"/>
      <c r="CX32" s="2345"/>
      <c r="CY32" s="2345"/>
      <c r="CZ32" s="2345"/>
      <c r="DA32" s="2345"/>
      <c r="DB32" s="2345"/>
      <c r="DC32" s="2345"/>
      <c r="DE32" s="3293"/>
      <c r="DF32" s="2345"/>
      <c r="DG32" s="2345"/>
      <c r="DH32" s="2345"/>
      <c r="DI32" s="2345"/>
      <c r="DJ32" s="2350"/>
      <c r="DK32" s="3293"/>
      <c r="DL32" s="2345"/>
      <c r="DM32" s="2345"/>
      <c r="DN32" s="3294"/>
      <c r="DO32" s="3360"/>
      <c r="DP32" s="3345"/>
      <c r="DQ32" s="3294"/>
      <c r="DR32" s="3345"/>
      <c r="DS32" s="3294"/>
      <c r="DT32" s="3345"/>
      <c r="DU32" s="2345"/>
      <c r="DV32" s="2345"/>
      <c r="DW32" s="2345"/>
      <c r="DX32" s="2345"/>
      <c r="DY32" s="2345"/>
      <c r="DZ32" s="2350"/>
      <c r="EA32" s="3293"/>
      <c r="EB32" s="2345"/>
      <c r="EC32" s="2345"/>
      <c r="ED32" s="2345"/>
      <c r="EE32" s="2345"/>
      <c r="EF32" s="2345"/>
      <c r="EG32" s="2345"/>
      <c r="EH32" s="2345"/>
      <c r="EI32" s="2345"/>
      <c r="EJ32" s="2345"/>
      <c r="EK32" s="2345"/>
      <c r="EL32" s="2345"/>
      <c r="EM32" s="2345"/>
      <c r="EN32" s="3294"/>
      <c r="EO32" s="3345"/>
      <c r="EP32" s="2345"/>
      <c r="EQ32" s="2345"/>
      <c r="ER32" s="2345"/>
      <c r="ES32" s="2350"/>
      <c r="ET32" s="3293"/>
      <c r="EU32" s="2345"/>
      <c r="EV32" s="2345"/>
      <c r="EW32" s="2345"/>
      <c r="EX32" s="3294"/>
    </row>
    <row r="33" spans="1:154" s="2351" customFormat="1" ht="15" customHeight="1" thickBot="1">
      <c r="A33" s="15372"/>
      <c r="B33" s="15374"/>
      <c r="C33" s="15376"/>
      <c r="D33" s="15376"/>
      <c r="E33" s="15379"/>
      <c r="F33" s="1756" t="s">
        <v>7707</v>
      </c>
      <c r="G33" s="3249" t="s">
        <v>3366</v>
      </c>
      <c r="H33" s="3269" t="s">
        <v>86</v>
      </c>
      <c r="I33" s="15477"/>
      <c r="J33" s="2325" t="s">
        <v>3317</v>
      </c>
      <c r="K33" s="2326">
        <v>1</v>
      </c>
      <c r="L33" s="2341" t="s">
        <v>4103</v>
      </c>
      <c r="M33" s="2341" t="s">
        <v>4095</v>
      </c>
      <c r="N33" s="2345"/>
      <c r="O33" s="2328">
        <v>15239000</v>
      </c>
      <c r="P33" s="15475"/>
      <c r="Q33" s="2328">
        <v>52410800</v>
      </c>
      <c r="R33" s="2328">
        <v>229343164</v>
      </c>
      <c r="S33" s="2328">
        <v>11986687</v>
      </c>
      <c r="T33" s="2329">
        <v>1</v>
      </c>
      <c r="U33" s="2329"/>
      <c r="V33" s="2329">
        <v>1</v>
      </c>
      <c r="W33" s="2329"/>
      <c r="X33" s="2329">
        <v>1</v>
      </c>
      <c r="Y33" s="2329"/>
      <c r="Z33" s="2329"/>
      <c r="AA33" s="2329"/>
      <c r="AB33" s="2329">
        <v>1</v>
      </c>
      <c r="AC33" s="2329"/>
      <c r="AD33" s="2329"/>
      <c r="AE33" s="2329"/>
      <c r="AF33" s="2329"/>
      <c r="AG33" s="2329"/>
      <c r="AH33" s="2329"/>
      <c r="AI33" s="2329"/>
      <c r="AJ33" s="2329"/>
      <c r="AK33" s="2329"/>
      <c r="AL33" s="2329"/>
      <c r="AM33" s="2329"/>
      <c r="AN33" s="2329">
        <v>1</v>
      </c>
      <c r="AO33" s="2345"/>
      <c r="AP33" s="2345"/>
      <c r="AQ33" s="2345"/>
      <c r="AR33" s="2345"/>
      <c r="AS33" s="2345"/>
      <c r="AT33" s="2345"/>
      <c r="AU33" s="2345"/>
      <c r="AV33" s="2345"/>
      <c r="AW33" s="2345"/>
      <c r="AX33" s="2345"/>
      <c r="AY33" s="2345"/>
      <c r="AZ33" s="2345"/>
      <c r="BA33" s="2345"/>
      <c r="BB33" s="2345"/>
      <c r="BC33" s="2350"/>
      <c r="BD33" s="15515"/>
      <c r="BE33" s="2325" t="s">
        <v>3317</v>
      </c>
      <c r="BF33" s="2342" t="s">
        <v>1509</v>
      </c>
      <c r="BG33" s="2325" t="s">
        <v>3317</v>
      </c>
      <c r="BH33" s="2343">
        <v>1</v>
      </c>
      <c r="BI33" s="2343">
        <v>1</v>
      </c>
      <c r="BJ33" s="2334">
        <v>1</v>
      </c>
      <c r="BK33" s="15525"/>
      <c r="BL33" s="2341" t="s">
        <v>4103</v>
      </c>
      <c r="BM33" s="2341" t="s">
        <v>4095</v>
      </c>
      <c r="BN33" s="2345"/>
      <c r="BO33" s="2344">
        <v>5038000</v>
      </c>
      <c r="BP33" s="15527"/>
      <c r="BQ33" s="2337">
        <v>4231920</v>
      </c>
      <c r="BR33" s="2338">
        <f t="shared" si="0"/>
        <v>806080</v>
      </c>
      <c r="BS33" s="2338"/>
      <c r="BT33" s="2329">
        <v>46</v>
      </c>
      <c r="BU33" s="2329"/>
      <c r="BV33" s="2329">
        <v>1</v>
      </c>
      <c r="BW33" s="2329"/>
      <c r="BX33" s="2329">
        <v>1</v>
      </c>
      <c r="BY33" s="2329"/>
      <c r="BZ33" s="2329"/>
      <c r="CA33" s="2329"/>
      <c r="CB33" s="2329">
        <v>1</v>
      </c>
      <c r="CC33" s="2329"/>
      <c r="CD33" s="2329"/>
      <c r="CE33" s="2329"/>
      <c r="CF33" s="2329"/>
      <c r="CG33" s="2329"/>
      <c r="CH33" s="2329"/>
      <c r="CI33" s="2329"/>
      <c r="CJ33" s="2329"/>
      <c r="CK33" s="2329"/>
      <c r="CL33" s="2329"/>
      <c r="CM33" s="2329"/>
      <c r="CN33" s="2329">
        <v>1</v>
      </c>
      <c r="CO33" s="2329"/>
      <c r="CP33" s="2329"/>
      <c r="CQ33" s="2329"/>
      <c r="CR33" s="2329"/>
      <c r="CS33" s="2329"/>
      <c r="CT33" s="2345"/>
      <c r="CU33" s="2345"/>
      <c r="CV33" s="2345"/>
      <c r="CW33" s="2345"/>
      <c r="CX33" s="2345"/>
      <c r="CY33" s="2345"/>
      <c r="CZ33" s="2345"/>
      <c r="DA33" s="2345"/>
      <c r="DB33" s="2345"/>
      <c r="DC33" s="2345"/>
      <c r="DE33" s="3293"/>
      <c r="DF33" s="2345"/>
      <c r="DG33" s="2345"/>
      <c r="DH33" s="2345"/>
      <c r="DI33" s="2345"/>
      <c r="DJ33" s="2350"/>
      <c r="DK33" s="3293"/>
      <c r="DL33" s="2345"/>
      <c r="DM33" s="2345"/>
      <c r="DN33" s="3294"/>
      <c r="DO33" s="3360"/>
      <c r="DP33" s="3345"/>
      <c r="DQ33" s="3294"/>
      <c r="DR33" s="3345"/>
      <c r="DS33" s="3294"/>
      <c r="DT33" s="3345"/>
      <c r="DU33" s="2345"/>
      <c r="DV33" s="2345"/>
      <c r="DW33" s="2345"/>
      <c r="DX33" s="2345"/>
      <c r="DY33" s="2345"/>
      <c r="DZ33" s="2350"/>
      <c r="EA33" s="3293"/>
      <c r="EB33" s="2345"/>
      <c r="EC33" s="2345"/>
      <c r="ED33" s="2345"/>
      <c r="EE33" s="2345"/>
      <c r="EF33" s="2345"/>
      <c r="EG33" s="2345"/>
      <c r="EH33" s="2345"/>
      <c r="EI33" s="2345"/>
      <c r="EJ33" s="2345"/>
      <c r="EK33" s="2345"/>
      <c r="EL33" s="2345"/>
      <c r="EM33" s="2345"/>
      <c r="EN33" s="3294"/>
      <c r="EO33" s="3345"/>
      <c r="EP33" s="2345"/>
      <c r="EQ33" s="2345"/>
      <c r="ER33" s="2345"/>
      <c r="ES33" s="2350"/>
      <c r="ET33" s="3293"/>
      <c r="EU33" s="2345"/>
      <c r="EV33" s="2345"/>
      <c r="EW33" s="2345"/>
      <c r="EX33" s="3294"/>
    </row>
    <row r="34" spans="1:154" s="2351" customFormat="1" ht="15" customHeight="1" thickBot="1">
      <c r="A34" s="15372"/>
      <c r="B34" s="15374" t="s">
        <v>3328</v>
      </c>
      <c r="C34" s="15376"/>
      <c r="D34" s="15376"/>
      <c r="E34" s="15379"/>
      <c r="F34" s="1756" t="s">
        <v>7708</v>
      </c>
      <c r="G34" s="2350" t="s">
        <v>3367</v>
      </c>
      <c r="H34" s="3268" t="s">
        <v>86</v>
      </c>
      <c r="I34" s="15477"/>
      <c r="J34" s="2341" t="s">
        <v>3330</v>
      </c>
      <c r="K34" s="2326">
        <v>1</v>
      </c>
      <c r="L34" s="2341" t="s">
        <v>3368</v>
      </c>
      <c r="M34" s="2325" t="s">
        <v>3305</v>
      </c>
      <c r="N34" s="2341"/>
      <c r="O34" s="2328">
        <v>15239000</v>
      </c>
      <c r="P34" s="15475"/>
      <c r="Q34" s="2328">
        <v>52410800</v>
      </c>
      <c r="R34" s="2328">
        <v>229343164</v>
      </c>
      <c r="S34" s="2328">
        <v>11986687</v>
      </c>
      <c r="T34" s="2348"/>
      <c r="U34" s="2348"/>
      <c r="V34" s="2348"/>
      <c r="W34" s="2348"/>
      <c r="X34" s="2348"/>
      <c r="Y34" s="2348"/>
      <c r="Z34" s="2348"/>
      <c r="AA34" s="2348"/>
      <c r="AB34" s="2348"/>
      <c r="AC34" s="2348"/>
      <c r="AD34" s="2348"/>
      <c r="AE34" s="2348"/>
      <c r="AF34" s="2348"/>
      <c r="AG34" s="2348"/>
      <c r="AH34" s="2348"/>
      <c r="AI34" s="2348"/>
      <c r="AJ34" s="2348"/>
      <c r="AK34" s="2348"/>
      <c r="AL34" s="2348"/>
      <c r="AM34" s="2348"/>
      <c r="AN34" s="2348"/>
      <c r="AO34" s="2348"/>
      <c r="AP34" s="2348"/>
      <c r="AQ34" s="2348"/>
      <c r="AR34" s="2348"/>
      <c r="AS34" s="2348"/>
      <c r="AT34" s="2347" t="s">
        <v>3287</v>
      </c>
      <c r="AU34" s="2348" t="s">
        <v>3288</v>
      </c>
      <c r="AV34" s="2347">
        <v>35</v>
      </c>
      <c r="AW34" s="2348"/>
      <c r="AX34" s="2348"/>
      <c r="AY34" s="2348"/>
      <c r="AZ34" s="2348"/>
      <c r="BA34" s="2348"/>
      <c r="BB34" s="2348"/>
      <c r="BC34" s="2353"/>
      <c r="BD34" s="15515"/>
      <c r="BE34" s="2341" t="s">
        <v>3330</v>
      </c>
      <c r="BF34" s="2342" t="s">
        <v>1509</v>
      </c>
      <c r="BG34" s="2341" t="s">
        <v>3330</v>
      </c>
      <c r="BH34" s="2343">
        <v>1</v>
      </c>
      <c r="BI34" s="2343">
        <v>1</v>
      </c>
      <c r="BJ34" s="2334">
        <v>1</v>
      </c>
      <c r="BK34" s="15525"/>
      <c r="BL34" s="2341" t="s">
        <v>3368</v>
      </c>
      <c r="BM34" s="2325" t="s">
        <v>3305</v>
      </c>
      <c r="BN34" s="2341"/>
      <c r="BO34" s="2344">
        <v>5038000</v>
      </c>
      <c r="BP34" s="15527"/>
      <c r="BQ34" s="2337">
        <v>4231920</v>
      </c>
      <c r="BR34" s="2338">
        <f t="shared" si="0"/>
        <v>806080</v>
      </c>
      <c r="BS34" s="2338"/>
      <c r="BT34" s="2329">
        <v>46</v>
      </c>
      <c r="BU34" s="2329"/>
      <c r="BV34" s="2329"/>
      <c r="BW34" s="2329"/>
      <c r="BX34" s="2329"/>
      <c r="BY34" s="2329"/>
      <c r="BZ34" s="2329"/>
      <c r="CA34" s="2329"/>
      <c r="CB34" s="2329"/>
      <c r="CC34" s="2329"/>
      <c r="CD34" s="2329"/>
      <c r="CE34" s="2329"/>
      <c r="CF34" s="2329"/>
      <c r="CG34" s="2329"/>
      <c r="CH34" s="2329"/>
      <c r="CI34" s="2329"/>
      <c r="CJ34" s="2329"/>
      <c r="CK34" s="2329"/>
      <c r="CL34" s="2329"/>
      <c r="CM34" s="2329"/>
      <c r="CN34" s="2329"/>
      <c r="CO34" s="2329"/>
      <c r="CP34" s="2329"/>
      <c r="CQ34" s="2329"/>
      <c r="CR34" s="2329"/>
      <c r="CS34" s="2329"/>
      <c r="CT34" s="2347" t="s">
        <v>3287</v>
      </c>
      <c r="CU34" s="2348" t="s">
        <v>3288</v>
      </c>
      <c r="CV34" s="2347">
        <v>35</v>
      </c>
      <c r="CW34" s="2348"/>
      <c r="CX34" s="2348"/>
      <c r="CY34" s="2348"/>
      <c r="CZ34" s="2348"/>
      <c r="DA34" s="2348"/>
      <c r="DB34" s="2348"/>
      <c r="DC34" s="2348"/>
      <c r="DE34" s="3293"/>
      <c r="DF34" s="2345"/>
      <c r="DG34" s="2345"/>
      <c r="DH34" s="2345"/>
      <c r="DI34" s="2345"/>
      <c r="DJ34" s="2350"/>
      <c r="DK34" s="3293"/>
      <c r="DL34" s="2345"/>
      <c r="DM34" s="2345"/>
      <c r="DN34" s="3294"/>
      <c r="DO34" s="3360"/>
      <c r="DP34" s="3345"/>
      <c r="DQ34" s="3294"/>
      <c r="DR34" s="3345"/>
      <c r="DS34" s="3294"/>
      <c r="DT34" s="3345"/>
      <c r="DU34" s="2345"/>
      <c r="DV34" s="2345"/>
      <c r="DW34" s="2345"/>
      <c r="DX34" s="2345"/>
      <c r="DY34" s="2345"/>
      <c r="DZ34" s="2350"/>
      <c r="EA34" s="3293"/>
      <c r="EB34" s="2345"/>
      <c r="EC34" s="2345"/>
      <c r="ED34" s="2345"/>
      <c r="EE34" s="2345"/>
      <c r="EF34" s="2345"/>
      <c r="EG34" s="2345"/>
      <c r="EH34" s="2345"/>
      <c r="EI34" s="2345"/>
      <c r="EJ34" s="2345"/>
      <c r="EK34" s="2345"/>
      <c r="EL34" s="2345"/>
      <c r="EM34" s="2345"/>
      <c r="EN34" s="3294"/>
      <c r="EO34" s="3345"/>
      <c r="EP34" s="2345"/>
      <c r="EQ34" s="2345"/>
      <c r="ER34" s="2345"/>
      <c r="ES34" s="2350"/>
      <c r="ET34" s="3293"/>
      <c r="EU34" s="2345"/>
      <c r="EV34" s="2345"/>
      <c r="EW34" s="2345"/>
      <c r="EX34" s="3294"/>
    </row>
    <row r="35" spans="1:154" s="2351" customFormat="1" ht="15" customHeight="1" thickBot="1">
      <c r="A35" s="15372"/>
      <c r="B35" s="15374"/>
      <c r="C35" s="15376"/>
      <c r="D35" s="15376"/>
      <c r="E35" s="15379"/>
      <c r="F35" s="1756" t="s">
        <v>7709</v>
      </c>
      <c r="G35" s="3248" t="s">
        <v>3369</v>
      </c>
      <c r="H35" s="3267" t="s">
        <v>86</v>
      </c>
      <c r="I35" s="15477"/>
      <c r="J35" s="2341" t="s">
        <v>3370</v>
      </c>
      <c r="K35" s="2326">
        <v>1</v>
      </c>
      <c r="L35" s="2341" t="s">
        <v>4194</v>
      </c>
      <c r="M35" s="2325" t="s">
        <v>3337</v>
      </c>
      <c r="N35" s="2341"/>
      <c r="O35" s="2328">
        <v>15239000</v>
      </c>
      <c r="P35" s="15475"/>
      <c r="Q35" s="2328">
        <v>52410800</v>
      </c>
      <c r="R35" s="2328">
        <v>229343164</v>
      </c>
      <c r="S35" s="2328">
        <v>11986687</v>
      </c>
      <c r="T35" s="2329">
        <v>13653</v>
      </c>
      <c r="U35" s="2329">
        <v>5253</v>
      </c>
      <c r="V35" s="2329">
        <v>8400</v>
      </c>
      <c r="W35" s="2329">
        <v>9690</v>
      </c>
      <c r="X35" s="2329">
        <v>3963</v>
      </c>
      <c r="Y35" s="2329"/>
      <c r="Z35" s="2329"/>
      <c r="AA35" s="2329">
        <v>3257</v>
      </c>
      <c r="AB35" s="2329">
        <v>5190</v>
      </c>
      <c r="AC35" s="2329">
        <v>5206</v>
      </c>
      <c r="AD35" s="2329"/>
      <c r="AE35" s="2329"/>
      <c r="AF35" s="2329"/>
      <c r="AG35" s="2329"/>
      <c r="AH35" s="2329"/>
      <c r="AI35" s="2329"/>
      <c r="AJ35" s="2329"/>
      <c r="AK35" s="2329"/>
      <c r="AL35" s="2329"/>
      <c r="AM35" s="2329"/>
      <c r="AN35" s="2329">
        <v>12395</v>
      </c>
      <c r="AO35" s="2329">
        <v>1039</v>
      </c>
      <c r="AP35" s="2329">
        <v>187</v>
      </c>
      <c r="AQ35" s="2329">
        <v>31</v>
      </c>
      <c r="AR35" s="2329"/>
      <c r="AS35" s="2329">
        <v>1</v>
      </c>
      <c r="AT35" s="2329"/>
      <c r="AU35" s="2329"/>
      <c r="AV35" s="2329"/>
      <c r="AW35" s="2329"/>
      <c r="AX35" s="2329"/>
      <c r="AY35" s="2329"/>
      <c r="AZ35" s="2329"/>
      <c r="BA35" s="2329"/>
      <c r="BB35" s="2329"/>
      <c r="BC35" s="2330"/>
      <c r="BD35" s="15515"/>
      <c r="BE35" s="2341" t="s">
        <v>3370</v>
      </c>
      <c r="BF35" s="2342" t="s">
        <v>1509</v>
      </c>
      <c r="BG35" s="2341" t="s">
        <v>3370</v>
      </c>
      <c r="BH35" s="2343">
        <v>1</v>
      </c>
      <c r="BI35" s="2343">
        <v>1</v>
      </c>
      <c r="BJ35" s="2334">
        <v>1</v>
      </c>
      <c r="BK35" s="15525"/>
      <c r="BL35" s="2341" t="s">
        <v>4194</v>
      </c>
      <c r="BM35" s="2325" t="s">
        <v>3337</v>
      </c>
      <c r="BN35" s="2341"/>
      <c r="BO35" s="2344">
        <v>5038000</v>
      </c>
      <c r="BP35" s="15527"/>
      <c r="BQ35" s="2337">
        <v>4231920</v>
      </c>
      <c r="BR35" s="2338">
        <f t="shared" si="0"/>
        <v>806080</v>
      </c>
      <c r="BS35" s="2338"/>
      <c r="BT35" s="2329">
        <v>15081</v>
      </c>
      <c r="BU35" s="2329">
        <v>5.0270000000000001</v>
      </c>
      <c r="BV35" s="2329">
        <v>10.053000000000001</v>
      </c>
      <c r="BW35" s="2329">
        <v>10150</v>
      </c>
      <c r="BX35" s="2329">
        <v>4930</v>
      </c>
      <c r="BY35" s="2329"/>
      <c r="BZ35" s="2329"/>
      <c r="CA35" s="2329">
        <v>3257</v>
      </c>
      <c r="CB35" s="2329">
        <v>5190</v>
      </c>
      <c r="CC35" s="2329">
        <v>5206</v>
      </c>
      <c r="CD35" s="2329"/>
      <c r="CE35" s="2329"/>
      <c r="CF35" s="2329"/>
      <c r="CG35" s="2329"/>
      <c r="CH35" s="2329"/>
      <c r="CI35" s="2329"/>
      <c r="CJ35" s="2329"/>
      <c r="CK35" s="2329"/>
      <c r="CL35" s="2329"/>
      <c r="CM35" s="2329"/>
      <c r="CN35" s="2329">
        <v>12395</v>
      </c>
      <c r="CO35" s="2329">
        <v>1039</v>
      </c>
      <c r="CP35" s="2329">
        <v>187</v>
      </c>
      <c r="CQ35" s="2329">
        <v>31</v>
      </c>
      <c r="CR35" s="2329"/>
      <c r="CS35" s="2329">
        <v>1</v>
      </c>
      <c r="CT35" s="2329"/>
      <c r="CU35" s="2329"/>
      <c r="CV35" s="2329"/>
      <c r="CW35" s="2329"/>
      <c r="CX35" s="2329"/>
      <c r="CY35" s="2329"/>
      <c r="CZ35" s="2329"/>
      <c r="DA35" s="2329"/>
      <c r="DB35" s="2329"/>
      <c r="DC35" s="2329"/>
      <c r="DE35" s="3293"/>
      <c r="DF35" s="2345"/>
      <c r="DG35" s="2345"/>
      <c r="DH35" s="2345"/>
      <c r="DI35" s="2345"/>
      <c r="DJ35" s="2350"/>
      <c r="DK35" s="3293"/>
      <c r="DL35" s="2345"/>
      <c r="DM35" s="2345"/>
      <c r="DN35" s="3294"/>
      <c r="DO35" s="3360"/>
      <c r="DP35" s="3345"/>
      <c r="DQ35" s="3294"/>
      <c r="DR35" s="3345"/>
      <c r="DS35" s="3294"/>
      <c r="DT35" s="3345"/>
      <c r="DU35" s="2345"/>
      <c r="DV35" s="2345"/>
      <c r="DW35" s="2345"/>
      <c r="DX35" s="2345"/>
      <c r="DY35" s="2345"/>
      <c r="DZ35" s="2350"/>
      <c r="EA35" s="3293"/>
      <c r="EB35" s="2345"/>
      <c r="EC35" s="2345"/>
      <c r="ED35" s="2345"/>
      <c r="EE35" s="2345"/>
      <c r="EF35" s="2345"/>
      <c r="EG35" s="2345"/>
      <c r="EH35" s="2345"/>
      <c r="EI35" s="2345"/>
      <c r="EJ35" s="2345"/>
      <c r="EK35" s="2345"/>
      <c r="EL35" s="2345"/>
      <c r="EM35" s="2345"/>
      <c r="EN35" s="3294"/>
      <c r="EO35" s="3345"/>
      <c r="EP35" s="2345"/>
      <c r="EQ35" s="2345"/>
      <c r="ER35" s="2345"/>
      <c r="ES35" s="2350"/>
      <c r="ET35" s="3293"/>
      <c r="EU35" s="2345"/>
      <c r="EV35" s="2345"/>
      <c r="EW35" s="2345"/>
      <c r="EX35" s="3294"/>
    </row>
    <row r="36" spans="1:154" s="2351" customFormat="1" ht="15" customHeight="1" thickBot="1">
      <c r="A36" s="15372"/>
      <c r="B36" s="15374"/>
      <c r="C36" s="15376"/>
      <c r="D36" s="15376"/>
      <c r="E36" s="15379"/>
      <c r="F36" s="1756" t="s">
        <v>7710</v>
      </c>
      <c r="G36" s="3248" t="s">
        <v>3371</v>
      </c>
      <c r="H36" s="3267" t="s">
        <v>86</v>
      </c>
      <c r="I36" s="15477"/>
      <c r="J36" s="2341" t="s">
        <v>3330</v>
      </c>
      <c r="K36" s="2326">
        <v>1</v>
      </c>
      <c r="L36" s="2341" t="s">
        <v>3372</v>
      </c>
      <c r="M36" s="2325" t="s">
        <v>3305</v>
      </c>
      <c r="N36" s="2341"/>
      <c r="O36" s="2328">
        <v>15239000</v>
      </c>
      <c r="P36" s="15475"/>
      <c r="Q36" s="2328">
        <v>52410800</v>
      </c>
      <c r="R36" s="2328">
        <v>229343164</v>
      </c>
      <c r="S36" s="2328">
        <v>11986687</v>
      </c>
      <c r="T36" s="2341"/>
      <c r="U36" s="2341"/>
      <c r="V36" s="2341"/>
      <c r="W36" s="2341"/>
      <c r="X36" s="2345"/>
      <c r="Y36" s="2345"/>
      <c r="Z36" s="2345"/>
      <c r="AA36" s="2345"/>
      <c r="AB36" s="2345"/>
      <c r="AC36" s="2345"/>
      <c r="AD36" s="2345"/>
      <c r="AE36" s="2345"/>
      <c r="AF36" s="2345"/>
      <c r="AG36" s="2345"/>
      <c r="AH36" s="2345"/>
      <c r="AI36" s="2345"/>
      <c r="AJ36" s="2345"/>
      <c r="AK36" s="2345"/>
      <c r="AL36" s="2345"/>
      <c r="AM36" s="2345"/>
      <c r="AN36" s="2345"/>
      <c r="AO36" s="2345"/>
      <c r="AP36" s="2345"/>
      <c r="AQ36" s="2345"/>
      <c r="AR36" s="2345"/>
      <c r="AS36" s="2345"/>
      <c r="AT36" s="2347" t="s">
        <v>3287</v>
      </c>
      <c r="AU36" s="2348" t="s">
        <v>3288</v>
      </c>
      <c r="AV36" s="2349">
        <v>35</v>
      </c>
      <c r="AW36" s="2345"/>
      <c r="AX36" s="2345"/>
      <c r="AY36" s="2345"/>
      <c r="AZ36" s="2345"/>
      <c r="BA36" s="2345"/>
      <c r="BB36" s="2345"/>
      <c r="BC36" s="2350"/>
      <c r="BD36" s="15515"/>
      <c r="BE36" s="2341" t="s">
        <v>3330</v>
      </c>
      <c r="BF36" s="2342" t="s">
        <v>1509</v>
      </c>
      <c r="BG36" s="2341" t="s">
        <v>3330</v>
      </c>
      <c r="BH36" s="2343">
        <v>1</v>
      </c>
      <c r="BI36" s="2343">
        <v>1</v>
      </c>
      <c r="BJ36" s="2334">
        <v>1</v>
      </c>
      <c r="BK36" s="15525"/>
      <c r="BL36" s="2341" t="s">
        <v>3372</v>
      </c>
      <c r="BM36" s="2325" t="s">
        <v>3305</v>
      </c>
      <c r="BN36" s="2341"/>
      <c r="BO36" s="2344">
        <v>5038000</v>
      </c>
      <c r="BP36" s="15527"/>
      <c r="BQ36" s="2337">
        <v>4231920</v>
      </c>
      <c r="BR36" s="2338">
        <f t="shared" si="0"/>
        <v>806080</v>
      </c>
      <c r="BS36" s="2338"/>
      <c r="BT36" s="2329">
        <v>46</v>
      </c>
      <c r="BU36" s="2329"/>
      <c r="BV36" s="2329"/>
      <c r="BW36" s="2329"/>
      <c r="BX36" s="2329"/>
      <c r="BY36" s="2329"/>
      <c r="BZ36" s="2329"/>
      <c r="CA36" s="2329"/>
      <c r="CB36" s="2329"/>
      <c r="CC36" s="2329"/>
      <c r="CD36" s="2329"/>
      <c r="CE36" s="2329"/>
      <c r="CF36" s="2329"/>
      <c r="CG36" s="2329"/>
      <c r="CH36" s="2329"/>
      <c r="CI36" s="2329"/>
      <c r="CJ36" s="2329"/>
      <c r="CK36" s="2329"/>
      <c r="CL36" s="2329"/>
      <c r="CM36" s="2329"/>
      <c r="CN36" s="2329"/>
      <c r="CO36" s="2329"/>
      <c r="CP36" s="2329"/>
      <c r="CQ36" s="2329"/>
      <c r="CR36" s="2329"/>
      <c r="CS36" s="2329"/>
      <c r="CT36" s="2347" t="s">
        <v>3287</v>
      </c>
      <c r="CU36" s="2348" t="s">
        <v>3288</v>
      </c>
      <c r="CV36" s="2349">
        <v>35</v>
      </c>
      <c r="CW36" s="2345"/>
      <c r="CX36" s="2345"/>
      <c r="CY36" s="2345"/>
      <c r="CZ36" s="2345"/>
      <c r="DA36" s="2345"/>
      <c r="DB36" s="2345"/>
      <c r="DC36" s="2345"/>
      <c r="DE36" s="3293"/>
      <c r="DF36" s="2345"/>
      <c r="DG36" s="2345"/>
      <c r="DH36" s="2345"/>
      <c r="DI36" s="2345"/>
      <c r="DJ36" s="2350"/>
      <c r="DK36" s="3293"/>
      <c r="DL36" s="2345"/>
      <c r="DM36" s="2345"/>
      <c r="DN36" s="3294"/>
      <c r="DO36" s="3360"/>
      <c r="DP36" s="3345"/>
      <c r="DQ36" s="3294"/>
      <c r="DR36" s="3345"/>
      <c r="DS36" s="3294"/>
      <c r="DT36" s="3345"/>
      <c r="DU36" s="2345"/>
      <c r="DV36" s="2345"/>
      <c r="DW36" s="2345"/>
      <c r="DX36" s="2345"/>
      <c r="DY36" s="2345"/>
      <c r="DZ36" s="2350"/>
      <c r="EA36" s="3293"/>
      <c r="EB36" s="2345"/>
      <c r="EC36" s="2345"/>
      <c r="ED36" s="2345"/>
      <c r="EE36" s="2345"/>
      <c r="EF36" s="2345"/>
      <c r="EG36" s="2345"/>
      <c r="EH36" s="2345"/>
      <c r="EI36" s="2345"/>
      <c r="EJ36" s="2345"/>
      <c r="EK36" s="2345"/>
      <c r="EL36" s="2345"/>
      <c r="EM36" s="2345"/>
      <c r="EN36" s="3294"/>
      <c r="EO36" s="3345"/>
      <c r="EP36" s="2345"/>
      <c r="EQ36" s="2345"/>
      <c r="ER36" s="2345"/>
      <c r="ES36" s="2350"/>
      <c r="ET36" s="3293"/>
      <c r="EU36" s="2345"/>
      <c r="EV36" s="2345"/>
      <c r="EW36" s="2345"/>
      <c r="EX36" s="3294"/>
    </row>
    <row r="37" spans="1:154" s="2351" customFormat="1" ht="15" customHeight="1" thickBot="1">
      <c r="A37" s="15372"/>
      <c r="B37" s="15374"/>
      <c r="C37" s="15376"/>
      <c r="D37" s="15376"/>
      <c r="E37" s="15379"/>
      <c r="F37" s="1756" t="s">
        <v>7711</v>
      </c>
      <c r="G37" s="3248" t="s">
        <v>3373</v>
      </c>
      <c r="H37" s="3267" t="s">
        <v>86</v>
      </c>
      <c r="I37" s="15477"/>
      <c r="J37" s="2341" t="s">
        <v>3330</v>
      </c>
      <c r="K37" s="2326">
        <v>1</v>
      </c>
      <c r="L37" s="2341" t="s">
        <v>3374</v>
      </c>
      <c r="M37" s="2325" t="s">
        <v>3305</v>
      </c>
      <c r="N37" s="2341"/>
      <c r="O37" s="2328">
        <v>15239000</v>
      </c>
      <c r="P37" s="15475"/>
      <c r="Q37" s="2328">
        <v>52410800</v>
      </c>
      <c r="R37" s="2328">
        <v>229343164</v>
      </c>
      <c r="S37" s="2328">
        <v>11986687</v>
      </c>
      <c r="T37" s="2341"/>
      <c r="U37" s="2341"/>
      <c r="V37" s="2341"/>
      <c r="W37" s="2341"/>
      <c r="X37" s="2345"/>
      <c r="Y37" s="2345"/>
      <c r="Z37" s="2345"/>
      <c r="AA37" s="2345"/>
      <c r="AB37" s="2345"/>
      <c r="AC37" s="2345"/>
      <c r="AD37" s="2345"/>
      <c r="AE37" s="2345"/>
      <c r="AF37" s="2345"/>
      <c r="AG37" s="2345"/>
      <c r="AH37" s="2345"/>
      <c r="AI37" s="2345"/>
      <c r="AJ37" s="2345"/>
      <c r="AK37" s="2345"/>
      <c r="AL37" s="2345"/>
      <c r="AM37" s="2345"/>
      <c r="AN37" s="2345"/>
      <c r="AO37" s="2345"/>
      <c r="AP37" s="2345"/>
      <c r="AQ37" s="2345"/>
      <c r="AR37" s="2345"/>
      <c r="AS37" s="2345"/>
      <c r="AT37" s="2347" t="s">
        <v>3287</v>
      </c>
      <c r="AU37" s="2348" t="s">
        <v>3288</v>
      </c>
      <c r="AV37" s="2349">
        <v>35</v>
      </c>
      <c r="AW37" s="2345"/>
      <c r="AX37" s="2345"/>
      <c r="AY37" s="2345"/>
      <c r="AZ37" s="2345"/>
      <c r="BA37" s="2345"/>
      <c r="BB37" s="2345"/>
      <c r="BC37" s="2350"/>
      <c r="BD37" s="15515"/>
      <c r="BE37" s="2341" t="s">
        <v>3330</v>
      </c>
      <c r="BF37" s="2342" t="s">
        <v>1509</v>
      </c>
      <c r="BG37" s="2341" t="s">
        <v>3330</v>
      </c>
      <c r="BH37" s="2343">
        <v>1</v>
      </c>
      <c r="BI37" s="2343">
        <v>1</v>
      </c>
      <c r="BJ37" s="2334">
        <v>1</v>
      </c>
      <c r="BK37" s="15525"/>
      <c r="BL37" s="2341" t="s">
        <v>3374</v>
      </c>
      <c r="BM37" s="2325" t="s">
        <v>3305</v>
      </c>
      <c r="BN37" s="2341"/>
      <c r="BO37" s="2344">
        <v>5038000</v>
      </c>
      <c r="BP37" s="15527"/>
      <c r="BQ37" s="2337">
        <v>4231920</v>
      </c>
      <c r="BR37" s="2338">
        <f t="shared" si="0"/>
        <v>806080</v>
      </c>
      <c r="BS37" s="2338"/>
      <c r="BT37" s="2329">
        <v>46</v>
      </c>
      <c r="BU37" s="2329"/>
      <c r="BV37" s="2329"/>
      <c r="BW37" s="2329"/>
      <c r="BX37" s="2329"/>
      <c r="BY37" s="2329"/>
      <c r="BZ37" s="2329"/>
      <c r="CA37" s="2329"/>
      <c r="CB37" s="2329"/>
      <c r="CC37" s="2329"/>
      <c r="CD37" s="2329"/>
      <c r="CE37" s="2329"/>
      <c r="CF37" s="2329"/>
      <c r="CG37" s="2329"/>
      <c r="CH37" s="2329"/>
      <c r="CI37" s="2329"/>
      <c r="CJ37" s="2329"/>
      <c r="CK37" s="2329"/>
      <c r="CL37" s="2329"/>
      <c r="CM37" s="2329"/>
      <c r="CN37" s="2329"/>
      <c r="CO37" s="2329"/>
      <c r="CP37" s="2329"/>
      <c r="CQ37" s="2329"/>
      <c r="CR37" s="2329"/>
      <c r="CS37" s="2329"/>
      <c r="CT37" s="2347" t="s">
        <v>3287</v>
      </c>
      <c r="CU37" s="2348" t="s">
        <v>3288</v>
      </c>
      <c r="CV37" s="2349">
        <v>35</v>
      </c>
      <c r="CW37" s="2345"/>
      <c r="CX37" s="2345"/>
      <c r="CY37" s="2345"/>
      <c r="CZ37" s="2345"/>
      <c r="DA37" s="2345"/>
      <c r="DB37" s="2345"/>
      <c r="DC37" s="2345"/>
      <c r="DE37" s="3293"/>
      <c r="DF37" s="2345"/>
      <c r="DG37" s="2345"/>
      <c r="DH37" s="2345"/>
      <c r="DI37" s="2345"/>
      <c r="DJ37" s="2350"/>
      <c r="DK37" s="3293"/>
      <c r="DL37" s="2345"/>
      <c r="DM37" s="2345"/>
      <c r="DN37" s="3294"/>
      <c r="DO37" s="3360"/>
      <c r="DP37" s="3345"/>
      <c r="DQ37" s="3294"/>
      <c r="DR37" s="3345"/>
      <c r="DS37" s="3294"/>
      <c r="DT37" s="3345"/>
      <c r="DU37" s="2345"/>
      <c r="DV37" s="2345"/>
      <c r="DW37" s="2345"/>
      <c r="DX37" s="2345"/>
      <c r="DY37" s="2345"/>
      <c r="DZ37" s="2350"/>
      <c r="EA37" s="3293"/>
      <c r="EB37" s="2345"/>
      <c r="EC37" s="2345"/>
      <c r="ED37" s="2345"/>
      <c r="EE37" s="2345"/>
      <c r="EF37" s="2345"/>
      <c r="EG37" s="2345"/>
      <c r="EH37" s="2345"/>
      <c r="EI37" s="2345"/>
      <c r="EJ37" s="2345"/>
      <c r="EK37" s="2345"/>
      <c r="EL37" s="2345"/>
      <c r="EM37" s="2345"/>
      <c r="EN37" s="3294"/>
      <c r="EO37" s="3345"/>
      <c r="EP37" s="2345"/>
      <c r="EQ37" s="2345"/>
      <c r="ER37" s="2345"/>
      <c r="ES37" s="2350"/>
      <c r="ET37" s="3293"/>
      <c r="EU37" s="2345"/>
      <c r="EV37" s="2345"/>
      <c r="EW37" s="2345"/>
      <c r="EX37" s="3294"/>
    </row>
    <row r="38" spans="1:154" s="2351" customFormat="1" ht="15" customHeight="1" thickBot="1">
      <c r="A38" s="15372"/>
      <c r="B38" s="15374" t="s">
        <v>3347</v>
      </c>
      <c r="C38" s="15376"/>
      <c r="D38" s="15376"/>
      <c r="E38" s="15379"/>
      <c r="F38" s="1756" t="s">
        <v>7712</v>
      </c>
      <c r="G38" s="2350" t="s">
        <v>3375</v>
      </c>
      <c r="H38" s="3268" t="s">
        <v>86</v>
      </c>
      <c r="I38" s="15477"/>
      <c r="J38" s="2341" t="s">
        <v>3370</v>
      </c>
      <c r="K38" s="2326">
        <v>1</v>
      </c>
      <c r="L38" s="2341" t="s">
        <v>4104</v>
      </c>
      <c r="M38" s="2325" t="s">
        <v>3337</v>
      </c>
      <c r="N38" s="2341"/>
      <c r="O38" s="2328">
        <v>15239000</v>
      </c>
      <c r="P38" s="15475"/>
      <c r="Q38" s="2328">
        <v>52410800</v>
      </c>
      <c r="R38" s="2328">
        <v>229343164</v>
      </c>
      <c r="S38" s="2328">
        <v>11986687</v>
      </c>
      <c r="T38" s="2329">
        <v>13653</v>
      </c>
      <c r="U38" s="2329">
        <v>5253</v>
      </c>
      <c r="V38" s="2329">
        <v>8400</v>
      </c>
      <c r="W38" s="2329">
        <v>9690</v>
      </c>
      <c r="X38" s="2329">
        <v>3963</v>
      </c>
      <c r="Y38" s="2329"/>
      <c r="Z38" s="2329"/>
      <c r="AA38" s="2329">
        <v>3257</v>
      </c>
      <c r="AB38" s="2329">
        <v>5190</v>
      </c>
      <c r="AC38" s="2329">
        <v>5206</v>
      </c>
      <c r="AD38" s="2329"/>
      <c r="AE38" s="2329"/>
      <c r="AF38" s="2329"/>
      <c r="AG38" s="2329"/>
      <c r="AH38" s="2329"/>
      <c r="AI38" s="2329"/>
      <c r="AJ38" s="2329"/>
      <c r="AK38" s="2329"/>
      <c r="AL38" s="2329"/>
      <c r="AM38" s="2329"/>
      <c r="AN38" s="2329">
        <v>12395</v>
      </c>
      <c r="AO38" s="2329">
        <v>1039</v>
      </c>
      <c r="AP38" s="2329">
        <v>187</v>
      </c>
      <c r="AQ38" s="2329">
        <v>31</v>
      </c>
      <c r="AR38" s="2329"/>
      <c r="AS38" s="2329">
        <v>1</v>
      </c>
      <c r="AT38" s="2329"/>
      <c r="AU38" s="2329"/>
      <c r="AV38" s="2329"/>
      <c r="AW38" s="2329"/>
      <c r="AX38" s="2329"/>
      <c r="AY38" s="2329"/>
      <c r="AZ38" s="2329"/>
      <c r="BA38" s="2329"/>
      <c r="BB38" s="2329"/>
      <c r="BC38" s="2330"/>
      <c r="BD38" s="15515"/>
      <c r="BE38" s="2341" t="s">
        <v>3370</v>
      </c>
      <c r="BF38" s="2342" t="s">
        <v>1509</v>
      </c>
      <c r="BG38" s="2341" t="s">
        <v>3370</v>
      </c>
      <c r="BH38" s="2343">
        <v>1</v>
      </c>
      <c r="BI38" s="2343">
        <v>1</v>
      </c>
      <c r="BJ38" s="2334">
        <v>1</v>
      </c>
      <c r="BK38" s="15525"/>
      <c r="BL38" s="2341" t="s">
        <v>4104</v>
      </c>
      <c r="BM38" s="2325" t="s">
        <v>3337</v>
      </c>
      <c r="BN38" s="2341"/>
      <c r="BO38" s="2344">
        <v>5038000</v>
      </c>
      <c r="BP38" s="15527"/>
      <c r="BQ38" s="2337">
        <v>4231920</v>
      </c>
      <c r="BR38" s="2338">
        <f t="shared" si="0"/>
        <v>806080</v>
      </c>
      <c r="BS38" s="2338"/>
      <c r="BT38" s="2329">
        <v>15081</v>
      </c>
      <c r="BU38" s="2329">
        <v>5.0270000000000001</v>
      </c>
      <c r="BV38" s="2329">
        <v>10.053000000000001</v>
      </c>
      <c r="BW38" s="2329">
        <v>10150</v>
      </c>
      <c r="BX38" s="2329">
        <v>4930</v>
      </c>
      <c r="BY38" s="2329"/>
      <c r="BZ38" s="2329"/>
      <c r="CA38" s="2329">
        <v>3257</v>
      </c>
      <c r="CB38" s="2329">
        <v>5190</v>
      </c>
      <c r="CC38" s="2329">
        <v>5206</v>
      </c>
      <c r="CD38" s="2329"/>
      <c r="CE38" s="2329"/>
      <c r="CF38" s="2329"/>
      <c r="CG38" s="2329"/>
      <c r="CH38" s="2329"/>
      <c r="CI38" s="2329"/>
      <c r="CJ38" s="2329"/>
      <c r="CK38" s="2329"/>
      <c r="CL38" s="2329"/>
      <c r="CM38" s="2329"/>
      <c r="CN38" s="2329">
        <v>12395</v>
      </c>
      <c r="CO38" s="2329">
        <v>1039</v>
      </c>
      <c r="CP38" s="2329">
        <v>187</v>
      </c>
      <c r="CQ38" s="2329">
        <v>31</v>
      </c>
      <c r="CR38" s="2329"/>
      <c r="CS38" s="2329">
        <v>1</v>
      </c>
      <c r="CT38" s="2329"/>
      <c r="CU38" s="2329"/>
      <c r="CV38" s="2329"/>
      <c r="CW38" s="2329"/>
      <c r="CX38" s="2329"/>
      <c r="CY38" s="2329"/>
      <c r="CZ38" s="2329"/>
      <c r="DA38" s="2329"/>
      <c r="DB38" s="2329"/>
      <c r="DC38" s="2329"/>
      <c r="DE38" s="3293"/>
      <c r="DF38" s="2345"/>
      <c r="DG38" s="2345"/>
      <c r="DH38" s="2345"/>
      <c r="DI38" s="2345"/>
      <c r="DJ38" s="2350"/>
      <c r="DK38" s="3293"/>
      <c r="DL38" s="2345"/>
      <c r="DM38" s="2345"/>
      <c r="DN38" s="3294"/>
      <c r="DO38" s="3360"/>
      <c r="DP38" s="3345"/>
      <c r="DQ38" s="3294"/>
      <c r="DR38" s="3345"/>
      <c r="DS38" s="3294"/>
      <c r="DT38" s="3345"/>
      <c r="DU38" s="2345"/>
      <c r="DV38" s="2345"/>
      <c r="DW38" s="2345"/>
      <c r="DX38" s="2345"/>
      <c r="DY38" s="2345"/>
      <c r="DZ38" s="2350"/>
      <c r="EA38" s="3293"/>
      <c r="EB38" s="2345"/>
      <c r="EC38" s="2345"/>
      <c r="ED38" s="2345"/>
      <c r="EE38" s="2345"/>
      <c r="EF38" s="2345"/>
      <c r="EG38" s="2345"/>
      <c r="EH38" s="2345"/>
      <c r="EI38" s="2345"/>
      <c r="EJ38" s="2345"/>
      <c r="EK38" s="2345"/>
      <c r="EL38" s="2345"/>
      <c r="EM38" s="2345"/>
      <c r="EN38" s="3294"/>
      <c r="EO38" s="3345"/>
      <c r="EP38" s="2345"/>
      <c r="EQ38" s="2345"/>
      <c r="ER38" s="2345"/>
      <c r="ES38" s="2350"/>
      <c r="ET38" s="3293"/>
      <c r="EU38" s="2345"/>
      <c r="EV38" s="2345"/>
      <c r="EW38" s="2345"/>
      <c r="EX38" s="3294"/>
    </row>
    <row r="39" spans="1:154" s="2351" customFormat="1" ht="15" customHeight="1" thickBot="1">
      <c r="A39" s="15372"/>
      <c r="B39" s="15374"/>
      <c r="C39" s="15376"/>
      <c r="D39" s="15376"/>
      <c r="E39" s="15379"/>
      <c r="F39" s="1756" t="s">
        <v>7713</v>
      </c>
      <c r="G39" s="3248" t="s">
        <v>3376</v>
      </c>
      <c r="H39" s="3267" t="s">
        <v>86</v>
      </c>
      <c r="I39" s="15477"/>
      <c r="J39" s="2341" t="s">
        <v>3370</v>
      </c>
      <c r="K39" s="2326">
        <v>1</v>
      </c>
      <c r="L39" s="2341" t="s">
        <v>4104</v>
      </c>
      <c r="M39" s="2325" t="s">
        <v>3337</v>
      </c>
      <c r="N39" s="2341"/>
      <c r="O39" s="2328">
        <v>15239000</v>
      </c>
      <c r="P39" s="15475"/>
      <c r="Q39" s="2328">
        <v>52410800</v>
      </c>
      <c r="R39" s="2328">
        <v>229343164</v>
      </c>
      <c r="S39" s="2328">
        <v>11986687</v>
      </c>
      <c r="T39" s="2329">
        <v>13653</v>
      </c>
      <c r="U39" s="2329">
        <v>5253</v>
      </c>
      <c r="V39" s="2329">
        <v>8400</v>
      </c>
      <c r="W39" s="2329">
        <v>9690</v>
      </c>
      <c r="X39" s="2329">
        <v>3963</v>
      </c>
      <c r="Y39" s="2329"/>
      <c r="Z39" s="2329"/>
      <c r="AA39" s="2329">
        <v>3257</v>
      </c>
      <c r="AB39" s="2329">
        <v>5190</v>
      </c>
      <c r="AC39" s="2329">
        <v>5206</v>
      </c>
      <c r="AD39" s="2329"/>
      <c r="AE39" s="2329"/>
      <c r="AF39" s="2329"/>
      <c r="AG39" s="2329"/>
      <c r="AH39" s="2329"/>
      <c r="AI39" s="2329"/>
      <c r="AJ39" s="2329"/>
      <c r="AK39" s="2329"/>
      <c r="AL39" s="2329"/>
      <c r="AM39" s="2329"/>
      <c r="AN39" s="2329">
        <v>12395</v>
      </c>
      <c r="AO39" s="2329">
        <v>1039</v>
      </c>
      <c r="AP39" s="2329">
        <v>187</v>
      </c>
      <c r="AQ39" s="2329">
        <v>31</v>
      </c>
      <c r="AR39" s="2329"/>
      <c r="AS39" s="2329">
        <v>1</v>
      </c>
      <c r="AT39" s="2329"/>
      <c r="AU39" s="2329"/>
      <c r="AV39" s="2329"/>
      <c r="AW39" s="2329"/>
      <c r="AX39" s="2329"/>
      <c r="AY39" s="2329"/>
      <c r="AZ39" s="2329"/>
      <c r="BA39" s="2329"/>
      <c r="BB39" s="2329"/>
      <c r="BC39" s="2330"/>
      <c r="BD39" s="15515"/>
      <c r="BE39" s="2341" t="s">
        <v>3370</v>
      </c>
      <c r="BF39" s="2342" t="s">
        <v>1509</v>
      </c>
      <c r="BG39" s="2341" t="s">
        <v>3370</v>
      </c>
      <c r="BH39" s="2343">
        <v>1</v>
      </c>
      <c r="BI39" s="2343">
        <v>1</v>
      </c>
      <c r="BJ39" s="2334">
        <v>1</v>
      </c>
      <c r="BK39" s="15525"/>
      <c r="BL39" s="2341" t="s">
        <v>4104</v>
      </c>
      <c r="BM39" s="2325" t="s">
        <v>3337</v>
      </c>
      <c r="BN39" s="2341"/>
      <c r="BO39" s="2344">
        <v>5038000</v>
      </c>
      <c r="BP39" s="15527"/>
      <c r="BQ39" s="2337">
        <v>4231920</v>
      </c>
      <c r="BR39" s="2338">
        <f t="shared" si="0"/>
        <v>806080</v>
      </c>
      <c r="BS39" s="2338"/>
      <c r="BT39" s="2329">
        <v>15081</v>
      </c>
      <c r="BU39" s="2329">
        <v>5.0270000000000001</v>
      </c>
      <c r="BV39" s="2329">
        <v>10.053000000000001</v>
      </c>
      <c r="BW39" s="2329">
        <v>10150</v>
      </c>
      <c r="BX39" s="2329">
        <v>4930</v>
      </c>
      <c r="BY39" s="2329"/>
      <c r="BZ39" s="2329"/>
      <c r="CA39" s="2329">
        <v>3257</v>
      </c>
      <c r="CB39" s="2329">
        <v>5190</v>
      </c>
      <c r="CC39" s="2329">
        <v>5206</v>
      </c>
      <c r="CD39" s="2329"/>
      <c r="CE39" s="2329"/>
      <c r="CF39" s="2329"/>
      <c r="CG39" s="2329"/>
      <c r="CH39" s="2329"/>
      <c r="CI39" s="2329"/>
      <c r="CJ39" s="2329"/>
      <c r="CK39" s="2329"/>
      <c r="CL39" s="2329"/>
      <c r="CM39" s="2329"/>
      <c r="CN39" s="2329">
        <v>12395</v>
      </c>
      <c r="CO39" s="2329">
        <v>1039</v>
      </c>
      <c r="CP39" s="2329">
        <v>187</v>
      </c>
      <c r="CQ39" s="2329">
        <v>31</v>
      </c>
      <c r="CR39" s="2329"/>
      <c r="CS39" s="2329">
        <v>1</v>
      </c>
      <c r="CT39" s="2329"/>
      <c r="CU39" s="2329"/>
      <c r="CV39" s="2329"/>
      <c r="CW39" s="2329"/>
      <c r="CX39" s="2329"/>
      <c r="CY39" s="2329"/>
      <c r="CZ39" s="2329"/>
      <c r="DA39" s="2329"/>
      <c r="DB39" s="2329"/>
      <c r="DC39" s="2329"/>
      <c r="DE39" s="3293"/>
      <c r="DF39" s="2345"/>
      <c r="DG39" s="2345"/>
      <c r="DH39" s="2345"/>
      <c r="DI39" s="2345"/>
      <c r="DJ39" s="2350"/>
      <c r="DK39" s="3293"/>
      <c r="DL39" s="2345"/>
      <c r="DM39" s="2345"/>
      <c r="DN39" s="3294"/>
      <c r="DO39" s="3360"/>
      <c r="DP39" s="3345"/>
      <c r="DQ39" s="3294"/>
      <c r="DR39" s="3345"/>
      <c r="DS39" s="3294"/>
      <c r="DT39" s="3345"/>
      <c r="DU39" s="2345"/>
      <c r="DV39" s="2345"/>
      <c r="DW39" s="2345"/>
      <c r="DX39" s="2345"/>
      <c r="DY39" s="2345"/>
      <c r="DZ39" s="2350"/>
      <c r="EA39" s="3293"/>
      <c r="EB39" s="2345"/>
      <c r="EC39" s="2345"/>
      <c r="ED39" s="2345"/>
      <c r="EE39" s="2345"/>
      <c r="EF39" s="2345"/>
      <c r="EG39" s="2345"/>
      <c r="EH39" s="2345"/>
      <c r="EI39" s="2345"/>
      <c r="EJ39" s="2345"/>
      <c r="EK39" s="2345"/>
      <c r="EL39" s="2345"/>
      <c r="EM39" s="2345"/>
      <c r="EN39" s="3294"/>
      <c r="EO39" s="3345"/>
      <c r="EP39" s="2345"/>
      <c r="EQ39" s="2345"/>
      <c r="ER39" s="2345"/>
      <c r="ES39" s="2350"/>
      <c r="ET39" s="3293"/>
      <c r="EU39" s="2345"/>
      <c r="EV39" s="2345"/>
      <c r="EW39" s="2345"/>
      <c r="EX39" s="3294"/>
    </row>
    <row r="40" spans="1:154" s="2351" customFormat="1" ht="15" customHeight="1" thickBot="1">
      <c r="A40" s="15372"/>
      <c r="B40" s="15441"/>
      <c r="C40" s="15377"/>
      <c r="D40" s="15377"/>
      <c r="E40" s="15380"/>
      <c r="F40" s="1758" t="s">
        <v>7714</v>
      </c>
      <c r="G40" s="3250" t="s">
        <v>3377</v>
      </c>
      <c r="H40" s="3270" t="s">
        <v>86</v>
      </c>
      <c r="I40" s="15478"/>
      <c r="J40" s="2355" t="s">
        <v>3370</v>
      </c>
      <c r="K40" s="2356">
        <v>1</v>
      </c>
      <c r="L40" s="2355" t="s">
        <v>4105</v>
      </c>
      <c r="M40" s="2355" t="s">
        <v>4097</v>
      </c>
      <c r="N40" s="2354"/>
      <c r="O40" s="2357">
        <v>15239000</v>
      </c>
      <c r="P40" s="15475"/>
      <c r="Q40" s="2357">
        <v>52410800</v>
      </c>
      <c r="R40" s="2357">
        <v>229343164</v>
      </c>
      <c r="S40" s="2357">
        <v>11986687</v>
      </c>
      <c r="T40" s="2358">
        <v>20</v>
      </c>
      <c r="U40" s="2358"/>
      <c r="V40" s="2358">
        <v>20</v>
      </c>
      <c r="W40" s="2358">
        <v>15</v>
      </c>
      <c r="X40" s="2358">
        <v>10</v>
      </c>
      <c r="Y40" s="2358"/>
      <c r="Z40" s="2358"/>
      <c r="AA40" s="2358"/>
      <c r="AB40" s="2358">
        <v>10</v>
      </c>
      <c r="AC40" s="2358">
        <v>10</v>
      </c>
      <c r="AD40" s="2358"/>
      <c r="AE40" s="2358"/>
      <c r="AF40" s="2358"/>
      <c r="AG40" s="2358"/>
      <c r="AH40" s="2358"/>
      <c r="AI40" s="2358"/>
      <c r="AJ40" s="2358"/>
      <c r="AK40" s="2358"/>
      <c r="AL40" s="2358"/>
      <c r="AM40" s="2358"/>
      <c r="AN40" s="2358">
        <v>20</v>
      </c>
      <c r="AO40" s="2358"/>
      <c r="AP40" s="2358"/>
      <c r="AQ40" s="2358"/>
      <c r="AR40" s="2358"/>
      <c r="AS40" s="2358"/>
      <c r="AT40" s="2358"/>
      <c r="AU40" s="2358"/>
      <c r="AV40" s="2358"/>
      <c r="AW40" s="2358"/>
      <c r="AX40" s="2358"/>
      <c r="AY40" s="2358"/>
      <c r="AZ40" s="2358"/>
      <c r="BA40" s="2358"/>
      <c r="BB40" s="2358"/>
      <c r="BC40" s="2359"/>
      <c r="BD40" s="15516"/>
      <c r="BE40" s="2355" t="s">
        <v>3370</v>
      </c>
      <c r="BF40" s="2360" t="s">
        <v>1509</v>
      </c>
      <c r="BG40" s="2355" t="s">
        <v>3370</v>
      </c>
      <c r="BH40" s="2361">
        <v>1</v>
      </c>
      <c r="BI40" s="2361">
        <v>1</v>
      </c>
      <c r="BJ40" s="2334">
        <v>1</v>
      </c>
      <c r="BK40" s="15525"/>
      <c r="BL40" s="2355" t="s">
        <v>4105</v>
      </c>
      <c r="BM40" s="2355" t="s">
        <v>4097</v>
      </c>
      <c r="BN40" s="2354"/>
      <c r="BO40" s="2362">
        <v>5038000</v>
      </c>
      <c r="BP40" s="15527"/>
      <c r="BQ40" s="2337">
        <v>4231920</v>
      </c>
      <c r="BR40" s="2338">
        <f t="shared" si="0"/>
        <v>806080</v>
      </c>
      <c r="BS40" s="2338"/>
      <c r="BT40" s="2339">
        <v>3.7679999999999998</v>
      </c>
      <c r="BU40" s="2339">
        <v>1795</v>
      </c>
      <c r="BV40" s="2339">
        <v>1972</v>
      </c>
      <c r="BW40" s="2339">
        <v>2676</v>
      </c>
      <c r="BX40" s="2339">
        <v>1091</v>
      </c>
      <c r="BY40" s="2339"/>
      <c r="BZ40" s="2339"/>
      <c r="CA40" s="2339">
        <v>3768</v>
      </c>
      <c r="CB40" s="2339"/>
      <c r="CC40" s="2339"/>
      <c r="CD40" s="2339"/>
      <c r="CE40" s="2339"/>
      <c r="CF40" s="2339"/>
      <c r="CG40" s="2339"/>
      <c r="CH40" s="2339"/>
      <c r="CI40" s="2339"/>
      <c r="CJ40" s="2339"/>
      <c r="CK40" s="2339"/>
      <c r="CL40" s="2339"/>
      <c r="CM40" s="2339"/>
      <c r="CN40" s="2339">
        <v>20</v>
      </c>
      <c r="CO40" s="2339"/>
      <c r="CP40" s="2339"/>
      <c r="CQ40" s="2339"/>
      <c r="CR40" s="2339"/>
      <c r="CS40" s="2339"/>
      <c r="CT40" s="2339"/>
      <c r="CU40" s="2339"/>
      <c r="CV40" s="2339"/>
      <c r="CW40" s="2339"/>
      <c r="CX40" s="2339"/>
      <c r="CY40" s="2339"/>
      <c r="CZ40" s="2339"/>
      <c r="DA40" s="2339"/>
      <c r="DB40" s="2339"/>
      <c r="DC40" s="2339"/>
      <c r="DE40" s="3319"/>
      <c r="DF40" s="3320"/>
      <c r="DG40" s="3320"/>
      <c r="DH40" s="3320"/>
      <c r="DI40" s="3320"/>
      <c r="DJ40" s="3330"/>
      <c r="DK40" s="3319"/>
      <c r="DL40" s="3320"/>
      <c r="DM40" s="3320"/>
      <c r="DN40" s="3321"/>
      <c r="DO40" s="3361"/>
      <c r="DP40" s="3346"/>
      <c r="DQ40" s="3321"/>
      <c r="DR40" s="3346"/>
      <c r="DS40" s="3321"/>
      <c r="DT40" s="3346"/>
      <c r="DU40" s="3320"/>
      <c r="DV40" s="3320"/>
      <c r="DW40" s="3320"/>
      <c r="DX40" s="3320"/>
      <c r="DY40" s="3320"/>
      <c r="DZ40" s="3330"/>
      <c r="EA40" s="3319"/>
      <c r="EB40" s="3320"/>
      <c r="EC40" s="3320"/>
      <c r="ED40" s="3320"/>
      <c r="EE40" s="3320"/>
      <c r="EF40" s="3320"/>
      <c r="EG40" s="3320"/>
      <c r="EH40" s="3320"/>
      <c r="EI40" s="3320"/>
      <c r="EJ40" s="3320"/>
      <c r="EK40" s="3320"/>
      <c r="EL40" s="3320"/>
      <c r="EM40" s="3320"/>
      <c r="EN40" s="3321"/>
      <c r="EO40" s="3346"/>
      <c r="EP40" s="3320"/>
      <c r="EQ40" s="3320"/>
      <c r="ER40" s="3320"/>
      <c r="ES40" s="3330"/>
      <c r="ET40" s="3319"/>
      <c r="EU40" s="3320"/>
      <c r="EV40" s="3320"/>
      <c r="EW40" s="3320"/>
      <c r="EX40" s="3321"/>
    </row>
    <row r="41" spans="1:154" s="2373" customFormat="1" ht="15" customHeight="1" thickBot="1">
      <c r="A41" s="15442" t="s">
        <v>3378</v>
      </c>
      <c r="B41" s="15445" t="s">
        <v>3281</v>
      </c>
      <c r="C41" s="15435" t="s">
        <v>3379</v>
      </c>
      <c r="D41" s="15435">
        <v>23.3</v>
      </c>
      <c r="E41" s="15438">
        <v>14</v>
      </c>
      <c r="F41" s="773" t="s">
        <v>7715</v>
      </c>
      <c r="G41" s="3251" t="s">
        <v>3380</v>
      </c>
      <c r="H41" s="3271" t="s">
        <v>86</v>
      </c>
      <c r="I41" s="15479">
        <v>0.17</v>
      </c>
      <c r="J41" s="2363" t="s">
        <v>4183</v>
      </c>
      <c r="K41" s="1760">
        <v>1</v>
      </c>
      <c r="L41" s="2363" t="s">
        <v>4107</v>
      </c>
      <c r="M41" s="2363" t="s">
        <v>3381</v>
      </c>
      <c r="N41" s="2363"/>
      <c r="O41" s="2364">
        <v>41800000</v>
      </c>
      <c r="P41" s="15401">
        <f>SUM(O41:O53)</f>
        <v>516839000</v>
      </c>
      <c r="Q41" s="2365">
        <v>52410800</v>
      </c>
      <c r="R41" s="2365">
        <v>229343164</v>
      </c>
      <c r="S41" s="2365">
        <v>11986687</v>
      </c>
      <c r="T41" s="2366">
        <v>1372</v>
      </c>
      <c r="U41" s="2366">
        <v>424</v>
      </c>
      <c r="V41" s="2366">
        <v>948</v>
      </c>
      <c r="W41" s="2366" t="s">
        <v>2315</v>
      </c>
      <c r="X41" s="2366"/>
      <c r="Y41" s="2366"/>
      <c r="Z41" s="2366"/>
      <c r="AA41" s="2366">
        <v>206</v>
      </c>
      <c r="AB41" s="2366">
        <v>453</v>
      </c>
      <c r="AC41" s="2366">
        <v>549</v>
      </c>
      <c r="AD41" s="2366">
        <v>164</v>
      </c>
      <c r="AE41" s="2366"/>
      <c r="AF41" s="2366"/>
      <c r="AG41" s="2366"/>
      <c r="AH41" s="2366"/>
      <c r="AI41" s="2366"/>
      <c r="AJ41" s="2366"/>
      <c r="AK41" s="2366"/>
      <c r="AL41" s="2366"/>
      <c r="AM41" s="2366"/>
      <c r="AN41" s="2366"/>
      <c r="AO41" s="2366"/>
      <c r="AP41" s="2366"/>
      <c r="AQ41" s="2366"/>
      <c r="AR41" s="2366"/>
      <c r="AS41" s="2366"/>
      <c r="AT41" s="2366"/>
      <c r="AU41" s="2366"/>
      <c r="AV41" s="2366"/>
      <c r="AW41" s="2366"/>
      <c r="AX41" s="2366"/>
      <c r="AY41" s="2366"/>
      <c r="AZ41" s="2366"/>
      <c r="BA41" s="2366"/>
      <c r="BB41" s="2366"/>
      <c r="BC41" s="2366"/>
      <c r="BD41" s="15538">
        <v>0.17</v>
      </c>
      <c r="BE41" s="2363" t="s">
        <v>4183</v>
      </c>
      <c r="BF41" s="2366" t="s">
        <v>1509</v>
      </c>
      <c r="BG41" s="2363" t="s">
        <v>4183</v>
      </c>
      <c r="BH41" s="2367">
        <v>1</v>
      </c>
      <c r="BI41" s="2367">
        <v>1</v>
      </c>
      <c r="BJ41" s="2368">
        <v>1</v>
      </c>
      <c r="BK41" s="15549">
        <f>AVERAGE(BJ41:BJ53)</f>
        <v>1</v>
      </c>
      <c r="BL41" s="2363" t="s">
        <v>4107</v>
      </c>
      <c r="BM41" s="2363" t="s">
        <v>3381</v>
      </c>
      <c r="BN41" s="2363"/>
      <c r="BO41" s="2369">
        <v>5038000</v>
      </c>
      <c r="BP41" s="15539">
        <f>SUM(BO41:BO53)</f>
        <v>85418000</v>
      </c>
      <c r="BQ41" s="2370">
        <v>4231920</v>
      </c>
      <c r="BR41" s="2371">
        <f t="shared" si="0"/>
        <v>806080</v>
      </c>
      <c r="BS41" s="2371"/>
      <c r="BT41" s="2372">
        <v>1372</v>
      </c>
      <c r="BU41" s="2372">
        <v>424</v>
      </c>
      <c r="BV41" s="2372">
        <v>948</v>
      </c>
      <c r="BW41" s="2372"/>
      <c r="BX41" s="2372"/>
      <c r="BY41" s="2372"/>
      <c r="BZ41" s="2372"/>
      <c r="CA41" s="2372">
        <v>206</v>
      </c>
      <c r="CB41" s="2372">
        <v>453</v>
      </c>
      <c r="CC41" s="2372"/>
      <c r="CD41" s="2372">
        <v>164</v>
      </c>
      <c r="CE41" s="2372"/>
      <c r="CF41" s="2372"/>
      <c r="CG41" s="2372"/>
      <c r="CH41" s="2372"/>
      <c r="CI41" s="2372"/>
      <c r="CJ41" s="2372"/>
      <c r="CK41" s="2372"/>
      <c r="CL41" s="2372"/>
      <c r="CM41" s="2372"/>
      <c r="CN41" s="2372"/>
      <c r="CO41" s="2372"/>
      <c r="CP41" s="2372"/>
      <c r="CQ41" s="2372"/>
      <c r="CR41" s="2372"/>
      <c r="CS41" s="2372"/>
      <c r="CT41" s="2372"/>
      <c r="CU41" s="2372"/>
      <c r="CV41" s="2372"/>
      <c r="CW41" s="2372"/>
      <c r="CX41" s="2372"/>
      <c r="CY41" s="2372"/>
      <c r="CZ41" s="2372"/>
      <c r="DA41" s="2372"/>
      <c r="DB41" s="2372"/>
      <c r="DC41" s="2372"/>
      <c r="DE41" s="3309"/>
      <c r="DF41" s="3310"/>
      <c r="DG41" s="3310"/>
      <c r="DH41" s="3310"/>
      <c r="DI41" s="3310"/>
      <c r="DJ41" s="3331"/>
      <c r="DK41" s="3309"/>
      <c r="DL41" s="3310"/>
      <c r="DM41" s="3310"/>
      <c r="DN41" s="3311"/>
      <c r="DO41" s="3362"/>
      <c r="DP41" s="3347"/>
      <c r="DQ41" s="3311"/>
      <c r="DR41" s="3347"/>
      <c r="DS41" s="3311"/>
      <c r="DT41" s="3347"/>
      <c r="DU41" s="3310"/>
      <c r="DV41" s="3310"/>
      <c r="DW41" s="3310"/>
      <c r="DX41" s="3310"/>
      <c r="DY41" s="3310"/>
      <c r="DZ41" s="3331"/>
      <c r="EA41" s="3309"/>
      <c r="EB41" s="3310"/>
      <c r="EC41" s="3310"/>
      <c r="ED41" s="3310"/>
      <c r="EE41" s="3310"/>
      <c r="EF41" s="3310"/>
      <c r="EG41" s="3310"/>
      <c r="EH41" s="3310"/>
      <c r="EI41" s="3310"/>
      <c r="EJ41" s="3310"/>
      <c r="EK41" s="3310"/>
      <c r="EL41" s="3310"/>
      <c r="EM41" s="3310"/>
      <c r="EN41" s="3311"/>
      <c r="EO41" s="3347"/>
      <c r="EP41" s="3310"/>
      <c r="EQ41" s="3310"/>
      <c r="ER41" s="3310"/>
      <c r="ES41" s="3331"/>
      <c r="ET41" s="3309"/>
      <c r="EU41" s="3310"/>
      <c r="EV41" s="3310"/>
      <c r="EW41" s="3310"/>
      <c r="EX41" s="3311"/>
    </row>
    <row r="42" spans="1:154" s="2373" customFormat="1" ht="15" customHeight="1" thickBot="1">
      <c r="A42" s="15443"/>
      <c r="B42" s="15434"/>
      <c r="C42" s="15436"/>
      <c r="D42" s="15436"/>
      <c r="E42" s="15439"/>
      <c r="F42" s="765" t="s">
        <v>7716</v>
      </c>
      <c r="G42" s="3252" t="s">
        <v>3382</v>
      </c>
      <c r="H42" s="3272" t="s">
        <v>86</v>
      </c>
      <c r="I42" s="15480"/>
      <c r="J42" s="2374" t="s">
        <v>3383</v>
      </c>
      <c r="K42" s="2375">
        <v>1</v>
      </c>
      <c r="L42" s="2374" t="s">
        <v>3384</v>
      </c>
      <c r="M42" s="2374" t="s">
        <v>3385</v>
      </c>
      <c r="N42" s="2374"/>
      <c r="O42" s="2376">
        <v>41800000</v>
      </c>
      <c r="P42" s="15402"/>
      <c r="Q42" s="2377">
        <v>52410800</v>
      </c>
      <c r="R42" s="2377">
        <v>229343164</v>
      </c>
      <c r="S42" s="2377">
        <v>11986687</v>
      </c>
      <c r="T42" s="2378">
        <v>431</v>
      </c>
      <c r="U42" s="2378">
        <v>50</v>
      </c>
      <c r="V42" s="2378">
        <v>381</v>
      </c>
      <c r="W42" s="2378">
        <v>431</v>
      </c>
      <c r="X42" s="2379"/>
      <c r="Y42" s="2379"/>
      <c r="Z42" s="2378">
        <v>9</v>
      </c>
      <c r="AA42" s="2378">
        <v>72</v>
      </c>
      <c r="AB42" s="2378">
        <v>229</v>
      </c>
      <c r="AC42" s="2378">
        <v>99</v>
      </c>
      <c r="AD42" s="2378">
        <v>22</v>
      </c>
      <c r="AE42" s="2379"/>
      <c r="AF42" s="2379"/>
      <c r="AG42" s="2379"/>
      <c r="AH42" s="2379"/>
      <c r="AI42" s="2379"/>
      <c r="AJ42" s="2379"/>
      <c r="AK42" s="2379"/>
      <c r="AL42" s="2379"/>
      <c r="AM42" s="2379"/>
      <c r="AN42" s="2378">
        <v>402</v>
      </c>
      <c r="AO42" s="2378">
        <v>22</v>
      </c>
      <c r="AP42" s="2378">
        <v>7</v>
      </c>
      <c r="AQ42" s="2378"/>
      <c r="AR42" s="2379"/>
      <c r="AS42" s="2379"/>
      <c r="AT42" s="2379"/>
      <c r="AU42" s="2379"/>
      <c r="AV42" s="2379"/>
      <c r="AW42" s="2379"/>
      <c r="AX42" s="2379"/>
      <c r="AY42" s="2379"/>
      <c r="AZ42" s="2379"/>
      <c r="BA42" s="2379"/>
      <c r="BB42" s="2379"/>
      <c r="BC42" s="2379"/>
      <c r="BD42" s="15436"/>
      <c r="BE42" s="2374" t="s">
        <v>3383</v>
      </c>
      <c r="BF42" s="2372" t="s">
        <v>1509</v>
      </c>
      <c r="BG42" s="2374" t="s">
        <v>3383</v>
      </c>
      <c r="BH42" s="2380">
        <v>1</v>
      </c>
      <c r="BI42" s="2380">
        <v>1</v>
      </c>
      <c r="BJ42" s="2368">
        <v>1</v>
      </c>
      <c r="BK42" s="15550"/>
      <c r="BL42" s="2374" t="s">
        <v>3384</v>
      </c>
      <c r="BM42" s="2374" t="s">
        <v>3385</v>
      </c>
      <c r="BN42" s="2374"/>
      <c r="BO42" s="2381">
        <v>5038000</v>
      </c>
      <c r="BP42" s="15540"/>
      <c r="BQ42" s="2370">
        <v>4231920</v>
      </c>
      <c r="BR42" s="2371">
        <f t="shared" si="0"/>
        <v>806080</v>
      </c>
      <c r="BS42" s="2371"/>
      <c r="BT42" s="2378">
        <v>1726</v>
      </c>
      <c r="BU42" s="2378">
        <v>248</v>
      </c>
      <c r="BV42" s="2378">
        <v>280</v>
      </c>
      <c r="BW42" s="2378">
        <v>1198</v>
      </c>
      <c r="BX42" s="2378">
        <v>528</v>
      </c>
      <c r="BY42" s="2378"/>
      <c r="BZ42" s="2378">
        <v>1726</v>
      </c>
      <c r="CA42" s="2378"/>
      <c r="CB42" s="2378"/>
      <c r="CC42" s="2378"/>
      <c r="CD42" s="2378"/>
      <c r="CE42" s="2378"/>
      <c r="CF42" s="2378"/>
      <c r="CG42" s="2378"/>
      <c r="CH42" s="2378"/>
      <c r="CI42" s="2378"/>
      <c r="CJ42" s="2378"/>
      <c r="CK42" s="2378"/>
      <c r="CL42" s="2378"/>
      <c r="CM42" s="2378"/>
      <c r="CN42" s="2378">
        <v>402</v>
      </c>
      <c r="CO42" s="2378">
        <v>22</v>
      </c>
      <c r="CP42" s="2378">
        <v>7</v>
      </c>
      <c r="CQ42" s="2378"/>
      <c r="CR42" s="2378"/>
      <c r="CS42" s="2378"/>
      <c r="CT42" s="2379"/>
      <c r="CU42" s="2379"/>
      <c r="CV42" s="2379"/>
      <c r="CW42" s="2379"/>
      <c r="CX42" s="2379"/>
      <c r="CY42" s="2379"/>
      <c r="CZ42" s="2379"/>
      <c r="DA42" s="2379"/>
      <c r="DB42" s="2379"/>
      <c r="DC42" s="2379"/>
      <c r="DE42" s="3295"/>
      <c r="DF42" s="2379"/>
      <c r="DG42" s="2379"/>
      <c r="DH42" s="2379"/>
      <c r="DI42" s="2379"/>
      <c r="DJ42" s="3253"/>
      <c r="DK42" s="3295"/>
      <c r="DL42" s="2379"/>
      <c r="DM42" s="2379"/>
      <c r="DN42" s="3296"/>
      <c r="DO42" s="3363"/>
      <c r="DP42" s="3348"/>
      <c r="DQ42" s="3296"/>
      <c r="DR42" s="3348"/>
      <c r="DS42" s="3296"/>
      <c r="DT42" s="3348"/>
      <c r="DU42" s="2379"/>
      <c r="DV42" s="2379"/>
      <c r="DW42" s="2379"/>
      <c r="DX42" s="2379"/>
      <c r="DY42" s="2379"/>
      <c r="DZ42" s="3253"/>
      <c r="EA42" s="3295"/>
      <c r="EB42" s="2379"/>
      <c r="EC42" s="2379"/>
      <c r="ED42" s="2379"/>
      <c r="EE42" s="2379"/>
      <c r="EF42" s="2379"/>
      <c r="EG42" s="2379"/>
      <c r="EH42" s="2379"/>
      <c r="EI42" s="2379"/>
      <c r="EJ42" s="2379"/>
      <c r="EK42" s="2379"/>
      <c r="EL42" s="2379"/>
      <c r="EM42" s="2379"/>
      <c r="EN42" s="3296"/>
      <c r="EO42" s="3348"/>
      <c r="EP42" s="2379"/>
      <c r="EQ42" s="2379"/>
      <c r="ER42" s="2379"/>
      <c r="ES42" s="3253"/>
      <c r="ET42" s="3295"/>
      <c r="EU42" s="2379"/>
      <c r="EV42" s="2379"/>
      <c r="EW42" s="2379"/>
      <c r="EX42" s="3296"/>
    </row>
    <row r="43" spans="1:154" s="2373" customFormat="1" ht="15" customHeight="1" thickBot="1">
      <c r="A43" s="15443"/>
      <c r="B43" s="15434" t="s">
        <v>3309</v>
      </c>
      <c r="C43" s="15436"/>
      <c r="D43" s="15436"/>
      <c r="E43" s="15439"/>
      <c r="F43" s="765" t="s">
        <v>7717</v>
      </c>
      <c r="G43" s="3252" t="s">
        <v>3386</v>
      </c>
      <c r="H43" s="3272" t="s">
        <v>86</v>
      </c>
      <c r="I43" s="15480"/>
      <c r="J43" s="2374" t="s">
        <v>3387</v>
      </c>
      <c r="K43" s="2375">
        <v>1</v>
      </c>
      <c r="L43" s="2374" t="s">
        <v>3388</v>
      </c>
      <c r="M43" s="2374" t="s">
        <v>3389</v>
      </c>
      <c r="N43" s="2374"/>
      <c r="O43" s="2376">
        <v>41800000</v>
      </c>
      <c r="P43" s="15402"/>
      <c r="Q43" s="2377">
        <v>52410800</v>
      </c>
      <c r="R43" s="2377">
        <v>229343164</v>
      </c>
      <c r="S43" s="2377">
        <v>11986687</v>
      </c>
      <c r="T43" s="2374"/>
      <c r="U43" s="2374"/>
      <c r="V43" s="2374"/>
      <c r="W43" s="2374"/>
      <c r="X43" s="2379"/>
      <c r="Y43" s="2379"/>
      <c r="Z43" s="2379"/>
      <c r="AA43" s="2379"/>
      <c r="AB43" s="2379"/>
      <c r="AC43" s="2379"/>
      <c r="AD43" s="2379"/>
      <c r="AE43" s="2379"/>
      <c r="AF43" s="2379"/>
      <c r="AG43" s="2379"/>
      <c r="AH43" s="2379"/>
      <c r="AI43" s="2379"/>
      <c r="AJ43" s="2379"/>
      <c r="AK43" s="2379"/>
      <c r="AL43" s="2379"/>
      <c r="AM43" s="2379"/>
      <c r="AN43" s="2379"/>
      <c r="AO43" s="2379"/>
      <c r="AP43" s="2379"/>
      <c r="AQ43" s="2379"/>
      <c r="AR43" s="2379"/>
      <c r="AS43" s="2379"/>
      <c r="AT43" s="2378" t="s">
        <v>3390</v>
      </c>
      <c r="AU43" s="2378" t="s">
        <v>3391</v>
      </c>
      <c r="AV43" s="2378">
        <v>35</v>
      </c>
      <c r="AW43" s="2378"/>
      <c r="AX43" s="2378"/>
      <c r="AY43" s="2378"/>
      <c r="AZ43" s="2378"/>
      <c r="BA43" s="2378"/>
      <c r="BB43" s="2378"/>
      <c r="BC43" s="2378"/>
      <c r="BD43" s="15436"/>
      <c r="BE43" s="2374" t="s">
        <v>3387</v>
      </c>
      <c r="BF43" s="2372" t="s">
        <v>1509</v>
      </c>
      <c r="BG43" s="2374" t="s">
        <v>3387</v>
      </c>
      <c r="BH43" s="2378" t="s">
        <v>9639</v>
      </c>
      <c r="BI43" s="2380">
        <v>1</v>
      </c>
      <c r="BJ43" s="2368">
        <v>1</v>
      </c>
      <c r="BK43" s="15550"/>
      <c r="BL43" s="2374" t="s">
        <v>3388</v>
      </c>
      <c r="BM43" s="2374" t="s">
        <v>3389</v>
      </c>
      <c r="BN43" s="2374"/>
      <c r="BO43" s="2381">
        <v>20000000</v>
      </c>
      <c r="BP43" s="15540"/>
      <c r="BQ43" s="2370">
        <v>16800000</v>
      </c>
      <c r="BR43" s="2371">
        <f t="shared" si="0"/>
        <v>3200000</v>
      </c>
      <c r="BS43" s="2371"/>
      <c r="BT43" s="2378"/>
      <c r="BU43" s="2378"/>
      <c r="BV43" s="2378"/>
      <c r="BW43" s="2378"/>
      <c r="BX43" s="2378"/>
      <c r="BY43" s="2378"/>
      <c r="BZ43" s="2378"/>
      <c r="CA43" s="2378"/>
      <c r="CB43" s="2378"/>
      <c r="CC43" s="2378"/>
      <c r="CD43" s="2378"/>
      <c r="CE43" s="2378"/>
      <c r="CF43" s="2378"/>
      <c r="CG43" s="2378"/>
      <c r="CH43" s="2378"/>
      <c r="CI43" s="2378"/>
      <c r="CJ43" s="2378"/>
      <c r="CK43" s="2378"/>
      <c r="CL43" s="2378"/>
      <c r="CM43" s="2378"/>
      <c r="CN43" s="2378"/>
      <c r="CO43" s="2378"/>
      <c r="CP43" s="2378"/>
      <c r="CQ43" s="2378"/>
      <c r="CR43" s="2378"/>
      <c r="CS43" s="2378"/>
      <c r="CT43" s="2378" t="s">
        <v>3390</v>
      </c>
      <c r="CU43" s="2378" t="s">
        <v>3391</v>
      </c>
      <c r="CV43" s="2378">
        <v>35</v>
      </c>
      <c r="CW43" s="2378"/>
      <c r="CX43" s="2378"/>
      <c r="CY43" s="2378"/>
      <c r="CZ43" s="2378"/>
      <c r="DA43" s="2378"/>
      <c r="DB43" s="2378"/>
      <c r="DC43" s="2378"/>
      <c r="DE43" s="3295"/>
      <c r="DF43" s="2379"/>
      <c r="DG43" s="2379"/>
      <c r="DH43" s="2379"/>
      <c r="DI43" s="2379"/>
      <c r="DJ43" s="3253"/>
      <c r="DK43" s="3295"/>
      <c r="DL43" s="2379"/>
      <c r="DM43" s="2379"/>
      <c r="DN43" s="3296"/>
      <c r="DO43" s="3363"/>
      <c r="DP43" s="3348"/>
      <c r="DQ43" s="3296"/>
      <c r="DR43" s="3348"/>
      <c r="DS43" s="3296"/>
      <c r="DT43" s="3348"/>
      <c r="DU43" s="2379"/>
      <c r="DV43" s="2379"/>
      <c r="DW43" s="2379"/>
      <c r="DX43" s="2379"/>
      <c r="DY43" s="2379"/>
      <c r="DZ43" s="3253"/>
      <c r="EA43" s="3295"/>
      <c r="EB43" s="2379"/>
      <c r="EC43" s="2379"/>
      <c r="ED43" s="2379"/>
      <c r="EE43" s="2379"/>
      <c r="EF43" s="2379"/>
      <c r="EG43" s="2379"/>
      <c r="EH43" s="2379"/>
      <c r="EI43" s="2379"/>
      <c r="EJ43" s="2379"/>
      <c r="EK43" s="2379"/>
      <c r="EL43" s="2379"/>
      <c r="EM43" s="2379"/>
      <c r="EN43" s="3296"/>
      <c r="EO43" s="3348"/>
      <c r="EP43" s="2379"/>
      <c r="EQ43" s="2379"/>
      <c r="ER43" s="2379"/>
      <c r="ES43" s="3253"/>
      <c r="ET43" s="3295"/>
      <c r="EU43" s="2379"/>
      <c r="EV43" s="2379"/>
      <c r="EW43" s="2379"/>
      <c r="EX43" s="3296"/>
    </row>
    <row r="44" spans="1:154" s="2373" customFormat="1" ht="15" customHeight="1" thickBot="1">
      <c r="A44" s="15443"/>
      <c r="B44" s="15434"/>
      <c r="C44" s="15436"/>
      <c r="D44" s="15436"/>
      <c r="E44" s="15439"/>
      <c r="F44" s="765" t="s">
        <v>7718</v>
      </c>
      <c r="G44" s="3252" t="s">
        <v>3392</v>
      </c>
      <c r="H44" s="3272" t="s">
        <v>86</v>
      </c>
      <c r="I44" s="15480"/>
      <c r="J44" s="2374" t="s">
        <v>3393</v>
      </c>
      <c r="K44" s="2375">
        <v>1</v>
      </c>
      <c r="L44" s="2374" t="s">
        <v>3394</v>
      </c>
      <c r="M44" s="2382"/>
      <c r="N44" s="2374"/>
      <c r="O44" s="2376">
        <v>41800000</v>
      </c>
      <c r="P44" s="15402"/>
      <c r="Q44" s="2377">
        <v>52410800</v>
      </c>
      <c r="R44" s="2377">
        <v>229343164</v>
      </c>
      <c r="S44" s="2377">
        <v>11986687</v>
      </c>
      <c r="T44" s="2378">
        <v>3257</v>
      </c>
      <c r="U44" s="2378">
        <v>1565</v>
      </c>
      <c r="V44" s="2378">
        <v>1692</v>
      </c>
      <c r="W44" s="2378">
        <v>2316</v>
      </c>
      <c r="X44" s="2378">
        <v>941</v>
      </c>
      <c r="Y44" s="2378"/>
      <c r="Z44" s="2378">
        <v>1245</v>
      </c>
      <c r="AA44" s="2378">
        <v>2012</v>
      </c>
      <c r="AB44" s="2378"/>
      <c r="AC44" s="2378"/>
      <c r="AD44" s="2378"/>
      <c r="AE44" s="2378"/>
      <c r="AF44" s="2378">
        <f>3257-534</f>
        <v>2723</v>
      </c>
      <c r="AG44" s="2378">
        <v>67</v>
      </c>
      <c r="AH44" s="2378">
        <v>452</v>
      </c>
      <c r="AI44" s="2378">
        <v>15</v>
      </c>
      <c r="AJ44" s="2378"/>
      <c r="AK44" s="2378"/>
      <c r="AL44" s="2378"/>
      <c r="AM44" s="2378"/>
      <c r="AN44" s="2378">
        <v>2922</v>
      </c>
      <c r="AO44" s="2378">
        <v>279</v>
      </c>
      <c r="AP44" s="2378">
        <v>49</v>
      </c>
      <c r="AQ44" s="2378">
        <v>7</v>
      </c>
      <c r="AR44" s="2378"/>
      <c r="AS44" s="2378"/>
      <c r="AT44" s="2378"/>
      <c r="AU44" s="2378"/>
      <c r="AV44" s="2383"/>
      <c r="AW44" s="2378"/>
      <c r="AX44" s="2378"/>
      <c r="AY44" s="2378"/>
      <c r="AZ44" s="2378"/>
      <c r="BA44" s="2378"/>
      <c r="BB44" s="2378"/>
      <c r="BC44" s="2378"/>
      <c r="BD44" s="15436"/>
      <c r="BE44" s="2374" t="s">
        <v>3393</v>
      </c>
      <c r="BF44" s="2372" t="s">
        <v>1509</v>
      </c>
      <c r="BG44" s="2374" t="s">
        <v>3393</v>
      </c>
      <c r="BH44" s="2380" t="s">
        <v>9640</v>
      </c>
      <c r="BI44" s="2380">
        <v>1</v>
      </c>
      <c r="BJ44" s="2368">
        <v>1</v>
      </c>
      <c r="BK44" s="15550"/>
      <c r="BL44" s="2374" t="s">
        <v>3394</v>
      </c>
      <c r="BM44" s="2382"/>
      <c r="BN44" s="2374"/>
      <c r="BO44" s="2381">
        <v>5038000</v>
      </c>
      <c r="BP44" s="15540"/>
      <c r="BQ44" s="2370">
        <v>4231920</v>
      </c>
      <c r="BR44" s="2371">
        <f t="shared" si="0"/>
        <v>806080</v>
      </c>
      <c r="BS44" s="2371"/>
      <c r="BT44" s="2384">
        <v>3.7679999999999998</v>
      </c>
      <c r="BU44" s="2384">
        <v>1795</v>
      </c>
      <c r="BV44" s="2384">
        <v>1972</v>
      </c>
      <c r="BW44" s="2384">
        <v>2676</v>
      </c>
      <c r="BX44" s="2384">
        <v>1091</v>
      </c>
      <c r="BY44" s="2384"/>
      <c r="BZ44" s="2384"/>
      <c r="CA44" s="2384">
        <v>3768</v>
      </c>
      <c r="CB44" s="2378"/>
      <c r="CC44" s="2378"/>
      <c r="CD44" s="2378"/>
      <c r="CE44" s="2378"/>
      <c r="CF44" s="2378">
        <f>3257-534</f>
        <v>2723</v>
      </c>
      <c r="CG44" s="2378">
        <v>67</v>
      </c>
      <c r="CH44" s="2378">
        <v>452</v>
      </c>
      <c r="CI44" s="2378">
        <v>15</v>
      </c>
      <c r="CJ44" s="2378"/>
      <c r="CK44" s="2378"/>
      <c r="CL44" s="2378"/>
      <c r="CM44" s="2378"/>
      <c r="CN44" s="2378">
        <v>2922</v>
      </c>
      <c r="CO44" s="2378">
        <v>279</v>
      </c>
      <c r="CP44" s="2378">
        <v>49</v>
      </c>
      <c r="CQ44" s="2378">
        <v>7</v>
      </c>
      <c r="CR44" s="2378"/>
      <c r="CS44" s="2378"/>
      <c r="CT44" s="2378"/>
      <c r="CU44" s="2378"/>
      <c r="CV44" s="2383"/>
      <c r="CW44" s="2378"/>
      <c r="CX44" s="2378"/>
      <c r="CY44" s="2378"/>
      <c r="CZ44" s="2378"/>
      <c r="DA44" s="2378"/>
      <c r="DB44" s="2378"/>
      <c r="DC44" s="2378"/>
      <c r="DE44" s="3295"/>
      <c r="DF44" s="2379"/>
      <c r="DG44" s="2379"/>
      <c r="DH44" s="2379"/>
      <c r="DI44" s="2379"/>
      <c r="DJ44" s="3253"/>
      <c r="DK44" s="3295"/>
      <c r="DL44" s="2379"/>
      <c r="DM44" s="2379"/>
      <c r="DN44" s="3296"/>
      <c r="DO44" s="3363"/>
      <c r="DP44" s="3348"/>
      <c r="DQ44" s="3296"/>
      <c r="DR44" s="3348"/>
      <c r="DS44" s="3296"/>
      <c r="DT44" s="3348"/>
      <c r="DU44" s="2379"/>
      <c r="DV44" s="2379"/>
      <c r="DW44" s="2379"/>
      <c r="DX44" s="2379"/>
      <c r="DY44" s="2379"/>
      <c r="DZ44" s="3253"/>
      <c r="EA44" s="3295"/>
      <c r="EB44" s="2379"/>
      <c r="EC44" s="2379"/>
      <c r="ED44" s="2379"/>
      <c r="EE44" s="2379"/>
      <c r="EF44" s="2379"/>
      <c r="EG44" s="2379"/>
      <c r="EH44" s="2379"/>
      <c r="EI44" s="2379"/>
      <c r="EJ44" s="2379"/>
      <c r="EK44" s="2379"/>
      <c r="EL44" s="2379"/>
      <c r="EM44" s="2379"/>
      <c r="EN44" s="3296"/>
      <c r="EO44" s="3348"/>
      <c r="EP44" s="2379"/>
      <c r="EQ44" s="2379"/>
      <c r="ER44" s="2379"/>
      <c r="ES44" s="3253"/>
      <c r="ET44" s="3295"/>
      <c r="EU44" s="2379"/>
      <c r="EV44" s="2379"/>
      <c r="EW44" s="2379"/>
      <c r="EX44" s="3296"/>
    </row>
    <row r="45" spans="1:154" s="2373" customFormat="1" ht="15" customHeight="1" thickBot="1">
      <c r="A45" s="15443"/>
      <c r="B45" s="15434"/>
      <c r="C45" s="15436"/>
      <c r="D45" s="15436"/>
      <c r="E45" s="15439"/>
      <c r="F45" s="765" t="s">
        <v>7719</v>
      </c>
      <c r="G45" s="3253" t="s">
        <v>3395</v>
      </c>
      <c r="H45" s="3273" t="s">
        <v>86</v>
      </c>
      <c r="I45" s="15480"/>
      <c r="J45" s="2379" t="s">
        <v>4106</v>
      </c>
      <c r="K45" s="2375">
        <v>1</v>
      </c>
      <c r="L45" s="2374" t="s">
        <v>4108</v>
      </c>
      <c r="M45" s="2374" t="s">
        <v>4109</v>
      </c>
      <c r="N45" s="2374"/>
      <c r="O45" s="2377">
        <v>15239000</v>
      </c>
      <c r="P45" s="15402"/>
      <c r="Q45" s="2377">
        <v>52410800</v>
      </c>
      <c r="R45" s="2377">
        <v>229343164</v>
      </c>
      <c r="S45" s="2377">
        <v>11986687</v>
      </c>
      <c r="T45" s="2378">
        <v>20</v>
      </c>
      <c r="U45" s="2378"/>
      <c r="V45" s="2378">
        <v>20</v>
      </c>
      <c r="W45" s="2378">
        <v>20</v>
      </c>
      <c r="X45" s="2378"/>
      <c r="Y45" s="2378"/>
      <c r="Z45" s="2378"/>
      <c r="AA45" s="2378"/>
      <c r="AB45" s="2378">
        <v>20</v>
      </c>
      <c r="AC45" s="2378"/>
      <c r="AD45" s="2378"/>
      <c r="AE45" s="2378"/>
      <c r="AF45" s="2378">
        <v>20</v>
      </c>
      <c r="AG45" s="2378"/>
      <c r="AH45" s="2378"/>
      <c r="AI45" s="2378"/>
      <c r="AJ45" s="2378"/>
      <c r="AK45" s="2378"/>
      <c r="AL45" s="2378"/>
      <c r="AM45" s="2378"/>
      <c r="AN45" s="2378">
        <v>20</v>
      </c>
      <c r="AO45" s="2378"/>
      <c r="AP45" s="2378"/>
      <c r="AQ45" s="2378"/>
      <c r="AR45" s="2378"/>
      <c r="AS45" s="2378"/>
      <c r="AT45" s="2378"/>
      <c r="AU45" s="2378"/>
      <c r="AV45" s="2378"/>
      <c r="AW45" s="2378"/>
      <c r="AX45" s="2378"/>
      <c r="AY45" s="2378"/>
      <c r="AZ45" s="2378"/>
      <c r="BA45" s="2378"/>
      <c r="BB45" s="2378"/>
      <c r="BC45" s="2378"/>
      <c r="BD45" s="15436"/>
      <c r="BE45" s="2379" t="s">
        <v>4106</v>
      </c>
      <c r="BF45" s="2372" t="s">
        <v>1509</v>
      </c>
      <c r="BG45" s="2379" t="s">
        <v>4106</v>
      </c>
      <c r="BH45" s="2378" t="s">
        <v>9641</v>
      </c>
      <c r="BI45" s="2380">
        <v>1</v>
      </c>
      <c r="BJ45" s="2368">
        <v>1</v>
      </c>
      <c r="BK45" s="15550"/>
      <c r="BL45" s="2374" t="s">
        <v>4108</v>
      </c>
      <c r="BM45" s="2374" t="s">
        <v>4109</v>
      </c>
      <c r="BN45" s="2374"/>
      <c r="BO45" s="2381">
        <v>5038000</v>
      </c>
      <c r="BP45" s="15540"/>
      <c r="BQ45" s="2370">
        <v>4231920</v>
      </c>
      <c r="BR45" s="2371">
        <f t="shared" si="0"/>
        <v>806080</v>
      </c>
      <c r="BS45" s="2371"/>
      <c r="BT45" s="2378">
        <v>437</v>
      </c>
      <c r="BU45" s="2378">
        <v>218</v>
      </c>
      <c r="BV45" s="2378">
        <v>218</v>
      </c>
      <c r="BW45" s="2378">
        <v>437</v>
      </c>
      <c r="BX45" s="2378"/>
      <c r="BY45" s="2378"/>
      <c r="BZ45" s="2378"/>
      <c r="CA45" s="2378"/>
      <c r="CB45" s="2378">
        <v>145</v>
      </c>
      <c r="CC45" s="2378">
        <v>218</v>
      </c>
      <c r="CD45" s="2378"/>
      <c r="CE45" s="2378"/>
      <c r="CF45" s="2378">
        <v>20</v>
      </c>
      <c r="CG45" s="2378"/>
      <c r="CH45" s="2378"/>
      <c r="CI45" s="2378"/>
      <c r="CJ45" s="2378"/>
      <c r="CK45" s="2378"/>
      <c r="CL45" s="2378"/>
      <c r="CM45" s="2378"/>
      <c r="CN45" s="2378">
        <v>20</v>
      </c>
      <c r="CO45" s="2378"/>
      <c r="CP45" s="2378"/>
      <c r="CQ45" s="2378"/>
      <c r="CR45" s="2378"/>
      <c r="CS45" s="2378"/>
      <c r="CT45" s="2378"/>
      <c r="CU45" s="2378"/>
      <c r="CV45" s="2378"/>
      <c r="CW45" s="2378"/>
      <c r="CX45" s="2378"/>
      <c r="CY45" s="2378"/>
      <c r="CZ45" s="2378"/>
      <c r="DA45" s="2378"/>
      <c r="DB45" s="2378"/>
      <c r="DC45" s="2378"/>
      <c r="DE45" s="3295"/>
      <c r="DF45" s="2379"/>
      <c r="DG45" s="2379"/>
      <c r="DH45" s="2379"/>
      <c r="DI45" s="2379"/>
      <c r="DJ45" s="3253"/>
      <c r="DK45" s="3295"/>
      <c r="DL45" s="2379"/>
      <c r="DM45" s="2379"/>
      <c r="DN45" s="3296"/>
      <c r="DO45" s="3363"/>
      <c r="DP45" s="3348"/>
      <c r="DQ45" s="3296"/>
      <c r="DR45" s="3348"/>
      <c r="DS45" s="3296"/>
      <c r="DT45" s="3348"/>
      <c r="DU45" s="2379"/>
      <c r="DV45" s="2379"/>
      <c r="DW45" s="2379"/>
      <c r="DX45" s="2379"/>
      <c r="DY45" s="2379"/>
      <c r="DZ45" s="3253"/>
      <c r="EA45" s="3295"/>
      <c r="EB45" s="2379"/>
      <c r="EC45" s="2379"/>
      <c r="ED45" s="2379"/>
      <c r="EE45" s="2379"/>
      <c r="EF45" s="2379"/>
      <c r="EG45" s="2379"/>
      <c r="EH45" s="2379"/>
      <c r="EI45" s="2379"/>
      <c r="EJ45" s="2379"/>
      <c r="EK45" s="2379"/>
      <c r="EL45" s="2379"/>
      <c r="EM45" s="2379"/>
      <c r="EN45" s="3296"/>
      <c r="EO45" s="3348"/>
      <c r="EP45" s="2379"/>
      <c r="EQ45" s="2379"/>
      <c r="ER45" s="2379"/>
      <c r="ES45" s="3253"/>
      <c r="ET45" s="3295"/>
      <c r="EU45" s="2379"/>
      <c r="EV45" s="2379"/>
      <c r="EW45" s="2379"/>
      <c r="EX45" s="3296"/>
    </row>
    <row r="46" spans="1:154" s="2373" customFormat="1" ht="15" customHeight="1" thickBot="1">
      <c r="A46" s="15443"/>
      <c r="B46" s="15434"/>
      <c r="C46" s="15436"/>
      <c r="D46" s="15436"/>
      <c r="E46" s="15439"/>
      <c r="F46" s="765" t="s">
        <v>7720</v>
      </c>
      <c r="G46" s="3252" t="s">
        <v>3396</v>
      </c>
      <c r="H46" s="3272" t="s">
        <v>86</v>
      </c>
      <c r="I46" s="15480"/>
      <c r="J46" s="2374" t="s">
        <v>3330</v>
      </c>
      <c r="K46" s="2375">
        <v>1</v>
      </c>
      <c r="L46" s="2374" t="s">
        <v>3374</v>
      </c>
      <c r="M46" s="2385" t="s">
        <v>3305</v>
      </c>
      <c r="N46" s="2374"/>
      <c r="O46" s="2386">
        <v>41800000</v>
      </c>
      <c r="P46" s="15402"/>
      <c r="Q46" s="2387">
        <v>52410800</v>
      </c>
      <c r="R46" s="2387">
        <v>229343164</v>
      </c>
      <c r="S46" s="2387">
        <v>11986687</v>
      </c>
      <c r="T46" s="2374"/>
      <c r="U46" s="2374"/>
      <c r="V46" s="2374"/>
      <c r="W46" s="2374"/>
      <c r="X46" s="2379"/>
      <c r="Y46" s="2379"/>
      <c r="Z46" s="2379"/>
      <c r="AA46" s="2379"/>
      <c r="AB46" s="2379"/>
      <c r="AC46" s="2379"/>
      <c r="AD46" s="2379"/>
      <c r="AE46" s="2379"/>
      <c r="AF46" s="2379"/>
      <c r="AG46" s="2379"/>
      <c r="AH46" s="2379"/>
      <c r="AI46" s="2379"/>
      <c r="AJ46" s="2379"/>
      <c r="AK46" s="2379"/>
      <c r="AL46" s="2379"/>
      <c r="AM46" s="2379"/>
      <c r="AN46" s="2379"/>
      <c r="AO46" s="2379"/>
      <c r="AP46" s="2379"/>
      <c r="AQ46" s="2379"/>
      <c r="AR46" s="2379"/>
      <c r="AS46" s="2379"/>
      <c r="AT46" s="2388" t="s">
        <v>3287</v>
      </c>
      <c r="AU46" s="2379" t="s">
        <v>3288</v>
      </c>
      <c r="AV46" s="2389">
        <v>35</v>
      </c>
      <c r="AW46" s="2379"/>
      <c r="AX46" s="2379"/>
      <c r="AY46" s="2379"/>
      <c r="AZ46" s="2379"/>
      <c r="BA46" s="2379"/>
      <c r="BB46" s="2379"/>
      <c r="BC46" s="2379"/>
      <c r="BD46" s="15436"/>
      <c r="BE46" s="2374" t="s">
        <v>3330</v>
      </c>
      <c r="BF46" s="2372" t="s">
        <v>1509</v>
      </c>
      <c r="BG46" s="2374" t="s">
        <v>3330</v>
      </c>
      <c r="BH46" s="2380">
        <v>1</v>
      </c>
      <c r="BI46" s="2380">
        <v>1</v>
      </c>
      <c r="BJ46" s="2368">
        <v>1</v>
      </c>
      <c r="BK46" s="15550"/>
      <c r="BL46" s="2374" t="s">
        <v>3374</v>
      </c>
      <c r="BM46" s="2385" t="s">
        <v>3305</v>
      </c>
      <c r="BN46" s="2374"/>
      <c r="BO46" s="2381">
        <v>5038000</v>
      </c>
      <c r="BP46" s="15540"/>
      <c r="BQ46" s="2370">
        <v>4231920</v>
      </c>
      <c r="BR46" s="2371">
        <f t="shared" si="0"/>
        <v>806080</v>
      </c>
      <c r="BS46" s="2371"/>
      <c r="BT46" s="2378"/>
      <c r="BU46" s="2378"/>
      <c r="BV46" s="2378"/>
      <c r="BW46" s="2378"/>
      <c r="BX46" s="2378"/>
      <c r="BY46" s="2378"/>
      <c r="BZ46" s="2378"/>
      <c r="CA46" s="2378"/>
      <c r="CB46" s="2378"/>
      <c r="CC46" s="2378"/>
      <c r="CD46" s="2378"/>
      <c r="CE46" s="2378"/>
      <c r="CF46" s="2378"/>
      <c r="CG46" s="2378"/>
      <c r="CH46" s="2378"/>
      <c r="CI46" s="2378"/>
      <c r="CJ46" s="2378"/>
      <c r="CK46" s="2378"/>
      <c r="CL46" s="2378"/>
      <c r="CM46" s="2378"/>
      <c r="CN46" s="2378"/>
      <c r="CO46" s="2378"/>
      <c r="CP46" s="2378"/>
      <c r="CQ46" s="2378"/>
      <c r="CR46" s="2378"/>
      <c r="CS46" s="2378"/>
      <c r="CT46" s="2388" t="s">
        <v>3287</v>
      </c>
      <c r="CU46" s="2379" t="s">
        <v>3288</v>
      </c>
      <c r="CV46" s="2389">
        <v>35</v>
      </c>
      <c r="CW46" s="2379"/>
      <c r="CX46" s="2379"/>
      <c r="CY46" s="2379"/>
      <c r="CZ46" s="2379"/>
      <c r="DA46" s="2379"/>
      <c r="DB46" s="2379"/>
      <c r="DC46" s="2379"/>
      <c r="DE46" s="3295"/>
      <c r="DF46" s="2379"/>
      <c r="DG46" s="2379"/>
      <c r="DH46" s="2379"/>
      <c r="DI46" s="2379"/>
      <c r="DJ46" s="3253"/>
      <c r="DK46" s="3295"/>
      <c r="DL46" s="2379"/>
      <c r="DM46" s="2379"/>
      <c r="DN46" s="3296"/>
      <c r="DO46" s="3363"/>
      <c r="DP46" s="3348"/>
      <c r="DQ46" s="3296"/>
      <c r="DR46" s="3348"/>
      <c r="DS46" s="3296"/>
      <c r="DT46" s="3348"/>
      <c r="DU46" s="2379"/>
      <c r="DV46" s="2379"/>
      <c r="DW46" s="2379"/>
      <c r="DX46" s="2379"/>
      <c r="DY46" s="2379"/>
      <c r="DZ46" s="3253"/>
      <c r="EA46" s="3295"/>
      <c r="EB46" s="2379"/>
      <c r="EC46" s="2379"/>
      <c r="ED46" s="2379"/>
      <c r="EE46" s="2379"/>
      <c r="EF46" s="2379"/>
      <c r="EG46" s="2379"/>
      <c r="EH46" s="2379"/>
      <c r="EI46" s="2379"/>
      <c r="EJ46" s="2379"/>
      <c r="EK46" s="2379"/>
      <c r="EL46" s="2379"/>
      <c r="EM46" s="2379"/>
      <c r="EN46" s="3296"/>
      <c r="EO46" s="3348"/>
      <c r="EP46" s="2379"/>
      <c r="EQ46" s="2379"/>
      <c r="ER46" s="2379"/>
      <c r="ES46" s="3253"/>
      <c r="ET46" s="3295"/>
      <c r="EU46" s="2379"/>
      <c r="EV46" s="2379"/>
      <c r="EW46" s="2379"/>
      <c r="EX46" s="3296"/>
    </row>
    <row r="47" spans="1:154" s="2373" customFormat="1" ht="15" customHeight="1" thickBot="1">
      <c r="A47" s="15443"/>
      <c r="B47" s="15434"/>
      <c r="C47" s="15436"/>
      <c r="D47" s="15436"/>
      <c r="E47" s="15439"/>
      <c r="F47" s="765" t="s">
        <v>7721</v>
      </c>
      <c r="G47" s="3252" t="s">
        <v>3397</v>
      </c>
      <c r="H47" s="3272" t="s">
        <v>86</v>
      </c>
      <c r="I47" s="15480"/>
      <c r="J47" s="2374" t="s">
        <v>3387</v>
      </c>
      <c r="K47" s="2375">
        <v>1</v>
      </c>
      <c r="L47" s="2390" t="s">
        <v>3388</v>
      </c>
      <c r="M47" s="2390" t="s">
        <v>3389</v>
      </c>
      <c r="N47" s="2374"/>
      <c r="O47" s="2376">
        <v>41800000</v>
      </c>
      <c r="P47" s="15402"/>
      <c r="Q47" s="2377">
        <v>52410800</v>
      </c>
      <c r="R47" s="2377">
        <v>229343164</v>
      </c>
      <c r="S47" s="2377">
        <v>11986687</v>
      </c>
      <c r="T47" s="2374"/>
      <c r="U47" s="2374"/>
      <c r="V47" s="2374"/>
      <c r="W47" s="2374"/>
      <c r="X47" s="2379"/>
      <c r="Y47" s="2379"/>
      <c r="Z47" s="2379"/>
      <c r="AA47" s="2379"/>
      <c r="AB47" s="2379"/>
      <c r="AC47" s="2379"/>
      <c r="AD47" s="2379"/>
      <c r="AE47" s="2379"/>
      <c r="AF47" s="2379"/>
      <c r="AG47" s="2379"/>
      <c r="AH47" s="2379"/>
      <c r="AI47" s="2379"/>
      <c r="AJ47" s="2379"/>
      <c r="AK47" s="2379"/>
      <c r="AL47" s="2379"/>
      <c r="AM47" s="2379"/>
      <c r="AN47" s="2379"/>
      <c r="AO47" s="2379"/>
      <c r="AP47" s="2379"/>
      <c r="AQ47" s="2379"/>
      <c r="AR47" s="2379"/>
      <c r="AS47" s="2379"/>
      <c r="AT47" s="2390" t="s">
        <v>3390</v>
      </c>
      <c r="AU47" s="2374" t="s">
        <v>3391</v>
      </c>
      <c r="AV47" s="2378">
        <v>35</v>
      </c>
      <c r="AW47" s="2379"/>
      <c r="AX47" s="2379"/>
      <c r="AY47" s="2379"/>
      <c r="AZ47" s="2379"/>
      <c r="BA47" s="2379"/>
      <c r="BB47" s="2379"/>
      <c r="BC47" s="2379"/>
      <c r="BD47" s="15436"/>
      <c r="BE47" s="2374" t="s">
        <v>3387</v>
      </c>
      <c r="BF47" s="2372" t="s">
        <v>1509</v>
      </c>
      <c r="BG47" s="2374" t="s">
        <v>3387</v>
      </c>
      <c r="BH47" s="2378" t="s">
        <v>9639</v>
      </c>
      <c r="BI47" s="2380">
        <v>1</v>
      </c>
      <c r="BJ47" s="2368">
        <v>1</v>
      </c>
      <c r="BK47" s="15550"/>
      <c r="BL47" s="2390" t="s">
        <v>3388</v>
      </c>
      <c r="BM47" s="2390" t="s">
        <v>3389</v>
      </c>
      <c r="BN47" s="2374"/>
      <c r="BO47" s="2381">
        <v>5038000</v>
      </c>
      <c r="BP47" s="15540"/>
      <c r="BQ47" s="2370">
        <v>4231920</v>
      </c>
      <c r="BR47" s="2371">
        <f t="shared" si="0"/>
        <v>806080</v>
      </c>
      <c r="BS47" s="2371"/>
      <c r="BT47" s="2378"/>
      <c r="BU47" s="2378"/>
      <c r="BV47" s="2378"/>
      <c r="BW47" s="2378"/>
      <c r="BX47" s="2378"/>
      <c r="BY47" s="2378"/>
      <c r="BZ47" s="2378"/>
      <c r="CA47" s="2378"/>
      <c r="CB47" s="2378"/>
      <c r="CC47" s="2378"/>
      <c r="CD47" s="2378"/>
      <c r="CE47" s="2378"/>
      <c r="CF47" s="2378"/>
      <c r="CG47" s="2378"/>
      <c r="CH47" s="2378"/>
      <c r="CI47" s="2378"/>
      <c r="CJ47" s="2378"/>
      <c r="CK47" s="2378"/>
      <c r="CL47" s="2378"/>
      <c r="CM47" s="2378"/>
      <c r="CN47" s="2378"/>
      <c r="CO47" s="2378"/>
      <c r="CP47" s="2378"/>
      <c r="CQ47" s="2378"/>
      <c r="CR47" s="2378"/>
      <c r="CS47" s="2378"/>
      <c r="CT47" s="2390" t="s">
        <v>3390</v>
      </c>
      <c r="CU47" s="2374" t="s">
        <v>3391</v>
      </c>
      <c r="CV47" s="2378">
        <v>35</v>
      </c>
      <c r="CW47" s="2379"/>
      <c r="CX47" s="2379"/>
      <c r="CY47" s="2379"/>
      <c r="CZ47" s="2379"/>
      <c r="DA47" s="2379"/>
      <c r="DB47" s="2379"/>
      <c r="DC47" s="2379"/>
      <c r="DE47" s="3295"/>
      <c r="DF47" s="2379"/>
      <c r="DG47" s="2379"/>
      <c r="DH47" s="2379"/>
      <c r="DI47" s="2379"/>
      <c r="DJ47" s="3253"/>
      <c r="DK47" s="3295"/>
      <c r="DL47" s="2379"/>
      <c r="DM47" s="2379"/>
      <c r="DN47" s="3296"/>
      <c r="DO47" s="3363"/>
      <c r="DP47" s="3348"/>
      <c r="DQ47" s="3296"/>
      <c r="DR47" s="3348"/>
      <c r="DS47" s="3296"/>
      <c r="DT47" s="3348"/>
      <c r="DU47" s="2379"/>
      <c r="DV47" s="2379"/>
      <c r="DW47" s="2379"/>
      <c r="DX47" s="2379"/>
      <c r="DY47" s="2379"/>
      <c r="DZ47" s="3253"/>
      <c r="EA47" s="3295"/>
      <c r="EB47" s="2379"/>
      <c r="EC47" s="2379"/>
      <c r="ED47" s="2379"/>
      <c r="EE47" s="2379"/>
      <c r="EF47" s="2379"/>
      <c r="EG47" s="2379"/>
      <c r="EH47" s="2379"/>
      <c r="EI47" s="2379"/>
      <c r="EJ47" s="2379"/>
      <c r="EK47" s="2379"/>
      <c r="EL47" s="2379"/>
      <c r="EM47" s="2379"/>
      <c r="EN47" s="3296"/>
      <c r="EO47" s="3348"/>
      <c r="EP47" s="2379"/>
      <c r="EQ47" s="2379"/>
      <c r="ER47" s="2379"/>
      <c r="ES47" s="3253"/>
      <c r="ET47" s="3295"/>
      <c r="EU47" s="2379"/>
      <c r="EV47" s="2379"/>
      <c r="EW47" s="2379"/>
      <c r="EX47" s="3296"/>
    </row>
    <row r="48" spans="1:154" s="2373" customFormat="1" ht="15" customHeight="1" thickBot="1">
      <c r="A48" s="15443"/>
      <c r="B48" s="15434" t="s">
        <v>3328</v>
      </c>
      <c r="C48" s="15436"/>
      <c r="D48" s="15436"/>
      <c r="E48" s="15439"/>
      <c r="F48" s="765" t="s">
        <v>7722</v>
      </c>
      <c r="G48" s="3252" t="s">
        <v>3398</v>
      </c>
      <c r="H48" s="3272" t="s">
        <v>86</v>
      </c>
      <c r="I48" s="15480"/>
      <c r="J48" s="2374" t="s">
        <v>3330</v>
      </c>
      <c r="K48" s="2375">
        <v>1</v>
      </c>
      <c r="L48" s="2374" t="s">
        <v>3374</v>
      </c>
      <c r="M48" s="2385" t="s">
        <v>3305</v>
      </c>
      <c r="N48" s="2374"/>
      <c r="O48" s="2376">
        <v>41800000</v>
      </c>
      <c r="P48" s="15402"/>
      <c r="Q48" s="2377">
        <v>52410800</v>
      </c>
      <c r="R48" s="2377">
        <v>229343164</v>
      </c>
      <c r="S48" s="2377">
        <v>11986687</v>
      </c>
      <c r="T48" s="2374"/>
      <c r="U48" s="2374"/>
      <c r="V48" s="2374"/>
      <c r="W48" s="2374"/>
      <c r="X48" s="2379"/>
      <c r="Y48" s="2379"/>
      <c r="Z48" s="2379"/>
      <c r="AA48" s="2379"/>
      <c r="AB48" s="2379"/>
      <c r="AC48" s="2379"/>
      <c r="AD48" s="2379"/>
      <c r="AE48" s="2379"/>
      <c r="AF48" s="2379"/>
      <c r="AG48" s="2379"/>
      <c r="AH48" s="2379"/>
      <c r="AI48" s="2379"/>
      <c r="AJ48" s="2379"/>
      <c r="AK48" s="2379"/>
      <c r="AL48" s="2379"/>
      <c r="AM48" s="2379"/>
      <c r="AN48" s="2379"/>
      <c r="AO48" s="2379"/>
      <c r="AP48" s="2379"/>
      <c r="AQ48" s="2379"/>
      <c r="AR48" s="2379"/>
      <c r="AS48" s="2379"/>
      <c r="AT48" s="2391" t="s">
        <v>3287</v>
      </c>
      <c r="AU48" s="2374" t="s">
        <v>3288</v>
      </c>
      <c r="AV48" s="2378">
        <v>35</v>
      </c>
      <c r="AW48" s="2379"/>
      <c r="AX48" s="2379"/>
      <c r="AY48" s="2379"/>
      <c r="AZ48" s="2379"/>
      <c r="BA48" s="2379"/>
      <c r="BB48" s="2379"/>
      <c r="BC48" s="2379"/>
      <c r="BD48" s="15436"/>
      <c r="BE48" s="2374" t="s">
        <v>3330</v>
      </c>
      <c r="BF48" s="2372" t="s">
        <v>1509</v>
      </c>
      <c r="BG48" s="2374" t="s">
        <v>3330</v>
      </c>
      <c r="BH48" s="2380">
        <v>1</v>
      </c>
      <c r="BI48" s="2380">
        <v>1</v>
      </c>
      <c r="BJ48" s="2368">
        <v>1</v>
      </c>
      <c r="BK48" s="15550"/>
      <c r="BL48" s="2374" t="s">
        <v>3374</v>
      </c>
      <c r="BM48" s="2385" t="s">
        <v>3305</v>
      </c>
      <c r="BN48" s="2374"/>
      <c r="BO48" s="2381">
        <v>5038000</v>
      </c>
      <c r="BP48" s="15540"/>
      <c r="BQ48" s="2370">
        <v>4231920</v>
      </c>
      <c r="BR48" s="2371">
        <f t="shared" si="0"/>
        <v>806080</v>
      </c>
      <c r="BS48" s="2371"/>
      <c r="BT48" s="2384">
        <v>3.7679999999999998</v>
      </c>
      <c r="BU48" s="2384">
        <v>1795</v>
      </c>
      <c r="BV48" s="2384">
        <v>1972</v>
      </c>
      <c r="BW48" s="2384">
        <v>2676</v>
      </c>
      <c r="BX48" s="2384">
        <v>1091</v>
      </c>
      <c r="BY48" s="2384"/>
      <c r="BZ48" s="2384"/>
      <c r="CA48" s="2384">
        <v>3768</v>
      </c>
      <c r="CB48" s="2378"/>
      <c r="CC48" s="2378"/>
      <c r="CD48" s="2378"/>
      <c r="CE48" s="2378"/>
      <c r="CF48" s="2378"/>
      <c r="CG48" s="2378"/>
      <c r="CH48" s="2378"/>
      <c r="CI48" s="2378"/>
      <c r="CJ48" s="2378"/>
      <c r="CK48" s="2378"/>
      <c r="CL48" s="2378"/>
      <c r="CM48" s="2378"/>
      <c r="CN48" s="2378"/>
      <c r="CO48" s="2378"/>
      <c r="CP48" s="2378"/>
      <c r="CQ48" s="2378"/>
      <c r="CR48" s="2378"/>
      <c r="CS48" s="2378"/>
      <c r="CT48" s="2391" t="s">
        <v>3287</v>
      </c>
      <c r="CU48" s="2374" t="s">
        <v>3288</v>
      </c>
      <c r="CV48" s="2378">
        <v>35</v>
      </c>
      <c r="CW48" s="2379"/>
      <c r="CX48" s="2379"/>
      <c r="CY48" s="2379"/>
      <c r="CZ48" s="2379"/>
      <c r="DA48" s="2379"/>
      <c r="DB48" s="2379"/>
      <c r="DC48" s="2379"/>
      <c r="DE48" s="3295"/>
      <c r="DF48" s="2379"/>
      <c r="DG48" s="2379"/>
      <c r="DH48" s="2379"/>
      <c r="DI48" s="2379"/>
      <c r="DJ48" s="3253"/>
      <c r="DK48" s="3295"/>
      <c r="DL48" s="2379"/>
      <c r="DM48" s="2379"/>
      <c r="DN48" s="3296"/>
      <c r="DO48" s="3363"/>
      <c r="DP48" s="3348"/>
      <c r="DQ48" s="3296"/>
      <c r="DR48" s="3348"/>
      <c r="DS48" s="3296"/>
      <c r="DT48" s="3348"/>
      <c r="DU48" s="2379"/>
      <c r="DV48" s="2379"/>
      <c r="DW48" s="2379"/>
      <c r="DX48" s="2379"/>
      <c r="DY48" s="2379"/>
      <c r="DZ48" s="3253"/>
      <c r="EA48" s="3295"/>
      <c r="EB48" s="2379"/>
      <c r="EC48" s="2379"/>
      <c r="ED48" s="2379"/>
      <c r="EE48" s="2379"/>
      <c r="EF48" s="2379"/>
      <c r="EG48" s="2379"/>
      <c r="EH48" s="2379"/>
      <c r="EI48" s="2379"/>
      <c r="EJ48" s="2379"/>
      <c r="EK48" s="2379"/>
      <c r="EL48" s="2379"/>
      <c r="EM48" s="2379"/>
      <c r="EN48" s="3296"/>
      <c r="EO48" s="3348"/>
      <c r="EP48" s="2379"/>
      <c r="EQ48" s="2379"/>
      <c r="ER48" s="2379"/>
      <c r="ES48" s="3253"/>
      <c r="ET48" s="3295"/>
      <c r="EU48" s="2379"/>
      <c r="EV48" s="2379"/>
      <c r="EW48" s="2379"/>
      <c r="EX48" s="3296"/>
    </row>
    <row r="49" spans="1:154" s="2373" customFormat="1" ht="15" customHeight="1" thickBot="1">
      <c r="A49" s="15443"/>
      <c r="B49" s="15434"/>
      <c r="C49" s="15436"/>
      <c r="D49" s="15436"/>
      <c r="E49" s="15439"/>
      <c r="F49" s="765" t="s">
        <v>7723</v>
      </c>
      <c r="G49" s="3252" t="s">
        <v>3399</v>
      </c>
      <c r="H49" s="3272" t="s">
        <v>86</v>
      </c>
      <c r="I49" s="15480"/>
      <c r="J49" s="2374" t="s">
        <v>3400</v>
      </c>
      <c r="K49" s="2375">
        <v>1</v>
      </c>
      <c r="L49" s="2374" t="s">
        <v>3401</v>
      </c>
      <c r="M49" s="2385" t="s">
        <v>3337</v>
      </c>
      <c r="N49" s="2374"/>
      <c r="O49" s="2376">
        <v>41800000</v>
      </c>
      <c r="P49" s="15402"/>
      <c r="Q49" s="2377">
        <v>52410800</v>
      </c>
      <c r="R49" s="2377">
        <v>229343164</v>
      </c>
      <c r="S49" s="2377">
        <v>11986687</v>
      </c>
      <c r="T49" s="2378">
        <v>3257</v>
      </c>
      <c r="U49" s="2378">
        <v>1565</v>
      </c>
      <c r="V49" s="2378">
        <v>1692</v>
      </c>
      <c r="W49" s="2378">
        <v>2316</v>
      </c>
      <c r="X49" s="2378">
        <v>941</v>
      </c>
      <c r="Y49" s="2378"/>
      <c r="Z49" s="2378">
        <v>1245</v>
      </c>
      <c r="AA49" s="2378">
        <v>2012</v>
      </c>
      <c r="AB49" s="2378"/>
      <c r="AC49" s="2378"/>
      <c r="AD49" s="2378"/>
      <c r="AE49" s="2378"/>
      <c r="AF49" s="2378">
        <f>3257-534</f>
        <v>2723</v>
      </c>
      <c r="AG49" s="2378">
        <v>67</v>
      </c>
      <c r="AH49" s="2378">
        <v>452</v>
      </c>
      <c r="AI49" s="2378">
        <v>15</v>
      </c>
      <c r="AJ49" s="2378"/>
      <c r="AK49" s="2378"/>
      <c r="AL49" s="2378"/>
      <c r="AM49" s="2378"/>
      <c r="AN49" s="2378">
        <v>2922</v>
      </c>
      <c r="AO49" s="2378">
        <v>279</v>
      </c>
      <c r="AP49" s="2378">
        <v>49</v>
      </c>
      <c r="AQ49" s="2378">
        <v>7</v>
      </c>
      <c r="AR49" s="2378"/>
      <c r="AS49" s="2378"/>
      <c r="AT49" s="2378"/>
      <c r="AU49" s="2378"/>
      <c r="AV49" s="2378"/>
      <c r="AW49" s="2378"/>
      <c r="AX49" s="2378"/>
      <c r="AY49" s="2378"/>
      <c r="AZ49" s="2378"/>
      <c r="BA49" s="2378"/>
      <c r="BB49" s="2378"/>
      <c r="BC49" s="2378"/>
      <c r="BD49" s="15436"/>
      <c r="BE49" s="2374" t="s">
        <v>3400</v>
      </c>
      <c r="BF49" s="2372" t="s">
        <v>1509</v>
      </c>
      <c r="BG49" s="2374" t="s">
        <v>3400</v>
      </c>
      <c r="BH49" s="2378" t="s">
        <v>9642</v>
      </c>
      <c r="BI49" s="2380">
        <v>1</v>
      </c>
      <c r="BJ49" s="2368">
        <v>1</v>
      </c>
      <c r="BK49" s="15550"/>
      <c r="BL49" s="2374" t="s">
        <v>3401</v>
      </c>
      <c r="BM49" s="2385" t="s">
        <v>3337</v>
      </c>
      <c r="BN49" s="2374"/>
      <c r="BO49" s="2381">
        <v>5038000</v>
      </c>
      <c r="BP49" s="15540"/>
      <c r="BQ49" s="2370">
        <v>4231920</v>
      </c>
      <c r="BR49" s="2371">
        <f t="shared" si="0"/>
        <v>806080</v>
      </c>
      <c r="BS49" s="2371"/>
      <c r="BT49" s="2384">
        <v>3.7679999999999998</v>
      </c>
      <c r="BU49" s="2384">
        <v>1795</v>
      </c>
      <c r="BV49" s="2384">
        <v>1972</v>
      </c>
      <c r="BW49" s="2384">
        <v>2676</v>
      </c>
      <c r="BX49" s="2384">
        <v>1091</v>
      </c>
      <c r="BY49" s="2384"/>
      <c r="BZ49" s="2384"/>
      <c r="CA49" s="2384">
        <v>3768</v>
      </c>
      <c r="CB49" s="2378"/>
      <c r="CC49" s="2378"/>
      <c r="CD49" s="2378"/>
      <c r="CE49" s="2378"/>
      <c r="CF49" s="2378">
        <f>3257-534</f>
        <v>2723</v>
      </c>
      <c r="CG49" s="2378">
        <v>67</v>
      </c>
      <c r="CH49" s="2378">
        <v>452</v>
      </c>
      <c r="CI49" s="2378">
        <v>15</v>
      </c>
      <c r="CJ49" s="2378"/>
      <c r="CK49" s="2378"/>
      <c r="CL49" s="2378"/>
      <c r="CM49" s="2378"/>
      <c r="CN49" s="2378">
        <v>2922</v>
      </c>
      <c r="CO49" s="2378">
        <v>279</v>
      </c>
      <c r="CP49" s="2378">
        <v>49</v>
      </c>
      <c r="CQ49" s="2378">
        <v>7</v>
      </c>
      <c r="CR49" s="2378"/>
      <c r="CS49" s="2378"/>
      <c r="CT49" s="2378"/>
      <c r="CU49" s="2378"/>
      <c r="CV49" s="2378"/>
      <c r="CW49" s="2378"/>
      <c r="CX49" s="2378"/>
      <c r="CY49" s="2378"/>
      <c r="CZ49" s="2378"/>
      <c r="DA49" s="2378"/>
      <c r="DB49" s="2378"/>
      <c r="DC49" s="2378"/>
      <c r="DE49" s="3295"/>
      <c r="DF49" s="2379"/>
      <c r="DG49" s="2379"/>
      <c r="DH49" s="2379"/>
      <c r="DI49" s="2379"/>
      <c r="DJ49" s="3253"/>
      <c r="DK49" s="3295"/>
      <c r="DL49" s="2379"/>
      <c r="DM49" s="2379"/>
      <c r="DN49" s="3296"/>
      <c r="DO49" s="3363"/>
      <c r="DP49" s="3348"/>
      <c r="DQ49" s="3296"/>
      <c r="DR49" s="3348"/>
      <c r="DS49" s="3296"/>
      <c r="DT49" s="3348"/>
      <c r="DU49" s="2379"/>
      <c r="DV49" s="2379"/>
      <c r="DW49" s="2379"/>
      <c r="DX49" s="2379"/>
      <c r="DY49" s="2379"/>
      <c r="DZ49" s="3253"/>
      <c r="EA49" s="3295"/>
      <c r="EB49" s="2379"/>
      <c r="EC49" s="2379"/>
      <c r="ED49" s="2379"/>
      <c r="EE49" s="2379"/>
      <c r="EF49" s="2379"/>
      <c r="EG49" s="2379"/>
      <c r="EH49" s="2379"/>
      <c r="EI49" s="2379"/>
      <c r="EJ49" s="2379"/>
      <c r="EK49" s="2379"/>
      <c r="EL49" s="2379"/>
      <c r="EM49" s="2379"/>
      <c r="EN49" s="3296"/>
      <c r="EO49" s="3348"/>
      <c r="EP49" s="2379"/>
      <c r="EQ49" s="2379"/>
      <c r="ER49" s="2379"/>
      <c r="ES49" s="3253"/>
      <c r="ET49" s="3295"/>
      <c r="EU49" s="2379"/>
      <c r="EV49" s="2379"/>
      <c r="EW49" s="2379"/>
      <c r="EX49" s="3296"/>
    </row>
    <row r="50" spans="1:154" s="2373" customFormat="1" ht="15" customHeight="1" thickBot="1">
      <c r="A50" s="15443"/>
      <c r="B50" s="15434"/>
      <c r="C50" s="15436"/>
      <c r="D50" s="15436"/>
      <c r="E50" s="15439"/>
      <c r="F50" s="765" t="s">
        <v>7724</v>
      </c>
      <c r="G50" s="3252" t="s">
        <v>3402</v>
      </c>
      <c r="H50" s="3272" t="s">
        <v>86</v>
      </c>
      <c r="I50" s="15480"/>
      <c r="J50" s="2374" t="s">
        <v>3330</v>
      </c>
      <c r="K50" s="2375">
        <v>1</v>
      </c>
      <c r="L50" s="2374" t="s">
        <v>4110</v>
      </c>
      <c r="M50" s="2385" t="s">
        <v>3305</v>
      </c>
      <c r="N50" s="2379"/>
      <c r="O50" s="2376">
        <v>41800000</v>
      </c>
      <c r="P50" s="15402"/>
      <c r="Q50" s="2377">
        <v>52410800</v>
      </c>
      <c r="R50" s="2377">
        <v>229343164</v>
      </c>
      <c r="S50" s="2377">
        <v>11986687</v>
      </c>
      <c r="T50" s="2379"/>
      <c r="U50" s="2379"/>
      <c r="V50" s="2379"/>
      <c r="W50" s="2379"/>
      <c r="X50" s="2379"/>
      <c r="Y50" s="2379"/>
      <c r="Z50" s="2379"/>
      <c r="AA50" s="2379"/>
      <c r="AB50" s="2379"/>
      <c r="AC50" s="2379"/>
      <c r="AD50" s="2379"/>
      <c r="AE50" s="2379"/>
      <c r="AF50" s="2379"/>
      <c r="AG50" s="2379"/>
      <c r="AH50" s="2379"/>
      <c r="AI50" s="2379"/>
      <c r="AJ50" s="2379"/>
      <c r="AK50" s="2379"/>
      <c r="AL50" s="2379"/>
      <c r="AM50" s="2379"/>
      <c r="AN50" s="2379"/>
      <c r="AO50" s="2379"/>
      <c r="AP50" s="2379"/>
      <c r="AQ50" s="2379"/>
      <c r="AR50" s="2379"/>
      <c r="AS50" s="2379"/>
      <c r="AT50" s="2391" t="s">
        <v>3287</v>
      </c>
      <c r="AU50" s="2374" t="s">
        <v>3288</v>
      </c>
      <c r="AV50" s="2378">
        <v>35</v>
      </c>
      <c r="AW50" s="2379"/>
      <c r="AX50" s="2379"/>
      <c r="AY50" s="2379"/>
      <c r="AZ50" s="2379"/>
      <c r="BA50" s="2379"/>
      <c r="BB50" s="2379"/>
      <c r="BC50" s="2379"/>
      <c r="BD50" s="15436"/>
      <c r="BE50" s="2374" t="s">
        <v>3330</v>
      </c>
      <c r="BF50" s="2372" t="s">
        <v>1509</v>
      </c>
      <c r="BG50" s="2374" t="s">
        <v>3330</v>
      </c>
      <c r="BH50" s="2380">
        <v>1</v>
      </c>
      <c r="BI50" s="2380">
        <v>1</v>
      </c>
      <c r="BJ50" s="2368">
        <v>1</v>
      </c>
      <c r="BK50" s="15550"/>
      <c r="BL50" s="2374" t="s">
        <v>4110</v>
      </c>
      <c r="BM50" s="2385" t="s">
        <v>3305</v>
      </c>
      <c r="BN50" s="2379"/>
      <c r="BO50" s="2381">
        <v>5038000</v>
      </c>
      <c r="BP50" s="15540"/>
      <c r="BQ50" s="2370">
        <v>4231920</v>
      </c>
      <c r="BR50" s="2371">
        <f t="shared" si="0"/>
        <v>806080</v>
      </c>
      <c r="BS50" s="2371"/>
      <c r="BT50" s="2384">
        <v>3.7679999999999998</v>
      </c>
      <c r="BU50" s="2384">
        <v>1795</v>
      </c>
      <c r="BV50" s="2384">
        <v>1972</v>
      </c>
      <c r="BW50" s="2384">
        <v>2676</v>
      </c>
      <c r="BX50" s="2384">
        <v>1091</v>
      </c>
      <c r="BY50" s="2384"/>
      <c r="BZ50" s="2384"/>
      <c r="CA50" s="2384">
        <v>3768</v>
      </c>
      <c r="CB50" s="2378"/>
      <c r="CC50" s="2378"/>
      <c r="CD50" s="2378"/>
      <c r="CE50" s="2378"/>
      <c r="CF50" s="2378"/>
      <c r="CG50" s="2378"/>
      <c r="CH50" s="2378"/>
      <c r="CI50" s="2378"/>
      <c r="CJ50" s="2378"/>
      <c r="CK50" s="2378"/>
      <c r="CL50" s="2378"/>
      <c r="CM50" s="2378"/>
      <c r="CN50" s="2378"/>
      <c r="CO50" s="2378"/>
      <c r="CP50" s="2378"/>
      <c r="CQ50" s="2378"/>
      <c r="CR50" s="2378"/>
      <c r="CS50" s="2378"/>
      <c r="CT50" s="2391" t="s">
        <v>3287</v>
      </c>
      <c r="CU50" s="2374" t="s">
        <v>3288</v>
      </c>
      <c r="CV50" s="2378">
        <v>35</v>
      </c>
      <c r="CW50" s="2379"/>
      <c r="CX50" s="2379"/>
      <c r="CY50" s="2379"/>
      <c r="CZ50" s="2379"/>
      <c r="DA50" s="2379"/>
      <c r="DB50" s="2379"/>
      <c r="DC50" s="2379"/>
      <c r="DE50" s="3295"/>
      <c r="DF50" s="2379"/>
      <c r="DG50" s="2379"/>
      <c r="DH50" s="2379"/>
      <c r="DI50" s="2379"/>
      <c r="DJ50" s="3253"/>
      <c r="DK50" s="3295"/>
      <c r="DL50" s="2379"/>
      <c r="DM50" s="2379"/>
      <c r="DN50" s="3296"/>
      <c r="DO50" s="3363"/>
      <c r="DP50" s="3348"/>
      <c r="DQ50" s="3296"/>
      <c r="DR50" s="3348"/>
      <c r="DS50" s="3296"/>
      <c r="DT50" s="3348"/>
      <c r="DU50" s="2379"/>
      <c r="DV50" s="2379"/>
      <c r="DW50" s="2379"/>
      <c r="DX50" s="2379"/>
      <c r="DY50" s="2379"/>
      <c r="DZ50" s="3253"/>
      <c r="EA50" s="3295"/>
      <c r="EB50" s="2379"/>
      <c r="EC50" s="2379"/>
      <c r="ED50" s="2379"/>
      <c r="EE50" s="2379"/>
      <c r="EF50" s="2379"/>
      <c r="EG50" s="2379"/>
      <c r="EH50" s="2379"/>
      <c r="EI50" s="2379"/>
      <c r="EJ50" s="2379"/>
      <c r="EK50" s="2379"/>
      <c r="EL50" s="2379"/>
      <c r="EM50" s="2379"/>
      <c r="EN50" s="3296"/>
      <c r="EO50" s="3348"/>
      <c r="EP50" s="2379"/>
      <c r="EQ50" s="2379"/>
      <c r="ER50" s="2379"/>
      <c r="ES50" s="3253"/>
      <c r="ET50" s="3295"/>
      <c r="EU50" s="2379"/>
      <c r="EV50" s="2379"/>
      <c r="EW50" s="2379"/>
      <c r="EX50" s="3296"/>
    </row>
    <row r="51" spans="1:154" s="2373" customFormat="1" ht="15" customHeight="1" thickBot="1">
      <c r="A51" s="15443"/>
      <c r="B51" s="15434" t="s">
        <v>3347</v>
      </c>
      <c r="C51" s="15436"/>
      <c r="D51" s="15436"/>
      <c r="E51" s="15439"/>
      <c r="F51" s="765" t="s">
        <v>7725</v>
      </c>
      <c r="G51" s="3252" t="s">
        <v>3403</v>
      </c>
      <c r="H51" s="3272" t="s">
        <v>86</v>
      </c>
      <c r="I51" s="15480"/>
      <c r="J51" s="2379" t="s">
        <v>4100</v>
      </c>
      <c r="K51" s="2375">
        <v>1</v>
      </c>
      <c r="L51" s="2374" t="s">
        <v>4111</v>
      </c>
      <c r="M51" s="2382" t="s">
        <v>4112</v>
      </c>
      <c r="N51" s="2379"/>
      <c r="O51" s="2392">
        <v>41800000</v>
      </c>
      <c r="P51" s="15402"/>
      <c r="Q51" s="2393">
        <v>52410800</v>
      </c>
      <c r="R51" s="2393">
        <v>229343164</v>
      </c>
      <c r="S51" s="2394">
        <v>11986687</v>
      </c>
      <c r="T51" s="2379"/>
      <c r="U51" s="2379"/>
      <c r="V51" s="2379"/>
      <c r="W51" s="2379"/>
      <c r="X51" s="2379"/>
      <c r="Y51" s="2379"/>
      <c r="Z51" s="2379"/>
      <c r="AA51" s="2379"/>
      <c r="AB51" s="2379"/>
      <c r="AC51" s="2379"/>
      <c r="AD51" s="2379"/>
      <c r="AE51" s="2379"/>
      <c r="AF51" s="2379"/>
      <c r="AG51" s="2379"/>
      <c r="AH51" s="2379"/>
      <c r="AI51" s="2379"/>
      <c r="AJ51" s="2379"/>
      <c r="AK51" s="2379"/>
      <c r="AL51" s="2379"/>
      <c r="AM51" s="2379"/>
      <c r="AN51" s="2379"/>
      <c r="AO51" s="2379"/>
      <c r="AP51" s="2379"/>
      <c r="AQ51" s="2379"/>
      <c r="AR51" s="2379"/>
      <c r="AS51" s="2379"/>
      <c r="AT51" s="2390" t="s">
        <v>3390</v>
      </c>
      <c r="AU51" s="2374" t="s">
        <v>3391</v>
      </c>
      <c r="AV51" s="2378">
        <v>35</v>
      </c>
      <c r="AW51" s="2379"/>
      <c r="AX51" s="2379"/>
      <c r="AY51" s="2379"/>
      <c r="AZ51" s="2379"/>
      <c r="BA51" s="2379"/>
      <c r="BB51" s="2379"/>
      <c r="BC51" s="2379"/>
      <c r="BD51" s="15436"/>
      <c r="BE51" s="2379" t="s">
        <v>4100</v>
      </c>
      <c r="BF51" s="2372" t="s">
        <v>1509</v>
      </c>
      <c r="BG51" s="2379" t="s">
        <v>4100</v>
      </c>
      <c r="BH51" s="2378" t="s">
        <v>9639</v>
      </c>
      <c r="BI51" s="2380">
        <v>1</v>
      </c>
      <c r="BJ51" s="2368">
        <v>1</v>
      </c>
      <c r="BK51" s="15550"/>
      <c r="BL51" s="2374" t="s">
        <v>4111</v>
      </c>
      <c r="BM51" s="2382" t="s">
        <v>4112</v>
      </c>
      <c r="BN51" s="2379"/>
      <c r="BO51" s="2381">
        <v>5038000</v>
      </c>
      <c r="BP51" s="15540"/>
      <c r="BQ51" s="2370">
        <v>4231920</v>
      </c>
      <c r="BR51" s="2371">
        <f t="shared" si="0"/>
        <v>806080</v>
      </c>
      <c r="BS51" s="2371"/>
      <c r="BT51" s="2384">
        <v>3.7679999999999998</v>
      </c>
      <c r="BU51" s="2384">
        <v>1795</v>
      </c>
      <c r="BV51" s="2384">
        <v>1972</v>
      </c>
      <c r="BW51" s="2384">
        <v>2676</v>
      </c>
      <c r="BX51" s="2384">
        <v>1091</v>
      </c>
      <c r="BY51" s="2384"/>
      <c r="BZ51" s="2384"/>
      <c r="CA51" s="2384">
        <v>3768</v>
      </c>
      <c r="CB51" s="2378"/>
      <c r="CC51" s="2378"/>
      <c r="CD51" s="2378"/>
      <c r="CE51" s="2378"/>
      <c r="CF51" s="2378"/>
      <c r="CG51" s="2378"/>
      <c r="CH51" s="2378"/>
      <c r="CI51" s="2378"/>
      <c r="CJ51" s="2378"/>
      <c r="CK51" s="2378"/>
      <c r="CL51" s="2378"/>
      <c r="CM51" s="2378"/>
      <c r="CN51" s="2378"/>
      <c r="CO51" s="2378"/>
      <c r="CP51" s="2378"/>
      <c r="CQ51" s="2378"/>
      <c r="CR51" s="2378"/>
      <c r="CS51" s="2378"/>
      <c r="CT51" s="2390" t="s">
        <v>3390</v>
      </c>
      <c r="CU51" s="2374" t="s">
        <v>3391</v>
      </c>
      <c r="CV51" s="2378">
        <v>35</v>
      </c>
      <c r="CW51" s="2379"/>
      <c r="CX51" s="2379"/>
      <c r="CY51" s="2379"/>
      <c r="CZ51" s="2379"/>
      <c r="DA51" s="2379"/>
      <c r="DB51" s="2379"/>
      <c r="DC51" s="2379"/>
      <c r="DE51" s="3295"/>
      <c r="DF51" s="2379"/>
      <c r="DG51" s="2379"/>
      <c r="DH51" s="2379"/>
      <c r="DI51" s="2379"/>
      <c r="DJ51" s="3253"/>
      <c r="DK51" s="3295"/>
      <c r="DL51" s="2379"/>
      <c r="DM51" s="2379"/>
      <c r="DN51" s="3296"/>
      <c r="DO51" s="3363"/>
      <c r="DP51" s="3348"/>
      <c r="DQ51" s="3296"/>
      <c r="DR51" s="3348"/>
      <c r="DS51" s="3296"/>
      <c r="DT51" s="3348"/>
      <c r="DU51" s="2379"/>
      <c r="DV51" s="2379"/>
      <c r="DW51" s="2379"/>
      <c r="DX51" s="2379"/>
      <c r="DY51" s="2379"/>
      <c r="DZ51" s="3253"/>
      <c r="EA51" s="3295"/>
      <c r="EB51" s="2379"/>
      <c r="EC51" s="2379"/>
      <c r="ED51" s="2379"/>
      <c r="EE51" s="2379"/>
      <c r="EF51" s="2379"/>
      <c r="EG51" s="2379"/>
      <c r="EH51" s="2379"/>
      <c r="EI51" s="2379"/>
      <c r="EJ51" s="2379"/>
      <c r="EK51" s="2379"/>
      <c r="EL51" s="2379"/>
      <c r="EM51" s="2379"/>
      <c r="EN51" s="3296"/>
      <c r="EO51" s="3348"/>
      <c r="EP51" s="2379"/>
      <c r="EQ51" s="2379"/>
      <c r="ER51" s="2379"/>
      <c r="ES51" s="3253"/>
      <c r="ET51" s="3295"/>
      <c r="EU51" s="2379"/>
      <c r="EV51" s="2379"/>
      <c r="EW51" s="2379"/>
      <c r="EX51" s="3296"/>
    </row>
    <row r="52" spans="1:154" s="2373" customFormat="1" ht="15" customHeight="1" thickBot="1">
      <c r="A52" s="15443"/>
      <c r="B52" s="15434"/>
      <c r="C52" s="15436"/>
      <c r="D52" s="15436"/>
      <c r="E52" s="15439"/>
      <c r="F52" s="765" t="s">
        <v>7726</v>
      </c>
      <c r="G52" s="3253" t="s">
        <v>3404</v>
      </c>
      <c r="H52" s="3273" t="s">
        <v>86</v>
      </c>
      <c r="I52" s="15480"/>
      <c r="J52" s="2374" t="s">
        <v>4113</v>
      </c>
      <c r="K52" s="2375">
        <v>1</v>
      </c>
      <c r="L52" s="2374" t="s">
        <v>4115</v>
      </c>
      <c r="M52" s="2378" t="s">
        <v>4112</v>
      </c>
      <c r="N52" s="2379"/>
      <c r="O52" s="2392">
        <v>41800000</v>
      </c>
      <c r="P52" s="15402"/>
      <c r="Q52" s="2393">
        <v>52410800</v>
      </c>
      <c r="R52" s="2393">
        <v>229343164</v>
      </c>
      <c r="S52" s="2394">
        <v>11986687</v>
      </c>
      <c r="T52" s="2378">
        <v>128</v>
      </c>
      <c r="U52" s="2378">
        <v>48</v>
      </c>
      <c r="V52" s="2378">
        <v>80</v>
      </c>
      <c r="W52" s="2378">
        <v>128</v>
      </c>
      <c r="X52" s="2378"/>
      <c r="Y52" s="2378"/>
      <c r="Z52" s="2378">
        <v>18</v>
      </c>
      <c r="AA52" s="2378">
        <v>110</v>
      </c>
      <c r="AB52" s="2378"/>
      <c r="AC52" s="2378"/>
      <c r="AD52" s="2378"/>
      <c r="AE52" s="2378"/>
      <c r="AF52" s="2378">
        <v>128</v>
      </c>
      <c r="AG52" s="2378"/>
      <c r="AH52" s="2378"/>
      <c r="AI52" s="2378"/>
      <c r="AJ52" s="2378"/>
      <c r="AK52" s="2378"/>
      <c r="AL52" s="2378"/>
      <c r="AM52" s="2378"/>
      <c r="AN52" s="2378">
        <v>128</v>
      </c>
      <c r="AO52" s="2378"/>
      <c r="AP52" s="2378"/>
      <c r="AQ52" s="2378"/>
      <c r="AR52" s="2378"/>
      <c r="AS52" s="2378"/>
      <c r="AT52" s="2379"/>
      <c r="AU52" s="2379"/>
      <c r="AV52" s="2379"/>
      <c r="AW52" s="2379"/>
      <c r="AX52" s="2379"/>
      <c r="AY52" s="2379"/>
      <c r="AZ52" s="2379"/>
      <c r="BA52" s="2379"/>
      <c r="BB52" s="2379"/>
      <c r="BC52" s="2379"/>
      <c r="BD52" s="15436"/>
      <c r="BE52" s="2374" t="s">
        <v>4113</v>
      </c>
      <c r="BF52" s="2372" t="s">
        <v>1509</v>
      </c>
      <c r="BG52" s="2374" t="s">
        <v>4113</v>
      </c>
      <c r="BH52" s="2378" t="s">
        <v>9643</v>
      </c>
      <c r="BI52" s="2380">
        <v>1</v>
      </c>
      <c r="BJ52" s="2368">
        <v>1</v>
      </c>
      <c r="BK52" s="15550"/>
      <c r="BL52" s="2374" t="s">
        <v>4115</v>
      </c>
      <c r="BM52" s="2378" t="s">
        <v>4112</v>
      </c>
      <c r="BN52" s="2379"/>
      <c r="BO52" s="2381">
        <v>10000000</v>
      </c>
      <c r="BP52" s="15540"/>
      <c r="BQ52" s="2370">
        <v>8400000</v>
      </c>
      <c r="BR52" s="2371">
        <f t="shared" si="0"/>
        <v>1600000</v>
      </c>
      <c r="BS52" s="2371"/>
      <c r="BT52" s="2378">
        <v>128</v>
      </c>
      <c r="BU52" s="2378">
        <v>48</v>
      </c>
      <c r="BV52" s="2378">
        <v>80</v>
      </c>
      <c r="BW52" s="2378">
        <v>128</v>
      </c>
      <c r="BX52" s="2378"/>
      <c r="BY52" s="2378"/>
      <c r="BZ52" s="2378">
        <v>18</v>
      </c>
      <c r="CA52" s="2378">
        <v>110</v>
      </c>
      <c r="CB52" s="2378"/>
      <c r="CC52" s="2378"/>
      <c r="CD52" s="2378"/>
      <c r="CE52" s="2378"/>
      <c r="CF52" s="2378">
        <v>128</v>
      </c>
      <c r="CG52" s="2378"/>
      <c r="CH52" s="2378"/>
      <c r="CI52" s="2378"/>
      <c r="CJ52" s="2378"/>
      <c r="CK52" s="2378"/>
      <c r="CL52" s="2378"/>
      <c r="CM52" s="2378"/>
      <c r="CN52" s="2378">
        <v>128</v>
      </c>
      <c r="CO52" s="2378"/>
      <c r="CP52" s="2378"/>
      <c r="CQ52" s="2378"/>
      <c r="CR52" s="2378"/>
      <c r="CS52" s="2378"/>
      <c r="CT52" s="2379"/>
      <c r="CU52" s="2379"/>
      <c r="CV52" s="2379"/>
      <c r="CW52" s="2379"/>
      <c r="CX52" s="2379"/>
      <c r="CY52" s="2379"/>
      <c r="CZ52" s="2379"/>
      <c r="DA52" s="2379"/>
      <c r="DB52" s="2379"/>
      <c r="DC52" s="2379"/>
      <c r="DE52" s="3295"/>
      <c r="DF52" s="2379"/>
      <c r="DG52" s="2379"/>
      <c r="DH52" s="2379"/>
      <c r="DI52" s="2379"/>
      <c r="DJ52" s="3253"/>
      <c r="DK52" s="3295"/>
      <c r="DL52" s="2379"/>
      <c r="DM52" s="2379"/>
      <c r="DN52" s="3296"/>
      <c r="DO52" s="3363"/>
      <c r="DP52" s="3348"/>
      <c r="DQ52" s="3296"/>
      <c r="DR52" s="3348"/>
      <c r="DS52" s="3296"/>
      <c r="DT52" s="3348"/>
      <c r="DU52" s="2379"/>
      <c r="DV52" s="2379"/>
      <c r="DW52" s="2379"/>
      <c r="DX52" s="2379"/>
      <c r="DY52" s="2379"/>
      <c r="DZ52" s="3253"/>
      <c r="EA52" s="3295"/>
      <c r="EB52" s="2379"/>
      <c r="EC52" s="2379"/>
      <c r="ED52" s="2379"/>
      <c r="EE52" s="2379"/>
      <c r="EF52" s="2379"/>
      <c r="EG52" s="2379"/>
      <c r="EH52" s="2379"/>
      <c r="EI52" s="2379"/>
      <c r="EJ52" s="2379"/>
      <c r="EK52" s="2379"/>
      <c r="EL52" s="2379"/>
      <c r="EM52" s="2379"/>
      <c r="EN52" s="3296"/>
      <c r="EO52" s="3348"/>
      <c r="EP52" s="2379"/>
      <c r="EQ52" s="2379"/>
      <c r="ER52" s="2379"/>
      <c r="ES52" s="3253"/>
      <c r="ET52" s="3295"/>
      <c r="EU52" s="2379"/>
      <c r="EV52" s="2379"/>
      <c r="EW52" s="2379"/>
      <c r="EX52" s="3296"/>
    </row>
    <row r="53" spans="1:154" s="2373" customFormat="1" ht="15" customHeight="1" thickBot="1">
      <c r="A53" s="15444"/>
      <c r="B53" s="15450"/>
      <c r="C53" s="15437"/>
      <c r="D53" s="15437"/>
      <c r="E53" s="15440"/>
      <c r="F53" s="774" t="s">
        <v>7727</v>
      </c>
      <c r="G53" s="3254" t="s">
        <v>3405</v>
      </c>
      <c r="H53" s="3274" t="s">
        <v>86</v>
      </c>
      <c r="I53" s="15481"/>
      <c r="J53" s="2395" t="s">
        <v>4114</v>
      </c>
      <c r="K53" s="1762">
        <v>1</v>
      </c>
      <c r="L53" s="2395" t="s">
        <v>4116</v>
      </c>
      <c r="M53" s="2384" t="s">
        <v>4112</v>
      </c>
      <c r="N53" s="2396"/>
      <c r="O53" s="2397">
        <v>41800000</v>
      </c>
      <c r="P53" s="15403"/>
      <c r="Q53" s="2398">
        <v>52410800</v>
      </c>
      <c r="R53" s="2398">
        <v>229343164</v>
      </c>
      <c r="S53" s="2399">
        <v>11986687</v>
      </c>
      <c r="T53" s="2384">
        <v>128</v>
      </c>
      <c r="U53" s="2384">
        <v>48</v>
      </c>
      <c r="V53" s="2384">
        <v>80</v>
      </c>
      <c r="W53" s="2384">
        <v>128</v>
      </c>
      <c r="X53" s="2384"/>
      <c r="Y53" s="2384"/>
      <c r="Z53" s="2384">
        <v>18</v>
      </c>
      <c r="AA53" s="2384">
        <v>110</v>
      </c>
      <c r="AB53" s="2384"/>
      <c r="AC53" s="2384"/>
      <c r="AD53" s="2384"/>
      <c r="AE53" s="2384"/>
      <c r="AF53" s="2384">
        <v>128</v>
      </c>
      <c r="AG53" s="2384"/>
      <c r="AH53" s="2384"/>
      <c r="AI53" s="2384"/>
      <c r="AJ53" s="2384"/>
      <c r="AK53" s="2384"/>
      <c r="AL53" s="2384"/>
      <c r="AM53" s="2384"/>
      <c r="AN53" s="2384">
        <v>128</v>
      </c>
      <c r="AO53" s="2384"/>
      <c r="AP53" s="2384"/>
      <c r="AQ53" s="2384"/>
      <c r="AR53" s="2384"/>
      <c r="AS53" s="2384"/>
      <c r="AT53" s="2396"/>
      <c r="AU53" s="2396"/>
      <c r="AV53" s="2396"/>
      <c r="AW53" s="2396"/>
      <c r="AX53" s="2396"/>
      <c r="AY53" s="2396"/>
      <c r="AZ53" s="2396"/>
      <c r="BA53" s="2396"/>
      <c r="BB53" s="2396"/>
      <c r="BC53" s="2396"/>
      <c r="BD53" s="15437"/>
      <c r="BE53" s="2395" t="s">
        <v>4114</v>
      </c>
      <c r="BF53" s="2400" t="s">
        <v>1509</v>
      </c>
      <c r="BG53" s="2395" t="s">
        <v>4114</v>
      </c>
      <c r="BH53" s="2384" t="s">
        <v>9644</v>
      </c>
      <c r="BI53" s="2401">
        <v>1</v>
      </c>
      <c r="BJ53" s="2368">
        <v>1</v>
      </c>
      <c r="BK53" s="15551"/>
      <c r="BL53" s="2395" t="s">
        <v>4116</v>
      </c>
      <c r="BM53" s="2384" t="s">
        <v>4112</v>
      </c>
      <c r="BN53" s="2396"/>
      <c r="BO53" s="2402">
        <v>5038000</v>
      </c>
      <c r="BP53" s="15541"/>
      <c r="BQ53" s="2370">
        <v>4231920</v>
      </c>
      <c r="BR53" s="2371">
        <f t="shared" si="0"/>
        <v>806080</v>
      </c>
      <c r="BS53" s="2371"/>
      <c r="BT53" s="2378">
        <v>128</v>
      </c>
      <c r="BU53" s="2378">
        <v>48</v>
      </c>
      <c r="BV53" s="2378">
        <v>80</v>
      </c>
      <c r="BW53" s="2378">
        <v>128</v>
      </c>
      <c r="BX53" s="2378"/>
      <c r="BY53" s="2378"/>
      <c r="BZ53" s="2378">
        <v>18</v>
      </c>
      <c r="CA53" s="2378">
        <v>110</v>
      </c>
      <c r="CB53" s="2378"/>
      <c r="CC53" s="2378"/>
      <c r="CD53" s="2378"/>
      <c r="CE53" s="2378"/>
      <c r="CF53" s="2378">
        <v>128</v>
      </c>
      <c r="CG53" s="2378"/>
      <c r="CH53" s="2378"/>
      <c r="CI53" s="2378"/>
      <c r="CJ53" s="2378"/>
      <c r="CK53" s="2378"/>
      <c r="CL53" s="2378"/>
      <c r="CM53" s="2378"/>
      <c r="CN53" s="2378">
        <v>128</v>
      </c>
      <c r="CO53" s="2378"/>
      <c r="CP53" s="2378"/>
      <c r="CQ53" s="2378"/>
      <c r="CR53" s="2378"/>
      <c r="CS53" s="2378"/>
      <c r="CT53" s="2379"/>
      <c r="CU53" s="2379"/>
      <c r="CV53" s="2379"/>
      <c r="CW53" s="2379"/>
      <c r="CX53" s="2379"/>
      <c r="CY53" s="2379"/>
      <c r="CZ53" s="2379"/>
      <c r="DA53" s="2379"/>
      <c r="DB53" s="2379"/>
      <c r="DC53" s="2379"/>
      <c r="DE53" s="3317"/>
      <c r="DF53" s="2396"/>
      <c r="DG53" s="2396"/>
      <c r="DH53" s="2396"/>
      <c r="DI53" s="2396"/>
      <c r="DJ53" s="3332"/>
      <c r="DK53" s="3317"/>
      <c r="DL53" s="2396"/>
      <c r="DM53" s="2396"/>
      <c r="DN53" s="3318"/>
      <c r="DO53" s="3364"/>
      <c r="DP53" s="3349"/>
      <c r="DQ53" s="3318"/>
      <c r="DR53" s="3349"/>
      <c r="DS53" s="3318"/>
      <c r="DT53" s="3349"/>
      <c r="DU53" s="2396"/>
      <c r="DV53" s="2396"/>
      <c r="DW53" s="2396"/>
      <c r="DX53" s="2396"/>
      <c r="DY53" s="2396"/>
      <c r="DZ53" s="3332"/>
      <c r="EA53" s="3317"/>
      <c r="EB53" s="2396"/>
      <c r="EC53" s="2396"/>
      <c r="ED53" s="2396"/>
      <c r="EE53" s="2396"/>
      <c r="EF53" s="2396"/>
      <c r="EG53" s="2396"/>
      <c r="EH53" s="2396"/>
      <c r="EI53" s="2396"/>
      <c r="EJ53" s="2396"/>
      <c r="EK53" s="2396"/>
      <c r="EL53" s="2396"/>
      <c r="EM53" s="2396"/>
      <c r="EN53" s="3318"/>
      <c r="EO53" s="3349"/>
      <c r="EP53" s="2396"/>
      <c r="EQ53" s="2396"/>
      <c r="ER53" s="2396"/>
      <c r="ES53" s="3332"/>
      <c r="ET53" s="3317"/>
      <c r="EU53" s="2396"/>
      <c r="EV53" s="2396"/>
      <c r="EW53" s="2396"/>
      <c r="EX53" s="3318"/>
    </row>
    <row r="54" spans="1:154" s="2411" customFormat="1" ht="15" customHeight="1" thickBot="1">
      <c r="A54" s="15467" t="s">
        <v>8505</v>
      </c>
      <c r="B54" s="15470" t="s">
        <v>3281</v>
      </c>
      <c r="C54" s="15446" t="s">
        <v>3406</v>
      </c>
      <c r="D54" s="15446">
        <v>15.1</v>
      </c>
      <c r="E54" s="15446">
        <v>9.1999999999999993</v>
      </c>
      <c r="F54" s="1763" t="s">
        <v>7728</v>
      </c>
      <c r="G54" s="3255" t="s">
        <v>3407</v>
      </c>
      <c r="H54" s="3275" t="s">
        <v>86</v>
      </c>
      <c r="I54" s="15482">
        <v>12</v>
      </c>
      <c r="J54" s="2403" t="s">
        <v>4184</v>
      </c>
      <c r="K54" s="1764">
        <v>1</v>
      </c>
      <c r="L54" s="2403" t="s">
        <v>4117</v>
      </c>
      <c r="M54" s="2404" t="s">
        <v>3337</v>
      </c>
      <c r="N54" s="2403"/>
      <c r="O54" s="2405">
        <v>15239000</v>
      </c>
      <c r="P54" s="15484">
        <f>SUM(O54:O64)</f>
        <v>243824000</v>
      </c>
      <c r="Q54" s="2406">
        <v>52410800</v>
      </c>
      <c r="R54" s="2406">
        <v>229343164</v>
      </c>
      <c r="S54" s="2406">
        <v>14983358</v>
      </c>
      <c r="T54" s="2229">
        <v>10396</v>
      </c>
      <c r="U54" s="2229">
        <v>3688</v>
      </c>
      <c r="V54" s="2229">
        <v>6708</v>
      </c>
      <c r="W54" s="2229">
        <v>7374</v>
      </c>
      <c r="X54" s="2229">
        <v>3022</v>
      </c>
      <c r="Y54" s="2229"/>
      <c r="Z54" s="2229"/>
      <c r="AA54" s="2229"/>
      <c r="AB54" s="2229">
        <v>5190</v>
      </c>
      <c r="AC54" s="2229">
        <v>5206</v>
      </c>
      <c r="AD54" s="2229"/>
      <c r="AE54" s="2229"/>
      <c r="AF54" s="2229">
        <f>10396-AH54</f>
        <v>9185</v>
      </c>
      <c r="AG54" s="2229"/>
      <c r="AH54" s="2229">
        <v>1211</v>
      </c>
      <c r="AI54" s="2229"/>
      <c r="AJ54" s="2229"/>
      <c r="AK54" s="2229"/>
      <c r="AL54" s="2229"/>
      <c r="AM54" s="2229"/>
      <c r="AN54" s="2229">
        <v>9473</v>
      </c>
      <c r="AO54" s="2229">
        <v>760</v>
      </c>
      <c r="AP54" s="2229">
        <v>138</v>
      </c>
      <c r="AQ54" s="2229">
        <v>24</v>
      </c>
      <c r="AR54" s="2229"/>
      <c r="AS54" s="2229">
        <v>1</v>
      </c>
      <c r="AT54" s="2229"/>
      <c r="AU54" s="2229"/>
      <c r="AV54" s="2229"/>
      <c r="AW54" s="2229"/>
      <c r="AX54" s="2229"/>
      <c r="AY54" s="2229"/>
      <c r="AZ54" s="2229"/>
      <c r="BA54" s="2229"/>
      <c r="BB54" s="2229"/>
      <c r="BC54" s="2229"/>
      <c r="BD54" s="15446">
        <v>12</v>
      </c>
      <c r="BE54" s="2403" t="s">
        <v>4184</v>
      </c>
      <c r="BF54" s="2229" t="s">
        <v>1509</v>
      </c>
      <c r="BG54" s="2403" t="s">
        <v>4184</v>
      </c>
      <c r="BH54" s="2407" t="s">
        <v>9645</v>
      </c>
      <c r="BI54" s="2407">
        <v>1</v>
      </c>
      <c r="BJ54" s="2408">
        <v>1</v>
      </c>
      <c r="BK54" s="15552">
        <f>AVERAGE(BJ54:BJ64)</f>
        <v>0.90909090909090906</v>
      </c>
      <c r="BL54" s="2403" t="s">
        <v>4117</v>
      </c>
      <c r="BM54" s="2404" t="s">
        <v>3337</v>
      </c>
      <c r="BN54" s="2403"/>
      <c r="BO54" s="2409">
        <v>5038000</v>
      </c>
      <c r="BP54" s="15542">
        <f>SUM(BO54:BO64)</f>
        <v>55418000</v>
      </c>
      <c r="BQ54" s="2410">
        <v>4231920</v>
      </c>
      <c r="BR54" s="2409">
        <f t="shared" si="0"/>
        <v>806080</v>
      </c>
      <c r="BS54" s="2409"/>
      <c r="BT54" s="2234">
        <v>10396</v>
      </c>
      <c r="BU54" s="2234">
        <v>3688</v>
      </c>
      <c r="BV54" s="2234">
        <v>6708</v>
      </c>
      <c r="BW54" s="2234">
        <v>7374</v>
      </c>
      <c r="BX54" s="2234">
        <v>3022</v>
      </c>
      <c r="BY54" s="2234"/>
      <c r="BZ54" s="2234"/>
      <c r="CA54" s="2234"/>
      <c r="CB54" s="2234">
        <v>5190</v>
      </c>
      <c r="CC54" s="2234">
        <v>5206</v>
      </c>
      <c r="CD54" s="2234"/>
      <c r="CE54" s="2234"/>
      <c r="CF54" s="2234"/>
      <c r="CG54" s="2234"/>
      <c r="CH54" s="2234"/>
      <c r="CI54" s="2234"/>
      <c r="CJ54" s="2234"/>
      <c r="CK54" s="2234"/>
      <c r="CL54" s="2234"/>
      <c r="CM54" s="2234"/>
      <c r="CN54" s="2234">
        <v>9473</v>
      </c>
      <c r="CO54" s="2234">
        <v>760</v>
      </c>
      <c r="CP54" s="2234">
        <v>138</v>
      </c>
      <c r="CQ54" s="2234">
        <v>24</v>
      </c>
      <c r="CR54" s="2234"/>
      <c r="CS54" s="2234">
        <v>1</v>
      </c>
      <c r="CT54" s="2234"/>
      <c r="CU54" s="2234"/>
      <c r="CV54" s="2234"/>
      <c r="CW54" s="2234"/>
      <c r="CX54" s="2234"/>
      <c r="CY54" s="2234"/>
      <c r="CZ54" s="2234"/>
      <c r="DA54" s="2234"/>
      <c r="DB54" s="2234"/>
      <c r="DC54" s="2234"/>
      <c r="DE54" s="3314"/>
      <c r="DF54" s="3315"/>
      <c r="DG54" s="3315"/>
      <c r="DH54" s="3315"/>
      <c r="DI54" s="3315"/>
      <c r="DJ54" s="3333"/>
      <c r="DK54" s="3314"/>
      <c r="DL54" s="3315"/>
      <c r="DM54" s="3315"/>
      <c r="DN54" s="3316"/>
      <c r="DO54" s="3365"/>
      <c r="DP54" s="3350"/>
      <c r="DQ54" s="3316"/>
      <c r="DR54" s="3350"/>
      <c r="DS54" s="3316"/>
      <c r="DT54" s="3350"/>
      <c r="DU54" s="3315"/>
      <c r="DV54" s="3315"/>
      <c r="DW54" s="3315"/>
      <c r="DX54" s="3315"/>
      <c r="DY54" s="3315"/>
      <c r="DZ54" s="3333"/>
      <c r="EA54" s="3314"/>
      <c r="EB54" s="3315"/>
      <c r="EC54" s="3315"/>
      <c r="ED54" s="3315"/>
      <c r="EE54" s="3315"/>
      <c r="EF54" s="3315"/>
      <c r="EG54" s="3315"/>
      <c r="EH54" s="3315"/>
      <c r="EI54" s="3315"/>
      <c r="EJ54" s="3315"/>
      <c r="EK54" s="3315"/>
      <c r="EL54" s="3315"/>
      <c r="EM54" s="3315"/>
      <c r="EN54" s="3316"/>
      <c r="EO54" s="3350"/>
      <c r="EP54" s="3315"/>
      <c r="EQ54" s="3315"/>
      <c r="ER54" s="3315"/>
      <c r="ES54" s="3333"/>
      <c r="ET54" s="3314"/>
      <c r="EU54" s="3315"/>
      <c r="EV54" s="3315"/>
      <c r="EW54" s="3315"/>
      <c r="EX54" s="3316"/>
    </row>
    <row r="55" spans="1:154" s="2411" customFormat="1" ht="15" customHeight="1" thickBot="1">
      <c r="A55" s="15468"/>
      <c r="B55" s="15448"/>
      <c r="C55" s="15447"/>
      <c r="D55" s="15447"/>
      <c r="E55" s="15447"/>
      <c r="F55" s="2412" t="s">
        <v>7729</v>
      </c>
      <c r="G55" s="2421" t="s">
        <v>3408</v>
      </c>
      <c r="H55" s="3276" t="s">
        <v>86</v>
      </c>
      <c r="I55" s="15483"/>
      <c r="J55" s="2413" t="s">
        <v>3409</v>
      </c>
      <c r="K55" s="2414">
        <v>1</v>
      </c>
      <c r="L55" s="2413" t="s">
        <v>3410</v>
      </c>
      <c r="M55" s="2415" t="s">
        <v>3337</v>
      </c>
      <c r="N55" s="2413"/>
      <c r="O55" s="2416">
        <v>15239000</v>
      </c>
      <c r="P55" s="15485"/>
      <c r="Q55" s="2417">
        <v>52410800</v>
      </c>
      <c r="R55" s="2417">
        <v>229343164</v>
      </c>
      <c r="S55" s="2417">
        <v>14983358</v>
      </c>
      <c r="T55" s="2234">
        <v>5998</v>
      </c>
      <c r="U55" s="2234"/>
      <c r="V55" s="2234">
        <v>5998</v>
      </c>
      <c r="W55" s="2234">
        <v>4103</v>
      </c>
      <c r="X55" s="2234">
        <v>1895</v>
      </c>
      <c r="Y55" s="2234"/>
      <c r="Z55" s="2234"/>
      <c r="AA55" s="2418"/>
      <c r="AB55" s="2234">
        <v>1494</v>
      </c>
      <c r="AC55" s="2234">
        <v>1267</v>
      </c>
      <c r="AD55" s="2234">
        <v>1960</v>
      </c>
      <c r="AE55" s="2234">
        <v>1277</v>
      </c>
      <c r="AF55" s="2234"/>
      <c r="AG55" s="2234"/>
      <c r="AH55" s="2234"/>
      <c r="AI55" s="2234"/>
      <c r="AJ55" s="2234"/>
      <c r="AK55" s="2234"/>
      <c r="AL55" s="2234"/>
      <c r="AM55" s="2234"/>
      <c r="AN55" s="2234">
        <v>5588</v>
      </c>
      <c r="AO55" s="2234">
        <v>333</v>
      </c>
      <c r="AP55" s="2234">
        <v>75</v>
      </c>
      <c r="AQ55" s="2234">
        <v>1</v>
      </c>
      <c r="AR55" s="2234">
        <v>1</v>
      </c>
      <c r="AS55" s="2234"/>
      <c r="AT55" s="2234"/>
      <c r="AU55" s="2234"/>
      <c r="AV55" s="2234"/>
      <c r="AW55" s="2234"/>
      <c r="AX55" s="2234"/>
      <c r="AY55" s="2234"/>
      <c r="AZ55" s="2234"/>
      <c r="BA55" s="2234"/>
      <c r="BB55" s="2234"/>
      <c r="BC55" s="2234"/>
      <c r="BD55" s="15447"/>
      <c r="BE55" s="2413" t="s">
        <v>3409</v>
      </c>
      <c r="BF55" s="2419" t="s">
        <v>1509</v>
      </c>
      <c r="BG55" s="2413" t="s">
        <v>3409</v>
      </c>
      <c r="BH55" s="2420">
        <v>1</v>
      </c>
      <c r="BI55" s="2420">
        <v>1</v>
      </c>
      <c r="BJ55" s="2408">
        <v>1</v>
      </c>
      <c r="BK55" s="15553"/>
      <c r="BL55" s="2413" t="s">
        <v>3410</v>
      </c>
      <c r="BM55" s="2415" t="s">
        <v>3337</v>
      </c>
      <c r="BN55" s="2421"/>
      <c r="BO55" s="2238">
        <v>5038000</v>
      </c>
      <c r="BP55" s="15543"/>
      <c r="BQ55" s="2410">
        <v>4231920</v>
      </c>
      <c r="BR55" s="2409">
        <f t="shared" si="0"/>
        <v>806080</v>
      </c>
      <c r="BS55" s="2409"/>
      <c r="BT55" s="2234">
        <v>10396</v>
      </c>
      <c r="BU55" s="2234">
        <v>3688</v>
      </c>
      <c r="BV55" s="2234">
        <v>6708</v>
      </c>
      <c r="BW55" s="2234">
        <v>7374</v>
      </c>
      <c r="BX55" s="2234">
        <v>3022</v>
      </c>
      <c r="BY55" s="2234"/>
      <c r="BZ55" s="2234"/>
      <c r="CA55" s="2418"/>
      <c r="CB55" s="2234">
        <v>1494</v>
      </c>
      <c r="CC55" s="2234">
        <v>1267</v>
      </c>
      <c r="CD55" s="2234">
        <v>1960</v>
      </c>
      <c r="CE55" s="2234">
        <v>1277</v>
      </c>
      <c r="CF55" s="2234"/>
      <c r="CG55" s="2234"/>
      <c r="CH55" s="2234"/>
      <c r="CI55" s="2234"/>
      <c r="CJ55" s="2234"/>
      <c r="CK55" s="2234"/>
      <c r="CL55" s="2234"/>
      <c r="CM55" s="2234"/>
      <c r="CN55" s="2234">
        <v>5588</v>
      </c>
      <c r="CO55" s="2234">
        <v>333</v>
      </c>
      <c r="CP55" s="2234">
        <v>75</v>
      </c>
      <c r="CQ55" s="2234">
        <v>1</v>
      </c>
      <c r="CR55" s="2234">
        <v>1</v>
      </c>
      <c r="CS55" s="2234"/>
      <c r="CT55" s="2234"/>
      <c r="CU55" s="2234"/>
      <c r="CV55" s="2234"/>
      <c r="CW55" s="2234"/>
      <c r="CX55" s="2234"/>
      <c r="CY55" s="2234"/>
      <c r="CZ55" s="2234"/>
      <c r="DA55" s="2234"/>
      <c r="DB55" s="2234"/>
      <c r="DC55" s="2234"/>
      <c r="DE55" s="3297"/>
      <c r="DF55" s="2422"/>
      <c r="DG55" s="2422"/>
      <c r="DH55" s="2422"/>
      <c r="DI55" s="2422"/>
      <c r="DJ55" s="3334"/>
      <c r="DK55" s="3297"/>
      <c r="DL55" s="2422"/>
      <c r="DM55" s="2422"/>
      <c r="DN55" s="3298"/>
      <c r="DO55" s="3366"/>
      <c r="DP55" s="3351"/>
      <c r="DQ55" s="3298"/>
      <c r="DR55" s="3351"/>
      <c r="DS55" s="3298"/>
      <c r="DT55" s="3351"/>
      <c r="DU55" s="2422"/>
      <c r="DV55" s="2422"/>
      <c r="DW55" s="2422"/>
      <c r="DX55" s="2422"/>
      <c r="DY55" s="2422"/>
      <c r="DZ55" s="3334"/>
      <c r="EA55" s="3297"/>
      <c r="EB55" s="2422"/>
      <c r="EC55" s="2422"/>
      <c r="ED55" s="2422"/>
      <c r="EE55" s="2422"/>
      <c r="EF55" s="2422"/>
      <c r="EG55" s="2422"/>
      <c r="EH55" s="2422"/>
      <c r="EI55" s="2422"/>
      <c r="EJ55" s="2422"/>
      <c r="EK55" s="2422"/>
      <c r="EL55" s="2422"/>
      <c r="EM55" s="2422"/>
      <c r="EN55" s="3298"/>
      <c r="EO55" s="3351"/>
      <c r="EP55" s="2422"/>
      <c r="EQ55" s="2422"/>
      <c r="ER55" s="2422"/>
      <c r="ES55" s="3334"/>
      <c r="ET55" s="3297"/>
      <c r="EU55" s="2422"/>
      <c r="EV55" s="2422"/>
      <c r="EW55" s="2422"/>
      <c r="EX55" s="3298"/>
    </row>
    <row r="56" spans="1:154" s="2411" customFormat="1" ht="15" customHeight="1" thickBot="1">
      <c r="A56" s="15468"/>
      <c r="B56" s="15448"/>
      <c r="C56" s="15447"/>
      <c r="D56" s="15447"/>
      <c r="E56" s="15447"/>
      <c r="F56" s="2412" t="s">
        <v>7730</v>
      </c>
      <c r="G56" s="2421" t="s">
        <v>3411</v>
      </c>
      <c r="H56" s="3276" t="s">
        <v>86</v>
      </c>
      <c r="I56" s="15483"/>
      <c r="J56" s="2413" t="s">
        <v>3409</v>
      </c>
      <c r="K56" s="2414">
        <v>1</v>
      </c>
      <c r="L56" s="2413" t="s">
        <v>3412</v>
      </c>
      <c r="M56" s="2413"/>
      <c r="N56" s="2413"/>
      <c r="O56" s="2416">
        <v>30478000</v>
      </c>
      <c r="P56" s="15485"/>
      <c r="Q56" s="2417">
        <v>52410800</v>
      </c>
      <c r="R56" s="2417">
        <v>229343164</v>
      </c>
      <c r="S56" s="2417">
        <v>11986687</v>
      </c>
      <c r="T56" s="2234">
        <v>10396</v>
      </c>
      <c r="U56" s="2234">
        <v>3688</v>
      </c>
      <c r="V56" s="2234">
        <v>6708</v>
      </c>
      <c r="W56" s="2234">
        <v>7374</v>
      </c>
      <c r="X56" s="2234">
        <v>3022</v>
      </c>
      <c r="Y56" s="2234"/>
      <c r="Z56" s="2234"/>
      <c r="AA56" s="2234"/>
      <c r="AB56" s="2234">
        <v>5190</v>
      </c>
      <c r="AC56" s="2234">
        <v>5206</v>
      </c>
      <c r="AD56" s="2234"/>
      <c r="AE56" s="2234"/>
      <c r="AF56" s="2234">
        <f>10396-AH56</f>
        <v>9185</v>
      </c>
      <c r="AG56" s="2234"/>
      <c r="AH56" s="2234">
        <v>1211</v>
      </c>
      <c r="AI56" s="2234"/>
      <c r="AJ56" s="2234"/>
      <c r="AK56" s="2234"/>
      <c r="AL56" s="2234"/>
      <c r="AM56" s="2234"/>
      <c r="AN56" s="2234">
        <v>9473</v>
      </c>
      <c r="AO56" s="2234">
        <v>760</v>
      </c>
      <c r="AP56" s="2234">
        <v>138</v>
      </c>
      <c r="AQ56" s="2234">
        <v>24</v>
      </c>
      <c r="AR56" s="2234"/>
      <c r="AS56" s="2234">
        <v>1</v>
      </c>
      <c r="AT56" s="2422"/>
      <c r="AU56" s="2422"/>
      <c r="AV56" s="2422"/>
      <c r="AW56" s="2422"/>
      <c r="AX56" s="2422"/>
      <c r="AY56" s="2422"/>
      <c r="AZ56" s="2422"/>
      <c r="BA56" s="2422"/>
      <c r="BB56" s="2422"/>
      <c r="BC56" s="2422"/>
      <c r="BD56" s="15447"/>
      <c r="BE56" s="2413" t="s">
        <v>3409</v>
      </c>
      <c r="BF56" s="2419" t="s">
        <v>1509</v>
      </c>
      <c r="BG56" s="2413" t="s">
        <v>3409</v>
      </c>
      <c r="BH56" s="2420">
        <v>1</v>
      </c>
      <c r="BI56" s="2420">
        <v>1</v>
      </c>
      <c r="BJ56" s="2408">
        <v>1</v>
      </c>
      <c r="BK56" s="15553"/>
      <c r="BL56" s="2413" t="s">
        <v>3412</v>
      </c>
      <c r="BM56" s="2413"/>
      <c r="BN56" s="2421"/>
      <c r="BO56" s="2238">
        <v>5038000</v>
      </c>
      <c r="BP56" s="15543"/>
      <c r="BQ56" s="2410">
        <v>4231920</v>
      </c>
      <c r="BR56" s="2409">
        <f t="shared" si="0"/>
        <v>806080</v>
      </c>
      <c r="BS56" s="2409"/>
      <c r="BT56" s="2234">
        <v>10396</v>
      </c>
      <c r="BU56" s="2234">
        <v>3688</v>
      </c>
      <c r="BV56" s="2234">
        <v>6708</v>
      </c>
      <c r="BW56" s="2234">
        <v>7374</v>
      </c>
      <c r="BX56" s="2234">
        <v>3022</v>
      </c>
      <c r="BY56" s="2234"/>
      <c r="BZ56" s="2234"/>
      <c r="CA56" s="2234"/>
      <c r="CB56" s="2234">
        <v>5190</v>
      </c>
      <c r="CC56" s="2234">
        <v>5206</v>
      </c>
      <c r="CD56" s="2234"/>
      <c r="CE56" s="2234"/>
      <c r="CF56" s="2234">
        <f>10396-CH56</f>
        <v>10396</v>
      </c>
      <c r="CG56" s="2234"/>
      <c r="CH56" s="2234"/>
      <c r="CI56" s="2234"/>
      <c r="CJ56" s="2234"/>
      <c r="CK56" s="2234"/>
      <c r="CL56" s="2234"/>
      <c r="CM56" s="2234"/>
      <c r="CN56" s="2234">
        <v>9473</v>
      </c>
      <c r="CO56" s="2234">
        <v>760</v>
      </c>
      <c r="CP56" s="2234">
        <v>138</v>
      </c>
      <c r="CQ56" s="2234">
        <v>24</v>
      </c>
      <c r="CR56" s="2234"/>
      <c r="CS56" s="2234">
        <v>1</v>
      </c>
      <c r="CT56" s="2422"/>
      <c r="CU56" s="2422"/>
      <c r="CV56" s="2422"/>
      <c r="CW56" s="2422"/>
      <c r="CX56" s="2422"/>
      <c r="CY56" s="2422"/>
      <c r="CZ56" s="2422"/>
      <c r="DA56" s="2422"/>
      <c r="DB56" s="2422"/>
      <c r="DC56" s="2422"/>
      <c r="DE56" s="3297"/>
      <c r="DF56" s="2422"/>
      <c r="DG56" s="2422"/>
      <c r="DH56" s="2422"/>
      <c r="DI56" s="2422"/>
      <c r="DJ56" s="3334"/>
      <c r="DK56" s="3297"/>
      <c r="DL56" s="2422"/>
      <c r="DM56" s="2422"/>
      <c r="DN56" s="3298"/>
      <c r="DO56" s="3366"/>
      <c r="DP56" s="3351"/>
      <c r="DQ56" s="3298"/>
      <c r="DR56" s="3351"/>
      <c r="DS56" s="3298"/>
      <c r="DT56" s="3351"/>
      <c r="DU56" s="2422"/>
      <c r="DV56" s="2422"/>
      <c r="DW56" s="2422"/>
      <c r="DX56" s="2422"/>
      <c r="DY56" s="2422"/>
      <c r="DZ56" s="3334"/>
      <c r="EA56" s="3297"/>
      <c r="EB56" s="2422"/>
      <c r="EC56" s="2422"/>
      <c r="ED56" s="2422"/>
      <c r="EE56" s="2422"/>
      <c r="EF56" s="2422"/>
      <c r="EG56" s="2422"/>
      <c r="EH56" s="2422"/>
      <c r="EI56" s="2422"/>
      <c r="EJ56" s="2422"/>
      <c r="EK56" s="2422"/>
      <c r="EL56" s="2422"/>
      <c r="EM56" s="2422"/>
      <c r="EN56" s="3298"/>
      <c r="EO56" s="3351"/>
      <c r="EP56" s="2422"/>
      <c r="EQ56" s="2422"/>
      <c r="ER56" s="2422"/>
      <c r="ES56" s="3334"/>
      <c r="ET56" s="3297"/>
      <c r="EU56" s="2422"/>
      <c r="EV56" s="2422"/>
      <c r="EW56" s="2422"/>
      <c r="EX56" s="3298"/>
    </row>
    <row r="57" spans="1:154" s="2411" customFormat="1" ht="15" customHeight="1" thickBot="1">
      <c r="A57" s="15468"/>
      <c r="B57" s="15448" t="s">
        <v>3309</v>
      </c>
      <c r="C57" s="15447"/>
      <c r="D57" s="15447"/>
      <c r="E57" s="15447"/>
      <c r="F57" s="2412" t="s">
        <v>7731</v>
      </c>
      <c r="G57" s="2421" t="s">
        <v>3392</v>
      </c>
      <c r="H57" s="3276" t="s">
        <v>86</v>
      </c>
      <c r="I57" s="15483"/>
      <c r="J57" s="2413" t="s">
        <v>3413</v>
      </c>
      <c r="K57" s="2414">
        <v>1</v>
      </c>
      <c r="L57" s="2413" t="s">
        <v>3414</v>
      </c>
      <c r="M57" s="2413"/>
      <c r="N57" s="2413"/>
      <c r="O57" s="2416">
        <v>30478000</v>
      </c>
      <c r="P57" s="15485"/>
      <c r="Q57" s="2417">
        <v>52410800</v>
      </c>
      <c r="R57" s="2417">
        <v>229343164</v>
      </c>
      <c r="S57" s="2417">
        <v>11986687</v>
      </c>
      <c r="T57" s="2413"/>
      <c r="U57" s="2413"/>
      <c r="V57" s="2413"/>
      <c r="W57" s="2413"/>
      <c r="X57" s="2422"/>
      <c r="Y57" s="2422"/>
      <c r="Z57" s="2422"/>
      <c r="AA57" s="2422"/>
      <c r="AB57" s="2422"/>
      <c r="AC57" s="2422"/>
      <c r="AD57" s="2422"/>
      <c r="AE57" s="2422"/>
      <c r="AF57" s="2422"/>
      <c r="AG57" s="2422"/>
      <c r="AH57" s="2422"/>
      <c r="AI57" s="2422"/>
      <c r="AJ57" s="2422"/>
      <c r="AK57" s="2422"/>
      <c r="AL57" s="2422"/>
      <c r="AM57" s="2422"/>
      <c r="AN57" s="2422"/>
      <c r="AO57" s="2422"/>
      <c r="AP57" s="2422"/>
      <c r="AQ57" s="2422"/>
      <c r="AR57" s="2422"/>
      <c r="AS57" s="2422"/>
      <c r="AT57" s="2423" t="s">
        <v>2191</v>
      </c>
      <c r="AU57" s="2415" t="s">
        <v>4118</v>
      </c>
      <c r="AV57" s="2234">
        <v>41</v>
      </c>
      <c r="AW57" s="2422"/>
      <c r="AX57" s="2422"/>
      <c r="AY57" s="2422"/>
      <c r="AZ57" s="2422"/>
      <c r="BA57" s="2422"/>
      <c r="BB57" s="2422"/>
      <c r="BC57" s="2422"/>
      <c r="BD57" s="15447"/>
      <c r="BE57" s="2413" t="s">
        <v>3413</v>
      </c>
      <c r="BF57" s="2419" t="s">
        <v>1509</v>
      </c>
      <c r="BG57" s="2413" t="s">
        <v>3413</v>
      </c>
      <c r="BH57" s="2420">
        <v>1</v>
      </c>
      <c r="BI57" s="2420">
        <v>1</v>
      </c>
      <c r="BJ57" s="2408">
        <v>1</v>
      </c>
      <c r="BK57" s="15553"/>
      <c r="BL57" s="2413" t="s">
        <v>3414</v>
      </c>
      <c r="BM57" s="2413"/>
      <c r="BN57" s="2421"/>
      <c r="BO57" s="2238">
        <v>5038000</v>
      </c>
      <c r="BP57" s="15543"/>
      <c r="BQ57" s="2410">
        <v>4231920</v>
      </c>
      <c r="BR57" s="2409">
        <f t="shared" si="0"/>
        <v>806080</v>
      </c>
      <c r="BS57" s="2409"/>
      <c r="BT57" s="2234"/>
      <c r="BU57" s="2234"/>
      <c r="BV57" s="2234"/>
      <c r="BW57" s="2234"/>
      <c r="BX57" s="2234"/>
      <c r="BY57" s="2234"/>
      <c r="BZ57" s="2234"/>
      <c r="CA57" s="2234"/>
      <c r="CB57" s="2234"/>
      <c r="CC57" s="2234"/>
      <c r="CD57" s="2234"/>
      <c r="CE57" s="2234"/>
      <c r="CF57" s="2234"/>
      <c r="CG57" s="2234"/>
      <c r="CH57" s="2234"/>
      <c r="CI57" s="2234"/>
      <c r="CJ57" s="2234"/>
      <c r="CK57" s="2234"/>
      <c r="CL57" s="2234"/>
      <c r="CM57" s="2234"/>
      <c r="CN57" s="2234"/>
      <c r="CO57" s="2234"/>
      <c r="CP57" s="2234"/>
      <c r="CQ57" s="2234"/>
      <c r="CR57" s="2234"/>
      <c r="CS57" s="2234"/>
      <c r="CT57" s="2423" t="s">
        <v>2191</v>
      </c>
      <c r="CU57" s="2415" t="s">
        <v>4118</v>
      </c>
      <c r="CV57" s="2234">
        <v>41</v>
      </c>
      <c r="CW57" s="2422"/>
      <c r="CX57" s="2422"/>
      <c r="CY57" s="2422"/>
      <c r="CZ57" s="2422"/>
      <c r="DA57" s="2422"/>
      <c r="DB57" s="2422"/>
      <c r="DC57" s="2422"/>
      <c r="DE57" s="3297"/>
      <c r="DF57" s="2422"/>
      <c r="DG57" s="2422"/>
      <c r="DH57" s="2422"/>
      <c r="DI57" s="2422"/>
      <c r="DJ57" s="3334"/>
      <c r="DK57" s="3297"/>
      <c r="DL57" s="2422"/>
      <c r="DM57" s="2422"/>
      <c r="DN57" s="3298"/>
      <c r="DO57" s="3366"/>
      <c r="DP57" s="3351"/>
      <c r="DQ57" s="3298"/>
      <c r="DR57" s="3351"/>
      <c r="DS57" s="3298"/>
      <c r="DT57" s="3351"/>
      <c r="DU57" s="2422"/>
      <c r="DV57" s="2422"/>
      <c r="DW57" s="2422"/>
      <c r="DX57" s="2422"/>
      <c r="DY57" s="2422"/>
      <c r="DZ57" s="3334"/>
      <c r="EA57" s="3297"/>
      <c r="EB57" s="2422"/>
      <c r="EC57" s="2422"/>
      <c r="ED57" s="2422"/>
      <c r="EE57" s="2422"/>
      <c r="EF57" s="2422"/>
      <c r="EG57" s="2422"/>
      <c r="EH57" s="2422"/>
      <c r="EI57" s="2422"/>
      <c r="EJ57" s="2422"/>
      <c r="EK57" s="2422"/>
      <c r="EL57" s="2422"/>
      <c r="EM57" s="2422"/>
      <c r="EN57" s="3298"/>
      <c r="EO57" s="3351"/>
      <c r="EP57" s="2422"/>
      <c r="EQ57" s="2422"/>
      <c r="ER57" s="2422"/>
      <c r="ES57" s="3334"/>
      <c r="ET57" s="3297"/>
      <c r="EU57" s="2422"/>
      <c r="EV57" s="2422"/>
      <c r="EW57" s="2422"/>
      <c r="EX57" s="3298"/>
    </row>
    <row r="58" spans="1:154" s="2411" customFormat="1" ht="15" customHeight="1" thickBot="1">
      <c r="A58" s="15468"/>
      <c r="B58" s="15448"/>
      <c r="C58" s="15447"/>
      <c r="D58" s="15447"/>
      <c r="E58" s="15447"/>
      <c r="F58" s="2412" t="s">
        <v>7732</v>
      </c>
      <c r="G58" s="2421" t="s">
        <v>3396</v>
      </c>
      <c r="H58" s="3276" t="s">
        <v>86</v>
      </c>
      <c r="I58" s="15483"/>
      <c r="J58" s="2413" t="s">
        <v>3413</v>
      </c>
      <c r="K58" s="2414">
        <v>1</v>
      </c>
      <c r="L58" s="2413" t="s">
        <v>3414</v>
      </c>
      <c r="M58" s="2413"/>
      <c r="N58" s="2413"/>
      <c r="O58" s="2416">
        <v>30478000</v>
      </c>
      <c r="P58" s="15485"/>
      <c r="Q58" s="2417">
        <v>52410800</v>
      </c>
      <c r="R58" s="2417">
        <v>229343164</v>
      </c>
      <c r="S58" s="2417">
        <v>11986687</v>
      </c>
      <c r="T58" s="2413"/>
      <c r="U58" s="2413"/>
      <c r="V58" s="2413"/>
      <c r="W58" s="2413"/>
      <c r="X58" s="2422"/>
      <c r="Y58" s="2422"/>
      <c r="Z58" s="2422"/>
      <c r="AA58" s="2422"/>
      <c r="AB58" s="2422"/>
      <c r="AC58" s="2422"/>
      <c r="AD58" s="2422"/>
      <c r="AE58" s="2422"/>
      <c r="AF58" s="2422"/>
      <c r="AG58" s="2422"/>
      <c r="AH58" s="2422"/>
      <c r="AI58" s="2422"/>
      <c r="AJ58" s="2422"/>
      <c r="AK58" s="2422"/>
      <c r="AL58" s="2422"/>
      <c r="AM58" s="2422"/>
      <c r="AN58" s="2422"/>
      <c r="AO58" s="2422"/>
      <c r="AP58" s="2422"/>
      <c r="AQ58" s="2422"/>
      <c r="AR58" s="2422"/>
      <c r="AS58" s="2422"/>
      <c r="AT58" s="2423" t="s">
        <v>2191</v>
      </c>
      <c r="AU58" s="2415" t="s">
        <v>3415</v>
      </c>
      <c r="AV58" s="2234">
        <v>41</v>
      </c>
      <c r="AW58" s="2422"/>
      <c r="AX58" s="2422"/>
      <c r="AY58" s="2422"/>
      <c r="AZ58" s="2422"/>
      <c r="BA58" s="2422"/>
      <c r="BB58" s="2422"/>
      <c r="BC58" s="2422"/>
      <c r="BD58" s="15447"/>
      <c r="BE58" s="2413" t="s">
        <v>3413</v>
      </c>
      <c r="BF58" s="2419" t="s">
        <v>1509</v>
      </c>
      <c r="BG58" s="2413" t="s">
        <v>3413</v>
      </c>
      <c r="BH58" s="2420">
        <v>1</v>
      </c>
      <c r="BI58" s="2420">
        <v>1</v>
      </c>
      <c r="BJ58" s="2408">
        <v>1</v>
      </c>
      <c r="BK58" s="15553"/>
      <c r="BL58" s="2413" t="s">
        <v>3414</v>
      </c>
      <c r="BM58" s="2413"/>
      <c r="BN58" s="2421"/>
      <c r="BO58" s="2238">
        <v>5038000</v>
      </c>
      <c r="BP58" s="15543"/>
      <c r="BQ58" s="2410">
        <v>4231920</v>
      </c>
      <c r="BR58" s="2409">
        <f t="shared" si="0"/>
        <v>806080</v>
      </c>
      <c r="BS58" s="2409"/>
      <c r="BT58" s="2234"/>
      <c r="BU58" s="2234"/>
      <c r="BV58" s="2234"/>
      <c r="BW58" s="2234"/>
      <c r="BX58" s="2234"/>
      <c r="BY58" s="2234"/>
      <c r="BZ58" s="2234"/>
      <c r="CA58" s="2234"/>
      <c r="CB58" s="2234"/>
      <c r="CC58" s="2234"/>
      <c r="CD58" s="2234"/>
      <c r="CE58" s="2234"/>
      <c r="CF58" s="2234"/>
      <c r="CG58" s="2234"/>
      <c r="CH58" s="2234"/>
      <c r="CI58" s="2234"/>
      <c r="CJ58" s="2234"/>
      <c r="CK58" s="2234"/>
      <c r="CL58" s="2234"/>
      <c r="CM58" s="2234"/>
      <c r="CN58" s="2234"/>
      <c r="CO58" s="2234"/>
      <c r="CP58" s="2234"/>
      <c r="CQ58" s="2234"/>
      <c r="CR58" s="2234"/>
      <c r="CS58" s="2234"/>
      <c r="CT58" s="2423" t="s">
        <v>2191</v>
      </c>
      <c r="CU58" s="2415" t="s">
        <v>3415</v>
      </c>
      <c r="CV58" s="2234">
        <v>41</v>
      </c>
      <c r="CW58" s="2422"/>
      <c r="CX58" s="2422"/>
      <c r="CY58" s="2422"/>
      <c r="CZ58" s="2422"/>
      <c r="DA58" s="2422"/>
      <c r="DB58" s="2422"/>
      <c r="DC58" s="2422"/>
      <c r="DE58" s="3297"/>
      <c r="DF58" s="2422"/>
      <c r="DG58" s="2422"/>
      <c r="DH58" s="2422"/>
      <c r="DI58" s="2422"/>
      <c r="DJ58" s="3334"/>
      <c r="DK58" s="3297"/>
      <c r="DL58" s="2422"/>
      <c r="DM58" s="2422"/>
      <c r="DN58" s="3298"/>
      <c r="DO58" s="3366"/>
      <c r="DP58" s="3351"/>
      <c r="DQ58" s="3298"/>
      <c r="DR58" s="3351"/>
      <c r="DS58" s="3298"/>
      <c r="DT58" s="3351"/>
      <c r="DU58" s="2422"/>
      <c r="DV58" s="2422"/>
      <c r="DW58" s="2422"/>
      <c r="DX58" s="2422"/>
      <c r="DY58" s="2422"/>
      <c r="DZ58" s="3334"/>
      <c r="EA58" s="3297"/>
      <c r="EB58" s="2422"/>
      <c r="EC58" s="2422"/>
      <c r="ED58" s="2422"/>
      <c r="EE58" s="2422"/>
      <c r="EF58" s="2422"/>
      <c r="EG58" s="2422"/>
      <c r="EH58" s="2422"/>
      <c r="EI58" s="2422"/>
      <c r="EJ58" s="2422"/>
      <c r="EK58" s="2422"/>
      <c r="EL58" s="2422"/>
      <c r="EM58" s="2422"/>
      <c r="EN58" s="3298"/>
      <c r="EO58" s="3351"/>
      <c r="EP58" s="2422"/>
      <c r="EQ58" s="2422"/>
      <c r="ER58" s="2422"/>
      <c r="ES58" s="3334"/>
      <c r="ET58" s="3297"/>
      <c r="EU58" s="2422"/>
      <c r="EV58" s="2422"/>
      <c r="EW58" s="2422"/>
      <c r="EX58" s="3298"/>
    </row>
    <row r="59" spans="1:154" s="2411" customFormat="1" ht="15" customHeight="1" thickBot="1">
      <c r="A59" s="15468"/>
      <c r="B59" s="15448" t="s">
        <v>3328</v>
      </c>
      <c r="C59" s="15447"/>
      <c r="D59" s="15447"/>
      <c r="E59" s="15447"/>
      <c r="F59" s="2412" t="s">
        <v>7733</v>
      </c>
      <c r="G59" s="2421" t="s">
        <v>3416</v>
      </c>
      <c r="H59" s="3276" t="s">
        <v>86</v>
      </c>
      <c r="I59" s="15483"/>
      <c r="J59" s="2413" t="s">
        <v>3417</v>
      </c>
      <c r="K59" s="2414">
        <v>1</v>
      </c>
      <c r="L59" s="2413" t="s">
        <v>3418</v>
      </c>
      <c r="M59" s="2413" t="s">
        <v>3419</v>
      </c>
      <c r="N59" s="2413"/>
      <c r="O59" s="2416">
        <v>30478000</v>
      </c>
      <c r="P59" s="15485"/>
      <c r="Q59" s="2417">
        <v>52410800</v>
      </c>
      <c r="R59" s="2417">
        <v>229343164</v>
      </c>
      <c r="S59" s="2417">
        <v>11986687</v>
      </c>
      <c r="T59" s="2413"/>
      <c r="U59" s="2413"/>
      <c r="V59" s="2413"/>
      <c r="W59" s="2413"/>
      <c r="X59" s="2422"/>
      <c r="Y59" s="2422"/>
      <c r="Z59" s="2422"/>
      <c r="AA59" s="2422"/>
      <c r="AB59" s="2422"/>
      <c r="AC59" s="2422"/>
      <c r="AD59" s="2422"/>
      <c r="AE59" s="2422"/>
      <c r="AF59" s="2422"/>
      <c r="AG59" s="2422"/>
      <c r="AH59" s="2422"/>
      <c r="AI59" s="2422"/>
      <c r="AJ59" s="2422"/>
      <c r="AK59" s="2422"/>
      <c r="AL59" s="2422"/>
      <c r="AM59" s="2422"/>
      <c r="AN59" s="2422"/>
      <c r="AO59" s="2422"/>
      <c r="AP59" s="2422"/>
      <c r="AQ59" s="2422"/>
      <c r="AR59" s="2422"/>
      <c r="AS59" s="2422"/>
      <c r="AT59" s="2236" t="s">
        <v>3287</v>
      </c>
      <c r="AU59" s="2415" t="s">
        <v>4126</v>
      </c>
      <c r="AV59" s="2236" t="s">
        <v>4127</v>
      </c>
      <c r="AW59" s="2422"/>
      <c r="AX59" s="2422"/>
      <c r="AY59" s="2422"/>
      <c r="AZ59" s="2422"/>
      <c r="BA59" s="2422"/>
      <c r="BB59" s="2422"/>
      <c r="BC59" s="2422"/>
      <c r="BD59" s="15447"/>
      <c r="BE59" s="2413" t="s">
        <v>3417</v>
      </c>
      <c r="BF59" s="2419" t="s">
        <v>1509</v>
      </c>
      <c r="BG59" s="2413" t="s">
        <v>3417</v>
      </c>
      <c r="BH59" s="2420">
        <v>1</v>
      </c>
      <c r="BI59" s="2420">
        <v>1</v>
      </c>
      <c r="BJ59" s="2408">
        <v>1</v>
      </c>
      <c r="BK59" s="15553"/>
      <c r="BL59" s="2413" t="s">
        <v>3418</v>
      </c>
      <c r="BM59" s="2413" t="s">
        <v>3419</v>
      </c>
      <c r="BN59" s="2421"/>
      <c r="BO59" s="2238">
        <v>5038000</v>
      </c>
      <c r="BP59" s="15543"/>
      <c r="BQ59" s="2410">
        <v>4231920</v>
      </c>
      <c r="BR59" s="2409">
        <f t="shared" si="0"/>
        <v>806080</v>
      </c>
      <c r="BS59" s="2409"/>
      <c r="BT59" s="2234"/>
      <c r="BU59" s="2234"/>
      <c r="BV59" s="2234"/>
      <c r="BW59" s="2234"/>
      <c r="BX59" s="2234"/>
      <c r="BY59" s="2234"/>
      <c r="BZ59" s="2234"/>
      <c r="CA59" s="2234"/>
      <c r="CB59" s="2234"/>
      <c r="CC59" s="2234"/>
      <c r="CD59" s="2234"/>
      <c r="CE59" s="2234"/>
      <c r="CF59" s="2234"/>
      <c r="CG59" s="2234"/>
      <c r="CH59" s="2234"/>
      <c r="CI59" s="2234"/>
      <c r="CJ59" s="2234"/>
      <c r="CK59" s="2234"/>
      <c r="CL59" s="2234"/>
      <c r="CM59" s="2234"/>
      <c r="CN59" s="2234"/>
      <c r="CO59" s="2234"/>
      <c r="CP59" s="2234"/>
      <c r="CQ59" s="2234"/>
      <c r="CR59" s="2234"/>
      <c r="CS59" s="2234"/>
      <c r="CT59" s="2236" t="s">
        <v>3287</v>
      </c>
      <c r="CU59" s="2415" t="s">
        <v>4126</v>
      </c>
      <c r="CV59" s="2236" t="s">
        <v>4127</v>
      </c>
      <c r="CW59" s="2422"/>
      <c r="CX59" s="2422"/>
      <c r="CY59" s="2422"/>
      <c r="CZ59" s="2422"/>
      <c r="DA59" s="2422"/>
      <c r="DB59" s="2422"/>
      <c r="DC59" s="2422"/>
      <c r="DE59" s="3297"/>
      <c r="DF59" s="2422"/>
      <c r="DG59" s="2422"/>
      <c r="DH59" s="2422"/>
      <c r="DI59" s="2422"/>
      <c r="DJ59" s="3334"/>
      <c r="DK59" s="3297"/>
      <c r="DL59" s="2422"/>
      <c r="DM59" s="2422"/>
      <c r="DN59" s="3298"/>
      <c r="DO59" s="3366"/>
      <c r="DP59" s="3351"/>
      <c r="DQ59" s="3298"/>
      <c r="DR59" s="3351"/>
      <c r="DS59" s="3298"/>
      <c r="DT59" s="3351"/>
      <c r="DU59" s="2422"/>
      <c r="DV59" s="2422"/>
      <c r="DW59" s="2422"/>
      <c r="DX59" s="2422"/>
      <c r="DY59" s="2422"/>
      <c r="DZ59" s="3334"/>
      <c r="EA59" s="3297"/>
      <c r="EB59" s="2422"/>
      <c r="EC59" s="2422"/>
      <c r="ED59" s="2422"/>
      <c r="EE59" s="2422"/>
      <c r="EF59" s="2422"/>
      <c r="EG59" s="2422"/>
      <c r="EH59" s="2422"/>
      <c r="EI59" s="2422"/>
      <c r="EJ59" s="2422"/>
      <c r="EK59" s="2422"/>
      <c r="EL59" s="2422"/>
      <c r="EM59" s="2422"/>
      <c r="EN59" s="3298"/>
      <c r="EO59" s="3351"/>
      <c r="EP59" s="2422"/>
      <c r="EQ59" s="2422"/>
      <c r="ER59" s="2422"/>
      <c r="ES59" s="3334"/>
      <c r="ET59" s="3297"/>
      <c r="EU59" s="2422"/>
      <c r="EV59" s="2422"/>
      <c r="EW59" s="2422"/>
      <c r="EX59" s="3298"/>
    </row>
    <row r="60" spans="1:154" s="2411" customFormat="1" ht="15" customHeight="1" thickBot="1">
      <c r="A60" s="15468"/>
      <c r="B60" s="15448"/>
      <c r="C60" s="15447" t="s">
        <v>4177</v>
      </c>
      <c r="D60" s="15447">
        <v>8.8000000000000007</v>
      </c>
      <c r="E60" s="15447">
        <v>7.1</v>
      </c>
      <c r="F60" s="2412" t="s">
        <v>7734</v>
      </c>
      <c r="G60" s="2421" t="s">
        <v>3420</v>
      </c>
      <c r="H60" s="3276" t="s">
        <v>86</v>
      </c>
      <c r="I60" s="15483">
        <v>6.9</v>
      </c>
      <c r="J60" s="2413" t="s">
        <v>3421</v>
      </c>
      <c r="K60" s="2414">
        <v>1</v>
      </c>
      <c r="L60" s="2413" t="s">
        <v>3422</v>
      </c>
      <c r="M60" s="2413" t="s">
        <v>3423</v>
      </c>
      <c r="N60" s="2413"/>
      <c r="O60" s="2416">
        <v>30478000</v>
      </c>
      <c r="P60" s="15485"/>
      <c r="Q60" s="2417">
        <v>52410800</v>
      </c>
      <c r="R60" s="2417">
        <v>229343164</v>
      </c>
      <c r="S60" s="2417">
        <v>11986687</v>
      </c>
      <c r="T60" s="2413"/>
      <c r="U60" s="2413"/>
      <c r="V60" s="2413"/>
      <c r="W60" s="2413"/>
      <c r="X60" s="2422"/>
      <c r="Y60" s="2422"/>
      <c r="Z60" s="2422"/>
      <c r="AA60" s="2422"/>
      <c r="AB60" s="2422"/>
      <c r="AC60" s="2422"/>
      <c r="AD60" s="2422"/>
      <c r="AE60" s="2422"/>
      <c r="AF60" s="2422"/>
      <c r="AG60" s="2422"/>
      <c r="AH60" s="2422"/>
      <c r="AI60" s="2422"/>
      <c r="AJ60" s="2422"/>
      <c r="AK60" s="2422"/>
      <c r="AL60" s="2422"/>
      <c r="AM60" s="2422"/>
      <c r="AN60" s="2422"/>
      <c r="AO60" s="2422"/>
      <c r="AP60" s="2422"/>
      <c r="AQ60" s="2422"/>
      <c r="AR60" s="2422"/>
      <c r="AS60" s="2422"/>
      <c r="AT60" s="2234" t="s">
        <v>3287</v>
      </c>
      <c r="AU60" s="2415" t="s">
        <v>3424</v>
      </c>
      <c r="AV60" s="2234">
        <v>41</v>
      </c>
      <c r="AW60" s="2422"/>
      <c r="AX60" s="2422"/>
      <c r="AY60" s="2422"/>
      <c r="AZ60" s="2422"/>
      <c r="BA60" s="2422"/>
      <c r="BB60" s="2422"/>
      <c r="BC60" s="2422"/>
      <c r="BD60" s="15447">
        <v>6.9</v>
      </c>
      <c r="BE60" s="2413" t="s">
        <v>3421</v>
      </c>
      <c r="BF60" s="2419" t="s">
        <v>1509</v>
      </c>
      <c r="BG60" s="2413" t="s">
        <v>3421</v>
      </c>
      <c r="BH60" s="2234" t="s">
        <v>9646</v>
      </c>
      <c r="BI60" s="2424">
        <v>10.3</v>
      </c>
      <c r="BJ60" s="2408">
        <v>0</v>
      </c>
      <c r="BK60" s="15553"/>
      <c r="BL60" s="2413" t="s">
        <v>3422</v>
      </c>
      <c r="BM60" s="2413" t="s">
        <v>3423</v>
      </c>
      <c r="BN60" s="2413"/>
      <c r="BO60" s="2425">
        <v>5038000</v>
      </c>
      <c r="BP60" s="15544"/>
      <c r="BQ60" s="2410">
        <v>4231920</v>
      </c>
      <c r="BR60" s="2409">
        <f t="shared" si="0"/>
        <v>806080</v>
      </c>
      <c r="BS60" s="2409"/>
      <c r="BT60" s="2234"/>
      <c r="BU60" s="2234"/>
      <c r="BV60" s="2234"/>
      <c r="BW60" s="2234"/>
      <c r="BX60" s="2234"/>
      <c r="BY60" s="2234"/>
      <c r="BZ60" s="2234"/>
      <c r="CA60" s="2234"/>
      <c r="CB60" s="2234"/>
      <c r="CC60" s="2234"/>
      <c r="CD60" s="2234"/>
      <c r="CE60" s="2234"/>
      <c r="CF60" s="2234"/>
      <c r="CG60" s="2234"/>
      <c r="CH60" s="2234"/>
      <c r="CI60" s="2234"/>
      <c r="CJ60" s="2234"/>
      <c r="CK60" s="2234"/>
      <c r="CL60" s="2234"/>
      <c r="CM60" s="2234"/>
      <c r="CN60" s="2234"/>
      <c r="CO60" s="2234"/>
      <c r="CP60" s="2234"/>
      <c r="CQ60" s="2234"/>
      <c r="CR60" s="2234"/>
      <c r="CS60" s="2234"/>
      <c r="CT60" s="2234" t="s">
        <v>3287</v>
      </c>
      <c r="CU60" s="2415" t="s">
        <v>3424</v>
      </c>
      <c r="CV60" s="2234">
        <v>41</v>
      </c>
      <c r="CW60" s="2422"/>
      <c r="CX60" s="2422"/>
      <c r="CY60" s="2422"/>
      <c r="CZ60" s="2422"/>
      <c r="DA60" s="2422"/>
      <c r="DB60" s="2422"/>
      <c r="DC60" s="2422"/>
      <c r="DE60" s="3297"/>
      <c r="DF60" s="2422"/>
      <c r="DG60" s="2422"/>
      <c r="DH60" s="2422"/>
      <c r="DI60" s="2422"/>
      <c r="DJ60" s="3334"/>
      <c r="DK60" s="3297"/>
      <c r="DL60" s="2422"/>
      <c r="DM60" s="2422"/>
      <c r="DN60" s="3298"/>
      <c r="DO60" s="3366"/>
      <c r="DP60" s="3351"/>
      <c r="DQ60" s="3298"/>
      <c r="DR60" s="3351"/>
      <c r="DS60" s="3298"/>
      <c r="DT60" s="3351"/>
      <c r="DU60" s="2422"/>
      <c r="DV60" s="2422"/>
      <c r="DW60" s="2422"/>
      <c r="DX60" s="2422"/>
      <c r="DY60" s="2422"/>
      <c r="DZ60" s="3334"/>
      <c r="EA60" s="3297"/>
      <c r="EB60" s="2422"/>
      <c r="EC60" s="2422"/>
      <c r="ED60" s="2422"/>
      <c r="EE60" s="2422"/>
      <c r="EF60" s="2422"/>
      <c r="EG60" s="2422"/>
      <c r="EH60" s="2422"/>
      <c r="EI60" s="2422"/>
      <c r="EJ60" s="2422"/>
      <c r="EK60" s="2422"/>
      <c r="EL60" s="2422"/>
      <c r="EM60" s="2422"/>
      <c r="EN60" s="3298"/>
      <c r="EO60" s="3351"/>
      <c r="EP60" s="2422"/>
      <c r="EQ60" s="2422"/>
      <c r="ER60" s="2422"/>
      <c r="ES60" s="3334"/>
      <c r="ET60" s="3297"/>
      <c r="EU60" s="2422"/>
      <c r="EV60" s="2422"/>
      <c r="EW60" s="2422"/>
      <c r="EX60" s="3298"/>
    </row>
    <row r="61" spans="1:154" s="2411" customFormat="1" ht="15" customHeight="1" thickBot="1">
      <c r="A61" s="15468"/>
      <c r="B61" s="15448"/>
      <c r="C61" s="15447"/>
      <c r="D61" s="15447"/>
      <c r="E61" s="15447"/>
      <c r="F61" s="2412" t="s">
        <v>7735</v>
      </c>
      <c r="G61" s="2421" t="s">
        <v>3425</v>
      </c>
      <c r="H61" s="3276" t="s">
        <v>86</v>
      </c>
      <c r="I61" s="15483"/>
      <c r="J61" s="2413" t="s">
        <v>3426</v>
      </c>
      <c r="K61" s="2414">
        <v>1</v>
      </c>
      <c r="L61" s="2413" t="s">
        <v>4119</v>
      </c>
      <c r="M61" s="2415" t="s">
        <v>3427</v>
      </c>
      <c r="N61" s="2413"/>
      <c r="O61" s="2416">
        <v>15239000</v>
      </c>
      <c r="P61" s="15485"/>
      <c r="Q61" s="2417">
        <v>52410800</v>
      </c>
      <c r="R61" s="2417">
        <v>229343164</v>
      </c>
      <c r="S61" s="2417">
        <v>14983358</v>
      </c>
      <c r="T61" s="2234">
        <v>182</v>
      </c>
      <c r="U61" s="2234"/>
      <c r="V61" s="2234">
        <v>182</v>
      </c>
      <c r="W61" s="2234">
        <v>178</v>
      </c>
      <c r="X61" s="2234">
        <v>4</v>
      </c>
      <c r="Y61" s="2234"/>
      <c r="Z61" s="2234"/>
      <c r="AA61" s="2234"/>
      <c r="AB61" s="2234">
        <v>14</v>
      </c>
      <c r="AC61" s="2234">
        <v>43</v>
      </c>
      <c r="AD61" s="2234">
        <v>90</v>
      </c>
      <c r="AE61" s="2234">
        <v>35</v>
      </c>
      <c r="AF61" s="2234"/>
      <c r="AG61" s="2234"/>
      <c r="AH61" s="2234"/>
      <c r="AI61" s="2234"/>
      <c r="AJ61" s="2234"/>
      <c r="AK61" s="2234"/>
      <c r="AL61" s="2234"/>
      <c r="AM61" s="2234"/>
      <c r="AN61" s="2234">
        <v>182</v>
      </c>
      <c r="AO61" s="2234"/>
      <c r="AP61" s="2234"/>
      <c r="AQ61" s="2234"/>
      <c r="AR61" s="2234"/>
      <c r="AS61" s="2234"/>
      <c r="AT61" s="2234"/>
      <c r="AU61" s="2234"/>
      <c r="AV61" s="2234"/>
      <c r="AW61" s="2234"/>
      <c r="AX61" s="2234"/>
      <c r="AY61" s="2234"/>
      <c r="AZ61" s="2234"/>
      <c r="BA61" s="2234"/>
      <c r="BB61" s="2234"/>
      <c r="BC61" s="2234"/>
      <c r="BD61" s="15447"/>
      <c r="BE61" s="2413" t="s">
        <v>3426</v>
      </c>
      <c r="BF61" s="2419" t="s">
        <v>1509</v>
      </c>
      <c r="BG61" s="2413" t="s">
        <v>3426</v>
      </c>
      <c r="BH61" s="2420">
        <v>1</v>
      </c>
      <c r="BI61" s="2420">
        <v>1</v>
      </c>
      <c r="BJ61" s="2408">
        <v>1</v>
      </c>
      <c r="BK61" s="15553"/>
      <c r="BL61" s="2413" t="s">
        <v>4119</v>
      </c>
      <c r="BM61" s="2415" t="s">
        <v>3427</v>
      </c>
      <c r="BN61" s="2413"/>
      <c r="BO61" s="2409">
        <v>5038000</v>
      </c>
      <c r="BP61" s="15544"/>
      <c r="BQ61" s="2410">
        <v>4231920</v>
      </c>
      <c r="BR61" s="2409">
        <f t="shared" si="0"/>
        <v>806080</v>
      </c>
      <c r="BS61" s="2409"/>
      <c r="BT61" s="2234">
        <v>295</v>
      </c>
      <c r="BU61" s="2234"/>
      <c r="BV61" s="2234">
        <v>295</v>
      </c>
      <c r="BW61" s="2234">
        <v>295</v>
      </c>
      <c r="BX61" s="2234"/>
      <c r="BY61" s="2234"/>
      <c r="BZ61" s="2234"/>
      <c r="CA61" s="2234"/>
      <c r="CB61" s="2234">
        <v>49</v>
      </c>
      <c r="CC61" s="2234">
        <v>49</v>
      </c>
      <c r="CD61" s="2234">
        <v>147</v>
      </c>
      <c r="CE61" s="2234">
        <v>49</v>
      </c>
      <c r="CF61" s="2234"/>
      <c r="CG61" s="2234"/>
      <c r="CH61" s="2234"/>
      <c r="CI61" s="2234"/>
      <c r="CJ61" s="2234"/>
      <c r="CK61" s="2234"/>
      <c r="CL61" s="2234"/>
      <c r="CM61" s="2234"/>
      <c r="CN61" s="2234">
        <v>182</v>
      </c>
      <c r="CO61" s="2234"/>
      <c r="CP61" s="2234"/>
      <c r="CQ61" s="2234"/>
      <c r="CR61" s="2234"/>
      <c r="CS61" s="2234"/>
      <c r="CT61" s="2234"/>
      <c r="CU61" s="2234"/>
      <c r="CV61" s="2234"/>
      <c r="CW61" s="2234"/>
      <c r="CX61" s="2234"/>
      <c r="CY61" s="2234"/>
      <c r="CZ61" s="2234"/>
      <c r="DA61" s="2234"/>
      <c r="DB61" s="2234"/>
      <c r="DC61" s="2234"/>
      <c r="DE61" s="3297"/>
      <c r="DF61" s="2422"/>
      <c r="DG61" s="2422"/>
      <c r="DH61" s="2422"/>
      <c r="DI61" s="2422"/>
      <c r="DJ61" s="3334"/>
      <c r="DK61" s="3297"/>
      <c r="DL61" s="2422"/>
      <c r="DM61" s="2422"/>
      <c r="DN61" s="3298"/>
      <c r="DO61" s="3366"/>
      <c r="DP61" s="3351"/>
      <c r="DQ61" s="3298"/>
      <c r="DR61" s="3351"/>
      <c r="DS61" s="3298"/>
      <c r="DT61" s="3351"/>
      <c r="DU61" s="2422"/>
      <c r="DV61" s="2422"/>
      <c r="DW61" s="2422"/>
      <c r="DX61" s="2422"/>
      <c r="DY61" s="2422"/>
      <c r="DZ61" s="3334"/>
      <c r="EA61" s="3297"/>
      <c r="EB61" s="2422"/>
      <c r="EC61" s="2422"/>
      <c r="ED61" s="2422"/>
      <c r="EE61" s="2422"/>
      <c r="EF61" s="2422"/>
      <c r="EG61" s="2422"/>
      <c r="EH61" s="2422"/>
      <c r="EI61" s="2422"/>
      <c r="EJ61" s="2422"/>
      <c r="EK61" s="2422"/>
      <c r="EL61" s="2422"/>
      <c r="EM61" s="2422"/>
      <c r="EN61" s="3298"/>
      <c r="EO61" s="3351"/>
      <c r="EP61" s="2422"/>
      <c r="EQ61" s="2422"/>
      <c r="ER61" s="2422"/>
      <c r="ES61" s="3334"/>
      <c r="ET61" s="3297"/>
      <c r="EU61" s="2422"/>
      <c r="EV61" s="2422"/>
      <c r="EW61" s="2422"/>
      <c r="EX61" s="3298"/>
    </row>
    <row r="62" spans="1:154" s="2411" customFormat="1" ht="15" customHeight="1" thickBot="1">
      <c r="A62" s="15468"/>
      <c r="B62" s="15448"/>
      <c r="C62" s="15447" t="s">
        <v>3428</v>
      </c>
      <c r="D62" s="15460">
        <v>13</v>
      </c>
      <c r="E62" s="15462">
        <v>10</v>
      </c>
      <c r="F62" s="2412" t="s">
        <v>7736</v>
      </c>
      <c r="G62" s="2421" t="s">
        <v>4165</v>
      </c>
      <c r="H62" s="3276" t="s">
        <v>86</v>
      </c>
      <c r="I62" s="15487">
        <v>15</v>
      </c>
      <c r="J62" s="2413" t="s">
        <v>3409</v>
      </c>
      <c r="K62" s="2414">
        <v>1</v>
      </c>
      <c r="L62" s="2413" t="s">
        <v>4120</v>
      </c>
      <c r="M62" s="2415" t="s">
        <v>3337</v>
      </c>
      <c r="N62" s="2413"/>
      <c r="O62" s="2416">
        <v>15239000</v>
      </c>
      <c r="P62" s="15485"/>
      <c r="Q62" s="2417">
        <v>52410800</v>
      </c>
      <c r="R62" s="2417">
        <v>229343164</v>
      </c>
      <c r="S62" s="2417">
        <v>14983358</v>
      </c>
      <c r="T62" s="2234">
        <v>13333</v>
      </c>
      <c r="U62" s="2234"/>
      <c r="V62" s="2234">
        <v>13333</v>
      </c>
      <c r="W62" s="2234">
        <v>9383</v>
      </c>
      <c r="X62" s="2234">
        <v>3950</v>
      </c>
      <c r="Y62" s="2234"/>
      <c r="Z62" s="2234"/>
      <c r="AA62" s="2234"/>
      <c r="AB62" s="2234">
        <v>3255</v>
      </c>
      <c r="AC62" s="2234">
        <v>3668</v>
      </c>
      <c r="AD62" s="2234">
        <v>4506</v>
      </c>
      <c r="AE62" s="2234">
        <v>1904</v>
      </c>
      <c r="AF62" s="2234">
        <v>12055</v>
      </c>
      <c r="AG62" s="2234">
        <v>396</v>
      </c>
      <c r="AH62" s="2234">
        <v>1332</v>
      </c>
      <c r="AI62" s="2234"/>
      <c r="AJ62" s="2234"/>
      <c r="AK62" s="2234"/>
      <c r="AL62" s="2234"/>
      <c r="AM62" s="2234"/>
      <c r="AN62" s="2234">
        <v>12406</v>
      </c>
      <c r="AO62" s="2234">
        <v>751</v>
      </c>
      <c r="AP62" s="2234">
        <v>156</v>
      </c>
      <c r="AQ62" s="2234">
        <v>20</v>
      </c>
      <c r="AR62" s="2234"/>
      <c r="AS62" s="2234"/>
      <c r="AT62" s="2234"/>
      <c r="AU62" s="2234"/>
      <c r="AV62" s="2234"/>
      <c r="AW62" s="2234"/>
      <c r="AX62" s="2234"/>
      <c r="AY62" s="2234"/>
      <c r="AZ62" s="2234"/>
      <c r="BA62" s="2234"/>
      <c r="BB62" s="2234"/>
      <c r="BC62" s="2234"/>
      <c r="BD62" s="15460">
        <v>15</v>
      </c>
      <c r="BE62" s="2413" t="s">
        <v>3409</v>
      </c>
      <c r="BF62" s="2419" t="s">
        <v>1509</v>
      </c>
      <c r="BG62" s="2413" t="s">
        <v>3409</v>
      </c>
      <c r="BH62" s="2420">
        <v>1</v>
      </c>
      <c r="BI62" s="2420">
        <v>1</v>
      </c>
      <c r="BJ62" s="2408">
        <v>1</v>
      </c>
      <c r="BK62" s="15553"/>
      <c r="BL62" s="2413" t="s">
        <v>4120</v>
      </c>
      <c r="BM62" s="2415" t="s">
        <v>3337</v>
      </c>
      <c r="BN62" s="2413"/>
      <c r="BO62" s="2409">
        <v>5038000</v>
      </c>
      <c r="BP62" s="15544"/>
      <c r="BQ62" s="2410">
        <v>4231920</v>
      </c>
      <c r="BR62" s="2409">
        <f t="shared" si="0"/>
        <v>806080</v>
      </c>
      <c r="BS62" s="2409"/>
      <c r="BT62" s="2234">
        <v>15080</v>
      </c>
      <c r="BU62" s="2234">
        <v>5.0270000000000001</v>
      </c>
      <c r="BV62" s="2234">
        <v>10.053000000000001</v>
      </c>
      <c r="BW62" s="2234">
        <v>10150</v>
      </c>
      <c r="BX62" s="2234">
        <v>4930</v>
      </c>
      <c r="BY62" s="2234"/>
      <c r="BZ62" s="2234"/>
      <c r="CA62" s="2234"/>
      <c r="CB62" s="2234">
        <v>3255</v>
      </c>
      <c r="CC62" s="2234">
        <v>3668</v>
      </c>
      <c r="CD62" s="2234">
        <v>4506</v>
      </c>
      <c r="CE62" s="2234">
        <v>1904</v>
      </c>
      <c r="CF62" s="2234">
        <v>12055</v>
      </c>
      <c r="CG62" s="2234">
        <v>396</v>
      </c>
      <c r="CH62" s="2234">
        <v>1332</v>
      </c>
      <c r="CI62" s="2234"/>
      <c r="CJ62" s="2234"/>
      <c r="CK62" s="2234"/>
      <c r="CL62" s="2234"/>
      <c r="CM62" s="2234"/>
      <c r="CN62" s="2234">
        <v>12406</v>
      </c>
      <c r="CO62" s="2234">
        <v>751</v>
      </c>
      <c r="CP62" s="2234">
        <v>156</v>
      </c>
      <c r="CQ62" s="2234">
        <v>20</v>
      </c>
      <c r="CR62" s="2234"/>
      <c r="CS62" s="2234"/>
      <c r="CT62" s="2234"/>
      <c r="CU62" s="2234"/>
      <c r="CV62" s="2234"/>
      <c r="CW62" s="2234"/>
      <c r="CX62" s="2234"/>
      <c r="CY62" s="2234"/>
      <c r="CZ62" s="2234"/>
      <c r="DA62" s="2234"/>
      <c r="DB62" s="2234"/>
      <c r="DC62" s="2234"/>
      <c r="DE62" s="3297"/>
      <c r="DF62" s="2422"/>
      <c r="DG62" s="2422"/>
      <c r="DH62" s="2422"/>
      <c r="DI62" s="2422"/>
      <c r="DJ62" s="3334"/>
      <c r="DK62" s="3297"/>
      <c r="DL62" s="2422"/>
      <c r="DM62" s="2422"/>
      <c r="DN62" s="3298"/>
      <c r="DO62" s="3366"/>
      <c r="DP62" s="3351"/>
      <c r="DQ62" s="3298"/>
      <c r="DR62" s="3351"/>
      <c r="DS62" s="3298"/>
      <c r="DT62" s="3351"/>
      <c r="DU62" s="2422"/>
      <c r="DV62" s="2422"/>
      <c r="DW62" s="2422"/>
      <c r="DX62" s="2422"/>
      <c r="DY62" s="2422"/>
      <c r="DZ62" s="3334"/>
      <c r="EA62" s="3297"/>
      <c r="EB62" s="2422"/>
      <c r="EC62" s="2422"/>
      <c r="ED62" s="2422"/>
      <c r="EE62" s="2422"/>
      <c r="EF62" s="2422"/>
      <c r="EG62" s="2422"/>
      <c r="EH62" s="2422"/>
      <c r="EI62" s="2422"/>
      <c r="EJ62" s="2422"/>
      <c r="EK62" s="2422"/>
      <c r="EL62" s="2422"/>
      <c r="EM62" s="2422"/>
      <c r="EN62" s="3298"/>
      <c r="EO62" s="3351"/>
      <c r="EP62" s="2422"/>
      <c r="EQ62" s="2422"/>
      <c r="ER62" s="2422"/>
      <c r="ES62" s="3334"/>
      <c r="ET62" s="3297"/>
      <c r="EU62" s="2422"/>
      <c r="EV62" s="2422"/>
      <c r="EW62" s="2422"/>
      <c r="EX62" s="3298"/>
    </row>
    <row r="63" spans="1:154" s="2411" customFormat="1" ht="15" customHeight="1" thickBot="1">
      <c r="A63" s="15468"/>
      <c r="B63" s="15448" t="s">
        <v>3347</v>
      </c>
      <c r="C63" s="15447"/>
      <c r="D63" s="15460"/>
      <c r="E63" s="15462"/>
      <c r="F63" s="2412" t="s">
        <v>7737</v>
      </c>
      <c r="G63" s="2421" t="s">
        <v>4166</v>
      </c>
      <c r="H63" s="3276" t="s">
        <v>86</v>
      </c>
      <c r="I63" s="15487"/>
      <c r="J63" s="2413" t="s">
        <v>3413</v>
      </c>
      <c r="K63" s="2414">
        <v>1</v>
      </c>
      <c r="L63" s="2415" t="s">
        <v>4121</v>
      </c>
      <c r="M63" s="2426" t="s">
        <v>3491</v>
      </c>
      <c r="N63" s="2422"/>
      <c r="O63" s="2416">
        <v>15239000</v>
      </c>
      <c r="P63" s="15485"/>
      <c r="Q63" s="2417">
        <v>52410800</v>
      </c>
      <c r="R63" s="2417">
        <v>229343164</v>
      </c>
      <c r="S63" s="2417">
        <v>14983358</v>
      </c>
      <c r="T63" s="2234">
        <v>13333</v>
      </c>
      <c r="U63" s="2234"/>
      <c r="V63" s="2234">
        <v>13333</v>
      </c>
      <c r="W63" s="2234">
        <v>9383</v>
      </c>
      <c r="X63" s="2234">
        <v>3950</v>
      </c>
      <c r="Y63" s="2422"/>
      <c r="Z63" s="2422"/>
      <c r="AA63" s="2422"/>
      <c r="AB63" s="2234">
        <v>3255</v>
      </c>
      <c r="AC63" s="2234">
        <v>3668</v>
      </c>
      <c r="AD63" s="2234">
        <v>4506</v>
      </c>
      <c r="AE63" s="2234">
        <v>1904</v>
      </c>
      <c r="AF63" s="2234">
        <v>12055</v>
      </c>
      <c r="AG63" s="2234">
        <v>396</v>
      </c>
      <c r="AH63" s="2234">
        <v>1332</v>
      </c>
      <c r="AI63" s="2422"/>
      <c r="AJ63" s="2422"/>
      <c r="AK63" s="2422"/>
      <c r="AL63" s="2422"/>
      <c r="AM63" s="2422"/>
      <c r="AN63" s="2234">
        <v>12406</v>
      </c>
      <c r="AO63" s="2234">
        <v>751</v>
      </c>
      <c r="AP63" s="2234">
        <v>156</v>
      </c>
      <c r="AQ63" s="2234">
        <v>20</v>
      </c>
      <c r="AR63" s="2422"/>
      <c r="AS63" s="2422"/>
      <c r="AT63" s="2422"/>
      <c r="AU63" s="2422"/>
      <c r="AV63" s="2422"/>
      <c r="AW63" s="2422"/>
      <c r="AX63" s="2422"/>
      <c r="AY63" s="2422"/>
      <c r="AZ63" s="2422"/>
      <c r="BA63" s="2422"/>
      <c r="BB63" s="2422"/>
      <c r="BC63" s="2422"/>
      <c r="BD63" s="15460"/>
      <c r="BE63" s="2413" t="s">
        <v>3413</v>
      </c>
      <c r="BF63" s="2419" t="s">
        <v>1509</v>
      </c>
      <c r="BG63" s="2413" t="s">
        <v>3413</v>
      </c>
      <c r="BH63" s="2420">
        <v>1</v>
      </c>
      <c r="BI63" s="2420">
        <v>1</v>
      </c>
      <c r="BJ63" s="2408">
        <v>1</v>
      </c>
      <c r="BK63" s="15553"/>
      <c r="BL63" s="2415" t="s">
        <v>4121</v>
      </c>
      <c r="BM63" s="2426" t="s">
        <v>3491</v>
      </c>
      <c r="BN63" s="2422"/>
      <c r="BO63" s="2409">
        <v>5038000</v>
      </c>
      <c r="BP63" s="15544"/>
      <c r="BQ63" s="2410">
        <v>4231920</v>
      </c>
      <c r="BR63" s="2409">
        <f t="shared" si="0"/>
        <v>806080</v>
      </c>
      <c r="BS63" s="2409"/>
      <c r="BT63" s="2234">
        <v>15080</v>
      </c>
      <c r="BU63" s="2234">
        <v>5.0270000000000001</v>
      </c>
      <c r="BV63" s="2234">
        <v>10.053000000000001</v>
      </c>
      <c r="BW63" s="2234">
        <v>10150</v>
      </c>
      <c r="BX63" s="2234">
        <v>4930</v>
      </c>
      <c r="BY63" s="2234"/>
      <c r="BZ63" s="2234"/>
      <c r="CA63" s="2234"/>
      <c r="CB63" s="2234">
        <v>3255</v>
      </c>
      <c r="CC63" s="2234">
        <v>3668</v>
      </c>
      <c r="CD63" s="2234">
        <v>4506</v>
      </c>
      <c r="CE63" s="2234">
        <v>1904</v>
      </c>
      <c r="CF63" s="2234">
        <v>12055</v>
      </c>
      <c r="CG63" s="2234">
        <v>396</v>
      </c>
      <c r="CH63" s="2234">
        <v>1332</v>
      </c>
      <c r="CI63" s="2234"/>
      <c r="CJ63" s="2234"/>
      <c r="CK63" s="2234"/>
      <c r="CL63" s="2234"/>
      <c r="CM63" s="2234"/>
      <c r="CN63" s="2234">
        <v>12406</v>
      </c>
      <c r="CO63" s="2234">
        <v>751</v>
      </c>
      <c r="CP63" s="2234">
        <v>156</v>
      </c>
      <c r="CQ63" s="2234">
        <v>20</v>
      </c>
      <c r="CR63" s="2234"/>
      <c r="CS63" s="2234"/>
      <c r="CT63" s="2422"/>
      <c r="CU63" s="2422"/>
      <c r="CV63" s="2422"/>
      <c r="CW63" s="2422"/>
      <c r="CX63" s="2422"/>
      <c r="CY63" s="2422"/>
      <c r="CZ63" s="2422"/>
      <c r="DA63" s="2422"/>
      <c r="DB63" s="2422"/>
      <c r="DC63" s="2422"/>
      <c r="DE63" s="3297"/>
      <c r="DF63" s="2422"/>
      <c r="DG63" s="2422"/>
      <c r="DH63" s="2422"/>
      <c r="DI63" s="2422"/>
      <c r="DJ63" s="3334"/>
      <c r="DK63" s="3297"/>
      <c r="DL63" s="2422"/>
      <c r="DM63" s="2422"/>
      <c r="DN63" s="3298"/>
      <c r="DO63" s="3366"/>
      <c r="DP63" s="3351"/>
      <c r="DQ63" s="3298"/>
      <c r="DR63" s="3351"/>
      <c r="DS63" s="3298"/>
      <c r="DT63" s="3351"/>
      <c r="DU63" s="2422"/>
      <c r="DV63" s="2422"/>
      <c r="DW63" s="2422"/>
      <c r="DX63" s="2422"/>
      <c r="DY63" s="2422"/>
      <c r="DZ63" s="3334"/>
      <c r="EA63" s="3297"/>
      <c r="EB63" s="2422"/>
      <c r="EC63" s="2422"/>
      <c r="ED63" s="2422"/>
      <c r="EE63" s="2422"/>
      <c r="EF63" s="2422"/>
      <c r="EG63" s="2422"/>
      <c r="EH63" s="2422"/>
      <c r="EI63" s="2422"/>
      <c r="EJ63" s="2422"/>
      <c r="EK63" s="2422"/>
      <c r="EL63" s="2422"/>
      <c r="EM63" s="2422"/>
      <c r="EN63" s="3298"/>
      <c r="EO63" s="3351"/>
      <c r="EP63" s="2422"/>
      <c r="EQ63" s="2422"/>
      <c r="ER63" s="2422"/>
      <c r="ES63" s="3334"/>
      <c r="ET63" s="3297"/>
      <c r="EU63" s="2422"/>
      <c r="EV63" s="2422"/>
      <c r="EW63" s="2422"/>
      <c r="EX63" s="3298"/>
    </row>
    <row r="64" spans="1:154" s="2411" customFormat="1" ht="15" customHeight="1" thickBot="1">
      <c r="A64" s="15469"/>
      <c r="B64" s="15464"/>
      <c r="C64" s="15449"/>
      <c r="D64" s="15461"/>
      <c r="E64" s="15463"/>
      <c r="F64" s="1766" t="s">
        <v>7738</v>
      </c>
      <c r="G64" s="3256" t="s">
        <v>4167</v>
      </c>
      <c r="H64" s="3277" t="s">
        <v>86</v>
      </c>
      <c r="I64" s="15488"/>
      <c r="J64" s="2427" t="s">
        <v>4128</v>
      </c>
      <c r="K64" s="1768">
        <v>1</v>
      </c>
      <c r="L64" s="2427" t="s">
        <v>4122</v>
      </c>
      <c r="M64" s="2428" t="s">
        <v>4123</v>
      </c>
      <c r="N64" s="2429"/>
      <c r="O64" s="2245">
        <v>15239000</v>
      </c>
      <c r="P64" s="15486"/>
      <c r="Q64" s="2246">
        <v>52410800</v>
      </c>
      <c r="R64" s="2246">
        <v>229343164</v>
      </c>
      <c r="S64" s="2246">
        <v>14983358</v>
      </c>
      <c r="T64" s="2243"/>
      <c r="U64" s="2429"/>
      <c r="V64" s="2429"/>
      <c r="W64" s="2429"/>
      <c r="X64" s="2429"/>
      <c r="Y64" s="2429"/>
      <c r="Z64" s="2429"/>
      <c r="AA64" s="2429"/>
      <c r="AB64" s="2429"/>
      <c r="AC64" s="2429"/>
      <c r="AD64" s="2429"/>
      <c r="AE64" s="2429"/>
      <c r="AF64" s="2429"/>
      <c r="AG64" s="2429"/>
      <c r="AH64" s="2429"/>
      <c r="AI64" s="2429"/>
      <c r="AJ64" s="2429"/>
      <c r="AK64" s="2429"/>
      <c r="AL64" s="2429"/>
      <c r="AM64" s="2429"/>
      <c r="AN64" s="2429"/>
      <c r="AO64" s="2429"/>
      <c r="AP64" s="2429"/>
      <c r="AQ64" s="2429"/>
      <c r="AR64" s="2429"/>
      <c r="AS64" s="2429"/>
      <c r="AT64" s="2243" t="s">
        <v>3287</v>
      </c>
      <c r="AU64" s="2067" t="s">
        <v>4126</v>
      </c>
      <c r="AV64" s="2243" t="s">
        <v>4127</v>
      </c>
      <c r="AW64" s="2429"/>
      <c r="AX64" s="2429"/>
      <c r="AY64" s="2429"/>
      <c r="AZ64" s="2429"/>
      <c r="BA64" s="2429"/>
      <c r="BB64" s="2429"/>
      <c r="BC64" s="2429"/>
      <c r="BD64" s="15461"/>
      <c r="BE64" s="2427" t="s">
        <v>4128</v>
      </c>
      <c r="BF64" s="2430" t="s">
        <v>1509</v>
      </c>
      <c r="BG64" s="2427" t="s">
        <v>4128</v>
      </c>
      <c r="BH64" s="2431">
        <v>1</v>
      </c>
      <c r="BI64" s="2431">
        <v>1</v>
      </c>
      <c r="BJ64" s="2408">
        <v>1</v>
      </c>
      <c r="BK64" s="15554"/>
      <c r="BL64" s="2427" t="s">
        <v>4122</v>
      </c>
      <c r="BM64" s="2428" t="s">
        <v>4123</v>
      </c>
      <c r="BN64" s="2429"/>
      <c r="BO64" s="2432">
        <v>5038000</v>
      </c>
      <c r="BP64" s="15545"/>
      <c r="BQ64" s="2410">
        <v>4231920</v>
      </c>
      <c r="BR64" s="2409">
        <f t="shared" si="0"/>
        <v>806080</v>
      </c>
      <c r="BS64" s="2409"/>
      <c r="BT64" s="2234"/>
      <c r="BU64" s="2234"/>
      <c r="BV64" s="2234"/>
      <c r="BW64" s="2234"/>
      <c r="BX64" s="2234"/>
      <c r="BY64" s="2234"/>
      <c r="BZ64" s="2234"/>
      <c r="CA64" s="2234"/>
      <c r="CB64" s="2234"/>
      <c r="CC64" s="2234"/>
      <c r="CD64" s="2234"/>
      <c r="CE64" s="2234"/>
      <c r="CF64" s="2234"/>
      <c r="CG64" s="2234"/>
      <c r="CH64" s="2234"/>
      <c r="CI64" s="2234"/>
      <c r="CJ64" s="2234"/>
      <c r="CK64" s="2234"/>
      <c r="CL64" s="2234"/>
      <c r="CM64" s="2234"/>
      <c r="CN64" s="2234"/>
      <c r="CO64" s="2234"/>
      <c r="CP64" s="2234"/>
      <c r="CQ64" s="2234"/>
      <c r="CR64" s="2234"/>
      <c r="CS64" s="2234"/>
      <c r="CT64" s="2234" t="s">
        <v>3287</v>
      </c>
      <c r="CU64" s="2415" t="s">
        <v>4126</v>
      </c>
      <c r="CV64" s="2234" t="s">
        <v>4127</v>
      </c>
      <c r="CW64" s="2422"/>
      <c r="CX64" s="2422"/>
      <c r="CY64" s="2422"/>
      <c r="CZ64" s="2422"/>
      <c r="DA64" s="2422"/>
      <c r="DB64" s="2422"/>
      <c r="DC64" s="2422"/>
      <c r="DE64" s="3312"/>
      <c r="DF64" s="2429"/>
      <c r="DG64" s="2429"/>
      <c r="DH64" s="2429"/>
      <c r="DI64" s="2429"/>
      <c r="DJ64" s="3335"/>
      <c r="DK64" s="3312"/>
      <c r="DL64" s="2429"/>
      <c r="DM64" s="2429"/>
      <c r="DN64" s="3313"/>
      <c r="DO64" s="3367"/>
      <c r="DP64" s="3352"/>
      <c r="DQ64" s="3313"/>
      <c r="DR64" s="3352"/>
      <c r="DS64" s="3313"/>
      <c r="DT64" s="3352"/>
      <c r="DU64" s="2429"/>
      <c r="DV64" s="2429"/>
      <c r="DW64" s="2429"/>
      <c r="DX64" s="2429"/>
      <c r="DY64" s="2429"/>
      <c r="DZ64" s="3335"/>
      <c r="EA64" s="3312"/>
      <c r="EB64" s="2429"/>
      <c r="EC64" s="2429"/>
      <c r="ED64" s="2429"/>
      <c r="EE64" s="2429"/>
      <c r="EF64" s="2429"/>
      <c r="EG64" s="2429"/>
      <c r="EH64" s="2429"/>
      <c r="EI64" s="2429"/>
      <c r="EJ64" s="2429"/>
      <c r="EK64" s="2429"/>
      <c r="EL64" s="2429"/>
      <c r="EM64" s="2429"/>
      <c r="EN64" s="3313"/>
      <c r="EO64" s="3352"/>
      <c r="EP64" s="2429"/>
      <c r="EQ64" s="2429"/>
      <c r="ER64" s="2429"/>
      <c r="ES64" s="3335"/>
      <c r="ET64" s="3312"/>
      <c r="EU64" s="2429"/>
      <c r="EV64" s="2429"/>
      <c r="EW64" s="2429"/>
      <c r="EX64" s="3313"/>
    </row>
    <row r="65" spans="1:154" s="3393" customFormat="1" ht="15" customHeight="1" thickBot="1">
      <c r="A65" s="15451" t="s">
        <v>3429</v>
      </c>
      <c r="B65" s="15465" t="s">
        <v>3281</v>
      </c>
      <c r="C65" s="15466" t="s">
        <v>3430</v>
      </c>
      <c r="D65" s="15466">
        <v>4</v>
      </c>
      <c r="E65" s="15466">
        <v>0.53700000000000003</v>
      </c>
      <c r="F65" s="772" t="s">
        <v>7739</v>
      </c>
      <c r="G65" s="3384" t="s">
        <v>3431</v>
      </c>
      <c r="H65" s="3385" t="s">
        <v>86</v>
      </c>
      <c r="I65" s="15489">
        <v>1.5</v>
      </c>
      <c r="J65" s="3386" t="s">
        <v>3432</v>
      </c>
      <c r="K65" s="3387">
        <v>1</v>
      </c>
      <c r="L65" s="3386" t="s">
        <v>3317</v>
      </c>
      <c r="M65" s="3386" t="s">
        <v>3433</v>
      </c>
      <c r="N65" s="3386" t="s">
        <v>3434</v>
      </c>
      <c r="O65" s="3388">
        <v>15239000</v>
      </c>
      <c r="P65" s="15491">
        <f>SUM(O65:O81)</f>
        <v>350497000</v>
      </c>
      <c r="Q65" s="3389">
        <v>52410800</v>
      </c>
      <c r="R65" s="3389">
        <v>229343164</v>
      </c>
      <c r="S65" s="3389">
        <v>11986687</v>
      </c>
      <c r="T65" s="2575">
        <v>1</v>
      </c>
      <c r="U65" s="2575"/>
      <c r="V65" s="2575">
        <v>1</v>
      </c>
      <c r="W65" s="2575"/>
      <c r="X65" s="2575">
        <v>1</v>
      </c>
      <c r="Y65" s="2575"/>
      <c r="Z65" s="2575"/>
      <c r="AA65" s="2575"/>
      <c r="AB65" s="2575">
        <v>1</v>
      </c>
      <c r="AC65" s="2575"/>
      <c r="AD65" s="2575"/>
      <c r="AE65" s="2575"/>
      <c r="AF65" s="2575">
        <v>1</v>
      </c>
      <c r="AG65" s="2575"/>
      <c r="AH65" s="2575"/>
      <c r="AI65" s="2575"/>
      <c r="AJ65" s="2575"/>
      <c r="AK65" s="2575"/>
      <c r="AL65" s="2575"/>
      <c r="AM65" s="2575"/>
      <c r="AN65" s="2575">
        <v>1</v>
      </c>
      <c r="AO65" s="2575"/>
      <c r="AP65" s="2575"/>
      <c r="AQ65" s="2575"/>
      <c r="AR65" s="2575"/>
      <c r="AS65" s="2575"/>
      <c r="AT65" s="2575"/>
      <c r="AU65" s="2575"/>
      <c r="AV65" s="2575"/>
      <c r="AW65" s="2575"/>
      <c r="AX65" s="2575"/>
      <c r="AY65" s="2575"/>
      <c r="AZ65" s="2575"/>
      <c r="BA65" s="2575"/>
      <c r="BB65" s="2575"/>
      <c r="BC65" s="2575"/>
      <c r="BD65" s="15466">
        <v>1.5</v>
      </c>
      <c r="BE65" s="3386" t="s">
        <v>3432</v>
      </c>
      <c r="BF65" s="2575" t="s">
        <v>1509</v>
      </c>
      <c r="BG65" s="3386" t="s">
        <v>3432</v>
      </c>
      <c r="BH65" s="3390">
        <v>1</v>
      </c>
      <c r="BI65" s="3390">
        <v>1</v>
      </c>
      <c r="BJ65" s="3149">
        <v>1</v>
      </c>
      <c r="BK65" s="15555">
        <f>AVERAGE(BJ65:BJ81)</f>
        <v>0.94117647058823528</v>
      </c>
      <c r="BL65" s="3386" t="s">
        <v>3317</v>
      </c>
      <c r="BM65" s="3386" t="s">
        <v>3433</v>
      </c>
      <c r="BN65" s="3386" t="s">
        <v>8743</v>
      </c>
      <c r="BO65" s="3391">
        <v>5038000</v>
      </c>
      <c r="BP65" s="15546">
        <f>SUM(BO65:BO81)</f>
        <v>63477777</v>
      </c>
      <c r="BQ65" s="3392">
        <v>4231920</v>
      </c>
      <c r="BR65" s="3391">
        <f t="shared" si="0"/>
        <v>806080</v>
      </c>
      <c r="BS65" s="3391"/>
      <c r="BT65" s="2587">
        <v>8</v>
      </c>
      <c r="BU65" s="2587"/>
      <c r="BV65" s="2587">
        <v>8</v>
      </c>
      <c r="BW65" s="2587">
        <v>8</v>
      </c>
      <c r="BX65" s="2587"/>
      <c r="BY65" s="2587"/>
      <c r="BZ65" s="2587"/>
      <c r="CA65" s="2587"/>
      <c r="CB65" s="2587">
        <v>1</v>
      </c>
      <c r="CC65" s="2587"/>
      <c r="CD65" s="2587"/>
      <c r="CE65" s="2587"/>
      <c r="CF65" s="2587">
        <v>1</v>
      </c>
      <c r="CG65" s="2587"/>
      <c r="CH65" s="2587"/>
      <c r="CI65" s="2587"/>
      <c r="CJ65" s="2587"/>
      <c r="CK65" s="2587"/>
      <c r="CL65" s="2587"/>
      <c r="CM65" s="2587"/>
      <c r="CN65" s="2587">
        <v>1</v>
      </c>
      <c r="CO65" s="2587"/>
      <c r="CP65" s="2587"/>
      <c r="CQ65" s="2587"/>
      <c r="CR65" s="2587"/>
      <c r="CS65" s="2587"/>
      <c r="CT65" s="2587"/>
      <c r="CU65" s="2587"/>
      <c r="CV65" s="2587"/>
      <c r="CW65" s="2587"/>
      <c r="CX65" s="2587"/>
      <c r="CY65" s="2587"/>
      <c r="CZ65" s="2587"/>
      <c r="DA65" s="2587"/>
      <c r="DB65" s="2587"/>
      <c r="DC65" s="2587"/>
      <c r="DE65" s="3394"/>
      <c r="DF65" s="3395"/>
      <c r="DG65" s="3395"/>
      <c r="DH65" s="3395"/>
      <c r="DI65" s="3395"/>
      <c r="DJ65" s="3396"/>
      <c r="DK65" s="3394"/>
      <c r="DL65" s="3395"/>
      <c r="DM65" s="3395"/>
      <c r="DN65" s="3397"/>
      <c r="DO65" s="3398"/>
      <c r="DP65" s="3399"/>
      <c r="DQ65" s="3397"/>
      <c r="DR65" s="3399"/>
      <c r="DS65" s="3397"/>
      <c r="DT65" s="3399"/>
      <c r="DU65" s="3395"/>
      <c r="DV65" s="3395"/>
      <c r="DW65" s="3395"/>
      <c r="DX65" s="3395"/>
      <c r="DY65" s="3395"/>
      <c r="DZ65" s="3396"/>
      <c r="EA65" s="3394"/>
      <c r="EB65" s="3395"/>
      <c r="EC65" s="3395"/>
      <c r="ED65" s="3395"/>
      <c r="EE65" s="3395"/>
      <c r="EF65" s="3395"/>
      <c r="EG65" s="3395"/>
      <c r="EH65" s="3395"/>
      <c r="EI65" s="3395"/>
      <c r="EJ65" s="3395"/>
      <c r="EK65" s="3395"/>
      <c r="EL65" s="3395"/>
      <c r="EM65" s="3395"/>
      <c r="EN65" s="3397"/>
      <c r="EO65" s="3399"/>
      <c r="EP65" s="3395"/>
      <c r="EQ65" s="3395"/>
      <c r="ER65" s="3395"/>
      <c r="ES65" s="3396"/>
      <c r="ET65" s="3394"/>
      <c r="EU65" s="3395"/>
      <c r="EV65" s="3395"/>
      <c r="EW65" s="3395"/>
      <c r="EX65" s="3397"/>
    </row>
    <row r="66" spans="1:154" s="3393" customFormat="1" ht="15" customHeight="1" thickBot="1">
      <c r="A66" s="15452"/>
      <c r="B66" s="15454"/>
      <c r="C66" s="15456"/>
      <c r="D66" s="15456"/>
      <c r="E66" s="15456"/>
      <c r="F66" s="3400" t="s">
        <v>7740</v>
      </c>
      <c r="G66" s="3401" t="s">
        <v>3435</v>
      </c>
      <c r="H66" s="3402" t="s">
        <v>86</v>
      </c>
      <c r="I66" s="15490"/>
      <c r="J66" s="2594" t="s">
        <v>3437</v>
      </c>
      <c r="K66" s="3403">
        <v>1</v>
      </c>
      <c r="L66" s="2595" t="s">
        <v>3438</v>
      </c>
      <c r="M66" s="2595" t="s">
        <v>3439</v>
      </c>
      <c r="N66" s="2595"/>
      <c r="O66" s="15494">
        <v>15239000</v>
      </c>
      <c r="P66" s="15492"/>
      <c r="Q66" s="15395">
        <v>52410800</v>
      </c>
      <c r="R66" s="15395">
        <v>229343164</v>
      </c>
      <c r="S66" s="15395">
        <v>11986687</v>
      </c>
      <c r="T66" s="2587">
        <v>5998</v>
      </c>
      <c r="U66" s="2587">
        <v>1456</v>
      </c>
      <c r="V66" s="2587">
        <v>4542</v>
      </c>
      <c r="W66" s="2587">
        <v>4103</v>
      </c>
      <c r="X66" s="2587">
        <v>1895</v>
      </c>
      <c r="Y66" s="2595"/>
      <c r="Z66" s="2595"/>
      <c r="AA66" s="2595"/>
      <c r="AB66" s="2587">
        <v>1495</v>
      </c>
      <c r="AC66" s="2587">
        <v>1409</v>
      </c>
      <c r="AD66" s="2587">
        <v>1959</v>
      </c>
      <c r="AE66" s="2587">
        <v>1135</v>
      </c>
      <c r="AF66" s="2587">
        <v>5998</v>
      </c>
      <c r="AG66" s="2595"/>
      <c r="AH66" s="2595"/>
      <c r="AI66" s="2595"/>
      <c r="AJ66" s="2595"/>
      <c r="AK66" s="2595"/>
      <c r="AL66" s="2595"/>
      <c r="AM66" s="2595"/>
      <c r="AN66" s="2587">
        <v>5588</v>
      </c>
      <c r="AO66" s="2587">
        <v>333</v>
      </c>
      <c r="AP66" s="2587">
        <v>75</v>
      </c>
      <c r="AQ66" s="2587">
        <v>1</v>
      </c>
      <c r="AR66" s="2587">
        <v>1</v>
      </c>
      <c r="AS66" s="2595"/>
      <c r="AT66" s="2595"/>
      <c r="AU66" s="2595"/>
      <c r="AV66" s="2595"/>
      <c r="AW66" s="2595"/>
      <c r="AX66" s="2595"/>
      <c r="AY66" s="2595"/>
      <c r="AZ66" s="2595"/>
      <c r="BA66" s="2595"/>
      <c r="BB66" s="2595"/>
      <c r="BC66" s="2595"/>
      <c r="BD66" s="15456"/>
      <c r="BE66" s="2594" t="s">
        <v>3437</v>
      </c>
      <c r="BF66" s="3404" t="s">
        <v>1509</v>
      </c>
      <c r="BG66" s="2594" t="s">
        <v>3437</v>
      </c>
      <c r="BH66" s="3405">
        <v>1</v>
      </c>
      <c r="BI66" s="3405">
        <v>1</v>
      </c>
      <c r="BJ66" s="3149">
        <v>1</v>
      </c>
      <c r="BK66" s="15556"/>
      <c r="BL66" s="2595" t="s">
        <v>3438</v>
      </c>
      <c r="BM66" s="2595" t="s">
        <v>3439</v>
      </c>
      <c r="BN66" s="2595"/>
      <c r="BO66" s="3391">
        <v>5038000</v>
      </c>
      <c r="BP66" s="15547"/>
      <c r="BQ66" s="3392">
        <v>4231920</v>
      </c>
      <c r="BR66" s="3391">
        <f t="shared" si="0"/>
        <v>806080</v>
      </c>
      <c r="BS66" s="3391"/>
      <c r="BT66" s="2588">
        <v>2.0390000000000001</v>
      </c>
      <c r="BU66" s="2587">
        <v>1456</v>
      </c>
      <c r="BV66" s="2587">
        <v>4542</v>
      </c>
      <c r="BW66" s="2587">
        <v>4103</v>
      </c>
      <c r="BX66" s="2587">
        <v>1895</v>
      </c>
      <c r="BY66" s="2587"/>
      <c r="BZ66" s="2587"/>
      <c r="CA66" s="2587"/>
      <c r="CB66" s="2587">
        <v>1495</v>
      </c>
      <c r="CC66" s="2587">
        <v>1409</v>
      </c>
      <c r="CD66" s="2587">
        <v>1959</v>
      </c>
      <c r="CE66" s="2587">
        <v>1135</v>
      </c>
      <c r="CF66" s="2587">
        <v>5998</v>
      </c>
      <c r="CG66" s="2587"/>
      <c r="CH66" s="2587"/>
      <c r="CI66" s="2587"/>
      <c r="CJ66" s="2587"/>
      <c r="CK66" s="2587"/>
      <c r="CL66" s="2587"/>
      <c r="CM66" s="2587"/>
      <c r="CN66" s="2587">
        <v>5588</v>
      </c>
      <c r="CO66" s="2587">
        <v>333</v>
      </c>
      <c r="CP66" s="2587">
        <v>75</v>
      </c>
      <c r="CQ66" s="2587">
        <v>1</v>
      </c>
      <c r="CR66" s="2587">
        <v>1</v>
      </c>
      <c r="CS66" s="2587"/>
      <c r="CT66" s="2595"/>
      <c r="CU66" s="2595"/>
      <c r="CV66" s="2595"/>
      <c r="CW66" s="2595"/>
      <c r="CX66" s="2595"/>
      <c r="CY66" s="2595"/>
      <c r="CZ66" s="2595"/>
      <c r="DA66" s="2595"/>
      <c r="DB66" s="2595"/>
      <c r="DC66" s="2595"/>
      <c r="DE66" s="3406"/>
      <c r="DF66" s="2595"/>
      <c r="DG66" s="2595"/>
      <c r="DH66" s="2595"/>
      <c r="DI66" s="2595"/>
      <c r="DJ66" s="3407"/>
      <c r="DK66" s="3406"/>
      <c r="DL66" s="2595"/>
      <c r="DM66" s="2595"/>
      <c r="DN66" s="3408"/>
      <c r="DO66" s="3409"/>
      <c r="DP66" s="3410"/>
      <c r="DQ66" s="3408"/>
      <c r="DR66" s="3410"/>
      <c r="DS66" s="3408"/>
      <c r="DT66" s="3410"/>
      <c r="DU66" s="2595"/>
      <c r="DV66" s="2595"/>
      <c r="DW66" s="2595"/>
      <c r="DX66" s="2595"/>
      <c r="DY66" s="2595"/>
      <c r="DZ66" s="3407"/>
      <c r="EA66" s="3406"/>
      <c r="EB66" s="2595"/>
      <c r="EC66" s="2595"/>
      <c r="ED66" s="2595"/>
      <c r="EE66" s="2595"/>
      <c r="EF66" s="2595"/>
      <c r="EG66" s="2595"/>
      <c r="EH66" s="2595"/>
      <c r="EI66" s="2595"/>
      <c r="EJ66" s="2595"/>
      <c r="EK66" s="2595"/>
      <c r="EL66" s="2595"/>
      <c r="EM66" s="2595"/>
      <c r="EN66" s="3408"/>
      <c r="EO66" s="3410"/>
      <c r="EP66" s="2595"/>
      <c r="EQ66" s="2595"/>
      <c r="ER66" s="2595"/>
      <c r="ES66" s="3407"/>
      <c r="ET66" s="3406"/>
      <c r="EU66" s="2595"/>
      <c r="EV66" s="2595"/>
      <c r="EW66" s="2595"/>
      <c r="EX66" s="3408"/>
    </row>
    <row r="67" spans="1:154" s="3393" customFormat="1" ht="15" customHeight="1" thickBot="1">
      <c r="A67" s="15452"/>
      <c r="B67" s="15454"/>
      <c r="C67" s="15456"/>
      <c r="D67" s="15456"/>
      <c r="E67" s="15456"/>
      <c r="F67" s="3400" t="s">
        <v>7741</v>
      </c>
      <c r="G67" s="3401" t="s">
        <v>3436</v>
      </c>
      <c r="H67" s="3402" t="s">
        <v>86</v>
      </c>
      <c r="I67" s="15490"/>
      <c r="J67" s="2594" t="s">
        <v>4129</v>
      </c>
      <c r="K67" s="3403">
        <v>1</v>
      </c>
      <c r="L67" s="2594" t="s">
        <v>4124</v>
      </c>
      <c r="M67" s="2594" t="s">
        <v>3439</v>
      </c>
      <c r="N67" s="2594"/>
      <c r="O67" s="15495"/>
      <c r="P67" s="15492"/>
      <c r="Q67" s="15396"/>
      <c r="R67" s="15396"/>
      <c r="S67" s="15396"/>
      <c r="T67" s="2587">
        <v>5998</v>
      </c>
      <c r="U67" s="2587">
        <v>1456</v>
      </c>
      <c r="V67" s="2587">
        <v>4542</v>
      </c>
      <c r="W67" s="2587">
        <v>4103</v>
      </c>
      <c r="X67" s="2587">
        <v>1895</v>
      </c>
      <c r="Y67" s="2587"/>
      <c r="Z67" s="2587"/>
      <c r="AA67" s="2587"/>
      <c r="AB67" s="2587">
        <v>1495</v>
      </c>
      <c r="AC67" s="2587">
        <v>1409</v>
      </c>
      <c r="AD67" s="2587">
        <v>1959</v>
      </c>
      <c r="AE67" s="2587">
        <v>1135</v>
      </c>
      <c r="AF67" s="2587">
        <v>5998</v>
      </c>
      <c r="AG67" s="2587"/>
      <c r="AH67" s="2587"/>
      <c r="AI67" s="2587"/>
      <c r="AJ67" s="2587"/>
      <c r="AK67" s="2587"/>
      <c r="AL67" s="2587"/>
      <c r="AM67" s="2587"/>
      <c r="AN67" s="2587">
        <v>5588</v>
      </c>
      <c r="AO67" s="2587">
        <v>333</v>
      </c>
      <c r="AP67" s="2587">
        <v>75</v>
      </c>
      <c r="AQ67" s="2587">
        <v>1</v>
      </c>
      <c r="AR67" s="2587">
        <v>1</v>
      </c>
      <c r="AS67" s="2587"/>
      <c r="AT67" s="2587"/>
      <c r="AU67" s="2587"/>
      <c r="AV67" s="2587"/>
      <c r="AW67" s="2587"/>
      <c r="AX67" s="2587"/>
      <c r="AY67" s="2587"/>
      <c r="AZ67" s="2587"/>
      <c r="BA67" s="2587"/>
      <c r="BB67" s="2587"/>
      <c r="BC67" s="2587"/>
      <c r="BD67" s="15456"/>
      <c r="BE67" s="2594" t="s">
        <v>4129</v>
      </c>
      <c r="BF67" s="3404" t="s">
        <v>1509</v>
      </c>
      <c r="BG67" s="2594" t="s">
        <v>4129</v>
      </c>
      <c r="BH67" s="3405">
        <v>1</v>
      </c>
      <c r="BI67" s="3405">
        <v>1</v>
      </c>
      <c r="BJ67" s="3149">
        <v>1</v>
      </c>
      <c r="BK67" s="15556"/>
      <c r="BL67" s="2594" t="s">
        <v>4124</v>
      </c>
      <c r="BM67" s="2594" t="s">
        <v>3439</v>
      </c>
      <c r="BN67" s="2594"/>
      <c r="BO67" s="3391">
        <v>5038000</v>
      </c>
      <c r="BP67" s="15547"/>
      <c r="BQ67" s="3392">
        <v>4231920</v>
      </c>
      <c r="BR67" s="3391">
        <f t="shared" si="0"/>
        <v>806080</v>
      </c>
      <c r="BS67" s="3391"/>
      <c r="BT67" s="2588">
        <v>2.0390000000000001</v>
      </c>
      <c r="BU67" s="2587">
        <v>1456</v>
      </c>
      <c r="BV67" s="2587">
        <v>4542</v>
      </c>
      <c r="BW67" s="2587">
        <v>4103</v>
      </c>
      <c r="BX67" s="2587">
        <v>1895</v>
      </c>
      <c r="BY67" s="2587"/>
      <c r="BZ67" s="2587"/>
      <c r="CA67" s="2587"/>
      <c r="CB67" s="2587">
        <v>1495</v>
      </c>
      <c r="CC67" s="2587">
        <v>1409</v>
      </c>
      <c r="CD67" s="2587">
        <v>1959</v>
      </c>
      <c r="CE67" s="2587">
        <v>1135</v>
      </c>
      <c r="CF67" s="2587">
        <v>5998</v>
      </c>
      <c r="CG67" s="2587"/>
      <c r="CH67" s="2587"/>
      <c r="CI67" s="2587"/>
      <c r="CJ67" s="2587"/>
      <c r="CK67" s="2587"/>
      <c r="CL67" s="2587"/>
      <c r="CM67" s="2587"/>
      <c r="CN67" s="2587">
        <v>5588</v>
      </c>
      <c r="CO67" s="2587">
        <v>333</v>
      </c>
      <c r="CP67" s="2587">
        <v>75</v>
      </c>
      <c r="CQ67" s="2587">
        <v>1</v>
      </c>
      <c r="CR67" s="2587">
        <v>1</v>
      </c>
      <c r="CS67" s="2587"/>
      <c r="CT67" s="2587"/>
      <c r="CU67" s="2587"/>
      <c r="CV67" s="2587"/>
      <c r="CW67" s="2587"/>
      <c r="CX67" s="2587"/>
      <c r="CY67" s="2587"/>
      <c r="CZ67" s="2587"/>
      <c r="DA67" s="2587"/>
      <c r="DB67" s="2587"/>
      <c r="DC67" s="2587"/>
      <c r="DE67" s="3406"/>
      <c r="DF67" s="2595"/>
      <c r="DG67" s="2595"/>
      <c r="DH67" s="2595"/>
      <c r="DI67" s="2595"/>
      <c r="DJ67" s="3407"/>
      <c r="DK67" s="3406"/>
      <c r="DL67" s="2595"/>
      <c r="DM67" s="2595"/>
      <c r="DN67" s="3408"/>
      <c r="DO67" s="3409"/>
      <c r="DP67" s="3410"/>
      <c r="DQ67" s="3408"/>
      <c r="DR67" s="3410"/>
      <c r="DS67" s="3408"/>
      <c r="DT67" s="3410"/>
      <c r="DU67" s="2595"/>
      <c r="DV67" s="2595"/>
      <c r="DW67" s="2595"/>
      <c r="DX67" s="2595"/>
      <c r="DY67" s="2595"/>
      <c r="DZ67" s="3407"/>
      <c r="EA67" s="3406"/>
      <c r="EB67" s="2595"/>
      <c r="EC67" s="2595"/>
      <c r="ED67" s="2595"/>
      <c r="EE67" s="2595"/>
      <c r="EF67" s="2595"/>
      <c r="EG67" s="2595"/>
      <c r="EH67" s="2595"/>
      <c r="EI67" s="2595"/>
      <c r="EJ67" s="2595"/>
      <c r="EK67" s="2595"/>
      <c r="EL67" s="2595"/>
      <c r="EM67" s="2595"/>
      <c r="EN67" s="3408"/>
      <c r="EO67" s="3410"/>
      <c r="EP67" s="2595"/>
      <c r="EQ67" s="2595"/>
      <c r="ER67" s="2595"/>
      <c r="ES67" s="3407"/>
      <c r="ET67" s="3406"/>
      <c r="EU67" s="2595"/>
      <c r="EV67" s="2595"/>
      <c r="EW67" s="2595"/>
      <c r="EX67" s="3408"/>
    </row>
    <row r="68" spans="1:154" s="3393" customFormat="1" ht="15" customHeight="1" thickBot="1">
      <c r="A68" s="15452"/>
      <c r="B68" s="15454" t="s">
        <v>3309</v>
      </c>
      <c r="C68" s="15456"/>
      <c r="D68" s="15456"/>
      <c r="E68" s="15456"/>
      <c r="F68" s="3400" t="s">
        <v>7742</v>
      </c>
      <c r="G68" s="3401" t="s">
        <v>3440</v>
      </c>
      <c r="H68" s="3402" t="s">
        <v>86</v>
      </c>
      <c r="I68" s="15490"/>
      <c r="J68" s="2595" t="s">
        <v>4130</v>
      </c>
      <c r="K68" s="3403">
        <v>1</v>
      </c>
      <c r="L68" s="2594" t="s">
        <v>3438</v>
      </c>
      <c r="M68" s="2595" t="s">
        <v>3439</v>
      </c>
      <c r="N68" s="2595"/>
      <c r="O68" s="3411">
        <v>15239000</v>
      </c>
      <c r="P68" s="15492"/>
      <c r="Q68" s="3412">
        <v>52410800</v>
      </c>
      <c r="R68" s="3412">
        <v>229343164</v>
      </c>
      <c r="S68" s="3412">
        <v>11986687</v>
      </c>
      <c r="T68" s="2587">
        <v>5998</v>
      </c>
      <c r="U68" s="2587">
        <v>1456</v>
      </c>
      <c r="V68" s="2587">
        <v>4542</v>
      </c>
      <c r="W68" s="2587">
        <v>4103</v>
      </c>
      <c r="X68" s="2587">
        <v>1895</v>
      </c>
      <c r="Y68" s="2595"/>
      <c r="Z68" s="2595"/>
      <c r="AA68" s="2595"/>
      <c r="AB68" s="2587">
        <v>1495</v>
      </c>
      <c r="AC68" s="2587">
        <v>1409</v>
      </c>
      <c r="AD68" s="2587">
        <v>1959</v>
      </c>
      <c r="AE68" s="2587">
        <v>1135</v>
      </c>
      <c r="AF68" s="2587">
        <v>5998</v>
      </c>
      <c r="AG68" s="2595"/>
      <c r="AH68" s="2595"/>
      <c r="AI68" s="2595"/>
      <c r="AJ68" s="2595"/>
      <c r="AK68" s="2595"/>
      <c r="AL68" s="2595"/>
      <c r="AM68" s="2595"/>
      <c r="AN68" s="2587">
        <v>5588</v>
      </c>
      <c r="AO68" s="2587">
        <v>333</v>
      </c>
      <c r="AP68" s="2587">
        <v>75</v>
      </c>
      <c r="AQ68" s="2587">
        <v>1</v>
      </c>
      <c r="AR68" s="2587">
        <v>1</v>
      </c>
      <c r="AS68" s="2595"/>
      <c r="AT68" s="2595"/>
      <c r="AU68" s="2595"/>
      <c r="AV68" s="2595"/>
      <c r="AW68" s="2595"/>
      <c r="AX68" s="2595"/>
      <c r="AY68" s="2595"/>
      <c r="AZ68" s="2595"/>
      <c r="BA68" s="2595"/>
      <c r="BB68" s="2595"/>
      <c r="BC68" s="2595"/>
      <c r="BD68" s="15456"/>
      <c r="BE68" s="2595" t="s">
        <v>4130</v>
      </c>
      <c r="BF68" s="3404" t="s">
        <v>1509</v>
      </c>
      <c r="BG68" s="2595" t="s">
        <v>4130</v>
      </c>
      <c r="BH68" s="3405">
        <v>1</v>
      </c>
      <c r="BI68" s="3405">
        <v>1</v>
      </c>
      <c r="BJ68" s="3149">
        <v>1</v>
      </c>
      <c r="BK68" s="15556"/>
      <c r="BL68" s="2594" t="s">
        <v>3438</v>
      </c>
      <c r="BM68" s="2595" t="s">
        <v>3439</v>
      </c>
      <c r="BN68" s="2595"/>
      <c r="BO68" s="3391">
        <v>5038000</v>
      </c>
      <c r="BP68" s="15547"/>
      <c r="BQ68" s="3392">
        <v>4231920</v>
      </c>
      <c r="BR68" s="3391">
        <f t="shared" si="0"/>
        <v>806080</v>
      </c>
      <c r="BS68" s="3391"/>
      <c r="BT68" s="2588">
        <v>2.0390000000000001</v>
      </c>
      <c r="BU68" s="2587">
        <v>1456</v>
      </c>
      <c r="BV68" s="2587">
        <v>4542</v>
      </c>
      <c r="BW68" s="2587">
        <v>4103</v>
      </c>
      <c r="BX68" s="2587">
        <v>1895</v>
      </c>
      <c r="BY68" s="2587"/>
      <c r="BZ68" s="2587"/>
      <c r="CA68" s="2587"/>
      <c r="CB68" s="2587">
        <v>1495</v>
      </c>
      <c r="CC68" s="2587">
        <v>1409</v>
      </c>
      <c r="CD68" s="2587">
        <v>1959</v>
      </c>
      <c r="CE68" s="2587">
        <v>1135</v>
      </c>
      <c r="CF68" s="2587">
        <v>5998</v>
      </c>
      <c r="CG68" s="2587"/>
      <c r="CH68" s="2587"/>
      <c r="CI68" s="2587"/>
      <c r="CJ68" s="2587"/>
      <c r="CK68" s="2587"/>
      <c r="CL68" s="2587"/>
      <c r="CM68" s="2587"/>
      <c r="CN68" s="2587">
        <v>5588</v>
      </c>
      <c r="CO68" s="2587">
        <v>333</v>
      </c>
      <c r="CP68" s="2587">
        <v>75</v>
      </c>
      <c r="CQ68" s="2587">
        <v>1</v>
      </c>
      <c r="CR68" s="2587">
        <v>1</v>
      </c>
      <c r="CS68" s="2587"/>
      <c r="CT68" s="2595"/>
      <c r="CU68" s="2595"/>
      <c r="CV68" s="2595"/>
      <c r="CW68" s="2595"/>
      <c r="CX68" s="2595"/>
      <c r="CY68" s="2595"/>
      <c r="CZ68" s="2595"/>
      <c r="DA68" s="2595"/>
      <c r="DB68" s="2595"/>
      <c r="DC68" s="2595"/>
      <c r="DE68" s="3406"/>
      <c r="DF68" s="2595"/>
      <c r="DG68" s="2595"/>
      <c r="DH68" s="2595"/>
      <c r="DI68" s="2595"/>
      <c r="DJ68" s="3407"/>
      <c r="DK68" s="3406"/>
      <c r="DL68" s="2595"/>
      <c r="DM68" s="2595"/>
      <c r="DN68" s="3408"/>
      <c r="DO68" s="3409"/>
      <c r="DP68" s="3410"/>
      <c r="DQ68" s="3408"/>
      <c r="DR68" s="3410"/>
      <c r="DS68" s="3408"/>
      <c r="DT68" s="3410"/>
      <c r="DU68" s="2595"/>
      <c r="DV68" s="2595"/>
      <c r="DW68" s="2595"/>
      <c r="DX68" s="2595"/>
      <c r="DY68" s="2595"/>
      <c r="DZ68" s="3407"/>
      <c r="EA68" s="3406"/>
      <c r="EB68" s="2595"/>
      <c r="EC68" s="2595"/>
      <c r="ED68" s="2595"/>
      <c r="EE68" s="2595"/>
      <c r="EF68" s="2595"/>
      <c r="EG68" s="2595"/>
      <c r="EH68" s="2595"/>
      <c r="EI68" s="2595"/>
      <c r="EJ68" s="2595"/>
      <c r="EK68" s="2595"/>
      <c r="EL68" s="2595"/>
      <c r="EM68" s="2595"/>
      <c r="EN68" s="3408"/>
      <c r="EO68" s="3410"/>
      <c r="EP68" s="2595"/>
      <c r="EQ68" s="2595"/>
      <c r="ER68" s="2595"/>
      <c r="ES68" s="3407"/>
      <c r="ET68" s="3406"/>
      <c r="EU68" s="2595"/>
      <c r="EV68" s="2595"/>
      <c r="EW68" s="2595"/>
      <c r="EX68" s="3408"/>
    </row>
    <row r="69" spans="1:154" s="3393" customFormat="1" ht="15" customHeight="1" thickBot="1">
      <c r="A69" s="15452"/>
      <c r="B69" s="15454"/>
      <c r="C69" s="15456"/>
      <c r="D69" s="15456"/>
      <c r="E69" s="15456"/>
      <c r="F69" s="3400" t="s">
        <v>7743</v>
      </c>
      <c r="G69" s="3401" t="s">
        <v>3441</v>
      </c>
      <c r="H69" s="3402" t="s">
        <v>86</v>
      </c>
      <c r="I69" s="15490"/>
      <c r="J69" s="2594" t="s">
        <v>3387</v>
      </c>
      <c r="K69" s="3403">
        <v>1</v>
      </c>
      <c r="L69" s="2594" t="s">
        <v>3388</v>
      </c>
      <c r="M69" s="2594" t="s">
        <v>3389</v>
      </c>
      <c r="N69" s="2594"/>
      <c r="O69" s="3411">
        <v>30478000</v>
      </c>
      <c r="P69" s="15492"/>
      <c r="Q69" s="3412">
        <v>52410800</v>
      </c>
      <c r="R69" s="3412">
        <v>229343164</v>
      </c>
      <c r="S69" s="3412">
        <v>11986687</v>
      </c>
      <c r="T69" s="2594"/>
      <c r="U69" s="2594"/>
      <c r="V69" s="2594"/>
      <c r="W69" s="2594"/>
      <c r="X69" s="2595"/>
      <c r="Y69" s="2595"/>
      <c r="Z69" s="2595"/>
      <c r="AA69" s="2595"/>
      <c r="AB69" s="2595"/>
      <c r="AC69" s="2595"/>
      <c r="AD69" s="2595"/>
      <c r="AE69" s="2595"/>
      <c r="AF69" s="2595"/>
      <c r="AG69" s="2595"/>
      <c r="AH69" s="2595"/>
      <c r="AI69" s="2595"/>
      <c r="AJ69" s="2595"/>
      <c r="AK69" s="2595"/>
      <c r="AL69" s="2595"/>
      <c r="AM69" s="2595"/>
      <c r="AN69" s="2595"/>
      <c r="AO69" s="2595"/>
      <c r="AP69" s="2595"/>
      <c r="AQ69" s="2595"/>
      <c r="AR69" s="2595"/>
      <c r="AS69" s="2595"/>
      <c r="AT69" s="2587" t="s">
        <v>3442</v>
      </c>
      <c r="AU69" s="2587" t="s">
        <v>3443</v>
      </c>
      <c r="AV69" s="2587">
        <v>63</v>
      </c>
      <c r="AW69" s="2587" t="s">
        <v>3334</v>
      </c>
      <c r="AX69" s="2595"/>
      <c r="AY69" s="2595"/>
      <c r="AZ69" s="2595"/>
      <c r="BA69" s="2595"/>
      <c r="BB69" s="2595"/>
      <c r="BC69" s="2595"/>
      <c r="BD69" s="15456"/>
      <c r="BE69" s="2594" t="s">
        <v>3387</v>
      </c>
      <c r="BF69" s="3404" t="s">
        <v>1509</v>
      </c>
      <c r="BG69" s="2594" t="s">
        <v>3387</v>
      </c>
      <c r="BH69" s="2587" t="s">
        <v>9647</v>
      </c>
      <c r="BI69" s="3405">
        <v>1</v>
      </c>
      <c r="BJ69" s="3149">
        <v>1</v>
      </c>
      <c r="BK69" s="15556"/>
      <c r="BL69" s="2594" t="s">
        <v>3388</v>
      </c>
      <c r="BM69" s="2594" t="s">
        <v>3389</v>
      </c>
      <c r="BN69" s="2594"/>
      <c r="BO69" s="3391">
        <v>5038000</v>
      </c>
      <c r="BP69" s="15547"/>
      <c r="BQ69" s="3392">
        <v>4231920</v>
      </c>
      <c r="BR69" s="3391">
        <f t="shared" si="0"/>
        <v>806080</v>
      </c>
      <c r="BS69" s="3391"/>
      <c r="BT69" s="2588">
        <v>2.0390000000000001</v>
      </c>
      <c r="BU69" s="2587">
        <v>1456</v>
      </c>
      <c r="BV69" s="2587">
        <v>4542</v>
      </c>
      <c r="BW69" s="2587">
        <v>4103</v>
      </c>
      <c r="BX69" s="2587">
        <v>1895</v>
      </c>
      <c r="BY69" s="2587"/>
      <c r="BZ69" s="2587"/>
      <c r="CA69" s="2587"/>
      <c r="CB69" s="2587"/>
      <c r="CC69" s="2587"/>
      <c r="CD69" s="2587"/>
      <c r="CE69" s="2587"/>
      <c r="CF69" s="2587"/>
      <c r="CG69" s="2587"/>
      <c r="CH69" s="2587"/>
      <c r="CI69" s="2587"/>
      <c r="CJ69" s="2587"/>
      <c r="CK69" s="2587"/>
      <c r="CL69" s="2587"/>
      <c r="CM69" s="2587"/>
      <c r="CN69" s="2587"/>
      <c r="CO69" s="2587"/>
      <c r="CP69" s="2587"/>
      <c r="CQ69" s="2587"/>
      <c r="CR69" s="2587"/>
      <c r="CS69" s="2587"/>
      <c r="CT69" s="2587" t="s">
        <v>3442</v>
      </c>
      <c r="CU69" s="2587" t="s">
        <v>3443</v>
      </c>
      <c r="CV69" s="2587">
        <v>63</v>
      </c>
      <c r="CW69" s="2587" t="s">
        <v>3334</v>
      </c>
      <c r="CX69" s="2595"/>
      <c r="CY69" s="2595"/>
      <c r="CZ69" s="2595"/>
      <c r="DA69" s="2595"/>
      <c r="DB69" s="2595"/>
      <c r="DC69" s="2595"/>
      <c r="DE69" s="3406"/>
      <c r="DF69" s="2595"/>
      <c r="DG69" s="2595"/>
      <c r="DH69" s="2595"/>
      <c r="DI69" s="2595"/>
      <c r="DJ69" s="3407"/>
      <c r="DK69" s="3406"/>
      <c r="DL69" s="2595"/>
      <c r="DM69" s="2595"/>
      <c r="DN69" s="3408"/>
      <c r="DO69" s="3409"/>
      <c r="DP69" s="3410"/>
      <c r="DQ69" s="3408"/>
      <c r="DR69" s="3410"/>
      <c r="DS69" s="3408"/>
      <c r="DT69" s="3410"/>
      <c r="DU69" s="2595"/>
      <c r="DV69" s="2595"/>
      <c r="DW69" s="2595"/>
      <c r="DX69" s="2595"/>
      <c r="DY69" s="2595"/>
      <c r="DZ69" s="3407"/>
      <c r="EA69" s="3406"/>
      <c r="EB69" s="2595"/>
      <c r="EC69" s="2595"/>
      <c r="ED69" s="2595"/>
      <c r="EE69" s="2595"/>
      <c r="EF69" s="2595"/>
      <c r="EG69" s="2595"/>
      <c r="EH69" s="2595"/>
      <c r="EI69" s="2595"/>
      <c r="EJ69" s="2595"/>
      <c r="EK69" s="2595"/>
      <c r="EL69" s="2595"/>
      <c r="EM69" s="2595"/>
      <c r="EN69" s="3408"/>
      <c r="EO69" s="3410"/>
      <c r="EP69" s="2595"/>
      <c r="EQ69" s="2595"/>
      <c r="ER69" s="2595"/>
      <c r="ES69" s="3407"/>
      <c r="ET69" s="3406"/>
      <c r="EU69" s="2595"/>
      <c r="EV69" s="2595"/>
      <c r="EW69" s="2595"/>
      <c r="EX69" s="3408"/>
    </row>
    <row r="70" spans="1:154" s="3393" customFormat="1" ht="15" customHeight="1" thickBot="1">
      <c r="A70" s="15452"/>
      <c r="B70" s="15454"/>
      <c r="C70" s="15456"/>
      <c r="D70" s="15456"/>
      <c r="E70" s="15456"/>
      <c r="F70" s="3400" t="s">
        <v>7744</v>
      </c>
      <c r="G70" s="3413" t="s">
        <v>3444</v>
      </c>
      <c r="H70" s="3402" t="s">
        <v>86</v>
      </c>
      <c r="I70" s="15490"/>
      <c r="J70" s="3414" t="s">
        <v>3303</v>
      </c>
      <c r="K70" s="3403">
        <v>1</v>
      </c>
      <c r="L70" s="3414" t="s">
        <v>3345</v>
      </c>
      <c r="M70" s="3414" t="s">
        <v>3305</v>
      </c>
      <c r="N70" s="3414" t="s">
        <v>3445</v>
      </c>
      <c r="O70" s="3411">
        <v>30478000</v>
      </c>
      <c r="P70" s="15492"/>
      <c r="Q70" s="3412">
        <v>52410800</v>
      </c>
      <c r="R70" s="3412">
        <v>229343164</v>
      </c>
      <c r="S70" s="3412">
        <v>11986687</v>
      </c>
      <c r="T70" s="3415"/>
      <c r="U70" s="3415"/>
      <c r="V70" s="3415"/>
      <c r="W70" s="3415"/>
      <c r="X70" s="2587"/>
      <c r="Y70" s="2587"/>
      <c r="Z70" s="2587"/>
      <c r="AA70" s="2587"/>
      <c r="AB70" s="2587"/>
      <c r="AC70" s="2587"/>
      <c r="AD70" s="2587"/>
      <c r="AE70" s="2587"/>
      <c r="AF70" s="2587"/>
      <c r="AG70" s="2587"/>
      <c r="AH70" s="2587"/>
      <c r="AI70" s="2587"/>
      <c r="AJ70" s="2587"/>
      <c r="AK70" s="2587"/>
      <c r="AL70" s="2587"/>
      <c r="AM70" s="2587"/>
      <c r="AN70" s="2587"/>
      <c r="AO70" s="2587"/>
      <c r="AP70" s="2587"/>
      <c r="AQ70" s="2587"/>
      <c r="AR70" s="2587"/>
      <c r="AS70" s="2587"/>
      <c r="AT70" s="2593" t="s">
        <v>3287</v>
      </c>
      <c r="AU70" s="2599" t="s">
        <v>3288</v>
      </c>
      <c r="AV70" s="2588">
        <v>41</v>
      </c>
      <c r="AW70" s="2595"/>
      <c r="AX70" s="2595"/>
      <c r="AY70" s="2595"/>
      <c r="AZ70" s="2595"/>
      <c r="BA70" s="2595"/>
      <c r="BB70" s="2595"/>
      <c r="BC70" s="2595"/>
      <c r="BD70" s="15456"/>
      <c r="BE70" s="3414" t="s">
        <v>3303</v>
      </c>
      <c r="BF70" s="3404" t="s">
        <v>1509</v>
      </c>
      <c r="BG70" s="3414" t="s">
        <v>3303</v>
      </c>
      <c r="BH70" s="3405">
        <v>1</v>
      </c>
      <c r="BI70" s="3405">
        <v>1</v>
      </c>
      <c r="BJ70" s="3149">
        <v>1</v>
      </c>
      <c r="BK70" s="15556"/>
      <c r="BL70" s="3414" t="s">
        <v>3345</v>
      </c>
      <c r="BM70" s="3414" t="s">
        <v>3305</v>
      </c>
      <c r="BN70" s="3414" t="s">
        <v>3445</v>
      </c>
      <c r="BO70" s="3391">
        <v>5038000</v>
      </c>
      <c r="BP70" s="15547"/>
      <c r="BQ70" s="3392">
        <v>4231920</v>
      </c>
      <c r="BR70" s="3391">
        <f t="shared" si="0"/>
        <v>806080</v>
      </c>
      <c r="BS70" s="3391"/>
      <c r="BT70" s="2588">
        <v>2.0390000000000001</v>
      </c>
      <c r="BU70" s="2587">
        <v>1456</v>
      </c>
      <c r="BV70" s="2587">
        <v>4542</v>
      </c>
      <c r="BW70" s="2587">
        <v>4103</v>
      </c>
      <c r="BX70" s="2587">
        <v>1895</v>
      </c>
      <c r="BY70" s="2587"/>
      <c r="BZ70" s="2587"/>
      <c r="CA70" s="2587"/>
      <c r="CB70" s="2587"/>
      <c r="CC70" s="2587"/>
      <c r="CD70" s="2587"/>
      <c r="CE70" s="2587"/>
      <c r="CF70" s="2587"/>
      <c r="CG70" s="2587"/>
      <c r="CH70" s="2587"/>
      <c r="CI70" s="2587"/>
      <c r="CJ70" s="2587"/>
      <c r="CK70" s="2587"/>
      <c r="CL70" s="2587"/>
      <c r="CM70" s="2587"/>
      <c r="CN70" s="2587"/>
      <c r="CO70" s="2587"/>
      <c r="CP70" s="2587"/>
      <c r="CQ70" s="2587"/>
      <c r="CR70" s="2587"/>
      <c r="CS70" s="2587"/>
      <c r="CT70" s="2593" t="s">
        <v>3287</v>
      </c>
      <c r="CU70" s="2599" t="s">
        <v>3288</v>
      </c>
      <c r="CV70" s="2588">
        <v>41</v>
      </c>
      <c r="CW70" s="2595"/>
      <c r="CX70" s="2595"/>
      <c r="CY70" s="2595"/>
      <c r="CZ70" s="2595"/>
      <c r="DA70" s="2595"/>
      <c r="DB70" s="2595"/>
      <c r="DC70" s="2595"/>
      <c r="DE70" s="3406"/>
      <c r="DF70" s="2595"/>
      <c r="DG70" s="2595"/>
      <c r="DH70" s="2595"/>
      <c r="DI70" s="2595"/>
      <c r="DJ70" s="3407"/>
      <c r="DK70" s="3406"/>
      <c r="DL70" s="2595"/>
      <c r="DM70" s="2595"/>
      <c r="DN70" s="3408"/>
      <c r="DO70" s="3409"/>
      <c r="DP70" s="3410"/>
      <c r="DQ70" s="3408"/>
      <c r="DR70" s="3410"/>
      <c r="DS70" s="3408"/>
      <c r="DT70" s="3410"/>
      <c r="DU70" s="2595"/>
      <c r="DV70" s="2595"/>
      <c r="DW70" s="2595"/>
      <c r="DX70" s="2595"/>
      <c r="DY70" s="2595"/>
      <c r="DZ70" s="3407"/>
      <c r="EA70" s="3406"/>
      <c r="EB70" s="2595"/>
      <c r="EC70" s="2595"/>
      <c r="ED70" s="2595"/>
      <c r="EE70" s="2595"/>
      <c r="EF70" s="2595"/>
      <c r="EG70" s="2595"/>
      <c r="EH70" s="2595"/>
      <c r="EI70" s="2595"/>
      <c r="EJ70" s="2595"/>
      <c r="EK70" s="2595"/>
      <c r="EL70" s="2595"/>
      <c r="EM70" s="2595"/>
      <c r="EN70" s="3408"/>
      <c r="EO70" s="3410"/>
      <c r="EP70" s="2595"/>
      <c r="EQ70" s="2595"/>
      <c r="ER70" s="2595"/>
      <c r="ES70" s="3407"/>
      <c r="ET70" s="3406"/>
      <c r="EU70" s="2595"/>
      <c r="EV70" s="2595"/>
      <c r="EW70" s="2595"/>
      <c r="EX70" s="3408"/>
    </row>
    <row r="71" spans="1:154" s="3393" customFormat="1" ht="15" customHeight="1" thickBot="1">
      <c r="A71" s="15452"/>
      <c r="B71" s="15454"/>
      <c r="C71" s="15456"/>
      <c r="D71" s="15456"/>
      <c r="E71" s="15456"/>
      <c r="F71" s="3400" t="s">
        <v>7745</v>
      </c>
      <c r="G71" s="3413" t="s">
        <v>3446</v>
      </c>
      <c r="H71" s="3402" t="s">
        <v>86</v>
      </c>
      <c r="I71" s="15490"/>
      <c r="J71" s="2594" t="s">
        <v>3447</v>
      </c>
      <c r="K71" s="3403">
        <v>1</v>
      </c>
      <c r="L71" s="2594" t="s">
        <v>4125</v>
      </c>
      <c r="M71" s="2594" t="s">
        <v>3448</v>
      </c>
      <c r="N71" s="2594" t="s">
        <v>3449</v>
      </c>
      <c r="O71" s="3411">
        <v>15239000</v>
      </c>
      <c r="P71" s="15492"/>
      <c r="Q71" s="3412">
        <v>52410800</v>
      </c>
      <c r="R71" s="3412">
        <v>229343164</v>
      </c>
      <c r="S71" s="3412">
        <v>11986687</v>
      </c>
      <c r="T71" s="2587">
        <v>36</v>
      </c>
      <c r="U71" s="2587">
        <v>24</v>
      </c>
      <c r="V71" s="2587">
        <v>12</v>
      </c>
      <c r="W71" s="2587">
        <v>17</v>
      </c>
      <c r="X71" s="2587">
        <v>19</v>
      </c>
      <c r="Y71" s="2587"/>
      <c r="Z71" s="2587"/>
      <c r="AA71" s="2587"/>
      <c r="AB71" s="2587">
        <v>12</v>
      </c>
      <c r="AC71" s="2587">
        <v>16</v>
      </c>
      <c r="AD71" s="2587">
        <v>8</v>
      </c>
      <c r="AE71" s="2587"/>
      <c r="AF71" s="2587">
        <v>29</v>
      </c>
      <c r="AG71" s="2587"/>
      <c r="AH71" s="2587"/>
      <c r="AI71" s="2587"/>
      <c r="AJ71" s="2587"/>
      <c r="AK71" s="2587"/>
      <c r="AL71" s="2587">
        <v>5</v>
      </c>
      <c r="AM71" s="2587">
        <v>2</v>
      </c>
      <c r="AN71" s="2587">
        <v>36</v>
      </c>
      <c r="AO71" s="2587"/>
      <c r="AP71" s="2587"/>
      <c r="AQ71" s="2587"/>
      <c r="AR71" s="2587"/>
      <c r="AS71" s="2587"/>
      <c r="AT71" s="2587"/>
      <c r="AU71" s="2587"/>
      <c r="AV71" s="2587"/>
      <c r="AW71" s="2587"/>
      <c r="AX71" s="2587"/>
      <c r="AY71" s="2587"/>
      <c r="AZ71" s="2587"/>
      <c r="BA71" s="2587"/>
      <c r="BB71" s="2587"/>
      <c r="BC71" s="2587"/>
      <c r="BD71" s="15456"/>
      <c r="BE71" s="2594" t="s">
        <v>3447</v>
      </c>
      <c r="BF71" s="3404" t="s">
        <v>1509</v>
      </c>
      <c r="BG71" s="2594" t="s">
        <v>3447</v>
      </c>
      <c r="BH71" s="3405">
        <v>1</v>
      </c>
      <c r="BI71" s="3405">
        <v>1</v>
      </c>
      <c r="BJ71" s="3149">
        <v>1</v>
      </c>
      <c r="BK71" s="15556"/>
      <c r="BL71" s="2594" t="s">
        <v>4125</v>
      </c>
      <c r="BM71" s="2594" t="s">
        <v>3448</v>
      </c>
      <c r="BN71" s="2594" t="s">
        <v>3449</v>
      </c>
      <c r="BO71" s="3391">
        <v>5038000</v>
      </c>
      <c r="BP71" s="15547"/>
      <c r="BQ71" s="3392">
        <v>4231920</v>
      </c>
      <c r="BR71" s="3391">
        <f t="shared" ref="BR71:BR103" si="1">BO71-BQ71</f>
        <v>806080</v>
      </c>
      <c r="BS71" s="3391"/>
      <c r="BT71" s="2587">
        <v>44</v>
      </c>
      <c r="BU71" s="2587">
        <v>22</v>
      </c>
      <c r="BV71" s="2587">
        <v>22</v>
      </c>
      <c r="BW71" s="2587">
        <v>43</v>
      </c>
      <c r="BX71" s="2587">
        <v>2</v>
      </c>
      <c r="BY71" s="2587"/>
      <c r="BZ71" s="2587"/>
      <c r="CA71" s="2587"/>
      <c r="CB71" s="2587"/>
      <c r="CC71" s="2587"/>
      <c r="CD71" s="2587"/>
      <c r="CE71" s="2587"/>
      <c r="CF71" s="2587"/>
      <c r="CG71" s="2587"/>
      <c r="CH71" s="2587"/>
      <c r="CI71" s="2587"/>
      <c r="CJ71" s="2587"/>
      <c r="CK71" s="2587"/>
      <c r="CL71" s="2587">
        <v>5</v>
      </c>
      <c r="CM71" s="2587">
        <v>2</v>
      </c>
      <c r="CN71" s="2587">
        <v>36</v>
      </c>
      <c r="CO71" s="2587"/>
      <c r="CP71" s="2587"/>
      <c r="CQ71" s="2587"/>
      <c r="CR71" s="2587"/>
      <c r="CS71" s="2587"/>
      <c r="CT71" s="2587"/>
      <c r="CU71" s="2587"/>
      <c r="CV71" s="2587"/>
      <c r="CW71" s="2587"/>
      <c r="CX71" s="2587"/>
      <c r="CY71" s="2587"/>
      <c r="CZ71" s="2587"/>
      <c r="DA71" s="2587"/>
      <c r="DB71" s="2587"/>
      <c r="DC71" s="2587"/>
      <c r="DE71" s="3406"/>
      <c r="DF71" s="2595"/>
      <c r="DG71" s="2595"/>
      <c r="DH71" s="2595"/>
      <c r="DI71" s="2595"/>
      <c r="DJ71" s="3407"/>
      <c r="DK71" s="3406"/>
      <c r="DL71" s="2595"/>
      <c r="DM71" s="2595"/>
      <c r="DN71" s="3408"/>
      <c r="DO71" s="3409"/>
      <c r="DP71" s="3410"/>
      <c r="DQ71" s="3408"/>
      <c r="DR71" s="3410"/>
      <c r="DS71" s="3408"/>
      <c r="DT71" s="3410"/>
      <c r="DU71" s="2595"/>
      <c r="DV71" s="2595"/>
      <c r="DW71" s="2595"/>
      <c r="DX71" s="2595"/>
      <c r="DY71" s="2595"/>
      <c r="DZ71" s="3407"/>
      <c r="EA71" s="3406"/>
      <c r="EB71" s="2595"/>
      <c r="EC71" s="2595"/>
      <c r="ED71" s="2595"/>
      <c r="EE71" s="2595"/>
      <c r="EF71" s="2595"/>
      <c r="EG71" s="2595"/>
      <c r="EH71" s="2595"/>
      <c r="EI71" s="2595"/>
      <c r="EJ71" s="2595"/>
      <c r="EK71" s="2595"/>
      <c r="EL71" s="2595"/>
      <c r="EM71" s="2595"/>
      <c r="EN71" s="3408"/>
      <c r="EO71" s="3410"/>
      <c r="EP71" s="2595"/>
      <c r="EQ71" s="2595"/>
      <c r="ER71" s="2595"/>
      <c r="ES71" s="3407"/>
      <c r="ET71" s="3406"/>
      <c r="EU71" s="2595"/>
      <c r="EV71" s="2595"/>
      <c r="EW71" s="2595"/>
      <c r="EX71" s="3408"/>
    </row>
    <row r="72" spans="1:154" s="3393" customFormat="1" ht="15" customHeight="1" thickBot="1">
      <c r="A72" s="15452"/>
      <c r="B72" s="15454" t="s">
        <v>3328</v>
      </c>
      <c r="C72" s="15456"/>
      <c r="D72" s="15456"/>
      <c r="E72" s="15456"/>
      <c r="F72" s="3400" t="s">
        <v>7746</v>
      </c>
      <c r="G72" s="3416" t="s">
        <v>3450</v>
      </c>
      <c r="H72" s="3417" t="s">
        <v>86</v>
      </c>
      <c r="I72" s="15490"/>
      <c r="J72" s="2594" t="s">
        <v>3451</v>
      </c>
      <c r="K72" s="3403">
        <v>1</v>
      </c>
      <c r="L72" s="2594" t="s">
        <v>3452</v>
      </c>
      <c r="M72" s="2594" t="s">
        <v>3389</v>
      </c>
      <c r="N72" s="2594"/>
      <c r="O72" s="3411">
        <v>30478000</v>
      </c>
      <c r="P72" s="15492"/>
      <c r="Q72" s="3412">
        <v>52410800</v>
      </c>
      <c r="R72" s="3412">
        <v>229343164</v>
      </c>
      <c r="S72" s="3412">
        <v>11986687</v>
      </c>
      <c r="T72" s="2594"/>
      <c r="U72" s="2594"/>
      <c r="V72" s="2594"/>
      <c r="W72" s="2594"/>
      <c r="X72" s="2595"/>
      <c r="Y72" s="2595"/>
      <c r="Z72" s="2595"/>
      <c r="AA72" s="2595"/>
      <c r="AB72" s="2595"/>
      <c r="AC72" s="2595"/>
      <c r="AD72" s="2595"/>
      <c r="AE72" s="2595"/>
      <c r="AF72" s="2595"/>
      <c r="AG72" s="2595"/>
      <c r="AH72" s="2595"/>
      <c r="AI72" s="2595"/>
      <c r="AJ72" s="2595"/>
      <c r="AK72" s="2595"/>
      <c r="AL72" s="2595"/>
      <c r="AM72" s="2595"/>
      <c r="AN72" s="2595"/>
      <c r="AO72" s="2595"/>
      <c r="AP72" s="2595"/>
      <c r="AQ72" s="2595"/>
      <c r="AR72" s="2595"/>
      <c r="AS72" s="2595"/>
      <c r="AT72" s="2587" t="s">
        <v>4195</v>
      </c>
      <c r="AU72" s="2595" t="s">
        <v>4196</v>
      </c>
      <c r="AV72" s="2587">
        <v>20</v>
      </c>
      <c r="AW72" s="2587" t="s">
        <v>3334</v>
      </c>
      <c r="AX72" s="2595"/>
      <c r="AY72" s="2595"/>
      <c r="AZ72" s="2595"/>
      <c r="BA72" s="2595"/>
      <c r="BB72" s="2595"/>
      <c r="BC72" s="2595"/>
      <c r="BD72" s="15456"/>
      <c r="BE72" s="2594" t="s">
        <v>3451</v>
      </c>
      <c r="BF72" s="3404" t="s">
        <v>1509</v>
      </c>
      <c r="BG72" s="2594" t="s">
        <v>3451</v>
      </c>
      <c r="BH72" s="3405">
        <v>1</v>
      </c>
      <c r="BI72" s="3405">
        <v>1</v>
      </c>
      <c r="BJ72" s="3149">
        <v>1</v>
      </c>
      <c r="BK72" s="15556"/>
      <c r="BL72" s="2594" t="s">
        <v>3452</v>
      </c>
      <c r="BM72" s="2594" t="s">
        <v>3389</v>
      </c>
      <c r="BN72" s="2594"/>
      <c r="BO72" s="3391">
        <v>5038000</v>
      </c>
      <c r="BP72" s="15547"/>
      <c r="BQ72" s="3392">
        <v>4231920</v>
      </c>
      <c r="BR72" s="3391">
        <f t="shared" si="1"/>
        <v>806080</v>
      </c>
      <c r="BS72" s="3391"/>
      <c r="BT72" s="2588">
        <v>2.0390000000000001</v>
      </c>
      <c r="BU72" s="2587">
        <v>1456</v>
      </c>
      <c r="BV72" s="2587">
        <v>4542</v>
      </c>
      <c r="BW72" s="2587">
        <v>4103</v>
      </c>
      <c r="BX72" s="2587">
        <v>1895</v>
      </c>
      <c r="BY72" s="2587"/>
      <c r="BZ72" s="2587"/>
      <c r="CA72" s="2587"/>
      <c r="CB72" s="2587"/>
      <c r="CC72" s="2587"/>
      <c r="CD72" s="2587"/>
      <c r="CE72" s="2587"/>
      <c r="CF72" s="2587"/>
      <c r="CG72" s="2587"/>
      <c r="CH72" s="2587"/>
      <c r="CI72" s="2587"/>
      <c r="CJ72" s="2587"/>
      <c r="CK72" s="2587"/>
      <c r="CL72" s="2587"/>
      <c r="CM72" s="2587"/>
      <c r="CN72" s="2587"/>
      <c r="CO72" s="2587"/>
      <c r="CP72" s="2587"/>
      <c r="CQ72" s="2587"/>
      <c r="CR72" s="2587"/>
      <c r="CS72" s="2587"/>
      <c r="CT72" s="2587" t="s">
        <v>4195</v>
      </c>
      <c r="CU72" s="2595" t="s">
        <v>4196</v>
      </c>
      <c r="CV72" s="2587">
        <v>20</v>
      </c>
      <c r="CW72" s="2587" t="s">
        <v>3334</v>
      </c>
      <c r="CX72" s="2595"/>
      <c r="CY72" s="2595"/>
      <c r="CZ72" s="2595"/>
      <c r="DA72" s="2595"/>
      <c r="DB72" s="2595"/>
      <c r="DC72" s="2595"/>
      <c r="DE72" s="3406"/>
      <c r="DF72" s="2595"/>
      <c r="DG72" s="2595"/>
      <c r="DH72" s="2595"/>
      <c r="DI72" s="2595"/>
      <c r="DJ72" s="3407"/>
      <c r="DK72" s="3406"/>
      <c r="DL72" s="2595"/>
      <c r="DM72" s="2595"/>
      <c r="DN72" s="3408"/>
      <c r="DO72" s="3409"/>
      <c r="DP72" s="3410"/>
      <c r="DQ72" s="3408"/>
      <c r="DR72" s="3410"/>
      <c r="DS72" s="3408"/>
      <c r="DT72" s="3410"/>
      <c r="DU72" s="2595"/>
      <c r="DV72" s="2595"/>
      <c r="DW72" s="2595"/>
      <c r="DX72" s="2595"/>
      <c r="DY72" s="2595"/>
      <c r="DZ72" s="3407"/>
      <c r="EA72" s="3406"/>
      <c r="EB72" s="2595"/>
      <c r="EC72" s="2595"/>
      <c r="ED72" s="2595"/>
      <c r="EE72" s="2595"/>
      <c r="EF72" s="2595"/>
      <c r="EG72" s="2595"/>
      <c r="EH72" s="2595"/>
      <c r="EI72" s="2595"/>
      <c r="EJ72" s="2595"/>
      <c r="EK72" s="2595"/>
      <c r="EL72" s="2595"/>
      <c r="EM72" s="2595"/>
      <c r="EN72" s="3408"/>
      <c r="EO72" s="3410"/>
      <c r="EP72" s="2595"/>
      <c r="EQ72" s="2595"/>
      <c r="ER72" s="2595"/>
      <c r="ES72" s="3407"/>
      <c r="ET72" s="3406"/>
      <c r="EU72" s="2595"/>
      <c r="EV72" s="2595"/>
      <c r="EW72" s="2595"/>
      <c r="EX72" s="3408"/>
    </row>
    <row r="73" spans="1:154" s="3393" customFormat="1" ht="15" customHeight="1" thickBot="1">
      <c r="A73" s="15452"/>
      <c r="B73" s="15454"/>
      <c r="C73" s="15456"/>
      <c r="D73" s="15456"/>
      <c r="E73" s="15456"/>
      <c r="F73" s="3400" t="s">
        <v>7747</v>
      </c>
      <c r="G73" s="3413" t="s">
        <v>3453</v>
      </c>
      <c r="H73" s="3402" t="s">
        <v>86</v>
      </c>
      <c r="I73" s="15490"/>
      <c r="J73" s="2594" t="s">
        <v>3454</v>
      </c>
      <c r="K73" s="3403">
        <v>1</v>
      </c>
      <c r="L73" s="2587"/>
      <c r="M73" s="3414" t="s">
        <v>3455</v>
      </c>
      <c r="N73" s="2587"/>
      <c r="O73" s="3411">
        <v>30478000</v>
      </c>
      <c r="P73" s="15492"/>
      <c r="Q73" s="3412">
        <v>52410800</v>
      </c>
      <c r="R73" s="3412">
        <v>229343164</v>
      </c>
      <c r="S73" s="3412">
        <v>11986687</v>
      </c>
      <c r="T73" s="2587"/>
      <c r="U73" s="2587"/>
      <c r="V73" s="2587"/>
      <c r="W73" s="2587"/>
      <c r="X73" s="2587"/>
      <c r="Y73" s="2587"/>
      <c r="Z73" s="2587"/>
      <c r="AA73" s="2587"/>
      <c r="AB73" s="2587"/>
      <c r="AC73" s="2587"/>
      <c r="AD73" s="2587"/>
      <c r="AE73" s="2587"/>
      <c r="AF73" s="2587"/>
      <c r="AG73" s="2587"/>
      <c r="AH73" s="2587"/>
      <c r="AI73" s="2587"/>
      <c r="AJ73" s="2587"/>
      <c r="AK73" s="2587"/>
      <c r="AL73" s="2587"/>
      <c r="AM73" s="2587"/>
      <c r="AN73" s="2587"/>
      <c r="AO73" s="2587"/>
      <c r="AP73" s="2587"/>
      <c r="AQ73" s="2587"/>
      <c r="AR73" s="2587"/>
      <c r="AS73" s="2587"/>
      <c r="AT73" s="2595" t="s">
        <v>4197</v>
      </c>
      <c r="AU73" s="2595" t="s">
        <v>4196</v>
      </c>
      <c r="AV73" s="2587">
        <v>55</v>
      </c>
      <c r="AW73" s="2587" t="s">
        <v>3334</v>
      </c>
      <c r="AX73" s="2587"/>
      <c r="AY73" s="2587"/>
      <c r="AZ73" s="2587"/>
      <c r="BA73" s="2587"/>
      <c r="BB73" s="2587"/>
      <c r="BC73" s="2587"/>
      <c r="BD73" s="15456"/>
      <c r="BE73" s="2594" t="s">
        <v>3454</v>
      </c>
      <c r="BF73" s="3404" t="s">
        <v>1509</v>
      </c>
      <c r="BG73" s="2594" t="s">
        <v>3454</v>
      </c>
      <c r="BH73" s="3405">
        <v>1</v>
      </c>
      <c r="BI73" s="3418">
        <v>10.199999999999999</v>
      </c>
      <c r="BJ73" s="3149">
        <v>0</v>
      </c>
      <c r="BK73" s="15556"/>
      <c r="BL73" s="2587"/>
      <c r="BM73" s="3414" t="s">
        <v>3455</v>
      </c>
      <c r="BN73" s="2587"/>
      <c r="BO73" s="3391">
        <v>5038000</v>
      </c>
      <c r="BP73" s="15547"/>
      <c r="BQ73" s="3392">
        <v>4231920</v>
      </c>
      <c r="BR73" s="3391">
        <f t="shared" si="1"/>
        <v>806080</v>
      </c>
      <c r="BS73" s="3391"/>
      <c r="BT73" s="2588">
        <v>2.0390000000000001</v>
      </c>
      <c r="BU73" s="2587">
        <v>1456</v>
      </c>
      <c r="BV73" s="2587">
        <v>4542</v>
      </c>
      <c r="BW73" s="2587">
        <v>4103</v>
      </c>
      <c r="BX73" s="2587">
        <v>1895</v>
      </c>
      <c r="BY73" s="2587"/>
      <c r="BZ73" s="2587"/>
      <c r="CA73" s="2587"/>
      <c r="CB73" s="2587"/>
      <c r="CC73" s="2587"/>
      <c r="CD73" s="2587"/>
      <c r="CE73" s="2587"/>
      <c r="CF73" s="2587"/>
      <c r="CG73" s="2587"/>
      <c r="CH73" s="2587"/>
      <c r="CI73" s="2587"/>
      <c r="CJ73" s="2587"/>
      <c r="CK73" s="2587"/>
      <c r="CL73" s="2587"/>
      <c r="CM73" s="2587"/>
      <c r="CN73" s="2587"/>
      <c r="CO73" s="2587"/>
      <c r="CP73" s="2587"/>
      <c r="CQ73" s="2587"/>
      <c r="CR73" s="2587"/>
      <c r="CS73" s="2587"/>
      <c r="CT73" s="2595" t="s">
        <v>4197</v>
      </c>
      <c r="CU73" s="2595" t="s">
        <v>4196</v>
      </c>
      <c r="CV73" s="2587">
        <v>55</v>
      </c>
      <c r="CW73" s="2587" t="s">
        <v>3334</v>
      </c>
      <c r="CX73" s="2587"/>
      <c r="CY73" s="2587"/>
      <c r="CZ73" s="2587"/>
      <c r="DA73" s="2587"/>
      <c r="DB73" s="2587"/>
      <c r="DC73" s="2587"/>
      <c r="DE73" s="3406"/>
      <c r="DF73" s="2595"/>
      <c r="DG73" s="2595"/>
      <c r="DH73" s="2595"/>
      <c r="DI73" s="2595"/>
      <c r="DJ73" s="3407"/>
      <c r="DK73" s="3406"/>
      <c r="DL73" s="2595"/>
      <c r="DM73" s="2595"/>
      <c r="DN73" s="3408"/>
      <c r="DO73" s="3409"/>
      <c r="DP73" s="3410"/>
      <c r="DQ73" s="3408"/>
      <c r="DR73" s="3410"/>
      <c r="DS73" s="3408"/>
      <c r="DT73" s="3410"/>
      <c r="DU73" s="2595"/>
      <c r="DV73" s="2595"/>
      <c r="DW73" s="2595"/>
      <c r="DX73" s="2595"/>
      <c r="DY73" s="2595"/>
      <c r="DZ73" s="3407"/>
      <c r="EA73" s="3406"/>
      <c r="EB73" s="2595"/>
      <c r="EC73" s="2595"/>
      <c r="ED73" s="2595"/>
      <c r="EE73" s="2595"/>
      <c r="EF73" s="2595"/>
      <c r="EG73" s="2595"/>
      <c r="EH73" s="2595"/>
      <c r="EI73" s="2595"/>
      <c r="EJ73" s="2595"/>
      <c r="EK73" s="2595"/>
      <c r="EL73" s="2595"/>
      <c r="EM73" s="2595"/>
      <c r="EN73" s="3408"/>
      <c r="EO73" s="3410"/>
      <c r="EP73" s="2595"/>
      <c r="EQ73" s="2595"/>
      <c r="ER73" s="2595"/>
      <c r="ES73" s="3407"/>
      <c r="ET73" s="3406"/>
      <c r="EU73" s="2595"/>
      <c r="EV73" s="2595"/>
      <c r="EW73" s="2595"/>
      <c r="EX73" s="3408"/>
    </row>
    <row r="74" spans="1:154" s="3393" customFormat="1" ht="15" customHeight="1" thickBot="1">
      <c r="A74" s="15452"/>
      <c r="B74" s="15454"/>
      <c r="C74" s="15456"/>
      <c r="D74" s="15456"/>
      <c r="E74" s="15456"/>
      <c r="F74" s="3400" t="s">
        <v>7748</v>
      </c>
      <c r="G74" s="3416" t="s">
        <v>3456</v>
      </c>
      <c r="H74" s="3417" t="s">
        <v>86</v>
      </c>
      <c r="I74" s="15490"/>
      <c r="J74" s="2594" t="s">
        <v>4185</v>
      </c>
      <c r="K74" s="3403">
        <v>1</v>
      </c>
      <c r="L74" s="2594" t="s">
        <v>3457</v>
      </c>
      <c r="M74" s="2594" t="s">
        <v>3389</v>
      </c>
      <c r="N74" s="2594"/>
      <c r="O74" s="3411">
        <v>30478000</v>
      </c>
      <c r="P74" s="15492"/>
      <c r="Q74" s="3412">
        <v>52410800</v>
      </c>
      <c r="R74" s="3412">
        <v>229343164</v>
      </c>
      <c r="S74" s="3412">
        <v>11986687</v>
      </c>
      <c r="T74" s="2595"/>
      <c r="U74" s="2595"/>
      <c r="V74" s="2595"/>
      <c r="W74" s="2595"/>
      <c r="X74" s="2595"/>
      <c r="Y74" s="2595"/>
      <c r="Z74" s="2595"/>
      <c r="AA74" s="2595"/>
      <c r="AB74" s="2595"/>
      <c r="AC74" s="2595"/>
      <c r="AD74" s="2595"/>
      <c r="AE74" s="2595"/>
      <c r="AF74" s="2595"/>
      <c r="AG74" s="2595"/>
      <c r="AH74" s="2595"/>
      <c r="AI74" s="2595"/>
      <c r="AJ74" s="2595"/>
      <c r="AK74" s="2595"/>
      <c r="AL74" s="2595"/>
      <c r="AM74" s="2595"/>
      <c r="AN74" s="2595"/>
      <c r="AO74" s="2595"/>
      <c r="AP74" s="2595"/>
      <c r="AQ74" s="2595"/>
      <c r="AR74" s="2595"/>
      <c r="AS74" s="2595"/>
      <c r="AT74" s="2595" t="s">
        <v>3458</v>
      </c>
      <c r="AU74" s="2594" t="s">
        <v>3459</v>
      </c>
      <c r="AV74" s="2587">
        <v>55</v>
      </c>
      <c r="AW74" s="2587" t="s">
        <v>3334</v>
      </c>
      <c r="AX74" s="2595"/>
      <c r="AY74" s="2595"/>
      <c r="AZ74" s="2595"/>
      <c r="BA74" s="2595"/>
      <c r="BB74" s="2595"/>
      <c r="BC74" s="2595"/>
      <c r="BD74" s="15456"/>
      <c r="BE74" s="2594" t="s">
        <v>4185</v>
      </c>
      <c r="BF74" s="3404" t="s">
        <v>1509</v>
      </c>
      <c r="BG74" s="2594" t="s">
        <v>4185</v>
      </c>
      <c r="BH74" s="3405">
        <v>1</v>
      </c>
      <c r="BI74" s="3405">
        <v>1</v>
      </c>
      <c r="BJ74" s="3149">
        <v>1</v>
      </c>
      <c r="BK74" s="15556"/>
      <c r="BL74" s="2594" t="s">
        <v>3457</v>
      </c>
      <c r="BM74" s="2594" t="s">
        <v>3389</v>
      </c>
      <c r="BN74" s="3419"/>
      <c r="BO74" s="3391">
        <v>1871111</v>
      </c>
      <c r="BP74" s="15547"/>
      <c r="BQ74" s="3392">
        <v>1571733</v>
      </c>
      <c r="BR74" s="3391">
        <f t="shared" si="1"/>
        <v>299378</v>
      </c>
      <c r="BS74" s="3391"/>
      <c r="BT74" s="2588">
        <v>2.0390000000000001</v>
      </c>
      <c r="BU74" s="2587">
        <v>1456</v>
      </c>
      <c r="BV74" s="2587">
        <v>4542</v>
      </c>
      <c r="BW74" s="2587">
        <v>4103</v>
      </c>
      <c r="BX74" s="2587">
        <v>1895</v>
      </c>
      <c r="BY74" s="2587"/>
      <c r="BZ74" s="2587"/>
      <c r="CA74" s="2587"/>
      <c r="CB74" s="2587"/>
      <c r="CC74" s="2587"/>
      <c r="CD74" s="2587"/>
      <c r="CE74" s="2587"/>
      <c r="CF74" s="2587"/>
      <c r="CG74" s="2587"/>
      <c r="CH74" s="2587"/>
      <c r="CI74" s="2587"/>
      <c r="CJ74" s="2587"/>
      <c r="CK74" s="2587"/>
      <c r="CL74" s="2587"/>
      <c r="CM74" s="2587"/>
      <c r="CN74" s="2587"/>
      <c r="CO74" s="2587"/>
      <c r="CP74" s="2587"/>
      <c r="CQ74" s="2587"/>
      <c r="CR74" s="2587"/>
      <c r="CS74" s="2587"/>
      <c r="CT74" s="2595" t="s">
        <v>3458</v>
      </c>
      <c r="CU74" s="2594" t="s">
        <v>3459</v>
      </c>
      <c r="CV74" s="2587">
        <v>55</v>
      </c>
      <c r="CW74" s="2587" t="s">
        <v>3334</v>
      </c>
      <c r="CX74" s="2595"/>
      <c r="CY74" s="2595"/>
      <c r="CZ74" s="2595"/>
      <c r="DA74" s="2595"/>
      <c r="DB74" s="2595"/>
      <c r="DC74" s="2595"/>
      <c r="DE74" s="3406"/>
      <c r="DF74" s="2595"/>
      <c r="DG74" s="2595"/>
      <c r="DH74" s="2595"/>
      <c r="DI74" s="2595"/>
      <c r="DJ74" s="3407"/>
      <c r="DK74" s="3406"/>
      <c r="DL74" s="2595"/>
      <c r="DM74" s="2595"/>
      <c r="DN74" s="3408"/>
      <c r="DO74" s="3409"/>
      <c r="DP74" s="3410"/>
      <c r="DQ74" s="3408"/>
      <c r="DR74" s="3410"/>
      <c r="DS74" s="3408"/>
      <c r="DT74" s="3410"/>
      <c r="DU74" s="2595"/>
      <c r="DV74" s="2595"/>
      <c r="DW74" s="2595"/>
      <c r="DX74" s="2595"/>
      <c r="DY74" s="2595"/>
      <c r="DZ74" s="3407"/>
      <c r="EA74" s="3406"/>
      <c r="EB74" s="2595"/>
      <c r="EC74" s="2595"/>
      <c r="ED74" s="2595"/>
      <c r="EE74" s="2595"/>
      <c r="EF74" s="2595"/>
      <c r="EG74" s="2595"/>
      <c r="EH74" s="2595"/>
      <c r="EI74" s="2595"/>
      <c r="EJ74" s="2595"/>
      <c r="EK74" s="2595"/>
      <c r="EL74" s="2595"/>
      <c r="EM74" s="2595"/>
      <c r="EN74" s="3408"/>
      <c r="EO74" s="3410"/>
      <c r="EP74" s="2595"/>
      <c r="EQ74" s="2595"/>
      <c r="ER74" s="2595"/>
      <c r="ES74" s="3407"/>
      <c r="ET74" s="3406"/>
      <c r="EU74" s="2595"/>
      <c r="EV74" s="2595"/>
      <c r="EW74" s="2595"/>
      <c r="EX74" s="3408"/>
    </row>
    <row r="75" spans="1:154" s="3393" customFormat="1" ht="15" customHeight="1" thickBot="1">
      <c r="A75" s="15452"/>
      <c r="B75" s="15454"/>
      <c r="C75" s="15456"/>
      <c r="D75" s="15456"/>
      <c r="E75" s="15456"/>
      <c r="F75" s="3400" t="s">
        <v>7749</v>
      </c>
      <c r="G75" s="3413" t="s">
        <v>3460</v>
      </c>
      <c r="H75" s="3402" t="s">
        <v>86</v>
      </c>
      <c r="I75" s="15490"/>
      <c r="J75" s="2594" t="s">
        <v>4186</v>
      </c>
      <c r="K75" s="3403">
        <v>1</v>
      </c>
      <c r="L75" s="2594" t="s">
        <v>3457</v>
      </c>
      <c r="M75" s="2594" t="s">
        <v>3389</v>
      </c>
      <c r="N75" s="2594"/>
      <c r="O75" s="3411">
        <v>30478000</v>
      </c>
      <c r="P75" s="15492"/>
      <c r="Q75" s="3412">
        <v>52410800</v>
      </c>
      <c r="R75" s="3412">
        <v>229343164</v>
      </c>
      <c r="S75" s="3412">
        <v>11986687</v>
      </c>
      <c r="T75" s="2594"/>
      <c r="U75" s="2594"/>
      <c r="V75" s="2594"/>
      <c r="W75" s="2594"/>
      <c r="X75" s="2595"/>
      <c r="Y75" s="2595"/>
      <c r="Z75" s="2595"/>
      <c r="AA75" s="2595"/>
      <c r="AB75" s="2595"/>
      <c r="AC75" s="2595"/>
      <c r="AD75" s="2595"/>
      <c r="AE75" s="2595"/>
      <c r="AF75" s="2595"/>
      <c r="AG75" s="2595"/>
      <c r="AH75" s="2595"/>
      <c r="AI75" s="2595"/>
      <c r="AJ75" s="2595"/>
      <c r="AK75" s="2595"/>
      <c r="AL75" s="2595"/>
      <c r="AM75" s="2595"/>
      <c r="AN75" s="2595"/>
      <c r="AO75" s="2595"/>
      <c r="AP75" s="2595"/>
      <c r="AQ75" s="2595"/>
      <c r="AR75" s="2595"/>
      <c r="AS75" s="2595"/>
      <c r="AT75" s="2595" t="s">
        <v>4195</v>
      </c>
      <c r="AU75" s="2595" t="s">
        <v>4196</v>
      </c>
      <c r="AV75" s="2587">
        <v>20</v>
      </c>
      <c r="AW75" s="2587" t="s">
        <v>3334</v>
      </c>
      <c r="AX75" s="2595"/>
      <c r="AY75" s="2595"/>
      <c r="AZ75" s="2595"/>
      <c r="BA75" s="2595"/>
      <c r="BB75" s="2595"/>
      <c r="BC75" s="2595"/>
      <c r="BD75" s="15456"/>
      <c r="BE75" s="2594" t="s">
        <v>4186</v>
      </c>
      <c r="BF75" s="3404" t="s">
        <v>1509</v>
      </c>
      <c r="BG75" s="2594" t="s">
        <v>4186</v>
      </c>
      <c r="BH75" s="3405">
        <v>1</v>
      </c>
      <c r="BI75" s="3405">
        <v>1</v>
      </c>
      <c r="BJ75" s="3149">
        <v>1</v>
      </c>
      <c r="BK75" s="15556"/>
      <c r="BL75" s="2594" t="s">
        <v>3457</v>
      </c>
      <c r="BM75" s="2594" t="s">
        <v>3389</v>
      </c>
      <c r="BN75" s="2594"/>
      <c r="BO75" s="3391">
        <v>1871111</v>
      </c>
      <c r="BP75" s="15547"/>
      <c r="BQ75" s="3392">
        <v>1571733</v>
      </c>
      <c r="BR75" s="3391">
        <f t="shared" si="1"/>
        <v>299378</v>
      </c>
      <c r="BS75" s="3391"/>
      <c r="BT75" s="2588">
        <v>2.0390000000000001</v>
      </c>
      <c r="BU75" s="2587">
        <v>1456</v>
      </c>
      <c r="BV75" s="2587">
        <v>4542</v>
      </c>
      <c r="BW75" s="2587">
        <v>4103</v>
      </c>
      <c r="BX75" s="2587">
        <v>1895</v>
      </c>
      <c r="BY75" s="2587"/>
      <c r="BZ75" s="2587"/>
      <c r="CA75" s="2587"/>
      <c r="CB75" s="2587"/>
      <c r="CC75" s="2587"/>
      <c r="CD75" s="2587"/>
      <c r="CE75" s="2587"/>
      <c r="CF75" s="2587"/>
      <c r="CG75" s="2587"/>
      <c r="CH75" s="2587"/>
      <c r="CI75" s="2587"/>
      <c r="CJ75" s="2587"/>
      <c r="CK75" s="2587"/>
      <c r="CL75" s="2587"/>
      <c r="CM75" s="2587"/>
      <c r="CN75" s="2587"/>
      <c r="CO75" s="2587"/>
      <c r="CP75" s="2587"/>
      <c r="CQ75" s="2587"/>
      <c r="CR75" s="2587"/>
      <c r="CS75" s="2587"/>
      <c r="CT75" s="2595" t="s">
        <v>4195</v>
      </c>
      <c r="CU75" s="2595" t="s">
        <v>4196</v>
      </c>
      <c r="CV75" s="2587">
        <v>20</v>
      </c>
      <c r="CW75" s="2587" t="s">
        <v>3334</v>
      </c>
      <c r="CX75" s="2595"/>
      <c r="CY75" s="2595"/>
      <c r="CZ75" s="2595"/>
      <c r="DA75" s="2595"/>
      <c r="DB75" s="2595"/>
      <c r="DC75" s="2595"/>
      <c r="DE75" s="3406"/>
      <c r="DF75" s="2595"/>
      <c r="DG75" s="2595"/>
      <c r="DH75" s="2595"/>
      <c r="DI75" s="2595"/>
      <c r="DJ75" s="3407"/>
      <c r="DK75" s="3406"/>
      <c r="DL75" s="2595"/>
      <c r="DM75" s="2595"/>
      <c r="DN75" s="3408"/>
      <c r="DO75" s="3409"/>
      <c r="DP75" s="3410"/>
      <c r="DQ75" s="3408"/>
      <c r="DR75" s="3410"/>
      <c r="DS75" s="3408"/>
      <c r="DT75" s="3410"/>
      <c r="DU75" s="2595"/>
      <c r="DV75" s="2595"/>
      <c r="DW75" s="2595"/>
      <c r="DX75" s="2595"/>
      <c r="DY75" s="2595"/>
      <c r="DZ75" s="3407"/>
      <c r="EA75" s="3406"/>
      <c r="EB75" s="2595"/>
      <c r="EC75" s="2595"/>
      <c r="ED75" s="2595"/>
      <c r="EE75" s="2595"/>
      <c r="EF75" s="2595"/>
      <c r="EG75" s="2595"/>
      <c r="EH75" s="2595"/>
      <c r="EI75" s="2595"/>
      <c r="EJ75" s="2595"/>
      <c r="EK75" s="2595"/>
      <c r="EL75" s="2595"/>
      <c r="EM75" s="2595"/>
      <c r="EN75" s="3408"/>
      <c r="EO75" s="3410"/>
      <c r="EP75" s="2595"/>
      <c r="EQ75" s="2595"/>
      <c r="ER75" s="2595"/>
      <c r="ES75" s="3407"/>
      <c r="ET75" s="3406"/>
      <c r="EU75" s="2595"/>
      <c r="EV75" s="2595"/>
      <c r="EW75" s="2595"/>
      <c r="EX75" s="3408"/>
    </row>
    <row r="76" spans="1:154" s="3393" customFormat="1" ht="15" customHeight="1" thickBot="1">
      <c r="A76" s="15452"/>
      <c r="B76" s="15454"/>
      <c r="C76" s="15456"/>
      <c r="D76" s="15456"/>
      <c r="E76" s="15456"/>
      <c r="F76" s="3400" t="s">
        <v>7750</v>
      </c>
      <c r="G76" s="3413" t="s">
        <v>3461</v>
      </c>
      <c r="H76" s="3402" t="s">
        <v>86</v>
      </c>
      <c r="I76" s="15490"/>
      <c r="J76" s="2594" t="s">
        <v>3462</v>
      </c>
      <c r="K76" s="3403">
        <v>1</v>
      </c>
      <c r="L76" s="2594" t="s">
        <v>4131</v>
      </c>
      <c r="M76" s="2594" t="s">
        <v>3463</v>
      </c>
      <c r="N76" s="2594"/>
      <c r="O76" s="3411">
        <v>30478000</v>
      </c>
      <c r="P76" s="15492"/>
      <c r="Q76" s="3412">
        <v>52410800</v>
      </c>
      <c r="R76" s="3412">
        <v>229343164</v>
      </c>
      <c r="S76" s="3412">
        <v>11986687</v>
      </c>
      <c r="T76" s="2594"/>
      <c r="U76" s="2594"/>
      <c r="V76" s="2594"/>
      <c r="W76" s="2594"/>
      <c r="X76" s="2595"/>
      <c r="Y76" s="2595"/>
      <c r="Z76" s="2595"/>
      <c r="AA76" s="2595"/>
      <c r="AB76" s="2595"/>
      <c r="AC76" s="2595"/>
      <c r="AD76" s="2595"/>
      <c r="AE76" s="2595"/>
      <c r="AF76" s="2595"/>
      <c r="AG76" s="2595"/>
      <c r="AH76" s="2595"/>
      <c r="AI76" s="2595"/>
      <c r="AJ76" s="2595"/>
      <c r="AK76" s="2595"/>
      <c r="AL76" s="2595"/>
      <c r="AM76" s="2595"/>
      <c r="AN76" s="2595"/>
      <c r="AO76" s="2595"/>
      <c r="AP76" s="2595"/>
      <c r="AQ76" s="2595"/>
      <c r="AR76" s="2595"/>
      <c r="AS76" s="2595"/>
      <c r="AT76" s="2595" t="s">
        <v>4195</v>
      </c>
      <c r="AU76" s="2595" t="s">
        <v>4196</v>
      </c>
      <c r="AV76" s="2587">
        <v>20</v>
      </c>
      <c r="AW76" s="2587" t="s">
        <v>3334</v>
      </c>
      <c r="AX76" s="2595"/>
      <c r="AY76" s="2595"/>
      <c r="AZ76" s="2595"/>
      <c r="BA76" s="2595"/>
      <c r="BB76" s="2595"/>
      <c r="BC76" s="2595"/>
      <c r="BD76" s="15456"/>
      <c r="BE76" s="2594" t="s">
        <v>3462</v>
      </c>
      <c r="BF76" s="3404" t="s">
        <v>1509</v>
      </c>
      <c r="BG76" s="2594" t="s">
        <v>3462</v>
      </c>
      <c r="BH76" s="3405">
        <v>1</v>
      </c>
      <c r="BI76" s="3405">
        <v>1</v>
      </c>
      <c r="BJ76" s="3149">
        <v>1</v>
      </c>
      <c r="BK76" s="15556"/>
      <c r="BL76" s="2594" t="s">
        <v>4131</v>
      </c>
      <c r="BM76" s="2594" t="s">
        <v>3463</v>
      </c>
      <c r="BN76" s="2594"/>
      <c r="BO76" s="3391">
        <v>1871111</v>
      </c>
      <c r="BP76" s="15547"/>
      <c r="BQ76" s="3392">
        <v>1571733</v>
      </c>
      <c r="BR76" s="3391">
        <f t="shared" si="1"/>
        <v>299378</v>
      </c>
      <c r="BS76" s="3391"/>
      <c r="BT76" s="2587"/>
      <c r="BU76" s="2587"/>
      <c r="BV76" s="2587"/>
      <c r="BW76" s="2587"/>
      <c r="BX76" s="2587"/>
      <c r="BY76" s="2587"/>
      <c r="BZ76" s="2587"/>
      <c r="CA76" s="2587"/>
      <c r="CB76" s="2587"/>
      <c r="CC76" s="2587"/>
      <c r="CD76" s="2587"/>
      <c r="CE76" s="2587"/>
      <c r="CF76" s="2587"/>
      <c r="CG76" s="2587"/>
      <c r="CH76" s="2587"/>
      <c r="CI76" s="2587"/>
      <c r="CJ76" s="2587"/>
      <c r="CK76" s="2587"/>
      <c r="CL76" s="2587"/>
      <c r="CM76" s="2587"/>
      <c r="CN76" s="2587"/>
      <c r="CO76" s="2587"/>
      <c r="CP76" s="2587"/>
      <c r="CQ76" s="2587"/>
      <c r="CR76" s="2587"/>
      <c r="CS76" s="2587"/>
      <c r="CT76" s="2595" t="s">
        <v>4195</v>
      </c>
      <c r="CU76" s="2595" t="s">
        <v>4196</v>
      </c>
      <c r="CV76" s="2587">
        <v>20</v>
      </c>
      <c r="CW76" s="2587" t="s">
        <v>3334</v>
      </c>
      <c r="CX76" s="2595"/>
      <c r="CY76" s="2595"/>
      <c r="CZ76" s="2595"/>
      <c r="DA76" s="2595"/>
      <c r="DB76" s="2595"/>
      <c r="DC76" s="2595"/>
      <c r="DE76" s="3406"/>
      <c r="DF76" s="2595"/>
      <c r="DG76" s="2595"/>
      <c r="DH76" s="2595"/>
      <c r="DI76" s="2595"/>
      <c r="DJ76" s="3407"/>
      <c r="DK76" s="3406"/>
      <c r="DL76" s="2595"/>
      <c r="DM76" s="2595"/>
      <c r="DN76" s="3408"/>
      <c r="DO76" s="3409"/>
      <c r="DP76" s="3410"/>
      <c r="DQ76" s="3408"/>
      <c r="DR76" s="3410"/>
      <c r="DS76" s="3408"/>
      <c r="DT76" s="3410"/>
      <c r="DU76" s="2595"/>
      <c r="DV76" s="2595"/>
      <c r="DW76" s="2595"/>
      <c r="DX76" s="2595"/>
      <c r="DY76" s="2595"/>
      <c r="DZ76" s="3407"/>
      <c r="EA76" s="3406"/>
      <c r="EB76" s="2595"/>
      <c r="EC76" s="2595"/>
      <c r="ED76" s="2595"/>
      <c r="EE76" s="2595"/>
      <c r="EF76" s="2595"/>
      <c r="EG76" s="2595"/>
      <c r="EH76" s="2595"/>
      <c r="EI76" s="2595"/>
      <c r="EJ76" s="2595"/>
      <c r="EK76" s="2595"/>
      <c r="EL76" s="2595"/>
      <c r="EM76" s="2595"/>
      <c r="EN76" s="3408"/>
      <c r="EO76" s="3410"/>
      <c r="EP76" s="2595"/>
      <c r="EQ76" s="2595"/>
      <c r="ER76" s="2595"/>
      <c r="ES76" s="3407"/>
      <c r="ET76" s="3406"/>
      <c r="EU76" s="2595"/>
      <c r="EV76" s="2595"/>
      <c r="EW76" s="2595"/>
      <c r="EX76" s="3408"/>
    </row>
    <row r="77" spans="1:154" s="3393" customFormat="1" ht="15" customHeight="1" thickBot="1">
      <c r="A77" s="15452"/>
      <c r="B77" s="15454"/>
      <c r="C77" s="15456"/>
      <c r="D77" s="15456"/>
      <c r="E77" s="15456"/>
      <c r="F77" s="3400" t="s">
        <v>7751</v>
      </c>
      <c r="G77" s="3413" t="s">
        <v>3464</v>
      </c>
      <c r="H77" s="3402" t="s">
        <v>86</v>
      </c>
      <c r="I77" s="15490"/>
      <c r="J77" s="2594" t="s">
        <v>3437</v>
      </c>
      <c r="K77" s="3403">
        <v>1</v>
      </c>
      <c r="L77" s="2594" t="s">
        <v>3438</v>
      </c>
      <c r="M77" s="2594" t="s">
        <v>3439</v>
      </c>
      <c r="N77" s="2594"/>
      <c r="O77" s="3411">
        <v>15239000</v>
      </c>
      <c r="P77" s="15492"/>
      <c r="Q77" s="3412">
        <v>52410800</v>
      </c>
      <c r="R77" s="3412">
        <v>229343164</v>
      </c>
      <c r="S77" s="3412">
        <v>11986687</v>
      </c>
      <c r="T77" s="2587">
        <v>5998</v>
      </c>
      <c r="U77" s="2587">
        <v>1456</v>
      </c>
      <c r="V77" s="2587">
        <v>4542</v>
      </c>
      <c r="W77" s="2587">
        <v>4103</v>
      </c>
      <c r="X77" s="2587">
        <v>1895</v>
      </c>
      <c r="Y77" s="2587"/>
      <c r="Z77" s="2587"/>
      <c r="AA77" s="2587"/>
      <c r="AB77" s="2587">
        <v>1495</v>
      </c>
      <c r="AC77" s="2587">
        <v>1409</v>
      </c>
      <c r="AD77" s="2587">
        <v>1959</v>
      </c>
      <c r="AE77" s="2587">
        <v>1135</v>
      </c>
      <c r="AF77" s="2587">
        <v>5998</v>
      </c>
      <c r="AG77" s="2587"/>
      <c r="AH77" s="2587"/>
      <c r="AI77" s="2587"/>
      <c r="AJ77" s="2587"/>
      <c r="AK77" s="2587"/>
      <c r="AL77" s="2587"/>
      <c r="AM77" s="2587"/>
      <c r="AN77" s="2587">
        <v>5588</v>
      </c>
      <c r="AO77" s="2587">
        <v>333</v>
      </c>
      <c r="AP77" s="2587">
        <v>75</v>
      </c>
      <c r="AQ77" s="2587">
        <v>1</v>
      </c>
      <c r="AR77" s="2587">
        <v>1</v>
      </c>
      <c r="AS77" s="2587"/>
      <c r="AT77" s="2587"/>
      <c r="AU77" s="2587"/>
      <c r="AV77" s="2587"/>
      <c r="AW77" s="2587"/>
      <c r="AX77" s="2587"/>
      <c r="AY77" s="2587"/>
      <c r="AZ77" s="2587"/>
      <c r="BA77" s="2587"/>
      <c r="BB77" s="2587"/>
      <c r="BC77" s="2587"/>
      <c r="BD77" s="15456"/>
      <c r="BE77" s="2594" t="s">
        <v>3437</v>
      </c>
      <c r="BF77" s="3404" t="s">
        <v>1509</v>
      </c>
      <c r="BG77" s="2594" t="s">
        <v>3437</v>
      </c>
      <c r="BH77" s="3405">
        <v>1</v>
      </c>
      <c r="BI77" s="3405">
        <v>1</v>
      </c>
      <c r="BJ77" s="3149">
        <v>1</v>
      </c>
      <c r="BK77" s="15556"/>
      <c r="BL77" s="2594" t="s">
        <v>3438</v>
      </c>
      <c r="BM77" s="2594" t="s">
        <v>3439</v>
      </c>
      <c r="BN77" s="2594"/>
      <c r="BO77" s="3391">
        <v>1871111</v>
      </c>
      <c r="BP77" s="15547"/>
      <c r="BQ77" s="3392">
        <v>1571733</v>
      </c>
      <c r="BR77" s="3391">
        <f t="shared" si="1"/>
        <v>299378</v>
      </c>
      <c r="BS77" s="3391"/>
      <c r="BT77" s="2588">
        <v>2.0390000000000001</v>
      </c>
      <c r="BU77" s="2587">
        <v>1456</v>
      </c>
      <c r="BV77" s="2587">
        <v>4542</v>
      </c>
      <c r="BW77" s="2587">
        <v>4103</v>
      </c>
      <c r="BX77" s="2587">
        <v>1895</v>
      </c>
      <c r="BY77" s="2587"/>
      <c r="BZ77" s="2587"/>
      <c r="CA77" s="2587"/>
      <c r="CB77" s="2587">
        <v>1495</v>
      </c>
      <c r="CC77" s="2587">
        <v>1409</v>
      </c>
      <c r="CD77" s="2587">
        <v>1959</v>
      </c>
      <c r="CE77" s="2587">
        <v>1135</v>
      </c>
      <c r="CF77" s="2587">
        <v>5998</v>
      </c>
      <c r="CG77" s="2587"/>
      <c r="CH77" s="2587"/>
      <c r="CI77" s="2587"/>
      <c r="CJ77" s="2587"/>
      <c r="CK77" s="2587"/>
      <c r="CL77" s="2587"/>
      <c r="CM77" s="2587"/>
      <c r="CN77" s="2587">
        <v>5588</v>
      </c>
      <c r="CO77" s="2587">
        <v>333</v>
      </c>
      <c r="CP77" s="2587">
        <v>75</v>
      </c>
      <c r="CQ77" s="2587">
        <v>1</v>
      </c>
      <c r="CR77" s="2587">
        <v>1</v>
      </c>
      <c r="CS77" s="2587"/>
      <c r="CT77" s="2587"/>
      <c r="CU77" s="2587"/>
      <c r="CV77" s="2587"/>
      <c r="CW77" s="2587"/>
      <c r="CX77" s="2587"/>
      <c r="CY77" s="2587"/>
      <c r="CZ77" s="2587"/>
      <c r="DA77" s="2587"/>
      <c r="DB77" s="2587"/>
      <c r="DC77" s="2587"/>
      <c r="DE77" s="3406"/>
      <c r="DF77" s="2595"/>
      <c r="DG77" s="2595"/>
      <c r="DH77" s="2595"/>
      <c r="DI77" s="2595"/>
      <c r="DJ77" s="3407"/>
      <c r="DK77" s="3406"/>
      <c r="DL77" s="2595"/>
      <c r="DM77" s="2595"/>
      <c r="DN77" s="3408"/>
      <c r="DO77" s="3409"/>
      <c r="DP77" s="3410"/>
      <c r="DQ77" s="3408"/>
      <c r="DR77" s="3410"/>
      <c r="DS77" s="3408"/>
      <c r="DT77" s="3410"/>
      <c r="DU77" s="2595"/>
      <c r="DV77" s="2595"/>
      <c r="DW77" s="2595"/>
      <c r="DX77" s="2595"/>
      <c r="DY77" s="2595"/>
      <c r="DZ77" s="3407"/>
      <c r="EA77" s="3406"/>
      <c r="EB77" s="2595"/>
      <c r="EC77" s="2595"/>
      <c r="ED77" s="2595"/>
      <c r="EE77" s="2595"/>
      <c r="EF77" s="2595"/>
      <c r="EG77" s="2595"/>
      <c r="EH77" s="2595"/>
      <c r="EI77" s="2595"/>
      <c r="EJ77" s="2595"/>
      <c r="EK77" s="2595"/>
      <c r="EL77" s="2595"/>
      <c r="EM77" s="2595"/>
      <c r="EN77" s="3408"/>
      <c r="EO77" s="3410"/>
      <c r="EP77" s="2595"/>
      <c r="EQ77" s="2595"/>
      <c r="ER77" s="2595"/>
      <c r="ES77" s="3407"/>
      <c r="ET77" s="3406"/>
      <c r="EU77" s="2595"/>
      <c r="EV77" s="2595"/>
      <c r="EW77" s="2595"/>
      <c r="EX77" s="3408"/>
    </row>
    <row r="78" spans="1:154" s="3393" customFormat="1" ht="15" customHeight="1" thickBot="1">
      <c r="A78" s="15452"/>
      <c r="B78" s="15454" t="s">
        <v>3347</v>
      </c>
      <c r="C78" s="15456"/>
      <c r="D78" s="15456"/>
      <c r="E78" s="15456"/>
      <c r="F78" s="3400" t="s">
        <v>7752</v>
      </c>
      <c r="G78" s="3416" t="s">
        <v>3465</v>
      </c>
      <c r="H78" s="3417" t="s">
        <v>86</v>
      </c>
      <c r="I78" s="15490"/>
      <c r="J78" s="3414" t="s">
        <v>3354</v>
      </c>
      <c r="K78" s="3403">
        <v>1</v>
      </c>
      <c r="L78" s="3414" t="s">
        <v>3355</v>
      </c>
      <c r="M78" s="3414" t="s">
        <v>3356</v>
      </c>
      <c r="N78" s="3415"/>
      <c r="O78" s="3411">
        <v>15239000</v>
      </c>
      <c r="P78" s="15492"/>
      <c r="Q78" s="3412">
        <v>52410800</v>
      </c>
      <c r="R78" s="3412">
        <v>229343164</v>
      </c>
      <c r="S78" s="3412">
        <v>11986687</v>
      </c>
      <c r="T78" s="2587">
        <v>685</v>
      </c>
      <c r="U78" s="2587">
        <v>122</v>
      </c>
      <c r="V78" s="2587">
        <v>563</v>
      </c>
      <c r="W78" s="2587">
        <v>685</v>
      </c>
      <c r="X78" s="2587"/>
      <c r="Y78" s="2587"/>
      <c r="Z78" s="2587">
        <v>14</v>
      </c>
      <c r="AA78" s="2587">
        <v>79</v>
      </c>
      <c r="AB78" s="2587">
        <v>373</v>
      </c>
      <c r="AC78" s="2587">
        <v>218</v>
      </c>
      <c r="AD78" s="2587"/>
      <c r="AE78" s="2587"/>
      <c r="AF78" s="2587"/>
      <c r="AG78" s="2587"/>
      <c r="AH78" s="2587"/>
      <c r="AI78" s="2587"/>
      <c r="AJ78" s="2587"/>
      <c r="AK78" s="2587"/>
      <c r="AL78" s="2587"/>
      <c r="AM78" s="2587"/>
      <c r="AN78" s="2587">
        <v>678</v>
      </c>
      <c r="AO78" s="2587">
        <v>5</v>
      </c>
      <c r="AP78" s="2587">
        <v>2</v>
      </c>
      <c r="AQ78" s="2587"/>
      <c r="AR78" s="2587"/>
      <c r="AS78" s="2587"/>
      <c r="AT78" s="2587"/>
      <c r="AU78" s="2587"/>
      <c r="AV78" s="2587"/>
      <c r="AW78" s="2587"/>
      <c r="AX78" s="2587"/>
      <c r="AY78" s="2587"/>
      <c r="AZ78" s="2587"/>
      <c r="BA78" s="2587"/>
      <c r="BB78" s="2587"/>
      <c r="BC78" s="2587"/>
      <c r="BD78" s="15456"/>
      <c r="BE78" s="3414" t="s">
        <v>3354</v>
      </c>
      <c r="BF78" s="3404" t="s">
        <v>1509</v>
      </c>
      <c r="BG78" s="3414" t="s">
        <v>3354</v>
      </c>
      <c r="BH78" s="2587" t="s">
        <v>9638</v>
      </c>
      <c r="BI78" s="3405">
        <v>1</v>
      </c>
      <c r="BJ78" s="3149">
        <v>1</v>
      </c>
      <c r="BK78" s="15556"/>
      <c r="BL78" s="3414" t="s">
        <v>3355</v>
      </c>
      <c r="BM78" s="3414" t="s">
        <v>3356</v>
      </c>
      <c r="BN78" s="3415"/>
      <c r="BO78" s="3391">
        <v>1871111</v>
      </c>
      <c r="BP78" s="15547"/>
      <c r="BQ78" s="3392">
        <v>1571733</v>
      </c>
      <c r="BR78" s="3391">
        <f t="shared" si="1"/>
        <v>299378</v>
      </c>
      <c r="BS78" s="3391"/>
      <c r="BT78" s="2587">
        <v>1370</v>
      </c>
      <c r="BU78" s="2587">
        <v>456</v>
      </c>
      <c r="BV78" s="2587">
        <v>685</v>
      </c>
      <c r="BW78" s="2587">
        <v>1370</v>
      </c>
      <c r="BX78" s="2587"/>
      <c r="BY78" s="2587"/>
      <c r="BZ78" s="2587"/>
      <c r="CA78" s="2587"/>
      <c r="CB78" s="2587"/>
      <c r="CC78" s="2587"/>
      <c r="CD78" s="2587"/>
      <c r="CE78" s="2587"/>
      <c r="CF78" s="2587"/>
      <c r="CG78" s="2587"/>
      <c r="CH78" s="2587"/>
      <c r="CI78" s="2587"/>
      <c r="CJ78" s="2587"/>
      <c r="CK78" s="2587"/>
      <c r="CL78" s="2587"/>
      <c r="CM78" s="2587"/>
      <c r="CN78" s="2587">
        <v>678</v>
      </c>
      <c r="CO78" s="2587">
        <v>5</v>
      </c>
      <c r="CP78" s="2587">
        <v>2</v>
      </c>
      <c r="CQ78" s="2587"/>
      <c r="CR78" s="2587"/>
      <c r="CS78" s="2587"/>
      <c r="CT78" s="2587"/>
      <c r="CU78" s="2587"/>
      <c r="CV78" s="2587"/>
      <c r="CW78" s="2587"/>
      <c r="CX78" s="2587"/>
      <c r="CY78" s="2587"/>
      <c r="CZ78" s="2587"/>
      <c r="DA78" s="2587"/>
      <c r="DB78" s="2587"/>
      <c r="DC78" s="2587"/>
      <c r="DE78" s="3406"/>
      <c r="DF78" s="2595"/>
      <c r="DG78" s="2595"/>
      <c r="DH78" s="2595"/>
      <c r="DI78" s="2595"/>
      <c r="DJ78" s="3407"/>
      <c r="DK78" s="3406"/>
      <c r="DL78" s="2595"/>
      <c r="DM78" s="2595"/>
      <c r="DN78" s="3408"/>
      <c r="DO78" s="3409"/>
      <c r="DP78" s="3410"/>
      <c r="DQ78" s="3408"/>
      <c r="DR78" s="3410"/>
      <c r="DS78" s="3408"/>
      <c r="DT78" s="3410"/>
      <c r="DU78" s="2595"/>
      <c r="DV78" s="2595"/>
      <c r="DW78" s="2595"/>
      <c r="DX78" s="2595"/>
      <c r="DY78" s="2595"/>
      <c r="DZ78" s="3407"/>
      <c r="EA78" s="3406"/>
      <c r="EB78" s="2595"/>
      <c r="EC78" s="2595"/>
      <c r="ED78" s="2595"/>
      <c r="EE78" s="2595"/>
      <c r="EF78" s="2595"/>
      <c r="EG78" s="2595"/>
      <c r="EH78" s="2595"/>
      <c r="EI78" s="2595"/>
      <c r="EJ78" s="2595"/>
      <c r="EK78" s="2595"/>
      <c r="EL78" s="2595"/>
      <c r="EM78" s="2595"/>
      <c r="EN78" s="3408"/>
      <c r="EO78" s="3410"/>
      <c r="EP78" s="2595"/>
      <c r="EQ78" s="2595"/>
      <c r="ER78" s="2595"/>
      <c r="ES78" s="3407"/>
      <c r="ET78" s="3406"/>
      <c r="EU78" s="2595"/>
      <c r="EV78" s="2595"/>
      <c r="EW78" s="2595"/>
      <c r="EX78" s="3408"/>
    </row>
    <row r="79" spans="1:154" s="3393" customFormat="1" ht="15" customHeight="1" thickBot="1">
      <c r="A79" s="15452"/>
      <c r="B79" s="15454"/>
      <c r="C79" s="15456"/>
      <c r="D79" s="15456"/>
      <c r="E79" s="15456"/>
      <c r="F79" s="3400" t="s">
        <v>7753</v>
      </c>
      <c r="G79" s="3416" t="s">
        <v>3466</v>
      </c>
      <c r="H79" s="3417" t="s">
        <v>86</v>
      </c>
      <c r="I79" s="15490"/>
      <c r="J79" s="2594" t="s">
        <v>3467</v>
      </c>
      <c r="K79" s="3403">
        <v>1</v>
      </c>
      <c r="L79" s="2594" t="s">
        <v>3468</v>
      </c>
      <c r="M79" s="2594" t="s">
        <v>3356</v>
      </c>
      <c r="N79" s="2594"/>
      <c r="O79" s="3411">
        <v>15239000</v>
      </c>
      <c r="P79" s="15492"/>
      <c r="Q79" s="3412">
        <v>52410800</v>
      </c>
      <c r="R79" s="3412">
        <v>229343164</v>
      </c>
      <c r="S79" s="3412">
        <v>11986687</v>
      </c>
      <c r="T79" s="2587">
        <v>231</v>
      </c>
      <c r="U79" s="2587">
        <v>204</v>
      </c>
      <c r="V79" s="2587">
        <v>69</v>
      </c>
      <c r="W79" s="2587">
        <v>231</v>
      </c>
      <c r="X79" s="2587">
        <v>42</v>
      </c>
      <c r="Y79" s="2587"/>
      <c r="Z79" s="2587"/>
      <c r="AA79" s="2587">
        <v>61</v>
      </c>
      <c r="AB79" s="2587">
        <v>95</v>
      </c>
      <c r="AC79" s="2587">
        <v>72</v>
      </c>
      <c r="AD79" s="2587">
        <v>39</v>
      </c>
      <c r="AE79" s="2587">
        <v>6</v>
      </c>
      <c r="AF79" s="2587"/>
      <c r="AG79" s="2587"/>
      <c r="AH79" s="2587"/>
      <c r="AI79" s="2587"/>
      <c r="AJ79" s="2587"/>
      <c r="AK79" s="2587"/>
      <c r="AL79" s="2587"/>
      <c r="AM79" s="2587"/>
      <c r="AN79" s="2587">
        <v>267</v>
      </c>
      <c r="AO79" s="2587">
        <v>4</v>
      </c>
      <c r="AP79" s="2587">
        <v>2</v>
      </c>
      <c r="AQ79" s="2587"/>
      <c r="AR79" s="2587"/>
      <c r="AS79" s="2587"/>
      <c r="AT79" s="2587"/>
      <c r="AU79" s="2587"/>
      <c r="AV79" s="2587"/>
      <c r="AW79" s="2587"/>
      <c r="AX79" s="2587"/>
      <c r="AY79" s="2587"/>
      <c r="AZ79" s="2587"/>
      <c r="BA79" s="2587"/>
      <c r="BB79" s="2587"/>
      <c r="BC79" s="2587"/>
      <c r="BD79" s="15456"/>
      <c r="BE79" s="2594" t="s">
        <v>3467</v>
      </c>
      <c r="BF79" s="3404" t="s">
        <v>1509</v>
      </c>
      <c r="BG79" s="2594" t="s">
        <v>3467</v>
      </c>
      <c r="BH79" s="2587" t="s">
        <v>9648</v>
      </c>
      <c r="BI79" s="3405">
        <v>1</v>
      </c>
      <c r="BJ79" s="3149">
        <v>1</v>
      </c>
      <c r="BK79" s="15556"/>
      <c r="BL79" s="2594" t="s">
        <v>3468</v>
      </c>
      <c r="BM79" s="2594" t="s">
        <v>3356</v>
      </c>
      <c r="BN79" s="2594"/>
      <c r="BO79" s="3391">
        <v>1871111</v>
      </c>
      <c r="BP79" s="15547"/>
      <c r="BQ79" s="3392">
        <v>1571733</v>
      </c>
      <c r="BR79" s="3391">
        <f t="shared" si="1"/>
        <v>299378</v>
      </c>
      <c r="BS79" s="3391"/>
      <c r="BT79" s="3420">
        <v>3.7679999999999998</v>
      </c>
      <c r="BU79" s="3420">
        <v>1795</v>
      </c>
      <c r="BV79" s="3420">
        <v>1972</v>
      </c>
      <c r="BW79" s="3420">
        <v>2676</v>
      </c>
      <c r="BX79" s="3420">
        <v>1091</v>
      </c>
      <c r="BY79" s="2587"/>
      <c r="BZ79" s="2587"/>
      <c r="CA79" s="2587">
        <v>61</v>
      </c>
      <c r="CB79" s="2587">
        <v>95</v>
      </c>
      <c r="CC79" s="2587">
        <v>72</v>
      </c>
      <c r="CD79" s="2587">
        <v>39</v>
      </c>
      <c r="CE79" s="2587">
        <v>6</v>
      </c>
      <c r="CF79" s="2587"/>
      <c r="CG79" s="2587"/>
      <c r="CH79" s="2587"/>
      <c r="CI79" s="2587"/>
      <c r="CJ79" s="2587"/>
      <c r="CK79" s="2587"/>
      <c r="CL79" s="2587"/>
      <c r="CM79" s="2587"/>
      <c r="CN79" s="2587">
        <v>267</v>
      </c>
      <c r="CO79" s="2587">
        <v>4</v>
      </c>
      <c r="CP79" s="2587">
        <v>2</v>
      </c>
      <c r="CQ79" s="2587"/>
      <c r="CR79" s="2587"/>
      <c r="CS79" s="2587"/>
      <c r="CT79" s="2587"/>
      <c r="CU79" s="2587"/>
      <c r="CV79" s="2587"/>
      <c r="CW79" s="2587"/>
      <c r="CX79" s="2587"/>
      <c r="CY79" s="2587"/>
      <c r="CZ79" s="2587"/>
      <c r="DA79" s="2587"/>
      <c r="DB79" s="2587"/>
      <c r="DC79" s="2587"/>
      <c r="DE79" s="3406"/>
      <c r="DF79" s="2595"/>
      <c r="DG79" s="2595"/>
      <c r="DH79" s="2595"/>
      <c r="DI79" s="2595"/>
      <c r="DJ79" s="3407"/>
      <c r="DK79" s="3406"/>
      <c r="DL79" s="2595"/>
      <c r="DM79" s="2595"/>
      <c r="DN79" s="3408"/>
      <c r="DO79" s="3409"/>
      <c r="DP79" s="3410"/>
      <c r="DQ79" s="3408"/>
      <c r="DR79" s="3410"/>
      <c r="DS79" s="3408"/>
      <c r="DT79" s="3410"/>
      <c r="DU79" s="2595"/>
      <c r="DV79" s="2595"/>
      <c r="DW79" s="2595"/>
      <c r="DX79" s="2595"/>
      <c r="DY79" s="2595"/>
      <c r="DZ79" s="3407"/>
      <c r="EA79" s="3406"/>
      <c r="EB79" s="2595"/>
      <c r="EC79" s="2595"/>
      <c r="ED79" s="2595"/>
      <c r="EE79" s="2595"/>
      <c r="EF79" s="2595"/>
      <c r="EG79" s="2595"/>
      <c r="EH79" s="2595"/>
      <c r="EI79" s="2595"/>
      <c r="EJ79" s="2595"/>
      <c r="EK79" s="2595"/>
      <c r="EL79" s="2595"/>
      <c r="EM79" s="2595"/>
      <c r="EN79" s="3408"/>
      <c r="EO79" s="3410"/>
      <c r="EP79" s="2595"/>
      <c r="EQ79" s="2595"/>
      <c r="ER79" s="2595"/>
      <c r="ES79" s="3407"/>
      <c r="ET79" s="3406"/>
      <c r="EU79" s="2595"/>
      <c r="EV79" s="2595"/>
      <c r="EW79" s="2595"/>
      <c r="EX79" s="3408"/>
    </row>
    <row r="80" spans="1:154" s="3393" customFormat="1" ht="15" customHeight="1" thickBot="1">
      <c r="A80" s="15452"/>
      <c r="B80" s="15454"/>
      <c r="C80" s="15456" t="s">
        <v>3469</v>
      </c>
      <c r="D80" s="15456">
        <v>29.8</v>
      </c>
      <c r="E80" s="15458">
        <v>30</v>
      </c>
      <c r="F80" s="3400" t="s">
        <v>7754</v>
      </c>
      <c r="G80" s="3413" t="s">
        <v>3470</v>
      </c>
      <c r="H80" s="3402" t="s">
        <v>86</v>
      </c>
      <c r="I80" s="15490">
        <v>79.099999999999994</v>
      </c>
      <c r="J80" s="2594" t="s">
        <v>3471</v>
      </c>
      <c r="K80" s="3403">
        <v>1</v>
      </c>
      <c r="L80" s="2594" t="s">
        <v>3472</v>
      </c>
      <c r="M80" s="2594" t="s">
        <v>3389</v>
      </c>
      <c r="N80" s="2594"/>
      <c r="O80" s="15494">
        <v>30478000</v>
      </c>
      <c r="P80" s="15492"/>
      <c r="Q80" s="15395">
        <v>52410800</v>
      </c>
      <c r="R80" s="15395">
        <v>229343164</v>
      </c>
      <c r="S80" s="15395">
        <v>11986687</v>
      </c>
      <c r="T80" s="2594"/>
      <c r="U80" s="2594"/>
      <c r="V80" s="2594"/>
      <c r="W80" s="2594"/>
      <c r="X80" s="2595"/>
      <c r="Y80" s="2595"/>
      <c r="Z80" s="2595"/>
      <c r="AA80" s="2595"/>
      <c r="AB80" s="2595"/>
      <c r="AC80" s="2595"/>
      <c r="AD80" s="2595"/>
      <c r="AE80" s="2595"/>
      <c r="AF80" s="2595"/>
      <c r="AG80" s="2595"/>
      <c r="AH80" s="2595"/>
      <c r="AI80" s="2595"/>
      <c r="AJ80" s="2595"/>
      <c r="AK80" s="2595"/>
      <c r="AL80" s="2595"/>
      <c r="AM80" s="2595"/>
      <c r="AN80" s="2595"/>
      <c r="AO80" s="2595"/>
      <c r="AP80" s="2595"/>
      <c r="AQ80" s="2595"/>
      <c r="AR80" s="2595"/>
      <c r="AS80" s="2595"/>
      <c r="AT80" s="2587" t="s">
        <v>3473</v>
      </c>
      <c r="AU80" s="3414" t="s">
        <v>3474</v>
      </c>
      <c r="AV80" s="2587">
        <v>12</v>
      </c>
      <c r="AW80" s="2587"/>
      <c r="AX80" s="2587"/>
      <c r="AY80" s="2587"/>
      <c r="AZ80" s="2587"/>
      <c r="BA80" s="2587"/>
      <c r="BB80" s="2587"/>
      <c r="BC80" s="2587"/>
      <c r="BD80" s="15456">
        <v>79.099999999999994</v>
      </c>
      <c r="BE80" s="2594" t="s">
        <v>3471</v>
      </c>
      <c r="BF80" s="3404" t="s">
        <v>1509</v>
      </c>
      <c r="BG80" s="2594" t="s">
        <v>3471</v>
      </c>
      <c r="BH80" s="3405">
        <v>1</v>
      </c>
      <c r="BI80" s="3405">
        <v>1</v>
      </c>
      <c r="BJ80" s="3149">
        <v>1</v>
      </c>
      <c r="BK80" s="15556"/>
      <c r="BL80" s="2594" t="s">
        <v>3472</v>
      </c>
      <c r="BM80" s="2594" t="s">
        <v>3389</v>
      </c>
      <c r="BN80" s="2594"/>
      <c r="BO80" s="3391">
        <v>5038000</v>
      </c>
      <c r="BP80" s="15547"/>
      <c r="BQ80" s="3392">
        <v>4231920</v>
      </c>
      <c r="BR80" s="3391">
        <f t="shared" si="1"/>
        <v>806080</v>
      </c>
      <c r="BS80" s="3391"/>
      <c r="BT80" s="2587"/>
      <c r="BU80" s="2587"/>
      <c r="BV80" s="2587"/>
      <c r="BW80" s="2587"/>
      <c r="BX80" s="2587"/>
      <c r="BY80" s="2587"/>
      <c r="BZ80" s="2587"/>
      <c r="CA80" s="2587"/>
      <c r="CB80" s="2587"/>
      <c r="CC80" s="2587"/>
      <c r="CD80" s="2587"/>
      <c r="CE80" s="2587"/>
      <c r="CF80" s="2587"/>
      <c r="CG80" s="2587"/>
      <c r="CH80" s="2587"/>
      <c r="CI80" s="2587"/>
      <c r="CJ80" s="2587"/>
      <c r="CK80" s="2587"/>
      <c r="CL80" s="2587"/>
      <c r="CM80" s="2587"/>
      <c r="CN80" s="2587"/>
      <c r="CO80" s="2587"/>
      <c r="CP80" s="2587"/>
      <c r="CQ80" s="2587"/>
      <c r="CR80" s="2587"/>
      <c r="CS80" s="2587"/>
      <c r="CT80" s="2587" t="s">
        <v>3473</v>
      </c>
      <c r="CU80" s="3414" t="s">
        <v>3474</v>
      </c>
      <c r="CV80" s="2587">
        <v>12</v>
      </c>
      <c r="CW80" s="2587"/>
      <c r="CX80" s="2587"/>
      <c r="CY80" s="2587"/>
      <c r="CZ80" s="2587"/>
      <c r="DA80" s="2587"/>
      <c r="DB80" s="2587"/>
      <c r="DC80" s="2587"/>
      <c r="DE80" s="3406"/>
      <c r="DF80" s="2595"/>
      <c r="DG80" s="2595"/>
      <c r="DH80" s="2595"/>
      <c r="DI80" s="2595"/>
      <c r="DJ80" s="3407"/>
      <c r="DK80" s="3406"/>
      <c r="DL80" s="2595"/>
      <c r="DM80" s="2595"/>
      <c r="DN80" s="3408"/>
      <c r="DO80" s="3409"/>
      <c r="DP80" s="3410"/>
      <c r="DQ80" s="3408"/>
      <c r="DR80" s="3410"/>
      <c r="DS80" s="3408"/>
      <c r="DT80" s="3410"/>
      <c r="DU80" s="2595"/>
      <c r="DV80" s="2595"/>
      <c r="DW80" s="2595"/>
      <c r="DX80" s="2595"/>
      <c r="DY80" s="2595"/>
      <c r="DZ80" s="3407"/>
      <c r="EA80" s="3406"/>
      <c r="EB80" s="2595"/>
      <c r="EC80" s="2595"/>
      <c r="ED80" s="2595"/>
      <c r="EE80" s="2595"/>
      <c r="EF80" s="2595"/>
      <c r="EG80" s="2595"/>
      <c r="EH80" s="2595"/>
      <c r="EI80" s="2595"/>
      <c r="EJ80" s="2595"/>
      <c r="EK80" s="2595"/>
      <c r="EL80" s="2595"/>
      <c r="EM80" s="2595"/>
      <c r="EN80" s="3408"/>
      <c r="EO80" s="3410"/>
      <c r="EP80" s="2595"/>
      <c r="EQ80" s="2595"/>
      <c r="ER80" s="2595"/>
      <c r="ES80" s="3407"/>
      <c r="ET80" s="3406"/>
      <c r="EU80" s="2595"/>
      <c r="EV80" s="2595"/>
      <c r="EW80" s="2595"/>
      <c r="EX80" s="3408"/>
    </row>
    <row r="81" spans="1:154" s="3393" customFormat="1" ht="15" customHeight="1" thickBot="1">
      <c r="A81" s="15453"/>
      <c r="B81" s="15455"/>
      <c r="C81" s="15457"/>
      <c r="D81" s="15457"/>
      <c r="E81" s="15459"/>
      <c r="F81" s="3421" t="s">
        <v>7755</v>
      </c>
      <c r="G81" s="3422" t="s">
        <v>3475</v>
      </c>
      <c r="H81" s="3423" t="s">
        <v>86</v>
      </c>
      <c r="I81" s="15496"/>
      <c r="J81" s="3424" t="s">
        <v>4149</v>
      </c>
      <c r="K81" s="3425">
        <v>1</v>
      </c>
      <c r="L81" s="3426" t="s">
        <v>4132</v>
      </c>
      <c r="M81" s="3426" t="s">
        <v>4112</v>
      </c>
      <c r="N81" s="2660"/>
      <c r="O81" s="15493"/>
      <c r="P81" s="15493"/>
      <c r="Q81" s="15397"/>
      <c r="R81" s="15397"/>
      <c r="S81" s="15397"/>
      <c r="T81" s="2660"/>
      <c r="U81" s="2660"/>
      <c r="V81" s="2660"/>
      <c r="W81" s="2660"/>
      <c r="X81" s="2660"/>
      <c r="Y81" s="2660"/>
      <c r="Z81" s="2660"/>
      <c r="AA81" s="2660"/>
      <c r="AB81" s="2660"/>
      <c r="AC81" s="2660"/>
      <c r="AD81" s="2660"/>
      <c r="AE81" s="2660"/>
      <c r="AF81" s="2660"/>
      <c r="AG81" s="2660"/>
      <c r="AH81" s="2660"/>
      <c r="AI81" s="2660"/>
      <c r="AJ81" s="2660"/>
      <c r="AK81" s="2660"/>
      <c r="AL81" s="2660"/>
      <c r="AM81" s="2660"/>
      <c r="AN81" s="2660"/>
      <c r="AO81" s="2660"/>
      <c r="AP81" s="2660"/>
      <c r="AQ81" s="2660"/>
      <c r="AR81" s="2660"/>
      <c r="AS81" s="2660"/>
      <c r="AT81" s="3427" t="s">
        <v>4198</v>
      </c>
      <c r="AU81" s="3426" t="s">
        <v>4199</v>
      </c>
      <c r="AV81" s="3420">
        <v>15</v>
      </c>
      <c r="AW81" s="2660"/>
      <c r="AX81" s="2660"/>
      <c r="AY81" s="2660"/>
      <c r="AZ81" s="2660"/>
      <c r="BA81" s="2660"/>
      <c r="BB81" s="2660"/>
      <c r="BC81" s="2660"/>
      <c r="BD81" s="15457"/>
      <c r="BE81" s="3424" t="s">
        <v>4149</v>
      </c>
      <c r="BF81" s="3428" t="s">
        <v>1509</v>
      </c>
      <c r="BG81" s="3424" t="s">
        <v>4149</v>
      </c>
      <c r="BH81" s="3429">
        <v>1</v>
      </c>
      <c r="BI81" s="3429">
        <v>1</v>
      </c>
      <c r="BJ81" s="3149">
        <v>1</v>
      </c>
      <c r="BK81" s="15557"/>
      <c r="BL81" s="3426" t="s">
        <v>4132</v>
      </c>
      <c r="BM81" s="3426" t="s">
        <v>4112</v>
      </c>
      <c r="BN81" s="2660"/>
      <c r="BO81" s="3430">
        <v>1871111</v>
      </c>
      <c r="BP81" s="15548"/>
      <c r="BQ81" s="3392">
        <v>1571733</v>
      </c>
      <c r="BR81" s="3391">
        <f t="shared" si="1"/>
        <v>299378</v>
      </c>
      <c r="BS81" s="3391"/>
      <c r="BT81" s="2587"/>
      <c r="BU81" s="2587"/>
      <c r="BV81" s="2587"/>
      <c r="BW81" s="2587"/>
      <c r="BX81" s="2587"/>
      <c r="BY81" s="2587"/>
      <c r="BZ81" s="2587"/>
      <c r="CA81" s="2587"/>
      <c r="CB81" s="2587"/>
      <c r="CC81" s="2587"/>
      <c r="CD81" s="2587"/>
      <c r="CE81" s="2587"/>
      <c r="CF81" s="2587"/>
      <c r="CG81" s="2587"/>
      <c r="CH81" s="2587"/>
      <c r="CI81" s="2587"/>
      <c r="CJ81" s="2587"/>
      <c r="CK81" s="2587"/>
      <c r="CL81" s="2587"/>
      <c r="CM81" s="2587"/>
      <c r="CN81" s="2587"/>
      <c r="CO81" s="2587"/>
      <c r="CP81" s="2587"/>
      <c r="CQ81" s="2587"/>
      <c r="CR81" s="2587"/>
      <c r="CS81" s="2587"/>
      <c r="CT81" s="2599" t="s">
        <v>4198</v>
      </c>
      <c r="CU81" s="2594" t="s">
        <v>4199</v>
      </c>
      <c r="CV81" s="2587">
        <v>15</v>
      </c>
      <c r="CW81" s="2595"/>
      <c r="CX81" s="2595"/>
      <c r="CY81" s="2595"/>
      <c r="CZ81" s="2595"/>
      <c r="DA81" s="2595"/>
      <c r="DB81" s="2595"/>
      <c r="DC81" s="2595"/>
      <c r="DE81" s="3431"/>
      <c r="DF81" s="2660"/>
      <c r="DG81" s="2660"/>
      <c r="DH81" s="2660"/>
      <c r="DI81" s="2660"/>
      <c r="DJ81" s="3432"/>
      <c r="DK81" s="3431"/>
      <c r="DL81" s="2660"/>
      <c r="DM81" s="2660"/>
      <c r="DN81" s="3433"/>
      <c r="DO81" s="3434"/>
      <c r="DP81" s="3435"/>
      <c r="DQ81" s="3433"/>
      <c r="DR81" s="3435"/>
      <c r="DS81" s="3433"/>
      <c r="DT81" s="3435"/>
      <c r="DU81" s="2660"/>
      <c r="DV81" s="2660"/>
      <c r="DW81" s="2660"/>
      <c r="DX81" s="2660"/>
      <c r="DY81" s="2660"/>
      <c r="DZ81" s="3432"/>
      <c r="EA81" s="3431"/>
      <c r="EB81" s="2660"/>
      <c r="EC81" s="2660"/>
      <c r="ED81" s="2660"/>
      <c r="EE81" s="2660"/>
      <c r="EF81" s="2660"/>
      <c r="EG81" s="2660"/>
      <c r="EH81" s="2660"/>
      <c r="EI81" s="2660"/>
      <c r="EJ81" s="2660"/>
      <c r="EK81" s="2660"/>
      <c r="EL81" s="2660"/>
      <c r="EM81" s="2660"/>
      <c r="EN81" s="3433"/>
      <c r="EO81" s="3435"/>
      <c r="EP81" s="2660"/>
      <c r="EQ81" s="2660"/>
      <c r="ER81" s="2660"/>
      <c r="ES81" s="3432"/>
      <c r="ET81" s="3431"/>
      <c r="EU81" s="2660"/>
      <c r="EV81" s="2660"/>
      <c r="EW81" s="2660"/>
      <c r="EX81" s="3433"/>
    </row>
    <row r="82" spans="1:154" s="2373" customFormat="1" ht="15" customHeight="1" thickBot="1">
      <c r="A82" s="15442" t="s">
        <v>3476</v>
      </c>
      <c r="B82" s="15445" t="s">
        <v>3281</v>
      </c>
      <c r="C82" s="1773" t="s">
        <v>3477</v>
      </c>
      <c r="D82" s="2197" t="s">
        <v>2315</v>
      </c>
      <c r="E82" s="1774" t="s">
        <v>3478</v>
      </c>
      <c r="F82" s="773" t="s">
        <v>7756</v>
      </c>
      <c r="G82" s="3251" t="s">
        <v>4168</v>
      </c>
      <c r="H82" s="3280" t="s">
        <v>86</v>
      </c>
      <c r="I82" s="3261">
        <v>57</v>
      </c>
      <c r="J82" s="2363" t="s">
        <v>4150</v>
      </c>
      <c r="K82" s="1760">
        <v>1</v>
      </c>
      <c r="L82" s="2363" t="s">
        <v>4133</v>
      </c>
      <c r="M82" s="2363" t="s">
        <v>3356</v>
      </c>
      <c r="N82" s="2363"/>
      <c r="O82" s="2364">
        <v>18194000</v>
      </c>
      <c r="P82" s="15401">
        <f>SUM(O82:O96)</f>
        <v>186854000</v>
      </c>
      <c r="Q82" s="2365">
        <v>52410800</v>
      </c>
      <c r="R82" s="2365">
        <v>229343164</v>
      </c>
      <c r="S82" s="2365">
        <v>11986687</v>
      </c>
      <c r="T82" s="2366">
        <v>4994</v>
      </c>
      <c r="U82" s="2366">
        <v>1226</v>
      </c>
      <c r="V82" s="2366">
        <v>3768</v>
      </c>
      <c r="W82" s="2366">
        <v>2923</v>
      </c>
      <c r="X82" s="2366">
        <v>2071</v>
      </c>
      <c r="Y82" s="2366"/>
      <c r="Z82" s="2366"/>
      <c r="AA82" s="2366"/>
      <c r="AB82" s="2366">
        <v>1276</v>
      </c>
      <c r="AC82" s="2366">
        <v>1174</v>
      </c>
      <c r="AD82" s="2366">
        <v>1548</v>
      </c>
      <c r="AE82" s="2366">
        <v>996</v>
      </c>
      <c r="AF82" s="2366"/>
      <c r="AG82" s="2366"/>
      <c r="AH82" s="2366"/>
      <c r="AI82" s="2366"/>
      <c r="AJ82" s="2366"/>
      <c r="AK82" s="2366"/>
      <c r="AL82" s="2366"/>
      <c r="AM82" s="2366"/>
      <c r="AN82" s="2366">
        <v>4706</v>
      </c>
      <c r="AO82" s="2366">
        <v>238</v>
      </c>
      <c r="AP82" s="2366"/>
      <c r="AQ82" s="2366">
        <v>50</v>
      </c>
      <c r="AR82" s="2366"/>
      <c r="AS82" s="2366"/>
      <c r="AT82" s="2366"/>
      <c r="AU82" s="2366"/>
      <c r="AV82" s="2366"/>
      <c r="AW82" s="2366"/>
      <c r="AX82" s="2366"/>
      <c r="AY82" s="2366"/>
      <c r="AZ82" s="2366"/>
      <c r="BA82" s="2366"/>
      <c r="BB82" s="2366"/>
      <c r="BC82" s="2366"/>
      <c r="BD82" s="2197">
        <v>57</v>
      </c>
      <c r="BE82" s="2363" t="s">
        <v>4150</v>
      </c>
      <c r="BF82" s="2366" t="s">
        <v>1509</v>
      </c>
      <c r="BG82" s="2363" t="s">
        <v>4150</v>
      </c>
      <c r="BH82" s="2367">
        <v>1</v>
      </c>
      <c r="BI82" s="2367">
        <v>1</v>
      </c>
      <c r="BJ82" s="2368">
        <v>1</v>
      </c>
      <c r="BK82" s="15549">
        <f>AVERAGE(BJ82:BJ96)</f>
        <v>0.98</v>
      </c>
      <c r="BL82" s="2363" t="s">
        <v>4133</v>
      </c>
      <c r="BM82" s="2363" t="s">
        <v>3356</v>
      </c>
      <c r="BN82" s="2363"/>
      <c r="BO82" s="2371">
        <v>5038000</v>
      </c>
      <c r="BP82" s="15531">
        <f>SUM(BO82:BO96)</f>
        <v>43901110</v>
      </c>
      <c r="BQ82" s="2370">
        <v>4231920</v>
      </c>
      <c r="BR82" s="2371">
        <f t="shared" si="1"/>
        <v>806080</v>
      </c>
      <c r="BS82" s="2371"/>
      <c r="BT82" s="2378">
        <v>4994</v>
      </c>
      <c r="BU82" s="2378">
        <v>1226</v>
      </c>
      <c r="BV82" s="2378">
        <v>3768</v>
      </c>
      <c r="BW82" s="2378">
        <v>2923</v>
      </c>
      <c r="BX82" s="2378">
        <v>2071</v>
      </c>
      <c r="BY82" s="2378"/>
      <c r="BZ82" s="2378"/>
      <c r="CA82" s="2378"/>
      <c r="CB82" s="2378">
        <v>1276</v>
      </c>
      <c r="CC82" s="2378">
        <v>1174</v>
      </c>
      <c r="CD82" s="2378">
        <v>1548</v>
      </c>
      <c r="CE82" s="2378">
        <v>996</v>
      </c>
      <c r="CF82" s="2378"/>
      <c r="CG82" s="2378"/>
      <c r="CH82" s="2378"/>
      <c r="CI82" s="2378"/>
      <c r="CJ82" s="2378"/>
      <c r="CK82" s="2378"/>
      <c r="CL82" s="2378"/>
      <c r="CM82" s="2378"/>
      <c r="CN82" s="2378">
        <v>4706</v>
      </c>
      <c r="CO82" s="2378">
        <v>238</v>
      </c>
      <c r="CP82" s="2378"/>
      <c r="CQ82" s="2378">
        <v>50</v>
      </c>
      <c r="CR82" s="2378"/>
      <c r="CS82" s="2378"/>
      <c r="CT82" s="2378"/>
      <c r="CU82" s="2378"/>
      <c r="CV82" s="2378"/>
      <c r="CW82" s="2378"/>
      <c r="CX82" s="2378"/>
      <c r="CY82" s="2378"/>
      <c r="CZ82" s="2378"/>
      <c r="DA82" s="2378"/>
      <c r="DB82" s="2378"/>
      <c r="DC82" s="2378"/>
      <c r="DE82" s="3309"/>
      <c r="DF82" s="3310"/>
      <c r="DG82" s="3310"/>
      <c r="DH82" s="3310"/>
      <c r="DI82" s="3310"/>
      <c r="DJ82" s="3331"/>
      <c r="DK82" s="3309"/>
      <c r="DL82" s="3310"/>
      <c r="DM82" s="3310"/>
      <c r="DN82" s="3311"/>
      <c r="DO82" s="3362"/>
      <c r="DP82" s="3347"/>
      <c r="DQ82" s="3311"/>
      <c r="DR82" s="3347"/>
      <c r="DS82" s="3311"/>
      <c r="DT82" s="3347"/>
      <c r="DU82" s="3310"/>
      <c r="DV82" s="3310"/>
      <c r="DW82" s="3310"/>
      <c r="DX82" s="3310"/>
      <c r="DY82" s="3310"/>
      <c r="DZ82" s="3331"/>
      <c r="EA82" s="3309"/>
      <c r="EB82" s="3310"/>
      <c r="EC82" s="3310"/>
      <c r="ED82" s="3310"/>
      <c r="EE82" s="3310"/>
      <c r="EF82" s="3310"/>
      <c r="EG82" s="3310"/>
      <c r="EH82" s="3310"/>
      <c r="EI82" s="3310"/>
      <c r="EJ82" s="3310"/>
      <c r="EK82" s="3310"/>
      <c r="EL82" s="3310"/>
      <c r="EM82" s="3310"/>
      <c r="EN82" s="3311"/>
      <c r="EO82" s="3347"/>
      <c r="EP82" s="3310"/>
      <c r="EQ82" s="3310"/>
      <c r="ER82" s="3310"/>
      <c r="ES82" s="3331"/>
      <c r="ET82" s="3309"/>
      <c r="EU82" s="3310"/>
      <c r="EV82" s="3310"/>
      <c r="EW82" s="3310"/>
      <c r="EX82" s="3311"/>
    </row>
    <row r="83" spans="1:154" s="2373" customFormat="1" ht="15" customHeight="1" thickBot="1">
      <c r="A83" s="15443"/>
      <c r="B83" s="15434"/>
      <c r="C83" s="15436" t="s">
        <v>3481</v>
      </c>
      <c r="D83" s="15436" t="s">
        <v>2315</v>
      </c>
      <c r="E83" s="15387" t="s">
        <v>3478</v>
      </c>
      <c r="F83" s="2433" t="s">
        <v>7757</v>
      </c>
      <c r="G83" s="3252" t="s">
        <v>3482</v>
      </c>
      <c r="H83" s="3272" t="s">
        <v>86</v>
      </c>
      <c r="I83" s="15480" t="s">
        <v>4181</v>
      </c>
      <c r="J83" s="2374" t="s">
        <v>3479</v>
      </c>
      <c r="K83" s="2375">
        <v>1</v>
      </c>
      <c r="L83" s="2374" t="s">
        <v>3480</v>
      </c>
      <c r="M83" s="2374" t="s">
        <v>3356</v>
      </c>
      <c r="N83" s="2374"/>
      <c r="O83" s="2376">
        <v>18194000</v>
      </c>
      <c r="P83" s="15402"/>
      <c r="Q83" s="2377">
        <v>52410800</v>
      </c>
      <c r="R83" s="2377">
        <v>229343164</v>
      </c>
      <c r="S83" s="2377">
        <v>11986687</v>
      </c>
      <c r="T83" s="2378">
        <v>4994</v>
      </c>
      <c r="U83" s="2378">
        <v>1226</v>
      </c>
      <c r="V83" s="2378">
        <v>3768</v>
      </c>
      <c r="W83" s="2378">
        <v>2923</v>
      </c>
      <c r="X83" s="2378">
        <v>2071</v>
      </c>
      <c r="Y83" s="2378"/>
      <c r="Z83" s="2378"/>
      <c r="AA83" s="2378"/>
      <c r="AB83" s="2378">
        <v>1276</v>
      </c>
      <c r="AC83" s="2378">
        <v>1174</v>
      </c>
      <c r="AD83" s="2378">
        <v>1548</v>
      </c>
      <c r="AE83" s="2378">
        <v>996</v>
      </c>
      <c r="AF83" s="2378"/>
      <c r="AG83" s="2378"/>
      <c r="AH83" s="2378"/>
      <c r="AI83" s="2378"/>
      <c r="AJ83" s="2378"/>
      <c r="AK83" s="2378"/>
      <c r="AL83" s="2378"/>
      <c r="AM83" s="2378"/>
      <c r="AN83" s="2378">
        <v>4706</v>
      </c>
      <c r="AO83" s="2378">
        <v>238</v>
      </c>
      <c r="AP83" s="2378"/>
      <c r="AQ83" s="2378">
        <v>50</v>
      </c>
      <c r="AR83" s="2378"/>
      <c r="AS83" s="2378"/>
      <c r="AT83" s="2378"/>
      <c r="AU83" s="2378"/>
      <c r="AV83" s="2378"/>
      <c r="AW83" s="2378"/>
      <c r="AX83" s="2378"/>
      <c r="AY83" s="2378"/>
      <c r="AZ83" s="2378"/>
      <c r="BA83" s="2378"/>
      <c r="BB83" s="2378"/>
      <c r="BC83" s="2378"/>
      <c r="BD83" s="15436" t="s">
        <v>4181</v>
      </c>
      <c r="BE83" s="2374" t="s">
        <v>3479</v>
      </c>
      <c r="BF83" s="2372" t="s">
        <v>1509</v>
      </c>
      <c r="BG83" s="2374" t="s">
        <v>3479</v>
      </c>
      <c r="BH83" s="2380">
        <v>1</v>
      </c>
      <c r="BI83" s="2380">
        <v>1</v>
      </c>
      <c r="BJ83" s="2368">
        <v>1</v>
      </c>
      <c r="BK83" s="15550"/>
      <c r="BL83" s="2374" t="s">
        <v>3480</v>
      </c>
      <c r="BM83" s="2374" t="s">
        <v>3356</v>
      </c>
      <c r="BN83" s="2374"/>
      <c r="BO83" s="2371">
        <v>1871111</v>
      </c>
      <c r="BP83" s="15532"/>
      <c r="BQ83" s="2370">
        <v>1571733</v>
      </c>
      <c r="BR83" s="2371">
        <f t="shared" si="1"/>
        <v>299378</v>
      </c>
      <c r="BS83" s="2371"/>
      <c r="BT83" s="2378">
        <v>4994</v>
      </c>
      <c r="BU83" s="2378">
        <v>1226</v>
      </c>
      <c r="BV83" s="2378">
        <v>3768</v>
      </c>
      <c r="BW83" s="2378">
        <v>2923</v>
      </c>
      <c r="BX83" s="2378">
        <v>2071</v>
      </c>
      <c r="BY83" s="2378"/>
      <c r="BZ83" s="2378"/>
      <c r="CA83" s="2378"/>
      <c r="CB83" s="2378">
        <v>1276</v>
      </c>
      <c r="CC83" s="2378">
        <v>1174</v>
      </c>
      <c r="CD83" s="2378">
        <v>1548</v>
      </c>
      <c r="CE83" s="2378">
        <v>996</v>
      </c>
      <c r="CF83" s="2378"/>
      <c r="CG83" s="2378"/>
      <c r="CH83" s="2378"/>
      <c r="CI83" s="2378"/>
      <c r="CJ83" s="2378"/>
      <c r="CK83" s="2378"/>
      <c r="CL83" s="2378"/>
      <c r="CM83" s="2378"/>
      <c r="CN83" s="2378">
        <v>4706</v>
      </c>
      <c r="CO83" s="2378">
        <v>238</v>
      </c>
      <c r="CP83" s="2378"/>
      <c r="CQ83" s="2378">
        <v>50</v>
      </c>
      <c r="CR83" s="2378"/>
      <c r="CS83" s="2378"/>
      <c r="CT83" s="2378"/>
      <c r="CU83" s="2378"/>
      <c r="CV83" s="2378"/>
      <c r="CW83" s="2378"/>
      <c r="CX83" s="2378"/>
      <c r="CY83" s="2378"/>
      <c r="CZ83" s="2378"/>
      <c r="DA83" s="2378"/>
      <c r="DB83" s="2378"/>
      <c r="DC83" s="2378"/>
      <c r="DE83" s="3295"/>
      <c r="DF83" s="2379"/>
      <c r="DG83" s="2379"/>
      <c r="DH83" s="2379"/>
      <c r="DI83" s="2379"/>
      <c r="DJ83" s="3253"/>
      <c r="DK83" s="3295"/>
      <c r="DL83" s="2379"/>
      <c r="DM83" s="2379"/>
      <c r="DN83" s="3296"/>
      <c r="DO83" s="3363"/>
      <c r="DP83" s="3348"/>
      <c r="DQ83" s="3296"/>
      <c r="DR83" s="3348"/>
      <c r="DS83" s="3296"/>
      <c r="DT83" s="3348"/>
      <c r="DU83" s="2379"/>
      <c r="DV83" s="2379"/>
      <c r="DW83" s="2379"/>
      <c r="DX83" s="2379"/>
      <c r="DY83" s="2379"/>
      <c r="DZ83" s="3253"/>
      <c r="EA83" s="3295"/>
      <c r="EB83" s="2379"/>
      <c r="EC83" s="2379"/>
      <c r="ED83" s="2379"/>
      <c r="EE83" s="2379"/>
      <c r="EF83" s="2379"/>
      <c r="EG83" s="2379"/>
      <c r="EH83" s="2379"/>
      <c r="EI83" s="2379"/>
      <c r="EJ83" s="2379"/>
      <c r="EK83" s="2379"/>
      <c r="EL83" s="2379"/>
      <c r="EM83" s="2379"/>
      <c r="EN83" s="3296"/>
      <c r="EO83" s="3348"/>
      <c r="EP83" s="2379"/>
      <c r="EQ83" s="2379"/>
      <c r="ER83" s="2379"/>
      <c r="ES83" s="3253"/>
      <c r="ET83" s="3295"/>
      <c r="EU83" s="2379"/>
      <c r="EV83" s="2379"/>
      <c r="EW83" s="2379"/>
      <c r="EX83" s="3296"/>
    </row>
    <row r="84" spans="1:154" s="2435" customFormat="1" ht="15" customHeight="1" thickBot="1">
      <c r="A84" s="15443"/>
      <c r="B84" s="15434"/>
      <c r="C84" s="15436"/>
      <c r="D84" s="15436"/>
      <c r="E84" s="15388"/>
      <c r="F84" s="2433" t="s">
        <v>7758</v>
      </c>
      <c r="G84" s="3252" t="s">
        <v>3483</v>
      </c>
      <c r="H84" s="3272" t="s">
        <v>86</v>
      </c>
      <c r="I84" s="15480"/>
      <c r="J84" s="2379" t="s">
        <v>4151</v>
      </c>
      <c r="K84" s="2375">
        <v>1</v>
      </c>
      <c r="L84" s="2374" t="s">
        <v>4134</v>
      </c>
      <c r="M84" s="2379" t="s">
        <v>3439</v>
      </c>
      <c r="N84" s="2388"/>
      <c r="O84" s="2376">
        <v>18194000</v>
      </c>
      <c r="P84" s="15402"/>
      <c r="Q84" s="2377">
        <v>52410800</v>
      </c>
      <c r="R84" s="2377">
        <v>229343164</v>
      </c>
      <c r="S84" s="2377">
        <v>11986687</v>
      </c>
      <c r="T84" s="2378">
        <v>10396</v>
      </c>
      <c r="U84" s="2378">
        <v>3688</v>
      </c>
      <c r="V84" s="2378">
        <v>6708</v>
      </c>
      <c r="W84" s="2378">
        <v>7374</v>
      </c>
      <c r="X84" s="2378">
        <v>3022</v>
      </c>
      <c r="Y84" s="2379"/>
      <c r="Z84" s="2379"/>
      <c r="AA84" s="2379"/>
      <c r="AB84" s="2378">
        <v>5190</v>
      </c>
      <c r="AC84" s="2378">
        <v>5206</v>
      </c>
      <c r="AD84" s="2378"/>
      <c r="AE84" s="2378"/>
      <c r="AF84" s="2378">
        <f>10396-AH84</f>
        <v>9185</v>
      </c>
      <c r="AG84" s="2378"/>
      <c r="AH84" s="2378">
        <v>1211</v>
      </c>
      <c r="AI84" s="2379"/>
      <c r="AJ84" s="2379"/>
      <c r="AK84" s="2379"/>
      <c r="AL84" s="2379"/>
      <c r="AM84" s="2379"/>
      <c r="AN84" s="2378">
        <v>9473</v>
      </c>
      <c r="AO84" s="2378">
        <v>760</v>
      </c>
      <c r="AP84" s="2378">
        <v>138</v>
      </c>
      <c r="AQ84" s="2378">
        <v>24</v>
      </c>
      <c r="AR84" s="2378"/>
      <c r="AS84" s="2378">
        <v>1</v>
      </c>
      <c r="AT84" s="2388"/>
      <c r="AU84" s="2388"/>
      <c r="AV84" s="2388"/>
      <c r="AW84" s="2388"/>
      <c r="AX84" s="2388"/>
      <c r="AY84" s="2388"/>
      <c r="AZ84" s="2388"/>
      <c r="BA84" s="2388"/>
      <c r="BB84" s="2388"/>
      <c r="BC84" s="2388"/>
      <c r="BD84" s="15436"/>
      <c r="BE84" s="2379" t="s">
        <v>4151</v>
      </c>
      <c r="BF84" s="2372" t="s">
        <v>1509</v>
      </c>
      <c r="BG84" s="2379" t="s">
        <v>4151</v>
      </c>
      <c r="BH84" s="2434">
        <v>1</v>
      </c>
      <c r="BI84" s="2380">
        <v>1</v>
      </c>
      <c r="BJ84" s="2368">
        <v>1</v>
      </c>
      <c r="BK84" s="15550"/>
      <c r="BL84" s="2374" t="s">
        <v>8737</v>
      </c>
      <c r="BM84" s="2379" t="s">
        <v>3439</v>
      </c>
      <c r="BN84" s="2388"/>
      <c r="BO84" s="2371">
        <v>1871111</v>
      </c>
      <c r="BP84" s="15532"/>
      <c r="BQ84" s="2370">
        <v>1571733</v>
      </c>
      <c r="BR84" s="2371">
        <f t="shared" si="1"/>
        <v>299378</v>
      </c>
      <c r="BS84" s="2371"/>
      <c r="BT84" s="2378">
        <v>15.081</v>
      </c>
      <c r="BU84" s="2378">
        <v>5.0270000000000001</v>
      </c>
      <c r="BV84" s="2378">
        <v>10.053000000000001</v>
      </c>
      <c r="BW84" s="2378">
        <v>10150</v>
      </c>
      <c r="BX84" s="2378">
        <v>4930</v>
      </c>
      <c r="BY84" s="2378"/>
      <c r="BZ84" s="2378"/>
      <c r="CA84" s="2378"/>
      <c r="CB84" s="2378">
        <v>5190</v>
      </c>
      <c r="CC84" s="2378">
        <v>5206</v>
      </c>
      <c r="CD84" s="2378"/>
      <c r="CE84" s="2378"/>
      <c r="CF84" s="2378">
        <f>10396-CH84</f>
        <v>9185</v>
      </c>
      <c r="CG84" s="2378"/>
      <c r="CH84" s="2378">
        <v>1211</v>
      </c>
      <c r="CI84" s="2378"/>
      <c r="CJ84" s="2378"/>
      <c r="CK84" s="2378"/>
      <c r="CL84" s="2378"/>
      <c r="CM84" s="2378"/>
      <c r="CN84" s="2378">
        <v>9473</v>
      </c>
      <c r="CO84" s="2378">
        <v>760</v>
      </c>
      <c r="CP84" s="2378">
        <v>138</v>
      </c>
      <c r="CQ84" s="2378">
        <v>24</v>
      </c>
      <c r="CR84" s="2378"/>
      <c r="CS84" s="2378">
        <v>1</v>
      </c>
      <c r="CT84" s="2388"/>
      <c r="CU84" s="2388"/>
      <c r="CV84" s="2388"/>
      <c r="CW84" s="2388"/>
      <c r="CX84" s="2388"/>
      <c r="CY84" s="2388"/>
      <c r="CZ84" s="2388"/>
      <c r="DA84" s="2388"/>
      <c r="DB84" s="2388"/>
      <c r="DC84" s="2388"/>
      <c r="DE84" s="3299"/>
      <c r="DF84" s="2388"/>
      <c r="DG84" s="2388"/>
      <c r="DH84" s="2388"/>
      <c r="DI84" s="2388"/>
      <c r="DJ84" s="3336"/>
      <c r="DK84" s="3299"/>
      <c r="DL84" s="2388"/>
      <c r="DM84" s="2388"/>
      <c r="DN84" s="3300"/>
      <c r="DO84" s="3368"/>
      <c r="DP84" s="3353"/>
      <c r="DQ84" s="3300"/>
      <c r="DR84" s="3353"/>
      <c r="DS84" s="3300"/>
      <c r="DT84" s="3353"/>
      <c r="DU84" s="2388"/>
      <c r="DV84" s="2388"/>
      <c r="DW84" s="2388"/>
      <c r="DX84" s="2388"/>
      <c r="DY84" s="2388"/>
      <c r="DZ84" s="3336"/>
      <c r="EA84" s="3299"/>
      <c r="EB84" s="2388"/>
      <c r="EC84" s="2388"/>
      <c r="ED84" s="2388"/>
      <c r="EE84" s="2388"/>
      <c r="EF84" s="2388"/>
      <c r="EG84" s="2388"/>
      <c r="EH84" s="2388"/>
      <c r="EI84" s="2388"/>
      <c r="EJ84" s="2388"/>
      <c r="EK84" s="2388"/>
      <c r="EL84" s="2388"/>
      <c r="EM84" s="2388"/>
      <c r="EN84" s="3300"/>
      <c r="EO84" s="3353"/>
      <c r="EP84" s="2388"/>
      <c r="EQ84" s="2388"/>
      <c r="ER84" s="2388"/>
      <c r="ES84" s="3336"/>
      <c r="ET84" s="3299"/>
      <c r="EU84" s="2388"/>
      <c r="EV84" s="2388"/>
      <c r="EW84" s="2388"/>
      <c r="EX84" s="3300"/>
    </row>
    <row r="85" spans="1:154" s="2435" customFormat="1" ht="15" customHeight="1" thickBot="1">
      <c r="A85" s="15443"/>
      <c r="B85" s="15434"/>
      <c r="C85" s="15436"/>
      <c r="D85" s="15436"/>
      <c r="E85" s="15388"/>
      <c r="F85" s="2433" t="s">
        <v>7759</v>
      </c>
      <c r="G85" s="3253" t="s">
        <v>3484</v>
      </c>
      <c r="H85" s="3273" t="s">
        <v>86</v>
      </c>
      <c r="I85" s="15480"/>
      <c r="J85" s="2379" t="s">
        <v>4152</v>
      </c>
      <c r="K85" s="2375">
        <v>1</v>
      </c>
      <c r="L85" s="2379" t="s">
        <v>4135</v>
      </c>
      <c r="M85" s="2379" t="s">
        <v>3439</v>
      </c>
      <c r="N85" s="2379"/>
      <c r="O85" s="2376">
        <v>15239000</v>
      </c>
      <c r="P85" s="15402"/>
      <c r="Q85" s="2377">
        <v>52410800</v>
      </c>
      <c r="R85" s="2377">
        <v>229343164</v>
      </c>
      <c r="S85" s="2377">
        <v>11986687</v>
      </c>
      <c r="T85" s="2377"/>
      <c r="U85" s="2378">
        <v>1456</v>
      </c>
      <c r="V85" s="2378">
        <v>4542</v>
      </c>
      <c r="W85" s="2378">
        <v>4103</v>
      </c>
      <c r="X85" s="2378">
        <v>1895</v>
      </c>
      <c r="Y85" s="2436"/>
      <c r="Z85" s="2379"/>
      <c r="AA85" s="2379"/>
      <c r="AB85" s="2378">
        <v>1495</v>
      </c>
      <c r="AC85" s="2378">
        <v>1409</v>
      </c>
      <c r="AD85" s="2378">
        <v>1959</v>
      </c>
      <c r="AE85" s="2378">
        <v>1135</v>
      </c>
      <c r="AF85" s="2378">
        <v>5998</v>
      </c>
      <c r="AG85" s="2379"/>
      <c r="AH85" s="2379"/>
      <c r="AI85" s="2379"/>
      <c r="AJ85" s="2379"/>
      <c r="AK85" s="2379"/>
      <c r="AL85" s="2379"/>
      <c r="AM85" s="2379"/>
      <c r="AN85" s="2378">
        <v>5588</v>
      </c>
      <c r="AO85" s="2378">
        <v>333</v>
      </c>
      <c r="AP85" s="2378">
        <v>75</v>
      </c>
      <c r="AQ85" s="2378">
        <v>1</v>
      </c>
      <c r="AR85" s="2378">
        <v>1</v>
      </c>
      <c r="AS85" s="2379"/>
      <c r="AT85" s="2388"/>
      <c r="AU85" s="2388"/>
      <c r="AV85" s="2388"/>
      <c r="AW85" s="2388"/>
      <c r="AX85" s="2388"/>
      <c r="AY85" s="2388"/>
      <c r="AZ85" s="2388"/>
      <c r="BA85" s="2388"/>
      <c r="BB85" s="2388"/>
      <c r="BC85" s="2388"/>
      <c r="BD85" s="15436"/>
      <c r="BE85" s="2379" t="s">
        <v>4152</v>
      </c>
      <c r="BF85" s="2372" t="s">
        <v>1509</v>
      </c>
      <c r="BG85" s="2379" t="s">
        <v>4152</v>
      </c>
      <c r="BH85" s="2434">
        <v>1</v>
      </c>
      <c r="BI85" s="2380">
        <v>1</v>
      </c>
      <c r="BJ85" s="2368">
        <v>1</v>
      </c>
      <c r="BK85" s="15550"/>
      <c r="BL85" s="2379" t="s">
        <v>4135</v>
      </c>
      <c r="BM85" s="2379" t="s">
        <v>3439</v>
      </c>
      <c r="BN85" s="2379"/>
      <c r="BO85" s="2371">
        <v>1871111</v>
      </c>
      <c r="BP85" s="15532"/>
      <c r="BQ85" s="2370">
        <v>1571733</v>
      </c>
      <c r="BR85" s="2371">
        <f t="shared" si="1"/>
        <v>299378</v>
      </c>
      <c r="BS85" s="2371"/>
      <c r="BT85" s="2378">
        <v>4994</v>
      </c>
      <c r="BU85" s="2378">
        <v>1226</v>
      </c>
      <c r="BV85" s="2378">
        <v>3768</v>
      </c>
      <c r="BW85" s="2378">
        <v>2923</v>
      </c>
      <c r="BX85" s="2378">
        <v>2071</v>
      </c>
      <c r="BY85" s="2378"/>
      <c r="BZ85" s="2378"/>
      <c r="CA85" s="2378"/>
      <c r="CB85" s="2378">
        <v>1276</v>
      </c>
      <c r="CC85" s="2378">
        <v>1174</v>
      </c>
      <c r="CD85" s="2378">
        <v>1548</v>
      </c>
      <c r="CE85" s="2378">
        <v>996</v>
      </c>
      <c r="CF85" s="2378"/>
      <c r="CG85" s="2378"/>
      <c r="CH85" s="2378"/>
      <c r="CI85" s="2378"/>
      <c r="CJ85" s="2378"/>
      <c r="CK85" s="2378"/>
      <c r="CL85" s="2378"/>
      <c r="CM85" s="2378"/>
      <c r="CN85" s="2378">
        <v>5588</v>
      </c>
      <c r="CO85" s="2378">
        <v>333</v>
      </c>
      <c r="CP85" s="2378">
        <v>75</v>
      </c>
      <c r="CQ85" s="2378">
        <v>1</v>
      </c>
      <c r="CR85" s="2378">
        <v>1</v>
      </c>
      <c r="CS85" s="2378"/>
      <c r="CT85" s="2388"/>
      <c r="CU85" s="2388"/>
      <c r="CV85" s="2388"/>
      <c r="CW85" s="2388"/>
      <c r="CX85" s="2388"/>
      <c r="CY85" s="2388"/>
      <c r="CZ85" s="2388"/>
      <c r="DA85" s="2388"/>
      <c r="DB85" s="2388"/>
      <c r="DC85" s="2388"/>
      <c r="DE85" s="3299"/>
      <c r="DF85" s="2388"/>
      <c r="DG85" s="2388"/>
      <c r="DH85" s="2388"/>
      <c r="DI85" s="2388"/>
      <c r="DJ85" s="3336"/>
      <c r="DK85" s="3299"/>
      <c r="DL85" s="2388"/>
      <c r="DM85" s="2388"/>
      <c r="DN85" s="3300"/>
      <c r="DO85" s="3368"/>
      <c r="DP85" s="3353"/>
      <c r="DQ85" s="3300"/>
      <c r="DR85" s="3353"/>
      <c r="DS85" s="3300"/>
      <c r="DT85" s="3353"/>
      <c r="DU85" s="2388"/>
      <c r="DV85" s="2388"/>
      <c r="DW85" s="2388"/>
      <c r="DX85" s="2388"/>
      <c r="DY85" s="2388"/>
      <c r="DZ85" s="3336"/>
      <c r="EA85" s="3299"/>
      <c r="EB85" s="2388"/>
      <c r="EC85" s="2388"/>
      <c r="ED85" s="2388"/>
      <c r="EE85" s="2388"/>
      <c r="EF85" s="2388"/>
      <c r="EG85" s="2388"/>
      <c r="EH85" s="2388"/>
      <c r="EI85" s="2388"/>
      <c r="EJ85" s="2388"/>
      <c r="EK85" s="2388"/>
      <c r="EL85" s="2388"/>
      <c r="EM85" s="2388"/>
      <c r="EN85" s="3300"/>
      <c r="EO85" s="3353"/>
      <c r="EP85" s="2388"/>
      <c r="EQ85" s="2388"/>
      <c r="ER85" s="2388"/>
      <c r="ES85" s="3336"/>
      <c r="ET85" s="3299"/>
      <c r="EU85" s="2388"/>
      <c r="EV85" s="2388"/>
      <c r="EW85" s="2388"/>
      <c r="EX85" s="3300"/>
    </row>
    <row r="86" spans="1:154" s="2435" customFormat="1" ht="15" customHeight="1" thickBot="1">
      <c r="A86" s="15443"/>
      <c r="B86" s="15434"/>
      <c r="C86" s="15436"/>
      <c r="D86" s="15436"/>
      <c r="E86" s="15388"/>
      <c r="F86" s="2433" t="s">
        <v>7760</v>
      </c>
      <c r="G86" s="3253" t="s">
        <v>3485</v>
      </c>
      <c r="H86" s="3273" t="s">
        <v>86</v>
      </c>
      <c r="I86" s="15480"/>
      <c r="J86" s="2388"/>
      <c r="K86" s="2375">
        <v>0</v>
      </c>
      <c r="L86" s="2388"/>
      <c r="M86" s="2388"/>
      <c r="N86" s="2388"/>
      <c r="O86" s="2388"/>
      <c r="P86" s="15402"/>
      <c r="Q86" s="2388"/>
      <c r="R86" s="2388"/>
      <c r="S86" s="2388"/>
      <c r="T86" s="2388"/>
      <c r="U86" s="2388"/>
      <c r="V86" s="2388"/>
      <c r="W86" s="2388"/>
      <c r="X86" s="2388"/>
      <c r="Y86" s="2388"/>
      <c r="Z86" s="2388"/>
      <c r="AA86" s="2388"/>
      <c r="AB86" s="2388"/>
      <c r="AC86" s="2388"/>
      <c r="AD86" s="2388"/>
      <c r="AE86" s="2388"/>
      <c r="AF86" s="2388"/>
      <c r="AG86" s="2388"/>
      <c r="AH86" s="2388"/>
      <c r="AI86" s="2388"/>
      <c r="AJ86" s="2388"/>
      <c r="AK86" s="2388"/>
      <c r="AL86" s="2388"/>
      <c r="AM86" s="2388"/>
      <c r="AN86" s="2388"/>
      <c r="AO86" s="2388"/>
      <c r="AP86" s="2388"/>
      <c r="AQ86" s="2388"/>
      <c r="AR86" s="2388"/>
      <c r="AS86" s="2388"/>
      <c r="AT86" s="2388"/>
      <c r="AU86" s="2388"/>
      <c r="AV86" s="2388"/>
      <c r="AW86" s="2388"/>
      <c r="AX86" s="2388"/>
      <c r="AY86" s="2388"/>
      <c r="AZ86" s="2388"/>
      <c r="BA86" s="2388"/>
      <c r="BB86" s="2388"/>
      <c r="BC86" s="2388"/>
      <c r="BD86" s="15436"/>
      <c r="BE86" s="2388"/>
      <c r="BF86" s="2372" t="s">
        <v>1509</v>
      </c>
      <c r="BG86" s="2379" t="s">
        <v>8745</v>
      </c>
      <c r="BH86" s="2383">
        <v>100</v>
      </c>
      <c r="BI86" s="2380">
        <v>1</v>
      </c>
      <c r="BJ86" s="2368">
        <v>1</v>
      </c>
      <c r="BK86" s="15550"/>
      <c r="BL86" s="2388"/>
      <c r="BM86" s="2388"/>
      <c r="BN86" s="2388"/>
      <c r="BO86" s="2371">
        <v>1871111</v>
      </c>
      <c r="BP86" s="15532"/>
      <c r="BQ86" s="2370">
        <v>1571733</v>
      </c>
      <c r="BR86" s="2371">
        <f t="shared" si="1"/>
        <v>299378</v>
      </c>
      <c r="BS86" s="2437"/>
      <c r="BT86" s="2383"/>
      <c r="BU86" s="2383"/>
      <c r="BV86" s="2383"/>
      <c r="BW86" s="2383"/>
      <c r="BX86" s="2383"/>
      <c r="BY86" s="2383"/>
      <c r="BZ86" s="2383"/>
      <c r="CA86" s="2383"/>
      <c r="CB86" s="2383"/>
      <c r="CC86" s="2383"/>
      <c r="CD86" s="2383"/>
      <c r="CE86" s="2383"/>
      <c r="CF86" s="2383"/>
      <c r="CG86" s="2383"/>
      <c r="CH86" s="2383"/>
      <c r="CI86" s="2383"/>
      <c r="CJ86" s="2383"/>
      <c r="CK86" s="2383"/>
      <c r="CL86" s="2383"/>
      <c r="CM86" s="2383"/>
      <c r="CN86" s="2383"/>
      <c r="CO86" s="2383"/>
      <c r="CP86" s="2383"/>
      <c r="CQ86" s="2383"/>
      <c r="CR86" s="2383"/>
      <c r="CS86" s="2383"/>
      <c r="CT86" s="2388"/>
      <c r="CU86" s="2388"/>
      <c r="CV86" s="2388"/>
      <c r="CW86" s="2388"/>
      <c r="CX86" s="2388"/>
      <c r="CY86" s="2388"/>
      <c r="CZ86" s="2388"/>
      <c r="DA86" s="2388"/>
      <c r="DB86" s="2388"/>
      <c r="DC86" s="2388"/>
      <c r="DE86" s="3299"/>
      <c r="DF86" s="2388"/>
      <c r="DG86" s="2388"/>
      <c r="DH86" s="2388"/>
      <c r="DI86" s="2388"/>
      <c r="DJ86" s="3336"/>
      <c r="DK86" s="3299"/>
      <c r="DL86" s="2388"/>
      <c r="DM86" s="2388"/>
      <c r="DN86" s="3300"/>
      <c r="DO86" s="3368"/>
      <c r="DP86" s="3353"/>
      <c r="DQ86" s="3300"/>
      <c r="DR86" s="3353"/>
      <c r="DS86" s="3300"/>
      <c r="DT86" s="3353"/>
      <c r="DU86" s="2388"/>
      <c r="DV86" s="2388"/>
      <c r="DW86" s="2388"/>
      <c r="DX86" s="2388"/>
      <c r="DY86" s="2388"/>
      <c r="DZ86" s="3336"/>
      <c r="EA86" s="3299"/>
      <c r="EB86" s="2388"/>
      <c r="EC86" s="2388"/>
      <c r="ED86" s="2388"/>
      <c r="EE86" s="2388"/>
      <c r="EF86" s="2388"/>
      <c r="EG86" s="2388"/>
      <c r="EH86" s="2388"/>
      <c r="EI86" s="2388"/>
      <c r="EJ86" s="2388"/>
      <c r="EK86" s="2388"/>
      <c r="EL86" s="2388"/>
      <c r="EM86" s="2388"/>
      <c r="EN86" s="3300"/>
      <c r="EO86" s="3353"/>
      <c r="EP86" s="2388"/>
      <c r="EQ86" s="2388"/>
      <c r="ER86" s="2388"/>
      <c r="ES86" s="3336"/>
      <c r="ET86" s="3299"/>
      <c r="EU86" s="2388"/>
      <c r="EV86" s="2388"/>
      <c r="EW86" s="2388"/>
      <c r="EX86" s="3300"/>
    </row>
    <row r="87" spans="1:154" s="2435" customFormat="1" ht="15" customHeight="1" thickBot="1">
      <c r="A87" s="15443"/>
      <c r="B87" s="15434" t="s">
        <v>3309</v>
      </c>
      <c r="C87" s="15436"/>
      <c r="D87" s="15436"/>
      <c r="E87" s="15388"/>
      <c r="F87" s="2433" t="s">
        <v>7761</v>
      </c>
      <c r="G87" s="3252" t="s">
        <v>3486</v>
      </c>
      <c r="H87" s="3272" t="s">
        <v>86</v>
      </c>
      <c r="I87" s="15480"/>
      <c r="J87" s="2374" t="s">
        <v>4153</v>
      </c>
      <c r="K87" s="2375">
        <v>1</v>
      </c>
      <c r="L87" s="2390" t="s">
        <v>3388</v>
      </c>
      <c r="M87" s="2390" t="s">
        <v>3389</v>
      </c>
      <c r="N87" s="2390"/>
      <c r="O87" s="2438">
        <v>41800000</v>
      </c>
      <c r="P87" s="15402"/>
      <c r="Q87" s="2439">
        <v>52410800</v>
      </c>
      <c r="R87" s="2439">
        <v>229343164</v>
      </c>
      <c r="S87" s="2440">
        <v>11986687</v>
      </c>
      <c r="T87" s="2390"/>
      <c r="U87" s="2390"/>
      <c r="V87" s="2390"/>
      <c r="W87" s="2390"/>
      <c r="X87" s="2390"/>
      <c r="Y87" s="2390"/>
      <c r="Z87" s="2390"/>
      <c r="AA87" s="2390"/>
      <c r="AB87" s="2390"/>
      <c r="AC87" s="2390"/>
      <c r="AD87" s="2390"/>
      <c r="AE87" s="2390"/>
      <c r="AF87" s="2390"/>
      <c r="AG87" s="2390"/>
      <c r="AH87" s="2390"/>
      <c r="AI87" s="2390"/>
      <c r="AJ87" s="2390"/>
      <c r="AK87" s="2390"/>
      <c r="AL87" s="2390"/>
      <c r="AM87" s="2390"/>
      <c r="AN87" s="2390"/>
      <c r="AO87" s="2390"/>
      <c r="AP87" s="2390"/>
      <c r="AQ87" s="2390"/>
      <c r="AR87" s="2390"/>
      <c r="AS87" s="2390"/>
      <c r="AT87" s="2390" t="s">
        <v>3390</v>
      </c>
      <c r="AU87" s="2390" t="s">
        <v>3391</v>
      </c>
      <c r="AV87" s="2378">
        <v>35</v>
      </c>
      <c r="AW87" s="2391"/>
      <c r="AX87" s="2391"/>
      <c r="AY87" s="2391"/>
      <c r="AZ87" s="2391"/>
      <c r="BA87" s="2391"/>
      <c r="BB87" s="2391"/>
      <c r="BC87" s="2391"/>
      <c r="BD87" s="15436"/>
      <c r="BE87" s="2374" t="s">
        <v>4153</v>
      </c>
      <c r="BF87" s="2372" t="s">
        <v>1509</v>
      </c>
      <c r="BG87" s="2374" t="s">
        <v>4153</v>
      </c>
      <c r="BH87" s="2378" t="s">
        <v>9639</v>
      </c>
      <c r="BI87" s="2380">
        <v>1</v>
      </c>
      <c r="BJ87" s="2368">
        <v>1</v>
      </c>
      <c r="BK87" s="15550"/>
      <c r="BL87" s="2390" t="s">
        <v>3388</v>
      </c>
      <c r="BM87" s="2390" t="s">
        <v>3389</v>
      </c>
      <c r="BN87" s="2390"/>
      <c r="BO87" s="2371">
        <v>5038000</v>
      </c>
      <c r="BP87" s="15532"/>
      <c r="BQ87" s="2370">
        <v>4231920</v>
      </c>
      <c r="BR87" s="2371">
        <f t="shared" si="1"/>
        <v>806080</v>
      </c>
      <c r="BS87" s="2371"/>
      <c r="BT87" s="2378"/>
      <c r="BU87" s="2378"/>
      <c r="BV87" s="2378"/>
      <c r="BW87" s="2378"/>
      <c r="BX87" s="2378"/>
      <c r="BY87" s="2378"/>
      <c r="BZ87" s="2378"/>
      <c r="CA87" s="2378"/>
      <c r="CB87" s="2378"/>
      <c r="CC87" s="2378"/>
      <c r="CD87" s="2378"/>
      <c r="CE87" s="2378"/>
      <c r="CF87" s="2378"/>
      <c r="CG87" s="2378"/>
      <c r="CH87" s="2378"/>
      <c r="CI87" s="2378"/>
      <c r="CJ87" s="2378"/>
      <c r="CK87" s="2378"/>
      <c r="CL87" s="2378"/>
      <c r="CM87" s="2378"/>
      <c r="CN87" s="2378"/>
      <c r="CO87" s="2378"/>
      <c r="CP87" s="2378"/>
      <c r="CQ87" s="2378"/>
      <c r="CR87" s="2378"/>
      <c r="CS87" s="2378"/>
      <c r="CT87" s="2390" t="s">
        <v>3390</v>
      </c>
      <c r="CU87" s="2390" t="s">
        <v>3391</v>
      </c>
      <c r="CV87" s="2378">
        <v>35</v>
      </c>
      <c r="CW87" s="2391"/>
      <c r="CX87" s="2391"/>
      <c r="CY87" s="2391"/>
      <c r="CZ87" s="2391"/>
      <c r="DA87" s="2391"/>
      <c r="DB87" s="2391"/>
      <c r="DC87" s="2391"/>
      <c r="DE87" s="3299"/>
      <c r="DF87" s="2388"/>
      <c r="DG87" s="2388"/>
      <c r="DH87" s="2388"/>
      <c r="DI87" s="2388"/>
      <c r="DJ87" s="3336"/>
      <c r="DK87" s="3299"/>
      <c r="DL87" s="2388"/>
      <c r="DM87" s="2388"/>
      <c r="DN87" s="3300"/>
      <c r="DO87" s="3368"/>
      <c r="DP87" s="3353"/>
      <c r="DQ87" s="3300"/>
      <c r="DR87" s="3353"/>
      <c r="DS87" s="3300"/>
      <c r="DT87" s="3353"/>
      <c r="DU87" s="2388"/>
      <c r="DV87" s="2388"/>
      <c r="DW87" s="2388"/>
      <c r="DX87" s="2388"/>
      <c r="DY87" s="2388"/>
      <c r="DZ87" s="3336"/>
      <c r="EA87" s="3299"/>
      <c r="EB87" s="2388"/>
      <c r="EC87" s="2388"/>
      <c r="ED87" s="2388"/>
      <c r="EE87" s="2388"/>
      <c r="EF87" s="2388"/>
      <c r="EG87" s="2388"/>
      <c r="EH87" s="2388"/>
      <c r="EI87" s="2388"/>
      <c r="EJ87" s="2388"/>
      <c r="EK87" s="2388"/>
      <c r="EL87" s="2388"/>
      <c r="EM87" s="2388"/>
      <c r="EN87" s="3300"/>
      <c r="EO87" s="3353"/>
      <c r="EP87" s="2388"/>
      <c r="EQ87" s="2388"/>
      <c r="ER87" s="2388"/>
      <c r="ES87" s="3336"/>
      <c r="ET87" s="3299"/>
      <c r="EU87" s="2388"/>
      <c r="EV87" s="2388"/>
      <c r="EW87" s="2388"/>
      <c r="EX87" s="3300"/>
    </row>
    <row r="88" spans="1:154" s="2435" customFormat="1" ht="15" customHeight="1" thickBot="1">
      <c r="A88" s="15443"/>
      <c r="B88" s="15434"/>
      <c r="C88" s="15436"/>
      <c r="D88" s="15436"/>
      <c r="E88" s="15388"/>
      <c r="F88" s="2433" t="s">
        <v>7762</v>
      </c>
      <c r="G88" s="3252" t="s">
        <v>3487</v>
      </c>
      <c r="H88" s="3272" t="s">
        <v>86</v>
      </c>
      <c r="I88" s="15480"/>
      <c r="J88" s="2374" t="s">
        <v>4154</v>
      </c>
      <c r="K88" s="2375">
        <v>1</v>
      </c>
      <c r="L88" s="2379" t="s">
        <v>4136</v>
      </c>
      <c r="M88" s="2374" t="s">
        <v>4137</v>
      </c>
      <c r="N88" s="2388"/>
      <c r="O88" s="15497">
        <v>41800000</v>
      </c>
      <c r="P88" s="15402"/>
      <c r="Q88" s="15398">
        <v>52410800</v>
      </c>
      <c r="R88" s="15398">
        <v>229343164</v>
      </c>
      <c r="S88" s="15398">
        <v>11986687</v>
      </c>
      <c r="T88" s="2388"/>
      <c r="U88" s="2388"/>
      <c r="V88" s="2388"/>
      <c r="W88" s="2388"/>
      <c r="X88" s="2388"/>
      <c r="Y88" s="2388"/>
      <c r="Z88" s="2388"/>
      <c r="AA88" s="2388"/>
      <c r="AB88" s="2388"/>
      <c r="AC88" s="2388"/>
      <c r="AD88" s="2388"/>
      <c r="AE88" s="2388"/>
      <c r="AF88" s="2388"/>
      <c r="AG88" s="2388"/>
      <c r="AH88" s="2388"/>
      <c r="AI88" s="2388"/>
      <c r="AJ88" s="2388"/>
      <c r="AK88" s="2388"/>
      <c r="AL88" s="2388"/>
      <c r="AM88" s="2388"/>
      <c r="AN88" s="2388"/>
      <c r="AO88" s="2388"/>
      <c r="AP88" s="2388"/>
      <c r="AQ88" s="2388"/>
      <c r="AR88" s="2388"/>
      <c r="AS88" s="2388"/>
      <c r="AT88" s="2383" t="s">
        <v>3332</v>
      </c>
      <c r="AU88" s="2374" t="s">
        <v>4200</v>
      </c>
      <c r="AV88" s="2378">
        <v>18</v>
      </c>
      <c r="AW88" s="2388"/>
      <c r="AX88" s="2388"/>
      <c r="AY88" s="2388"/>
      <c r="AZ88" s="2388"/>
      <c r="BA88" s="2388"/>
      <c r="BB88" s="2388"/>
      <c r="BC88" s="2388"/>
      <c r="BD88" s="15436"/>
      <c r="BE88" s="2374" t="s">
        <v>4154</v>
      </c>
      <c r="BF88" s="2372" t="s">
        <v>1509</v>
      </c>
      <c r="BG88" s="2374" t="s">
        <v>4154</v>
      </c>
      <c r="BH88" s="2434">
        <v>1</v>
      </c>
      <c r="BI88" s="2380">
        <v>1</v>
      </c>
      <c r="BJ88" s="2368">
        <v>1</v>
      </c>
      <c r="BK88" s="15550"/>
      <c r="BL88" s="2379" t="s">
        <v>4136</v>
      </c>
      <c r="BM88" s="2374" t="s">
        <v>4137</v>
      </c>
      <c r="BN88" s="2388"/>
      <c r="BO88" s="2371">
        <v>1871111</v>
      </c>
      <c r="BP88" s="15532"/>
      <c r="BQ88" s="2370">
        <v>1571733</v>
      </c>
      <c r="BR88" s="2371">
        <f t="shared" si="1"/>
        <v>299378</v>
      </c>
      <c r="BS88" s="2371"/>
      <c r="BT88" s="2383"/>
      <c r="BU88" s="2383"/>
      <c r="BV88" s="2383"/>
      <c r="BW88" s="2383"/>
      <c r="BX88" s="2383"/>
      <c r="BY88" s="2383"/>
      <c r="BZ88" s="2383"/>
      <c r="CA88" s="2383"/>
      <c r="CB88" s="2383"/>
      <c r="CC88" s="2383"/>
      <c r="CD88" s="2383"/>
      <c r="CE88" s="2383"/>
      <c r="CF88" s="2383"/>
      <c r="CG88" s="2383"/>
      <c r="CH88" s="2383"/>
      <c r="CI88" s="2383"/>
      <c r="CJ88" s="2383"/>
      <c r="CK88" s="2383"/>
      <c r="CL88" s="2383"/>
      <c r="CM88" s="2383"/>
      <c r="CN88" s="2383"/>
      <c r="CO88" s="2383"/>
      <c r="CP88" s="2383"/>
      <c r="CQ88" s="2383"/>
      <c r="CR88" s="2383"/>
      <c r="CS88" s="2383"/>
      <c r="CT88" s="2383" t="s">
        <v>3332</v>
      </c>
      <c r="CU88" s="2374" t="s">
        <v>4200</v>
      </c>
      <c r="CV88" s="2378">
        <v>18</v>
      </c>
      <c r="CW88" s="2388"/>
      <c r="CX88" s="2388"/>
      <c r="CY88" s="2388"/>
      <c r="CZ88" s="2388"/>
      <c r="DA88" s="2388"/>
      <c r="DB88" s="2388"/>
      <c r="DC88" s="2388"/>
      <c r="DE88" s="3299"/>
      <c r="DF88" s="2388"/>
      <c r="DG88" s="2388"/>
      <c r="DH88" s="2388"/>
      <c r="DI88" s="2388"/>
      <c r="DJ88" s="3336"/>
      <c r="DK88" s="3299"/>
      <c r="DL88" s="2388"/>
      <c r="DM88" s="2388"/>
      <c r="DN88" s="3300"/>
      <c r="DO88" s="3368"/>
      <c r="DP88" s="3353"/>
      <c r="DQ88" s="3300"/>
      <c r="DR88" s="3353"/>
      <c r="DS88" s="3300"/>
      <c r="DT88" s="3353"/>
      <c r="DU88" s="2388"/>
      <c r="DV88" s="2388"/>
      <c r="DW88" s="2388"/>
      <c r="DX88" s="2388"/>
      <c r="DY88" s="2388"/>
      <c r="DZ88" s="3336"/>
      <c r="EA88" s="3299"/>
      <c r="EB88" s="2388"/>
      <c r="EC88" s="2388"/>
      <c r="ED88" s="2388"/>
      <c r="EE88" s="2388"/>
      <c r="EF88" s="2388"/>
      <c r="EG88" s="2388"/>
      <c r="EH88" s="2388"/>
      <c r="EI88" s="2388"/>
      <c r="EJ88" s="2388"/>
      <c r="EK88" s="2388"/>
      <c r="EL88" s="2388"/>
      <c r="EM88" s="2388"/>
      <c r="EN88" s="3300"/>
      <c r="EO88" s="3353"/>
      <c r="EP88" s="2388"/>
      <c r="EQ88" s="2388"/>
      <c r="ER88" s="2388"/>
      <c r="ES88" s="3336"/>
      <c r="ET88" s="3299"/>
      <c r="EU88" s="2388"/>
      <c r="EV88" s="2388"/>
      <c r="EW88" s="2388"/>
      <c r="EX88" s="3300"/>
    </row>
    <row r="89" spans="1:154" s="2435" customFormat="1" ht="15" customHeight="1" thickBot="1">
      <c r="A89" s="15443"/>
      <c r="B89" s="15434"/>
      <c r="C89" s="15436"/>
      <c r="D89" s="15436"/>
      <c r="E89" s="15388"/>
      <c r="F89" s="2433" t="s">
        <v>7763</v>
      </c>
      <c r="G89" s="3253" t="s">
        <v>3488</v>
      </c>
      <c r="H89" s="3273" t="s">
        <v>86</v>
      </c>
      <c r="I89" s="15480"/>
      <c r="J89" s="2374" t="s">
        <v>3489</v>
      </c>
      <c r="K89" s="2375">
        <v>1</v>
      </c>
      <c r="L89" s="2374" t="s">
        <v>3490</v>
      </c>
      <c r="M89" s="2374" t="s">
        <v>3491</v>
      </c>
      <c r="N89" s="2441"/>
      <c r="O89" s="15402"/>
      <c r="P89" s="15402"/>
      <c r="Q89" s="15399"/>
      <c r="R89" s="15399"/>
      <c r="S89" s="15399"/>
      <c r="T89" s="2441"/>
      <c r="U89" s="2441"/>
      <c r="V89" s="2441"/>
      <c r="W89" s="2441"/>
      <c r="X89" s="2388"/>
      <c r="Y89" s="2388"/>
      <c r="Z89" s="2388"/>
      <c r="AA89" s="2388"/>
      <c r="AB89" s="2388"/>
      <c r="AC89" s="2388"/>
      <c r="AD89" s="2388"/>
      <c r="AE89" s="2388"/>
      <c r="AF89" s="2388"/>
      <c r="AG89" s="2388"/>
      <c r="AH89" s="2388"/>
      <c r="AI89" s="2388"/>
      <c r="AJ89" s="2388"/>
      <c r="AK89" s="2388"/>
      <c r="AL89" s="2388"/>
      <c r="AM89" s="2388"/>
      <c r="AN89" s="2388"/>
      <c r="AO89" s="2388"/>
      <c r="AP89" s="2388"/>
      <c r="AQ89" s="2388"/>
      <c r="AR89" s="2388"/>
      <c r="AS89" s="2388"/>
      <c r="AT89" s="2383" t="s">
        <v>3332</v>
      </c>
      <c r="AU89" s="2374" t="s">
        <v>4200</v>
      </c>
      <c r="AV89" s="2378">
        <v>18</v>
      </c>
      <c r="AW89" s="2388"/>
      <c r="AX89" s="2388"/>
      <c r="AY89" s="2388"/>
      <c r="AZ89" s="2388"/>
      <c r="BA89" s="2388"/>
      <c r="BB89" s="2388"/>
      <c r="BC89" s="2388"/>
      <c r="BD89" s="15436"/>
      <c r="BE89" s="2374" t="s">
        <v>3489</v>
      </c>
      <c r="BF89" s="2372" t="s">
        <v>1509</v>
      </c>
      <c r="BG89" s="2374" t="s">
        <v>3489</v>
      </c>
      <c r="BH89" s="2434">
        <v>1</v>
      </c>
      <c r="BI89" s="2380">
        <v>1</v>
      </c>
      <c r="BJ89" s="2368">
        <v>1</v>
      </c>
      <c r="BK89" s="15550"/>
      <c r="BL89" s="2374" t="s">
        <v>3490</v>
      </c>
      <c r="BM89" s="2374" t="s">
        <v>3491</v>
      </c>
      <c r="BN89" s="2441"/>
      <c r="BO89" s="2371">
        <v>5038000</v>
      </c>
      <c r="BP89" s="15532"/>
      <c r="BQ89" s="2370">
        <v>4231920</v>
      </c>
      <c r="BR89" s="2371">
        <f t="shared" si="1"/>
        <v>806080</v>
      </c>
      <c r="BS89" s="2371"/>
      <c r="BT89" s="2383"/>
      <c r="BU89" s="2383"/>
      <c r="BV89" s="2383"/>
      <c r="BW89" s="2383"/>
      <c r="BX89" s="2383"/>
      <c r="BY89" s="2383"/>
      <c r="BZ89" s="2383"/>
      <c r="CA89" s="2383"/>
      <c r="CB89" s="2383"/>
      <c r="CC89" s="2383"/>
      <c r="CD89" s="2383"/>
      <c r="CE89" s="2383"/>
      <c r="CF89" s="2383"/>
      <c r="CG89" s="2383"/>
      <c r="CH89" s="2383"/>
      <c r="CI89" s="2383"/>
      <c r="CJ89" s="2383"/>
      <c r="CK89" s="2383"/>
      <c r="CL89" s="2383"/>
      <c r="CM89" s="2383"/>
      <c r="CN89" s="2383"/>
      <c r="CO89" s="2383"/>
      <c r="CP89" s="2383"/>
      <c r="CQ89" s="2383"/>
      <c r="CR89" s="2383"/>
      <c r="CS89" s="2383"/>
      <c r="CT89" s="2383" t="s">
        <v>3332</v>
      </c>
      <c r="CU89" s="2374" t="s">
        <v>4200</v>
      </c>
      <c r="CV89" s="2378">
        <v>18</v>
      </c>
      <c r="CW89" s="2388"/>
      <c r="CX89" s="2388"/>
      <c r="CY89" s="2388"/>
      <c r="CZ89" s="2388"/>
      <c r="DA89" s="2388"/>
      <c r="DB89" s="2388"/>
      <c r="DC89" s="2388"/>
      <c r="DE89" s="3299"/>
      <c r="DF89" s="2388"/>
      <c r="DG89" s="2388"/>
      <c r="DH89" s="2388"/>
      <c r="DI89" s="2388"/>
      <c r="DJ89" s="3336"/>
      <c r="DK89" s="3299"/>
      <c r="DL89" s="2388"/>
      <c r="DM89" s="2388"/>
      <c r="DN89" s="3300"/>
      <c r="DO89" s="3368"/>
      <c r="DP89" s="3353"/>
      <c r="DQ89" s="3300"/>
      <c r="DR89" s="3353"/>
      <c r="DS89" s="3300"/>
      <c r="DT89" s="3353"/>
      <c r="DU89" s="2388"/>
      <c r="DV89" s="2388"/>
      <c r="DW89" s="2388"/>
      <c r="DX89" s="2388"/>
      <c r="DY89" s="2388"/>
      <c r="DZ89" s="3336"/>
      <c r="EA89" s="3299"/>
      <c r="EB89" s="2388"/>
      <c r="EC89" s="2388"/>
      <c r="ED89" s="2388"/>
      <c r="EE89" s="2388"/>
      <c r="EF89" s="2388"/>
      <c r="EG89" s="2388"/>
      <c r="EH89" s="2388"/>
      <c r="EI89" s="2388"/>
      <c r="EJ89" s="2388"/>
      <c r="EK89" s="2388"/>
      <c r="EL89" s="2388"/>
      <c r="EM89" s="2388"/>
      <c r="EN89" s="3300"/>
      <c r="EO89" s="3353"/>
      <c r="EP89" s="2388"/>
      <c r="EQ89" s="2388"/>
      <c r="ER89" s="2388"/>
      <c r="ES89" s="3336"/>
      <c r="ET89" s="3299"/>
      <c r="EU89" s="2388"/>
      <c r="EV89" s="2388"/>
      <c r="EW89" s="2388"/>
      <c r="EX89" s="3300"/>
    </row>
    <row r="90" spans="1:154" s="2435" customFormat="1" ht="15" customHeight="1" thickBot="1">
      <c r="A90" s="15443"/>
      <c r="B90" s="15434"/>
      <c r="C90" s="15436"/>
      <c r="D90" s="15436"/>
      <c r="E90" s="15389"/>
      <c r="F90" s="2433" t="s">
        <v>7764</v>
      </c>
      <c r="G90" s="3252" t="s">
        <v>3444</v>
      </c>
      <c r="H90" s="3272" t="s">
        <v>86</v>
      </c>
      <c r="I90" s="15480"/>
      <c r="J90" s="2374" t="s">
        <v>3492</v>
      </c>
      <c r="K90" s="2375">
        <v>0.85</v>
      </c>
      <c r="L90" s="2374" t="s">
        <v>3493</v>
      </c>
      <c r="M90" s="2374" t="s">
        <v>3494</v>
      </c>
      <c r="N90" s="2374" t="s">
        <v>3495</v>
      </c>
      <c r="O90" s="15498"/>
      <c r="P90" s="15402"/>
      <c r="Q90" s="15400"/>
      <c r="R90" s="15400"/>
      <c r="S90" s="15400"/>
      <c r="T90" s="2441"/>
      <c r="U90" s="2441"/>
      <c r="V90" s="2441"/>
      <c r="W90" s="2441"/>
      <c r="X90" s="2388"/>
      <c r="Y90" s="2388"/>
      <c r="Z90" s="2388"/>
      <c r="AA90" s="2388"/>
      <c r="AB90" s="2388"/>
      <c r="AC90" s="2388"/>
      <c r="AD90" s="2388"/>
      <c r="AE90" s="2388"/>
      <c r="AF90" s="2388"/>
      <c r="AG90" s="2388"/>
      <c r="AH90" s="2388"/>
      <c r="AI90" s="2388"/>
      <c r="AJ90" s="2388"/>
      <c r="AK90" s="2388"/>
      <c r="AL90" s="2388"/>
      <c r="AM90" s="2388"/>
      <c r="AN90" s="2388"/>
      <c r="AO90" s="2388"/>
      <c r="AP90" s="2388"/>
      <c r="AQ90" s="2388"/>
      <c r="AR90" s="2388"/>
      <c r="AS90" s="2388"/>
      <c r="AT90" s="2383" t="s">
        <v>3332</v>
      </c>
      <c r="AU90" s="2374" t="s">
        <v>4200</v>
      </c>
      <c r="AV90" s="2378">
        <v>18</v>
      </c>
      <c r="AW90" s="2388"/>
      <c r="AX90" s="2388"/>
      <c r="AY90" s="2388"/>
      <c r="AZ90" s="2388"/>
      <c r="BA90" s="2388"/>
      <c r="BB90" s="2388"/>
      <c r="BC90" s="2388"/>
      <c r="BD90" s="15436"/>
      <c r="BE90" s="2374" t="s">
        <v>3492</v>
      </c>
      <c r="BF90" s="2372" t="s">
        <v>1509</v>
      </c>
      <c r="BG90" s="2374" t="s">
        <v>3492</v>
      </c>
      <c r="BH90" s="2434">
        <v>0.85</v>
      </c>
      <c r="BI90" s="2380">
        <v>0.85</v>
      </c>
      <c r="BJ90" s="2368">
        <v>0.85</v>
      </c>
      <c r="BK90" s="15550"/>
      <c r="BL90" s="2374" t="s">
        <v>3493</v>
      </c>
      <c r="BM90" s="2374" t="s">
        <v>3494</v>
      </c>
      <c r="BN90" s="2374" t="s">
        <v>3495</v>
      </c>
      <c r="BO90" s="2371">
        <v>1871111</v>
      </c>
      <c r="BP90" s="15532"/>
      <c r="BQ90" s="2370">
        <v>1571733</v>
      </c>
      <c r="BR90" s="2371">
        <f t="shared" si="1"/>
        <v>299378</v>
      </c>
      <c r="BS90" s="2371"/>
      <c r="BT90" s="2383"/>
      <c r="BU90" s="2383"/>
      <c r="BV90" s="2383"/>
      <c r="BW90" s="2383"/>
      <c r="BX90" s="2383"/>
      <c r="BY90" s="2383"/>
      <c r="BZ90" s="2383"/>
      <c r="CA90" s="2383"/>
      <c r="CB90" s="2383"/>
      <c r="CC90" s="2383"/>
      <c r="CD90" s="2383"/>
      <c r="CE90" s="2383"/>
      <c r="CF90" s="2383"/>
      <c r="CG90" s="2383"/>
      <c r="CH90" s="2383"/>
      <c r="CI90" s="2383"/>
      <c r="CJ90" s="2383"/>
      <c r="CK90" s="2383"/>
      <c r="CL90" s="2383"/>
      <c r="CM90" s="2383"/>
      <c r="CN90" s="2383"/>
      <c r="CO90" s="2383"/>
      <c r="CP90" s="2383"/>
      <c r="CQ90" s="2383"/>
      <c r="CR90" s="2383"/>
      <c r="CS90" s="2383"/>
      <c r="CT90" s="2383" t="s">
        <v>3332</v>
      </c>
      <c r="CU90" s="2374" t="s">
        <v>4200</v>
      </c>
      <c r="CV90" s="2378">
        <v>18</v>
      </c>
      <c r="CW90" s="2388"/>
      <c r="CX90" s="2388"/>
      <c r="CY90" s="2388"/>
      <c r="CZ90" s="2388"/>
      <c r="DA90" s="2388"/>
      <c r="DB90" s="2388"/>
      <c r="DC90" s="2388"/>
      <c r="DE90" s="3299"/>
      <c r="DF90" s="2388"/>
      <c r="DG90" s="2388"/>
      <c r="DH90" s="2388"/>
      <c r="DI90" s="2388"/>
      <c r="DJ90" s="3336"/>
      <c r="DK90" s="3299"/>
      <c r="DL90" s="2388"/>
      <c r="DM90" s="2388"/>
      <c r="DN90" s="3300"/>
      <c r="DO90" s="3368"/>
      <c r="DP90" s="3353"/>
      <c r="DQ90" s="3300"/>
      <c r="DR90" s="3353"/>
      <c r="DS90" s="3300"/>
      <c r="DT90" s="3353"/>
      <c r="DU90" s="2388"/>
      <c r="DV90" s="2388"/>
      <c r="DW90" s="2388"/>
      <c r="DX90" s="2388"/>
      <c r="DY90" s="2388"/>
      <c r="DZ90" s="3336"/>
      <c r="EA90" s="3299"/>
      <c r="EB90" s="2388"/>
      <c r="EC90" s="2388"/>
      <c r="ED90" s="2388"/>
      <c r="EE90" s="2388"/>
      <c r="EF90" s="2388"/>
      <c r="EG90" s="2388"/>
      <c r="EH90" s="2388"/>
      <c r="EI90" s="2388"/>
      <c r="EJ90" s="2388"/>
      <c r="EK90" s="2388"/>
      <c r="EL90" s="2388"/>
      <c r="EM90" s="2388"/>
      <c r="EN90" s="3300"/>
      <c r="EO90" s="3353"/>
      <c r="EP90" s="2388"/>
      <c r="EQ90" s="2388"/>
      <c r="ER90" s="2388"/>
      <c r="ES90" s="3336"/>
      <c r="ET90" s="3299"/>
      <c r="EU90" s="2388"/>
      <c r="EV90" s="2388"/>
      <c r="EW90" s="2388"/>
      <c r="EX90" s="3300"/>
    </row>
    <row r="91" spans="1:154" s="2435" customFormat="1" ht="15" customHeight="1" thickBot="1">
      <c r="A91" s="15443"/>
      <c r="B91" s="15434"/>
      <c r="C91" s="15436" t="s">
        <v>3496</v>
      </c>
      <c r="D91" s="15436" t="s">
        <v>2315</v>
      </c>
      <c r="E91" s="15404">
        <v>1</v>
      </c>
      <c r="F91" s="2433" t="s">
        <v>7765</v>
      </c>
      <c r="G91" s="3252" t="s">
        <v>3497</v>
      </c>
      <c r="H91" s="3272" t="s">
        <v>86</v>
      </c>
      <c r="I91" s="15499">
        <v>1</v>
      </c>
      <c r="J91" s="2385" t="s">
        <v>4155</v>
      </c>
      <c r="K91" s="2375">
        <v>1</v>
      </c>
      <c r="L91" s="2374" t="s">
        <v>4138</v>
      </c>
      <c r="M91" s="2374" t="s">
        <v>4139</v>
      </c>
      <c r="N91" s="2388"/>
      <c r="O91" s="15497">
        <v>18194000</v>
      </c>
      <c r="P91" s="15402"/>
      <c r="Q91" s="15497">
        <v>52410800</v>
      </c>
      <c r="R91" s="15497">
        <v>229343164</v>
      </c>
      <c r="S91" s="15497">
        <v>11986687</v>
      </c>
      <c r="T91" s="2388"/>
      <c r="U91" s="2388"/>
      <c r="V91" s="2388"/>
      <c r="W91" s="2388"/>
      <c r="X91" s="2388"/>
      <c r="Y91" s="2388"/>
      <c r="Z91" s="2388"/>
      <c r="AA91" s="2388"/>
      <c r="AB91" s="2388"/>
      <c r="AC91" s="2388"/>
      <c r="AD91" s="2388"/>
      <c r="AE91" s="2388"/>
      <c r="AF91" s="2388"/>
      <c r="AG91" s="2388"/>
      <c r="AH91" s="2388"/>
      <c r="AI91" s="2388"/>
      <c r="AJ91" s="2388"/>
      <c r="AK91" s="2388"/>
      <c r="AL91" s="2388"/>
      <c r="AM91" s="2388"/>
      <c r="AN91" s="2388"/>
      <c r="AO91" s="2388"/>
      <c r="AP91" s="2388"/>
      <c r="AQ91" s="2388"/>
      <c r="AR91" s="2388"/>
      <c r="AS91" s="2388"/>
      <c r="AT91" s="2383" t="s">
        <v>3332</v>
      </c>
      <c r="AU91" s="2374" t="s">
        <v>4200</v>
      </c>
      <c r="AV91" s="2378">
        <v>18</v>
      </c>
      <c r="AW91" s="2388"/>
      <c r="AX91" s="2388"/>
      <c r="AY91" s="2388"/>
      <c r="AZ91" s="2388"/>
      <c r="BA91" s="2388"/>
      <c r="BB91" s="2388"/>
      <c r="BC91" s="2388"/>
      <c r="BD91" s="15534">
        <v>1</v>
      </c>
      <c r="BE91" s="2385" t="s">
        <v>4155</v>
      </c>
      <c r="BF91" s="2372" t="s">
        <v>1509</v>
      </c>
      <c r="BG91" s="2385" t="s">
        <v>4155</v>
      </c>
      <c r="BH91" s="2434">
        <v>1</v>
      </c>
      <c r="BI91" s="2380">
        <v>1</v>
      </c>
      <c r="BJ91" s="2368">
        <v>1</v>
      </c>
      <c r="BK91" s="15550"/>
      <c r="BL91" s="2374" t="s">
        <v>4138</v>
      </c>
      <c r="BM91" s="2374" t="s">
        <v>4139</v>
      </c>
      <c r="BN91" s="2388"/>
      <c r="BO91" s="2371">
        <v>5038000</v>
      </c>
      <c r="BP91" s="15532"/>
      <c r="BQ91" s="2370">
        <v>4231920</v>
      </c>
      <c r="BR91" s="2371">
        <f t="shared" si="1"/>
        <v>806080</v>
      </c>
      <c r="BS91" s="2371"/>
      <c r="BT91" s="2383"/>
      <c r="BU91" s="2383"/>
      <c r="BV91" s="2383"/>
      <c r="BW91" s="2383"/>
      <c r="BX91" s="2383"/>
      <c r="BY91" s="2383"/>
      <c r="BZ91" s="2383"/>
      <c r="CA91" s="2383"/>
      <c r="CB91" s="2383"/>
      <c r="CC91" s="2383"/>
      <c r="CD91" s="2383"/>
      <c r="CE91" s="2383"/>
      <c r="CF91" s="2383"/>
      <c r="CG91" s="2383"/>
      <c r="CH91" s="2383"/>
      <c r="CI91" s="2383"/>
      <c r="CJ91" s="2383"/>
      <c r="CK91" s="2383"/>
      <c r="CL91" s="2383"/>
      <c r="CM91" s="2383"/>
      <c r="CN91" s="2383"/>
      <c r="CO91" s="2383"/>
      <c r="CP91" s="2383"/>
      <c r="CQ91" s="2383"/>
      <c r="CR91" s="2383"/>
      <c r="CS91" s="2383"/>
      <c r="CT91" s="2383" t="s">
        <v>3332</v>
      </c>
      <c r="CU91" s="2374" t="s">
        <v>4200</v>
      </c>
      <c r="CV91" s="2378">
        <v>18</v>
      </c>
      <c r="CW91" s="2388"/>
      <c r="CX91" s="2388"/>
      <c r="CY91" s="2388"/>
      <c r="CZ91" s="2388"/>
      <c r="DA91" s="2388"/>
      <c r="DB91" s="2388"/>
      <c r="DC91" s="2388"/>
      <c r="DE91" s="3299"/>
      <c r="DF91" s="2388"/>
      <c r="DG91" s="2388"/>
      <c r="DH91" s="2388"/>
      <c r="DI91" s="2388"/>
      <c r="DJ91" s="3336"/>
      <c r="DK91" s="3299"/>
      <c r="DL91" s="2388"/>
      <c r="DM91" s="2388"/>
      <c r="DN91" s="3300"/>
      <c r="DO91" s="3368"/>
      <c r="DP91" s="3353"/>
      <c r="DQ91" s="3300"/>
      <c r="DR91" s="3353"/>
      <c r="DS91" s="3300"/>
      <c r="DT91" s="3353"/>
      <c r="DU91" s="2388"/>
      <c r="DV91" s="2388"/>
      <c r="DW91" s="2388"/>
      <c r="DX91" s="2388"/>
      <c r="DY91" s="2388"/>
      <c r="DZ91" s="3336"/>
      <c r="EA91" s="3299"/>
      <c r="EB91" s="2388"/>
      <c r="EC91" s="2388"/>
      <c r="ED91" s="2388"/>
      <c r="EE91" s="2388"/>
      <c r="EF91" s="2388"/>
      <c r="EG91" s="2388"/>
      <c r="EH91" s="2388"/>
      <c r="EI91" s="2388"/>
      <c r="EJ91" s="2388"/>
      <c r="EK91" s="2388"/>
      <c r="EL91" s="2388"/>
      <c r="EM91" s="2388"/>
      <c r="EN91" s="3300"/>
      <c r="EO91" s="3353"/>
      <c r="EP91" s="2388"/>
      <c r="EQ91" s="2388"/>
      <c r="ER91" s="2388"/>
      <c r="ES91" s="3336"/>
      <c r="ET91" s="3299"/>
      <c r="EU91" s="2388"/>
      <c r="EV91" s="2388"/>
      <c r="EW91" s="2388"/>
      <c r="EX91" s="3300"/>
    </row>
    <row r="92" spans="1:154" s="2435" customFormat="1" ht="15" customHeight="1" thickBot="1">
      <c r="A92" s="15443"/>
      <c r="B92" s="15434" t="s">
        <v>3328</v>
      </c>
      <c r="C92" s="15436"/>
      <c r="D92" s="15436"/>
      <c r="E92" s="15404"/>
      <c r="F92" s="2433" t="s">
        <v>7766</v>
      </c>
      <c r="G92" s="3252" t="s">
        <v>3498</v>
      </c>
      <c r="H92" s="3272" t="s">
        <v>86</v>
      </c>
      <c r="I92" s="15480"/>
      <c r="J92" s="2379" t="s">
        <v>4156</v>
      </c>
      <c r="K92" s="2375">
        <v>0.85</v>
      </c>
      <c r="L92" s="2374" t="s">
        <v>4140</v>
      </c>
      <c r="M92" s="2441" t="s">
        <v>4141</v>
      </c>
      <c r="N92" s="2374" t="s">
        <v>3495</v>
      </c>
      <c r="O92" s="15402"/>
      <c r="P92" s="15402"/>
      <c r="Q92" s="15402"/>
      <c r="R92" s="15402"/>
      <c r="S92" s="15402"/>
      <c r="T92" s="2388"/>
      <c r="U92" s="2388"/>
      <c r="V92" s="2388"/>
      <c r="W92" s="2388"/>
      <c r="X92" s="2388"/>
      <c r="Y92" s="2388"/>
      <c r="Z92" s="2388"/>
      <c r="AA92" s="2388"/>
      <c r="AB92" s="2388"/>
      <c r="AC92" s="2388"/>
      <c r="AD92" s="2388"/>
      <c r="AE92" s="2388"/>
      <c r="AF92" s="2388"/>
      <c r="AG92" s="2388"/>
      <c r="AH92" s="2388"/>
      <c r="AI92" s="2388"/>
      <c r="AJ92" s="2388"/>
      <c r="AK92" s="2388"/>
      <c r="AL92" s="2388"/>
      <c r="AM92" s="2388"/>
      <c r="AN92" s="2388"/>
      <c r="AO92" s="2388"/>
      <c r="AP92" s="2388"/>
      <c r="AQ92" s="2388"/>
      <c r="AR92" s="2388"/>
      <c r="AS92" s="2388"/>
      <c r="AT92" s="2383" t="s">
        <v>3332</v>
      </c>
      <c r="AU92" s="2374" t="s">
        <v>4200</v>
      </c>
      <c r="AV92" s="2378">
        <v>18</v>
      </c>
      <c r="AW92" s="2388"/>
      <c r="AX92" s="2388"/>
      <c r="AY92" s="2388"/>
      <c r="AZ92" s="2388"/>
      <c r="BA92" s="2388"/>
      <c r="BB92" s="2388"/>
      <c r="BC92" s="2388"/>
      <c r="BD92" s="15436"/>
      <c r="BE92" s="2379" t="s">
        <v>4156</v>
      </c>
      <c r="BF92" s="2372" t="s">
        <v>1509</v>
      </c>
      <c r="BG92" s="2379" t="s">
        <v>4156</v>
      </c>
      <c r="BH92" s="2434">
        <v>0.85</v>
      </c>
      <c r="BI92" s="2380">
        <v>0.85</v>
      </c>
      <c r="BJ92" s="2368">
        <v>0.85</v>
      </c>
      <c r="BK92" s="15550"/>
      <c r="BL92" s="2374" t="s">
        <v>4140</v>
      </c>
      <c r="BM92" s="2441" t="s">
        <v>4141</v>
      </c>
      <c r="BN92" s="2374" t="s">
        <v>3495</v>
      </c>
      <c r="BO92" s="2371">
        <v>1871111</v>
      </c>
      <c r="BP92" s="15532"/>
      <c r="BQ92" s="2370">
        <v>1571733</v>
      </c>
      <c r="BR92" s="2371">
        <f t="shared" si="1"/>
        <v>299378</v>
      </c>
      <c r="BS92" s="2371"/>
      <c r="BT92" s="2383">
        <v>18</v>
      </c>
      <c r="BU92" s="2383"/>
      <c r="BV92" s="2383"/>
      <c r="BW92" s="2383"/>
      <c r="BX92" s="2383"/>
      <c r="BY92" s="2383"/>
      <c r="BZ92" s="2383"/>
      <c r="CA92" s="2383"/>
      <c r="CB92" s="2383"/>
      <c r="CC92" s="2383"/>
      <c r="CD92" s="2383"/>
      <c r="CE92" s="2383"/>
      <c r="CF92" s="2383"/>
      <c r="CG92" s="2383"/>
      <c r="CH92" s="2383"/>
      <c r="CI92" s="2383"/>
      <c r="CJ92" s="2383"/>
      <c r="CK92" s="2383"/>
      <c r="CL92" s="2383"/>
      <c r="CM92" s="2383"/>
      <c r="CN92" s="2383"/>
      <c r="CO92" s="2383"/>
      <c r="CP92" s="2383"/>
      <c r="CQ92" s="2383"/>
      <c r="CR92" s="2383"/>
      <c r="CS92" s="2383"/>
      <c r="CT92" s="2383" t="s">
        <v>3332</v>
      </c>
      <c r="CU92" s="2374" t="s">
        <v>4200</v>
      </c>
      <c r="CV92" s="2378">
        <v>18</v>
      </c>
      <c r="CW92" s="2388"/>
      <c r="CX92" s="2388"/>
      <c r="CY92" s="2388"/>
      <c r="CZ92" s="2388"/>
      <c r="DA92" s="2388"/>
      <c r="DB92" s="2388"/>
      <c r="DC92" s="2388"/>
      <c r="DE92" s="3299"/>
      <c r="DF92" s="2388"/>
      <c r="DG92" s="2388"/>
      <c r="DH92" s="2388"/>
      <c r="DI92" s="2388"/>
      <c r="DJ92" s="3336"/>
      <c r="DK92" s="3299"/>
      <c r="DL92" s="2388"/>
      <c r="DM92" s="2388"/>
      <c r="DN92" s="3300"/>
      <c r="DO92" s="3368"/>
      <c r="DP92" s="3353"/>
      <c r="DQ92" s="3300"/>
      <c r="DR92" s="3353"/>
      <c r="DS92" s="3300"/>
      <c r="DT92" s="3353"/>
      <c r="DU92" s="2388"/>
      <c r="DV92" s="2388"/>
      <c r="DW92" s="2388"/>
      <c r="DX92" s="2388"/>
      <c r="DY92" s="2388"/>
      <c r="DZ92" s="3336"/>
      <c r="EA92" s="3299"/>
      <c r="EB92" s="2388"/>
      <c r="EC92" s="2388"/>
      <c r="ED92" s="2388"/>
      <c r="EE92" s="2388"/>
      <c r="EF92" s="2388"/>
      <c r="EG92" s="2388"/>
      <c r="EH92" s="2388"/>
      <c r="EI92" s="2388"/>
      <c r="EJ92" s="2388"/>
      <c r="EK92" s="2388"/>
      <c r="EL92" s="2388"/>
      <c r="EM92" s="2388"/>
      <c r="EN92" s="3300"/>
      <c r="EO92" s="3353"/>
      <c r="EP92" s="2388"/>
      <c r="EQ92" s="2388"/>
      <c r="ER92" s="2388"/>
      <c r="ES92" s="3336"/>
      <c r="ET92" s="3299"/>
      <c r="EU92" s="2388"/>
      <c r="EV92" s="2388"/>
      <c r="EW92" s="2388"/>
      <c r="EX92" s="3300"/>
    </row>
    <row r="93" spans="1:154" s="2435" customFormat="1" ht="15" customHeight="1" thickBot="1">
      <c r="A93" s="15443"/>
      <c r="B93" s="15434"/>
      <c r="C93" s="15436"/>
      <c r="D93" s="15436"/>
      <c r="E93" s="15404"/>
      <c r="F93" s="2433" t="s">
        <v>7767</v>
      </c>
      <c r="G93" s="3252" t="s">
        <v>3499</v>
      </c>
      <c r="H93" s="3272" t="s">
        <v>86</v>
      </c>
      <c r="I93" s="15480"/>
      <c r="J93" s="2379" t="s">
        <v>4157</v>
      </c>
      <c r="K93" s="2375">
        <v>1</v>
      </c>
      <c r="L93" s="2379" t="s">
        <v>4142</v>
      </c>
      <c r="M93" s="2379" t="s">
        <v>4143</v>
      </c>
      <c r="N93" s="2388"/>
      <c r="O93" s="15498"/>
      <c r="P93" s="15402"/>
      <c r="Q93" s="15498"/>
      <c r="R93" s="15498"/>
      <c r="S93" s="15498"/>
      <c r="T93" s="2388"/>
      <c r="U93" s="2388"/>
      <c r="V93" s="2388"/>
      <c r="W93" s="2388"/>
      <c r="X93" s="2388"/>
      <c r="Y93" s="2388"/>
      <c r="Z93" s="2388"/>
      <c r="AA93" s="2388"/>
      <c r="AB93" s="2388"/>
      <c r="AC93" s="2388"/>
      <c r="AD93" s="2388"/>
      <c r="AE93" s="2388"/>
      <c r="AF93" s="2388"/>
      <c r="AG93" s="2388"/>
      <c r="AH93" s="2388"/>
      <c r="AI93" s="2388"/>
      <c r="AJ93" s="2388"/>
      <c r="AK93" s="2388"/>
      <c r="AL93" s="2388"/>
      <c r="AM93" s="2388"/>
      <c r="AN93" s="2388"/>
      <c r="AO93" s="2388"/>
      <c r="AP93" s="2388"/>
      <c r="AQ93" s="2388"/>
      <c r="AR93" s="2388"/>
      <c r="AS93" s="2388"/>
      <c r="AT93" s="2388" t="s">
        <v>4201</v>
      </c>
      <c r="AU93" s="2374" t="s">
        <v>4202</v>
      </c>
      <c r="AV93" s="2378">
        <v>1</v>
      </c>
      <c r="AW93" s="2388"/>
      <c r="AX93" s="2388"/>
      <c r="AY93" s="2388"/>
      <c r="AZ93" s="2388"/>
      <c r="BA93" s="2388"/>
      <c r="BB93" s="2388"/>
      <c r="BC93" s="2388"/>
      <c r="BD93" s="15436"/>
      <c r="BE93" s="2379" t="s">
        <v>4157</v>
      </c>
      <c r="BF93" s="2372" t="s">
        <v>1509</v>
      </c>
      <c r="BG93" s="2379" t="s">
        <v>4157</v>
      </c>
      <c r="BH93" s="2434">
        <v>1</v>
      </c>
      <c r="BI93" s="2380">
        <v>1</v>
      </c>
      <c r="BJ93" s="2368">
        <v>1</v>
      </c>
      <c r="BK93" s="15550"/>
      <c r="BL93" s="2379" t="s">
        <v>4142</v>
      </c>
      <c r="BM93" s="2379" t="s">
        <v>4143</v>
      </c>
      <c r="BN93" s="2388"/>
      <c r="BO93" s="2371">
        <v>5038000</v>
      </c>
      <c r="BP93" s="15532"/>
      <c r="BQ93" s="2370">
        <v>4231920</v>
      </c>
      <c r="BR93" s="2371">
        <f t="shared" si="1"/>
        <v>806080</v>
      </c>
      <c r="BS93" s="2371"/>
      <c r="BT93" s="2383"/>
      <c r="BU93" s="2383"/>
      <c r="BV93" s="2383"/>
      <c r="BW93" s="2383"/>
      <c r="BX93" s="2383"/>
      <c r="BY93" s="2383"/>
      <c r="BZ93" s="2383"/>
      <c r="CA93" s="2383"/>
      <c r="CB93" s="2383"/>
      <c r="CC93" s="2383"/>
      <c r="CD93" s="2383"/>
      <c r="CE93" s="2383"/>
      <c r="CF93" s="2383"/>
      <c r="CG93" s="2383"/>
      <c r="CH93" s="2383"/>
      <c r="CI93" s="2383"/>
      <c r="CJ93" s="2383"/>
      <c r="CK93" s="2383"/>
      <c r="CL93" s="2383"/>
      <c r="CM93" s="2383"/>
      <c r="CN93" s="2383"/>
      <c r="CO93" s="2383"/>
      <c r="CP93" s="2383"/>
      <c r="CQ93" s="2383"/>
      <c r="CR93" s="2383"/>
      <c r="CS93" s="2383"/>
      <c r="CT93" s="2388" t="s">
        <v>4201</v>
      </c>
      <c r="CU93" s="2374" t="s">
        <v>4202</v>
      </c>
      <c r="CV93" s="2378">
        <v>1</v>
      </c>
      <c r="CW93" s="2388"/>
      <c r="CX93" s="2388"/>
      <c r="CY93" s="2388"/>
      <c r="CZ93" s="2388"/>
      <c r="DA93" s="2388"/>
      <c r="DB93" s="2388"/>
      <c r="DC93" s="2388"/>
      <c r="DE93" s="3299"/>
      <c r="DF93" s="2388"/>
      <c r="DG93" s="2388"/>
      <c r="DH93" s="2388"/>
      <c r="DI93" s="2388"/>
      <c r="DJ93" s="3336"/>
      <c r="DK93" s="3299"/>
      <c r="DL93" s="2388"/>
      <c r="DM93" s="2388"/>
      <c r="DN93" s="3300"/>
      <c r="DO93" s="3368"/>
      <c r="DP93" s="3353"/>
      <c r="DQ93" s="3300"/>
      <c r="DR93" s="3353"/>
      <c r="DS93" s="3300"/>
      <c r="DT93" s="3353"/>
      <c r="DU93" s="2388"/>
      <c r="DV93" s="2388"/>
      <c r="DW93" s="2388"/>
      <c r="DX93" s="2388"/>
      <c r="DY93" s="2388"/>
      <c r="DZ93" s="3336"/>
      <c r="EA93" s="3299"/>
      <c r="EB93" s="2388"/>
      <c r="EC93" s="2388"/>
      <c r="ED93" s="2388"/>
      <c r="EE93" s="2388"/>
      <c r="EF93" s="2388"/>
      <c r="EG93" s="2388"/>
      <c r="EH93" s="2388"/>
      <c r="EI93" s="2388"/>
      <c r="EJ93" s="2388"/>
      <c r="EK93" s="2388"/>
      <c r="EL93" s="2388"/>
      <c r="EM93" s="2388"/>
      <c r="EN93" s="3300"/>
      <c r="EO93" s="3353"/>
      <c r="EP93" s="2388"/>
      <c r="EQ93" s="2388"/>
      <c r="ER93" s="2388"/>
      <c r="ES93" s="3336"/>
      <c r="ET93" s="3299"/>
      <c r="EU93" s="2388"/>
      <c r="EV93" s="2388"/>
      <c r="EW93" s="2388"/>
      <c r="EX93" s="3300"/>
    </row>
    <row r="94" spans="1:154" s="2435" customFormat="1" ht="15" customHeight="1" thickBot="1">
      <c r="A94" s="15443"/>
      <c r="B94" s="15434"/>
      <c r="C94" s="15436"/>
      <c r="D94" s="15436"/>
      <c r="E94" s="15404"/>
      <c r="F94" s="2433" t="s">
        <v>7768</v>
      </c>
      <c r="G94" s="3252" t="s">
        <v>3500</v>
      </c>
      <c r="H94" s="3272" t="s">
        <v>86</v>
      </c>
      <c r="I94" s="15480"/>
      <c r="J94" s="2374" t="s">
        <v>4158</v>
      </c>
      <c r="K94" s="2375">
        <v>1</v>
      </c>
      <c r="L94" s="2374" t="s">
        <v>4144</v>
      </c>
      <c r="M94" s="2379" t="s">
        <v>4145</v>
      </c>
      <c r="N94" s="2388"/>
      <c r="O94" s="15497">
        <v>15239000</v>
      </c>
      <c r="P94" s="15402"/>
      <c r="Q94" s="15497">
        <v>52410800</v>
      </c>
      <c r="R94" s="15497">
        <v>229343164</v>
      </c>
      <c r="S94" s="15497">
        <v>11986687</v>
      </c>
      <c r="T94" s="2378">
        <v>13653</v>
      </c>
      <c r="U94" s="2378">
        <v>5253</v>
      </c>
      <c r="V94" s="2378">
        <v>8400</v>
      </c>
      <c r="W94" s="2378">
        <v>9690</v>
      </c>
      <c r="X94" s="2378">
        <v>3963</v>
      </c>
      <c r="Y94" s="2378"/>
      <c r="Z94" s="2378"/>
      <c r="AA94" s="2378">
        <v>3257</v>
      </c>
      <c r="AB94" s="2378">
        <v>5190</v>
      </c>
      <c r="AC94" s="2378">
        <v>5206</v>
      </c>
      <c r="AD94" s="2378"/>
      <c r="AE94" s="2378"/>
      <c r="AF94" s="2378"/>
      <c r="AG94" s="2378"/>
      <c r="AH94" s="2378"/>
      <c r="AI94" s="2378"/>
      <c r="AJ94" s="2378"/>
      <c r="AK94" s="2378"/>
      <c r="AL94" s="2378"/>
      <c r="AM94" s="2378"/>
      <c r="AN94" s="2378">
        <v>12395</v>
      </c>
      <c r="AO94" s="2378">
        <v>1039</v>
      </c>
      <c r="AP94" s="2378">
        <v>187</v>
      </c>
      <c r="AQ94" s="2378">
        <v>31</v>
      </c>
      <c r="AR94" s="2378"/>
      <c r="AS94" s="2378">
        <v>1</v>
      </c>
      <c r="AT94" s="2378"/>
      <c r="AU94" s="2388"/>
      <c r="AV94" s="2388"/>
      <c r="AW94" s="2388"/>
      <c r="AX94" s="2388"/>
      <c r="AY94" s="2388"/>
      <c r="AZ94" s="2388"/>
      <c r="BA94" s="2388"/>
      <c r="BB94" s="2388"/>
      <c r="BC94" s="2388"/>
      <c r="BD94" s="15436"/>
      <c r="BE94" s="2374" t="s">
        <v>4158</v>
      </c>
      <c r="BF94" s="2372" t="s">
        <v>1509</v>
      </c>
      <c r="BG94" s="2374" t="s">
        <v>4158</v>
      </c>
      <c r="BH94" s="2434">
        <v>1</v>
      </c>
      <c r="BI94" s="2380">
        <v>1</v>
      </c>
      <c r="BJ94" s="2368">
        <v>1</v>
      </c>
      <c r="BK94" s="15550"/>
      <c r="BL94" s="2374" t="s">
        <v>4144</v>
      </c>
      <c r="BM94" s="2379" t="s">
        <v>4145</v>
      </c>
      <c r="BN94" s="2388"/>
      <c r="BO94" s="2371">
        <v>1871111</v>
      </c>
      <c r="BP94" s="15532"/>
      <c r="BQ94" s="2370">
        <v>1571733</v>
      </c>
      <c r="BR94" s="2371">
        <f t="shared" si="1"/>
        <v>299378</v>
      </c>
      <c r="BS94" s="2371"/>
      <c r="BT94" s="2378">
        <v>15.081</v>
      </c>
      <c r="BU94" s="2378">
        <v>5.0270000000000001</v>
      </c>
      <c r="BV94" s="2378">
        <v>10.053000000000001</v>
      </c>
      <c r="BW94" s="2378">
        <v>10150</v>
      </c>
      <c r="BX94" s="2378">
        <v>4930</v>
      </c>
      <c r="BY94" s="2378"/>
      <c r="BZ94" s="2378"/>
      <c r="CA94" s="2378">
        <v>3257</v>
      </c>
      <c r="CB94" s="2378">
        <v>5190</v>
      </c>
      <c r="CC94" s="2378">
        <v>5206</v>
      </c>
      <c r="CD94" s="2378"/>
      <c r="CE94" s="2378"/>
      <c r="CF94" s="2378"/>
      <c r="CG94" s="2378"/>
      <c r="CH94" s="2378"/>
      <c r="CI94" s="2378"/>
      <c r="CJ94" s="2378"/>
      <c r="CK94" s="2378"/>
      <c r="CL94" s="2378"/>
      <c r="CM94" s="2378"/>
      <c r="CN94" s="2378">
        <v>12395</v>
      </c>
      <c r="CO94" s="2378">
        <v>1039</v>
      </c>
      <c r="CP94" s="2378">
        <v>187</v>
      </c>
      <c r="CQ94" s="2378">
        <v>31</v>
      </c>
      <c r="CR94" s="2378"/>
      <c r="CS94" s="2378">
        <v>1</v>
      </c>
      <c r="CT94" s="2378"/>
      <c r="CU94" s="2388"/>
      <c r="CV94" s="2388"/>
      <c r="CW94" s="2388"/>
      <c r="CX94" s="2388"/>
      <c r="CY94" s="2388"/>
      <c r="CZ94" s="2388"/>
      <c r="DA94" s="2388"/>
      <c r="DB94" s="2388"/>
      <c r="DC94" s="2388"/>
      <c r="DE94" s="3299"/>
      <c r="DF94" s="2388"/>
      <c r="DG94" s="2388"/>
      <c r="DH94" s="2388"/>
      <c r="DI94" s="2388"/>
      <c r="DJ94" s="3336"/>
      <c r="DK94" s="3299"/>
      <c r="DL94" s="2388"/>
      <c r="DM94" s="2388"/>
      <c r="DN94" s="3300"/>
      <c r="DO94" s="3368"/>
      <c r="DP94" s="3353"/>
      <c r="DQ94" s="3300"/>
      <c r="DR94" s="3353"/>
      <c r="DS94" s="3300"/>
      <c r="DT94" s="3353"/>
      <c r="DU94" s="2388"/>
      <c r="DV94" s="2388"/>
      <c r="DW94" s="2388"/>
      <c r="DX94" s="2388"/>
      <c r="DY94" s="2388"/>
      <c r="DZ94" s="3336"/>
      <c r="EA94" s="3299"/>
      <c r="EB94" s="2388"/>
      <c r="EC94" s="2388"/>
      <c r="ED94" s="2388"/>
      <c r="EE94" s="2388"/>
      <c r="EF94" s="2388"/>
      <c r="EG94" s="2388"/>
      <c r="EH94" s="2388"/>
      <c r="EI94" s="2388"/>
      <c r="EJ94" s="2388"/>
      <c r="EK94" s="2388"/>
      <c r="EL94" s="2388"/>
      <c r="EM94" s="2388"/>
      <c r="EN94" s="3300"/>
      <c r="EO94" s="3353"/>
      <c r="EP94" s="2388"/>
      <c r="EQ94" s="2388"/>
      <c r="ER94" s="2388"/>
      <c r="ES94" s="3336"/>
      <c r="ET94" s="3299"/>
      <c r="EU94" s="2388"/>
      <c r="EV94" s="2388"/>
      <c r="EW94" s="2388"/>
      <c r="EX94" s="3300"/>
    </row>
    <row r="95" spans="1:154" s="2435" customFormat="1" ht="15" customHeight="1" thickBot="1">
      <c r="A95" s="15443"/>
      <c r="B95" s="15434" t="s">
        <v>3347</v>
      </c>
      <c r="C95" s="15436"/>
      <c r="D95" s="15436"/>
      <c r="E95" s="15404"/>
      <c r="F95" s="2433" t="s">
        <v>7769</v>
      </c>
      <c r="G95" s="3252" t="s">
        <v>3501</v>
      </c>
      <c r="H95" s="3272" t="s">
        <v>86</v>
      </c>
      <c r="I95" s="15480"/>
      <c r="J95" s="2374" t="s">
        <v>3479</v>
      </c>
      <c r="K95" s="2375">
        <v>1</v>
      </c>
      <c r="L95" s="2374" t="s">
        <v>4146</v>
      </c>
      <c r="M95" s="2374" t="s">
        <v>4147</v>
      </c>
      <c r="N95" s="2388"/>
      <c r="O95" s="15402"/>
      <c r="P95" s="15402"/>
      <c r="Q95" s="15402"/>
      <c r="R95" s="15402"/>
      <c r="S95" s="15402"/>
      <c r="T95" s="2378">
        <v>13653</v>
      </c>
      <c r="U95" s="2378">
        <v>5253</v>
      </c>
      <c r="V95" s="2378">
        <v>8400</v>
      </c>
      <c r="W95" s="2378">
        <v>9690</v>
      </c>
      <c r="X95" s="2378">
        <v>3963</v>
      </c>
      <c r="Y95" s="2378"/>
      <c r="Z95" s="2378"/>
      <c r="AA95" s="2378">
        <v>3257</v>
      </c>
      <c r="AB95" s="2378">
        <v>5190</v>
      </c>
      <c r="AC95" s="2378">
        <v>5206</v>
      </c>
      <c r="AD95" s="2378"/>
      <c r="AE95" s="2378"/>
      <c r="AF95" s="2378"/>
      <c r="AG95" s="2378"/>
      <c r="AH95" s="2378"/>
      <c r="AI95" s="2378"/>
      <c r="AJ95" s="2378"/>
      <c r="AK95" s="2378"/>
      <c r="AL95" s="2378"/>
      <c r="AM95" s="2378"/>
      <c r="AN95" s="2378">
        <v>12395</v>
      </c>
      <c r="AO95" s="2378">
        <v>1039</v>
      </c>
      <c r="AP95" s="2378">
        <v>187</v>
      </c>
      <c r="AQ95" s="2378">
        <v>31</v>
      </c>
      <c r="AR95" s="2378"/>
      <c r="AS95" s="2378">
        <v>1</v>
      </c>
      <c r="AT95" s="2388"/>
      <c r="AU95" s="2388"/>
      <c r="AV95" s="2388"/>
      <c r="AW95" s="2388"/>
      <c r="AX95" s="2388"/>
      <c r="AY95" s="2388"/>
      <c r="AZ95" s="2388"/>
      <c r="BA95" s="2388"/>
      <c r="BB95" s="2388"/>
      <c r="BC95" s="2388"/>
      <c r="BD95" s="15436"/>
      <c r="BE95" s="2374" t="s">
        <v>3479</v>
      </c>
      <c r="BF95" s="2372" t="s">
        <v>1509</v>
      </c>
      <c r="BG95" s="2374" t="s">
        <v>3479</v>
      </c>
      <c r="BH95" s="2434">
        <v>1</v>
      </c>
      <c r="BI95" s="2380">
        <v>1</v>
      </c>
      <c r="BJ95" s="2368">
        <v>1</v>
      </c>
      <c r="BK95" s="15550"/>
      <c r="BL95" s="2374" t="s">
        <v>4146</v>
      </c>
      <c r="BM95" s="2374" t="s">
        <v>4147</v>
      </c>
      <c r="BN95" s="2388"/>
      <c r="BO95" s="2371">
        <v>1871111</v>
      </c>
      <c r="BP95" s="15532"/>
      <c r="BQ95" s="2370">
        <v>1571733</v>
      </c>
      <c r="BR95" s="2371">
        <f t="shared" si="1"/>
        <v>299378</v>
      </c>
      <c r="BS95" s="2371"/>
      <c r="BT95" s="2378">
        <v>15.081</v>
      </c>
      <c r="BU95" s="2378">
        <v>5.0270000000000001</v>
      </c>
      <c r="BV95" s="2378">
        <v>10.053000000000001</v>
      </c>
      <c r="BW95" s="2378">
        <v>10150</v>
      </c>
      <c r="BX95" s="2378">
        <v>4930</v>
      </c>
      <c r="BY95" s="2378"/>
      <c r="BZ95" s="2378"/>
      <c r="CA95" s="2378">
        <v>3257</v>
      </c>
      <c r="CB95" s="2378">
        <v>5190</v>
      </c>
      <c r="CC95" s="2378">
        <v>5206</v>
      </c>
      <c r="CD95" s="2378"/>
      <c r="CE95" s="2378"/>
      <c r="CF95" s="2378"/>
      <c r="CG95" s="2378"/>
      <c r="CH95" s="2378"/>
      <c r="CI95" s="2378"/>
      <c r="CJ95" s="2378"/>
      <c r="CK95" s="2378"/>
      <c r="CL95" s="2378"/>
      <c r="CM95" s="2378"/>
      <c r="CN95" s="2378">
        <v>12395</v>
      </c>
      <c r="CO95" s="2378">
        <v>1039</v>
      </c>
      <c r="CP95" s="2378">
        <v>187</v>
      </c>
      <c r="CQ95" s="2378">
        <v>31</v>
      </c>
      <c r="CR95" s="2378"/>
      <c r="CS95" s="2378">
        <v>1</v>
      </c>
      <c r="CT95" s="2388"/>
      <c r="CU95" s="2388"/>
      <c r="CV95" s="2388"/>
      <c r="CW95" s="2388"/>
      <c r="CX95" s="2388"/>
      <c r="CY95" s="2388"/>
      <c r="CZ95" s="2388"/>
      <c r="DA95" s="2388"/>
      <c r="DB95" s="2388"/>
      <c r="DC95" s="2388"/>
      <c r="DE95" s="3299"/>
      <c r="DF95" s="2388"/>
      <c r="DG95" s="2388"/>
      <c r="DH95" s="2388"/>
      <c r="DI95" s="2388"/>
      <c r="DJ95" s="3336"/>
      <c r="DK95" s="3299"/>
      <c r="DL95" s="2388"/>
      <c r="DM95" s="2388"/>
      <c r="DN95" s="3300"/>
      <c r="DO95" s="3368"/>
      <c r="DP95" s="3353"/>
      <c r="DQ95" s="3300"/>
      <c r="DR95" s="3353"/>
      <c r="DS95" s="3300"/>
      <c r="DT95" s="3353"/>
      <c r="DU95" s="2388"/>
      <c r="DV95" s="2388"/>
      <c r="DW95" s="2388"/>
      <c r="DX95" s="2388"/>
      <c r="DY95" s="2388"/>
      <c r="DZ95" s="3336"/>
      <c r="EA95" s="3299"/>
      <c r="EB95" s="2388"/>
      <c r="EC95" s="2388"/>
      <c r="ED95" s="2388"/>
      <c r="EE95" s="2388"/>
      <c r="EF95" s="2388"/>
      <c r="EG95" s="2388"/>
      <c r="EH95" s="2388"/>
      <c r="EI95" s="2388"/>
      <c r="EJ95" s="2388"/>
      <c r="EK95" s="2388"/>
      <c r="EL95" s="2388"/>
      <c r="EM95" s="2388"/>
      <c r="EN95" s="3300"/>
      <c r="EO95" s="3353"/>
      <c r="EP95" s="2388"/>
      <c r="EQ95" s="2388"/>
      <c r="ER95" s="2388"/>
      <c r="ES95" s="3336"/>
      <c r="ET95" s="3299"/>
      <c r="EU95" s="2388"/>
      <c r="EV95" s="2388"/>
      <c r="EW95" s="2388"/>
      <c r="EX95" s="3300"/>
    </row>
    <row r="96" spans="1:154" s="2435" customFormat="1" ht="15" customHeight="1" thickBot="1">
      <c r="A96" s="15444"/>
      <c r="B96" s="15450"/>
      <c r="C96" s="15437"/>
      <c r="D96" s="15437"/>
      <c r="E96" s="15405"/>
      <c r="F96" s="1776" t="s">
        <v>7770</v>
      </c>
      <c r="G96" s="3254" t="s">
        <v>3502</v>
      </c>
      <c r="H96" s="3274" t="s">
        <v>86</v>
      </c>
      <c r="I96" s="15481"/>
      <c r="J96" s="2395" t="s">
        <v>4159</v>
      </c>
      <c r="K96" s="1762">
        <v>1</v>
      </c>
      <c r="L96" s="2395" t="s">
        <v>4148</v>
      </c>
      <c r="M96" s="2395" t="s">
        <v>4112</v>
      </c>
      <c r="N96" s="2442"/>
      <c r="O96" s="15403"/>
      <c r="P96" s="15403"/>
      <c r="Q96" s="15403"/>
      <c r="R96" s="15403"/>
      <c r="S96" s="15403"/>
      <c r="T96" s="2442"/>
      <c r="U96" s="2442"/>
      <c r="V96" s="2442"/>
      <c r="W96" s="2442"/>
      <c r="X96" s="2442"/>
      <c r="Y96" s="2442"/>
      <c r="Z96" s="2442"/>
      <c r="AA96" s="2442"/>
      <c r="AB96" s="2442"/>
      <c r="AC96" s="2442"/>
      <c r="AD96" s="2442"/>
      <c r="AE96" s="2442"/>
      <c r="AF96" s="2442"/>
      <c r="AG96" s="2442"/>
      <c r="AH96" s="2442"/>
      <c r="AI96" s="2442"/>
      <c r="AJ96" s="2442"/>
      <c r="AK96" s="2442"/>
      <c r="AL96" s="2442"/>
      <c r="AM96" s="2442"/>
      <c r="AN96" s="2442"/>
      <c r="AO96" s="2442"/>
      <c r="AP96" s="2442"/>
      <c r="AQ96" s="2442"/>
      <c r="AR96" s="2442"/>
      <c r="AS96" s="2442"/>
      <c r="AT96" s="2395" t="s">
        <v>4203</v>
      </c>
      <c r="AU96" s="2395" t="s">
        <v>4204</v>
      </c>
      <c r="AV96" s="2384">
        <v>10</v>
      </c>
      <c r="AW96" s="2442"/>
      <c r="AX96" s="2442"/>
      <c r="AY96" s="2442"/>
      <c r="AZ96" s="2442"/>
      <c r="BA96" s="2442"/>
      <c r="BB96" s="2442"/>
      <c r="BC96" s="2442"/>
      <c r="BD96" s="15437"/>
      <c r="BE96" s="2395" t="s">
        <v>4159</v>
      </c>
      <c r="BF96" s="2400" t="s">
        <v>1509</v>
      </c>
      <c r="BG96" s="2395" t="s">
        <v>4159</v>
      </c>
      <c r="BH96" s="2401">
        <v>1</v>
      </c>
      <c r="BI96" s="2401">
        <v>1</v>
      </c>
      <c r="BJ96" s="2368">
        <v>1</v>
      </c>
      <c r="BK96" s="15551"/>
      <c r="BL96" s="2395" t="s">
        <v>4148</v>
      </c>
      <c r="BM96" s="2395" t="s">
        <v>4112</v>
      </c>
      <c r="BN96" s="2442"/>
      <c r="BO96" s="2443">
        <v>1871111</v>
      </c>
      <c r="BP96" s="15533"/>
      <c r="BQ96" s="2370">
        <v>1571733</v>
      </c>
      <c r="BR96" s="2371">
        <f t="shared" si="1"/>
        <v>299378</v>
      </c>
      <c r="BS96" s="2371"/>
      <c r="BT96" s="2383"/>
      <c r="BU96" s="2383"/>
      <c r="BV96" s="2383"/>
      <c r="BW96" s="2383"/>
      <c r="BX96" s="2383"/>
      <c r="BY96" s="2383"/>
      <c r="BZ96" s="2383"/>
      <c r="CA96" s="2383"/>
      <c r="CB96" s="2383"/>
      <c r="CC96" s="2383"/>
      <c r="CD96" s="2383"/>
      <c r="CE96" s="2383"/>
      <c r="CF96" s="2383"/>
      <c r="CG96" s="2383"/>
      <c r="CH96" s="2383"/>
      <c r="CI96" s="2383"/>
      <c r="CJ96" s="2383"/>
      <c r="CK96" s="2383"/>
      <c r="CL96" s="2383"/>
      <c r="CM96" s="2383"/>
      <c r="CN96" s="2383"/>
      <c r="CO96" s="2383"/>
      <c r="CP96" s="2383"/>
      <c r="CQ96" s="2383"/>
      <c r="CR96" s="2383"/>
      <c r="CS96" s="2383"/>
      <c r="CT96" s="2374" t="s">
        <v>4203</v>
      </c>
      <c r="CU96" s="2374" t="s">
        <v>4204</v>
      </c>
      <c r="CV96" s="2378">
        <v>10</v>
      </c>
      <c r="CW96" s="2388"/>
      <c r="CX96" s="2388"/>
      <c r="CY96" s="2388"/>
      <c r="CZ96" s="2388"/>
      <c r="DA96" s="2388"/>
      <c r="DB96" s="2388"/>
      <c r="DC96" s="2388"/>
      <c r="DE96" s="3307"/>
      <c r="DF96" s="2442"/>
      <c r="DG96" s="2442"/>
      <c r="DH96" s="2442"/>
      <c r="DI96" s="2442"/>
      <c r="DJ96" s="3337"/>
      <c r="DK96" s="3307"/>
      <c r="DL96" s="2442"/>
      <c r="DM96" s="2442"/>
      <c r="DN96" s="3308"/>
      <c r="DO96" s="3369"/>
      <c r="DP96" s="3354"/>
      <c r="DQ96" s="3308"/>
      <c r="DR96" s="3354"/>
      <c r="DS96" s="3308"/>
      <c r="DT96" s="3354"/>
      <c r="DU96" s="2442"/>
      <c r="DV96" s="2442"/>
      <c r="DW96" s="2442"/>
      <c r="DX96" s="2442"/>
      <c r="DY96" s="2442"/>
      <c r="DZ96" s="3337"/>
      <c r="EA96" s="3307"/>
      <c r="EB96" s="2442"/>
      <c r="EC96" s="2442"/>
      <c r="ED96" s="2442"/>
      <c r="EE96" s="2442"/>
      <c r="EF96" s="2442"/>
      <c r="EG96" s="2442"/>
      <c r="EH96" s="2442"/>
      <c r="EI96" s="2442"/>
      <c r="EJ96" s="2442"/>
      <c r="EK96" s="2442"/>
      <c r="EL96" s="2442"/>
      <c r="EM96" s="2442"/>
      <c r="EN96" s="3308"/>
      <c r="EO96" s="3354"/>
      <c r="EP96" s="2442"/>
      <c r="EQ96" s="2442"/>
      <c r="ER96" s="2442"/>
      <c r="ES96" s="3337"/>
      <c r="ET96" s="3307"/>
      <c r="EU96" s="2442"/>
      <c r="EV96" s="2442"/>
      <c r="EW96" s="2442"/>
      <c r="EX96" s="3308"/>
    </row>
    <row r="97" spans="1:154" s="2459" customFormat="1" ht="15" customHeight="1" thickBot="1">
      <c r="A97" s="15355" t="s">
        <v>4178</v>
      </c>
      <c r="B97" s="2444" t="s">
        <v>3281</v>
      </c>
      <c r="C97" s="15358" t="s">
        <v>4179</v>
      </c>
      <c r="D97" s="15358" t="s">
        <v>2315</v>
      </c>
      <c r="E97" s="15361" t="s">
        <v>4180</v>
      </c>
      <c r="F97" s="1777" t="s">
        <v>7771</v>
      </c>
      <c r="G97" s="3257" t="s">
        <v>4169</v>
      </c>
      <c r="H97" s="3283" t="s">
        <v>86</v>
      </c>
      <c r="I97" s="15500" t="s">
        <v>4182</v>
      </c>
      <c r="J97" s="2445" t="s">
        <v>4160</v>
      </c>
      <c r="K97" s="1778">
        <v>0.96</v>
      </c>
      <c r="L97" s="2446" t="s">
        <v>4205</v>
      </c>
      <c r="M97" s="2446" t="s">
        <v>4206</v>
      </c>
      <c r="N97" s="2444"/>
      <c r="O97" s="2447">
        <v>71467812.849999994</v>
      </c>
      <c r="P97" s="15503">
        <f>SUM(O97:O103)</f>
        <v>146700812.84999999</v>
      </c>
      <c r="Q97" s="2447">
        <v>43284012.849999994</v>
      </c>
      <c r="R97" s="2447">
        <v>28183800</v>
      </c>
      <c r="S97" s="2448"/>
      <c r="T97" s="2449">
        <v>1150</v>
      </c>
      <c r="U97" s="2449">
        <v>533</v>
      </c>
      <c r="V97" s="2449">
        <v>617</v>
      </c>
      <c r="W97" s="2449">
        <v>828</v>
      </c>
      <c r="X97" s="2449">
        <v>143</v>
      </c>
      <c r="Y97" s="2449">
        <v>0</v>
      </c>
      <c r="Z97" s="2449">
        <v>31</v>
      </c>
      <c r="AA97" s="2449">
        <v>282</v>
      </c>
      <c r="AB97" s="2449">
        <v>467</v>
      </c>
      <c r="AC97" s="2449">
        <v>259</v>
      </c>
      <c r="AD97" s="2449">
        <v>70</v>
      </c>
      <c r="AE97" s="2449">
        <v>16</v>
      </c>
      <c r="AF97" s="2449">
        <v>811</v>
      </c>
      <c r="AG97" s="2449">
        <v>1</v>
      </c>
      <c r="AH97" s="2449">
        <v>33</v>
      </c>
      <c r="AI97" s="2449">
        <v>0</v>
      </c>
      <c r="AJ97" s="2449">
        <v>2</v>
      </c>
      <c r="AK97" s="2449">
        <v>298</v>
      </c>
      <c r="AL97" s="2449">
        <v>0</v>
      </c>
      <c r="AM97" s="2449">
        <v>5</v>
      </c>
      <c r="AN97" s="2449">
        <v>1149</v>
      </c>
      <c r="AO97" s="2449">
        <v>0</v>
      </c>
      <c r="AP97" s="2449">
        <v>0</v>
      </c>
      <c r="AQ97" s="2449">
        <v>0</v>
      </c>
      <c r="AR97" s="2449">
        <v>0</v>
      </c>
      <c r="AS97" s="2449">
        <v>1</v>
      </c>
      <c r="AT97" s="2449"/>
      <c r="AU97" s="2449"/>
      <c r="AV97" s="2449"/>
      <c r="AW97" s="2449"/>
      <c r="AX97" s="2449"/>
      <c r="AY97" s="2449"/>
      <c r="AZ97" s="2449"/>
      <c r="BA97" s="2449"/>
      <c r="BB97" s="2449"/>
      <c r="BC97" s="2449"/>
      <c r="BD97" s="15358" t="s">
        <v>4182</v>
      </c>
      <c r="BE97" s="2445" t="s">
        <v>4160</v>
      </c>
      <c r="BF97" s="2450" t="s">
        <v>1509</v>
      </c>
      <c r="BG97" s="2451" t="s">
        <v>4160</v>
      </c>
      <c r="BH97" s="2452" t="s">
        <v>9649</v>
      </c>
      <c r="BI97" s="2452">
        <v>0.96</v>
      </c>
      <c r="BJ97" s="2453">
        <v>0.96</v>
      </c>
      <c r="BK97" s="15558">
        <f>AVERAGE(BJ97:BJ103)</f>
        <v>0.99428571428571433</v>
      </c>
      <c r="BL97" s="2444" t="s">
        <v>4205</v>
      </c>
      <c r="BM97" s="2444" t="s">
        <v>4206</v>
      </c>
      <c r="BN97" s="2444"/>
      <c r="BO97" s="2454">
        <v>1871111</v>
      </c>
      <c r="BP97" s="15535">
        <f>SUM(BO97:BO103)</f>
        <v>22598444</v>
      </c>
      <c r="BQ97" s="2455">
        <v>1571733</v>
      </c>
      <c r="BR97" s="2454">
        <f t="shared" si="1"/>
        <v>299378</v>
      </c>
      <c r="BS97" s="2456"/>
      <c r="BT97" s="2457">
        <v>1150</v>
      </c>
      <c r="BU97" s="2457">
        <v>533</v>
      </c>
      <c r="BV97" s="2457">
        <v>617</v>
      </c>
      <c r="BW97" s="2457">
        <v>828</v>
      </c>
      <c r="BX97" s="2457">
        <v>143</v>
      </c>
      <c r="BY97" s="2457">
        <v>0</v>
      </c>
      <c r="BZ97" s="2457">
        <v>31</v>
      </c>
      <c r="CA97" s="2457">
        <v>282</v>
      </c>
      <c r="CB97" s="2457">
        <v>467</v>
      </c>
      <c r="CC97" s="2457">
        <v>259</v>
      </c>
      <c r="CD97" s="2457">
        <v>70</v>
      </c>
      <c r="CE97" s="2457">
        <v>16</v>
      </c>
      <c r="CF97" s="2457">
        <v>811</v>
      </c>
      <c r="CG97" s="2457">
        <v>1</v>
      </c>
      <c r="CH97" s="2457">
        <v>33</v>
      </c>
      <c r="CI97" s="2457">
        <v>0</v>
      </c>
      <c r="CJ97" s="2457">
        <v>2</v>
      </c>
      <c r="CK97" s="2457">
        <v>298</v>
      </c>
      <c r="CL97" s="2457">
        <v>0</v>
      </c>
      <c r="CM97" s="2457">
        <v>5</v>
      </c>
      <c r="CN97" s="2457">
        <v>1149</v>
      </c>
      <c r="CO97" s="2457">
        <v>0</v>
      </c>
      <c r="CP97" s="2457">
        <v>0</v>
      </c>
      <c r="CQ97" s="2457">
        <v>0</v>
      </c>
      <c r="CR97" s="2457">
        <v>0</v>
      </c>
      <c r="CS97" s="2457">
        <v>1</v>
      </c>
      <c r="CT97" s="2458"/>
      <c r="CU97" s="2458"/>
      <c r="CV97" s="2458"/>
      <c r="CW97" s="2458"/>
      <c r="CX97" s="2458"/>
      <c r="CY97" s="2458"/>
      <c r="CZ97" s="2458"/>
      <c r="DA97" s="2458"/>
      <c r="DB97" s="2458"/>
      <c r="DC97" s="2458"/>
      <c r="DE97" s="3305"/>
      <c r="DF97" s="2557"/>
      <c r="DG97" s="2557"/>
      <c r="DH97" s="2557"/>
      <c r="DI97" s="2557"/>
      <c r="DJ97" s="3338"/>
      <c r="DK97" s="3305"/>
      <c r="DL97" s="2557"/>
      <c r="DM97" s="2557"/>
      <c r="DN97" s="3306"/>
      <c r="DO97" s="3370"/>
      <c r="DP97" s="3355"/>
      <c r="DQ97" s="3306"/>
      <c r="DR97" s="3355"/>
      <c r="DS97" s="3306"/>
      <c r="DT97" s="3355"/>
      <c r="DU97" s="2557"/>
      <c r="DV97" s="2557"/>
      <c r="DW97" s="2557"/>
      <c r="DX97" s="2557"/>
      <c r="DY97" s="2557"/>
      <c r="DZ97" s="3338"/>
      <c r="EA97" s="3305"/>
      <c r="EB97" s="2557"/>
      <c r="EC97" s="2557"/>
      <c r="ED97" s="2557"/>
      <c r="EE97" s="2557"/>
      <c r="EF97" s="2557"/>
      <c r="EG97" s="2557"/>
      <c r="EH97" s="2557"/>
      <c r="EI97" s="2557"/>
      <c r="EJ97" s="2557"/>
      <c r="EK97" s="2557"/>
      <c r="EL97" s="2557"/>
      <c r="EM97" s="2557"/>
      <c r="EN97" s="3306"/>
      <c r="EO97" s="3355"/>
      <c r="EP97" s="2557"/>
      <c r="EQ97" s="2557"/>
      <c r="ER97" s="2557"/>
      <c r="ES97" s="3338"/>
      <c r="ET97" s="3305"/>
      <c r="EU97" s="2557"/>
      <c r="EV97" s="2557"/>
      <c r="EW97" s="2557"/>
      <c r="EX97" s="3306"/>
    </row>
    <row r="98" spans="1:154" s="2459" customFormat="1" ht="15" customHeight="1" thickBot="1">
      <c r="A98" s="15356"/>
      <c r="B98" s="15364" t="s">
        <v>3309</v>
      </c>
      <c r="C98" s="15359"/>
      <c r="D98" s="15359"/>
      <c r="E98" s="15362"/>
      <c r="F98" s="2460" t="s">
        <v>7772</v>
      </c>
      <c r="G98" s="3258" t="s">
        <v>4170</v>
      </c>
      <c r="H98" s="3281" t="s">
        <v>86</v>
      </c>
      <c r="I98" s="15501"/>
      <c r="J98" s="2461" t="s">
        <v>3387</v>
      </c>
      <c r="K98" s="2462">
        <v>1</v>
      </c>
      <c r="L98" s="2461" t="s">
        <v>3388</v>
      </c>
      <c r="M98" s="2461" t="s">
        <v>3389</v>
      </c>
      <c r="N98" s="2463"/>
      <c r="O98" s="2464">
        <v>41800000</v>
      </c>
      <c r="P98" s="15504"/>
      <c r="Q98" s="2465">
        <v>52410800</v>
      </c>
      <c r="R98" s="2465">
        <v>229343164</v>
      </c>
      <c r="S98" s="2465">
        <v>11986687</v>
      </c>
      <c r="T98" s="2463"/>
      <c r="U98" s="2463"/>
      <c r="V98" s="2463"/>
      <c r="W98" s="2463"/>
      <c r="X98" s="2463"/>
      <c r="Y98" s="2463"/>
      <c r="Z98" s="2463"/>
      <c r="AA98" s="2463"/>
      <c r="AB98" s="2463"/>
      <c r="AC98" s="2463"/>
      <c r="AD98" s="2463"/>
      <c r="AE98" s="2463"/>
      <c r="AF98" s="2463"/>
      <c r="AG98" s="2463"/>
      <c r="AH98" s="2463"/>
      <c r="AI98" s="2463"/>
      <c r="AJ98" s="2463"/>
      <c r="AK98" s="2463"/>
      <c r="AL98" s="2463"/>
      <c r="AM98" s="2463"/>
      <c r="AN98" s="2463"/>
      <c r="AO98" s="2463"/>
      <c r="AP98" s="2463"/>
      <c r="AQ98" s="2463"/>
      <c r="AR98" s="2463"/>
      <c r="AS98" s="2463"/>
      <c r="AT98" s="2466" t="s">
        <v>3390</v>
      </c>
      <c r="AU98" s="2467" t="s">
        <v>3391</v>
      </c>
      <c r="AV98" s="2468">
        <v>35</v>
      </c>
      <c r="AW98" s="2463"/>
      <c r="AX98" s="2463"/>
      <c r="AY98" s="2463"/>
      <c r="AZ98" s="2463"/>
      <c r="BA98" s="2463"/>
      <c r="BB98" s="2463"/>
      <c r="BC98" s="2463"/>
      <c r="BD98" s="15359"/>
      <c r="BE98" s="2461" t="s">
        <v>3387</v>
      </c>
      <c r="BF98" s="2199" t="s">
        <v>1509</v>
      </c>
      <c r="BG98" s="2461" t="s">
        <v>3387</v>
      </c>
      <c r="BH98" s="2468" t="s">
        <v>9639</v>
      </c>
      <c r="BI98" s="2469">
        <v>1</v>
      </c>
      <c r="BJ98" s="2453">
        <v>1</v>
      </c>
      <c r="BK98" s="15559"/>
      <c r="BL98" s="2461" t="s">
        <v>3388</v>
      </c>
      <c r="BM98" s="2461" t="s">
        <v>3389</v>
      </c>
      <c r="BN98" s="2463"/>
      <c r="BO98" s="2454">
        <v>5038000</v>
      </c>
      <c r="BP98" s="15536"/>
      <c r="BQ98" s="2455">
        <v>4231920</v>
      </c>
      <c r="BR98" s="2454">
        <f t="shared" si="1"/>
        <v>806080</v>
      </c>
      <c r="BS98" s="2454"/>
      <c r="BT98" s="2457"/>
      <c r="BU98" s="2457"/>
      <c r="BV98" s="2457"/>
      <c r="BW98" s="2457"/>
      <c r="BX98" s="2457"/>
      <c r="BY98" s="2457"/>
      <c r="BZ98" s="2457"/>
      <c r="CA98" s="2457"/>
      <c r="CB98" s="2457"/>
      <c r="CC98" s="2457"/>
      <c r="CD98" s="2457"/>
      <c r="CE98" s="2457"/>
      <c r="CF98" s="2457"/>
      <c r="CG98" s="2457"/>
      <c r="CH98" s="2457"/>
      <c r="CI98" s="2457"/>
      <c r="CJ98" s="2457"/>
      <c r="CK98" s="2457"/>
      <c r="CL98" s="2457"/>
      <c r="CM98" s="2457"/>
      <c r="CN98" s="2457"/>
      <c r="CO98" s="2457"/>
      <c r="CP98" s="2457"/>
      <c r="CQ98" s="2457"/>
      <c r="CR98" s="2457"/>
      <c r="CS98" s="2457"/>
      <c r="CT98" s="2466" t="s">
        <v>3390</v>
      </c>
      <c r="CU98" s="2467" t="s">
        <v>3391</v>
      </c>
      <c r="CV98" s="2468">
        <v>35</v>
      </c>
      <c r="CW98" s="2463"/>
      <c r="CX98" s="2463"/>
      <c r="CY98" s="2463"/>
      <c r="CZ98" s="2463"/>
      <c r="DA98" s="2463"/>
      <c r="DB98" s="2463"/>
      <c r="DC98" s="2463"/>
      <c r="DE98" s="3301"/>
      <c r="DF98" s="2463"/>
      <c r="DG98" s="2463"/>
      <c r="DH98" s="2463"/>
      <c r="DI98" s="2463"/>
      <c r="DJ98" s="2549"/>
      <c r="DK98" s="3301"/>
      <c r="DL98" s="2463"/>
      <c r="DM98" s="2463"/>
      <c r="DN98" s="3302"/>
      <c r="DO98" s="3371"/>
      <c r="DP98" s="3356"/>
      <c r="DQ98" s="3302"/>
      <c r="DR98" s="3356"/>
      <c r="DS98" s="3302"/>
      <c r="DT98" s="3356"/>
      <c r="DU98" s="2463"/>
      <c r="DV98" s="2463"/>
      <c r="DW98" s="2463"/>
      <c r="DX98" s="2463"/>
      <c r="DY98" s="2463"/>
      <c r="DZ98" s="2549"/>
      <c r="EA98" s="3301"/>
      <c r="EB98" s="2463"/>
      <c r="EC98" s="2463"/>
      <c r="ED98" s="2463"/>
      <c r="EE98" s="2463"/>
      <c r="EF98" s="2463"/>
      <c r="EG98" s="2463"/>
      <c r="EH98" s="2463"/>
      <c r="EI98" s="2463"/>
      <c r="EJ98" s="2463"/>
      <c r="EK98" s="2463"/>
      <c r="EL98" s="2463"/>
      <c r="EM98" s="2463"/>
      <c r="EN98" s="3302"/>
      <c r="EO98" s="3356"/>
      <c r="EP98" s="2463"/>
      <c r="EQ98" s="2463"/>
      <c r="ER98" s="2463"/>
      <c r="ES98" s="2549"/>
      <c r="ET98" s="3301"/>
      <c r="EU98" s="2463"/>
      <c r="EV98" s="2463"/>
      <c r="EW98" s="2463"/>
      <c r="EX98" s="3302"/>
    </row>
    <row r="99" spans="1:154" s="2459" customFormat="1" ht="15" customHeight="1" thickBot="1">
      <c r="A99" s="15356"/>
      <c r="B99" s="15364"/>
      <c r="C99" s="15359"/>
      <c r="D99" s="15359"/>
      <c r="E99" s="15362"/>
      <c r="F99" s="2460" t="s">
        <v>7773</v>
      </c>
      <c r="G99" s="3258" t="s">
        <v>4171</v>
      </c>
      <c r="H99" s="3281" t="s">
        <v>86</v>
      </c>
      <c r="I99" s="15501"/>
      <c r="J99" s="2461" t="s">
        <v>4161</v>
      </c>
      <c r="K99" s="2462">
        <v>1</v>
      </c>
      <c r="L99" s="2467" t="s">
        <v>4207</v>
      </c>
      <c r="M99" s="2467" t="s">
        <v>4208</v>
      </c>
      <c r="N99" s="2470"/>
      <c r="O99" s="15506">
        <v>18194000</v>
      </c>
      <c r="P99" s="15504"/>
      <c r="Q99" s="15506">
        <v>52410800</v>
      </c>
      <c r="R99" s="15506">
        <v>229343164</v>
      </c>
      <c r="S99" s="15506">
        <v>11986687</v>
      </c>
      <c r="T99" s="2470"/>
      <c r="U99" s="2470"/>
      <c r="V99" s="2470"/>
      <c r="W99" s="2470"/>
      <c r="X99" s="2470"/>
      <c r="Y99" s="2470"/>
      <c r="Z99" s="2470"/>
      <c r="AA99" s="2470"/>
      <c r="AB99" s="2470"/>
      <c r="AC99" s="2470"/>
      <c r="AD99" s="2470"/>
      <c r="AE99" s="2470"/>
      <c r="AF99" s="2470"/>
      <c r="AG99" s="2470"/>
      <c r="AH99" s="2470"/>
      <c r="AI99" s="2470"/>
      <c r="AJ99" s="2470"/>
      <c r="AK99" s="2470"/>
      <c r="AL99" s="2470"/>
      <c r="AM99" s="2470"/>
      <c r="AN99" s="2470"/>
      <c r="AO99" s="2470"/>
      <c r="AP99" s="2470"/>
      <c r="AQ99" s="2470"/>
      <c r="AR99" s="2470"/>
      <c r="AS99" s="2470"/>
      <c r="AT99" s="2470" t="s">
        <v>4209</v>
      </c>
      <c r="AU99" s="2470" t="s">
        <v>4210</v>
      </c>
      <c r="AV99" s="2468">
        <v>20</v>
      </c>
      <c r="AW99" s="2470"/>
      <c r="AX99" s="2470"/>
      <c r="AY99" s="2470"/>
      <c r="AZ99" s="2470"/>
      <c r="BA99" s="2470"/>
      <c r="BB99" s="2470"/>
      <c r="BC99" s="2470"/>
      <c r="BD99" s="15359"/>
      <c r="BE99" s="2461" t="s">
        <v>4161</v>
      </c>
      <c r="BF99" s="2199" t="s">
        <v>1509</v>
      </c>
      <c r="BG99" s="2461" t="s">
        <v>4161</v>
      </c>
      <c r="BH99" s="2469">
        <v>1</v>
      </c>
      <c r="BI99" s="2469">
        <v>1</v>
      </c>
      <c r="BJ99" s="2453">
        <v>1</v>
      </c>
      <c r="BK99" s="15559"/>
      <c r="BL99" s="2467" t="s">
        <v>4207</v>
      </c>
      <c r="BM99" s="2467" t="s">
        <v>4208</v>
      </c>
      <c r="BN99" s="2470"/>
      <c r="BO99" s="2454">
        <v>5038000</v>
      </c>
      <c r="BP99" s="15536"/>
      <c r="BQ99" s="2455">
        <v>4231920</v>
      </c>
      <c r="BR99" s="2454">
        <f t="shared" si="1"/>
        <v>806080</v>
      </c>
      <c r="BS99" s="2454"/>
      <c r="BT99" s="2468"/>
      <c r="BU99" s="2468"/>
      <c r="BV99" s="2468"/>
      <c r="BW99" s="2468"/>
      <c r="BX99" s="2468"/>
      <c r="BY99" s="2468"/>
      <c r="BZ99" s="2468"/>
      <c r="CA99" s="2468"/>
      <c r="CB99" s="2468"/>
      <c r="CC99" s="2468"/>
      <c r="CD99" s="2468"/>
      <c r="CE99" s="2468"/>
      <c r="CF99" s="2468"/>
      <c r="CG99" s="2468"/>
      <c r="CH99" s="2468"/>
      <c r="CI99" s="2468"/>
      <c r="CJ99" s="2468"/>
      <c r="CK99" s="2468"/>
      <c r="CL99" s="2468"/>
      <c r="CM99" s="2468"/>
      <c r="CN99" s="2468"/>
      <c r="CO99" s="2468"/>
      <c r="CP99" s="2468"/>
      <c r="CQ99" s="2468"/>
      <c r="CR99" s="2468"/>
      <c r="CS99" s="2468"/>
      <c r="CT99" s="2470" t="s">
        <v>4209</v>
      </c>
      <c r="CU99" s="2470" t="s">
        <v>4210</v>
      </c>
      <c r="CV99" s="2468">
        <v>20</v>
      </c>
      <c r="CW99" s="2470"/>
      <c r="CX99" s="2470"/>
      <c r="CY99" s="2470"/>
      <c r="CZ99" s="2470"/>
      <c r="DA99" s="2470"/>
      <c r="DB99" s="2470"/>
      <c r="DC99" s="2470"/>
      <c r="DE99" s="3301"/>
      <c r="DF99" s="2463"/>
      <c r="DG99" s="2463"/>
      <c r="DH99" s="2463"/>
      <c r="DI99" s="2463"/>
      <c r="DJ99" s="2549"/>
      <c r="DK99" s="3301"/>
      <c r="DL99" s="2463"/>
      <c r="DM99" s="2463"/>
      <c r="DN99" s="3302"/>
      <c r="DO99" s="3371"/>
      <c r="DP99" s="3356"/>
      <c r="DQ99" s="3302"/>
      <c r="DR99" s="3356"/>
      <c r="DS99" s="3302"/>
      <c r="DT99" s="3356"/>
      <c r="DU99" s="2463"/>
      <c r="DV99" s="2463"/>
      <c r="DW99" s="2463"/>
      <c r="DX99" s="2463"/>
      <c r="DY99" s="2463"/>
      <c r="DZ99" s="2549"/>
      <c r="EA99" s="3301"/>
      <c r="EB99" s="2463"/>
      <c r="EC99" s="2463"/>
      <c r="ED99" s="2463"/>
      <c r="EE99" s="2463"/>
      <c r="EF99" s="2463"/>
      <c r="EG99" s="2463"/>
      <c r="EH99" s="2463"/>
      <c r="EI99" s="2463"/>
      <c r="EJ99" s="2463"/>
      <c r="EK99" s="2463"/>
      <c r="EL99" s="2463"/>
      <c r="EM99" s="2463"/>
      <c r="EN99" s="3302"/>
      <c r="EO99" s="3356"/>
      <c r="EP99" s="2463"/>
      <c r="EQ99" s="2463"/>
      <c r="ER99" s="2463"/>
      <c r="ES99" s="2549"/>
      <c r="ET99" s="3301"/>
      <c r="EU99" s="2463"/>
      <c r="EV99" s="2463"/>
      <c r="EW99" s="2463"/>
      <c r="EX99" s="3302"/>
    </row>
    <row r="100" spans="1:154" s="2459" customFormat="1" ht="15" customHeight="1" thickBot="1">
      <c r="A100" s="15356"/>
      <c r="B100" s="15364" t="s">
        <v>3328</v>
      </c>
      <c r="C100" s="15359"/>
      <c r="D100" s="15359"/>
      <c r="E100" s="15362"/>
      <c r="F100" s="2460" t="s">
        <v>7774</v>
      </c>
      <c r="G100" s="3258" t="s">
        <v>4172</v>
      </c>
      <c r="H100" s="3281" t="s">
        <v>86</v>
      </c>
      <c r="I100" s="15501"/>
      <c r="J100" s="2461" t="s">
        <v>4162</v>
      </c>
      <c r="K100" s="2462">
        <v>1</v>
      </c>
      <c r="L100" s="2467" t="s">
        <v>4211</v>
      </c>
      <c r="M100" s="2467" t="s">
        <v>3491</v>
      </c>
      <c r="N100" s="2470"/>
      <c r="O100" s="15507"/>
      <c r="P100" s="15504"/>
      <c r="Q100" s="15507"/>
      <c r="R100" s="15507"/>
      <c r="S100" s="15507"/>
      <c r="T100" s="2470"/>
      <c r="U100" s="2470"/>
      <c r="V100" s="2470"/>
      <c r="W100" s="2470"/>
      <c r="X100" s="2470"/>
      <c r="Y100" s="2470"/>
      <c r="Z100" s="2470"/>
      <c r="AA100" s="2470"/>
      <c r="AB100" s="2470"/>
      <c r="AC100" s="2470"/>
      <c r="AD100" s="2470"/>
      <c r="AE100" s="2470"/>
      <c r="AF100" s="2470"/>
      <c r="AG100" s="2470"/>
      <c r="AH100" s="2470"/>
      <c r="AI100" s="2470"/>
      <c r="AJ100" s="2470"/>
      <c r="AK100" s="2470"/>
      <c r="AL100" s="2470"/>
      <c r="AM100" s="2470"/>
      <c r="AN100" s="2470"/>
      <c r="AO100" s="2470"/>
      <c r="AP100" s="2470"/>
      <c r="AQ100" s="2470"/>
      <c r="AR100" s="2470"/>
      <c r="AS100" s="2470"/>
      <c r="AT100" s="2471" t="s">
        <v>4212</v>
      </c>
      <c r="AU100" s="2470" t="s">
        <v>4213</v>
      </c>
      <c r="AV100" s="2468">
        <v>47</v>
      </c>
      <c r="AW100" s="2470"/>
      <c r="AX100" s="2470"/>
      <c r="AY100" s="2470"/>
      <c r="AZ100" s="2470"/>
      <c r="BA100" s="2470"/>
      <c r="BB100" s="2470"/>
      <c r="BC100" s="2470"/>
      <c r="BD100" s="15359"/>
      <c r="BE100" s="2461" t="s">
        <v>4162</v>
      </c>
      <c r="BF100" s="2199" t="s">
        <v>1509</v>
      </c>
      <c r="BG100" s="2461" t="s">
        <v>4162</v>
      </c>
      <c r="BH100" s="2469">
        <v>1</v>
      </c>
      <c r="BI100" s="2469">
        <v>1</v>
      </c>
      <c r="BJ100" s="2453">
        <v>1</v>
      </c>
      <c r="BK100" s="15559"/>
      <c r="BL100" s="2467" t="s">
        <v>4211</v>
      </c>
      <c r="BM100" s="2467" t="s">
        <v>3491</v>
      </c>
      <c r="BN100" s="2470"/>
      <c r="BO100" s="2454">
        <v>5038000</v>
      </c>
      <c r="BP100" s="15536"/>
      <c r="BQ100" s="2455">
        <v>4231920</v>
      </c>
      <c r="BR100" s="2454">
        <f t="shared" si="1"/>
        <v>806080</v>
      </c>
      <c r="BS100" s="2454"/>
      <c r="BT100" s="2468"/>
      <c r="BU100" s="2468"/>
      <c r="BV100" s="2468"/>
      <c r="BW100" s="2468"/>
      <c r="BX100" s="2468"/>
      <c r="BY100" s="2468"/>
      <c r="BZ100" s="2468"/>
      <c r="CA100" s="2468"/>
      <c r="CB100" s="2468"/>
      <c r="CC100" s="2468"/>
      <c r="CD100" s="2468"/>
      <c r="CE100" s="2468"/>
      <c r="CF100" s="2468"/>
      <c r="CG100" s="2468"/>
      <c r="CH100" s="2468"/>
      <c r="CI100" s="2468"/>
      <c r="CJ100" s="2468"/>
      <c r="CK100" s="2468"/>
      <c r="CL100" s="2468"/>
      <c r="CM100" s="2468"/>
      <c r="CN100" s="2468"/>
      <c r="CO100" s="2468"/>
      <c r="CP100" s="2468"/>
      <c r="CQ100" s="2468"/>
      <c r="CR100" s="2468"/>
      <c r="CS100" s="2468"/>
      <c r="CT100" s="2471" t="s">
        <v>4212</v>
      </c>
      <c r="CU100" s="2470" t="s">
        <v>4213</v>
      </c>
      <c r="CV100" s="2468">
        <v>47</v>
      </c>
      <c r="CW100" s="2470"/>
      <c r="CX100" s="2470"/>
      <c r="CY100" s="2470"/>
      <c r="CZ100" s="2470"/>
      <c r="DA100" s="2470"/>
      <c r="DB100" s="2470"/>
      <c r="DC100" s="2470"/>
      <c r="DE100" s="3301"/>
      <c r="DF100" s="2463"/>
      <c r="DG100" s="2463"/>
      <c r="DH100" s="2463"/>
      <c r="DI100" s="2463"/>
      <c r="DJ100" s="2549"/>
      <c r="DK100" s="3301"/>
      <c r="DL100" s="2463"/>
      <c r="DM100" s="2463"/>
      <c r="DN100" s="3302"/>
      <c r="DO100" s="3371"/>
      <c r="DP100" s="3356"/>
      <c r="DQ100" s="3302"/>
      <c r="DR100" s="3356"/>
      <c r="DS100" s="3302"/>
      <c r="DT100" s="3356"/>
      <c r="DU100" s="2463"/>
      <c r="DV100" s="2463"/>
      <c r="DW100" s="2463"/>
      <c r="DX100" s="2463"/>
      <c r="DY100" s="2463"/>
      <c r="DZ100" s="2549"/>
      <c r="EA100" s="3301"/>
      <c r="EB100" s="2463"/>
      <c r="EC100" s="2463"/>
      <c r="ED100" s="2463"/>
      <c r="EE100" s="2463"/>
      <c r="EF100" s="2463"/>
      <c r="EG100" s="2463"/>
      <c r="EH100" s="2463"/>
      <c r="EI100" s="2463"/>
      <c r="EJ100" s="2463"/>
      <c r="EK100" s="2463"/>
      <c r="EL100" s="2463"/>
      <c r="EM100" s="2463"/>
      <c r="EN100" s="3302"/>
      <c r="EO100" s="3356"/>
      <c r="EP100" s="2463"/>
      <c r="EQ100" s="2463"/>
      <c r="ER100" s="2463"/>
      <c r="ES100" s="2549"/>
      <c r="ET100" s="3301"/>
      <c r="EU100" s="2463"/>
      <c r="EV100" s="2463"/>
      <c r="EW100" s="2463"/>
      <c r="EX100" s="3302"/>
    </row>
    <row r="101" spans="1:154" s="2459" customFormat="1" ht="15" customHeight="1" thickBot="1">
      <c r="A101" s="15356"/>
      <c r="B101" s="15364"/>
      <c r="C101" s="15359"/>
      <c r="D101" s="15359"/>
      <c r="E101" s="15362"/>
      <c r="F101" s="2460" t="s">
        <v>7775</v>
      </c>
      <c r="G101" s="3258" t="s">
        <v>4173</v>
      </c>
      <c r="H101" s="3281" t="s">
        <v>86</v>
      </c>
      <c r="I101" s="15501"/>
      <c r="J101" s="2461" t="s">
        <v>4163</v>
      </c>
      <c r="K101" s="2462">
        <v>1</v>
      </c>
      <c r="L101" s="2467" t="s">
        <v>4214</v>
      </c>
      <c r="M101" s="2461" t="s">
        <v>4215</v>
      </c>
      <c r="N101" s="2470"/>
      <c r="O101" s="15506">
        <v>15239000</v>
      </c>
      <c r="P101" s="15504"/>
      <c r="Q101" s="15506">
        <v>15239000</v>
      </c>
      <c r="R101" s="15506">
        <v>15239000</v>
      </c>
      <c r="S101" s="15506">
        <v>15239000</v>
      </c>
      <c r="T101" s="2468">
        <v>10396</v>
      </c>
      <c r="U101" s="2468">
        <v>3688</v>
      </c>
      <c r="V101" s="2468">
        <v>6708</v>
      </c>
      <c r="W101" s="2468">
        <v>7374</v>
      </c>
      <c r="X101" s="2468">
        <v>3022</v>
      </c>
      <c r="Y101" s="2468"/>
      <c r="Z101" s="2468"/>
      <c r="AA101" s="2468"/>
      <c r="AB101" s="2468">
        <v>5190</v>
      </c>
      <c r="AC101" s="2468">
        <v>5206</v>
      </c>
      <c r="AD101" s="2468"/>
      <c r="AE101" s="2468"/>
      <c r="AF101" s="2468">
        <f>10396-AH101</f>
        <v>9185</v>
      </c>
      <c r="AG101" s="2468"/>
      <c r="AH101" s="2468">
        <v>1211</v>
      </c>
      <c r="AI101" s="2468"/>
      <c r="AJ101" s="2468"/>
      <c r="AK101" s="2468"/>
      <c r="AL101" s="2468"/>
      <c r="AM101" s="2468"/>
      <c r="AN101" s="2468">
        <v>9473</v>
      </c>
      <c r="AO101" s="2468">
        <v>760</v>
      </c>
      <c r="AP101" s="2468">
        <v>138</v>
      </c>
      <c r="AQ101" s="2468">
        <v>24</v>
      </c>
      <c r="AR101" s="2468"/>
      <c r="AS101" s="2468">
        <v>1</v>
      </c>
      <c r="AT101" s="2470"/>
      <c r="AU101" s="2470"/>
      <c r="AV101" s="2470"/>
      <c r="AW101" s="2470"/>
      <c r="AX101" s="2470"/>
      <c r="AY101" s="2470"/>
      <c r="AZ101" s="2470"/>
      <c r="BA101" s="2470"/>
      <c r="BB101" s="2470"/>
      <c r="BC101" s="2470"/>
      <c r="BD101" s="15359"/>
      <c r="BE101" s="2461" t="s">
        <v>4163</v>
      </c>
      <c r="BF101" s="2199" t="s">
        <v>1509</v>
      </c>
      <c r="BG101" s="2461" t="s">
        <v>4163</v>
      </c>
      <c r="BH101" s="2469">
        <v>1</v>
      </c>
      <c r="BI101" s="2469">
        <v>1</v>
      </c>
      <c r="BJ101" s="2453">
        <v>1</v>
      </c>
      <c r="BK101" s="15559"/>
      <c r="BL101" s="2467" t="s">
        <v>8738</v>
      </c>
      <c r="BM101" s="2461" t="s">
        <v>4215</v>
      </c>
      <c r="BN101" s="2470"/>
      <c r="BO101" s="2454">
        <v>1871111</v>
      </c>
      <c r="BP101" s="15536"/>
      <c r="BQ101" s="2455">
        <v>1571733</v>
      </c>
      <c r="BR101" s="2454">
        <f t="shared" si="1"/>
        <v>299378</v>
      </c>
      <c r="BS101" s="15506"/>
      <c r="BT101" s="2468">
        <v>15.081</v>
      </c>
      <c r="BU101" s="2468">
        <v>5.0270000000000001</v>
      </c>
      <c r="BV101" s="2468">
        <v>10.053000000000001</v>
      </c>
      <c r="BW101" s="2468">
        <v>10150</v>
      </c>
      <c r="BX101" s="2468">
        <v>4930</v>
      </c>
      <c r="BY101" s="2468"/>
      <c r="BZ101" s="2468"/>
      <c r="CA101" s="2468"/>
      <c r="CB101" s="2468">
        <v>5190</v>
      </c>
      <c r="CC101" s="2468">
        <v>5206</v>
      </c>
      <c r="CD101" s="2468"/>
      <c r="CE101" s="2468"/>
      <c r="CF101" s="2468">
        <f>10396-CH101</f>
        <v>9185</v>
      </c>
      <c r="CG101" s="2468"/>
      <c r="CH101" s="2468">
        <v>1211</v>
      </c>
      <c r="CI101" s="2468"/>
      <c r="CJ101" s="2468"/>
      <c r="CK101" s="2468"/>
      <c r="CL101" s="2468"/>
      <c r="CM101" s="2468"/>
      <c r="CN101" s="2468">
        <v>9473</v>
      </c>
      <c r="CO101" s="2468">
        <v>760</v>
      </c>
      <c r="CP101" s="2468">
        <v>138</v>
      </c>
      <c r="CQ101" s="2468">
        <v>24</v>
      </c>
      <c r="CR101" s="2468"/>
      <c r="CS101" s="2468">
        <v>1</v>
      </c>
      <c r="CT101" s="2470"/>
      <c r="CU101" s="2470"/>
      <c r="CV101" s="2470"/>
      <c r="CW101" s="2470"/>
      <c r="CX101" s="2470"/>
      <c r="CY101" s="2470"/>
      <c r="CZ101" s="2470"/>
      <c r="DA101" s="2470"/>
      <c r="DB101" s="2470"/>
      <c r="DC101" s="2470"/>
      <c r="DE101" s="3301"/>
      <c r="DF101" s="2463"/>
      <c r="DG101" s="2463"/>
      <c r="DH101" s="2463"/>
      <c r="DI101" s="2463"/>
      <c r="DJ101" s="2549"/>
      <c r="DK101" s="3301"/>
      <c r="DL101" s="2463"/>
      <c r="DM101" s="2463"/>
      <c r="DN101" s="3302"/>
      <c r="DO101" s="3371"/>
      <c r="DP101" s="3356"/>
      <c r="DQ101" s="3302"/>
      <c r="DR101" s="3356"/>
      <c r="DS101" s="3302"/>
      <c r="DT101" s="3356"/>
      <c r="DU101" s="2463"/>
      <c r="DV101" s="2463"/>
      <c r="DW101" s="2463"/>
      <c r="DX101" s="2463"/>
      <c r="DY101" s="2463"/>
      <c r="DZ101" s="2549"/>
      <c r="EA101" s="3301"/>
      <c r="EB101" s="2463"/>
      <c r="EC101" s="2463"/>
      <c r="ED101" s="2463"/>
      <c r="EE101" s="2463"/>
      <c r="EF101" s="2463"/>
      <c r="EG101" s="2463"/>
      <c r="EH101" s="2463"/>
      <c r="EI101" s="2463"/>
      <c r="EJ101" s="2463"/>
      <c r="EK101" s="2463"/>
      <c r="EL101" s="2463"/>
      <c r="EM101" s="2463"/>
      <c r="EN101" s="3302"/>
      <c r="EO101" s="3356"/>
      <c r="EP101" s="2463"/>
      <c r="EQ101" s="2463"/>
      <c r="ER101" s="2463"/>
      <c r="ES101" s="2549"/>
      <c r="ET101" s="3301"/>
      <c r="EU101" s="2463"/>
      <c r="EV101" s="2463"/>
      <c r="EW101" s="2463"/>
      <c r="EX101" s="3302"/>
    </row>
    <row r="102" spans="1:154" s="2459" customFormat="1" ht="15" customHeight="1" thickBot="1">
      <c r="A102" s="15356"/>
      <c r="B102" s="15364" t="s">
        <v>3347</v>
      </c>
      <c r="C102" s="15359"/>
      <c r="D102" s="15359"/>
      <c r="E102" s="15362"/>
      <c r="F102" s="2460" t="s">
        <v>7776</v>
      </c>
      <c r="G102" s="3258" t="s">
        <v>4174</v>
      </c>
      <c r="H102" s="3281" t="s">
        <v>86</v>
      </c>
      <c r="I102" s="15501"/>
      <c r="J102" s="2461" t="s">
        <v>3467</v>
      </c>
      <c r="K102" s="2462">
        <v>1</v>
      </c>
      <c r="L102" s="2470" t="s">
        <v>4216</v>
      </c>
      <c r="M102" s="2461" t="s">
        <v>3356</v>
      </c>
      <c r="N102" s="2470"/>
      <c r="O102" s="15508"/>
      <c r="P102" s="15504"/>
      <c r="Q102" s="15508"/>
      <c r="R102" s="15508"/>
      <c r="S102" s="15508"/>
      <c r="T102" s="2468">
        <v>231</v>
      </c>
      <c r="U102" s="2468">
        <v>204</v>
      </c>
      <c r="V102" s="2468">
        <v>69</v>
      </c>
      <c r="W102" s="2468">
        <v>231</v>
      </c>
      <c r="X102" s="2468">
        <v>42</v>
      </c>
      <c r="Y102" s="2468"/>
      <c r="Z102" s="2468"/>
      <c r="AA102" s="2468">
        <v>61</v>
      </c>
      <c r="AB102" s="2468">
        <v>95</v>
      </c>
      <c r="AC102" s="2468">
        <v>72</v>
      </c>
      <c r="AD102" s="2468">
        <v>39</v>
      </c>
      <c r="AE102" s="2468">
        <v>6</v>
      </c>
      <c r="AF102" s="2468"/>
      <c r="AG102" s="2468"/>
      <c r="AH102" s="2468"/>
      <c r="AI102" s="2468"/>
      <c r="AJ102" s="2468"/>
      <c r="AK102" s="2468"/>
      <c r="AL102" s="2468"/>
      <c r="AM102" s="2468"/>
      <c r="AN102" s="2468">
        <v>267</v>
      </c>
      <c r="AO102" s="2468">
        <v>4</v>
      </c>
      <c r="AP102" s="2468">
        <v>2</v>
      </c>
      <c r="AQ102" s="2468"/>
      <c r="AR102" s="2468"/>
      <c r="AS102" s="2470"/>
      <c r="AT102" s="2470"/>
      <c r="AU102" s="2470"/>
      <c r="AV102" s="2470"/>
      <c r="AW102" s="2470"/>
      <c r="AX102" s="2470"/>
      <c r="AY102" s="2470"/>
      <c r="AZ102" s="2470"/>
      <c r="BA102" s="2470"/>
      <c r="BB102" s="2470"/>
      <c r="BC102" s="2470"/>
      <c r="BD102" s="15359"/>
      <c r="BE102" s="2461" t="s">
        <v>3467</v>
      </c>
      <c r="BF102" s="2199" t="s">
        <v>1509</v>
      </c>
      <c r="BG102" s="2461" t="s">
        <v>3467</v>
      </c>
      <c r="BH102" s="2468" t="s">
        <v>9648</v>
      </c>
      <c r="BI102" s="2469">
        <v>1</v>
      </c>
      <c r="BJ102" s="2453">
        <v>1</v>
      </c>
      <c r="BK102" s="15559"/>
      <c r="BL102" s="2470" t="s">
        <v>4216</v>
      </c>
      <c r="BM102" s="2461" t="s">
        <v>3356</v>
      </c>
      <c r="BN102" s="2470"/>
      <c r="BO102" s="2454">
        <v>1871111</v>
      </c>
      <c r="BP102" s="15536"/>
      <c r="BQ102" s="2455">
        <v>1571733</v>
      </c>
      <c r="BR102" s="2454">
        <f t="shared" si="1"/>
        <v>299378</v>
      </c>
      <c r="BS102" s="15508"/>
      <c r="BT102" s="2472">
        <v>3.7679999999999998</v>
      </c>
      <c r="BU102" s="2472">
        <v>1795</v>
      </c>
      <c r="BV102" s="2472">
        <v>1972</v>
      </c>
      <c r="BW102" s="2472">
        <v>2676</v>
      </c>
      <c r="BX102" s="2472">
        <v>1091</v>
      </c>
      <c r="BY102" s="2468"/>
      <c r="BZ102" s="2468"/>
      <c r="CA102" s="2468">
        <v>61</v>
      </c>
      <c r="CB102" s="2468">
        <v>95</v>
      </c>
      <c r="CC102" s="2468">
        <v>72</v>
      </c>
      <c r="CD102" s="2468">
        <v>39</v>
      </c>
      <c r="CE102" s="2468">
        <v>6</v>
      </c>
      <c r="CF102" s="2468"/>
      <c r="CG102" s="2468"/>
      <c r="CH102" s="2468"/>
      <c r="CI102" s="2468"/>
      <c r="CJ102" s="2468"/>
      <c r="CK102" s="2468"/>
      <c r="CL102" s="2468"/>
      <c r="CM102" s="2468"/>
      <c r="CN102" s="2468">
        <v>267</v>
      </c>
      <c r="CO102" s="2468">
        <v>4</v>
      </c>
      <c r="CP102" s="2468">
        <v>2</v>
      </c>
      <c r="CQ102" s="2468"/>
      <c r="CR102" s="2468"/>
      <c r="CS102" s="2468"/>
      <c r="CT102" s="2470"/>
      <c r="CU102" s="2470"/>
      <c r="CV102" s="2470"/>
      <c r="CW102" s="2470"/>
      <c r="CX102" s="2470"/>
      <c r="CY102" s="2470"/>
      <c r="CZ102" s="2470"/>
      <c r="DA102" s="2470"/>
      <c r="DB102" s="2470"/>
      <c r="DC102" s="2470"/>
      <c r="DE102" s="3301"/>
      <c r="DF102" s="2463"/>
      <c r="DG102" s="2463"/>
      <c r="DH102" s="2463"/>
      <c r="DI102" s="2463"/>
      <c r="DJ102" s="2549"/>
      <c r="DK102" s="3301"/>
      <c r="DL102" s="2463"/>
      <c r="DM102" s="2463"/>
      <c r="DN102" s="3302"/>
      <c r="DO102" s="3371"/>
      <c r="DP102" s="3356"/>
      <c r="DQ102" s="3302"/>
      <c r="DR102" s="3356"/>
      <c r="DS102" s="3302"/>
      <c r="DT102" s="3356"/>
      <c r="DU102" s="2463"/>
      <c r="DV102" s="2463"/>
      <c r="DW102" s="2463"/>
      <c r="DX102" s="2463"/>
      <c r="DY102" s="2463"/>
      <c r="DZ102" s="2549"/>
      <c r="EA102" s="3301"/>
      <c r="EB102" s="2463"/>
      <c r="EC102" s="2463"/>
      <c r="ED102" s="2463"/>
      <c r="EE102" s="2463"/>
      <c r="EF102" s="2463"/>
      <c r="EG102" s="2463"/>
      <c r="EH102" s="2463"/>
      <c r="EI102" s="2463"/>
      <c r="EJ102" s="2463"/>
      <c r="EK102" s="2463"/>
      <c r="EL102" s="2463"/>
      <c r="EM102" s="2463"/>
      <c r="EN102" s="3302"/>
      <c r="EO102" s="3356"/>
      <c r="EP102" s="2463"/>
      <c r="EQ102" s="2463"/>
      <c r="ER102" s="2463"/>
      <c r="ES102" s="2549"/>
      <c r="ET102" s="3301"/>
      <c r="EU102" s="2463"/>
      <c r="EV102" s="2463"/>
      <c r="EW102" s="2463"/>
      <c r="EX102" s="3302"/>
    </row>
    <row r="103" spans="1:154" s="2459" customFormat="1" ht="15" customHeight="1" thickBot="1">
      <c r="A103" s="15357"/>
      <c r="B103" s="15365"/>
      <c r="C103" s="15360"/>
      <c r="D103" s="15360"/>
      <c r="E103" s="15363"/>
      <c r="F103" s="1787" t="s">
        <v>7777</v>
      </c>
      <c r="G103" s="3259" t="s">
        <v>4175</v>
      </c>
      <c r="H103" s="3282" t="s">
        <v>86</v>
      </c>
      <c r="I103" s="15502"/>
      <c r="J103" s="2474" t="s">
        <v>4164</v>
      </c>
      <c r="K103" s="1788">
        <v>1</v>
      </c>
      <c r="L103" s="2473" t="s">
        <v>4217</v>
      </c>
      <c r="M103" s="2473" t="s">
        <v>4112</v>
      </c>
      <c r="N103" s="2474"/>
      <c r="O103" s="15509"/>
      <c r="P103" s="15505"/>
      <c r="Q103" s="15509"/>
      <c r="R103" s="15509"/>
      <c r="S103" s="15509"/>
      <c r="T103" s="2474"/>
      <c r="U103" s="2474"/>
      <c r="V103" s="2474"/>
      <c r="W103" s="2474"/>
      <c r="X103" s="2474"/>
      <c r="Y103" s="2474"/>
      <c r="Z103" s="2474"/>
      <c r="AA103" s="2474"/>
      <c r="AB103" s="2474"/>
      <c r="AC103" s="2474"/>
      <c r="AD103" s="2474"/>
      <c r="AE103" s="2474"/>
      <c r="AF103" s="2474"/>
      <c r="AG103" s="2474"/>
      <c r="AH103" s="2474"/>
      <c r="AI103" s="2474"/>
      <c r="AJ103" s="2474"/>
      <c r="AK103" s="2474"/>
      <c r="AL103" s="2474"/>
      <c r="AM103" s="2474"/>
      <c r="AN103" s="2474"/>
      <c r="AO103" s="2474"/>
      <c r="AP103" s="2474"/>
      <c r="AQ103" s="2474"/>
      <c r="AR103" s="2474"/>
      <c r="AS103" s="2474"/>
      <c r="AT103" s="2473" t="s">
        <v>4203</v>
      </c>
      <c r="AU103" s="2473" t="s">
        <v>4218</v>
      </c>
      <c r="AV103" s="2475">
        <v>8</v>
      </c>
      <c r="AW103" s="2474"/>
      <c r="AX103" s="2474"/>
      <c r="AY103" s="2474"/>
      <c r="AZ103" s="2474"/>
      <c r="BA103" s="2474"/>
      <c r="BB103" s="2474"/>
      <c r="BC103" s="2474"/>
      <c r="BD103" s="15360"/>
      <c r="BE103" s="2474" t="s">
        <v>4164</v>
      </c>
      <c r="BF103" s="2476" t="s">
        <v>1509</v>
      </c>
      <c r="BG103" s="2474" t="s">
        <v>4164</v>
      </c>
      <c r="BH103" s="2477">
        <v>1</v>
      </c>
      <c r="BI103" s="2477">
        <v>1</v>
      </c>
      <c r="BJ103" s="2453">
        <v>1</v>
      </c>
      <c r="BK103" s="15560"/>
      <c r="BL103" s="2473" t="s">
        <v>4217</v>
      </c>
      <c r="BM103" s="2473" t="s">
        <v>4112</v>
      </c>
      <c r="BN103" s="2474"/>
      <c r="BO103" s="2478">
        <v>1871111</v>
      </c>
      <c r="BP103" s="15537"/>
      <c r="BQ103" s="2455">
        <v>1571733</v>
      </c>
      <c r="BR103" s="2454">
        <f t="shared" si="1"/>
        <v>299378</v>
      </c>
      <c r="BS103" s="15507"/>
      <c r="BT103" s="2468"/>
      <c r="BU103" s="2468"/>
      <c r="BV103" s="2468"/>
      <c r="BW103" s="2468"/>
      <c r="BX103" s="2468"/>
      <c r="BY103" s="2468"/>
      <c r="BZ103" s="2468"/>
      <c r="CA103" s="2468"/>
      <c r="CB103" s="2468"/>
      <c r="CC103" s="2468"/>
      <c r="CD103" s="2468"/>
      <c r="CE103" s="2468"/>
      <c r="CF103" s="2468"/>
      <c r="CG103" s="2468"/>
      <c r="CH103" s="2468"/>
      <c r="CI103" s="2468"/>
      <c r="CJ103" s="2468"/>
      <c r="CK103" s="2468"/>
      <c r="CL103" s="2468"/>
      <c r="CM103" s="2468"/>
      <c r="CN103" s="2468"/>
      <c r="CO103" s="2468"/>
      <c r="CP103" s="2468"/>
      <c r="CQ103" s="2468"/>
      <c r="CR103" s="2468"/>
      <c r="CS103" s="2468"/>
      <c r="CT103" s="2461" t="s">
        <v>4203</v>
      </c>
      <c r="CU103" s="2461" t="s">
        <v>4218</v>
      </c>
      <c r="CV103" s="2457">
        <v>8</v>
      </c>
      <c r="CW103" s="2470"/>
      <c r="CX103" s="2470"/>
      <c r="CY103" s="2470"/>
      <c r="CZ103" s="2470"/>
      <c r="DA103" s="2470"/>
      <c r="DB103" s="2470"/>
      <c r="DC103" s="2470"/>
      <c r="DE103" s="3303"/>
      <c r="DF103" s="2568"/>
      <c r="DG103" s="2568"/>
      <c r="DH103" s="2568"/>
      <c r="DI103" s="2568"/>
      <c r="DJ103" s="2570"/>
      <c r="DK103" s="3303"/>
      <c r="DL103" s="2568"/>
      <c r="DM103" s="2568"/>
      <c r="DN103" s="3304"/>
      <c r="DO103" s="3372"/>
      <c r="DP103" s="2567"/>
      <c r="DQ103" s="3304"/>
      <c r="DR103" s="2567"/>
      <c r="DS103" s="3304"/>
      <c r="DT103" s="2567"/>
      <c r="DU103" s="2568"/>
      <c r="DV103" s="2568"/>
      <c r="DW103" s="2568"/>
      <c r="DX103" s="2568"/>
      <c r="DY103" s="2568"/>
      <c r="DZ103" s="2570"/>
      <c r="EA103" s="3303"/>
      <c r="EB103" s="2568"/>
      <c r="EC103" s="2568"/>
      <c r="ED103" s="2568"/>
      <c r="EE103" s="2568"/>
      <c r="EF103" s="2568"/>
      <c r="EG103" s="2568"/>
      <c r="EH103" s="2568"/>
      <c r="EI103" s="2568"/>
      <c r="EJ103" s="2568"/>
      <c r="EK103" s="2568"/>
      <c r="EL103" s="2568"/>
      <c r="EM103" s="2568"/>
      <c r="EN103" s="3304"/>
      <c r="EO103" s="2567"/>
      <c r="EP103" s="2568"/>
      <c r="EQ103" s="2568"/>
      <c r="ER103" s="2568"/>
      <c r="ES103" s="2570"/>
      <c r="ET103" s="3303"/>
      <c r="EU103" s="2568"/>
      <c r="EV103" s="2568"/>
      <c r="EW103" s="2568"/>
      <c r="EX103" s="3304"/>
    </row>
    <row r="104" spans="1:154" ht="15" customHeight="1">
      <c r="H104"/>
      <c r="BO104" s="2273">
        <f>SUM(BO6:BO103)</f>
        <v>442604664</v>
      </c>
    </row>
    <row r="105" spans="1:154" ht="15" customHeight="1">
      <c r="BO105" s="2952">
        <f>SUM(BO6:BO103)</f>
        <v>442604664</v>
      </c>
      <c r="BT105" s="2952">
        <f>SUM(BT6:BT103)</f>
        <v>145499.43300000005</v>
      </c>
    </row>
  </sheetData>
  <mergeCells count="251">
    <mergeCell ref="EQ4:EQ5"/>
    <mergeCell ref="ET4:ET5"/>
    <mergeCell ref="EU4:EW4"/>
    <mergeCell ref="H3:H5"/>
    <mergeCell ref="DE2:EX2"/>
    <mergeCell ref="DE3:DE5"/>
    <mergeCell ref="DF3:DF5"/>
    <mergeCell ref="DG3:DG5"/>
    <mergeCell ref="DH3:DH5"/>
    <mergeCell ref="DI3:DI5"/>
    <mergeCell ref="DJ3:DJ5"/>
    <mergeCell ref="DK3:DN3"/>
    <mergeCell ref="DO3:EN3"/>
    <mergeCell ref="EO3:ES3"/>
    <mergeCell ref="ET3:EX3"/>
    <mergeCell ref="DK4:DK5"/>
    <mergeCell ref="DL4:DL5"/>
    <mergeCell ref="DM4:DM5"/>
    <mergeCell ref="DN4:DN5"/>
    <mergeCell ref="DO4:DO5"/>
    <mergeCell ref="DP4:DQ4"/>
    <mergeCell ref="DR4:DS4"/>
    <mergeCell ref="DT4:DZ4"/>
    <mergeCell ref="EA4:EH4"/>
    <mergeCell ref="EI4:EN4"/>
    <mergeCell ref="EO4:EO5"/>
    <mergeCell ref="EP4:EP5"/>
    <mergeCell ref="BP82:BP96"/>
    <mergeCell ref="BD83:BD90"/>
    <mergeCell ref="BD91:BD96"/>
    <mergeCell ref="BD97:BD103"/>
    <mergeCell ref="BP97:BP103"/>
    <mergeCell ref="BS101:BS103"/>
    <mergeCell ref="BD41:BD53"/>
    <mergeCell ref="BP41:BP53"/>
    <mergeCell ref="BD54:BD59"/>
    <mergeCell ref="BP54:BP64"/>
    <mergeCell ref="BD60:BD61"/>
    <mergeCell ref="BD62:BD64"/>
    <mergeCell ref="BD65:BD79"/>
    <mergeCell ref="BP65:BP81"/>
    <mergeCell ref="BD80:BD81"/>
    <mergeCell ref="BK41:BK53"/>
    <mergeCell ref="BK54:BK64"/>
    <mergeCell ref="BK65:BK81"/>
    <mergeCell ref="BK82:BK96"/>
    <mergeCell ref="BK97:BK103"/>
    <mergeCell ref="CV4:CV5"/>
    <mergeCell ref="CY4:CY5"/>
    <mergeCell ref="CZ4:DB4"/>
    <mergeCell ref="BD7:BD8"/>
    <mergeCell ref="BD9:BD10"/>
    <mergeCell ref="BD11:BD12"/>
    <mergeCell ref="BD13:BD22"/>
    <mergeCell ref="BD23:BD26"/>
    <mergeCell ref="BD27:BD40"/>
    <mergeCell ref="BF3:BF5"/>
    <mergeCell ref="BG3:BG5"/>
    <mergeCell ref="BH3:BH5"/>
    <mergeCell ref="BJ3:BJ5"/>
    <mergeCell ref="BK3:BK5"/>
    <mergeCell ref="BK6:BK26"/>
    <mergeCell ref="BK27:BK40"/>
    <mergeCell ref="BP27:BP40"/>
    <mergeCell ref="BP6:BP26"/>
    <mergeCell ref="BD2:DC2"/>
    <mergeCell ref="BD3:BD5"/>
    <mergeCell ref="BE3:BE5"/>
    <mergeCell ref="BI3:BI5"/>
    <mergeCell ref="BL3:BL5"/>
    <mergeCell ref="BM3:BM5"/>
    <mergeCell ref="BN3:BN5"/>
    <mergeCell ref="BO3:BS3"/>
    <mergeCell ref="BT3:CS3"/>
    <mergeCell ref="CT3:CX3"/>
    <mergeCell ref="CY3:DC3"/>
    <mergeCell ref="BO4:BO5"/>
    <mergeCell ref="BP4:BP5"/>
    <mergeCell ref="BQ4:BQ5"/>
    <mergeCell ref="BR4:BR5"/>
    <mergeCell ref="BS4:BS5"/>
    <mergeCell ref="BT4:BT5"/>
    <mergeCell ref="BU4:BV4"/>
    <mergeCell ref="BW4:BX4"/>
    <mergeCell ref="BY4:CE4"/>
    <mergeCell ref="CF4:CM4"/>
    <mergeCell ref="CN4:CS4"/>
    <mergeCell ref="CT4:CT5"/>
    <mergeCell ref="CU4:CU5"/>
    <mergeCell ref="I91:I96"/>
    <mergeCell ref="O91:O93"/>
    <mergeCell ref="S91:S93"/>
    <mergeCell ref="O94:O96"/>
    <mergeCell ref="S94:S96"/>
    <mergeCell ref="I97:I103"/>
    <mergeCell ref="P97:P103"/>
    <mergeCell ref="O99:O100"/>
    <mergeCell ref="S99:S100"/>
    <mergeCell ref="O101:O103"/>
    <mergeCell ref="S101:S103"/>
    <mergeCell ref="Q91:Q93"/>
    <mergeCell ref="R91:R93"/>
    <mergeCell ref="Q94:Q96"/>
    <mergeCell ref="R94:R96"/>
    <mergeCell ref="Q99:Q100"/>
    <mergeCell ref="R99:R100"/>
    <mergeCell ref="Q101:Q103"/>
    <mergeCell ref="R101:R103"/>
    <mergeCell ref="I65:I79"/>
    <mergeCell ref="P65:P81"/>
    <mergeCell ref="O66:O67"/>
    <mergeCell ref="S66:S67"/>
    <mergeCell ref="I80:I81"/>
    <mergeCell ref="O80:O81"/>
    <mergeCell ref="S80:S81"/>
    <mergeCell ref="I83:I90"/>
    <mergeCell ref="O88:O90"/>
    <mergeCell ref="S88:S90"/>
    <mergeCell ref="I13:I22"/>
    <mergeCell ref="I23:I26"/>
    <mergeCell ref="P26:P40"/>
    <mergeCell ref="I27:I40"/>
    <mergeCell ref="I41:I53"/>
    <mergeCell ref="P41:P53"/>
    <mergeCell ref="I54:I59"/>
    <mergeCell ref="P54:P64"/>
    <mergeCell ref="I60:I61"/>
    <mergeCell ref="I62:I64"/>
    <mergeCell ref="B92:B94"/>
    <mergeCell ref="B95:B96"/>
    <mergeCell ref="A82:A96"/>
    <mergeCell ref="B82:B86"/>
    <mergeCell ref="C83:C90"/>
    <mergeCell ref="D83:D90"/>
    <mergeCell ref="B87:B91"/>
    <mergeCell ref="C91:C96"/>
    <mergeCell ref="D91:D96"/>
    <mergeCell ref="A65:A81"/>
    <mergeCell ref="B68:B71"/>
    <mergeCell ref="B72:B77"/>
    <mergeCell ref="B78:B81"/>
    <mergeCell ref="C80:C81"/>
    <mergeCell ref="D80:D81"/>
    <mergeCell ref="E80:E81"/>
    <mergeCell ref="D62:D64"/>
    <mergeCell ref="E62:E64"/>
    <mergeCell ref="B63:B64"/>
    <mergeCell ref="B65:B67"/>
    <mergeCell ref="C65:C79"/>
    <mergeCell ref="D65:D79"/>
    <mergeCell ref="E65:E79"/>
    <mergeCell ref="A54:A64"/>
    <mergeCell ref="B54:B56"/>
    <mergeCell ref="C54:C59"/>
    <mergeCell ref="A41:A53"/>
    <mergeCell ref="B41:B42"/>
    <mergeCell ref="C41:C53"/>
    <mergeCell ref="D54:D59"/>
    <mergeCell ref="E54:E59"/>
    <mergeCell ref="B57:B58"/>
    <mergeCell ref="B59:B62"/>
    <mergeCell ref="C60:C61"/>
    <mergeCell ref="D60:D61"/>
    <mergeCell ref="E60:E61"/>
    <mergeCell ref="C62:C64"/>
    <mergeCell ref="B51:B53"/>
    <mergeCell ref="C23:C26"/>
    <mergeCell ref="D23:D26"/>
    <mergeCell ref="B43:B47"/>
    <mergeCell ref="B48:B50"/>
    <mergeCell ref="D41:D53"/>
    <mergeCell ref="E41:E53"/>
    <mergeCell ref="B32:B33"/>
    <mergeCell ref="B34:B37"/>
    <mergeCell ref="B38:B40"/>
    <mergeCell ref="AT4:AT5"/>
    <mergeCell ref="S4:S5"/>
    <mergeCell ref="L3:L5"/>
    <mergeCell ref="M3:M5"/>
    <mergeCell ref="N3:N5"/>
    <mergeCell ref="O3:S3"/>
    <mergeCell ref="T3:AS3"/>
    <mergeCell ref="AT3:AX3"/>
    <mergeCell ref="T4:T5"/>
    <mergeCell ref="U4:V4"/>
    <mergeCell ref="W4:X4"/>
    <mergeCell ref="Y4:AE4"/>
    <mergeCell ref="AF4:AM4"/>
    <mergeCell ref="AN4:AS4"/>
    <mergeCell ref="AV4:AV5"/>
    <mergeCell ref="AU4:AU5"/>
    <mergeCell ref="I11:I12"/>
    <mergeCell ref="A3:A5"/>
    <mergeCell ref="B3:B5"/>
    <mergeCell ref="C3:E4"/>
    <mergeCell ref="F3:F5"/>
    <mergeCell ref="G3:G5"/>
    <mergeCell ref="I3:I5"/>
    <mergeCell ref="J3:J5"/>
    <mergeCell ref="K3:K5"/>
    <mergeCell ref="D7:D8"/>
    <mergeCell ref="E7:E8"/>
    <mergeCell ref="C7:C8"/>
    <mergeCell ref="I2:BC2"/>
    <mergeCell ref="E83:E90"/>
    <mergeCell ref="E23:E26"/>
    <mergeCell ref="E9:E10"/>
    <mergeCell ref="Q4:Q5"/>
    <mergeCell ref="R4:R5"/>
    <mergeCell ref="P4:P5"/>
    <mergeCell ref="E11:E12"/>
    <mergeCell ref="O4:O5"/>
    <mergeCell ref="Q66:Q67"/>
    <mergeCell ref="R66:R67"/>
    <mergeCell ref="Q80:Q81"/>
    <mergeCell ref="R80:R81"/>
    <mergeCell ref="Q88:Q90"/>
    <mergeCell ref="R88:R90"/>
    <mergeCell ref="P82:P96"/>
    <mergeCell ref="E91:E96"/>
    <mergeCell ref="AY3:BC3"/>
    <mergeCell ref="AY4:AY5"/>
    <mergeCell ref="AZ4:BB4"/>
    <mergeCell ref="P6:P25"/>
    <mergeCell ref="I7:I8"/>
    <mergeCell ref="I9:I10"/>
    <mergeCell ref="A2:H2"/>
    <mergeCell ref="A97:A103"/>
    <mergeCell ref="C97:C103"/>
    <mergeCell ref="D97:D103"/>
    <mergeCell ref="E97:E103"/>
    <mergeCell ref="B98:B99"/>
    <mergeCell ref="B100:B101"/>
    <mergeCell ref="B102:B103"/>
    <mergeCell ref="C9:C10"/>
    <mergeCell ref="D9:D10"/>
    <mergeCell ref="C11:C12"/>
    <mergeCell ref="D11:D12"/>
    <mergeCell ref="B24:B26"/>
    <mergeCell ref="A27:A40"/>
    <mergeCell ref="B27:B31"/>
    <mergeCell ref="C27:C40"/>
    <mergeCell ref="D27:D40"/>
    <mergeCell ref="E27:E40"/>
    <mergeCell ref="B13:B17"/>
    <mergeCell ref="C13:C22"/>
    <mergeCell ref="D13:D22"/>
    <mergeCell ref="E13:E22"/>
    <mergeCell ref="A6:A26"/>
    <mergeCell ref="B6:B12"/>
    <mergeCell ref="B18:B23"/>
  </mergeCells>
  <conditionalFormatting sqref="BV12">
    <cfRule type="cellIs" dxfId="273" priority="9" operator="between">
      <formula>0.7005</formula>
      <formula>0.85049</formula>
    </cfRule>
  </conditionalFormatting>
  <conditionalFormatting sqref="BJ6">
    <cfRule type="cellIs" dxfId="272" priority="5" operator="between">
      <formula>0.81</formula>
      <formula>1</formula>
    </cfRule>
    <cfRule type="cellIs" dxfId="271" priority="6" operator="between">
      <formula>0.61</formula>
      <formula>0.8</formula>
    </cfRule>
    <cfRule type="cellIs" dxfId="270" priority="7" operator="between">
      <formula>0.31</formula>
      <formula>0.6</formula>
    </cfRule>
    <cfRule type="cellIs" dxfId="269" priority="8" operator="between">
      <formula>0</formula>
      <formula>0.3</formula>
    </cfRule>
  </conditionalFormatting>
  <conditionalFormatting sqref="BJ7:BJ103">
    <cfRule type="cellIs" dxfId="268" priority="1" operator="between">
      <formula>0.81</formula>
      <formula>1</formula>
    </cfRule>
    <cfRule type="cellIs" dxfId="267" priority="2" operator="between">
      <formula>0.61</formula>
      <formula>0.8</formula>
    </cfRule>
    <cfRule type="cellIs" dxfId="266" priority="3" operator="between">
      <formula>0.31</formula>
      <formula>0.6</formula>
    </cfRule>
    <cfRule type="cellIs" dxfId="265" priority="4" operator="between">
      <formula>0</formula>
      <formula>0.3</formula>
    </cfRule>
  </conditionalFormatting>
  <conditionalFormatting sqref="V12">
    <cfRule type="cellIs" dxfId="264" priority="10" operator="between">
      <formula>0.7005</formula>
      <formula>0.85049</formula>
    </cfRule>
  </conditionalFormatting>
  <pageMargins left="0.7" right="0.7" top="0.75" bottom="0.75" header="0.3" footer="0.3"/>
  <pageSetup paperSize="9" orientation="portrait" horizontalDpi="300" verticalDpi="30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2" tint="-0.89999084444715716"/>
  </sheetPr>
  <dimension ref="A1:FP102"/>
  <sheetViews>
    <sheetView showGridLines="0" topLeftCell="D113" zoomScale="80" zoomScaleNormal="80" workbookViewId="0">
      <selection sqref="A1:FP181"/>
    </sheetView>
  </sheetViews>
  <sheetFormatPr baseColWidth="10" defaultColWidth="11.42578125" defaultRowHeight="15" customHeight="1"/>
  <cols>
    <col min="1" max="1" width="15.42578125" style="2" hidden="1" customWidth="1"/>
    <col min="2" max="2" width="19.5703125" style="2" hidden="1" customWidth="1"/>
    <col min="3" max="3" width="18.7109375" style="2" hidden="1" customWidth="1"/>
    <col min="4" max="4" width="18.7109375" style="2" customWidth="1"/>
    <col min="5" max="5" width="15.28515625" style="2" hidden="1" customWidth="1"/>
    <col min="6" max="6" width="61.42578125" style="2" customWidth="1"/>
    <col min="7" max="7" width="29.28515625" style="2" customWidth="1"/>
    <col min="8" max="8" width="13.42578125" style="2" customWidth="1"/>
    <col min="9" max="9" width="27.5703125" style="2" hidden="1" customWidth="1"/>
    <col min="10" max="10" width="17.42578125" style="136" bestFit="1" customWidth="1"/>
    <col min="11" max="12" width="21.7109375" style="3055" customWidth="1"/>
    <col min="13" max="13" width="19.7109375" style="2" hidden="1" customWidth="1"/>
    <col min="14" max="14" width="17.28515625" style="2" hidden="1" customWidth="1"/>
    <col min="15" max="15" width="33.7109375" style="2" hidden="1" customWidth="1"/>
    <col min="16" max="16" width="17.42578125" style="2" hidden="1" customWidth="1"/>
    <col min="17" max="17" width="19.28515625" style="2" hidden="1" customWidth="1"/>
    <col min="18" max="18" width="20.85546875" style="2" hidden="1" customWidth="1"/>
    <col min="19" max="19" width="30" style="2" hidden="1" customWidth="1"/>
    <col min="20" max="20" width="23.28515625" style="2" hidden="1" customWidth="1"/>
    <col min="21" max="21" width="26" style="2" hidden="1" customWidth="1"/>
    <col min="22" max="22" width="19.28515625" style="2" hidden="1" customWidth="1"/>
    <col min="23" max="23" width="17.85546875" style="2" hidden="1" customWidth="1"/>
    <col min="24" max="24" width="16.5703125" style="2" hidden="1" customWidth="1"/>
    <col min="25" max="25" width="7.7109375" style="2" hidden="1" customWidth="1"/>
    <col min="26" max="26" width="15" style="2" hidden="1" customWidth="1"/>
    <col min="27" max="41" width="6.140625" style="2" hidden="1" customWidth="1"/>
    <col min="42" max="42" width="5.7109375" style="2" hidden="1" customWidth="1"/>
    <col min="43" max="43" width="6.140625" style="2" hidden="1" customWidth="1"/>
    <col min="44" max="44" width="5.5703125" style="2" hidden="1" customWidth="1"/>
    <col min="45" max="45" width="4.28515625" style="2" hidden="1" customWidth="1"/>
    <col min="46" max="46" width="6.85546875" style="2" hidden="1" customWidth="1"/>
    <col min="47" max="47" width="4.28515625" style="2" hidden="1" customWidth="1"/>
    <col min="48" max="51" width="6.140625" style="2" hidden="1" customWidth="1"/>
    <col min="52" max="52" width="25.7109375" style="2" hidden="1" customWidth="1"/>
    <col min="53" max="53" width="29.5703125" style="2" hidden="1" customWidth="1"/>
    <col min="54" max="54" width="19.42578125" style="2" hidden="1" customWidth="1"/>
    <col min="55" max="55" width="23.7109375" style="2" hidden="1" customWidth="1"/>
    <col min="56" max="56" width="20.28515625" style="2" hidden="1" customWidth="1"/>
    <col min="57" max="57" width="20.7109375" style="2" hidden="1" customWidth="1"/>
    <col min="58" max="58" width="14.28515625" style="2" hidden="1" customWidth="1"/>
    <col min="59" max="60" width="11.42578125" style="2" hidden="1" customWidth="1"/>
    <col min="61" max="61" width="5" style="2" hidden="1" customWidth="1"/>
    <col min="62" max="62" width="0" style="2" hidden="1" customWidth="1"/>
    <col min="63" max="63" width="11.42578125" style="2" hidden="1" customWidth="1"/>
    <col min="64" max="64" width="62.140625" style="508" hidden="1" customWidth="1"/>
    <col min="65" max="65" width="39.7109375" style="2" hidden="1" customWidth="1"/>
    <col min="66" max="66" width="18.5703125" style="496" hidden="1" customWidth="1"/>
    <col min="67" max="67" width="20.140625" style="496" hidden="1" customWidth="1"/>
    <col min="68" max="68" width="20.5703125" style="496" hidden="1" customWidth="1"/>
    <col min="69" max="69" width="20.28515625" style="496" hidden="1" customWidth="1"/>
    <col min="70" max="70" width="11.5703125" style="496" hidden="1" customWidth="1"/>
    <col min="71" max="106" width="0" style="496" hidden="1" customWidth="1"/>
    <col min="107" max="107" width="1.42578125" style="490" customWidth="1"/>
    <col min="108" max="16384" width="11.42578125" style="2"/>
  </cols>
  <sheetData>
    <row r="1" spans="1:172" ht="15" customHeight="1" thickBot="1">
      <c r="A1" s="13316" t="s">
        <v>1720</v>
      </c>
      <c r="B1" s="13316"/>
      <c r="C1" s="13316"/>
      <c r="D1" s="13316"/>
      <c r="E1" s="13316"/>
      <c r="F1" s="13316"/>
      <c r="G1" s="13316"/>
      <c r="H1" s="13316"/>
      <c r="I1" s="13316"/>
      <c r="J1" s="13316"/>
      <c r="K1" s="13316"/>
      <c r="L1" s="13316"/>
      <c r="M1" s="39"/>
      <c r="N1" s="39"/>
      <c r="O1" s="39"/>
      <c r="P1" s="39"/>
      <c r="Q1" s="39"/>
      <c r="R1" s="15611" t="s">
        <v>0</v>
      </c>
      <c r="S1" s="15611"/>
      <c r="T1" s="15611"/>
      <c r="U1" s="15611"/>
      <c r="V1" s="15611"/>
      <c r="W1" s="15611"/>
      <c r="X1" s="15611"/>
      <c r="Y1" s="15611"/>
      <c r="Z1" s="15611"/>
      <c r="AA1" s="15611"/>
      <c r="AB1" s="15611"/>
      <c r="AC1" s="15611"/>
      <c r="AD1" s="15611"/>
      <c r="AE1" s="15611"/>
      <c r="AF1" s="15611"/>
      <c r="AG1" s="15611"/>
      <c r="AH1" s="15611"/>
      <c r="AI1" s="15611"/>
      <c r="AJ1" s="15611"/>
      <c r="AK1" s="15611"/>
      <c r="AL1" s="15611"/>
      <c r="AM1" s="15611"/>
      <c r="AN1" s="15611"/>
      <c r="AO1" s="15611"/>
      <c r="AP1" s="15611"/>
      <c r="AQ1" s="15611"/>
      <c r="AR1" s="15611"/>
      <c r="AS1" s="15611"/>
      <c r="AT1" s="15611"/>
      <c r="AU1" s="15611"/>
      <c r="AV1" s="15611"/>
      <c r="AW1" s="15611"/>
      <c r="AX1" s="15611"/>
      <c r="AY1" s="15611"/>
      <c r="AZ1" s="15611"/>
      <c r="BA1" s="15611"/>
      <c r="BB1" s="15611"/>
      <c r="BC1" s="15611"/>
      <c r="BD1" s="15611"/>
      <c r="BE1" s="15611"/>
      <c r="BF1" s="15611"/>
      <c r="BG1" s="15611"/>
      <c r="BH1" s="15611"/>
      <c r="BI1" s="15612"/>
      <c r="BJ1" s="15611" t="s">
        <v>8493</v>
      </c>
      <c r="BK1" s="15611"/>
      <c r="BL1" s="15611"/>
      <c r="BM1" s="15611"/>
      <c r="BN1" s="15611"/>
      <c r="BO1" s="15611"/>
      <c r="BP1" s="15611"/>
      <c r="BQ1" s="15611"/>
      <c r="BR1" s="15611"/>
      <c r="BS1" s="15611"/>
      <c r="BT1" s="15611"/>
      <c r="BU1" s="15611"/>
      <c r="BV1" s="15611"/>
      <c r="BW1" s="15611"/>
      <c r="BX1" s="15611"/>
      <c r="BY1" s="15611"/>
      <c r="BZ1" s="15611"/>
      <c r="CA1" s="15611"/>
      <c r="CB1" s="15611"/>
      <c r="CC1" s="15611"/>
      <c r="CD1" s="15611"/>
      <c r="CE1" s="15611"/>
      <c r="CF1" s="15611"/>
      <c r="CG1" s="15611"/>
      <c r="CH1" s="15611"/>
      <c r="CI1" s="15611"/>
      <c r="CJ1" s="15611"/>
      <c r="CK1" s="15611"/>
      <c r="CL1" s="15611"/>
      <c r="CM1" s="15611"/>
      <c r="CN1" s="15611"/>
      <c r="CO1" s="15611"/>
      <c r="CP1" s="15611"/>
      <c r="CQ1" s="15611"/>
      <c r="CR1" s="15611"/>
      <c r="CS1" s="15611"/>
      <c r="CT1" s="15611"/>
      <c r="CU1" s="15611"/>
      <c r="CV1" s="15611"/>
      <c r="CW1" s="15611"/>
      <c r="CX1" s="15611"/>
      <c r="CY1" s="15611"/>
      <c r="CZ1" s="15611"/>
      <c r="DA1" s="15611"/>
      <c r="DB1" s="15612"/>
      <c r="DD1" s="13291" t="s">
        <v>8497</v>
      </c>
      <c r="DE1" s="13291"/>
      <c r="DF1" s="13291"/>
      <c r="DG1" s="13291"/>
      <c r="DH1" s="13291"/>
      <c r="DI1" s="13291"/>
      <c r="DJ1" s="13618"/>
      <c r="DK1" s="13618"/>
      <c r="DL1" s="13618"/>
      <c r="DM1" s="13618"/>
      <c r="DN1" s="13291"/>
      <c r="DO1" s="13291"/>
      <c r="DP1" s="13291"/>
      <c r="DQ1" s="13291"/>
      <c r="DR1" s="13291"/>
      <c r="DS1" s="13291"/>
      <c r="DT1" s="13291"/>
      <c r="DU1" s="13291"/>
      <c r="DV1" s="13291"/>
      <c r="DW1" s="13291"/>
      <c r="DX1" s="13291"/>
      <c r="DY1" s="13291"/>
      <c r="DZ1" s="13291"/>
      <c r="EA1" s="13291"/>
      <c r="EB1" s="13291"/>
      <c r="EC1" s="13291"/>
      <c r="ED1" s="13291"/>
      <c r="EE1" s="13291"/>
      <c r="EF1" s="13291"/>
      <c r="EG1" s="13291"/>
      <c r="EH1" s="13291"/>
      <c r="EI1" s="13291"/>
      <c r="EJ1" s="13291"/>
      <c r="EK1" s="13291"/>
      <c r="EL1" s="13291"/>
      <c r="EM1" s="13291"/>
      <c r="EN1" s="13291"/>
      <c r="EO1" s="13291"/>
      <c r="EP1" s="13291"/>
      <c r="EQ1" s="13291"/>
      <c r="ER1" s="13291"/>
      <c r="ES1" s="13291"/>
      <c r="ET1" s="13291"/>
      <c r="EU1" s="13291"/>
      <c r="EV1" s="13291"/>
      <c r="EW1" s="13292"/>
    </row>
    <row r="2" spans="1:172" ht="15" customHeight="1" thickBot="1">
      <c r="A2" s="13316"/>
      <c r="B2" s="13316"/>
      <c r="C2" s="13316"/>
      <c r="D2" s="13316"/>
      <c r="E2" s="13316"/>
      <c r="F2" s="13316"/>
      <c r="G2" s="13316"/>
      <c r="H2" s="13316"/>
      <c r="I2" s="13316"/>
      <c r="J2" s="13316"/>
      <c r="K2" s="13316"/>
      <c r="L2" s="13316"/>
      <c r="M2" s="118"/>
      <c r="N2" s="118"/>
      <c r="O2" s="118"/>
      <c r="P2" s="118"/>
      <c r="Q2" s="118"/>
      <c r="R2" s="15613" t="s">
        <v>1</v>
      </c>
      <c r="S2" s="13295" t="s">
        <v>2</v>
      </c>
      <c r="T2" s="13295" t="s">
        <v>3</v>
      </c>
      <c r="U2" s="13297" t="s">
        <v>4</v>
      </c>
      <c r="V2" s="13299" t="s">
        <v>355</v>
      </c>
      <c r="W2" s="13300"/>
      <c r="X2" s="13300"/>
      <c r="Y2" s="13301"/>
      <c r="Z2" s="13299" t="s">
        <v>356</v>
      </c>
      <c r="AA2" s="13300"/>
      <c r="AB2" s="13300"/>
      <c r="AC2" s="13300"/>
      <c r="AD2" s="13300"/>
      <c r="AE2" s="13300"/>
      <c r="AF2" s="13300"/>
      <c r="AG2" s="13300"/>
      <c r="AH2" s="13300"/>
      <c r="AI2" s="13300"/>
      <c r="AJ2" s="13300"/>
      <c r="AK2" s="13300"/>
      <c r="AL2" s="13300"/>
      <c r="AM2" s="13300"/>
      <c r="AN2" s="13300"/>
      <c r="AO2" s="13300"/>
      <c r="AP2" s="13300"/>
      <c r="AQ2" s="13300"/>
      <c r="AR2" s="13300"/>
      <c r="AS2" s="13300"/>
      <c r="AT2" s="13300"/>
      <c r="AU2" s="13300"/>
      <c r="AV2" s="13300"/>
      <c r="AW2" s="13300"/>
      <c r="AX2" s="13300"/>
      <c r="AY2" s="13301"/>
      <c r="AZ2" s="13302" t="s">
        <v>357</v>
      </c>
      <c r="BA2" s="13303"/>
      <c r="BB2" s="13303"/>
      <c r="BC2" s="13303"/>
      <c r="BD2" s="13304"/>
      <c r="BE2" s="13305" t="s">
        <v>5</v>
      </c>
      <c r="BF2" s="13306"/>
      <c r="BG2" s="13306"/>
      <c r="BH2" s="13306"/>
      <c r="BI2" s="13307"/>
      <c r="BJ2" s="15613" t="s">
        <v>8490</v>
      </c>
      <c r="BK2" s="13295" t="s">
        <v>9665</v>
      </c>
      <c r="BL2" s="15625" t="s">
        <v>8491</v>
      </c>
      <c r="BM2" s="13295" t="s">
        <v>8492</v>
      </c>
      <c r="BN2" s="15627" t="s">
        <v>4</v>
      </c>
      <c r="BO2" s="14602" t="s">
        <v>355</v>
      </c>
      <c r="BP2" s="14603"/>
      <c r="BQ2" s="14603"/>
      <c r="BR2" s="14604"/>
      <c r="BS2" s="14602" t="s">
        <v>356</v>
      </c>
      <c r="BT2" s="14603"/>
      <c r="BU2" s="14603"/>
      <c r="BV2" s="14603"/>
      <c r="BW2" s="14603"/>
      <c r="BX2" s="14603"/>
      <c r="BY2" s="14603"/>
      <c r="BZ2" s="14603"/>
      <c r="CA2" s="14603"/>
      <c r="CB2" s="14603"/>
      <c r="CC2" s="14603"/>
      <c r="CD2" s="14603"/>
      <c r="CE2" s="14603"/>
      <c r="CF2" s="14603"/>
      <c r="CG2" s="14603"/>
      <c r="CH2" s="14603"/>
      <c r="CI2" s="14603"/>
      <c r="CJ2" s="14603"/>
      <c r="CK2" s="14603"/>
      <c r="CL2" s="14603"/>
      <c r="CM2" s="14603"/>
      <c r="CN2" s="14603"/>
      <c r="CO2" s="14603"/>
      <c r="CP2" s="14603"/>
      <c r="CQ2" s="14603"/>
      <c r="CR2" s="14604"/>
      <c r="CS2" s="15629" t="s">
        <v>357</v>
      </c>
      <c r="CT2" s="15630"/>
      <c r="CU2" s="15630"/>
      <c r="CV2" s="15630"/>
      <c r="CW2" s="15631"/>
      <c r="CX2" s="15632" t="s">
        <v>5</v>
      </c>
      <c r="CY2" s="15633"/>
      <c r="CZ2" s="15633"/>
      <c r="DA2" s="15633"/>
      <c r="DB2" s="15634"/>
      <c r="DD2" s="14600" t="s">
        <v>8498</v>
      </c>
      <c r="DE2" s="14609" t="s">
        <v>10189</v>
      </c>
      <c r="DF2" s="14609" t="s">
        <v>10190</v>
      </c>
      <c r="DG2" s="13295" t="s">
        <v>8499</v>
      </c>
      <c r="DH2" s="13295" t="s">
        <v>8500</v>
      </c>
      <c r="DI2" s="13297" t="s">
        <v>4</v>
      </c>
      <c r="DJ2" s="14602" t="s">
        <v>355</v>
      </c>
      <c r="DK2" s="14603"/>
      <c r="DL2" s="14603"/>
      <c r="DM2" s="14604"/>
      <c r="DN2" s="13299" t="s">
        <v>356</v>
      </c>
      <c r="DO2" s="13300"/>
      <c r="DP2" s="13300"/>
      <c r="DQ2" s="13300"/>
      <c r="DR2" s="13300"/>
      <c r="DS2" s="13300"/>
      <c r="DT2" s="13300"/>
      <c r="DU2" s="13300"/>
      <c r="DV2" s="13300"/>
      <c r="DW2" s="13300"/>
      <c r="DX2" s="13300"/>
      <c r="DY2" s="13300"/>
      <c r="DZ2" s="15138"/>
      <c r="EA2" s="15138"/>
      <c r="EB2" s="15138"/>
      <c r="EC2" s="15138"/>
      <c r="ED2" s="15138"/>
      <c r="EE2" s="15138"/>
      <c r="EF2" s="15138"/>
      <c r="EG2" s="15138"/>
      <c r="EH2" s="15138"/>
      <c r="EI2" s="15138"/>
      <c r="EJ2" s="15138"/>
      <c r="EK2" s="15138"/>
      <c r="EL2" s="15138"/>
      <c r="EM2" s="15139"/>
      <c r="EN2" s="15140" t="s">
        <v>357</v>
      </c>
      <c r="EO2" s="15141"/>
      <c r="EP2" s="15141"/>
      <c r="EQ2" s="15141"/>
      <c r="ER2" s="15142"/>
      <c r="ES2" s="13305" t="s">
        <v>5</v>
      </c>
      <c r="ET2" s="13306"/>
      <c r="EU2" s="13306"/>
      <c r="EV2" s="13306"/>
      <c r="EW2" s="13307"/>
    </row>
    <row r="3" spans="1:172" ht="15" customHeight="1" thickBot="1">
      <c r="A3" s="15610"/>
      <c r="B3" s="15610"/>
      <c r="C3" s="15610"/>
      <c r="D3" s="15610"/>
      <c r="E3" s="15610"/>
      <c r="F3" s="15610"/>
      <c r="G3" s="15610"/>
      <c r="H3" s="15610"/>
      <c r="I3" s="15610"/>
      <c r="J3" s="15610"/>
      <c r="K3" s="15610"/>
      <c r="L3" s="15610"/>
      <c r="M3" s="82"/>
      <c r="N3" s="82"/>
      <c r="O3" s="82"/>
      <c r="P3" s="82"/>
      <c r="Q3" s="82"/>
      <c r="R3" s="15614"/>
      <c r="S3" s="13296"/>
      <c r="T3" s="13296"/>
      <c r="U3" s="13298"/>
      <c r="V3" s="13308" t="s">
        <v>6</v>
      </c>
      <c r="W3" s="13310" t="s">
        <v>7</v>
      </c>
      <c r="X3" s="13312" t="s">
        <v>8</v>
      </c>
      <c r="Y3" s="13314" t="s">
        <v>9</v>
      </c>
      <c r="Z3" s="13308" t="s">
        <v>10</v>
      </c>
      <c r="AA3" s="13282" t="s">
        <v>11</v>
      </c>
      <c r="AB3" s="13284"/>
      <c r="AC3" s="13282" t="s">
        <v>12</v>
      </c>
      <c r="AD3" s="13284"/>
      <c r="AE3" s="13282" t="s">
        <v>13</v>
      </c>
      <c r="AF3" s="13283"/>
      <c r="AG3" s="13283"/>
      <c r="AH3" s="13283"/>
      <c r="AI3" s="13283"/>
      <c r="AJ3" s="13283"/>
      <c r="AK3" s="13284"/>
      <c r="AL3" s="13285" t="s">
        <v>14</v>
      </c>
      <c r="AM3" s="13286"/>
      <c r="AN3" s="13286"/>
      <c r="AO3" s="13286"/>
      <c r="AP3" s="13286"/>
      <c r="AQ3" s="13286"/>
      <c r="AR3" s="13286"/>
      <c r="AS3" s="13287"/>
      <c r="AT3" s="13285" t="s">
        <v>15</v>
      </c>
      <c r="AU3" s="13286"/>
      <c r="AV3" s="13286"/>
      <c r="AW3" s="13286"/>
      <c r="AX3" s="13286"/>
      <c r="AY3" s="13287"/>
      <c r="AZ3" s="13288" t="s">
        <v>16</v>
      </c>
      <c r="BA3" s="13288" t="s">
        <v>17</v>
      </c>
      <c r="BB3" s="13275" t="s">
        <v>18</v>
      </c>
      <c r="BC3" s="10" t="s">
        <v>19</v>
      </c>
      <c r="BD3" s="489" t="s">
        <v>20</v>
      </c>
      <c r="BE3" s="13277" t="s">
        <v>21</v>
      </c>
      <c r="BF3" s="13279" t="s">
        <v>22</v>
      </c>
      <c r="BG3" s="13280"/>
      <c r="BH3" s="13281"/>
      <c r="BI3" s="12" t="s">
        <v>20</v>
      </c>
      <c r="BJ3" s="15614"/>
      <c r="BK3" s="13296"/>
      <c r="BL3" s="15626"/>
      <c r="BM3" s="13296"/>
      <c r="BN3" s="15628"/>
      <c r="BO3" s="14605" t="s">
        <v>6</v>
      </c>
      <c r="BP3" s="14611" t="s">
        <v>7</v>
      </c>
      <c r="BQ3" s="14577" t="s">
        <v>8</v>
      </c>
      <c r="BR3" s="14579" t="s">
        <v>9</v>
      </c>
      <c r="BS3" s="14605" t="s">
        <v>10</v>
      </c>
      <c r="BT3" s="15635" t="s">
        <v>11</v>
      </c>
      <c r="BU3" s="15636"/>
      <c r="BV3" s="15635" t="s">
        <v>12</v>
      </c>
      <c r="BW3" s="15636"/>
      <c r="BX3" s="15635" t="s">
        <v>13</v>
      </c>
      <c r="BY3" s="15644"/>
      <c r="BZ3" s="15644"/>
      <c r="CA3" s="15644"/>
      <c r="CB3" s="15644"/>
      <c r="CC3" s="15644"/>
      <c r="CD3" s="15636"/>
      <c r="CE3" s="15645" t="s">
        <v>14</v>
      </c>
      <c r="CF3" s="15642"/>
      <c r="CG3" s="15642"/>
      <c r="CH3" s="15642"/>
      <c r="CI3" s="15642"/>
      <c r="CJ3" s="15642"/>
      <c r="CK3" s="15642"/>
      <c r="CL3" s="15646"/>
      <c r="CM3" s="15645" t="s">
        <v>15</v>
      </c>
      <c r="CN3" s="15642"/>
      <c r="CO3" s="15642"/>
      <c r="CP3" s="15642"/>
      <c r="CQ3" s="15642"/>
      <c r="CR3" s="15646"/>
      <c r="CS3" s="15647" t="s">
        <v>16</v>
      </c>
      <c r="CT3" s="15647" t="s">
        <v>17</v>
      </c>
      <c r="CU3" s="15637" t="s">
        <v>18</v>
      </c>
      <c r="CV3" s="499" t="s">
        <v>19</v>
      </c>
      <c r="CW3" s="842" t="s">
        <v>20</v>
      </c>
      <c r="CX3" s="15639" t="s">
        <v>21</v>
      </c>
      <c r="CY3" s="15641" t="s">
        <v>22</v>
      </c>
      <c r="CZ3" s="15642"/>
      <c r="DA3" s="15643"/>
      <c r="DB3" s="835" t="s">
        <v>20</v>
      </c>
      <c r="DD3" s="14601"/>
      <c r="DE3" s="14609"/>
      <c r="DF3" s="14609"/>
      <c r="DG3" s="13296"/>
      <c r="DH3" s="13296"/>
      <c r="DI3" s="13298"/>
      <c r="DJ3" s="14605" t="s">
        <v>6</v>
      </c>
      <c r="DK3" s="14611" t="s">
        <v>7</v>
      </c>
      <c r="DL3" s="14577" t="s">
        <v>8</v>
      </c>
      <c r="DM3" s="14579" t="s">
        <v>9</v>
      </c>
      <c r="DN3" s="13308" t="s">
        <v>10</v>
      </c>
      <c r="DO3" s="13282" t="s">
        <v>11</v>
      </c>
      <c r="DP3" s="13284"/>
      <c r="DQ3" s="13282" t="s">
        <v>12</v>
      </c>
      <c r="DR3" s="13284"/>
      <c r="DS3" s="13282" t="s">
        <v>13</v>
      </c>
      <c r="DT3" s="13283"/>
      <c r="DU3" s="13283"/>
      <c r="DV3" s="13283"/>
      <c r="DW3" s="13283"/>
      <c r="DX3" s="13283"/>
      <c r="DY3" s="13283"/>
      <c r="DZ3" s="15143" t="s">
        <v>14</v>
      </c>
      <c r="EA3" s="15144"/>
      <c r="EB3" s="15144"/>
      <c r="EC3" s="15144"/>
      <c r="ED3" s="15144"/>
      <c r="EE3" s="15144"/>
      <c r="EF3" s="15144"/>
      <c r="EG3" s="15144"/>
      <c r="EH3" s="15144" t="s">
        <v>15</v>
      </c>
      <c r="EI3" s="15144"/>
      <c r="EJ3" s="15144"/>
      <c r="EK3" s="15144"/>
      <c r="EL3" s="15144"/>
      <c r="EM3" s="15198"/>
      <c r="EN3" s="15199" t="s">
        <v>16</v>
      </c>
      <c r="EO3" s="15183" t="s">
        <v>17</v>
      </c>
      <c r="EP3" s="15145" t="s">
        <v>18</v>
      </c>
      <c r="EQ3" s="3375" t="s">
        <v>19</v>
      </c>
      <c r="ER3" s="3376" t="s">
        <v>20</v>
      </c>
      <c r="ES3" s="15135" t="s">
        <v>21</v>
      </c>
      <c r="ET3" s="13279" t="s">
        <v>22</v>
      </c>
      <c r="EU3" s="13280"/>
      <c r="EV3" s="13281"/>
      <c r="EW3" s="12" t="s">
        <v>20</v>
      </c>
    </row>
    <row r="4" spans="1:172" ht="15" customHeight="1" thickBot="1">
      <c r="A4" s="120" t="s">
        <v>1501</v>
      </c>
      <c r="B4" s="114" t="s">
        <v>520</v>
      </c>
      <c r="C4" s="114" t="s">
        <v>55</v>
      </c>
      <c r="D4" s="114" t="s">
        <v>4635</v>
      </c>
      <c r="E4" s="114"/>
      <c r="F4" s="114" t="s">
        <v>1502</v>
      </c>
      <c r="G4" s="114" t="s">
        <v>57</v>
      </c>
      <c r="H4" s="128" t="s">
        <v>2284</v>
      </c>
      <c r="I4" s="129" t="s">
        <v>367</v>
      </c>
      <c r="J4" s="3436" t="s">
        <v>10056</v>
      </c>
      <c r="K4" s="129" t="s">
        <v>522</v>
      </c>
      <c r="L4" s="129" t="s">
        <v>523</v>
      </c>
      <c r="M4" s="115" t="s">
        <v>1503</v>
      </c>
      <c r="N4" s="115" t="s">
        <v>364</v>
      </c>
      <c r="O4" s="116" t="s">
        <v>58</v>
      </c>
      <c r="P4" s="116" t="s">
        <v>1721</v>
      </c>
      <c r="Q4" s="116" t="s">
        <v>1722</v>
      </c>
      <c r="R4" s="15614"/>
      <c r="S4" s="13296"/>
      <c r="T4" s="13296"/>
      <c r="U4" s="13298"/>
      <c r="V4" s="13309"/>
      <c r="W4" s="13311"/>
      <c r="X4" s="13313"/>
      <c r="Y4" s="13315"/>
      <c r="Z4" s="13309"/>
      <c r="AA4" s="13" t="s">
        <v>23</v>
      </c>
      <c r="AB4" s="14" t="s">
        <v>24</v>
      </c>
      <c r="AC4" s="13" t="s">
        <v>25</v>
      </c>
      <c r="AD4" s="14" t="s">
        <v>26</v>
      </c>
      <c r="AE4" s="15" t="s">
        <v>27</v>
      </c>
      <c r="AF4" s="16" t="s">
        <v>28</v>
      </c>
      <c r="AG4" s="17" t="s">
        <v>29</v>
      </c>
      <c r="AH4" s="17" t="s">
        <v>30</v>
      </c>
      <c r="AI4" s="17" t="s">
        <v>31</v>
      </c>
      <c r="AJ4" s="17" t="s">
        <v>32</v>
      </c>
      <c r="AK4" s="18" t="s">
        <v>33</v>
      </c>
      <c r="AL4" s="15" t="s">
        <v>34</v>
      </c>
      <c r="AM4" s="17" t="s">
        <v>35</v>
      </c>
      <c r="AN4" s="17" t="s">
        <v>36</v>
      </c>
      <c r="AO4" s="17" t="s">
        <v>37</v>
      </c>
      <c r="AP4" s="17" t="s">
        <v>38</v>
      </c>
      <c r="AQ4" s="17" t="s">
        <v>39</v>
      </c>
      <c r="AR4" s="17" t="s">
        <v>40</v>
      </c>
      <c r="AS4" s="18" t="s">
        <v>41</v>
      </c>
      <c r="AT4" s="19" t="s">
        <v>42</v>
      </c>
      <c r="AU4" s="17" t="s">
        <v>43</v>
      </c>
      <c r="AV4" s="17" t="s">
        <v>44</v>
      </c>
      <c r="AW4" s="17" t="s">
        <v>45</v>
      </c>
      <c r="AX4" s="17" t="s">
        <v>46</v>
      </c>
      <c r="AY4" s="20" t="s">
        <v>47</v>
      </c>
      <c r="AZ4" s="13289"/>
      <c r="BA4" s="13289"/>
      <c r="BB4" s="13276"/>
      <c r="BC4" s="840" t="s">
        <v>48</v>
      </c>
      <c r="BD4" s="21" t="s">
        <v>49</v>
      </c>
      <c r="BE4" s="13278"/>
      <c r="BF4" s="9" t="s">
        <v>50</v>
      </c>
      <c r="BG4" s="9" t="s">
        <v>51</v>
      </c>
      <c r="BH4" s="9" t="s">
        <v>52</v>
      </c>
      <c r="BI4" s="22" t="s">
        <v>49</v>
      </c>
      <c r="BJ4" s="15614"/>
      <c r="BK4" s="15658"/>
      <c r="BL4" s="15626"/>
      <c r="BM4" s="13296"/>
      <c r="BN4" s="15628"/>
      <c r="BO4" s="14606"/>
      <c r="BP4" s="14612"/>
      <c r="BQ4" s="14578"/>
      <c r="BR4" s="14580"/>
      <c r="BS4" s="14606"/>
      <c r="BT4" s="501" t="s">
        <v>23</v>
      </c>
      <c r="BU4" s="502" t="s">
        <v>24</v>
      </c>
      <c r="BV4" s="501" t="s">
        <v>25</v>
      </c>
      <c r="BW4" s="502" t="s">
        <v>26</v>
      </c>
      <c r="BX4" s="501" t="s">
        <v>27</v>
      </c>
      <c r="BY4" s="836" t="s">
        <v>28</v>
      </c>
      <c r="BZ4" s="836" t="s">
        <v>29</v>
      </c>
      <c r="CA4" s="836" t="s">
        <v>30</v>
      </c>
      <c r="CB4" s="836" t="s">
        <v>31</v>
      </c>
      <c r="CC4" s="836" t="s">
        <v>32</v>
      </c>
      <c r="CD4" s="502" t="s">
        <v>33</v>
      </c>
      <c r="CE4" s="501" t="s">
        <v>34</v>
      </c>
      <c r="CF4" s="836" t="s">
        <v>35</v>
      </c>
      <c r="CG4" s="836" t="s">
        <v>36</v>
      </c>
      <c r="CH4" s="836" t="s">
        <v>37</v>
      </c>
      <c r="CI4" s="836" t="s">
        <v>38</v>
      </c>
      <c r="CJ4" s="836" t="s">
        <v>39</v>
      </c>
      <c r="CK4" s="836" t="s">
        <v>40</v>
      </c>
      <c r="CL4" s="502" t="s">
        <v>41</v>
      </c>
      <c r="CM4" s="837" t="s">
        <v>42</v>
      </c>
      <c r="CN4" s="836" t="s">
        <v>43</v>
      </c>
      <c r="CO4" s="836" t="s">
        <v>44</v>
      </c>
      <c r="CP4" s="836" t="s">
        <v>45</v>
      </c>
      <c r="CQ4" s="836" t="s">
        <v>46</v>
      </c>
      <c r="CR4" s="838" t="s">
        <v>47</v>
      </c>
      <c r="CS4" s="15648"/>
      <c r="CT4" s="15648"/>
      <c r="CU4" s="15638"/>
      <c r="CV4" s="841" t="s">
        <v>48</v>
      </c>
      <c r="CW4" s="503" t="s">
        <v>49</v>
      </c>
      <c r="CX4" s="15640"/>
      <c r="CY4" s="504" t="s">
        <v>50</v>
      </c>
      <c r="CZ4" s="504" t="s">
        <v>51</v>
      </c>
      <c r="DA4" s="504" t="s">
        <v>52</v>
      </c>
      <c r="DB4" s="505" t="s">
        <v>49</v>
      </c>
      <c r="DD4" s="14601"/>
      <c r="DE4" s="15137"/>
      <c r="DF4" s="15137"/>
      <c r="DG4" s="13296"/>
      <c r="DH4" s="13296"/>
      <c r="DI4" s="13298"/>
      <c r="DJ4" s="14606"/>
      <c r="DK4" s="14612"/>
      <c r="DL4" s="14578"/>
      <c r="DM4" s="14580"/>
      <c r="DN4" s="13309"/>
      <c r="DO4" s="3462" t="s">
        <v>23</v>
      </c>
      <c r="DP4" s="3463" t="s">
        <v>24</v>
      </c>
      <c r="DQ4" s="3462" t="s">
        <v>25</v>
      </c>
      <c r="DR4" s="3463" t="s">
        <v>26</v>
      </c>
      <c r="DS4" s="3464" t="s">
        <v>27</v>
      </c>
      <c r="DT4" s="3465" t="s">
        <v>28</v>
      </c>
      <c r="DU4" s="3466" t="s">
        <v>29</v>
      </c>
      <c r="DV4" s="3466" t="s">
        <v>30</v>
      </c>
      <c r="DW4" s="3466" t="s">
        <v>31</v>
      </c>
      <c r="DX4" s="3466" t="s">
        <v>32</v>
      </c>
      <c r="DY4" s="3373" t="s">
        <v>33</v>
      </c>
      <c r="DZ4" s="3464" t="s">
        <v>34</v>
      </c>
      <c r="EA4" s="3466" t="s">
        <v>35</v>
      </c>
      <c r="EB4" s="3466" t="s">
        <v>36</v>
      </c>
      <c r="EC4" s="3466" t="s">
        <v>37</v>
      </c>
      <c r="ED4" s="3466" t="s">
        <v>38</v>
      </c>
      <c r="EE4" s="3466" t="s">
        <v>39</v>
      </c>
      <c r="EF4" s="3466" t="s">
        <v>40</v>
      </c>
      <c r="EG4" s="3466" t="s">
        <v>41</v>
      </c>
      <c r="EH4" s="3466" t="s">
        <v>42</v>
      </c>
      <c r="EI4" s="3466" t="s">
        <v>43</v>
      </c>
      <c r="EJ4" s="3466" t="s">
        <v>44</v>
      </c>
      <c r="EK4" s="3466" t="s">
        <v>45</v>
      </c>
      <c r="EL4" s="3466" t="s">
        <v>46</v>
      </c>
      <c r="EM4" s="3467" t="s">
        <v>47</v>
      </c>
      <c r="EN4" s="15200"/>
      <c r="EO4" s="15184"/>
      <c r="EP4" s="15146"/>
      <c r="EQ4" s="3468" t="s">
        <v>48</v>
      </c>
      <c r="ER4" s="3469" t="s">
        <v>49</v>
      </c>
      <c r="ES4" s="15136"/>
      <c r="ET4" s="2216" t="s">
        <v>50</v>
      </c>
      <c r="EU4" s="2216" t="s">
        <v>51</v>
      </c>
      <c r="EV4" s="2216" t="s">
        <v>52</v>
      </c>
      <c r="EW4" s="2217" t="s">
        <v>49</v>
      </c>
      <c r="EX4" s="1791"/>
      <c r="EY4" s="1791"/>
      <c r="EZ4" s="1791"/>
      <c r="FA4" s="1791"/>
      <c r="FB4" s="1791"/>
      <c r="FC4" s="1791"/>
      <c r="FD4" s="1791"/>
      <c r="FE4" s="1791"/>
      <c r="FF4" s="1791"/>
      <c r="FG4" s="1791"/>
      <c r="FH4" s="1791"/>
      <c r="FI4" s="1791"/>
      <c r="FJ4" s="1791"/>
      <c r="FK4" s="1791"/>
      <c r="FL4" s="1791"/>
      <c r="FM4" s="1791"/>
      <c r="FN4" s="1791"/>
      <c r="FO4" s="1791"/>
      <c r="FP4" s="1791"/>
    </row>
    <row r="5" spans="1:172" s="1810" customFormat="1" ht="15" customHeight="1">
      <c r="A5" s="15567" t="s">
        <v>1504</v>
      </c>
      <c r="B5" s="15588" t="s">
        <v>1505</v>
      </c>
      <c r="C5" s="15683" t="s">
        <v>1506</v>
      </c>
      <c r="D5" s="15601" t="s">
        <v>7778</v>
      </c>
      <c r="E5" s="3030" t="s">
        <v>1507</v>
      </c>
      <c r="F5" s="15601" t="s">
        <v>1507</v>
      </c>
      <c r="G5" s="15601" t="s">
        <v>1451</v>
      </c>
      <c r="H5" s="15601">
        <v>10</v>
      </c>
      <c r="I5" s="15601" t="s">
        <v>1508</v>
      </c>
      <c r="J5" s="3049" t="s">
        <v>86</v>
      </c>
      <c r="K5" s="3661" t="s">
        <v>1509</v>
      </c>
      <c r="L5" s="3661"/>
      <c r="M5" s="3030" t="s">
        <v>1510</v>
      </c>
      <c r="N5" s="3030" t="s">
        <v>1511</v>
      </c>
      <c r="O5" s="3030" t="s">
        <v>1512</v>
      </c>
      <c r="P5" s="3030">
        <v>1</v>
      </c>
      <c r="Q5" s="3030">
        <v>5</v>
      </c>
      <c r="R5" s="3478">
        <v>1</v>
      </c>
      <c r="S5" s="3479" t="s">
        <v>3536</v>
      </c>
      <c r="T5" s="1812" t="s">
        <v>3537</v>
      </c>
      <c r="U5" s="3479" t="s">
        <v>3538</v>
      </c>
      <c r="V5" s="3480">
        <v>20000000</v>
      </c>
      <c r="W5" s="1812"/>
      <c r="X5" s="3480">
        <v>20000000</v>
      </c>
      <c r="Y5" s="1812"/>
      <c r="Z5" s="1812">
        <v>1058</v>
      </c>
      <c r="AA5" s="1812">
        <v>448</v>
      </c>
      <c r="AB5" s="1812">
        <v>610</v>
      </c>
      <c r="AC5" s="1812"/>
      <c r="AD5" s="1812"/>
      <c r="AE5" s="1812">
        <v>0</v>
      </c>
      <c r="AF5" s="1812">
        <v>145</v>
      </c>
      <c r="AG5" s="1812">
        <v>218</v>
      </c>
      <c r="AH5" s="1812">
        <v>122</v>
      </c>
      <c r="AI5" s="1812">
        <v>113</v>
      </c>
      <c r="AJ5" s="1812">
        <v>113</v>
      </c>
      <c r="AK5" s="1812">
        <v>14</v>
      </c>
      <c r="AL5" s="1812">
        <v>898</v>
      </c>
      <c r="AM5" s="1812">
        <v>12</v>
      </c>
      <c r="AN5" s="1812">
        <v>30</v>
      </c>
      <c r="AO5" s="1812">
        <v>92</v>
      </c>
      <c r="AP5" s="1812">
        <v>25</v>
      </c>
      <c r="AQ5" s="1812"/>
      <c r="AR5" s="1812"/>
      <c r="AS5" s="1812">
        <v>1</v>
      </c>
      <c r="AT5" s="1812">
        <v>1019</v>
      </c>
      <c r="AU5" s="1812">
        <v>23</v>
      </c>
      <c r="AV5" s="1812">
        <v>16</v>
      </c>
      <c r="AW5" s="1812"/>
      <c r="AX5" s="1812">
        <v>0</v>
      </c>
      <c r="AY5" s="1812"/>
      <c r="AZ5" s="1812"/>
      <c r="BA5" s="1812"/>
      <c r="BB5" s="1812"/>
      <c r="BC5" s="1812"/>
      <c r="BD5" s="1812"/>
      <c r="BE5" s="1812"/>
      <c r="BF5" s="1812"/>
      <c r="BG5" s="1812"/>
      <c r="BH5" s="1812"/>
      <c r="BI5" s="1812"/>
      <c r="BJ5" s="15659">
        <v>1</v>
      </c>
      <c r="BK5" s="15662">
        <f>AVERAGE(BJ5:BJ14)</f>
        <v>1</v>
      </c>
      <c r="BL5" s="3481" t="s">
        <v>3536</v>
      </c>
      <c r="BM5" s="3482" t="s">
        <v>3537</v>
      </c>
      <c r="BN5" s="3483" t="s">
        <v>9659</v>
      </c>
      <c r="BO5" s="3484">
        <v>40000000</v>
      </c>
      <c r="BP5" s="3484">
        <v>0</v>
      </c>
      <c r="BQ5" s="3484">
        <v>40000000</v>
      </c>
      <c r="BR5" s="3484">
        <v>0</v>
      </c>
      <c r="BS5" s="3484">
        <v>1058</v>
      </c>
      <c r="BT5" s="3484">
        <v>448</v>
      </c>
      <c r="BU5" s="3484">
        <v>610</v>
      </c>
      <c r="BV5" s="3484"/>
      <c r="BW5" s="3484"/>
      <c r="BX5" s="3484">
        <v>0</v>
      </c>
      <c r="BY5" s="3484">
        <v>145</v>
      </c>
      <c r="BZ5" s="3484">
        <v>218</v>
      </c>
      <c r="CA5" s="3484">
        <v>122</v>
      </c>
      <c r="CB5" s="3484">
        <v>113</v>
      </c>
      <c r="CC5" s="3484">
        <v>113</v>
      </c>
      <c r="CD5" s="3484">
        <v>14</v>
      </c>
      <c r="CE5" s="3484">
        <v>898</v>
      </c>
      <c r="CF5" s="3484">
        <v>12</v>
      </c>
      <c r="CG5" s="3484">
        <v>30</v>
      </c>
      <c r="CH5" s="3484">
        <v>92</v>
      </c>
      <c r="CI5" s="3484">
        <v>25</v>
      </c>
      <c r="CJ5" s="3484"/>
      <c r="CK5" s="3484"/>
      <c r="CL5" s="3484">
        <v>1</v>
      </c>
      <c r="CM5" s="3484">
        <v>1019</v>
      </c>
      <c r="CN5" s="3484">
        <v>23</v>
      </c>
      <c r="CO5" s="3484">
        <v>16</v>
      </c>
      <c r="CP5" s="3484"/>
      <c r="CQ5" s="3484">
        <v>0</v>
      </c>
      <c r="CR5" s="3484"/>
      <c r="CS5" s="3484"/>
      <c r="CT5" s="3484"/>
      <c r="CU5" s="3484"/>
      <c r="CV5" s="3484"/>
      <c r="CW5" s="3484"/>
      <c r="CX5" s="3484"/>
      <c r="CY5" s="3484"/>
      <c r="CZ5" s="3484"/>
      <c r="DA5" s="3484"/>
      <c r="DB5" s="3484"/>
      <c r="DC5" s="1809"/>
      <c r="DD5" s="3485"/>
      <c r="DE5" s="1588"/>
      <c r="DF5" s="1588"/>
      <c r="DG5" s="1588"/>
      <c r="DH5" s="1588"/>
      <c r="DI5" s="3486"/>
      <c r="DJ5" s="3776"/>
      <c r="DK5" s="3765"/>
      <c r="DL5" s="1588"/>
      <c r="DM5" s="3486"/>
      <c r="DN5" s="3765"/>
      <c r="DO5" s="1588"/>
      <c r="DP5" s="3486"/>
      <c r="DQ5" s="3765"/>
      <c r="DR5" s="3486"/>
      <c r="DS5" s="3765"/>
      <c r="DT5" s="1588"/>
      <c r="DU5" s="1588"/>
      <c r="DV5" s="1588"/>
      <c r="DW5" s="1588"/>
      <c r="DX5" s="1588"/>
      <c r="DY5" s="3486"/>
      <c r="DZ5" s="3765"/>
      <c r="EA5" s="1588"/>
      <c r="EB5" s="1588"/>
      <c r="EC5" s="1588"/>
      <c r="ED5" s="1588"/>
      <c r="EE5" s="1588"/>
      <c r="EF5" s="1588"/>
      <c r="EG5" s="1588"/>
      <c r="EH5" s="1588"/>
      <c r="EI5" s="1588"/>
      <c r="EJ5" s="1588"/>
      <c r="EK5" s="1588"/>
      <c r="EL5" s="1588"/>
      <c r="EM5" s="3486"/>
      <c r="EN5" s="3765"/>
      <c r="EO5" s="1588"/>
      <c r="EP5" s="1588"/>
      <c r="EQ5" s="1588"/>
      <c r="ER5" s="3486"/>
      <c r="ES5" s="3765"/>
      <c r="ET5" s="1588"/>
      <c r="EU5" s="1588"/>
      <c r="EV5" s="1588"/>
      <c r="EW5" s="3486"/>
    </row>
    <row r="6" spans="1:172" s="1810" customFormat="1" ht="15" customHeight="1">
      <c r="A6" s="15568"/>
      <c r="B6" s="15615"/>
      <c r="C6" s="15568"/>
      <c r="D6" s="15619"/>
      <c r="E6" s="2726"/>
      <c r="F6" s="15619"/>
      <c r="G6" s="15619"/>
      <c r="H6" s="15619"/>
      <c r="I6" s="15619"/>
      <c r="J6" s="3050" t="s">
        <v>10063</v>
      </c>
      <c r="K6" s="3899"/>
      <c r="L6" s="3899" t="s">
        <v>79</v>
      </c>
      <c r="M6" s="2726"/>
      <c r="N6" s="2726"/>
      <c r="O6" s="2726"/>
      <c r="P6" s="2726"/>
      <c r="Q6" s="2726"/>
      <c r="R6" s="2606"/>
      <c r="S6" s="2582"/>
      <c r="T6" s="2621"/>
      <c r="U6" s="2582"/>
      <c r="V6" s="3488"/>
      <c r="W6" s="2621"/>
      <c r="X6" s="3488"/>
      <c r="Y6" s="2621"/>
      <c r="Z6" s="2621"/>
      <c r="AA6" s="2621"/>
      <c r="AB6" s="2621"/>
      <c r="AC6" s="2621"/>
      <c r="AD6" s="2621"/>
      <c r="AE6" s="2621"/>
      <c r="AF6" s="2621"/>
      <c r="AG6" s="2621"/>
      <c r="AH6" s="2621"/>
      <c r="AI6" s="2621"/>
      <c r="AJ6" s="2621"/>
      <c r="AK6" s="2621"/>
      <c r="AL6" s="2621"/>
      <c r="AM6" s="2621"/>
      <c r="AN6" s="2621"/>
      <c r="AO6" s="2621"/>
      <c r="AP6" s="2621"/>
      <c r="AQ6" s="2621"/>
      <c r="AR6" s="2621"/>
      <c r="AS6" s="2621"/>
      <c r="AT6" s="2621"/>
      <c r="AU6" s="2621"/>
      <c r="AV6" s="2621"/>
      <c r="AW6" s="2621"/>
      <c r="AX6" s="2621"/>
      <c r="AY6" s="2621"/>
      <c r="AZ6" s="2621"/>
      <c r="BA6" s="2621"/>
      <c r="BB6" s="2621"/>
      <c r="BC6" s="2621"/>
      <c r="BD6" s="2621"/>
      <c r="BE6" s="2621"/>
      <c r="BF6" s="2621"/>
      <c r="BG6" s="2621"/>
      <c r="BH6" s="2621"/>
      <c r="BI6" s="2621"/>
      <c r="BJ6" s="15660"/>
      <c r="BK6" s="15663"/>
      <c r="BL6" s="3489"/>
      <c r="BM6" s="3490"/>
      <c r="BN6" s="3491"/>
      <c r="BO6" s="3492"/>
      <c r="BP6" s="3492"/>
      <c r="BQ6" s="3492"/>
      <c r="BR6" s="3492"/>
      <c r="BS6" s="3492"/>
      <c r="BT6" s="3492"/>
      <c r="BU6" s="3492"/>
      <c r="BV6" s="3492"/>
      <c r="BW6" s="3492"/>
      <c r="BX6" s="3492"/>
      <c r="BY6" s="3492"/>
      <c r="BZ6" s="3492"/>
      <c r="CA6" s="3492"/>
      <c r="CB6" s="3492"/>
      <c r="CC6" s="3492"/>
      <c r="CD6" s="3492"/>
      <c r="CE6" s="3492"/>
      <c r="CF6" s="3492"/>
      <c r="CG6" s="3492"/>
      <c r="CH6" s="3492"/>
      <c r="CI6" s="3492"/>
      <c r="CJ6" s="3492"/>
      <c r="CK6" s="3492"/>
      <c r="CL6" s="3492"/>
      <c r="CM6" s="3492"/>
      <c r="CN6" s="3492"/>
      <c r="CO6" s="3492"/>
      <c r="CP6" s="3492"/>
      <c r="CQ6" s="3492"/>
      <c r="CR6" s="3492"/>
      <c r="CS6" s="3492"/>
      <c r="CT6" s="3492"/>
      <c r="CU6" s="3492"/>
      <c r="CV6" s="3492"/>
      <c r="CW6" s="3492"/>
      <c r="CX6" s="3492"/>
      <c r="CY6" s="3492"/>
      <c r="CZ6" s="3492"/>
      <c r="DA6" s="3492"/>
      <c r="DB6" s="3492"/>
      <c r="DC6" s="1809"/>
      <c r="DD6" s="3474"/>
      <c r="DE6" s="3470"/>
      <c r="DF6" s="3470"/>
      <c r="DG6" s="3470"/>
      <c r="DH6" s="3470"/>
      <c r="DI6" s="3475"/>
      <c r="DJ6" s="3777"/>
      <c r="DK6" s="3766"/>
      <c r="DL6" s="3470"/>
      <c r="DM6" s="3475"/>
      <c r="DN6" s="3766"/>
      <c r="DO6" s="3470"/>
      <c r="DP6" s="3475"/>
      <c r="DQ6" s="3766"/>
      <c r="DR6" s="3475"/>
      <c r="DS6" s="3766"/>
      <c r="DT6" s="3470"/>
      <c r="DU6" s="3470"/>
      <c r="DV6" s="3470"/>
      <c r="DW6" s="3470"/>
      <c r="DX6" s="3470"/>
      <c r="DY6" s="3475"/>
      <c r="DZ6" s="3766"/>
      <c r="EA6" s="3470"/>
      <c r="EB6" s="3470"/>
      <c r="EC6" s="3470"/>
      <c r="ED6" s="3470"/>
      <c r="EE6" s="3470"/>
      <c r="EF6" s="3470"/>
      <c r="EG6" s="3470"/>
      <c r="EH6" s="3470"/>
      <c r="EI6" s="3470"/>
      <c r="EJ6" s="3470"/>
      <c r="EK6" s="3470"/>
      <c r="EL6" s="3470"/>
      <c r="EM6" s="3475"/>
      <c r="EN6" s="3766"/>
      <c r="EO6" s="3470"/>
      <c r="EP6" s="3470"/>
      <c r="EQ6" s="3470"/>
      <c r="ER6" s="3475"/>
      <c r="ES6" s="3766"/>
      <c r="ET6" s="3470"/>
      <c r="EU6" s="3470"/>
      <c r="EV6" s="3470"/>
      <c r="EW6" s="3475"/>
    </row>
    <row r="7" spans="1:172" s="1810" customFormat="1" ht="15" customHeight="1">
      <c r="A7" s="15568"/>
      <c r="B7" s="15588"/>
      <c r="C7" s="15568"/>
      <c r="D7" s="15601"/>
      <c r="E7" s="3030"/>
      <c r="F7" s="15601"/>
      <c r="G7" s="15601"/>
      <c r="H7" s="15601"/>
      <c r="I7" s="15601"/>
      <c r="J7" s="3051" t="s">
        <v>10066</v>
      </c>
      <c r="K7" s="3661"/>
      <c r="L7" s="3661" t="s">
        <v>298</v>
      </c>
      <c r="M7" s="3030"/>
      <c r="N7" s="3030"/>
      <c r="O7" s="3030"/>
      <c r="P7" s="3030"/>
      <c r="Q7" s="3030"/>
      <c r="R7" s="3478"/>
      <c r="S7" s="3479"/>
      <c r="T7" s="1812"/>
      <c r="U7" s="3479"/>
      <c r="V7" s="3480"/>
      <c r="W7" s="1812"/>
      <c r="X7" s="3480"/>
      <c r="Y7" s="1812"/>
      <c r="Z7" s="1812"/>
      <c r="AA7" s="1812"/>
      <c r="AB7" s="1812"/>
      <c r="AC7" s="1812"/>
      <c r="AD7" s="1812"/>
      <c r="AE7" s="1812"/>
      <c r="AF7" s="1812"/>
      <c r="AG7" s="1812"/>
      <c r="AH7" s="1812"/>
      <c r="AI7" s="1812"/>
      <c r="AJ7" s="1812"/>
      <c r="AK7" s="1812"/>
      <c r="AL7" s="1812"/>
      <c r="AM7" s="1812"/>
      <c r="AN7" s="1812"/>
      <c r="AO7" s="1812"/>
      <c r="AP7" s="1812"/>
      <c r="AQ7" s="1812"/>
      <c r="AR7" s="1812"/>
      <c r="AS7" s="1812"/>
      <c r="AT7" s="1812"/>
      <c r="AU7" s="1812"/>
      <c r="AV7" s="1812"/>
      <c r="AW7" s="1812"/>
      <c r="AX7" s="1812"/>
      <c r="AY7" s="1812"/>
      <c r="AZ7" s="1812"/>
      <c r="BA7" s="1812"/>
      <c r="BB7" s="1812"/>
      <c r="BC7" s="1812"/>
      <c r="BD7" s="1812"/>
      <c r="BE7" s="1812"/>
      <c r="BF7" s="1812"/>
      <c r="BG7" s="1812"/>
      <c r="BH7" s="1812"/>
      <c r="BI7" s="1812"/>
      <c r="BJ7" s="15661"/>
      <c r="BK7" s="15664"/>
      <c r="BL7" s="3481"/>
      <c r="BM7" s="3482"/>
      <c r="BN7" s="3483"/>
      <c r="BO7" s="3484">
        <v>0</v>
      </c>
      <c r="BP7" s="3484">
        <v>0</v>
      </c>
      <c r="BQ7" s="3484"/>
      <c r="BR7" s="3484">
        <v>0</v>
      </c>
      <c r="BS7" s="3484">
        <v>0</v>
      </c>
      <c r="BT7" s="3484">
        <v>0</v>
      </c>
      <c r="BU7" s="3484">
        <v>0</v>
      </c>
      <c r="BV7" s="3484"/>
      <c r="BW7" s="3484"/>
      <c r="BX7" s="3484"/>
      <c r="BY7" s="3484"/>
      <c r="BZ7" s="3484"/>
      <c r="CA7" s="3484"/>
      <c r="CB7" s="3484"/>
      <c r="CC7" s="3484"/>
      <c r="CD7" s="3484"/>
      <c r="CE7" s="3484"/>
      <c r="CF7" s="3484"/>
      <c r="CG7" s="3484"/>
      <c r="CH7" s="3484"/>
      <c r="CI7" s="3484"/>
      <c r="CJ7" s="3484"/>
      <c r="CK7" s="3484"/>
      <c r="CL7" s="3484"/>
      <c r="CM7" s="3484"/>
      <c r="CN7" s="3484"/>
      <c r="CO7" s="3484"/>
      <c r="CP7" s="3484"/>
      <c r="CQ7" s="3484"/>
      <c r="CR7" s="3484"/>
      <c r="CS7" s="3484"/>
      <c r="CT7" s="3484"/>
      <c r="CU7" s="3484"/>
      <c r="CV7" s="3484"/>
      <c r="CW7" s="3484"/>
      <c r="CX7" s="3484"/>
      <c r="CY7" s="3484"/>
      <c r="CZ7" s="3484"/>
      <c r="DA7" s="3484"/>
      <c r="DB7" s="3484"/>
      <c r="DC7" s="1809"/>
      <c r="DD7" s="3474"/>
      <c r="DE7" s="3470"/>
      <c r="DF7" s="3470"/>
      <c r="DG7" s="3470"/>
      <c r="DH7" s="3470"/>
      <c r="DI7" s="3475"/>
      <c r="DJ7" s="3777"/>
      <c r="DK7" s="3766"/>
      <c r="DL7" s="3470"/>
      <c r="DM7" s="3475"/>
      <c r="DN7" s="3766"/>
      <c r="DO7" s="3470"/>
      <c r="DP7" s="3475"/>
      <c r="DQ7" s="3766"/>
      <c r="DR7" s="3475"/>
      <c r="DS7" s="3766"/>
      <c r="DT7" s="3470"/>
      <c r="DU7" s="3470"/>
      <c r="DV7" s="3470"/>
      <c r="DW7" s="3470"/>
      <c r="DX7" s="3470"/>
      <c r="DY7" s="3475"/>
      <c r="DZ7" s="3766"/>
      <c r="EA7" s="3470"/>
      <c r="EB7" s="3470"/>
      <c r="EC7" s="3470"/>
      <c r="ED7" s="3470"/>
      <c r="EE7" s="3470"/>
      <c r="EF7" s="3470"/>
      <c r="EG7" s="3470"/>
      <c r="EH7" s="3470"/>
      <c r="EI7" s="3470"/>
      <c r="EJ7" s="3470"/>
      <c r="EK7" s="3470"/>
      <c r="EL7" s="3470"/>
      <c r="EM7" s="3475"/>
      <c r="EN7" s="3766"/>
      <c r="EO7" s="3470"/>
      <c r="EP7" s="3470"/>
      <c r="EQ7" s="3470"/>
      <c r="ER7" s="3475"/>
      <c r="ES7" s="3766"/>
      <c r="ET7" s="3470"/>
      <c r="EU7" s="3470"/>
      <c r="EV7" s="3470"/>
      <c r="EW7" s="3475"/>
    </row>
    <row r="8" spans="1:172" s="1810" customFormat="1" ht="15" customHeight="1">
      <c r="A8" s="15568"/>
      <c r="B8" s="15588"/>
      <c r="C8" s="15568"/>
      <c r="D8" s="3030" t="s">
        <v>7779</v>
      </c>
      <c r="E8" s="3030" t="s">
        <v>1513</v>
      </c>
      <c r="F8" s="3030" t="s">
        <v>1513</v>
      </c>
      <c r="G8" s="3030" t="s">
        <v>1515</v>
      </c>
      <c r="H8" s="3030">
        <v>10</v>
      </c>
      <c r="I8" s="3030" t="s">
        <v>1508</v>
      </c>
      <c r="J8" s="3487" t="s">
        <v>2859</v>
      </c>
      <c r="K8" s="3661" t="s">
        <v>1514</v>
      </c>
      <c r="L8" s="3661"/>
      <c r="M8" s="3030" t="s">
        <v>1510</v>
      </c>
      <c r="N8" s="3030" t="s">
        <v>1511</v>
      </c>
      <c r="O8" s="3030" t="s">
        <v>1516</v>
      </c>
      <c r="P8" s="3030">
        <v>1</v>
      </c>
      <c r="Q8" s="3030">
        <v>5</v>
      </c>
      <c r="R8" s="3493">
        <v>1</v>
      </c>
      <c r="S8" s="3494" t="s">
        <v>3770</v>
      </c>
      <c r="T8" s="3494" t="s">
        <v>3763</v>
      </c>
      <c r="U8" s="1759"/>
      <c r="V8" s="3495">
        <v>64939333</v>
      </c>
      <c r="W8" s="3495">
        <v>64939333</v>
      </c>
      <c r="X8" s="1759"/>
      <c r="Y8" s="1759"/>
      <c r="Z8" s="3004">
        <v>15671</v>
      </c>
      <c r="AA8" s="1759"/>
      <c r="AB8" s="1759"/>
      <c r="AC8" s="1759"/>
      <c r="AD8" s="1759"/>
      <c r="AE8" s="1759"/>
      <c r="AF8" s="1759"/>
      <c r="AG8" s="1759"/>
      <c r="AH8" s="1759"/>
      <c r="AI8" s="1759"/>
      <c r="AJ8" s="1759"/>
      <c r="AK8" s="1759"/>
      <c r="AL8" s="1759"/>
      <c r="AM8" s="1759"/>
      <c r="AN8" s="1759"/>
      <c r="AO8" s="1759"/>
      <c r="AP8" s="1759"/>
      <c r="AQ8" s="1759"/>
      <c r="AR8" s="1759"/>
      <c r="AS8" s="1759"/>
      <c r="AT8" s="1759"/>
      <c r="AU8" s="1759"/>
      <c r="AV8" s="1759"/>
      <c r="AW8" s="1759"/>
      <c r="AX8" s="1759"/>
      <c r="AY8" s="1759"/>
      <c r="AZ8" s="1759"/>
      <c r="BA8" s="1759"/>
      <c r="BB8" s="1759"/>
      <c r="BC8" s="1759"/>
      <c r="BD8" s="1759"/>
      <c r="BE8" s="1759"/>
      <c r="BF8" s="1759"/>
      <c r="BG8" s="1759"/>
      <c r="BH8" s="1759"/>
      <c r="BI8" s="3496" t="s">
        <v>3771</v>
      </c>
      <c r="BJ8" s="1590">
        <v>1</v>
      </c>
      <c r="BK8" s="15664"/>
      <c r="BL8" s="3494" t="s">
        <v>8767</v>
      </c>
      <c r="BM8" s="3494" t="s">
        <v>3763</v>
      </c>
      <c r="BN8" s="1592"/>
      <c r="BO8" s="1614">
        <v>58037398</v>
      </c>
      <c r="BP8" s="1614">
        <v>58037398</v>
      </c>
      <c r="BQ8" s="1592">
        <v>0</v>
      </c>
      <c r="BR8" s="1592">
        <v>0</v>
      </c>
      <c r="BS8" s="3497">
        <v>17573</v>
      </c>
      <c r="BT8" s="1592">
        <v>0</v>
      </c>
      <c r="BU8" s="1592">
        <v>0</v>
      </c>
      <c r="BV8" s="1592">
        <v>0</v>
      </c>
      <c r="BW8" s="1592">
        <v>0</v>
      </c>
      <c r="BX8" s="1592"/>
      <c r="BY8" s="1592"/>
      <c r="BZ8" s="1592">
        <v>0</v>
      </c>
      <c r="CA8" s="1592">
        <v>0</v>
      </c>
      <c r="CB8" s="1592"/>
      <c r="CC8" s="1592"/>
      <c r="CD8" s="1592"/>
      <c r="CE8" s="1592"/>
      <c r="CF8" s="1592"/>
      <c r="CG8" s="1592"/>
      <c r="CH8" s="1592"/>
      <c r="CI8" s="1592"/>
      <c r="CJ8" s="1592"/>
      <c r="CK8" s="1592"/>
      <c r="CL8" s="1592"/>
      <c r="CM8" s="1592"/>
      <c r="CN8" s="1592"/>
      <c r="CO8" s="1592"/>
      <c r="CP8" s="1592"/>
      <c r="CQ8" s="1592"/>
      <c r="CR8" s="1592"/>
      <c r="CS8" s="1593" t="s">
        <v>8845</v>
      </c>
      <c r="CT8" s="1593" t="s">
        <v>8846</v>
      </c>
      <c r="CU8" s="3497">
        <v>17.573</v>
      </c>
      <c r="CV8" s="1592"/>
      <c r="CW8" s="1593" t="s">
        <v>8847</v>
      </c>
      <c r="CX8" s="1592"/>
      <c r="CY8" s="1592"/>
      <c r="CZ8" s="1592"/>
      <c r="DA8" s="1592"/>
      <c r="DB8" s="1593"/>
      <c r="DC8" s="1809"/>
      <c r="DD8" s="3474"/>
      <c r="DE8" s="3470"/>
      <c r="DF8" s="3470"/>
      <c r="DG8" s="3470"/>
      <c r="DH8" s="3470"/>
      <c r="DI8" s="3475"/>
      <c r="DJ8" s="3777"/>
      <c r="DK8" s="3766"/>
      <c r="DL8" s="3470"/>
      <c r="DM8" s="3475"/>
      <c r="DN8" s="3766"/>
      <c r="DO8" s="3470"/>
      <c r="DP8" s="3475"/>
      <c r="DQ8" s="3766"/>
      <c r="DR8" s="3475"/>
      <c r="DS8" s="3766"/>
      <c r="DT8" s="3470"/>
      <c r="DU8" s="3470"/>
      <c r="DV8" s="3470"/>
      <c r="DW8" s="3470"/>
      <c r="DX8" s="3470"/>
      <c r="DY8" s="3475"/>
      <c r="DZ8" s="3766"/>
      <c r="EA8" s="3470"/>
      <c r="EB8" s="3470"/>
      <c r="EC8" s="3470"/>
      <c r="ED8" s="3470"/>
      <c r="EE8" s="3470"/>
      <c r="EF8" s="3470"/>
      <c r="EG8" s="3470"/>
      <c r="EH8" s="3470"/>
      <c r="EI8" s="3470"/>
      <c r="EJ8" s="3470"/>
      <c r="EK8" s="3470"/>
      <c r="EL8" s="3470"/>
      <c r="EM8" s="3475"/>
      <c r="EN8" s="3766"/>
      <c r="EO8" s="3470"/>
      <c r="EP8" s="3470"/>
      <c r="EQ8" s="3470"/>
      <c r="ER8" s="3475"/>
      <c r="ES8" s="3766"/>
      <c r="ET8" s="3470"/>
      <c r="EU8" s="3470"/>
      <c r="EV8" s="3470"/>
      <c r="EW8" s="3475"/>
    </row>
    <row r="9" spans="1:172" s="1810" customFormat="1" ht="15" customHeight="1">
      <c r="A9" s="15568"/>
      <c r="B9" s="15588"/>
      <c r="C9" s="15568"/>
      <c r="D9" s="15688" t="s">
        <v>7780</v>
      </c>
      <c r="E9" s="3030" t="s">
        <v>1517</v>
      </c>
      <c r="F9" s="15688" t="s">
        <v>1517</v>
      </c>
      <c r="G9" s="15688" t="s">
        <v>1519</v>
      </c>
      <c r="H9" s="15688">
        <v>10</v>
      </c>
      <c r="I9" s="15688" t="s">
        <v>1518</v>
      </c>
      <c r="J9" s="3487" t="s">
        <v>86</v>
      </c>
      <c r="K9" s="3661" t="s">
        <v>1509</v>
      </c>
      <c r="L9" s="3661"/>
      <c r="M9" s="3030" t="s">
        <v>1510</v>
      </c>
      <c r="N9" s="3030" t="s">
        <v>1511</v>
      </c>
      <c r="O9" s="3030" t="s">
        <v>1520</v>
      </c>
      <c r="P9" s="3030">
        <v>1</v>
      </c>
      <c r="Q9" s="3030">
        <v>5</v>
      </c>
      <c r="R9" s="3478">
        <v>1</v>
      </c>
      <c r="S9" s="3479" t="s">
        <v>3539</v>
      </c>
      <c r="T9" s="1812" t="s">
        <v>3537</v>
      </c>
      <c r="U9" s="3479" t="s">
        <v>3540</v>
      </c>
      <c r="V9" s="3480">
        <v>20000000</v>
      </c>
      <c r="W9" s="1812"/>
      <c r="X9" s="3480">
        <v>20000000</v>
      </c>
      <c r="Y9" s="1812"/>
      <c r="Z9" s="1812">
        <v>2242</v>
      </c>
      <c r="AA9" s="1812">
        <v>944</v>
      </c>
      <c r="AB9" s="1812">
        <v>1300</v>
      </c>
      <c r="AC9" s="1812"/>
      <c r="AD9" s="1812"/>
      <c r="AE9" s="1812">
        <v>82</v>
      </c>
      <c r="AF9" s="1812">
        <v>197</v>
      </c>
      <c r="AG9" s="1812">
        <v>1158</v>
      </c>
      <c r="AH9" s="1812">
        <v>292</v>
      </c>
      <c r="AI9" s="1812">
        <v>242</v>
      </c>
      <c r="AJ9" s="1812">
        <v>175</v>
      </c>
      <c r="AK9" s="1812">
        <v>96</v>
      </c>
      <c r="AL9" s="1812">
        <v>2069</v>
      </c>
      <c r="AM9" s="1812">
        <v>30</v>
      </c>
      <c r="AN9" s="1812">
        <v>89</v>
      </c>
      <c r="AO9" s="1812">
        <v>8</v>
      </c>
      <c r="AP9" s="1812">
        <v>46</v>
      </c>
      <c r="AQ9" s="1812"/>
      <c r="AR9" s="1812"/>
      <c r="AS9" s="1812">
        <v>5</v>
      </c>
      <c r="AT9" s="1812">
        <v>2065</v>
      </c>
      <c r="AU9" s="1812">
        <v>65</v>
      </c>
      <c r="AV9" s="1812">
        <v>14</v>
      </c>
      <c r="AW9" s="1812"/>
      <c r="AX9" s="1812"/>
      <c r="AY9" s="1812"/>
      <c r="AZ9" s="1812"/>
      <c r="BA9" s="1812"/>
      <c r="BB9" s="1812"/>
      <c r="BC9" s="1812"/>
      <c r="BD9" s="1812"/>
      <c r="BE9" s="1812"/>
      <c r="BF9" s="1812"/>
      <c r="BG9" s="1812"/>
      <c r="BH9" s="1812"/>
      <c r="BI9" s="1812"/>
      <c r="BJ9" s="1590">
        <v>1</v>
      </c>
      <c r="BK9" s="15664"/>
      <c r="BL9" s="3498" t="s">
        <v>3539</v>
      </c>
      <c r="BM9" s="3499" t="s">
        <v>3537</v>
      </c>
      <c r="BN9" s="3500" t="s">
        <v>3540</v>
      </c>
      <c r="BO9" s="3484">
        <v>40000000</v>
      </c>
      <c r="BP9" s="3501">
        <v>0</v>
      </c>
      <c r="BQ9" s="3484">
        <v>40000000</v>
      </c>
      <c r="BR9" s="3501"/>
      <c r="BS9" s="3501">
        <v>2242</v>
      </c>
      <c r="BT9" s="3501">
        <v>944</v>
      </c>
      <c r="BU9" s="3501">
        <v>1300</v>
      </c>
      <c r="BV9" s="3501"/>
      <c r="BW9" s="3501"/>
      <c r="BX9" s="3501">
        <v>82</v>
      </c>
      <c r="BY9" s="3501">
        <v>197</v>
      </c>
      <c r="BZ9" s="3501">
        <v>1158</v>
      </c>
      <c r="CA9" s="3501">
        <v>292</v>
      </c>
      <c r="CB9" s="3501">
        <v>242</v>
      </c>
      <c r="CC9" s="3501">
        <v>175</v>
      </c>
      <c r="CD9" s="3501">
        <v>96</v>
      </c>
      <c r="CE9" s="3501">
        <v>2069</v>
      </c>
      <c r="CF9" s="3501">
        <v>30</v>
      </c>
      <c r="CG9" s="3501">
        <v>89</v>
      </c>
      <c r="CH9" s="3501">
        <v>8</v>
      </c>
      <c r="CI9" s="3501">
        <v>46</v>
      </c>
      <c r="CJ9" s="3501"/>
      <c r="CK9" s="3501"/>
      <c r="CL9" s="3501">
        <v>5</v>
      </c>
      <c r="CM9" s="3501">
        <v>2065</v>
      </c>
      <c r="CN9" s="3501">
        <v>65</v>
      </c>
      <c r="CO9" s="3501">
        <v>14</v>
      </c>
      <c r="CP9" s="3501"/>
      <c r="CQ9" s="3501"/>
      <c r="CR9" s="3501"/>
      <c r="CS9" s="3501"/>
      <c r="CT9" s="3501"/>
      <c r="CU9" s="3501"/>
      <c r="CV9" s="3501"/>
      <c r="CW9" s="3501"/>
      <c r="CX9" s="3501"/>
      <c r="CY9" s="3501"/>
      <c r="CZ9" s="3501"/>
      <c r="DA9" s="3501"/>
      <c r="DB9" s="3501"/>
      <c r="DC9" s="1809"/>
      <c r="DD9" s="3474"/>
      <c r="DE9" s="3470"/>
      <c r="DF9" s="3470"/>
      <c r="DG9" s="3470"/>
      <c r="DH9" s="3470"/>
      <c r="DI9" s="3475"/>
      <c r="DJ9" s="3777"/>
      <c r="DK9" s="3766"/>
      <c r="DL9" s="3470"/>
      <c r="DM9" s="3475"/>
      <c r="DN9" s="3766"/>
      <c r="DO9" s="3470"/>
      <c r="DP9" s="3475"/>
      <c r="DQ9" s="3766"/>
      <c r="DR9" s="3475"/>
      <c r="DS9" s="3766"/>
      <c r="DT9" s="3470"/>
      <c r="DU9" s="3470"/>
      <c r="DV9" s="3470"/>
      <c r="DW9" s="3470"/>
      <c r="DX9" s="3470"/>
      <c r="DY9" s="3475"/>
      <c r="DZ9" s="3766"/>
      <c r="EA9" s="3470"/>
      <c r="EB9" s="3470"/>
      <c r="EC9" s="3470"/>
      <c r="ED9" s="3470"/>
      <c r="EE9" s="3470"/>
      <c r="EF9" s="3470"/>
      <c r="EG9" s="3470"/>
      <c r="EH9" s="3470"/>
      <c r="EI9" s="3470"/>
      <c r="EJ9" s="3470"/>
      <c r="EK9" s="3470"/>
      <c r="EL9" s="3470"/>
      <c r="EM9" s="3475"/>
      <c r="EN9" s="3766"/>
      <c r="EO9" s="3470"/>
      <c r="EP9" s="3470"/>
      <c r="EQ9" s="3470"/>
      <c r="ER9" s="3475"/>
      <c r="ES9" s="3766"/>
      <c r="ET9" s="3470"/>
      <c r="EU9" s="3470"/>
      <c r="EV9" s="3470"/>
      <c r="EW9" s="3475"/>
    </row>
    <row r="10" spans="1:172" s="1810" customFormat="1" ht="15" customHeight="1">
      <c r="A10" s="15568"/>
      <c r="B10" s="15615"/>
      <c r="C10" s="15568"/>
      <c r="D10" s="15622"/>
      <c r="E10" s="2726"/>
      <c r="F10" s="15622"/>
      <c r="G10" s="15622"/>
      <c r="H10" s="15622"/>
      <c r="I10" s="15622"/>
      <c r="J10" s="3049" t="s">
        <v>8644</v>
      </c>
      <c r="K10" s="3900"/>
      <c r="L10" s="3661" t="s">
        <v>1446</v>
      </c>
      <c r="M10" s="2726"/>
      <c r="N10" s="2726"/>
      <c r="O10" s="2726"/>
      <c r="P10" s="2726"/>
      <c r="Q10" s="2726"/>
      <c r="R10" s="2606"/>
      <c r="S10" s="2582"/>
      <c r="T10" s="2621"/>
      <c r="U10" s="2582"/>
      <c r="V10" s="3488"/>
      <c r="W10" s="2621"/>
      <c r="X10" s="3488"/>
      <c r="Y10" s="2621"/>
      <c r="Z10" s="2621"/>
      <c r="AA10" s="2621"/>
      <c r="AB10" s="2621"/>
      <c r="AC10" s="2621"/>
      <c r="AD10" s="2621"/>
      <c r="AE10" s="2621"/>
      <c r="AF10" s="2621"/>
      <c r="AG10" s="2621"/>
      <c r="AH10" s="2621"/>
      <c r="AI10" s="2621"/>
      <c r="AJ10" s="2621"/>
      <c r="AK10" s="2621"/>
      <c r="AL10" s="2621"/>
      <c r="AM10" s="2621"/>
      <c r="AN10" s="2621"/>
      <c r="AO10" s="2621"/>
      <c r="AP10" s="2621"/>
      <c r="AQ10" s="2621"/>
      <c r="AR10" s="2621"/>
      <c r="AS10" s="2621"/>
      <c r="AT10" s="2621"/>
      <c r="AU10" s="2621"/>
      <c r="AV10" s="2621"/>
      <c r="AW10" s="2621"/>
      <c r="AX10" s="2621"/>
      <c r="AY10" s="2621"/>
      <c r="AZ10" s="2621"/>
      <c r="BA10" s="2621"/>
      <c r="BB10" s="2621"/>
      <c r="BC10" s="2621"/>
      <c r="BD10" s="2621"/>
      <c r="BE10" s="2621"/>
      <c r="BF10" s="2621"/>
      <c r="BG10" s="2621"/>
      <c r="BH10" s="2621"/>
      <c r="BI10" s="2621"/>
      <c r="BJ10" s="3502"/>
      <c r="BK10" s="15664"/>
      <c r="BL10" s="3503"/>
      <c r="BM10" s="3504"/>
      <c r="BN10" s="3505"/>
      <c r="BO10" s="3492"/>
      <c r="BP10" s="3506"/>
      <c r="BQ10" s="3492"/>
      <c r="BR10" s="3506"/>
      <c r="BS10" s="3506"/>
      <c r="BT10" s="3506"/>
      <c r="BU10" s="3506"/>
      <c r="BV10" s="3506"/>
      <c r="BW10" s="3506"/>
      <c r="BX10" s="3506"/>
      <c r="BY10" s="3506"/>
      <c r="BZ10" s="3506"/>
      <c r="CA10" s="3506"/>
      <c r="CB10" s="3506"/>
      <c r="CC10" s="3506"/>
      <c r="CD10" s="3506"/>
      <c r="CE10" s="3506"/>
      <c r="CF10" s="3506"/>
      <c r="CG10" s="3506"/>
      <c r="CH10" s="3506"/>
      <c r="CI10" s="3506"/>
      <c r="CJ10" s="3506"/>
      <c r="CK10" s="3506"/>
      <c r="CL10" s="3506"/>
      <c r="CM10" s="3506"/>
      <c r="CN10" s="3506"/>
      <c r="CO10" s="3506"/>
      <c r="CP10" s="3506"/>
      <c r="CQ10" s="3506"/>
      <c r="CR10" s="3506"/>
      <c r="CS10" s="3506"/>
      <c r="CT10" s="3506"/>
      <c r="CU10" s="3506"/>
      <c r="CV10" s="3506"/>
      <c r="CW10" s="3506"/>
      <c r="CX10" s="3506"/>
      <c r="CY10" s="3506"/>
      <c r="CZ10" s="3506"/>
      <c r="DA10" s="3506"/>
      <c r="DB10" s="3506"/>
      <c r="DC10" s="1809"/>
      <c r="DD10" s="3474"/>
      <c r="DE10" s="3470"/>
      <c r="DF10" s="3470"/>
      <c r="DG10" s="3470"/>
      <c r="DH10" s="3470"/>
      <c r="DI10" s="3475"/>
      <c r="DJ10" s="3777"/>
      <c r="DK10" s="3766"/>
      <c r="DL10" s="3470"/>
      <c r="DM10" s="3475"/>
      <c r="DN10" s="3766"/>
      <c r="DO10" s="3470"/>
      <c r="DP10" s="3475"/>
      <c r="DQ10" s="3766"/>
      <c r="DR10" s="3475"/>
      <c r="DS10" s="3766"/>
      <c r="DT10" s="3470"/>
      <c r="DU10" s="3470"/>
      <c r="DV10" s="3470"/>
      <c r="DW10" s="3470"/>
      <c r="DX10" s="3470"/>
      <c r="DY10" s="3475"/>
      <c r="DZ10" s="3766"/>
      <c r="EA10" s="3470"/>
      <c r="EB10" s="3470"/>
      <c r="EC10" s="3470"/>
      <c r="ED10" s="3470"/>
      <c r="EE10" s="3470"/>
      <c r="EF10" s="3470"/>
      <c r="EG10" s="3470"/>
      <c r="EH10" s="3470"/>
      <c r="EI10" s="3470"/>
      <c r="EJ10" s="3470"/>
      <c r="EK10" s="3470"/>
      <c r="EL10" s="3470"/>
      <c r="EM10" s="3475"/>
      <c r="EN10" s="3766"/>
      <c r="EO10" s="3470"/>
      <c r="EP10" s="3470"/>
      <c r="EQ10" s="3470"/>
      <c r="ER10" s="3475"/>
      <c r="ES10" s="3766"/>
      <c r="ET10" s="3470"/>
      <c r="EU10" s="3470"/>
      <c r="EV10" s="3470"/>
      <c r="EW10" s="3475"/>
    </row>
    <row r="11" spans="1:172" s="1810" customFormat="1" ht="15" customHeight="1" thickBot="1">
      <c r="A11" s="15568"/>
      <c r="B11" s="15588"/>
      <c r="C11" s="15568"/>
      <c r="D11" s="15621" t="s">
        <v>7781</v>
      </c>
      <c r="E11" s="3030" t="s">
        <v>1521</v>
      </c>
      <c r="F11" s="15621" t="s">
        <v>1521</v>
      </c>
      <c r="G11" s="15621" t="s">
        <v>1522</v>
      </c>
      <c r="H11" s="15623">
        <v>1</v>
      </c>
      <c r="I11" s="15621" t="s">
        <v>700</v>
      </c>
      <c r="J11" s="3049" t="s">
        <v>10066</v>
      </c>
      <c r="K11" s="3901" t="s">
        <v>9307</v>
      </c>
      <c r="L11" s="3661"/>
      <c r="M11" s="3030" t="s">
        <v>1523</v>
      </c>
      <c r="N11" s="3030" t="s">
        <v>1511</v>
      </c>
      <c r="O11" s="3030" t="s">
        <v>1524</v>
      </c>
      <c r="P11" s="3030">
        <v>0</v>
      </c>
      <c r="Q11" s="1813">
        <v>0.45</v>
      </c>
      <c r="R11" s="1802">
        <v>1</v>
      </c>
      <c r="S11" s="3507" t="s">
        <v>3054</v>
      </c>
      <c r="T11" s="3507" t="s">
        <v>3055</v>
      </c>
      <c r="U11" s="3507" t="s">
        <v>3056</v>
      </c>
      <c r="V11" s="3508">
        <f>W11+X11</f>
        <v>35439794.936666682</v>
      </c>
      <c r="W11" s="3508">
        <f>17543672.0846154+15144000</f>
        <v>32687672.084615398</v>
      </c>
      <c r="X11" s="3508">
        <v>2752122.8520512823</v>
      </c>
      <c r="Y11" s="3508">
        <v>0</v>
      </c>
      <c r="Z11" s="1811">
        <f>856+136</f>
        <v>992</v>
      </c>
      <c r="AA11" s="1811">
        <f>489+34</f>
        <v>523</v>
      </c>
      <c r="AB11" s="1811">
        <f>367+30</f>
        <v>397</v>
      </c>
      <c r="AC11" s="1811">
        <v>774</v>
      </c>
      <c r="AD11" s="1811">
        <v>82</v>
      </c>
      <c r="AE11" s="1811"/>
      <c r="AF11" s="3509"/>
      <c r="AG11" s="1811">
        <v>196</v>
      </c>
      <c r="AH11" s="1811">
        <f>660+136</f>
        <v>796</v>
      </c>
      <c r="AI11" s="1811"/>
      <c r="AJ11" s="1811"/>
      <c r="AK11" s="1811"/>
      <c r="AL11" s="1811"/>
      <c r="AM11" s="3509"/>
      <c r="AN11" s="3509"/>
      <c r="AO11" s="3509"/>
      <c r="AP11" s="3509"/>
      <c r="AQ11" s="3509"/>
      <c r="AR11" s="3509"/>
      <c r="AS11" s="3509"/>
      <c r="AT11" s="3509">
        <v>136</v>
      </c>
      <c r="AU11" s="3509"/>
      <c r="AV11" s="3509"/>
      <c r="AW11" s="3509"/>
      <c r="AX11" s="3509"/>
      <c r="AY11" s="3509"/>
      <c r="AZ11" s="3510" t="s">
        <v>3941</v>
      </c>
      <c r="BA11" s="1759"/>
      <c r="BB11" s="1759"/>
      <c r="BC11" s="1759"/>
      <c r="BD11" s="1759"/>
      <c r="BE11" s="1759"/>
      <c r="BF11" s="1759"/>
      <c r="BG11" s="1759"/>
      <c r="BH11" s="1759"/>
      <c r="BI11" s="1759"/>
      <c r="BJ11" s="15659">
        <v>1</v>
      </c>
      <c r="BK11" s="15664"/>
      <c r="BL11" s="3507" t="s">
        <v>8768</v>
      </c>
      <c r="BM11" s="3507" t="s">
        <v>8769</v>
      </c>
      <c r="BN11" s="3511" t="s">
        <v>8770</v>
      </c>
      <c r="BO11" s="1806">
        <f>BP11+BQ11+BR11</f>
        <v>12847203.308333332</v>
      </c>
      <c r="BP11" s="1806">
        <v>10872173.333333332</v>
      </c>
      <c r="BQ11" s="1806">
        <v>1975029.9750000001</v>
      </c>
      <c r="BR11" s="1806">
        <v>0</v>
      </c>
      <c r="BS11" s="1808">
        <v>872</v>
      </c>
      <c r="BT11" s="1808">
        <v>501</v>
      </c>
      <c r="BU11" s="1808">
        <v>371</v>
      </c>
      <c r="BV11" s="1808">
        <v>837</v>
      </c>
      <c r="BW11" s="1808">
        <v>35</v>
      </c>
      <c r="BX11" s="1808"/>
      <c r="BY11" s="1808"/>
      <c r="BZ11" s="1808">
        <v>395</v>
      </c>
      <c r="CA11" s="1808">
        <v>415</v>
      </c>
      <c r="CB11" s="1808">
        <v>50</v>
      </c>
      <c r="CC11" s="1808">
        <v>12</v>
      </c>
      <c r="CD11" s="1808"/>
      <c r="CE11" s="1808">
        <v>872</v>
      </c>
      <c r="CF11" s="1808"/>
      <c r="CG11" s="1808"/>
      <c r="CH11" s="1808"/>
      <c r="CI11" s="1808"/>
      <c r="CJ11" s="1808"/>
      <c r="CK11" s="1808"/>
      <c r="CL11" s="1808"/>
      <c r="CM11" s="1808"/>
      <c r="CN11" s="1808"/>
      <c r="CO11" s="1808"/>
      <c r="CP11" s="1808"/>
      <c r="CQ11" s="1808"/>
      <c r="CR11" s="1808"/>
      <c r="CS11" s="1592"/>
      <c r="CT11" s="1592"/>
      <c r="CU11" s="1592"/>
      <c r="CV11" s="1592"/>
      <c r="CW11" s="1592"/>
      <c r="CX11" s="1592"/>
      <c r="CY11" s="1592"/>
      <c r="CZ11" s="1592"/>
      <c r="DA11" s="1592"/>
      <c r="DB11" s="1592"/>
      <c r="DC11" s="1809"/>
      <c r="DD11" s="3474"/>
      <c r="DE11" s="3470"/>
      <c r="DF11" s="3470"/>
      <c r="DG11" s="3470"/>
      <c r="DH11" s="3470"/>
      <c r="DI11" s="3475"/>
      <c r="DJ11" s="3777"/>
      <c r="DK11" s="3766"/>
      <c r="DL11" s="3470"/>
      <c r="DM11" s="3475"/>
      <c r="DN11" s="3766"/>
      <c r="DO11" s="3470"/>
      <c r="DP11" s="3475"/>
      <c r="DQ11" s="3766"/>
      <c r="DR11" s="3475"/>
      <c r="DS11" s="3766"/>
      <c r="DT11" s="3470"/>
      <c r="DU11" s="3470"/>
      <c r="DV11" s="3470"/>
      <c r="DW11" s="3470"/>
      <c r="DX11" s="3470"/>
      <c r="DY11" s="3475"/>
      <c r="DZ11" s="3766"/>
      <c r="EA11" s="3470"/>
      <c r="EB11" s="3470"/>
      <c r="EC11" s="3470"/>
      <c r="ED11" s="3470"/>
      <c r="EE11" s="3470"/>
      <c r="EF11" s="3470"/>
      <c r="EG11" s="3470"/>
      <c r="EH11" s="3470"/>
      <c r="EI11" s="3470"/>
      <c r="EJ11" s="3470"/>
      <c r="EK11" s="3470"/>
      <c r="EL11" s="3470"/>
      <c r="EM11" s="3475"/>
      <c r="EN11" s="3766"/>
      <c r="EO11" s="3470"/>
      <c r="EP11" s="3470"/>
      <c r="EQ11" s="3470"/>
      <c r="ER11" s="3475"/>
      <c r="ES11" s="3766"/>
      <c r="ET11" s="3470"/>
      <c r="EU11" s="3470"/>
      <c r="EV11" s="3470"/>
      <c r="EW11" s="3475"/>
    </row>
    <row r="12" spans="1:172" s="1810" customFormat="1" ht="15" customHeight="1">
      <c r="A12" s="15568"/>
      <c r="B12" s="15588"/>
      <c r="C12" s="15568"/>
      <c r="D12" s="15622"/>
      <c r="E12" s="3030"/>
      <c r="F12" s="15622"/>
      <c r="G12" s="15622"/>
      <c r="H12" s="15624"/>
      <c r="I12" s="15622"/>
      <c r="J12" s="3051" t="s">
        <v>10063</v>
      </c>
      <c r="K12" s="3902"/>
      <c r="L12" s="3661" t="s">
        <v>79</v>
      </c>
      <c r="M12" s="3030"/>
      <c r="N12" s="3030"/>
      <c r="O12" s="3030"/>
      <c r="P12" s="3030"/>
      <c r="Q12" s="1813"/>
      <c r="R12" s="1802"/>
      <c r="S12" s="3507"/>
      <c r="T12" s="3507"/>
      <c r="U12" s="3507"/>
      <c r="V12" s="3508"/>
      <c r="W12" s="3508"/>
      <c r="X12" s="3508"/>
      <c r="Y12" s="3508"/>
      <c r="Z12" s="1811"/>
      <c r="AA12" s="1811"/>
      <c r="AB12" s="1811"/>
      <c r="AC12" s="1811"/>
      <c r="AD12" s="1811"/>
      <c r="AE12" s="1811"/>
      <c r="AF12" s="3509"/>
      <c r="AG12" s="1811"/>
      <c r="AH12" s="1811"/>
      <c r="AI12" s="1811"/>
      <c r="AJ12" s="1811"/>
      <c r="AK12" s="1811"/>
      <c r="AL12" s="1811"/>
      <c r="AM12" s="3509"/>
      <c r="AN12" s="3509"/>
      <c r="AO12" s="3509"/>
      <c r="AP12" s="3509"/>
      <c r="AQ12" s="3509"/>
      <c r="AR12" s="3509"/>
      <c r="AS12" s="3509"/>
      <c r="AT12" s="3509"/>
      <c r="AU12" s="3509"/>
      <c r="AV12" s="3509"/>
      <c r="AW12" s="3509"/>
      <c r="AX12" s="3509"/>
      <c r="AY12" s="3509"/>
      <c r="AZ12" s="3510"/>
      <c r="BA12" s="1759"/>
      <c r="BB12" s="1759"/>
      <c r="BC12" s="1759"/>
      <c r="BD12" s="1759"/>
      <c r="BE12" s="1759"/>
      <c r="BF12" s="1759"/>
      <c r="BG12" s="1759"/>
      <c r="BH12" s="1759"/>
      <c r="BI12" s="1759"/>
      <c r="BJ12" s="15661"/>
      <c r="BK12" s="15664"/>
      <c r="BL12" s="3512" t="s">
        <v>8771</v>
      </c>
      <c r="BM12" s="3513" t="s">
        <v>8772</v>
      </c>
      <c r="BN12" s="3514" t="s">
        <v>8773</v>
      </c>
      <c r="BO12" s="3515">
        <v>33653000</v>
      </c>
      <c r="BP12" s="3515">
        <v>33653000</v>
      </c>
      <c r="BQ12" s="1807">
        <v>0</v>
      </c>
      <c r="BR12" s="1807">
        <v>0</v>
      </c>
      <c r="BS12" s="1592">
        <v>768</v>
      </c>
      <c r="BT12" s="1808">
        <v>282</v>
      </c>
      <c r="BU12" s="1808">
        <v>438</v>
      </c>
      <c r="BV12" s="1808">
        <v>450</v>
      </c>
      <c r="BW12" s="1808">
        <v>318</v>
      </c>
      <c r="BX12" s="1808"/>
      <c r="BY12" s="1808"/>
      <c r="BZ12" s="1808">
        <v>650</v>
      </c>
      <c r="CA12" s="1808">
        <v>118</v>
      </c>
      <c r="CB12" s="1808"/>
      <c r="CC12" s="1808"/>
      <c r="CD12" s="1808"/>
      <c r="CE12" s="1808">
        <v>751</v>
      </c>
      <c r="CF12" s="1808">
        <v>17</v>
      </c>
      <c r="CG12" s="1808"/>
      <c r="CH12" s="1808">
        <v>124</v>
      </c>
      <c r="CI12" s="1808"/>
      <c r="CJ12" s="1808"/>
      <c r="CK12" s="1808"/>
      <c r="CL12" s="1808"/>
      <c r="CM12" s="1808">
        <v>340</v>
      </c>
      <c r="CN12" s="1808">
        <v>236</v>
      </c>
      <c r="CO12" s="1808">
        <v>68</v>
      </c>
      <c r="CP12" s="1808"/>
      <c r="CQ12" s="1808"/>
      <c r="CR12" s="1592"/>
      <c r="CS12" s="1593" t="s">
        <v>8848</v>
      </c>
      <c r="CT12" s="1592"/>
      <c r="CU12" s="1593"/>
      <c r="CV12" s="1593" t="s">
        <v>8849</v>
      </c>
      <c r="CW12" s="1593" t="s">
        <v>8850</v>
      </c>
      <c r="CX12" s="1593"/>
      <c r="CY12" s="1593"/>
      <c r="CZ12" s="1592"/>
      <c r="DA12" s="1592"/>
      <c r="DB12" s="3516"/>
      <c r="DC12" s="1809"/>
      <c r="DD12" s="3474"/>
      <c r="DE12" s="3470"/>
      <c r="DF12" s="3470"/>
      <c r="DG12" s="3470"/>
      <c r="DH12" s="3470"/>
      <c r="DI12" s="3475"/>
      <c r="DJ12" s="3777"/>
      <c r="DK12" s="3766"/>
      <c r="DL12" s="3470"/>
      <c r="DM12" s="3475"/>
      <c r="DN12" s="3766"/>
      <c r="DO12" s="3470"/>
      <c r="DP12" s="3475"/>
      <c r="DQ12" s="3766"/>
      <c r="DR12" s="3475"/>
      <c r="DS12" s="3766"/>
      <c r="DT12" s="3470"/>
      <c r="DU12" s="3470"/>
      <c r="DV12" s="3470"/>
      <c r="DW12" s="3470"/>
      <c r="DX12" s="3470"/>
      <c r="DY12" s="3475"/>
      <c r="DZ12" s="3766"/>
      <c r="EA12" s="3470"/>
      <c r="EB12" s="3470"/>
      <c r="EC12" s="3470"/>
      <c r="ED12" s="3470"/>
      <c r="EE12" s="3470"/>
      <c r="EF12" s="3470"/>
      <c r="EG12" s="3470"/>
      <c r="EH12" s="3470"/>
      <c r="EI12" s="3470"/>
      <c r="EJ12" s="3470"/>
      <c r="EK12" s="3470"/>
      <c r="EL12" s="3470"/>
      <c r="EM12" s="3475"/>
      <c r="EN12" s="3766"/>
      <c r="EO12" s="3470"/>
      <c r="EP12" s="3470"/>
      <c r="EQ12" s="3470"/>
      <c r="ER12" s="3475"/>
      <c r="ES12" s="3766"/>
      <c r="ET12" s="3470"/>
      <c r="EU12" s="3470"/>
      <c r="EV12" s="3470"/>
      <c r="EW12" s="3475"/>
    </row>
    <row r="13" spans="1:172" s="1810" customFormat="1" ht="15" customHeight="1" thickBot="1">
      <c r="A13" s="15568"/>
      <c r="B13" s="15588"/>
      <c r="C13" s="15568"/>
      <c r="D13" s="15601" t="s">
        <v>7782</v>
      </c>
      <c r="E13" s="3030" t="s">
        <v>1525</v>
      </c>
      <c r="F13" s="15601" t="s">
        <v>1525</v>
      </c>
      <c r="G13" s="15601" t="s">
        <v>1527</v>
      </c>
      <c r="H13" s="15620">
        <v>1</v>
      </c>
      <c r="I13" s="15601" t="s">
        <v>1526</v>
      </c>
      <c r="J13" s="3049" t="s">
        <v>10066</v>
      </c>
      <c r="K13" s="3900" t="s">
        <v>9307</v>
      </c>
      <c r="L13" s="3661"/>
      <c r="M13" s="3030" t="s">
        <v>1523</v>
      </c>
      <c r="N13" s="3030" t="s">
        <v>1511</v>
      </c>
      <c r="O13" s="3030" t="s">
        <v>1528</v>
      </c>
      <c r="P13" s="3030">
        <v>100</v>
      </c>
      <c r="Q13" s="3030">
        <v>500</v>
      </c>
      <c r="R13" s="1802">
        <v>1</v>
      </c>
      <c r="S13" s="3517" t="s">
        <v>3541</v>
      </c>
      <c r="T13" s="1600" t="s">
        <v>3057</v>
      </c>
      <c r="U13" s="3494" t="s">
        <v>3056</v>
      </c>
      <c r="V13" s="3508">
        <f>W13+X13</f>
        <v>75439794.936666667</v>
      </c>
      <c r="W13" s="1803">
        <f>17543672.0846154+15144000+20000000</f>
        <v>52687672.084615394</v>
      </c>
      <c r="X13" s="1803">
        <f>2752122.85205128+20000000</f>
        <v>22752122.85205128</v>
      </c>
      <c r="Y13" s="1803">
        <v>0</v>
      </c>
      <c r="Z13" s="1618">
        <f>856+415+546</f>
        <v>1817</v>
      </c>
      <c r="AA13" s="1811">
        <f>489+157+280</f>
        <v>926</v>
      </c>
      <c r="AB13" s="1811">
        <f>367+259+266</f>
        <v>892</v>
      </c>
      <c r="AC13" s="1811">
        <v>774</v>
      </c>
      <c r="AD13" s="1811">
        <v>82</v>
      </c>
      <c r="AE13" s="1811">
        <v>12</v>
      </c>
      <c r="AF13" s="1811">
        <v>41</v>
      </c>
      <c r="AG13" s="1811">
        <f>196+98</f>
        <v>294</v>
      </c>
      <c r="AH13" s="1811">
        <f>660+264+546</f>
        <v>1470</v>
      </c>
      <c r="AI13" s="1811"/>
      <c r="AJ13" s="1811"/>
      <c r="AK13" s="1811"/>
      <c r="AL13" s="1811">
        <v>389</v>
      </c>
      <c r="AM13" s="3509">
        <v>1</v>
      </c>
      <c r="AN13" s="3509">
        <v>17</v>
      </c>
      <c r="AO13" s="3509"/>
      <c r="AP13" s="3509">
        <v>8</v>
      </c>
      <c r="AQ13" s="3509"/>
      <c r="AR13" s="3509"/>
      <c r="AS13" s="3509"/>
      <c r="AT13" s="3509">
        <f>393+546</f>
        <v>939</v>
      </c>
      <c r="AU13" s="3509">
        <v>12</v>
      </c>
      <c r="AV13" s="3509">
        <v>10</v>
      </c>
      <c r="AW13" s="3509"/>
      <c r="AX13" s="3509"/>
      <c r="AY13" s="1759"/>
      <c r="AZ13" s="3510" t="s">
        <v>3942</v>
      </c>
      <c r="BA13" s="1759"/>
      <c r="BB13" s="1759"/>
      <c r="BC13" s="1759"/>
      <c r="BD13" s="1759"/>
      <c r="BE13" s="1759"/>
      <c r="BF13" s="1759"/>
      <c r="BG13" s="1759"/>
      <c r="BH13" s="1759"/>
      <c r="BI13" s="1759"/>
      <c r="BJ13" s="15659">
        <v>1</v>
      </c>
      <c r="BK13" s="15664"/>
      <c r="BL13" s="3517" t="s">
        <v>8774</v>
      </c>
      <c r="BM13" s="1600" t="s">
        <v>3057</v>
      </c>
      <c r="BN13" s="1593" t="s">
        <v>3056</v>
      </c>
      <c r="BO13" s="1806">
        <f>BP13+BQ13+BR13</f>
        <v>12847203.308333332</v>
      </c>
      <c r="BP13" s="1807">
        <v>10872173.333333332</v>
      </c>
      <c r="BQ13" s="1807">
        <v>1975029.9750000001</v>
      </c>
      <c r="BR13" s="1807">
        <v>0</v>
      </c>
      <c r="BS13" s="1808">
        <v>937</v>
      </c>
      <c r="BT13" s="1808">
        <v>541</v>
      </c>
      <c r="BU13" s="1808">
        <v>396</v>
      </c>
      <c r="BV13" s="1808">
        <v>902</v>
      </c>
      <c r="BW13" s="1808">
        <v>35</v>
      </c>
      <c r="BX13" s="1808"/>
      <c r="BY13" s="1808"/>
      <c r="BZ13" s="1808">
        <v>395</v>
      </c>
      <c r="CA13" s="1808">
        <v>480</v>
      </c>
      <c r="CB13" s="1808">
        <v>50</v>
      </c>
      <c r="CC13" s="1808">
        <v>12</v>
      </c>
      <c r="CD13" s="1808"/>
      <c r="CE13" s="1808"/>
      <c r="CF13" s="1808"/>
      <c r="CG13" s="1808"/>
      <c r="CH13" s="1808"/>
      <c r="CI13" s="1808"/>
      <c r="CJ13" s="1808"/>
      <c r="CK13" s="1808"/>
      <c r="CL13" s="1808"/>
      <c r="CM13" s="1808"/>
      <c r="CN13" s="1808"/>
      <c r="CO13" s="1808"/>
      <c r="CP13" s="1808"/>
      <c r="CQ13" s="1808"/>
      <c r="CR13" s="1592"/>
      <c r="CS13" s="1592"/>
      <c r="CT13" s="1592"/>
      <c r="CU13" s="1592"/>
      <c r="CV13" s="1592"/>
      <c r="CW13" s="1592"/>
      <c r="CX13" s="1592"/>
      <c r="CY13" s="1592"/>
      <c r="CZ13" s="1592"/>
      <c r="DA13" s="1592"/>
      <c r="DB13" s="1592"/>
      <c r="DC13" s="1809"/>
      <c r="DD13" s="3474"/>
      <c r="DE13" s="3470"/>
      <c r="DF13" s="3470"/>
      <c r="DG13" s="3470"/>
      <c r="DH13" s="3470"/>
      <c r="DI13" s="3475"/>
      <c r="DJ13" s="3777"/>
      <c r="DK13" s="3766"/>
      <c r="DL13" s="3470"/>
      <c r="DM13" s="3475"/>
      <c r="DN13" s="3766"/>
      <c r="DO13" s="3470"/>
      <c r="DP13" s="3475"/>
      <c r="DQ13" s="3766"/>
      <c r="DR13" s="3475"/>
      <c r="DS13" s="3766"/>
      <c r="DT13" s="3470"/>
      <c r="DU13" s="3470"/>
      <c r="DV13" s="3470"/>
      <c r="DW13" s="3470"/>
      <c r="DX13" s="3470"/>
      <c r="DY13" s="3475"/>
      <c r="DZ13" s="3766"/>
      <c r="EA13" s="3470"/>
      <c r="EB13" s="3470"/>
      <c r="EC13" s="3470"/>
      <c r="ED13" s="3470"/>
      <c r="EE13" s="3470"/>
      <c r="EF13" s="3470"/>
      <c r="EG13" s="3470"/>
      <c r="EH13" s="3470"/>
      <c r="EI13" s="3470"/>
      <c r="EJ13" s="3470"/>
      <c r="EK13" s="3470"/>
      <c r="EL13" s="3470"/>
      <c r="EM13" s="3475"/>
      <c r="EN13" s="3766"/>
      <c r="EO13" s="3470"/>
      <c r="EP13" s="3470"/>
      <c r="EQ13" s="3470"/>
      <c r="ER13" s="3475"/>
      <c r="ES13" s="3766"/>
      <c r="ET13" s="3470"/>
      <c r="EU13" s="3470"/>
      <c r="EV13" s="3470"/>
      <c r="EW13" s="3475"/>
    </row>
    <row r="14" spans="1:172" s="1810" customFormat="1" ht="15" customHeight="1">
      <c r="A14" s="15568"/>
      <c r="B14" s="15588"/>
      <c r="C14" s="15568"/>
      <c r="D14" s="15601"/>
      <c r="E14" s="3030"/>
      <c r="F14" s="15601"/>
      <c r="G14" s="15601"/>
      <c r="H14" s="15620"/>
      <c r="I14" s="15601"/>
      <c r="J14" s="3050" t="s">
        <v>10063</v>
      </c>
      <c r="K14" s="3903"/>
      <c r="L14" s="3661" t="s">
        <v>79</v>
      </c>
      <c r="M14" s="3030"/>
      <c r="N14" s="3030"/>
      <c r="O14" s="3030"/>
      <c r="P14" s="3030"/>
      <c r="Q14" s="3030"/>
      <c r="R14" s="1802"/>
      <c r="S14" s="3517"/>
      <c r="T14" s="1600"/>
      <c r="U14" s="3494"/>
      <c r="V14" s="3508"/>
      <c r="W14" s="1803"/>
      <c r="X14" s="1803"/>
      <c r="Y14" s="1803"/>
      <c r="Z14" s="1618"/>
      <c r="AA14" s="1811"/>
      <c r="AB14" s="1811"/>
      <c r="AC14" s="1811"/>
      <c r="AD14" s="1811"/>
      <c r="AE14" s="1811"/>
      <c r="AF14" s="1811"/>
      <c r="AG14" s="1811"/>
      <c r="AH14" s="1811"/>
      <c r="AI14" s="1811"/>
      <c r="AJ14" s="1811"/>
      <c r="AK14" s="1811"/>
      <c r="AL14" s="1811"/>
      <c r="AM14" s="3509"/>
      <c r="AN14" s="3509"/>
      <c r="AO14" s="3509"/>
      <c r="AP14" s="3509"/>
      <c r="AQ14" s="3509"/>
      <c r="AR14" s="3509"/>
      <c r="AS14" s="3509"/>
      <c r="AT14" s="3509"/>
      <c r="AU14" s="3509"/>
      <c r="AV14" s="3509"/>
      <c r="AW14" s="3509"/>
      <c r="AX14" s="3509"/>
      <c r="AY14" s="1759"/>
      <c r="AZ14" s="3510"/>
      <c r="BA14" s="1759"/>
      <c r="BB14" s="1759"/>
      <c r="BC14" s="1759"/>
      <c r="BD14" s="1759"/>
      <c r="BE14" s="1759"/>
      <c r="BF14" s="1759"/>
      <c r="BG14" s="1759"/>
      <c r="BH14" s="1759"/>
      <c r="BI14" s="1759"/>
      <c r="BJ14" s="15660"/>
      <c r="BK14" s="15664"/>
      <c r="BL14" s="3512" t="s">
        <v>8771</v>
      </c>
      <c r="BM14" s="3513" t="s">
        <v>8772</v>
      </c>
      <c r="BN14" s="3514" t="s">
        <v>8773</v>
      </c>
      <c r="BO14" s="3515">
        <v>33653000</v>
      </c>
      <c r="BP14" s="3515">
        <v>33653000</v>
      </c>
      <c r="BQ14" s="1807">
        <v>0</v>
      </c>
      <c r="BR14" s="1807">
        <v>0</v>
      </c>
      <c r="BS14" s="1592">
        <v>768</v>
      </c>
      <c r="BT14" s="1808">
        <v>282</v>
      </c>
      <c r="BU14" s="1808">
        <v>438</v>
      </c>
      <c r="BV14" s="1808">
        <v>450</v>
      </c>
      <c r="BW14" s="1808">
        <v>318</v>
      </c>
      <c r="BX14" s="1808"/>
      <c r="BY14" s="1808"/>
      <c r="BZ14" s="1808">
        <v>650</v>
      </c>
      <c r="CA14" s="1808">
        <v>118</v>
      </c>
      <c r="CB14" s="1808"/>
      <c r="CC14" s="1808"/>
      <c r="CD14" s="1808"/>
      <c r="CE14" s="1808">
        <v>751</v>
      </c>
      <c r="CF14" s="1808">
        <v>17</v>
      </c>
      <c r="CG14" s="1808"/>
      <c r="CH14" s="1808">
        <v>124</v>
      </c>
      <c r="CI14" s="1808"/>
      <c r="CJ14" s="1808"/>
      <c r="CK14" s="1808"/>
      <c r="CL14" s="1808"/>
      <c r="CM14" s="1808">
        <v>340</v>
      </c>
      <c r="CN14" s="1808">
        <v>236</v>
      </c>
      <c r="CO14" s="1808">
        <v>68</v>
      </c>
      <c r="CP14" s="1808"/>
      <c r="CQ14" s="1808"/>
      <c r="CR14" s="1592"/>
      <c r="CS14" s="1593" t="s">
        <v>8848</v>
      </c>
      <c r="CT14" s="1592"/>
      <c r="CU14" s="1593"/>
      <c r="CV14" s="1593" t="s">
        <v>8849</v>
      </c>
      <c r="CW14" s="1593" t="s">
        <v>8850</v>
      </c>
      <c r="CX14" s="1593"/>
      <c r="CY14" s="1593"/>
      <c r="CZ14" s="1592"/>
      <c r="DA14" s="1592"/>
      <c r="DB14" s="3516"/>
      <c r="DC14" s="1809"/>
      <c r="DD14" s="3474"/>
      <c r="DE14" s="3470"/>
      <c r="DF14" s="3470"/>
      <c r="DG14" s="3470"/>
      <c r="DH14" s="3470"/>
      <c r="DI14" s="3475"/>
      <c r="DJ14" s="3777"/>
      <c r="DK14" s="3766"/>
      <c r="DL14" s="3470"/>
      <c r="DM14" s="3475"/>
      <c r="DN14" s="3766"/>
      <c r="DO14" s="3470"/>
      <c r="DP14" s="3475"/>
      <c r="DQ14" s="3766"/>
      <c r="DR14" s="3475"/>
      <c r="DS14" s="3766"/>
      <c r="DT14" s="3470"/>
      <c r="DU14" s="3470"/>
      <c r="DV14" s="3470"/>
      <c r="DW14" s="3470"/>
      <c r="DX14" s="3470"/>
      <c r="DY14" s="3475"/>
      <c r="DZ14" s="3766"/>
      <c r="EA14" s="3470"/>
      <c r="EB14" s="3470"/>
      <c r="EC14" s="3470"/>
      <c r="ED14" s="3470"/>
      <c r="EE14" s="3470"/>
      <c r="EF14" s="3470"/>
      <c r="EG14" s="3470"/>
      <c r="EH14" s="3470"/>
      <c r="EI14" s="3470"/>
      <c r="EJ14" s="3470"/>
      <c r="EK14" s="3470"/>
      <c r="EL14" s="3470"/>
      <c r="EM14" s="3475"/>
      <c r="EN14" s="3766"/>
      <c r="EO14" s="3470"/>
      <c r="EP14" s="3470"/>
      <c r="EQ14" s="3470"/>
      <c r="ER14" s="3475"/>
      <c r="ES14" s="3766"/>
      <c r="ET14" s="3470"/>
      <c r="EU14" s="3470"/>
      <c r="EV14" s="3470"/>
      <c r="EW14" s="3475"/>
    </row>
    <row r="15" spans="1:172" s="1810" customFormat="1" ht="15" customHeight="1" thickBot="1">
      <c r="A15" s="15569"/>
      <c r="B15" s="15588"/>
      <c r="C15" s="15569"/>
      <c r="D15" s="15601"/>
      <c r="E15" s="3030"/>
      <c r="F15" s="15601"/>
      <c r="G15" s="15601"/>
      <c r="H15" s="15620"/>
      <c r="I15" s="15601"/>
      <c r="J15" s="3051" t="s">
        <v>2896</v>
      </c>
      <c r="K15" s="3902"/>
      <c r="L15" s="3661" t="s">
        <v>163</v>
      </c>
      <c r="M15" s="3030"/>
      <c r="N15" s="3030"/>
      <c r="O15" s="3030"/>
      <c r="P15" s="3030"/>
      <c r="Q15" s="3030"/>
      <c r="R15" s="1802"/>
      <c r="S15" s="3517"/>
      <c r="T15" s="1600"/>
      <c r="U15" s="3494"/>
      <c r="V15" s="3508"/>
      <c r="W15" s="1803"/>
      <c r="X15" s="1803"/>
      <c r="Y15" s="1803"/>
      <c r="Z15" s="1618"/>
      <c r="AA15" s="1811"/>
      <c r="AB15" s="1811"/>
      <c r="AC15" s="1811"/>
      <c r="AD15" s="1811"/>
      <c r="AE15" s="1811"/>
      <c r="AF15" s="1811"/>
      <c r="AG15" s="1811"/>
      <c r="AH15" s="1811"/>
      <c r="AI15" s="1811"/>
      <c r="AJ15" s="1811"/>
      <c r="AK15" s="1811"/>
      <c r="AL15" s="1811"/>
      <c r="AM15" s="3509"/>
      <c r="AN15" s="3509"/>
      <c r="AO15" s="3509"/>
      <c r="AP15" s="3509"/>
      <c r="AQ15" s="3509"/>
      <c r="AR15" s="3509"/>
      <c r="AS15" s="3509"/>
      <c r="AT15" s="3509"/>
      <c r="AU15" s="3509"/>
      <c r="AV15" s="3509"/>
      <c r="AW15" s="3509"/>
      <c r="AX15" s="3509"/>
      <c r="AY15" s="1759"/>
      <c r="AZ15" s="3510"/>
      <c r="BA15" s="1759"/>
      <c r="BB15" s="1759"/>
      <c r="BC15" s="1759"/>
      <c r="BD15" s="1759"/>
      <c r="BE15" s="1759"/>
      <c r="BF15" s="1759"/>
      <c r="BG15" s="1759"/>
      <c r="BH15" s="1759"/>
      <c r="BI15" s="1759"/>
      <c r="BJ15" s="15661"/>
      <c r="BK15" s="15665"/>
      <c r="BL15" s="3518" t="s">
        <v>3642</v>
      </c>
      <c r="BM15" s="3499" t="s">
        <v>3585</v>
      </c>
      <c r="BN15" s="3501"/>
      <c r="BO15" s="3501">
        <v>20000000</v>
      </c>
      <c r="BP15" s="3501">
        <v>20000000</v>
      </c>
      <c r="BQ15" s="3501">
        <v>0</v>
      </c>
      <c r="BR15" s="3501">
        <v>0</v>
      </c>
      <c r="BS15" s="3501">
        <v>415</v>
      </c>
      <c r="BT15" s="3501">
        <v>157</v>
      </c>
      <c r="BU15" s="3501">
        <v>259</v>
      </c>
      <c r="BV15" s="3501">
        <v>12</v>
      </c>
      <c r="BW15" s="3501">
        <v>41</v>
      </c>
      <c r="BX15" s="3501">
        <v>98</v>
      </c>
      <c r="BY15" s="3501">
        <v>264</v>
      </c>
      <c r="BZ15" s="3501">
        <v>0</v>
      </c>
      <c r="CA15" s="3501">
        <v>0</v>
      </c>
      <c r="CB15" s="3501">
        <v>0</v>
      </c>
      <c r="CC15" s="3501">
        <v>389</v>
      </c>
      <c r="CD15" s="3501">
        <v>1</v>
      </c>
      <c r="CE15" s="3501">
        <v>17</v>
      </c>
      <c r="CF15" s="3501"/>
      <c r="CG15" s="3501">
        <v>8</v>
      </c>
      <c r="CH15" s="3501"/>
      <c r="CI15" s="3501"/>
      <c r="CJ15" s="3501"/>
      <c r="CK15" s="3501">
        <v>393</v>
      </c>
      <c r="CL15" s="3501">
        <v>12</v>
      </c>
      <c r="CM15" s="3501">
        <v>10</v>
      </c>
      <c r="CN15" s="3501"/>
      <c r="CO15" s="3501"/>
      <c r="CP15" s="3501"/>
      <c r="CQ15" s="3501"/>
      <c r="CR15" s="3501"/>
      <c r="CS15" s="3501"/>
      <c r="CT15" s="3501"/>
      <c r="CU15" s="3501"/>
      <c r="CV15" s="3501"/>
      <c r="CW15" s="3501"/>
      <c r="CX15" s="3501"/>
      <c r="CY15" s="3501"/>
      <c r="CZ15" s="3501"/>
      <c r="DA15" s="3501"/>
      <c r="DB15" s="3501"/>
      <c r="DC15" s="1809"/>
      <c r="DD15" s="3802"/>
      <c r="DE15" s="1643"/>
      <c r="DF15" s="1643"/>
      <c r="DG15" s="1643"/>
      <c r="DH15" s="1643"/>
      <c r="DI15" s="1958"/>
      <c r="DJ15" s="3803"/>
      <c r="DK15" s="3804"/>
      <c r="DL15" s="1643"/>
      <c r="DM15" s="1958"/>
      <c r="DN15" s="3804"/>
      <c r="DO15" s="1643"/>
      <c r="DP15" s="1958"/>
      <c r="DQ15" s="3804"/>
      <c r="DR15" s="1958"/>
      <c r="DS15" s="3804"/>
      <c r="DT15" s="1643"/>
      <c r="DU15" s="1643"/>
      <c r="DV15" s="1643"/>
      <c r="DW15" s="1643"/>
      <c r="DX15" s="1643"/>
      <c r="DY15" s="1958"/>
      <c r="DZ15" s="3804"/>
      <c r="EA15" s="1643"/>
      <c r="EB15" s="1643"/>
      <c r="EC15" s="1643"/>
      <c r="ED15" s="1643"/>
      <c r="EE15" s="1643"/>
      <c r="EF15" s="1643"/>
      <c r="EG15" s="1643"/>
      <c r="EH15" s="1643"/>
      <c r="EI15" s="1643"/>
      <c r="EJ15" s="1643"/>
      <c r="EK15" s="1643"/>
      <c r="EL15" s="1643"/>
      <c r="EM15" s="1958"/>
      <c r="EN15" s="3804"/>
      <c r="EO15" s="1643"/>
      <c r="EP15" s="1643"/>
      <c r="EQ15" s="1643"/>
      <c r="ER15" s="1958"/>
      <c r="ES15" s="3804"/>
      <c r="ET15" s="1643"/>
      <c r="EU15" s="1643"/>
      <c r="EV15" s="1643"/>
      <c r="EW15" s="1958"/>
    </row>
    <row r="16" spans="1:172" s="1834" customFormat="1" ht="15" customHeight="1">
      <c r="A16" s="15570" t="s">
        <v>1529</v>
      </c>
      <c r="B16" s="15588"/>
      <c r="C16" s="15616" t="s">
        <v>1530</v>
      </c>
      <c r="D16" s="15586" t="s">
        <v>7783</v>
      </c>
      <c r="E16" s="3025" t="s">
        <v>1531</v>
      </c>
      <c r="F16" s="15690" t="s">
        <v>1531</v>
      </c>
      <c r="G16" s="15690" t="s">
        <v>1533</v>
      </c>
      <c r="H16" s="15690">
        <v>20</v>
      </c>
      <c r="I16" s="15690" t="s">
        <v>1532</v>
      </c>
      <c r="J16" s="3048" t="s">
        <v>86</v>
      </c>
      <c r="K16" s="3904" t="s">
        <v>1509</v>
      </c>
      <c r="L16" s="1832"/>
      <c r="M16" s="3025" t="s">
        <v>1510</v>
      </c>
      <c r="N16" s="3025" t="s">
        <v>1511</v>
      </c>
      <c r="O16" s="3025" t="s">
        <v>1534</v>
      </c>
      <c r="P16" s="3025">
        <v>2</v>
      </c>
      <c r="Q16" s="3025">
        <v>10</v>
      </c>
      <c r="R16" s="1836">
        <v>1</v>
      </c>
      <c r="S16" s="1854" t="s">
        <v>3058</v>
      </c>
      <c r="T16" s="1736" t="s">
        <v>3059</v>
      </c>
      <c r="U16" s="3519" t="s">
        <v>3060</v>
      </c>
      <c r="V16" s="1837">
        <f>56723008.5366667+10000000</f>
        <v>66723008.536666699</v>
      </c>
      <c r="W16" s="1837">
        <v>40059125.484615386</v>
      </c>
      <c r="X16" s="1837">
        <f>16663883.0520513+10000000</f>
        <v>26663883.052051298</v>
      </c>
      <c r="Y16" s="1837">
        <v>0</v>
      </c>
      <c r="Z16" s="1838">
        <f>4350+1036</f>
        <v>5386</v>
      </c>
      <c r="AA16" s="1838">
        <f>1992+556</f>
        <v>2548</v>
      </c>
      <c r="AB16" s="1736">
        <f>2358+480</f>
        <v>2838</v>
      </c>
      <c r="AC16" s="1838">
        <v>4081</v>
      </c>
      <c r="AD16" s="1736">
        <v>269</v>
      </c>
      <c r="AE16" s="1726"/>
      <c r="AF16" s="1726">
        <v>116</v>
      </c>
      <c r="AG16" s="1732">
        <f>1485+735</f>
        <v>2220</v>
      </c>
      <c r="AH16" s="1838">
        <f>2865+115</f>
        <v>2980</v>
      </c>
      <c r="AI16" s="1726">
        <v>38</v>
      </c>
      <c r="AJ16" s="1726">
        <v>25</v>
      </c>
      <c r="AK16" s="1726">
        <v>7</v>
      </c>
      <c r="AL16" s="1838">
        <f>4350+956</f>
        <v>5306</v>
      </c>
      <c r="AM16" s="1726">
        <v>12</v>
      </c>
      <c r="AN16" s="1726">
        <v>43</v>
      </c>
      <c r="AO16" s="1726">
        <v>11</v>
      </c>
      <c r="AP16" s="1726">
        <v>9</v>
      </c>
      <c r="AQ16" s="1726"/>
      <c r="AR16" s="1726"/>
      <c r="AS16" s="1726">
        <v>5</v>
      </c>
      <c r="AT16" s="1726">
        <v>894</v>
      </c>
      <c r="AU16" s="1726">
        <v>43</v>
      </c>
      <c r="AV16" s="1726">
        <v>9</v>
      </c>
      <c r="AW16" s="1726"/>
      <c r="AX16" s="1726"/>
      <c r="AY16" s="1726"/>
      <c r="AZ16" s="1726"/>
      <c r="BA16" s="1726"/>
      <c r="BB16" s="1726"/>
      <c r="BC16" s="1726"/>
      <c r="BD16" s="1726"/>
      <c r="BE16" s="1726"/>
      <c r="BF16" s="1726"/>
      <c r="BG16" s="1726"/>
      <c r="BH16" s="1726"/>
      <c r="BI16" s="1726"/>
      <c r="BJ16" s="15670">
        <v>1</v>
      </c>
      <c r="BK16" s="15666">
        <f>AVERAGE(BJ16:BJ30)</f>
        <v>0.75428571428571434</v>
      </c>
      <c r="BL16" s="1854" t="s">
        <v>8775</v>
      </c>
      <c r="BM16" s="1736" t="s">
        <v>3059</v>
      </c>
      <c r="BN16" s="1729" t="s">
        <v>3060</v>
      </c>
      <c r="BO16" s="1839">
        <f>BP16+BQ16+BR16</f>
        <v>42708831.275000006</v>
      </c>
      <c r="BP16" s="1840">
        <v>22492853.300000001</v>
      </c>
      <c r="BQ16" s="1840">
        <v>20215977.975000001</v>
      </c>
      <c r="BR16" s="1840">
        <v>0</v>
      </c>
      <c r="BS16" s="1732">
        <v>2367</v>
      </c>
      <c r="BT16" s="1732">
        <v>1179</v>
      </c>
      <c r="BU16" s="1732">
        <v>1188</v>
      </c>
      <c r="BV16" s="1732">
        <v>2149</v>
      </c>
      <c r="BW16" s="1732">
        <v>218</v>
      </c>
      <c r="BX16" s="1732"/>
      <c r="BY16" s="1732">
        <v>55</v>
      </c>
      <c r="BZ16" s="1732">
        <v>1404</v>
      </c>
      <c r="CA16" s="1732">
        <v>796</v>
      </c>
      <c r="CB16" s="1732">
        <v>71</v>
      </c>
      <c r="CC16" s="1732">
        <v>41</v>
      </c>
      <c r="CD16" s="1732"/>
      <c r="CE16" s="1732"/>
      <c r="CF16" s="1732"/>
      <c r="CG16" s="1732"/>
      <c r="CH16" s="1732"/>
      <c r="CI16" s="1732"/>
      <c r="CJ16" s="1732"/>
      <c r="CK16" s="1732"/>
      <c r="CL16" s="1732"/>
      <c r="CM16" s="1732"/>
      <c r="CN16" s="1732"/>
      <c r="CO16" s="1732"/>
      <c r="CP16" s="1732"/>
      <c r="CQ16" s="1732"/>
      <c r="CR16" s="1732"/>
      <c r="CS16" s="1732"/>
      <c r="CT16" s="1732"/>
      <c r="CU16" s="1732"/>
      <c r="CV16" s="1732"/>
      <c r="CW16" s="1732"/>
      <c r="CX16" s="1732"/>
      <c r="CY16" s="1732"/>
      <c r="CZ16" s="1732"/>
      <c r="DA16" s="1732"/>
      <c r="DB16" s="1732"/>
      <c r="DC16" s="1833"/>
      <c r="DD16" s="3855"/>
      <c r="DE16" s="3856"/>
      <c r="DF16" s="3856"/>
      <c r="DG16" s="3856"/>
      <c r="DH16" s="3856"/>
      <c r="DI16" s="3857"/>
      <c r="DJ16" s="3858"/>
      <c r="DK16" s="3859"/>
      <c r="DL16" s="3856"/>
      <c r="DM16" s="3857"/>
      <c r="DN16" s="3859"/>
      <c r="DO16" s="3856"/>
      <c r="DP16" s="3857"/>
      <c r="DQ16" s="3859"/>
      <c r="DR16" s="3857"/>
      <c r="DS16" s="3859"/>
      <c r="DT16" s="3856"/>
      <c r="DU16" s="3856"/>
      <c r="DV16" s="3856"/>
      <c r="DW16" s="3856"/>
      <c r="DX16" s="3856"/>
      <c r="DY16" s="3857"/>
      <c r="DZ16" s="3859"/>
      <c r="EA16" s="3856"/>
      <c r="EB16" s="3856"/>
      <c r="EC16" s="3856"/>
      <c r="ED16" s="3856"/>
      <c r="EE16" s="3856"/>
      <c r="EF16" s="3856"/>
      <c r="EG16" s="3856"/>
      <c r="EH16" s="3856"/>
      <c r="EI16" s="3856"/>
      <c r="EJ16" s="3856"/>
      <c r="EK16" s="3856"/>
      <c r="EL16" s="3856"/>
      <c r="EM16" s="3857"/>
      <c r="EN16" s="3859"/>
      <c r="EO16" s="3856"/>
      <c r="EP16" s="3856"/>
      <c r="EQ16" s="3856"/>
      <c r="ER16" s="3857"/>
      <c r="ES16" s="3859"/>
      <c r="ET16" s="3856"/>
      <c r="EU16" s="3856"/>
      <c r="EV16" s="3856"/>
      <c r="EW16" s="3857"/>
    </row>
    <row r="17" spans="1:153" s="1834" customFormat="1" ht="15" customHeight="1">
      <c r="A17" s="15571"/>
      <c r="B17" s="15615"/>
      <c r="C17" s="15617"/>
      <c r="D17" s="15571"/>
      <c r="E17" s="3026"/>
      <c r="F17" s="15691"/>
      <c r="G17" s="15691"/>
      <c r="H17" s="15691"/>
      <c r="I17" s="15691"/>
      <c r="J17" s="3048" t="s">
        <v>10063</v>
      </c>
      <c r="K17" s="3904"/>
      <c r="L17" s="1832" t="s">
        <v>79</v>
      </c>
      <c r="M17" s="3026"/>
      <c r="N17" s="3026"/>
      <c r="O17" s="3026"/>
      <c r="P17" s="3026"/>
      <c r="Q17" s="3026"/>
      <c r="R17" s="3438"/>
      <c r="S17" s="2715"/>
      <c r="T17" s="3443"/>
      <c r="U17" s="3520"/>
      <c r="V17" s="3441"/>
      <c r="W17" s="3441"/>
      <c r="X17" s="3441"/>
      <c r="Y17" s="3441"/>
      <c r="Z17" s="3442"/>
      <c r="AA17" s="3442"/>
      <c r="AB17" s="3443"/>
      <c r="AC17" s="3442"/>
      <c r="AD17" s="3443"/>
      <c r="AE17" s="3224"/>
      <c r="AF17" s="3224"/>
      <c r="AG17" s="3445"/>
      <c r="AH17" s="3442"/>
      <c r="AI17" s="3224"/>
      <c r="AJ17" s="3224"/>
      <c r="AK17" s="3224"/>
      <c r="AL17" s="3442"/>
      <c r="AM17" s="3224"/>
      <c r="AN17" s="3224"/>
      <c r="AO17" s="3224"/>
      <c r="AP17" s="3224"/>
      <c r="AQ17" s="3224"/>
      <c r="AR17" s="3224"/>
      <c r="AS17" s="3224"/>
      <c r="AT17" s="3224"/>
      <c r="AU17" s="3224"/>
      <c r="AV17" s="3224"/>
      <c r="AW17" s="3224"/>
      <c r="AX17" s="3224"/>
      <c r="AY17" s="3224"/>
      <c r="AZ17" s="3224"/>
      <c r="BA17" s="3224"/>
      <c r="BB17" s="3224"/>
      <c r="BC17" s="3224"/>
      <c r="BD17" s="3224"/>
      <c r="BE17" s="3224"/>
      <c r="BF17" s="3224"/>
      <c r="BG17" s="3224"/>
      <c r="BH17" s="3224"/>
      <c r="BI17" s="3224"/>
      <c r="BJ17" s="15678"/>
      <c r="BK17" s="15667"/>
      <c r="BL17" s="2715"/>
      <c r="BM17" s="3521"/>
      <c r="BN17" s="1717"/>
      <c r="BO17" s="3444"/>
      <c r="BP17" s="3446"/>
      <c r="BQ17" s="3446"/>
      <c r="BR17" s="3446"/>
      <c r="BS17" s="3445"/>
      <c r="BT17" s="3445"/>
      <c r="BU17" s="3445"/>
      <c r="BV17" s="3445"/>
      <c r="BW17" s="3445"/>
      <c r="BX17" s="3445"/>
      <c r="BY17" s="3445"/>
      <c r="BZ17" s="3445"/>
      <c r="CA17" s="3445"/>
      <c r="CB17" s="3445"/>
      <c r="CC17" s="3445"/>
      <c r="CD17" s="3445"/>
      <c r="CE17" s="3445"/>
      <c r="CF17" s="3445"/>
      <c r="CG17" s="3445"/>
      <c r="CH17" s="3445"/>
      <c r="CI17" s="3445"/>
      <c r="CJ17" s="3445"/>
      <c r="CK17" s="3445"/>
      <c r="CL17" s="3445"/>
      <c r="CM17" s="3445"/>
      <c r="CN17" s="3445"/>
      <c r="CO17" s="3445"/>
      <c r="CP17" s="3445"/>
      <c r="CQ17" s="3445"/>
      <c r="CR17" s="3445"/>
      <c r="CS17" s="3445"/>
      <c r="CT17" s="3445"/>
      <c r="CU17" s="3445"/>
      <c r="CV17" s="3445"/>
      <c r="CW17" s="3445"/>
      <c r="CX17" s="3445"/>
      <c r="CY17" s="3445"/>
      <c r="CZ17" s="3445"/>
      <c r="DA17" s="3445"/>
      <c r="DB17" s="3522"/>
      <c r="DC17" s="1833"/>
      <c r="DD17" s="2056"/>
      <c r="DE17" s="3224"/>
      <c r="DF17" s="3224"/>
      <c r="DG17" s="3224"/>
      <c r="DH17" s="3224"/>
      <c r="DI17" s="2057"/>
      <c r="DJ17" s="3778"/>
      <c r="DK17" s="3767"/>
      <c r="DL17" s="3224"/>
      <c r="DM17" s="2057"/>
      <c r="DN17" s="3767"/>
      <c r="DO17" s="3224"/>
      <c r="DP17" s="2057"/>
      <c r="DQ17" s="3767"/>
      <c r="DR17" s="2057"/>
      <c r="DS17" s="3767"/>
      <c r="DT17" s="3224"/>
      <c r="DU17" s="3224"/>
      <c r="DV17" s="3224"/>
      <c r="DW17" s="3224"/>
      <c r="DX17" s="3224"/>
      <c r="DY17" s="2057"/>
      <c r="DZ17" s="3767"/>
      <c r="EA17" s="3224"/>
      <c r="EB17" s="3224"/>
      <c r="EC17" s="3224"/>
      <c r="ED17" s="3224"/>
      <c r="EE17" s="3224"/>
      <c r="EF17" s="3224"/>
      <c r="EG17" s="3224"/>
      <c r="EH17" s="3224"/>
      <c r="EI17" s="3224"/>
      <c r="EJ17" s="3224"/>
      <c r="EK17" s="3224"/>
      <c r="EL17" s="3224"/>
      <c r="EM17" s="2057"/>
      <c r="EN17" s="3767"/>
      <c r="EO17" s="3224"/>
      <c r="EP17" s="3224"/>
      <c r="EQ17" s="3224"/>
      <c r="ER17" s="2057"/>
      <c r="ES17" s="3767"/>
      <c r="ET17" s="3224"/>
      <c r="EU17" s="3224"/>
      <c r="EV17" s="3224"/>
      <c r="EW17" s="2057"/>
    </row>
    <row r="18" spans="1:153" s="1834" customFormat="1" ht="15" customHeight="1" thickBot="1">
      <c r="A18" s="15571"/>
      <c r="B18" s="15615"/>
      <c r="C18" s="15617"/>
      <c r="D18" s="15571"/>
      <c r="E18" s="3026"/>
      <c r="F18" s="15691"/>
      <c r="G18" s="15691"/>
      <c r="H18" s="15691"/>
      <c r="I18" s="15691"/>
      <c r="J18" s="3048" t="s">
        <v>2896</v>
      </c>
      <c r="K18" s="3904"/>
      <c r="L18" s="3904" t="s">
        <v>10192</v>
      </c>
      <c r="M18" s="3026"/>
      <c r="N18" s="3026"/>
      <c r="O18" s="3026"/>
      <c r="P18" s="3026"/>
      <c r="Q18" s="3026"/>
      <c r="R18" s="3438"/>
      <c r="S18" s="2715"/>
      <c r="T18" s="3443"/>
      <c r="U18" s="3520"/>
      <c r="V18" s="3441"/>
      <c r="W18" s="3441"/>
      <c r="X18" s="3441"/>
      <c r="Y18" s="3441"/>
      <c r="Z18" s="3442"/>
      <c r="AA18" s="3442"/>
      <c r="AB18" s="3443"/>
      <c r="AC18" s="3442"/>
      <c r="AD18" s="3443"/>
      <c r="AE18" s="3224"/>
      <c r="AF18" s="3224"/>
      <c r="AG18" s="3445"/>
      <c r="AH18" s="3442"/>
      <c r="AI18" s="3224"/>
      <c r="AJ18" s="3224"/>
      <c r="AK18" s="3224"/>
      <c r="AL18" s="3442"/>
      <c r="AM18" s="3224"/>
      <c r="AN18" s="3224"/>
      <c r="AO18" s="3224"/>
      <c r="AP18" s="3224"/>
      <c r="AQ18" s="3224"/>
      <c r="AR18" s="3224"/>
      <c r="AS18" s="3224"/>
      <c r="AT18" s="3224"/>
      <c r="AU18" s="3224"/>
      <c r="AV18" s="3224"/>
      <c r="AW18" s="3224"/>
      <c r="AX18" s="3224"/>
      <c r="AY18" s="3224"/>
      <c r="AZ18" s="3224"/>
      <c r="BA18" s="3224"/>
      <c r="BB18" s="3224"/>
      <c r="BC18" s="3224"/>
      <c r="BD18" s="3224"/>
      <c r="BE18" s="3224"/>
      <c r="BF18" s="3224"/>
      <c r="BG18" s="3224"/>
      <c r="BH18" s="3224"/>
      <c r="BI18" s="3224"/>
      <c r="BJ18" s="15678"/>
      <c r="BK18" s="15667"/>
      <c r="BL18" s="2715"/>
      <c r="BM18" s="3521"/>
      <c r="BN18" s="1717"/>
      <c r="BO18" s="3444"/>
      <c r="BP18" s="3446"/>
      <c r="BQ18" s="3446"/>
      <c r="BR18" s="3446"/>
      <c r="BS18" s="3445"/>
      <c r="BT18" s="3445"/>
      <c r="BU18" s="3445"/>
      <c r="BV18" s="3445"/>
      <c r="BW18" s="3445"/>
      <c r="BX18" s="3445"/>
      <c r="BY18" s="3445"/>
      <c r="BZ18" s="3445"/>
      <c r="CA18" s="3445"/>
      <c r="CB18" s="3445"/>
      <c r="CC18" s="3445"/>
      <c r="CD18" s="3445"/>
      <c r="CE18" s="3445"/>
      <c r="CF18" s="3445"/>
      <c r="CG18" s="3445"/>
      <c r="CH18" s="3445"/>
      <c r="CI18" s="3445"/>
      <c r="CJ18" s="3445"/>
      <c r="CK18" s="3445"/>
      <c r="CL18" s="3445"/>
      <c r="CM18" s="3445"/>
      <c r="CN18" s="3445"/>
      <c r="CO18" s="3445"/>
      <c r="CP18" s="3445"/>
      <c r="CQ18" s="3445"/>
      <c r="CR18" s="3445"/>
      <c r="CS18" s="3445"/>
      <c r="CT18" s="3445"/>
      <c r="CU18" s="3445"/>
      <c r="CV18" s="3445"/>
      <c r="CW18" s="3445"/>
      <c r="CX18" s="3445"/>
      <c r="CY18" s="3445"/>
      <c r="CZ18" s="3445"/>
      <c r="DA18" s="3445"/>
      <c r="DB18" s="3522"/>
      <c r="DC18" s="1833"/>
      <c r="DD18" s="2056"/>
      <c r="DE18" s="3224"/>
      <c r="DF18" s="3224"/>
      <c r="DG18" s="3224"/>
      <c r="DH18" s="3224"/>
      <c r="DI18" s="2057"/>
      <c r="DJ18" s="3778"/>
      <c r="DK18" s="3767"/>
      <c r="DL18" s="3224"/>
      <c r="DM18" s="2057"/>
      <c r="DN18" s="3767"/>
      <c r="DO18" s="3224"/>
      <c r="DP18" s="2057"/>
      <c r="DQ18" s="3767"/>
      <c r="DR18" s="2057"/>
      <c r="DS18" s="3767"/>
      <c r="DT18" s="3224"/>
      <c r="DU18" s="3224"/>
      <c r="DV18" s="3224"/>
      <c r="DW18" s="3224"/>
      <c r="DX18" s="3224"/>
      <c r="DY18" s="2057"/>
      <c r="DZ18" s="3767"/>
      <c r="EA18" s="3224"/>
      <c r="EB18" s="3224"/>
      <c r="EC18" s="3224"/>
      <c r="ED18" s="3224"/>
      <c r="EE18" s="3224"/>
      <c r="EF18" s="3224"/>
      <c r="EG18" s="3224"/>
      <c r="EH18" s="3224"/>
      <c r="EI18" s="3224"/>
      <c r="EJ18" s="3224"/>
      <c r="EK18" s="3224"/>
      <c r="EL18" s="3224"/>
      <c r="EM18" s="2057"/>
      <c r="EN18" s="3767"/>
      <c r="EO18" s="3224"/>
      <c r="EP18" s="3224"/>
      <c r="EQ18" s="3224"/>
      <c r="ER18" s="2057"/>
      <c r="ES18" s="3767"/>
      <c r="ET18" s="3224"/>
      <c r="EU18" s="3224"/>
      <c r="EV18" s="3224"/>
      <c r="EW18" s="2057"/>
    </row>
    <row r="19" spans="1:153" s="1834" customFormat="1" ht="15" customHeight="1">
      <c r="A19" s="15571"/>
      <c r="B19" s="15588"/>
      <c r="C19" s="15616"/>
      <c r="D19" s="15572"/>
      <c r="E19" s="3025"/>
      <c r="F19" s="15692"/>
      <c r="G19" s="15692"/>
      <c r="H19" s="15692"/>
      <c r="I19" s="15692"/>
      <c r="J19" s="3048" t="s">
        <v>10066</v>
      </c>
      <c r="K19" s="3904"/>
      <c r="L19" s="1832" t="s">
        <v>10071</v>
      </c>
      <c r="M19" s="3025"/>
      <c r="N19" s="3025"/>
      <c r="O19" s="3025"/>
      <c r="P19" s="3025"/>
      <c r="Q19" s="3025"/>
      <c r="R19" s="1836"/>
      <c r="S19" s="1854"/>
      <c r="T19" s="1736"/>
      <c r="U19" s="3519"/>
      <c r="V19" s="1837"/>
      <c r="W19" s="1837"/>
      <c r="X19" s="1837"/>
      <c r="Y19" s="1837"/>
      <c r="Z19" s="1838"/>
      <c r="AA19" s="1838"/>
      <c r="AB19" s="1736"/>
      <c r="AC19" s="1838"/>
      <c r="AD19" s="1736"/>
      <c r="AE19" s="1726"/>
      <c r="AF19" s="1726"/>
      <c r="AG19" s="1732"/>
      <c r="AH19" s="1838"/>
      <c r="AI19" s="1726"/>
      <c r="AJ19" s="1726"/>
      <c r="AK19" s="1726"/>
      <c r="AL19" s="1838"/>
      <c r="AM19" s="1726"/>
      <c r="AN19" s="1726"/>
      <c r="AO19" s="1726"/>
      <c r="AP19" s="1726"/>
      <c r="AQ19" s="1726"/>
      <c r="AR19" s="1726"/>
      <c r="AS19" s="1726"/>
      <c r="AT19" s="1726"/>
      <c r="AU19" s="1726"/>
      <c r="AV19" s="1726"/>
      <c r="AW19" s="1726"/>
      <c r="AX19" s="1726"/>
      <c r="AY19" s="1726"/>
      <c r="AZ19" s="1726"/>
      <c r="BA19" s="1726"/>
      <c r="BB19" s="1726"/>
      <c r="BC19" s="1726"/>
      <c r="BD19" s="1726"/>
      <c r="BE19" s="1726"/>
      <c r="BF19" s="1726"/>
      <c r="BG19" s="1726"/>
      <c r="BH19" s="1726"/>
      <c r="BI19" s="1726"/>
      <c r="BJ19" s="15678"/>
      <c r="BK19" s="15668"/>
      <c r="BL19" s="3523" t="s">
        <v>9660</v>
      </c>
      <c r="BM19" s="3524" t="s">
        <v>8772</v>
      </c>
      <c r="BN19" s="3525" t="s">
        <v>8773</v>
      </c>
      <c r="BO19" s="3526">
        <v>33653000</v>
      </c>
      <c r="BP19" s="3526">
        <v>33653000</v>
      </c>
      <c r="BQ19" s="3526">
        <v>0</v>
      </c>
      <c r="BR19" s="1729">
        <v>0</v>
      </c>
      <c r="BS19" s="1729">
        <v>57310</v>
      </c>
      <c r="BT19" s="1729">
        <v>27310</v>
      </c>
      <c r="BU19" s="1729">
        <v>30000</v>
      </c>
      <c r="BV19" s="1732">
        <v>54000</v>
      </c>
      <c r="BW19" s="1732">
        <v>3710</v>
      </c>
      <c r="BX19" s="1732"/>
      <c r="BY19" s="1732"/>
      <c r="BZ19" s="1732">
        <v>55000</v>
      </c>
      <c r="CA19" s="1732">
        <v>2310</v>
      </c>
      <c r="CB19" s="1732"/>
      <c r="CC19" s="1732"/>
      <c r="CD19" s="1732"/>
      <c r="CE19" s="1732"/>
      <c r="CF19" s="1732"/>
      <c r="CG19" s="1732"/>
      <c r="CH19" s="1732"/>
      <c r="CI19" s="1732"/>
      <c r="CJ19" s="1732"/>
      <c r="CK19" s="1732"/>
      <c r="CL19" s="1732"/>
      <c r="CM19" s="1732"/>
      <c r="CN19" s="1732"/>
      <c r="CO19" s="1732"/>
      <c r="CP19" s="1732"/>
      <c r="CQ19" s="1729"/>
      <c r="CR19" s="1729"/>
      <c r="CS19" s="1729" t="s">
        <v>8851</v>
      </c>
      <c r="CT19" s="1729"/>
      <c r="CU19" s="1732"/>
      <c r="CV19" s="1729"/>
      <c r="CW19" s="1732" t="s">
        <v>8852</v>
      </c>
      <c r="CX19" s="1732"/>
      <c r="CY19" s="1732"/>
      <c r="CZ19" s="1732"/>
      <c r="DA19" s="1732"/>
      <c r="DB19" s="3527"/>
      <c r="DC19" s="1833"/>
      <c r="DD19" s="2056"/>
      <c r="DE19" s="3224"/>
      <c r="DF19" s="3224"/>
      <c r="DG19" s="3224"/>
      <c r="DH19" s="3224"/>
      <c r="DI19" s="2057"/>
      <c r="DJ19" s="3778"/>
      <c r="DK19" s="3767"/>
      <c r="DL19" s="3224"/>
      <c r="DM19" s="2057"/>
      <c r="DN19" s="3767"/>
      <c r="DO19" s="3224"/>
      <c r="DP19" s="2057"/>
      <c r="DQ19" s="3767"/>
      <c r="DR19" s="2057"/>
      <c r="DS19" s="3767"/>
      <c r="DT19" s="3224"/>
      <c r="DU19" s="3224"/>
      <c r="DV19" s="3224"/>
      <c r="DW19" s="3224"/>
      <c r="DX19" s="3224"/>
      <c r="DY19" s="2057"/>
      <c r="DZ19" s="3767"/>
      <c r="EA19" s="3224"/>
      <c r="EB19" s="3224"/>
      <c r="EC19" s="3224"/>
      <c r="ED19" s="3224"/>
      <c r="EE19" s="3224"/>
      <c r="EF19" s="3224"/>
      <c r="EG19" s="3224"/>
      <c r="EH19" s="3224"/>
      <c r="EI19" s="3224"/>
      <c r="EJ19" s="3224"/>
      <c r="EK19" s="3224"/>
      <c r="EL19" s="3224"/>
      <c r="EM19" s="2057"/>
      <c r="EN19" s="3767"/>
      <c r="EO19" s="3224"/>
      <c r="EP19" s="3224"/>
      <c r="EQ19" s="3224"/>
      <c r="ER19" s="2057"/>
      <c r="ES19" s="3767"/>
      <c r="ET19" s="3224"/>
      <c r="EU19" s="3224"/>
      <c r="EV19" s="3224"/>
      <c r="EW19" s="2057"/>
    </row>
    <row r="20" spans="1:153" s="1834" customFormat="1" ht="15" customHeight="1">
      <c r="A20" s="15571"/>
      <c r="B20" s="15588"/>
      <c r="C20" s="15616"/>
      <c r="D20" s="3031" t="s">
        <v>7784</v>
      </c>
      <c r="E20" s="3025" t="s">
        <v>1535</v>
      </c>
      <c r="F20" s="3025" t="s">
        <v>1535</v>
      </c>
      <c r="G20" s="3025" t="s">
        <v>1537</v>
      </c>
      <c r="H20" s="3528">
        <v>300</v>
      </c>
      <c r="I20" s="3528" t="s">
        <v>1536</v>
      </c>
      <c r="J20" s="3045" t="s">
        <v>86</v>
      </c>
      <c r="K20" s="3905" t="s">
        <v>1509</v>
      </c>
      <c r="L20" s="1832"/>
      <c r="M20" s="3025" t="s">
        <v>1510</v>
      </c>
      <c r="N20" s="3025" t="s">
        <v>1511</v>
      </c>
      <c r="O20" s="3025" t="s">
        <v>1538</v>
      </c>
      <c r="P20" s="3025">
        <v>100</v>
      </c>
      <c r="Q20" s="3025">
        <v>200</v>
      </c>
      <c r="R20" s="1715">
        <v>0.81</v>
      </c>
      <c r="S20" s="892" t="s">
        <v>3542</v>
      </c>
      <c r="T20" s="3007" t="s">
        <v>3543</v>
      </c>
      <c r="U20" s="3007" t="s">
        <v>3544</v>
      </c>
      <c r="V20" s="3529" t="s">
        <v>3545</v>
      </c>
      <c r="W20" s="892"/>
      <c r="X20" s="3530" t="s">
        <v>3545</v>
      </c>
      <c r="Y20" s="892"/>
      <c r="Z20" s="892">
        <v>81</v>
      </c>
      <c r="AA20" s="892">
        <v>40</v>
      </c>
      <c r="AB20" s="892">
        <v>41</v>
      </c>
      <c r="AC20" s="892"/>
      <c r="AD20" s="892"/>
      <c r="AE20" s="892">
        <v>0</v>
      </c>
      <c r="AF20" s="892">
        <v>33</v>
      </c>
      <c r="AG20" s="892">
        <v>29</v>
      </c>
      <c r="AH20" s="892">
        <v>15</v>
      </c>
      <c r="AI20" s="892">
        <v>2</v>
      </c>
      <c r="AJ20" s="892">
        <v>1</v>
      </c>
      <c r="AK20" s="892">
        <v>1</v>
      </c>
      <c r="AL20" s="892">
        <v>54</v>
      </c>
      <c r="AM20" s="892">
        <v>2</v>
      </c>
      <c r="AN20" s="892">
        <v>15</v>
      </c>
      <c r="AO20" s="892">
        <v>4</v>
      </c>
      <c r="AP20" s="892">
        <v>6</v>
      </c>
      <c r="AQ20" s="892"/>
      <c r="AR20" s="892"/>
      <c r="AS20" s="892"/>
      <c r="AT20" s="892">
        <v>74</v>
      </c>
      <c r="AU20" s="892">
        <v>5</v>
      </c>
      <c r="AV20" s="892">
        <v>2</v>
      </c>
      <c r="AW20" s="892"/>
      <c r="AX20" s="892"/>
      <c r="AY20" s="892"/>
      <c r="AZ20" s="892"/>
      <c r="BA20" s="892"/>
      <c r="BB20" s="892"/>
      <c r="BC20" s="892"/>
      <c r="BD20" s="892"/>
      <c r="BE20" s="892"/>
      <c r="BF20" s="892"/>
      <c r="BG20" s="892"/>
      <c r="BH20" s="892"/>
      <c r="BI20" s="892"/>
      <c r="BJ20" s="15671"/>
      <c r="BK20" s="15668"/>
      <c r="BL20" s="3531" t="s">
        <v>9661</v>
      </c>
      <c r="BM20" s="3532" t="s">
        <v>3537</v>
      </c>
      <c r="BN20" s="3533"/>
      <c r="BO20" s="3534">
        <v>10000000</v>
      </c>
      <c r="BP20" s="3533"/>
      <c r="BQ20" s="3534">
        <v>10000000</v>
      </c>
      <c r="BR20" s="3533"/>
      <c r="BS20" s="3533">
        <v>1036</v>
      </c>
      <c r="BT20" s="3533">
        <v>556</v>
      </c>
      <c r="BU20" s="3533">
        <v>480</v>
      </c>
      <c r="BV20" s="3533"/>
      <c r="BW20" s="3533"/>
      <c r="BX20" s="3533">
        <v>0</v>
      </c>
      <c r="BY20" s="3533">
        <v>116</v>
      </c>
      <c r="BZ20" s="3533">
        <v>735</v>
      </c>
      <c r="CA20" s="3533">
        <v>115</v>
      </c>
      <c r="CB20" s="3533">
        <v>38</v>
      </c>
      <c r="CC20" s="3533">
        <v>25</v>
      </c>
      <c r="CD20" s="3533">
        <v>7</v>
      </c>
      <c r="CE20" s="3533">
        <v>956</v>
      </c>
      <c r="CF20" s="3533">
        <v>12</v>
      </c>
      <c r="CG20" s="3533">
        <v>43</v>
      </c>
      <c r="CH20" s="3533">
        <v>11</v>
      </c>
      <c r="CI20" s="3533">
        <v>9</v>
      </c>
      <c r="CJ20" s="3533"/>
      <c r="CK20" s="3533"/>
      <c r="CL20" s="3533">
        <v>5</v>
      </c>
      <c r="CM20" s="3533">
        <v>984</v>
      </c>
      <c r="CN20" s="3533">
        <v>43</v>
      </c>
      <c r="CO20" s="3533">
        <v>9</v>
      </c>
      <c r="CP20" s="3533"/>
      <c r="CQ20" s="3533"/>
      <c r="CR20" s="3533"/>
      <c r="CS20" s="3533"/>
      <c r="CT20" s="3533"/>
      <c r="CU20" s="3533"/>
      <c r="CV20" s="3533"/>
      <c r="CW20" s="3533"/>
      <c r="CX20" s="3533"/>
      <c r="CY20" s="3533"/>
      <c r="CZ20" s="3533"/>
      <c r="DA20" s="3533"/>
      <c r="DB20" s="3533"/>
      <c r="DC20" s="1833"/>
      <c r="DD20" s="2056"/>
      <c r="DE20" s="3224"/>
      <c r="DF20" s="3224"/>
      <c r="DG20" s="3224"/>
      <c r="DH20" s="3224"/>
      <c r="DI20" s="2057"/>
      <c r="DJ20" s="3778"/>
      <c r="DK20" s="3767"/>
      <c r="DL20" s="3224"/>
      <c r="DM20" s="2057"/>
      <c r="DN20" s="3767"/>
      <c r="DO20" s="3224"/>
      <c r="DP20" s="2057"/>
      <c r="DQ20" s="3767"/>
      <c r="DR20" s="2057"/>
      <c r="DS20" s="3767"/>
      <c r="DT20" s="3224"/>
      <c r="DU20" s="3224"/>
      <c r="DV20" s="3224"/>
      <c r="DW20" s="3224"/>
      <c r="DX20" s="3224"/>
      <c r="DY20" s="2057"/>
      <c r="DZ20" s="3767"/>
      <c r="EA20" s="3224"/>
      <c r="EB20" s="3224"/>
      <c r="EC20" s="3224"/>
      <c r="ED20" s="3224"/>
      <c r="EE20" s="3224"/>
      <c r="EF20" s="3224"/>
      <c r="EG20" s="3224"/>
      <c r="EH20" s="3224"/>
      <c r="EI20" s="3224"/>
      <c r="EJ20" s="3224"/>
      <c r="EK20" s="3224"/>
      <c r="EL20" s="3224"/>
      <c r="EM20" s="2057"/>
      <c r="EN20" s="3767"/>
      <c r="EO20" s="3224"/>
      <c r="EP20" s="3224"/>
      <c r="EQ20" s="3224"/>
      <c r="ER20" s="2057"/>
      <c r="ES20" s="3767"/>
      <c r="ET20" s="3224"/>
      <c r="EU20" s="3224"/>
      <c r="EV20" s="3224"/>
      <c r="EW20" s="2057"/>
    </row>
    <row r="21" spans="1:153" s="1834" customFormat="1" ht="15" customHeight="1">
      <c r="A21" s="15571"/>
      <c r="B21" s="15588"/>
      <c r="C21" s="15586" t="s">
        <v>1539</v>
      </c>
      <c r="D21" s="15586" t="s">
        <v>7785</v>
      </c>
      <c r="E21" s="3025" t="s">
        <v>1540</v>
      </c>
      <c r="F21" s="15587" t="s">
        <v>1540</v>
      </c>
      <c r="G21" s="15587" t="s">
        <v>1543</v>
      </c>
      <c r="H21" s="15618">
        <v>0.14000000000000001</v>
      </c>
      <c r="I21" s="15587" t="s">
        <v>1541</v>
      </c>
      <c r="J21" s="3895" t="s">
        <v>86</v>
      </c>
      <c r="K21" s="1832" t="s">
        <v>1509</v>
      </c>
      <c r="L21" s="1832"/>
      <c r="M21" s="3025" t="s">
        <v>1544</v>
      </c>
      <c r="N21" s="3025" t="s">
        <v>1511</v>
      </c>
      <c r="O21" s="1835">
        <v>0.23300000000000001</v>
      </c>
      <c r="P21" s="3025" t="s">
        <v>1545</v>
      </c>
      <c r="Q21" s="3033">
        <v>0.19</v>
      </c>
      <c r="R21" s="3535">
        <v>0.16400000000000001</v>
      </c>
      <c r="S21" s="1733" t="s">
        <v>3546</v>
      </c>
      <c r="T21" s="1733" t="s">
        <v>3547</v>
      </c>
      <c r="U21" s="1733" t="s">
        <v>3548</v>
      </c>
      <c r="V21" s="1732">
        <v>30000000</v>
      </c>
      <c r="W21" s="892"/>
      <c r="X21" s="3536">
        <v>30000000</v>
      </c>
      <c r="Y21" s="892"/>
      <c r="Z21" s="892">
        <v>3100</v>
      </c>
      <c r="AA21" s="1736">
        <v>1471</v>
      </c>
      <c r="AB21" s="1736">
        <v>1629</v>
      </c>
      <c r="AC21" s="1736">
        <v>2450</v>
      </c>
      <c r="AD21" s="1736">
        <v>650</v>
      </c>
      <c r="AE21" s="892">
        <v>228</v>
      </c>
      <c r="AF21" s="892">
        <v>2095</v>
      </c>
      <c r="AG21" s="892">
        <v>396</v>
      </c>
      <c r="AH21" s="892">
        <v>381</v>
      </c>
      <c r="AI21" s="892"/>
      <c r="AJ21" s="892"/>
      <c r="AK21" s="892"/>
      <c r="AL21" s="892"/>
      <c r="AM21" s="892"/>
      <c r="AN21" s="892"/>
      <c r="AO21" s="892"/>
      <c r="AP21" s="892"/>
      <c r="AQ21" s="892"/>
      <c r="AR21" s="892"/>
      <c r="AS21" s="892"/>
      <c r="AT21" s="892">
        <v>2992</v>
      </c>
      <c r="AU21" s="892">
        <v>67</v>
      </c>
      <c r="AV21" s="892">
        <v>40</v>
      </c>
      <c r="AW21" s="892">
        <v>1</v>
      </c>
      <c r="AX21" s="892"/>
      <c r="AY21" s="892"/>
      <c r="AZ21" s="1726"/>
      <c r="BA21" s="1726"/>
      <c r="BB21" s="1726"/>
      <c r="BC21" s="1726"/>
      <c r="BD21" s="1726"/>
      <c r="BE21" s="1726"/>
      <c r="BF21" s="1726"/>
      <c r="BG21" s="1726"/>
      <c r="BH21" s="1726"/>
      <c r="BI21" s="1726"/>
      <c r="BJ21" s="15670">
        <v>1</v>
      </c>
      <c r="BK21" s="15668"/>
      <c r="BL21" s="1733"/>
      <c r="BM21" s="1733"/>
      <c r="BN21" s="1729"/>
      <c r="BO21" s="1732">
        <v>0</v>
      </c>
      <c r="BP21" s="1732">
        <v>0</v>
      </c>
      <c r="BQ21" s="3536">
        <v>0</v>
      </c>
      <c r="BR21" s="1732">
        <v>0</v>
      </c>
      <c r="BS21" s="1732"/>
      <c r="BT21" s="1732"/>
      <c r="BU21" s="1732"/>
      <c r="BV21" s="1732"/>
      <c r="BW21" s="1732"/>
      <c r="BX21" s="1732"/>
      <c r="BY21" s="1732"/>
      <c r="BZ21" s="1732"/>
      <c r="CA21" s="1732"/>
      <c r="CB21" s="1732"/>
      <c r="CC21" s="1732"/>
      <c r="CD21" s="1732"/>
      <c r="CE21" s="1732"/>
      <c r="CF21" s="1732"/>
      <c r="CG21" s="1732"/>
      <c r="CH21" s="1732"/>
      <c r="CI21" s="1732"/>
      <c r="CJ21" s="1732"/>
      <c r="CK21" s="1732"/>
      <c r="CL21" s="1732"/>
      <c r="CM21" s="1732"/>
      <c r="CN21" s="1732"/>
      <c r="CO21" s="1732"/>
      <c r="CP21" s="1732"/>
      <c r="CQ21" s="1732"/>
      <c r="CR21" s="1732"/>
      <c r="CS21" s="1732"/>
      <c r="CT21" s="1732"/>
      <c r="CU21" s="1732"/>
      <c r="CV21" s="1732"/>
      <c r="CW21" s="1732"/>
      <c r="CX21" s="1732"/>
      <c r="CY21" s="1732"/>
      <c r="CZ21" s="1732"/>
      <c r="DA21" s="1732"/>
      <c r="DB21" s="1732"/>
      <c r="DC21" s="1833"/>
      <c r="DD21" s="2056"/>
      <c r="DE21" s="3224"/>
      <c r="DF21" s="3224"/>
      <c r="DG21" s="3224"/>
      <c r="DH21" s="3224"/>
      <c r="DI21" s="2057"/>
      <c r="DJ21" s="3778"/>
      <c r="DK21" s="3767"/>
      <c r="DL21" s="3224"/>
      <c r="DM21" s="2057"/>
      <c r="DN21" s="3767"/>
      <c r="DO21" s="3224"/>
      <c r="DP21" s="2057"/>
      <c r="DQ21" s="3767"/>
      <c r="DR21" s="2057"/>
      <c r="DS21" s="3767"/>
      <c r="DT21" s="3224"/>
      <c r="DU21" s="3224"/>
      <c r="DV21" s="3224"/>
      <c r="DW21" s="3224"/>
      <c r="DX21" s="3224"/>
      <c r="DY21" s="2057"/>
      <c r="DZ21" s="3767"/>
      <c r="EA21" s="3224"/>
      <c r="EB21" s="3224"/>
      <c r="EC21" s="3224"/>
      <c r="ED21" s="3224"/>
      <c r="EE21" s="3224"/>
      <c r="EF21" s="3224"/>
      <c r="EG21" s="3224"/>
      <c r="EH21" s="3224"/>
      <c r="EI21" s="3224"/>
      <c r="EJ21" s="3224"/>
      <c r="EK21" s="3224"/>
      <c r="EL21" s="3224"/>
      <c r="EM21" s="2057"/>
      <c r="EN21" s="3767"/>
      <c r="EO21" s="3224"/>
      <c r="EP21" s="3224"/>
      <c r="EQ21" s="3224"/>
      <c r="ER21" s="2057"/>
      <c r="ES21" s="3767"/>
      <c r="ET21" s="3224"/>
      <c r="EU21" s="3224"/>
      <c r="EV21" s="3224"/>
      <c r="EW21" s="2057"/>
    </row>
    <row r="22" spans="1:153" s="1834" customFormat="1" ht="15" customHeight="1">
      <c r="A22" s="15571"/>
      <c r="B22" s="15588"/>
      <c r="C22" s="15571"/>
      <c r="D22" s="15572"/>
      <c r="E22" s="3025"/>
      <c r="F22" s="15587"/>
      <c r="G22" s="15587"/>
      <c r="H22" s="15618"/>
      <c r="I22" s="15587"/>
      <c r="J22" s="3045" t="s">
        <v>2896</v>
      </c>
      <c r="K22" s="1832"/>
      <c r="L22" s="1832" t="s">
        <v>1542</v>
      </c>
      <c r="M22" s="3025"/>
      <c r="N22" s="3025"/>
      <c r="O22" s="3537"/>
      <c r="P22" s="3531" t="s">
        <v>1541</v>
      </c>
      <c r="Q22" s="3537">
        <v>0.14000000000000001</v>
      </c>
      <c r="R22" s="3535"/>
      <c r="S22" s="1733"/>
      <c r="T22" s="1733"/>
      <c r="U22" s="1733"/>
      <c r="V22" s="1732"/>
      <c r="W22" s="892"/>
      <c r="X22" s="3536"/>
      <c r="Y22" s="892"/>
      <c r="Z22" s="892"/>
      <c r="AA22" s="1736"/>
      <c r="AB22" s="1736"/>
      <c r="AC22" s="1736"/>
      <c r="AD22" s="1736"/>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1726"/>
      <c r="BA22" s="1726"/>
      <c r="BB22" s="1726"/>
      <c r="BC22" s="1726"/>
      <c r="BD22" s="1726"/>
      <c r="BE22" s="1726"/>
      <c r="BF22" s="1726"/>
      <c r="BG22" s="1726"/>
      <c r="BH22" s="1726"/>
      <c r="BI22" s="1726"/>
      <c r="BJ22" s="15671"/>
      <c r="BK22" s="15668"/>
      <c r="BL22" s="3538" t="s">
        <v>8776</v>
      </c>
      <c r="BM22" s="3538" t="s">
        <v>8778</v>
      </c>
      <c r="BN22" s="3533"/>
      <c r="BO22" s="3533">
        <v>132000000</v>
      </c>
      <c r="BP22" s="3533">
        <v>132000000</v>
      </c>
      <c r="BQ22" s="3539">
        <v>0</v>
      </c>
      <c r="BR22" s="3533">
        <v>0</v>
      </c>
      <c r="BS22" s="3533">
        <v>789</v>
      </c>
      <c r="BT22" s="3533"/>
      <c r="BU22" s="3533">
        <v>789</v>
      </c>
      <c r="BV22" s="3533">
        <v>635</v>
      </c>
      <c r="BW22" s="3533">
        <v>154</v>
      </c>
      <c r="BX22" s="3533"/>
      <c r="BY22" s="3533"/>
      <c r="BZ22" s="3533">
        <v>789</v>
      </c>
      <c r="CA22" s="3533"/>
      <c r="CB22" s="3533"/>
      <c r="CC22" s="3533"/>
      <c r="CD22" s="3533"/>
      <c r="CE22" s="3533">
        <v>789</v>
      </c>
      <c r="CF22" s="3533"/>
      <c r="CG22" s="3533"/>
      <c r="CH22" s="3533"/>
      <c r="CI22" s="3533"/>
      <c r="CJ22" s="3533"/>
      <c r="CK22" s="3533"/>
      <c r="CL22" s="3533"/>
      <c r="CM22" s="3533">
        <v>763</v>
      </c>
      <c r="CN22" s="3533">
        <v>15</v>
      </c>
      <c r="CO22" s="3533">
        <v>11</v>
      </c>
      <c r="CP22" s="3533"/>
      <c r="CQ22" s="3533"/>
      <c r="CR22" s="3533"/>
      <c r="CS22" s="3533"/>
      <c r="CT22" s="3533"/>
      <c r="CU22" s="3533"/>
      <c r="CV22" s="3533"/>
      <c r="CW22" s="3533"/>
      <c r="CX22" s="3533"/>
      <c r="CY22" s="3533"/>
      <c r="CZ22" s="3533"/>
      <c r="DA22" s="3533"/>
      <c r="DB22" s="3533"/>
      <c r="DC22" s="1833"/>
      <c r="DD22" s="2056"/>
      <c r="DE22" s="3224"/>
      <c r="DF22" s="3224"/>
      <c r="DG22" s="3224"/>
      <c r="DH22" s="3224"/>
      <c r="DI22" s="2057"/>
      <c r="DJ22" s="3778"/>
      <c r="DK22" s="3767"/>
      <c r="DL22" s="3224"/>
      <c r="DM22" s="2057"/>
      <c r="DN22" s="3767"/>
      <c r="DO22" s="3224"/>
      <c r="DP22" s="2057"/>
      <c r="DQ22" s="3767"/>
      <c r="DR22" s="2057"/>
      <c r="DS22" s="3767"/>
      <c r="DT22" s="3224"/>
      <c r="DU22" s="3224"/>
      <c r="DV22" s="3224"/>
      <c r="DW22" s="3224"/>
      <c r="DX22" s="3224"/>
      <c r="DY22" s="2057"/>
      <c r="DZ22" s="3767"/>
      <c r="EA22" s="3224"/>
      <c r="EB22" s="3224"/>
      <c r="EC22" s="3224"/>
      <c r="ED22" s="3224"/>
      <c r="EE22" s="3224"/>
      <c r="EF22" s="3224"/>
      <c r="EG22" s="3224"/>
      <c r="EH22" s="3224"/>
      <c r="EI22" s="3224"/>
      <c r="EJ22" s="3224"/>
      <c r="EK22" s="3224"/>
      <c r="EL22" s="3224"/>
      <c r="EM22" s="2057"/>
      <c r="EN22" s="3767"/>
      <c r="EO22" s="3224"/>
      <c r="EP22" s="3224"/>
      <c r="EQ22" s="3224"/>
      <c r="ER22" s="2057"/>
      <c r="ES22" s="3767"/>
      <c r="ET22" s="3224"/>
      <c r="EU22" s="3224"/>
      <c r="EV22" s="3224"/>
      <c r="EW22" s="2057"/>
    </row>
    <row r="23" spans="1:153" s="1834" customFormat="1" ht="15" customHeight="1">
      <c r="A23" s="15571"/>
      <c r="B23" s="15588"/>
      <c r="C23" s="15571"/>
      <c r="D23" s="3025" t="s">
        <v>7786</v>
      </c>
      <c r="E23" s="3025" t="s">
        <v>1546</v>
      </c>
      <c r="F23" s="3025" t="s">
        <v>1546</v>
      </c>
      <c r="G23" s="3025" t="s">
        <v>1548</v>
      </c>
      <c r="H23" s="3033">
        <v>1</v>
      </c>
      <c r="I23" s="3025" t="s">
        <v>1547</v>
      </c>
      <c r="J23" s="3048" t="s">
        <v>2896</v>
      </c>
      <c r="K23" s="1832" t="s">
        <v>163</v>
      </c>
      <c r="L23" s="1832"/>
      <c r="M23" s="3025" t="s">
        <v>1510</v>
      </c>
      <c r="N23" s="3025" t="s">
        <v>1511</v>
      </c>
      <c r="O23" s="3025" t="s">
        <v>1549</v>
      </c>
      <c r="P23" s="3033">
        <v>0.25</v>
      </c>
      <c r="Q23" s="3033">
        <v>0.6</v>
      </c>
      <c r="R23" s="1715">
        <v>1</v>
      </c>
      <c r="S23" s="3540" t="s">
        <v>3879</v>
      </c>
      <c r="T23" s="3007"/>
      <c r="U23" s="1726"/>
      <c r="V23" s="3541">
        <v>21500000</v>
      </c>
      <c r="W23" s="1831" t="s">
        <v>2943</v>
      </c>
      <c r="X23" s="1831" t="s">
        <v>2943</v>
      </c>
      <c r="Y23" s="1831"/>
      <c r="Z23" s="1726"/>
      <c r="AA23" s="1726"/>
      <c r="AB23" s="1726"/>
      <c r="AC23" s="1726"/>
      <c r="AD23" s="1726"/>
      <c r="AE23" s="1726"/>
      <c r="AF23" s="1726"/>
      <c r="AG23" s="1726"/>
      <c r="AH23" s="1726"/>
      <c r="AI23" s="1726"/>
      <c r="AJ23" s="1726"/>
      <c r="AK23" s="1726"/>
      <c r="AL23" s="1726"/>
      <c r="AM23" s="1726"/>
      <c r="AN23" s="1726"/>
      <c r="AO23" s="1726"/>
      <c r="AP23" s="1726"/>
      <c r="AQ23" s="1726"/>
      <c r="AR23" s="1726"/>
      <c r="AS23" s="1726"/>
      <c r="AT23" s="1726"/>
      <c r="AU23" s="1726"/>
      <c r="AV23" s="1726"/>
      <c r="AW23" s="1726"/>
      <c r="AX23" s="1726"/>
      <c r="AY23" s="1726"/>
      <c r="AZ23" s="1726"/>
      <c r="BA23" s="1726"/>
      <c r="BB23" s="1726"/>
      <c r="BC23" s="1726"/>
      <c r="BD23" s="1726"/>
      <c r="BE23" s="1726"/>
      <c r="BF23" s="1726"/>
      <c r="BG23" s="1726"/>
      <c r="BH23" s="1726"/>
      <c r="BI23" s="1726"/>
      <c r="BJ23" s="1716">
        <v>1</v>
      </c>
      <c r="BK23" s="15668"/>
      <c r="BL23" s="1832" t="s">
        <v>8779</v>
      </c>
      <c r="BM23" s="3025" t="s">
        <v>8780</v>
      </c>
      <c r="BN23" s="3542"/>
      <c r="BO23" s="3542">
        <v>21500000</v>
      </c>
      <c r="BP23" s="3542">
        <v>0</v>
      </c>
      <c r="BQ23" s="3542">
        <v>0</v>
      </c>
      <c r="BR23" s="3542">
        <v>0</v>
      </c>
      <c r="BS23" s="3542">
        <v>31646</v>
      </c>
      <c r="BT23" s="3542">
        <v>16656</v>
      </c>
      <c r="BU23" s="3542">
        <v>14990</v>
      </c>
      <c r="BV23" s="3542">
        <v>25703</v>
      </c>
      <c r="BW23" s="3542">
        <v>5943</v>
      </c>
      <c r="BX23" s="3542"/>
      <c r="BY23" s="3542"/>
      <c r="BZ23" s="3542"/>
      <c r="CA23" s="3542">
        <v>31646</v>
      </c>
      <c r="CB23" s="3542"/>
      <c r="CC23" s="3542"/>
      <c r="CD23" s="3542"/>
      <c r="CE23" s="3542"/>
      <c r="CF23" s="3542">
        <v>2853</v>
      </c>
      <c r="CG23" s="3542"/>
      <c r="CH23" s="3542">
        <v>1338</v>
      </c>
      <c r="CI23" s="3542"/>
      <c r="CJ23" s="3542"/>
      <c r="CK23" s="3542"/>
      <c r="CL23" s="3542"/>
      <c r="CM23" s="3542"/>
      <c r="CN23" s="3542">
        <v>1373</v>
      </c>
      <c r="CO23" s="3542">
        <v>637</v>
      </c>
      <c r="CP23" s="3542"/>
      <c r="CQ23" s="3542"/>
      <c r="CR23" s="3542"/>
      <c r="CS23" s="3542"/>
      <c r="CT23" s="3542"/>
      <c r="CU23" s="3542"/>
      <c r="CV23" s="3542"/>
      <c r="CW23" s="3542"/>
      <c r="CX23" s="3542"/>
      <c r="CY23" s="3542"/>
      <c r="CZ23" s="3542"/>
      <c r="DA23" s="3542"/>
      <c r="DB23" s="3542"/>
      <c r="DC23" s="1833"/>
      <c r="DD23" s="2056"/>
      <c r="DE23" s="3224"/>
      <c r="DF23" s="3224"/>
      <c r="DG23" s="3224"/>
      <c r="DH23" s="3224"/>
      <c r="DI23" s="2057"/>
      <c r="DJ23" s="3778"/>
      <c r="DK23" s="3767"/>
      <c r="DL23" s="3224"/>
      <c r="DM23" s="2057"/>
      <c r="DN23" s="3767"/>
      <c r="DO23" s="3224"/>
      <c r="DP23" s="2057"/>
      <c r="DQ23" s="3767"/>
      <c r="DR23" s="2057"/>
      <c r="DS23" s="3767"/>
      <c r="DT23" s="3224"/>
      <c r="DU23" s="3224"/>
      <c r="DV23" s="3224"/>
      <c r="DW23" s="3224"/>
      <c r="DX23" s="3224"/>
      <c r="DY23" s="2057"/>
      <c r="DZ23" s="3767"/>
      <c r="EA23" s="3224"/>
      <c r="EB23" s="3224"/>
      <c r="EC23" s="3224"/>
      <c r="ED23" s="3224"/>
      <c r="EE23" s="3224"/>
      <c r="EF23" s="3224"/>
      <c r="EG23" s="3224"/>
      <c r="EH23" s="3224"/>
      <c r="EI23" s="3224"/>
      <c r="EJ23" s="3224"/>
      <c r="EK23" s="3224"/>
      <c r="EL23" s="3224"/>
      <c r="EM23" s="2057"/>
      <c r="EN23" s="3767"/>
      <c r="EO23" s="3224"/>
      <c r="EP23" s="3224"/>
      <c r="EQ23" s="3224"/>
      <c r="ER23" s="2057"/>
      <c r="ES23" s="3767"/>
      <c r="ET23" s="3224"/>
      <c r="EU23" s="3224"/>
      <c r="EV23" s="3224"/>
      <c r="EW23" s="2057"/>
    </row>
    <row r="24" spans="1:153" s="1834" customFormat="1" ht="15" customHeight="1">
      <c r="A24" s="15571"/>
      <c r="B24" s="15588"/>
      <c r="C24" s="15571"/>
      <c r="D24" s="15586" t="s">
        <v>7787</v>
      </c>
      <c r="E24" s="3025" t="s">
        <v>1550</v>
      </c>
      <c r="F24" s="15587" t="s">
        <v>1550</v>
      </c>
      <c r="G24" s="15587" t="s">
        <v>1551</v>
      </c>
      <c r="H24" s="15587">
        <v>6</v>
      </c>
      <c r="I24" s="15587" t="s">
        <v>700</v>
      </c>
      <c r="J24" s="3895" t="s">
        <v>86</v>
      </c>
      <c r="K24" s="1832" t="s">
        <v>1509</v>
      </c>
      <c r="L24" s="1832"/>
      <c r="M24" s="3025" t="s">
        <v>1510</v>
      </c>
      <c r="N24" s="3025" t="s">
        <v>1511</v>
      </c>
      <c r="O24" s="3025" t="s">
        <v>1549</v>
      </c>
      <c r="P24" s="3025">
        <v>1</v>
      </c>
      <c r="Q24" s="3025">
        <v>3</v>
      </c>
      <c r="R24" s="1715">
        <v>1</v>
      </c>
      <c r="S24" s="1841" t="s">
        <v>3549</v>
      </c>
      <c r="T24" s="1733" t="s">
        <v>3550</v>
      </c>
      <c r="U24" s="1726"/>
      <c r="V24" s="1732">
        <v>80000000</v>
      </c>
      <c r="W24" s="1732">
        <v>80000000</v>
      </c>
      <c r="X24" s="3543"/>
      <c r="Y24" s="892"/>
      <c r="Z24" s="892">
        <v>3100</v>
      </c>
      <c r="AA24" s="1736">
        <v>1471</v>
      </c>
      <c r="AB24" s="1736">
        <v>1629</v>
      </c>
      <c r="AC24" s="1736">
        <v>2450</v>
      </c>
      <c r="AD24" s="1736">
        <v>650</v>
      </c>
      <c r="AE24" s="892">
        <v>228</v>
      </c>
      <c r="AF24" s="892">
        <v>2095</v>
      </c>
      <c r="AG24" s="892">
        <v>396</v>
      </c>
      <c r="AH24" s="892">
        <v>381</v>
      </c>
      <c r="AI24" s="892"/>
      <c r="AJ24" s="892"/>
      <c r="AK24" s="892"/>
      <c r="AL24" s="892"/>
      <c r="AM24" s="892"/>
      <c r="AN24" s="892"/>
      <c r="AO24" s="892"/>
      <c r="AP24" s="892"/>
      <c r="AQ24" s="892"/>
      <c r="AR24" s="892"/>
      <c r="AS24" s="892"/>
      <c r="AT24" s="892">
        <v>2992</v>
      </c>
      <c r="AU24" s="892">
        <v>67</v>
      </c>
      <c r="AV24" s="892">
        <v>40</v>
      </c>
      <c r="AW24" s="892">
        <v>1</v>
      </c>
      <c r="AX24" s="892"/>
      <c r="AY24" s="892"/>
      <c r="AZ24" s="1726"/>
      <c r="BA24" s="1726"/>
      <c r="BB24" s="1726"/>
      <c r="BC24" s="1726"/>
      <c r="BD24" s="1726"/>
      <c r="BE24" s="1726"/>
      <c r="BF24" s="1726"/>
      <c r="BG24" s="1726"/>
      <c r="BH24" s="1726"/>
      <c r="BI24" s="1726"/>
      <c r="BJ24" s="1716">
        <v>0</v>
      </c>
      <c r="BK24" s="15668"/>
      <c r="BL24" s="1841" t="s">
        <v>9789</v>
      </c>
      <c r="BM24" s="1733"/>
      <c r="BN24" s="1732"/>
      <c r="BO24" s="1732">
        <v>0</v>
      </c>
      <c r="BP24" s="1732">
        <v>0</v>
      </c>
      <c r="BQ24" s="1732">
        <v>0</v>
      </c>
      <c r="BR24" s="1732"/>
      <c r="BS24" s="1732"/>
      <c r="BT24" s="1732"/>
      <c r="BU24" s="1732"/>
      <c r="BV24" s="1732"/>
      <c r="BW24" s="1732"/>
      <c r="BX24" s="1732"/>
      <c r="BY24" s="1732"/>
      <c r="BZ24" s="1732"/>
      <c r="CA24" s="1732"/>
      <c r="CB24" s="1732"/>
      <c r="CC24" s="1732"/>
      <c r="CD24" s="1732"/>
      <c r="CE24" s="1732"/>
      <c r="CF24" s="1732"/>
      <c r="CG24" s="1732"/>
      <c r="CH24" s="1732"/>
      <c r="CI24" s="1732"/>
      <c r="CJ24" s="1732"/>
      <c r="CK24" s="1732"/>
      <c r="CL24" s="1732"/>
      <c r="CM24" s="1732"/>
      <c r="CN24" s="1732"/>
      <c r="CO24" s="1732"/>
      <c r="CP24" s="1732"/>
      <c r="CQ24" s="1732"/>
      <c r="CR24" s="1732"/>
      <c r="CS24" s="1732"/>
      <c r="CT24" s="1732"/>
      <c r="CU24" s="1732"/>
      <c r="CV24" s="1732"/>
      <c r="CW24" s="1732"/>
      <c r="CX24" s="1732"/>
      <c r="CY24" s="1732"/>
      <c r="CZ24" s="1732"/>
      <c r="DA24" s="1732"/>
      <c r="DB24" s="1732"/>
      <c r="DC24" s="1833"/>
      <c r="DD24" s="2056"/>
      <c r="DE24" s="3224"/>
      <c r="DF24" s="3224"/>
      <c r="DG24" s="3224"/>
      <c r="DH24" s="3224"/>
      <c r="DI24" s="2057"/>
      <c r="DJ24" s="3778"/>
      <c r="DK24" s="3767"/>
      <c r="DL24" s="3224"/>
      <c r="DM24" s="2057"/>
      <c r="DN24" s="3767"/>
      <c r="DO24" s="3224"/>
      <c r="DP24" s="2057"/>
      <c r="DQ24" s="3767"/>
      <c r="DR24" s="2057"/>
      <c r="DS24" s="3767"/>
      <c r="DT24" s="3224"/>
      <c r="DU24" s="3224"/>
      <c r="DV24" s="3224"/>
      <c r="DW24" s="3224"/>
      <c r="DX24" s="3224"/>
      <c r="DY24" s="2057"/>
      <c r="DZ24" s="3767"/>
      <c r="EA24" s="3224"/>
      <c r="EB24" s="3224"/>
      <c r="EC24" s="3224"/>
      <c r="ED24" s="3224"/>
      <c r="EE24" s="3224"/>
      <c r="EF24" s="3224"/>
      <c r="EG24" s="3224"/>
      <c r="EH24" s="3224"/>
      <c r="EI24" s="3224"/>
      <c r="EJ24" s="3224"/>
      <c r="EK24" s="3224"/>
      <c r="EL24" s="3224"/>
      <c r="EM24" s="2057"/>
      <c r="EN24" s="3767"/>
      <c r="EO24" s="3224"/>
      <c r="EP24" s="3224"/>
      <c r="EQ24" s="3224"/>
      <c r="ER24" s="2057"/>
      <c r="ES24" s="3767"/>
      <c r="ET24" s="3224"/>
      <c r="EU24" s="3224"/>
      <c r="EV24" s="3224"/>
      <c r="EW24" s="2057"/>
    </row>
    <row r="25" spans="1:153" s="1834" customFormat="1" ht="15" customHeight="1">
      <c r="A25" s="15571"/>
      <c r="B25" s="15615"/>
      <c r="C25" s="15571"/>
      <c r="D25" s="15571"/>
      <c r="E25" s="3026"/>
      <c r="F25" s="15708"/>
      <c r="G25" s="15708"/>
      <c r="H25" s="15708"/>
      <c r="I25" s="15708"/>
      <c r="J25" s="3044" t="s">
        <v>8644</v>
      </c>
      <c r="K25" s="3904"/>
      <c r="L25" s="3904" t="s">
        <v>1554</v>
      </c>
      <c r="M25" s="3026"/>
      <c r="N25" s="3026"/>
      <c r="O25" s="3026"/>
      <c r="P25" s="3026"/>
      <c r="Q25" s="3026"/>
      <c r="R25" s="3152"/>
      <c r="S25" s="3439"/>
      <c r="T25" s="3440"/>
      <c r="U25" s="3224"/>
      <c r="V25" s="3445"/>
      <c r="W25" s="3445"/>
      <c r="X25" s="3544"/>
      <c r="Y25" s="3221"/>
      <c r="Z25" s="3221"/>
      <c r="AA25" s="3443"/>
      <c r="AB25" s="3443"/>
      <c r="AC25" s="3443"/>
      <c r="AD25" s="3443"/>
      <c r="AE25" s="3221"/>
      <c r="AF25" s="3221"/>
      <c r="AG25" s="3221"/>
      <c r="AH25" s="3221"/>
      <c r="AI25" s="3221"/>
      <c r="AJ25" s="3221"/>
      <c r="AK25" s="3221"/>
      <c r="AL25" s="3221"/>
      <c r="AM25" s="3221"/>
      <c r="AN25" s="3221"/>
      <c r="AO25" s="3221"/>
      <c r="AP25" s="3221"/>
      <c r="AQ25" s="3221"/>
      <c r="AR25" s="3221"/>
      <c r="AS25" s="3221"/>
      <c r="AT25" s="3221"/>
      <c r="AU25" s="3221"/>
      <c r="AV25" s="3221"/>
      <c r="AW25" s="3221"/>
      <c r="AX25" s="3221"/>
      <c r="AY25" s="3221"/>
      <c r="AZ25" s="3224"/>
      <c r="BA25" s="3224"/>
      <c r="BB25" s="3224"/>
      <c r="BC25" s="3224"/>
      <c r="BD25" s="3224"/>
      <c r="BE25" s="3224"/>
      <c r="BF25" s="3224"/>
      <c r="BG25" s="3224"/>
      <c r="BH25" s="3224"/>
      <c r="BI25" s="3224"/>
      <c r="BJ25" s="3219"/>
      <c r="BK25" s="15668"/>
      <c r="BL25" s="3439"/>
      <c r="BM25" s="3440"/>
      <c r="BN25" s="3445"/>
      <c r="BO25" s="3445"/>
      <c r="BP25" s="3445"/>
      <c r="BQ25" s="3445"/>
      <c r="BR25" s="3445"/>
      <c r="BS25" s="3445"/>
      <c r="BT25" s="3445"/>
      <c r="BU25" s="3445"/>
      <c r="BV25" s="3445"/>
      <c r="BW25" s="3445"/>
      <c r="BX25" s="3445"/>
      <c r="BY25" s="3445"/>
      <c r="BZ25" s="3445"/>
      <c r="CA25" s="3445"/>
      <c r="CB25" s="3445"/>
      <c r="CC25" s="3445"/>
      <c r="CD25" s="3445"/>
      <c r="CE25" s="3445"/>
      <c r="CF25" s="3445"/>
      <c r="CG25" s="3445"/>
      <c r="CH25" s="3445"/>
      <c r="CI25" s="3445"/>
      <c r="CJ25" s="3445"/>
      <c r="CK25" s="3445"/>
      <c r="CL25" s="3445"/>
      <c r="CM25" s="3445"/>
      <c r="CN25" s="3445"/>
      <c r="CO25" s="3445"/>
      <c r="CP25" s="3445"/>
      <c r="CQ25" s="3445"/>
      <c r="CR25" s="3445"/>
      <c r="CS25" s="3445"/>
      <c r="CT25" s="3445"/>
      <c r="CU25" s="3445"/>
      <c r="CV25" s="3445"/>
      <c r="CW25" s="3445"/>
      <c r="CX25" s="3445"/>
      <c r="CY25" s="3445"/>
      <c r="CZ25" s="3445"/>
      <c r="DA25" s="3445"/>
      <c r="DB25" s="3445"/>
      <c r="DC25" s="1833"/>
      <c r="DD25" s="2056"/>
      <c r="DE25" s="3224"/>
      <c r="DF25" s="3224"/>
      <c r="DG25" s="3224"/>
      <c r="DH25" s="3224"/>
      <c r="DI25" s="2057"/>
      <c r="DJ25" s="3778"/>
      <c r="DK25" s="3767"/>
      <c r="DL25" s="3224"/>
      <c r="DM25" s="2057"/>
      <c r="DN25" s="3767"/>
      <c r="DO25" s="3224"/>
      <c r="DP25" s="2057"/>
      <c r="DQ25" s="3767"/>
      <c r="DR25" s="2057"/>
      <c r="DS25" s="3767"/>
      <c r="DT25" s="3224"/>
      <c r="DU25" s="3224"/>
      <c r="DV25" s="3224"/>
      <c r="DW25" s="3224"/>
      <c r="DX25" s="3224"/>
      <c r="DY25" s="2057"/>
      <c r="DZ25" s="3767"/>
      <c r="EA25" s="3224"/>
      <c r="EB25" s="3224"/>
      <c r="EC25" s="3224"/>
      <c r="ED25" s="3224"/>
      <c r="EE25" s="3224"/>
      <c r="EF25" s="3224"/>
      <c r="EG25" s="3224"/>
      <c r="EH25" s="3224"/>
      <c r="EI25" s="3224"/>
      <c r="EJ25" s="3224"/>
      <c r="EK25" s="3224"/>
      <c r="EL25" s="3224"/>
      <c r="EM25" s="2057"/>
      <c r="EN25" s="3767"/>
      <c r="EO25" s="3224"/>
      <c r="EP25" s="3224"/>
      <c r="EQ25" s="3224"/>
      <c r="ER25" s="2057"/>
      <c r="ES25" s="3767"/>
      <c r="ET25" s="3224"/>
      <c r="EU25" s="3224"/>
      <c r="EV25" s="3224"/>
      <c r="EW25" s="2057"/>
    </row>
    <row r="26" spans="1:153" s="1834" customFormat="1" ht="15" customHeight="1">
      <c r="A26" s="15571"/>
      <c r="B26" s="15588"/>
      <c r="C26" s="15571"/>
      <c r="D26" s="15572"/>
      <c r="E26" s="3025"/>
      <c r="F26" s="15587"/>
      <c r="G26" s="15587"/>
      <c r="H26" s="15587"/>
      <c r="I26" s="15587"/>
      <c r="J26" s="3045" t="s">
        <v>2896</v>
      </c>
      <c r="K26" s="1832"/>
      <c r="L26" s="1832" t="s">
        <v>163</v>
      </c>
      <c r="M26" s="3025"/>
      <c r="N26" s="3025"/>
      <c r="O26" s="3025"/>
      <c r="P26" s="3025"/>
      <c r="Q26" s="3025"/>
      <c r="R26" s="1715"/>
      <c r="S26" s="1841"/>
      <c r="T26" s="1733"/>
      <c r="U26" s="1726"/>
      <c r="V26" s="1732"/>
      <c r="W26" s="1732"/>
      <c r="X26" s="3543"/>
      <c r="Y26" s="892"/>
      <c r="Z26" s="892"/>
      <c r="AA26" s="1736"/>
      <c r="AB26" s="1736"/>
      <c r="AC26" s="1736"/>
      <c r="AD26" s="1736"/>
      <c r="AE26" s="892"/>
      <c r="AF26" s="892"/>
      <c r="AG26" s="892"/>
      <c r="AH26" s="892"/>
      <c r="AI26" s="892"/>
      <c r="AJ26" s="892"/>
      <c r="AK26" s="892"/>
      <c r="AL26" s="892"/>
      <c r="AM26" s="892"/>
      <c r="AN26" s="892"/>
      <c r="AO26" s="892"/>
      <c r="AP26" s="892"/>
      <c r="AQ26" s="892"/>
      <c r="AR26" s="892"/>
      <c r="AS26" s="892"/>
      <c r="AT26" s="892"/>
      <c r="AU26" s="892"/>
      <c r="AV26" s="892"/>
      <c r="AW26" s="892"/>
      <c r="AX26" s="892"/>
      <c r="AY26" s="892"/>
      <c r="AZ26" s="1726"/>
      <c r="BA26" s="1726"/>
      <c r="BB26" s="1726"/>
      <c r="BC26" s="1726"/>
      <c r="BD26" s="1726"/>
      <c r="BE26" s="1726"/>
      <c r="BF26" s="1726"/>
      <c r="BG26" s="1726"/>
      <c r="BH26" s="1726"/>
      <c r="BI26" s="1726"/>
      <c r="BJ26" s="1716">
        <v>0.78</v>
      </c>
      <c r="BK26" s="15668"/>
      <c r="BL26" s="3545">
        <v>343</v>
      </c>
      <c r="BM26" s="3545"/>
      <c r="BN26" s="3533"/>
      <c r="BO26" s="3533">
        <v>1128</v>
      </c>
      <c r="BP26" s="3533">
        <v>0</v>
      </c>
      <c r="BQ26" s="3533">
        <v>0</v>
      </c>
      <c r="BR26" s="3533">
        <v>0</v>
      </c>
      <c r="BS26" s="3533">
        <v>0</v>
      </c>
      <c r="BT26" s="3533">
        <v>1037</v>
      </c>
      <c r="BU26" s="3533">
        <v>50</v>
      </c>
      <c r="BV26" s="3533">
        <v>26</v>
      </c>
      <c r="BW26" s="3533">
        <v>1</v>
      </c>
      <c r="BX26" s="3533"/>
      <c r="BY26" s="3533"/>
      <c r="BZ26" s="3533"/>
      <c r="CA26" s="3533">
        <v>14</v>
      </c>
      <c r="CB26" s="3533">
        <v>1118</v>
      </c>
      <c r="CC26" s="3533">
        <v>8</v>
      </c>
      <c r="CD26" s="3533">
        <v>2</v>
      </c>
      <c r="CE26" s="3533"/>
      <c r="CF26" s="3533"/>
      <c r="CG26" s="3533"/>
      <c r="CH26" s="3533"/>
      <c r="CI26" s="3533"/>
      <c r="CJ26" s="3533"/>
      <c r="CK26" s="3533"/>
      <c r="CL26" s="3533"/>
      <c r="CM26" s="3533"/>
      <c r="CN26" s="3533"/>
      <c r="CO26" s="3533"/>
      <c r="CP26" s="3533"/>
      <c r="CQ26" s="3533"/>
      <c r="CR26" s="3533"/>
      <c r="CS26" s="3533"/>
      <c r="CT26" s="3533"/>
      <c r="CU26" s="3533"/>
      <c r="CV26" s="3533"/>
      <c r="CW26" s="3533"/>
      <c r="CX26" s="3533"/>
      <c r="CY26" s="3533"/>
      <c r="CZ26" s="3533"/>
      <c r="DA26" s="3533"/>
      <c r="DB26" s="3533"/>
      <c r="DC26" s="1833"/>
      <c r="DD26" s="2056"/>
      <c r="DE26" s="3224"/>
      <c r="DF26" s="3224"/>
      <c r="DG26" s="3224"/>
      <c r="DH26" s="3224"/>
      <c r="DI26" s="2057"/>
      <c r="DJ26" s="3778"/>
      <c r="DK26" s="3767"/>
      <c r="DL26" s="3224"/>
      <c r="DM26" s="2057"/>
      <c r="DN26" s="3767"/>
      <c r="DO26" s="3224"/>
      <c r="DP26" s="2057"/>
      <c r="DQ26" s="3767"/>
      <c r="DR26" s="2057"/>
      <c r="DS26" s="3767"/>
      <c r="DT26" s="3224"/>
      <c r="DU26" s="3224"/>
      <c r="DV26" s="3224"/>
      <c r="DW26" s="3224"/>
      <c r="DX26" s="3224"/>
      <c r="DY26" s="2057"/>
      <c r="DZ26" s="3767"/>
      <c r="EA26" s="3224"/>
      <c r="EB26" s="3224"/>
      <c r="EC26" s="3224"/>
      <c r="ED26" s="3224"/>
      <c r="EE26" s="3224"/>
      <c r="EF26" s="3224"/>
      <c r="EG26" s="3224"/>
      <c r="EH26" s="3224"/>
      <c r="EI26" s="3224"/>
      <c r="EJ26" s="3224"/>
      <c r="EK26" s="3224"/>
      <c r="EL26" s="3224"/>
      <c r="EM26" s="2057"/>
      <c r="EN26" s="3767"/>
      <c r="EO26" s="3224"/>
      <c r="EP26" s="3224"/>
      <c r="EQ26" s="3224"/>
      <c r="ER26" s="2057"/>
      <c r="ES26" s="3767"/>
      <c r="ET26" s="3224"/>
      <c r="EU26" s="3224"/>
      <c r="EV26" s="3224"/>
      <c r="EW26" s="2057"/>
    </row>
    <row r="27" spans="1:153" s="1834" customFormat="1" ht="15" customHeight="1">
      <c r="A27" s="15571"/>
      <c r="B27" s="15588"/>
      <c r="C27" s="15571"/>
      <c r="D27" s="15586" t="s">
        <v>7788</v>
      </c>
      <c r="E27" s="3025" t="s">
        <v>1552</v>
      </c>
      <c r="F27" s="15587" t="s">
        <v>1552</v>
      </c>
      <c r="G27" s="15587" t="s">
        <v>1555</v>
      </c>
      <c r="H27" s="15618">
        <v>1</v>
      </c>
      <c r="I27" s="15587" t="s">
        <v>1553</v>
      </c>
      <c r="J27" s="3895" t="s">
        <v>86</v>
      </c>
      <c r="K27" s="1832" t="s">
        <v>1509</v>
      </c>
      <c r="L27" s="1832"/>
      <c r="M27" s="3025" t="s">
        <v>1510</v>
      </c>
      <c r="N27" s="3025" t="s">
        <v>1511</v>
      </c>
      <c r="O27" s="3025" t="s">
        <v>1556</v>
      </c>
      <c r="P27" s="3033">
        <v>0.1</v>
      </c>
      <c r="Q27" s="3033">
        <v>0.5</v>
      </c>
      <c r="R27" s="1715">
        <v>1</v>
      </c>
      <c r="S27" s="1733" t="s">
        <v>3551</v>
      </c>
      <c r="T27" s="1733" t="s">
        <v>3552</v>
      </c>
      <c r="U27" s="1733" t="s">
        <v>3553</v>
      </c>
      <c r="V27" s="1732">
        <v>26431680</v>
      </c>
      <c r="W27" s="1732">
        <v>26431680</v>
      </c>
      <c r="X27" s="3543"/>
      <c r="Y27" s="3543"/>
      <c r="Z27" s="1736"/>
      <c r="AA27" s="1736"/>
      <c r="AB27" s="1736"/>
      <c r="AC27" s="1736"/>
      <c r="AD27" s="1736"/>
      <c r="AE27" s="1736"/>
      <c r="AF27" s="1736"/>
      <c r="AG27" s="1736"/>
      <c r="AH27" s="1736"/>
      <c r="AI27" s="1736"/>
      <c r="AJ27" s="1736"/>
      <c r="AK27" s="1736"/>
      <c r="AL27" s="1736"/>
      <c r="AM27" s="1736"/>
      <c r="AN27" s="1736"/>
      <c r="AO27" s="1736"/>
      <c r="AP27" s="1736"/>
      <c r="AQ27" s="1736"/>
      <c r="AR27" s="1736"/>
      <c r="AS27" s="1736"/>
      <c r="AT27" s="1736"/>
      <c r="AU27" s="1736"/>
      <c r="AV27" s="1736"/>
      <c r="AW27" s="1736"/>
      <c r="AX27" s="1736"/>
      <c r="AY27" s="1736"/>
      <c r="AZ27" s="1726"/>
      <c r="BA27" s="1726"/>
      <c r="BB27" s="1726"/>
      <c r="BC27" s="1726"/>
      <c r="BD27" s="1726"/>
      <c r="BE27" s="1726"/>
      <c r="BF27" s="1726"/>
      <c r="BG27" s="1726"/>
      <c r="BH27" s="1726"/>
      <c r="BI27" s="1726"/>
      <c r="BJ27" s="15670">
        <v>1</v>
      </c>
      <c r="BK27" s="15668"/>
      <c r="BL27" s="1733" t="s">
        <v>9790</v>
      </c>
      <c r="BM27" s="1733"/>
      <c r="BN27" s="1729"/>
      <c r="BO27" s="1732">
        <v>0</v>
      </c>
      <c r="BP27" s="1732"/>
      <c r="BQ27" s="1732">
        <v>0</v>
      </c>
      <c r="BR27" s="1732"/>
      <c r="BS27" s="1732"/>
      <c r="BT27" s="1732"/>
      <c r="BU27" s="1732"/>
      <c r="BV27" s="1732"/>
      <c r="BW27" s="1732"/>
      <c r="BX27" s="1732"/>
      <c r="BY27" s="1732"/>
      <c r="BZ27" s="1732"/>
      <c r="CA27" s="1732"/>
      <c r="CB27" s="1732"/>
      <c r="CC27" s="1732"/>
      <c r="CD27" s="1732"/>
      <c r="CE27" s="1732"/>
      <c r="CF27" s="1732"/>
      <c r="CG27" s="1732"/>
      <c r="CH27" s="1732"/>
      <c r="CI27" s="1732"/>
      <c r="CJ27" s="1732"/>
      <c r="CK27" s="1732"/>
      <c r="CL27" s="1732"/>
      <c r="CM27" s="1732"/>
      <c r="CN27" s="1732"/>
      <c r="CO27" s="1732"/>
      <c r="CP27" s="1732"/>
      <c r="CQ27" s="1732"/>
      <c r="CR27" s="1732"/>
      <c r="CS27" s="1732"/>
      <c r="CT27" s="1732"/>
      <c r="CU27" s="1732"/>
      <c r="CV27" s="1732"/>
      <c r="CW27" s="1732"/>
      <c r="CX27" s="1732"/>
      <c r="CY27" s="1732"/>
      <c r="CZ27" s="1732"/>
      <c r="DA27" s="1732"/>
      <c r="DB27" s="1732"/>
      <c r="DC27" s="1833"/>
      <c r="DD27" s="2056"/>
      <c r="DE27" s="3224"/>
      <c r="DF27" s="3224"/>
      <c r="DG27" s="3224"/>
      <c r="DH27" s="3224"/>
      <c r="DI27" s="2057"/>
      <c r="DJ27" s="3778"/>
      <c r="DK27" s="3767"/>
      <c r="DL27" s="3224"/>
      <c r="DM27" s="2057"/>
      <c r="DN27" s="3767"/>
      <c r="DO27" s="3224"/>
      <c r="DP27" s="2057"/>
      <c r="DQ27" s="3767"/>
      <c r="DR27" s="2057"/>
      <c r="DS27" s="3767"/>
      <c r="DT27" s="3224"/>
      <c r="DU27" s="3224"/>
      <c r="DV27" s="3224"/>
      <c r="DW27" s="3224"/>
      <c r="DX27" s="3224"/>
      <c r="DY27" s="2057"/>
      <c r="DZ27" s="3767"/>
      <c r="EA27" s="3224"/>
      <c r="EB27" s="3224"/>
      <c r="EC27" s="3224"/>
      <c r="ED27" s="3224"/>
      <c r="EE27" s="3224"/>
      <c r="EF27" s="3224"/>
      <c r="EG27" s="3224"/>
      <c r="EH27" s="3224"/>
      <c r="EI27" s="3224"/>
      <c r="EJ27" s="3224"/>
      <c r="EK27" s="3224"/>
      <c r="EL27" s="3224"/>
      <c r="EM27" s="2057"/>
      <c r="EN27" s="3767"/>
      <c r="EO27" s="3224"/>
      <c r="EP27" s="3224"/>
      <c r="EQ27" s="3224"/>
      <c r="ER27" s="2057"/>
      <c r="ES27" s="3767"/>
      <c r="ET27" s="3224"/>
      <c r="EU27" s="3224"/>
      <c r="EV27" s="3224"/>
      <c r="EW27" s="2057"/>
    </row>
    <row r="28" spans="1:153" s="1834" customFormat="1" ht="15" customHeight="1">
      <c r="A28" s="15571"/>
      <c r="B28" s="15588"/>
      <c r="C28" s="15571"/>
      <c r="D28" s="15572"/>
      <c r="E28" s="3025"/>
      <c r="F28" s="15587"/>
      <c r="G28" s="15587"/>
      <c r="H28" s="15618"/>
      <c r="I28" s="15587"/>
      <c r="J28" s="3045" t="s">
        <v>8644</v>
      </c>
      <c r="K28" s="1832"/>
      <c r="L28" s="1832" t="s">
        <v>1554</v>
      </c>
      <c r="M28" s="3025"/>
      <c r="N28" s="3025"/>
      <c r="O28" s="3025"/>
      <c r="P28" s="3033"/>
      <c r="Q28" s="3033">
        <v>1</v>
      </c>
      <c r="R28" s="1715"/>
      <c r="S28" s="1733"/>
      <c r="T28" s="1733"/>
      <c r="U28" s="1733"/>
      <c r="V28" s="1732"/>
      <c r="W28" s="1732"/>
      <c r="X28" s="3543"/>
      <c r="Y28" s="3543"/>
      <c r="Z28" s="1736"/>
      <c r="AA28" s="1736"/>
      <c r="AB28" s="1736"/>
      <c r="AC28" s="1736"/>
      <c r="AD28" s="1736"/>
      <c r="AE28" s="1736"/>
      <c r="AF28" s="1736"/>
      <c r="AG28" s="1736"/>
      <c r="AH28" s="1736"/>
      <c r="AI28" s="1736"/>
      <c r="AJ28" s="1736"/>
      <c r="AK28" s="1736"/>
      <c r="AL28" s="1736"/>
      <c r="AM28" s="1736"/>
      <c r="AN28" s="1736"/>
      <c r="AO28" s="1736"/>
      <c r="AP28" s="1736"/>
      <c r="AQ28" s="1736"/>
      <c r="AR28" s="1736"/>
      <c r="AS28" s="1736"/>
      <c r="AT28" s="1736"/>
      <c r="AU28" s="1736"/>
      <c r="AV28" s="1736"/>
      <c r="AW28" s="1736"/>
      <c r="AX28" s="1736"/>
      <c r="AY28" s="1736"/>
      <c r="AZ28" s="1726"/>
      <c r="BA28" s="1726"/>
      <c r="BB28" s="1726"/>
      <c r="BC28" s="1726"/>
      <c r="BD28" s="1726"/>
      <c r="BE28" s="1726"/>
      <c r="BF28" s="1726"/>
      <c r="BG28" s="1726"/>
      <c r="BH28" s="1726"/>
      <c r="BI28" s="1726"/>
      <c r="BJ28" s="15671"/>
      <c r="BK28" s="15668"/>
      <c r="BL28" s="3546" t="s">
        <v>8782</v>
      </c>
      <c r="BM28" s="3546" t="s">
        <v>8783</v>
      </c>
      <c r="BN28" s="3533" t="s">
        <v>8781</v>
      </c>
      <c r="BO28" s="3533">
        <v>28000000</v>
      </c>
      <c r="BP28" s="3533">
        <v>28000000</v>
      </c>
      <c r="BQ28" s="3533">
        <v>0</v>
      </c>
      <c r="BR28" s="3533" t="s">
        <v>1732</v>
      </c>
      <c r="BS28" s="3533"/>
      <c r="BT28" s="3533"/>
      <c r="BU28" s="3533"/>
      <c r="BV28" s="3533"/>
      <c r="BW28" s="3533"/>
      <c r="BX28" s="3533"/>
      <c r="BY28" s="3533"/>
      <c r="BZ28" s="3533"/>
      <c r="CA28" s="3533"/>
      <c r="CB28" s="3533"/>
      <c r="CC28" s="3533"/>
      <c r="CD28" s="3533"/>
      <c r="CE28" s="3533"/>
      <c r="CF28" s="3533"/>
      <c r="CG28" s="3533"/>
      <c r="CH28" s="3533"/>
      <c r="CI28" s="3533"/>
      <c r="CJ28" s="3533"/>
      <c r="CK28" s="3533"/>
      <c r="CL28" s="3533"/>
      <c r="CM28" s="3533"/>
      <c r="CN28" s="3533"/>
      <c r="CO28" s="3533"/>
      <c r="CP28" s="3533"/>
      <c r="CQ28" s="3533"/>
      <c r="CR28" s="3533"/>
      <c r="CS28" s="3533" t="s">
        <v>8853</v>
      </c>
      <c r="CT28" s="3533" t="s">
        <v>715</v>
      </c>
      <c r="CU28" s="3533" t="s">
        <v>8854</v>
      </c>
      <c r="CV28" s="3533"/>
      <c r="CW28" s="3533"/>
      <c r="CX28" s="3533"/>
      <c r="CY28" s="3533"/>
      <c r="CZ28" s="3533"/>
      <c r="DA28" s="3533"/>
      <c r="DB28" s="3533"/>
      <c r="DC28" s="1833"/>
      <c r="DD28" s="2056"/>
      <c r="DE28" s="3224"/>
      <c r="DF28" s="3224"/>
      <c r="DG28" s="3224"/>
      <c r="DH28" s="3224"/>
      <c r="DI28" s="2057"/>
      <c r="DJ28" s="3778"/>
      <c r="DK28" s="3767"/>
      <c r="DL28" s="3224"/>
      <c r="DM28" s="2057"/>
      <c r="DN28" s="3767"/>
      <c r="DO28" s="3224"/>
      <c r="DP28" s="2057"/>
      <c r="DQ28" s="3767"/>
      <c r="DR28" s="2057"/>
      <c r="DS28" s="3767"/>
      <c r="DT28" s="3224"/>
      <c r="DU28" s="3224"/>
      <c r="DV28" s="3224"/>
      <c r="DW28" s="3224"/>
      <c r="DX28" s="3224"/>
      <c r="DY28" s="2057"/>
      <c r="DZ28" s="3767"/>
      <c r="EA28" s="3224"/>
      <c r="EB28" s="3224"/>
      <c r="EC28" s="3224"/>
      <c r="ED28" s="3224"/>
      <c r="EE28" s="3224"/>
      <c r="EF28" s="3224"/>
      <c r="EG28" s="3224"/>
      <c r="EH28" s="3224"/>
      <c r="EI28" s="3224"/>
      <c r="EJ28" s="3224"/>
      <c r="EK28" s="3224"/>
      <c r="EL28" s="3224"/>
      <c r="EM28" s="2057"/>
      <c r="EN28" s="3767"/>
      <c r="EO28" s="3224"/>
      <c r="EP28" s="3224"/>
      <c r="EQ28" s="3224"/>
      <c r="ER28" s="2057"/>
      <c r="ES28" s="3767"/>
      <c r="ET28" s="3224"/>
      <c r="EU28" s="3224"/>
      <c r="EV28" s="3224"/>
      <c r="EW28" s="2057"/>
    </row>
    <row r="29" spans="1:153" s="1834" customFormat="1" ht="15" customHeight="1">
      <c r="A29" s="15571"/>
      <c r="B29" s="15588"/>
      <c r="C29" s="15571"/>
      <c r="D29" s="15586" t="s">
        <v>7789</v>
      </c>
      <c r="E29" s="3025" t="s">
        <v>1557</v>
      </c>
      <c r="F29" s="15587" t="s">
        <v>1557</v>
      </c>
      <c r="G29" s="15587" t="s">
        <v>1558</v>
      </c>
      <c r="H29" s="15618">
        <v>1</v>
      </c>
      <c r="I29" s="15587" t="s">
        <v>1553</v>
      </c>
      <c r="J29" s="3895" t="s">
        <v>86</v>
      </c>
      <c r="K29" s="1832" t="s">
        <v>1509</v>
      </c>
      <c r="L29" s="1832"/>
      <c r="M29" s="3025" t="s">
        <v>1510</v>
      </c>
      <c r="N29" s="3025" t="s">
        <v>1511</v>
      </c>
      <c r="O29" s="3025" t="s">
        <v>1549</v>
      </c>
      <c r="P29" s="3033">
        <v>0.1</v>
      </c>
      <c r="Q29" s="3033">
        <v>0.5</v>
      </c>
      <c r="R29" s="3547">
        <v>1</v>
      </c>
      <c r="S29" s="1733" t="s">
        <v>3330</v>
      </c>
      <c r="T29" s="3007" t="s">
        <v>3305</v>
      </c>
      <c r="U29" s="3007" t="s">
        <v>3331</v>
      </c>
      <c r="V29" s="892" t="s">
        <v>3554</v>
      </c>
      <c r="W29" s="892" t="s">
        <v>3554</v>
      </c>
      <c r="X29" s="3543"/>
      <c r="Y29" s="3543"/>
      <c r="Z29" s="1736"/>
      <c r="AA29" s="1736"/>
      <c r="AB29" s="1736"/>
      <c r="AC29" s="1736"/>
      <c r="AD29" s="1736"/>
      <c r="AE29" s="1736"/>
      <c r="AF29" s="1736"/>
      <c r="AG29" s="1736"/>
      <c r="AH29" s="1736"/>
      <c r="AI29" s="1736"/>
      <c r="AJ29" s="1736"/>
      <c r="AK29" s="1736"/>
      <c r="AL29" s="1736"/>
      <c r="AM29" s="1736"/>
      <c r="AN29" s="1736"/>
      <c r="AO29" s="1736"/>
      <c r="AP29" s="1736"/>
      <c r="AQ29" s="1736"/>
      <c r="AR29" s="1736"/>
      <c r="AS29" s="1736"/>
      <c r="AT29" s="1736"/>
      <c r="AU29" s="1736"/>
      <c r="AV29" s="1736"/>
      <c r="AW29" s="1736"/>
      <c r="AX29" s="1736"/>
      <c r="AY29" s="1736"/>
      <c r="AZ29" s="3007" t="s">
        <v>3332</v>
      </c>
      <c r="BA29" s="3007" t="s">
        <v>3555</v>
      </c>
      <c r="BB29" s="3007">
        <v>35</v>
      </c>
      <c r="BC29" s="3007" t="s">
        <v>3334</v>
      </c>
      <c r="BD29" s="1726"/>
      <c r="BE29" s="1726"/>
      <c r="BF29" s="1726"/>
      <c r="BG29" s="1726"/>
      <c r="BH29" s="1726"/>
      <c r="BI29" s="1726"/>
      <c r="BJ29" s="15670">
        <v>0.5</v>
      </c>
      <c r="BK29" s="15668"/>
      <c r="BL29" s="1733" t="s">
        <v>9789</v>
      </c>
      <c r="BM29" s="3007"/>
      <c r="BN29" s="1729"/>
      <c r="BO29" s="1732"/>
      <c r="BP29" s="1732"/>
      <c r="BQ29" s="1732">
        <v>0</v>
      </c>
      <c r="BR29" s="1732"/>
      <c r="BS29" s="1732"/>
      <c r="BT29" s="1732"/>
      <c r="BU29" s="1732"/>
      <c r="BV29" s="1732"/>
      <c r="BW29" s="1732"/>
      <c r="BX29" s="1732"/>
      <c r="BY29" s="1732"/>
      <c r="BZ29" s="1732"/>
      <c r="CA29" s="1732"/>
      <c r="CB29" s="1732"/>
      <c r="CC29" s="1732"/>
      <c r="CD29" s="1732"/>
      <c r="CE29" s="1732"/>
      <c r="CF29" s="1732"/>
      <c r="CG29" s="1732"/>
      <c r="CH29" s="1732"/>
      <c r="CI29" s="1732"/>
      <c r="CJ29" s="1732"/>
      <c r="CK29" s="1732"/>
      <c r="CL29" s="1732"/>
      <c r="CM29" s="1732"/>
      <c r="CN29" s="1732"/>
      <c r="CO29" s="1732"/>
      <c r="CP29" s="1732"/>
      <c r="CQ29" s="1732"/>
      <c r="CR29" s="1732"/>
      <c r="CS29" s="1729"/>
      <c r="CT29" s="1729"/>
      <c r="CU29" s="1729"/>
      <c r="CV29" s="1729"/>
      <c r="CW29" s="1732"/>
      <c r="CX29" s="1732"/>
      <c r="CY29" s="1732"/>
      <c r="CZ29" s="1732"/>
      <c r="DA29" s="1732"/>
      <c r="DB29" s="1732"/>
      <c r="DC29" s="1833"/>
      <c r="DD29" s="2056"/>
      <c r="DE29" s="3224"/>
      <c r="DF29" s="3224"/>
      <c r="DG29" s="3224"/>
      <c r="DH29" s="3224"/>
      <c r="DI29" s="2057"/>
      <c r="DJ29" s="3778"/>
      <c r="DK29" s="3767"/>
      <c r="DL29" s="3224"/>
      <c r="DM29" s="2057"/>
      <c r="DN29" s="3767"/>
      <c r="DO29" s="3224"/>
      <c r="DP29" s="2057"/>
      <c r="DQ29" s="3767"/>
      <c r="DR29" s="2057"/>
      <c r="DS29" s="3767"/>
      <c r="DT29" s="3224"/>
      <c r="DU29" s="3224"/>
      <c r="DV29" s="3224"/>
      <c r="DW29" s="3224"/>
      <c r="DX29" s="3224"/>
      <c r="DY29" s="2057"/>
      <c r="DZ29" s="3767"/>
      <c r="EA29" s="3224"/>
      <c r="EB29" s="3224"/>
      <c r="EC29" s="3224"/>
      <c r="ED29" s="3224"/>
      <c r="EE29" s="3224"/>
      <c r="EF29" s="3224"/>
      <c r="EG29" s="3224"/>
      <c r="EH29" s="3224"/>
      <c r="EI29" s="3224"/>
      <c r="EJ29" s="3224"/>
      <c r="EK29" s="3224"/>
      <c r="EL29" s="3224"/>
      <c r="EM29" s="2057"/>
      <c r="EN29" s="3767"/>
      <c r="EO29" s="3224"/>
      <c r="EP29" s="3224"/>
      <c r="EQ29" s="3224"/>
      <c r="ER29" s="2057"/>
      <c r="ES29" s="3767"/>
      <c r="ET29" s="3224"/>
      <c r="EU29" s="3224"/>
      <c r="EV29" s="3224"/>
      <c r="EW29" s="2057"/>
    </row>
    <row r="30" spans="1:153" s="1834" customFormat="1" ht="15" customHeight="1" thickBot="1">
      <c r="A30" s="15572"/>
      <c r="B30" s="15588"/>
      <c r="C30" s="15572"/>
      <c r="D30" s="15572"/>
      <c r="E30" s="3025"/>
      <c r="F30" s="15587"/>
      <c r="G30" s="15587"/>
      <c r="H30" s="15618"/>
      <c r="I30" s="15587"/>
      <c r="J30" s="3045" t="s">
        <v>8644</v>
      </c>
      <c r="K30" s="1832"/>
      <c r="L30" s="1832" t="s">
        <v>1554</v>
      </c>
      <c r="M30" s="3025"/>
      <c r="N30" s="3025"/>
      <c r="O30" s="3025"/>
      <c r="P30" s="3033"/>
      <c r="Q30" s="3033">
        <v>1</v>
      </c>
      <c r="R30" s="3547"/>
      <c r="S30" s="1733"/>
      <c r="T30" s="3007"/>
      <c r="U30" s="3007"/>
      <c r="V30" s="892"/>
      <c r="W30" s="892"/>
      <c r="X30" s="3543"/>
      <c r="Y30" s="3543"/>
      <c r="Z30" s="1736"/>
      <c r="AA30" s="1736"/>
      <c r="AB30" s="1736"/>
      <c r="AC30" s="1736"/>
      <c r="AD30" s="1736"/>
      <c r="AE30" s="1736"/>
      <c r="AF30" s="1736"/>
      <c r="AG30" s="1736"/>
      <c r="AH30" s="1736"/>
      <c r="AI30" s="1736"/>
      <c r="AJ30" s="1736"/>
      <c r="AK30" s="1736"/>
      <c r="AL30" s="1736"/>
      <c r="AM30" s="1736"/>
      <c r="AN30" s="1736"/>
      <c r="AO30" s="1736"/>
      <c r="AP30" s="1736"/>
      <c r="AQ30" s="1736"/>
      <c r="AR30" s="1736"/>
      <c r="AS30" s="1736"/>
      <c r="AT30" s="1736"/>
      <c r="AU30" s="1736"/>
      <c r="AV30" s="1736"/>
      <c r="AW30" s="1736"/>
      <c r="AX30" s="1736"/>
      <c r="AY30" s="1736"/>
      <c r="AZ30" s="3007"/>
      <c r="BA30" s="3007"/>
      <c r="BB30" s="3007"/>
      <c r="BC30" s="3007"/>
      <c r="BD30" s="1726"/>
      <c r="BE30" s="1726"/>
      <c r="BF30" s="1726"/>
      <c r="BG30" s="1726"/>
      <c r="BH30" s="1726"/>
      <c r="BI30" s="1726"/>
      <c r="BJ30" s="15671"/>
      <c r="BK30" s="15669"/>
      <c r="BL30" s="3546" t="s">
        <v>8782</v>
      </c>
      <c r="BM30" s="3546" t="s">
        <v>8784</v>
      </c>
      <c r="BN30" s="3533" t="s">
        <v>8781</v>
      </c>
      <c r="BO30" s="3533">
        <v>28000000</v>
      </c>
      <c r="BP30" s="3533">
        <v>28000000</v>
      </c>
      <c r="BQ30" s="3533">
        <v>0</v>
      </c>
      <c r="BR30" s="3533" t="s">
        <v>1732</v>
      </c>
      <c r="BS30" s="3533"/>
      <c r="BT30" s="3533"/>
      <c r="BU30" s="3533"/>
      <c r="BV30" s="3533"/>
      <c r="BW30" s="3533"/>
      <c r="BX30" s="3533"/>
      <c r="BY30" s="3533"/>
      <c r="BZ30" s="3533"/>
      <c r="CA30" s="3533"/>
      <c r="CB30" s="3533"/>
      <c r="CC30" s="3533"/>
      <c r="CD30" s="3533"/>
      <c r="CE30" s="3533"/>
      <c r="CF30" s="3533"/>
      <c r="CG30" s="3533"/>
      <c r="CH30" s="3533"/>
      <c r="CI30" s="3533"/>
      <c r="CJ30" s="3533"/>
      <c r="CK30" s="3533"/>
      <c r="CL30" s="3533"/>
      <c r="CM30" s="3533"/>
      <c r="CN30" s="3533"/>
      <c r="CO30" s="3533"/>
      <c r="CP30" s="3533"/>
      <c r="CQ30" s="3533"/>
      <c r="CR30" s="3533"/>
      <c r="CS30" s="3539" t="s">
        <v>8853</v>
      </c>
      <c r="CT30" s="3539"/>
      <c r="CU30" s="3539" t="s">
        <v>8855</v>
      </c>
      <c r="CV30" s="3539"/>
      <c r="CW30" s="3533"/>
      <c r="CX30" s="3533"/>
      <c r="CY30" s="3533"/>
      <c r="CZ30" s="3533"/>
      <c r="DA30" s="3533"/>
      <c r="DB30" s="3533"/>
      <c r="DC30" s="1833"/>
      <c r="DD30" s="3852"/>
      <c r="DE30" s="1751"/>
      <c r="DF30" s="1751"/>
      <c r="DG30" s="1751"/>
      <c r="DH30" s="1751"/>
      <c r="DI30" s="1869"/>
      <c r="DJ30" s="3853"/>
      <c r="DK30" s="3854"/>
      <c r="DL30" s="1751"/>
      <c r="DM30" s="1869"/>
      <c r="DN30" s="3854"/>
      <c r="DO30" s="1751"/>
      <c r="DP30" s="1869"/>
      <c r="DQ30" s="3854"/>
      <c r="DR30" s="1869"/>
      <c r="DS30" s="3854"/>
      <c r="DT30" s="1751"/>
      <c r="DU30" s="1751"/>
      <c r="DV30" s="1751"/>
      <c r="DW30" s="1751"/>
      <c r="DX30" s="1751"/>
      <c r="DY30" s="1869"/>
      <c r="DZ30" s="3854"/>
      <c r="EA30" s="1751"/>
      <c r="EB30" s="1751"/>
      <c r="EC30" s="1751"/>
      <c r="ED30" s="1751"/>
      <c r="EE30" s="1751"/>
      <c r="EF30" s="1751"/>
      <c r="EG30" s="1751"/>
      <c r="EH30" s="1751"/>
      <c r="EI30" s="1751"/>
      <c r="EJ30" s="1751"/>
      <c r="EK30" s="1751"/>
      <c r="EL30" s="1751"/>
      <c r="EM30" s="1869"/>
      <c r="EN30" s="3854"/>
      <c r="EO30" s="1751"/>
      <c r="EP30" s="1751"/>
      <c r="EQ30" s="1751"/>
      <c r="ER30" s="1869"/>
      <c r="ES30" s="3854"/>
      <c r="ET30" s="1751"/>
      <c r="EU30" s="1751"/>
      <c r="EV30" s="1751"/>
      <c r="EW30" s="1869"/>
    </row>
    <row r="31" spans="1:153" s="1846" customFormat="1" ht="15" customHeight="1">
      <c r="A31" s="15588" t="s">
        <v>1559</v>
      </c>
      <c r="B31" s="15588"/>
      <c r="C31" s="15588" t="s">
        <v>1560</v>
      </c>
      <c r="D31" s="15684" t="s">
        <v>7790</v>
      </c>
      <c r="E31" s="3032" t="s">
        <v>1561</v>
      </c>
      <c r="F31" s="15566" t="s">
        <v>1561</v>
      </c>
      <c r="G31" s="15566" t="s">
        <v>1563</v>
      </c>
      <c r="H31" s="15707">
        <v>0.2</v>
      </c>
      <c r="I31" s="15566" t="s">
        <v>1562</v>
      </c>
      <c r="J31" s="3052" t="s">
        <v>86</v>
      </c>
      <c r="K31" s="1852" t="s">
        <v>1509</v>
      </c>
      <c r="L31" s="1852"/>
      <c r="M31" s="3032" t="s">
        <v>1544</v>
      </c>
      <c r="N31" s="3032" t="s">
        <v>1511</v>
      </c>
      <c r="O31" s="3548">
        <v>0.311</v>
      </c>
      <c r="P31" s="3548">
        <v>0.311</v>
      </c>
      <c r="Q31" s="3548">
        <v>0.255</v>
      </c>
      <c r="R31" s="1851">
        <v>1</v>
      </c>
      <c r="S31" s="1675" t="s">
        <v>3061</v>
      </c>
      <c r="T31" s="1675" t="s">
        <v>3062</v>
      </c>
      <c r="U31" s="3549">
        <f>45911614.6669656+200000000</f>
        <v>245911614.6669656</v>
      </c>
      <c r="V31" s="1850">
        <f>45436902.9375463+200000000</f>
        <v>245436902.93754631</v>
      </c>
      <c r="W31" s="1850">
        <f>474711.729419273+200000000</f>
        <v>200474711.72941926</v>
      </c>
      <c r="X31" s="1850">
        <v>44962191.208126999</v>
      </c>
      <c r="Y31" s="1850"/>
      <c r="Z31" s="1677">
        <f>307+827</f>
        <v>1134</v>
      </c>
      <c r="AA31" s="1677">
        <f>49+390</f>
        <v>439</v>
      </c>
      <c r="AB31" s="1677">
        <f>258+437</f>
        <v>695</v>
      </c>
      <c r="AC31" s="1677">
        <v>812</v>
      </c>
      <c r="AD31" s="1677">
        <v>15</v>
      </c>
      <c r="AE31" s="1677"/>
      <c r="AF31" s="1677"/>
      <c r="AG31" s="1677"/>
      <c r="AH31" s="1677">
        <v>307</v>
      </c>
      <c r="AI31" s="1682"/>
      <c r="AJ31" s="1682"/>
      <c r="AK31" s="1682"/>
      <c r="AL31" s="1682"/>
      <c r="AM31" s="1682"/>
      <c r="AN31" s="1682"/>
      <c r="AO31" s="1682"/>
      <c r="AP31" s="1682"/>
      <c r="AQ31" s="1682"/>
      <c r="AR31" s="1682"/>
      <c r="AS31" s="1682"/>
      <c r="AT31" s="1682">
        <v>786</v>
      </c>
      <c r="AU31" s="1682">
        <v>29</v>
      </c>
      <c r="AV31" s="1682">
        <v>12</v>
      </c>
      <c r="AW31" s="1682"/>
      <c r="AX31" s="1682"/>
      <c r="AY31" s="1682"/>
      <c r="AZ31" s="1682"/>
      <c r="BA31" s="1682"/>
      <c r="BB31" s="1682"/>
      <c r="BC31" s="1682"/>
      <c r="BD31" s="1682"/>
      <c r="BE31" s="1682"/>
      <c r="BF31" s="1682"/>
      <c r="BG31" s="1682"/>
      <c r="BH31" s="1682"/>
      <c r="BI31" s="1682"/>
      <c r="BJ31" s="1655">
        <v>1</v>
      </c>
      <c r="BK31" s="15672">
        <f>AVERAGE(BJ31:BJ34)</f>
        <v>1</v>
      </c>
      <c r="BL31" s="3550" t="s">
        <v>8785</v>
      </c>
      <c r="BM31" s="1675" t="s">
        <v>8786</v>
      </c>
      <c r="BN31" s="1666"/>
      <c r="BO31" s="1848">
        <f>BP31+BQ31+BR31</f>
        <v>45436902.937546298</v>
      </c>
      <c r="BP31" s="1849">
        <v>45436902.937546298</v>
      </c>
      <c r="BQ31" s="1849">
        <v>0</v>
      </c>
      <c r="BR31" s="1849">
        <v>0</v>
      </c>
      <c r="BS31" s="1666">
        <v>366</v>
      </c>
      <c r="BT31" s="1666">
        <v>54</v>
      </c>
      <c r="BU31" s="1666">
        <v>312</v>
      </c>
      <c r="BV31" s="1666"/>
      <c r="BW31" s="1666"/>
      <c r="BX31" s="1666"/>
      <c r="BY31" s="1666"/>
      <c r="BZ31" s="1666">
        <v>5</v>
      </c>
      <c r="CA31" s="1666">
        <v>361</v>
      </c>
      <c r="CB31" s="1666"/>
      <c r="CC31" s="1666"/>
      <c r="CD31" s="1666"/>
      <c r="CE31" s="1666"/>
      <c r="CF31" s="1666"/>
      <c r="CG31" s="1666"/>
      <c r="CH31" s="1666"/>
      <c r="CI31" s="1666"/>
      <c r="CJ31" s="1666"/>
      <c r="CK31" s="1666"/>
      <c r="CL31" s="1666"/>
      <c r="CM31" s="1666"/>
      <c r="CN31" s="1666"/>
      <c r="CO31" s="1666"/>
      <c r="CP31" s="1666"/>
      <c r="CQ31" s="1666"/>
      <c r="CR31" s="1666"/>
      <c r="CS31" s="1666"/>
      <c r="CT31" s="1666"/>
      <c r="CU31" s="1666"/>
      <c r="CV31" s="1666"/>
      <c r="CW31" s="1666"/>
      <c r="CX31" s="1666"/>
      <c r="CY31" s="1666"/>
      <c r="CZ31" s="1666"/>
      <c r="DA31" s="1666"/>
      <c r="DB31" s="1666"/>
      <c r="DC31" s="1845"/>
      <c r="DD31" s="3847"/>
      <c r="DE31" s="3848"/>
      <c r="DF31" s="3848"/>
      <c r="DG31" s="3848"/>
      <c r="DH31" s="3848"/>
      <c r="DI31" s="3849"/>
      <c r="DJ31" s="3850"/>
      <c r="DK31" s="3851"/>
      <c r="DL31" s="3848"/>
      <c r="DM31" s="3849"/>
      <c r="DN31" s="3851"/>
      <c r="DO31" s="3848"/>
      <c r="DP31" s="3849"/>
      <c r="DQ31" s="3851"/>
      <c r="DR31" s="3849"/>
      <c r="DS31" s="3851"/>
      <c r="DT31" s="3848"/>
      <c r="DU31" s="3848"/>
      <c r="DV31" s="3848"/>
      <c r="DW31" s="3848"/>
      <c r="DX31" s="3848"/>
      <c r="DY31" s="3849"/>
      <c r="DZ31" s="3851"/>
      <c r="EA31" s="3848"/>
      <c r="EB31" s="3848"/>
      <c r="EC31" s="3848"/>
      <c r="ED31" s="3848"/>
      <c r="EE31" s="3848"/>
      <c r="EF31" s="3848"/>
      <c r="EG31" s="3848"/>
      <c r="EH31" s="3848"/>
      <c r="EI31" s="3848"/>
      <c r="EJ31" s="3848"/>
      <c r="EK31" s="3848"/>
      <c r="EL31" s="3848"/>
      <c r="EM31" s="3849"/>
      <c r="EN31" s="3851"/>
      <c r="EO31" s="3848"/>
      <c r="EP31" s="3848"/>
      <c r="EQ31" s="3848"/>
      <c r="ER31" s="3849"/>
      <c r="ES31" s="3851"/>
      <c r="ET31" s="3848"/>
      <c r="EU31" s="3848"/>
      <c r="EV31" s="3848"/>
      <c r="EW31" s="3849"/>
    </row>
    <row r="32" spans="1:153" s="1846" customFormat="1" ht="15" customHeight="1">
      <c r="A32" s="15588"/>
      <c r="B32" s="15588"/>
      <c r="C32" s="15588"/>
      <c r="D32" s="15685"/>
      <c r="E32" s="3032"/>
      <c r="F32" s="15566"/>
      <c r="G32" s="15566"/>
      <c r="H32" s="15707"/>
      <c r="I32" s="15566"/>
      <c r="J32" s="3053" t="s">
        <v>10063</v>
      </c>
      <c r="K32" s="1852"/>
      <c r="L32" s="1852" t="s">
        <v>79</v>
      </c>
      <c r="M32" s="3032"/>
      <c r="N32" s="3032"/>
      <c r="O32" s="3548"/>
      <c r="P32" s="3548"/>
      <c r="Q32" s="3551">
        <v>0.2</v>
      </c>
      <c r="R32" s="1851"/>
      <c r="S32" s="1675"/>
      <c r="T32" s="1675"/>
      <c r="U32" s="3549"/>
      <c r="V32" s="1850"/>
      <c r="W32" s="1850"/>
      <c r="X32" s="1850"/>
      <c r="Y32" s="1850"/>
      <c r="Z32" s="1677"/>
      <c r="AA32" s="1677"/>
      <c r="AB32" s="1677"/>
      <c r="AC32" s="1677"/>
      <c r="AD32" s="1677"/>
      <c r="AE32" s="1677"/>
      <c r="AF32" s="1677"/>
      <c r="AG32" s="1677"/>
      <c r="AH32" s="1677"/>
      <c r="AI32" s="1682"/>
      <c r="AJ32" s="1682"/>
      <c r="AK32" s="1682"/>
      <c r="AL32" s="1682"/>
      <c r="AM32" s="1682"/>
      <c r="AN32" s="1682"/>
      <c r="AO32" s="1682"/>
      <c r="AP32" s="1682"/>
      <c r="AQ32" s="1682"/>
      <c r="AR32" s="1682"/>
      <c r="AS32" s="1682"/>
      <c r="AT32" s="1682"/>
      <c r="AU32" s="1682"/>
      <c r="AV32" s="1682"/>
      <c r="AW32" s="1682"/>
      <c r="AX32" s="1682"/>
      <c r="AY32" s="1682"/>
      <c r="AZ32" s="1682"/>
      <c r="BA32" s="1682"/>
      <c r="BB32" s="1682"/>
      <c r="BC32" s="1682"/>
      <c r="BD32" s="1682"/>
      <c r="BE32" s="1682"/>
      <c r="BF32" s="1682"/>
      <c r="BG32" s="1682"/>
      <c r="BH32" s="1682"/>
      <c r="BI32" s="1682"/>
      <c r="BJ32" s="15679">
        <v>1</v>
      </c>
      <c r="BK32" s="15673"/>
      <c r="BL32" s="3551" t="s">
        <v>8787</v>
      </c>
      <c r="BM32" s="3551" t="s">
        <v>8788</v>
      </c>
      <c r="BN32" s="3552"/>
      <c r="BO32" s="3552">
        <v>200000000</v>
      </c>
      <c r="BP32" s="3552">
        <v>0</v>
      </c>
      <c r="BQ32" s="3552">
        <v>0</v>
      </c>
      <c r="BR32" s="3552">
        <v>0</v>
      </c>
      <c r="BS32" s="3552">
        <v>827</v>
      </c>
      <c r="BT32" s="3552">
        <v>390</v>
      </c>
      <c r="BU32" s="3552">
        <v>437</v>
      </c>
      <c r="BV32" s="3552">
        <v>812</v>
      </c>
      <c r="BW32" s="3552">
        <v>15</v>
      </c>
      <c r="BX32" s="3552"/>
      <c r="BY32" s="3552"/>
      <c r="BZ32" s="3552"/>
      <c r="CA32" s="3552">
        <v>827</v>
      </c>
      <c r="CB32" s="3552"/>
      <c r="CC32" s="3552"/>
      <c r="CD32" s="3552"/>
      <c r="CE32" s="3552" t="s">
        <v>2315</v>
      </c>
      <c r="CF32" s="3552"/>
      <c r="CG32" s="3552"/>
      <c r="CH32" s="3552"/>
      <c r="CI32" s="3552"/>
      <c r="CJ32" s="3552"/>
      <c r="CK32" s="3552"/>
      <c r="CL32" s="3552"/>
      <c r="CM32" s="3552" t="s">
        <v>2315</v>
      </c>
      <c r="CN32" s="3552" t="s">
        <v>2315</v>
      </c>
      <c r="CO32" s="3552" t="s">
        <v>2315</v>
      </c>
      <c r="CP32" s="3552"/>
      <c r="CQ32" s="3552"/>
      <c r="CR32" s="3552"/>
      <c r="CS32" s="3552"/>
      <c r="CT32" s="3552"/>
      <c r="CU32" s="3552"/>
      <c r="CV32" s="3552"/>
      <c r="CW32" s="3552"/>
      <c r="CX32" s="3552"/>
      <c r="CY32" s="3552"/>
      <c r="CZ32" s="3552"/>
      <c r="DA32" s="3552"/>
      <c r="DB32" s="3552"/>
      <c r="DC32" s="1845"/>
      <c r="DD32" s="3476"/>
      <c r="DE32" s="3193"/>
      <c r="DF32" s="3193"/>
      <c r="DG32" s="3193"/>
      <c r="DH32" s="3193"/>
      <c r="DI32" s="3477"/>
      <c r="DJ32" s="3779"/>
      <c r="DK32" s="3768"/>
      <c r="DL32" s="3193"/>
      <c r="DM32" s="3477"/>
      <c r="DN32" s="3768"/>
      <c r="DO32" s="3193"/>
      <c r="DP32" s="3477"/>
      <c r="DQ32" s="3768"/>
      <c r="DR32" s="3477"/>
      <c r="DS32" s="3768"/>
      <c r="DT32" s="3193"/>
      <c r="DU32" s="3193"/>
      <c r="DV32" s="3193"/>
      <c r="DW32" s="3193"/>
      <c r="DX32" s="3193"/>
      <c r="DY32" s="3477"/>
      <c r="DZ32" s="3768"/>
      <c r="EA32" s="3193"/>
      <c r="EB32" s="3193"/>
      <c r="EC32" s="3193"/>
      <c r="ED32" s="3193"/>
      <c r="EE32" s="3193"/>
      <c r="EF32" s="3193"/>
      <c r="EG32" s="3193"/>
      <c r="EH32" s="3193"/>
      <c r="EI32" s="3193"/>
      <c r="EJ32" s="3193"/>
      <c r="EK32" s="3193"/>
      <c r="EL32" s="3193"/>
      <c r="EM32" s="3477"/>
      <c r="EN32" s="3768"/>
      <c r="EO32" s="3193"/>
      <c r="EP32" s="3193"/>
      <c r="EQ32" s="3193"/>
      <c r="ER32" s="3477"/>
      <c r="ES32" s="3768"/>
      <c r="ET32" s="3193"/>
      <c r="EU32" s="3193"/>
      <c r="EV32" s="3193"/>
      <c r="EW32" s="3477"/>
    </row>
    <row r="33" spans="1:153" s="1846" customFormat="1" ht="15" customHeight="1">
      <c r="A33" s="15588"/>
      <c r="B33" s="15588"/>
      <c r="C33" s="15588"/>
      <c r="D33" s="3032" t="s">
        <v>7791</v>
      </c>
      <c r="E33" s="3032" t="s">
        <v>1564</v>
      </c>
      <c r="F33" s="3032" t="s">
        <v>1564</v>
      </c>
      <c r="G33" s="3032" t="s">
        <v>1566</v>
      </c>
      <c r="H33" s="1847">
        <v>1</v>
      </c>
      <c r="I33" s="3032" t="s">
        <v>1565</v>
      </c>
      <c r="J33" s="2728" t="s">
        <v>2896</v>
      </c>
      <c r="K33" s="1852" t="s">
        <v>163</v>
      </c>
      <c r="L33" s="1852"/>
      <c r="M33" s="3032" t="s">
        <v>1544</v>
      </c>
      <c r="N33" s="3032" t="s">
        <v>1511</v>
      </c>
      <c r="O33" s="3032" t="s">
        <v>1549</v>
      </c>
      <c r="P33" s="1847">
        <v>0.1</v>
      </c>
      <c r="Q33" s="1847">
        <v>0.5</v>
      </c>
      <c r="R33" s="1667">
        <v>1</v>
      </c>
      <c r="S33" s="3019" t="s">
        <v>3880</v>
      </c>
      <c r="T33" s="1660"/>
      <c r="U33" s="1682"/>
      <c r="V33" s="1843"/>
      <c r="W33" s="1843"/>
      <c r="X33" s="1843"/>
      <c r="Y33" s="1843"/>
      <c r="Z33" s="1682"/>
      <c r="AA33" s="1682"/>
      <c r="AB33" s="1682"/>
      <c r="AC33" s="1682"/>
      <c r="AD33" s="1682"/>
      <c r="AE33" s="1682"/>
      <c r="AF33" s="1682"/>
      <c r="AG33" s="1682"/>
      <c r="AH33" s="1682"/>
      <c r="AI33" s="1682"/>
      <c r="AJ33" s="1682"/>
      <c r="AK33" s="1682"/>
      <c r="AL33" s="1682"/>
      <c r="AM33" s="1682"/>
      <c r="AN33" s="1682"/>
      <c r="AO33" s="1682"/>
      <c r="AP33" s="1682"/>
      <c r="AQ33" s="1682"/>
      <c r="AR33" s="1682"/>
      <c r="AS33" s="1682"/>
      <c r="AT33" s="1682"/>
      <c r="AU33" s="1682"/>
      <c r="AV33" s="1682"/>
      <c r="AW33" s="1682"/>
      <c r="AX33" s="1682"/>
      <c r="AY33" s="1682"/>
      <c r="AZ33" s="1682"/>
      <c r="BA33" s="1682"/>
      <c r="BB33" s="1682"/>
      <c r="BC33" s="1682"/>
      <c r="BD33" s="1682"/>
      <c r="BE33" s="1682"/>
      <c r="BF33" s="1682"/>
      <c r="BG33" s="1682"/>
      <c r="BH33" s="1682"/>
      <c r="BI33" s="1682"/>
      <c r="BJ33" s="15680"/>
      <c r="BK33" s="15673"/>
      <c r="BL33" s="3032" t="s">
        <v>3880</v>
      </c>
      <c r="BM33" s="1660"/>
      <c r="BN33" s="1666"/>
      <c r="BO33" s="1666">
        <v>0</v>
      </c>
      <c r="BP33" s="1666">
        <v>0</v>
      </c>
      <c r="BQ33" s="1666">
        <v>0</v>
      </c>
      <c r="BR33" s="1666"/>
      <c r="BS33" s="1666"/>
      <c r="BT33" s="1666"/>
      <c r="BU33" s="1666"/>
      <c r="BV33" s="1666"/>
      <c r="BW33" s="1666"/>
      <c r="BX33" s="1666"/>
      <c r="BY33" s="1666"/>
      <c r="BZ33" s="1666"/>
      <c r="CA33" s="1666"/>
      <c r="CB33" s="1666"/>
      <c r="CC33" s="1666"/>
      <c r="CD33" s="1666"/>
      <c r="CE33" s="1666"/>
      <c r="CF33" s="1666"/>
      <c r="CG33" s="1666"/>
      <c r="CH33" s="1666"/>
      <c r="CI33" s="1666"/>
      <c r="CJ33" s="1666"/>
      <c r="CK33" s="1666"/>
      <c r="CL33" s="1666"/>
      <c r="CM33" s="1666"/>
      <c r="CN33" s="1666"/>
      <c r="CO33" s="1666"/>
      <c r="CP33" s="1666"/>
      <c r="CQ33" s="1666"/>
      <c r="CR33" s="1666"/>
      <c r="CS33" s="1666"/>
      <c r="CT33" s="1666"/>
      <c r="CU33" s="1666"/>
      <c r="CV33" s="1666"/>
      <c r="CW33" s="1666"/>
      <c r="CX33" s="1666"/>
      <c r="CY33" s="1666"/>
      <c r="CZ33" s="1666"/>
      <c r="DA33" s="1666"/>
      <c r="DB33" s="1666"/>
      <c r="DC33" s="1845"/>
      <c r="DD33" s="3476"/>
      <c r="DE33" s="3193"/>
      <c r="DF33" s="3193"/>
      <c r="DG33" s="3193"/>
      <c r="DH33" s="3193"/>
      <c r="DI33" s="3477"/>
      <c r="DJ33" s="3779"/>
      <c r="DK33" s="3768"/>
      <c r="DL33" s="3193"/>
      <c r="DM33" s="3477"/>
      <c r="DN33" s="3768"/>
      <c r="DO33" s="3193"/>
      <c r="DP33" s="3477"/>
      <c r="DQ33" s="3768"/>
      <c r="DR33" s="3477"/>
      <c r="DS33" s="3768"/>
      <c r="DT33" s="3193"/>
      <c r="DU33" s="3193"/>
      <c r="DV33" s="3193"/>
      <c r="DW33" s="3193"/>
      <c r="DX33" s="3193"/>
      <c r="DY33" s="3477"/>
      <c r="DZ33" s="3768"/>
      <c r="EA33" s="3193"/>
      <c r="EB33" s="3193"/>
      <c r="EC33" s="3193"/>
      <c r="ED33" s="3193"/>
      <c r="EE33" s="3193"/>
      <c r="EF33" s="3193"/>
      <c r="EG33" s="3193"/>
      <c r="EH33" s="3193"/>
      <c r="EI33" s="3193"/>
      <c r="EJ33" s="3193"/>
      <c r="EK33" s="3193"/>
      <c r="EL33" s="3193"/>
      <c r="EM33" s="3477"/>
      <c r="EN33" s="3768"/>
      <c r="EO33" s="3193"/>
      <c r="EP33" s="3193"/>
      <c r="EQ33" s="3193"/>
      <c r="ER33" s="3477"/>
      <c r="ES33" s="3768"/>
      <c r="ET33" s="3193"/>
      <c r="EU33" s="3193"/>
      <c r="EV33" s="3193"/>
      <c r="EW33" s="3477"/>
    </row>
    <row r="34" spans="1:153" s="1846" customFormat="1" ht="15" customHeight="1" thickBot="1">
      <c r="A34" s="15588"/>
      <c r="B34" s="15588"/>
      <c r="C34" s="15588"/>
      <c r="D34" s="3032" t="s">
        <v>7792</v>
      </c>
      <c r="E34" s="3032" t="s">
        <v>1567</v>
      </c>
      <c r="F34" s="3032" t="s">
        <v>1567</v>
      </c>
      <c r="G34" s="3032" t="s">
        <v>1569</v>
      </c>
      <c r="H34" s="1847">
        <v>1</v>
      </c>
      <c r="I34" s="3032" t="s">
        <v>1568</v>
      </c>
      <c r="J34" s="2728" t="s">
        <v>2896</v>
      </c>
      <c r="K34" s="1852" t="s">
        <v>163</v>
      </c>
      <c r="L34" s="1852"/>
      <c r="M34" s="3032" t="s">
        <v>1510</v>
      </c>
      <c r="N34" s="3032" t="s">
        <v>1511</v>
      </c>
      <c r="O34" s="3032" t="s">
        <v>1549</v>
      </c>
      <c r="P34" s="1847">
        <v>0.1</v>
      </c>
      <c r="Q34" s="1847">
        <v>0.5</v>
      </c>
      <c r="R34" s="1842">
        <v>1</v>
      </c>
      <c r="S34" s="1853" t="s">
        <v>3881</v>
      </c>
      <c r="T34" s="1853" t="s">
        <v>3882</v>
      </c>
      <c r="U34" s="1853" t="s">
        <v>3883</v>
      </c>
      <c r="V34" s="1682"/>
      <c r="W34" s="1682"/>
      <c r="X34" s="1682"/>
      <c r="Y34" s="1682"/>
      <c r="Z34" s="1682"/>
      <c r="AA34" s="1682"/>
      <c r="AB34" s="1682"/>
      <c r="AC34" s="1682"/>
      <c r="AD34" s="1682"/>
      <c r="AE34" s="1682"/>
      <c r="AF34" s="1682"/>
      <c r="AG34" s="1682"/>
      <c r="AH34" s="1682"/>
      <c r="AI34" s="1682"/>
      <c r="AJ34" s="1682"/>
      <c r="AK34" s="1682"/>
      <c r="AL34" s="1682"/>
      <c r="AM34" s="1682"/>
      <c r="AN34" s="1682"/>
      <c r="AO34" s="1682"/>
      <c r="AP34" s="1682"/>
      <c r="AQ34" s="1682"/>
      <c r="AR34" s="1682"/>
      <c r="AS34" s="1682"/>
      <c r="AT34" s="1682"/>
      <c r="AU34" s="1682"/>
      <c r="AV34" s="1682"/>
      <c r="AW34" s="1682"/>
      <c r="AX34" s="1682"/>
      <c r="AY34" s="1682"/>
      <c r="AZ34" s="1682"/>
      <c r="BA34" s="1682"/>
      <c r="BB34" s="1682"/>
      <c r="BC34" s="1682"/>
      <c r="BD34" s="1682"/>
      <c r="BE34" s="1682"/>
      <c r="BF34" s="1682"/>
      <c r="BG34" s="1682"/>
      <c r="BH34" s="1682"/>
      <c r="BI34" s="1682"/>
      <c r="BJ34" s="1655">
        <v>1</v>
      </c>
      <c r="BK34" s="15674"/>
      <c r="BL34" s="1852" t="s">
        <v>3881</v>
      </c>
      <c r="BM34" s="1844" t="s">
        <v>8789</v>
      </c>
      <c r="BN34" s="3553" t="s">
        <v>3883</v>
      </c>
      <c r="BO34" s="1666">
        <v>0</v>
      </c>
      <c r="BP34" s="1666">
        <v>0</v>
      </c>
      <c r="BQ34" s="1666">
        <v>0</v>
      </c>
      <c r="BR34" s="1666"/>
      <c r="BS34" s="1666"/>
      <c r="BT34" s="1666"/>
      <c r="BU34" s="1666"/>
      <c r="BV34" s="1666"/>
      <c r="BW34" s="1666"/>
      <c r="BX34" s="1666"/>
      <c r="BY34" s="1666"/>
      <c r="BZ34" s="1666"/>
      <c r="CA34" s="1666"/>
      <c r="CB34" s="1666"/>
      <c r="CC34" s="1666"/>
      <c r="CD34" s="1666"/>
      <c r="CE34" s="1666"/>
      <c r="CF34" s="1666"/>
      <c r="CG34" s="1666"/>
      <c r="CH34" s="1666"/>
      <c r="CI34" s="1666"/>
      <c r="CJ34" s="1666"/>
      <c r="CK34" s="1666"/>
      <c r="CL34" s="1666"/>
      <c r="CM34" s="1666"/>
      <c r="CN34" s="1666"/>
      <c r="CO34" s="1666"/>
      <c r="CP34" s="1666"/>
      <c r="CQ34" s="1666"/>
      <c r="CR34" s="1666"/>
      <c r="CS34" s="1666"/>
      <c r="CT34" s="1666"/>
      <c r="CU34" s="1666"/>
      <c r="CV34" s="1666"/>
      <c r="CW34" s="1666"/>
      <c r="CX34" s="1666"/>
      <c r="CY34" s="1666"/>
      <c r="CZ34" s="1666"/>
      <c r="DA34" s="1666"/>
      <c r="DB34" s="1666"/>
      <c r="DC34" s="1845"/>
      <c r="DD34" s="3842"/>
      <c r="DE34" s="3843"/>
      <c r="DF34" s="3843"/>
      <c r="DG34" s="3843"/>
      <c r="DH34" s="3843"/>
      <c r="DI34" s="3844"/>
      <c r="DJ34" s="3845"/>
      <c r="DK34" s="3846"/>
      <c r="DL34" s="3843"/>
      <c r="DM34" s="3844"/>
      <c r="DN34" s="3846"/>
      <c r="DO34" s="3843"/>
      <c r="DP34" s="3844"/>
      <c r="DQ34" s="3846"/>
      <c r="DR34" s="3844"/>
      <c r="DS34" s="3846"/>
      <c r="DT34" s="3843"/>
      <c r="DU34" s="3843"/>
      <c r="DV34" s="3843"/>
      <c r="DW34" s="3843"/>
      <c r="DX34" s="3843"/>
      <c r="DY34" s="3844"/>
      <c r="DZ34" s="3846"/>
      <c r="EA34" s="3843"/>
      <c r="EB34" s="3843"/>
      <c r="EC34" s="3843"/>
      <c r="ED34" s="3843"/>
      <c r="EE34" s="3843"/>
      <c r="EF34" s="3843"/>
      <c r="EG34" s="3843"/>
      <c r="EH34" s="3843"/>
      <c r="EI34" s="3843"/>
      <c r="EJ34" s="3843"/>
      <c r="EK34" s="3843"/>
      <c r="EL34" s="3843"/>
      <c r="EM34" s="3844"/>
      <c r="EN34" s="3846"/>
      <c r="EO34" s="3843"/>
      <c r="EP34" s="3843"/>
      <c r="EQ34" s="3843"/>
      <c r="ER34" s="3844"/>
      <c r="ES34" s="3846"/>
      <c r="ET34" s="3843"/>
      <c r="EU34" s="3843"/>
      <c r="EV34" s="3843"/>
      <c r="EW34" s="3844"/>
    </row>
    <row r="35" spans="1:153" s="1799" customFormat="1" ht="15" customHeight="1">
      <c r="A35" s="15591" t="s">
        <v>1570</v>
      </c>
      <c r="B35" s="15588"/>
      <c r="C35" s="3554" t="s">
        <v>1571</v>
      </c>
      <c r="D35" s="3028" t="s">
        <v>7793</v>
      </c>
      <c r="E35" s="3028" t="s">
        <v>1572</v>
      </c>
      <c r="F35" s="3028" t="s">
        <v>1572</v>
      </c>
      <c r="G35" s="3028" t="s">
        <v>1573</v>
      </c>
      <c r="H35" s="3028">
        <v>20</v>
      </c>
      <c r="I35" s="3028" t="s">
        <v>700</v>
      </c>
      <c r="J35" s="3034" t="s">
        <v>10063</v>
      </c>
      <c r="K35" s="3906" t="s">
        <v>79</v>
      </c>
      <c r="L35" s="3906"/>
      <c r="M35" s="3028" t="s">
        <v>1523</v>
      </c>
      <c r="N35" s="3028" t="s">
        <v>1511</v>
      </c>
      <c r="O35" s="3028" t="s">
        <v>1549</v>
      </c>
      <c r="P35" s="3028">
        <v>3</v>
      </c>
      <c r="Q35" s="3028">
        <v>10</v>
      </c>
      <c r="R35" s="1792">
        <v>1</v>
      </c>
      <c r="S35" s="3555" t="s">
        <v>3063</v>
      </c>
      <c r="T35" s="1757" t="s">
        <v>3064</v>
      </c>
      <c r="U35" s="1795"/>
      <c r="V35" s="1793">
        <f>W35+X35</f>
        <v>22807627.921999998</v>
      </c>
      <c r="W35" s="1793">
        <v>20457400.364615384</v>
      </c>
      <c r="X35" s="1793">
        <v>2350227.5573846158</v>
      </c>
      <c r="Y35" s="1793">
        <v>0</v>
      </c>
      <c r="Z35" s="843">
        <v>2826</v>
      </c>
      <c r="AA35" s="1794">
        <v>1419</v>
      </c>
      <c r="AB35" s="1794">
        <v>1407</v>
      </c>
      <c r="AC35" s="1794">
        <v>2564</v>
      </c>
      <c r="AD35" s="891">
        <v>262</v>
      </c>
      <c r="AE35" s="1795"/>
      <c r="AF35" s="3556"/>
      <c r="AG35" s="1794">
        <v>1229</v>
      </c>
      <c r="AH35" s="1794">
        <v>1597</v>
      </c>
      <c r="AI35" s="1795"/>
      <c r="AJ35" s="1795"/>
      <c r="AK35" s="1795"/>
      <c r="AL35" s="1794">
        <v>2826</v>
      </c>
      <c r="AM35" s="1795"/>
      <c r="AN35" s="1795"/>
      <c r="AO35" s="1795"/>
      <c r="AP35" s="1795"/>
      <c r="AQ35" s="1795"/>
      <c r="AR35" s="1795"/>
      <c r="AS35" s="1795"/>
      <c r="AT35" s="1795"/>
      <c r="AU35" s="1795"/>
      <c r="AV35" s="1795"/>
      <c r="AW35" s="1795"/>
      <c r="AX35" s="1795"/>
      <c r="AY35" s="1795"/>
      <c r="AZ35" s="1795"/>
      <c r="BA35" s="1795"/>
      <c r="BB35" s="1795"/>
      <c r="BC35" s="1795"/>
      <c r="BD35" s="1795"/>
      <c r="BE35" s="1795"/>
      <c r="BF35" s="1795"/>
      <c r="BG35" s="1795"/>
      <c r="BH35" s="1795"/>
      <c r="BI35" s="1795"/>
      <c r="BJ35" s="3006">
        <v>0.3</v>
      </c>
      <c r="BK35" s="15675">
        <f>AVERAGE(BJ35:BJ39)</f>
        <v>0.72</v>
      </c>
      <c r="BL35" s="3555" t="s">
        <v>8790</v>
      </c>
      <c r="BM35" s="1757" t="s">
        <v>3064</v>
      </c>
      <c r="BN35" s="843"/>
      <c r="BO35" s="1796">
        <f>BP35+BQ35+BR35</f>
        <v>19132622.308333334</v>
      </c>
      <c r="BP35" s="1797">
        <v>16507914.733333334</v>
      </c>
      <c r="BQ35" s="1797">
        <v>2624707.5750000002</v>
      </c>
      <c r="BR35" s="1797">
        <v>0</v>
      </c>
      <c r="BS35" s="843">
        <v>1672</v>
      </c>
      <c r="BT35" s="843">
        <v>865</v>
      </c>
      <c r="BU35" s="843">
        <v>807</v>
      </c>
      <c r="BV35" s="843">
        <v>1491</v>
      </c>
      <c r="BW35" s="843">
        <v>181</v>
      </c>
      <c r="BX35" s="843"/>
      <c r="BY35" s="843"/>
      <c r="BZ35" s="3557">
        <v>181</v>
      </c>
      <c r="CA35" s="3557">
        <v>1491</v>
      </c>
      <c r="CB35" s="3558"/>
      <c r="CC35" s="3558"/>
      <c r="CD35" s="3558"/>
      <c r="CE35" s="843"/>
      <c r="CF35" s="843"/>
      <c r="CG35" s="843"/>
      <c r="CH35" s="843"/>
      <c r="CI35" s="843"/>
      <c r="CJ35" s="843"/>
      <c r="CK35" s="843"/>
      <c r="CL35" s="843"/>
      <c r="CM35" s="843"/>
      <c r="CN35" s="843"/>
      <c r="CO35" s="843"/>
      <c r="CP35" s="843"/>
      <c r="CQ35" s="843"/>
      <c r="CR35" s="843"/>
      <c r="CS35" s="843"/>
      <c r="CT35" s="843"/>
      <c r="CU35" s="843"/>
      <c r="CV35" s="843"/>
      <c r="CW35" s="843"/>
      <c r="CX35" s="843"/>
      <c r="CY35" s="843"/>
      <c r="CZ35" s="843"/>
      <c r="DA35" s="843"/>
      <c r="DB35" s="843"/>
      <c r="DC35" s="1798"/>
      <c r="DD35" s="3837"/>
      <c r="DE35" s="3838"/>
      <c r="DF35" s="3838"/>
      <c r="DG35" s="3838"/>
      <c r="DH35" s="3838"/>
      <c r="DI35" s="3839"/>
      <c r="DJ35" s="3840"/>
      <c r="DK35" s="3841"/>
      <c r="DL35" s="3838"/>
      <c r="DM35" s="3839"/>
      <c r="DN35" s="3841"/>
      <c r="DO35" s="3838"/>
      <c r="DP35" s="3839"/>
      <c r="DQ35" s="3841"/>
      <c r="DR35" s="3839"/>
      <c r="DS35" s="3841"/>
      <c r="DT35" s="3838"/>
      <c r="DU35" s="3838"/>
      <c r="DV35" s="3838"/>
      <c r="DW35" s="3838"/>
      <c r="DX35" s="3838"/>
      <c r="DY35" s="3839"/>
      <c r="DZ35" s="3841"/>
      <c r="EA35" s="3838"/>
      <c r="EB35" s="3838"/>
      <c r="EC35" s="3838"/>
      <c r="ED35" s="3838"/>
      <c r="EE35" s="3838"/>
      <c r="EF35" s="3838"/>
      <c r="EG35" s="3838"/>
      <c r="EH35" s="3838"/>
      <c r="EI35" s="3838"/>
      <c r="EJ35" s="3838"/>
      <c r="EK35" s="3838"/>
      <c r="EL35" s="3838"/>
      <c r="EM35" s="3839"/>
      <c r="EN35" s="3841"/>
      <c r="EO35" s="3838"/>
      <c r="EP35" s="3838"/>
      <c r="EQ35" s="3838"/>
      <c r="ER35" s="3839"/>
      <c r="ES35" s="3841"/>
      <c r="ET35" s="3838"/>
      <c r="EU35" s="3838"/>
      <c r="EV35" s="3838"/>
      <c r="EW35" s="3839"/>
    </row>
    <row r="36" spans="1:153" s="1799" customFormat="1" ht="15" customHeight="1">
      <c r="A36" s="15591"/>
      <c r="B36" s="15588"/>
      <c r="C36" s="3554" t="s">
        <v>1574</v>
      </c>
      <c r="D36" s="3028" t="s">
        <v>7794</v>
      </c>
      <c r="E36" s="3028" t="s">
        <v>1575</v>
      </c>
      <c r="F36" s="3028" t="s">
        <v>1575</v>
      </c>
      <c r="G36" s="3028" t="s">
        <v>1576</v>
      </c>
      <c r="H36" s="3028">
        <v>20</v>
      </c>
      <c r="I36" s="3028" t="s">
        <v>700</v>
      </c>
      <c r="J36" s="3034" t="s">
        <v>10063</v>
      </c>
      <c r="K36" s="3906" t="s">
        <v>79</v>
      </c>
      <c r="L36" s="3906"/>
      <c r="M36" s="3028" t="s">
        <v>1523</v>
      </c>
      <c r="N36" s="3028" t="s">
        <v>1511</v>
      </c>
      <c r="O36" s="3028" t="s">
        <v>1549</v>
      </c>
      <c r="P36" s="3028">
        <v>3</v>
      </c>
      <c r="Q36" s="3028">
        <v>10</v>
      </c>
      <c r="R36" s="1792">
        <v>1</v>
      </c>
      <c r="S36" s="3559" t="s">
        <v>3065</v>
      </c>
      <c r="T36" s="1757" t="s">
        <v>3066</v>
      </c>
      <c r="U36" s="1795"/>
      <c r="V36" s="1793">
        <f>W36+X36</f>
        <v>39903878.899999999</v>
      </c>
      <c r="W36" s="1793">
        <v>16618361.084615383</v>
      </c>
      <c r="X36" s="1793">
        <v>23285517.815384615</v>
      </c>
      <c r="Y36" s="1793">
        <v>0</v>
      </c>
      <c r="Z36" s="3557">
        <v>1392</v>
      </c>
      <c r="AA36" s="3560">
        <v>581</v>
      </c>
      <c r="AB36" s="3561">
        <v>811</v>
      </c>
      <c r="AC36" s="3560">
        <v>950</v>
      </c>
      <c r="AD36" s="3561">
        <v>442</v>
      </c>
      <c r="AE36" s="1795"/>
      <c r="AF36" s="1795"/>
      <c r="AG36" s="843">
        <v>701</v>
      </c>
      <c r="AH36" s="843">
        <v>691</v>
      </c>
      <c r="AI36" s="1795"/>
      <c r="AJ36" s="1795"/>
      <c r="AK36" s="1795"/>
      <c r="AL36" s="843">
        <v>1392</v>
      </c>
      <c r="AM36" s="1795"/>
      <c r="AN36" s="1795"/>
      <c r="AO36" s="1795"/>
      <c r="AP36" s="1795"/>
      <c r="AQ36" s="1795"/>
      <c r="AR36" s="1795"/>
      <c r="AS36" s="1795"/>
      <c r="AT36" s="1795"/>
      <c r="AU36" s="1795"/>
      <c r="AV36" s="1795"/>
      <c r="AW36" s="1795"/>
      <c r="AX36" s="1795"/>
      <c r="AY36" s="1795"/>
      <c r="AZ36" s="1795"/>
      <c r="BA36" s="1795"/>
      <c r="BB36" s="1795"/>
      <c r="BC36" s="1795"/>
      <c r="BD36" s="1795"/>
      <c r="BE36" s="1795"/>
      <c r="BF36" s="1795"/>
      <c r="BG36" s="1795"/>
      <c r="BH36" s="1795"/>
      <c r="BI36" s="1795"/>
      <c r="BJ36" s="3006">
        <v>0.3</v>
      </c>
      <c r="BK36" s="15676"/>
      <c r="BL36" s="3559" t="s">
        <v>8791</v>
      </c>
      <c r="BM36" s="1757" t="s">
        <v>3066</v>
      </c>
      <c r="BN36" s="843"/>
      <c r="BO36" s="1796">
        <f>BP36+BQ36+BR36</f>
        <v>36089816.508333333</v>
      </c>
      <c r="BP36" s="1797">
        <v>4480013.333333333</v>
      </c>
      <c r="BQ36" s="1797">
        <v>31609803.175000001</v>
      </c>
      <c r="BR36" s="1797">
        <v>0</v>
      </c>
      <c r="BS36" s="3557">
        <v>913</v>
      </c>
      <c r="BT36" s="3557">
        <v>429</v>
      </c>
      <c r="BU36" s="3557">
        <v>484</v>
      </c>
      <c r="BV36" s="3557">
        <v>888</v>
      </c>
      <c r="BW36" s="3557">
        <v>25</v>
      </c>
      <c r="BX36" s="843"/>
      <c r="BY36" s="843"/>
      <c r="BZ36" s="843">
        <v>534</v>
      </c>
      <c r="CA36" s="843">
        <v>365</v>
      </c>
      <c r="CB36" s="843">
        <v>11</v>
      </c>
      <c r="CC36" s="843">
        <v>3</v>
      </c>
      <c r="CD36" s="843"/>
      <c r="CE36" s="843"/>
      <c r="CF36" s="843"/>
      <c r="CG36" s="843"/>
      <c r="CH36" s="843"/>
      <c r="CI36" s="843"/>
      <c r="CJ36" s="843"/>
      <c r="CK36" s="843"/>
      <c r="CL36" s="843"/>
      <c r="CM36" s="843"/>
      <c r="CN36" s="843"/>
      <c r="CO36" s="843"/>
      <c r="CP36" s="843"/>
      <c r="CQ36" s="843"/>
      <c r="CR36" s="843"/>
      <c r="CS36" s="843"/>
      <c r="CT36" s="843"/>
      <c r="CU36" s="843"/>
      <c r="CV36" s="843"/>
      <c r="CW36" s="843"/>
      <c r="CX36" s="843"/>
      <c r="CY36" s="843"/>
      <c r="CZ36" s="843"/>
      <c r="DA36" s="843"/>
      <c r="DB36" s="843"/>
      <c r="DC36" s="1798"/>
      <c r="DD36" s="3472"/>
      <c r="DE36" s="3437"/>
      <c r="DF36" s="3437"/>
      <c r="DG36" s="3437"/>
      <c r="DH36" s="3437"/>
      <c r="DI36" s="3473"/>
      <c r="DJ36" s="3780"/>
      <c r="DK36" s="3769"/>
      <c r="DL36" s="3437"/>
      <c r="DM36" s="3473"/>
      <c r="DN36" s="3769"/>
      <c r="DO36" s="3437"/>
      <c r="DP36" s="3473"/>
      <c r="DQ36" s="3769"/>
      <c r="DR36" s="3473"/>
      <c r="DS36" s="3769"/>
      <c r="DT36" s="3437"/>
      <c r="DU36" s="3437"/>
      <c r="DV36" s="3437"/>
      <c r="DW36" s="3437"/>
      <c r="DX36" s="3437"/>
      <c r="DY36" s="3473"/>
      <c r="DZ36" s="3769"/>
      <c r="EA36" s="3437"/>
      <c r="EB36" s="3437"/>
      <c r="EC36" s="3437"/>
      <c r="ED36" s="3437"/>
      <c r="EE36" s="3437"/>
      <c r="EF36" s="3437"/>
      <c r="EG36" s="3437"/>
      <c r="EH36" s="3437"/>
      <c r="EI36" s="3437"/>
      <c r="EJ36" s="3437"/>
      <c r="EK36" s="3437"/>
      <c r="EL36" s="3437"/>
      <c r="EM36" s="3473"/>
      <c r="EN36" s="3769"/>
      <c r="EO36" s="3437"/>
      <c r="EP36" s="3437"/>
      <c r="EQ36" s="3437"/>
      <c r="ER36" s="3473"/>
      <c r="ES36" s="3769"/>
      <c r="ET36" s="3437"/>
      <c r="EU36" s="3437"/>
      <c r="EV36" s="3437"/>
      <c r="EW36" s="3473"/>
    </row>
    <row r="37" spans="1:153" s="1799" customFormat="1" ht="15" customHeight="1">
      <c r="A37" s="15591"/>
      <c r="B37" s="15588"/>
      <c r="C37" s="15591" t="s">
        <v>1577</v>
      </c>
      <c r="D37" s="15591" t="s">
        <v>7795</v>
      </c>
      <c r="E37" s="15580" t="s">
        <v>1578</v>
      </c>
      <c r="F37" s="15580" t="s">
        <v>1578</v>
      </c>
      <c r="G37" s="3028" t="s">
        <v>1522</v>
      </c>
      <c r="H37" s="3028"/>
      <c r="I37" s="15580" t="s">
        <v>700</v>
      </c>
      <c r="J37" s="3896" t="s">
        <v>208</v>
      </c>
      <c r="K37" s="3906" t="s">
        <v>208</v>
      </c>
      <c r="L37" s="3906"/>
      <c r="M37" s="15580" t="s">
        <v>1523</v>
      </c>
      <c r="N37" s="3028" t="s">
        <v>1511</v>
      </c>
      <c r="O37" s="3028" t="s">
        <v>1549</v>
      </c>
      <c r="P37" s="3029">
        <v>0.3</v>
      </c>
      <c r="Q37" s="3029">
        <v>1</v>
      </c>
      <c r="R37" s="1795"/>
      <c r="S37" s="1795"/>
      <c r="T37" s="1795"/>
      <c r="U37" s="1795"/>
      <c r="V37" s="1795"/>
      <c r="W37" s="1795"/>
      <c r="X37" s="1795"/>
      <c r="Y37" s="1795"/>
      <c r="Z37" s="1795"/>
      <c r="AA37" s="1795"/>
      <c r="AB37" s="1795"/>
      <c r="AC37" s="1795"/>
      <c r="AD37" s="1795"/>
      <c r="AE37" s="1795"/>
      <c r="AF37" s="1795"/>
      <c r="AG37" s="1795"/>
      <c r="AH37" s="1795"/>
      <c r="AI37" s="1795"/>
      <c r="AJ37" s="1795"/>
      <c r="AK37" s="1795"/>
      <c r="AL37" s="1795"/>
      <c r="AM37" s="1795"/>
      <c r="AN37" s="1795"/>
      <c r="AO37" s="1795"/>
      <c r="AP37" s="1795"/>
      <c r="AQ37" s="1795"/>
      <c r="AR37" s="1795"/>
      <c r="AS37" s="1795"/>
      <c r="AT37" s="1795"/>
      <c r="AU37" s="1795"/>
      <c r="AV37" s="1795"/>
      <c r="AW37" s="1795"/>
      <c r="AX37" s="1795"/>
      <c r="AY37" s="1795"/>
      <c r="AZ37" s="1795"/>
      <c r="BA37" s="1795"/>
      <c r="BB37" s="1795"/>
      <c r="BC37" s="1795"/>
      <c r="BD37" s="1795"/>
      <c r="BE37" s="1795"/>
      <c r="BF37" s="1795"/>
      <c r="BG37" s="1795"/>
      <c r="BH37" s="1795"/>
      <c r="BI37" s="1795"/>
      <c r="BJ37" s="3006">
        <v>1</v>
      </c>
      <c r="BK37" s="15676"/>
      <c r="BL37" s="1795" t="s">
        <v>9791</v>
      </c>
      <c r="BM37" s="1795"/>
      <c r="BN37" s="843"/>
      <c r="BO37" s="843">
        <v>0</v>
      </c>
      <c r="BP37" s="843">
        <v>0</v>
      </c>
      <c r="BQ37" s="843">
        <v>0</v>
      </c>
      <c r="BR37" s="843">
        <v>0</v>
      </c>
      <c r="BS37" s="843">
        <v>0</v>
      </c>
      <c r="BT37" s="843">
        <v>0</v>
      </c>
      <c r="BU37" s="843">
        <v>0</v>
      </c>
      <c r="BV37" s="843">
        <v>0</v>
      </c>
      <c r="BW37" s="843"/>
      <c r="BX37" s="843"/>
      <c r="BY37" s="843"/>
      <c r="BZ37" s="843"/>
      <c r="CA37" s="843"/>
      <c r="CB37" s="843"/>
      <c r="CC37" s="843"/>
      <c r="CD37" s="843"/>
      <c r="CE37" s="843"/>
      <c r="CF37" s="843"/>
      <c r="CG37" s="843"/>
      <c r="CH37" s="843"/>
      <c r="CI37" s="843"/>
      <c r="CJ37" s="843"/>
      <c r="CK37" s="843"/>
      <c r="CL37" s="843"/>
      <c r="CM37" s="843"/>
      <c r="CN37" s="843"/>
      <c r="CO37" s="843"/>
      <c r="CP37" s="843"/>
      <c r="CQ37" s="843"/>
      <c r="CR37" s="843"/>
      <c r="CS37" s="843"/>
      <c r="CT37" s="843"/>
      <c r="CU37" s="843"/>
      <c r="CV37" s="843"/>
      <c r="CW37" s="843"/>
      <c r="CX37" s="843"/>
      <c r="CY37" s="843"/>
      <c r="CZ37" s="843"/>
      <c r="DA37" s="843"/>
      <c r="DB37" s="843"/>
      <c r="DC37" s="1798"/>
      <c r="DD37" s="3472"/>
      <c r="DE37" s="3437"/>
      <c r="DF37" s="3437"/>
      <c r="DG37" s="3437"/>
      <c r="DH37" s="3437"/>
      <c r="DI37" s="3473"/>
      <c r="DJ37" s="3780"/>
      <c r="DK37" s="3769"/>
      <c r="DL37" s="3437"/>
      <c r="DM37" s="3473"/>
      <c r="DN37" s="3769"/>
      <c r="DO37" s="3437"/>
      <c r="DP37" s="3473"/>
      <c r="DQ37" s="3769"/>
      <c r="DR37" s="3473"/>
      <c r="DS37" s="3769"/>
      <c r="DT37" s="3437"/>
      <c r="DU37" s="3437"/>
      <c r="DV37" s="3437"/>
      <c r="DW37" s="3437"/>
      <c r="DX37" s="3437"/>
      <c r="DY37" s="3473"/>
      <c r="DZ37" s="3769"/>
      <c r="EA37" s="3437"/>
      <c r="EB37" s="3437"/>
      <c r="EC37" s="3437"/>
      <c r="ED37" s="3437"/>
      <c r="EE37" s="3437"/>
      <c r="EF37" s="3437"/>
      <c r="EG37" s="3437"/>
      <c r="EH37" s="3437"/>
      <c r="EI37" s="3437"/>
      <c r="EJ37" s="3437"/>
      <c r="EK37" s="3437"/>
      <c r="EL37" s="3437"/>
      <c r="EM37" s="3473"/>
      <c r="EN37" s="3769"/>
      <c r="EO37" s="3437"/>
      <c r="EP37" s="3437"/>
      <c r="EQ37" s="3437"/>
      <c r="ER37" s="3473"/>
      <c r="ES37" s="3769"/>
      <c r="ET37" s="3437"/>
      <c r="EU37" s="3437"/>
      <c r="EV37" s="3437"/>
      <c r="EW37" s="3473"/>
    </row>
    <row r="38" spans="1:153" s="1799" customFormat="1" ht="15" customHeight="1">
      <c r="A38" s="15591"/>
      <c r="B38" s="15588"/>
      <c r="C38" s="15591"/>
      <c r="D38" s="15591"/>
      <c r="E38" s="15580"/>
      <c r="F38" s="15580"/>
      <c r="G38" s="3028" t="s">
        <v>1579</v>
      </c>
      <c r="H38" s="3028"/>
      <c r="I38" s="15580"/>
      <c r="J38" s="3897" t="s">
        <v>208</v>
      </c>
      <c r="K38" s="3906" t="s">
        <v>208</v>
      </c>
      <c r="L38" s="3906"/>
      <c r="M38" s="15580"/>
      <c r="N38" s="3028" t="s">
        <v>1511</v>
      </c>
      <c r="O38" s="3028" t="s">
        <v>1580</v>
      </c>
      <c r="P38" s="3028"/>
      <c r="Q38" s="3028">
        <v>1</v>
      </c>
      <c r="R38" s="1795"/>
      <c r="S38" s="1795"/>
      <c r="T38" s="1795"/>
      <c r="U38" s="1795"/>
      <c r="V38" s="1795"/>
      <c r="W38" s="1795"/>
      <c r="X38" s="1795"/>
      <c r="Y38" s="1795"/>
      <c r="Z38" s="1795"/>
      <c r="AA38" s="1795"/>
      <c r="AB38" s="1795"/>
      <c r="AC38" s="1795"/>
      <c r="AD38" s="1795"/>
      <c r="AE38" s="1795"/>
      <c r="AF38" s="1795"/>
      <c r="AG38" s="1795"/>
      <c r="AH38" s="1795"/>
      <c r="AI38" s="1795"/>
      <c r="AJ38" s="1795"/>
      <c r="AK38" s="1795"/>
      <c r="AL38" s="1795"/>
      <c r="AM38" s="1795"/>
      <c r="AN38" s="1795"/>
      <c r="AO38" s="1795"/>
      <c r="AP38" s="1795"/>
      <c r="AQ38" s="1795"/>
      <c r="AR38" s="1795"/>
      <c r="AS38" s="1795"/>
      <c r="AT38" s="1795"/>
      <c r="AU38" s="1795"/>
      <c r="AV38" s="1795"/>
      <c r="AW38" s="1795"/>
      <c r="AX38" s="1795"/>
      <c r="AY38" s="1795"/>
      <c r="AZ38" s="1795"/>
      <c r="BA38" s="1795"/>
      <c r="BB38" s="1795"/>
      <c r="BC38" s="1795"/>
      <c r="BD38" s="1795"/>
      <c r="BE38" s="1795"/>
      <c r="BF38" s="1795"/>
      <c r="BG38" s="1795"/>
      <c r="BH38" s="1795"/>
      <c r="BI38" s="1795"/>
      <c r="BJ38" s="3006">
        <v>1</v>
      </c>
      <c r="BK38" s="15676"/>
      <c r="BL38" s="1795" t="s">
        <v>9791</v>
      </c>
      <c r="BM38" s="1795"/>
      <c r="BN38" s="843"/>
      <c r="BO38" s="843">
        <v>0</v>
      </c>
      <c r="BP38" s="843">
        <v>0</v>
      </c>
      <c r="BQ38" s="843">
        <v>0</v>
      </c>
      <c r="BR38" s="843">
        <v>0</v>
      </c>
      <c r="BS38" s="843">
        <v>0</v>
      </c>
      <c r="BT38" s="843">
        <v>0</v>
      </c>
      <c r="BU38" s="843">
        <v>0</v>
      </c>
      <c r="BV38" s="843">
        <v>0</v>
      </c>
      <c r="BW38" s="843"/>
      <c r="BX38" s="843"/>
      <c r="BY38" s="843"/>
      <c r="BZ38" s="843"/>
      <c r="CA38" s="843"/>
      <c r="CB38" s="843"/>
      <c r="CC38" s="843"/>
      <c r="CD38" s="843"/>
      <c r="CE38" s="843"/>
      <c r="CF38" s="843"/>
      <c r="CG38" s="843"/>
      <c r="CH38" s="843"/>
      <c r="CI38" s="843"/>
      <c r="CJ38" s="843"/>
      <c r="CK38" s="843"/>
      <c r="CL38" s="843"/>
      <c r="CM38" s="843"/>
      <c r="CN38" s="843"/>
      <c r="CO38" s="843"/>
      <c r="CP38" s="843"/>
      <c r="CQ38" s="843"/>
      <c r="CR38" s="843"/>
      <c r="CS38" s="843"/>
      <c r="CT38" s="843"/>
      <c r="CU38" s="843"/>
      <c r="CV38" s="843"/>
      <c r="CW38" s="843"/>
      <c r="CX38" s="843"/>
      <c r="CY38" s="843"/>
      <c r="CZ38" s="843"/>
      <c r="DA38" s="843"/>
      <c r="DB38" s="843"/>
      <c r="DC38" s="1798"/>
      <c r="DD38" s="3472"/>
      <c r="DE38" s="3437"/>
      <c r="DF38" s="3437"/>
      <c r="DG38" s="3437"/>
      <c r="DH38" s="3437"/>
      <c r="DI38" s="3473"/>
      <c r="DJ38" s="3780"/>
      <c r="DK38" s="3769"/>
      <c r="DL38" s="3437"/>
      <c r="DM38" s="3473"/>
      <c r="DN38" s="3769"/>
      <c r="DO38" s="3437"/>
      <c r="DP38" s="3473"/>
      <c r="DQ38" s="3769"/>
      <c r="DR38" s="3473"/>
      <c r="DS38" s="3769"/>
      <c r="DT38" s="3437"/>
      <c r="DU38" s="3437"/>
      <c r="DV38" s="3437"/>
      <c r="DW38" s="3437"/>
      <c r="DX38" s="3437"/>
      <c r="DY38" s="3473"/>
      <c r="DZ38" s="3769"/>
      <c r="EA38" s="3437"/>
      <c r="EB38" s="3437"/>
      <c r="EC38" s="3437"/>
      <c r="ED38" s="3437"/>
      <c r="EE38" s="3437"/>
      <c r="EF38" s="3437"/>
      <c r="EG38" s="3437"/>
      <c r="EH38" s="3437"/>
      <c r="EI38" s="3437"/>
      <c r="EJ38" s="3437"/>
      <c r="EK38" s="3437"/>
      <c r="EL38" s="3437"/>
      <c r="EM38" s="3473"/>
      <c r="EN38" s="3769"/>
      <c r="EO38" s="3437"/>
      <c r="EP38" s="3437"/>
      <c r="EQ38" s="3437"/>
      <c r="ER38" s="3473"/>
      <c r="ES38" s="3769"/>
      <c r="ET38" s="3437"/>
      <c r="EU38" s="3437"/>
      <c r="EV38" s="3437"/>
      <c r="EW38" s="3473"/>
    </row>
    <row r="39" spans="1:153" s="1799" customFormat="1" ht="15" customHeight="1" thickBot="1">
      <c r="A39" s="15591"/>
      <c r="B39" s="15588"/>
      <c r="C39" s="15591"/>
      <c r="D39" s="15591"/>
      <c r="E39" s="15580"/>
      <c r="F39" s="15580"/>
      <c r="G39" s="3028" t="s">
        <v>1581</v>
      </c>
      <c r="H39" s="3029">
        <v>0.7</v>
      </c>
      <c r="I39" s="15580"/>
      <c r="J39" s="3898" t="s">
        <v>208</v>
      </c>
      <c r="K39" s="3906" t="s">
        <v>208</v>
      </c>
      <c r="L39" s="3906"/>
      <c r="M39" s="15580"/>
      <c r="N39" s="3028" t="s">
        <v>1511</v>
      </c>
      <c r="O39" s="3028" t="s">
        <v>1582</v>
      </c>
      <c r="P39" s="3028"/>
      <c r="Q39" s="3028"/>
      <c r="R39" s="1795"/>
      <c r="S39" s="1795"/>
      <c r="T39" s="1795"/>
      <c r="U39" s="1795"/>
      <c r="V39" s="1795"/>
      <c r="W39" s="1795"/>
      <c r="X39" s="1795"/>
      <c r="Y39" s="1795"/>
      <c r="Z39" s="1795"/>
      <c r="AA39" s="1795"/>
      <c r="AB39" s="1795"/>
      <c r="AC39" s="1795"/>
      <c r="AD39" s="1795"/>
      <c r="AE39" s="1795"/>
      <c r="AF39" s="1795"/>
      <c r="AG39" s="1795"/>
      <c r="AH39" s="1795"/>
      <c r="AI39" s="1795"/>
      <c r="AJ39" s="1795"/>
      <c r="AK39" s="1795"/>
      <c r="AL39" s="1795"/>
      <c r="AM39" s="1795"/>
      <c r="AN39" s="1795"/>
      <c r="AO39" s="1795"/>
      <c r="AP39" s="1795"/>
      <c r="AQ39" s="1795"/>
      <c r="AR39" s="1795"/>
      <c r="AS39" s="1795"/>
      <c r="AT39" s="1795"/>
      <c r="AU39" s="1795"/>
      <c r="AV39" s="1795"/>
      <c r="AW39" s="1795"/>
      <c r="AX39" s="1795"/>
      <c r="AY39" s="1795"/>
      <c r="AZ39" s="1795"/>
      <c r="BA39" s="1795"/>
      <c r="BB39" s="1795"/>
      <c r="BC39" s="1795"/>
      <c r="BD39" s="1795"/>
      <c r="BE39" s="1795"/>
      <c r="BF39" s="1795"/>
      <c r="BG39" s="1795"/>
      <c r="BH39" s="1795"/>
      <c r="BI39" s="1795"/>
      <c r="BJ39" s="3006">
        <v>1</v>
      </c>
      <c r="BK39" s="15677"/>
      <c r="BL39" s="1795" t="s">
        <v>9791</v>
      </c>
      <c r="BM39" s="1795"/>
      <c r="BN39" s="843"/>
      <c r="BO39" s="843">
        <v>0</v>
      </c>
      <c r="BP39" s="843">
        <v>0</v>
      </c>
      <c r="BQ39" s="843">
        <v>0</v>
      </c>
      <c r="BR39" s="843">
        <v>0</v>
      </c>
      <c r="BS39" s="843">
        <v>0</v>
      </c>
      <c r="BT39" s="843">
        <v>0</v>
      </c>
      <c r="BU39" s="843">
        <v>0</v>
      </c>
      <c r="BV39" s="843">
        <v>0</v>
      </c>
      <c r="BW39" s="843"/>
      <c r="BX39" s="843"/>
      <c r="BY39" s="843"/>
      <c r="BZ39" s="843"/>
      <c r="CA39" s="843"/>
      <c r="CB39" s="843"/>
      <c r="CC39" s="843"/>
      <c r="CD39" s="843"/>
      <c r="CE39" s="843"/>
      <c r="CF39" s="843"/>
      <c r="CG39" s="843"/>
      <c r="CH39" s="843"/>
      <c r="CI39" s="843"/>
      <c r="CJ39" s="843"/>
      <c r="CK39" s="843"/>
      <c r="CL39" s="843"/>
      <c r="CM39" s="843"/>
      <c r="CN39" s="843"/>
      <c r="CO39" s="843"/>
      <c r="CP39" s="843"/>
      <c r="CQ39" s="843"/>
      <c r="CR39" s="843"/>
      <c r="CS39" s="843"/>
      <c r="CT39" s="843"/>
      <c r="CU39" s="843"/>
      <c r="CV39" s="843"/>
      <c r="CW39" s="843"/>
      <c r="CX39" s="843"/>
      <c r="CY39" s="843"/>
      <c r="CZ39" s="843"/>
      <c r="DA39" s="843"/>
      <c r="DB39" s="843"/>
      <c r="DC39" s="1798"/>
      <c r="DD39" s="3832"/>
      <c r="DE39" s="3833"/>
      <c r="DF39" s="3833"/>
      <c r="DG39" s="3833"/>
      <c r="DH39" s="3833"/>
      <c r="DI39" s="3834"/>
      <c r="DJ39" s="3835"/>
      <c r="DK39" s="3836"/>
      <c r="DL39" s="3833"/>
      <c r="DM39" s="3834"/>
      <c r="DN39" s="3836"/>
      <c r="DO39" s="3833"/>
      <c r="DP39" s="3834"/>
      <c r="DQ39" s="3836"/>
      <c r="DR39" s="3834"/>
      <c r="DS39" s="3836"/>
      <c r="DT39" s="3833"/>
      <c r="DU39" s="3833"/>
      <c r="DV39" s="3833"/>
      <c r="DW39" s="3833"/>
      <c r="DX39" s="3833"/>
      <c r="DY39" s="3834"/>
      <c r="DZ39" s="3836"/>
      <c r="EA39" s="3833"/>
      <c r="EB39" s="3833"/>
      <c r="EC39" s="3833"/>
      <c r="ED39" s="3833"/>
      <c r="EE39" s="3833"/>
      <c r="EF39" s="3833"/>
      <c r="EG39" s="3833"/>
      <c r="EH39" s="3833"/>
      <c r="EI39" s="3833"/>
      <c r="EJ39" s="3833"/>
      <c r="EK39" s="3833"/>
      <c r="EL39" s="3833"/>
      <c r="EM39" s="3834"/>
      <c r="EN39" s="3836"/>
      <c r="EO39" s="3833"/>
      <c r="EP39" s="3833"/>
      <c r="EQ39" s="3833"/>
      <c r="ER39" s="3834"/>
      <c r="ES39" s="3836"/>
      <c r="ET39" s="3833"/>
      <c r="EU39" s="3833"/>
      <c r="EV39" s="3833"/>
      <c r="EW39" s="3834"/>
    </row>
    <row r="40" spans="1:153" s="3587" customFormat="1" ht="15" customHeight="1">
      <c r="A40" s="15592" t="s">
        <v>1583</v>
      </c>
      <c r="B40" s="15576" t="s">
        <v>1584</v>
      </c>
      <c r="C40" s="15594" t="s">
        <v>1585</v>
      </c>
      <c r="D40" s="3562" t="s">
        <v>7796</v>
      </c>
      <c r="E40" s="3562" t="s">
        <v>1586</v>
      </c>
      <c r="F40" s="3562" t="s">
        <v>1586</v>
      </c>
      <c r="G40" s="3562" t="s">
        <v>1588</v>
      </c>
      <c r="H40" s="3563">
        <v>1</v>
      </c>
      <c r="I40" s="3562" t="s">
        <v>1587</v>
      </c>
      <c r="J40" s="3602" t="s">
        <v>2896</v>
      </c>
      <c r="K40" s="3577" t="s">
        <v>163</v>
      </c>
      <c r="L40" s="3577"/>
      <c r="M40" s="3562" t="s">
        <v>1523</v>
      </c>
      <c r="N40" s="3562" t="s">
        <v>1511</v>
      </c>
      <c r="O40" s="3562" t="s">
        <v>1549</v>
      </c>
      <c r="P40" s="3563">
        <v>0.1</v>
      </c>
      <c r="Q40" s="3563">
        <v>0.5</v>
      </c>
      <c r="R40" s="3565">
        <f>21/73</f>
        <v>0.28767123287671231</v>
      </c>
      <c r="S40" s="3566" t="s">
        <v>3884</v>
      </c>
      <c r="T40" s="3567"/>
      <c r="U40" s="3568" t="s">
        <v>3885</v>
      </c>
      <c r="V40" s="3569">
        <v>1838311524</v>
      </c>
      <c r="W40" s="3569"/>
      <c r="X40" s="3569" t="s">
        <v>2943</v>
      </c>
      <c r="Y40" s="3569"/>
      <c r="Z40" s="3570">
        <v>5406</v>
      </c>
      <c r="AA40" s="3571">
        <v>3296</v>
      </c>
      <c r="AB40" s="3571">
        <v>2110</v>
      </c>
      <c r="AC40" s="3571">
        <v>3890</v>
      </c>
      <c r="AD40" s="3571">
        <v>822</v>
      </c>
      <c r="AE40" s="3572">
        <v>168</v>
      </c>
      <c r="AF40" s="3572">
        <v>2334</v>
      </c>
      <c r="AG40" s="3572">
        <v>2397</v>
      </c>
      <c r="AH40" s="3572">
        <v>473</v>
      </c>
      <c r="AI40" s="3572">
        <v>30</v>
      </c>
      <c r="AJ40" s="3572">
        <v>4</v>
      </c>
      <c r="AK40" s="3573"/>
      <c r="AL40" s="3573"/>
      <c r="AM40" s="3570">
        <v>5406</v>
      </c>
      <c r="AN40" s="3574"/>
      <c r="AO40" s="3574"/>
      <c r="AP40" s="3573"/>
      <c r="AQ40" s="3573"/>
      <c r="AR40" s="3573"/>
      <c r="AS40" s="3573"/>
      <c r="AT40" s="3570"/>
      <c r="AU40" s="3570">
        <v>115</v>
      </c>
      <c r="AV40" s="3570">
        <f>45+197</f>
        <v>242</v>
      </c>
      <c r="AW40" s="3570"/>
      <c r="AX40" s="3570"/>
      <c r="AY40" s="3570"/>
      <c r="AZ40" s="3575"/>
      <c r="BA40" s="3575"/>
      <c r="BB40" s="3575"/>
      <c r="BC40" s="3575"/>
      <c r="BD40" s="3575"/>
      <c r="BE40" s="3575"/>
      <c r="BF40" s="3575"/>
      <c r="BG40" s="3575"/>
      <c r="BH40" s="3575"/>
      <c r="BI40" s="3575"/>
      <c r="BJ40" s="3576">
        <f>70/73</f>
        <v>0.95890410958904104</v>
      </c>
      <c r="BK40" s="15704">
        <f>AVERAGE(BJ40:BJ57)</f>
        <v>0.88864970645792563</v>
      </c>
      <c r="BL40" s="3577" t="s">
        <v>8792</v>
      </c>
      <c r="BM40" s="3562" t="s">
        <v>8793</v>
      </c>
      <c r="BN40" s="3578" t="s">
        <v>8794</v>
      </c>
      <c r="BO40" s="3579">
        <f>1877643603+196000000</f>
        <v>2073643603</v>
      </c>
      <c r="BP40" s="3580">
        <v>0</v>
      </c>
      <c r="BQ40" s="3580">
        <v>0</v>
      </c>
      <c r="BR40" s="3581">
        <v>0</v>
      </c>
      <c r="BS40" s="3580">
        <v>5078</v>
      </c>
      <c r="BT40" s="3580">
        <v>3119</v>
      </c>
      <c r="BU40" s="3580">
        <v>1959</v>
      </c>
      <c r="BV40" s="3580">
        <v>4124</v>
      </c>
      <c r="BW40" s="3580">
        <v>954</v>
      </c>
      <c r="BX40" s="3578">
        <v>219</v>
      </c>
      <c r="BY40" s="3578">
        <v>2360</v>
      </c>
      <c r="BZ40" s="3578">
        <v>2057</v>
      </c>
      <c r="CA40" s="3578">
        <v>411</v>
      </c>
      <c r="CB40" s="3578"/>
      <c r="CC40" s="3578"/>
      <c r="CD40" s="3580"/>
      <c r="CE40" s="3580"/>
      <c r="CF40" s="3580">
        <f>+BS40</f>
        <v>5078</v>
      </c>
      <c r="CG40" s="3578"/>
      <c r="CH40" s="3578">
        <v>219</v>
      </c>
      <c r="CI40" s="3580"/>
      <c r="CJ40" s="3580"/>
      <c r="CK40" s="3580"/>
      <c r="CL40" s="3580"/>
      <c r="CM40" s="3580"/>
      <c r="CN40" s="3580">
        <v>220</v>
      </c>
      <c r="CO40" s="3580">
        <v>85</v>
      </c>
      <c r="CP40" s="3580"/>
      <c r="CQ40" s="3580"/>
      <c r="CR40" s="3580"/>
      <c r="CS40" s="3582"/>
      <c r="CT40" s="3582"/>
      <c r="CU40" s="3582"/>
      <c r="CV40" s="3582"/>
      <c r="CW40" s="3582"/>
      <c r="CX40" s="3582"/>
      <c r="CY40" s="3582"/>
      <c r="CZ40" s="3582"/>
      <c r="DA40" s="3582"/>
      <c r="DB40" s="3582"/>
      <c r="DC40" s="3583"/>
      <c r="DD40" s="3827"/>
      <c r="DE40" s="3828"/>
      <c r="DF40" s="3828"/>
      <c r="DG40" s="3828"/>
      <c r="DH40" s="3828"/>
      <c r="DI40" s="3829"/>
      <c r="DJ40" s="3830"/>
      <c r="DK40" s="3831"/>
      <c r="DL40" s="3828"/>
      <c r="DM40" s="3829"/>
      <c r="DN40" s="3831"/>
      <c r="DO40" s="3828"/>
      <c r="DP40" s="3829"/>
      <c r="DQ40" s="3831"/>
      <c r="DR40" s="3829"/>
      <c r="DS40" s="3831"/>
      <c r="DT40" s="3828"/>
      <c r="DU40" s="3828"/>
      <c r="DV40" s="3828"/>
      <c r="DW40" s="3828"/>
      <c r="DX40" s="3828"/>
      <c r="DY40" s="3829"/>
      <c r="DZ40" s="3831"/>
      <c r="EA40" s="3828"/>
      <c r="EB40" s="3828"/>
      <c r="EC40" s="3828"/>
      <c r="ED40" s="3828"/>
      <c r="EE40" s="3828"/>
      <c r="EF40" s="3828"/>
      <c r="EG40" s="3828"/>
      <c r="EH40" s="3828"/>
      <c r="EI40" s="3828"/>
      <c r="EJ40" s="3828"/>
      <c r="EK40" s="3828"/>
      <c r="EL40" s="3828"/>
      <c r="EM40" s="3829"/>
      <c r="EN40" s="3831"/>
      <c r="EO40" s="3828"/>
      <c r="EP40" s="3828"/>
      <c r="EQ40" s="3828"/>
      <c r="ER40" s="3829"/>
      <c r="ES40" s="3831"/>
      <c r="ET40" s="3828"/>
      <c r="EU40" s="3828"/>
      <c r="EV40" s="3828"/>
      <c r="EW40" s="3829"/>
    </row>
    <row r="41" spans="1:153" s="3587" customFormat="1" ht="15" customHeight="1">
      <c r="A41" s="15592"/>
      <c r="B41" s="15577"/>
      <c r="C41" s="15594"/>
      <c r="D41" s="3562" t="s">
        <v>7797</v>
      </c>
      <c r="E41" s="3562" t="s">
        <v>1589</v>
      </c>
      <c r="F41" s="3562" t="s">
        <v>1589</v>
      </c>
      <c r="G41" s="3562" t="s">
        <v>1591</v>
      </c>
      <c r="H41" s="3563">
        <v>1</v>
      </c>
      <c r="I41" s="3562" t="s">
        <v>1590</v>
      </c>
      <c r="J41" s="3602" t="s">
        <v>2896</v>
      </c>
      <c r="K41" s="3577" t="s">
        <v>163</v>
      </c>
      <c r="L41" s="3577"/>
      <c r="M41" s="3562" t="s">
        <v>1523</v>
      </c>
      <c r="N41" s="3562" t="s">
        <v>1511</v>
      </c>
      <c r="O41" s="3562" t="s">
        <v>1549</v>
      </c>
      <c r="P41" s="3563">
        <v>0.3</v>
      </c>
      <c r="Q41" s="3563">
        <v>0.6</v>
      </c>
      <c r="R41" s="3588">
        <f>41/73</f>
        <v>0.56164383561643838</v>
      </c>
      <c r="S41" s="3567" t="s">
        <v>3886</v>
      </c>
      <c r="T41" s="3574"/>
      <c r="U41" s="3568" t="s">
        <v>3887</v>
      </c>
      <c r="V41" s="3589">
        <v>399000000</v>
      </c>
      <c r="W41" s="3569" t="s">
        <v>2891</v>
      </c>
      <c r="X41" s="3569"/>
      <c r="Y41" s="3569"/>
      <c r="Z41" s="3570">
        <v>738</v>
      </c>
      <c r="AA41" s="3570">
        <v>440</v>
      </c>
      <c r="AB41" s="3570">
        <v>298</v>
      </c>
      <c r="AC41" s="3570">
        <v>527</v>
      </c>
      <c r="AD41" s="3570">
        <v>211</v>
      </c>
      <c r="AE41" s="3570"/>
      <c r="AF41" s="3570"/>
      <c r="AG41" s="3570"/>
      <c r="AH41" s="3570"/>
      <c r="AI41" s="3570"/>
      <c r="AJ41" s="3570"/>
      <c r="AK41" s="3570"/>
      <c r="AL41" s="3570"/>
      <c r="AM41" s="3570">
        <v>738</v>
      </c>
      <c r="AN41" s="3570">
        <v>47</v>
      </c>
      <c r="AO41" s="3570"/>
      <c r="AP41" s="3570"/>
      <c r="AQ41" s="3570"/>
      <c r="AR41" s="3570"/>
      <c r="AS41" s="3570"/>
      <c r="AT41" s="3570"/>
      <c r="AU41" s="3570">
        <v>41</v>
      </c>
      <c r="AV41" s="3570">
        <v>12</v>
      </c>
      <c r="AW41" s="3570"/>
      <c r="AX41" s="3570"/>
      <c r="AY41" s="3590"/>
      <c r="AZ41" s="3575"/>
      <c r="BA41" s="3575"/>
      <c r="BB41" s="3575"/>
      <c r="BC41" s="3575"/>
      <c r="BD41" s="3575"/>
      <c r="BE41" s="3575"/>
      <c r="BF41" s="3575"/>
      <c r="BG41" s="3575"/>
      <c r="BH41" s="3575"/>
      <c r="BI41" s="3575"/>
      <c r="BJ41" s="3576">
        <f>41/73</f>
        <v>0.56164383561643838</v>
      </c>
      <c r="BK41" s="15705"/>
      <c r="BL41" s="3591" t="s">
        <v>3886</v>
      </c>
      <c r="BM41" s="3574"/>
      <c r="BN41" s="3592" t="s">
        <v>8795</v>
      </c>
      <c r="BO41" s="3581">
        <v>36863200</v>
      </c>
      <c r="BP41" s="3582">
        <v>0</v>
      </c>
      <c r="BQ41" s="3582">
        <v>0</v>
      </c>
      <c r="BR41" s="3581">
        <v>0</v>
      </c>
      <c r="BS41" s="3581">
        <v>4467</v>
      </c>
      <c r="BT41" s="3581">
        <f>BS41-BU41</f>
        <v>2237</v>
      </c>
      <c r="BU41" s="3581">
        <v>2230</v>
      </c>
      <c r="BV41" s="3581">
        <f>(BS41-BW41)</f>
        <v>3215</v>
      </c>
      <c r="BW41" s="3581">
        <v>1252</v>
      </c>
      <c r="BX41" s="3581"/>
      <c r="BY41" s="3581"/>
      <c r="BZ41" s="3581"/>
      <c r="CA41" s="3581">
        <v>3481</v>
      </c>
      <c r="CB41" s="3581">
        <v>986</v>
      </c>
      <c r="CC41" s="3581"/>
      <c r="CD41" s="3581"/>
      <c r="CE41" s="3581"/>
      <c r="CF41" s="3581">
        <v>295</v>
      </c>
      <c r="CG41" s="3581">
        <v>1</v>
      </c>
      <c r="CH41" s="3581">
        <v>254</v>
      </c>
      <c r="CI41" s="3581" t="s">
        <v>2951</v>
      </c>
      <c r="CJ41" s="3581" t="s">
        <v>2951</v>
      </c>
      <c r="CK41" s="3581" t="s">
        <v>2951</v>
      </c>
      <c r="CL41" s="3581" t="s">
        <v>2951</v>
      </c>
      <c r="CM41" s="3581">
        <v>0</v>
      </c>
      <c r="CN41" s="3581">
        <v>147</v>
      </c>
      <c r="CO41" s="3581">
        <v>106</v>
      </c>
      <c r="CP41" s="3581">
        <v>0</v>
      </c>
      <c r="CQ41" s="3581">
        <v>0</v>
      </c>
      <c r="CR41" s="3582">
        <v>0</v>
      </c>
      <c r="CS41" s="3582"/>
      <c r="CT41" s="3582"/>
      <c r="CU41" s="3582"/>
      <c r="CV41" s="3582"/>
      <c r="CW41" s="3582"/>
      <c r="CX41" s="3582"/>
      <c r="CY41" s="3582"/>
      <c r="CZ41" s="3582"/>
      <c r="DA41" s="3582"/>
      <c r="DB41" s="3582"/>
      <c r="DC41" s="3583"/>
      <c r="DD41" s="3584"/>
      <c r="DE41" s="3585"/>
      <c r="DF41" s="3585"/>
      <c r="DG41" s="3585"/>
      <c r="DH41" s="3585"/>
      <c r="DI41" s="3586"/>
      <c r="DJ41" s="3781"/>
      <c r="DK41" s="3770"/>
      <c r="DL41" s="3585"/>
      <c r="DM41" s="3586"/>
      <c r="DN41" s="3770"/>
      <c r="DO41" s="3585"/>
      <c r="DP41" s="3586"/>
      <c r="DQ41" s="3770"/>
      <c r="DR41" s="3586"/>
      <c r="DS41" s="3770"/>
      <c r="DT41" s="3585"/>
      <c r="DU41" s="3585"/>
      <c r="DV41" s="3585"/>
      <c r="DW41" s="3585"/>
      <c r="DX41" s="3585"/>
      <c r="DY41" s="3586"/>
      <c r="DZ41" s="3770"/>
      <c r="EA41" s="3585"/>
      <c r="EB41" s="3585"/>
      <c r="EC41" s="3585"/>
      <c r="ED41" s="3585"/>
      <c r="EE41" s="3585"/>
      <c r="EF41" s="3585"/>
      <c r="EG41" s="3585"/>
      <c r="EH41" s="3585"/>
      <c r="EI41" s="3585"/>
      <c r="EJ41" s="3585"/>
      <c r="EK41" s="3585"/>
      <c r="EL41" s="3585"/>
      <c r="EM41" s="3586"/>
      <c r="EN41" s="3770"/>
      <c r="EO41" s="3585"/>
      <c r="EP41" s="3585"/>
      <c r="EQ41" s="3585"/>
      <c r="ER41" s="3586"/>
      <c r="ES41" s="3770"/>
      <c r="ET41" s="3585"/>
      <c r="EU41" s="3585"/>
      <c r="EV41" s="3585"/>
      <c r="EW41" s="3586"/>
    </row>
    <row r="42" spans="1:153" s="3587" customFormat="1" ht="15" customHeight="1">
      <c r="A42" s="15592"/>
      <c r="B42" s="15577"/>
      <c r="C42" s="15594"/>
      <c r="D42" s="3562" t="s">
        <v>7798</v>
      </c>
      <c r="E42" s="3562" t="s">
        <v>1592</v>
      </c>
      <c r="F42" s="3562" t="s">
        <v>1592</v>
      </c>
      <c r="G42" s="3562" t="s">
        <v>1594</v>
      </c>
      <c r="H42" s="3563">
        <v>1</v>
      </c>
      <c r="I42" s="3562" t="s">
        <v>1593</v>
      </c>
      <c r="J42" s="3602" t="s">
        <v>2896</v>
      </c>
      <c r="K42" s="3577" t="s">
        <v>163</v>
      </c>
      <c r="L42" s="3577"/>
      <c r="M42" s="3562" t="s">
        <v>1510</v>
      </c>
      <c r="N42" s="3562" t="s">
        <v>1511</v>
      </c>
      <c r="O42" s="3562" t="s">
        <v>1549</v>
      </c>
      <c r="P42" s="3563">
        <v>0.3</v>
      </c>
      <c r="Q42" s="3563">
        <v>0.6</v>
      </c>
      <c r="R42" s="3593">
        <v>1</v>
      </c>
      <c r="S42" s="3567" t="s">
        <v>3888</v>
      </c>
      <c r="T42" s="3570"/>
      <c r="U42" s="3575"/>
      <c r="V42" s="3569"/>
      <c r="W42" s="3569"/>
      <c r="X42" s="3569"/>
      <c r="Y42" s="3569"/>
      <c r="Z42" s="3575"/>
      <c r="AA42" s="3575"/>
      <c r="AB42" s="3575"/>
      <c r="AC42" s="3575"/>
      <c r="AD42" s="3575"/>
      <c r="AE42" s="3575"/>
      <c r="AF42" s="3575"/>
      <c r="AG42" s="3575"/>
      <c r="AH42" s="3575"/>
      <c r="AI42" s="3575"/>
      <c r="AJ42" s="3575"/>
      <c r="AK42" s="3575"/>
      <c r="AL42" s="3575"/>
      <c r="AM42" s="3575"/>
      <c r="AN42" s="3575"/>
      <c r="AO42" s="3575"/>
      <c r="AP42" s="3575"/>
      <c r="AQ42" s="3575"/>
      <c r="AR42" s="3575"/>
      <c r="AS42" s="3575"/>
      <c r="AT42" s="3575"/>
      <c r="AU42" s="3575"/>
      <c r="AV42" s="3575"/>
      <c r="AW42" s="3575"/>
      <c r="AX42" s="3575"/>
      <c r="AY42" s="3575"/>
      <c r="AZ42" s="3575"/>
      <c r="BA42" s="3575"/>
      <c r="BB42" s="3575"/>
      <c r="BC42" s="3575"/>
      <c r="BD42" s="3575"/>
      <c r="BE42" s="3575"/>
      <c r="BF42" s="3575"/>
      <c r="BG42" s="3575"/>
      <c r="BH42" s="3575"/>
      <c r="BI42" s="3575"/>
      <c r="BJ42" s="3576">
        <v>1</v>
      </c>
      <c r="BK42" s="15705"/>
      <c r="BL42" s="3562" t="s">
        <v>3888</v>
      </c>
      <c r="BM42" s="3570"/>
      <c r="BN42" s="3581"/>
      <c r="BO42" s="3581">
        <v>0</v>
      </c>
      <c r="BP42" s="3581">
        <v>0</v>
      </c>
      <c r="BQ42" s="3582">
        <v>0</v>
      </c>
      <c r="BR42" s="3581">
        <v>0</v>
      </c>
      <c r="BS42" s="3581">
        <v>0</v>
      </c>
      <c r="BT42" s="3581">
        <v>0</v>
      </c>
      <c r="BU42" s="3581">
        <v>0</v>
      </c>
      <c r="BV42" s="3581">
        <v>0</v>
      </c>
      <c r="BW42" s="3581">
        <v>0</v>
      </c>
      <c r="BX42" s="3581">
        <v>0</v>
      </c>
      <c r="BY42" s="3581">
        <v>0</v>
      </c>
      <c r="BZ42" s="3581">
        <v>0</v>
      </c>
      <c r="CA42" s="3581">
        <v>0</v>
      </c>
      <c r="CB42" s="3581">
        <v>0</v>
      </c>
      <c r="CC42" s="3581">
        <v>0</v>
      </c>
      <c r="CD42" s="3581">
        <v>0</v>
      </c>
      <c r="CE42" s="3581">
        <v>0</v>
      </c>
      <c r="CF42" s="3581">
        <v>0</v>
      </c>
      <c r="CG42" s="3581"/>
      <c r="CH42" s="3581"/>
      <c r="CI42" s="3581"/>
      <c r="CJ42" s="3581"/>
      <c r="CK42" s="3581"/>
      <c r="CL42" s="3581"/>
      <c r="CM42" s="3581"/>
      <c r="CN42" s="3581"/>
      <c r="CO42" s="3581"/>
      <c r="CP42" s="3581"/>
      <c r="CQ42" s="3581"/>
      <c r="CR42" s="3581"/>
      <c r="CS42" s="3581"/>
      <c r="CT42" s="3581"/>
      <c r="CU42" s="3581"/>
      <c r="CV42" s="3581"/>
      <c r="CW42" s="3581"/>
      <c r="CX42" s="3581"/>
      <c r="CY42" s="3581"/>
      <c r="CZ42" s="3581"/>
      <c r="DA42" s="3581"/>
      <c r="DB42" s="3581"/>
      <c r="DC42" s="3583"/>
      <c r="DD42" s="3584"/>
      <c r="DE42" s="3585"/>
      <c r="DF42" s="3585"/>
      <c r="DG42" s="3585"/>
      <c r="DH42" s="3585"/>
      <c r="DI42" s="3586"/>
      <c r="DJ42" s="3781"/>
      <c r="DK42" s="3770"/>
      <c r="DL42" s="3585"/>
      <c r="DM42" s="3586"/>
      <c r="DN42" s="3770"/>
      <c r="DO42" s="3585"/>
      <c r="DP42" s="3586"/>
      <c r="DQ42" s="3770"/>
      <c r="DR42" s="3586"/>
      <c r="DS42" s="3770"/>
      <c r="DT42" s="3585"/>
      <c r="DU42" s="3585"/>
      <c r="DV42" s="3585"/>
      <c r="DW42" s="3585"/>
      <c r="DX42" s="3585"/>
      <c r="DY42" s="3586"/>
      <c r="DZ42" s="3770"/>
      <c r="EA42" s="3585"/>
      <c r="EB42" s="3585"/>
      <c r="EC42" s="3585"/>
      <c r="ED42" s="3585"/>
      <c r="EE42" s="3585"/>
      <c r="EF42" s="3585"/>
      <c r="EG42" s="3585"/>
      <c r="EH42" s="3585"/>
      <c r="EI42" s="3585"/>
      <c r="EJ42" s="3585"/>
      <c r="EK42" s="3585"/>
      <c r="EL42" s="3585"/>
      <c r="EM42" s="3586"/>
      <c r="EN42" s="3770"/>
      <c r="EO42" s="3585"/>
      <c r="EP42" s="3585"/>
      <c r="EQ42" s="3585"/>
      <c r="ER42" s="3586"/>
      <c r="ES42" s="3770"/>
      <c r="ET42" s="3585"/>
      <c r="EU42" s="3585"/>
      <c r="EV42" s="3585"/>
      <c r="EW42" s="3586"/>
    </row>
    <row r="43" spans="1:153" s="3587" customFormat="1" ht="15" customHeight="1">
      <c r="A43" s="15592"/>
      <c r="B43" s="15577"/>
      <c r="C43" s="15594" t="s">
        <v>1595</v>
      </c>
      <c r="D43" s="3562" t="s">
        <v>7799</v>
      </c>
      <c r="E43" s="3562" t="s">
        <v>1596</v>
      </c>
      <c r="F43" s="3562" t="s">
        <v>1596</v>
      </c>
      <c r="G43" s="3562" t="s">
        <v>1598</v>
      </c>
      <c r="H43" s="3562">
        <v>60</v>
      </c>
      <c r="I43" s="3562" t="s">
        <v>1597</v>
      </c>
      <c r="J43" s="3602" t="s">
        <v>2896</v>
      </c>
      <c r="K43" s="3577" t="s">
        <v>163</v>
      </c>
      <c r="L43" s="3577"/>
      <c r="M43" s="3562" t="s">
        <v>1510</v>
      </c>
      <c r="N43" s="3562" t="s">
        <v>1511</v>
      </c>
      <c r="O43" s="3562">
        <v>7.8</v>
      </c>
      <c r="P43" s="3562">
        <v>10</v>
      </c>
      <c r="Q43" s="3563">
        <v>0.3</v>
      </c>
      <c r="R43" s="3594">
        <v>0.7</v>
      </c>
      <c r="S43" s="3567" t="s">
        <v>3889</v>
      </c>
      <c r="T43" s="3570"/>
      <c r="U43" s="3568" t="s">
        <v>9793</v>
      </c>
      <c r="V43" s="3569"/>
      <c r="W43" s="3569"/>
      <c r="X43" s="3569"/>
      <c r="Y43" s="3569"/>
      <c r="Z43" s="3575"/>
      <c r="AA43" s="3575"/>
      <c r="AB43" s="3575"/>
      <c r="AC43" s="3575"/>
      <c r="AD43" s="3575"/>
      <c r="AE43" s="3575"/>
      <c r="AF43" s="3575"/>
      <c r="AG43" s="3575"/>
      <c r="AH43" s="3575"/>
      <c r="AI43" s="3575"/>
      <c r="AJ43" s="3575"/>
      <c r="AK43" s="3575"/>
      <c r="AL43" s="3575"/>
      <c r="AM43" s="3575"/>
      <c r="AN43" s="3575"/>
      <c r="AO43" s="3575"/>
      <c r="AP43" s="3575"/>
      <c r="AQ43" s="3575"/>
      <c r="AR43" s="3575"/>
      <c r="AS43" s="3575"/>
      <c r="AT43" s="3575"/>
      <c r="AU43" s="3575"/>
      <c r="AV43" s="3575"/>
      <c r="AW43" s="3575"/>
      <c r="AX43" s="3575"/>
      <c r="AY43" s="3575"/>
      <c r="AZ43" s="3575"/>
      <c r="BA43" s="3575"/>
      <c r="BB43" s="3575"/>
      <c r="BC43" s="3575"/>
      <c r="BD43" s="3575"/>
      <c r="BE43" s="3575"/>
      <c r="BF43" s="3575"/>
      <c r="BG43" s="3575"/>
      <c r="BH43" s="3575"/>
      <c r="BI43" s="3575"/>
      <c r="BJ43" s="3576">
        <v>0.7</v>
      </c>
      <c r="BK43" s="15705"/>
      <c r="BL43" s="3577" t="s">
        <v>3889</v>
      </c>
      <c r="BM43" s="3590"/>
      <c r="BN43" s="3592" t="s">
        <v>9794</v>
      </c>
      <c r="BO43" s="3581">
        <v>0</v>
      </c>
      <c r="BP43" s="3581">
        <v>0</v>
      </c>
      <c r="BQ43" s="3582">
        <v>0</v>
      </c>
      <c r="BR43" s="3581">
        <v>0</v>
      </c>
      <c r="BS43" s="3581">
        <v>0</v>
      </c>
      <c r="BT43" s="3581">
        <v>0</v>
      </c>
      <c r="BU43" s="3581">
        <v>0</v>
      </c>
      <c r="BV43" s="3581">
        <v>0</v>
      </c>
      <c r="BW43" s="3581">
        <v>0</v>
      </c>
      <c r="BX43" s="3581">
        <v>0</v>
      </c>
      <c r="BY43" s="3581">
        <v>0</v>
      </c>
      <c r="BZ43" s="3581">
        <v>0</v>
      </c>
      <c r="CA43" s="3581">
        <v>0</v>
      </c>
      <c r="CB43" s="3581">
        <v>0</v>
      </c>
      <c r="CC43" s="3581">
        <v>0</v>
      </c>
      <c r="CD43" s="3581">
        <v>0</v>
      </c>
      <c r="CE43" s="3581">
        <v>0</v>
      </c>
      <c r="CF43" s="3581">
        <v>0</v>
      </c>
      <c r="CG43" s="3581"/>
      <c r="CH43" s="3581"/>
      <c r="CI43" s="3581"/>
      <c r="CJ43" s="3581"/>
      <c r="CK43" s="3581"/>
      <c r="CL43" s="3581"/>
      <c r="CM43" s="3581"/>
      <c r="CN43" s="3581"/>
      <c r="CO43" s="3581"/>
      <c r="CP43" s="3581"/>
      <c r="CQ43" s="3581"/>
      <c r="CR43" s="3581"/>
      <c r="CS43" s="3581"/>
      <c r="CT43" s="3581"/>
      <c r="CU43" s="3581"/>
      <c r="CV43" s="3581"/>
      <c r="CW43" s="3581"/>
      <c r="CX43" s="3581"/>
      <c r="CY43" s="3581"/>
      <c r="CZ43" s="3581"/>
      <c r="DA43" s="3581"/>
      <c r="DB43" s="3581"/>
      <c r="DC43" s="3583"/>
      <c r="DD43" s="3584"/>
      <c r="DE43" s="3585"/>
      <c r="DF43" s="3585"/>
      <c r="DG43" s="3585"/>
      <c r="DH43" s="3585"/>
      <c r="DI43" s="3586"/>
      <c r="DJ43" s="3781"/>
      <c r="DK43" s="3770"/>
      <c r="DL43" s="3585"/>
      <c r="DM43" s="3586"/>
      <c r="DN43" s="3770"/>
      <c r="DO43" s="3585"/>
      <c r="DP43" s="3586"/>
      <c r="DQ43" s="3770"/>
      <c r="DR43" s="3586"/>
      <c r="DS43" s="3770"/>
      <c r="DT43" s="3585"/>
      <c r="DU43" s="3585"/>
      <c r="DV43" s="3585"/>
      <c r="DW43" s="3585"/>
      <c r="DX43" s="3585"/>
      <c r="DY43" s="3586"/>
      <c r="DZ43" s="3770"/>
      <c r="EA43" s="3585"/>
      <c r="EB43" s="3585"/>
      <c r="EC43" s="3585"/>
      <c r="ED43" s="3585"/>
      <c r="EE43" s="3585"/>
      <c r="EF43" s="3585"/>
      <c r="EG43" s="3585"/>
      <c r="EH43" s="3585"/>
      <c r="EI43" s="3585"/>
      <c r="EJ43" s="3585"/>
      <c r="EK43" s="3585"/>
      <c r="EL43" s="3585"/>
      <c r="EM43" s="3586"/>
      <c r="EN43" s="3770"/>
      <c r="EO43" s="3585"/>
      <c r="EP43" s="3585"/>
      <c r="EQ43" s="3585"/>
      <c r="ER43" s="3586"/>
      <c r="ES43" s="3770"/>
      <c r="ET43" s="3585"/>
      <c r="EU43" s="3585"/>
      <c r="EV43" s="3585"/>
      <c r="EW43" s="3586"/>
    </row>
    <row r="44" spans="1:153" s="3587" customFormat="1" ht="15" customHeight="1">
      <c r="A44" s="15592"/>
      <c r="B44" s="15577"/>
      <c r="C44" s="15594"/>
      <c r="D44" s="3562" t="s">
        <v>7800</v>
      </c>
      <c r="E44" s="3562" t="s">
        <v>1599</v>
      </c>
      <c r="F44" s="3562" t="s">
        <v>1599</v>
      </c>
      <c r="G44" s="3562" t="s">
        <v>1600</v>
      </c>
      <c r="H44" s="3562">
        <v>53</v>
      </c>
      <c r="I44" s="3562" t="s">
        <v>1597</v>
      </c>
      <c r="J44" s="3602" t="s">
        <v>2896</v>
      </c>
      <c r="K44" s="3577" t="s">
        <v>163</v>
      </c>
      <c r="L44" s="3577"/>
      <c r="M44" s="3562" t="s">
        <v>1523</v>
      </c>
      <c r="N44" s="3562" t="s">
        <v>1511</v>
      </c>
      <c r="O44" s="3562">
        <v>47.7</v>
      </c>
      <c r="P44" s="3562">
        <v>47.7</v>
      </c>
      <c r="Q44" s="3562">
        <v>50</v>
      </c>
      <c r="R44" s="3567"/>
      <c r="S44" s="3567"/>
      <c r="T44" s="3570"/>
      <c r="U44" s="3575"/>
      <c r="V44" s="3569"/>
      <c r="W44" s="3569"/>
      <c r="X44" s="3569"/>
      <c r="Y44" s="3569"/>
      <c r="Z44" s="3575"/>
      <c r="AA44" s="3575"/>
      <c r="AB44" s="3575"/>
      <c r="AC44" s="3575"/>
      <c r="AD44" s="3575"/>
      <c r="AE44" s="3575"/>
      <c r="AF44" s="3575"/>
      <c r="AG44" s="3575"/>
      <c r="AH44" s="3575"/>
      <c r="AI44" s="3575"/>
      <c r="AJ44" s="3575"/>
      <c r="AK44" s="3575"/>
      <c r="AL44" s="3575"/>
      <c r="AM44" s="3575"/>
      <c r="AN44" s="3575"/>
      <c r="AO44" s="3575"/>
      <c r="AP44" s="3575"/>
      <c r="AQ44" s="3575"/>
      <c r="AR44" s="3575"/>
      <c r="AS44" s="3575"/>
      <c r="AT44" s="3575"/>
      <c r="AU44" s="3575"/>
      <c r="AV44" s="3575"/>
      <c r="AW44" s="3575"/>
      <c r="AX44" s="3575"/>
      <c r="AY44" s="3575"/>
      <c r="AZ44" s="3575"/>
      <c r="BA44" s="3575"/>
      <c r="BB44" s="3575"/>
      <c r="BC44" s="3575"/>
      <c r="BD44" s="3575"/>
      <c r="BE44" s="3575"/>
      <c r="BF44" s="3575"/>
      <c r="BG44" s="3575"/>
      <c r="BH44" s="3575"/>
      <c r="BI44" s="3575"/>
      <c r="BJ44" s="3576" t="s">
        <v>2951</v>
      </c>
      <c r="BK44" s="15705"/>
      <c r="BL44" s="3577" t="s">
        <v>8796</v>
      </c>
      <c r="BM44" s="3595" t="s">
        <v>8797</v>
      </c>
      <c r="BN44" s="3582"/>
      <c r="BO44" s="3581">
        <v>0</v>
      </c>
      <c r="BP44" s="3581">
        <v>0</v>
      </c>
      <c r="BQ44" s="3582">
        <v>0</v>
      </c>
      <c r="BR44" s="3581">
        <v>0</v>
      </c>
      <c r="BS44" s="3581">
        <v>0</v>
      </c>
      <c r="BT44" s="3581">
        <v>0</v>
      </c>
      <c r="BU44" s="3581">
        <v>0</v>
      </c>
      <c r="BV44" s="3581">
        <v>0</v>
      </c>
      <c r="BW44" s="3581">
        <v>0</v>
      </c>
      <c r="BX44" s="3581">
        <v>0</v>
      </c>
      <c r="BY44" s="3581">
        <v>0</v>
      </c>
      <c r="BZ44" s="3581">
        <v>0</v>
      </c>
      <c r="CA44" s="3581">
        <v>0</v>
      </c>
      <c r="CB44" s="3581">
        <v>0</v>
      </c>
      <c r="CC44" s="3581">
        <v>0</v>
      </c>
      <c r="CD44" s="3581">
        <v>0</v>
      </c>
      <c r="CE44" s="3581">
        <v>0</v>
      </c>
      <c r="CF44" s="3581">
        <v>0</v>
      </c>
      <c r="CG44" s="3581"/>
      <c r="CH44" s="3581"/>
      <c r="CI44" s="3581"/>
      <c r="CJ44" s="3581"/>
      <c r="CK44" s="3581"/>
      <c r="CL44" s="3581"/>
      <c r="CM44" s="3581"/>
      <c r="CN44" s="3581"/>
      <c r="CO44" s="3581"/>
      <c r="CP44" s="3581"/>
      <c r="CQ44" s="3581"/>
      <c r="CR44" s="3581"/>
      <c r="CS44" s="3581"/>
      <c r="CT44" s="3581"/>
      <c r="CU44" s="3581"/>
      <c r="CV44" s="3581"/>
      <c r="CW44" s="3581"/>
      <c r="CX44" s="3581"/>
      <c r="CY44" s="3581"/>
      <c r="CZ44" s="3581"/>
      <c r="DA44" s="3581"/>
      <c r="DB44" s="3581"/>
      <c r="DC44" s="3583"/>
      <c r="DD44" s="3584"/>
      <c r="DE44" s="3585"/>
      <c r="DF44" s="3585"/>
      <c r="DG44" s="3585"/>
      <c r="DH44" s="3585"/>
      <c r="DI44" s="3586"/>
      <c r="DJ44" s="3781"/>
      <c r="DK44" s="3770"/>
      <c r="DL44" s="3585"/>
      <c r="DM44" s="3586"/>
      <c r="DN44" s="3770"/>
      <c r="DO44" s="3585"/>
      <c r="DP44" s="3586"/>
      <c r="DQ44" s="3770"/>
      <c r="DR44" s="3586"/>
      <c r="DS44" s="3770"/>
      <c r="DT44" s="3585"/>
      <c r="DU44" s="3585"/>
      <c r="DV44" s="3585"/>
      <c r="DW44" s="3585"/>
      <c r="DX44" s="3585"/>
      <c r="DY44" s="3586"/>
      <c r="DZ44" s="3770"/>
      <c r="EA44" s="3585"/>
      <c r="EB44" s="3585"/>
      <c r="EC44" s="3585"/>
      <c r="ED44" s="3585"/>
      <c r="EE44" s="3585"/>
      <c r="EF44" s="3585"/>
      <c r="EG44" s="3585"/>
      <c r="EH44" s="3585"/>
      <c r="EI44" s="3585"/>
      <c r="EJ44" s="3585"/>
      <c r="EK44" s="3585"/>
      <c r="EL44" s="3585"/>
      <c r="EM44" s="3586"/>
      <c r="EN44" s="3770"/>
      <c r="EO44" s="3585"/>
      <c r="EP44" s="3585"/>
      <c r="EQ44" s="3585"/>
      <c r="ER44" s="3586"/>
      <c r="ES44" s="3770"/>
      <c r="ET44" s="3585"/>
      <c r="EU44" s="3585"/>
      <c r="EV44" s="3585"/>
      <c r="EW44" s="3586"/>
    </row>
    <row r="45" spans="1:153" s="3587" customFormat="1" ht="15" customHeight="1">
      <c r="A45" s="15592"/>
      <c r="B45" s="15577"/>
      <c r="C45" s="3596" t="s">
        <v>1601</v>
      </c>
      <c r="D45" s="3562" t="s">
        <v>7801</v>
      </c>
      <c r="E45" s="3562" t="s">
        <v>1602</v>
      </c>
      <c r="F45" s="3562" t="s">
        <v>1602</v>
      </c>
      <c r="G45" s="3562" t="s">
        <v>1604</v>
      </c>
      <c r="H45" s="3562">
        <v>0</v>
      </c>
      <c r="I45" s="3562" t="s">
        <v>1603</v>
      </c>
      <c r="J45" s="3602" t="s">
        <v>2896</v>
      </c>
      <c r="K45" s="3577" t="s">
        <v>163</v>
      </c>
      <c r="L45" s="3577"/>
      <c r="M45" s="3562" t="s">
        <v>1544</v>
      </c>
      <c r="N45" s="3562" t="s">
        <v>1511</v>
      </c>
      <c r="O45" s="3597">
        <v>1.1599999999999999E-2</v>
      </c>
      <c r="P45" s="3597">
        <v>1.1599999999999999E-2</v>
      </c>
      <c r="Q45" s="3597">
        <v>7.0000000000000001E-3</v>
      </c>
      <c r="R45" s="3565" t="s">
        <v>1732</v>
      </c>
      <c r="S45" s="3567" t="s">
        <v>3890</v>
      </c>
      <c r="T45" s="3570"/>
      <c r="U45" s="3575"/>
      <c r="V45" s="3569"/>
      <c r="W45" s="3569"/>
      <c r="X45" s="3569"/>
      <c r="Y45" s="3569"/>
      <c r="Z45" s="3575"/>
      <c r="AA45" s="3575"/>
      <c r="AB45" s="3575"/>
      <c r="AC45" s="3575"/>
      <c r="AD45" s="3575"/>
      <c r="AE45" s="3575"/>
      <c r="AF45" s="3575"/>
      <c r="AG45" s="3575"/>
      <c r="AH45" s="3575"/>
      <c r="AI45" s="3575"/>
      <c r="AJ45" s="3575"/>
      <c r="AK45" s="3575"/>
      <c r="AL45" s="3575"/>
      <c r="AM45" s="3575"/>
      <c r="AN45" s="3575"/>
      <c r="AO45" s="3575"/>
      <c r="AP45" s="3575"/>
      <c r="AQ45" s="3575"/>
      <c r="AR45" s="3575"/>
      <c r="AS45" s="3575"/>
      <c r="AT45" s="3575"/>
      <c r="AU45" s="3575"/>
      <c r="AV45" s="3575"/>
      <c r="AW45" s="3575"/>
      <c r="AX45" s="3575"/>
      <c r="AY45" s="3575"/>
      <c r="AZ45" s="3575"/>
      <c r="BA45" s="3575"/>
      <c r="BB45" s="3575"/>
      <c r="BC45" s="3575"/>
      <c r="BD45" s="3575"/>
      <c r="BE45" s="3575"/>
      <c r="BF45" s="3575"/>
      <c r="BG45" s="3575"/>
      <c r="BH45" s="3575"/>
      <c r="BI45" s="3575"/>
      <c r="BJ45" s="3576">
        <v>1</v>
      </c>
      <c r="BK45" s="15705"/>
      <c r="BL45" s="3562" t="s">
        <v>3890</v>
      </c>
      <c r="BM45" s="3570"/>
      <c r="BN45" s="3581"/>
      <c r="BO45" s="3581">
        <v>0</v>
      </c>
      <c r="BP45" s="3581">
        <v>0</v>
      </c>
      <c r="BQ45" s="3582">
        <v>0</v>
      </c>
      <c r="BR45" s="3581">
        <v>0</v>
      </c>
      <c r="BS45" s="3581">
        <v>0</v>
      </c>
      <c r="BT45" s="3581">
        <v>0</v>
      </c>
      <c r="BU45" s="3581">
        <v>0</v>
      </c>
      <c r="BV45" s="3581">
        <v>0</v>
      </c>
      <c r="BW45" s="3581">
        <v>0</v>
      </c>
      <c r="BX45" s="3581">
        <v>0</v>
      </c>
      <c r="BY45" s="3581">
        <v>0</v>
      </c>
      <c r="BZ45" s="3581">
        <v>0</v>
      </c>
      <c r="CA45" s="3581">
        <v>0</v>
      </c>
      <c r="CB45" s="3581">
        <v>0</v>
      </c>
      <c r="CC45" s="3581">
        <v>0</v>
      </c>
      <c r="CD45" s="3581">
        <v>0</v>
      </c>
      <c r="CE45" s="3581">
        <v>0</v>
      </c>
      <c r="CF45" s="3581">
        <v>0</v>
      </c>
      <c r="CG45" s="3581"/>
      <c r="CH45" s="3581"/>
      <c r="CI45" s="3581"/>
      <c r="CJ45" s="3581"/>
      <c r="CK45" s="3581"/>
      <c r="CL45" s="3581"/>
      <c r="CM45" s="3581"/>
      <c r="CN45" s="3581"/>
      <c r="CO45" s="3581"/>
      <c r="CP45" s="3581"/>
      <c r="CQ45" s="3581"/>
      <c r="CR45" s="3581"/>
      <c r="CS45" s="3581"/>
      <c r="CT45" s="3581"/>
      <c r="CU45" s="3581"/>
      <c r="CV45" s="3581"/>
      <c r="CW45" s="3581"/>
      <c r="CX45" s="3581"/>
      <c r="CY45" s="3581"/>
      <c r="CZ45" s="3581"/>
      <c r="DA45" s="3581"/>
      <c r="DB45" s="3581"/>
      <c r="DC45" s="3583"/>
      <c r="DD45" s="3584"/>
      <c r="DE45" s="3585"/>
      <c r="DF45" s="3585"/>
      <c r="DG45" s="3585"/>
      <c r="DH45" s="3585"/>
      <c r="DI45" s="3586"/>
      <c r="DJ45" s="3781"/>
      <c r="DK45" s="3770"/>
      <c r="DL45" s="3585"/>
      <c r="DM45" s="3586"/>
      <c r="DN45" s="3770"/>
      <c r="DO45" s="3585"/>
      <c r="DP45" s="3586"/>
      <c r="DQ45" s="3770"/>
      <c r="DR45" s="3586"/>
      <c r="DS45" s="3770"/>
      <c r="DT45" s="3585"/>
      <c r="DU45" s="3585"/>
      <c r="DV45" s="3585"/>
      <c r="DW45" s="3585"/>
      <c r="DX45" s="3585"/>
      <c r="DY45" s="3586"/>
      <c r="DZ45" s="3770"/>
      <c r="EA45" s="3585"/>
      <c r="EB45" s="3585"/>
      <c r="EC45" s="3585"/>
      <c r="ED45" s="3585"/>
      <c r="EE45" s="3585"/>
      <c r="EF45" s="3585"/>
      <c r="EG45" s="3585"/>
      <c r="EH45" s="3585"/>
      <c r="EI45" s="3585"/>
      <c r="EJ45" s="3585"/>
      <c r="EK45" s="3585"/>
      <c r="EL45" s="3585"/>
      <c r="EM45" s="3586"/>
      <c r="EN45" s="3770"/>
      <c r="EO45" s="3585"/>
      <c r="EP45" s="3585"/>
      <c r="EQ45" s="3585"/>
      <c r="ER45" s="3586"/>
      <c r="ES45" s="3770"/>
      <c r="ET45" s="3585"/>
      <c r="EU45" s="3585"/>
      <c r="EV45" s="3585"/>
      <c r="EW45" s="3586"/>
    </row>
    <row r="46" spans="1:153" s="3587" customFormat="1" ht="15" customHeight="1">
      <c r="A46" s="15592"/>
      <c r="B46" s="15577"/>
      <c r="C46" s="15594" t="s">
        <v>1605</v>
      </c>
      <c r="D46" s="15583" t="s">
        <v>7802</v>
      </c>
      <c r="E46" s="3562" t="s">
        <v>1606</v>
      </c>
      <c r="F46" s="15583" t="s">
        <v>1606</v>
      </c>
      <c r="G46" s="15583" t="s">
        <v>1608</v>
      </c>
      <c r="H46" s="15581">
        <v>0.8</v>
      </c>
      <c r="I46" s="15583" t="s">
        <v>1603</v>
      </c>
      <c r="J46" s="3602" t="s">
        <v>2896</v>
      </c>
      <c r="K46" s="3577" t="s">
        <v>163</v>
      </c>
      <c r="L46" s="3577"/>
      <c r="M46" s="3562" t="s">
        <v>1510</v>
      </c>
      <c r="N46" s="3562" t="s">
        <v>1511</v>
      </c>
      <c r="O46" s="3597">
        <v>0.42199999999999999</v>
      </c>
      <c r="P46" s="3597">
        <v>0.42199999999999999</v>
      </c>
      <c r="Q46" s="3563">
        <v>0.6</v>
      </c>
      <c r="R46" s="3599">
        <v>0.6</v>
      </c>
      <c r="S46" s="3600" t="s">
        <v>3891</v>
      </c>
      <c r="T46" s="3600" t="s">
        <v>3892</v>
      </c>
      <c r="U46" s="3575"/>
      <c r="V46" s="3575">
        <f>1454023000+659189076</f>
        <v>2113212076</v>
      </c>
      <c r="W46" s="3575">
        <f>1454023000+659189076</f>
        <v>2113212076</v>
      </c>
      <c r="X46" s="3575"/>
      <c r="Y46" s="3575"/>
      <c r="Z46" s="3575">
        <f>635+635+486</f>
        <v>1756</v>
      </c>
      <c r="AA46" s="3575">
        <f>310+343</f>
        <v>653</v>
      </c>
      <c r="AB46" s="3575">
        <f>325+143</f>
        <v>468</v>
      </c>
      <c r="AC46" s="3575">
        <v>586</v>
      </c>
      <c r="AD46" s="3575">
        <v>49</v>
      </c>
      <c r="AE46" s="3575"/>
      <c r="AF46" s="3575"/>
      <c r="AG46" s="3575">
        <f>157+158</f>
        <v>315</v>
      </c>
      <c r="AH46" s="3575">
        <f>478+193</f>
        <v>671</v>
      </c>
      <c r="AI46" s="3575">
        <v>135</v>
      </c>
      <c r="AJ46" s="3575"/>
      <c r="AK46" s="3575"/>
      <c r="AL46" s="3575"/>
      <c r="AM46" s="3575">
        <v>2</v>
      </c>
      <c r="AN46" s="3575">
        <v>15</v>
      </c>
      <c r="AO46" s="3575"/>
      <c r="AP46" s="3575"/>
      <c r="AQ46" s="3575"/>
      <c r="AR46" s="3575"/>
      <c r="AS46" s="3575"/>
      <c r="AT46" s="3575"/>
      <c r="AU46" s="3575"/>
      <c r="AV46" s="3575">
        <v>14</v>
      </c>
      <c r="AW46" s="3575"/>
      <c r="AX46" s="3575"/>
      <c r="AY46" s="3575"/>
      <c r="AZ46" s="3575"/>
      <c r="BA46" s="3575"/>
      <c r="BB46" s="3575"/>
      <c r="BC46" s="3575"/>
      <c r="BD46" s="3575"/>
      <c r="BE46" s="3575"/>
      <c r="BF46" s="3575"/>
      <c r="BG46" s="3575"/>
      <c r="BH46" s="3575"/>
      <c r="BI46" s="3575"/>
      <c r="BJ46" s="3576">
        <v>1</v>
      </c>
      <c r="BK46" s="15705"/>
      <c r="BL46" s="3566" t="s">
        <v>9795</v>
      </c>
      <c r="BM46" s="3562" t="s">
        <v>8798</v>
      </c>
      <c r="BN46" s="3581"/>
      <c r="BO46" s="3601">
        <v>2553433</v>
      </c>
      <c r="BP46" s="3581">
        <v>0</v>
      </c>
      <c r="BQ46" s="3582">
        <v>0</v>
      </c>
      <c r="BR46" s="3581">
        <v>0</v>
      </c>
      <c r="BS46" s="3581">
        <v>0</v>
      </c>
      <c r="BT46" s="3581">
        <v>0</v>
      </c>
      <c r="BU46" s="3581">
        <v>0</v>
      </c>
      <c r="BV46" s="3581">
        <v>0</v>
      </c>
      <c r="BW46" s="3581">
        <v>0</v>
      </c>
      <c r="BX46" s="3581">
        <v>0</v>
      </c>
      <c r="BY46" s="3581">
        <v>0</v>
      </c>
      <c r="BZ46" s="3581">
        <v>0</v>
      </c>
      <c r="CA46" s="3581">
        <v>0</v>
      </c>
      <c r="CB46" s="3581">
        <v>0</v>
      </c>
      <c r="CC46" s="3581">
        <v>0</v>
      </c>
      <c r="CD46" s="3581">
        <v>0</v>
      </c>
      <c r="CE46" s="3581">
        <v>0</v>
      </c>
      <c r="CF46" s="3581">
        <v>0</v>
      </c>
      <c r="CG46" s="3581"/>
      <c r="CH46" s="3581"/>
      <c r="CI46" s="3581"/>
      <c r="CJ46" s="3581"/>
      <c r="CK46" s="3581"/>
      <c r="CL46" s="3581"/>
      <c r="CM46" s="3581"/>
      <c r="CN46" s="3581"/>
      <c r="CO46" s="3581"/>
      <c r="CP46" s="3581"/>
      <c r="CQ46" s="3581"/>
      <c r="CR46" s="3581"/>
      <c r="CS46" s="3581"/>
      <c r="CT46" s="3581"/>
      <c r="CU46" s="3581"/>
      <c r="CV46" s="3581"/>
      <c r="CW46" s="3581"/>
      <c r="CX46" s="3581"/>
      <c r="CY46" s="3581"/>
      <c r="CZ46" s="3581"/>
      <c r="DA46" s="3581"/>
      <c r="DB46" s="3581"/>
      <c r="DC46" s="3583"/>
      <c r="DD46" s="3584"/>
      <c r="DE46" s="3585"/>
      <c r="DF46" s="3585"/>
      <c r="DG46" s="3585"/>
      <c r="DH46" s="3585"/>
      <c r="DI46" s="3586"/>
      <c r="DJ46" s="3781"/>
      <c r="DK46" s="3770"/>
      <c r="DL46" s="3585"/>
      <c r="DM46" s="3586"/>
      <c r="DN46" s="3770"/>
      <c r="DO46" s="3585"/>
      <c r="DP46" s="3586"/>
      <c r="DQ46" s="3770"/>
      <c r="DR46" s="3586"/>
      <c r="DS46" s="3770"/>
      <c r="DT46" s="3585"/>
      <c r="DU46" s="3585"/>
      <c r="DV46" s="3585"/>
      <c r="DW46" s="3585"/>
      <c r="DX46" s="3585"/>
      <c r="DY46" s="3586"/>
      <c r="DZ46" s="3770"/>
      <c r="EA46" s="3585"/>
      <c r="EB46" s="3585"/>
      <c r="EC46" s="3585"/>
      <c r="ED46" s="3585"/>
      <c r="EE46" s="3585"/>
      <c r="EF46" s="3585"/>
      <c r="EG46" s="3585"/>
      <c r="EH46" s="3585"/>
      <c r="EI46" s="3585"/>
      <c r="EJ46" s="3585"/>
      <c r="EK46" s="3585"/>
      <c r="EL46" s="3585"/>
      <c r="EM46" s="3586"/>
      <c r="EN46" s="3770"/>
      <c r="EO46" s="3585"/>
      <c r="EP46" s="3585"/>
      <c r="EQ46" s="3585"/>
      <c r="ER46" s="3586"/>
      <c r="ES46" s="3770"/>
      <c r="ET46" s="3585"/>
      <c r="EU46" s="3585"/>
      <c r="EV46" s="3585"/>
      <c r="EW46" s="3586"/>
    </row>
    <row r="47" spans="1:153" s="3587" customFormat="1" ht="15" customHeight="1">
      <c r="A47" s="15593"/>
      <c r="B47" s="15577"/>
      <c r="C47" s="15595"/>
      <c r="D47" s="15584"/>
      <c r="E47" s="3564"/>
      <c r="F47" s="15584"/>
      <c r="G47" s="15584"/>
      <c r="H47" s="15689"/>
      <c r="I47" s="15584"/>
      <c r="J47" s="3602" t="s">
        <v>329</v>
      </c>
      <c r="K47" s="3617"/>
      <c r="L47" s="3577" t="s">
        <v>10193</v>
      </c>
      <c r="M47" s="3564"/>
      <c r="N47" s="3564"/>
      <c r="O47" s="3603"/>
      <c r="P47" s="3603"/>
      <c r="Q47" s="3604"/>
      <c r="R47" s="3605"/>
      <c r="S47" s="3606"/>
      <c r="T47" s="3606"/>
      <c r="U47" s="3585"/>
      <c r="V47" s="3585"/>
      <c r="W47" s="3585"/>
      <c r="X47" s="3585"/>
      <c r="Y47" s="3585"/>
      <c r="Z47" s="3585"/>
      <c r="AA47" s="3585"/>
      <c r="AB47" s="3585"/>
      <c r="AC47" s="3585"/>
      <c r="AD47" s="3585"/>
      <c r="AE47" s="3585"/>
      <c r="AF47" s="3585"/>
      <c r="AG47" s="3585"/>
      <c r="AH47" s="3585"/>
      <c r="AI47" s="3585"/>
      <c r="AJ47" s="3585"/>
      <c r="AK47" s="3585"/>
      <c r="AL47" s="3585"/>
      <c r="AM47" s="3585"/>
      <c r="AN47" s="3585"/>
      <c r="AO47" s="3585"/>
      <c r="AP47" s="3585"/>
      <c r="AQ47" s="3585"/>
      <c r="AR47" s="3585"/>
      <c r="AS47" s="3585"/>
      <c r="AT47" s="3585"/>
      <c r="AU47" s="3585"/>
      <c r="AV47" s="3585"/>
      <c r="AW47" s="3585"/>
      <c r="AX47" s="3585"/>
      <c r="AY47" s="3585"/>
      <c r="AZ47" s="3585"/>
      <c r="BA47" s="3585"/>
      <c r="BB47" s="3585"/>
      <c r="BC47" s="3585"/>
      <c r="BD47" s="3585"/>
      <c r="BE47" s="3585"/>
      <c r="BF47" s="3585"/>
      <c r="BG47" s="3585"/>
      <c r="BH47" s="3585"/>
      <c r="BI47" s="3585"/>
      <c r="BJ47" s="3607"/>
      <c r="BK47" s="15705"/>
      <c r="BL47" s="3608"/>
      <c r="BM47" s="3564"/>
      <c r="BN47" s="3609"/>
      <c r="BO47" s="3610"/>
      <c r="BP47" s="3609"/>
      <c r="BQ47" s="3611"/>
      <c r="BR47" s="3609"/>
      <c r="BS47" s="3609"/>
      <c r="BT47" s="3609"/>
      <c r="BU47" s="3609"/>
      <c r="BV47" s="3609"/>
      <c r="BW47" s="3609"/>
      <c r="BX47" s="3609"/>
      <c r="BY47" s="3609"/>
      <c r="BZ47" s="3609"/>
      <c r="CA47" s="3609"/>
      <c r="CB47" s="3609"/>
      <c r="CC47" s="3609"/>
      <c r="CD47" s="3609"/>
      <c r="CE47" s="3609"/>
      <c r="CF47" s="3609"/>
      <c r="CG47" s="3609"/>
      <c r="CH47" s="3609"/>
      <c r="CI47" s="3609"/>
      <c r="CJ47" s="3609"/>
      <c r="CK47" s="3609"/>
      <c r="CL47" s="3609"/>
      <c r="CM47" s="3609"/>
      <c r="CN47" s="3609"/>
      <c r="CO47" s="3609"/>
      <c r="CP47" s="3609"/>
      <c r="CQ47" s="3609"/>
      <c r="CR47" s="3609"/>
      <c r="CS47" s="3609"/>
      <c r="CT47" s="3609"/>
      <c r="CU47" s="3609"/>
      <c r="CV47" s="3609"/>
      <c r="CW47" s="3609"/>
      <c r="CX47" s="3609"/>
      <c r="CY47" s="3609"/>
      <c r="CZ47" s="3609"/>
      <c r="DA47" s="3609"/>
      <c r="DB47" s="3609"/>
      <c r="DC47" s="3583"/>
      <c r="DD47" s="3584"/>
      <c r="DE47" s="3585"/>
      <c r="DF47" s="3585"/>
      <c r="DG47" s="3585"/>
      <c r="DH47" s="3585"/>
      <c r="DI47" s="3586"/>
      <c r="DJ47" s="3781"/>
      <c r="DK47" s="3770"/>
      <c r="DL47" s="3585"/>
      <c r="DM47" s="3586"/>
      <c r="DN47" s="3770"/>
      <c r="DO47" s="3585"/>
      <c r="DP47" s="3586"/>
      <c r="DQ47" s="3770"/>
      <c r="DR47" s="3586"/>
      <c r="DS47" s="3770"/>
      <c r="DT47" s="3585"/>
      <c r="DU47" s="3585"/>
      <c r="DV47" s="3585"/>
      <c r="DW47" s="3585"/>
      <c r="DX47" s="3585"/>
      <c r="DY47" s="3586"/>
      <c r="DZ47" s="3770"/>
      <c r="EA47" s="3585"/>
      <c r="EB47" s="3585"/>
      <c r="EC47" s="3585"/>
      <c r="ED47" s="3585"/>
      <c r="EE47" s="3585"/>
      <c r="EF47" s="3585"/>
      <c r="EG47" s="3585"/>
      <c r="EH47" s="3585"/>
      <c r="EI47" s="3585"/>
      <c r="EJ47" s="3585"/>
      <c r="EK47" s="3585"/>
      <c r="EL47" s="3585"/>
      <c r="EM47" s="3586"/>
      <c r="EN47" s="3770"/>
      <c r="EO47" s="3585"/>
      <c r="EP47" s="3585"/>
      <c r="EQ47" s="3585"/>
      <c r="ER47" s="3586"/>
      <c r="ES47" s="3770"/>
      <c r="ET47" s="3585"/>
      <c r="EU47" s="3585"/>
      <c r="EV47" s="3585"/>
      <c r="EW47" s="3586"/>
    </row>
    <row r="48" spans="1:153" s="3587" customFormat="1" ht="15" customHeight="1">
      <c r="A48" s="15593"/>
      <c r="B48" s="15577"/>
      <c r="C48" s="15595"/>
      <c r="D48" s="15585"/>
      <c r="E48" s="3564"/>
      <c r="F48" s="15585"/>
      <c r="G48" s="15585"/>
      <c r="H48" s="15582"/>
      <c r="I48" s="15584"/>
      <c r="J48" s="3602" t="s">
        <v>10194</v>
      </c>
      <c r="K48" s="3617"/>
      <c r="L48" s="3617" t="s">
        <v>733</v>
      </c>
      <c r="M48" s="3564"/>
      <c r="N48" s="3564"/>
      <c r="O48" s="3603"/>
      <c r="P48" s="3603"/>
      <c r="Q48" s="3604"/>
      <c r="R48" s="3605"/>
      <c r="S48" s="3606"/>
      <c r="T48" s="3606"/>
      <c r="U48" s="3585"/>
      <c r="V48" s="3585"/>
      <c r="W48" s="3585"/>
      <c r="X48" s="3585"/>
      <c r="Y48" s="3585"/>
      <c r="Z48" s="3585"/>
      <c r="AA48" s="3585"/>
      <c r="AB48" s="3585"/>
      <c r="AC48" s="3585"/>
      <c r="AD48" s="3585"/>
      <c r="AE48" s="3585"/>
      <c r="AF48" s="3585"/>
      <c r="AG48" s="3585"/>
      <c r="AH48" s="3585"/>
      <c r="AI48" s="3585"/>
      <c r="AJ48" s="3585"/>
      <c r="AK48" s="3585"/>
      <c r="AL48" s="3585"/>
      <c r="AM48" s="3585"/>
      <c r="AN48" s="3585"/>
      <c r="AO48" s="3585"/>
      <c r="AP48" s="3585"/>
      <c r="AQ48" s="3585"/>
      <c r="AR48" s="3585"/>
      <c r="AS48" s="3585"/>
      <c r="AT48" s="3585"/>
      <c r="AU48" s="3585"/>
      <c r="AV48" s="3585"/>
      <c r="AW48" s="3585"/>
      <c r="AX48" s="3585"/>
      <c r="AY48" s="3585"/>
      <c r="AZ48" s="3585"/>
      <c r="BA48" s="3585"/>
      <c r="BB48" s="3585"/>
      <c r="BC48" s="3585"/>
      <c r="BD48" s="3585"/>
      <c r="BE48" s="3585"/>
      <c r="BF48" s="3585"/>
      <c r="BG48" s="3585"/>
      <c r="BH48" s="3585"/>
      <c r="BI48" s="3585"/>
      <c r="BJ48" s="3607"/>
      <c r="BK48" s="15705"/>
      <c r="BL48" s="3608"/>
      <c r="BM48" s="3564"/>
      <c r="BN48" s="3609"/>
      <c r="BO48" s="3610"/>
      <c r="BP48" s="3609"/>
      <c r="BQ48" s="3611"/>
      <c r="BR48" s="3609"/>
      <c r="BS48" s="3609"/>
      <c r="BT48" s="3609"/>
      <c r="BU48" s="3609"/>
      <c r="BV48" s="3609"/>
      <c r="BW48" s="3609"/>
      <c r="BX48" s="3609"/>
      <c r="BY48" s="3609"/>
      <c r="BZ48" s="3609"/>
      <c r="CA48" s="3609"/>
      <c r="CB48" s="3609"/>
      <c r="CC48" s="3609"/>
      <c r="CD48" s="3609"/>
      <c r="CE48" s="3609"/>
      <c r="CF48" s="3609"/>
      <c r="CG48" s="3609"/>
      <c r="CH48" s="3609"/>
      <c r="CI48" s="3609"/>
      <c r="CJ48" s="3609"/>
      <c r="CK48" s="3609"/>
      <c r="CL48" s="3609"/>
      <c r="CM48" s="3609"/>
      <c r="CN48" s="3609"/>
      <c r="CO48" s="3609"/>
      <c r="CP48" s="3609"/>
      <c r="CQ48" s="3609"/>
      <c r="CR48" s="3609"/>
      <c r="CS48" s="3609"/>
      <c r="CT48" s="3609"/>
      <c r="CU48" s="3609"/>
      <c r="CV48" s="3609"/>
      <c r="CW48" s="3609"/>
      <c r="CX48" s="3609"/>
      <c r="CY48" s="3609"/>
      <c r="CZ48" s="3609"/>
      <c r="DA48" s="3609"/>
      <c r="DB48" s="3609"/>
      <c r="DC48" s="3583"/>
      <c r="DD48" s="3584"/>
      <c r="DE48" s="3585"/>
      <c r="DF48" s="3585"/>
      <c r="DG48" s="3585"/>
      <c r="DH48" s="3585"/>
      <c r="DI48" s="3586"/>
      <c r="DJ48" s="3781"/>
      <c r="DK48" s="3770"/>
      <c r="DL48" s="3585"/>
      <c r="DM48" s="3586"/>
      <c r="DN48" s="3770"/>
      <c r="DO48" s="3585"/>
      <c r="DP48" s="3586"/>
      <c r="DQ48" s="3770"/>
      <c r="DR48" s="3586"/>
      <c r="DS48" s="3770"/>
      <c r="DT48" s="3585"/>
      <c r="DU48" s="3585"/>
      <c r="DV48" s="3585"/>
      <c r="DW48" s="3585"/>
      <c r="DX48" s="3585"/>
      <c r="DY48" s="3586"/>
      <c r="DZ48" s="3770"/>
      <c r="EA48" s="3585"/>
      <c r="EB48" s="3585"/>
      <c r="EC48" s="3585"/>
      <c r="ED48" s="3585"/>
      <c r="EE48" s="3585"/>
      <c r="EF48" s="3585"/>
      <c r="EG48" s="3585"/>
      <c r="EH48" s="3585"/>
      <c r="EI48" s="3585"/>
      <c r="EJ48" s="3585"/>
      <c r="EK48" s="3585"/>
      <c r="EL48" s="3585"/>
      <c r="EM48" s="3586"/>
      <c r="EN48" s="3770"/>
      <c r="EO48" s="3585"/>
      <c r="EP48" s="3585"/>
      <c r="EQ48" s="3585"/>
      <c r="ER48" s="3586"/>
      <c r="ES48" s="3770"/>
      <c r="ET48" s="3585"/>
      <c r="EU48" s="3585"/>
      <c r="EV48" s="3585"/>
      <c r="EW48" s="3586"/>
    </row>
    <row r="49" spans="1:153" s="3587" customFormat="1" ht="15" customHeight="1">
      <c r="A49" s="15592"/>
      <c r="B49" s="15577"/>
      <c r="C49" s="15594"/>
      <c r="D49" s="3562" t="s">
        <v>7803</v>
      </c>
      <c r="E49" s="3562" t="s">
        <v>1609</v>
      </c>
      <c r="F49" s="3562" t="s">
        <v>1609</v>
      </c>
      <c r="G49" s="3562" t="s">
        <v>1610</v>
      </c>
      <c r="H49" s="3563">
        <v>0.9</v>
      </c>
      <c r="I49" s="15584"/>
      <c r="J49" s="3602" t="s">
        <v>2896</v>
      </c>
      <c r="K49" s="3577" t="s">
        <v>163</v>
      </c>
      <c r="L49" s="3577" t="s">
        <v>1607</v>
      </c>
      <c r="M49" s="3562" t="s">
        <v>1510</v>
      </c>
      <c r="N49" s="3562" t="s">
        <v>1511</v>
      </c>
      <c r="O49" s="3597">
        <v>0.70599999999999996</v>
      </c>
      <c r="P49" s="3597">
        <v>0.70599999999999996</v>
      </c>
      <c r="Q49" s="3563">
        <v>0.8</v>
      </c>
      <c r="R49" s="3565" t="s">
        <v>1732</v>
      </c>
      <c r="S49" s="3567" t="s">
        <v>3893</v>
      </c>
      <c r="T49" s="3575"/>
      <c r="U49" s="3575"/>
      <c r="V49" s="3569"/>
      <c r="W49" s="3569"/>
      <c r="X49" s="3569"/>
      <c r="Y49" s="3569"/>
      <c r="Z49" s="3575"/>
      <c r="AA49" s="3575"/>
      <c r="AB49" s="3575"/>
      <c r="AC49" s="3575"/>
      <c r="AD49" s="3575"/>
      <c r="AE49" s="3575"/>
      <c r="AF49" s="3575"/>
      <c r="AG49" s="3575"/>
      <c r="AH49" s="3575"/>
      <c r="AI49" s="3575"/>
      <c r="AJ49" s="3575"/>
      <c r="AK49" s="3575"/>
      <c r="AL49" s="3575"/>
      <c r="AM49" s="3575"/>
      <c r="AN49" s="3575"/>
      <c r="AO49" s="3575"/>
      <c r="AP49" s="3575"/>
      <c r="AQ49" s="3575"/>
      <c r="AR49" s="3575"/>
      <c r="AS49" s="3575"/>
      <c r="AT49" s="3575"/>
      <c r="AU49" s="3575"/>
      <c r="AV49" s="3575"/>
      <c r="AW49" s="3575"/>
      <c r="AX49" s="3575"/>
      <c r="AY49" s="3575"/>
      <c r="AZ49" s="3575"/>
      <c r="BA49" s="3575"/>
      <c r="BB49" s="3575"/>
      <c r="BC49" s="3575"/>
      <c r="BD49" s="3575"/>
      <c r="BE49" s="3575"/>
      <c r="BF49" s="3575"/>
      <c r="BG49" s="3575"/>
      <c r="BH49" s="3575"/>
      <c r="BI49" s="3575"/>
      <c r="BJ49" s="3576" t="s">
        <v>2951</v>
      </c>
      <c r="BK49" s="15705"/>
      <c r="BL49" s="3562" t="s">
        <v>3893</v>
      </c>
      <c r="BM49" s="3575"/>
      <c r="BN49" s="3581"/>
      <c r="BO49" s="3612">
        <v>0</v>
      </c>
      <c r="BP49" s="3581">
        <v>0</v>
      </c>
      <c r="BQ49" s="3582">
        <v>0</v>
      </c>
      <c r="BR49" s="3581">
        <v>0</v>
      </c>
      <c r="BS49" s="3581">
        <v>0</v>
      </c>
      <c r="BT49" s="3581">
        <v>0</v>
      </c>
      <c r="BU49" s="3581">
        <v>0</v>
      </c>
      <c r="BV49" s="3581">
        <v>0</v>
      </c>
      <c r="BW49" s="3581">
        <v>0</v>
      </c>
      <c r="BX49" s="3581">
        <v>0</v>
      </c>
      <c r="BY49" s="3581">
        <v>0</v>
      </c>
      <c r="BZ49" s="3581">
        <v>0</v>
      </c>
      <c r="CA49" s="3581">
        <v>0</v>
      </c>
      <c r="CB49" s="3581">
        <v>0</v>
      </c>
      <c r="CC49" s="3581">
        <v>0</v>
      </c>
      <c r="CD49" s="3581">
        <v>0</v>
      </c>
      <c r="CE49" s="3581">
        <v>0</v>
      </c>
      <c r="CF49" s="3581">
        <v>0</v>
      </c>
      <c r="CG49" s="3581"/>
      <c r="CH49" s="3581"/>
      <c r="CI49" s="3581"/>
      <c r="CJ49" s="3581"/>
      <c r="CK49" s="3581"/>
      <c r="CL49" s="3581"/>
      <c r="CM49" s="3581"/>
      <c r="CN49" s="3581"/>
      <c r="CO49" s="3581"/>
      <c r="CP49" s="3581"/>
      <c r="CQ49" s="3581"/>
      <c r="CR49" s="3581"/>
      <c r="CS49" s="3581"/>
      <c r="CT49" s="3581"/>
      <c r="CU49" s="3581"/>
      <c r="CV49" s="3581"/>
      <c r="CW49" s="3581"/>
      <c r="CX49" s="3581"/>
      <c r="CY49" s="3581"/>
      <c r="CZ49" s="3581"/>
      <c r="DA49" s="3581"/>
      <c r="DB49" s="3581"/>
      <c r="DC49" s="3583"/>
      <c r="DD49" s="3584"/>
      <c r="DE49" s="3585"/>
      <c r="DF49" s="3585"/>
      <c r="DG49" s="3585"/>
      <c r="DH49" s="3585"/>
      <c r="DI49" s="3586"/>
      <c r="DJ49" s="3781"/>
      <c r="DK49" s="3770"/>
      <c r="DL49" s="3585"/>
      <c r="DM49" s="3586"/>
      <c r="DN49" s="3770"/>
      <c r="DO49" s="3585"/>
      <c r="DP49" s="3586"/>
      <c r="DQ49" s="3770"/>
      <c r="DR49" s="3586"/>
      <c r="DS49" s="3770"/>
      <c r="DT49" s="3585"/>
      <c r="DU49" s="3585"/>
      <c r="DV49" s="3585"/>
      <c r="DW49" s="3585"/>
      <c r="DX49" s="3585"/>
      <c r="DY49" s="3586"/>
      <c r="DZ49" s="3770"/>
      <c r="EA49" s="3585"/>
      <c r="EB49" s="3585"/>
      <c r="EC49" s="3585"/>
      <c r="ED49" s="3585"/>
      <c r="EE49" s="3585"/>
      <c r="EF49" s="3585"/>
      <c r="EG49" s="3585"/>
      <c r="EH49" s="3585"/>
      <c r="EI49" s="3585"/>
      <c r="EJ49" s="3585"/>
      <c r="EK49" s="3585"/>
      <c r="EL49" s="3585"/>
      <c r="EM49" s="3586"/>
      <c r="EN49" s="3770"/>
      <c r="EO49" s="3585"/>
      <c r="EP49" s="3585"/>
      <c r="EQ49" s="3585"/>
      <c r="ER49" s="3586"/>
      <c r="ES49" s="3770"/>
      <c r="ET49" s="3585"/>
      <c r="EU49" s="3585"/>
      <c r="EV49" s="3585"/>
      <c r="EW49" s="3586"/>
    </row>
    <row r="50" spans="1:153" s="3587" customFormat="1" ht="15" customHeight="1">
      <c r="A50" s="15592"/>
      <c r="B50" s="15577"/>
      <c r="C50" s="15594"/>
      <c r="D50" s="15583" t="s">
        <v>7804</v>
      </c>
      <c r="E50" s="15583" t="s">
        <v>1611</v>
      </c>
      <c r="F50" s="15583" t="s">
        <v>1611</v>
      </c>
      <c r="G50" s="3562" t="s">
        <v>1612</v>
      </c>
      <c r="H50" s="3563">
        <v>0.17</v>
      </c>
      <c r="I50" s="15584"/>
      <c r="J50" s="3598" t="s">
        <v>2896</v>
      </c>
      <c r="K50" s="3907" t="s">
        <v>163</v>
      </c>
      <c r="L50" s="3577"/>
      <c r="M50" s="3562" t="s">
        <v>1544</v>
      </c>
      <c r="N50" s="3562" t="s">
        <v>1511</v>
      </c>
      <c r="O50" s="3597">
        <v>0.46899999999999997</v>
      </c>
      <c r="P50" s="3597">
        <v>0.46899999999999997</v>
      </c>
      <c r="Q50" s="3563">
        <v>0.3</v>
      </c>
      <c r="R50" s="3565" t="s">
        <v>1732</v>
      </c>
      <c r="S50" s="3567" t="s">
        <v>3894</v>
      </c>
      <c r="T50" s="3575"/>
      <c r="U50" s="3575"/>
      <c r="V50" s="3569"/>
      <c r="W50" s="3569"/>
      <c r="X50" s="3569"/>
      <c r="Y50" s="3569"/>
      <c r="Z50" s="3575"/>
      <c r="AA50" s="3575"/>
      <c r="AB50" s="3575"/>
      <c r="AC50" s="3575"/>
      <c r="AD50" s="3575"/>
      <c r="AE50" s="3575"/>
      <c r="AF50" s="3575"/>
      <c r="AG50" s="3575"/>
      <c r="AH50" s="3575"/>
      <c r="AI50" s="3575"/>
      <c r="AJ50" s="3575"/>
      <c r="AK50" s="3575"/>
      <c r="AL50" s="3575"/>
      <c r="AM50" s="3575"/>
      <c r="AN50" s="3575"/>
      <c r="AO50" s="3575"/>
      <c r="AP50" s="3575"/>
      <c r="AQ50" s="3575"/>
      <c r="AR50" s="3575"/>
      <c r="AS50" s="3575"/>
      <c r="AT50" s="3575"/>
      <c r="AU50" s="3575"/>
      <c r="AV50" s="3575"/>
      <c r="AW50" s="3575"/>
      <c r="AX50" s="3575"/>
      <c r="AY50" s="3575"/>
      <c r="AZ50" s="3575"/>
      <c r="BA50" s="3575"/>
      <c r="BB50" s="3575"/>
      <c r="BC50" s="3575"/>
      <c r="BD50" s="3575"/>
      <c r="BE50" s="3575"/>
      <c r="BF50" s="3575"/>
      <c r="BG50" s="3575"/>
      <c r="BH50" s="3575"/>
      <c r="BI50" s="3575"/>
      <c r="BJ50" s="3576" t="s">
        <v>2951</v>
      </c>
      <c r="BK50" s="15705"/>
      <c r="BL50" s="3577" t="s">
        <v>3894</v>
      </c>
      <c r="BM50" s="3575"/>
      <c r="BN50" s="3581"/>
      <c r="BO50" s="3612">
        <v>0</v>
      </c>
      <c r="BP50" s="3581">
        <v>0</v>
      </c>
      <c r="BQ50" s="3582">
        <v>0</v>
      </c>
      <c r="BR50" s="3581">
        <v>0</v>
      </c>
      <c r="BS50" s="3581">
        <v>0</v>
      </c>
      <c r="BT50" s="3581">
        <v>0</v>
      </c>
      <c r="BU50" s="3581">
        <v>0</v>
      </c>
      <c r="BV50" s="3581">
        <v>0</v>
      </c>
      <c r="BW50" s="3581">
        <v>0</v>
      </c>
      <c r="BX50" s="3581">
        <v>0</v>
      </c>
      <c r="BY50" s="3581">
        <v>0</v>
      </c>
      <c r="BZ50" s="3581">
        <v>0</v>
      </c>
      <c r="CA50" s="3581">
        <v>0</v>
      </c>
      <c r="CB50" s="3581">
        <v>0</v>
      </c>
      <c r="CC50" s="3581">
        <v>0</v>
      </c>
      <c r="CD50" s="3581">
        <v>0</v>
      </c>
      <c r="CE50" s="3581">
        <v>0</v>
      </c>
      <c r="CF50" s="3581">
        <v>0</v>
      </c>
      <c r="CG50" s="3581"/>
      <c r="CH50" s="3581"/>
      <c r="CI50" s="3581"/>
      <c r="CJ50" s="3581"/>
      <c r="CK50" s="3581"/>
      <c r="CL50" s="3581"/>
      <c r="CM50" s="3581"/>
      <c r="CN50" s="3581"/>
      <c r="CO50" s="3581"/>
      <c r="CP50" s="3581"/>
      <c r="CQ50" s="3581"/>
      <c r="CR50" s="3581"/>
      <c r="CS50" s="3581"/>
      <c r="CT50" s="3581"/>
      <c r="CU50" s="3581"/>
      <c r="CV50" s="3581"/>
      <c r="CW50" s="3581"/>
      <c r="CX50" s="3581"/>
      <c r="CY50" s="3581"/>
      <c r="CZ50" s="3581"/>
      <c r="DA50" s="3581"/>
      <c r="DB50" s="3581"/>
      <c r="DC50" s="3583"/>
      <c r="DD50" s="3584"/>
      <c r="DE50" s="3585"/>
      <c r="DF50" s="3585"/>
      <c r="DG50" s="3585"/>
      <c r="DH50" s="3585"/>
      <c r="DI50" s="3586"/>
      <c r="DJ50" s="3781"/>
      <c r="DK50" s="3770"/>
      <c r="DL50" s="3585"/>
      <c r="DM50" s="3586"/>
      <c r="DN50" s="3770"/>
      <c r="DO50" s="3585"/>
      <c r="DP50" s="3586"/>
      <c r="DQ50" s="3770"/>
      <c r="DR50" s="3586"/>
      <c r="DS50" s="3770"/>
      <c r="DT50" s="3585"/>
      <c r="DU50" s="3585"/>
      <c r="DV50" s="3585"/>
      <c r="DW50" s="3585"/>
      <c r="DX50" s="3585"/>
      <c r="DY50" s="3586"/>
      <c r="DZ50" s="3770"/>
      <c r="EA50" s="3585"/>
      <c r="EB50" s="3585"/>
      <c r="EC50" s="3585"/>
      <c r="ED50" s="3585"/>
      <c r="EE50" s="3585"/>
      <c r="EF50" s="3585"/>
      <c r="EG50" s="3585"/>
      <c r="EH50" s="3585"/>
      <c r="EI50" s="3585"/>
      <c r="EJ50" s="3585"/>
      <c r="EK50" s="3585"/>
      <c r="EL50" s="3585"/>
      <c r="EM50" s="3586"/>
      <c r="EN50" s="3770"/>
      <c r="EO50" s="3585"/>
      <c r="EP50" s="3585"/>
      <c r="EQ50" s="3585"/>
      <c r="ER50" s="3586"/>
      <c r="ES50" s="3770"/>
      <c r="ET50" s="3585"/>
      <c r="EU50" s="3585"/>
      <c r="EV50" s="3585"/>
      <c r="EW50" s="3586"/>
    </row>
    <row r="51" spans="1:153" s="3587" customFormat="1" ht="15" customHeight="1">
      <c r="A51" s="15592"/>
      <c r="B51" s="15577"/>
      <c r="C51" s="15594"/>
      <c r="D51" s="15584"/>
      <c r="E51" s="15584"/>
      <c r="F51" s="15584"/>
      <c r="G51" s="15583" t="s">
        <v>1613</v>
      </c>
      <c r="H51" s="15581">
        <v>0.25</v>
      </c>
      <c r="I51" s="15584"/>
      <c r="J51" s="3613" t="s">
        <v>329</v>
      </c>
      <c r="K51" s="3908"/>
      <c r="L51" s="3577" t="s">
        <v>10193</v>
      </c>
      <c r="M51" s="3562" t="s">
        <v>1544</v>
      </c>
      <c r="N51" s="3562" t="s">
        <v>1511</v>
      </c>
      <c r="O51" s="3597">
        <v>0.52500000000000002</v>
      </c>
      <c r="P51" s="3597">
        <v>0.52500000000000002</v>
      </c>
      <c r="Q51" s="3563">
        <v>0.37</v>
      </c>
      <c r="R51" s="3565" t="s">
        <v>1732</v>
      </c>
      <c r="S51" s="3567" t="s">
        <v>3895</v>
      </c>
      <c r="T51" s="3575"/>
      <c r="U51" s="3575"/>
      <c r="V51" s="3569"/>
      <c r="W51" s="3569"/>
      <c r="X51" s="3569"/>
      <c r="Y51" s="3569"/>
      <c r="Z51" s="3575"/>
      <c r="AA51" s="3575"/>
      <c r="AB51" s="3575"/>
      <c r="AC51" s="3575"/>
      <c r="AD51" s="3575"/>
      <c r="AE51" s="3575"/>
      <c r="AF51" s="3575"/>
      <c r="AG51" s="3575"/>
      <c r="AH51" s="3575"/>
      <c r="AI51" s="3575"/>
      <c r="AJ51" s="3575"/>
      <c r="AK51" s="3575"/>
      <c r="AL51" s="3575"/>
      <c r="AM51" s="3575"/>
      <c r="AN51" s="3575"/>
      <c r="AO51" s="3575"/>
      <c r="AP51" s="3575"/>
      <c r="AQ51" s="3575"/>
      <c r="AR51" s="3575"/>
      <c r="AS51" s="3575"/>
      <c r="AT51" s="3575"/>
      <c r="AU51" s="3575"/>
      <c r="AV51" s="3575"/>
      <c r="AW51" s="3575"/>
      <c r="AX51" s="3575"/>
      <c r="AY51" s="3575"/>
      <c r="AZ51" s="3575"/>
      <c r="BA51" s="3575"/>
      <c r="BB51" s="3575"/>
      <c r="BC51" s="3575"/>
      <c r="BD51" s="3575"/>
      <c r="BE51" s="3575"/>
      <c r="BF51" s="3575"/>
      <c r="BG51" s="3575"/>
      <c r="BH51" s="3575"/>
      <c r="BI51" s="3575"/>
      <c r="BJ51" s="3576" t="s">
        <v>2951</v>
      </c>
      <c r="BK51" s="15705"/>
      <c r="BL51" s="3577" t="s">
        <v>3895</v>
      </c>
      <c r="BM51" s="3575"/>
      <c r="BN51" s="3581"/>
      <c r="BO51" s="3612">
        <v>0</v>
      </c>
      <c r="BP51" s="3581">
        <v>0</v>
      </c>
      <c r="BQ51" s="3582">
        <v>0</v>
      </c>
      <c r="BR51" s="3581">
        <v>0</v>
      </c>
      <c r="BS51" s="3581">
        <v>0</v>
      </c>
      <c r="BT51" s="3581">
        <v>0</v>
      </c>
      <c r="BU51" s="3581">
        <v>0</v>
      </c>
      <c r="BV51" s="3581">
        <v>0</v>
      </c>
      <c r="BW51" s="3581">
        <v>0</v>
      </c>
      <c r="BX51" s="3581">
        <v>0</v>
      </c>
      <c r="BY51" s="3581">
        <v>0</v>
      </c>
      <c r="BZ51" s="3581">
        <v>0</v>
      </c>
      <c r="CA51" s="3581">
        <v>0</v>
      </c>
      <c r="CB51" s="3581">
        <v>0</v>
      </c>
      <c r="CC51" s="3581">
        <v>0</v>
      </c>
      <c r="CD51" s="3581">
        <v>0</v>
      </c>
      <c r="CE51" s="3581">
        <v>0</v>
      </c>
      <c r="CF51" s="3581">
        <v>0</v>
      </c>
      <c r="CG51" s="3581"/>
      <c r="CH51" s="3581"/>
      <c r="CI51" s="3581"/>
      <c r="CJ51" s="3581"/>
      <c r="CK51" s="3581"/>
      <c r="CL51" s="3581"/>
      <c r="CM51" s="3581"/>
      <c r="CN51" s="3581"/>
      <c r="CO51" s="3581"/>
      <c r="CP51" s="3581"/>
      <c r="CQ51" s="3581"/>
      <c r="CR51" s="3581"/>
      <c r="CS51" s="3581"/>
      <c r="CT51" s="3581"/>
      <c r="CU51" s="3581"/>
      <c r="CV51" s="3581"/>
      <c r="CW51" s="3581"/>
      <c r="CX51" s="3581"/>
      <c r="CY51" s="3581"/>
      <c r="CZ51" s="3581"/>
      <c r="DA51" s="3581"/>
      <c r="DB51" s="3581"/>
      <c r="DC51" s="3583"/>
      <c r="DD51" s="3584"/>
      <c r="DE51" s="3585"/>
      <c r="DF51" s="3585"/>
      <c r="DG51" s="3585"/>
      <c r="DH51" s="3585"/>
      <c r="DI51" s="3586"/>
      <c r="DJ51" s="3781"/>
      <c r="DK51" s="3770"/>
      <c r="DL51" s="3585"/>
      <c r="DM51" s="3586"/>
      <c r="DN51" s="3770"/>
      <c r="DO51" s="3585"/>
      <c r="DP51" s="3586"/>
      <c r="DQ51" s="3770"/>
      <c r="DR51" s="3586"/>
      <c r="DS51" s="3770"/>
      <c r="DT51" s="3585"/>
      <c r="DU51" s="3585"/>
      <c r="DV51" s="3585"/>
      <c r="DW51" s="3585"/>
      <c r="DX51" s="3585"/>
      <c r="DY51" s="3586"/>
      <c r="DZ51" s="3770"/>
      <c r="EA51" s="3585"/>
      <c r="EB51" s="3585"/>
      <c r="EC51" s="3585"/>
      <c r="ED51" s="3585"/>
      <c r="EE51" s="3585"/>
      <c r="EF51" s="3585"/>
      <c r="EG51" s="3585"/>
      <c r="EH51" s="3585"/>
      <c r="EI51" s="3585"/>
      <c r="EJ51" s="3585"/>
      <c r="EK51" s="3585"/>
      <c r="EL51" s="3585"/>
      <c r="EM51" s="3586"/>
      <c r="EN51" s="3770"/>
      <c r="EO51" s="3585"/>
      <c r="EP51" s="3585"/>
      <c r="EQ51" s="3585"/>
      <c r="ER51" s="3586"/>
      <c r="ES51" s="3770"/>
      <c r="ET51" s="3585"/>
      <c r="EU51" s="3585"/>
      <c r="EV51" s="3585"/>
      <c r="EW51" s="3586"/>
    </row>
    <row r="52" spans="1:153" s="3587" customFormat="1" ht="15" customHeight="1">
      <c r="A52" s="15593"/>
      <c r="B52" s="15577"/>
      <c r="C52" s="15595"/>
      <c r="D52" s="15585"/>
      <c r="E52" s="15585"/>
      <c r="F52" s="15585"/>
      <c r="G52" s="15585"/>
      <c r="H52" s="15582"/>
      <c r="I52" s="15585"/>
      <c r="J52" s="3613" t="s">
        <v>10194</v>
      </c>
      <c r="K52" s="3908"/>
      <c r="L52" s="3617" t="s">
        <v>733</v>
      </c>
      <c r="M52" s="3564"/>
      <c r="N52" s="3564"/>
      <c r="O52" s="3603"/>
      <c r="P52" s="3603"/>
      <c r="Q52" s="3604"/>
      <c r="R52" s="3614"/>
      <c r="S52" s="3615"/>
      <c r="T52" s="3585"/>
      <c r="U52" s="3585"/>
      <c r="V52" s="3616"/>
      <c r="W52" s="3616"/>
      <c r="X52" s="3616"/>
      <c r="Y52" s="3616"/>
      <c r="Z52" s="3585"/>
      <c r="AA52" s="3585"/>
      <c r="AB52" s="3585"/>
      <c r="AC52" s="3585"/>
      <c r="AD52" s="3585"/>
      <c r="AE52" s="3585"/>
      <c r="AF52" s="3585"/>
      <c r="AG52" s="3585"/>
      <c r="AH52" s="3585"/>
      <c r="AI52" s="3585"/>
      <c r="AJ52" s="3585"/>
      <c r="AK52" s="3585"/>
      <c r="AL52" s="3585"/>
      <c r="AM52" s="3585"/>
      <c r="AN52" s="3585"/>
      <c r="AO52" s="3585"/>
      <c r="AP52" s="3585"/>
      <c r="AQ52" s="3585"/>
      <c r="AR52" s="3585"/>
      <c r="AS52" s="3585"/>
      <c r="AT52" s="3585"/>
      <c r="AU52" s="3585"/>
      <c r="AV52" s="3585"/>
      <c r="AW52" s="3585"/>
      <c r="AX52" s="3585"/>
      <c r="AY52" s="3585"/>
      <c r="AZ52" s="3585"/>
      <c r="BA52" s="3585"/>
      <c r="BB52" s="3585"/>
      <c r="BC52" s="3585"/>
      <c r="BD52" s="3585"/>
      <c r="BE52" s="3585"/>
      <c r="BF52" s="3585"/>
      <c r="BG52" s="3585"/>
      <c r="BH52" s="3585"/>
      <c r="BI52" s="3585"/>
      <c r="BJ52" s="3607"/>
      <c r="BK52" s="15705"/>
      <c r="BL52" s="3617"/>
      <c r="BM52" s="3585"/>
      <c r="BN52" s="3609"/>
      <c r="BO52" s="3618"/>
      <c r="BP52" s="3609"/>
      <c r="BQ52" s="3611"/>
      <c r="BR52" s="3609"/>
      <c r="BS52" s="3609"/>
      <c r="BT52" s="3609"/>
      <c r="BU52" s="3609"/>
      <c r="BV52" s="3609"/>
      <c r="BW52" s="3609"/>
      <c r="BX52" s="3609"/>
      <c r="BY52" s="3609"/>
      <c r="BZ52" s="3609"/>
      <c r="CA52" s="3609"/>
      <c r="CB52" s="3609"/>
      <c r="CC52" s="3609"/>
      <c r="CD52" s="3609"/>
      <c r="CE52" s="3609"/>
      <c r="CF52" s="3609"/>
      <c r="CG52" s="3609"/>
      <c r="CH52" s="3609"/>
      <c r="CI52" s="3609"/>
      <c r="CJ52" s="3609"/>
      <c r="CK52" s="3609"/>
      <c r="CL52" s="3609"/>
      <c r="CM52" s="3609"/>
      <c r="CN52" s="3609"/>
      <c r="CO52" s="3609"/>
      <c r="CP52" s="3609"/>
      <c r="CQ52" s="3609"/>
      <c r="CR52" s="3609"/>
      <c r="CS52" s="3609"/>
      <c r="CT52" s="3609"/>
      <c r="CU52" s="3609"/>
      <c r="CV52" s="3609"/>
      <c r="CW52" s="3609"/>
      <c r="CX52" s="3609"/>
      <c r="CY52" s="3609"/>
      <c r="CZ52" s="3609"/>
      <c r="DA52" s="3609"/>
      <c r="DB52" s="3609"/>
      <c r="DC52" s="3583"/>
      <c r="DD52" s="3584"/>
      <c r="DE52" s="3585"/>
      <c r="DF52" s="3585"/>
      <c r="DG52" s="3585"/>
      <c r="DH52" s="3585"/>
      <c r="DI52" s="3586"/>
      <c r="DJ52" s="3781"/>
      <c r="DK52" s="3770"/>
      <c r="DL52" s="3585"/>
      <c r="DM52" s="3586"/>
      <c r="DN52" s="3770"/>
      <c r="DO52" s="3585"/>
      <c r="DP52" s="3586"/>
      <c r="DQ52" s="3770"/>
      <c r="DR52" s="3586"/>
      <c r="DS52" s="3770"/>
      <c r="DT52" s="3585"/>
      <c r="DU52" s="3585"/>
      <c r="DV52" s="3585"/>
      <c r="DW52" s="3585"/>
      <c r="DX52" s="3585"/>
      <c r="DY52" s="3586"/>
      <c r="DZ52" s="3770"/>
      <c r="EA52" s="3585"/>
      <c r="EB52" s="3585"/>
      <c r="EC52" s="3585"/>
      <c r="ED52" s="3585"/>
      <c r="EE52" s="3585"/>
      <c r="EF52" s="3585"/>
      <c r="EG52" s="3585"/>
      <c r="EH52" s="3585"/>
      <c r="EI52" s="3585"/>
      <c r="EJ52" s="3585"/>
      <c r="EK52" s="3585"/>
      <c r="EL52" s="3585"/>
      <c r="EM52" s="3586"/>
      <c r="EN52" s="3770"/>
      <c r="EO52" s="3585"/>
      <c r="EP52" s="3585"/>
      <c r="EQ52" s="3585"/>
      <c r="ER52" s="3586"/>
      <c r="ES52" s="3770"/>
      <c r="ET52" s="3585"/>
      <c r="EU52" s="3585"/>
      <c r="EV52" s="3585"/>
      <c r="EW52" s="3586"/>
    </row>
    <row r="53" spans="1:153" s="3587" customFormat="1" ht="15" customHeight="1">
      <c r="A53" s="15593"/>
      <c r="B53" s="15577"/>
      <c r="C53" s="15595"/>
      <c r="D53" s="15583" t="s">
        <v>7805</v>
      </c>
      <c r="E53" s="3562" t="s">
        <v>1614</v>
      </c>
      <c r="F53" s="15583" t="s">
        <v>1614</v>
      </c>
      <c r="G53" s="15583" t="s">
        <v>1616</v>
      </c>
      <c r="H53" s="15583">
        <v>1</v>
      </c>
      <c r="I53" s="15583" t="s">
        <v>1615</v>
      </c>
      <c r="J53" s="3613" t="s">
        <v>2896</v>
      </c>
      <c r="K53" s="3577" t="s">
        <v>163</v>
      </c>
      <c r="L53" s="3617"/>
      <c r="M53" s="3562" t="s">
        <v>1523</v>
      </c>
      <c r="N53" s="3562" t="s">
        <v>1511</v>
      </c>
      <c r="O53" s="3562" t="s">
        <v>1617</v>
      </c>
      <c r="P53" s="3562">
        <v>1</v>
      </c>
      <c r="Q53" s="3562">
        <v>1</v>
      </c>
      <c r="R53" s="3565" t="s">
        <v>1732</v>
      </c>
      <c r="S53" s="3567" t="s">
        <v>3896</v>
      </c>
      <c r="T53" s="3567"/>
      <c r="U53" s="3575"/>
      <c r="V53" s="3569" t="s">
        <v>3897</v>
      </c>
      <c r="W53" s="3569"/>
      <c r="X53" s="3569"/>
      <c r="Y53" s="3569"/>
      <c r="Z53" s="3575"/>
      <c r="AA53" s="3575"/>
      <c r="AB53" s="3575"/>
      <c r="AC53" s="3575"/>
      <c r="AD53" s="3575"/>
      <c r="AE53" s="3575"/>
      <c r="AF53" s="3575"/>
      <c r="AG53" s="3575"/>
      <c r="AH53" s="3575"/>
      <c r="AI53" s="3575"/>
      <c r="AJ53" s="3575"/>
      <c r="AK53" s="3575"/>
      <c r="AL53" s="3575"/>
      <c r="AM53" s="3575"/>
      <c r="AN53" s="3575"/>
      <c r="AO53" s="3575"/>
      <c r="AP53" s="3575"/>
      <c r="AQ53" s="3575"/>
      <c r="AR53" s="3575"/>
      <c r="AS53" s="3575"/>
      <c r="AT53" s="3575"/>
      <c r="AU53" s="3575"/>
      <c r="AV53" s="3575"/>
      <c r="AW53" s="3575"/>
      <c r="AX53" s="3575"/>
      <c r="AY53" s="3575"/>
      <c r="AZ53" s="3575"/>
      <c r="BA53" s="3575"/>
      <c r="BB53" s="3575"/>
      <c r="BC53" s="3575"/>
      <c r="BD53" s="3575"/>
      <c r="BE53" s="3575"/>
      <c r="BF53" s="3575"/>
      <c r="BG53" s="3575"/>
      <c r="BH53" s="3575"/>
      <c r="BI53" s="3575"/>
      <c r="BJ53" s="3576" t="s">
        <v>2951</v>
      </c>
      <c r="BK53" s="15705"/>
      <c r="BL53" s="3577" t="s">
        <v>8799</v>
      </c>
      <c r="BM53" s="3567"/>
      <c r="BN53" s="3581"/>
      <c r="BO53" s="3612">
        <v>0</v>
      </c>
      <c r="BP53" s="3581">
        <v>0</v>
      </c>
      <c r="BQ53" s="3582">
        <v>0</v>
      </c>
      <c r="BR53" s="3581">
        <v>0</v>
      </c>
      <c r="BS53" s="3581">
        <v>0</v>
      </c>
      <c r="BT53" s="3581">
        <v>0</v>
      </c>
      <c r="BU53" s="3581">
        <v>0</v>
      </c>
      <c r="BV53" s="3581">
        <v>0</v>
      </c>
      <c r="BW53" s="3581">
        <v>0</v>
      </c>
      <c r="BX53" s="3581">
        <v>0</v>
      </c>
      <c r="BY53" s="3581">
        <v>0</v>
      </c>
      <c r="BZ53" s="3581">
        <v>0</v>
      </c>
      <c r="CA53" s="3581">
        <v>0</v>
      </c>
      <c r="CB53" s="3581">
        <v>0</v>
      </c>
      <c r="CC53" s="3581">
        <v>0</v>
      </c>
      <c r="CD53" s="3581">
        <v>0</v>
      </c>
      <c r="CE53" s="3581">
        <v>0</v>
      </c>
      <c r="CF53" s="3581">
        <v>0</v>
      </c>
      <c r="CG53" s="3581"/>
      <c r="CH53" s="3581"/>
      <c r="CI53" s="3581"/>
      <c r="CJ53" s="3581"/>
      <c r="CK53" s="3581"/>
      <c r="CL53" s="3581"/>
      <c r="CM53" s="3581"/>
      <c r="CN53" s="3581"/>
      <c r="CO53" s="3581"/>
      <c r="CP53" s="3581"/>
      <c r="CQ53" s="3581"/>
      <c r="CR53" s="3581"/>
      <c r="CS53" s="3581"/>
      <c r="CT53" s="3581"/>
      <c r="CU53" s="3581"/>
      <c r="CV53" s="3581"/>
      <c r="CW53" s="3581"/>
      <c r="CX53" s="3581"/>
      <c r="CY53" s="3581"/>
      <c r="CZ53" s="3581"/>
      <c r="DA53" s="3581"/>
      <c r="DB53" s="3581"/>
      <c r="DC53" s="3583"/>
      <c r="DD53" s="3584"/>
      <c r="DE53" s="3585"/>
      <c r="DF53" s="3585"/>
      <c r="DG53" s="3585"/>
      <c r="DH53" s="3585"/>
      <c r="DI53" s="3586"/>
      <c r="DJ53" s="3781"/>
      <c r="DK53" s="3770"/>
      <c r="DL53" s="3585"/>
      <c r="DM53" s="3586"/>
      <c r="DN53" s="3770"/>
      <c r="DO53" s="3585"/>
      <c r="DP53" s="3586"/>
      <c r="DQ53" s="3770"/>
      <c r="DR53" s="3586"/>
      <c r="DS53" s="3770"/>
      <c r="DT53" s="3585"/>
      <c r="DU53" s="3585"/>
      <c r="DV53" s="3585"/>
      <c r="DW53" s="3585"/>
      <c r="DX53" s="3585"/>
      <c r="DY53" s="3586"/>
      <c r="DZ53" s="3770"/>
      <c r="EA53" s="3585"/>
      <c r="EB53" s="3585"/>
      <c r="EC53" s="3585"/>
      <c r="ED53" s="3585"/>
      <c r="EE53" s="3585"/>
      <c r="EF53" s="3585"/>
      <c r="EG53" s="3585"/>
      <c r="EH53" s="3585"/>
      <c r="EI53" s="3585"/>
      <c r="EJ53" s="3585"/>
      <c r="EK53" s="3585"/>
      <c r="EL53" s="3585"/>
      <c r="EM53" s="3586"/>
      <c r="EN53" s="3770"/>
      <c r="EO53" s="3585"/>
      <c r="EP53" s="3585"/>
      <c r="EQ53" s="3585"/>
      <c r="ER53" s="3586"/>
      <c r="ES53" s="3770"/>
      <c r="ET53" s="3585"/>
      <c r="EU53" s="3585"/>
      <c r="EV53" s="3585"/>
      <c r="EW53" s="3586"/>
    </row>
    <row r="54" spans="1:153" s="3587" customFormat="1" ht="15" customHeight="1">
      <c r="A54" s="15593"/>
      <c r="B54" s="15577"/>
      <c r="C54" s="15595"/>
      <c r="D54" s="15584"/>
      <c r="E54" s="3564"/>
      <c r="F54" s="15584"/>
      <c r="G54" s="15584"/>
      <c r="H54" s="15584"/>
      <c r="I54" s="15584"/>
      <c r="J54" s="3613" t="s">
        <v>10063</v>
      </c>
      <c r="K54" s="3617"/>
      <c r="L54" s="3617" t="s">
        <v>79</v>
      </c>
      <c r="M54" s="3564"/>
      <c r="N54" s="3564"/>
      <c r="O54" s="3603"/>
      <c r="P54" s="3603"/>
      <c r="Q54" s="3604"/>
      <c r="R54" s="3614"/>
      <c r="S54" s="3615"/>
      <c r="T54" s="3585"/>
      <c r="U54" s="3585"/>
      <c r="V54" s="3616"/>
      <c r="W54" s="3616"/>
      <c r="X54" s="3616"/>
      <c r="Y54" s="3616"/>
      <c r="Z54" s="3585"/>
      <c r="AA54" s="3585"/>
      <c r="AB54" s="3585"/>
      <c r="AC54" s="3585"/>
      <c r="AD54" s="3585"/>
      <c r="AE54" s="3585"/>
      <c r="AF54" s="3585"/>
      <c r="AG54" s="3585"/>
      <c r="AH54" s="3585"/>
      <c r="AI54" s="3585"/>
      <c r="AJ54" s="3585"/>
      <c r="AK54" s="3585"/>
      <c r="AL54" s="3585"/>
      <c r="AM54" s="3585"/>
      <c r="AN54" s="3585"/>
      <c r="AO54" s="3585"/>
      <c r="AP54" s="3585"/>
      <c r="AQ54" s="3585"/>
      <c r="AR54" s="3585"/>
      <c r="AS54" s="3585"/>
      <c r="AT54" s="3585"/>
      <c r="AU54" s="3585"/>
      <c r="AV54" s="3585"/>
      <c r="AW54" s="3585"/>
      <c r="AX54" s="3585"/>
      <c r="AY54" s="3585"/>
      <c r="AZ54" s="3585"/>
      <c r="BA54" s="3585"/>
      <c r="BB54" s="3585"/>
      <c r="BC54" s="3585"/>
      <c r="BD54" s="3585"/>
      <c r="BE54" s="3585"/>
      <c r="BF54" s="3585"/>
      <c r="BG54" s="3585"/>
      <c r="BH54" s="3585"/>
      <c r="BI54" s="3585"/>
      <c r="BJ54" s="3607"/>
      <c r="BK54" s="15705"/>
      <c r="BL54" s="3617"/>
      <c r="BM54" s="3585"/>
      <c r="BN54" s="3609"/>
      <c r="BO54" s="3618"/>
      <c r="BP54" s="3609"/>
      <c r="BQ54" s="3611"/>
      <c r="BR54" s="3609"/>
      <c r="BS54" s="3609"/>
      <c r="BT54" s="3609"/>
      <c r="BU54" s="3609"/>
      <c r="BV54" s="3609"/>
      <c r="BW54" s="3609"/>
      <c r="BX54" s="3609"/>
      <c r="BY54" s="3609"/>
      <c r="BZ54" s="3609"/>
      <c r="CA54" s="3609"/>
      <c r="CB54" s="3609"/>
      <c r="CC54" s="3609"/>
      <c r="CD54" s="3609"/>
      <c r="CE54" s="3609"/>
      <c r="CF54" s="3609"/>
      <c r="CG54" s="3609"/>
      <c r="CH54" s="3609"/>
      <c r="CI54" s="3609"/>
      <c r="CJ54" s="3609"/>
      <c r="CK54" s="3609"/>
      <c r="CL54" s="3609"/>
      <c r="CM54" s="3609"/>
      <c r="CN54" s="3609"/>
      <c r="CO54" s="3609"/>
      <c r="CP54" s="3609"/>
      <c r="CQ54" s="3609"/>
      <c r="CR54" s="3609"/>
      <c r="CS54" s="3609"/>
      <c r="CT54" s="3609"/>
      <c r="CU54" s="3609"/>
      <c r="CV54" s="3609"/>
      <c r="CW54" s="3609"/>
      <c r="CX54" s="3609"/>
      <c r="CY54" s="3609"/>
      <c r="CZ54" s="3609"/>
      <c r="DA54" s="3609"/>
      <c r="DB54" s="3609"/>
      <c r="DC54" s="3583"/>
      <c r="DD54" s="3584"/>
      <c r="DE54" s="3585"/>
      <c r="DF54" s="3585"/>
      <c r="DG54" s="3585"/>
      <c r="DH54" s="3585"/>
      <c r="DI54" s="3586"/>
      <c r="DJ54" s="3781"/>
      <c r="DK54" s="3770"/>
      <c r="DL54" s="3585"/>
      <c r="DM54" s="3586"/>
      <c r="DN54" s="3770"/>
      <c r="DO54" s="3585"/>
      <c r="DP54" s="3586"/>
      <c r="DQ54" s="3770"/>
      <c r="DR54" s="3586"/>
      <c r="DS54" s="3770"/>
      <c r="DT54" s="3585"/>
      <c r="DU54" s="3585"/>
      <c r="DV54" s="3585"/>
      <c r="DW54" s="3585"/>
      <c r="DX54" s="3585"/>
      <c r="DY54" s="3586"/>
      <c r="DZ54" s="3770"/>
      <c r="EA54" s="3585"/>
      <c r="EB54" s="3585"/>
      <c r="EC54" s="3585"/>
      <c r="ED54" s="3585"/>
      <c r="EE54" s="3585"/>
      <c r="EF54" s="3585"/>
      <c r="EG54" s="3585"/>
      <c r="EH54" s="3585"/>
      <c r="EI54" s="3585"/>
      <c r="EJ54" s="3585"/>
      <c r="EK54" s="3585"/>
      <c r="EL54" s="3585"/>
      <c r="EM54" s="3586"/>
      <c r="EN54" s="3770"/>
      <c r="EO54" s="3585"/>
      <c r="EP54" s="3585"/>
      <c r="EQ54" s="3585"/>
      <c r="ER54" s="3586"/>
      <c r="ES54" s="3770"/>
      <c r="ET54" s="3585"/>
      <c r="EU54" s="3585"/>
      <c r="EV54" s="3585"/>
      <c r="EW54" s="3586"/>
    </row>
    <row r="55" spans="1:153" s="3587" customFormat="1" ht="15" customHeight="1">
      <c r="A55" s="15593"/>
      <c r="B55" s="15577"/>
      <c r="C55" s="15595"/>
      <c r="D55" s="15584"/>
      <c r="E55" s="3564"/>
      <c r="F55" s="15584"/>
      <c r="G55" s="15584"/>
      <c r="H55" s="15584"/>
      <c r="I55" s="15584"/>
      <c r="J55" s="3613" t="s">
        <v>329</v>
      </c>
      <c r="K55" s="3617"/>
      <c r="L55" s="3617" t="s">
        <v>10195</v>
      </c>
      <c r="M55" s="3564"/>
      <c r="N55" s="3564"/>
      <c r="O55" s="3603"/>
      <c r="P55" s="3603"/>
      <c r="Q55" s="3604"/>
      <c r="R55" s="3614"/>
      <c r="S55" s="3615"/>
      <c r="T55" s="3585"/>
      <c r="U55" s="3585"/>
      <c r="V55" s="3616"/>
      <c r="W55" s="3616"/>
      <c r="X55" s="3616"/>
      <c r="Y55" s="3616"/>
      <c r="Z55" s="3585"/>
      <c r="AA55" s="3585"/>
      <c r="AB55" s="3585"/>
      <c r="AC55" s="3585"/>
      <c r="AD55" s="3585"/>
      <c r="AE55" s="3585"/>
      <c r="AF55" s="3585"/>
      <c r="AG55" s="3585"/>
      <c r="AH55" s="3585"/>
      <c r="AI55" s="3585"/>
      <c r="AJ55" s="3585"/>
      <c r="AK55" s="3585"/>
      <c r="AL55" s="3585"/>
      <c r="AM55" s="3585"/>
      <c r="AN55" s="3585"/>
      <c r="AO55" s="3585"/>
      <c r="AP55" s="3585"/>
      <c r="AQ55" s="3585"/>
      <c r="AR55" s="3585"/>
      <c r="AS55" s="3585"/>
      <c r="AT55" s="3585"/>
      <c r="AU55" s="3585"/>
      <c r="AV55" s="3585"/>
      <c r="AW55" s="3585"/>
      <c r="AX55" s="3585"/>
      <c r="AY55" s="3585"/>
      <c r="AZ55" s="3585"/>
      <c r="BA55" s="3585"/>
      <c r="BB55" s="3585"/>
      <c r="BC55" s="3585"/>
      <c r="BD55" s="3585"/>
      <c r="BE55" s="3585"/>
      <c r="BF55" s="3585"/>
      <c r="BG55" s="3585"/>
      <c r="BH55" s="3585"/>
      <c r="BI55" s="3585"/>
      <c r="BJ55" s="3607"/>
      <c r="BK55" s="15705"/>
      <c r="BL55" s="3617"/>
      <c r="BM55" s="3585"/>
      <c r="BN55" s="3609"/>
      <c r="BO55" s="3618"/>
      <c r="BP55" s="3609"/>
      <c r="BQ55" s="3611"/>
      <c r="BR55" s="3609"/>
      <c r="BS55" s="3609"/>
      <c r="BT55" s="3609"/>
      <c r="BU55" s="3609"/>
      <c r="BV55" s="3609"/>
      <c r="BW55" s="3609"/>
      <c r="BX55" s="3609"/>
      <c r="BY55" s="3609"/>
      <c r="BZ55" s="3609"/>
      <c r="CA55" s="3609"/>
      <c r="CB55" s="3609"/>
      <c r="CC55" s="3609"/>
      <c r="CD55" s="3609"/>
      <c r="CE55" s="3609"/>
      <c r="CF55" s="3609"/>
      <c r="CG55" s="3609"/>
      <c r="CH55" s="3609"/>
      <c r="CI55" s="3609"/>
      <c r="CJ55" s="3609"/>
      <c r="CK55" s="3609"/>
      <c r="CL55" s="3609"/>
      <c r="CM55" s="3609"/>
      <c r="CN55" s="3609"/>
      <c r="CO55" s="3609"/>
      <c r="CP55" s="3609"/>
      <c r="CQ55" s="3609"/>
      <c r="CR55" s="3609"/>
      <c r="CS55" s="3609"/>
      <c r="CT55" s="3609"/>
      <c r="CU55" s="3609"/>
      <c r="CV55" s="3609"/>
      <c r="CW55" s="3609"/>
      <c r="CX55" s="3609"/>
      <c r="CY55" s="3609"/>
      <c r="CZ55" s="3609"/>
      <c r="DA55" s="3609"/>
      <c r="DB55" s="3609"/>
      <c r="DC55" s="3583"/>
      <c r="DD55" s="3584"/>
      <c r="DE55" s="3585"/>
      <c r="DF55" s="3585"/>
      <c r="DG55" s="3585"/>
      <c r="DH55" s="3585"/>
      <c r="DI55" s="3586"/>
      <c r="DJ55" s="3781"/>
      <c r="DK55" s="3770"/>
      <c r="DL55" s="3585"/>
      <c r="DM55" s="3586"/>
      <c r="DN55" s="3770"/>
      <c r="DO55" s="3585"/>
      <c r="DP55" s="3586"/>
      <c r="DQ55" s="3770"/>
      <c r="DR55" s="3586"/>
      <c r="DS55" s="3770"/>
      <c r="DT55" s="3585"/>
      <c r="DU55" s="3585"/>
      <c r="DV55" s="3585"/>
      <c r="DW55" s="3585"/>
      <c r="DX55" s="3585"/>
      <c r="DY55" s="3586"/>
      <c r="DZ55" s="3770"/>
      <c r="EA55" s="3585"/>
      <c r="EB55" s="3585"/>
      <c r="EC55" s="3585"/>
      <c r="ED55" s="3585"/>
      <c r="EE55" s="3585"/>
      <c r="EF55" s="3585"/>
      <c r="EG55" s="3585"/>
      <c r="EH55" s="3585"/>
      <c r="EI55" s="3585"/>
      <c r="EJ55" s="3585"/>
      <c r="EK55" s="3585"/>
      <c r="EL55" s="3585"/>
      <c r="EM55" s="3586"/>
      <c r="EN55" s="3770"/>
      <c r="EO55" s="3585"/>
      <c r="EP55" s="3585"/>
      <c r="EQ55" s="3585"/>
      <c r="ER55" s="3586"/>
      <c r="ES55" s="3770"/>
      <c r="ET55" s="3585"/>
      <c r="EU55" s="3585"/>
      <c r="EV55" s="3585"/>
      <c r="EW55" s="3586"/>
    </row>
    <row r="56" spans="1:153" s="3587" customFormat="1" ht="15" customHeight="1" thickBot="1">
      <c r="A56" s="15592"/>
      <c r="B56" s="15577"/>
      <c r="C56" s="15594"/>
      <c r="D56" s="15585"/>
      <c r="E56" s="3562"/>
      <c r="F56" s="15585"/>
      <c r="G56" s="15585"/>
      <c r="H56" s="15585"/>
      <c r="I56" s="15585"/>
      <c r="J56" s="3602" t="s">
        <v>10194</v>
      </c>
      <c r="K56" s="3577"/>
      <c r="L56" s="3577" t="s">
        <v>733</v>
      </c>
      <c r="M56" s="3562"/>
      <c r="N56" s="3562"/>
      <c r="O56" s="3562"/>
      <c r="P56" s="3562"/>
      <c r="Q56" s="3562"/>
      <c r="R56" s="3565"/>
      <c r="S56" s="3567"/>
      <c r="T56" s="3567"/>
      <c r="U56" s="3575"/>
      <c r="V56" s="3569"/>
      <c r="W56" s="3569"/>
      <c r="X56" s="3569"/>
      <c r="Y56" s="3569"/>
      <c r="Z56" s="3575"/>
      <c r="AA56" s="3575"/>
      <c r="AB56" s="3575"/>
      <c r="AC56" s="3575"/>
      <c r="AD56" s="3575"/>
      <c r="AE56" s="3575"/>
      <c r="AF56" s="3575"/>
      <c r="AG56" s="3575"/>
      <c r="AH56" s="3575"/>
      <c r="AI56" s="3575"/>
      <c r="AJ56" s="3575"/>
      <c r="AK56" s="3575"/>
      <c r="AL56" s="3575"/>
      <c r="AM56" s="3575"/>
      <c r="AN56" s="3575"/>
      <c r="AO56" s="3575"/>
      <c r="AP56" s="3575"/>
      <c r="AQ56" s="3575"/>
      <c r="AR56" s="3575"/>
      <c r="AS56" s="3575"/>
      <c r="AT56" s="3575"/>
      <c r="AU56" s="3575"/>
      <c r="AV56" s="3575"/>
      <c r="AW56" s="3575"/>
      <c r="AX56" s="3575"/>
      <c r="AY56" s="3575"/>
      <c r="AZ56" s="3575"/>
      <c r="BA56" s="3575"/>
      <c r="BB56" s="3575"/>
      <c r="BC56" s="3575"/>
      <c r="BD56" s="3575"/>
      <c r="BE56" s="3575"/>
      <c r="BF56" s="3575"/>
      <c r="BG56" s="3575"/>
      <c r="BH56" s="3575"/>
      <c r="BI56" s="3575"/>
      <c r="BJ56" s="3576"/>
      <c r="BK56" s="15706"/>
      <c r="BL56" s="3577"/>
      <c r="BM56" s="3567"/>
      <c r="BN56" s="3581"/>
      <c r="BO56" s="3612"/>
      <c r="BP56" s="3581"/>
      <c r="BQ56" s="3582"/>
      <c r="BR56" s="3581"/>
      <c r="BS56" s="3581"/>
      <c r="BT56" s="3581"/>
      <c r="BU56" s="3581"/>
      <c r="BV56" s="3581"/>
      <c r="BW56" s="3581"/>
      <c r="BX56" s="3581"/>
      <c r="BY56" s="3581"/>
      <c r="BZ56" s="3581"/>
      <c r="CA56" s="3581"/>
      <c r="CB56" s="3581"/>
      <c r="CC56" s="3581"/>
      <c r="CD56" s="3581"/>
      <c r="CE56" s="3581"/>
      <c r="CF56" s="3581"/>
      <c r="CG56" s="3581"/>
      <c r="CH56" s="3581"/>
      <c r="CI56" s="3581"/>
      <c r="CJ56" s="3581"/>
      <c r="CK56" s="3581"/>
      <c r="CL56" s="3581"/>
      <c r="CM56" s="3581"/>
      <c r="CN56" s="3581"/>
      <c r="CO56" s="3581"/>
      <c r="CP56" s="3581"/>
      <c r="CQ56" s="3581"/>
      <c r="CR56" s="3581"/>
      <c r="CS56" s="3581"/>
      <c r="CT56" s="3581"/>
      <c r="CU56" s="3581"/>
      <c r="CV56" s="3581"/>
      <c r="CW56" s="3581"/>
      <c r="CX56" s="3581"/>
      <c r="CY56" s="3581"/>
      <c r="CZ56" s="3581"/>
      <c r="DA56" s="3581"/>
      <c r="DB56" s="3581"/>
      <c r="DC56" s="3583"/>
      <c r="DD56" s="3822"/>
      <c r="DE56" s="3823"/>
      <c r="DF56" s="3823"/>
      <c r="DG56" s="3823"/>
      <c r="DH56" s="3823"/>
      <c r="DI56" s="3824"/>
      <c r="DJ56" s="3825"/>
      <c r="DK56" s="3826"/>
      <c r="DL56" s="3823"/>
      <c r="DM56" s="3824"/>
      <c r="DN56" s="3826"/>
      <c r="DO56" s="3823"/>
      <c r="DP56" s="3824"/>
      <c r="DQ56" s="3826"/>
      <c r="DR56" s="3824"/>
      <c r="DS56" s="3826"/>
      <c r="DT56" s="3823"/>
      <c r="DU56" s="3823"/>
      <c r="DV56" s="3823"/>
      <c r="DW56" s="3823"/>
      <c r="DX56" s="3823"/>
      <c r="DY56" s="3824"/>
      <c r="DZ56" s="3826"/>
      <c r="EA56" s="3823"/>
      <c r="EB56" s="3823"/>
      <c r="EC56" s="3823"/>
      <c r="ED56" s="3823"/>
      <c r="EE56" s="3823"/>
      <c r="EF56" s="3823"/>
      <c r="EG56" s="3823"/>
      <c r="EH56" s="3823"/>
      <c r="EI56" s="3823"/>
      <c r="EJ56" s="3823"/>
      <c r="EK56" s="3823"/>
      <c r="EL56" s="3823"/>
      <c r="EM56" s="3824"/>
      <c r="EN56" s="3826"/>
      <c r="EO56" s="3823"/>
      <c r="EP56" s="3823"/>
      <c r="EQ56" s="3823"/>
      <c r="ER56" s="3824"/>
      <c r="ES56" s="3826"/>
      <c r="ET56" s="3823"/>
      <c r="EU56" s="3823"/>
      <c r="EV56" s="3823"/>
      <c r="EW56" s="3824"/>
    </row>
    <row r="57" spans="1:153" s="1775" customFormat="1" ht="15" customHeight="1">
      <c r="A57" s="15573" t="s">
        <v>1618</v>
      </c>
      <c r="B57" s="15577"/>
      <c r="C57" s="15576" t="s">
        <v>1619</v>
      </c>
      <c r="D57" s="15565" t="s">
        <v>7807</v>
      </c>
      <c r="E57" s="3619" t="s">
        <v>1620</v>
      </c>
      <c r="F57" s="15565" t="s">
        <v>1620</v>
      </c>
      <c r="G57" s="15565" t="s">
        <v>1622</v>
      </c>
      <c r="H57" s="15579">
        <v>1</v>
      </c>
      <c r="I57" s="15565" t="s">
        <v>1621</v>
      </c>
      <c r="J57" s="3644" t="s">
        <v>2896</v>
      </c>
      <c r="K57" s="3909" t="s">
        <v>163</v>
      </c>
      <c r="L57" s="3909"/>
      <c r="M57" s="3619" t="s">
        <v>1523</v>
      </c>
      <c r="N57" s="3619" t="s">
        <v>1511</v>
      </c>
      <c r="O57" s="3619" t="s">
        <v>1617</v>
      </c>
      <c r="P57" s="3622">
        <v>0.1</v>
      </c>
      <c r="Q57" s="3622">
        <v>0.5</v>
      </c>
      <c r="R57" s="3623" t="s">
        <v>1732</v>
      </c>
      <c r="S57" s="3624"/>
      <c r="T57" s="3625"/>
      <c r="U57" s="3626" t="s">
        <v>3898</v>
      </c>
      <c r="V57" s="3627"/>
      <c r="W57" s="3627"/>
      <c r="X57" s="3627"/>
      <c r="Y57" s="3627"/>
      <c r="Z57" s="3625"/>
      <c r="AA57" s="3625"/>
      <c r="AB57" s="3625"/>
      <c r="AC57" s="3625"/>
      <c r="AD57" s="3625"/>
      <c r="AE57" s="3625"/>
      <c r="AF57" s="3625"/>
      <c r="AG57" s="3625"/>
      <c r="AH57" s="3625"/>
      <c r="AI57" s="3625"/>
      <c r="AJ57" s="3625"/>
      <c r="AK57" s="3625"/>
      <c r="AL57" s="3625"/>
      <c r="AM57" s="3625"/>
      <c r="AN57" s="3625"/>
      <c r="AO57" s="3625"/>
      <c r="AP57" s="3625"/>
      <c r="AQ57" s="3625"/>
      <c r="AR57" s="3625"/>
      <c r="AS57" s="3625"/>
      <c r="AT57" s="3625"/>
      <c r="AU57" s="3625"/>
      <c r="AV57" s="3625"/>
      <c r="AW57" s="3625"/>
      <c r="AX57" s="3625"/>
      <c r="AY57" s="3625"/>
      <c r="AZ57" s="3625"/>
      <c r="BA57" s="3625"/>
      <c r="BB57" s="3625"/>
      <c r="BC57" s="3625"/>
      <c r="BD57" s="3625"/>
      <c r="BE57" s="3625"/>
      <c r="BF57" s="3625"/>
      <c r="BG57" s="3625"/>
      <c r="BH57" s="3625"/>
      <c r="BI57" s="3625"/>
      <c r="BJ57" s="1761">
        <v>1</v>
      </c>
      <c r="BK57" s="15709">
        <f>AVERAGE(BJ57:BJ65)</f>
        <v>0.71249999999999991</v>
      </c>
      <c r="BL57" s="3628" t="s">
        <v>8800</v>
      </c>
      <c r="BM57" s="3619" t="s">
        <v>8801</v>
      </c>
      <c r="BN57" s="3629" t="s">
        <v>8802</v>
      </c>
      <c r="BO57" s="3630">
        <v>0</v>
      </c>
      <c r="BP57" s="3449">
        <v>0</v>
      </c>
      <c r="BQ57" s="3631">
        <v>0</v>
      </c>
      <c r="BR57" s="3449">
        <v>0</v>
      </c>
      <c r="BS57" s="3449">
        <v>0</v>
      </c>
      <c r="BT57" s="3449">
        <v>0</v>
      </c>
      <c r="BU57" s="3449">
        <v>0</v>
      </c>
      <c r="BV57" s="3449">
        <v>0</v>
      </c>
      <c r="BW57" s="3449">
        <v>0</v>
      </c>
      <c r="BX57" s="3449">
        <v>0</v>
      </c>
      <c r="BY57" s="3449">
        <v>0</v>
      </c>
      <c r="BZ57" s="3449">
        <v>0</v>
      </c>
      <c r="CA57" s="3449">
        <v>0</v>
      </c>
      <c r="CB57" s="3449">
        <v>0</v>
      </c>
      <c r="CC57" s="3449">
        <v>0</v>
      </c>
      <c r="CD57" s="3449">
        <v>0</v>
      </c>
      <c r="CE57" s="3449">
        <v>0</v>
      </c>
      <c r="CF57" s="3449">
        <v>0</v>
      </c>
      <c r="CG57" s="3449"/>
      <c r="CH57" s="3449"/>
      <c r="CI57" s="3449"/>
      <c r="CJ57" s="3449"/>
      <c r="CK57" s="3449"/>
      <c r="CL57" s="3449"/>
      <c r="CM57" s="3449"/>
      <c r="CN57" s="3449"/>
      <c r="CO57" s="3449"/>
      <c r="CP57" s="3449"/>
      <c r="CQ57" s="3449"/>
      <c r="CR57" s="3449"/>
      <c r="CS57" s="3449"/>
      <c r="CT57" s="3449"/>
      <c r="CU57" s="3449"/>
      <c r="CV57" s="3449"/>
      <c r="CW57" s="3449"/>
      <c r="CX57" s="3449"/>
      <c r="CY57" s="3449"/>
      <c r="CZ57" s="3449"/>
      <c r="DA57" s="3449"/>
      <c r="DB57" s="3449"/>
      <c r="DC57" s="1919"/>
      <c r="DD57" s="3819"/>
      <c r="DE57" s="1917"/>
      <c r="DF57" s="1917"/>
      <c r="DG57" s="1917"/>
      <c r="DH57" s="1917"/>
      <c r="DI57" s="1918"/>
      <c r="DJ57" s="3820"/>
      <c r="DK57" s="3821"/>
      <c r="DL57" s="1917"/>
      <c r="DM57" s="1918"/>
      <c r="DN57" s="3821"/>
      <c r="DO57" s="1917"/>
      <c r="DP57" s="1918"/>
      <c r="DQ57" s="3821"/>
      <c r="DR57" s="1918"/>
      <c r="DS57" s="3821"/>
      <c r="DT57" s="1917"/>
      <c r="DU57" s="1917"/>
      <c r="DV57" s="1917"/>
      <c r="DW57" s="1917"/>
      <c r="DX57" s="1917"/>
      <c r="DY57" s="1918"/>
      <c r="DZ57" s="3821"/>
      <c r="EA57" s="1917"/>
      <c r="EB57" s="1917"/>
      <c r="EC57" s="1917"/>
      <c r="ED57" s="1917"/>
      <c r="EE57" s="1917"/>
      <c r="EF57" s="1917"/>
      <c r="EG57" s="1917"/>
      <c r="EH57" s="1917"/>
      <c r="EI57" s="1917"/>
      <c r="EJ57" s="1917"/>
      <c r="EK57" s="1917"/>
      <c r="EL57" s="1917"/>
      <c r="EM57" s="1918"/>
      <c r="EN57" s="3821"/>
      <c r="EO57" s="1917"/>
      <c r="EP57" s="1917"/>
      <c r="EQ57" s="1917"/>
      <c r="ER57" s="1918"/>
      <c r="ES57" s="3821"/>
      <c r="ET57" s="1917"/>
      <c r="EU57" s="1917"/>
      <c r="EV57" s="1917"/>
      <c r="EW57" s="1918"/>
    </row>
    <row r="58" spans="1:153" s="1775" customFormat="1" ht="15" customHeight="1">
      <c r="A58" s="15574"/>
      <c r="B58" s="15577"/>
      <c r="C58" s="15577"/>
      <c r="D58" s="15565"/>
      <c r="E58" s="3619"/>
      <c r="F58" s="15565"/>
      <c r="G58" s="15565"/>
      <c r="H58" s="15579"/>
      <c r="I58" s="15565"/>
      <c r="J58" s="3046" t="s">
        <v>10067</v>
      </c>
      <c r="K58" s="3909"/>
      <c r="L58" s="3909" t="s">
        <v>1624</v>
      </c>
      <c r="M58" s="3619"/>
      <c r="N58" s="3619"/>
      <c r="O58" s="3619"/>
      <c r="P58" s="3622"/>
      <c r="Q58" s="3622"/>
      <c r="R58" s="3623"/>
      <c r="S58" s="3624"/>
      <c r="T58" s="3625"/>
      <c r="U58" s="3626"/>
      <c r="V58" s="3627"/>
      <c r="W58" s="3627"/>
      <c r="X58" s="3627"/>
      <c r="Y58" s="3627"/>
      <c r="Z58" s="3625"/>
      <c r="AA58" s="3625"/>
      <c r="AB58" s="3625"/>
      <c r="AC58" s="3625"/>
      <c r="AD58" s="3625"/>
      <c r="AE58" s="3625"/>
      <c r="AF58" s="3625"/>
      <c r="AG58" s="3625"/>
      <c r="AH58" s="3625"/>
      <c r="AI58" s="3625"/>
      <c r="AJ58" s="3625"/>
      <c r="AK58" s="3625"/>
      <c r="AL58" s="3625"/>
      <c r="AM58" s="3625"/>
      <c r="AN58" s="3625"/>
      <c r="AO58" s="3625"/>
      <c r="AP58" s="3625"/>
      <c r="AQ58" s="3625"/>
      <c r="AR58" s="3625"/>
      <c r="AS58" s="3625"/>
      <c r="AT58" s="3625"/>
      <c r="AU58" s="3625"/>
      <c r="AV58" s="3625"/>
      <c r="AW58" s="3625"/>
      <c r="AX58" s="3625"/>
      <c r="AY58" s="3625"/>
      <c r="AZ58" s="3625"/>
      <c r="BA58" s="3625"/>
      <c r="BB58" s="3625"/>
      <c r="BC58" s="3625"/>
      <c r="BD58" s="3625"/>
      <c r="BE58" s="3625"/>
      <c r="BF58" s="3625"/>
      <c r="BG58" s="3625"/>
      <c r="BH58" s="3625"/>
      <c r="BI58" s="3625"/>
      <c r="BJ58" s="1761">
        <v>1</v>
      </c>
      <c r="BK58" s="15710"/>
      <c r="BL58" s="3633" t="s">
        <v>8803</v>
      </c>
      <c r="BM58" s="3634" t="s">
        <v>8804</v>
      </c>
      <c r="BN58" s="3635"/>
      <c r="BO58" s="3636">
        <v>0</v>
      </c>
      <c r="BP58" s="3636">
        <v>0</v>
      </c>
      <c r="BQ58" s="3636">
        <v>0</v>
      </c>
      <c r="BR58" s="3636">
        <v>0</v>
      </c>
      <c r="BS58" s="3636">
        <v>0</v>
      </c>
      <c r="BT58" s="3636">
        <v>0</v>
      </c>
      <c r="BU58" s="3636">
        <v>0</v>
      </c>
      <c r="BV58" s="3636">
        <v>0</v>
      </c>
      <c r="BW58" s="3636">
        <v>0</v>
      </c>
      <c r="BX58" s="3636">
        <v>0</v>
      </c>
      <c r="BY58" s="3636">
        <v>0</v>
      </c>
      <c r="BZ58" s="3636">
        <v>0</v>
      </c>
      <c r="CA58" s="3636">
        <v>0</v>
      </c>
      <c r="CB58" s="3636">
        <v>0</v>
      </c>
      <c r="CC58" s="3636">
        <v>0</v>
      </c>
      <c r="CD58" s="3636">
        <v>0</v>
      </c>
      <c r="CE58" s="3636">
        <v>0</v>
      </c>
      <c r="CF58" s="3636">
        <v>0</v>
      </c>
      <c r="CG58" s="3636"/>
      <c r="CH58" s="3636"/>
      <c r="CI58" s="3636"/>
      <c r="CJ58" s="3636"/>
      <c r="CK58" s="3636"/>
      <c r="CL58" s="3636"/>
      <c r="CM58" s="3636"/>
      <c r="CN58" s="3636"/>
      <c r="CO58" s="3636"/>
      <c r="CP58" s="3636"/>
      <c r="CQ58" s="3636"/>
      <c r="CR58" s="3636"/>
      <c r="CS58" s="3636"/>
      <c r="CT58" s="3636"/>
      <c r="CU58" s="3636"/>
      <c r="CV58" s="3636"/>
      <c r="CW58" s="3636"/>
      <c r="CX58" s="3636"/>
      <c r="CY58" s="3636"/>
      <c r="CZ58" s="3636"/>
      <c r="DA58" s="3636"/>
      <c r="DB58" s="3636"/>
      <c r="DC58" s="1919"/>
      <c r="DD58" s="3632"/>
      <c r="DE58" s="3448"/>
      <c r="DF58" s="3448"/>
      <c r="DG58" s="3448"/>
      <c r="DH58" s="3448"/>
      <c r="DI58" s="2060"/>
      <c r="DJ58" s="3782"/>
      <c r="DK58" s="3771"/>
      <c r="DL58" s="3448"/>
      <c r="DM58" s="2060"/>
      <c r="DN58" s="3771"/>
      <c r="DO58" s="3448"/>
      <c r="DP58" s="2060"/>
      <c r="DQ58" s="3771"/>
      <c r="DR58" s="2060"/>
      <c r="DS58" s="3771"/>
      <c r="DT58" s="3448"/>
      <c r="DU58" s="3448"/>
      <c r="DV58" s="3448"/>
      <c r="DW58" s="3448"/>
      <c r="DX58" s="3448"/>
      <c r="DY58" s="2060"/>
      <c r="DZ58" s="3771"/>
      <c r="EA58" s="3448"/>
      <c r="EB58" s="3448"/>
      <c r="EC58" s="3448"/>
      <c r="ED58" s="3448"/>
      <c r="EE58" s="3448"/>
      <c r="EF58" s="3448"/>
      <c r="EG58" s="3448"/>
      <c r="EH58" s="3448"/>
      <c r="EI58" s="3448"/>
      <c r="EJ58" s="3448"/>
      <c r="EK58" s="3448"/>
      <c r="EL58" s="3448"/>
      <c r="EM58" s="2060"/>
      <c r="EN58" s="3771"/>
      <c r="EO58" s="3448"/>
      <c r="EP58" s="3448"/>
      <c r="EQ58" s="3448"/>
      <c r="ER58" s="2060"/>
      <c r="ES58" s="3771"/>
      <c r="ET58" s="3448"/>
      <c r="EU58" s="3448"/>
      <c r="EV58" s="3448"/>
      <c r="EW58" s="2060"/>
    </row>
    <row r="59" spans="1:153" s="1775" customFormat="1" ht="15" customHeight="1">
      <c r="A59" s="15574"/>
      <c r="B59" s="15577"/>
      <c r="C59" s="15577"/>
      <c r="D59" s="3619" t="s">
        <v>7808</v>
      </c>
      <c r="E59" s="3619" t="s">
        <v>1623</v>
      </c>
      <c r="F59" s="3619" t="s">
        <v>1623</v>
      </c>
      <c r="G59" s="3619" t="s">
        <v>1573</v>
      </c>
      <c r="H59" s="3637">
        <v>60</v>
      </c>
      <c r="I59" s="3619" t="s">
        <v>700</v>
      </c>
      <c r="J59" s="3447" t="s">
        <v>10067</v>
      </c>
      <c r="K59" s="3909" t="s">
        <v>1624</v>
      </c>
      <c r="L59" s="3909"/>
      <c r="M59" s="3619" t="s">
        <v>1523</v>
      </c>
      <c r="N59" s="3619" t="s">
        <v>1511</v>
      </c>
      <c r="O59" s="3619" t="s">
        <v>1549</v>
      </c>
      <c r="P59" s="3637">
        <v>10</v>
      </c>
      <c r="Q59" s="3637">
        <v>30</v>
      </c>
      <c r="R59" s="3623">
        <v>1</v>
      </c>
      <c r="S59" s="3628" t="s">
        <v>9622</v>
      </c>
      <c r="T59" s="3626"/>
      <c r="U59" s="3626" t="s">
        <v>4053</v>
      </c>
      <c r="V59" s="3625"/>
      <c r="W59" s="3625"/>
      <c r="X59" s="3625"/>
      <c r="Y59" s="3625"/>
      <c r="Z59" s="3625"/>
      <c r="AA59" s="3625"/>
      <c r="AB59" s="3625"/>
      <c r="AC59" s="3625"/>
      <c r="AD59" s="3625"/>
      <c r="AE59" s="3625"/>
      <c r="AF59" s="3625"/>
      <c r="AG59" s="3625"/>
      <c r="AH59" s="3625"/>
      <c r="AI59" s="3625"/>
      <c r="AJ59" s="3625"/>
      <c r="AK59" s="3625"/>
      <c r="AL59" s="3625"/>
      <c r="AM59" s="3625"/>
      <c r="AN59" s="3625"/>
      <c r="AO59" s="3625"/>
      <c r="AP59" s="3625"/>
      <c r="AQ59" s="3625"/>
      <c r="AR59" s="3625"/>
      <c r="AS59" s="3625"/>
      <c r="AT59" s="3625"/>
      <c r="AU59" s="3625"/>
      <c r="AV59" s="3625"/>
      <c r="AW59" s="3625"/>
      <c r="AX59" s="3625"/>
      <c r="AY59" s="3625"/>
      <c r="AZ59" s="3625"/>
      <c r="BA59" s="3625"/>
      <c r="BB59" s="3625"/>
      <c r="BC59" s="3625"/>
      <c r="BD59" s="3625"/>
      <c r="BE59" s="3625"/>
      <c r="BF59" s="3625"/>
      <c r="BG59" s="3625"/>
      <c r="BH59" s="3625"/>
      <c r="BI59" s="3625"/>
      <c r="BJ59" s="1761">
        <v>1</v>
      </c>
      <c r="BK59" s="15710"/>
      <c r="BL59" s="3633" t="s">
        <v>8805</v>
      </c>
      <c r="BM59" s="3634" t="s">
        <v>8806</v>
      </c>
      <c r="BN59" s="3635"/>
      <c r="BO59" s="3638">
        <f>SUM(BP59:BQ59)</f>
        <v>1187480377.4463601</v>
      </c>
      <c r="BP59" s="3638">
        <v>712488226.467816</v>
      </c>
      <c r="BQ59" s="3638">
        <v>474992150.97854406</v>
      </c>
      <c r="BR59" s="3636"/>
      <c r="BS59" s="3639">
        <v>5776</v>
      </c>
      <c r="BT59" s="3636">
        <v>3362</v>
      </c>
      <c r="BU59" s="3636">
        <v>2414</v>
      </c>
      <c r="BV59" s="3636">
        <v>4345</v>
      </c>
      <c r="BW59" s="3636">
        <v>1431</v>
      </c>
      <c r="BX59" s="3636">
        <v>0</v>
      </c>
      <c r="BY59" s="3636">
        <v>0</v>
      </c>
      <c r="BZ59" s="3636">
        <v>4589</v>
      </c>
      <c r="CA59" s="3636">
        <v>1187</v>
      </c>
      <c r="CB59" s="3636"/>
      <c r="CC59" s="3636">
        <v>0</v>
      </c>
      <c r="CD59" s="3636">
        <v>0</v>
      </c>
      <c r="CE59" s="3636">
        <v>4830</v>
      </c>
      <c r="CF59" s="3636">
        <v>290</v>
      </c>
      <c r="CG59" s="3636">
        <v>125</v>
      </c>
      <c r="CH59" s="3636">
        <v>22</v>
      </c>
      <c r="CI59" s="3636">
        <v>14</v>
      </c>
      <c r="CJ59" s="3636">
        <v>4</v>
      </c>
      <c r="CK59" s="3636">
        <v>6</v>
      </c>
      <c r="CL59" s="3636">
        <v>18</v>
      </c>
      <c r="CM59" s="3636">
        <v>5122</v>
      </c>
      <c r="CN59" s="3636">
        <v>267</v>
      </c>
      <c r="CO59" s="3636">
        <v>62</v>
      </c>
      <c r="CP59" s="3636">
        <v>1</v>
      </c>
      <c r="CQ59" s="3636">
        <v>0</v>
      </c>
      <c r="CR59" s="3636">
        <v>1</v>
      </c>
      <c r="CS59" s="3636"/>
      <c r="CT59" s="3636"/>
      <c r="CU59" s="3636"/>
      <c r="CV59" s="3636"/>
      <c r="CW59" s="3636"/>
      <c r="CX59" s="3636"/>
      <c r="CY59" s="3636"/>
      <c r="CZ59" s="3636"/>
      <c r="DA59" s="3636"/>
      <c r="DB59" s="3636"/>
      <c r="DC59" s="1919"/>
      <c r="DD59" s="3632"/>
      <c r="DE59" s="3448"/>
      <c r="DF59" s="3448"/>
      <c r="DG59" s="3448"/>
      <c r="DH59" s="3448"/>
      <c r="DI59" s="2060"/>
      <c r="DJ59" s="3782"/>
      <c r="DK59" s="3771"/>
      <c r="DL59" s="3448"/>
      <c r="DM59" s="2060"/>
      <c r="DN59" s="3771"/>
      <c r="DO59" s="3448"/>
      <c r="DP59" s="2060"/>
      <c r="DQ59" s="3771"/>
      <c r="DR59" s="2060"/>
      <c r="DS59" s="3771"/>
      <c r="DT59" s="3448"/>
      <c r="DU59" s="3448"/>
      <c r="DV59" s="3448"/>
      <c r="DW59" s="3448"/>
      <c r="DX59" s="3448"/>
      <c r="DY59" s="2060"/>
      <c r="DZ59" s="3771"/>
      <c r="EA59" s="3448"/>
      <c r="EB59" s="3448"/>
      <c r="EC59" s="3448"/>
      <c r="ED59" s="3448"/>
      <c r="EE59" s="3448"/>
      <c r="EF59" s="3448"/>
      <c r="EG59" s="3448"/>
      <c r="EH59" s="3448"/>
      <c r="EI59" s="3448"/>
      <c r="EJ59" s="3448"/>
      <c r="EK59" s="3448"/>
      <c r="EL59" s="3448"/>
      <c r="EM59" s="2060"/>
      <c r="EN59" s="3771"/>
      <c r="EO59" s="3448"/>
      <c r="EP59" s="3448"/>
      <c r="EQ59" s="3448"/>
      <c r="ER59" s="2060"/>
      <c r="ES59" s="3771"/>
      <c r="ET59" s="3448"/>
      <c r="EU59" s="3448"/>
      <c r="EV59" s="3448"/>
      <c r="EW59" s="2060"/>
    </row>
    <row r="60" spans="1:153" s="1775" customFormat="1" ht="15" customHeight="1">
      <c r="A60" s="15574"/>
      <c r="B60" s="15577"/>
      <c r="C60" s="15577"/>
      <c r="D60" s="3619" t="s">
        <v>7809</v>
      </c>
      <c r="E60" s="3619" t="s">
        <v>1625</v>
      </c>
      <c r="F60" s="3619" t="s">
        <v>1625</v>
      </c>
      <c r="G60" s="3619" t="s">
        <v>1627</v>
      </c>
      <c r="H60" s="3637">
        <v>40</v>
      </c>
      <c r="I60" s="3619" t="s">
        <v>1626</v>
      </c>
      <c r="J60" s="3447" t="s">
        <v>10067</v>
      </c>
      <c r="K60" s="3909" t="s">
        <v>1624</v>
      </c>
      <c r="L60" s="3909"/>
      <c r="M60" s="3619" t="s">
        <v>1523</v>
      </c>
      <c r="N60" s="3619" t="s">
        <v>1511</v>
      </c>
      <c r="O60" s="3619" t="s">
        <v>1549</v>
      </c>
      <c r="P60" s="3637">
        <v>10</v>
      </c>
      <c r="Q60" s="3637">
        <v>25</v>
      </c>
      <c r="R60" s="3623">
        <v>1</v>
      </c>
      <c r="S60" s="3640" t="s">
        <v>4054</v>
      </c>
      <c r="T60" s="3641" t="s">
        <v>4055</v>
      </c>
      <c r="U60" s="3641" t="s">
        <v>4056</v>
      </c>
      <c r="V60" s="3625"/>
      <c r="W60" s="3625"/>
      <c r="X60" s="3625"/>
      <c r="Y60" s="3625"/>
      <c r="Z60" s="3625"/>
      <c r="AA60" s="3625"/>
      <c r="AB60" s="3625"/>
      <c r="AC60" s="3625"/>
      <c r="AD60" s="3625"/>
      <c r="AE60" s="3625"/>
      <c r="AF60" s="3625"/>
      <c r="AG60" s="3625"/>
      <c r="AH60" s="3625"/>
      <c r="AI60" s="3625"/>
      <c r="AJ60" s="3625"/>
      <c r="AK60" s="3625"/>
      <c r="AL60" s="3625"/>
      <c r="AM60" s="3625"/>
      <c r="AN60" s="3625"/>
      <c r="AO60" s="3625"/>
      <c r="AP60" s="3625"/>
      <c r="AQ60" s="3625"/>
      <c r="AR60" s="3625"/>
      <c r="AS60" s="3625"/>
      <c r="AT60" s="3625"/>
      <c r="AU60" s="3625"/>
      <c r="AV60" s="3625"/>
      <c r="AW60" s="3625"/>
      <c r="AX60" s="3625"/>
      <c r="AY60" s="3625"/>
      <c r="AZ60" s="3625"/>
      <c r="BA60" s="3625"/>
      <c r="BB60" s="3625"/>
      <c r="BC60" s="3625"/>
      <c r="BD60" s="3625"/>
      <c r="BE60" s="3625"/>
      <c r="BF60" s="3625"/>
      <c r="BG60" s="3625"/>
      <c r="BH60" s="3625"/>
      <c r="BI60" s="3625"/>
      <c r="BJ60" s="1761">
        <v>0.4</v>
      </c>
      <c r="BK60" s="15710"/>
      <c r="BL60" s="3642" t="s">
        <v>8807</v>
      </c>
      <c r="BM60" s="3643"/>
      <c r="BN60" s="3635"/>
      <c r="BO60" s="3636">
        <v>0</v>
      </c>
      <c r="BP60" s="3636">
        <v>0</v>
      </c>
      <c r="BQ60" s="3636">
        <v>0</v>
      </c>
      <c r="BR60" s="3636">
        <v>0</v>
      </c>
      <c r="BS60" s="3636"/>
      <c r="BT60" s="3636"/>
      <c r="BU60" s="3636"/>
      <c r="BV60" s="3636"/>
      <c r="BW60" s="3636"/>
      <c r="BX60" s="3636"/>
      <c r="BY60" s="3636"/>
      <c r="BZ60" s="3636"/>
      <c r="CA60" s="3636"/>
      <c r="CB60" s="3636"/>
      <c r="CC60" s="3636"/>
      <c r="CD60" s="3636"/>
      <c r="CE60" s="3636"/>
      <c r="CF60" s="3636"/>
      <c r="CG60" s="3636"/>
      <c r="CH60" s="3636"/>
      <c r="CI60" s="3636"/>
      <c r="CJ60" s="3636"/>
      <c r="CK60" s="3636"/>
      <c r="CL60" s="3636"/>
      <c r="CM60" s="3636"/>
      <c r="CN60" s="3636"/>
      <c r="CO60" s="3636"/>
      <c r="CP60" s="3636"/>
      <c r="CQ60" s="3636"/>
      <c r="CR60" s="3636"/>
      <c r="CS60" s="3636"/>
      <c r="CT60" s="3636"/>
      <c r="CU60" s="3636"/>
      <c r="CV60" s="3636"/>
      <c r="CW60" s="3636"/>
      <c r="CX60" s="3636"/>
      <c r="CY60" s="3636"/>
      <c r="CZ60" s="3636"/>
      <c r="DA60" s="3636"/>
      <c r="DB60" s="3636"/>
      <c r="DC60" s="1919"/>
      <c r="DD60" s="3632"/>
      <c r="DE60" s="3448"/>
      <c r="DF60" s="3448"/>
      <c r="DG60" s="3448"/>
      <c r="DH60" s="3448"/>
      <c r="DI60" s="2060"/>
      <c r="DJ60" s="3782"/>
      <c r="DK60" s="3771"/>
      <c r="DL60" s="3448"/>
      <c r="DM60" s="2060"/>
      <c r="DN60" s="3771"/>
      <c r="DO60" s="3448"/>
      <c r="DP60" s="2060"/>
      <c r="DQ60" s="3771"/>
      <c r="DR60" s="2060"/>
      <c r="DS60" s="3771"/>
      <c r="DT60" s="3448"/>
      <c r="DU60" s="3448"/>
      <c r="DV60" s="3448"/>
      <c r="DW60" s="3448"/>
      <c r="DX60" s="3448"/>
      <c r="DY60" s="2060"/>
      <c r="DZ60" s="3771"/>
      <c r="EA60" s="3448"/>
      <c r="EB60" s="3448"/>
      <c r="EC60" s="3448"/>
      <c r="ED60" s="3448"/>
      <c r="EE60" s="3448"/>
      <c r="EF60" s="3448"/>
      <c r="EG60" s="3448"/>
      <c r="EH60" s="3448"/>
      <c r="EI60" s="3448"/>
      <c r="EJ60" s="3448"/>
      <c r="EK60" s="3448"/>
      <c r="EL60" s="3448"/>
      <c r="EM60" s="2060"/>
      <c r="EN60" s="3771"/>
      <c r="EO60" s="3448"/>
      <c r="EP60" s="3448"/>
      <c r="EQ60" s="3448"/>
      <c r="ER60" s="2060"/>
      <c r="ES60" s="3771"/>
      <c r="ET60" s="3448"/>
      <c r="EU60" s="3448"/>
      <c r="EV60" s="3448"/>
      <c r="EW60" s="2060"/>
    </row>
    <row r="61" spans="1:153" s="1775" customFormat="1" ht="15" customHeight="1">
      <c r="A61" s="15574"/>
      <c r="B61" s="15577"/>
      <c r="C61" s="15577"/>
      <c r="D61" s="15596" t="s">
        <v>7810</v>
      </c>
      <c r="E61" s="3619" t="s">
        <v>1628</v>
      </c>
      <c r="F61" s="15596" t="s">
        <v>1628</v>
      </c>
      <c r="G61" s="15565" t="s">
        <v>1630</v>
      </c>
      <c r="H61" s="15564">
        <v>15</v>
      </c>
      <c r="I61" s="15565" t="s">
        <v>1629</v>
      </c>
      <c r="J61" s="3644" t="s">
        <v>10067</v>
      </c>
      <c r="K61" s="3909" t="s">
        <v>1624</v>
      </c>
      <c r="L61" s="3909"/>
      <c r="M61" s="3619" t="s">
        <v>1523</v>
      </c>
      <c r="N61" s="3619" t="s">
        <v>1511</v>
      </c>
      <c r="O61" s="3619" t="s">
        <v>1549</v>
      </c>
      <c r="P61" s="3637">
        <v>2</v>
      </c>
      <c r="Q61" s="3637">
        <v>7</v>
      </c>
      <c r="R61" s="3623">
        <v>1</v>
      </c>
      <c r="S61" s="3641" t="s">
        <v>4057</v>
      </c>
      <c r="T61" s="3626" t="s">
        <v>4058</v>
      </c>
      <c r="U61" s="3626" t="s">
        <v>4059</v>
      </c>
      <c r="V61" s="3625"/>
      <c r="W61" s="3625"/>
      <c r="X61" s="3625"/>
      <c r="Y61" s="3625"/>
      <c r="Z61" s="3625"/>
      <c r="AA61" s="3625"/>
      <c r="AB61" s="3625"/>
      <c r="AC61" s="3625"/>
      <c r="AD61" s="3625"/>
      <c r="AE61" s="3625"/>
      <c r="AF61" s="3625"/>
      <c r="AG61" s="3625"/>
      <c r="AH61" s="3625"/>
      <c r="AI61" s="3625"/>
      <c r="AJ61" s="3625"/>
      <c r="AK61" s="3625"/>
      <c r="AL61" s="3625"/>
      <c r="AM61" s="3625"/>
      <c r="AN61" s="3625"/>
      <c r="AO61" s="3625"/>
      <c r="AP61" s="3625"/>
      <c r="AQ61" s="3625"/>
      <c r="AR61" s="3625"/>
      <c r="AS61" s="3625"/>
      <c r="AT61" s="3625"/>
      <c r="AU61" s="3625"/>
      <c r="AV61" s="3625"/>
      <c r="AW61" s="3625"/>
      <c r="AX61" s="3625"/>
      <c r="AY61" s="3625"/>
      <c r="AZ61" s="3625"/>
      <c r="BA61" s="3625"/>
      <c r="BB61" s="3625"/>
      <c r="BC61" s="3625"/>
      <c r="BD61" s="3625"/>
      <c r="BE61" s="3625"/>
      <c r="BF61" s="3625"/>
      <c r="BG61" s="3625"/>
      <c r="BH61" s="3625"/>
      <c r="BI61" s="3625"/>
      <c r="BJ61" s="1761">
        <v>0.3</v>
      </c>
      <c r="BK61" s="15710"/>
      <c r="BL61" s="3645" t="s">
        <v>8808</v>
      </c>
      <c r="BM61" s="3634" t="s">
        <v>8804</v>
      </c>
      <c r="BN61" s="3646" t="s">
        <v>8809</v>
      </c>
      <c r="BO61" s="3636">
        <v>0</v>
      </c>
      <c r="BP61" s="3636">
        <v>0</v>
      </c>
      <c r="BQ61" s="3636">
        <v>0</v>
      </c>
      <c r="BR61" s="3636">
        <v>0</v>
      </c>
      <c r="BS61" s="3639">
        <v>49</v>
      </c>
      <c r="BT61" s="3639">
        <v>43</v>
      </c>
      <c r="BU61" s="3639">
        <v>6</v>
      </c>
      <c r="BV61" s="3639">
        <v>49</v>
      </c>
      <c r="BW61" s="3639">
        <v>0</v>
      </c>
      <c r="BX61" s="3639">
        <v>0</v>
      </c>
      <c r="BY61" s="3639">
        <v>11</v>
      </c>
      <c r="BZ61" s="3639">
        <v>32</v>
      </c>
      <c r="CA61" s="3639">
        <v>6</v>
      </c>
      <c r="CB61" s="3636"/>
      <c r="CC61" s="3636"/>
      <c r="CD61" s="3636"/>
      <c r="CE61" s="3636"/>
      <c r="CF61" s="3639">
        <v>1</v>
      </c>
      <c r="CG61" s="3639">
        <v>1</v>
      </c>
      <c r="CH61" s="3636"/>
      <c r="CI61" s="3636"/>
      <c r="CJ61" s="3636"/>
      <c r="CK61" s="3636"/>
      <c r="CL61" s="3639">
        <v>1</v>
      </c>
      <c r="CM61" s="3639">
        <v>43</v>
      </c>
      <c r="CN61" s="3639">
        <v>1</v>
      </c>
      <c r="CO61" s="3636"/>
      <c r="CP61" s="3636"/>
      <c r="CQ61" s="3636"/>
      <c r="CR61" s="3636"/>
      <c r="CS61" s="3636"/>
      <c r="CT61" s="3636"/>
      <c r="CU61" s="3636"/>
      <c r="CV61" s="3636"/>
      <c r="CW61" s="3636"/>
      <c r="CX61" s="3636"/>
      <c r="CY61" s="3636"/>
      <c r="CZ61" s="3636"/>
      <c r="DA61" s="3636"/>
      <c r="DB61" s="3636"/>
      <c r="DC61" s="1919"/>
      <c r="DD61" s="3632"/>
      <c r="DE61" s="3448"/>
      <c r="DF61" s="3448"/>
      <c r="DG61" s="3448"/>
      <c r="DH61" s="3448"/>
      <c r="DI61" s="2060"/>
      <c r="DJ61" s="3782"/>
      <c r="DK61" s="3771"/>
      <c r="DL61" s="3448"/>
      <c r="DM61" s="2060"/>
      <c r="DN61" s="3771"/>
      <c r="DO61" s="3448"/>
      <c r="DP61" s="2060"/>
      <c r="DQ61" s="3771"/>
      <c r="DR61" s="2060"/>
      <c r="DS61" s="3771"/>
      <c r="DT61" s="3448"/>
      <c r="DU61" s="3448"/>
      <c r="DV61" s="3448"/>
      <c r="DW61" s="3448"/>
      <c r="DX61" s="3448"/>
      <c r="DY61" s="2060"/>
      <c r="DZ61" s="3771"/>
      <c r="EA61" s="3448"/>
      <c r="EB61" s="3448"/>
      <c r="EC61" s="3448"/>
      <c r="ED61" s="3448"/>
      <c r="EE61" s="3448"/>
      <c r="EF61" s="3448"/>
      <c r="EG61" s="3448"/>
      <c r="EH61" s="3448"/>
      <c r="EI61" s="3448"/>
      <c r="EJ61" s="3448"/>
      <c r="EK61" s="3448"/>
      <c r="EL61" s="3448"/>
      <c r="EM61" s="2060"/>
      <c r="EN61" s="3771"/>
      <c r="EO61" s="3448"/>
      <c r="EP61" s="3448"/>
      <c r="EQ61" s="3448"/>
      <c r="ER61" s="2060"/>
      <c r="ES61" s="3771"/>
      <c r="ET61" s="3448"/>
      <c r="EU61" s="3448"/>
      <c r="EV61" s="3448"/>
      <c r="EW61" s="2060"/>
    </row>
    <row r="62" spans="1:153" s="1775" customFormat="1" ht="15" customHeight="1">
      <c r="A62" s="15574"/>
      <c r="B62" s="15577"/>
      <c r="C62" s="15577"/>
      <c r="D62" s="15578"/>
      <c r="E62" s="3619"/>
      <c r="F62" s="15578"/>
      <c r="G62" s="15565"/>
      <c r="H62" s="15564"/>
      <c r="I62" s="15565"/>
      <c r="J62" s="3046" t="s">
        <v>2896</v>
      </c>
      <c r="K62" s="3909"/>
      <c r="L62" s="3909" t="s">
        <v>2200</v>
      </c>
      <c r="M62" s="3619"/>
      <c r="N62" s="3619"/>
      <c r="O62" s="3619"/>
      <c r="P62" s="3637"/>
      <c r="Q62" s="3637"/>
      <c r="R62" s="3623"/>
      <c r="S62" s="3641"/>
      <c r="T62" s="3626"/>
      <c r="U62" s="3626"/>
      <c r="V62" s="3625"/>
      <c r="W62" s="3625"/>
      <c r="X62" s="3625"/>
      <c r="Y62" s="3625"/>
      <c r="Z62" s="3625"/>
      <c r="AA62" s="3625"/>
      <c r="AB62" s="3625"/>
      <c r="AC62" s="3625"/>
      <c r="AD62" s="3625"/>
      <c r="AE62" s="3625"/>
      <c r="AF62" s="3625"/>
      <c r="AG62" s="3625"/>
      <c r="AH62" s="3625"/>
      <c r="AI62" s="3625"/>
      <c r="AJ62" s="3625"/>
      <c r="AK62" s="3625"/>
      <c r="AL62" s="3625"/>
      <c r="AM62" s="3625"/>
      <c r="AN62" s="3625"/>
      <c r="AO62" s="3625"/>
      <c r="AP62" s="3625"/>
      <c r="AQ62" s="3625"/>
      <c r="AR62" s="3625"/>
      <c r="AS62" s="3625"/>
      <c r="AT62" s="3625"/>
      <c r="AU62" s="3625"/>
      <c r="AV62" s="3625"/>
      <c r="AW62" s="3625"/>
      <c r="AX62" s="3625"/>
      <c r="AY62" s="3625"/>
      <c r="AZ62" s="3625"/>
      <c r="BA62" s="3625"/>
      <c r="BB62" s="3625"/>
      <c r="BC62" s="3625"/>
      <c r="BD62" s="3625"/>
      <c r="BE62" s="3625"/>
      <c r="BF62" s="3625"/>
      <c r="BG62" s="3625"/>
      <c r="BH62" s="3625"/>
      <c r="BI62" s="3625"/>
      <c r="BJ62" s="1761">
        <v>1</v>
      </c>
      <c r="BK62" s="15710"/>
      <c r="BL62" s="3628" t="s">
        <v>8810</v>
      </c>
      <c r="BM62" s="3619" t="s">
        <v>8811</v>
      </c>
      <c r="BN62" s="3629" t="s">
        <v>8812</v>
      </c>
      <c r="BO62" s="3449">
        <v>8000000</v>
      </c>
      <c r="BP62" s="3636">
        <v>0</v>
      </c>
      <c r="BQ62" s="3636">
        <v>0</v>
      </c>
      <c r="BR62" s="3636"/>
      <c r="BS62" s="3639"/>
      <c r="BT62" s="3639"/>
      <c r="BU62" s="3639"/>
      <c r="BV62" s="3639"/>
      <c r="BW62" s="3639"/>
      <c r="BX62" s="3639"/>
      <c r="BY62" s="3639"/>
      <c r="BZ62" s="3639"/>
      <c r="CA62" s="3639"/>
      <c r="CB62" s="3636"/>
      <c r="CC62" s="3636"/>
      <c r="CD62" s="3636"/>
      <c r="CE62" s="3636"/>
      <c r="CF62" s="3639"/>
      <c r="CG62" s="3639"/>
      <c r="CH62" s="3636"/>
      <c r="CI62" s="3636"/>
      <c r="CJ62" s="3636"/>
      <c r="CK62" s="3636"/>
      <c r="CL62" s="3639"/>
      <c r="CM62" s="3639"/>
      <c r="CN62" s="3639"/>
      <c r="CO62" s="3636"/>
      <c r="CP62" s="3636"/>
      <c r="CQ62" s="3636"/>
      <c r="CR62" s="3636"/>
      <c r="CS62" s="3636"/>
      <c r="CT62" s="3636"/>
      <c r="CU62" s="3636"/>
      <c r="CV62" s="3636"/>
      <c r="CW62" s="3636"/>
      <c r="CX62" s="3636"/>
      <c r="CY62" s="3636"/>
      <c r="CZ62" s="3636"/>
      <c r="DA62" s="3636"/>
      <c r="DB62" s="3636"/>
      <c r="DC62" s="1919"/>
      <c r="DD62" s="3632"/>
      <c r="DE62" s="3448"/>
      <c r="DF62" s="3448"/>
      <c r="DG62" s="3448"/>
      <c r="DH62" s="3448"/>
      <c r="DI62" s="2060"/>
      <c r="DJ62" s="3782"/>
      <c r="DK62" s="3771"/>
      <c r="DL62" s="3448"/>
      <c r="DM62" s="2060"/>
      <c r="DN62" s="3771"/>
      <c r="DO62" s="3448"/>
      <c r="DP62" s="2060"/>
      <c r="DQ62" s="3771"/>
      <c r="DR62" s="2060"/>
      <c r="DS62" s="3771"/>
      <c r="DT62" s="3448"/>
      <c r="DU62" s="3448"/>
      <c r="DV62" s="3448"/>
      <c r="DW62" s="3448"/>
      <c r="DX62" s="3448"/>
      <c r="DY62" s="2060"/>
      <c r="DZ62" s="3771"/>
      <c r="EA62" s="3448"/>
      <c r="EB62" s="3448"/>
      <c r="EC62" s="3448"/>
      <c r="ED62" s="3448"/>
      <c r="EE62" s="3448"/>
      <c r="EF62" s="3448"/>
      <c r="EG62" s="3448"/>
      <c r="EH62" s="3448"/>
      <c r="EI62" s="3448"/>
      <c r="EJ62" s="3448"/>
      <c r="EK62" s="3448"/>
      <c r="EL62" s="3448"/>
      <c r="EM62" s="2060"/>
      <c r="EN62" s="3771"/>
      <c r="EO62" s="3448"/>
      <c r="EP62" s="3448"/>
      <c r="EQ62" s="3448"/>
      <c r="ER62" s="2060"/>
      <c r="ES62" s="3771"/>
      <c r="ET62" s="3448"/>
      <c r="EU62" s="3448"/>
      <c r="EV62" s="3448"/>
      <c r="EW62" s="2060"/>
    </row>
    <row r="63" spans="1:153" s="1775" customFormat="1" ht="15" customHeight="1">
      <c r="A63" s="15574"/>
      <c r="B63" s="15577"/>
      <c r="C63" s="15577"/>
      <c r="D63" s="3620" t="s">
        <v>7811</v>
      </c>
      <c r="E63" s="3619" t="s">
        <v>1631</v>
      </c>
      <c r="F63" s="3620" t="s">
        <v>1631</v>
      </c>
      <c r="G63" s="3621" t="s">
        <v>1633</v>
      </c>
      <c r="H63" s="3647">
        <v>1</v>
      </c>
      <c r="I63" s="3621" t="s">
        <v>1632</v>
      </c>
      <c r="J63" s="3644" t="s">
        <v>10067</v>
      </c>
      <c r="K63" s="3909" t="s">
        <v>1624</v>
      </c>
      <c r="L63" s="3910"/>
      <c r="M63" s="3619" t="s">
        <v>1523</v>
      </c>
      <c r="N63" s="3619" t="s">
        <v>1511</v>
      </c>
      <c r="O63" s="3619" t="s">
        <v>1549</v>
      </c>
      <c r="P63" s="3637">
        <v>1</v>
      </c>
      <c r="Q63" s="3637">
        <v>1</v>
      </c>
      <c r="R63" s="3624" t="s">
        <v>3781</v>
      </c>
      <c r="S63" s="3619" t="s">
        <v>4060</v>
      </c>
      <c r="T63" s="3641"/>
      <c r="U63" s="3641"/>
      <c r="V63" s="3625"/>
      <c r="W63" s="3625"/>
      <c r="X63" s="3625"/>
      <c r="Y63" s="3625"/>
      <c r="Z63" s="3625"/>
      <c r="AA63" s="3625"/>
      <c r="AB63" s="3625"/>
      <c r="AC63" s="3625"/>
      <c r="AD63" s="3625"/>
      <c r="AE63" s="3625"/>
      <c r="AF63" s="3625"/>
      <c r="AG63" s="3625"/>
      <c r="AH63" s="3625"/>
      <c r="AI63" s="3625"/>
      <c r="AJ63" s="3625"/>
      <c r="AK63" s="3625"/>
      <c r="AL63" s="3625"/>
      <c r="AM63" s="3625"/>
      <c r="AN63" s="3625"/>
      <c r="AO63" s="3625"/>
      <c r="AP63" s="3625"/>
      <c r="AQ63" s="3625"/>
      <c r="AR63" s="3625"/>
      <c r="AS63" s="3625"/>
      <c r="AT63" s="3625"/>
      <c r="AU63" s="3625"/>
      <c r="AV63" s="3625"/>
      <c r="AW63" s="3625"/>
      <c r="AX63" s="3625"/>
      <c r="AY63" s="3625"/>
      <c r="AZ63" s="3625"/>
      <c r="BA63" s="3625"/>
      <c r="BB63" s="3625"/>
      <c r="BC63" s="3625"/>
      <c r="BD63" s="3625"/>
      <c r="BE63" s="3625"/>
      <c r="BF63" s="3625"/>
      <c r="BG63" s="3625"/>
      <c r="BH63" s="3625"/>
      <c r="BI63" s="3625"/>
      <c r="BJ63" s="3648"/>
      <c r="BK63" s="15710"/>
      <c r="BL63" s="3633" t="s">
        <v>8813</v>
      </c>
      <c r="BM63" s="3641"/>
      <c r="BN63" s="3629"/>
      <c r="BO63" s="3636">
        <v>0</v>
      </c>
      <c r="BP63" s="3636">
        <v>0</v>
      </c>
      <c r="BQ63" s="3636">
        <v>0</v>
      </c>
      <c r="BR63" s="3636">
        <v>0</v>
      </c>
      <c r="BS63" s="3636">
        <v>0</v>
      </c>
      <c r="BT63" s="3636">
        <v>0</v>
      </c>
      <c r="BU63" s="3636">
        <v>0</v>
      </c>
      <c r="BV63" s="3636">
        <v>0</v>
      </c>
      <c r="BW63" s="3636">
        <v>0</v>
      </c>
      <c r="BX63" s="3636">
        <v>0</v>
      </c>
      <c r="BY63" s="3636">
        <v>0</v>
      </c>
      <c r="BZ63" s="3636">
        <v>0</v>
      </c>
      <c r="CA63" s="3636">
        <v>0</v>
      </c>
      <c r="CB63" s="3636">
        <v>0</v>
      </c>
      <c r="CC63" s="3636">
        <v>0</v>
      </c>
      <c r="CD63" s="3636">
        <v>0</v>
      </c>
      <c r="CE63" s="3636">
        <v>0</v>
      </c>
      <c r="CF63" s="3636">
        <v>0</v>
      </c>
      <c r="CG63" s="3449"/>
      <c r="CH63" s="3449"/>
      <c r="CI63" s="3449"/>
      <c r="CJ63" s="3449"/>
      <c r="CK63" s="3449"/>
      <c r="CL63" s="3449"/>
      <c r="CM63" s="3449"/>
      <c r="CN63" s="3449"/>
      <c r="CO63" s="3449"/>
      <c r="CP63" s="3449"/>
      <c r="CQ63" s="3449"/>
      <c r="CR63" s="3449"/>
      <c r="CS63" s="3449"/>
      <c r="CT63" s="3449"/>
      <c r="CU63" s="3449"/>
      <c r="CV63" s="3449"/>
      <c r="CW63" s="3449"/>
      <c r="CX63" s="3449"/>
      <c r="CY63" s="3449"/>
      <c r="CZ63" s="3449"/>
      <c r="DA63" s="3449"/>
      <c r="DB63" s="3449"/>
      <c r="DC63" s="1919"/>
      <c r="DD63" s="3632"/>
      <c r="DE63" s="3448"/>
      <c r="DF63" s="3448"/>
      <c r="DG63" s="3448"/>
      <c r="DH63" s="3448"/>
      <c r="DI63" s="2060"/>
      <c r="DJ63" s="3782"/>
      <c r="DK63" s="3771"/>
      <c r="DL63" s="3448"/>
      <c r="DM63" s="2060"/>
      <c r="DN63" s="3771"/>
      <c r="DO63" s="3448"/>
      <c r="DP63" s="2060"/>
      <c r="DQ63" s="3771"/>
      <c r="DR63" s="2060"/>
      <c r="DS63" s="3771"/>
      <c r="DT63" s="3448"/>
      <c r="DU63" s="3448"/>
      <c r="DV63" s="3448"/>
      <c r="DW63" s="3448"/>
      <c r="DX63" s="3448"/>
      <c r="DY63" s="2060"/>
      <c r="DZ63" s="3771"/>
      <c r="EA63" s="3448"/>
      <c r="EB63" s="3448"/>
      <c r="EC63" s="3448"/>
      <c r="ED63" s="3448"/>
      <c r="EE63" s="3448"/>
      <c r="EF63" s="3448"/>
      <c r="EG63" s="3448"/>
      <c r="EH63" s="3448"/>
      <c r="EI63" s="3448"/>
      <c r="EJ63" s="3448"/>
      <c r="EK63" s="3448"/>
      <c r="EL63" s="3448"/>
      <c r="EM63" s="2060"/>
      <c r="EN63" s="3771"/>
      <c r="EO63" s="3448"/>
      <c r="EP63" s="3448"/>
      <c r="EQ63" s="3448"/>
      <c r="ER63" s="2060"/>
      <c r="ES63" s="3771"/>
      <c r="ET63" s="3448"/>
      <c r="EU63" s="3448"/>
      <c r="EV63" s="3448"/>
      <c r="EW63" s="2060"/>
    </row>
    <row r="64" spans="1:153" s="1775" customFormat="1" ht="15" customHeight="1">
      <c r="A64" s="15574"/>
      <c r="B64" s="15577"/>
      <c r="C64" s="15577"/>
      <c r="D64" s="15596" t="s">
        <v>7812</v>
      </c>
      <c r="E64" s="3619" t="s">
        <v>1634</v>
      </c>
      <c r="F64" s="15596" t="s">
        <v>1634</v>
      </c>
      <c r="G64" s="15596" t="s">
        <v>1636</v>
      </c>
      <c r="H64" s="15701">
        <v>1</v>
      </c>
      <c r="I64" s="15596" t="s">
        <v>1635</v>
      </c>
      <c r="J64" s="3644" t="s">
        <v>10067</v>
      </c>
      <c r="K64" s="3909" t="s">
        <v>1624</v>
      </c>
      <c r="L64" s="3909"/>
      <c r="M64" s="3619" t="s">
        <v>1523</v>
      </c>
      <c r="N64" s="3619" t="s">
        <v>1511</v>
      </c>
      <c r="O64" s="3619" t="s">
        <v>1549</v>
      </c>
      <c r="P64" s="3637">
        <v>1</v>
      </c>
      <c r="Q64" s="3637">
        <v>1</v>
      </c>
      <c r="R64" s="3623">
        <v>0.8</v>
      </c>
      <c r="S64" s="3649"/>
      <c r="T64" s="3626" t="s">
        <v>4061</v>
      </c>
      <c r="U64" s="3640" t="s">
        <v>4062</v>
      </c>
      <c r="V64" s="3625"/>
      <c r="W64" s="3625"/>
      <c r="X64" s="3625"/>
      <c r="Y64" s="3625"/>
      <c r="Z64" s="3625"/>
      <c r="AA64" s="3625"/>
      <c r="AB64" s="3625"/>
      <c r="AC64" s="3625"/>
      <c r="AD64" s="3625"/>
      <c r="AE64" s="3625"/>
      <c r="AF64" s="3625"/>
      <c r="AG64" s="3625"/>
      <c r="AH64" s="3625"/>
      <c r="AI64" s="3625"/>
      <c r="AJ64" s="3625"/>
      <c r="AK64" s="3625"/>
      <c r="AL64" s="3625"/>
      <c r="AM64" s="3625"/>
      <c r="AN64" s="3625"/>
      <c r="AO64" s="3625"/>
      <c r="AP64" s="3625"/>
      <c r="AQ64" s="3625"/>
      <c r="AR64" s="3625"/>
      <c r="AS64" s="3625"/>
      <c r="AT64" s="3625"/>
      <c r="AU64" s="3625"/>
      <c r="AV64" s="3625"/>
      <c r="AW64" s="3625"/>
      <c r="AX64" s="3625"/>
      <c r="AY64" s="3625"/>
      <c r="AZ64" s="3625"/>
      <c r="BA64" s="3625"/>
      <c r="BB64" s="3625"/>
      <c r="BC64" s="3625"/>
      <c r="BD64" s="3625"/>
      <c r="BE64" s="3625"/>
      <c r="BF64" s="3625"/>
      <c r="BG64" s="3625"/>
      <c r="BH64" s="3625"/>
      <c r="BI64" s="3625"/>
      <c r="BJ64" s="1761">
        <v>1</v>
      </c>
      <c r="BK64" s="15710"/>
      <c r="BL64" s="3650" t="s">
        <v>8814</v>
      </c>
      <c r="BM64" s="3651" t="s">
        <v>8815</v>
      </c>
      <c r="BN64" s="3629"/>
      <c r="BO64" s="3636">
        <v>0</v>
      </c>
      <c r="BP64" s="3636">
        <v>0</v>
      </c>
      <c r="BQ64" s="3636">
        <v>0</v>
      </c>
      <c r="BR64" s="3636">
        <v>0</v>
      </c>
      <c r="BS64" s="3636">
        <v>0</v>
      </c>
      <c r="BT64" s="3636">
        <v>0</v>
      </c>
      <c r="BU64" s="3636">
        <v>0</v>
      </c>
      <c r="BV64" s="3636">
        <v>0</v>
      </c>
      <c r="BW64" s="3636">
        <v>0</v>
      </c>
      <c r="BX64" s="3636">
        <v>0</v>
      </c>
      <c r="BY64" s="3636">
        <v>0</v>
      </c>
      <c r="BZ64" s="3636">
        <v>0</v>
      </c>
      <c r="CA64" s="3636">
        <v>0</v>
      </c>
      <c r="CB64" s="3636">
        <v>0</v>
      </c>
      <c r="CC64" s="3636">
        <v>0</v>
      </c>
      <c r="CD64" s="3636">
        <v>0</v>
      </c>
      <c r="CE64" s="3636">
        <v>0</v>
      </c>
      <c r="CF64" s="3636">
        <v>0</v>
      </c>
      <c r="CG64" s="3449"/>
      <c r="CH64" s="3449"/>
      <c r="CI64" s="3449"/>
      <c r="CJ64" s="3449"/>
      <c r="CK64" s="3449"/>
      <c r="CL64" s="3449"/>
      <c r="CM64" s="3449"/>
      <c r="CN64" s="3449"/>
      <c r="CO64" s="3449"/>
      <c r="CP64" s="3449"/>
      <c r="CQ64" s="3449"/>
      <c r="CR64" s="3449"/>
      <c r="CS64" s="3449"/>
      <c r="CT64" s="3449"/>
      <c r="CU64" s="3449"/>
      <c r="CV64" s="3449"/>
      <c r="CW64" s="3449"/>
      <c r="CX64" s="3449"/>
      <c r="CY64" s="3449"/>
      <c r="CZ64" s="3449"/>
      <c r="DA64" s="3449"/>
      <c r="DB64" s="3449"/>
      <c r="DC64" s="1919"/>
      <c r="DD64" s="3632"/>
      <c r="DE64" s="3448"/>
      <c r="DF64" s="3448"/>
      <c r="DG64" s="3448"/>
      <c r="DH64" s="3448"/>
      <c r="DI64" s="2060"/>
      <c r="DJ64" s="3782"/>
      <c r="DK64" s="3771"/>
      <c r="DL64" s="3448"/>
      <c r="DM64" s="2060"/>
      <c r="DN64" s="3771"/>
      <c r="DO64" s="3448"/>
      <c r="DP64" s="2060"/>
      <c r="DQ64" s="3771"/>
      <c r="DR64" s="2060"/>
      <c r="DS64" s="3771"/>
      <c r="DT64" s="3448"/>
      <c r="DU64" s="3448"/>
      <c r="DV64" s="3448"/>
      <c r="DW64" s="3448"/>
      <c r="DX64" s="3448"/>
      <c r="DY64" s="2060"/>
      <c r="DZ64" s="3771"/>
      <c r="EA64" s="3448"/>
      <c r="EB64" s="3448"/>
      <c r="EC64" s="3448"/>
      <c r="ED64" s="3448"/>
      <c r="EE64" s="3448"/>
      <c r="EF64" s="3448"/>
      <c r="EG64" s="3448"/>
      <c r="EH64" s="3448"/>
      <c r="EI64" s="3448"/>
      <c r="EJ64" s="3448"/>
      <c r="EK64" s="3448"/>
      <c r="EL64" s="3448"/>
      <c r="EM64" s="2060"/>
      <c r="EN64" s="3771"/>
      <c r="EO64" s="3448"/>
      <c r="EP64" s="3448"/>
      <c r="EQ64" s="3448"/>
      <c r="ER64" s="2060"/>
      <c r="ES64" s="3771"/>
      <c r="ET64" s="3448"/>
      <c r="EU64" s="3448"/>
      <c r="EV64" s="3448"/>
      <c r="EW64" s="2060"/>
    </row>
    <row r="65" spans="1:153" s="1775" customFormat="1" ht="15" customHeight="1" thickBot="1">
      <c r="A65" s="15575"/>
      <c r="B65" s="15577"/>
      <c r="C65" s="15578"/>
      <c r="D65" s="15578"/>
      <c r="E65" s="3619"/>
      <c r="F65" s="15578"/>
      <c r="G65" s="15578"/>
      <c r="H65" s="15702"/>
      <c r="I65" s="15578"/>
      <c r="J65" s="3046" t="s">
        <v>2896</v>
      </c>
      <c r="K65" s="3909"/>
      <c r="L65" s="3909" t="s">
        <v>2200</v>
      </c>
      <c r="M65" s="3619"/>
      <c r="N65" s="3619"/>
      <c r="O65" s="3619"/>
      <c r="P65" s="3637"/>
      <c r="Q65" s="3637"/>
      <c r="R65" s="3623"/>
      <c r="S65" s="3649"/>
      <c r="T65" s="3626"/>
      <c r="U65" s="3640"/>
      <c r="V65" s="3625"/>
      <c r="W65" s="3625"/>
      <c r="X65" s="3625"/>
      <c r="Y65" s="3625"/>
      <c r="Z65" s="3625"/>
      <c r="AA65" s="3625"/>
      <c r="AB65" s="3625"/>
      <c r="AC65" s="3625"/>
      <c r="AD65" s="3625"/>
      <c r="AE65" s="3625"/>
      <c r="AF65" s="3625"/>
      <c r="AG65" s="3625"/>
      <c r="AH65" s="3625"/>
      <c r="AI65" s="3625"/>
      <c r="AJ65" s="3625"/>
      <c r="AK65" s="3625"/>
      <c r="AL65" s="3625"/>
      <c r="AM65" s="3625"/>
      <c r="AN65" s="3625"/>
      <c r="AO65" s="3625"/>
      <c r="AP65" s="3625"/>
      <c r="AQ65" s="3625"/>
      <c r="AR65" s="3625"/>
      <c r="AS65" s="3625"/>
      <c r="AT65" s="3625"/>
      <c r="AU65" s="3625"/>
      <c r="AV65" s="3625"/>
      <c r="AW65" s="3625"/>
      <c r="AX65" s="3625"/>
      <c r="AY65" s="3625"/>
      <c r="AZ65" s="3625"/>
      <c r="BA65" s="3625"/>
      <c r="BB65" s="3625"/>
      <c r="BC65" s="3625"/>
      <c r="BD65" s="3625"/>
      <c r="BE65" s="3625"/>
      <c r="BF65" s="3625"/>
      <c r="BG65" s="3625"/>
      <c r="BH65" s="3625"/>
      <c r="BI65" s="3625"/>
      <c r="BJ65" s="1761">
        <v>0</v>
      </c>
      <c r="BK65" s="15711"/>
      <c r="BL65" s="3649" t="s">
        <v>9792</v>
      </c>
      <c r="BM65" s="3637"/>
      <c r="BN65" s="3629" t="s">
        <v>8816</v>
      </c>
      <c r="BO65" s="3449">
        <v>0</v>
      </c>
      <c r="BP65" s="3449">
        <v>0</v>
      </c>
      <c r="BQ65" s="3449">
        <v>0</v>
      </c>
      <c r="BR65" s="3449">
        <v>0</v>
      </c>
      <c r="BS65" s="3449">
        <v>0</v>
      </c>
      <c r="BT65" s="3449">
        <v>0</v>
      </c>
      <c r="BU65" s="3449">
        <v>0</v>
      </c>
      <c r="BV65" s="3449">
        <v>0</v>
      </c>
      <c r="BW65" s="3449">
        <v>0</v>
      </c>
      <c r="BX65" s="3449">
        <v>0</v>
      </c>
      <c r="BY65" s="3449">
        <v>0</v>
      </c>
      <c r="BZ65" s="3449">
        <v>0</v>
      </c>
      <c r="CA65" s="3449"/>
      <c r="CB65" s="3449"/>
      <c r="CC65" s="3449"/>
      <c r="CD65" s="3449"/>
      <c r="CE65" s="3449"/>
      <c r="CF65" s="3449"/>
      <c r="CG65" s="3449"/>
      <c r="CH65" s="3449"/>
      <c r="CI65" s="3449"/>
      <c r="CJ65" s="3449"/>
      <c r="CK65" s="3449"/>
      <c r="CL65" s="3449"/>
      <c r="CM65" s="3449"/>
      <c r="CN65" s="3449"/>
      <c r="CO65" s="3449"/>
      <c r="CP65" s="3449"/>
      <c r="CQ65" s="3449"/>
      <c r="CR65" s="3449"/>
      <c r="CS65" s="3449"/>
      <c r="CT65" s="3449"/>
      <c r="CU65" s="3449"/>
      <c r="CV65" s="3449"/>
      <c r="CW65" s="3449"/>
      <c r="CX65" s="3449"/>
      <c r="CY65" s="3449"/>
      <c r="CZ65" s="3449"/>
      <c r="DA65" s="3449"/>
      <c r="DB65" s="3449"/>
      <c r="DC65" s="1919"/>
      <c r="DD65" s="3814"/>
      <c r="DE65" s="3815"/>
      <c r="DF65" s="3815"/>
      <c r="DG65" s="3815"/>
      <c r="DH65" s="3815"/>
      <c r="DI65" s="3816"/>
      <c r="DJ65" s="3817"/>
      <c r="DK65" s="3818"/>
      <c r="DL65" s="3815"/>
      <c r="DM65" s="3816"/>
      <c r="DN65" s="3818"/>
      <c r="DO65" s="3815"/>
      <c r="DP65" s="3816"/>
      <c r="DQ65" s="3818"/>
      <c r="DR65" s="3816"/>
      <c r="DS65" s="3818"/>
      <c r="DT65" s="3815"/>
      <c r="DU65" s="3815"/>
      <c r="DV65" s="3815"/>
      <c r="DW65" s="3815"/>
      <c r="DX65" s="3815"/>
      <c r="DY65" s="3816"/>
      <c r="DZ65" s="3818"/>
      <c r="EA65" s="3815"/>
      <c r="EB65" s="3815"/>
      <c r="EC65" s="3815"/>
      <c r="ED65" s="3815"/>
      <c r="EE65" s="3815"/>
      <c r="EF65" s="3815"/>
      <c r="EG65" s="3815"/>
      <c r="EH65" s="3815"/>
      <c r="EI65" s="3815"/>
      <c r="EJ65" s="3815"/>
      <c r="EK65" s="3815"/>
      <c r="EL65" s="3815"/>
      <c r="EM65" s="3816"/>
      <c r="EN65" s="3818"/>
      <c r="EO65" s="3815"/>
      <c r="EP65" s="3815"/>
      <c r="EQ65" s="3815"/>
      <c r="ER65" s="3816"/>
      <c r="ES65" s="3818"/>
      <c r="ET65" s="3815"/>
      <c r="EU65" s="3815"/>
      <c r="EV65" s="3815"/>
      <c r="EW65" s="3816"/>
    </row>
    <row r="66" spans="1:153" s="1780" customFormat="1" ht="15" customHeight="1">
      <c r="A66" s="15604" t="s">
        <v>1637</v>
      </c>
      <c r="B66" s="15577"/>
      <c r="C66" s="15607" t="s">
        <v>1638</v>
      </c>
      <c r="D66" s="3027" t="s">
        <v>7813</v>
      </c>
      <c r="E66" s="3027" t="s">
        <v>1639</v>
      </c>
      <c r="F66" s="3027" t="s">
        <v>1639</v>
      </c>
      <c r="G66" s="3027" t="s">
        <v>1641</v>
      </c>
      <c r="H66" s="1814">
        <v>1</v>
      </c>
      <c r="I66" s="3027" t="s">
        <v>1640</v>
      </c>
      <c r="J66" s="2727" t="s">
        <v>2896</v>
      </c>
      <c r="K66" s="3911" t="s">
        <v>163</v>
      </c>
      <c r="L66" s="3911"/>
      <c r="M66" s="3027" t="s">
        <v>1523</v>
      </c>
      <c r="N66" s="3027" t="s">
        <v>1511</v>
      </c>
      <c r="O66" s="3027" t="s">
        <v>1549</v>
      </c>
      <c r="P66" s="1814">
        <v>0.2</v>
      </c>
      <c r="Q66" s="1814">
        <v>0.5</v>
      </c>
      <c r="R66" s="1815">
        <v>1</v>
      </c>
      <c r="S66" s="1782" t="s">
        <v>3899</v>
      </c>
      <c r="T66" s="1783"/>
      <c r="U66" s="1783"/>
      <c r="V66" s="1816"/>
      <c r="W66" s="1816"/>
      <c r="X66" s="1816"/>
      <c r="Y66" s="1816"/>
      <c r="Z66" s="1783"/>
      <c r="AA66" s="1783"/>
      <c r="AB66" s="1783"/>
      <c r="AC66" s="1783"/>
      <c r="AD66" s="1783"/>
      <c r="AE66" s="1783"/>
      <c r="AF66" s="1783"/>
      <c r="AG66" s="1783"/>
      <c r="AH66" s="1783"/>
      <c r="AI66" s="1783"/>
      <c r="AJ66" s="1783"/>
      <c r="AK66" s="1783"/>
      <c r="AL66" s="1783"/>
      <c r="AM66" s="1783"/>
      <c r="AN66" s="1783"/>
      <c r="AO66" s="1783"/>
      <c r="AP66" s="1783"/>
      <c r="AQ66" s="1783"/>
      <c r="AR66" s="1783"/>
      <c r="AS66" s="1783"/>
      <c r="AT66" s="1783"/>
      <c r="AU66" s="1783"/>
      <c r="AV66" s="1783"/>
      <c r="AW66" s="1783"/>
      <c r="AX66" s="1783"/>
      <c r="AY66" s="1783"/>
      <c r="AZ66" s="1783"/>
      <c r="BA66" s="1783"/>
      <c r="BB66" s="1783"/>
      <c r="BC66" s="1783"/>
      <c r="BD66" s="1783"/>
      <c r="BE66" s="1783"/>
      <c r="BF66" s="1783"/>
      <c r="BG66" s="1783"/>
      <c r="BH66" s="1783"/>
      <c r="BI66" s="1783"/>
      <c r="BJ66" s="1779">
        <v>0.3</v>
      </c>
      <c r="BK66" s="15712">
        <f>AVERAGE(BJ66:BJ73)</f>
        <v>0.64166666666666661</v>
      </c>
      <c r="BL66" s="1782" t="s">
        <v>8817</v>
      </c>
      <c r="BM66" s="3027" t="s">
        <v>8818</v>
      </c>
      <c r="BN66" s="1817" t="s">
        <v>8819</v>
      </c>
      <c r="BO66" s="1818">
        <v>1309300</v>
      </c>
      <c r="BP66" s="1818">
        <v>0</v>
      </c>
      <c r="BQ66" s="1818">
        <v>0</v>
      </c>
      <c r="BR66" s="1818">
        <v>0</v>
      </c>
      <c r="BS66" s="1818">
        <v>0</v>
      </c>
      <c r="BT66" s="1818">
        <v>0</v>
      </c>
      <c r="BU66" s="1818">
        <v>0</v>
      </c>
      <c r="BV66" s="1818">
        <v>0</v>
      </c>
      <c r="BW66" s="1818">
        <v>0</v>
      </c>
      <c r="BX66" s="1818">
        <v>0</v>
      </c>
      <c r="BY66" s="1818">
        <v>0</v>
      </c>
      <c r="BZ66" s="1818">
        <v>0</v>
      </c>
      <c r="CA66" s="1818"/>
      <c r="CB66" s="1818"/>
      <c r="CC66" s="1818"/>
      <c r="CD66" s="1818"/>
      <c r="CE66" s="1818"/>
      <c r="CF66" s="1818"/>
      <c r="CG66" s="1818"/>
      <c r="CH66" s="1818"/>
      <c r="CI66" s="1818"/>
      <c r="CJ66" s="1818"/>
      <c r="CK66" s="1818"/>
      <c r="CL66" s="1818"/>
      <c r="CM66" s="1818"/>
      <c r="CN66" s="1818"/>
      <c r="CO66" s="1818"/>
      <c r="CP66" s="1818"/>
      <c r="CQ66" s="1818"/>
      <c r="CR66" s="1818"/>
      <c r="CS66" s="1818"/>
      <c r="CT66" s="1818"/>
      <c r="CU66" s="1818"/>
      <c r="CV66" s="1818"/>
      <c r="CW66" s="1818"/>
      <c r="CX66" s="1818"/>
      <c r="CY66" s="1818"/>
      <c r="CZ66" s="1818"/>
      <c r="DA66" s="1818"/>
      <c r="DB66" s="1818"/>
      <c r="DC66" s="1819"/>
      <c r="DD66" s="3811"/>
      <c r="DE66" s="1932"/>
      <c r="DF66" s="1932"/>
      <c r="DG66" s="1932"/>
      <c r="DH66" s="1932"/>
      <c r="DI66" s="1933"/>
      <c r="DJ66" s="3812"/>
      <c r="DK66" s="3813"/>
      <c r="DL66" s="1932"/>
      <c r="DM66" s="1933"/>
      <c r="DN66" s="3813"/>
      <c r="DO66" s="1932"/>
      <c r="DP66" s="1933"/>
      <c r="DQ66" s="3813"/>
      <c r="DR66" s="1933"/>
      <c r="DS66" s="3813"/>
      <c r="DT66" s="1932"/>
      <c r="DU66" s="1932"/>
      <c r="DV66" s="1932"/>
      <c r="DW66" s="1932"/>
      <c r="DX66" s="1932"/>
      <c r="DY66" s="1933"/>
      <c r="DZ66" s="3813"/>
      <c r="EA66" s="1932"/>
      <c r="EB66" s="1932"/>
      <c r="EC66" s="1932"/>
      <c r="ED66" s="1932"/>
      <c r="EE66" s="1932"/>
      <c r="EF66" s="1932"/>
      <c r="EG66" s="1932"/>
      <c r="EH66" s="1932"/>
      <c r="EI66" s="1932"/>
      <c r="EJ66" s="1932"/>
      <c r="EK66" s="1932"/>
      <c r="EL66" s="1932"/>
      <c r="EM66" s="1933"/>
      <c r="EN66" s="3813"/>
      <c r="EO66" s="1932"/>
      <c r="EP66" s="1932"/>
      <c r="EQ66" s="1932"/>
      <c r="ER66" s="1933"/>
      <c r="ES66" s="3813"/>
      <c r="ET66" s="1932"/>
      <c r="EU66" s="1932"/>
      <c r="EV66" s="1932"/>
      <c r="EW66" s="1933"/>
    </row>
    <row r="67" spans="1:153" s="1780" customFormat="1" ht="15" customHeight="1">
      <c r="A67" s="15605"/>
      <c r="B67" s="15577"/>
      <c r="C67" s="15608"/>
      <c r="D67" s="3027" t="s">
        <v>7814</v>
      </c>
      <c r="E67" s="3027" t="s">
        <v>1642</v>
      </c>
      <c r="F67" s="3027" t="s">
        <v>1642</v>
      </c>
      <c r="G67" s="3027" t="s">
        <v>1573</v>
      </c>
      <c r="H67" s="3027">
        <v>60</v>
      </c>
      <c r="I67" s="3027" t="s">
        <v>1643</v>
      </c>
      <c r="J67" s="2727" t="s">
        <v>218</v>
      </c>
      <c r="K67" s="3911" t="s">
        <v>768</v>
      </c>
      <c r="L67" s="3911"/>
      <c r="M67" s="3027" t="s">
        <v>1523</v>
      </c>
      <c r="N67" s="3027" t="s">
        <v>1511</v>
      </c>
      <c r="O67" s="3027" t="s">
        <v>1549</v>
      </c>
      <c r="P67" s="3027">
        <v>10</v>
      </c>
      <c r="Q67" s="3027">
        <v>30</v>
      </c>
      <c r="R67" s="1820">
        <v>1</v>
      </c>
      <c r="S67" s="1782" t="s">
        <v>3835</v>
      </c>
      <c r="T67" s="1783"/>
      <c r="U67" s="1783"/>
      <c r="V67" s="1821">
        <v>138000000</v>
      </c>
      <c r="W67" s="1821">
        <v>138000000</v>
      </c>
      <c r="X67" s="1783"/>
      <c r="Y67" s="1783"/>
      <c r="Z67" s="1783">
        <v>1626</v>
      </c>
      <c r="AA67" s="1783">
        <v>1101</v>
      </c>
      <c r="AB67" s="1783">
        <v>525</v>
      </c>
      <c r="AC67" s="1783">
        <v>1540</v>
      </c>
      <c r="AD67" s="1783">
        <v>86</v>
      </c>
      <c r="AE67" s="1783"/>
      <c r="AF67" s="1783"/>
      <c r="AG67" s="1783"/>
      <c r="AH67" s="1783">
        <v>1626</v>
      </c>
      <c r="AI67" s="1783"/>
      <c r="AJ67" s="1783"/>
      <c r="AK67" s="1783"/>
      <c r="AL67" s="1783"/>
      <c r="AM67" s="1783">
        <v>56</v>
      </c>
      <c r="AN67" s="1783">
        <v>64</v>
      </c>
      <c r="AO67" s="1783">
        <v>42</v>
      </c>
      <c r="AP67" s="1783">
        <v>48</v>
      </c>
      <c r="AQ67" s="1783">
        <v>9</v>
      </c>
      <c r="AR67" s="1783"/>
      <c r="AS67" s="1783"/>
      <c r="AT67" s="1783">
        <v>1525</v>
      </c>
      <c r="AU67" s="1783">
        <v>73</v>
      </c>
      <c r="AV67" s="1783">
        <v>28</v>
      </c>
      <c r="AW67" s="1783"/>
      <c r="AX67" s="1783"/>
      <c r="AY67" s="1783"/>
      <c r="AZ67" s="1783"/>
      <c r="BA67" s="1783"/>
      <c r="BB67" s="1783"/>
      <c r="BC67" s="1783"/>
      <c r="BD67" s="1783"/>
      <c r="BE67" s="1783"/>
      <c r="BF67" s="1783"/>
      <c r="BG67" s="1783"/>
      <c r="BH67" s="1783"/>
      <c r="BI67" s="1783"/>
      <c r="BJ67" s="1779">
        <v>1</v>
      </c>
      <c r="BK67" s="15713"/>
      <c r="BL67" s="1781" t="s">
        <v>9662</v>
      </c>
      <c r="BM67" s="1781" t="s">
        <v>8820</v>
      </c>
      <c r="BN67" s="1822" t="s">
        <v>8821</v>
      </c>
      <c r="BO67" s="1823">
        <v>359800000</v>
      </c>
      <c r="BP67" s="1823">
        <v>359800000</v>
      </c>
      <c r="BQ67" s="1818">
        <v>0</v>
      </c>
      <c r="BR67" s="1818">
        <v>0</v>
      </c>
      <c r="BS67" s="1818">
        <v>2056</v>
      </c>
      <c r="BT67" s="1818">
        <v>926</v>
      </c>
      <c r="BU67" s="1818">
        <v>1130</v>
      </c>
      <c r="BV67" s="1818">
        <v>1439</v>
      </c>
      <c r="BW67" s="1818">
        <v>617</v>
      </c>
      <c r="BX67" s="1817"/>
      <c r="BY67" s="1817"/>
      <c r="BZ67" s="1817" t="s">
        <v>8856</v>
      </c>
      <c r="CA67" s="1817" t="s">
        <v>8857</v>
      </c>
      <c r="CB67" s="1817" t="s">
        <v>8858</v>
      </c>
      <c r="CC67" s="1817" t="s">
        <v>8859</v>
      </c>
      <c r="CD67" s="1817" t="s">
        <v>8860</v>
      </c>
      <c r="CE67" s="1817" t="s">
        <v>8861</v>
      </c>
      <c r="CF67" s="1817" t="s">
        <v>8862</v>
      </c>
      <c r="CG67" s="1817" t="s">
        <v>8863</v>
      </c>
      <c r="CH67" s="1817" t="s">
        <v>8864</v>
      </c>
      <c r="CI67" s="1817" t="s">
        <v>8865</v>
      </c>
      <c r="CJ67" s="1817" t="s">
        <v>8866</v>
      </c>
      <c r="CK67" s="1817" t="s">
        <v>8867</v>
      </c>
      <c r="CL67" s="1817" t="s">
        <v>8868</v>
      </c>
      <c r="CM67" s="1822" t="s">
        <v>8869</v>
      </c>
      <c r="CN67" s="1817" t="s">
        <v>8870</v>
      </c>
      <c r="CO67" s="1817" t="s">
        <v>8871</v>
      </c>
      <c r="CP67" s="1817" t="s">
        <v>8872</v>
      </c>
      <c r="CQ67" s="1817" t="s">
        <v>8873</v>
      </c>
      <c r="CR67" s="1817" t="s">
        <v>8874</v>
      </c>
      <c r="CS67" s="1817" t="s">
        <v>8875</v>
      </c>
      <c r="CT67" s="1817" t="s">
        <v>8876</v>
      </c>
      <c r="CU67" s="1817" t="s">
        <v>8877</v>
      </c>
      <c r="CV67" s="1817" t="s">
        <v>8878</v>
      </c>
      <c r="CW67" s="1822" t="s">
        <v>8879</v>
      </c>
      <c r="CX67" s="1818"/>
      <c r="CY67" s="1818"/>
      <c r="CZ67" s="1818"/>
      <c r="DA67" s="1818"/>
      <c r="DB67" s="1818"/>
      <c r="DC67" s="1819"/>
      <c r="DD67" s="2055"/>
      <c r="DE67" s="3471"/>
      <c r="DF67" s="3471"/>
      <c r="DG67" s="3471"/>
      <c r="DH67" s="3471"/>
      <c r="DI67" s="2054"/>
      <c r="DJ67" s="3783"/>
      <c r="DK67" s="3772"/>
      <c r="DL67" s="3471"/>
      <c r="DM67" s="2054"/>
      <c r="DN67" s="3772"/>
      <c r="DO67" s="3471"/>
      <c r="DP67" s="2054"/>
      <c r="DQ67" s="3772"/>
      <c r="DR67" s="2054"/>
      <c r="DS67" s="3772"/>
      <c r="DT67" s="3471"/>
      <c r="DU67" s="3471"/>
      <c r="DV67" s="3471"/>
      <c r="DW67" s="3471"/>
      <c r="DX67" s="3471"/>
      <c r="DY67" s="2054"/>
      <c r="DZ67" s="3772"/>
      <c r="EA67" s="3471"/>
      <c r="EB67" s="3471"/>
      <c r="EC67" s="3471"/>
      <c r="ED67" s="3471"/>
      <c r="EE67" s="3471"/>
      <c r="EF67" s="3471"/>
      <c r="EG67" s="3471"/>
      <c r="EH67" s="3471"/>
      <c r="EI67" s="3471"/>
      <c r="EJ67" s="3471"/>
      <c r="EK67" s="3471"/>
      <c r="EL67" s="3471"/>
      <c r="EM67" s="2054"/>
      <c r="EN67" s="3772"/>
      <c r="EO67" s="3471"/>
      <c r="EP67" s="3471"/>
      <c r="EQ67" s="3471"/>
      <c r="ER67" s="2054"/>
      <c r="ES67" s="3772"/>
      <c r="ET67" s="3471"/>
      <c r="EU67" s="3471"/>
      <c r="EV67" s="3471"/>
      <c r="EW67" s="2054"/>
    </row>
    <row r="68" spans="1:153" s="1780" customFormat="1" ht="15" customHeight="1">
      <c r="A68" s="15605"/>
      <c r="B68" s="15577"/>
      <c r="C68" s="15608"/>
      <c r="D68" s="3027" t="s">
        <v>7815</v>
      </c>
      <c r="E68" s="3027" t="s">
        <v>1644</v>
      </c>
      <c r="F68" s="3027" t="s">
        <v>1644</v>
      </c>
      <c r="G68" s="3027" t="s">
        <v>1627</v>
      </c>
      <c r="H68" s="3027">
        <v>40</v>
      </c>
      <c r="I68" s="3027" t="s">
        <v>1626</v>
      </c>
      <c r="J68" s="2727" t="s">
        <v>218</v>
      </c>
      <c r="K68" s="3911" t="s">
        <v>768</v>
      </c>
      <c r="L68" s="3911"/>
      <c r="M68" s="3027" t="s">
        <v>1523</v>
      </c>
      <c r="N68" s="3027" t="s">
        <v>1511</v>
      </c>
      <c r="O68" s="3027" t="s">
        <v>1549</v>
      </c>
      <c r="P68" s="3027">
        <v>10</v>
      </c>
      <c r="Q68" s="3027">
        <v>25</v>
      </c>
      <c r="R68" s="1820">
        <v>1</v>
      </c>
      <c r="S68" s="1784" t="s">
        <v>3836</v>
      </c>
      <c r="T68" s="1824"/>
      <c r="U68" s="1789" t="s">
        <v>3837</v>
      </c>
      <c r="V68" s="1783"/>
      <c r="W68" s="1783"/>
      <c r="X68" s="1783"/>
      <c r="Y68" s="1783"/>
      <c r="Z68" s="1783"/>
      <c r="AA68" s="1783"/>
      <c r="AB68" s="1783"/>
      <c r="AC68" s="1783"/>
      <c r="AD68" s="1783"/>
      <c r="AE68" s="1783"/>
      <c r="AF68" s="1783"/>
      <c r="AG68" s="1783"/>
      <c r="AH68" s="1783"/>
      <c r="AI68" s="1783"/>
      <c r="AJ68" s="1783"/>
      <c r="AK68" s="1783"/>
      <c r="AL68" s="1783"/>
      <c r="AM68" s="1783"/>
      <c r="AN68" s="1783"/>
      <c r="AO68" s="1783"/>
      <c r="AP68" s="1783"/>
      <c r="AQ68" s="1783"/>
      <c r="AR68" s="1783"/>
      <c r="AS68" s="1783"/>
      <c r="AT68" s="1783"/>
      <c r="AU68" s="1783"/>
      <c r="AV68" s="1783"/>
      <c r="AW68" s="1783"/>
      <c r="AX68" s="1783"/>
      <c r="AY68" s="1783"/>
      <c r="AZ68" s="1783"/>
      <c r="BA68" s="1783"/>
      <c r="BB68" s="1783"/>
      <c r="BC68" s="1783"/>
      <c r="BD68" s="1783"/>
      <c r="BE68" s="1783"/>
      <c r="BF68" s="1783"/>
      <c r="BG68" s="1783"/>
      <c r="BH68" s="1783"/>
      <c r="BI68" s="1783"/>
      <c r="BJ68" s="1779">
        <v>1</v>
      </c>
      <c r="BK68" s="15713"/>
      <c r="BL68" s="1784" t="s">
        <v>9663</v>
      </c>
      <c r="BM68" s="1824"/>
      <c r="BN68" s="1817" t="s">
        <v>3837</v>
      </c>
      <c r="BO68" s="1823">
        <v>359800000</v>
      </c>
      <c r="BP68" s="1823">
        <v>359800000</v>
      </c>
      <c r="BQ68" s="1818">
        <v>0</v>
      </c>
      <c r="BR68" s="1818">
        <v>0</v>
      </c>
      <c r="BS68" s="1818">
        <v>2056</v>
      </c>
      <c r="BT68" s="1818">
        <v>926</v>
      </c>
      <c r="BU68" s="1818">
        <v>1130</v>
      </c>
      <c r="BV68" s="1818">
        <v>1439</v>
      </c>
      <c r="BW68" s="1818">
        <v>617</v>
      </c>
      <c r="BX68" s="1818"/>
      <c r="BY68" s="1818"/>
      <c r="BZ68" s="1818"/>
      <c r="CA68" s="1818">
        <v>2056</v>
      </c>
      <c r="CB68" s="1818"/>
      <c r="CC68" s="1818"/>
      <c r="CD68" s="1818"/>
      <c r="CE68" s="1818"/>
      <c r="CF68" s="1818">
        <v>62</v>
      </c>
      <c r="CG68" s="1818">
        <v>89</v>
      </c>
      <c r="CH68" s="1818">
        <v>57</v>
      </c>
      <c r="CI68" s="1818">
        <v>53</v>
      </c>
      <c r="CJ68" s="1818">
        <v>9</v>
      </c>
      <c r="CK68" s="1818"/>
      <c r="CL68" s="1818"/>
      <c r="CM68" s="1818">
        <v>1696</v>
      </c>
      <c r="CN68" s="1818">
        <v>312</v>
      </c>
      <c r="CO68" s="1818">
        <v>48</v>
      </c>
      <c r="CP68" s="1817"/>
      <c r="CQ68" s="1817"/>
      <c r="CR68" s="1817"/>
      <c r="CS68" s="1817" t="s">
        <v>8875</v>
      </c>
      <c r="CT68" s="1817" t="s">
        <v>8876</v>
      </c>
      <c r="CU68" s="1817" t="s">
        <v>8880</v>
      </c>
      <c r="CV68" s="1817" t="s">
        <v>8881</v>
      </c>
      <c r="CW68" s="1822" t="s">
        <v>8882</v>
      </c>
      <c r="CX68" s="1818"/>
      <c r="CY68" s="1818"/>
      <c r="CZ68" s="1818"/>
      <c r="DA68" s="1818"/>
      <c r="DB68" s="1818"/>
      <c r="DC68" s="1819"/>
      <c r="DD68" s="2055"/>
      <c r="DE68" s="3471"/>
      <c r="DF68" s="3471"/>
      <c r="DG68" s="3471"/>
      <c r="DH68" s="3471"/>
      <c r="DI68" s="2054"/>
      <c r="DJ68" s="3783"/>
      <c r="DK68" s="3772"/>
      <c r="DL68" s="3471"/>
      <c r="DM68" s="2054"/>
      <c r="DN68" s="3772"/>
      <c r="DO68" s="3471"/>
      <c r="DP68" s="2054"/>
      <c r="DQ68" s="3772"/>
      <c r="DR68" s="2054"/>
      <c r="DS68" s="3772"/>
      <c r="DT68" s="3471"/>
      <c r="DU68" s="3471"/>
      <c r="DV68" s="3471"/>
      <c r="DW68" s="3471"/>
      <c r="DX68" s="3471"/>
      <c r="DY68" s="2054"/>
      <c r="DZ68" s="3772"/>
      <c r="EA68" s="3471"/>
      <c r="EB68" s="3471"/>
      <c r="EC68" s="3471"/>
      <c r="ED68" s="3471"/>
      <c r="EE68" s="3471"/>
      <c r="EF68" s="3471"/>
      <c r="EG68" s="3471"/>
      <c r="EH68" s="3471"/>
      <c r="EI68" s="3471"/>
      <c r="EJ68" s="3471"/>
      <c r="EK68" s="3471"/>
      <c r="EL68" s="3471"/>
      <c r="EM68" s="2054"/>
      <c r="EN68" s="3772"/>
      <c r="EO68" s="3471"/>
      <c r="EP68" s="3471"/>
      <c r="EQ68" s="3471"/>
      <c r="ER68" s="2054"/>
      <c r="ES68" s="3772"/>
      <c r="ET68" s="3471"/>
      <c r="EU68" s="3471"/>
      <c r="EV68" s="3471"/>
      <c r="EW68" s="2054"/>
    </row>
    <row r="69" spans="1:153" s="1780" customFormat="1" ht="15" customHeight="1">
      <c r="A69" s="15605"/>
      <c r="B69" s="15577"/>
      <c r="C69" s="15608"/>
      <c r="D69" s="15589" t="s">
        <v>7816</v>
      </c>
      <c r="E69" s="3027" t="s">
        <v>1645</v>
      </c>
      <c r="F69" s="15589" t="s">
        <v>1645</v>
      </c>
      <c r="G69" s="15590" t="s">
        <v>1646</v>
      </c>
      <c r="H69" s="15703">
        <v>1</v>
      </c>
      <c r="I69" s="15590" t="s">
        <v>1632</v>
      </c>
      <c r="J69" s="3047" t="s">
        <v>218</v>
      </c>
      <c r="K69" s="3912" t="s">
        <v>768</v>
      </c>
      <c r="L69" s="3912"/>
      <c r="M69" s="3027" t="s">
        <v>1523</v>
      </c>
      <c r="N69" s="3027" t="s">
        <v>1511</v>
      </c>
      <c r="O69" s="3027" t="s">
        <v>1549</v>
      </c>
      <c r="P69" s="3027">
        <v>1</v>
      </c>
      <c r="Q69" s="3027">
        <v>1</v>
      </c>
      <c r="R69" s="1820">
        <v>1</v>
      </c>
      <c r="S69" s="1825" t="s">
        <v>3838</v>
      </c>
      <c r="T69" s="1785" t="s">
        <v>3839</v>
      </c>
      <c r="U69" s="1783"/>
      <c r="V69" s="1821">
        <v>1800000</v>
      </c>
      <c r="W69" s="1821">
        <v>1800000</v>
      </c>
      <c r="X69" s="1783"/>
      <c r="Y69" s="1783"/>
      <c r="Z69" s="1783"/>
      <c r="AA69" s="1783"/>
      <c r="AB69" s="1783"/>
      <c r="AC69" s="1783"/>
      <c r="AD69" s="1783"/>
      <c r="AE69" s="1783"/>
      <c r="AF69" s="1783"/>
      <c r="AG69" s="1783"/>
      <c r="AH69" s="1783"/>
      <c r="AI69" s="1783"/>
      <c r="AJ69" s="1783"/>
      <c r="AK69" s="1783"/>
      <c r="AL69" s="1783"/>
      <c r="AM69" s="1783"/>
      <c r="AN69" s="1783"/>
      <c r="AO69" s="1783"/>
      <c r="AP69" s="1783"/>
      <c r="AQ69" s="1783"/>
      <c r="AR69" s="1783"/>
      <c r="AS69" s="1783"/>
      <c r="AT69" s="1783"/>
      <c r="AU69" s="1783"/>
      <c r="AV69" s="1783"/>
      <c r="AW69" s="1783"/>
      <c r="AX69" s="1783"/>
      <c r="AY69" s="1783"/>
      <c r="AZ69" s="1783"/>
      <c r="BA69" s="1783"/>
      <c r="BB69" s="1783"/>
      <c r="BC69" s="1783"/>
      <c r="BD69" s="1783"/>
      <c r="BE69" s="1783"/>
      <c r="BF69" s="1783"/>
      <c r="BG69" s="1783"/>
      <c r="BH69" s="1783"/>
      <c r="BI69" s="1783"/>
      <c r="BJ69" s="15681">
        <v>0.85</v>
      </c>
      <c r="BK69" s="15713"/>
      <c r="BL69" s="3652" t="s">
        <v>10046</v>
      </c>
      <c r="BM69" s="3652" t="s">
        <v>10047</v>
      </c>
      <c r="BN69" s="3653"/>
      <c r="BO69" s="3654">
        <f>105020000+49000000</f>
        <v>154020000</v>
      </c>
      <c r="BP69" s="3654">
        <v>154020000</v>
      </c>
      <c r="BQ69" s="3655">
        <v>0</v>
      </c>
      <c r="BR69" s="3655">
        <v>0</v>
      </c>
      <c r="BS69" s="3655">
        <f>590+150</f>
        <v>740</v>
      </c>
      <c r="BT69" s="3655">
        <f>234+105</f>
        <v>339</v>
      </c>
      <c r="BU69" s="3655">
        <f>286+45</f>
        <v>331</v>
      </c>
      <c r="BV69" s="3655">
        <f>413+150</f>
        <v>563</v>
      </c>
      <c r="BW69" s="3655">
        <v>160</v>
      </c>
      <c r="BX69" s="3655"/>
      <c r="BY69" s="3655"/>
      <c r="BZ69" s="3655"/>
      <c r="CA69" s="3655">
        <v>740</v>
      </c>
      <c r="CB69" s="3655"/>
      <c r="CC69" s="3655"/>
      <c r="CD69" s="3655"/>
      <c r="CE69" s="3655">
        <v>150</v>
      </c>
      <c r="CF69" s="3655">
        <v>1</v>
      </c>
      <c r="CG69" s="3655">
        <v>12</v>
      </c>
      <c r="CH69" s="3655">
        <v>6</v>
      </c>
      <c r="CI69" s="3655"/>
      <c r="CJ69" s="3655">
        <v>1</v>
      </c>
      <c r="CK69" s="3655"/>
      <c r="CL69" s="3655"/>
      <c r="CM69" s="3655">
        <f>555+150</f>
        <v>705</v>
      </c>
      <c r="CN69" s="3655">
        <v>23</v>
      </c>
      <c r="CO69" s="3655">
        <v>12</v>
      </c>
      <c r="CP69" s="3655"/>
      <c r="CQ69" s="3655"/>
      <c r="CR69" s="3655"/>
      <c r="CS69" s="3655"/>
      <c r="CT69" s="3655"/>
      <c r="CU69" s="3655"/>
      <c r="CV69" s="3655"/>
      <c r="CW69" s="3655"/>
      <c r="CX69" s="3655"/>
      <c r="CY69" s="3655"/>
      <c r="CZ69" s="3655"/>
      <c r="DA69" s="3655"/>
      <c r="DB69" s="3655"/>
      <c r="DC69" s="1819"/>
      <c r="DD69" s="2055"/>
      <c r="DE69" s="3471"/>
      <c r="DF69" s="3471"/>
      <c r="DG69" s="3471"/>
      <c r="DH69" s="3471"/>
      <c r="DI69" s="2054"/>
      <c r="DJ69" s="3783"/>
      <c r="DK69" s="3772"/>
      <c r="DL69" s="3471"/>
      <c r="DM69" s="2054"/>
      <c r="DN69" s="3772"/>
      <c r="DO69" s="3471"/>
      <c r="DP69" s="2054"/>
      <c r="DQ69" s="3772"/>
      <c r="DR69" s="2054"/>
      <c r="DS69" s="3772"/>
      <c r="DT69" s="3471"/>
      <c r="DU69" s="3471"/>
      <c r="DV69" s="3471"/>
      <c r="DW69" s="3471"/>
      <c r="DX69" s="3471"/>
      <c r="DY69" s="2054"/>
      <c r="DZ69" s="3772"/>
      <c r="EA69" s="3471"/>
      <c r="EB69" s="3471"/>
      <c r="EC69" s="3471"/>
      <c r="ED69" s="3471"/>
      <c r="EE69" s="3471"/>
      <c r="EF69" s="3471"/>
      <c r="EG69" s="3471"/>
      <c r="EH69" s="3471"/>
      <c r="EI69" s="3471"/>
      <c r="EJ69" s="3471"/>
      <c r="EK69" s="3471"/>
      <c r="EL69" s="3471"/>
      <c r="EM69" s="2054"/>
      <c r="EN69" s="3772"/>
      <c r="EO69" s="3471"/>
      <c r="EP69" s="3471"/>
      <c r="EQ69" s="3471"/>
      <c r="ER69" s="2054"/>
      <c r="ES69" s="3772"/>
      <c r="ET69" s="3471"/>
      <c r="EU69" s="3471"/>
      <c r="EV69" s="3471"/>
      <c r="EW69" s="2054"/>
    </row>
    <row r="70" spans="1:153" s="1780" customFormat="1" ht="15" customHeight="1">
      <c r="A70" s="15605"/>
      <c r="B70" s="15577"/>
      <c r="C70" s="15608"/>
      <c r="D70" s="15590"/>
      <c r="E70" s="3027"/>
      <c r="F70" s="15590"/>
      <c r="G70" s="15590"/>
      <c r="H70" s="15609"/>
      <c r="I70" s="15590"/>
      <c r="J70" s="3043" t="s">
        <v>2896</v>
      </c>
      <c r="K70" s="3911"/>
      <c r="L70" s="3911" t="s">
        <v>2200</v>
      </c>
      <c r="M70" s="3027"/>
      <c r="N70" s="3027"/>
      <c r="O70" s="3027"/>
      <c r="P70" s="3027"/>
      <c r="Q70" s="3027"/>
      <c r="R70" s="1820"/>
      <c r="S70" s="1825"/>
      <c r="T70" s="1785"/>
      <c r="U70" s="1783"/>
      <c r="V70" s="1821"/>
      <c r="W70" s="1821"/>
      <c r="X70" s="1783"/>
      <c r="Y70" s="1783"/>
      <c r="Z70" s="1783"/>
      <c r="AA70" s="1783"/>
      <c r="AB70" s="1783"/>
      <c r="AC70" s="1783"/>
      <c r="AD70" s="1783"/>
      <c r="AE70" s="1783"/>
      <c r="AF70" s="1783"/>
      <c r="AG70" s="1783"/>
      <c r="AH70" s="1783"/>
      <c r="AI70" s="1783"/>
      <c r="AJ70" s="1783"/>
      <c r="AK70" s="1783"/>
      <c r="AL70" s="1783"/>
      <c r="AM70" s="1783"/>
      <c r="AN70" s="1783"/>
      <c r="AO70" s="1783"/>
      <c r="AP70" s="1783"/>
      <c r="AQ70" s="1783"/>
      <c r="AR70" s="1783"/>
      <c r="AS70" s="1783"/>
      <c r="AT70" s="1783"/>
      <c r="AU70" s="1783"/>
      <c r="AV70" s="1783"/>
      <c r="AW70" s="1783"/>
      <c r="AX70" s="1783"/>
      <c r="AY70" s="1783"/>
      <c r="AZ70" s="1783"/>
      <c r="BA70" s="1783"/>
      <c r="BB70" s="1783"/>
      <c r="BC70" s="1783"/>
      <c r="BD70" s="1783"/>
      <c r="BE70" s="1783"/>
      <c r="BF70" s="1783"/>
      <c r="BG70" s="1783"/>
      <c r="BH70" s="1783"/>
      <c r="BI70" s="1783"/>
      <c r="BJ70" s="15682"/>
      <c r="BK70" s="15713"/>
      <c r="BL70" s="1782" t="s">
        <v>8822</v>
      </c>
      <c r="BM70" s="3027" t="s">
        <v>8823</v>
      </c>
      <c r="BN70" s="1818"/>
      <c r="BO70" s="1818">
        <v>1800000</v>
      </c>
      <c r="BP70" s="1826">
        <v>0</v>
      </c>
      <c r="BQ70" s="1826">
        <v>0</v>
      </c>
      <c r="BR70" s="1826">
        <v>0</v>
      </c>
      <c r="BS70" s="1827">
        <v>3145</v>
      </c>
      <c r="BT70" s="1818"/>
      <c r="BU70" s="1818"/>
      <c r="BV70" s="1818"/>
      <c r="BW70" s="1818"/>
      <c r="BX70" s="1818"/>
      <c r="BY70" s="1818"/>
      <c r="BZ70" s="1818"/>
      <c r="CA70" s="1818"/>
      <c r="CB70" s="1818"/>
      <c r="CC70" s="1818"/>
      <c r="CD70" s="1818"/>
      <c r="CE70" s="1818"/>
      <c r="CF70" s="1818"/>
      <c r="CG70" s="1818"/>
      <c r="CH70" s="1818"/>
      <c r="CI70" s="1818"/>
      <c r="CJ70" s="1818"/>
      <c r="CK70" s="1818"/>
      <c r="CL70" s="1818"/>
      <c r="CM70" s="1818"/>
      <c r="CN70" s="1818"/>
      <c r="CO70" s="1818"/>
      <c r="CP70" s="1818"/>
      <c r="CQ70" s="1818"/>
      <c r="CR70" s="1818"/>
      <c r="CS70" s="1818"/>
      <c r="CT70" s="1818"/>
      <c r="CU70" s="1818"/>
      <c r="CV70" s="1818"/>
      <c r="CW70" s="1818"/>
      <c r="CX70" s="1818"/>
      <c r="CY70" s="1818"/>
      <c r="CZ70" s="1818"/>
      <c r="DA70" s="1818"/>
      <c r="DB70" s="1818"/>
      <c r="DC70" s="1819"/>
      <c r="DD70" s="2055"/>
      <c r="DE70" s="3471"/>
      <c r="DF70" s="3471"/>
      <c r="DG70" s="3471"/>
      <c r="DH70" s="3471"/>
      <c r="DI70" s="2054"/>
      <c r="DJ70" s="3783"/>
      <c r="DK70" s="3772"/>
      <c r="DL70" s="3471"/>
      <c r="DM70" s="2054"/>
      <c r="DN70" s="3772"/>
      <c r="DO70" s="3471"/>
      <c r="DP70" s="2054"/>
      <c r="DQ70" s="3772"/>
      <c r="DR70" s="2054"/>
      <c r="DS70" s="3772"/>
      <c r="DT70" s="3471"/>
      <c r="DU70" s="3471"/>
      <c r="DV70" s="3471"/>
      <c r="DW70" s="3471"/>
      <c r="DX70" s="3471"/>
      <c r="DY70" s="2054"/>
      <c r="DZ70" s="3772"/>
      <c r="EA70" s="3471"/>
      <c r="EB70" s="3471"/>
      <c r="EC70" s="3471"/>
      <c r="ED70" s="3471"/>
      <c r="EE70" s="3471"/>
      <c r="EF70" s="3471"/>
      <c r="EG70" s="3471"/>
      <c r="EH70" s="3471"/>
      <c r="EI70" s="3471"/>
      <c r="EJ70" s="3471"/>
      <c r="EK70" s="3471"/>
      <c r="EL70" s="3471"/>
      <c r="EM70" s="2054"/>
      <c r="EN70" s="3772"/>
      <c r="EO70" s="3471"/>
      <c r="EP70" s="3471"/>
      <c r="EQ70" s="3471"/>
      <c r="ER70" s="2054"/>
      <c r="ES70" s="3772"/>
      <c r="ET70" s="3471"/>
      <c r="EU70" s="3471"/>
      <c r="EV70" s="3471"/>
      <c r="EW70" s="2054"/>
    </row>
    <row r="71" spans="1:153" s="1780" customFormat="1" ht="15" customHeight="1">
      <c r="A71" s="15605"/>
      <c r="B71" s="15577"/>
      <c r="C71" s="15608"/>
      <c r="D71" s="15590" t="s">
        <v>7817</v>
      </c>
      <c r="E71" s="3027" t="s">
        <v>1647</v>
      </c>
      <c r="F71" s="15590" t="s">
        <v>1647</v>
      </c>
      <c r="G71" s="15590" t="s">
        <v>1649</v>
      </c>
      <c r="H71" s="15590">
        <v>1</v>
      </c>
      <c r="I71" s="15590" t="s">
        <v>1648</v>
      </c>
      <c r="J71" s="3047" t="s">
        <v>218</v>
      </c>
      <c r="K71" s="3911" t="s">
        <v>768</v>
      </c>
      <c r="L71" s="3911"/>
      <c r="M71" s="3027" t="s">
        <v>1523</v>
      </c>
      <c r="N71" s="3027" t="s">
        <v>1511</v>
      </c>
      <c r="O71" s="3027" t="s">
        <v>1549</v>
      </c>
      <c r="P71" s="3027">
        <v>1</v>
      </c>
      <c r="Q71" s="3027">
        <v>1</v>
      </c>
      <c r="R71" s="1828">
        <v>0</v>
      </c>
      <c r="S71" s="1783"/>
      <c r="T71" s="1783"/>
      <c r="U71" s="1783"/>
      <c r="V71" s="1783"/>
      <c r="W71" s="1783"/>
      <c r="X71" s="1783"/>
      <c r="Y71" s="1783"/>
      <c r="Z71" s="1783"/>
      <c r="AA71" s="1783"/>
      <c r="AB71" s="1783"/>
      <c r="AC71" s="1783"/>
      <c r="AD71" s="1783"/>
      <c r="AE71" s="1783"/>
      <c r="AF71" s="1783"/>
      <c r="AG71" s="1783"/>
      <c r="AH71" s="1783"/>
      <c r="AI71" s="1783"/>
      <c r="AJ71" s="1783"/>
      <c r="AK71" s="1783"/>
      <c r="AL71" s="1783"/>
      <c r="AM71" s="1783"/>
      <c r="AN71" s="1783"/>
      <c r="AO71" s="1783"/>
      <c r="AP71" s="1783"/>
      <c r="AQ71" s="1783"/>
      <c r="AR71" s="1783"/>
      <c r="AS71" s="1783"/>
      <c r="AT71" s="1783"/>
      <c r="AU71" s="1783"/>
      <c r="AV71" s="1783"/>
      <c r="AW71" s="1783"/>
      <c r="AX71" s="1783"/>
      <c r="AY71" s="1783"/>
      <c r="AZ71" s="1783"/>
      <c r="BA71" s="1783"/>
      <c r="BB71" s="1783"/>
      <c r="BC71" s="1783"/>
      <c r="BD71" s="1783"/>
      <c r="BE71" s="1783"/>
      <c r="BF71" s="1783"/>
      <c r="BG71" s="1783"/>
      <c r="BH71" s="1783"/>
      <c r="BI71" s="1783"/>
      <c r="BJ71" s="15681">
        <v>0</v>
      </c>
      <c r="BK71" s="15713"/>
      <c r="BL71" s="1783" t="s">
        <v>9792</v>
      </c>
      <c r="BM71" s="1783"/>
      <c r="BN71" s="1818"/>
      <c r="BO71" s="1818">
        <v>0</v>
      </c>
      <c r="BP71" s="1818">
        <v>0</v>
      </c>
      <c r="BQ71" s="1818">
        <v>0</v>
      </c>
      <c r="BR71" s="1818">
        <v>0</v>
      </c>
      <c r="BS71" s="1818">
        <v>0</v>
      </c>
      <c r="BT71" s="1818">
        <v>0</v>
      </c>
      <c r="BU71" s="1818">
        <v>0</v>
      </c>
      <c r="BV71" s="1818">
        <v>0</v>
      </c>
      <c r="BW71" s="1818">
        <v>0</v>
      </c>
      <c r="BX71" s="1818">
        <v>0</v>
      </c>
      <c r="BY71" s="1818">
        <v>0</v>
      </c>
      <c r="BZ71" s="1818">
        <v>0</v>
      </c>
      <c r="CA71" s="1818"/>
      <c r="CB71" s="1818"/>
      <c r="CC71" s="1818"/>
      <c r="CD71" s="1818"/>
      <c r="CE71" s="1818"/>
      <c r="CF71" s="1818"/>
      <c r="CG71" s="1818"/>
      <c r="CH71" s="1818"/>
      <c r="CI71" s="1818"/>
      <c r="CJ71" s="1818"/>
      <c r="CK71" s="1818"/>
      <c r="CL71" s="1818"/>
      <c r="CM71" s="1818"/>
      <c r="CN71" s="1818"/>
      <c r="CO71" s="1818"/>
      <c r="CP71" s="1818"/>
      <c r="CQ71" s="1818"/>
      <c r="CR71" s="1818"/>
      <c r="CS71" s="1818"/>
      <c r="CT71" s="1818"/>
      <c r="CU71" s="1818"/>
      <c r="CV71" s="1818"/>
      <c r="CW71" s="1818"/>
      <c r="CX71" s="1818"/>
      <c r="CY71" s="1818"/>
      <c r="CZ71" s="1818"/>
      <c r="DA71" s="1818"/>
      <c r="DB71" s="1818"/>
      <c r="DC71" s="1819"/>
      <c r="DD71" s="2055"/>
      <c r="DE71" s="3471"/>
      <c r="DF71" s="3471"/>
      <c r="DG71" s="3471"/>
      <c r="DH71" s="3471"/>
      <c r="DI71" s="2054"/>
      <c r="DJ71" s="3783"/>
      <c r="DK71" s="3772"/>
      <c r="DL71" s="3471"/>
      <c r="DM71" s="2054"/>
      <c r="DN71" s="3772"/>
      <c r="DO71" s="3471"/>
      <c r="DP71" s="2054"/>
      <c r="DQ71" s="3772"/>
      <c r="DR71" s="2054"/>
      <c r="DS71" s="3772"/>
      <c r="DT71" s="3471"/>
      <c r="DU71" s="3471"/>
      <c r="DV71" s="3471"/>
      <c r="DW71" s="3471"/>
      <c r="DX71" s="3471"/>
      <c r="DY71" s="2054"/>
      <c r="DZ71" s="3772"/>
      <c r="EA71" s="3471"/>
      <c r="EB71" s="3471"/>
      <c r="EC71" s="3471"/>
      <c r="ED71" s="3471"/>
      <c r="EE71" s="3471"/>
      <c r="EF71" s="3471"/>
      <c r="EG71" s="3471"/>
      <c r="EH71" s="3471"/>
      <c r="EI71" s="3471"/>
      <c r="EJ71" s="3471"/>
      <c r="EK71" s="3471"/>
      <c r="EL71" s="3471"/>
      <c r="EM71" s="2054"/>
      <c r="EN71" s="3772"/>
      <c r="EO71" s="3471"/>
      <c r="EP71" s="3471"/>
      <c r="EQ71" s="3471"/>
      <c r="ER71" s="2054"/>
      <c r="ES71" s="3772"/>
      <c r="ET71" s="3471"/>
      <c r="EU71" s="3471"/>
      <c r="EV71" s="3471"/>
      <c r="EW71" s="2054"/>
    </row>
    <row r="72" spans="1:153" s="1780" customFormat="1" ht="15" customHeight="1">
      <c r="A72" s="15605"/>
      <c r="B72" s="15577"/>
      <c r="C72" s="15608"/>
      <c r="D72" s="15590"/>
      <c r="E72" s="3027"/>
      <c r="F72" s="15590"/>
      <c r="G72" s="15590"/>
      <c r="H72" s="15590"/>
      <c r="I72" s="15590"/>
      <c r="J72" s="3043" t="s">
        <v>2896</v>
      </c>
      <c r="K72" s="3911"/>
      <c r="L72" s="3911" t="s">
        <v>2200</v>
      </c>
      <c r="M72" s="3027"/>
      <c r="N72" s="3027"/>
      <c r="O72" s="3027"/>
      <c r="P72" s="3027"/>
      <c r="Q72" s="3027"/>
      <c r="R72" s="1828"/>
      <c r="S72" s="1783"/>
      <c r="T72" s="1783"/>
      <c r="U72" s="1783"/>
      <c r="V72" s="1783"/>
      <c r="W72" s="1783"/>
      <c r="X72" s="1783"/>
      <c r="Y72" s="1783"/>
      <c r="Z72" s="1783"/>
      <c r="AA72" s="1783"/>
      <c r="AB72" s="1783"/>
      <c r="AC72" s="1783"/>
      <c r="AD72" s="1783"/>
      <c r="AE72" s="1783"/>
      <c r="AF72" s="1783"/>
      <c r="AG72" s="1783"/>
      <c r="AH72" s="1783"/>
      <c r="AI72" s="1783"/>
      <c r="AJ72" s="1783"/>
      <c r="AK72" s="1783"/>
      <c r="AL72" s="1783"/>
      <c r="AM72" s="1783"/>
      <c r="AN72" s="1783"/>
      <c r="AO72" s="1783"/>
      <c r="AP72" s="1783"/>
      <c r="AQ72" s="1783"/>
      <c r="AR72" s="1783"/>
      <c r="AS72" s="1783"/>
      <c r="AT72" s="1783"/>
      <c r="AU72" s="1783"/>
      <c r="AV72" s="1783"/>
      <c r="AW72" s="1783"/>
      <c r="AX72" s="1783"/>
      <c r="AY72" s="1783"/>
      <c r="AZ72" s="1783"/>
      <c r="BA72" s="1783"/>
      <c r="BB72" s="1783"/>
      <c r="BC72" s="1783"/>
      <c r="BD72" s="1783"/>
      <c r="BE72" s="1783"/>
      <c r="BF72" s="1783"/>
      <c r="BG72" s="1783"/>
      <c r="BH72" s="1783"/>
      <c r="BI72" s="1783"/>
      <c r="BJ72" s="15682"/>
      <c r="BK72" s="15713"/>
      <c r="BL72" s="1783" t="s">
        <v>9792</v>
      </c>
      <c r="BM72" s="1829"/>
      <c r="BN72" s="1817" t="s">
        <v>8824</v>
      </c>
      <c r="BO72" s="1818">
        <v>0</v>
      </c>
      <c r="BP72" s="1818">
        <v>0</v>
      </c>
      <c r="BQ72" s="1818">
        <v>0</v>
      </c>
      <c r="BR72" s="1818">
        <v>0</v>
      </c>
      <c r="BS72" s="1818">
        <v>0</v>
      </c>
      <c r="BT72" s="1818">
        <v>0</v>
      </c>
      <c r="BU72" s="1818">
        <v>0</v>
      </c>
      <c r="BV72" s="1818">
        <v>0</v>
      </c>
      <c r="BW72" s="1818">
        <v>0</v>
      </c>
      <c r="BX72" s="1818">
        <v>0</v>
      </c>
      <c r="BY72" s="1818">
        <v>0</v>
      </c>
      <c r="BZ72" s="1818">
        <v>0</v>
      </c>
      <c r="CA72" s="1818"/>
      <c r="CB72" s="1818"/>
      <c r="CC72" s="1818"/>
      <c r="CD72" s="1818"/>
      <c r="CE72" s="1818"/>
      <c r="CF72" s="1818"/>
      <c r="CG72" s="1818"/>
      <c r="CH72" s="1818"/>
      <c r="CI72" s="1818"/>
      <c r="CJ72" s="1818"/>
      <c r="CK72" s="1818"/>
      <c r="CL72" s="1818"/>
      <c r="CM72" s="1818"/>
      <c r="CN72" s="1818"/>
      <c r="CO72" s="1818"/>
      <c r="CP72" s="1818"/>
      <c r="CQ72" s="1818"/>
      <c r="CR72" s="1818"/>
      <c r="CS72" s="1818"/>
      <c r="CT72" s="1818"/>
      <c r="CU72" s="1818"/>
      <c r="CV72" s="1818"/>
      <c r="CW72" s="1818"/>
      <c r="CX72" s="1818"/>
      <c r="CY72" s="1818"/>
      <c r="CZ72" s="1818"/>
      <c r="DA72" s="1818"/>
      <c r="DB72" s="1818"/>
      <c r="DC72" s="1819"/>
      <c r="DD72" s="2055"/>
      <c r="DE72" s="3471"/>
      <c r="DF72" s="3471"/>
      <c r="DG72" s="3471"/>
      <c r="DH72" s="3471"/>
      <c r="DI72" s="2054"/>
      <c r="DJ72" s="3783"/>
      <c r="DK72" s="3772"/>
      <c r="DL72" s="3471"/>
      <c r="DM72" s="2054"/>
      <c r="DN72" s="3772"/>
      <c r="DO72" s="3471"/>
      <c r="DP72" s="2054"/>
      <c r="DQ72" s="3772"/>
      <c r="DR72" s="2054"/>
      <c r="DS72" s="3772"/>
      <c r="DT72" s="3471"/>
      <c r="DU72" s="3471"/>
      <c r="DV72" s="3471"/>
      <c r="DW72" s="3471"/>
      <c r="DX72" s="3471"/>
      <c r="DY72" s="2054"/>
      <c r="DZ72" s="3772"/>
      <c r="EA72" s="3471"/>
      <c r="EB72" s="3471"/>
      <c r="EC72" s="3471"/>
      <c r="ED72" s="3471"/>
      <c r="EE72" s="3471"/>
      <c r="EF72" s="3471"/>
      <c r="EG72" s="3471"/>
      <c r="EH72" s="3471"/>
      <c r="EI72" s="3471"/>
      <c r="EJ72" s="3471"/>
      <c r="EK72" s="3471"/>
      <c r="EL72" s="3471"/>
      <c r="EM72" s="2054"/>
      <c r="EN72" s="3772"/>
      <c r="EO72" s="3471"/>
      <c r="EP72" s="3471"/>
      <c r="EQ72" s="3471"/>
      <c r="ER72" s="2054"/>
      <c r="ES72" s="3772"/>
      <c r="ET72" s="3471"/>
      <c r="EU72" s="3471"/>
      <c r="EV72" s="3471"/>
      <c r="EW72" s="2054"/>
    </row>
    <row r="73" spans="1:153" s="1780" customFormat="1" ht="15" customHeight="1">
      <c r="A73" s="15605"/>
      <c r="B73" s="15577"/>
      <c r="C73" s="15608"/>
      <c r="D73" s="15589" t="s">
        <v>7818</v>
      </c>
      <c r="E73" s="3027" t="s">
        <v>1650</v>
      </c>
      <c r="F73" s="15589" t="s">
        <v>1650</v>
      </c>
      <c r="G73" s="15590" t="s">
        <v>1636</v>
      </c>
      <c r="H73" s="15590">
        <v>1</v>
      </c>
      <c r="I73" s="15590" t="s">
        <v>1635</v>
      </c>
      <c r="J73" s="3047" t="s">
        <v>218</v>
      </c>
      <c r="K73" s="3912" t="s">
        <v>768</v>
      </c>
      <c r="L73" s="3912"/>
      <c r="M73" s="3027" t="s">
        <v>1523</v>
      </c>
      <c r="N73" s="3027" t="s">
        <v>1511</v>
      </c>
      <c r="O73" s="3027" t="s">
        <v>1549</v>
      </c>
      <c r="P73" s="3027">
        <v>1</v>
      </c>
      <c r="Q73" s="3027">
        <v>1</v>
      </c>
      <c r="R73" s="1820">
        <v>1</v>
      </c>
      <c r="S73" s="1784" t="s">
        <v>3840</v>
      </c>
      <c r="T73" s="1782" t="s">
        <v>3841</v>
      </c>
      <c r="U73" s="1783"/>
      <c r="V73" s="1830">
        <v>600000</v>
      </c>
      <c r="W73" s="1830">
        <v>600000</v>
      </c>
      <c r="X73" s="1783"/>
      <c r="Y73" s="1783"/>
      <c r="Z73" s="1783"/>
      <c r="AA73" s="1783"/>
      <c r="AB73" s="1783"/>
      <c r="AC73" s="1783"/>
      <c r="AD73" s="1783"/>
      <c r="AE73" s="1783"/>
      <c r="AF73" s="1783"/>
      <c r="AG73" s="1783"/>
      <c r="AH73" s="1783"/>
      <c r="AI73" s="1783"/>
      <c r="AJ73" s="1783"/>
      <c r="AK73" s="1783"/>
      <c r="AL73" s="1783"/>
      <c r="AM73" s="1783"/>
      <c r="AN73" s="1783"/>
      <c r="AO73" s="1783"/>
      <c r="AP73" s="1783"/>
      <c r="AQ73" s="1783"/>
      <c r="AR73" s="1783"/>
      <c r="AS73" s="1783"/>
      <c r="AT73" s="1783"/>
      <c r="AU73" s="1783"/>
      <c r="AV73" s="1783"/>
      <c r="AW73" s="1783"/>
      <c r="AX73" s="1783"/>
      <c r="AY73" s="1783"/>
      <c r="AZ73" s="1783"/>
      <c r="BA73" s="1783"/>
      <c r="BB73" s="1783"/>
      <c r="BC73" s="1783"/>
      <c r="BD73" s="1783"/>
      <c r="BE73" s="1783"/>
      <c r="BF73" s="1783"/>
      <c r="BG73" s="1783"/>
      <c r="BH73" s="1783"/>
      <c r="BI73" s="1783"/>
      <c r="BJ73" s="15681">
        <v>0.7</v>
      </c>
      <c r="BK73" s="15713"/>
      <c r="BL73" s="3656" t="s">
        <v>10048</v>
      </c>
      <c r="BM73" s="3657" t="s">
        <v>3841</v>
      </c>
      <c r="BN73" s="3658" t="s">
        <v>10049</v>
      </c>
      <c r="BO73" s="3654">
        <v>800000</v>
      </c>
      <c r="BP73" s="3654">
        <v>800000</v>
      </c>
      <c r="BQ73" s="3655">
        <v>0</v>
      </c>
      <c r="BR73" s="3655">
        <v>0</v>
      </c>
      <c r="BS73" s="3655">
        <v>0</v>
      </c>
      <c r="BT73" s="3655">
        <v>0</v>
      </c>
      <c r="BU73" s="3655">
        <v>0</v>
      </c>
      <c r="BV73" s="3655">
        <v>0</v>
      </c>
      <c r="BW73" s="3655">
        <v>0</v>
      </c>
      <c r="BX73" s="3655">
        <v>0</v>
      </c>
      <c r="BY73" s="3655">
        <v>0</v>
      </c>
      <c r="BZ73" s="3655">
        <v>0</v>
      </c>
      <c r="CA73" s="3655"/>
      <c r="CB73" s="3655"/>
      <c r="CC73" s="3655"/>
      <c r="CD73" s="3655"/>
      <c r="CE73" s="3655"/>
      <c r="CF73" s="3655"/>
      <c r="CG73" s="3655"/>
      <c r="CH73" s="3655"/>
      <c r="CI73" s="3655"/>
      <c r="CJ73" s="3655"/>
      <c r="CK73" s="3655"/>
      <c r="CL73" s="3655"/>
      <c r="CM73" s="3655"/>
      <c r="CN73" s="3655"/>
      <c r="CO73" s="3655"/>
      <c r="CP73" s="3655"/>
      <c r="CQ73" s="3655"/>
      <c r="CR73" s="3655"/>
      <c r="CS73" s="3655"/>
      <c r="CT73" s="3655"/>
      <c r="CU73" s="3655"/>
      <c r="CV73" s="3655"/>
      <c r="CW73" s="3655"/>
      <c r="CX73" s="3655"/>
      <c r="CY73" s="3655"/>
      <c r="CZ73" s="3655"/>
      <c r="DA73" s="3655"/>
      <c r="DB73" s="3655"/>
      <c r="DC73" s="1819"/>
      <c r="DD73" s="2055"/>
      <c r="DE73" s="3471"/>
      <c r="DF73" s="3471"/>
      <c r="DG73" s="3471"/>
      <c r="DH73" s="3471"/>
      <c r="DI73" s="2054"/>
      <c r="DJ73" s="3783"/>
      <c r="DK73" s="3772"/>
      <c r="DL73" s="3471"/>
      <c r="DM73" s="2054"/>
      <c r="DN73" s="3772"/>
      <c r="DO73" s="3471"/>
      <c r="DP73" s="2054"/>
      <c r="DQ73" s="3772"/>
      <c r="DR73" s="2054"/>
      <c r="DS73" s="3772"/>
      <c r="DT73" s="3471"/>
      <c r="DU73" s="3471"/>
      <c r="DV73" s="3471"/>
      <c r="DW73" s="3471"/>
      <c r="DX73" s="3471"/>
      <c r="DY73" s="2054"/>
      <c r="DZ73" s="3772"/>
      <c r="EA73" s="3471"/>
      <c r="EB73" s="3471"/>
      <c r="EC73" s="3471"/>
      <c r="ED73" s="3471"/>
      <c r="EE73" s="3471"/>
      <c r="EF73" s="3471"/>
      <c r="EG73" s="3471"/>
      <c r="EH73" s="3471"/>
      <c r="EI73" s="3471"/>
      <c r="EJ73" s="3471"/>
      <c r="EK73" s="3471"/>
      <c r="EL73" s="3471"/>
      <c r="EM73" s="2054"/>
      <c r="EN73" s="3772"/>
      <c r="EO73" s="3471"/>
      <c r="EP73" s="3471"/>
      <c r="EQ73" s="3471"/>
      <c r="ER73" s="2054"/>
      <c r="ES73" s="3772"/>
      <c r="ET73" s="3471"/>
      <c r="EU73" s="3471"/>
      <c r="EV73" s="3471"/>
      <c r="EW73" s="2054"/>
    </row>
    <row r="74" spans="1:153" s="1780" customFormat="1" ht="15" customHeight="1" thickBot="1">
      <c r="A74" s="15606"/>
      <c r="B74" s="15577"/>
      <c r="C74" s="15609"/>
      <c r="D74" s="15590"/>
      <c r="E74" s="3027"/>
      <c r="F74" s="15590"/>
      <c r="G74" s="15590"/>
      <c r="H74" s="15590"/>
      <c r="I74" s="15590"/>
      <c r="J74" s="3043" t="s">
        <v>2896</v>
      </c>
      <c r="K74" s="3911"/>
      <c r="L74" s="3911" t="s">
        <v>2200</v>
      </c>
      <c r="M74" s="3027"/>
      <c r="N74" s="3027"/>
      <c r="O74" s="3027"/>
      <c r="P74" s="3027"/>
      <c r="Q74" s="3027"/>
      <c r="R74" s="1820"/>
      <c r="S74" s="1784"/>
      <c r="T74" s="1782"/>
      <c r="U74" s="1783"/>
      <c r="V74" s="1830"/>
      <c r="W74" s="1830"/>
      <c r="X74" s="1783"/>
      <c r="Y74" s="1783"/>
      <c r="Z74" s="1783"/>
      <c r="AA74" s="1783"/>
      <c r="AB74" s="1783"/>
      <c r="AC74" s="1783"/>
      <c r="AD74" s="1783"/>
      <c r="AE74" s="1783"/>
      <c r="AF74" s="1783"/>
      <c r="AG74" s="1783"/>
      <c r="AH74" s="1783"/>
      <c r="AI74" s="1783"/>
      <c r="AJ74" s="1783"/>
      <c r="AK74" s="1783"/>
      <c r="AL74" s="1783"/>
      <c r="AM74" s="1783"/>
      <c r="AN74" s="1783"/>
      <c r="AO74" s="1783"/>
      <c r="AP74" s="1783"/>
      <c r="AQ74" s="1783"/>
      <c r="AR74" s="1783"/>
      <c r="AS74" s="1783"/>
      <c r="AT74" s="1783"/>
      <c r="AU74" s="1783"/>
      <c r="AV74" s="1783"/>
      <c r="AW74" s="1783"/>
      <c r="AX74" s="1783"/>
      <c r="AY74" s="1783"/>
      <c r="AZ74" s="1783"/>
      <c r="BA74" s="1783"/>
      <c r="BB74" s="1783"/>
      <c r="BC74" s="1783"/>
      <c r="BD74" s="1783"/>
      <c r="BE74" s="1783"/>
      <c r="BF74" s="1783"/>
      <c r="BG74" s="1783"/>
      <c r="BH74" s="1783"/>
      <c r="BI74" s="1783"/>
      <c r="BJ74" s="15682"/>
      <c r="BK74" s="15714"/>
      <c r="BL74" s="1785" t="s">
        <v>8825</v>
      </c>
      <c r="BM74" s="3027" t="s">
        <v>8826</v>
      </c>
      <c r="BN74" s="1818"/>
      <c r="BO74" s="1818"/>
      <c r="BP74" s="1826">
        <v>600000</v>
      </c>
      <c r="BQ74" s="1818"/>
      <c r="BR74" s="1818"/>
      <c r="BS74" s="1818"/>
      <c r="BT74" s="1818"/>
      <c r="BU74" s="1818"/>
      <c r="BV74" s="1818"/>
      <c r="BW74" s="1818"/>
      <c r="BX74" s="1818"/>
      <c r="BY74" s="1818"/>
      <c r="BZ74" s="1818"/>
      <c r="CA74" s="1818"/>
      <c r="CB74" s="1818"/>
      <c r="CC74" s="1818"/>
      <c r="CD74" s="1818"/>
      <c r="CE74" s="1818"/>
      <c r="CF74" s="1818"/>
      <c r="CG74" s="1818"/>
      <c r="CH74" s="1818"/>
      <c r="CI74" s="1818"/>
      <c r="CJ74" s="1818"/>
      <c r="CK74" s="1818"/>
      <c r="CL74" s="1818"/>
      <c r="CM74" s="1818"/>
      <c r="CN74" s="1818"/>
      <c r="CO74" s="1818"/>
      <c r="CP74" s="1818"/>
      <c r="CQ74" s="1818"/>
      <c r="CR74" s="1818"/>
      <c r="CS74" s="1818"/>
      <c r="CT74" s="1818"/>
      <c r="CU74" s="1818"/>
      <c r="CV74" s="1818"/>
      <c r="CW74" s="1818"/>
      <c r="CX74" s="1818"/>
      <c r="CY74" s="1818"/>
      <c r="CZ74" s="1818"/>
      <c r="DA74" s="1818"/>
      <c r="DB74" s="1818"/>
      <c r="DC74" s="1819"/>
      <c r="DD74" s="3808"/>
      <c r="DE74" s="1943"/>
      <c r="DF74" s="1943"/>
      <c r="DG74" s="1943"/>
      <c r="DH74" s="1943"/>
      <c r="DI74" s="1944"/>
      <c r="DJ74" s="3809"/>
      <c r="DK74" s="3810"/>
      <c r="DL74" s="1943"/>
      <c r="DM74" s="1944"/>
      <c r="DN74" s="3810"/>
      <c r="DO74" s="1943"/>
      <c r="DP74" s="1944"/>
      <c r="DQ74" s="3810"/>
      <c r="DR74" s="1944"/>
      <c r="DS74" s="3810"/>
      <c r="DT74" s="1943"/>
      <c r="DU74" s="1943"/>
      <c r="DV74" s="1943"/>
      <c r="DW74" s="1943"/>
      <c r="DX74" s="1943"/>
      <c r="DY74" s="1944"/>
      <c r="DZ74" s="3810"/>
      <c r="EA74" s="1943"/>
      <c r="EB74" s="1943"/>
      <c r="EC74" s="1943"/>
      <c r="ED74" s="1943"/>
      <c r="EE74" s="1943"/>
      <c r="EF74" s="1943"/>
      <c r="EG74" s="1943"/>
      <c r="EH74" s="1943"/>
      <c r="EI74" s="1943"/>
      <c r="EJ74" s="1943"/>
      <c r="EK74" s="1943"/>
      <c r="EL74" s="1943"/>
      <c r="EM74" s="1944"/>
      <c r="EN74" s="3810"/>
      <c r="EO74" s="1943"/>
      <c r="EP74" s="1943"/>
      <c r="EQ74" s="1943"/>
      <c r="ER74" s="1944"/>
      <c r="ES74" s="3810"/>
      <c r="ET74" s="1943"/>
      <c r="EU74" s="1943"/>
      <c r="EV74" s="1943"/>
      <c r="EW74" s="1944"/>
    </row>
    <row r="75" spans="1:153" s="1810" customFormat="1" ht="15" customHeight="1">
      <c r="A75" s="15567" t="s">
        <v>1651</v>
      </c>
      <c r="B75" s="15577"/>
      <c r="C75" s="1623" t="s">
        <v>1652</v>
      </c>
      <c r="D75" s="3030" t="s">
        <v>7819</v>
      </c>
      <c r="E75" s="3030" t="s">
        <v>1653</v>
      </c>
      <c r="F75" s="3030" t="s">
        <v>1653</v>
      </c>
      <c r="G75" s="3030" t="s">
        <v>1654</v>
      </c>
      <c r="H75" s="1813">
        <v>1</v>
      </c>
      <c r="I75" s="3030" t="s">
        <v>1640</v>
      </c>
      <c r="J75" s="3487" t="s">
        <v>2896</v>
      </c>
      <c r="K75" s="3661" t="s">
        <v>163</v>
      </c>
      <c r="L75" s="3661"/>
      <c r="M75" s="3030" t="s">
        <v>1523</v>
      </c>
      <c r="N75" s="3030" t="s">
        <v>1511</v>
      </c>
      <c r="O75" s="3030" t="s">
        <v>1549</v>
      </c>
      <c r="P75" s="1813">
        <v>0.1</v>
      </c>
      <c r="Q75" s="1813">
        <v>0.5</v>
      </c>
      <c r="R75" s="3659">
        <v>0.7</v>
      </c>
      <c r="S75" s="3015" t="s">
        <v>3900</v>
      </c>
      <c r="T75" s="3004"/>
      <c r="U75" s="1759"/>
      <c r="V75" s="3660"/>
      <c r="W75" s="3660"/>
      <c r="X75" s="3660"/>
      <c r="Y75" s="3660"/>
      <c r="Z75" s="1759"/>
      <c r="AA75" s="1759"/>
      <c r="AB75" s="1759"/>
      <c r="AC75" s="1759"/>
      <c r="AD75" s="1759"/>
      <c r="AE75" s="1759"/>
      <c r="AF75" s="1759"/>
      <c r="AG75" s="1759"/>
      <c r="AH75" s="1759"/>
      <c r="AI75" s="1759"/>
      <c r="AJ75" s="1759"/>
      <c r="AK75" s="1759"/>
      <c r="AL75" s="1759"/>
      <c r="AM75" s="1759"/>
      <c r="AN75" s="1759"/>
      <c r="AO75" s="1759"/>
      <c r="AP75" s="1759"/>
      <c r="AQ75" s="1759"/>
      <c r="AR75" s="1759"/>
      <c r="AS75" s="1759"/>
      <c r="AT75" s="1759"/>
      <c r="AU75" s="1759"/>
      <c r="AV75" s="1759"/>
      <c r="AW75" s="1759"/>
      <c r="AX75" s="1759"/>
      <c r="AY75" s="1759"/>
      <c r="AZ75" s="1759"/>
      <c r="BA75" s="1759"/>
      <c r="BB75" s="1759"/>
      <c r="BC75" s="1759"/>
      <c r="BD75" s="1759"/>
      <c r="BE75" s="1759"/>
      <c r="BF75" s="1759"/>
      <c r="BG75" s="1759"/>
      <c r="BH75" s="1759"/>
      <c r="BI75" s="1759"/>
      <c r="BJ75" s="1590">
        <v>1</v>
      </c>
      <c r="BK75" s="15649">
        <f>AVERAGE(BJ75:BJ80)</f>
        <v>0.76666666666666672</v>
      </c>
      <c r="BL75" s="3661" t="s">
        <v>9664</v>
      </c>
      <c r="BM75" s="3661" t="s">
        <v>9796</v>
      </c>
      <c r="BN75" s="1592"/>
      <c r="BO75" s="1592">
        <v>829057000</v>
      </c>
      <c r="BP75" s="1592">
        <v>0</v>
      </c>
      <c r="BQ75" s="3662">
        <v>829057000</v>
      </c>
      <c r="BR75" s="1592"/>
      <c r="BS75" s="1592">
        <v>134</v>
      </c>
      <c r="BT75" s="1592"/>
      <c r="BU75" s="1592"/>
      <c r="BV75" s="1592"/>
      <c r="BW75" s="1592"/>
      <c r="BX75" s="1592"/>
      <c r="BY75" s="1592"/>
      <c r="BZ75" s="1592"/>
      <c r="CA75" s="1592"/>
      <c r="CB75" s="1592"/>
      <c r="CC75" s="1592"/>
      <c r="CD75" s="1592"/>
      <c r="CE75" s="1592"/>
      <c r="CF75" s="1592"/>
      <c r="CG75" s="1592"/>
      <c r="CH75" s="1592"/>
      <c r="CI75" s="1592"/>
      <c r="CJ75" s="1592"/>
      <c r="CK75" s="1592"/>
      <c r="CL75" s="1592"/>
      <c r="CM75" s="1592"/>
      <c r="CN75" s="1592"/>
      <c r="CO75" s="1592"/>
      <c r="CP75" s="1592"/>
      <c r="CQ75" s="1592"/>
      <c r="CR75" s="1592"/>
      <c r="CS75" s="1592"/>
      <c r="CT75" s="1592"/>
      <c r="CU75" s="1592"/>
      <c r="CV75" s="1592"/>
      <c r="CW75" s="1592"/>
      <c r="CX75" s="1592"/>
      <c r="CY75" s="1592"/>
      <c r="CZ75" s="1592"/>
      <c r="DA75" s="1592"/>
      <c r="DB75" s="1592"/>
      <c r="DC75" s="1809"/>
      <c r="DD75" s="3805"/>
      <c r="DE75" s="1950"/>
      <c r="DF75" s="1950"/>
      <c r="DG75" s="1950"/>
      <c r="DH75" s="1950"/>
      <c r="DI75" s="1952"/>
      <c r="DJ75" s="3806"/>
      <c r="DK75" s="3807"/>
      <c r="DL75" s="1950"/>
      <c r="DM75" s="1952"/>
      <c r="DN75" s="3807"/>
      <c r="DO75" s="1950"/>
      <c r="DP75" s="1952"/>
      <c r="DQ75" s="3807"/>
      <c r="DR75" s="1952"/>
      <c r="DS75" s="3807"/>
      <c r="DT75" s="1950"/>
      <c r="DU75" s="1950"/>
      <c r="DV75" s="1950"/>
      <c r="DW75" s="1950"/>
      <c r="DX75" s="1950"/>
      <c r="DY75" s="1952"/>
      <c r="DZ75" s="3807"/>
      <c r="EA75" s="1950"/>
      <c r="EB75" s="1950"/>
      <c r="EC75" s="1950"/>
      <c r="ED75" s="1950"/>
      <c r="EE75" s="1950"/>
      <c r="EF75" s="1950"/>
      <c r="EG75" s="1950"/>
      <c r="EH75" s="1950"/>
      <c r="EI75" s="1950"/>
      <c r="EJ75" s="1950"/>
      <c r="EK75" s="1950"/>
      <c r="EL75" s="1950"/>
      <c r="EM75" s="1952"/>
      <c r="EN75" s="3807"/>
      <c r="EO75" s="1950"/>
      <c r="EP75" s="1950"/>
      <c r="EQ75" s="1950"/>
      <c r="ER75" s="1952"/>
      <c r="ES75" s="3807"/>
      <c r="ET75" s="1950"/>
      <c r="EU75" s="1950"/>
      <c r="EV75" s="1950"/>
      <c r="EW75" s="1952"/>
    </row>
    <row r="76" spans="1:153" s="1810" customFormat="1" ht="15" customHeight="1">
      <c r="A76" s="15568"/>
      <c r="B76" s="15577"/>
      <c r="C76" s="1623" t="s">
        <v>1655</v>
      </c>
      <c r="D76" s="3030" t="s">
        <v>7820</v>
      </c>
      <c r="E76" s="3030" t="s">
        <v>1656</v>
      </c>
      <c r="F76" s="3030" t="s">
        <v>1656</v>
      </c>
      <c r="G76" s="3030" t="s">
        <v>1658</v>
      </c>
      <c r="H76" s="1813">
        <v>0.02</v>
      </c>
      <c r="I76" s="3030" t="s">
        <v>700</v>
      </c>
      <c r="J76" s="3487" t="s">
        <v>10063</v>
      </c>
      <c r="K76" s="3661" t="s">
        <v>79</v>
      </c>
      <c r="L76" s="3661" t="s">
        <v>1657</v>
      </c>
      <c r="M76" s="3030" t="s">
        <v>1544</v>
      </c>
      <c r="N76" s="3030" t="s">
        <v>1511</v>
      </c>
      <c r="O76" s="3663">
        <v>3.6999999999999998E-2</v>
      </c>
      <c r="P76" s="3663">
        <v>3.6999999999999998E-2</v>
      </c>
      <c r="Q76" s="3663">
        <v>2.9000000000000001E-2</v>
      </c>
      <c r="R76" s="1802">
        <v>1</v>
      </c>
      <c r="S76" s="3664" t="s">
        <v>3067</v>
      </c>
      <c r="T76" s="3030" t="s">
        <v>3068</v>
      </c>
      <c r="U76" s="3030"/>
      <c r="V76" s="1803">
        <f>W76+X76</f>
        <v>21687516.239999998</v>
      </c>
      <c r="W76" s="1803">
        <v>15127704.984615384</v>
      </c>
      <c r="X76" s="1803">
        <v>6559811.2553846156</v>
      </c>
      <c r="Y76" s="1803">
        <v>0</v>
      </c>
      <c r="Z76" s="1804">
        <v>5445</v>
      </c>
      <c r="AA76" s="1804">
        <v>3141</v>
      </c>
      <c r="AB76" s="1804">
        <v>2304</v>
      </c>
      <c r="AC76" s="1804">
        <v>3471</v>
      </c>
      <c r="AD76" s="1804">
        <v>1974</v>
      </c>
      <c r="AE76" s="1759"/>
      <c r="AF76" s="1805"/>
      <c r="AG76" s="1804">
        <v>1937</v>
      </c>
      <c r="AH76" s="1804">
        <v>3508</v>
      </c>
      <c r="AI76" s="1759"/>
      <c r="AJ76" s="1759"/>
      <c r="AK76" s="1759"/>
      <c r="AL76" s="1804">
        <v>5445</v>
      </c>
      <c r="AM76" s="1759"/>
      <c r="AN76" s="1759"/>
      <c r="AO76" s="1759"/>
      <c r="AP76" s="1759"/>
      <c r="AQ76" s="1759"/>
      <c r="AR76" s="1759"/>
      <c r="AS76" s="1759"/>
      <c r="AT76" s="1759"/>
      <c r="AU76" s="1759"/>
      <c r="AV76" s="1759"/>
      <c r="AW76" s="1759"/>
      <c r="AX76" s="1759"/>
      <c r="AY76" s="1759"/>
      <c r="AZ76" s="1759"/>
      <c r="BA76" s="1759"/>
      <c r="BB76" s="1759"/>
      <c r="BC76" s="1759"/>
      <c r="BD76" s="1759"/>
      <c r="BE76" s="1759"/>
      <c r="BF76" s="1759"/>
      <c r="BG76" s="1759"/>
      <c r="BH76" s="1759"/>
      <c r="BI76" s="1759"/>
      <c r="BJ76" s="1590">
        <v>1</v>
      </c>
      <c r="BK76" s="15650"/>
      <c r="BL76" s="3664" t="s">
        <v>8827</v>
      </c>
      <c r="BM76" s="3030" t="s">
        <v>3068</v>
      </c>
      <c r="BN76" s="3665"/>
      <c r="BO76" s="1806">
        <f>BP76+BQ76+BR76</f>
        <v>25915016.608333331</v>
      </c>
      <c r="BP76" s="1807">
        <v>10971613.333333332</v>
      </c>
      <c r="BQ76" s="1807">
        <v>14943403.274999999</v>
      </c>
      <c r="BR76" s="1807">
        <v>0</v>
      </c>
      <c r="BS76" s="1592">
        <v>1464</v>
      </c>
      <c r="BT76" s="1592">
        <v>868</v>
      </c>
      <c r="BU76" s="1592">
        <v>596</v>
      </c>
      <c r="BV76" s="1592">
        <v>1228</v>
      </c>
      <c r="BW76" s="1592">
        <v>236</v>
      </c>
      <c r="BX76" s="1592"/>
      <c r="BY76" s="1592">
        <v>70</v>
      </c>
      <c r="BZ76" s="1592">
        <v>780</v>
      </c>
      <c r="CA76" s="1592">
        <v>599</v>
      </c>
      <c r="CB76" s="1592">
        <v>10</v>
      </c>
      <c r="CC76" s="1592">
        <v>5</v>
      </c>
      <c r="CD76" s="1592"/>
      <c r="CE76" s="1592"/>
      <c r="CF76" s="1592"/>
      <c r="CG76" s="1592"/>
      <c r="CH76" s="1592"/>
      <c r="CI76" s="1592"/>
      <c r="CJ76" s="1592"/>
      <c r="CK76" s="1592"/>
      <c r="CL76" s="1592"/>
      <c r="CM76" s="1592"/>
      <c r="CN76" s="1592"/>
      <c r="CO76" s="1592"/>
      <c r="CP76" s="1592"/>
      <c r="CQ76" s="1592"/>
      <c r="CR76" s="1592"/>
      <c r="CS76" s="1592"/>
      <c r="CT76" s="1592"/>
      <c r="CU76" s="1592"/>
      <c r="CV76" s="1592"/>
      <c r="CW76" s="1592"/>
      <c r="CX76" s="1592"/>
      <c r="CY76" s="1592"/>
      <c r="CZ76" s="1592"/>
      <c r="DA76" s="1592"/>
      <c r="DB76" s="1592"/>
      <c r="DC76" s="1809"/>
      <c r="DD76" s="3474"/>
      <c r="DE76" s="3470"/>
      <c r="DF76" s="3470"/>
      <c r="DG76" s="3470"/>
      <c r="DH76" s="3470"/>
      <c r="DI76" s="3475"/>
      <c r="DJ76" s="3777"/>
      <c r="DK76" s="3766"/>
      <c r="DL76" s="3470"/>
      <c r="DM76" s="3475"/>
      <c r="DN76" s="3766"/>
      <c r="DO76" s="3470"/>
      <c r="DP76" s="3475"/>
      <c r="DQ76" s="3766"/>
      <c r="DR76" s="3475"/>
      <c r="DS76" s="3766"/>
      <c r="DT76" s="3470"/>
      <c r="DU76" s="3470"/>
      <c r="DV76" s="3470"/>
      <c r="DW76" s="3470"/>
      <c r="DX76" s="3470"/>
      <c r="DY76" s="3475"/>
      <c r="DZ76" s="3766"/>
      <c r="EA76" s="3470"/>
      <c r="EB76" s="3470"/>
      <c r="EC76" s="3470"/>
      <c r="ED76" s="3470"/>
      <c r="EE76" s="3470"/>
      <c r="EF76" s="3470"/>
      <c r="EG76" s="3470"/>
      <c r="EH76" s="3470"/>
      <c r="EI76" s="3470"/>
      <c r="EJ76" s="3470"/>
      <c r="EK76" s="3470"/>
      <c r="EL76" s="3470"/>
      <c r="EM76" s="3475"/>
      <c r="EN76" s="3766"/>
      <c r="EO76" s="3470"/>
      <c r="EP76" s="3470"/>
      <c r="EQ76" s="3470"/>
      <c r="ER76" s="3475"/>
      <c r="ES76" s="3766"/>
      <c r="ET76" s="3470"/>
      <c r="EU76" s="3470"/>
      <c r="EV76" s="3470"/>
      <c r="EW76" s="3475"/>
    </row>
    <row r="77" spans="1:153" s="1810" customFormat="1" ht="15" customHeight="1">
      <c r="A77" s="15568"/>
      <c r="B77" s="15577"/>
      <c r="C77" s="15686" t="s">
        <v>1659</v>
      </c>
      <c r="D77" s="1623" t="s">
        <v>7821</v>
      </c>
      <c r="E77" s="3030" t="s">
        <v>1660</v>
      </c>
      <c r="F77" s="1623" t="s">
        <v>1660</v>
      </c>
      <c r="G77" s="1623" t="s">
        <v>1663</v>
      </c>
      <c r="H77" s="3666">
        <v>0.15</v>
      </c>
      <c r="I77" s="1623" t="s">
        <v>1661</v>
      </c>
      <c r="J77" s="3049" t="s">
        <v>4305</v>
      </c>
      <c r="K77" s="3661" t="s">
        <v>1662</v>
      </c>
      <c r="L77" s="3661"/>
      <c r="M77" s="3030" t="s">
        <v>1544</v>
      </c>
      <c r="N77" s="3030" t="s">
        <v>1511</v>
      </c>
      <c r="O77" s="3663">
        <v>0.35199999999999998</v>
      </c>
      <c r="P77" s="3663">
        <v>0.35199999999999998</v>
      </c>
      <c r="Q77" s="1813">
        <v>0.25</v>
      </c>
      <c r="R77" s="1759"/>
      <c r="S77" s="1759"/>
      <c r="T77" s="1759"/>
      <c r="U77" s="1759"/>
      <c r="V77" s="1759"/>
      <c r="W77" s="1759"/>
      <c r="X77" s="1759"/>
      <c r="Y77" s="1759"/>
      <c r="Z77" s="1759"/>
      <c r="AA77" s="1759"/>
      <c r="AB77" s="1759"/>
      <c r="AC77" s="1759"/>
      <c r="AD77" s="1759"/>
      <c r="AE77" s="1759"/>
      <c r="AF77" s="1759"/>
      <c r="AG77" s="1759"/>
      <c r="AH77" s="1759"/>
      <c r="AI77" s="1759"/>
      <c r="AJ77" s="1759"/>
      <c r="AK77" s="1759"/>
      <c r="AL77" s="1759"/>
      <c r="AM77" s="1759"/>
      <c r="AN77" s="1759"/>
      <c r="AO77" s="1759"/>
      <c r="AP77" s="1759"/>
      <c r="AQ77" s="1759"/>
      <c r="AR77" s="1759"/>
      <c r="AS77" s="1759"/>
      <c r="AT77" s="1759"/>
      <c r="AU77" s="1759"/>
      <c r="AV77" s="1759"/>
      <c r="AW77" s="1759"/>
      <c r="AX77" s="1759"/>
      <c r="AY77" s="1759"/>
      <c r="AZ77" s="1759"/>
      <c r="BA77" s="1759"/>
      <c r="BB77" s="1759"/>
      <c r="BC77" s="1759"/>
      <c r="BD77" s="1759"/>
      <c r="BE77" s="1759"/>
      <c r="BF77" s="1759"/>
      <c r="BG77" s="1759"/>
      <c r="BH77" s="1759"/>
      <c r="BI77" s="1759"/>
      <c r="BJ77" s="1590">
        <v>0.9</v>
      </c>
      <c r="BK77" s="15650"/>
      <c r="BL77" s="3496" t="s">
        <v>10196</v>
      </c>
      <c r="BM77" s="3016" t="s">
        <v>10197</v>
      </c>
      <c r="BN77" s="1593" t="s">
        <v>10198</v>
      </c>
      <c r="BO77" s="3667">
        <f>(17847*BS77)+(49848600/2)</f>
        <v>140876259</v>
      </c>
      <c r="BP77" s="3667">
        <v>110776329</v>
      </c>
      <c r="BQ77" s="1592">
        <v>0</v>
      </c>
      <c r="BR77" s="1592"/>
      <c r="BS77" s="1592">
        <f>6207+290</f>
        <v>6497</v>
      </c>
      <c r="BT77" s="1592">
        <v>2940</v>
      </c>
      <c r="BU77" s="1592">
        <v>3267</v>
      </c>
      <c r="BV77" s="1592"/>
      <c r="BW77" s="1592"/>
      <c r="BX77" s="1592"/>
      <c r="BY77" s="1592"/>
      <c r="BZ77" s="1592"/>
      <c r="CA77" s="1592">
        <v>6207</v>
      </c>
      <c r="CB77" s="1592"/>
      <c r="CC77" s="1592"/>
      <c r="CD77" s="1592"/>
      <c r="CE77" s="1592">
        <v>4505</v>
      </c>
      <c r="CF77" s="1592">
        <v>88</v>
      </c>
      <c r="CG77" s="1592">
        <v>769</v>
      </c>
      <c r="CH77" s="1592">
        <v>107</v>
      </c>
      <c r="CI77" s="1592">
        <v>324</v>
      </c>
      <c r="CJ77" s="1592">
        <v>35</v>
      </c>
      <c r="CK77" s="1592">
        <v>3</v>
      </c>
      <c r="CL77" s="1592">
        <v>114</v>
      </c>
      <c r="CM77" s="1592">
        <v>5788</v>
      </c>
      <c r="CN77" s="1592">
        <v>268</v>
      </c>
      <c r="CO77" s="1592">
        <v>149</v>
      </c>
      <c r="CP77" s="1592"/>
      <c r="CQ77" s="1592">
        <v>2</v>
      </c>
      <c r="CR77" s="1592"/>
      <c r="CS77" s="1592"/>
      <c r="CT77" s="1592"/>
      <c r="CU77" s="1592"/>
      <c r="CV77" s="1592"/>
      <c r="CW77" s="1592"/>
      <c r="CX77" s="1592"/>
      <c r="CY77" s="1592"/>
      <c r="CZ77" s="1592"/>
      <c r="DA77" s="1592"/>
      <c r="DB77" s="1592"/>
      <c r="DC77" s="1809"/>
      <c r="DD77" s="3474"/>
      <c r="DE77" s="3470"/>
      <c r="DF77" s="3470"/>
      <c r="DG77" s="3470"/>
      <c r="DH77" s="3470"/>
      <c r="DI77" s="3475"/>
      <c r="DJ77" s="3777"/>
      <c r="DK77" s="3766"/>
      <c r="DL77" s="3470"/>
      <c r="DM77" s="3475"/>
      <c r="DN77" s="3766"/>
      <c r="DO77" s="3470"/>
      <c r="DP77" s="3475"/>
      <c r="DQ77" s="3766"/>
      <c r="DR77" s="3475"/>
      <c r="DS77" s="3766"/>
      <c r="DT77" s="3470"/>
      <c r="DU77" s="3470"/>
      <c r="DV77" s="3470"/>
      <c r="DW77" s="3470"/>
      <c r="DX77" s="3470"/>
      <c r="DY77" s="3475"/>
      <c r="DZ77" s="3766"/>
      <c r="EA77" s="3470"/>
      <c r="EB77" s="3470"/>
      <c r="EC77" s="3470"/>
      <c r="ED77" s="3470"/>
      <c r="EE77" s="3470"/>
      <c r="EF77" s="3470"/>
      <c r="EG77" s="3470"/>
      <c r="EH77" s="3470"/>
      <c r="EI77" s="3470"/>
      <c r="EJ77" s="3470"/>
      <c r="EK77" s="3470"/>
      <c r="EL77" s="3470"/>
      <c r="EM77" s="3475"/>
      <c r="EN77" s="3766"/>
      <c r="EO77" s="3470"/>
      <c r="EP77" s="3470"/>
      <c r="EQ77" s="3470"/>
      <c r="ER77" s="3475"/>
      <c r="ES77" s="3766"/>
      <c r="ET77" s="3470"/>
      <c r="EU77" s="3470"/>
      <c r="EV77" s="3470"/>
      <c r="EW77" s="3475"/>
    </row>
    <row r="78" spans="1:153" s="1810" customFormat="1" ht="15" customHeight="1">
      <c r="A78" s="15568"/>
      <c r="B78" s="15577"/>
      <c r="C78" s="15687"/>
      <c r="D78" s="15601" t="s">
        <v>7822</v>
      </c>
      <c r="E78" s="3030"/>
      <c r="F78" s="15601" t="s">
        <v>1664</v>
      </c>
      <c r="G78" s="15601" t="s">
        <v>1515</v>
      </c>
      <c r="H78" s="15601">
        <v>11</v>
      </c>
      <c r="I78" s="15688" t="s">
        <v>1665</v>
      </c>
      <c r="J78" s="3487" t="s">
        <v>10063</v>
      </c>
      <c r="K78" s="3661" t="s">
        <v>79</v>
      </c>
      <c r="L78" s="3661"/>
      <c r="M78" s="3030"/>
      <c r="N78" s="3030"/>
      <c r="O78" s="3663"/>
      <c r="P78" s="3663"/>
      <c r="Q78" s="1813"/>
      <c r="R78" s="1759"/>
      <c r="S78" s="1759"/>
      <c r="T78" s="1759"/>
      <c r="U78" s="1759"/>
      <c r="V78" s="1759"/>
      <c r="W78" s="1759"/>
      <c r="X78" s="1759"/>
      <c r="Y78" s="1759"/>
      <c r="Z78" s="1759"/>
      <c r="AA78" s="1759"/>
      <c r="AB78" s="1759"/>
      <c r="AC78" s="1759"/>
      <c r="AD78" s="1759"/>
      <c r="AE78" s="1759"/>
      <c r="AF78" s="1759"/>
      <c r="AG78" s="1759"/>
      <c r="AH78" s="1759"/>
      <c r="AI78" s="1759"/>
      <c r="AJ78" s="1759"/>
      <c r="AK78" s="1759"/>
      <c r="AL78" s="1759"/>
      <c r="AM78" s="1759"/>
      <c r="AN78" s="1759"/>
      <c r="AO78" s="1759"/>
      <c r="AP78" s="1759"/>
      <c r="AQ78" s="1759"/>
      <c r="AR78" s="1759"/>
      <c r="AS78" s="1759"/>
      <c r="AT78" s="1759"/>
      <c r="AU78" s="1759"/>
      <c r="AV78" s="1759"/>
      <c r="AW78" s="1759"/>
      <c r="AX78" s="1759"/>
      <c r="AY78" s="1759"/>
      <c r="AZ78" s="1759"/>
      <c r="BA78" s="1759"/>
      <c r="BB78" s="1759"/>
      <c r="BC78" s="1759"/>
      <c r="BD78" s="1759"/>
      <c r="BE78" s="1759"/>
      <c r="BF78" s="1759"/>
      <c r="BG78" s="1759"/>
      <c r="BH78" s="1759"/>
      <c r="BI78" s="1759"/>
      <c r="BJ78" s="1590">
        <v>0.8</v>
      </c>
      <c r="BK78" s="15650"/>
      <c r="BL78" s="3664" t="s">
        <v>8829</v>
      </c>
      <c r="BM78" s="3030" t="s">
        <v>3068</v>
      </c>
      <c r="BN78" s="3665"/>
      <c r="BO78" s="1806">
        <f t="shared" ref="BO78:BO79" si="0">BP78+BQ78+BR78</f>
        <v>25915016.608333331</v>
      </c>
      <c r="BP78" s="1807">
        <v>10971613.333333332</v>
      </c>
      <c r="BQ78" s="1807">
        <v>14943403.274999999</v>
      </c>
      <c r="BR78" s="1807">
        <v>0</v>
      </c>
      <c r="BS78" s="1592">
        <v>619</v>
      </c>
      <c r="BT78" s="1592">
        <v>297</v>
      </c>
      <c r="BU78" s="1592">
        <v>322</v>
      </c>
      <c r="BV78" s="1592">
        <v>619</v>
      </c>
      <c r="BW78" s="1592"/>
      <c r="BX78" s="1592"/>
      <c r="BY78" s="1592">
        <v>1</v>
      </c>
      <c r="BZ78" s="1592">
        <v>333</v>
      </c>
      <c r="CA78" s="1592">
        <v>275</v>
      </c>
      <c r="CB78" s="1592">
        <v>5</v>
      </c>
      <c r="CC78" s="1592">
        <v>5</v>
      </c>
      <c r="CD78" s="1592"/>
      <c r="CE78" s="1592"/>
      <c r="CF78" s="1592"/>
      <c r="CG78" s="1592"/>
      <c r="CH78" s="1592"/>
      <c r="CI78" s="1592"/>
      <c r="CJ78" s="1592"/>
      <c r="CK78" s="1592"/>
      <c r="CL78" s="1592"/>
      <c r="CM78" s="1592"/>
      <c r="CN78" s="1592"/>
      <c r="CO78" s="1592"/>
      <c r="CP78" s="1592"/>
      <c r="CQ78" s="1592"/>
      <c r="CR78" s="1592"/>
      <c r="CS78" s="1592"/>
      <c r="CT78" s="1592"/>
      <c r="CU78" s="1592"/>
      <c r="CV78" s="1592"/>
      <c r="CW78" s="1592"/>
      <c r="CX78" s="1592"/>
      <c r="CY78" s="1592"/>
      <c r="CZ78" s="1592"/>
      <c r="DA78" s="1592"/>
      <c r="DB78" s="1592"/>
      <c r="DC78" s="1809"/>
      <c r="DD78" s="3474"/>
      <c r="DE78" s="3470"/>
      <c r="DF78" s="3470"/>
      <c r="DG78" s="3470"/>
      <c r="DH78" s="3470"/>
      <c r="DI78" s="3475"/>
      <c r="DJ78" s="3777"/>
      <c r="DK78" s="3766"/>
      <c r="DL78" s="3470"/>
      <c r="DM78" s="3475"/>
      <c r="DN78" s="3766"/>
      <c r="DO78" s="3470"/>
      <c r="DP78" s="3475"/>
      <c r="DQ78" s="3766"/>
      <c r="DR78" s="3475"/>
      <c r="DS78" s="3766"/>
      <c r="DT78" s="3470"/>
      <c r="DU78" s="3470"/>
      <c r="DV78" s="3470"/>
      <c r="DW78" s="3470"/>
      <c r="DX78" s="3470"/>
      <c r="DY78" s="3475"/>
      <c r="DZ78" s="3766"/>
      <c r="EA78" s="3470"/>
      <c r="EB78" s="3470"/>
      <c r="EC78" s="3470"/>
      <c r="ED78" s="3470"/>
      <c r="EE78" s="3470"/>
      <c r="EF78" s="3470"/>
      <c r="EG78" s="3470"/>
      <c r="EH78" s="3470"/>
      <c r="EI78" s="3470"/>
      <c r="EJ78" s="3470"/>
      <c r="EK78" s="3470"/>
      <c r="EL78" s="3470"/>
      <c r="EM78" s="3475"/>
      <c r="EN78" s="3766"/>
      <c r="EO78" s="3470"/>
      <c r="EP78" s="3470"/>
      <c r="EQ78" s="3470"/>
      <c r="ER78" s="3475"/>
      <c r="ES78" s="3766"/>
      <c r="ET78" s="3470"/>
      <c r="EU78" s="3470"/>
      <c r="EV78" s="3470"/>
      <c r="EW78" s="3475"/>
    </row>
    <row r="79" spans="1:153" s="1810" customFormat="1" ht="15" customHeight="1">
      <c r="A79" s="15568"/>
      <c r="B79" s="15577"/>
      <c r="C79" s="15687"/>
      <c r="D79" s="15601"/>
      <c r="E79" s="3030" t="s">
        <v>1664</v>
      </c>
      <c r="F79" s="15601"/>
      <c r="G79" s="15601"/>
      <c r="H79" s="15601"/>
      <c r="I79" s="15622"/>
      <c r="J79" s="3051" t="s">
        <v>4305</v>
      </c>
      <c r="K79" s="3661"/>
      <c r="L79" s="3661" t="s">
        <v>1662</v>
      </c>
      <c r="M79" s="3030" t="s">
        <v>1523</v>
      </c>
      <c r="N79" s="3030" t="s">
        <v>1511</v>
      </c>
      <c r="O79" s="3030" t="s">
        <v>1549</v>
      </c>
      <c r="P79" s="3030">
        <v>1</v>
      </c>
      <c r="Q79" s="3030">
        <v>1</v>
      </c>
      <c r="R79" s="3659">
        <v>0.7</v>
      </c>
      <c r="S79" s="3664" t="s">
        <v>4066</v>
      </c>
      <c r="T79" s="3030" t="s">
        <v>3068</v>
      </c>
      <c r="U79" s="3030"/>
      <c r="V79" s="1803">
        <f>W79+X79</f>
        <v>21687516.239999998</v>
      </c>
      <c r="W79" s="1803">
        <v>15127704.984615384</v>
      </c>
      <c r="X79" s="1803">
        <v>6559811.2553846156</v>
      </c>
      <c r="Y79" s="1803">
        <v>0</v>
      </c>
      <c r="Z79" s="1804">
        <v>1874</v>
      </c>
      <c r="AA79" s="1804">
        <v>1025</v>
      </c>
      <c r="AB79" s="1618">
        <v>849</v>
      </c>
      <c r="AC79" s="1804">
        <v>1579</v>
      </c>
      <c r="AD79" s="1618">
        <v>295</v>
      </c>
      <c r="AE79" s="1618"/>
      <c r="AF79" s="1618"/>
      <c r="AG79" s="1618">
        <v>538</v>
      </c>
      <c r="AH79" s="1804">
        <v>1336</v>
      </c>
      <c r="AI79" s="1618"/>
      <c r="AJ79" s="1618"/>
      <c r="AK79" s="1618"/>
      <c r="AL79" s="1804">
        <v>1874</v>
      </c>
      <c r="AM79" s="1618"/>
      <c r="AN79" s="1618"/>
      <c r="AO79" s="1618"/>
      <c r="AP79" s="1618"/>
      <c r="AQ79" s="1618"/>
      <c r="AR79" s="1618"/>
      <c r="AS79" s="1618"/>
      <c r="AT79" s="1618"/>
      <c r="AU79" s="1618"/>
      <c r="AV79" s="1618"/>
      <c r="AW79" s="1618"/>
      <c r="AX79" s="1618"/>
      <c r="AY79" s="1618"/>
      <c r="AZ79" s="1759"/>
      <c r="BA79" s="1759"/>
      <c r="BB79" s="1759"/>
      <c r="BC79" s="1759"/>
      <c r="BD79" s="1759"/>
      <c r="BE79" s="1759"/>
      <c r="BF79" s="1759"/>
      <c r="BG79" s="1759"/>
      <c r="BH79" s="1759"/>
      <c r="BI79" s="1759"/>
      <c r="BJ79" s="1590">
        <v>0</v>
      </c>
      <c r="BK79" s="15650"/>
      <c r="BL79" s="3668" t="s">
        <v>8830</v>
      </c>
      <c r="BM79" s="3030" t="s">
        <v>3068</v>
      </c>
      <c r="BN79" s="3665"/>
      <c r="BO79" s="1806">
        <f t="shared" si="0"/>
        <v>0</v>
      </c>
      <c r="BP79" s="3669">
        <v>0</v>
      </c>
      <c r="BQ79" s="3669">
        <v>0</v>
      </c>
      <c r="BR79" s="3669">
        <v>0</v>
      </c>
      <c r="BS79" s="1592">
        <v>0</v>
      </c>
      <c r="BT79" s="1592"/>
      <c r="BU79" s="1592"/>
      <c r="BV79" s="1592"/>
      <c r="BW79" s="1592"/>
      <c r="BX79" s="1592"/>
      <c r="BY79" s="1592"/>
      <c r="BZ79" s="1592"/>
      <c r="CA79" s="1592"/>
      <c r="CB79" s="1592"/>
      <c r="CC79" s="1592"/>
      <c r="CD79" s="1592"/>
      <c r="CE79" s="1592"/>
      <c r="CF79" s="1592"/>
      <c r="CG79" s="1592"/>
      <c r="CH79" s="1592"/>
      <c r="CI79" s="1592"/>
      <c r="CJ79" s="1592"/>
      <c r="CK79" s="1592"/>
      <c r="CL79" s="1592"/>
      <c r="CM79" s="1592"/>
      <c r="CN79" s="1592"/>
      <c r="CO79" s="1592"/>
      <c r="CP79" s="1592"/>
      <c r="CQ79" s="1592"/>
      <c r="CR79" s="1592"/>
      <c r="CS79" s="1592"/>
      <c r="CT79" s="1592"/>
      <c r="CU79" s="1592"/>
      <c r="CV79" s="1592"/>
      <c r="CW79" s="1592"/>
      <c r="CX79" s="1592"/>
      <c r="CY79" s="1592"/>
      <c r="CZ79" s="1592"/>
      <c r="DA79" s="1592"/>
      <c r="DB79" s="1592"/>
      <c r="DC79" s="1809"/>
      <c r="DD79" s="3474"/>
      <c r="DE79" s="3470"/>
      <c r="DF79" s="3470"/>
      <c r="DG79" s="3470"/>
      <c r="DH79" s="3470"/>
      <c r="DI79" s="3475"/>
      <c r="DJ79" s="3777"/>
      <c r="DK79" s="3766"/>
      <c r="DL79" s="3470"/>
      <c r="DM79" s="3475"/>
      <c r="DN79" s="3766"/>
      <c r="DO79" s="3470"/>
      <c r="DP79" s="3475"/>
      <c r="DQ79" s="3766"/>
      <c r="DR79" s="3475"/>
      <c r="DS79" s="3766"/>
      <c r="DT79" s="3470"/>
      <c r="DU79" s="3470"/>
      <c r="DV79" s="3470"/>
      <c r="DW79" s="3470"/>
      <c r="DX79" s="3470"/>
      <c r="DY79" s="3475"/>
      <c r="DZ79" s="3766"/>
      <c r="EA79" s="3470"/>
      <c r="EB79" s="3470"/>
      <c r="EC79" s="3470"/>
      <c r="ED79" s="3470"/>
      <c r="EE79" s="3470"/>
      <c r="EF79" s="3470"/>
      <c r="EG79" s="3470"/>
      <c r="EH79" s="3470"/>
      <c r="EI79" s="3470"/>
      <c r="EJ79" s="3470"/>
      <c r="EK79" s="3470"/>
      <c r="EL79" s="3470"/>
      <c r="EM79" s="3475"/>
      <c r="EN79" s="3766"/>
      <c r="EO79" s="3470"/>
      <c r="EP79" s="3470"/>
      <c r="EQ79" s="3470"/>
      <c r="ER79" s="3475"/>
      <c r="ES79" s="3766"/>
      <c r="ET79" s="3470"/>
      <c r="EU79" s="3470"/>
      <c r="EV79" s="3470"/>
      <c r="EW79" s="3475"/>
    </row>
    <row r="80" spans="1:153" s="1810" customFormat="1" ht="15" customHeight="1">
      <c r="A80" s="15568"/>
      <c r="B80" s="15577"/>
      <c r="C80" s="15687"/>
      <c r="D80" s="15601" t="s">
        <v>7823</v>
      </c>
      <c r="E80" s="3030" t="s">
        <v>1666</v>
      </c>
      <c r="F80" s="15601" t="s">
        <v>1666</v>
      </c>
      <c r="G80" s="15601" t="s">
        <v>1668</v>
      </c>
      <c r="H80" s="15601">
        <v>40</v>
      </c>
      <c r="I80" s="15601" t="s">
        <v>1667</v>
      </c>
      <c r="J80" s="3487" t="s">
        <v>10063</v>
      </c>
      <c r="K80" s="3661" t="s">
        <v>79</v>
      </c>
      <c r="L80" s="3661"/>
      <c r="M80" s="3030" t="s">
        <v>1523</v>
      </c>
      <c r="N80" s="3030" t="s">
        <v>1511</v>
      </c>
      <c r="O80" s="3030" t="s">
        <v>1549</v>
      </c>
      <c r="P80" s="3030">
        <v>5</v>
      </c>
      <c r="Q80" s="3030">
        <v>20</v>
      </c>
      <c r="R80" s="1618"/>
      <c r="S80" s="3668"/>
      <c r="T80" s="3030"/>
      <c r="U80" s="1759"/>
      <c r="V80" s="1759"/>
      <c r="W80" s="1759"/>
      <c r="X80" s="1759"/>
      <c r="Y80" s="1759"/>
      <c r="Z80" s="1759"/>
      <c r="AA80" s="1759"/>
      <c r="AB80" s="1759"/>
      <c r="AC80" s="1759"/>
      <c r="AD80" s="1759"/>
      <c r="AE80" s="1759"/>
      <c r="AF80" s="1759"/>
      <c r="AG80" s="1759"/>
      <c r="AH80" s="1759"/>
      <c r="AI80" s="1759"/>
      <c r="AJ80" s="1759"/>
      <c r="AK80" s="1759"/>
      <c r="AL80" s="1759"/>
      <c r="AM80" s="1759"/>
      <c r="AN80" s="1759"/>
      <c r="AO80" s="1759"/>
      <c r="AP80" s="1759"/>
      <c r="AQ80" s="1759"/>
      <c r="AR80" s="1759"/>
      <c r="AS80" s="1759"/>
      <c r="AT80" s="1759"/>
      <c r="AU80" s="1759"/>
      <c r="AV80" s="1759"/>
      <c r="AW80" s="1759"/>
      <c r="AX80" s="1759"/>
      <c r="AY80" s="1759"/>
      <c r="AZ80" s="1759"/>
      <c r="BA80" s="1759"/>
      <c r="BB80" s="1759"/>
      <c r="BC80" s="1759"/>
      <c r="BD80" s="1759"/>
      <c r="BE80" s="1759"/>
      <c r="BF80" s="1759"/>
      <c r="BG80" s="1759"/>
      <c r="BH80" s="1759"/>
      <c r="BI80" s="1759"/>
      <c r="BJ80" s="1590">
        <v>0.9</v>
      </c>
      <c r="BK80" s="15651"/>
      <c r="BL80" s="3496" t="s">
        <v>8831</v>
      </c>
      <c r="BM80" s="3030" t="s">
        <v>8832</v>
      </c>
      <c r="BN80" s="1593" t="s">
        <v>8828</v>
      </c>
      <c r="BO80" s="1614">
        <f>17847*50</f>
        <v>892350</v>
      </c>
      <c r="BP80" s="1592">
        <v>0</v>
      </c>
      <c r="BQ80" s="1592">
        <v>0</v>
      </c>
      <c r="BR80" s="1592">
        <v>0</v>
      </c>
      <c r="BS80" s="1592">
        <v>50</v>
      </c>
      <c r="BT80" s="1592">
        <v>17</v>
      </c>
      <c r="BU80" s="1592">
        <v>33</v>
      </c>
      <c r="BV80" s="1592">
        <v>50</v>
      </c>
      <c r="BW80" s="1592"/>
      <c r="BX80" s="1592"/>
      <c r="BY80" s="1592"/>
      <c r="BZ80" s="1592"/>
      <c r="CA80" s="1592">
        <v>50</v>
      </c>
      <c r="CB80" s="1592"/>
      <c r="CC80" s="1592"/>
      <c r="CD80" s="1592"/>
      <c r="CE80" s="1592"/>
      <c r="CF80" s="1592"/>
      <c r="CG80" s="1592"/>
      <c r="CH80" s="1592">
        <v>1</v>
      </c>
      <c r="CI80" s="1592">
        <v>20</v>
      </c>
      <c r="CJ80" s="1592"/>
      <c r="CK80" s="1592"/>
      <c r="CL80" s="1592"/>
      <c r="CM80" s="1592"/>
      <c r="CN80" s="1592"/>
      <c r="CO80" s="1592">
        <v>1</v>
      </c>
      <c r="CP80" s="1592"/>
      <c r="CQ80" s="1592"/>
      <c r="CR80" s="1592"/>
      <c r="CS80" s="1592"/>
      <c r="CT80" s="1592"/>
      <c r="CU80" s="1592"/>
      <c r="CV80" s="1592"/>
      <c r="CW80" s="1592"/>
      <c r="CX80" s="1592"/>
      <c r="CY80" s="1592"/>
      <c r="CZ80" s="1592"/>
      <c r="DA80" s="1592"/>
      <c r="DB80" s="1592"/>
      <c r="DC80" s="1809"/>
      <c r="DD80" s="3474"/>
      <c r="DE80" s="3470"/>
      <c r="DF80" s="3470"/>
      <c r="DG80" s="3470"/>
      <c r="DH80" s="3470"/>
      <c r="DI80" s="3475"/>
      <c r="DJ80" s="3777"/>
      <c r="DK80" s="3766"/>
      <c r="DL80" s="3470"/>
      <c r="DM80" s="3475"/>
      <c r="DN80" s="3766"/>
      <c r="DO80" s="3470"/>
      <c r="DP80" s="3475"/>
      <c r="DQ80" s="3766"/>
      <c r="DR80" s="3475"/>
      <c r="DS80" s="3766"/>
      <c r="DT80" s="3470"/>
      <c r="DU80" s="3470"/>
      <c r="DV80" s="3470"/>
      <c r="DW80" s="3470"/>
      <c r="DX80" s="3470"/>
      <c r="DY80" s="3475"/>
      <c r="DZ80" s="3766"/>
      <c r="EA80" s="3470"/>
      <c r="EB80" s="3470"/>
      <c r="EC80" s="3470"/>
      <c r="ED80" s="3470"/>
      <c r="EE80" s="3470"/>
      <c r="EF80" s="3470"/>
      <c r="EG80" s="3470"/>
      <c r="EH80" s="3470"/>
      <c r="EI80" s="3470"/>
      <c r="EJ80" s="3470"/>
      <c r="EK80" s="3470"/>
      <c r="EL80" s="3470"/>
      <c r="EM80" s="3475"/>
      <c r="EN80" s="3766"/>
      <c r="EO80" s="3470"/>
      <c r="EP80" s="3470"/>
      <c r="EQ80" s="3470"/>
      <c r="ER80" s="3475"/>
      <c r="ES80" s="3766"/>
      <c r="ET80" s="3470"/>
      <c r="EU80" s="3470"/>
      <c r="EV80" s="3470"/>
      <c r="EW80" s="3475"/>
    </row>
    <row r="81" spans="1:153" s="1810" customFormat="1" ht="15" customHeight="1" thickBot="1">
      <c r="A81" s="15569"/>
      <c r="B81" s="15578"/>
      <c r="C81" s="15622"/>
      <c r="D81" s="15601"/>
      <c r="E81" s="3030"/>
      <c r="F81" s="15601"/>
      <c r="G81" s="15601"/>
      <c r="H81" s="15601"/>
      <c r="I81" s="15601"/>
      <c r="J81" s="3051" t="s">
        <v>4305</v>
      </c>
      <c r="K81" s="3913"/>
      <c r="L81" s="3661" t="s">
        <v>1662</v>
      </c>
      <c r="M81" s="3030"/>
      <c r="N81" s="3030"/>
      <c r="O81" s="3030"/>
      <c r="P81" s="3030"/>
      <c r="Q81" s="3030"/>
      <c r="R81" s="1618"/>
      <c r="S81" s="3668"/>
      <c r="T81" s="3030"/>
      <c r="U81" s="1759"/>
      <c r="V81" s="1759"/>
      <c r="W81" s="1759"/>
      <c r="X81" s="1759"/>
      <c r="Y81" s="1759"/>
      <c r="Z81" s="1759"/>
      <c r="AA81" s="1759"/>
      <c r="AB81" s="1759"/>
      <c r="AC81" s="1759"/>
      <c r="AD81" s="1759"/>
      <c r="AE81" s="1759"/>
      <c r="AF81" s="1759"/>
      <c r="AG81" s="1759"/>
      <c r="AH81" s="1759"/>
      <c r="AI81" s="1759"/>
      <c r="AJ81" s="1759"/>
      <c r="AK81" s="1759"/>
      <c r="AL81" s="1759"/>
      <c r="AM81" s="1759"/>
      <c r="AN81" s="1759"/>
      <c r="AO81" s="1759"/>
      <c r="AP81" s="1759"/>
      <c r="AQ81" s="1759"/>
      <c r="AR81" s="1759"/>
      <c r="AS81" s="1759"/>
      <c r="AT81" s="1759"/>
      <c r="AU81" s="1759"/>
      <c r="AV81" s="1759"/>
      <c r="AW81" s="1759"/>
      <c r="AX81" s="1759"/>
      <c r="AY81" s="1759"/>
      <c r="AZ81" s="1759"/>
      <c r="BA81" s="1759"/>
      <c r="BB81" s="1759"/>
      <c r="BC81" s="1759"/>
      <c r="BD81" s="1759"/>
      <c r="BE81" s="1759"/>
      <c r="BF81" s="1759"/>
      <c r="BG81" s="1759"/>
      <c r="BH81" s="1759"/>
      <c r="BI81" s="1759"/>
      <c r="BJ81" s="1590">
        <v>1</v>
      </c>
      <c r="BK81" s="15652">
        <f>AVERAGE(BJ81:BJ92)</f>
        <v>0.73281223449447741</v>
      </c>
      <c r="BL81" s="1623" t="s">
        <v>3901</v>
      </c>
      <c r="BM81" s="1759"/>
      <c r="BN81" s="1592"/>
      <c r="BO81" s="1592">
        <v>0</v>
      </c>
      <c r="BP81" s="1592">
        <v>0</v>
      </c>
      <c r="BQ81" s="1592">
        <v>0</v>
      </c>
      <c r="BR81" s="1592">
        <v>0</v>
      </c>
      <c r="BS81" s="1592"/>
      <c r="BT81" s="1592"/>
      <c r="BU81" s="1592"/>
      <c r="BV81" s="1592"/>
      <c r="BW81" s="1592"/>
      <c r="BX81" s="1592"/>
      <c r="BY81" s="1592"/>
      <c r="BZ81" s="1592"/>
      <c r="CA81" s="1592"/>
      <c r="CB81" s="1592"/>
      <c r="CC81" s="1592"/>
      <c r="CD81" s="1592"/>
      <c r="CE81" s="1592"/>
      <c r="CF81" s="1592"/>
      <c r="CG81" s="1592"/>
      <c r="CH81" s="1592"/>
      <c r="CI81" s="1592"/>
      <c r="CJ81" s="1592"/>
      <c r="CK81" s="1592"/>
      <c r="CL81" s="1592"/>
      <c r="CM81" s="1592"/>
      <c r="CN81" s="1592"/>
      <c r="CO81" s="1592"/>
      <c r="CP81" s="1592"/>
      <c r="CQ81" s="1592"/>
      <c r="CR81" s="1592"/>
      <c r="CS81" s="1592"/>
      <c r="CT81" s="1592"/>
      <c r="CU81" s="1592"/>
      <c r="CV81" s="1592"/>
      <c r="CW81" s="1592"/>
      <c r="CX81" s="1592"/>
      <c r="CY81" s="1592"/>
      <c r="CZ81" s="1592"/>
      <c r="DA81" s="1592"/>
      <c r="DB81" s="1592"/>
      <c r="DC81" s="1809"/>
      <c r="DD81" s="3802"/>
      <c r="DE81" s="1643"/>
      <c r="DF81" s="1643"/>
      <c r="DG81" s="1643"/>
      <c r="DH81" s="1643"/>
      <c r="DI81" s="1958"/>
      <c r="DJ81" s="3803"/>
      <c r="DK81" s="3804"/>
      <c r="DL81" s="1643"/>
      <c r="DM81" s="1958"/>
      <c r="DN81" s="3804"/>
      <c r="DO81" s="1643"/>
      <c r="DP81" s="1958"/>
      <c r="DQ81" s="3804"/>
      <c r="DR81" s="1958"/>
      <c r="DS81" s="3804"/>
      <c r="DT81" s="1643"/>
      <c r="DU81" s="1643"/>
      <c r="DV81" s="1643"/>
      <c r="DW81" s="1643"/>
      <c r="DX81" s="1643"/>
      <c r="DY81" s="1958"/>
      <c r="DZ81" s="3804"/>
      <c r="EA81" s="1643"/>
      <c r="EB81" s="1643"/>
      <c r="EC81" s="1643"/>
      <c r="ED81" s="1643"/>
      <c r="EE81" s="1643"/>
      <c r="EF81" s="1643"/>
      <c r="EG81" s="1643"/>
      <c r="EH81" s="1643"/>
      <c r="EI81" s="1643"/>
      <c r="EJ81" s="1643"/>
      <c r="EK81" s="1643"/>
      <c r="EL81" s="1643"/>
      <c r="EM81" s="1958"/>
      <c r="EN81" s="3804"/>
      <c r="EO81" s="1643"/>
      <c r="EP81" s="1643"/>
      <c r="EQ81" s="1643"/>
      <c r="ER81" s="1958"/>
      <c r="ES81" s="3804"/>
      <c r="ET81" s="1643"/>
      <c r="EU81" s="1643"/>
      <c r="EV81" s="1643"/>
      <c r="EW81" s="1958"/>
    </row>
    <row r="82" spans="1:153" s="2005" customFormat="1" ht="15" customHeight="1">
      <c r="A82" s="15597" t="s">
        <v>1669</v>
      </c>
      <c r="B82" s="15599" t="s">
        <v>1670</v>
      </c>
      <c r="C82" s="15599" t="s">
        <v>1671</v>
      </c>
      <c r="D82" s="15602" t="s">
        <v>7824</v>
      </c>
      <c r="E82" s="3670" t="s">
        <v>1672</v>
      </c>
      <c r="F82" s="15602" t="s">
        <v>1672</v>
      </c>
      <c r="G82" s="15602" t="s">
        <v>1674</v>
      </c>
      <c r="H82" s="15602">
        <v>1</v>
      </c>
      <c r="I82" s="15602" t="s">
        <v>1673</v>
      </c>
      <c r="J82" s="3681" t="s">
        <v>2896</v>
      </c>
      <c r="K82" s="3716" t="s">
        <v>163</v>
      </c>
      <c r="L82" s="3716"/>
      <c r="M82" s="3670" t="s">
        <v>1523</v>
      </c>
      <c r="N82" s="3670" t="s">
        <v>1511</v>
      </c>
      <c r="O82" s="3670" t="s">
        <v>1675</v>
      </c>
      <c r="P82" s="3670">
        <v>1</v>
      </c>
      <c r="Q82" s="3670">
        <v>1</v>
      </c>
      <c r="R82" s="3671">
        <v>1</v>
      </c>
      <c r="S82" s="3672" t="s">
        <v>3901</v>
      </c>
      <c r="T82" s="3673"/>
      <c r="U82" s="3673"/>
      <c r="V82" s="3674"/>
      <c r="W82" s="3674"/>
      <c r="X82" s="3674"/>
      <c r="Y82" s="3674"/>
      <c r="Z82" s="3673"/>
      <c r="AA82" s="3673"/>
      <c r="AB82" s="3673"/>
      <c r="AC82" s="3673"/>
      <c r="AD82" s="3673"/>
      <c r="AE82" s="3673"/>
      <c r="AF82" s="3673"/>
      <c r="AG82" s="3673"/>
      <c r="AH82" s="3673"/>
      <c r="AI82" s="3673"/>
      <c r="AJ82" s="3673"/>
      <c r="AK82" s="3673"/>
      <c r="AL82" s="3673"/>
      <c r="AM82" s="3673"/>
      <c r="AN82" s="3673"/>
      <c r="AO82" s="3673"/>
      <c r="AP82" s="3673"/>
      <c r="AQ82" s="3673"/>
      <c r="AR82" s="3673"/>
      <c r="AS82" s="3673"/>
      <c r="AT82" s="3673"/>
      <c r="AU82" s="3673"/>
      <c r="AV82" s="3673"/>
      <c r="AW82" s="3673"/>
      <c r="AX82" s="3673"/>
      <c r="AY82" s="3673"/>
      <c r="AZ82" s="3673"/>
      <c r="BA82" s="3673"/>
      <c r="BB82" s="3673"/>
      <c r="BC82" s="3673"/>
      <c r="BD82" s="3673"/>
      <c r="BE82" s="3673"/>
      <c r="BF82" s="3673"/>
      <c r="BG82" s="3673"/>
      <c r="BH82" s="3673"/>
      <c r="BI82" s="3673"/>
      <c r="BJ82" s="2004">
        <v>1</v>
      </c>
      <c r="BK82" s="15653"/>
      <c r="BL82" s="3675" t="s">
        <v>8833</v>
      </c>
      <c r="BM82" s="3673"/>
      <c r="BN82" s="3676"/>
      <c r="BO82" s="3676">
        <v>0</v>
      </c>
      <c r="BP82" s="3676">
        <v>0</v>
      </c>
      <c r="BQ82" s="3676">
        <v>0</v>
      </c>
      <c r="BR82" s="3676">
        <v>0</v>
      </c>
      <c r="BS82" s="3676"/>
      <c r="BT82" s="3676"/>
      <c r="BU82" s="3676"/>
      <c r="BV82" s="3676"/>
      <c r="BW82" s="3676"/>
      <c r="BX82" s="3676"/>
      <c r="BY82" s="3676"/>
      <c r="BZ82" s="3676"/>
      <c r="CA82" s="3676"/>
      <c r="CB82" s="3676"/>
      <c r="CC82" s="3676"/>
      <c r="CD82" s="3676"/>
      <c r="CE82" s="3676"/>
      <c r="CF82" s="3676"/>
      <c r="CG82" s="3676"/>
      <c r="CH82" s="3676"/>
      <c r="CI82" s="3676"/>
      <c r="CJ82" s="3676"/>
      <c r="CK82" s="3676"/>
      <c r="CL82" s="3676"/>
      <c r="CM82" s="3676"/>
      <c r="CN82" s="3676"/>
      <c r="CO82" s="3676"/>
      <c r="CP82" s="3676"/>
      <c r="CQ82" s="3676"/>
      <c r="CR82" s="3676"/>
      <c r="CS82" s="3676"/>
      <c r="CT82" s="3676"/>
      <c r="CU82" s="3676"/>
      <c r="CV82" s="3676"/>
      <c r="CW82" s="3676"/>
      <c r="CX82" s="3676"/>
      <c r="CY82" s="3676"/>
      <c r="CZ82" s="3676"/>
      <c r="DA82" s="3676"/>
      <c r="DB82" s="3676"/>
      <c r="DC82" s="3677"/>
      <c r="DD82" s="3797"/>
      <c r="DE82" s="3798"/>
      <c r="DF82" s="3798"/>
      <c r="DG82" s="3798"/>
      <c r="DH82" s="3798"/>
      <c r="DI82" s="3799"/>
      <c r="DJ82" s="3800"/>
      <c r="DK82" s="3801"/>
      <c r="DL82" s="3798"/>
      <c r="DM82" s="3799"/>
      <c r="DN82" s="3801"/>
      <c r="DO82" s="3798"/>
      <c r="DP82" s="3799"/>
      <c r="DQ82" s="3801"/>
      <c r="DR82" s="3799"/>
      <c r="DS82" s="3801"/>
      <c r="DT82" s="3798"/>
      <c r="DU82" s="3798"/>
      <c r="DV82" s="3798"/>
      <c r="DW82" s="3798"/>
      <c r="DX82" s="3798"/>
      <c r="DY82" s="3799"/>
      <c r="DZ82" s="3801"/>
      <c r="EA82" s="3798"/>
      <c r="EB82" s="3798"/>
      <c r="EC82" s="3798"/>
      <c r="ED82" s="3798"/>
      <c r="EE82" s="3798"/>
      <c r="EF82" s="3798"/>
      <c r="EG82" s="3798"/>
      <c r="EH82" s="3798"/>
      <c r="EI82" s="3798"/>
      <c r="EJ82" s="3798"/>
      <c r="EK82" s="3798"/>
      <c r="EL82" s="3798"/>
      <c r="EM82" s="3799"/>
      <c r="EN82" s="3801"/>
      <c r="EO82" s="3798"/>
      <c r="EP82" s="3798"/>
      <c r="EQ82" s="3798"/>
      <c r="ER82" s="3799"/>
      <c r="ES82" s="3801"/>
      <c r="ET82" s="3798"/>
      <c r="EU82" s="3798"/>
      <c r="EV82" s="3798"/>
      <c r="EW82" s="3799"/>
    </row>
    <row r="83" spans="1:153" s="2005" customFormat="1" ht="15" customHeight="1">
      <c r="A83" s="15598"/>
      <c r="B83" s="15600"/>
      <c r="C83" s="15600"/>
      <c r="D83" s="15603"/>
      <c r="E83" s="2740"/>
      <c r="F83" s="15603"/>
      <c r="G83" s="15603"/>
      <c r="H83" s="15603"/>
      <c r="I83" s="15603"/>
      <c r="J83" s="3681" t="s">
        <v>10199</v>
      </c>
      <c r="K83" s="3914"/>
      <c r="L83" s="3716" t="s">
        <v>507</v>
      </c>
      <c r="M83" s="2740"/>
      <c r="N83" s="2740"/>
      <c r="O83" s="2740"/>
      <c r="P83" s="2740"/>
      <c r="Q83" s="2740"/>
      <c r="R83" s="3682"/>
      <c r="S83" s="3683"/>
      <c r="T83" s="3679"/>
      <c r="U83" s="3679"/>
      <c r="V83" s="3684"/>
      <c r="W83" s="3684"/>
      <c r="X83" s="3684"/>
      <c r="Y83" s="3684"/>
      <c r="Z83" s="3679"/>
      <c r="AA83" s="3679"/>
      <c r="AB83" s="3679"/>
      <c r="AC83" s="3679"/>
      <c r="AD83" s="3679"/>
      <c r="AE83" s="3679"/>
      <c r="AF83" s="3679"/>
      <c r="AG83" s="3679"/>
      <c r="AH83" s="3679"/>
      <c r="AI83" s="3679"/>
      <c r="AJ83" s="3679"/>
      <c r="AK83" s="3679"/>
      <c r="AL83" s="3679"/>
      <c r="AM83" s="3679"/>
      <c r="AN83" s="3679"/>
      <c r="AO83" s="3679"/>
      <c r="AP83" s="3679"/>
      <c r="AQ83" s="3679"/>
      <c r="AR83" s="3679"/>
      <c r="AS83" s="3679"/>
      <c r="AT83" s="3679"/>
      <c r="AU83" s="3679"/>
      <c r="AV83" s="3679"/>
      <c r="AW83" s="3679"/>
      <c r="AX83" s="3679"/>
      <c r="AY83" s="3679"/>
      <c r="AZ83" s="3679"/>
      <c r="BA83" s="3679"/>
      <c r="BB83" s="3679"/>
      <c r="BC83" s="3679"/>
      <c r="BD83" s="3679"/>
      <c r="BE83" s="3679"/>
      <c r="BF83" s="3679"/>
      <c r="BG83" s="3679"/>
      <c r="BH83" s="3679"/>
      <c r="BI83" s="3679"/>
      <c r="BJ83" s="3685"/>
      <c r="BK83" s="15653"/>
      <c r="BL83" s="3686"/>
      <c r="BM83" s="3679"/>
      <c r="BN83" s="3687"/>
      <c r="BO83" s="3687"/>
      <c r="BP83" s="3687"/>
      <c r="BQ83" s="3687"/>
      <c r="BR83" s="3687"/>
      <c r="BS83" s="3687"/>
      <c r="BT83" s="3687"/>
      <c r="BU83" s="3687"/>
      <c r="BV83" s="3687"/>
      <c r="BW83" s="3687"/>
      <c r="BX83" s="3687"/>
      <c r="BY83" s="3687"/>
      <c r="BZ83" s="3687"/>
      <c r="CA83" s="3687"/>
      <c r="CB83" s="3687"/>
      <c r="CC83" s="3687"/>
      <c r="CD83" s="3687"/>
      <c r="CE83" s="3687"/>
      <c r="CF83" s="3687"/>
      <c r="CG83" s="3687"/>
      <c r="CH83" s="3687"/>
      <c r="CI83" s="3687"/>
      <c r="CJ83" s="3687"/>
      <c r="CK83" s="3687"/>
      <c r="CL83" s="3687"/>
      <c r="CM83" s="3687"/>
      <c r="CN83" s="3687"/>
      <c r="CO83" s="3687"/>
      <c r="CP83" s="3687"/>
      <c r="CQ83" s="3687"/>
      <c r="CR83" s="3687"/>
      <c r="CS83" s="3687"/>
      <c r="CT83" s="3687"/>
      <c r="CU83" s="3687"/>
      <c r="CV83" s="3687"/>
      <c r="CW83" s="3687"/>
      <c r="CX83" s="3687"/>
      <c r="CY83" s="3687"/>
      <c r="CZ83" s="3687"/>
      <c r="DA83" s="3687"/>
      <c r="DB83" s="3687"/>
      <c r="DC83" s="3677"/>
      <c r="DD83" s="3678"/>
      <c r="DE83" s="3679"/>
      <c r="DF83" s="3679"/>
      <c r="DG83" s="3679"/>
      <c r="DH83" s="3679"/>
      <c r="DI83" s="3680"/>
      <c r="DJ83" s="3784"/>
      <c r="DK83" s="3773"/>
      <c r="DL83" s="3679"/>
      <c r="DM83" s="3680"/>
      <c r="DN83" s="3773"/>
      <c r="DO83" s="3679"/>
      <c r="DP83" s="3680"/>
      <c r="DQ83" s="3773"/>
      <c r="DR83" s="3680"/>
      <c r="DS83" s="3773"/>
      <c r="DT83" s="3679"/>
      <c r="DU83" s="3679"/>
      <c r="DV83" s="3679"/>
      <c r="DW83" s="3679"/>
      <c r="DX83" s="3679"/>
      <c r="DY83" s="3680"/>
      <c r="DZ83" s="3773"/>
      <c r="EA83" s="3679"/>
      <c r="EB83" s="3679"/>
      <c r="EC83" s="3679"/>
      <c r="ED83" s="3679"/>
      <c r="EE83" s="3679"/>
      <c r="EF83" s="3679"/>
      <c r="EG83" s="3679"/>
      <c r="EH83" s="3679"/>
      <c r="EI83" s="3679"/>
      <c r="EJ83" s="3679"/>
      <c r="EK83" s="3679"/>
      <c r="EL83" s="3679"/>
      <c r="EM83" s="3680"/>
      <c r="EN83" s="3773"/>
      <c r="EO83" s="3679"/>
      <c r="EP83" s="3679"/>
      <c r="EQ83" s="3679"/>
      <c r="ER83" s="3680"/>
      <c r="ES83" s="3773"/>
      <c r="ET83" s="3679"/>
      <c r="EU83" s="3679"/>
      <c r="EV83" s="3679"/>
      <c r="EW83" s="3680"/>
    </row>
    <row r="84" spans="1:153" s="2005" customFormat="1" ht="15" customHeight="1">
      <c r="A84" s="15597"/>
      <c r="B84" s="15599"/>
      <c r="C84" s="15599"/>
      <c r="D84" s="3670" t="s">
        <v>7825</v>
      </c>
      <c r="E84" s="3670" t="s">
        <v>1676</v>
      </c>
      <c r="F84" s="3670" t="s">
        <v>1676</v>
      </c>
      <c r="G84" s="3670" t="s">
        <v>1677</v>
      </c>
      <c r="H84" s="3688">
        <v>1</v>
      </c>
      <c r="I84" s="3670" t="s">
        <v>1673</v>
      </c>
      <c r="J84" s="3681" t="s">
        <v>2896</v>
      </c>
      <c r="K84" s="3716" t="s">
        <v>163</v>
      </c>
      <c r="L84" s="3716"/>
      <c r="M84" s="3670" t="s">
        <v>1523</v>
      </c>
      <c r="N84" s="3670" t="s">
        <v>1511</v>
      </c>
      <c r="O84" s="3670" t="s">
        <v>1678</v>
      </c>
      <c r="P84" s="3688">
        <v>0.2</v>
      </c>
      <c r="Q84" s="3688">
        <v>0.5</v>
      </c>
      <c r="R84" s="3689" t="s">
        <v>1732</v>
      </c>
      <c r="S84" s="3672" t="s">
        <v>3902</v>
      </c>
      <c r="T84" s="3673"/>
      <c r="U84" s="3673"/>
      <c r="V84" s="3674"/>
      <c r="W84" s="3674"/>
      <c r="X84" s="3674"/>
      <c r="Y84" s="3674"/>
      <c r="Z84" s="3673"/>
      <c r="AA84" s="3673"/>
      <c r="AB84" s="3673"/>
      <c r="AC84" s="3673"/>
      <c r="AD84" s="3673"/>
      <c r="AE84" s="3673"/>
      <c r="AF84" s="3673"/>
      <c r="AG84" s="3673"/>
      <c r="AH84" s="3673"/>
      <c r="AI84" s="3673"/>
      <c r="AJ84" s="3673"/>
      <c r="AK84" s="3673"/>
      <c r="AL84" s="3673"/>
      <c r="AM84" s="3673"/>
      <c r="AN84" s="3673"/>
      <c r="AO84" s="3673"/>
      <c r="AP84" s="3673"/>
      <c r="AQ84" s="3673"/>
      <c r="AR84" s="3673"/>
      <c r="AS84" s="3673"/>
      <c r="AT84" s="3673"/>
      <c r="AU84" s="3673"/>
      <c r="AV84" s="3673"/>
      <c r="AW84" s="3673"/>
      <c r="AX84" s="3673"/>
      <c r="AY84" s="3673"/>
      <c r="AZ84" s="3673"/>
      <c r="BA84" s="3673"/>
      <c r="BB84" s="3673"/>
      <c r="BC84" s="3673"/>
      <c r="BD84" s="3673"/>
      <c r="BE84" s="3673"/>
      <c r="BF84" s="3673"/>
      <c r="BG84" s="3673"/>
      <c r="BH84" s="3673"/>
      <c r="BI84" s="3673"/>
      <c r="BJ84" s="2004">
        <v>0</v>
      </c>
      <c r="BK84" s="15653"/>
      <c r="BL84" s="3672" t="s">
        <v>3069</v>
      </c>
      <c r="BM84" s="3672" t="s">
        <v>3070</v>
      </c>
      <c r="BN84" s="3676"/>
      <c r="BO84" s="3690">
        <f>BP84+BQ84+BR84</f>
        <v>0</v>
      </c>
      <c r="BP84" s="3691">
        <v>0</v>
      </c>
      <c r="BQ84" s="3691">
        <v>0</v>
      </c>
      <c r="BR84" s="3691">
        <v>0</v>
      </c>
      <c r="BS84" s="3676">
        <v>5</v>
      </c>
      <c r="BT84" s="3676"/>
      <c r="BU84" s="3676"/>
      <c r="BV84" s="3676"/>
      <c r="BW84" s="3676"/>
      <c r="BX84" s="3676"/>
      <c r="BY84" s="3676"/>
      <c r="BZ84" s="3676"/>
      <c r="CA84" s="3676"/>
      <c r="CB84" s="3676"/>
      <c r="CC84" s="3676"/>
      <c r="CD84" s="3676"/>
      <c r="CE84" s="3676"/>
      <c r="CF84" s="3676"/>
      <c r="CG84" s="3676"/>
      <c r="CH84" s="3676"/>
      <c r="CI84" s="3676"/>
      <c r="CJ84" s="3676"/>
      <c r="CK84" s="3676"/>
      <c r="CL84" s="3676"/>
      <c r="CM84" s="3676"/>
      <c r="CN84" s="3676"/>
      <c r="CO84" s="3676"/>
      <c r="CP84" s="3676"/>
      <c r="CQ84" s="3676"/>
      <c r="CR84" s="3676"/>
      <c r="CS84" s="3676" t="s">
        <v>3071</v>
      </c>
      <c r="CT84" s="3676" t="s">
        <v>3071</v>
      </c>
      <c r="CU84" s="3676" t="s">
        <v>3071</v>
      </c>
      <c r="CV84" s="3676" t="s">
        <v>3071</v>
      </c>
      <c r="CW84" s="3676" t="s">
        <v>3071</v>
      </c>
      <c r="CX84" s="3676" t="s">
        <v>3071</v>
      </c>
      <c r="CY84" s="3676" t="s">
        <v>3071</v>
      </c>
      <c r="CZ84" s="3676" t="s">
        <v>3071</v>
      </c>
      <c r="DA84" s="3676" t="s">
        <v>3071</v>
      </c>
      <c r="DB84" s="3676" t="s">
        <v>3071</v>
      </c>
      <c r="DC84" s="3677"/>
      <c r="DD84" s="3678"/>
      <c r="DE84" s="3679"/>
      <c r="DF84" s="3679"/>
      <c r="DG84" s="3679"/>
      <c r="DH84" s="3679"/>
      <c r="DI84" s="3680"/>
      <c r="DJ84" s="3784"/>
      <c r="DK84" s="3773"/>
      <c r="DL84" s="3679"/>
      <c r="DM84" s="3680"/>
      <c r="DN84" s="3773"/>
      <c r="DO84" s="3679"/>
      <c r="DP84" s="3680"/>
      <c r="DQ84" s="3773"/>
      <c r="DR84" s="3680"/>
      <c r="DS84" s="3773"/>
      <c r="DT84" s="3679"/>
      <c r="DU84" s="3679"/>
      <c r="DV84" s="3679"/>
      <c r="DW84" s="3679"/>
      <c r="DX84" s="3679"/>
      <c r="DY84" s="3680"/>
      <c r="DZ84" s="3773"/>
      <c r="EA84" s="3679"/>
      <c r="EB84" s="3679"/>
      <c r="EC84" s="3679"/>
      <c r="ED84" s="3679"/>
      <c r="EE84" s="3679"/>
      <c r="EF84" s="3679"/>
      <c r="EG84" s="3679"/>
      <c r="EH84" s="3679"/>
      <c r="EI84" s="3679"/>
      <c r="EJ84" s="3679"/>
      <c r="EK84" s="3679"/>
      <c r="EL84" s="3679"/>
      <c r="EM84" s="3680"/>
      <c r="EN84" s="3773"/>
      <c r="EO84" s="3679"/>
      <c r="EP84" s="3679"/>
      <c r="EQ84" s="3679"/>
      <c r="ER84" s="3680"/>
      <c r="ES84" s="3773"/>
      <c r="ET84" s="3679"/>
      <c r="EU84" s="3679"/>
      <c r="EV84" s="3679"/>
      <c r="EW84" s="3680"/>
    </row>
    <row r="85" spans="1:153" s="2005" customFormat="1" ht="15" customHeight="1">
      <c r="A85" s="15597"/>
      <c r="B85" s="15599"/>
      <c r="C85" s="15599" t="s">
        <v>1679</v>
      </c>
      <c r="D85" s="3670" t="s">
        <v>7826</v>
      </c>
      <c r="E85" s="3670" t="s">
        <v>1680</v>
      </c>
      <c r="F85" s="3670" t="s">
        <v>1680</v>
      </c>
      <c r="G85" s="3670" t="s">
        <v>1682</v>
      </c>
      <c r="H85" s="3670">
        <v>7</v>
      </c>
      <c r="I85" s="3670" t="s">
        <v>1681</v>
      </c>
      <c r="J85" s="3681" t="s">
        <v>10063</v>
      </c>
      <c r="K85" s="3716" t="s">
        <v>79</v>
      </c>
      <c r="L85" s="3716"/>
      <c r="M85" s="3670" t="s">
        <v>1523</v>
      </c>
      <c r="N85" s="3670" t="s">
        <v>1511</v>
      </c>
      <c r="O85" s="3670" t="s">
        <v>1683</v>
      </c>
      <c r="P85" s="3670">
        <v>1</v>
      </c>
      <c r="Q85" s="3670">
        <v>4</v>
      </c>
      <c r="R85" s="3692"/>
      <c r="S85" s="3672" t="s">
        <v>3069</v>
      </c>
      <c r="T85" s="3672" t="s">
        <v>3070</v>
      </c>
      <c r="U85" s="3693"/>
      <c r="V85" s="3694"/>
      <c r="W85" s="3694"/>
      <c r="X85" s="3694"/>
      <c r="Y85" s="3694"/>
      <c r="Z85" s="3692"/>
      <c r="AA85" s="3692"/>
      <c r="AB85" s="3692"/>
      <c r="AC85" s="3692"/>
      <c r="AD85" s="3692"/>
      <c r="AE85" s="3692"/>
      <c r="AF85" s="3692"/>
      <c r="AG85" s="3692"/>
      <c r="AH85" s="3692"/>
      <c r="AI85" s="3692"/>
      <c r="AJ85" s="3692"/>
      <c r="AK85" s="3692"/>
      <c r="AL85" s="3692"/>
      <c r="AM85" s="3692"/>
      <c r="AN85" s="3692"/>
      <c r="AO85" s="3692"/>
      <c r="AP85" s="3692"/>
      <c r="AQ85" s="3692"/>
      <c r="AR85" s="3692"/>
      <c r="AS85" s="3692"/>
      <c r="AT85" s="3692"/>
      <c r="AU85" s="3692"/>
      <c r="AV85" s="3692"/>
      <c r="AW85" s="3692"/>
      <c r="AX85" s="3692"/>
      <c r="AY85" s="3692"/>
      <c r="AZ85" s="3673"/>
      <c r="BA85" s="3673"/>
      <c r="BB85" s="3673"/>
      <c r="BC85" s="3673"/>
      <c r="BD85" s="3673"/>
      <c r="BE85" s="3673"/>
      <c r="BF85" s="3673"/>
      <c r="BG85" s="3673"/>
      <c r="BH85" s="3673"/>
      <c r="BI85" s="3673"/>
      <c r="BJ85" s="2004">
        <v>1</v>
      </c>
      <c r="BK85" s="15653"/>
      <c r="BL85" s="3695" t="s">
        <v>8834</v>
      </c>
      <c r="BM85" s="3696" t="s">
        <v>3068</v>
      </c>
      <c r="BN85" s="3676" t="s">
        <v>3073</v>
      </c>
      <c r="BO85" s="3690">
        <f>BP85+BQ85+BR85</f>
        <v>19132622.308333334</v>
      </c>
      <c r="BP85" s="3691">
        <v>16507914.733333334</v>
      </c>
      <c r="BQ85" s="3691">
        <v>2624707.5750000002</v>
      </c>
      <c r="BR85" s="3691">
        <v>0</v>
      </c>
      <c r="BS85" s="3676">
        <v>3500</v>
      </c>
      <c r="BT85" s="3676">
        <v>2000</v>
      </c>
      <c r="BU85" s="3676">
        <v>1500</v>
      </c>
      <c r="BV85" s="3676">
        <v>2000</v>
      </c>
      <c r="BW85" s="3676">
        <v>1500</v>
      </c>
      <c r="BX85" s="3676"/>
      <c r="BY85" s="3676"/>
      <c r="BZ85" s="3676"/>
      <c r="CA85" s="3676">
        <v>3500</v>
      </c>
      <c r="CB85" s="3676"/>
      <c r="CC85" s="3676"/>
      <c r="CD85" s="3676"/>
      <c r="CE85" s="3676">
        <v>3500</v>
      </c>
      <c r="CF85" s="3676"/>
      <c r="CG85" s="3676"/>
      <c r="CH85" s="3676"/>
      <c r="CI85" s="3676"/>
      <c r="CJ85" s="3676"/>
      <c r="CK85" s="3676"/>
      <c r="CL85" s="3676"/>
      <c r="CM85" s="3676"/>
      <c r="CN85" s="3676"/>
      <c r="CO85" s="3676"/>
      <c r="CP85" s="3676"/>
      <c r="CQ85" s="3676"/>
      <c r="CR85" s="3676"/>
      <c r="CS85" s="3676"/>
      <c r="CT85" s="3676"/>
      <c r="CU85" s="3676"/>
      <c r="CV85" s="3676"/>
      <c r="CW85" s="3676"/>
      <c r="CX85" s="3676"/>
      <c r="CY85" s="3676"/>
      <c r="CZ85" s="3676"/>
      <c r="DA85" s="3676"/>
      <c r="DB85" s="3676"/>
      <c r="DC85" s="3677"/>
      <c r="DD85" s="3678"/>
      <c r="DE85" s="3679"/>
      <c r="DF85" s="3679"/>
      <c r="DG85" s="3679"/>
      <c r="DH85" s="3679"/>
      <c r="DI85" s="3680"/>
      <c r="DJ85" s="3784"/>
      <c r="DK85" s="3773"/>
      <c r="DL85" s="3679"/>
      <c r="DM85" s="3680"/>
      <c r="DN85" s="3773"/>
      <c r="DO85" s="3679"/>
      <c r="DP85" s="3680"/>
      <c r="DQ85" s="3773"/>
      <c r="DR85" s="3680"/>
      <c r="DS85" s="3773"/>
      <c r="DT85" s="3679"/>
      <c r="DU85" s="3679"/>
      <c r="DV85" s="3679"/>
      <c r="DW85" s="3679"/>
      <c r="DX85" s="3679"/>
      <c r="DY85" s="3680"/>
      <c r="DZ85" s="3773"/>
      <c r="EA85" s="3679"/>
      <c r="EB85" s="3679"/>
      <c r="EC85" s="3679"/>
      <c r="ED85" s="3679"/>
      <c r="EE85" s="3679"/>
      <c r="EF85" s="3679"/>
      <c r="EG85" s="3679"/>
      <c r="EH85" s="3679"/>
      <c r="EI85" s="3679"/>
      <c r="EJ85" s="3679"/>
      <c r="EK85" s="3679"/>
      <c r="EL85" s="3679"/>
      <c r="EM85" s="3680"/>
      <c r="EN85" s="3773"/>
      <c r="EO85" s="3679"/>
      <c r="EP85" s="3679"/>
      <c r="EQ85" s="3679"/>
      <c r="ER85" s="3680"/>
      <c r="ES85" s="3773"/>
      <c r="ET85" s="3679"/>
      <c r="EU85" s="3679"/>
      <c r="EV85" s="3679"/>
      <c r="EW85" s="3680"/>
    </row>
    <row r="86" spans="1:153" s="2005" customFormat="1" ht="15" customHeight="1">
      <c r="A86" s="15597"/>
      <c r="B86" s="15599"/>
      <c r="C86" s="15599"/>
      <c r="D86" s="3670" t="s">
        <v>7827</v>
      </c>
      <c r="E86" s="3670" t="s">
        <v>1684</v>
      </c>
      <c r="F86" s="3670" t="s">
        <v>1684</v>
      </c>
      <c r="G86" s="3670" t="s">
        <v>1685</v>
      </c>
      <c r="H86" s="3670">
        <v>10</v>
      </c>
      <c r="I86" s="3670" t="s">
        <v>700</v>
      </c>
      <c r="J86" s="3681" t="s">
        <v>10063</v>
      </c>
      <c r="K86" s="3716" t="s">
        <v>79</v>
      </c>
      <c r="L86" s="3716"/>
      <c r="M86" s="3670" t="s">
        <v>1523</v>
      </c>
      <c r="N86" s="3670" t="s">
        <v>1511</v>
      </c>
      <c r="O86" s="3670" t="s">
        <v>1686</v>
      </c>
      <c r="P86" s="3670">
        <v>1</v>
      </c>
      <c r="Q86" s="3670">
        <v>4</v>
      </c>
      <c r="R86" s="3697">
        <v>1</v>
      </c>
      <c r="S86" s="3695" t="s">
        <v>3072</v>
      </c>
      <c r="T86" s="3696" t="s">
        <v>3068</v>
      </c>
      <c r="U86" s="3696" t="s">
        <v>3073</v>
      </c>
      <c r="V86" s="3694">
        <f>W86+X86</f>
        <v>22807627.921999998</v>
      </c>
      <c r="W86" s="3694">
        <v>20457400.364615384</v>
      </c>
      <c r="X86" s="3694">
        <v>2350227.5573846158</v>
      </c>
      <c r="Y86" s="3694">
        <v>0</v>
      </c>
      <c r="Z86" s="3698">
        <v>3120</v>
      </c>
      <c r="AA86" s="3676">
        <v>1404</v>
      </c>
      <c r="AB86" s="3699">
        <v>1716</v>
      </c>
      <c r="AC86" s="3699">
        <v>1672</v>
      </c>
      <c r="AD86" s="3699">
        <v>1448</v>
      </c>
      <c r="AE86" s="3693"/>
      <c r="AF86" s="3693"/>
      <c r="AG86" s="3699">
        <v>1275</v>
      </c>
      <c r="AH86" s="3699">
        <v>1845</v>
      </c>
      <c r="AI86" s="3693"/>
      <c r="AJ86" s="3693"/>
      <c r="AK86" s="3693"/>
      <c r="AL86" s="3698">
        <v>3120</v>
      </c>
      <c r="AM86" s="3693"/>
      <c r="AN86" s="3693"/>
      <c r="AO86" s="3693"/>
      <c r="AP86" s="3693"/>
      <c r="AQ86" s="3693"/>
      <c r="AR86" s="3693"/>
      <c r="AS86" s="3693"/>
      <c r="AT86" s="3693"/>
      <c r="AU86" s="3693"/>
      <c r="AV86" s="3693"/>
      <c r="AW86" s="3693"/>
      <c r="AX86" s="3693"/>
      <c r="AY86" s="3693"/>
      <c r="AZ86" s="3673"/>
      <c r="BA86" s="3673"/>
      <c r="BB86" s="3673"/>
      <c r="BC86" s="3673"/>
      <c r="BD86" s="3673"/>
      <c r="BE86" s="3673"/>
      <c r="BF86" s="3673"/>
      <c r="BG86" s="3673"/>
      <c r="BH86" s="3673"/>
      <c r="BI86" s="3673"/>
      <c r="BJ86" s="2004">
        <v>1</v>
      </c>
      <c r="BK86" s="15653"/>
      <c r="BL86" s="3695" t="s">
        <v>8835</v>
      </c>
      <c r="BM86" s="3700" t="s">
        <v>3075</v>
      </c>
      <c r="BN86" s="3676" t="s">
        <v>545</v>
      </c>
      <c r="BO86" s="3690">
        <f>BP86+BQ86+BR86</f>
        <v>19132622.308333334</v>
      </c>
      <c r="BP86" s="3691">
        <v>16507914.733333334</v>
      </c>
      <c r="BQ86" s="3691">
        <v>2624707.5750000002</v>
      </c>
      <c r="BR86" s="3691">
        <v>0</v>
      </c>
      <c r="BS86" s="3676">
        <v>2887</v>
      </c>
      <c r="BT86" s="3676">
        <v>1625</v>
      </c>
      <c r="BU86" s="3676">
        <v>1262</v>
      </c>
      <c r="BV86" s="3676">
        <v>1687</v>
      </c>
      <c r="BW86" s="3676">
        <v>1200</v>
      </c>
      <c r="BX86" s="3676"/>
      <c r="BY86" s="3676">
        <v>6</v>
      </c>
      <c r="BZ86" s="3676">
        <v>910</v>
      </c>
      <c r="CA86" s="3676">
        <v>1926</v>
      </c>
      <c r="CB86" s="3676">
        <v>33</v>
      </c>
      <c r="CC86" s="3676">
        <v>12</v>
      </c>
      <c r="CD86" s="3676"/>
      <c r="CE86" s="3676">
        <v>2887</v>
      </c>
      <c r="CF86" s="3676"/>
      <c r="CG86" s="3676"/>
      <c r="CH86" s="3676"/>
      <c r="CI86" s="3676"/>
      <c r="CJ86" s="3676"/>
      <c r="CK86" s="3676"/>
      <c r="CL86" s="3676"/>
      <c r="CM86" s="3676"/>
      <c r="CN86" s="3676"/>
      <c r="CO86" s="3676"/>
      <c r="CP86" s="3676"/>
      <c r="CQ86" s="3676"/>
      <c r="CR86" s="3676"/>
      <c r="CS86" s="3676"/>
      <c r="CT86" s="3676"/>
      <c r="CU86" s="3676"/>
      <c r="CV86" s="3676"/>
      <c r="CW86" s="3676"/>
      <c r="CX86" s="3676"/>
      <c r="CY86" s="3676"/>
      <c r="CZ86" s="3676"/>
      <c r="DA86" s="3676"/>
      <c r="DB86" s="3676"/>
      <c r="DC86" s="3677"/>
      <c r="DD86" s="3678"/>
      <c r="DE86" s="3679"/>
      <c r="DF86" s="3679"/>
      <c r="DG86" s="3679"/>
      <c r="DH86" s="3679"/>
      <c r="DI86" s="3680"/>
      <c r="DJ86" s="3784"/>
      <c r="DK86" s="3773"/>
      <c r="DL86" s="3679"/>
      <c r="DM86" s="3680"/>
      <c r="DN86" s="3773"/>
      <c r="DO86" s="3679"/>
      <c r="DP86" s="3680"/>
      <c r="DQ86" s="3773"/>
      <c r="DR86" s="3680"/>
      <c r="DS86" s="3773"/>
      <c r="DT86" s="3679"/>
      <c r="DU86" s="3679"/>
      <c r="DV86" s="3679"/>
      <c r="DW86" s="3679"/>
      <c r="DX86" s="3679"/>
      <c r="DY86" s="3680"/>
      <c r="DZ86" s="3773"/>
      <c r="EA86" s="3679"/>
      <c r="EB86" s="3679"/>
      <c r="EC86" s="3679"/>
      <c r="ED86" s="3679"/>
      <c r="EE86" s="3679"/>
      <c r="EF86" s="3679"/>
      <c r="EG86" s="3679"/>
      <c r="EH86" s="3679"/>
      <c r="EI86" s="3679"/>
      <c r="EJ86" s="3679"/>
      <c r="EK86" s="3679"/>
      <c r="EL86" s="3679"/>
      <c r="EM86" s="3680"/>
      <c r="EN86" s="3773"/>
      <c r="EO86" s="3679"/>
      <c r="EP86" s="3679"/>
      <c r="EQ86" s="3679"/>
      <c r="ER86" s="3680"/>
      <c r="ES86" s="3773"/>
      <c r="ET86" s="3679"/>
      <c r="EU86" s="3679"/>
      <c r="EV86" s="3679"/>
      <c r="EW86" s="3680"/>
    </row>
    <row r="87" spans="1:153" s="2005" customFormat="1" ht="15" customHeight="1">
      <c r="A87" s="15597"/>
      <c r="B87" s="15599"/>
      <c r="C87" s="15599" t="s">
        <v>1687</v>
      </c>
      <c r="D87" s="15602" t="s">
        <v>7828</v>
      </c>
      <c r="E87" s="3670" t="s">
        <v>1688</v>
      </c>
      <c r="F87" s="15602" t="s">
        <v>1688</v>
      </c>
      <c r="G87" s="15602" t="s">
        <v>1691</v>
      </c>
      <c r="H87" s="15602">
        <v>1</v>
      </c>
      <c r="I87" s="15602" t="s">
        <v>1689</v>
      </c>
      <c r="J87" s="3681" t="s">
        <v>10063</v>
      </c>
      <c r="K87" s="3716" t="s">
        <v>79</v>
      </c>
      <c r="L87" s="3716"/>
      <c r="M87" s="3670" t="s">
        <v>1523</v>
      </c>
      <c r="N87" s="3670" t="s">
        <v>1511</v>
      </c>
      <c r="O87" s="3670" t="s">
        <v>1692</v>
      </c>
      <c r="P87" s="3670">
        <v>1</v>
      </c>
      <c r="Q87" s="3670">
        <v>1</v>
      </c>
      <c r="R87" s="3697">
        <v>1</v>
      </c>
      <c r="S87" s="3695" t="s">
        <v>3074</v>
      </c>
      <c r="T87" s="3700" t="s">
        <v>3075</v>
      </c>
      <c r="U87" s="3692"/>
      <c r="V87" s="3694">
        <f>W87+X87</f>
        <v>22807627.921999998</v>
      </c>
      <c r="W87" s="3694">
        <v>20457400.364615384</v>
      </c>
      <c r="X87" s="3694">
        <v>2350227.5573846158</v>
      </c>
      <c r="Y87" s="3694"/>
      <c r="Z87" s="3699">
        <v>2449</v>
      </c>
      <c r="AA87" s="3699">
        <v>1210</v>
      </c>
      <c r="AB87" s="3699">
        <v>1239</v>
      </c>
      <c r="AC87" s="3699">
        <v>1672</v>
      </c>
      <c r="AD87" s="3693">
        <v>777</v>
      </c>
      <c r="AE87" s="3673"/>
      <c r="AF87" s="3673"/>
      <c r="AG87" s="3676">
        <v>1229</v>
      </c>
      <c r="AH87" s="3699">
        <v>1220</v>
      </c>
      <c r="AI87" s="3673"/>
      <c r="AJ87" s="3673"/>
      <c r="AK87" s="3673"/>
      <c r="AL87" s="3699">
        <v>2449</v>
      </c>
      <c r="AM87" s="3673"/>
      <c r="AN87" s="3673"/>
      <c r="AO87" s="3673"/>
      <c r="AP87" s="3673"/>
      <c r="AQ87" s="3673"/>
      <c r="AR87" s="3673"/>
      <c r="AS87" s="3673"/>
      <c r="AT87" s="3673"/>
      <c r="AU87" s="3673"/>
      <c r="AV87" s="3673"/>
      <c r="AW87" s="3673"/>
      <c r="AX87" s="3673"/>
      <c r="AY87" s="3673"/>
      <c r="AZ87" s="3673"/>
      <c r="BA87" s="3673"/>
      <c r="BB87" s="3673"/>
      <c r="BC87" s="3673"/>
      <c r="BD87" s="3673"/>
      <c r="BE87" s="3673"/>
      <c r="BF87" s="3673"/>
      <c r="BG87" s="3673"/>
      <c r="BH87" s="3673"/>
      <c r="BI87" s="3673"/>
      <c r="BJ87" s="2004">
        <v>1</v>
      </c>
      <c r="BK87" s="15653"/>
      <c r="BL87" s="3701" t="s">
        <v>8836</v>
      </c>
      <c r="BM87" s="3672" t="s">
        <v>8837</v>
      </c>
      <c r="BN87" s="3676"/>
      <c r="BO87" s="3690">
        <f>BP87+BQ87+BR87</f>
        <v>12847203.308333332</v>
      </c>
      <c r="BP87" s="3690">
        <v>10872173.333333332</v>
      </c>
      <c r="BQ87" s="3690">
        <v>1975029.9750000001</v>
      </c>
      <c r="BR87" s="3691">
        <v>0</v>
      </c>
      <c r="BS87" s="3702">
        <v>572</v>
      </c>
      <c r="BT87" s="3702">
        <v>201</v>
      </c>
      <c r="BU87" s="3702">
        <v>371</v>
      </c>
      <c r="BV87" s="3702">
        <v>537</v>
      </c>
      <c r="BW87" s="3702">
        <v>35</v>
      </c>
      <c r="BX87" s="3702"/>
      <c r="BY87" s="3702"/>
      <c r="BZ87" s="3702">
        <v>195</v>
      </c>
      <c r="CA87" s="3702">
        <v>315</v>
      </c>
      <c r="CB87" s="3702">
        <v>50</v>
      </c>
      <c r="CC87" s="3702">
        <v>12</v>
      </c>
      <c r="CD87" s="3702"/>
      <c r="CE87" s="3702">
        <v>572</v>
      </c>
      <c r="CF87" s="3702"/>
      <c r="CG87" s="3702"/>
      <c r="CH87" s="3702"/>
      <c r="CI87" s="3702"/>
      <c r="CJ87" s="3702"/>
      <c r="CK87" s="3702"/>
      <c r="CL87" s="3702"/>
      <c r="CM87" s="3702"/>
      <c r="CN87" s="3702"/>
      <c r="CO87" s="3702"/>
      <c r="CP87" s="3702"/>
      <c r="CQ87" s="3702"/>
      <c r="CR87" s="3702"/>
      <c r="CS87" s="3676">
        <v>0</v>
      </c>
      <c r="CT87" s="3676">
        <v>0</v>
      </c>
      <c r="CU87" s="3676">
        <v>0</v>
      </c>
      <c r="CV87" s="3676">
        <v>0</v>
      </c>
      <c r="CW87" s="3676">
        <v>0</v>
      </c>
      <c r="CX87" s="3676">
        <v>0</v>
      </c>
      <c r="CY87" s="3676">
        <v>0</v>
      </c>
      <c r="CZ87" s="3676"/>
      <c r="DA87" s="3676">
        <v>0</v>
      </c>
      <c r="DB87" s="3676">
        <v>0</v>
      </c>
      <c r="DC87" s="3677"/>
      <c r="DD87" s="3678"/>
      <c r="DE87" s="3679"/>
      <c r="DF87" s="3679"/>
      <c r="DG87" s="3679"/>
      <c r="DH87" s="3679"/>
      <c r="DI87" s="3680"/>
      <c r="DJ87" s="3784"/>
      <c r="DK87" s="3773"/>
      <c r="DL87" s="3679"/>
      <c r="DM87" s="3680"/>
      <c r="DN87" s="3773"/>
      <c r="DO87" s="3679"/>
      <c r="DP87" s="3680"/>
      <c r="DQ87" s="3773"/>
      <c r="DR87" s="3680"/>
      <c r="DS87" s="3773"/>
      <c r="DT87" s="3679"/>
      <c r="DU87" s="3679"/>
      <c r="DV87" s="3679"/>
      <c r="DW87" s="3679"/>
      <c r="DX87" s="3679"/>
      <c r="DY87" s="3680"/>
      <c r="DZ87" s="3773"/>
      <c r="EA87" s="3679"/>
      <c r="EB87" s="3679"/>
      <c r="EC87" s="3679"/>
      <c r="ED87" s="3679"/>
      <c r="EE87" s="3679"/>
      <c r="EF87" s="3679"/>
      <c r="EG87" s="3679"/>
      <c r="EH87" s="3679"/>
      <c r="EI87" s="3679"/>
      <c r="EJ87" s="3679"/>
      <c r="EK87" s="3679"/>
      <c r="EL87" s="3679"/>
      <c r="EM87" s="3680"/>
      <c r="EN87" s="3773"/>
      <c r="EO87" s="3679"/>
      <c r="EP87" s="3679"/>
      <c r="EQ87" s="3679"/>
      <c r="ER87" s="3680"/>
      <c r="ES87" s="3773"/>
      <c r="ET87" s="3679"/>
      <c r="EU87" s="3679"/>
      <c r="EV87" s="3679"/>
      <c r="EW87" s="3680"/>
    </row>
    <row r="88" spans="1:153" s="2005" customFormat="1" ht="15" customHeight="1">
      <c r="A88" s="15598"/>
      <c r="B88" s="15600"/>
      <c r="C88" s="15600"/>
      <c r="D88" s="15603"/>
      <c r="E88" s="2740"/>
      <c r="F88" s="15603"/>
      <c r="G88" s="15603"/>
      <c r="H88" s="15603"/>
      <c r="I88" s="15603"/>
      <c r="J88" s="3681" t="s">
        <v>10200</v>
      </c>
      <c r="K88" s="3914"/>
      <c r="L88" s="3716" t="s">
        <v>1690</v>
      </c>
      <c r="M88" s="2740"/>
      <c r="N88" s="2740"/>
      <c r="O88" s="2740"/>
      <c r="P88" s="2740"/>
      <c r="Q88" s="2740"/>
      <c r="R88" s="3703"/>
      <c r="S88" s="3704"/>
      <c r="T88" s="3705"/>
      <c r="U88" s="3706"/>
      <c r="V88" s="3707"/>
      <c r="W88" s="3707"/>
      <c r="X88" s="3707"/>
      <c r="Y88" s="3707"/>
      <c r="Z88" s="3708"/>
      <c r="AA88" s="3708"/>
      <c r="AB88" s="3708"/>
      <c r="AC88" s="3708"/>
      <c r="AD88" s="3709"/>
      <c r="AE88" s="3679"/>
      <c r="AF88" s="3679"/>
      <c r="AG88" s="3687"/>
      <c r="AH88" s="3708"/>
      <c r="AI88" s="3679"/>
      <c r="AJ88" s="3679"/>
      <c r="AK88" s="3679"/>
      <c r="AL88" s="3708"/>
      <c r="AM88" s="3679"/>
      <c r="AN88" s="3679"/>
      <c r="AO88" s="3679"/>
      <c r="AP88" s="3679"/>
      <c r="AQ88" s="3679"/>
      <c r="AR88" s="3679"/>
      <c r="AS88" s="3679"/>
      <c r="AT88" s="3679"/>
      <c r="AU88" s="3679"/>
      <c r="AV88" s="3679"/>
      <c r="AW88" s="3679"/>
      <c r="AX88" s="3679"/>
      <c r="AY88" s="3679"/>
      <c r="AZ88" s="3679"/>
      <c r="BA88" s="3679"/>
      <c r="BB88" s="3679"/>
      <c r="BC88" s="3679"/>
      <c r="BD88" s="3679"/>
      <c r="BE88" s="3679"/>
      <c r="BF88" s="3679"/>
      <c r="BG88" s="3679"/>
      <c r="BH88" s="3679"/>
      <c r="BI88" s="3679"/>
      <c r="BJ88" s="3685"/>
      <c r="BK88" s="15653"/>
      <c r="BL88" s="3710"/>
      <c r="BM88" s="3683"/>
      <c r="BN88" s="3687"/>
      <c r="BO88" s="3711"/>
      <c r="BP88" s="3711"/>
      <c r="BQ88" s="3711"/>
      <c r="BR88" s="3712"/>
      <c r="BS88" s="3713"/>
      <c r="BT88" s="3713"/>
      <c r="BU88" s="3713"/>
      <c r="BV88" s="3713"/>
      <c r="BW88" s="3713"/>
      <c r="BX88" s="3713"/>
      <c r="BY88" s="3713"/>
      <c r="BZ88" s="3713"/>
      <c r="CA88" s="3713"/>
      <c r="CB88" s="3713"/>
      <c r="CC88" s="3713"/>
      <c r="CD88" s="3713"/>
      <c r="CE88" s="3713"/>
      <c r="CF88" s="3713"/>
      <c r="CG88" s="3713"/>
      <c r="CH88" s="3713"/>
      <c r="CI88" s="3713"/>
      <c r="CJ88" s="3713"/>
      <c r="CK88" s="3713"/>
      <c r="CL88" s="3713"/>
      <c r="CM88" s="3713"/>
      <c r="CN88" s="3713"/>
      <c r="CO88" s="3713"/>
      <c r="CP88" s="3713"/>
      <c r="CQ88" s="3713"/>
      <c r="CR88" s="3713"/>
      <c r="CS88" s="3687"/>
      <c r="CT88" s="3687"/>
      <c r="CU88" s="3687"/>
      <c r="CV88" s="3687"/>
      <c r="CW88" s="3687"/>
      <c r="CX88" s="3687"/>
      <c r="CY88" s="3687"/>
      <c r="CZ88" s="3687"/>
      <c r="DA88" s="3687"/>
      <c r="DB88" s="3687"/>
      <c r="DC88" s="3677"/>
      <c r="DD88" s="3678"/>
      <c r="DE88" s="3679"/>
      <c r="DF88" s="3679"/>
      <c r="DG88" s="3679"/>
      <c r="DH88" s="3679"/>
      <c r="DI88" s="3680"/>
      <c r="DJ88" s="3784"/>
      <c r="DK88" s="3773"/>
      <c r="DL88" s="3679"/>
      <c r="DM88" s="3680"/>
      <c r="DN88" s="3773"/>
      <c r="DO88" s="3679"/>
      <c r="DP88" s="3680"/>
      <c r="DQ88" s="3773"/>
      <c r="DR88" s="3680"/>
      <c r="DS88" s="3773"/>
      <c r="DT88" s="3679"/>
      <c r="DU88" s="3679"/>
      <c r="DV88" s="3679"/>
      <c r="DW88" s="3679"/>
      <c r="DX88" s="3679"/>
      <c r="DY88" s="3680"/>
      <c r="DZ88" s="3773"/>
      <c r="EA88" s="3679"/>
      <c r="EB88" s="3679"/>
      <c r="EC88" s="3679"/>
      <c r="ED88" s="3679"/>
      <c r="EE88" s="3679"/>
      <c r="EF88" s="3679"/>
      <c r="EG88" s="3679"/>
      <c r="EH88" s="3679"/>
      <c r="EI88" s="3679"/>
      <c r="EJ88" s="3679"/>
      <c r="EK88" s="3679"/>
      <c r="EL88" s="3679"/>
      <c r="EM88" s="3680"/>
      <c r="EN88" s="3773"/>
      <c r="EO88" s="3679"/>
      <c r="EP88" s="3679"/>
      <c r="EQ88" s="3679"/>
      <c r="ER88" s="3680"/>
      <c r="ES88" s="3773"/>
      <c r="ET88" s="3679"/>
      <c r="EU88" s="3679"/>
      <c r="EV88" s="3679"/>
      <c r="EW88" s="3680"/>
    </row>
    <row r="89" spans="1:153" s="2005" customFormat="1" ht="15" customHeight="1">
      <c r="A89" s="15597"/>
      <c r="B89" s="15599"/>
      <c r="C89" s="15599"/>
      <c r="D89" s="3670" t="s">
        <v>7829</v>
      </c>
      <c r="E89" s="3670" t="s">
        <v>1693</v>
      </c>
      <c r="F89" s="3670" t="s">
        <v>1693</v>
      </c>
      <c r="G89" s="3670" t="s">
        <v>1695</v>
      </c>
      <c r="H89" s="3670">
        <v>1</v>
      </c>
      <c r="I89" s="3670" t="s">
        <v>1694</v>
      </c>
      <c r="J89" s="3681" t="s">
        <v>10063</v>
      </c>
      <c r="K89" s="3716" t="s">
        <v>79</v>
      </c>
      <c r="L89" s="3716"/>
      <c r="M89" s="3670" t="s">
        <v>1523</v>
      </c>
      <c r="N89" s="3670" t="s">
        <v>1511</v>
      </c>
      <c r="O89" s="3670" t="s">
        <v>1696</v>
      </c>
      <c r="P89" s="3670">
        <v>1</v>
      </c>
      <c r="Q89" s="3670">
        <v>1</v>
      </c>
      <c r="R89" s="3697">
        <v>0.6</v>
      </c>
      <c r="S89" s="3700" t="s">
        <v>3076</v>
      </c>
      <c r="T89" s="3700" t="s">
        <v>3077</v>
      </c>
      <c r="U89" s="3696"/>
      <c r="V89" s="3714"/>
      <c r="W89" s="3714"/>
      <c r="X89" s="3714"/>
      <c r="Y89" s="3714"/>
      <c r="Z89" s="3692"/>
      <c r="AA89" s="3692"/>
      <c r="AB89" s="3692"/>
      <c r="AC89" s="3692"/>
      <c r="AD89" s="3692"/>
      <c r="AE89" s="3692"/>
      <c r="AF89" s="3692"/>
      <c r="AG89" s="3692"/>
      <c r="AH89" s="3692"/>
      <c r="AI89" s="3692"/>
      <c r="AJ89" s="3692"/>
      <c r="AK89" s="3692"/>
      <c r="AL89" s="3692"/>
      <c r="AM89" s="3692"/>
      <c r="AN89" s="3692"/>
      <c r="AO89" s="3692"/>
      <c r="AP89" s="3692"/>
      <c r="AQ89" s="3692"/>
      <c r="AR89" s="3692"/>
      <c r="AS89" s="3692"/>
      <c r="AT89" s="3692"/>
      <c r="AU89" s="3692"/>
      <c r="AV89" s="3692"/>
      <c r="AW89" s="3692"/>
      <c r="AX89" s="3692"/>
      <c r="AY89" s="3692"/>
      <c r="AZ89" s="3673"/>
      <c r="BA89" s="3673"/>
      <c r="BB89" s="3673"/>
      <c r="BC89" s="3673"/>
      <c r="BD89" s="3673"/>
      <c r="BE89" s="3673"/>
      <c r="BF89" s="3673"/>
      <c r="BG89" s="3673"/>
      <c r="BH89" s="3673"/>
      <c r="BI89" s="3673"/>
      <c r="BJ89" s="2004">
        <v>1</v>
      </c>
      <c r="BK89" s="15653"/>
      <c r="BL89" s="3701" t="s">
        <v>8836</v>
      </c>
      <c r="BM89" s="3672" t="s">
        <v>8837</v>
      </c>
      <c r="BN89" s="3676"/>
      <c r="BO89" s="3690">
        <f>BP89+BQ89+BR89</f>
        <v>12847203.308333332</v>
      </c>
      <c r="BP89" s="3690">
        <v>10872173.333333332</v>
      </c>
      <c r="BQ89" s="3690">
        <v>1975029.9750000001</v>
      </c>
      <c r="BR89" s="3691">
        <v>0</v>
      </c>
      <c r="BS89" s="3702">
        <v>572</v>
      </c>
      <c r="BT89" s="3702">
        <v>201</v>
      </c>
      <c r="BU89" s="3702">
        <v>371</v>
      </c>
      <c r="BV89" s="3702">
        <v>537</v>
      </c>
      <c r="BW89" s="3702">
        <v>35</v>
      </c>
      <c r="BX89" s="3702"/>
      <c r="BY89" s="3702"/>
      <c r="BZ89" s="3702">
        <v>195</v>
      </c>
      <c r="CA89" s="3702">
        <v>315</v>
      </c>
      <c r="CB89" s="3702">
        <v>50</v>
      </c>
      <c r="CC89" s="3702">
        <v>12</v>
      </c>
      <c r="CD89" s="3702"/>
      <c r="CE89" s="3702">
        <v>572</v>
      </c>
      <c r="CF89" s="3702"/>
      <c r="CG89" s="3702"/>
      <c r="CH89" s="3702"/>
      <c r="CI89" s="3702"/>
      <c r="CJ89" s="3702"/>
      <c r="CK89" s="3702"/>
      <c r="CL89" s="3702"/>
      <c r="CM89" s="3676"/>
      <c r="CN89" s="3676"/>
      <c r="CO89" s="3676"/>
      <c r="CP89" s="3676"/>
      <c r="CQ89" s="3676"/>
      <c r="CR89" s="3676"/>
      <c r="CS89" s="3676">
        <v>0</v>
      </c>
      <c r="CT89" s="3676">
        <v>0</v>
      </c>
      <c r="CU89" s="3676">
        <v>0</v>
      </c>
      <c r="CV89" s="3676">
        <v>0</v>
      </c>
      <c r="CW89" s="3676">
        <v>0</v>
      </c>
      <c r="CX89" s="3676">
        <v>0</v>
      </c>
      <c r="CY89" s="3676">
        <v>0</v>
      </c>
      <c r="CZ89" s="3676">
        <v>0</v>
      </c>
      <c r="DA89" s="3676">
        <v>0</v>
      </c>
      <c r="DB89" s="3676">
        <v>0</v>
      </c>
      <c r="DC89" s="3677"/>
      <c r="DD89" s="3678"/>
      <c r="DE89" s="3679"/>
      <c r="DF89" s="3679"/>
      <c r="DG89" s="3679"/>
      <c r="DH89" s="3679"/>
      <c r="DI89" s="3680"/>
      <c r="DJ89" s="3784"/>
      <c r="DK89" s="3773"/>
      <c r="DL89" s="3679"/>
      <c r="DM89" s="3680"/>
      <c r="DN89" s="3773"/>
      <c r="DO89" s="3679"/>
      <c r="DP89" s="3680"/>
      <c r="DQ89" s="3773"/>
      <c r="DR89" s="3680"/>
      <c r="DS89" s="3773"/>
      <c r="DT89" s="3679"/>
      <c r="DU89" s="3679"/>
      <c r="DV89" s="3679"/>
      <c r="DW89" s="3679"/>
      <c r="DX89" s="3679"/>
      <c r="DY89" s="3680"/>
      <c r="DZ89" s="3773"/>
      <c r="EA89" s="3679"/>
      <c r="EB89" s="3679"/>
      <c r="EC89" s="3679"/>
      <c r="ED89" s="3679"/>
      <c r="EE89" s="3679"/>
      <c r="EF89" s="3679"/>
      <c r="EG89" s="3679"/>
      <c r="EH89" s="3679"/>
      <c r="EI89" s="3679"/>
      <c r="EJ89" s="3679"/>
      <c r="EK89" s="3679"/>
      <c r="EL89" s="3679"/>
      <c r="EM89" s="3680"/>
      <c r="EN89" s="3773"/>
      <c r="EO89" s="3679"/>
      <c r="EP89" s="3679"/>
      <c r="EQ89" s="3679"/>
      <c r="ER89" s="3680"/>
      <c r="ES89" s="3773"/>
      <c r="ET89" s="3679"/>
      <c r="EU89" s="3679"/>
      <c r="EV89" s="3679"/>
      <c r="EW89" s="3680"/>
    </row>
    <row r="90" spans="1:153" s="2005" customFormat="1" ht="15" customHeight="1">
      <c r="A90" s="15597"/>
      <c r="B90" s="15599"/>
      <c r="C90" s="15599"/>
      <c r="D90" s="3670" t="s">
        <v>7830</v>
      </c>
      <c r="E90" s="3670" t="s">
        <v>1697</v>
      </c>
      <c r="F90" s="3670" t="s">
        <v>1697</v>
      </c>
      <c r="G90" s="3670" t="s">
        <v>1698</v>
      </c>
      <c r="H90" s="3670">
        <v>1</v>
      </c>
      <c r="I90" s="3670" t="s">
        <v>1694</v>
      </c>
      <c r="J90" s="3681" t="s">
        <v>10063</v>
      </c>
      <c r="K90" s="3716" t="s">
        <v>79</v>
      </c>
      <c r="L90" s="3716"/>
      <c r="M90" s="3670" t="s">
        <v>1523</v>
      </c>
      <c r="N90" s="3670" t="s">
        <v>1511</v>
      </c>
      <c r="O90" s="3670" t="s">
        <v>1699</v>
      </c>
      <c r="P90" s="3670">
        <v>1</v>
      </c>
      <c r="Q90" s="3670">
        <v>1</v>
      </c>
      <c r="R90" s="3697">
        <v>0.6</v>
      </c>
      <c r="S90" s="3700" t="s">
        <v>3076</v>
      </c>
      <c r="T90" s="3672" t="s">
        <v>3078</v>
      </c>
      <c r="U90" s="3696"/>
      <c r="V90" s="3714"/>
      <c r="W90" s="3714"/>
      <c r="X90" s="3714"/>
      <c r="Y90" s="3714"/>
      <c r="Z90" s="3692"/>
      <c r="AA90" s="3692"/>
      <c r="AB90" s="3692"/>
      <c r="AC90" s="3692"/>
      <c r="AD90" s="3692"/>
      <c r="AE90" s="3692"/>
      <c r="AF90" s="3692"/>
      <c r="AG90" s="3692"/>
      <c r="AH90" s="3692"/>
      <c r="AI90" s="3692"/>
      <c r="AJ90" s="3692"/>
      <c r="AK90" s="3692"/>
      <c r="AL90" s="3692"/>
      <c r="AM90" s="3692"/>
      <c r="AN90" s="3692"/>
      <c r="AO90" s="3692"/>
      <c r="AP90" s="3692"/>
      <c r="AQ90" s="3692"/>
      <c r="AR90" s="3692"/>
      <c r="AS90" s="3692"/>
      <c r="AT90" s="3692"/>
      <c r="AU90" s="3692"/>
      <c r="AV90" s="3692"/>
      <c r="AW90" s="3692"/>
      <c r="AX90" s="3692"/>
      <c r="AY90" s="3692"/>
      <c r="AZ90" s="3673"/>
      <c r="BA90" s="3673"/>
      <c r="BB90" s="3673"/>
      <c r="BC90" s="3673"/>
      <c r="BD90" s="3673"/>
      <c r="BE90" s="3673"/>
      <c r="BF90" s="3673"/>
      <c r="BG90" s="3673"/>
      <c r="BH90" s="3673"/>
      <c r="BI90" s="3673"/>
      <c r="BJ90" s="2004">
        <v>0</v>
      </c>
      <c r="BK90" s="15653"/>
      <c r="BL90" s="3695" t="s">
        <v>9792</v>
      </c>
      <c r="BM90" s="3696"/>
      <c r="BN90" s="3676"/>
      <c r="BO90" s="3676">
        <v>0</v>
      </c>
      <c r="BP90" s="3676">
        <v>0</v>
      </c>
      <c r="BQ90" s="3676">
        <v>0</v>
      </c>
      <c r="BR90" s="3676"/>
      <c r="BS90" s="3676"/>
      <c r="BT90" s="3676"/>
      <c r="BU90" s="3676"/>
      <c r="BV90" s="3676"/>
      <c r="BW90" s="3676"/>
      <c r="BX90" s="3676"/>
      <c r="BY90" s="3676"/>
      <c r="BZ90" s="3676"/>
      <c r="CA90" s="3676"/>
      <c r="CB90" s="3676"/>
      <c r="CC90" s="3676"/>
      <c r="CD90" s="3676"/>
      <c r="CE90" s="3676"/>
      <c r="CF90" s="3676"/>
      <c r="CG90" s="3676"/>
      <c r="CH90" s="3676"/>
      <c r="CI90" s="3676"/>
      <c r="CJ90" s="3676"/>
      <c r="CK90" s="3676"/>
      <c r="CL90" s="3676"/>
      <c r="CM90" s="3676"/>
      <c r="CN90" s="3676"/>
      <c r="CO90" s="3676"/>
      <c r="CP90" s="3676"/>
      <c r="CQ90" s="3676"/>
      <c r="CR90" s="3676"/>
      <c r="CS90" s="3676"/>
      <c r="CT90" s="3676"/>
      <c r="CU90" s="3676"/>
      <c r="CV90" s="3676"/>
      <c r="CW90" s="3676"/>
      <c r="CX90" s="3676"/>
      <c r="CY90" s="3676"/>
      <c r="CZ90" s="3676"/>
      <c r="DA90" s="3676"/>
      <c r="DB90" s="3676"/>
      <c r="DC90" s="3677"/>
      <c r="DD90" s="3678"/>
      <c r="DE90" s="3679"/>
      <c r="DF90" s="3679"/>
      <c r="DG90" s="3679"/>
      <c r="DH90" s="3679"/>
      <c r="DI90" s="3680"/>
      <c r="DJ90" s="3784"/>
      <c r="DK90" s="3773"/>
      <c r="DL90" s="3679"/>
      <c r="DM90" s="3680"/>
      <c r="DN90" s="3773"/>
      <c r="DO90" s="3679"/>
      <c r="DP90" s="3680"/>
      <c r="DQ90" s="3773"/>
      <c r="DR90" s="3680"/>
      <c r="DS90" s="3773"/>
      <c r="DT90" s="3679"/>
      <c r="DU90" s="3679"/>
      <c r="DV90" s="3679"/>
      <c r="DW90" s="3679"/>
      <c r="DX90" s="3679"/>
      <c r="DY90" s="3680"/>
      <c r="DZ90" s="3773"/>
      <c r="EA90" s="3679"/>
      <c r="EB90" s="3679"/>
      <c r="EC90" s="3679"/>
      <c r="ED90" s="3679"/>
      <c r="EE90" s="3679"/>
      <c r="EF90" s="3679"/>
      <c r="EG90" s="3679"/>
      <c r="EH90" s="3679"/>
      <c r="EI90" s="3679"/>
      <c r="EJ90" s="3679"/>
      <c r="EK90" s="3679"/>
      <c r="EL90" s="3679"/>
      <c r="EM90" s="3680"/>
      <c r="EN90" s="3773"/>
      <c r="EO90" s="3679"/>
      <c r="EP90" s="3679"/>
      <c r="EQ90" s="3679"/>
      <c r="ER90" s="3680"/>
      <c r="ES90" s="3773"/>
      <c r="ET90" s="3679"/>
      <c r="EU90" s="3679"/>
      <c r="EV90" s="3679"/>
      <c r="EW90" s="3680"/>
    </row>
    <row r="91" spans="1:153" s="2005" customFormat="1" ht="15" customHeight="1">
      <c r="A91" s="15597"/>
      <c r="B91" s="15599"/>
      <c r="C91" s="15599"/>
      <c r="D91" s="3670" t="s">
        <v>7831</v>
      </c>
      <c r="E91" s="3670" t="s">
        <v>1700</v>
      </c>
      <c r="F91" s="3670" t="s">
        <v>1700</v>
      </c>
      <c r="G91" s="3670" t="s">
        <v>1701</v>
      </c>
      <c r="H91" s="3670">
        <v>10</v>
      </c>
      <c r="I91" s="3670" t="s">
        <v>700</v>
      </c>
      <c r="J91" s="3681" t="s">
        <v>10070</v>
      </c>
      <c r="K91" s="3716" t="s">
        <v>512</v>
      </c>
      <c r="L91" s="3716"/>
      <c r="M91" s="3670" t="s">
        <v>1523</v>
      </c>
      <c r="N91" s="3670" t="s">
        <v>1511</v>
      </c>
      <c r="O91" s="3670" t="s">
        <v>1617</v>
      </c>
      <c r="P91" s="3670">
        <v>1</v>
      </c>
      <c r="Q91" s="3670">
        <v>5</v>
      </c>
      <c r="R91" s="3689">
        <v>1</v>
      </c>
      <c r="S91" s="3695" t="s">
        <v>3949</v>
      </c>
      <c r="T91" s="3696" t="s">
        <v>3950</v>
      </c>
      <c r="U91" s="3696" t="s">
        <v>3951</v>
      </c>
      <c r="V91" s="3715">
        <f>248850000*0.2</f>
        <v>49770000</v>
      </c>
      <c r="W91" s="3692" t="s">
        <v>2943</v>
      </c>
      <c r="X91" s="3692"/>
      <c r="Y91" s="3692"/>
      <c r="Z91" s="3696" t="s">
        <v>3952</v>
      </c>
      <c r="AA91" s="3692">
        <v>2044</v>
      </c>
      <c r="AB91" s="3692">
        <v>1998</v>
      </c>
      <c r="AC91" s="3692">
        <v>2311</v>
      </c>
      <c r="AD91" s="3692">
        <v>1711</v>
      </c>
      <c r="AE91" s="3692"/>
      <c r="AF91" s="3692"/>
      <c r="AG91" s="3692">
        <v>1025</v>
      </c>
      <c r="AH91" s="3692">
        <v>3017</v>
      </c>
      <c r="AI91" s="3692"/>
      <c r="AJ91" s="3692"/>
      <c r="AK91" s="3692"/>
      <c r="AL91" s="3692" t="s">
        <v>2943</v>
      </c>
      <c r="AM91" s="3692"/>
      <c r="AN91" s="3692"/>
      <c r="AO91" s="3692"/>
      <c r="AP91" s="3692"/>
      <c r="AQ91" s="3692"/>
      <c r="AR91" s="3692"/>
      <c r="AS91" s="3692"/>
      <c r="AT91" s="3692" t="s">
        <v>2943</v>
      </c>
      <c r="AU91" s="3692"/>
      <c r="AV91" s="3692"/>
      <c r="AW91" s="3692"/>
      <c r="AX91" s="3692"/>
      <c r="AY91" s="3692"/>
      <c r="AZ91" s="3696" t="s">
        <v>3953</v>
      </c>
      <c r="BA91" s="3696" t="s">
        <v>3954</v>
      </c>
      <c r="BB91" s="3696" t="s">
        <v>3951</v>
      </c>
      <c r="BC91" s="3696" t="s">
        <v>3955</v>
      </c>
      <c r="BD91" s="3696" t="s">
        <v>3956</v>
      </c>
      <c r="BE91" s="3696" t="s">
        <v>3957</v>
      </c>
      <c r="BF91" s="3692" t="s">
        <v>2943</v>
      </c>
      <c r="BG91" s="3692"/>
      <c r="BH91" s="3696"/>
      <c r="BI91" s="3696" t="s">
        <v>3956</v>
      </c>
      <c r="BJ91" s="2004">
        <v>1</v>
      </c>
      <c r="BK91" s="15653"/>
      <c r="BL91" s="3693" t="s">
        <v>8838</v>
      </c>
      <c r="BM91" s="3692" t="s">
        <v>8839</v>
      </c>
      <c r="BN91" s="3676" t="s">
        <v>8839</v>
      </c>
      <c r="BO91" s="3690">
        <f>BP91+BQ91+BR91</f>
        <v>0</v>
      </c>
      <c r="BP91" s="3691">
        <v>0</v>
      </c>
      <c r="BQ91" s="3691">
        <v>0</v>
      </c>
      <c r="BR91" s="3691">
        <v>0</v>
      </c>
      <c r="BS91" s="3676">
        <v>0</v>
      </c>
      <c r="BT91" s="3676"/>
      <c r="BU91" s="3676"/>
      <c r="BV91" s="3676"/>
      <c r="BW91" s="3676"/>
      <c r="BX91" s="3676"/>
      <c r="BY91" s="3676"/>
      <c r="BZ91" s="3676"/>
      <c r="CA91" s="3676"/>
      <c r="CB91" s="3676"/>
      <c r="CC91" s="3676"/>
      <c r="CD91" s="3676"/>
      <c r="CE91" s="3676"/>
      <c r="CF91" s="3676"/>
      <c r="CG91" s="3676"/>
      <c r="CH91" s="3676"/>
      <c r="CI91" s="3676"/>
      <c r="CJ91" s="3676"/>
      <c r="CK91" s="3676"/>
      <c r="CL91" s="3676"/>
      <c r="CM91" s="3676"/>
      <c r="CN91" s="3676"/>
      <c r="CO91" s="3676"/>
      <c r="CP91" s="3676"/>
      <c r="CQ91" s="3676"/>
      <c r="CR91" s="3676"/>
      <c r="CS91" s="3676"/>
      <c r="CT91" s="3676"/>
      <c r="CU91" s="3676"/>
      <c r="CV91" s="3676"/>
      <c r="CW91" s="3676"/>
      <c r="CX91" s="3676"/>
      <c r="CY91" s="3676"/>
      <c r="CZ91" s="3676"/>
      <c r="DA91" s="3676"/>
      <c r="DB91" s="3676"/>
      <c r="DC91" s="3677"/>
      <c r="DD91" s="3678"/>
      <c r="DE91" s="3679"/>
      <c r="DF91" s="3679"/>
      <c r="DG91" s="3679"/>
      <c r="DH91" s="3679"/>
      <c r="DI91" s="3680"/>
      <c r="DJ91" s="3784"/>
      <c r="DK91" s="3773"/>
      <c r="DL91" s="3679"/>
      <c r="DM91" s="3680"/>
      <c r="DN91" s="3773"/>
      <c r="DO91" s="3679"/>
      <c r="DP91" s="3680"/>
      <c r="DQ91" s="3773"/>
      <c r="DR91" s="3680"/>
      <c r="DS91" s="3773"/>
      <c r="DT91" s="3679"/>
      <c r="DU91" s="3679"/>
      <c r="DV91" s="3679"/>
      <c r="DW91" s="3679"/>
      <c r="DX91" s="3679"/>
      <c r="DY91" s="3680"/>
      <c r="DZ91" s="3773"/>
      <c r="EA91" s="3679"/>
      <c r="EB91" s="3679"/>
      <c r="EC91" s="3679"/>
      <c r="ED91" s="3679"/>
      <c r="EE91" s="3679"/>
      <c r="EF91" s="3679"/>
      <c r="EG91" s="3679"/>
      <c r="EH91" s="3679"/>
      <c r="EI91" s="3679"/>
      <c r="EJ91" s="3679"/>
      <c r="EK91" s="3679"/>
      <c r="EL91" s="3679"/>
      <c r="EM91" s="3680"/>
      <c r="EN91" s="3773"/>
      <c r="EO91" s="3679"/>
      <c r="EP91" s="3679"/>
      <c r="EQ91" s="3679"/>
      <c r="ER91" s="3680"/>
      <c r="ES91" s="3773"/>
      <c r="ET91" s="3679"/>
      <c r="EU91" s="3679"/>
      <c r="EV91" s="3679"/>
      <c r="EW91" s="3680"/>
    </row>
    <row r="92" spans="1:153" s="2005" customFormat="1" ht="15" customHeight="1">
      <c r="A92" s="15597"/>
      <c r="B92" s="15599"/>
      <c r="C92" s="15599"/>
      <c r="D92" s="3670" t="s">
        <v>7832</v>
      </c>
      <c r="E92" s="3670" t="s">
        <v>1702</v>
      </c>
      <c r="F92" s="3670" t="s">
        <v>1702</v>
      </c>
      <c r="G92" s="3670" t="s">
        <v>1703</v>
      </c>
      <c r="H92" s="3670">
        <v>100</v>
      </c>
      <c r="I92" s="3670" t="s">
        <v>700</v>
      </c>
      <c r="J92" s="3681" t="s">
        <v>10063</v>
      </c>
      <c r="K92" s="3716" t="s">
        <v>79</v>
      </c>
      <c r="L92" s="3716"/>
      <c r="M92" s="3670" t="s">
        <v>1523</v>
      </c>
      <c r="N92" s="3670" t="s">
        <v>1511</v>
      </c>
      <c r="O92" s="3670" t="s">
        <v>1617</v>
      </c>
      <c r="P92" s="3670">
        <v>10</v>
      </c>
      <c r="Q92" s="3670">
        <v>50</v>
      </c>
      <c r="R92" s="3692"/>
      <c r="S92" s="3693" t="s">
        <v>3079</v>
      </c>
      <c r="T92" s="3692"/>
      <c r="U92" s="3692"/>
      <c r="V92" s="3694"/>
      <c r="W92" s="3694"/>
      <c r="X92" s="3694"/>
      <c r="Y92" s="3694"/>
      <c r="Z92" s="3692"/>
      <c r="AA92" s="3692"/>
      <c r="AB92" s="3692"/>
      <c r="AC92" s="3692"/>
      <c r="AD92" s="3692"/>
      <c r="AE92" s="3692"/>
      <c r="AF92" s="3692"/>
      <c r="AG92" s="3692"/>
      <c r="AH92" s="3692"/>
      <c r="AI92" s="3692"/>
      <c r="AJ92" s="3692"/>
      <c r="AK92" s="3692"/>
      <c r="AL92" s="3692"/>
      <c r="AM92" s="3692"/>
      <c r="AN92" s="3692"/>
      <c r="AO92" s="3692"/>
      <c r="AP92" s="3692"/>
      <c r="AQ92" s="3692"/>
      <c r="AR92" s="3692"/>
      <c r="AS92" s="3692"/>
      <c r="AT92" s="3692"/>
      <c r="AU92" s="3692"/>
      <c r="AV92" s="3692"/>
      <c r="AW92" s="3692"/>
      <c r="AX92" s="3692"/>
      <c r="AY92" s="3692"/>
      <c r="AZ92" s="3673"/>
      <c r="BA92" s="3673"/>
      <c r="BB92" s="3673"/>
      <c r="BC92" s="3673"/>
      <c r="BD92" s="3673"/>
      <c r="BE92" s="3673"/>
      <c r="BF92" s="3673"/>
      <c r="BG92" s="3673"/>
      <c r="BH92" s="3673"/>
      <c r="BI92" s="3673"/>
      <c r="BJ92" s="2004">
        <f>(1931/5885)*100%</f>
        <v>0.32812234494477482</v>
      </c>
      <c r="BK92" s="15654"/>
      <c r="BL92" s="3716" t="s">
        <v>8840</v>
      </c>
      <c r="BM92" s="3670" t="s">
        <v>3081</v>
      </c>
      <c r="BN92" s="3676" t="s">
        <v>8839</v>
      </c>
      <c r="BO92" s="3690">
        <f>BP92+BQ92+BR92</f>
        <v>19132622.308333334</v>
      </c>
      <c r="BP92" s="3691">
        <v>16507914.733333334</v>
      </c>
      <c r="BQ92" s="3691">
        <v>2624707.5750000002</v>
      </c>
      <c r="BR92" s="3691">
        <v>0</v>
      </c>
      <c r="BS92" s="3676">
        <v>699</v>
      </c>
      <c r="BT92" s="3676">
        <v>334</v>
      </c>
      <c r="BU92" s="3676">
        <v>365</v>
      </c>
      <c r="BV92" s="3676"/>
      <c r="BW92" s="3676"/>
      <c r="BX92" s="3676"/>
      <c r="BY92" s="3676"/>
      <c r="BZ92" s="3676"/>
      <c r="CA92" s="3676">
        <v>699</v>
      </c>
      <c r="CB92" s="3676"/>
      <c r="CC92" s="3676"/>
      <c r="CD92" s="3676"/>
      <c r="CE92" s="3676">
        <v>699</v>
      </c>
      <c r="CF92" s="3676"/>
      <c r="CG92" s="3676"/>
      <c r="CH92" s="3676"/>
      <c r="CI92" s="3676"/>
      <c r="CJ92" s="3676"/>
      <c r="CK92" s="3676"/>
      <c r="CL92" s="3676"/>
      <c r="CM92" s="3676"/>
      <c r="CN92" s="3676"/>
      <c r="CO92" s="3676"/>
      <c r="CP92" s="3676"/>
      <c r="CQ92" s="3676"/>
      <c r="CR92" s="3676"/>
      <c r="CS92" s="3676"/>
      <c r="CT92" s="3676"/>
      <c r="CU92" s="3676"/>
      <c r="CV92" s="3676"/>
      <c r="CW92" s="3676"/>
      <c r="CX92" s="3676"/>
      <c r="CY92" s="3676"/>
      <c r="CZ92" s="3676"/>
      <c r="DA92" s="3676"/>
      <c r="DB92" s="3676"/>
      <c r="DC92" s="3677"/>
      <c r="DD92" s="3678"/>
      <c r="DE92" s="3679"/>
      <c r="DF92" s="3679"/>
      <c r="DG92" s="3679"/>
      <c r="DH92" s="3679"/>
      <c r="DI92" s="3680"/>
      <c r="DJ92" s="3784"/>
      <c r="DK92" s="3773"/>
      <c r="DL92" s="3679"/>
      <c r="DM92" s="3680"/>
      <c r="DN92" s="3773"/>
      <c r="DO92" s="3679"/>
      <c r="DP92" s="3680"/>
      <c r="DQ92" s="3773"/>
      <c r="DR92" s="3680"/>
      <c r="DS92" s="3773"/>
      <c r="DT92" s="3679"/>
      <c r="DU92" s="3679"/>
      <c r="DV92" s="3679"/>
      <c r="DW92" s="3679"/>
      <c r="DX92" s="3679"/>
      <c r="DY92" s="3680"/>
      <c r="DZ92" s="3773"/>
      <c r="EA92" s="3679"/>
      <c r="EB92" s="3679"/>
      <c r="EC92" s="3679"/>
      <c r="ED92" s="3679"/>
      <c r="EE92" s="3679"/>
      <c r="EF92" s="3679"/>
      <c r="EG92" s="3679"/>
      <c r="EH92" s="3679"/>
      <c r="EI92" s="3679"/>
      <c r="EJ92" s="3679"/>
      <c r="EK92" s="3679"/>
      <c r="EL92" s="3679"/>
      <c r="EM92" s="3680"/>
      <c r="EN92" s="3773"/>
      <c r="EO92" s="3679"/>
      <c r="EP92" s="3679"/>
      <c r="EQ92" s="3679"/>
      <c r="ER92" s="3680"/>
      <c r="ES92" s="3773"/>
      <c r="ET92" s="3679"/>
      <c r="EU92" s="3679"/>
      <c r="EV92" s="3679"/>
      <c r="EW92" s="3680"/>
    </row>
    <row r="93" spans="1:153" s="2005" customFormat="1" ht="15" customHeight="1" thickBot="1">
      <c r="A93" s="15597"/>
      <c r="B93" s="15599"/>
      <c r="C93" s="15599"/>
      <c r="D93" s="3670" t="s">
        <v>7833</v>
      </c>
      <c r="E93" s="3670" t="s">
        <v>1704</v>
      </c>
      <c r="F93" s="3670" t="s">
        <v>1704</v>
      </c>
      <c r="G93" s="3670" t="s">
        <v>1706</v>
      </c>
      <c r="H93" s="3688">
        <v>0.75</v>
      </c>
      <c r="I93" s="3670" t="s">
        <v>1705</v>
      </c>
      <c r="J93" s="3681" t="s">
        <v>10063</v>
      </c>
      <c r="K93" s="3716" t="s">
        <v>79</v>
      </c>
      <c r="L93" s="3716"/>
      <c r="M93" s="3670" t="s">
        <v>1523</v>
      </c>
      <c r="N93" s="3670" t="s">
        <v>1511</v>
      </c>
      <c r="O93" s="3670" t="s">
        <v>1617</v>
      </c>
      <c r="P93" s="3688">
        <v>0.25</v>
      </c>
      <c r="Q93" s="3688">
        <v>0.5</v>
      </c>
      <c r="R93" s="3717">
        <f>(1931/5885)*100%</f>
        <v>0.32812234494477482</v>
      </c>
      <c r="S93" s="3716" t="s">
        <v>3080</v>
      </c>
      <c r="T93" s="3670" t="s">
        <v>3081</v>
      </c>
      <c r="U93" s="3692"/>
      <c r="V93" s="3694">
        <f>W93+X93+Y93</f>
        <v>22807627.921999998</v>
      </c>
      <c r="W93" s="3694">
        <v>20457400.364615384</v>
      </c>
      <c r="X93" s="3694">
        <v>2350227.5573846158</v>
      </c>
      <c r="Y93" s="3694">
        <v>0</v>
      </c>
      <c r="Z93" s="3699">
        <v>699</v>
      </c>
      <c r="AA93" s="3693">
        <v>334</v>
      </c>
      <c r="AB93" s="3699">
        <v>365</v>
      </c>
      <c r="AC93" s="3692"/>
      <c r="AD93" s="3692"/>
      <c r="AE93" s="3692"/>
      <c r="AF93" s="3692"/>
      <c r="AG93" s="3692"/>
      <c r="AH93" s="3692">
        <v>699</v>
      </c>
      <c r="AI93" s="3692"/>
      <c r="AJ93" s="3692"/>
      <c r="AK93" s="3692"/>
      <c r="AL93" s="3699">
        <v>699</v>
      </c>
      <c r="AM93" s="3692"/>
      <c r="AN93" s="3692"/>
      <c r="AO93" s="3692"/>
      <c r="AP93" s="3692"/>
      <c r="AQ93" s="3692"/>
      <c r="AR93" s="3692"/>
      <c r="AS93" s="3692"/>
      <c r="AT93" s="3692"/>
      <c r="AU93" s="3692"/>
      <c r="AV93" s="3692"/>
      <c r="AW93" s="3692"/>
      <c r="AX93" s="3692"/>
      <c r="AY93" s="3692"/>
      <c r="AZ93" s="3673"/>
      <c r="BA93" s="3673"/>
      <c r="BB93" s="3673"/>
      <c r="BC93" s="3673"/>
      <c r="BD93" s="3673"/>
      <c r="BE93" s="3673"/>
      <c r="BF93" s="3673"/>
      <c r="BG93" s="3673"/>
      <c r="BH93" s="3673"/>
      <c r="BI93" s="3673"/>
      <c r="BJ93" s="2004">
        <v>1</v>
      </c>
      <c r="BK93" s="15655">
        <f>AVERAGE(BJ93:BJ96)</f>
        <v>1</v>
      </c>
      <c r="BL93" s="3718" t="s">
        <v>8841</v>
      </c>
      <c r="BM93" s="3672" t="s">
        <v>8842</v>
      </c>
      <c r="BN93" s="3676" t="s">
        <v>8839</v>
      </c>
      <c r="BO93" s="3690">
        <f>BP93+BQ93+BR93</f>
        <v>96939984.900000006</v>
      </c>
      <c r="BP93" s="3691">
        <v>55734857.540000007</v>
      </c>
      <c r="BQ93" s="3691">
        <v>41205127.360000007</v>
      </c>
      <c r="BR93" s="3691">
        <v>0</v>
      </c>
      <c r="BS93" s="3676">
        <v>0</v>
      </c>
      <c r="BT93" s="3676"/>
      <c r="BU93" s="3676"/>
      <c r="BV93" s="3676"/>
      <c r="BW93" s="3676"/>
      <c r="BX93" s="3676"/>
      <c r="BY93" s="3676"/>
      <c r="BZ93" s="3676"/>
      <c r="CA93" s="3676"/>
      <c r="CB93" s="3676"/>
      <c r="CC93" s="3676"/>
      <c r="CD93" s="3676"/>
      <c r="CE93" s="3676"/>
      <c r="CF93" s="3676"/>
      <c r="CG93" s="3676"/>
      <c r="CH93" s="3676"/>
      <c r="CI93" s="3676"/>
      <c r="CJ93" s="3676"/>
      <c r="CK93" s="3676"/>
      <c r="CL93" s="3676"/>
      <c r="CM93" s="3676"/>
      <c r="CN93" s="3676"/>
      <c r="CO93" s="3676"/>
      <c r="CP93" s="3676"/>
      <c r="CQ93" s="3676"/>
      <c r="CR93" s="3676"/>
      <c r="CS93" s="3676"/>
      <c r="CT93" s="3676"/>
      <c r="CU93" s="3676"/>
      <c r="CV93" s="3676"/>
      <c r="CW93" s="3676"/>
      <c r="CX93" s="3676"/>
      <c r="CY93" s="3676"/>
      <c r="CZ93" s="3676"/>
      <c r="DA93" s="3676"/>
      <c r="DB93" s="3676"/>
      <c r="DC93" s="3677"/>
      <c r="DD93" s="3792"/>
      <c r="DE93" s="3793"/>
      <c r="DF93" s="3793"/>
      <c r="DG93" s="3793"/>
      <c r="DH93" s="3793"/>
      <c r="DI93" s="3794"/>
      <c r="DJ93" s="3795"/>
      <c r="DK93" s="3796"/>
      <c r="DL93" s="3793"/>
      <c r="DM93" s="3794"/>
      <c r="DN93" s="3796"/>
      <c r="DO93" s="3793"/>
      <c r="DP93" s="3794"/>
      <c r="DQ93" s="3796"/>
      <c r="DR93" s="3794"/>
      <c r="DS93" s="3796"/>
      <c r="DT93" s="3793"/>
      <c r="DU93" s="3793"/>
      <c r="DV93" s="3793"/>
      <c r="DW93" s="3793"/>
      <c r="DX93" s="3793"/>
      <c r="DY93" s="3794"/>
      <c r="DZ93" s="3796"/>
      <c r="EA93" s="3793"/>
      <c r="EB93" s="3793"/>
      <c r="EC93" s="3793"/>
      <c r="ED93" s="3793"/>
      <c r="EE93" s="3793"/>
      <c r="EF93" s="3793"/>
      <c r="EG93" s="3793"/>
      <c r="EH93" s="3793"/>
      <c r="EI93" s="3793"/>
      <c r="EJ93" s="3793"/>
      <c r="EK93" s="3793"/>
      <c r="EL93" s="3793"/>
      <c r="EM93" s="3794"/>
      <c r="EN93" s="3796"/>
      <c r="EO93" s="3793"/>
      <c r="EP93" s="3793"/>
      <c r="EQ93" s="3793"/>
      <c r="ER93" s="3794"/>
      <c r="ES93" s="3796"/>
      <c r="ET93" s="3793"/>
      <c r="EU93" s="3793"/>
      <c r="EV93" s="3793"/>
      <c r="EW93" s="3794"/>
    </row>
    <row r="94" spans="1:153" s="3740" customFormat="1" ht="15" customHeight="1">
      <c r="A94" s="15694" t="s">
        <v>1707</v>
      </c>
      <c r="B94" s="15693" t="s">
        <v>1708</v>
      </c>
      <c r="C94" s="3719" t="s">
        <v>1709</v>
      </c>
      <c r="D94" s="15693" t="s">
        <v>7834</v>
      </c>
      <c r="E94" s="3720" t="s">
        <v>1710</v>
      </c>
      <c r="F94" s="15693" t="s">
        <v>1710</v>
      </c>
      <c r="G94" s="15693" t="s">
        <v>1712</v>
      </c>
      <c r="H94" s="15695">
        <v>1</v>
      </c>
      <c r="I94" s="15693" t="s">
        <v>1711</v>
      </c>
      <c r="J94" s="3720" t="s">
        <v>10063</v>
      </c>
      <c r="K94" s="3756" t="s">
        <v>79</v>
      </c>
      <c r="L94" s="3756"/>
      <c r="M94" s="3720" t="s">
        <v>1510</v>
      </c>
      <c r="N94" s="3720" t="s">
        <v>1511</v>
      </c>
      <c r="O94" s="3720" t="s">
        <v>1549</v>
      </c>
      <c r="P94" s="3721">
        <v>1</v>
      </c>
      <c r="Q94" s="3721">
        <v>1</v>
      </c>
      <c r="R94" s="3722">
        <v>1</v>
      </c>
      <c r="S94" s="3723" t="s">
        <v>3082</v>
      </c>
      <c r="T94" s="3724" t="s">
        <v>3083</v>
      </c>
      <c r="U94" s="3725"/>
      <c r="V94" s="3726">
        <f>W94+X94+Y94</f>
        <v>151360100.31999999</v>
      </c>
      <c r="W94" s="3727">
        <v>89424665.08461538</v>
      </c>
      <c r="X94" s="3727">
        <v>61935435.235384613</v>
      </c>
      <c r="Y94" s="3727">
        <v>0</v>
      </c>
      <c r="Z94" s="3728">
        <v>2140</v>
      </c>
      <c r="AA94" s="3728">
        <v>1173</v>
      </c>
      <c r="AB94" s="3729">
        <v>967</v>
      </c>
      <c r="AC94" s="3728">
        <v>1542</v>
      </c>
      <c r="AD94" s="3729">
        <v>598</v>
      </c>
      <c r="AE94" s="3729"/>
      <c r="AF94" s="3729"/>
      <c r="AG94" s="3729">
        <v>533</v>
      </c>
      <c r="AH94" s="3729">
        <v>1607</v>
      </c>
      <c r="AI94" s="3729"/>
      <c r="AJ94" s="3729"/>
      <c r="AK94" s="3729"/>
      <c r="AL94" s="3728">
        <v>2140</v>
      </c>
      <c r="AM94" s="3730"/>
      <c r="AN94" s="3730"/>
      <c r="AO94" s="3730"/>
      <c r="AP94" s="3730"/>
      <c r="AQ94" s="3730"/>
      <c r="AR94" s="3730"/>
      <c r="AS94" s="3730"/>
      <c r="AT94" s="3730"/>
      <c r="AU94" s="3730"/>
      <c r="AV94" s="3730"/>
      <c r="AW94" s="3730"/>
      <c r="AX94" s="3730"/>
      <c r="AY94" s="3730"/>
      <c r="AZ94" s="3730"/>
      <c r="BA94" s="3730"/>
      <c r="BB94" s="3730"/>
      <c r="BC94" s="3730"/>
      <c r="BD94" s="3730"/>
      <c r="BE94" s="3730"/>
      <c r="BF94" s="3730"/>
      <c r="BG94" s="3730"/>
      <c r="BH94" s="3730"/>
      <c r="BI94" s="3730"/>
      <c r="BJ94" s="3731">
        <v>1</v>
      </c>
      <c r="BK94" s="15656"/>
      <c r="BL94" s="3732" t="s">
        <v>8843</v>
      </c>
      <c r="BM94" s="3733" t="s">
        <v>3085</v>
      </c>
      <c r="BN94" s="3734"/>
      <c r="BO94" s="3735">
        <f>BP94+BQ94+BR94</f>
        <v>25915016.608333331</v>
      </c>
      <c r="BP94" s="3735">
        <v>10971613.333333332</v>
      </c>
      <c r="BQ94" s="3735">
        <v>14943403.274999999</v>
      </c>
      <c r="BR94" s="3735">
        <v>0</v>
      </c>
      <c r="BS94" s="3734">
        <v>2697</v>
      </c>
      <c r="BT94" s="3734">
        <v>1118</v>
      </c>
      <c r="BU94" s="3734">
        <v>1579</v>
      </c>
      <c r="BV94" s="3734"/>
      <c r="BW94" s="3734"/>
      <c r="BX94" s="3734"/>
      <c r="BY94" s="3734"/>
      <c r="BZ94" s="3734"/>
      <c r="CA94" s="3734"/>
      <c r="CB94" s="3734"/>
      <c r="CC94" s="3734"/>
      <c r="CD94" s="3734"/>
      <c r="CE94" s="3734"/>
      <c r="CF94" s="3734"/>
      <c r="CG94" s="3734"/>
      <c r="CH94" s="3734"/>
      <c r="CI94" s="3734"/>
      <c r="CJ94" s="3734"/>
      <c r="CK94" s="3734"/>
      <c r="CL94" s="3734"/>
      <c r="CM94" s="3734"/>
      <c r="CN94" s="3734"/>
      <c r="CO94" s="3734"/>
      <c r="CP94" s="3734"/>
      <c r="CQ94" s="3734"/>
      <c r="CR94" s="3734"/>
      <c r="CS94" s="3736"/>
      <c r="CT94" s="3736"/>
      <c r="CU94" s="3736"/>
      <c r="CV94" s="3736"/>
      <c r="CW94" s="3736"/>
      <c r="CX94" s="3736"/>
      <c r="CY94" s="3736"/>
      <c r="CZ94" s="3736"/>
      <c r="DA94" s="3736"/>
      <c r="DB94" s="3736"/>
      <c r="DC94" s="3737"/>
      <c r="DD94" s="3787"/>
      <c r="DE94" s="3788"/>
      <c r="DF94" s="3788"/>
      <c r="DG94" s="3788"/>
      <c r="DH94" s="3788"/>
      <c r="DI94" s="3789"/>
      <c r="DJ94" s="3790"/>
      <c r="DK94" s="3791"/>
      <c r="DL94" s="3788"/>
      <c r="DM94" s="3789"/>
      <c r="DN94" s="3791"/>
      <c r="DO94" s="3788"/>
      <c r="DP94" s="3789"/>
      <c r="DQ94" s="3791"/>
      <c r="DR94" s="3789"/>
      <c r="DS94" s="3791"/>
      <c r="DT94" s="3788"/>
      <c r="DU94" s="3788"/>
      <c r="DV94" s="3788"/>
      <c r="DW94" s="3788"/>
      <c r="DX94" s="3788"/>
      <c r="DY94" s="3789"/>
      <c r="DZ94" s="3791"/>
      <c r="EA94" s="3788"/>
      <c r="EB94" s="3788"/>
      <c r="EC94" s="3788"/>
      <c r="ED94" s="3788"/>
      <c r="EE94" s="3788"/>
      <c r="EF94" s="3788"/>
      <c r="EG94" s="3788"/>
      <c r="EH94" s="3788"/>
      <c r="EI94" s="3788"/>
      <c r="EJ94" s="3788"/>
      <c r="EK94" s="3788"/>
      <c r="EL94" s="3788"/>
      <c r="EM94" s="3789"/>
      <c r="EN94" s="3791"/>
      <c r="EO94" s="3788"/>
      <c r="EP94" s="3788"/>
      <c r="EQ94" s="3788"/>
      <c r="ER94" s="3789"/>
      <c r="ES94" s="3791"/>
      <c r="ET94" s="3788"/>
      <c r="EU94" s="3788"/>
      <c r="EV94" s="3788"/>
      <c r="EW94" s="3789"/>
    </row>
    <row r="95" spans="1:153" s="3740" customFormat="1" ht="15" customHeight="1">
      <c r="A95" s="15694"/>
      <c r="B95" s="15693"/>
      <c r="C95" s="3719"/>
      <c r="D95" s="15693"/>
      <c r="E95" s="3720"/>
      <c r="F95" s="15693"/>
      <c r="G95" s="15693"/>
      <c r="H95" s="15695"/>
      <c r="I95" s="15693"/>
      <c r="J95" s="3720" t="s">
        <v>10201</v>
      </c>
      <c r="K95" s="3756"/>
      <c r="L95" s="3756"/>
      <c r="M95" s="3720"/>
      <c r="N95" s="3720"/>
      <c r="O95" s="3720"/>
      <c r="P95" s="3721"/>
      <c r="Q95" s="3721"/>
      <c r="R95" s="3722"/>
      <c r="S95" s="3723"/>
      <c r="T95" s="3724"/>
      <c r="U95" s="3725"/>
      <c r="V95" s="3726"/>
      <c r="W95" s="3727"/>
      <c r="X95" s="3727"/>
      <c r="Y95" s="3727"/>
      <c r="Z95" s="3728"/>
      <c r="AA95" s="3728"/>
      <c r="AB95" s="3729"/>
      <c r="AC95" s="3728"/>
      <c r="AD95" s="3729"/>
      <c r="AE95" s="3729"/>
      <c r="AF95" s="3729"/>
      <c r="AG95" s="3729"/>
      <c r="AH95" s="3729"/>
      <c r="AI95" s="3729"/>
      <c r="AJ95" s="3729"/>
      <c r="AK95" s="3729"/>
      <c r="AL95" s="3728"/>
      <c r="AM95" s="3730"/>
      <c r="AN95" s="3730"/>
      <c r="AO95" s="3730"/>
      <c r="AP95" s="3730"/>
      <c r="AQ95" s="3730"/>
      <c r="AR95" s="3730"/>
      <c r="AS95" s="3730"/>
      <c r="AT95" s="3730"/>
      <c r="AU95" s="3730"/>
      <c r="AV95" s="3730"/>
      <c r="AW95" s="3730"/>
      <c r="AX95" s="3730"/>
      <c r="AY95" s="3730"/>
      <c r="AZ95" s="3730"/>
      <c r="BA95" s="3730"/>
      <c r="BB95" s="3730"/>
      <c r="BC95" s="3730"/>
      <c r="BD95" s="3730"/>
      <c r="BE95" s="3730"/>
      <c r="BF95" s="3730"/>
      <c r="BG95" s="3730"/>
      <c r="BH95" s="3730"/>
      <c r="BI95" s="3730"/>
      <c r="BJ95" s="3731"/>
      <c r="BK95" s="15656"/>
      <c r="BL95" s="3741"/>
      <c r="BM95" s="3742"/>
      <c r="BN95" s="3743"/>
      <c r="BO95" s="3744"/>
      <c r="BP95" s="3744"/>
      <c r="BQ95" s="3744"/>
      <c r="BR95" s="3744"/>
      <c r="BS95" s="3743"/>
      <c r="BT95" s="3743"/>
      <c r="BU95" s="3743"/>
      <c r="BV95" s="3743"/>
      <c r="BW95" s="3743"/>
      <c r="BX95" s="3743"/>
      <c r="BY95" s="3743"/>
      <c r="BZ95" s="3743"/>
      <c r="CA95" s="3743"/>
      <c r="CB95" s="3743"/>
      <c r="CC95" s="3743"/>
      <c r="CD95" s="3743"/>
      <c r="CE95" s="3743"/>
      <c r="CF95" s="3743"/>
      <c r="CG95" s="3743"/>
      <c r="CH95" s="3743"/>
      <c r="CI95" s="3743"/>
      <c r="CJ95" s="3743"/>
      <c r="CK95" s="3743"/>
      <c r="CL95" s="3743"/>
      <c r="CM95" s="3743"/>
      <c r="CN95" s="3743"/>
      <c r="CO95" s="3743"/>
      <c r="CP95" s="3743"/>
      <c r="CQ95" s="3743"/>
      <c r="CR95" s="3743"/>
      <c r="CS95" s="3745"/>
      <c r="CT95" s="3745"/>
      <c r="CU95" s="3745"/>
      <c r="CV95" s="3745"/>
      <c r="CW95" s="3745"/>
      <c r="CX95" s="3745"/>
      <c r="CY95" s="3745"/>
      <c r="CZ95" s="3745"/>
      <c r="DA95" s="3745"/>
      <c r="DB95" s="3745"/>
      <c r="DC95" s="3737"/>
      <c r="DD95" s="3738"/>
      <c r="DE95" s="3730"/>
      <c r="DF95" s="3730"/>
      <c r="DG95" s="3730"/>
      <c r="DH95" s="3730"/>
      <c r="DI95" s="3739"/>
      <c r="DJ95" s="3785"/>
      <c r="DK95" s="3774"/>
      <c r="DL95" s="3730"/>
      <c r="DM95" s="3739"/>
      <c r="DN95" s="3774"/>
      <c r="DO95" s="3730"/>
      <c r="DP95" s="3739"/>
      <c r="DQ95" s="3774"/>
      <c r="DR95" s="3739"/>
      <c r="DS95" s="3774"/>
      <c r="DT95" s="3730"/>
      <c r="DU95" s="3730"/>
      <c r="DV95" s="3730"/>
      <c r="DW95" s="3730"/>
      <c r="DX95" s="3730"/>
      <c r="DY95" s="3739"/>
      <c r="DZ95" s="3774"/>
      <c r="EA95" s="3730"/>
      <c r="EB95" s="3730"/>
      <c r="EC95" s="3730"/>
      <c r="ED95" s="3730"/>
      <c r="EE95" s="3730"/>
      <c r="EF95" s="3730"/>
      <c r="EG95" s="3730"/>
      <c r="EH95" s="3730"/>
      <c r="EI95" s="3730"/>
      <c r="EJ95" s="3730"/>
      <c r="EK95" s="3730"/>
      <c r="EL95" s="3730"/>
      <c r="EM95" s="3739"/>
      <c r="EN95" s="3774"/>
      <c r="EO95" s="3730"/>
      <c r="EP95" s="3730"/>
      <c r="EQ95" s="3730"/>
      <c r="ER95" s="3739"/>
      <c r="ES95" s="3774"/>
      <c r="ET95" s="3730"/>
      <c r="EU95" s="3730"/>
      <c r="EV95" s="3730"/>
      <c r="EW95" s="3739"/>
    </row>
    <row r="96" spans="1:153" s="3740" customFormat="1" ht="15" customHeight="1">
      <c r="A96" s="15694"/>
      <c r="B96" s="15693"/>
      <c r="C96" s="3719" t="s">
        <v>1713</v>
      </c>
      <c r="D96" s="15693" t="s">
        <v>7835</v>
      </c>
      <c r="E96" s="3720" t="s">
        <v>1714</v>
      </c>
      <c r="F96" s="15693" t="s">
        <v>1714</v>
      </c>
      <c r="G96" s="15693" t="s">
        <v>1522</v>
      </c>
      <c r="H96" s="15695">
        <v>1</v>
      </c>
      <c r="I96" s="15693" t="s">
        <v>700</v>
      </c>
      <c r="J96" s="3720" t="s">
        <v>10063</v>
      </c>
      <c r="K96" s="3756" t="s">
        <v>79</v>
      </c>
      <c r="L96" s="3756" t="s">
        <v>1715</v>
      </c>
      <c r="M96" s="3720" t="s">
        <v>1523</v>
      </c>
      <c r="N96" s="3720" t="s">
        <v>1511</v>
      </c>
      <c r="O96" s="3720" t="s">
        <v>1716</v>
      </c>
      <c r="P96" s="3721">
        <v>0.1</v>
      </c>
      <c r="Q96" s="3721">
        <v>0.5</v>
      </c>
      <c r="R96" s="3722">
        <v>1</v>
      </c>
      <c r="S96" s="3741" t="s">
        <v>3084</v>
      </c>
      <c r="T96" s="3742" t="s">
        <v>3085</v>
      </c>
      <c r="U96" s="3746"/>
      <c r="V96" s="3747">
        <f>W96+X96+Y96</f>
        <v>21687516.239999998</v>
      </c>
      <c r="W96" s="3748">
        <v>15127704.984615384</v>
      </c>
      <c r="X96" s="3748">
        <v>6559811.2553846156</v>
      </c>
      <c r="Y96" s="3748"/>
      <c r="Z96" s="3749">
        <v>1347</v>
      </c>
      <c r="AA96" s="3750">
        <v>946</v>
      </c>
      <c r="AB96" s="3750">
        <v>401</v>
      </c>
      <c r="AC96" s="3749">
        <v>1190</v>
      </c>
      <c r="AD96" s="3750">
        <v>157</v>
      </c>
      <c r="AE96" s="3750"/>
      <c r="AF96" s="3750"/>
      <c r="AG96" s="3750">
        <v>461</v>
      </c>
      <c r="AH96" s="3750">
        <v>886</v>
      </c>
      <c r="AI96" s="3750"/>
      <c r="AJ96" s="3750"/>
      <c r="AK96" s="3750"/>
      <c r="AL96" s="3749">
        <v>1347</v>
      </c>
      <c r="AM96" s="3746"/>
      <c r="AN96" s="3746"/>
      <c r="AO96" s="3746"/>
      <c r="AP96" s="3746"/>
      <c r="AQ96" s="3746"/>
      <c r="AR96" s="3746"/>
      <c r="AS96" s="3746"/>
      <c r="AT96" s="3746"/>
      <c r="AU96" s="3746"/>
      <c r="AV96" s="3746"/>
      <c r="AW96" s="3746"/>
      <c r="AX96" s="3746"/>
      <c r="AY96" s="3746"/>
      <c r="AZ96" s="3730"/>
      <c r="BA96" s="3730"/>
      <c r="BB96" s="3730"/>
      <c r="BC96" s="3730"/>
      <c r="BD96" s="3730"/>
      <c r="BE96" s="3730"/>
      <c r="BF96" s="3730"/>
      <c r="BG96" s="3730"/>
      <c r="BH96" s="3730"/>
      <c r="BI96" s="3730"/>
      <c r="BJ96" s="3731">
        <v>1</v>
      </c>
      <c r="BK96" s="15657"/>
      <c r="BL96" s="3751" t="s">
        <v>8844</v>
      </c>
      <c r="BM96" s="3752" t="s">
        <v>3085</v>
      </c>
      <c r="BN96" s="3753"/>
      <c r="BO96" s="3735">
        <f>BP96+BQ96+BR96</f>
        <v>37686899.608333334</v>
      </c>
      <c r="BP96" s="3754">
        <v>23383514.733333334</v>
      </c>
      <c r="BQ96" s="3754">
        <v>14303384.875</v>
      </c>
      <c r="BR96" s="3754">
        <v>0</v>
      </c>
      <c r="BS96" s="3736">
        <v>1685</v>
      </c>
      <c r="BT96" s="3736">
        <v>827</v>
      </c>
      <c r="BU96" s="3736">
        <v>858</v>
      </c>
      <c r="BV96" s="3736">
        <v>1659</v>
      </c>
      <c r="BW96" s="3736">
        <v>26</v>
      </c>
      <c r="BX96" s="3736"/>
      <c r="BY96" s="3736">
        <v>3</v>
      </c>
      <c r="BZ96" s="3736">
        <v>1143</v>
      </c>
      <c r="CA96" s="3736">
        <v>493</v>
      </c>
      <c r="CB96" s="3736">
        <v>24</v>
      </c>
      <c r="CC96" s="3736">
        <v>22</v>
      </c>
      <c r="CD96" s="3736"/>
      <c r="CE96" s="3736"/>
      <c r="CF96" s="3736"/>
      <c r="CG96" s="3736"/>
      <c r="CH96" s="3736"/>
      <c r="CI96" s="3736"/>
      <c r="CJ96" s="3736"/>
      <c r="CK96" s="3736"/>
      <c r="CL96" s="3736"/>
      <c r="CM96" s="3736"/>
      <c r="CN96" s="3736"/>
      <c r="CO96" s="3736"/>
      <c r="CP96" s="3736"/>
      <c r="CQ96" s="3736"/>
      <c r="CR96" s="3736"/>
      <c r="CS96" s="3736"/>
      <c r="CT96" s="3736"/>
      <c r="CU96" s="3736"/>
      <c r="CV96" s="3736"/>
      <c r="CW96" s="3736"/>
      <c r="CX96" s="3736"/>
      <c r="CY96" s="3736"/>
      <c r="CZ96" s="3736"/>
      <c r="DA96" s="3736"/>
      <c r="DB96" s="3736"/>
      <c r="DC96" s="3737"/>
      <c r="DD96" s="3738"/>
      <c r="DE96" s="3730"/>
      <c r="DF96" s="3730"/>
      <c r="DG96" s="3730"/>
      <c r="DH96" s="3730"/>
      <c r="DI96" s="3739"/>
      <c r="DJ96" s="3785"/>
      <c r="DK96" s="3774"/>
      <c r="DL96" s="3730"/>
      <c r="DM96" s="3739"/>
      <c r="DN96" s="3774"/>
      <c r="DO96" s="3730"/>
      <c r="DP96" s="3739"/>
      <c r="DQ96" s="3774"/>
      <c r="DR96" s="3739"/>
      <c r="DS96" s="3774"/>
      <c r="DT96" s="3730"/>
      <c r="DU96" s="3730"/>
      <c r="DV96" s="3730"/>
      <c r="DW96" s="3730"/>
      <c r="DX96" s="3730"/>
      <c r="DY96" s="3739"/>
      <c r="DZ96" s="3774"/>
      <c r="EA96" s="3730"/>
      <c r="EB96" s="3730"/>
      <c r="EC96" s="3730"/>
      <c r="ED96" s="3730"/>
      <c r="EE96" s="3730"/>
      <c r="EF96" s="3730"/>
      <c r="EG96" s="3730"/>
      <c r="EH96" s="3730"/>
      <c r="EI96" s="3730"/>
      <c r="EJ96" s="3730"/>
      <c r="EK96" s="3730"/>
      <c r="EL96" s="3730"/>
      <c r="EM96" s="3739"/>
      <c r="EN96" s="3774"/>
      <c r="EO96" s="3730"/>
      <c r="EP96" s="3730"/>
      <c r="EQ96" s="3730"/>
      <c r="ER96" s="3739"/>
      <c r="ES96" s="3774"/>
      <c r="ET96" s="3730"/>
      <c r="EU96" s="3730"/>
      <c r="EV96" s="3730"/>
      <c r="EW96" s="3739"/>
    </row>
    <row r="97" spans="1:172" s="3740" customFormat="1" ht="15" customHeight="1">
      <c r="A97" s="15694"/>
      <c r="B97" s="15693"/>
      <c r="C97" s="3719"/>
      <c r="D97" s="15693"/>
      <c r="E97" s="3720"/>
      <c r="F97" s="15693"/>
      <c r="G97" s="15693"/>
      <c r="H97" s="15695"/>
      <c r="I97" s="15693"/>
      <c r="J97" s="3720" t="s">
        <v>10201</v>
      </c>
      <c r="K97" s="3756"/>
      <c r="L97" s="3756" t="s">
        <v>1715</v>
      </c>
      <c r="M97" s="3720"/>
      <c r="N97" s="3720"/>
      <c r="O97" s="3720"/>
      <c r="P97" s="3721"/>
      <c r="Q97" s="3721"/>
      <c r="R97" s="3722"/>
      <c r="S97" s="3741"/>
      <c r="T97" s="3742"/>
      <c r="U97" s="3746"/>
      <c r="V97" s="3747"/>
      <c r="W97" s="3748"/>
      <c r="X97" s="3748"/>
      <c r="Y97" s="3748"/>
      <c r="Z97" s="3749"/>
      <c r="AA97" s="3750"/>
      <c r="AB97" s="3750"/>
      <c r="AC97" s="3749"/>
      <c r="AD97" s="3750"/>
      <c r="AE97" s="3750"/>
      <c r="AF97" s="3750"/>
      <c r="AG97" s="3750"/>
      <c r="AH97" s="3750"/>
      <c r="AI97" s="3750"/>
      <c r="AJ97" s="3750"/>
      <c r="AK97" s="3750"/>
      <c r="AL97" s="3749"/>
      <c r="AM97" s="3746"/>
      <c r="AN97" s="3746"/>
      <c r="AO97" s="3746"/>
      <c r="AP97" s="3746"/>
      <c r="AQ97" s="3746"/>
      <c r="AR97" s="3746"/>
      <c r="AS97" s="3746"/>
      <c r="AT97" s="3746"/>
      <c r="AU97" s="3746"/>
      <c r="AV97" s="3746"/>
      <c r="AW97" s="3746"/>
      <c r="AX97" s="3746"/>
      <c r="AY97" s="3746"/>
      <c r="AZ97" s="3730"/>
      <c r="BA97" s="3730"/>
      <c r="BB97" s="3730"/>
      <c r="BC97" s="3730"/>
      <c r="BD97" s="3730"/>
      <c r="BE97" s="3730"/>
      <c r="BF97" s="3730"/>
      <c r="BG97" s="3730"/>
      <c r="BH97" s="3730"/>
      <c r="BI97" s="3730"/>
      <c r="BJ97" s="3731"/>
      <c r="BK97" s="3755"/>
      <c r="BL97" s="3756"/>
      <c r="BM97" s="3757"/>
      <c r="BN97" s="3758"/>
      <c r="BO97" s="3744"/>
      <c r="BP97" s="3759"/>
      <c r="BQ97" s="3759"/>
      <c r="BR97" s="3759"/>
      <c r="BS97" s="3745"/>
      <c r="BT97" s="3745"/>
      <c r="BU97" s="3745"/>
      <c r="BV97" s="3745"/>
      <c r="BW97" s="3745"/>
      <c r="BX97" s="3745"/>
      <c r="BY97" s="3745"/>
      <c r="BZ97" s="3745"/>
      <c r="CA97" s="3745"/>
      <c r="CB97" s="3745"/>
      <c r="CC97" s="3745"/>
      <c r="CD97" s="3745"/>
      <c r="CE97" s="3745"/>
      <c r="CF97" s="3745"/>
      <c r="CG97" s="3745"/>
      <c r="CH97" s="3745"/>
      <c r="CI97" s="3745"/>
      <c r="CJ97" s="3745"/>
      <c r="CK97" s="3745"/>
      <c r="CL97" s="3745"/>
      <c r="CM97" s="3745"/>
      <c r="CN97" s="3745"/>
      <c r="CO97" s="3745"/>
      <c r="CP97" s="3745"/>
      <c r="CQ97" s="3745"/>
      <c r="CR97" s="3745"/>
      <c r="CS97" s="3745"/>
      <c r="CT97" s="3745"/>
      <c r="CU97" s="3745"/>
      <c r="CV97" s="3745"/>
      <c r="CW97" s="3745"/>
      <c r="CX97" s="3745"/>
      <c r="CY97" s="3745"/>
      <c r="CZ97" s="3745"/>
      <c r="DA97" s="3745"/>
      <c r="DB97" s="3745"/>
      <c r="DC97" s="3737"/>
      <c r="DD97" s="3738"/>
      <c r="DE97" s="3730"/>
      <c r="DF97" s="3730"/>
      <c r="DG97" s="3730"/>
      <c r="DH97" s="3730"/>
      <c r="DI97" s="3739"/>
      <c r="DJ97" s="3785"/>
      <c r="DK97" s="3774"/>
      <c r="DL97" s="3730"/>
      <c r="DM97" s="3739"/>
      <c r="DN97" s="3774"/>
      <c r="DO97" s="3730"/>
      <c r="DP97" s="3739"/>
      <c r="DQ97" s="3774"/>
      <c r="DR97" s="3739"/>
      <c r="DS97" s="3774"/>
      <c r="DT97" s="3730"/>
      <c r="DU97" s="3730"/>
      <c r="DV97" s="3730"/>
      <c r="DW97" s="3730"/>
      <c r="DX97" s="3730"/>
      <c r="DY97" s="3739"/>
      <c r="DZ97" s="3774"/>
      <c r="EA97" s="3730"/>
      <c r="EB97" s="3730"/>
      <c r="EC97" s="3730"/>
      <c r="ED97" s="3730"/>
      <c r="EE97" s="3730"/>
      <c r="EF97" s="3730"/>
      <c r="EG97" s="3730"/>
      <c r="EH97" s="3730"/>
      <c r="EI97" s="3730"/>
      <c r="EJ97" s="3730"/>
      <c r="EK97" s="3730"/>
      <c r="EL97" s="3730"/>
      <c r="EM97" s="3739"/>
      <c r="EN97" s="3774"/>
      <c r="EO97" s="3730"/>
      <c r="EP97" s="3730"/>
      <c r="EQ97" s="3730"/>
      <c r="ER97" s="3739"/>
      <c r="ES97" s="3774"/>
      <c r="ET97" s="3730"/>
      <c r="EU97" s="3730"/>
      <c r="EV97" s="3730"/>
      <c r="EW97" s="3739"/>
    </row>
    <row r="98" spans="1:172" s="3740" customFormat="1" ht="15" customHeight="1">
      <c r="A98" s="15694"/>
      <c r="B98" s="15693"/>
      <c r="C98" s="3719" t="s">
        <v>1717</v>
      </c>
      <c r="D98" s="15693" t="s">
        <v>7836</v>
      </c>
      <c r="E98" s="3719" t="s">
        <v>1718</v>
      </c>
      <c r="F98" s="15693" t="s">
        <v>1718</v>
      </c>
      <c r="G98" s="15693" t="s">
        <v>1719</v>
      </c>
      <c r="H98" s="15693">
        <v>1</v>
      </c>
      <c r="I98" s="15693" t="s">
        <v>700</v>
      </c>
      <c r="J98" s="3720" t="s">
        <v>10063</v>
      </c>
      <c r="K98" s="3756" t="s">
        <v>79</v>
      </c>
      <c r="L98" s="3756" t="s">
        <v>507</v>
      </c>
      <c r="M98" s="3720" t="s">
        <v>1523</v>
      </c>
      <c r="N98" s="3720" t="s">
        <v>1511</v>
      </c>
      <c r="O98" s="3720" t="s">
        <v>1617</v>
      </c>
      <c r="P98" s="3720">
        <v>1</v>
      </c>
      <c r="Q98" s="3720">
        <v>1</v>
      </c>
      <c r="R98" s="3722">
        <v>1</v>
      </c>
      <c r="S98" s="3756" t="s">
        <v>3086</v>
      </c>
      <c r="T98" s="3757" t="s">
        <v>3085</v>
      </c>
      <c r="U98" s="3720" t="s">
        <v>3071</v>
      </c>
      <c r="V98" s="3747">
        <f>W98+X98+Y98</f>
        <v>32759105.261999998</v>
      </c>
      <c r="W98" s="3727">
        <v>25596451.064615384</v>
      </c>
      <c r="X98" s="3727">
        <v>7162654.1973846154</v>
      </c>
      <c r="Y98" s="3727"/>
      <c r="Z98" s="3729">
        <v>409</v>
      </c>
      <c r="AA98" s="3729">
        <v>196</v>
      </c>
      <c r="AB98" s="3729">
        <v>213</v>
      </c>
      <c r="AC98" s="3729">
        <v>264</v>
      </c>
      <c r="AD98" s="3729">
        <v>145</v>
      </c>
      <c r="AE98" s="3729"/>
      <c r="AF98" s="3729"/>
      <c r="AG98" s="3729">
        <v>224</v>
      </c>
      <c r="AH98" s="3729">
        <v>185</v>
      </c>
      <c r="AI98" s="3729"/>
      <c r="AJ98" s="3729"/>
      <c r="AK98" s="3729"/>
      <c r="AL98" s="3729">
        <v>409</v>
      </c>
      <c r="AM98" s="3729"/>
      <c r="AN98" s="3729"/>
      <c r="AO98" s="3729"/>
      <c r="AP98" s="3729"/>
      <c r="AQ98" s="3729"/>
      <c r="AR98" s="3729"/>
      <c r="AS98" s="3729"/>
      <c r="AT98" s="3729"/>
      <c r="AU98" s="3729"/>
      <c r="AV98" s="3729"/>
      <c r="AW98" s="3729"/>
      <c r="AX98" s="3729"/>
      <c r="AY98" s="3729"/>
      <c r="AZ98" s="3730"/>
      <c r="BA98" s="3730"/>
      <c r="BB98" s="3730"/>
      <c r="BC98" s="3730"/>
      <c r="BD98" s="3730"/>
      <c r="BE98" s="3730"/>
      <c r="BF98" s="3730"/>
      <c r="BG98" s="3730"/>
      <c r="BH98" s="3730"/>
      <c r="BI98" s="3730"/>
      <c r="BJ98" s="15698">
        <v>1</v>
      </c>
      <c r="BK98" s="15696"/>
      <c r="BL98" s="3719" t="s">
        <v>8844</v>
      </c>
      <c r="BM98" s="3729" t="s">
        <v>3085</v>
      </c>
      <c r="BN98" s="15700"/>
      <c r="BO98" s="3760">
        <f t="shared" ref="BO98" si="1">BP98+BQ98+BR98</f>
        <v>37686899.608333334</v>
      </c>
      <c r="BP98" s="3761">
        <v>23383514.733333334</v>
      </c>
      <c r="BQ98" s="3761">
        <v>14303384.875</v>
      </c>
      <c r="BR98" s="3761">
        <v>0</v>
      </c>
      <c r="BS98" s="3728">
        <v>1685</v>
      </c>
      <c r="BT98" s="3728">
        <v>827</v>
      </c>
      <c r="BU98" s="3728">
        <v>858</v>
      </c>
      <c r="BV98" s="3728">
        <v>1659</v>
      </c>
      <c r="BW98" s="3728">
        <v>26</v>
      </c>
      <c r="BX98" s="3745"/>
      <c r="BY98" s="3745">
        <v>3</v>
      </c>
      <c r="BZ98" s="3745">
        <v>1143</v>
      </c>
      <c r="CA98" s="3745">
        <v>493</v>
      </c>
      <c r="CB98" s="3745">
        <v>24</v>
      </c>
      <c r="CC98" s="3745">
        <v>22</v>
      </c>
      <c r="CD98" s="3745"/>
      <c r="CE98" s="3745"/>
      <c r="CF98" s="3745"/>
      <c r="CG98" s="3745"/>
      <c r="CH98" s="3745"/>
      <c r="CI98" s="3745"/>
      <c r="CJ98" s="3745"/>
      <c r="CK98" s="3745"/>
      <c r="CL98" s="3745"/>
      <c r="CM98" s="3745"/>
      <c r="CN98" s="3745"/>
      <c r="CO98" s="3745"/>
      <c r="CP98" s="3745"/>
      <c r="CQ98" s="3745"/>
      <c r="CR98" s="3745"/>
      <c r="CS98" s="3745"/>
      <c r="CT98" s="3745"/>
      <c r="CU98" s="3745"/>
      <c r="CV98" s="3745"/>
      <c r="CW98" s="3745"/>
      <c r="CX98" s="3745"/>
      <c r="CY98" s="3745"/>
      <c r="CZ98" s="3745"/>
      <c r="DA98" s="3745"/>
      <c r="DB98" s="3745"/>
      <c r="DC98" s="3737"/>
      <c r="DD98" s="3738"/>
      <c r="DE98" s="3730"/>
      <c r="DF98" s="3730"/>
      <c r="DG98" s="3730"/>
      <c r="DH98" s="3730"/>
      <c r="DI98" s="3739"/>
      <c r="DJ98" s="3785"/>
      <c r="DK98" s="3774"/>
      <c r="DL98" s="3730"/>
      <c r="DM98" s="3739"/>
      <c r="DN98" s="3774"/>
      <c r="DO98" s="3730"/>
      <c r="DP98" s="3739"/>
      <c r="DQ98" s="3774"/>
      <c r="DR98" s="3739"/>
      <c r="DS98" s="3774"/>
      <c r="DT98" s="3730"/>
      <c r="DU98" s="3730"/>
      <c r="DV98" s="3730"/>
      <c r="DW98" s="3730"/>
      <c r="DX98" s="3730"/>
      <c r="DY98" s="3739"/>
      <c r="DZ98" s="3774"/>
      <c r="EA98" s="3730"/>
      <c r="EB98" s="3730"/>
      <c r="EC98" s="3730"/>
      <c r="ED98" s="3730"/>
      <c r="EE98" s="3730"/>
      <c r="EF98" s="3730"/>
      <c r="EG98" s="3730"/>
      <c r="EH98" s="3730"/>
      <c r="EI98" s="3730"/>
      <c r="EJ98" s="3730"/>
      <c r="EK98" s="3730"/>
      <c r="EL98" s="3730"/>
      <c r="EM98" s="3739"/>
      <c r="EN98" s="3774"/>
      <c r="EO98" s="3730"/>
      <c r="EP98" s="3730"/>
      <c r="EQ98" s="3730"/>
      <c r="ER98" s="3739"/>
      <c r="ES98" s="3774"/>
      <c r="ET98" s="3730"/>
      <c r="EU98" s="3730"/>
      <c r="EV98" s="3730"/>
      <c r="EW98" s="3739"/>
    </row>
    <row r="99" spans="1:172" s="3740" customFormat="1" ht="15" customHeight="1" thickBot="1">
      <c r="A99" s="15694"/>
      <c r="B99" s="15693"/>
      <c r="C99" s="3719"/>
      <c r="D99" s="15693"/>
      <c r="E99" s="3719"/>
      <c r="F99" s="15693"/>
      <c r="G99" s="15693"/>
      <c r="H99" s="15693"/>
      <c r="I99" s="15693"/>
      <c r="J99" s="3720" t="s">
        <v>10199</v>
      </c>
      <c r="K99" s="3915"/>
      <c r="L99" s="3756" t="s">
        <v>507</v>
      </c>
      <c r="M99" s="3730"/>
      <c r="N99" s="3730"/>
      <c r="O99" s="3730"/>
      <c r="P99" s="3730"/>
      <c r="Q99" s="3730"/>
      <c r="R99" s="3730"/>
      <c r="S99" s="3730"/>
      <c r="T99" s="3730"/>
      <c r="U99" s="3730"/>
      <c r="V99" s="3730"/>
      <c r="W99" s="3730"/>
      <c r="X99" s="3730"/>
      <c r="Y99" s="3730"/>
      <c r="Z99" s="3730"/>
      <c r="AA99" s="3730"/>
      <c r="AB99" s="3730"/>
      <c r="AC99" s="3730"/>
      <c r="AD99" s="3730"/>
      <c r="AE99" s="3730"/>
      <c r="AF99" s="3730"/>
      <c r="AG99" s="3730"/>
      <c r="AH99" s="3730"/>
      <c r="AI99" s="3730"/>
      <c r="AJ99" s="3730"/>
      <c r="AK99" s="3730"/>
      <c r="AL99" s="3730"/>
      <c r="AM99" s="3730"/>
      <c r="AN99" s="3730"/>
      <c r="AO99" s="3730"/>
      <c r="AP99" s="3730"/>
      <c r="AQ99" s="3730"/>
      <c r="AR99" s="3730"/>
      <c r="AS99" s="3730"/>
      <c r="AT99" s="3730"/>
      <c r="AU99" s="3730"/>
      <c r="AV99" s="3730"/>
      <c r="AW99" s="3730"/>
      <c r="AX99" s="3730"/>
      <c r="AY99" s="3730"/>
      <c r="AZ99" s="3730"/>
      <c r="BA99" s="3730"/>
      <c r="BB99" s="3730"/>
      <c r="BC99" s="3730"/>
      <c r="BD99" s="3730"/>
      <c r="BE99" s="3730"/>
      <c r="BF99" s="3730"/>
      <c r="BG99" s="3730"/>
      <c r="BH99" s="3730"/>
      <c r="BI99" s="3730"/>
      <c r="BJ99" s="15699"/>
      <c r="BK99" s="15697"/>
      <c r="BL99" s="3719"/>
      <c r="BM99" s="3729"/>
      <c r="BN99" s="15700"/>
      <c r="BO99" s="3760"/>
      <c r="BP99" s="3761"/>
      <c r="BQ99" s="3761"/>
      <c r="BR99" s="3761"/>
      <c r="BS99" s="3728"/>
      <c r="BT99" s="3728"/>
      <c r="BU99" s="3728"/>
      <c r="BV99" s="3728"/>
      <c r="BW99" s="3728"/>
      <c r="BX99" s="3745"/>
      <c r="BY99" s="3745"/>
      <c r="BZ99" s="3745"/>
      <c r="CA99" s="3745"/>
      <c r="CB99" s="3745"/>
      <c r="CC99" s="3745"/>
      <c r="CD99" s="3745"/>
      <c r="CE99" s="3745"/>
      <c r="CF99" s="3745"/>
      <c r="CG99" s="3745"/>
      <c r="CH99" s="3745"/>
      <c r="CI99" s="3745"/>
      <c r="CJ99" s="3745"/>
      <c r="CK99" s="3745"/>
      <c r="CL99" s="3745"/>
      <c r="CM99" s="3745"/>
      <c r="CN99" s="3745"/>
      <c r="CO99" s="3745"/>
      <c r="CP99" s="3745"/>
      <c r="CQ99" s="3745"/>
      <c r="CR99" s="3745"/>
      <c r="CS99" s="3745"/>
      <c r="CT99" s="3745"/>
      <c r="CU99" s="3745"/>
      <c r="CV99" s="3745"/>
      <c r="CW99" s="3745"/>
      <c r="CX99" s="3745"/>
      <c r="CY99" s="3745"/>
      <c r="CZ99" s="3745"/>
      <c r="DA99" s="3745"/>
      <c r="DB99" s="3745"/>
      <c r="DC99" s="3737"/>
      <c r="DD99" s="3762"/>
      <c r="DE99" s="3763"/>
      <c r="DF99" s="3763"/>
      <c r="DG99" s="3763"/>
      <c r="DH99" s="3763"/>
      <c r="DI99" s="3764"/>
      <c r="DJ99" s="3786"/>
      <c r="DK99" s="3775"/>
      <c r="DL99" s="3763"/>
      <c r="DM99" s="3764"/>
      <c r="DN99" s="3775"/>
      <c r="DO99" s="3763"/>
      <c r="DP99" s="3764"/>
      <c r="DQ99" s="3775"/>
      <c r="DR99" s="3764"/>
      <c r="DS99" s="3775"/>
      <c r="DT99" s="3763"/>
      <c r="DU99" s="3763"/>
      <c r="DV99" s="3763"/>
      <c r="DW99" s="3763"/>
      <c r="DX99" s="3763"/>
      <c r="DY99" s="3764"/>
      <c r="DZ99" s="3775"/>
      <c r="EA99" s="3763"/>
      <c r="EB99" s="3763"/>
      <c r="EC99" s="3763"/>
      <c r="ED99" s="3763"/>
      <c r="EE99" s="3763"/>
      <c r="EF99" s="3763"/>
      <c r="EG99" s="3763"/>
      <c r="EH99" s="3763"/>
      <c r="EI99" s="3763"/>
      <c r="EJ99" s="3763"/>
      <c r="EK99" s="3763"/>
      <c r="EL99" s="3763"/>
      <c r="EM99" s="3764"/>
      <c r="EN99" s="3775"/>
      <c r="EO99" s="3763"/>
      <c r="EP99" s="3763"/>
      <c r="EQ99" s="3763"/>
      <c r="ER99" s="3764"/>
      <c r="ES99" s="3775"/>
      <c r="ET99" s="3763"/>
      <c r="EU99" s="3763"/>
      <c r="EV99" s="3763"/>
      <c r="EW99" s="3764"/>
    </row>
    <row r="100" spans="1:172" s="144" customFormat="1" ht="15" customHeight="1">
      <c r="A100" s="3450"/>
      <c r="B100" s="3451"/>
      <c r="C100" s="3452"/>
      <c r="D100" s="3451"/>
      <c r="E100" s="3452"/>
      <c r="F100" s="3451"/>
      <c r="G100" s="3451"/>
      <c r="H100" s="3451"/>
      <c r="I100" s="3451"/>
      <c r="J100" s="3451"/>
      <c r="K100" s="3916"/>
      <c r="L100" s="3917"/>
      <c r="M100" s="3453"/>
      <c r="N100" s="3453"/>
      <c r="O100" s="3453"/>
      <c r="P100" s="3453"/>
      <c r="Q100" s="3453"/>
      <c r="R100" s="3453"/>
      <c r="S100" s="3453"/>
      <c r="T100" s="3453"/>
      <c r="U100" s="3453"/>
      <c r="V100" s="3453"/>
      <c r="W100" s="3453"/>
      <c r="X100" s="3453"/>
      <c r="Y100" s="3453"/>
      <c r="Z100" s="3453"/>
      <c r="AA100" s="3453"/>
      <c r="AB100" s="3453"/>
      <c r="AC100" s="3453"/>
      <c r="AD100" s="3453"/>
      <c r="AE100" s="3453"/>
      <c r="AF100" s="3453"/>
      <c r="AG100" s="3453"/>
      <c r="AH100" s="3453"/>
      <c r="AI100" s="3453"/>
      <c r="AJ100" s="3453"/>
      <c r="AK100" s="3453"/>
      <c r="AL100" s="3453"/>
      <c r="AM100" s="3453"/>
      <c r="AN100" s="3453"/>
      <c r="AO100" s="3453"/>
      <c r="AP100" s="3453"/>
      <c r="AQ100" s="3453"/>
      <c r="AR100" s="3453"/>
      <c r="AS100" s="3453"/>
      <c r="AT100" s="3453"/>
      <c r="AU100" s="3453"/>
      <c r="AV100" s="3453"/>
      <c r="AW100" s="3453"/>
      <c r="AX100" s="3453"/>
      <c r="AY100" s="3453"/>
      <c r="AZ100" s="3453"/>
      <c r="BA100" s="3453"/>
      <c r="BB100" s="3453"/>
      <c r="BC100" s="3453"/>
      <c r="BD100" s="3453"/>
      <c r="BE100" s="3453"/>
      <c r="BF100" s="3453"/>
      <c r="BG100" s="3453"/>
      <c r="BH100" s="3453"/>
      <c r="BI100" s="3453"/>
      <c r="BJ100" s="3454"/>
      <c r="BK100" s="3451"/>
      <c r="BL100" s="3452"/>
      <c r="BM100" s="3455"/>
      <c r="BN100" s="3456"/>
      <c r="BO100" s="3457"/>
      <c r="BP100" s="3458"/>
      <c r="BQ100" s="3458"/>
      <c r="BR100" s="3458"/>
      <c r="BS100" s="3459"/>
      <c r="BT100" s="3459"/>
      <c r="BU100" s="3459"/>
      <c r="BV100" s="3459"/>
      <c r="BW100" s="3459"/>
      <c r="BX100" s="3460"/>
      <c r="BY100" s="3460"/>
      <c r="BZ100" s="3460"/>
      <c r="CA100" s="3460"/>
      <c r="CB100" s="3460"/>
      <c r="CC100" s="3460"/>
      <c r="CD100" s="3460"/>
      <c r="CE100" s="3460"/>
      <c r="CF100" s="3460"/>
      <c r="CG100" s="3460"/>
      <c r="CH100" s="3460"/>
      <c r="CI100" s="3460"/>
      <c r="CJ100" s="3460"/>
      <c r="CK100" s="3460"/>
      <c r="CL100" s="3460"/>
      <c r="CM100" s="3460"/>
      <c r="CN100" s="3460"/>
      <c r="CO100" s="3460"/>
      <c r="CP100" s="3460"/>
      <c r="CQ100" s="3460"/>
      <c r="CR100" s="3460"/>
      <c r="CS100" s="3460"/>
      <c r="CT100" s="3460"/>
      <c r="CU100" s="3460"/>
      <c r="CV100" s="3460"/>
      <c r="CW100" s="3460"/>
      <c r="CX100" s="3460"/>
      <c r="CY100" s="3460"/>
      <c r="CZ100" s="3460"/>
      <c r="DA100" s="3460"/>
      <c r="DB100" s="3460"/>
      <c r="DC100" s="3461"/>
    </row>
    <row r="101" spans="1:172" s="144" customFormat="1" ht="15" customHeight="1">
      <c r="A101" s="3450"/>
      <c r="B101" s="3451"/>
      <c r="C101" s="3452"/>
      <c r="D101" s="3451"/>
      <c r="E101" s="3452"/>
      <c r="F101" s="3451"/>
      <c r="G101" s="3451"/>
      <c r="H101" s="3451"/>
      <c r="I101" s="3451"/>
      <c r="J101" s="3451"/>
      <c r="K101" s="3916"/>
      <c r="L101" s="3917"/>
      <c r="M101" s="3453"/>
      <c r="N101" s="3453"/>
      <c r="O101" s="3453"/>
      <c r="P101" s="3453"/>
      <c r="Q101" s="3453"/>
      <c r="R101" s="3453"/>
      <c r="S101" s="3453"/>
      <c r="T101" s="3453"/>
      <c r="U101" s="3453"/>
      <c r="V101" s="3453"/>
      <c r="W101" s="3453"/>
      <c r="X101" s="3453"/>
      <c r="Y101" s="3453"/>
      <c r="Z101" s="3453"/>
      <c r="AA101" s="3453"/>
      <c r="AB101" s="3453"/>
      <c r="AC101" s="3453"/>
      <c r="AD101" s="3453"/>
      <c r="AE101" s="3453"/>
      <c r="AF101" s="3453"/>
      <c r="AG101" s="3453"/>
      <c r="AH101" s="3453"/>
      <c r="AI101" s="3453"/>
      <c r="AJ101" s="3453"/>
      <c r="AK101" s="3453"/>
      <c r="AL101" s="3453"/>
      <c r="AM101" s="3453"/>
      <c r="AN101" s="3453"/>
      <c r="AO101" s="3453"/>
      <c r="AP101" s="3453"/>
      <c r="AQ101" s="3453"/>
      <c r="AR101" s="3453"/>
      <c r="AS101" s="3453"/>
      <c r="AT101" s="3453"/>
      <c r="AU101" s="3453"/>
      <c r="AV101" s="3453"/>
      <c r="AW101" s="3453"/>
      <c r="AX101" s="3453"/>
      <c r="AY101" s="3453"/>
      <c r="AZ101" s="3453"/>
      <c r="BA101" s="3453"/>
      <c r="BB101" s="3453"/>
      <c r="BC101" s="3453"/>
      <c r="BD101" s="3453"/>
      <c r="BE101" s="3453"/>
      <c r="BF101" s="3453"/>
      <c r="BG101" s="3453"/>
      <c r="BH101" s="3453"/>
      <c r="BI101" s="3453"/>
      <c r="BJ101" s="3454"/>
      <c r="BK101" s="3451"/>
      <c r="BL101" s="3452"/>
      <c r="BM101" s="3455"/>
      <c r="BN101" s="3456"/>
      <c r="BO101" s="3457"/>
      <c r="BP101" s="3458"/>
      <c r="BQ101" s="3458"/>
      <c r="BR101" s="3458"/>
      <c r="BS101" s="3459"/>
      <c r="BT101" s="3459"/>
      <c r="BU101" s="3459"/>
      <c r="BV101" s="3459"/>
      <c r="BW101" s="3459"/>
      <c r="BX101" s="3460"/>
      <c r="BY101" s="3460"/>
      <c r="BZ101" s="3460"/>
      <c r="CA101" s="3460"/>
      <c r="CB101" s="3460"/>
      <c r="CC101" s="3460"/>
      <c r="CD101" s="3460"/>
      <c r="CE101" s="3460"/>
      <c r="CF101" s="3460"/>
      <c r="CG101" s="3460"/>
      <c r="CH101" s="3460"/>
      <c r="CI101" s="3460"/>
      <c r="CJ101" s="3460"/>
      <c r="CK101" s="3460"/>
      <c r="CL101" s="3460"/>
      <c r="CM101" s="3460"/>
      <c r="CN101" s="3460"/>
      <c r="CO101" s="3460"/>
      <c r="CP101" s="3460"/>
      <c r="CQ101" s="3460"/>
      <c r="CR101" s="3460"/>
      <c r="CS101" s="3460"/>
      <c r="CT101" s="3460"/>
      <c r="CU101" s="3460"/>
      <c r="CV101" s="3460"/>
      <c r="CW101" s="3460"/>
      <c r="CX101" s="3460"/>
      <c r="CY101" s="3460"/>
      <c r="CZ101" s="3460"/>
      <c r="DA101" s="3460"/>
      <c r="DB101" s="3460"/>
      <c r="DC101" s="3461"/>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row>
    <row r="102" spans="1:172" ht="15" customHeight="1">
      <c r="BJ102" s="2202">
        <f>AVERAGE(BJ5:BJ98)</f>
        <v>0.79297783816917078</v>
      </c>
      <c r="BO102" s="2953">
        <f>SUM(BO5:BO98)</f>
        <v>6337606735.5755739</v>
      </c>
      <c r="BS102" s="2953">
        <f>SUM(BS5:BS98)</f>
        <v>167992</v>
      </c>
    </row>
  </sheetData>
  <autoFilter ref="A4:DC98" xr:uid="{00000000-0009-0000-0000-00000E000000}"/>
  <mergeCells count="263">
    <mergeCell ref="DZ3:EG3"/>
    <mergeCell ref="EH3:EM3"/>
    <mergeCell ref="EN3:EN4"/>
    <mergeCell ref="EO3:EO4"/>
    <mergeCell ref="EP3:EP4"/>
    <mergeCell ref="ES3:ES4"/>
    <mergeCell ref="ET3:EV3"/>
    <mergeCell ref="DD1:EW1"/>
    <mergeCell ref="DD2:DD4"/>
    <mergeCell ref="DE2:DE4"/>
    <mergeCell ref="DF2:DF4"/>
    <mergeCell ref="DG2:DG4"/>
    <mergeCell ref="DH2:DH4"/>
    <mergeCell ref="DI2:DI4"/>
    <mergeCell ref="DJ2:DM2"/>
    <mergeCell ref="DN2:EM2"/>
    <mergeCell ref="EN2:ER2"/>
    <mergeCell ref="ES2:EW2"/>
    <mergeCell ref="DJ3:DJ4"/>
    <mergeCell ref="DK3:DK4"/>
    <mergeCell ref="DL3:DL4"/>
    <mergeCell ref="DM3:DM4"/>
    <mergeCell ref="DN3:DN4"/>
    <mergeCell ref="DO3:DP3"/>
    <mergeCell ref="DQ3:DR3"/>
    <mergeCell ref="DS3:DY3"/>
    <mergeCell ref="BK98:BK99"/>
    <mergeCell ref="BJ98:BJ99"/>
    <mergeCell ref="BN98:BN99"/>
    <mergeCell ref="I96:I97"/>
    <mergeCell ref="H96:H97"/>
    <mergeCell ref="G96:G97"/>
    <mergeCell ref="F96:F97"/>
    <mergeCell ref="I64:I65"/>
    <mergeCell ref="H64:H65"/>
    <mergeCell ref="G64:G65"/>
    <mergeCell ref="H69:H70"/>
    <mergeCell ref="I78:I79"/>
    <mergeCell ref="BK40:BK56"/>
    <mergeCell ref="H31:H32"/>
    <mergeCell ref="F24:F26"/>
    <mergeCell ref="G24:G26"/>
    <mergeCell ref="H24:H26"/>
    <mergeCell ref="I24:I26"/>
    <mergeCell ref="I27:I28"/>
    <mergeCell ref="BK57:BK65"/>
    <mergeCell ref="BK66:BK74"/>
    <mergeCell ref="BJ71:BJ72"/>
    <mergeCell ref="D96:D97"/>
    <mergeCell ref="A94:A99"/>
    <mergeCell ref="B94:B99"/>
    <mergeCell ref="D98:D99"/>
    <mergeCell ref="F98:F99"/>
    <mergeCell ref="G98:G99"/>
    <mergeCell ref="H98:H99"/>
    <mergeCell ref="I98:I99"/>
    <mergeCell ref="D87:D88"/>
    <mergeCell ref="F87:F88"/>
    <mergeCell ref="G87:G88"/>
    <mergeCell ref="H87:H88"/>
    <mergeCell ref="I87:I88"/>
    <mergeCell ref="D94:D95"/>
    <mergeCell ref="F94:F95"/>
    <mergeCell ref="G94:G95"/>
    <mergeCell ref="H94:H95"/>
    <mergeCell ref="I94:I95"/>
    <mergeCell ref="H82:H83"/>
    <mergeCell ref="I82:I83"/>
    <mergeCell ref="D9:D10"/>
    <mergeCell ref="F9:F10"/>
    <mergeCell ref="G9:G10"/>
    <mergeCell ref="H9:H10"/>
    <mergeCell ref="I9:I10"/>
    <mergeCell ref="D46:D48"/>
    <mergeCell ref="F46:F48"/>
    <mergeCell ref="G46:G48"/>
    <mergeCell ref="H46:H48"/>
    <mergeCell ref="I46:I52"/>
    <mergeCell ref="F21:F22"/>
    <mergeCell ref="G21:G22"/>
    <mergeCell ref="H21:H22"/>
    <mergeCell ref="I21:I22"/>
    <mergeCell ref="F16:F19"/>
    <mergeCell ref="G16:G19"/>
    <mergeCell ref="H16:H19"/>
    <mergeCell ref="I16:I19"/>
    <mergeCell ref="G31:G32"/>
    <mergeCell ref="I69:I70"/>
    <mergeCell ref="F71:F72"/>
    <mergeCell ref="G71:G72"/>
    <mergeCell ref="C5:C15"/>
    <mergeCell ref="D64:D65"/>
    <mergeCell ref="D61:D62"/>
    <mergeCell ref="D57:D58"/>
    <mergeCell ref="D80:D81"/>
    <mergeCell ref="D78:D79"/>
    <mergeCell ref="D73:D74"/>
    <mergeCell ref="D71:D72"/>
    <mergeCell ref="D69:D70"/>
    <mergeCell ref="D31:D32"/>
    <mergeCell ref="D21:D22"/>
    <mergeCell ref="D16:D19"/>
    <mergeCell ref="D13:D15"/>
    <mergeCell ref="D11:D12"/>
    <mergeCell ref="C77:C81"/>
    <mergeCell ref="C21:C30"/>
    <mergeCell ref="BK75:BK80"/>
    <mergeCell ref="BK81:BK92"/>
    <mergeCell ref="BK93:BK96"/>
    <mergeCell ref="BK2:BK4"/>
    <mergeCell ref="BJ5:BJ7"/>
    <mergeCell ref="BK5:BK15"/>
    <mergeCell ref="BK16:BK30"/>
    <mergeCell ref="BJ21:BJ22"/>
    <mergeCell ref="BJ27:BJ28"/>
    <mergeCell ref="BJ29:BJ30"/>
    <mergeCell ref="BK31:BK34"/>
    <mergeCell ref="BK35:BK39"/>
    <mergeCell ref="BJ11:BJ12"/>
    <mergeCell ref="BJ13:BJ15"/>
    <mergeCell ref="BJ16:BJ20"/>
    <mergeCell ref="BJ32:BJ33"/>
    <mergeCell ref="BJ69:BJ70"/>
    <mergeCell ref="BJ73:BJ74"/>
    <mergeCell ref="BJ1:DB1"/>
    <mergeCell ref="BJ2:BJ4"/>
    <mergeCell ref="BL2:BL4"/>
    <mergeCell ref="BM2:BM4"/>
    <mergeCell ref="BN2:BN4"/>
    <mergeCell ref="BO2:BR2"/>
    <mergeCell ref="BS2:CR2"/>
    <mergeCell ref="CS2:CW2"/>
    <mergeCell ref="CX2:DB2"/>
    <mergeCell ref="BO3:BO4"/>
    <mergeCell ref="BP3:BP4"/>
    <mergeCell ref="BQ3:BQ4"/>
    <mergeCell ref="BR3:BR4"/>
    <mergeCell ref="BS3:BS4"/>
    <mergeCell ref="BT3:BU3"/>
    <mergeCell ref="BV3:BW3"/>
    <mergeCell ref="CU3:CU4"/>
    <mergeCell ref="CX3:CX4"/>
    <mergeCell ref="CY3:DA3"/>
    <mergeCell ref="BX3:CD3"/>
    <mergeCell ref="CE3:CL3"/>
    <mergeCell ref="CM3:CR3"/>
    <mergeCell ref="CS3:CS4"/>
    <mergeCell ref="CT3:CT4"/>
    <mergeCell ref="AC3:AD3"/>
    <mergeCell ref="B5:B39"/>
    <mergeCell ref="C16:C20"/>
    <mergeCell ref="F27:F28"/>
    <mergeCell ref="G27:G28"/>
    <mergeCell ref="H27:H28"/>
    <mergeCell ref="F5:F7"/>
    <mergeCell ref="G5:G7"/>
    <mergeCell ref="H5:H7"/>
    <mergeCell ref="F13:F15"/>
    <mergeCell ref="G13:G15"/>
    <mergeCell ref="H13:H15"/>
    <mergeCell ref="F29:F30"/>
    <mergeCell ref="G29:G30"/>
    <mergeCell ref="H29:H30"/>
    <mergeCell ref="I5:I7"/>
    <mergeCell ref="I13:I15"/>
    <mergeCell ref="F11:F12"/>
    <mergeCell ref="G11:G12"/>
    <mergeCell ref="H11:H12"/>
    <mergeCell ref="I11:I12"/>
    <mergeCell ref="M37:M39"/>
    <mergeCell ref="D24:D26"/>
    <mergeCell ref="D5:D7"/>
    <mergeCell ref="BB3:BB4"/>
    <mergeCell ref="BE3:BE4"/>
    <mergeCell ref="BF3:BH3"/>
    <mergeCell ref="AE3:AK3"/>
    <mergeCell ref="AL3:AS3"/>
    <mergeCell ref="AT3:AY3"/>
    <mergeCell ref="AZ3:AZ4"/>
    <mergeCell ref="BA3:BA4"/>
    <mergeCell ref="A1:L3"/>
    <mergeCell ref="R1:BI1"/>
    <mergeCell ref="R2:R4"/>
    <mergeCell ref="S2:S4"/>
    <mergeCell ref="T2:T4"/>
    <mergeCell ref="U2:U4"/>
    <mergeCell ref="V2:Y2"/>
    <mergeCell ref="Z2:AY2"/>
    <mergeCell ref="AZ2:BD2"/>
    <mergeCell ref="BE2:BI2"/>
    <mergeCell ref="V3:V4"/>
    <mergeCell ref="W3:W4"/>
    <mergeCell ref="X3:X4"/>
    <mergeCell ref="Y3:Y4"/>
    <mergeCell ref="Z3:Z4"/>
    <mergeCell ref="AA3:AB3"/>
    <mergeCell ref="H71:H72"/>
    <mergeCell ref="I71:I72"/>
    <mergeCell ref="A82:A93"/>
    <mergeCell ref="B82:B93"/>
    <mergeCell ref="C82:C84"/>
    <mergeCell ref="C85:C86"/>
    <mergeCell ref="C87:C93"/>
    <mergeCell ref="F78:F79"/>
    <mergeCell ref="G78:G79"/>
    <mergeCell ref="H78:H79"/>
    <mergeCell ref="F80:F81"/>
    <mergeCell ref="G80:G81"/>
    <mergeCell ref="H80:H81"/>
    <mergeCell ref="I80:I81"/>
    <mergeCell ref="F73:F74"/>
    <mergeCell ref="G73:G74"/>
    <mergeCell ref="H73:H74"/>
    <mergeCell ref="I73:I74"/>
    <mergeCell ref="D82:D83"/>
    <mergeCell ref="F82:F83"/>
    <mergeCell ref="G82:G83"/>
    <mergeCell ref="A66:A74"/>
    <mergeCell ref="C66:C74"/>
    <mergeCell ref="A75:A81"/>
    <mergeCell ref="A40:A56"/>
    <mergeCell ref="C40:C42"/>
    <mergeCell ref="C43:C44"/>
    <mergeCell ref="C46:C56"/>
    <mergeCell ref="A35:A39"/>
    <mergeCell ref="C37:C39"/>
    <mergeCell ref="F61:F62"/>
    <mergeCell ref="F64:F65"/>
    <mergeCell ref="G61:G62"/>
    <mergeCell ref="G69:G70"/>
    <mergeCell ref="F57:F58"/>
    <mergeCell ref="G57:G58"/>
    <mergeCell ref="D37:D39"/>
    <mergeCell ref="E37:E39"/>
    <mergeCell ref="F37:F39"/>
    <mergeCell ref="G51:G52"/>
    <mergeCell ref="D53:D56"/>
    <mergeCell ref="F53:F56"/>
    <mergeCell ref="G53:G56"/>
    <mergeCell ref="H61:H62"/>
    <mergeCell ref="I61:I62"/>
    <mergeCell ref="F31:F32"/>
    <mergeCell ref="A5:A15"/>
    <mergeCell ref="A16:A30"/>
    <mergeCell ref="A57:A65"/>
    <mergeCell ref="C57:C65"/>
    <mergeCell ref="H57:H58"/>
    <mergeCell ref="I57:I58"/>
    <mergeCell ref="I37:I39"/>
    <mergeCell ref="I31:I32"/>
    <mergeCell ref="H51:H52"/>
    <mergeCell ref="H53:H56"/>
    <mergeCell ref="I53:I56"/>
    <mergeCell ref="D29:D30"/>
    <mergeCell ref="D27:D28"/>
    <mergeCell ref="I29:I30"/>
    <mergeCell ref="D50:D52"/>
    <mergeCell ref="E50:E52"/>
    <mergeCell ref="F50:F52"/>
    <mergeCell ref="B40:B81"/>
    <mergeCell ref="A31:A34"/>
    <mergeCell ref="C31:C34"/>
    <mergeCell ref="F69:F70"/>
  </mergeCells>
  <conditionalFormatting sqref="S9:T10">
    <cfRule type="colorScale" priority="93">
      <colorScale>
        <cfvo type="min"/>
        <cfvo type="percentile" val="50"/>
        <cfvo type="max"/>
        <color rgb="FFF8696B"/>
        <color rgb="FFFCFCFF"/>
        <color rgb="FF63BE7B"/>
      </colorScale>
    </cfRule>
  </conditionalFormatting>
  <conditionalFormatting sqref="BL9:BM10">
    <cfRule type="colorScale" priority="89">
      <colorScale>
        <cfvo type="min"/>
        <cfvo type="percentile" val="50"/>
        <cfvo type="max"/>
        <color rgb="FFF8696B"/>
        <color rgb="FFFCFCFF"/>
        <color rgb="FF63BE7B"/>
      </colorScale>
    </cfRule>
  </conditionalFormatting>
  <conditionalFormatting sqref="BJ5:BJ6 BJ77:BJ78">
    <cfRule type="cellIs" dxfId="263" priority="85" operator="between">
      <formula>0.81</formula>
      <formula>1</formula>
    </cfRule>
    <cfRule type="cellIs" dxfId="262" priority="86" operator="between">
      <formula>0.61</formula>
      <formula>0.8</formula>
    </cfRule>
    <cfRule type="cellIs" dxfId="261" priority="87" operator="between">
      <formula>0.31</formula>
      <formula>0.6</formula>
    </cfRule>
    <cfRule type="cellIs" dxfId="260" priority="88" operator="between">
      <formula>0</formula>
      <formula>0.3</formula>
    </cfRule>
  </conditionalFormatting>
  <conditionalFormatting sqref="BJ8:BJ10">
    <cfRule type="cellIs" dxfId="259" priority="81" operator="between">
      <formula>0.81</formula>
      <formula>1</formula>
    </cfRule>
    <cfRule type="cellIs" dxfId="258" priority="82" operator="between">
      <formula>0.61</formula>
      <formula>0.8</formula>
    </cfRule>
    <cfRule type="cellIs" dxfId="257" priority="83" operator="between">
      <formula>0.31</formula>
      <formula>0.6</formula>
    </cfRule>
    <cfRule type="cellIs" dxfId="256" priority="84" operator="between">
      <formula>0</formula>
      <formula>0.3</formula>
    </cfRule>
  </conditionalFormatting>
  <conditionalFormatting sqref="BJ11">
    <cfRule type="cellIs" dxfId="255" priority="77" operator="between">
      <formula>0.81</formula>
      <formula>1</formula>
    </cfRule>
    <cfRule type="cellIs" dxfId="254" priority="78" operator="between">
      <formula>0.61</formula>
      <formula>0.8</formula>
    </cfRule>
    <cfRule type="cellIs" dxfId="253" priority="79" operator="between">
      <formula>0.31</formula>
      <formula>0.6</formula>
    </cfRule>
    <cfRule type="cellIs" dxfId="252" priority="80" operator="between">
      <formula>0</formula>
      <formula>0.3</formula>
    </cfRule>
  </conditionalFormatting>
  <conditionalFormatting sqref="BJ13">
    <cfRule type="cellIs" dxfId="251" priority="73" operator="between">
      <formula>0.81</formula>
      <formula>1</formula>
    </cfRule>
    <cfRule type="cellIs" dxfId="250" priority="74" operator="between">
      <formula>0.61</formula>
      <formula>0.8</formula>
    </cfRule>
    <cfRule type="cellIs" dxfId="249" priority="75" operator="between">
      <formula>0.31</formula>
      <formula>0.6</formula>
    </cfRule>
    <cfRule type="cellIs" dxfId="248" priority="76" operator="between">
      <formula>0</formula>
      <formula>0.3</formula>
    </cfRule>
  </conditionalFormatting>
  <conditionalFormatting sqref="BJ16:BJ18">
    <cfRule type="cellIs" dxfId="247" priority="69" operator="between">
      <formula>0.81</formula>
      <formula>1</formula>
    </cfRule>
    <cfRule type="cellIs" dxfId="246" priority="70" operator="between">
      <formula>0.61</formula>
      <formula>0.8</formula>
    </cfRule>
    <cfRule type="cellIs" dxfId="245" priority="71" operator="between">
      <formula>0.31</formula>
      <formula>0.6</formula>
    </cfRule>
    <cfRule type="cellIs" dxfId="244" priority="72" operator="between">
      <formula>0</formula>
      <formula>0.3</formula>
    </cfRule>
  </conditionalFormatting>
  <conditionalFormatting sqref="BJ21">
    <cfRule type="cellIs" dxfId="243" priority="65" operator="between">
      <formula>0.81</formula>
      <formula>1</formula>
    </cfRule>
    <cfRule type="cellIs" dxfId="242" priority="66" operator="between">
      <formula>0.61</formula>
      <formula>0.8</formula>
    </cfRule>
    <cfRule type="cellIs" dxfId="241" priority="67" operator="between">
      <formula>0.31</formula>
      <formula>0.6</formula>
    </cfRule>
    <cfRule type="cellIs" dxfId="240" priority="68" operator="between">
      <formula>0</formula>
      <formula>0.3</formula>
    </cfRule>
  </conditionalFormatting>
  <conditionalFormatting sqref="BJ23:BJ26">
    <cfRule type="cellIs" dxfId="239" priority="61" operator="between">
      <formula>0.81</formula>
      <formula>1</formula>
    </cfRule>
    <cfRule type="cellIs" dxfId="238" priority="62" operator="between">
      <formula>0.61</formula>
      <formula>0.8</formula>
    </cfRule>
    <cfRule type="cellIs" dxfId="237" priority="63" operator="between">
      <formula>0.31</formula>
      <formula>0.6</formula>
    </cfRule>
    <cfRule type="cellIs" dxfId="236" priority="64" operator="between">
      <formula>0</formula>
      <formula>0.3</formula>
    </cfRule>
  </conditionalFormatting>
  <conditionalFormatting sqref="BJ27">
    <cfRule type="cellIs" dxfId="235" priority="57" operator="between">
      <formula>0.81</formula>
      <formula>1</formula>
    </cfRule>
    <cfRule type="cellIs" dxfId="234" priority="58" operator="between">
      <formula>0.61</formula>
      <formula>0.8</formula>
    </cfRule>
    <cfRule type="cellIs" dxfId="233" priority="59" operator="between">
      <formula>0.31</formula>
      <formula>0.6</formula>
    </cfRule>
    <cfRule type="cellIs" dxfId="232" priority="60" operator="between">
      <formula>0</formula>
      <formula>0.3</formula>
    </cfRule>
  </conditionalFormatting>
  <conditionalFormatting sqref="BJ29">
    <cfRule type="cellIs" dxfId="231" priority="53" operator="between">
      <formula>0.81</formula>
      <formula>1</formula>
    </cfRule>
    <cfRule type="cellIs" dxfId="230" priority="54" operator="between">
      <formula>0.61</formula>
      <formula>0.8</formula>
    </cfRule>
    <cfRule type="cellIs" dxfId="229" priority="55" operator="between">
      <formula>0.31</formula>
      <formula>0.6</formula>
    </cfRule>
    <cfRule type="cellIs" dxfId="228" priority="56" operator="between">
      <formula>0</formula>
      <formula>0.3</formula>
    </cfRule>
  </conditionalFormatting>
  <conditionalFormatting sqref="BJ31:BJ32">
    <cfRule type="cellIs" dxfId="227" priority="49" operator="between">
      <formula>0.81</formula>
      <formula>1</formula>
    </cfRule>
    <cfRule type="cellIs" dxfId="226" priority="50" operator="between">
      <formula>0.61</formula>
      <formula>0.8</formula>
    </cfRule>
    <cfRule type="cellIs" dxfId="225" priority="51" operator="between">
      <formula>0.31</formula>
      <formula>0.6</formula>
    </cfRule>
    <cfRule type="cellIs" dxfId="224" priority="52" operator="between">
      <formula>0</formula>
      <formula>0.3</formula>
    </cfRule>
  </conditionalFormatting>
  <conditionalFormatting sqref="BJ34:BJ43">
    <cfRule type="cellIs" dxfId="223" priority="45" operator="between">
      <formula>0.81</formula>
      <formula>1</formula>
    </cfRule>
    <cfRule type="cellIs" dxfId="222" priority="46" operator="between">
      <formula>0.61</formula>
      <formula>0.8</formula>
    </cfRule>
    <cfRule type="cellIs" dxfId="221" priority="47" operator="between">
      <formula>0.31</formula>
      <formula>0.6</formula>
    </cfRule>
    <cfRule type="cellIs" dxfId="220" priority="48" operator="between">
      <formula>0</formula>
      <formula>0.3</formula>
    </cfRule>
  </conditionalFormatting>
  <conditionalFormatting sqref="BJ44:BJ52 BJ54:BJ60">
    <cfRule type="cellIs" dxfId="219" priority="41" operator="between">
      <formula>0.81</formula>
      <formula>1</formula>
    </cfRule>
    <cfRule type="cellIs" dxfId="218" priority="42" operator="between">
      <formula>0.61</formula>
      <formula>0.8</formula>
    </cfRule>
    <cfRule type="cellIs" dxfId="217" priority="43" operator="between">
      <formula>0.31</formula>
      <formula>0.6</formula>
    </cfRule>
    <cfRule type="cellIs" dxfId="216" priority="44" operator="between">
      <formula>0</formula>
      <formula>0.3</formula>
    </cfRule>
  </conditionalFormatting>
  <conditionalFormatting sqref="BJ61:BJ62">
    <cfRule type="cellIs" dxfId="215" priority="37" operator="between">
      <formula>0.81</formula>
      <formula>1</formula>
    </cfRule>
    <cfRule type="cellIs" dxfId="214" priority="38" operator="between">
      <formula>0.61</formula>
      <formula>0.8</formula>
    </cfRule>
    <cfRule type="cellIs" dxfId="213" priority="39" operator="between">
      <formula>0.31</formula>
      <formula>0.6</formula>
    </cfRule>
    <cfRule type="cellIs" dxfId="212" priority="40" operator="between">
      <formula>0</formula>
      <formula>0.3</formula>
    </cfRule>
  </conditionalFormatting>
  <conditionalFormatting sqref="BJ64:BJ69">
    <cfRule type="cellIs" dxfId="211" priority="33" operator="between">
      <formula>0.81</formula>
      <formula>1</formula>
    </cfRule>
    <cfRule type="cellIs" dxfId="210" priority="34" operator="between">
      <formula>0.61</formula>
      <formula>0.8</formula>
    </cfRule>
    <cfRule type="cellIs" dxfId="209" priority="35" operator="between">
      <formula>0.31</formula>
      <formula>0.6</formula>
    </cfRule>
    <cfRule type="cellIs" dxfId="208" priority="36" operator="between">
      <formula>0</formula>
      <formula>0.3</formula>
    </cfRule>
  </conditionalFormatting>
  <conditionalFormatting sqref="BJ71">
    <cfRule type="cellIs" dxfId="207" priority="29" operator="between">
      <formula>0.81</formula>
      <formula>1</formula>
    </cfRule>
    <cfRule type="cellIs" dxfId="206" priority="30" operator="between">
      <formula>0.61</formula>
      <formula>0.8</formula>
    </cfRule>
    <cfRule type="cellIs" dxfId="205" priority="31" operator="between">
      <formula>0.31</formula>
      <formula>0.6</formula>
    </cfRule>
    <cfRule type="cellIs" dxfId="204" priority="32" operator="between">
      <formula>0</formula>
      <formula>0.3</formula>
    </cfRule>
  </conditionalFormatting>
  <conditionalFormatting sqref="BJ73">
    <cfRule type="cellIs" dxfId="203" priority="25" operator="between">
      <formula>0.81</formula>
      <formula>1</formula>
    </cfRule>
    <cfRule type="cellIs" dxfId="202" priority="26" operator="between">
      <formula>0.61</formula>
      <formula>0.8</formula>
    </cfRule>
    <cfRule type="cellIs" dxfId="201" priority="27" operator="between">
      <formula>0.31</formula>
      <formula>0.6</formula>
    </cfRule>
    <cfRule type="cellIs" dxfId="200" priority="28" operator="between">
      <formula>0</formula>
      <formula>0.3</formula>
    </cfRule>
  </conditionalFormatting>
  <conditionalFormatting sqref="BJ75:BJ76">
    <cfRule type="cellIs" dxfId="199" priority="21" operator="between">
      <formula>0.81</formula>
      <formula>1</formula>
    </cfRule>
    <cfRule type="cellIs" dxfId="198" priority="22" operator="between">
      <formula>0.61</formula>
      <formula>0.8</formula>
    </cfRule>
    <cfRule type="cellIs" dxfId="197" priority="23" operator="between">
      <formula>0.31</formula>
      <formula>0.6</formula>
    </cfRule>
    <cfRule type="cellIs" dxfId="196" priority="24" operator="between">
      <formula>0</formula>
      <formula>0.3</formula>
    </cfRule>
  </conditionalFormatting>
  <conditionalFormatting sqref="BJ79:BJ85">
    <cfRule type="cellIs" dxfId="195" priority="13" operator="between">
      <formula>0.81</formula>
      <formula>1</formula>
    </cfRule>
    <cfRule type="cellIs" dxfId="194" priority="14" operator="between">
      <formula>0.61</formula>
      <formula>0.8</formula>
    </cfRule>
    <cfRule type="cellIs" dxfId="193" priority="15" operator="between">
      <formula>0.31</formula>
      <formula>0.6</formula>
    </cfRule>
    <cfRule type="cellIs" dxfId="192" priority="16" operator="between">
      <formula>0</formula>
      <formula>0.3</formula>
    </cfRule>
  </conditionalFormatting>
  <conditionalFormatting sqref="BJ86:BJ91">
    <cfRule type="cellIs" dxfId="191" priority="9" operator="between">
      <formula>0.81</formula>
      <formula>1</formula>
    </cfRule>
    <cfRule type="cellIs" dxfId="190" priority="10" operator="between">
      <formula>0.61</formula>
      <formula>0.8</formula>
    </cfRule>
    <cfRule type="cellIs" dxfId="189" priority="11" operator="between">
      <formula>0.31</formula>
      <formula>0.6</formula>
    </cfRule>
    <cfRule type="cellIs" dxfId="188" priority="12" operator="between">
      <formula>0</formula>
      <formula>0.3</formula>
    </cfRule>
  </conditionalFormatting>
  <conditionalFormatting sqref="BJ92:BJ98">
    <cfRule type="cellIs" dxfId="187" priority="5" operator="between">
      <formula>0.81</formula>
      <formula>1</formula>
    </cfRule>
    <cfRule type="cellIs" dxfId="186" priority="6" operator="between">
      <formula>0.61</formula>
      <formula>0.8</formula>
    </cfRule>
    <cfRule type="cellIs" dxfId="185" priority="7" operator="between">
      <formula>0.31</formula>
      <formula>0.6</formula>
    </cfRule>
    <cfRule type="cellIs" dxfId="184" priority="8" operator="between">
      <formula>0</formula>
      <formula>0.3</formula>
    </cfRule>
  </conditionalFormatting>
  <conditionalFormatting sqref="BJ53">
    <cfRule type="cellIs" dxfId="183" priority="1" operator="between">
      <formula>0.81</formula>
      <formula>1</formula>
    </cfRule>
    <cfRule type="cellIs" dxfId="182" priority="2" operator="between">
      <formula>0.61</formula>
      <formula>0.8</formula>
    </cfRule>
    <cfRule type="cellIs" dxfId="181" priority="3" operator="between">
      <formula>0.31</formula>
      <formula>0.6</formula>
    </cfRule>
    <cfRule type="cellIs" dxfId="180" priority="4" operator="between">
      <formula>0</formula>
      <formula>0.3</formula>
    </cfRule>
  </conditionalFormatting>
  <pageMargins left="0.7" right="0.7" top="0.75" bottom="0.75" header="0.3" footer="0.3"/>
  <pageSetup paperSize="9" orientation="portrait" horizontalDpi="300" verticalDpi="3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tabColor theme="2" tint="-0.89999084444715716"/>
  </sheetPr>
  <dimension ref="A1:FI227"/>
  <sheetViews>
    <sheetView showGridLines="0" topLeftCell="D172" zoomScale="80" zoomScaleNormal="80" workbookViewId="0">
      <selection sqref="A1:FP181"/>
    </sheetView>
  </sheetViews>
  <sheetFormatPr baseColWidth="10" defaultColWidth="11.42578125" defaultRowHeight="15" customHeight="1"/>
  <cols>
    <col min="1" max="1" width="17.140625" style="2" hidden="1" customWidth="1"/>
    <col min="2" max="2" width="26.7109375" style="2" hidden="1" customWidth="1"/>
    <col min="3" max="3" width="24.42578125" style="2" hidden="1" customWidth="1"/>
    <col min="4" max="4" width="18.7109375" style="2" bestFit="1" customWidth="1"/>
    <col min="5" max="5" width="50.7109375" style="2" customWidth="1"/>
    <col min="6" max="6" width="14.140625" style="3" customWidth="1"/>
    <col min="7" max="7" width="11.42578125" style="3" hidden="1" customWidth="1"/>
    <col min="8" max="9" width="11.7109375" style="2" hidden="1" customWidth="1"/>
    <col min="10" max="10" width="11.7109375" style="2" customWidth="1"/>
    <col min="11" max="11" width="24.140625" style="2" hidden="1" customWidth="1"/>
    <col min="12" max="12" width="17.140625" style="3055" customWidth="1"/>
    <col min="13" max="13" width="17.28515625" style="2" customWidth="1"/>
    <col min="14" max="14" width="26.28515625" style="2" customWidth="1"/>
    <col min="15" max="15" width="17" style="2" hidden="1" customWidth="1"/>
    <col min="16" max="16" width="15.5703125" style="2" hidden="1" customWidth="1"/>
    <col min="17" max="17" width="15.140625" style="2" hidden="1" customWidth="1"/>
    <col min="18" max="18" width="14.85546875" style="2" hidden="1" customWidth="1"/>
    <col min="19" max="19" width="14.42578125" style="2" hidden="1" customWidth="1"/>
    <col min="20" max="20" width="15.42578125" style="2" hidden="1" customWidth="1"/>
    <col min="21" max="21" width="16.85546875" style="2" hidden="1" customWidth="1"/>
    <col min="22" max="22" width="14.5703125" style="2" hidden="1" customWidth="1"/>
    <col min="23" max="23" width="14.140625" style="2" hidden="1" customWidth="1"/>
    <col min="24" max="25" width="14.5703125" style="2" hidden="1" customWidth="1"/>
    <col min="26" max="26" width="16.28515625" style="2" hidden="1" customWidth="1"/>
    <col min="27" max="27" width="20.85546875" style="2" hidden="1" customWidth="1"/>
    <col min="28" max="28" width="30" style="2" hidden="1" customWidth="1"/>
    <col min="29" max="29" width="23.28515625" style="2" hidden="1" customWidth="1"/>
    <col min="30" max="30" width="26" style="2" hidden="1" customWidth="1"/>
    <col min="31" max="31" width="19.28515625" style="2" hidden="1" customWidth="1"/>
    <col min="32" max="32" width="15.28515625" style="2" hidden="1" customWidth="1"/>
    <col min="33" max="33" width="13.85546875" style="2" hidden="1" customWidth="1"/>
    <col min="34" max="34" width="8" style="2" hidden="1" customWidth="1"/>
    <col min="35" max="35" width="15" style="2" hidden="1" customWidth="1"/>
    <col min="36" max="50" width="6.140625" style="2" hidden="1" customWidth="1"/>
    <col min="51" max="51" width="5.7109375" style="2" hidden="1" customWidth="1"/>
    <col min="52" max="52" width="6.140625" style="2" hidden="1" customWidth="1"/>
    <col min="53" max="53" width="5.5703125" style="2" hidden="1" customWidth="1"/>
    <col min="54" max="56" width="4.28515625" style="2" hidden="1" customWidth="1"/>
    <col min="57" max="60" width="6.140625" style="2" hidden="1" customWidth="1"/>
    <col min="61" max="61" width="25.7109375" style="2" hidden="1" customWidth="1"/>
    <col min="62" max="62" width="29.5703125" style="2" hidden="1" customWidth="1"/>
    <col min="63" max="63" width="19.42578125" style="2" hidden="1" customWidth="1"/>
    <col min="64" max="64" width="23.7109375" style="2" hidden="1" customWidth="1"/>
    <col min="65" max="65" width="20.28515625" style="2" hidden="1" customWidth="1"/>
    <col min="66" max="66" width="20.7109375" style="2" hidden="1" customWidth="1"/>
    <col min="67" max="67" width="14.28515625" style="2" hidden="1" customWidth="1"/>
    <col min="68" max="69" width="11.42578125" style="2" hidden="1" customWidth="1"/>
    <col min="70" max="70" width="20.7109375" style="2" hidden="1" customWidth="1"/>
    <col min="71" max="71" width="16.85546875" style="511" hidden="1" customWidth="1"/>
    <col min="72" max="72" width="11.5703125" style="511" hidden="1" customWidth="1"/>
    <col min="73" max="73" width="22.85546875" style="511" hidden="1" customWidth="1"/>
    <col min="74" max="75" width="20.5703125" style="511" hidden="1" customWidth="1"/>
    <col min="76" max="76" width="21.5703125" style="490" hidden="1" customWidth="1"/>
    <col min="77" max="77" width="21.85546875" style="490" hidden="1" customWidth="1"/>
    <col min="78" max="78" width="20.5703125" style="490" hidden="1" customWidth="1"/>
    <col min="79" max="79" width="19.28515625" style="490" hidden="1" customWidth="1"/>
    <col min="80" max="80" width="18.140625" style="490" hidden="1" customWidth="1"/>
    <col min="81" max="81" width="29.42578125" style="490" hidden="1" customWidth="1"/>
    <col min="82" max="82" width="11.5703125" style="490" hidden="1" customWidth="1"/>
    <col min="83" max="108" width="11.5703125" style="496" hidden="1" customWidth="1"/>
    <col min="109" max="118" width="0" style="496" hidden="1" customWidth="1"/>
    <col min="119" max="119" width="2.85546875" style="490" customWidth="1"/>
    <col min="120" max="123" width="11.42578125" style="490"/>
    <col min="124" max="16384" width="11.42578125" style="2"/>
  </cols>
  <sheetData>
    <row r="1" spans="1:165" s="104" customFormat="1" ht="15" customHeight="1" thickBot="1">
      <c r="A1" s="15810" t="s">
        <v>1283</v>
      </c>
      <c r="B1" s="15610"/>
      <c r="C1" s="15610"/>
      <c r="D1" s="15610"/>
      <c r="E1" s="15610"/>
      <c r="F1" s="15610"/>
      <c r="G1" s="15610"/>
      <c r="H1" s="15610"/>
      <c r="I1" s="15610"/>
      <c r="J1" s="15610"/>
      <c r="K1" s="15610"/>
      <c r="L1" s="15610"/>
      <c r="M1" s="15610"/>
      <c r="N1" s="15610"/>
      <c r="O1" s="15610"/>
      <c r="P1" s="15610"/>
      <c r="Q1" s="15610"/>
      <c r="R1" s="15610"/>
      <c r="S1" s="15610"/>
      <c r="T1" s="15610"/>
      <c r="U1" s="15610"/>
      <c r="V1" s="39"/>
      <c r="W1" s="39"/>
      <c r="X1" s="39"/>
      <c r="Y1" s="39"/>
      <c r="Z1" s="39"/>
      <c r="AA1" s="13291" t="s">
        <v>0</v>
      </c>
      <c r="AB1" s="13291"/>
      <c r="AC1" s="13291"/>
      <c r="AD1" s="13291"/>
      <c r="AE1" s="13291"/>
      <c r="AF1" s="13291"/>
      <c r="AG1" s="13291"/>
      <c r="AH1" s="13291"/>
      <c r="AI1" s="13291"/>
      <c r="AJ1" s="13291"/>
      <c r="AK1" s="13291"/>
      <c r="AL1" s="13291"/>
      <c r="AM1" s="13291"/>
      <c r="AN1" s="13291"/>
      <c r="AO1" s="13291"/>
      <c r="AP1" s="13291"/>
      <c r="AQ1" s="13291"/>
      <c r="AR1" s="13291"/>
      <c r="AS1" s="13291"/>
      <c r="AT1" s="13291"/>
      <c r="AU1" s="13291"/>
      <c r="AV1" s="13291"/>
      <c r="AW1" s="13291"/>
      <c r="AX1" s="13291"/>
      <c r="AY1" s="13291"/>
      <c r="AZ1" s="13291"/>
      <c r="BA1" s="13291"/>
      <c r="BB1" s="13291"/>
      <c r="BC1" s="13291"/>
      <c r="BD1" s="13291"/>
      <c r="BE1" s="13291"/>
      <c r="BF1" s="13291"/>
      <c r="BG1" s="13291"/>
      <c r="BH1" s="13291"/>
      <c r="BI1" s="13291"/>
      <c r="BJ1" s="13291"/>
      <c r="BK1" s="13291"/>
      <c r="BL1" s="13291"/>
      <c r="BM1" s="13291"/>
      <c r="BN1" s="13291"/>
      <c r="BO1" s="13291"/>
      <c r="BP1" s="13291"/>
      <c r="BQ1" s="13291"/>
      <c r="BR1" s="13292"/>
      <c r="BS1" s="13618" t="s">
        <v>8493</v>
      </c>
      <c r="BT1" s="13618"/>
      <c r="BU1" s="13618"/>
      <c r="BV1" s="13618"/>
      <c r="BW1" s="13618"/>
      <c r="BX1" s="13618"/>
      <c r="BY1" s="13618"/>
      <c r="BZ1" s="13618"/>
      <c r="CA1" s="13618"/>
      <c r="CB1" s="13618"/>
      <c r="CC1" s="13618"/>
      <c r="CD1" s="13618"/>
      <c r="CE1" s="13618"/>
      <c r="CF1" s="13618"/>
      <c r="CG1" s="13618"/>
      <c r="CH1" s="13618"/>
      <c r="CI1" s="13618"/>
      <c r="CJ1" s="13618"/>
      <c r="CK1" s="13618"/>
      <c r="CL1" s="13618"/>
      <c r="CM1" s="13618"/>
      <c r="CN1" s="13618"/>
      <c r="CO1" s="13618"/>
      <c r="CP1" s="13618"/>
      <c r="CQ1" s="13618"/>
      <c r="CR1" s="13618"/>
      <c r="CS1" s="13618"/>
      <c r="CT1" s="13618"/>
      <c r="CU1" s="13618"/>
      <c r="CV1" s="13618"/>
      <c r="CW1" s="13618"/>
      <c r="CX1" s="13618"/>
      <c r="CY1" s="13618"/>
      <c r="CZ1" s="13618"/>
      <c r="DA1" s="13618"/>
      <c r="DB1" s="13618"/>
      <c r="DC1" s="13618"/>
      <c r="DD1" s="13618"/>
      <c r="DE1" s="13618"/>
      <c r="DF1" s="13618"/>
      <c r="DG1" s="13618"/>
      <c r="DH1" s="13618"/>
      <c r="DI1" s="13618"/>
      <c r="DJ1" s="13618"/>
      <c r="DK1" s="13618"/>
      <c r="DL1" s="13618"/>
      <c r="DM1" s="13618"/>
      <c r="DN1" s="15842"/>
      <c r="DO1" s="834"/>
      <c r="DP1" s="13291" t="s">
        <v>8497</v>
      </c>
      <c r="DQ1" s="13291"/>
      <c r="DR1" s="13291"/>
      <c r="DS1" s="13291"/>
      <c r="DT1" s="13291"/>
      <c r="DU1" s="13291"/>
      <c r="DV1" s="13618"/>
      <c r="DW1" s="13618"/>
      <c r="DX1" s="13618"/>
      <c r="DY1" s="13618"/>
      <c r="DZ1" s="13291"/>
      <c r="EA1" s="13291"/>
      <c r="EB1" s="13291"/>
      <c r="EC1" s="13291"/>
      <c r="ED1" s="13291"/>
      <c r="EE1" s="13291"/>
      <c r="EF1" s="13291"/>
      <c r="EG1" s="13291"/>
      <c r="EH1" s="13291"/>
      <c r="EI1" s="13291"/>
      <c r="EJ1" s="13291"/>
      <c r="EK1" s="13291"/>
      <c r="EL1" s="13291"/>
      <c r="EM1" s="13291"/>
      <c r="EN1" s="13291"/>
      <c r="EO1" s="13291"/>
      <c r="EP1" s="13291"/>
      <c r="EQ1" s="13291"/>
      <c r="ER1" s="13291"/>
      <c r="ES1" s="13291"/>
      <c r="ET1" s="13291"/>
      <c r="EU1" s="13291"/>
      <c r="EV1" s="13291"/>
      <c r="EW1" s="13291"/>
      <c r="EX1" s="13291"/>
      <c r="EY1" s="13291"/>
      <c r="EZ1" s="13291"/>
      <c r="FA1" s="13291"/>
      <c r="FB1" s="13291"/>
      <c r="FC1" s="13291"/>
      <c r="FD1" s="13291"/>
      <c r="FE1" s="13291"/>
      <c r="FF1" s="13291"/>
      <c r="FG1" s="13291"/>
      <c r="FH1" s="13291"/>
      <c r="FI1" s="13292"/>
    </row>
    <row r="2" spans="1:165" ht="15" customHeight="1" thickBot="1">
      <c r="A2" s="15811" t="s">
        <v>1284</v>
      </c>
      <c r="B2" s="15812"/>
      <c r="C2" s="15812"/>
      <c r="D2" s="15813"/>
      <c r="E2" s="15813"/>
      <c r="F2" s="15812"/>
      <c r="G2" s="15812"/>
      <c r="H2" s="15812"/>
      <c r="I2" s="15812"/>
      <c r="J2" s="15812"/>
      <c r="K2" s="15812"/>
      <c r="L2" s="15814"/>
      <c r="M2" s="15812"/>
      <c r="N2" s="15812"/>
      <c r="O2" s="15812"/>
      <c r="P2" s="15812"/>
      <c r="Q2" s="15812"/>
      <c r="R2" s="15812"/>
      <c r="S2" s="15812"/>
      <c r="T2" s="15812"/>
      <c r="U2" s="15812"/>
      <c r="V2" s="107"/>
      <c r="W2" s="107"/>
      <c r="X2" s="107"/>
      <c r="Y2" s="107"/>
      <c r="Z2" s="108"/>
      <c r="AA2" s="15613" t="s">
        <v>1</v>
      </c>
      <c r="AB2" s="13295" t="s">
        <v>2</v>
      </c>
      <c r="AC2" s="13295" t="s">
        <v>3</v>
      </c>
      <c r="AD2" s="13297" t="s">
        <v>4</v>
      </c>
      <c r="AE2" s="13299" t="s">
        <v>355</v>
      </c>
      <c r="AF2" s="13300"/>
      <c r="AG2" s="13300"/>
      <c r="AH2" s="13301"/>
      <c r="AI2" s="13299" t="s">
        <v>356</v>
      </c>
      <c r="AJ2" s="13300"/>
      <c r="AK2" s="13300"/>
      <c r="AL2" s="13300"/>
      <c r="AM2" s="13300"/>
      <c r="AN2" s="13300"/>
      <c r="AO2" s="13300"/>
      <c r="AP2" s="13300"/>
      <c r="AQ2" s="13300"/>
      <c r="AR2" s="13300"/>
      <c r="AS2" s="13300"/>
      <c r="AT2" s="13300"/>
      <c r="AU2" s="13300"/>
      <c r="AV2" s="13300"/>
      <c r="AW2" s="13300"/>
      <c r="AX2" s="13300"/>
      <c r="AY2" s="13300"/>
      <c r="AZ2" s="13300"/>
      <c r="BA2" s="13300"/>
      <c r="BB2" s="13300"/>
      <c r="BC2" s="13300"/>
      <c r="BD2" s="13300"/>
      <c r="BE2" s="13300"/>
      <c r="BF2" s="13300"/>
      <c r="BG2" s="13300"/>
      <c r="BH2" s="13301"/>
      <c r="BI2" s="13302" t="s">
        <v>357</v>
      </c>
      <c r="BJ2" s="13303"/>
      <c r="BK2" s="13303"/>
      <c r="BL2" s="13303"/>
      <c r="BM2" s="13304"/>
      <c r="BN2" s="13305" t="s">
        <v>5</v>
      </c>
      <c r="BO2" s="13306"/>
      <c r="BP2" s="13306"/>
      <c r="BQ2" s="13306"/>
      <c r="BR2" s="13307"/>
      <c r="BS2" s="14600" t="s">
        <v>8490</v>
      </c>
      <c r="BT2" s="15843" t="s">
        <v>2104</v>
      </c>
      <c r="BU2" s="15843" t="s">
        <v>9882</v>
      </c>
      <c r="BV2" s="15843" t="s">
        <v>9652</v>
      </c>
      <c r="BW2" s="15843" t="s">
        <v>9651</v>
      </c>
      <c r="BX2" s="15843" t="s">
        <v>8491</v>
      </c>
      <c r="BY2" s="15843" t="s">
        <v>8492</v>
      </c>
      <c r="BZ2" s="15627" t="s">
        <v>4</v>
      </c>
      <c r="CA2" s="14602" t="s">
        <v>355</v>
      </c>
      <c r="CB2" s="14603"/>
      <c r="CC2" s="14603"/>
      <c r="CD2" s="14604"/>
      <c r="CE2" s="14602" t="s">
        <v>356</v>
      </c>
      <c r="CF2" s="14603"/>
      <c r="CG2" s="14603"/>
      <c r="CH2" s="14603"/>
      <c r="CI2" s="14603"/>
      <c r="CJ2" s="14603"/>
      <c r="CK2" s="14603"/>
      <c r="CL2" s="14603"/>
      <c r="CM2" s="14603"/>
      <c r="CN2" s="14603"/>
      <c r="CO2" s="14603"/>
      <c r="CP2" s="14603"/>
      <c r="CQ2" s="14603"/>
      <c r="CR2" s="14603"/>
      <c r="CS2" s="14603"/>
      <c r="CT2" s="14603"/>
      <c r="CU2" s="14603"/>
      <c r="CV2" s="14603"/>
      <c r="CW2" s="14603"/>
      <c r="CX2" s="14603"/>
      <c r="CY2" s="14603"/>
      <c r="CZ2" s="14603"/>
      <c r="DA2" s="14603"/>
      <c r="DB2" s="14603"/>
      <c r="DC2" s="14603"/>
      <c r="DD2" s="14604"/>
      <c r="DE2" s="15629" t="s">
        <v>357</v>
      </c>
      <c r="DF2" s="15630"/>
      <c r="DG2" s="15630"/>
      <c r="DH2" s="15630"/>
      <c r="DI2" s="15631"/>
      <c r="DJ2" s="15632" t="s">
        <v>5</v>
      </c>
      <c r="DK2" s="15633"/>
      <c r="DL2" s="15633"/>
      <c r="DM2" s="15633"/>
      <c r="DN2" s="15634"/>
      <c r="DP2" s="14600" t="s">
        <v>8498</v>
      </c>
      <c r="DQ2" s="14609" t="s">
        <v>10189</v>
      </c>
      <c r="DR2" s="14609" t="s">
        <v>10190</v>
      </c>
      <c r="DS2" s="13295" t="s">
        <v>8499</v>
      </c>
      <c r="DT2" s="13295" t="s">
        <v>8500</v>
      </c>
      <c r="DU2" s="13297" t="s">
        <v>4</v>
      </c>
      <c r="DV2" s="14602" t="s">
        <v>355</v>
      </c>
      <c r="DW2" s="14603"/>
      <c r="DX2" s="14603"/>
      <c r="DY2" s="14604"/>
      <c r="DZ2" s="13299" t="s">
        <v>356</v>
      </c>
      <c r="EA2" s="13300"/>
      <c r="EB2" s="13300"/>
      <c r="EC2" s="13300"/>
      <c r="ED2" s="13300"/>
      <c r="EE2" s="13300"/>
      <c r="EF2" s="13300"/>
      <c r="EG2" s="13300"/>
      <c r="EH2" s="13300"/>
      <c r="EI2" s="13300"/>
      <c r="EJ2" s="13300"/>
      <c r="EK2" s="13300"/>
      <c r="EL2" s="15138"/>
      <c r="EM2" s="15138"/>
      <c r="EN2" s="15138"/>
      <c r="EO2" s="15138"/>
      <c r="EP2" s="15138"/>
      <c r="EQ2" s="15138"/>
      <c r="ER2" s="15138"/>
      <c r="ES2" s="15138"/>
      <c r="ET2" s="15138"/>
      <c r="EU2" s="15138"/>
      <c r="EV2" s="15138"/>
      <c r="EW2" s="15138"/>
      <c r="EX2" s="15138"/>
      <c r="EY2" s="15139"/>
      <c r="EZ2" s="15140" t="s">
        <v>357</v>
      </c>
      <c r="FA2" s="15141"/>
      <c r="FB2" s="15141"/>
      <c r="FC2" s="15141"/>
      <c r="FD2" s="15142"/>
      <c r="FE2" s="13305" t="s">
        <v>5</v>
      </c>
      <c r="FF2" s="13306"/>
      <c r="FG2" s="13306"/>
      <c r="FH2" s="13306"/>
      <c r="FI2" s="13307"/>
    </row>
    <row r="3" spans="1:165" ht="15" customHeight="1" thickBot="1">
      <c r="A3" s="15815"/>
      <c r="B3" s="15816"/>
      <c r="C3" s="15816"/>
      <c r="D3" s="15816"/>
      <c r="E3" s="15816"/>
      <c r="F3" s="15816"/>
      <c r="G3" s="15816"/>
      <c r="H3" s="15816"/>
      <c r="I3" s="15816"/>
      <c r="J3" s="15816"/>
      <c r="K3" s="15816"/>
      <c r="L3" s="15816"/>
      <c r="M3" s="15816"/>
      <c r="N3" s="15816"/>
      <c r="O3" s="15816"/>
      <c r="P3" s="15816"/>
      <c r="Q3" s="15816"/>
      <c r="R3" s="15816"/>
      <c r="S3" s="15816"/>
      <c r="T3" s="15816"/>
      <c r="U3" s="15816"/>
      <c r="V3" s="82"/>
      <c r="W3" s="82"/>
      <c r="X3" s="82"/>
      <c r="Y3" s="82"/>
      <c r="Z3" s="109"/>
      <c r="AA3" s="15614"/>
      <c r="AB3" s="13296"/>
      <c r="AC3" s="13296"/>
      <c r="AD3" s="13298"/>
      <c r="AE3" s="13308" t="s">
        <v>6</v>
      </c>
      <c r="AF3" s="13310" t="s">
        <v>7</v>
      </c>
      <c r="AG3" s="13312" t="s">
        <v>8</v>
      </c>
      <c r="AH3" s="13314" t="s">
        <v>9</v>
      </c>
      <c r="AI3" s="13308" t="s">
        <v>10</v>
      </c>
      <c r="AJ3" s="13282" t="s">
        <v>11</v>
      </c>
      <c r="AK3" s="13284"/>
      <c r="AL3" s="13282" t="s">
        <v>12</v>
      </c>
      <c r="AM3" s="13284"/>
      <c r="AN3" s="13282" t="s">
        <v>13</v>
      </c>
      <c r="AO3" s="13283"/>
      <c r="AP3" s="13283"/>
      <c r="AQ3" s="13283"/>
      <c r="AR3" s="13283"/>
      <c r="AS3" s="13283"/>
      <c r="AT3" s="13284"/>
      <c r="AU3" s="13285" t="s">
        <v>14</v>
      </c>
      <c r="AV3" s="13286"/>
      <c r="AW3" s="13286"/>
      <c r="AX3" s="13286"/>
      <c r="AY3" s="13286"/>
      <c r="AZ3" s="13286"/>
      <c r="BA3" s="13286"/>
      <c r="BB3" s="13287"/>
      <c r="BC3" s="13285" t="s">
        <v>15</v>
      </c>
      <c r="BD3" s="13286"/>
      <c r="BE3" s="13286"/>
      <c r="BF3" s="13286"/>
      <c r="BG3" s="13286"/>
      <c r="BH3" s="13287"/>
      <c r="BI3" s="13288" t="s">
        <v>16</v>
      </c>
      <c r="BJ3" s="13288" t="s">
        <v>17</v>
      </c>
      <c r="BK3" s="13275" t="s">
        <v>18</v>
      </c>
      <c r="BL3" s="10" t="s">
        <v>19</v>
      </c>
      <c r="BM3" s="489" t="s">
        <v>20</v>
      </c>
      <c r="BN3" s="13277" t="s">
        <v>21</v>
      </c>
      <c r="BO3" s="13279" t="s">
        <v>22</v>
      </c>
      <c r="BP3" s="13280"/>
      <c r="BQ3" s="13281"/>
      <c r="BR3" s="12" t="s">
        <v>20</v>
      </c>
      <c r="BS3" s="14601"/>
      <c r="BT3" s="15844"/>
      <c r="BU3" s="15844"/>
      <c r="BV3" s="15844"/>
      <c r="BW3" s="15844"/>
      <c r="BX3" s="15844"/>
      <c r="BY3" s="15844"/>
      <c r="BZ3" s="15628"/>
      <c r="CA3" s="14605" t="s">
        <v>6</v>
      </c>
      <c r="CB3" s="14611" t="s">
        <v>7</v>
      </c>
      <c r="CC3" s="14577" t="s">
        <v>8</v>
      </c>
      <c r="CD3" s="14579" t="s">
        <v>9</v>
      </c>
      <c r="CE3" s="14605" t="s">
        <v>10</v>
      </c>
      <c r="CF3" s="15635" t="s">
        <v>11</v>
      </c>
      <c r="CG3" s="15636"/>
      <c r="CH3" s="15635" t="s">
        <v>12</v>
      </c>
      <c r="CI3" s="15636"/>
      <c r="CJ3" s="15635" t="s">
        <v>13</v>
      </c>
      <c r="CK3" s="15644"/>
      <c r="CL3" s="15644"/>
      <c r="CM3" s="15644"/>
      <c r="CN3" s="15644"/>
      <c r="CO3" s="15644"/>
      <c r="CP3" s="15636"/>
      <c r="CQ3" s="15645" t="s">
        <v>14</v>
      </c>
      <c r="CR3" s="15642"/>
      <c r="CS3" s="15642"/>
      <c r="CT3" s="15642"/>
      <c r="CU3" s="15642"/>
      <c r="CV3" s="15642"/>
      <c r="CW3" s="15642"/>
      <c r="CX3" s="15646"/>
      <c r="CY3" s="15645" t="s">
        <v>15</v>
      </c>
      <c r="CZ3" s="15642"/>
      <c r="DA3" s="15642"/>
      <c r="DB3" s="15642"/>
      <c r="DC3" s="15642"/>
      <c r="DD3" s="15646"/>
      <c r="DE3" s="15647" t="s">
        <v>16</v>
      </c>
      <c r="DF3" s="15647" t="s">
        <v>17</v>
      </c>
      <c r="DG3" s="15637" t="s">
        <v>18</v>
      </c>
      <c r="DH3" s="499" t="s">
        <v>19</v>
      </c>
      <c r="DI3" s="923" t="s">
        <v>20</v>
      </c>
      <c r="DJ3" s="15639" t="s">
        <v>21</v>
      </c>
      <c r="DK3" s="15641" t="s">
        <v>22</v>
      </c>
      <c r="DL3" s="15642"/>
      <c r="DM3" s="15643"/>
      <c r="DN3" s="835" t="s">
        <v>20</v>
      </c>
      <c r="DP3" s="14601"/>
      <c r="DQ3" s="14609"/>
      <c r="DR3" s="14609"/>
      <c r="DS3" s="13296"/>
      <c r="DT3" s="13296"/>
      <c r="DU3" s="13298"/>
      <c r="DV3" s="14605" t="s">
        <v>6</v>
      </c>
      <c r="DW3" s="14611" t="s">
        <v>7</v>
      </c>
      <c r="DX3" s="14577" t="s">
        <v>8</v>
      </c>
      <c r="DY3" s="14579" t="s">
        <v>9</v>
      </c>
      <c r="DZ3" s="13308" t="s">
        <v>10</v>
      </c>
      <c r="EA3" s="13282" t="s">
        <v>11</v>
      </c>
      <c r="EB3" s="13284"/>
      <c r="EC3" s="13282" t="s">
        <v>12</v>
      </c>
      <c r="ED3" s="13284"/>
      <c r="EE3" s="13282" t="s">
        <v>13</v>
      </c>
      <c r="EF3" s="13283"/>
      <c r="EG3" s="13283"/>
      <c r="EH3" s="13283"/>
      <c r="EI3" s="13283"/>
      <c r="EJ3" s="13283"/>
      <c r="EK3" s="13283"/>
      <c r="EL3" s="15143" t="s">
        <v>14</v>
      </c>
      <c r="EM3" s="15144"/>
      <c r="EN3" s="15144"/>
      <c r="EO3" s="15144"/>
      <c r="EP3" s="15144"/>
      <c r="EQ3" s="15144"/>
      <c r="ER3" s="15144"/>
      <c r="ES3" s="15144"/>
      <c r="ET3" s="15144" t="s">
        <v>15</v>
      </c>
      <c r="EU3" s="15144"/>
      <c r="EV3" s="15144"/>
      <c r="EW3" s="15144"/>
      <c r="EX3" s="15144"/>
      <c r="EY3" s="15198"/>
      <c r="EZ3" s="15199" t="s">
        <v>16</v>
      </c>
      <c r="FA3" s="15183" t="s">
        <v>17</v>
      </c>
      <c r="FB3" s="15145" t="s">
        <v>18</v>
      </c>
      <c r="FC3" s="3375" t="s">
        <v>19</v>
      </c>
      <c r="FD3" s="3376" t="s">
        <v>20</v>
      </c>
      <c r="FE3" s="15135" t="s">
        <v>21</v>
      </c>
      <c r="FF3" s="13279" t="s">
        <v>22</v>
      </c>
      <c r="FG3" s="13280"/>
      <c r="FH3" s="13281"/>
      <c r="FI3" s="12" t="s">
        <v>20</v>
      </c>
    </row>
    <row r="4" spans="1:165" ht="15" customHeight="1" thickBot="1">
      <c r="A4" s="921" t="s">
        <v>53</v>
      </c>
      <c r="B4" s="921" t="s">
        <v>54</v>
      </c>
      <c r="C4" s="921" t="s">
        <v>55</v>
      </c>
      <c r="D4" s="274" t="s">
        <v>4635</v>
      </c>
      <c r="E4" s="921" t="s">
        <v>56</v>
      </c>
      <c r="F4" s="921" t="s">
        <v>57</v>
      </c>
      <c r="G4" s="74" t="s">
        <v>58</v>
      </c>
      <c r="H4" s="74" t="s">
        <v>59</v>
      </c>
      <c r="I4" s="74" t="s">
        <v>60</v>
      </c>
      <c r="J4" s="768" t="s">
        <v>61</v>
      </c>
      <c r="K4" s="127" t="s">
        <v>62</v>
      </c>
      <c r="L4" s="3436" t="s">
        <v>10056</v>
      </c>
      <c r="M4" s="127" t="s">
        <v>63</v>
      </c>
      <c r="N4" s="127" t="s">
        <v>64</v>
      </c>
      <c r="O4" s="920" t="s">
        <v>1285</v>
      </c>
      <c r="P4" s="920"/>
      <c r="Q4" s="920"/>
      <c r="R4" s="920"/>
      <c r="S4" s="920"/>
      <c r="T4" s="920"/>
      <c r="U4" s="920" t="s">
        <v>1500</v>
      </c>
      <c r="V4" s="77"/>
      <c r="W4" s="77"/>
      <c r="X4" s="77"/>
      <c r="Y4" s="77"/>
      <c r="Z4" s="77"/>
      <c r="AA4" s="15614"/>
      <c r="AB4" s="13296"/>
      <c r="AC4" s="13296"/>
      <c r="AD4" s="13298"/>
      <c r="AE4" s="13309"/>
      <c r="AF4" s="13311"/>
      <c r="AG4" s="13313"/>
      <c r="AH4" s="13315"/>
      <c r="AI4" s="13309"/>
      <c r="AJ4" s="13" t="s">
        <v>23</v>
      </c>
      <c r="AK4" s="14" t="s">
        <v>24</v>
      </c>
      <c r="AL4" s="13" t="s">
        <v>25</v>
      </c>
      <c r="AM4" s="14" t="s">
        <v>26</v>
      </c>
      <c r="AN4" s="15" t="s">
        <v>27</v>
      </c>
      <c r="AO4" s="16" t="s">
        <v>28</v>
      </c>
      <c r="AP4" s="17" t="s">
        <v>29</v>
      </c>
      <c r="AQ4" s="17" t="s">
        <v>30</v>
      </c>
      <c r="AR4" s="17" t="s">
        <v>31</v>
      </c>
      <c r="AS4" s="17" t="s">
        <v>32</v>
      </c>
      <c r="AT4" s="18" t="s">
        <v>33</v>
      </c>
      <c r="AU4" s="15" t="s">
        <v>34</v>
      </c>
      <c r="AV4" s="17" t="s">
        <v>35</v>
      </c>
      <c r="AW4" s="17" t="s">
        <v>36</v>
      </c>
      <c r="AX4" s="17" t="s">
        <v>37</v>
      </c>
      <c r="AY4" s="17" t="s">
        <v>38</v>
      </c>
      <c r="AZ4" s="17" t="s">
        <v>39</v>
      </c>
      <c r="BA4" s="17" t="s">
        <v>40</v>
      </c>
      <c r="BB4" s="18" t="s">
        <v>41</v>
      </c>
      <c r="BC4" s="19" t="s">
        <v>42</v>
      </c>
      <c r="BD4" s="17" t="s">
        <v>43</v>
      </c>
      <c r="BE4" s="17" t="s">
        <v>44</v>
      </c>
      <c r="BF4" s="17" t="s">
        <v>45</v>
      </c>
      <c r="BG4" s="17" t="s">
        <v>46</v>
      </c>
      <c r="BH4" s="20" t="s">
        <v>47</v>
      </c>
      <c r="BI4" s="13289"/>
      <c r="BJ4" s="13289"/>
      <c r="BK4" s="13276"/>
      <c r="BL4" s="919" t="s">
        <v>48</v>
      </c>
      <c r="BM4" s="21" t="s">
        <v>49</v>
      </c>
      <c r="BN4" s="13278"/>
      <c r="BO4" s="9" t="s">
        <v>50</v>
      </c>
      <c r="BP4" s="9" t="s">
        <v>51</v>
      </c>
      <c r="BQ4" s="9" t="s">
        <v>52</v>
      </c>
      <c r="BR4" s="22" t="s">
        <v>49</v>
      </c>
      <c r="BS4" s="14601"/>
      <c r="BT4" s="15844"/>
      <c r="BU4" s="15844"/>
      <c r="BV4" s="15844"/>
      <c r="BW4" s="15844"/>
      <c r="BX4" s="15844"/>
      <c r="BY4" s="15844"/>
      <c r="BZ4" s="15628"/>
      <c r="CA4" s="14606"/>
      <c r="CB4" s="14612"/>
      <c r="CC4" s="14578"/>
      <c r="CD4" s="14580"/>
      <c r="CE4" s="14606"/>
      <c r="CF4" s="501" t="s">
        <v>23</v>
      </c>
      <c r="CG4" s="502" t="s">
        <v>24</v>
      </c>
      <c r="CH4" s="501" t="s">
        <v>25</v>
      </c>
      <c r="CI4" s="502" t="s">
        <v>26</v>
      </c>
      <c r="CJ4" s="501" t="s">
        <v>27</v>
      </c>
      <c r="CK4" s="836" t="s">
        <v>28</v>
      </c>
      <c r="CL4" s="836" t="s">
        <v>29</v>
      </c>
      <c r="CM4" s="836" t="s">
        <v>30</v>
      </c>
      <c r="CN4" s="836" t="s">
        <v>31</v>
      </c>
      <c r="CO4" s="836" t="s">
        <v>32</v>
      </c>
      <c r="CP4" s="502" t="s">
        <v>33</v>
      </c>
      <c r="CQ4" s="501" t="s">
        <v>34</v>
      </c>
      <c r="CR4" s="836" t="s">
        <v>35</v>
      </c>
      <c r="CS4" s="836" t="s">
        <v>36</v>
      </c>
      <c r="CT4" s="836" t="s">
        <v>37</v>
      </c>
      <c r="CU4" s="836" t="s">
        <v>38</v>
      </c>
      <c r="CV4" s="836" t="s">
        <v>39</v>
      </c>
      <c r="CW4" s="836" t="s">
        <v>40</v>
      </c>
      <c r="CX4" s="502" t="s">
        <v>41</v>
      </c>
      <c r="CY4" s="837" t="s">
        <v>42</v>
      </c>
      <c r="CZ4" s="836" t="s">
        <v>43</v>
      </c>
      <c r="DA4" s="836" t="s">
        <v>44</v>
      </c>
      <c r="DB4" s="836" t="s">
        <v>45</v>
      </c>
      <c r="DC4" s="836" t="s">
        <v>46</v>
      </c>
      <c r="DD4" s="838" t="s">
        <v>47</v>
      </c>
      <c r="DE4" s="15648"/>
      <c r="DF4" s="15648"/>
      <c r="DG4" s="15638"/>
      <c r="DH4" s="922" t="s">
        <v>48</v>
      </c>
      <c r="DI4" s="503" t="s">
        <v>49</v>
      </c>
      <c r="DJ4" s="15640"/>
      <c r="DK4" s="504" t="s">
        <v>50</v>
      </c>
      <c r="DL4" s="504" t="s">
        <v>51</v>
      </c>
      <c r="DM4" s="504" t="s">
        <v>52</v>
      </c>
      <c r="DN4" s="505" t="s">
        <v>49</v>
      </c>
      <c r="DP4" s="14601"/>
      <c r="DQ4" s="15137"/>
      <c r="DR4" s="15137"/>
      <c r="DS4" s="13296"/>
      <c r="DT4" s="13296"/>
      <c r="DU4" s="13298"/>
      <c r="DV4" s="14606"/>
      <c r="DW4" s="14612"/>
      <c r="DX4" s="14578"/>
      <c r="DY4" s="14580"/>
      <c r="DZ4" s="13309"/>
      <c r="EA4" s="3462" t="s">
        <v>23</v>
      </c>
      <c r="EB4" s="3463" t="s">
        <v>24</v>
      </c>
      <c r="EC4" s="3462" t="s">
        <v>25</v>
      </c>
      <c r="ED4" s="3463" t="s">
        <v>26</v>
      </c>
      <c r="EE4" s="3464" t="s">
        <v>27</v>
      </c>
      <c r="EF4" s="3465" t="s">
        <v>28</v>
      </c>
      <c r="EG4" s="3466" t="s">
        <v>29</v>
      </c>
      <c r="EH4" s="3466" t="s">
        <v>30</v>
      </c>
      <c r="EI4" s="3466" t="s">
        <v>31</v>
      </c>
      <c r="EJ4" s="3466" t="s">
        <v>32</v>
      </c>
      <c r="EK4" s="3373" t="s">
        <v>33</v>
      </c>
      <c r="EL4" s="3464" t="s">
        <v>34</v>
      </c>
      <c r="EM4" s="3466" t="s">
        <v>35</v>
      </c>
      <c r="EN4" s="3466" t="s">
        <v>36</v>
      </c>
      <c r="EO4" s="3466" t="s">
        <v>37</v>
      </c>
      <c r="EP4" s="3466" t="s">
        <v>38</v>
      </c>
      <c r="EQ4" s="3466" t="s">
        <v>39</v>
      </c>
      <c r="ER4" s="3466" t="s">
        <v>40</v>
      </c>
      <c r="ES4" s="3466" t="s">
        <v>41</v>
      </c>
      <c r="ET4" s="3466" t="s">
        <v>42</v>
      </c>
      <c r="EU4" s="3466" t="s">
        <v>43</v>
      </c>
      <c r="EV4" s="3466" t="s">
        <v>44</v>
      </c>
      <c r="EW4" s="3466" t="s">
        <v>45</v>
      </c>
      <c r="EX4" s="3466" t="s">
        <v>46</v>
      </c>
      <c r="EY4" s="3467" t="s">
        <v>47</v>
      </c>
      <c r="EZ4" s="15200"/>
      <c r="FA4" s="15184"/>
      <c r="FB4" s="15146"/>
      <c r="FC4" s="3867" t="s">
        <v>48</v>
      </c>
      <c r="FD4" s="3469" t="s">
        <v>49</v>
      </c>
      <c r="FE4" s="15136"/>
      <c r="FF4" s="3866" t="s">
        <v>50</v>
      </c>
      <c r="FG4" s="3866" t="s">
        <v>51</v>
      </c>
      <c r="FH4" s="3866" t="s">
        <v>52</v>
      </c>
      <c r="FI4" s="2217" t="s">
        <v>49</v>
      </c>
    </row>
    <row r="5" spans="1:165" s="1834" customFormat="1" ht="15" customHeight="1">
      <c r="A5" s="15823" t="s">
        <v>1286</v>
      </c>
      <c r="B5" s="15828" t="s">
        <v>1287</v>
      </c>
      <c r="C5" s="15833" t="s">
        <v>1288</v>
      </c>
      <c r="D5" s="15766" t="s">
        <v>7837</v>
      </c>
      <c r="E5" s="15833" t="s">
        <v>1289</v>
      </c>
      <c r="F5" s="15833" t="s">
        <v>1290</v>
      </c>
      <c r="G5" s="3890" t="s">
        <v>254</v>
      </c>
      <c r="H5" s="1855" t="s">
        <v>1291</v>
      </c>
      <c r="I5" s="1855" t="s">
        <v>1291</v>
      </c>
      <c r="J5" s="15834" t="s">
        <v>1291</v>
      </c>
      <c r="K5" s="15834" t="s">
        <v>1292</v>
      </c>
      <c r="L5" s="4414" t="s">
        <v>10072</v>
      </c>
      <c r="M5" s="1855" t="s">
        <v>1293</v>
      </c>
      <c r="N5" s="1855"/>
      <c r="O5" s="1856">
        <v>25000000</v>
      </c>
      <c r="P5" s="1856">
        <v>25750000</v>
      </c>
      <c r="Q5" s="1856">
        <v>26522500</v>
      </c>
      <c r="R5" s="1856">
        <v>27318175</v>
      </c>
      <c r="S5" s="1856">
        <v>28137720.25</v>
      </c>
      <c r="T5" s="1856">
        <v>28981851.857500002</v>
      </c>
      <c r="U5" s="1856">
        <v>29851307.413225003</v>
      </c>
      <c r="V5" s="1856">
        <v>30746846.635621753</v>
      </c>
      <c r="W5" s="1856">
        <v>31669252.034690406</v>
      </c>
      <c r="X5" s="1856">
        <v>32619329.595731121</v>
      </c>
      <c r="Y5" s="1856">
        <v>33597909.483603053</v>
      </c>
      <c r="Z5" s="1857">
        <v>320194892.27037138</v>
      </c>
      <c r="AA5" s="4225">
        <v>1</v>
      </c>
      <c r="AB5" s="4226" t="s">
        <v>4051</v>
      </c>
      <c r="AC5" s="4227"/>
      <c r="AD5" s="4227"/>
      <c r="AE5" s="4227">
        <v>27808391</v>
      </c>
      <c r="AF5" s="4227">
        <v>27808391</v>
      </c>
      <c r="AG5" s="4227"/>
      <c r="AH5" s="4227"/>
      <c r="AI5" s="4228">
        <v>257</v>
      </c>
      <c r="AJ5" s="4228">
        <v>143</v>
      </c>
      <c r="AK5" s="4228">
        <v>114</v>
      </c>
      <c r="AL5" s="4228">
        <v>177</v>
      </c>
      <c r="AM5" s="4228">
        <v>80</v>
      </c>
      <c r="AN5" s="4228">
        <v>16</v>
      </c>
      <c r="AO5" s="4228">
        <v>82</v>
      </c>
      <c r="AP5" s="4228">
        <v>69</v>
      </c>
      <c r="AQ5" s="4228">
        <v>39</v>
      </c>
      <c r="AR5" s="4228">
        <v>38</v>
      </c>
      <c r="AS5" s="4228">
        <v>13</v>
      </c>
      <c r="AT5" s="4227">
        <v>171</v>
      </c>
      <c r="AU5" s="4227">
        <v>11</v>
      </c>
      <c r="AV5" s="4227">
        <v>54</v>
      </c>
      <c r="AW5" s="4227">
        <v>5</v>
      </c>
      <c r="AX5" s="4227">
        <v>9</v>
      </c>
      <c r="AY5" s="4227">
        <v>0</v>
      </c>
      <c r="AZ5" s="4227">
        <v>0</v>
      </c>
      <c r="BA5" s="4227">
        <v>1</v>
      </c>
      <c r="BB5" s="4227">
        <v>0</v>
      </c>
      <c r="BC5" s="4227">
        <v>1</v>
      </c>
      <c r="BD5" s="4227">
        <v>0</v>
      </c>
      <c r="BE5" s="4227">
        <v>0</v>
      </c>
      <c r="BF5" s="4227">
        <v>4</v>
      </c>
      <c r="BG5" s="4227">
        <v>17</v>
      </c>
      <c r="BH5" s="4227">
        <v>0</v>
      </c>
      <c r="BI5" s="4227">
        <v>0</v>
      </c>
      <c r="BJ5" s="4227">
        <v>257</v>
      </c>
      <c r="BK5" s="4227">
        <v>0</v>
      </c>
      <c r="BL5" s="4227">
        <v>0</v>
      </c>
      <c r="BM5" s="4227">
        <v>0</v>
      </c>
      <c r="BN5" s="4227">
        <v>0</v>
      </c>
      <c r="BO5" s="4227"/>
      <c r="BP5" s="4227"/>
      <c r="BQ5" s="4227"/>
      <c r="BR5" s="4227"/>
      <c r="BS5" s="4229">
        <v>7</v>
      </c>
      <c r="BT5" s="1861">
        <v>7</v>
      </c>
      <c r="BU5" s="1861">
        <v>7</v>
      </c>
      <c r="BV5" s="15850">
        <v>1</v>
      </c>
      <c r="BW5" s="15845">
        <v>1</v>
      </c>
      <c r="BX5" s="4230" t="s">
        <v>8885</v>
      </c>
      <c r="BY5" s="4231"/>
      <c r="BZ5" s="4231" t="s">
        <v>9684</v>
      </c>
      <c r="CA5" s="4232">
        <v>23825419</v>
      </c>
      <c r="CB5" s="4232">
        <v>14295251</v>
      </c>
      <c r="CC5" s="4232">
        <v>9530167</v>
      </c>
      <c r="CD5" s="4232"/>
      <c r="CE5" s="4233">
        <v>182</v>
      </c>
      <c r="CF5" s="4233">
        <v>88</v>
      </c>
      <c r="CG5" s="4233">
        <v>94</v>
      </c>
      <c r="CH5" s="4233">
        <v>132</v>
      </c>
      <c r="CI5" s="4233">
        <v>50</v>
      </c>
      <c r="CJ5" s="4233">
        <v>21</v>
      </c>
      <c r="CK5" s="4233">
        <v>54</v>
      </c>
      <c r="CL5" s="4233">
        <v>54</v>
      </c>
      <c r="CM5" s="4233">
        <v>8</v>
      </c>
      <c r="CN5" s="4233">
        <v>37</v>
      </c>
      <c r="CO5" s="4233"/>
      <c r="CP5" s="4233">
        <v>8</v>
      </c>
      <c r="CQ5" s="4233">
        <v>130</v>
      </c>
      <c r="CR5" s="4233">
        <v>4</v>
      </c>
      <c r="CS5" s="4233">
        <v>24</v>
      </c>
      <c r="CT5" s="4233">
        <v>4</v>
      </c>
      <c r="CU5" s="4233">
        <v>5</v>
      </c>
      <c r="CV5" s="4233">
        <v>0</v>
      </c>
      <c r="CW5" s="4233">
        <v>0</v>
      </c>
      <c r="CX5" s="4233">
        <v>0</v>
      </c>
      <c r="CY5" s="4233">
        <v>0</v>
      </c>
      <c r="CZ5" s="4233">
        <v>0</v>
      </c>
      <c r="DA5" s="4234">
        <v>182</v>
      </c>
      <c r="DB5" s="4233">
        <v>0</v>
      </c>
      <c r="DC5" s="4233">
        <v>0</v>
      </c>
      <c r="DD5" s="4233">
        <v>0</v>
      </c>
      <c r="DE5" s="4233"/>
      <c r="DF5" s="4233"/>
      <c r="DG5" s="4233"/>
      <c r="DH5" s="4233" t="s">
        <v>8886</v>
      </c>
      <c r="DI5" s="4233" t="s">
        <v>8887</v>
      </c>
      <c r="DJ5" s="4233"/>
      <c r="DK5" s="4233"/>
      <c r="DL5" s="4233"/>
      <c r="DM5" s="4233"/>
      <c r="DN5" s="4235"/>
      <c r="DO5" s="1833"/>
      <c r="DP5" s="4454"/>
      <c r="DQ5" s="4455"/>
      <c r="DR5" s="4455"/>
      <c r="DS5" s="4455"/>
      <c r="DT5" s="2008"/>
      <c r="DU5" s="2008"/>
      <c r="DV5" s="2008"/>
      <c r="DW5" s="2008"/>
      <c r="DX5" s="2008"/>
      <c r="DY5" s="2008"/>
      <c r="DZ5" s="2008"/>
      <c r="EA5" s="2008"/>
      <c r="EB5" s="2008"/>
      <c r="EC5" s="2008"/>
      <c r="ED5" s="2008"/>
      <c r="EE5" s="2008"/>
      <c r="EF5" s="2008"/>
      <c r="EG5" s="2008"/>
      <c r="EH5" s="2008"/>
      <c r="EI5" s="2008"/>
      <c r="EJ5" s="2008"/>
      <c r="EK5" s="2008"/>
      <c r="EL5" s="2008"/>
      <c r="EM5" s="2008"/>
      <c r="EN5" s="2008"/>
      <c r="EO5" s="2008"/>
      <c r="EP5" s="2008"/>
      <c r="EQ5" s="2008"/>
      <c r="ER5" s="2008"/>
      <c r="ES5" s="2008"/>
      <c r="ET5" s="2008"/>
      <c r="EU5" s="2008"/>
      <c r="EV5" s="2008"/>
      <c r="EW5" s="2008"/>
      <c r="EX5" s="2008"/>
      <c r="EY5" s="2008"/>
      <c r="EZ5" s="2008"/>
      <c r="FA5" s="2008"/>
      <c r="FB5" s="2008"/>
      <c r="FC5" s="2008"/>
      <c r="FD5" s="2008"/>
      <c r="FE5" s="2008"/>
      <c r="FF5" s="2008"/>
      <c r="FG5" s="2008"/>
      <c r="FH5" s="2008"/>
      <c r="FI5" s="2009"/>
    </row>
    <row r="6" spans="1:165" s="1834" customFormat="1" ht="15" customHeight="1">
      <c r="A6" s="15824"/>
      <c r="B6" s="15717"/>
      <c r="C6" s="15722"/>
      <c r="D6" s="15691"/>
      <c r="E6" s="15722"/>
      <c r="F6" s="15722"/>
      <c r="G6" s="3887"/>
      <c r="H6" s="3928"/>
      <c r="I6" s="3928"/>
      <c r="J6" s="15778"/>
      <c r="K6" s="15778"/>
      <c r="L6" s="4415" t="s">
        <v>10063</v>
      </c>
      <c r="M6" s="3928"/>
      <c r="N6" s="3928" t="s">
        <v>10202</v>
      </c>
      <c r="O6" s="3918"/>
      <c r="P6" s="3918"/>
      <c r="Q6" s="3918"/>
      <c r="R6" s="3918"/>
      <c r="S6" s="3918"/>
      <c r="T6" s="3918"/>
      <c r="U6" s="3918"/>
      <c r="V6" s="3918"/>
      <c r="W6" s="3918"/>
      <c r="X6" s="3918"/>
      <c r="Y6" s="3918"/>
      <c r="Z6" s="3919"/>
      <c r="AA6" s="3920"/>
      <c r="AB6" s="3921"/>
      <c r="AC6" s="1860"/>
      <c r="AD6" s="1860"/>
      <c r="AE6" s="1860"/>
      <c r="AF6" s="1860"/>
      <c r="AG6" s="1860"/>
      <c r="AH6" s="1858"/>
      <c r="AI6" s="1859"/>
      <c r="AJ6" s="1859"/>
      <c r="AK6" s="1859"/>
      <c r="AL6" s="1859"/>
      <c r="AM6" s="1859"/>
      <c r="AN6" s="1859"/>
      <c r="AO6" s="1859"/>
      <c r="AP6" s="1859"/>
      <c r="AQ6" s="1859"/>
      <c r="AR6" s="1859"/>
      <c r="AS6" s="1859"/>
      <c r="AT6" s="1858"/>
      <c r="AU6" s="1858"/>
      <c r="AV6" s="1858"/>
      <c r="AW6" s="1860"/>
      <c r="AX6" s="1860"/>
      <c r="AY6" s="1860"/>
      <c r="AZ6" s="1860"/>
      <c r="BA6" s="1860"/>
      <c r="BB6" s="1860"/>
      <c r="BC6" s="1860"/>
      <c r="BD6" s="1860"/>
      <c r="BE6" s="1860"/>
      <c r="BF6" s="1860"/>
      <c r="BG6" s="1860"/>
      <c r="BH6" s="1860"/>
      <c r="BI6" s="1860"/>
      <c r="BJ6" s="1860"/>
      <c r="BK6" s="1860"/>
      <c r="BL6" s="1860"/>
      <c r="BM6" s="1860"/>
      <c r="BN6" s="1860"/>
      <c r="BO6" s="1860"/>
      <c r="BP6" s="1860"/>
      <c r="BQ6" s="1860"/>
      <c r="BR6" s="1860"/>
      <c r="BS6" s="3922"/>
      <c r="BT6" s="3923"/>
      <c r="BU6" s="3923"/>
      <c r="BV6" s="15678"/>
      <c r="BW6" s="15846"/>
      <c r="BX6" s="3924"/>
      <c r="BY6" s="3873"/>
      <c r="BZ6" s="3873"/>
      <c r="CA6" s="3925"/>
      <c r="CB6" s="3925"/>
      <c r="CC6" s="3925"/>
      <c r="CD6" s="3925"/>
      <c r="CE6" s="3926"/>
      <c r="CF6" s="3926"/>
      <c r="CG6" s="3926"/>
      <c r="CH6" s="3926"/>
      <c r="CI6" s="3926"/>
      <c r="CJ6" s="3926"/>
      <c r="CK6" s="3926"/>
      <c r="CL6" s="3926"/>
      <c r="CM6" s="3926"/>
      <c r="CN6" s="3926"/>
      <c r="CO6" s="3926"/>
      <c r="CP6" s="3926"/>
      <c r="CQ6" s="3926"/>
      <c r="CR6" s="3926"/>
      <c r="CS6" s="3926"/>
      <c r="CT6" s="3926"/>
      <c r="CU6" s="3926"/>
      <c r="CV6" s="3926"/>
      <c r="CW6" s="3926"/>
      <c r="CX6" s="3926"/>
      <c r="CY6" s="3926"/>
      <c r="CZ6" s="3926"/>
      <c r="DA6" s="3927"/>
      <c r="DB6" s="3926"/>
      <c r="DC6" s="3926"/>
      <c r="DD6" s="3926"/>
      <c r="DE6" s="3926"/>
      <c r="DF6" s="3926"/>
      <c r="DG6" s="3926"/>
      <c r="DH6" s="3926"/>
      <c r="DI6" s="3926"/>
      <c r="DJ6" s="3926"/>
      <c r="DK6" s="3926"/>
      <c r="DL6" s="3926"/>
      <c r="DM6" s="3926"/>
      <c r="DN6" s="4236"/>
      <c r="DO6" s="1833"/>
      <c r="DP6" s="4456"/>
      <c r="DQ6" s="4448"/>
      <c r="DR6" s="4448"/>
      <c r="DS6" s="4448"/>
      <c r="DT6" s="3224"/>
      <c r="DU6" s="3224"/>
      <c r="DV6" s="3224"/>
      <c r="DW6" s="3224"/>
      <c r="DX6" s="3224"/>
      <c r="DY6" s="3224"/>
      <c r="DZ6" s="3224"/>
      <c r="EA6" s="3224"/>
      <c r="EB6" s="3224"/>
      <c r="EC6" s="3224"/>
      <c r="ED6" s="3224"/>
      <c r="EE6" s="3224"/>
      <c r="EF6" s="3224"/>
      <c r="EG6" s="3224"/>
      <c r="EH6" s="3224"/>
      <c r="EI6" s="3224"/>
      <c r="EJ6" s="3224"/>
      <c r="EK6" s="3224"/>
      <c r="EL6" s="3224"/>
      <c r="EM6" s="3224"/>
      <c r="EN6" s="3224"/>
      <c r="EO6" s="3224"/>
      <c r="EP6" s="3224"/>
      <c r="EQ6" s="3224"/>
      <c r="ER6" s="3224"/>
      <c r="ES6" s="3224"/>
      <c r="ET6" s="3224"/>
      <c r="EU6" s="3224"/>
      <c r="EV6" s="3224"/>
      <c r="EW6" s="3224"/>
      <c r="EX6" s="3224"/>
      <c r="EY6" s="3224"/>
      <c r="EZ6" s="3224"/>
      <c r="FA6" s="3224"/>
      <c r="FB6" s="3224"/>
      <c r="FC6" s="3224"/>
      <c r="FD6" s="3224"/>
      <c r="FE6" s="3224"/>
      <c r="FF6" s="3224"/>
      <c r="FG6" s="3224"/>
      <c r="FH6" s="3224"/>
      <c r="FI6" s="2057"/>
    </row>
    <row r="7" spans="1:165" s="1834" customFormat="1" ht="15" customHeight="1">
      <c r="A7" s="15824"/>
      <c r="B7" s="15717"/>
      <c r="C7" s="15717"/>
      <c r="D7" s="15692"/>
      <c r="E7" s="15717"/>
      <c r="F7" s="15717"/>
      <c r="G7" s="3887"/>
      <c r="H7" s="3928"/>
      <c r="I7" s="3928"/>
      <c r="J7" s="15779"/>
      <c r="K7" s="15779"/>
      <c r="L7" s="4415" t="s">
        <v>10204</v>
      </c>
      <c r="M7" s="3928"/>
      <c r="N7" s="2729" t="s">
        <v>10203</v>
      </c>
      <c r="O7" s="3918"/>
      <c r="P7" s="3918"/>
      <c r="Q7" s="3918"/>
      <c r="R7" s="3918"/>
      <c r="S7" s="3918"/>
      <c r="T7" s="3918"/>
      <c r="U7" s="3918"/>
      <c r="V7" s="3918"/>
      <c r="W7" s="3918"/>
      <c r="X7" s="3918"/>
      <c r="Y7" s="3918"/>
      <c r="Z7" s="3919"/>
      <c r="AA7" s="3920"/>
      <c r="AB7" s="3921"/>
      <c r="AC7" s="1860"/>
      <c r="AD7" s="1860"/>
      <c r="AE7" s="1860"/>
      <c r="AF7" s="1860"/>
      <c r="AG7" s="1860"/>
      <c r="AH7" s="1858"/>
      <c r="AI7" s="1859"/>
      <c r="AJ7" s="1859"/>
      <c r="AK7" s="1859"/>
      <c r="AL7" s="1859"/>
      <c r="AM7" s="1859"/>
      <c r="AN7" s="1859"/>
      <c r="AO7" s="1859"/>
      <c r="AP7" s="1859"/>
      <c r="AQ7" s="1859"/>
      <c r="AR7" s="1859"/>
      <c r="AS7" s="1859"/>
      <c r="AT7" s="1858"/>
      <c r="AU7" s="1858"/>
      <c r="AV7" s="1858"/>
      <c r="AW7" s="1860"/>
      <c r="AX7" s="1860"/>
      <c r="AY7" s="1860"/>
      <c r="AZ7" s="1860"/>
      <c r="BA7" s="1860"/>
      <c r="BB7" s="1860"/>
      <c r="BC7" s="1860"/>
      <c r="BD7" s="1860"/>
      <c r="BE7" s="1860"/>
      <c r="BF7" s="1860"/>
      <c r="BG7" s="1860"/>
      <c r="BH7" s="1860"/>
      <c r="BI7" s="1860"/>
      <c r="BJ7" s="1860"/>
      <c r="BK7" s="1860"/>
      <c r="BL7" s="1860"/>
      <c r="BM7" s="1860"/>
      <c r="BN7" s="1860"/>
      <c r="BO7" s="1860"/>
      <c r="BP7" s="1860"/>
      <c r="BQ7" s="1860"/>
      <c r="BR7" s="1860"/>
      <c r="BS7" s="3922"/>
      <c r="BT7" s="3923"/>
      <c r="BU7" s="3923"/>
      <c r="BV7" s="15671"/>
      <c r="BW7" s="15846"/>
      <c r="BX7" s="3924"/>
      <c r="BY7" s="3873"/>
      <c r="BZ7" s="3873"/>
      <c r="CA7" s="3925"/>
      <c r="CB7" s="3925"/>
      <c r="CC7" s="3925"/>
      <c r="CD7" s="3925"/>
      <c r="CE7" s="3926"/>
      <c r="CF7" s="3926"/>
      <c r="CG7" s="3926"/>
      <c r="CH7" s="3926"/>
      <c r="CI7" s="3926"/>
      <c r="CJ7" s="3926"/>
      <c r="CK7" s="3926"/>
      <c r="CL7" s="3926"/>
      <c r="CM7" s="3926"/>
      <c r="CN7" s="3926"/>
      <c r="CO7" s="3926"/>
      <c r="CP7" s="3926"/>
      <c r="CQ7" s="3926"/>
      <c r="CR7" s="3926"/>
      <c r="CS7" s="3926"/>
      <c r="CT7" s="3926"/>
      <c r="CU7" s="3926"/>
      <c r="CV7" s="3926"/>
      <c r="CW7" s="3926"/>
      <c r="CX7" s="3926"/>
      <c r="CY7" s="3926"/>
      <c r="CZ7" s="3926"/>
      <c r="DA7" s="3927"/>
      <c r="DB7" s="3926"/>
      <c r="DC7" s="3926"/>
      <c r="DD7" s="3926"/>
      <c r="DE7" s="3926"/>
      <c r="DF7" s="3926"/>
      <c r="DG7" s="3926"/>
      <c r="DH7" s="3926"/>
      <c r="DI7" s="3926"/>
      <c r="DJ7" s="3926"/>
      <c r="DK7" s="3926"/>
      <c r="DL7" s="3926"/>
      <c r="DM7" s="3926"/>
      <c r="DN7" s="4236"/>
      <c r="DO7" s="1833"/>
      <c r="DP7" s="4456"/>
      <c r="DQ7" s="4448"/>
      <c r="DR7" s="4448"/>
      <c r="DS7" s="4448"/>
      <c r="DT7" s="3224"/>
      <c r="DU7" s="3224"/>
      <c r="DV7" s="3224"/>
      <c r="DW7" s="3224"/>
      <c r="DX7" s="3224"/>
      <c r="DY7" s="3224"/>
      <c r="DZ7" s="3224"/>
      <c r="EA7" s="3224"/>
      <c r="EB7" s="3224"/>
      <c r="EC7" s="3224"/>
      <c r="ED7" s="3224"/>
      <c r="EE7" s="3224"/>
      <c r="EF7" s="3224"/>
      <c r="EG7" s="3224"/>
      <c r="EH7" s="3224"/>
      <c r="EI7" s="3224"/>
      <c r="EJ7" s="3224"/>
      <c r="EK7" s="3224"/>
      <c r="EL7" s="3224"/>
      <c r="EM7" s="3224"/>
      <c r="EN7" s="3224"/>
      <c r="EO7" s="3224"/>
      <c r="EP7" s="3224"/>
      <c r="EQ7" s="3224"/>
      <c r="ER7" s="3224"/>
      <c r="ES7" s="3224"/>
      <c r="ET7" s="3224"/>
      <c r="EU7" s="3224"/>
      <c r="EV7" s="3224"/>
      <c r="EW7" s="3224"/>
      <c r="EX7" s="3224"/>
      <c r="EY7" s="3224"/>
      <c r="EZ7" s="3224"/>
      <c r="FA7" s="3224"/>
      <c r="FB7" s="3224"/>
      <c r="FC7" s="3224"/>
      <c r="FD7" s="3224"/>
      <c r="FE7" s="3224"/>
      <c r="FF7" s="3224"/>
      <c r="FG7" s="3224"/>
      <c r="FH7" s="3224"/>
      <c r="FI7" s="2057"/>
    </row>
    <row r="8" spans="1:165" s="1834" customFormat="1" ht="15" customHeight="1">
      <c r="A8" s="15825"/>
      <c r="B8" s="15795"/>
      <c r="C8" s="15795" t="s">
        <v>1294</v>
      </c>
      <c r="D8" s="15715" t="s">
        <v>7838</v>
      </c>
      <c r="E8" s="15716" t="s">
        <v>1295</v>
      </c>
      <c r="F8" s="15716" t="s">
        <v>1290</v>
      </c>
      <c r="G8" s="4092" t="s">
        <v>254</v>
      </c>
      <c r="H8" s="2729">
        <v>1</v>
      </c>
      <c r="I8" s="2729">
        <v>1</v>
      </c>
      <c r="J8" s="15776">
        <v>1</v>
      </c>
      <c r="K8" s="15776" t="s">
        <v>1292</v>
      </c>
      <c r="L8" s="4415" t="s">
        <v>10072</v>
      </c>
      <c r="M8" s="2729" t="s">
        <v>1293</v>
      </c>
      <c r="N8" s="3928"/>
      <c r="O8" s="4237">
        <v>25000000</v>
      </c>
      <c r="P8" s="4237">
        <v>25750000</v>
      </c>
      <c r="Q8" s="4237">
        <v>26522500</v>
      </c>
      <c r="R8" s="4237">
        <v>27318175</v>
      </c>
      <c r="S8" s="4237">
        <v>28137720.25</v>
      </c>
      <c r="T8" s="4237">
        <v>28981851.857500002</v>
      </c>
      <c r="U8" s="4237">
        <v>29851307.413225003</v>
      </c>
      <c r="V8" s="4237">
        <v>30746846.635621753</v>
      </c>
      <c r="W8" s="4237">
        <v>31669252.034690406</v>
      </c>
      <c r="X8" s="4237">
        <v>32619329.595731121</v>
      </c>
      <c r="Y8" s="4237">
        <v>33597909.483603053</v>
      </c>
      <c r="Z8" s="4238">
        <v>320194892.27037138</v>
      </c>
      <c r="AA8" s="1858" t="s">
        <v>1732</v>
      </c>
      <c r="AB8" s="1862" t="s">
        <v>4052</v>
      </c>
      <c r="AC8" s="1863"/>
      <c r="AD8" s="1863"/>
      <c r="AE8" s="1863"/>
      <c r="AF8" s="1863"/>
      <c r="AG8" s="1863"/>
      <c r="AH8" s="1863"/>
      <c r="AI8" s="1863"/>
      <c r="AJ8" s="1863"/>
      <c r="AK8" s="1863"/>
      <c r="AL8" s="1863"/>
      <c r="AM8" s="1863"/>
      <c r="AN8" s="1863"/>
      <c r="AO8" s="1863"/>
      <c r="AP8" s="1863"/>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3922">
        <v>1</v>
      </c>
      <c r="BT8" s="4096">
        <v>1</v>
      </c>
      <c r="BU8" s="4096">
        <v>1</v>
      </c>
      <c r="BV8" s="15848">
        <v>1</v>
      </c>
      <c r="BW8" s="15846"/>
      <c r="BX8" s="3924" t="s">
        <v>8888</v>
      </c>
      <c r="BY8" s="3873"/>
      <c r="BZ8" s="3873"/>
      <c r="CA8" s="3925"/>
      <c r="CB8" s="3925"/>
      <c r="CC8" s="3925"/>
      <c r="CD8" s="3925"/>
      <c r="CE8" s="3926">
        <v>86</v>
      </c>
      <c r="CF8" s="3926"/>
      <c r="CG8" s="3926"/>
      <c r="CH8" s="3926"/>
      <c r="CI8" s="3926"/>
      <c r="CJ8" s="3926"/>
      <c r="CK8" s="3926"/>
      <c r="CL8" s="3926"/>
      <c r="CM8" s="3926"/>
      <c r="CN8" s="3926"/>
      <c r="CO8" s="3926"/>
      <c r="CP8" s="3926"/>
      <c r="CQ8" s="3926"/>
      <c r="CR8" s="3926"/>
      <c r="CS8" s="3926"/>
      <c r="CT8" s="3926"/>
      <c r="CU8" s="3926"/>
      <c r="CV8" s="3926"/>
      <c r="CW8" s="3926"/>
      <c r="CX8" s="3926"/>
      <c r="CY8" s="3926"/>
      <c r="CZ8" s="3926"/>
      <c r="DA8" s="3927">
        <v>86</v>
      </c>
      <c r="DB8" s="3926"/>
      <c r="DC8" s="3926"/>
      <c r="DD8" s="3926"/>
      <c r="DE8" s="3926"/>
      <c r="DF8" s="3926"/>
      <c r="DG8" s="3926"/>
      <c r="DH8" s="3926"/>
      <c r="DI8" s="3926"/>
      <c r="DJ8" s="3926"/>
      <c r="DK8" s="3926"/>
      <c r="DL8" s="3926"/>
      <c r="DM8" s="3926"/>
      <c r="DN8" s="4236"/>
      <c r="DO8" s="1833"/>
      <c r="DP8" s="4456"/>
      <c r="DQ8" s="4448"/>
      <c r="DR8" s="4448"/>
      <c r="DS8" s="4448"/>
      <c r="DT8" s="3224"/>
      <c r="DU8" s="3224"/>
      <c r="DV8" s="3224"/>
      <c r="DW8" s="3224"/>
      <c r="DX8" s="3224"/>
      <c r="DY8" s="3224"/>
      <c r="DZ8" s="3224"/>
      <c r="EA8" s="3224"/>
      <c r="EB8" s="3224"/>
      <c r="EC8" s="3224"/>
      <c r="ED8" s="3224"/>
      <c r="EE8" s="3224"/>
      <c r="EF8" s="3224"/>
      <c r="EG8" s="3224"/>
      <c r="EH8" s="3224"/>
      <c r="EI8" s="3224"/>
      <c r="EJ8" s="3224"/>
      <c r="EK8" s="3224"/>
      <c r="EL8" s="3224"/>
      <c r="EM8" s="3224"/>
      <c r="EN8" s="3224"/>
      <c r="EO8" s="3224"/>
      <c r="EP8" s="3224"/>
      <c r="EQ8" s="3224"/>
      <c r="ER8" s="3224"/>
      <c r="ES8" s="3224"/>
      <c r="ET8" s="3224"/>
      <c r="EU8" s="3224"/>
      <c r="EV8" s="3224"/>
      <c r="EW8" s="3224"/>
      <c r="EX8" s="3224"/>
      <c r="EY8" s="3224"/>
      <c r="EZ8" s="3224"/>
      <c r="FA8" s="3224"/>
      <c r="FB8" s="3224"/>
      <c r="FC8" s="3224"/>
      <c r="FD8" s="3224"/>
      <c r="FE8" s="3224"/>
      <c r="FF8" s="3224"/>
      <c r="FG8" s="3224"/>
      <c r="FH8" s="3224"/>
      <c r="FI8" s="2057"/>
    </row>
    <row r="9" spans="1:165" s="1834" customFormat="1" ht="15" customHeight="1">
      <c r="A9" s="15826"/>
      <c r="B9" s="15716"/>
      <c r="C9" s="15716"/>
      <c r="D9" s="15691"/>
      <c r="E9" s="15722"/>
      <c r="F9" s="15722"/>
      <c r="G9" s="3929"/>
      <c r="H9" s="3936"/>
      <c r="I9" s="3936"/>
      <c r="J9" s="15778"/>
      <c r="K9" s="15778"/>
      <c r="L9" s="4415" t="s">
        <v>10063</v>
      </c>
      <c r="M9" s="3936"/>
      <c r="N9" s="3928" t="s">
        <v>10202</v>
      </c>
      <c r="O9" s="3930"/>
      <c r="P9" s="3930"/>
      <c r="Q9" s="3930"/>
      <c r="R9" s="3930"/>
      <c r="S9" s="3930"/>
      <c r="T9" s="3930"/>
      <c r="U9" s="3930"/>
      <c r="V9" s="3930"/>
      <c r="W9" s="3930"/>
      <c r="X9" s="3930"/>
      <c r="Y9" s="3930"/>
      <c r="Z9" s="3931"/>
      <c r="AA9" s="3932"/>
      <c r="AB9" s="3933"/>
      <c r="AC9" s="3934"/>
      <c r="AD9" s="3934"/>
      <c r="AE9" s="3934"/>
      <c r="AF9" s="3934"/>
      <c r="AG9" s="3934"/>
      <c r="AH9" s="3934"/>
      <c r="AI9" s="3934"/>
      <c r="AJ9" s="3934"/>
      <c r="AK9" s="3934"/>
      <c r="AL9" s="3934"/>
      <c r="AM9" s="3934"/>
      <c r="AN9" s="3934"/>
      <c r="AO9" s="3934"/>
      <c r="AP9" s="3934"/>
      <c r="AQ9" s="3934"/>
      <c r="AR9" s="3934"/>
      <c r="AS9" s="3934"/>
      <c r="AT9" s="3934"/>
      <c r="AU9" s="3934"/>
      <c r="AV9" s="3934"/>
      <c r="AW9" s="3934"/>
      <c r="AX9" s="3934"/>
      <c r="AY9" s="3934"/>
      <c r="AZ9" s="3934"/>
      <c r="BA9" s="3934"/>
      <c r="BB9" s="3934"/>
      <c r="BC9" s="3934"/>
      <c r="BD9" s="3934"/>
      <c r="BE9" s="3934"/>
      <c r="BF9" s="3934"/>
      <c r="BG9" s="3934"/>
      <c r="BH9" s="3934"/>
      <c r="BI9" s="3934"/>
      <c r="BJ9" s="3934"/>
      <c r="BK9" s="3934"/>
      <c r="BL9" s="3934"/>
      <c r="BM9" s="3934"/>
      <c r="BN9" s="3934"/>
      <c r="BO9" s="3934"/>
      <c r="BP9" s="3934"/>
      <c r="BQ9" s="3934"/>
      <c r="BR9" s="3934"/>
      <c r="BS9" s="3922"/>
      <c r="BT9" s="3935"/>
      <c r="BU9" s="3935"/>
      <c r="BV9" s="15678"/>
      <c r="BW9" s="15846"/>
      <c r="BX9" s="3924"/>
      <c r="BY9" s="3873"/>
      <c r="BZ9" s="3873"/>
      <c r="CA9" s="3925"/>
      <c r="CB9" s="3925"/>
      <c r="CC9" s="3925"/>
      <c r="CD9" s="3925"/>
      <c r="CE9" s="3926"/>
      <c r="CF9" s="3926"/>
      <c r="CG9" s="3926"/>
      <c r="CH9" s="3926"/>
      <c r="CI9" s="3926"/>
      <c r="CJ9" s="3926"/>
      <c r="CK9" s="3926"/>
      <c r="CL9" s="3926"/>
      <c r="CM9" s="3926"/>
      <c r="CN9" s="3926"/>
      <c r="CO9" s="3926"/>
      <c r="CP9" s="3926"/>
      <c r="CQ9" s="3926"/>
      <c r="CR9" s="3926"/>
      <c r="CS9" s="3926"/>
      <c r="CT9" s="3926"/>
      <c r="CU9" s="3926"/>
      <c r="CV9" s="3926"/>
      <c r="CW9" s="3926"/>
      <c r="CX9" s="3926"/>
      <c r="CY9" s="3926"/>
      <c r="CZ9" s="3926"/>
      <c r="DA9" s="3927"/>
      <c r="DB9" s="3926"/>
      <c r="DC9" s="3926"/>
      <c r="DD9" s="3926"/>
      <c r="DE9" s="3926"/>
      <c r="DF9" s="3926"/>
      <c r="DG9" s="3926"/>
      <c r="DH9" s="3926"/>
      <c r="DI9" s="3926"/>
      <c r="DJ9" s="3926"/>
      <c r="DK9" s="3926"/>
      <c r="DL9" s="3926"/>
      <c r="DM9" s="3926"/>
      <c r="DN9" s="4236"/>
      <c r="DO9" s="1833"/>
      <c r="DP9" s="4456"/>
      <c r="DQ9" s="4448"/>
      <c r="DR9" s="4448"/>
      <c r="DS9" s="4448"/>
      <c r="DT9" s="3224"/>
      <c r="DU9" s="3224"/>
      <c r="DV9" s="3224"/>
      <c r="DW9" s="3224"/>
      <c r="DX9" s="3224"/>
      <c r="DY9" s="3224"/>
      <c r="DZ9" s="3224"/>
      <c r="EA9" s="3224"/>
      <c r="EB9" s="3224"/>
      <c r="EC9" s="3224"/>
      <c r="ED9" s="3224"/>
      <c r="EE9" s="3224"/>
      <c r="EF9" s="3224"/>
      <c r="EG9" s="3224"/>
      <c r="EH9" s="3224"/>
      <c r="EI9" s="3224"/>
      <c r="EJ9" s="3224"/>
      <c r="EK9" s="3224"/>
      <c r="EL9" s="3224"/>
      <c r="EM9" s="3224"/>
      <c r="EN9" s="3224"/>
      <c r="EO9" s="3224"/>
      <c r="EP9" s="3224"/>
      <c r="EQ9" s="3224"/>
      <c r="ER9" s="3224"/>
      <c r="ES9" s="3224"/>
      <c r="ET9" s="3224"/>
      <c r="EU9" s="3224"/>
      <c r="EV9" s="3224"/>
      <c r="EW9" s="3224"/>
      <c r="EX9" s="3224"/>
      <c r="EY9" s="3224"/>
      <c r="EZ9" s="3224"/>
      <c r="FA9" s="3224"/>
      <c r="FB9" s="3224"/>
      <c r="FC9" s="3224"/>
      <c r="FD9" s="3224"/>
      <c r="FE9" s="3224"/>
      <c r="FF9" s="3224"/>
      <c r="FG9" s="3224"/>
      <c r="FH9" s="3224"/>
      <c r="FI9" s="2057"/>
    </row>
    <row r="10" spans="1:165" s="1834" customFormat="1" ht="15" customHeight="1">
      <c r="A10" s="15826"/>
      <c r="B10" s="15716"/>
      <c r="C10" s="15716"/>
      <c r="D10" s="15692"/>
      <c r="E10" s="15717"/>
      <c r="F10" s="15717"/>
      <c r="G10" s="3929"/>
      <c r="H10" s="3936"/>
      <c r="I10" s="3936"/>
      <c r="J10" s="15779"/>
      <c r="K10" s="15779"/>
      <c r="L10" s="4415" t="s">
        <v>10204</v>
      </c>
      <c r="M10" s="3936"/>
      <c r="N10" s="3928" t="s">
        <v>10203</v>
      </c>
      <c r="O10" s="3930"/>
      <c r="P10" s="3930"/>
      <c r="Q10" s="3930"/>
      <c r="R10" s="3930"/>
      <c r="S10" s="3930"/>
      <c r="T10" s="3930"/>
      <c r="U10" s="3930"/>
      <c r="V10" s="3930"/>
      <c r="W10" s="3930"/>
      <c r="X10" s="3930"/>
      <c r="Y10" s="3930"/>
      <c r="Z10" s="3931"/>
      <c r="AA10" s="3932"/>
      <c r="AB10" s="3933"/>
      <c r="AC10" s="3934"/>
      <c r="AD10" s="3934"/>
      <c r="AE10" s="3934"/>
      <c r="AF10" s="3934"/>
      <c r="AG10" s="3934"/>
      <c r="AH10" s="3934"/>
      <c r="AI10" s="3934"/>
      <c r="AJ10" s="3934"/>
      <c r="AK10" s="3934"/>
      <c r="AL10" s="3934"/>
      <c r="AM10" s="3934"/>
      <c r="AN10" s="3934"/>
      <c r="AO10" s="3934"/>
      <c r="AP10" s="3934"/>
      <c r="AQ10" s="3934"/>
      <c r="AR10" s="3934"/>
      <c r="AS10" s="3934"/>
      <c r="AT10" s="3934"/>
      <c r="AU10" s="3934"/>
      <c r="AV10" s="3934"/>
      <c r="AW10" s="3934"/>
      <c r="AX10" s="3934"/>
      <c r="AY10" s="3934"/>
      <c r="AZ10" s="3934"/>
      <c r="BA10" s="3934"/>
      <c r="BB10" s="3934"/>
      <c r="BC10" s="3934"/>
      <c r="BD10" s="3934"/>
      <c r="BE10" s="3934"/>
      <c r="BF10" s="3934"/>
      <c r="BG10" s="3934"/>
      <c r="BH10" s="3934"/>
      <c r="BI10" s="3934"/>
      <c r="BJ10" s="3934"/>
      <c r="BK10" s="3934"/>
      <c r="BL10" s="3934"/>
      <c r="BM10" s="3934"/>
      <c r="BN10" s="3934"/>
      <c r="BO10" s="3934"/>
      <c r="BP10" s="3934"/>
      <c r="BQ10" s="3934"/>
      <c r="BR10" s="3934"/>
      <c r="BS10" s="3922"/>
      <c r="BT10" s="3935"/>
      <c r="BU10" s="3935"/>
      <c r="BV10" s="15671"/>
      <c r="BW10" s="15846"/>
      <c r="BX10" s="3924"/>
      <c r="BY10" s="3873"/>
      <c r="BZ10" s="3873"/>
      <c r="CA10" s="3925"/>
      <c r="CB10" s="3925"/>
      <c r="CC10" s="3925"/>
      <c r="CD10" s="3925"/>
      <c r="CE10" s="3926"/>
      <c r="CF10" s="3926"/>
      <c r="CG10" s="3926"/>
      <c r="CH10" s="3926"/>
      <c r="CI10" s="3926"/>
      <c r="CJ10" s="3926"/>
      <c r="CK10" s="3926"/>
      <c r="CL10" s="3926"/>
      <c r="CM10" s="3926"/>
      <c r="CN10" s="3926"/>
      <c r="CO10" s="3926"/>
      <c r="CP10" s="3926"/>
      <c r="CQ10" s="3926"/>
      <c r="CR10" s="3926"/>
      <c r="CS10" s="3926"/>
      <c r="CT10" s="3926"/>
      <c r="CU10" s="3926"/>
      <c r="CV10" s="3926"/>
      <c r="CW10" s="3926"/>
      <c r="CX10" s="3926"/>
      <c r="CY10" s="3926"/>
      <c r="CZ10" s="3926"/>
      <c r="DA10" s="3927"/>
      <c r="DB10" s="3926"/>
      <c r="DC10" s="3926"/>
      <c r="DD10" s="3926"/>
      <c r="DE10" s="3926"/>
      <c r="DF10" s="3926"/>
      <c r="DG10" s="3926"/>
      <c r="DH10" s="3926"/>
      <c r="DI10" s="3926"/>
      <c r="DJ10" s="3926"/>
      <c r="DK10" s="3926"/>
      <c r="DL10" s="3926"/>
      <c r="DM10" s="3926"/>
      <c r="DN10" s="4236"/>
      <c r="DO10" s="1833"/>
      <c r="DP10" s="4456"/>
      <c r="DQ10" s="4448"/>
      <c r="DR10" s="4448"/>
      <c r="DS10" s="4448"/>
      <c r="DT10" s="3224"/>
      <c r="DU10" s="3224"/>
      <c r="DV10" s="3224"/>
      <c r="DW10" s="3224"/>
      <c r="DX10" s="3224"/>
      <c r="DY10" s="3224"/>
      <c r="DZ10" s="3224"/>
      <c r="EA10" s="3224"/>
      <c r="EB10" s="3224"/>
      <c r="EC10" s="3224"/>
      <c r="ED10" s="3224"/>
      <c r="EE10" s="3224"/>
      <c r="EF10" s="3224"/>
      <c r="EG10" s="3224"/>
      <c r="EH10" s="3224"/>
      <c r="EI10" s="3224"/>
      <c r="EJ10" s="3224"/>
      <c r="EK10" s="3224"/>
      <c r="EL10" s="3224"/>
      <c r="EM10" s="3224"/>
      <c r="EN10" s="3224"/>
      <c r="EO10" s="3224"/>
      <c r="EP10" s="3224"/>
      <c r="EQ10" s="3224"/>
      <c r="ER10" s="3224"/>
      <c r="ES10" s="3224"/>
      <c r="ET10" s="3224"/>
      <c r="EU10" s="3224"/>
      <c r="EV10" s="3224"/>
      <c r="EW10" s="3224"/>
      <c r="EX10" s="3224"/>
      <c r="EY10" s="3224"/>
      <c r="EZ10" s="3224"/>
      <c r="FA10" s="3224"/>
      <c r="FB10" s="3224"/>
      <c r="FC10" s="3224"/>
      <c r="FD10" s="3224"/>
      <c r="FE10" s="3224"/>
      <c r="FF10" s="3224"/>
      <c r="FG10" s="3224"/>
      <c r="FH10" s="3224"/>
      <c r="FI10" s="2057"/>
    </row>
    <row r="11" spans="1:165" s="1834" customFormat="1" ht="15" customHeight="1">
      <c r="A11" s="15826"/>
      <c r="B11" s="15716"/>
      <c r="C11" s="15716"/>
      <c r="D11" s="15715" t="s">
        <v>7839</v>
      </c>
      <c r="E11" s="15716" t="s">
        <v>1296</v>
      </c>
      <c r="F11" s="15716" t="s">
        <v>95</v>
      </c>
      <c r="G11" s="3929"/>
      <c r="H11" s="3936"/>
      <c r="I11" s="3936"/>
      <c r="J11" s="15776">
        <v>1</v>
      </c>
      <c r="K11" s="15776" t="s">
        <v>1292</v>
      </c>
      <c r="L11" s="4416" t="s">
        <v>218</v>
      </c>
      <c r="M11" s="3936" t="s">
        <v>768</v>
      </c>
      <c r="N11" s="3937"/>
      <c r="O11" s="3930">
        <v>50000000</v>
      </c>
      <c r="P11" s="3930">
        <v>51500000</v>
      </c>
      <c r="Q11" s="3930">
        <v>53045000</v>
      </c>
      <c r="R11" s="3930">
        <v>54636350</v>
      </c>
      <c r="S11" s="3930">
        <v>56275440.5</v>
      </c>
      <c r="T11" s="3930">
        <v>57963703.715000004</v>
      </c>
      <c r="U11" s="3930">
        <v>59702614.826450005</v>
      </c>
      <c r="V11" s="3930">
        <v>61493693.271243505</v>
      </c>
      <c r="W11" s="3930">
        <v>63338504.069380812</v>
      </c>
      <c r="X11" s="3930">
        <v>65238659.191462241</v>
      </c>
      <c r="Y11" s="3930">
        <v>67195818.967206106</v>
      </c>
      <c r="Z11" s="3931">
        <v>640389784.54074275</v>
      </c>
      <c r="AA11" s="3938">
        <v>1</v>
      </c>
      <c r="AB11" s="3933" t="s">
        <v>3824</v>
      </c>
      <c r="AC11" s="3934"/>
      <c r="AD11" s="3934" t="s">
        <v>3825</v>
      </c>
      <c r="AE11" s="3934">
        <v>20088000</v>
      </c>
      <c r="AF11" s="3934">
        <v>20088000</v>
      </c>
      <c r="AG11" s="3934"/>
      <c r="AH11" s="3934"/>
      <c r="AI11" s="3934">
        <v>128</v>
      </c>
      <c r="AJ11" s="3934">
        <v>42</v>
      </c>
      <c r="AK11" s="3934">
        <v>86</v>
      </c>
      <c r="AL11" s="3934">
        <v>115</v>
      </c>
      <c r="AM11" s="3934">
        <v>13</v>
      </c>
      <c r="AN11" s="3934">
        <v>4</v>
      </c>
      <c r="AO11" s="3934">
        <v>55</v>
      </c>
      <c r="AP11" s="3934">
        <v>22</v>
      </c>
      <c r="AQ11" s="3934">
        <v>28</v>
      </c>
      <c r="AR11" s="3934">
        <v>19</v>
      </c>
      <c r="AS11" s="3934"/>
      <c r="AT11" s="3934"/>
      <c r="AU11" s="3934"/>
      <c r="AV11" s="3934">
        <v>4</v>
      </c>
      <c r="AW11" s="3934">
        <v>66</v>
      </c>
      <c r="AX11" s="3934">
        <v>19</v>
      </c>
      <c r="AY11" s="3934">
        <v>1</v>
      </c>
      <c r="AZ11" s="3934"/>
      <c r="BA11" s="3934"/>
      <c r="BB11" s="3934"/>
      <c r="BC11" s="3934"/>
      <c r="BD11" s="3934"/>
      <c r="BE11" s="3934">
        <v>128</v>
      </c>
      <c r="BF11" s="3934"/>
      <c r="BG11" s="3934"/>
      <c r="BH11" s="3934"/>
      <c r="BI11" s="3934"/>
      <c r="BJ11" s="3934"/>
      <c r="BK11" s="3934"/>
      <c r="BL11" s="3934"/>
      <c r="BM11" s="3934"/>
      <c r="BN11" s="3934"/>
      <c r="BO11" s="3934"/>
      <c r="BP11" s="3934"/>
      <c r="BQ11" s="3934"/>
      <c r="BR11" s="3934"/>
      <c r="BS11" s="3922">
        <v>1</v>
      </c>
      <c r="BT11" s="3935">
        <v>1</v>
      </c>
      <c r="BU11" s="3935">
        <v>1</v>
      </c>
      <c r="BV11" s="15848">
        <v>1</v>
      </c>
      <c r="BW11" s="15846"/>
      <c r="BX11" s="3924" t="s">
        <v>3824</v>
      </c>
      <c r="BY11" s="3873"/>
      <c r="BZ11" s="3873" t="s">
        <v>3825</v>
      </c>
      <c r="CA11" s="3925">
        <v>52000000</v>
      </c>
      <c r="CB11" s="3925">
        <v>52000000</v>
      </c>
      <c r="CC11" s="3925"/>
      <c r="CD11" s="3925"/>
      <c r="CE11" s="3926">
        <v>240</v>
      </c>
      <c r="CF11" s="3926">
        <v>72</v>
      </c>
      <c r="CG11" s="3926">
        <v>168</v>
      </c>
      <c r="CH11" s="3926">
        <v>169</v>
      </c>
      <c r="CI11" s="3926">
        <v>71</v>
      </c>
      <c r="CJ11" s="3926">
        <v>15</v>
      </c>
      <c r="CK11" s="3926">
        <v>68</v>
      </c>
      <c r="CL11" s="3926">
        <v>22</v>
      </c>
      <c r="CM11" s="3926">
        <v>49</v>
      </c>
      <c r="CN11" s="3926">
        <v>86</v>
      </c>
      <c r="CO11" s="3926"/>
      <c r="CP11" s="3926"/>
      <c r="CQ11" s="3926"/>
      <c r="CR11" s="3926">
        <v>4</v>
      </c>
      <c r="CS11" s="3926">
        <v>81</v>
      </c>
      <c r="CT11" s="3926">
        <v>22</v>
      </c>
      <c r="CU11" s="3926">
        <v>16</v>
      </c>
      <c r="CV11" s="3926"/>
      <c r="CW11" s="3926"/>
      <c r="CX11" s="3926"/>
      <c r="CY11" s="3926"/>
      <c r="CZ11" s="3926"/>
      <c r="DA11" s="3927">
        <v>240</v>
      </c>
      <c r="DB11" s="3926"/>
      <c r="DC11" s="3926"/>
      <c r="DD11" s="3926"/>
      <c r="DE11" s="3926"/>
      <c r="DF11" s="3926"/>
      <c r="DG11" s="3926"/>
      <c r="DH11" s="3926"/>
      <c r="DI11" s="3926"/>
      <c r="DJ11" s="3926"/>
      <c r="DK11" s="3926"/>
      <c r="DL11" s="3926"/>
      <c r="DM11" s="3926"/>
      <c r="DN11" s="4236"/>
      <c r="DO11" s="1833"/>
      <c r="DP11" s="4456"/>
      <c r="DQ11" s="4448"/>
      <c r="DR11" s="4448"/>
      <c r="DS11" s="4448"/>
      <c r="DT11" s="3224"/>
      <c r="DU11" s="3224"/>
      <c r="DV11" s="3224"/>
      <c r="DW11" s="3224"/>
      <c r="DX11" s="3224"/>
      <c r="DY11" s="3224"/>
      <c r="DZ11" s="3224"/>
      <c r="EA11" s="3224"/>
      <c r="EB11" s="3224"/>
      <c r="EC11" s="3224"/>
      <c r="ED11" s="3224"/>
      <c r="EE11" s="3224"/>
      <c r="EF11" s="3224"/>
      <c r="EG11" s="3224"/>
      <c r="EH11" s="3224"/>
      <c r="EI11" s="3224"/>
      <c r="EJ11" s="3224"/>
      <c r="EK11" s="3224"/>
      <c r="EL11" s="3224"/>
      <c r="EM11" s="3224"/>
      <c r="EN11" s="3224"/>
      <c r="EO11" s="3224"/>
      <c r="EP11" s="3224"/>
      <c r="EQ11" s="3224"/>
      <c r="ER11" s="3224"/>
      <c r="ES11" s="3224"/>
      <c r="ET11" s="3224"/>
      <c r="EU11" s="3224"/>
      <c r="EV11" s="3224"/>
      <c r="EW11" s="3224"/>
      <c r="EX11" s="3224"/>
      <c r="EY11" s="3224"/>
      <c r="EZ11" s="3224"/>
      <c r="FA11" s="3224"/>
      <c r="FB11" s="3224"/>
      <c r="FC11" s="3224"/>
      <c r="FD11" s="3224"/>
      <c r="FE11" s="3224"/>
      <c r="FF11" s="3224"/>
      <c r="FG11" s="3224"/>
      <c r="FH11" s="3224"/>
      <c r="FI11" s="2057"/>
    </row>
    <row r="12" spans="1:165" s="1834" customFormat="1" ht="15" customHeight="1" thickBot="1">
      <c r="A12" s="15827"/>
      <c r="B12" s="15796"/>
      <c r="C12" s="15796"/>
      <c r="D12" s="15835"/>
      <c r="E12" s="15775"/>
      <c r="F12" s="15775"/>
      <c r="G12" s="3888" t="s">
        <v>254</v>
      </c>
      <c r="H12" s="1864">
        <v>1</v>
      </c>
      <c r="I12" s="1864">
        <v>1</v>
      </c>
      <c r="J12" s="15777"/>
      <c r="K12" s="15777"/>
      <c r="L12" s="4417" t="s">
        <v>10204</v>
      </c>
      <c r="M12" s="1864" t="s">
        <v>10205</v>
      </c>
      <c r="N12" s="1864" t="s">
        <v>1298</v>
      </c>
      <c r="O12" s="1865"/>
      <c r="P12" s="1865"/>
      <c r="Q12" s="1865"/>
      <c r="R12" s="1865"/>
      <c r="S12" s="1865"/>
      <c r="T12" s="1865"/>
      <c r="U12" s="1865"/>
      <c r="V12" s="1865"/>
      <c r="W12" s="1865"/>
      <c r="X12" s="1865"/>
      <c r="Y12" s="1865"/>
      <c r="Z12" s="1866"/>
      <c r="AA12" s="1867"/>
      <c r="AB12" s="3008"/>
      <c r="AC12" s="1751"/>
      <c r="AD12" s="1742"/>
      <c r="AE12" s="1868"/>
      <c r="AF12" s="1868"/>
      <c r="AG12" s="1751"/>
      <c r="AH12" s="1751"/>
      <c r="AI12" s="1751"/>
      <c r="AJ12" s="1751"/>
      <c r="AK12" s="1751"/>
      <c r="AL12" s="1751"/>
      <c r="AM12" s="1751"/>
      <c r="AN12" s="1751"/>
      <c r="AO12" s="1751"/>
      <c r="AP12" s="1751"/>
      <c r="AQ12" s="1751"/>
      <c r="AR12" s="1751"/>
      <c r="AS12" s="1751"/>
      <c r="AT12" s="1751"/>
      <c r="AU12" s="1751"/>
      <c r="AV12" s="1751"/>
      <c r="AW12" s="1751"/>
      <c r="AX12" s="1751"/>
      <c r="AY12" s="1751"/>
      <c r="AZ12" s="1751"/>
      <c r="BA12" s="1751"/>
      <c r="BB12" s="1751"/>
      <c r="BC12" s="1751"/>
      <c r="BD12" s="1751"/>
      <c r="BE12" s="1751"/>
      <c r="BF12" s="1751"/>
      <c r="BG12" s="1751"/>
      <c r="BH12" s="1751"/>
      <c r="BI12" s="1751"/>
      <c r="BJ12" s="1751"/>
      <c r="BK12" s="1751"/>
      <c r="BL12" s="1751"/>
      <c r="BM12" s="1751"/>
      <c r="BN12" s="1751"/>
      <c r="BO12" s="1751"/>
      <c r="BP12" s="1751"/>
      <c r="BQ12" s="1751"/>
      <c r="BR12" s="1869"/>
      <c r="BS12" s="2010"/>
      <c r="BT12" s="1870"/>
      <c r="BU12" s="1871"/>
      <c r="BV12" s="15849"/>
      <c r="BW12" s="15847"/>
      <c r="BX12" s="4409"/>
      <c r="BY12" s="2010"/>
      <c r="BZ12" s="2010"/>
      <c r="CA12" s="4410"/>
      <c r="CB12" s="4410"/>
      <c r="CC12" s="4410"/>
      <c r="CD12" s="4410"/>
      <c r="CE12" s="4411"/>
      <c r="CF12" s="4411"/>
      <c r="CG12" s="4411"/>
      <c r="CH12" s="4411"/>
      <c r="CI12" s="4411"/>
      <c r="CJ12" s="4411"/>
      <c r="CK12" s="4411"/>
      <c r="CL12" s="4411"/>
      <c r="CM12" s="4411"/>
      <c r="CN12" s="4411"/>
      <c r="CO12" s="4411"/>
      <c r="CP12" s="4411"/>
      <c r="CQ12" s="4411"/>
      <c r="CR12" s="4411"/>
      <c r="CS12" s="4411"/>
      <c r="CT12" s="4411"/>
      <c r="CU12" s="4411"/>
      <c r="CV12" s="4411"/>
      <c r="CW12" s="4411"/>
      <c r="CX12" s="4411"/>
      <c r="CY12" s="4411"/>
      <c r="CZ12" s="4411"/>
      <c r="DA12" s="4412"/>
      <c r="DB12" s="4411"/>
      <c r="DC12" s="4411"/>
      <c r="DD12" s="4411"/>
      <c r="DE12" s="4411"/>
      <c r="DF12" s="4411"/>
      <c r="DG12" s="4411"/>
      <c r="DH12" s="4411"/>
      <c r="DI12" s="4411"/>
      <c r="DJ12" s="4411"/>
      <c r="DK12" s="4411"/>
      <c r="DL12" s="4411"/>
      <c r="DM12" s="4411"/>
      <c r="DN12" s="4413"/>
      <c r="DO12" s="1833"/>
      <c r="DP12" s="4456"/>
      <c r="DQ12" s="4448"/>
      <c r="DR12" s="4448"/>
      <c r="DS12" s="4448"/>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2057"/>
    </row>
    <row r="13" spans="1:165" s="1791" customFormat="1" ht="15" customHeight="1">
      <c r="A13" s="15829" t="s">
        <v>1299</v>
      </c>
      <c r="B13" s="15770" t="s">
        <v>1300</v>
      </c>
      <c r="C13" s="3885" t="s">
        <v>1301</v>
      </c>
      <c r="D13" s="3959" t="s">
        <v>7840</v>
      </c>
      <c r="E13" s="1872" t="s">
        <v>1302</v>
      </c>
      <c r="F13" s="3885" t="s">
        <v>1303</v>
      </c>
      <c r="G13" s="3885" t="s">
        <v>70</v>
      </c>
      <c r="H13" s="3960">
        <v>1</v>
      </c>
      <c r="I13" s="3960">
        <v>0</v>
      </c>
      <c r="J13" s="3960">
        <v>0</v>
      </c>
      <c r="K13" s="3961" t="s">
        <v>1304</v>
      </c>
      <c r="L13" s="4418" t="s">
        <v>218</v>
      </c>
      <c r="M13" s="1873" t="s">
        <v>1297</v>
      </c>
      <c r="N13" s="3939" t="s">
        <v>224</v>
      </c>
      <c r="O13" s="1874">
        <v>20000000</v>
      </c>
      <c r="P13" s="1875">
        <v>20600000</v>
      </c>
      <c r="Q13" s="1875">
        <v>21218000</v>
      </c>
      <c r="R13" s="1875">
        <v>21854540</v>
      </c>
      <c r="S13" s="1875">
        <v>22510176.199999999</v>
      </c>
      <c r="T13" s="1875">
        <v>23185481.486000001</v>
      </c>
      <c r="U13" s="1875">
        <v>23881045.930580001</v>
      </c>
      <c r="V13" s="1875">
        <v>24597477.308497403</v>
      </c>
      <c r="W13" s="1875">
        <v>25335401.627752326</v>
      </c>
      <c r="X13" s="1875">
        <v>26095463.676584896</v>
      </c>
      <c r="Y13" s="1875">
        <v>26878327.586882442</v>
      </c>
      <c r="Z13" s="1875">
        <v>256155913.81629708</v>
      </c>
      <c r="AA13" s="1876">
        <v>1</v>
      </c>
      <c r="AB13" s="1877" t="s">
        <v>3826</v>
      </c>
      <c r="AC13" s="1878"/>
      <c r="AD13" s="1878"/>
      <c r="AE13" s="1878"/>
      <c r="AF13" s="1878"/>
      <c r="AG13" s="1878"/>
      <c r="AH13" s="1878"/>
      <c r="AI13" s="1878"/>
      <c r="AJ13" s="1878"/>
      <c r="AK13" s="1878"/>
      <c r="AL13" s="1878"/>
      <c r="AM13" s="1878"/>
      <c r="AN13" s="1878"/>
      <c r="AO13" s="1878"/>
      <c r="AP13" s="1878"/>
      <c r="AQ13" s="1878"/>
      <c r="AR13" s="1878"/>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c r="BP13" s="1878"/>
      <c r="BQ13" s="1878"/>
      <c r="BR13" s="1879"/>
      <c r="BS13" s="3959">
        <v>1</v>
      </c>
      <c r="BT13" s="4401">
        <v>1</v>
      </c>
      <c r="BU13" s="1984">
        <v>1</v>
      </c>
      <c r="BV13" s="4402">
        <v>1</v>
      </c>
      <c r="BW13" s="15856">
        <v>1</v>
      </c>
      <c r="BX13" s="4403" t="s">
        <v>3826</v>
      </c>
      <c r="BY13" s="3959"/>
      <c r="BZ13" s="3959"/>
      <c r="CA13" s="4404"/>
      <c r="CB13" s="4404"/>
      <c r="CC13" s="4404"/>
      <c r="CD13" s="4404"/>
      <c r="CE13" s="4405"/>
      <c r="CF13" s="4405"/>
      <c r="CG13" s="4405"/>
      <c r="CH13" s="4405"/>
      <c r="CI13" s="4405"/>
      <c r="CJ13" s="4405"/>
      <c r="CK13" s="4405"/>
      <c r="CL13" s="4405"/>
      <c r="CM13" s="4405"/>
      <c r="CN13" s="4405"/>
      <c r="CO13" s="4405"/>
      <c r="CP13" s="4405"/>
      <c r="CQ13" s="4405"/>
      <c r="CR13" s="4405"/>
      <c r="CS13" s="4405"/>
      <c r="CT13" s="4406"/>
      <c r="CU13" s="4406"/>
      <c r="CV13" s="4406"/>
      <c r="CW13" s="4406"/>
      <c r="CX13" s="4406"/>
      <c r="CY13" s="4406"/>
      <c r="CZ13" s="4406"/>
      <c r="DA13" s="4407"/>
      <c r="DB13" s="4406"/>
      <c r="DC13" s="4406"/>
      <c r="DD13" s="4406"/>
      <c r="DE13" s="4406"/>
      <c r="DF13" s="4406"/>
      <c r="DG13" s="4406"/>
      <c r="DH13" s="4406"/>
      <c r="DI13" s="4406"/>
      <c r="DJ13" s="4406"/>
      <c r="DK13" s="4406"/>
      <c r="DL13" s="4406"/>
      <c r="DM13" s="4406"/>
      <c r="DN13" s="4408"/>
      <c r="DO13" s="1790"/>
      <c r="DP13" s="4457"/>
      <c r="DQ13" s="4195"/>
      <c r="DR13" s="4195"/>
      <c r="DS13" s="4195"/>
      <c r="DT13" s="3951"/>
      <c r="DU13" s="3951"/>
      <c r="DV13" s="3951"/>
      <c r="DW13" s="3951"/>
      <c r="DX13" s="3951"/>
      <c r="DY13" s="3951"/>
      <c r="DZ13" s="3951"/>
      <c r="EA13" s="3951"/>
      <c r="EB13" s="3951"/>
      <c r="EC13" s="3951"/>
      <c r="ED13" s="3951"/>
      <c r="EE13" s="3951"/>
      <c r="EF13" s="3951"/>
      <c r="EG13" s="3951"/>
      <c r="EH13" s="3951"/>
      <c r="EI13" s="3951"/>
      <c r="EJ13" s="3951"/>
      <c r="EK13" s="3951"/>
      <c r="EL13" s="3951"/>
      <c r="EM13" s="3951"/>
      <c r="EN13" s="3951"/>
      <c r="EO13" s="3951"/>
      <c r="EP13" s="3951"/>
      <c r="EQ13" s="3951"/>
      <c r="ER13" s="3951"/>
      <c r="ES13" s="3951"/>
      <c r="ET13" s="3951"/>
      <c r="EU13" s="3951"/>
      <c r="EV13" s="3951"/>
      <c r="EW13" s="3951"/>
      <c r="EX13" s="3951"/>
      <c r="EY13" s="3951"/>
      <c r="EZ13" s="3951"/>
      <c r="FA13" s="3951"/>
      <c r="FB13" s="3951"/>
      <c r="FC13" s="3951"/>
      <c r="FD13" s="3951"/>
      <c r="FE13" s="3951"/>
      <c r="FF13" s="3951"/>
      <c r="FG13" s="3951"/>
      <c r="FH13" s="3951"/>
      <c r="FI13" s="2061"/>
    </row>
    <row r="14" spans="1:165" s="1791" customFormat="1" ht="15" customHeight="1">
      <c r="A14" s="15830"/>
      <c r="B14" s="15789"/>
      <c r="C14" s="3940" t="s">
        <v>1305</v>
      </c>
      <c r="D14" s="3941" t="s">
        <v>7841</v>
      </c>
      <c r="E14" s="4240" t="s">
        <v>1306</v>
      </c>
      <c r="F14" s="3940" t="s">
        <v>103</v>
      </c>
      <c r="G14" s="3940">
        <v>1</v>
      </c>
      <c r="H14" s="3942">
        <v>1</v>
      </c>
      <c r="I14" s="2730" t="s">
        <v>1307</v>
      </c>
      <c r="J14" s="2730" t="s">
        <v>1307</v>
      </c>
      <c r="K14" s="2730" t="s">
        <v>1304</v>
      </c>
      <c r="L14" s="4419" t="s">
        <v>218</v>
      </c>
      <c r="M14" s="3943" t="s">
        <v>1297</v>
      </c>
      <c r="N14" s="4241" t="s">
        <v>224</v>
      </c>
      <c r="O14" s="3944">
        <v>50000000</v>
      </c>
      <c r="P14" s="3945">
        <v>0</v>
      </c>
      <c r="Q14" s="3945">
        <v>0</v>
      </c>
      <c r="R14" s="3945">
        <v>0</v>
      </c>
      <c r="S14" s="3945">
        <v>0</v>
      </c>
      <c r="T14" s="3945">
        <v>0</v>
      </c>
      <c r="U14" s="3945">
        <v>0</v>
      </c>
      <c r="V14" s="3945">
        <v>0</v>
      </c>
      <c r="W14" s="3945">
        <v>0</v>
      </c>
      <c r="X14" s="3945">
        <v>0</v>
      </c>
      <c r="Y14" s="3945">
        <v>0</v>
      </c>
      <c r="Z14" s="3945">
        <v>50000000</v>
      </c>
      <c r="AA14" s="3946">
        <v>1</v>
      </c>
      <c r="AB14" s="3947" t="s">
        <v>3827</v>
      </c>
      <c r="AC14" s="3947" t="s">
        <v>3828</v>
      </c>
      <c r="AD14" s="3951"/>
      <c r="AE14" s="4242">
        <v>29120000</v>
      </c>
      <c r="AF14" s="4242">
        <v>29120000</v>
      </c>
      <c r="AG14" s="3951"/>
      <c r="AH14" s="3951"/>
      <c r="AI14" s="3951"/>
      <c r="AJ14" s="3951"/>
      <c r="AK14" s="3951"/>
      <c r="AL14" s="3951"/>
      <c r="AM14" s="3951"/>
      <c r="AN14" s="3951"/>
      <c r="AO14" s="3951"/>
      <c r="AP14" s="3951"/>
      <c r="AQ14" s="3951"/>
      <c r="AR14" s="3951"/>
      <c r="AS14" s="3951"/>
      <c r="AT14" s="3951"/>
      <c r="AU14" s="3951"/>
      <c r="AV14" s="3951"/>
      <c r="AW14" s="3951"/>
      <c r="AX14" s="3951"/>
      <c r="AY14" s="3951"/>
      <c r="AZ14" s="3951"/>
      <c r="BA14" s="3951"/>
      <c r="BB14" s="3951"/>
      <c r="BC14" s="3951"/>
      <c r="BD14" s="3951"/>
      <c r="BE14" s="3951"/>
      <c r="BF14" s="3951"/>
      <c r="BG14" s="3951"/>
      <c r="BH14" s="3951"/>
      <c r="BI14" s="3951"/>
      <c r="BJ14" s="3951"/>
      <c r="BK14" s="3951"/>
      <c r="BL14" s="3951"/>
      <c r="BM14" s="3951"/>
      <c r="BN14" s="3951"/>
      <c r="BO14" s="3951"/>
      <c r="BP14" s="3951"/>
      <c r="BQ14" s="3951"/>
      <c r="BR14" s="2061"/>
      <c r="BS14" s="3941" t="s">
        <v>3781</v>
      </c>
      <c r="BT14" s="3941" t="s">
        <v>3781</v>
      </c>
      <c r="BU14" s="2741">
        <v>1</v>
      </c>
      <c r="BV14" s="2408" t="s">
        <v>3781</v>
      </c>
      <c r="BW14" s="15856"/>
      <c r="BX14" s="3954" t="s">
        <v>9685</v>
      </c>
      <c r="BY14" s="3941" t="s">
        <v>3828</v>
      </c>
      <c r="BZ14" s="3941"/>
      <c r="CA14" s="3955"/>
      <c r="CB14" s="3955"/>
      <c r="CC14" s="3955"/>
      <c r="CD14" s="3955"/>
      <c r="CE14" s="3956"/>
      <c r="CF14" s="3956"/>
      <c r="CG14" s="3956"/>
      <c r="CH14" s="3956"/>
      <c r="CI14" s="3956"/>
      <c r="CJ14" s="3956"/>
      <c r="CK14" s="3956"/>
      <c r="CL14" s="3956"/>
      <c r="CM14" s="3956"/>
      <c r="CN14" s="3956"/>
      <c r="CO14" s="3956"/>
      <c r="CP14" s="3956"/>
      <c r="CQ14" s="3956"/>
      <c r="CR14" s="3956"/>
      <c r="CS14" s="3956"/>
      <c r="CT14" s="3956"/>
      <c r="CU14" s="3956"/>
      <c r="CV14" s="3956"/>
      <c r="CW14" s="3956"/>
      <c r="CX14" s="3956"/>
      <c r="CY14" s="3956"/>
      <c r="CZ14" s="3956"/>
      <c r="DA14" s="3974"/>
      <c r="DB14" s="3956"/>
      <c r="DC14" s="3956"/>
      <c r="DD14" s="3956"/>
      <c r="DE14" s="3956"/>
      <c r="DF14" s="3956"/>
      <c r="DG14" s="3957"/>
      <c r="DH14" s="3957"/>
      <c r="DI14" s="3957"/>
      <c r="DJ14" s="3957"/>
      <c r="DK14" s="3957"/>
      <c r="DL14" s="3957"/>
      <c r="DM14" s="3957"/>
      <c r="DN14" s="4239"/>
      <c r="DO14" s="1790"/>
      <c r="DP14" s="4457"/>
      <c r="DQ14" s="4195"/>
      <c r="DR14" s="4195"/>
      <c r="DS14" s="4195"/>
      <c r="DT14" s="3951"/>
      <c r="DU14" s="3951"/>
      <c r="DV14" s="3951"/>
      <c r="DW14" s="3951"/>
      <c r="DX14" s="3951"/>
      <c r="DY14" s="3951"/>
      <c r="DZ14" s="3951"/>
      <c r="EA14" s="3951"/>
      <c r="EB14" s="3951"/>
      <c r="EC14" s="3951"/>
      <c r="ED14" s="3951"/>
      <c r="EE14" s="3951"/>
      <c r="EF14" s="3951"/>
      <c r="EG14" s="3951"/>
      <c r="EH14" s="3951"/>
      <c r="EI14" s="3951"/>
      <c r="EJ14" s="3951"/>
      <c r="EK14" s="3951"/>
      <c r="EL14" s="3951"/>
      <c r="EM14" s="3951"/>
      <c r="EN14" s="3951"/>
      <c r="EO14" s="3951"/>
      <c r="EP14" s="3951"/>
      <c r="EQ14" s="3951"/>
      <c r="ER14" s="3951"/>
      <c r="ES14" s="3951"/>
      <c r="ET14" s="3951"/>
      <c r="EU14" s="3951"/>
      <c r="EV14" s="3951"/>
      <c r="EW14" s="3951"/>
      <c r="EX14" s="3951"/>
      <c r="EY14" s="3951"/>
      <c r="EZ14" s="3951"/>
      <c r="FA14" s="3951"/>
      <c r="FB14" s="3951"/>
      <c r="FC14" s="3951"/>
      <c r="FD14" s="3951"/>
      <c r="FE14" s="3951"/>
      <c r="FF14" s="3951"/>
      <c r="FG14" s="3951"/>
      <c r="FH14" s="3951"/>
      <c r="FI14" s="2061"/>
    </row>
    <row r="15" spans="1:165" s="1791" customFormat="1" ht="15" customHeight="1">
      <c r="A15" s="15830"/>
      <c r="B15" s="15789"/>
      <c r="C15" s="15769" t="s">
        <v>1301</v>
      </c>
      <c r="D15" s="15767" t="s">
        <v>7842</v>
      </c>
      <c r="E15" s="15769" t="s">
        <v>1308</v>
      </c>
      <c r="F15" s="15769" t="s">
        <v>1309</v>
      </c>
      <c r="G15" s="3940" t="s">
        <v>70</v>
      </c>
      <c r="H15" s="3942">
        <v>1</v>
      </c>
      <c r="I15" s="3942">
        <v>1</v>
      </c>
      <c r="J15" s="15771">
        <v>1</v>
      </c>
      <c r="K15" s="15773" t="s">
        <v>222</v>
      </c>
      <c r="L15" s="4419" t="s">
        <v>218</v>
      </c>
      <c r="M15" s="3943" t="s">
        <v>1297</v>
      </c>
      <c r="N15" s="2730"/>
      <c r="O15" s="3944">
        <v>20000000</v>
      </c>
      <c r="P15" s="3945">
        <v>20600000</v>
      </c>
      <c r="Q15" s="3945">
        <v>21218000</v>
      </c>
      <c r="R15" s="3945">
        <v>43709080</v>
      </c>
      <c r="S15" s="3945">
        <v>45020352.399999999</v>
      </c>
      <c r="T15" s="3945">
        <v>46370962.972000003</v>
      </c>
      <c r="U15" s="3945">
        <v>47762091.861160003</v>
      </c>
      <c r="V15" s="3945">
        <v>49194954.616994806</v>
      </c>
      <c r="W15" s="3945">
        <v>50670803.255504653</v>
      </c>
      <c r="X15" s="3945">
        <v>52190927.353169791</v>
      </c>
      <c r="Y15" s="3945">
        <v>53756655.173764884</v>
      </c>
      <c r="Z15" s="3945">
        <v>450493827.63259417</v>
      </c>
      <c r="AA15" s="3946">
        <v>1</v>
      </c>
      <c r="AB15" s="3947" t="s">
        <v>3829</v>
      </c>
      <c r="AC15" s="3948" t="s">
        <v>3830</v>
      </c>
      <c r="AD15" s="3947" t="s">
        <v>3831</v>
      </c>
      <c r="AE15" s="3949">
        <v>20000000</v>
      </c>
      <c r="AF15" s="3950">
        <v>20000000</v>
      </c>
      <c r="AG15" s="3951"/>
      <c r="AH15" s="3951"/>
      <c r="AI15" s="3951"/>
      <c r="AJ15" s="3951"/>
      <c r="AK15" s="3951"/>
      <c r="AL15" s="3951"/>
      <c r="AM15" s="3951"/>
      <c r="AN15" s="3951"/>
      <c r="AO15" s="3951"/>
      <c r="AP15" s="3951"/>
      <c r="AQ15" s="3951"/>
      <c r="AR15" s="3951"/>
      <c r="AS15" s="3951"/>
      <c r="AT15" s="3951"/>
      <c r="AU15" s="3951"/>
      <c r="AV15" s="3951"/>
      <c r="AW15" s="3951"/>
      <c r="AX15" s="3951"/>
      <c r="AY15" s="3951"/>
      <c r="AZ15" s="3951"/>
      <c r="BA15" s="3951"/>
      <c r="BB15" s="3951"/>
      <c r="BC15" s="3951"/>
      <c r="BD15" s="3951"/>
      <c r="BE15" s="3951"/>
      <c r="BF15" s="3951"/>
      <c r="BG15" s="3951"/>
      <c r="BH15" s="3951"/>
      <c r="BI15" s="3951"/>
      <c r="BJ15" s="3951"/>
      <c r="BK15" s="3951"/>
      <c r="BL15" s="3951"/>
      <c r="BM15" s="3951"/>
      <c r="BN15" s="3951"/>
      <c r="BO15" s="3951"/>
      <c r="BP15" s="3951"/>
      <c r="BQ15" s="3951"/>
      <c r="BR15" s="2061"/>
      <c r="BS15" s="3941">
        <v>1</v>
      </c>
      <c r="BT15" s="3952">
        <v>1</v>
      </c>
      <c r="BU15" s="3953">
        <v>1</v>
      </c>
      <c r="BV15" s="2408">
        <v>1</v>
      </c>
      <c r="BW15" s="15856"/>
      <c r="BX15" s="3954" t="s">
        <v>8889</v>
      </c>
      <c r="BY15" s="3941" t="s">
        <v>3830</v>
      </c>
      <c r="BZ15" s="3941" t="s">
        <v>3831</v>
      </c>
      <c r="CA15" s="3955">
        <v>25000000</v>
      </c>
      <c r="CB15" s="3955">
        <v>25000000</v>
      </c>
      <c r="CC15" s="3955"/>
      <c r="CD15" s="3955"/>
      <c r="CE15" s="3956"/>
      <c r="CF15" s="3956"/>
      <c r="CG15" s="3956"/>
      <c r="CH15" s="3956"/>
      <c r="CI15" s="3957"/>
      <c r="CJ15" s="3957"/>
      <c r="CK15" s="3957"/>
      <c r="CL15" s="3957"/>
      <c r="CM15" s="3957"/>
      <c r="CN15" s="3957"/>
      <c r="CO15" s="3957"/>
      <c r="CP15" s="3957"/>
      <c r="CQ15" s="3957"/>
      <c r="CR15" s="3957"/>
      <c r="CS15" s="3957"/>
      <c r="CT15" s="3957"/>
      <c r="CU15" s="3957"/>
      <c r="CV15" s="3957"/>
      <c r="CW15" s="3957"/>
      <c r="CX15" s="3957"/>
      <c r="CY15" s="3957"/>
      <c r="CZ15" s="3957"/>
      <c r="DA15" s="3958"/>
      <c r="DB15" s="3957"/>
      <c r="DC15" s="3957"/>
      <c r="DD15" s="3957"/>
      <c r="DE15" s="3957"/>
      <c r="DF15" s="3957"/>
      <c r="DG15" s="3957"/>
      <c r="DH15" s="3957"/>
      <c r="DI15" s="3957"/>
      <c r="DJ15" s="3957"/>
      <c r="DK15" s="3957"/>
      <c r="DL15" s="3957"/>
      <c r="DM15" s="3957"/>
      <c r="DN15" s="4239"/>
      <c r="DO15" s="1790"/>
      <c r="DP15" s="4457"/>
      <c r="DQ15" s="4195"/>
      <c r="DR15" s="4195"/>
      <c r="DS15" s="4195"/>
      <c r="DT15" s="3951"/>
      <c r="DU15" s="3951"/>
      <c r="DV15" s="3951"/>
      <c r="DW15" s="3951"/>
      <c r="DX15" s="3951"/>
      <c r="DY15" s="3951"/>
      <c r="DZ15" s="3951"/>
      <c r="EA15" s="3951"/>
      <c r="EB15" s="3951"/>
      <c r="EC15" s="3951"/>
      <c r="ED15" s="3951"/>
      <c r="EE15" s="3951"/>
      <c r="EF15" s="3951"/>
      <c r="EG15" s="3951"/>
      <c r="EH15" s="3951"/>
      <c r="EI15" s="3951"/>
      <c r="EJ15" s="3951"/>
      <c r="EK15" s="3951"/>
      <c r="EL15" s="3951"/>
      <c r="EM15" s="3951"/>
      <c r="EN15" s="3951"/>
      <c r="EO15" s="3951"/>
      <c r="EP15" s="3951"/>
      <c r="EQ15" s="3951"/>
      <c r="ER15" s="3951"/>
      <c r="ES15" s="3951"/>
      <c r="ET15" s="3951"/>
      <c r="EU15" s="3951"/>
      <c r="EV15" s="3951"/>
      <c r="EW15" s="3951"/>
      <c r="EX15" s="3951"/>
      <c r="EY15" s="3951"/>
      <c r="EZ15" s="3951"/>
      <c r="FA15" s="3951"/>
      <c r="FB15" s="3951"/>
      <c r="FC15" s="3951"/>
      <c r="FD15" s="3951"/>
      <c r="FE15" s="3951"/>
      <c r="FF15" s="3951"/>
      <c r="FG15" s="3951"/>
      <c r="FH15" s="3951"/>
      <c r="FI15" s="2061"/>
    </row>
    <row r="16" spans="1:165" s="1791" customFormat="1" ht="15" customHeight="1">
      <c r="A16" s="15830"/>
      <c r="B16" s="15789"/>
      <c r="C16" s="15770"/>
      <c r="D16" s="15768"/>
      <c r="E16" s="15770"/>
      <c r="F16" s="15770"/>
      <c r="G16" s="3940"/>
      <c r="H16" s="3942"/>
      <c r="I16" s="3942"/>
      <c r="J16" s="15772"/>
      <c r="K16" s="15774"/>
      <c r="L16" s="4419" t="s">
        <v>10204</v>
      </c>
      <c r="M16" s="3943"/>
      <c r="N16" s="2730" t="s">
        <v>1310</v>
      </c>
      <c r="O16" s="3944"/>
      <c r="P16" s="3945"/>
      <c r="Q16" s="3945"/>
      <c r="R16" s="3945"/>
      <c r="S16" s="3945"/>
      <c r="T16" s="3945"/>
      <c r="U16" s="3945"/>
      <c r="V16" s="3945"/>
      <c r="W16" s="3945"/>
      <c r="X16" s="3945"/>
      <c r="Y16" s="3945"/>
      <c r="Z16" s="3945"/>
      <c r="AA16" s="3946"/>
      <c r="AB16" s="3947"/>
      <c r="AC16" s="3948"/>
      <c r="AD16" s="3947"/>
      <c r="AE16" s="3949"/>
      <c r="AF16" s="3950"/>
      <c r="AG16" s="3951"/>
      <c r="AH16" s="3951"/>
      <c r="AI16" s="3951"/>
      <c r="AJ16" s="3951"/>
      <c r="AK16" s="3951"/>
      <c r="AL16" s="3951"/>
      <c r="AM16" s="3951"/>
      <c r="AN16" s="3951"/>
      <c r="AO16" s="3951"/>
      <c r="AP16" s="3951"/>
      <c r="AQ16" s="3951"/>
      <c r="AR16" s="3951"/>
      <c r="AS16" s="3951"/>
      <c r="AT16" s="3951"/>
      <c r="AU16" s="3951"/>
      <c r="AV16" s="3951"/>
      <c r="AW16" s="3951"/>
      <c r="AX16" s="3951"/>
      <c r="AY16" s="3951"/>
      <c r="AZ16" s="3951"/>
      <c r="BA16" s="3951"/>
      <c r="BB16" s="3951"/>
      <c r="BC16" s="3951"/>
      <c r="BD16" s="3951"/>
      <c r="BE16" s="3951"/>
      <c r="BF16" s="3951"/>
      <c r="BG16" s="3951"/>
      <c r="BH16" s="3951"/>
      <c r="BI16" s="3951"/>
      <c r="BJ16" s="3951"/>
      <c r="BK16" s="3951"/>
      <c r="BL16" s="3951"/>
      <c r="BM16" s="3951"/>
      <c r="BN16" s="3951"/>
      <c r="BO16" s="3951"/>
      <c r="BP16" s="3951"/>
      <c r="BQ16" s="3951"/>
      <c r="BR16" s="2061"/>
      <c r="BS16" s="3941"/>
      <c r="BT16" s="3952"/>
      <c r="BU16" s="3953"/>
      <c r="BV16" s="2408"/>
      <c r="BW16" s="15856"/>
      <c r="BX16" s="3954"/>
      <c r="BY16" s="3941"/>
      <c r="BZ16" s="3941"/>
      <c r="CA16" s="3955"/>
      <c r="CB16" s="3955"/>
      <c r="CC16" s="3955"/>
      <c r="CD16" s="3955"/>
      <c r="CE16" s="3956"/>
      <c r="CF16" s="3956"/>
      <c r="CG16" s="3956"/>
      <c r="CH16" s="3956"/>
      <c r="CI16" s="3957"/>
      <c r="CJ16" s="3957"/>
      <c r="CK16" s="3957"/>
      <c r="CL16" s="3957"/>
      <c r="CM16" s="3957"/>
      <c r="CN16" s="3957"/>
      <c r="CO16" s="3957"/>
      <c r="CP16" s="3957"/>
      <c r="CQ16" s="3957"/>
      <c r="CR16" s="3957"/>
      <c r="CS16" s="3957"/>
      <c r="CT16" s="3957"/>
      <c r="CU16" s="3957"/>
      <c r="CV16" s="3957"/>
      <c r="CW16" s="3957"/>
      <c r="CX16" s="3957"/>
      <c r="CY16" s="3957"/>
      <c r="CZ16" s="3957"/>
      <c r="DA16" s="3958"/>
      <c r="DB16" s="3957"/>
      <c r="DC16" s="3957"/>
      <c r="DD16" s="3957"/>
      <c r="DE16" s="3957"/>
      <c r="DF16" s="3957"/>
      <c r="DG16" s="3957"/>
      <c r="DH16" s="3957"/>
      <c r="DI16" s="3957"/>
      <c r="DJ16" s="3957"/>
      <c r="DK16" s="3957"/>
      <c r="DL16" s="3957"/>
      <c r="DM16" s="3957"/>
      <c r="DN16" s="4239"/>
      <c r="DO16" s="1790"/>
      <c r="DP16" s="4457"/>
      <c r="DQ16" s="4195"/>
      <c r="DR16" s="4195"/>
      <c r="DS16" s="4195"/>
      <c r="DT16" s="3951"/>
      <c r="DU16" s="3951"/>
      <c r="DV16" s="3951"/>
      <c r="DW16" s="3951"/>
      <c r="DX16" s="3951"/>
      <c r="DY16" s="3951"/>
      <c r="DZ16" s="3951"/>
      <c r="EA16" s="3951"/>
      <c r="EB16" s="3951"/>
      <c r="EC16" s="3951"/>
      <c r="ED16" s="3951"/>
      <c r="EE16" s="3951"/>
      <c r="EF16" s="3951"/>
      <c r="EG16" s="3951"/>
      <c r="EH16" s="3951"/>
      <c r="EI16" s="3951"/>
      <c r="EJ16" s="3951"/>
      <c r="EK16" s="3951"/>
      <c r="EL16" s="3951"/>
      <c r="EM16" s="3951"/>
      <c r="EN16" s="3951"/>
      <c r="EO16" s="3951"/>
      <c r="EP16" s="3951"/>
      <c r="EQ16" s="3951"/>
      <c r="ER16" s="3951"/>
      <c r="ES16" s="3951"/>
      <c r="ET16" s="3951"/>
      <c r="EU16" s="3951"/>
      <c r="EV16" s="3951"/>
      <c r="EW16" s="3951"/>
      <c r="EX16" s="3951"/>
      <c r="EY16" s="3951"/>
      <c r="EZ16" s="3951"/>
      <c r="FA16" s="3951"/>
      <c r="FB16" s="3951"/>
      <c r="FC16" s="3951"/>
      <c r="FD16" s="3951"/>
      <c r="FE16" s="3951"/>
      <c r="FF16" s="3951"/>
      <c r="FG16" s="3951"/>
      <c r="FH16" s="3951"/>
      <c r="FI16" s="2061"/>
    </row>
    <row r="17" spans="1:165" s="1791" customFormat="1" ht="15" customHeight="1">
      <c r="A17" s="15830"/>
      <c r="B17" s="15789"/>
      <c r="C17" s="15789" t="s">
        <v>1311</v>
      </c>
      <c r="D17" s="15767" t="s">
        <v>7843</v>
      </c>
      <c r="E17" s="15769" t="s">
        <v>1312</v>
      </c>
      <c r="F17" s="15769" t="s">
        <v>1313</v>
      </c>
      <c r="G17" s="3940" t="s">
        <v>70</v>
      </c>
      <c r="H17" s="3942">
        <v>1</v>
      </c>
      <c r="I17" s="3942">
        <v>1</v>
      </c>
      <c r="J17" s="15771">
        <v>1</v>
      </c>
      <c r="K17" s="15773" t="s">
        <v>222</v>
      </c>
      <c r="L17" s="4419" t="s">
        <v>218</v>
      </c>
      <c r="M17" s="3943" t="s">
        <v>1297</v>
      </c>
      <c r="N17" s="3943"/>
      <c r="O17" s="3944">
        <v>10000000</v>
      </c>
      <c r="P17" s="3945">
        <v>10300000</v>
      </c>
      <c r="Q17" s="3945">
        <v>10609000</v>
      </c>
      <c r="R17" s="3945">
        <v>21854540</v>
      </c>
      <c r="S17" s="3945">
        <v>22510176.199999999</v>
      </c>
      <c r="T17" s="3945">
        <v>23185481.486000001</v>
      </c>
      <c r="U17" s="3945">
        <v>23881045.930580001</v>
      </c>
      <c r="V17" s="3945">
        <v>24597477.308497403</v>
      </c>
      <c r="W17" s="3945">
        <v>25335401.627752326</v>
      </c>
      <c r="X17" s="3945">
        <v>26095463.676584896</v>
      </c>
      <c r="Y17" s="3945">
        <v>26878327.586882442</v>
      </c>
      <c r="Z17" s="3945">
        <v>225246913.81629708</v>
      </c>
      <c r="AA17" s="4243">
        <v>1</v>
      </c>
      <c r="AB17" s="4244" t="s">
        <v>3832</v>
      </c>
      <c r="AC17" s="3951"/>
      <c r="AD17" s="3951"/>
      <c r="AE17" s="4245">
        <v>1116000</v>
      </c>
      <c r="AF17" s="3951">
        <v>1116000</v>
      </c>
      <c r="AG17" s="3951"/>
      <c r="AH17" s="3951"/>
      <c r="AI17" s="3951"/>
      <c r="AJ17" s="3951"/>
      <c r="AK17" s="3951"/>
      <c r="AL17" s="3951"/>
      <c r="AM17" s="3951"/>
      <c r="AN17" s="3951"/>
      <c r="AO17" s="3951"/>
      <c r="AP17" s="3951"/>
      <c r="AQ17" s="3951"/>
      <c r="AR17" s="3951"/>
      <c r="AS17" s="3951"/>
      <c r="AT17" s="3951"/>
      <c r="AU17" s="3951"/>
      <c r="AV17" s="3951"/>
      <c r="AW17" s="3951"/>
      <c r="AX17" s="3951"/>
      <c r="AY17" s="3951"/>
      <c r="AZ17" s="3951"/>
      <c r="BA17" s="3951"/>
      <c r="BB17" s="3951"/>
      <c r="BC17" s="3951"/>
      <c r="BD17" s="3951"/>
      <c r="BE17" s="3951"/>
      <c r="BF17" s="3951"/>
      <c r="BG17" s="3951"/>
      <c r="BH17" s="3951"/>
      <c r="BI17" s="3951"/>
      <c r="BJ17" s="3951"/>
      <c r="BK17" s="3951"/>
      <c r="BL17" s="3951"/>
      <c r="BM17" s="3951"/>
      <c r="BN17" s="3951"/>
      <c r="BO17" s="3951"/>
      <c r="BP17" s="3951"/>
      <c r="BQ17" s="3951"/>
      <c r="BR17" s="2061"/>
      <c r="BS17" s="3941">
        <v>1</v>
      </c>
      <c r="BT17" s="3952">
        <v>1</v>
      </c>
      <c r="BU17" s="3953">
        <v>1</v>
      </c>
      <c r="BV17" s="2408">
        <v>1</v>
      </c>
      <c r="BW17" s="15856"/>
      <c r="BX17" s="3954" t="s">
        <v>3832</v>
      </c>
      <c r="BY17" s="3941"/>
      <c r="BZ17" s="3941"/>
      <c r="CA17" s="3955">
        <v>1200000</v>
      </c>
      <c r="CB17" s="3955">
        <v>1200000</v>
      </c>
      <c r="CC17" s="3955"/>
      <c r="CD17" s="3955"/>
      <c r="CE17" s="3956">
        <v>23</v>
      </c>
      <c r="CF17" s="3956">
        <v>0</v>
      </c>
      <c r="CG17" s="3956">
        <v>23</v>
      </c>
      <c r="CH17" s="3956">
        <v>23</v>
      </c>
      <c r="CI17" s="3956">
        <v>0</v>
      </c>
      <c r="CJ17" s="3956">
        <v>0</v>
      </c>
      <c r="CK17" s="3956">
        <v>4</v>
      </c>
      <c r="CL17" s="3956">
        <v>6</v>
      </c>
      <c r="CM17" s="3956">
        <v>2</v>
      </c>
      <c r="CN17" s="3956">
        <v>5</v>
      </c>
      <c r="CO17" s="3956">
        <v>6</v>
      </c>
      <c r="CP17" s="3956"/>
      <c r="CQ17" s="3956"/>
      <c r="CR17" s="3956"/>
      <c r="CS17" s="3956"/>
      <c r="CT17" s="3956"/>
      <c r="CU17" s="3956"/>
      <c r="CV17" s="3956"/>
      <c r="CW17" s="3956"/>
      <c r="CX17" s="3956"/>
      <c r="CY17" s="3956"/>
      <c r="CZ17" s="3956"/>
      <c r="DA17" s="3974">
        <v>23</v>
      </c>
      <c r="DB17" s="3956"/>
      <c r="DC17" s="3956"/>
      <c r="DD17" s="3956"/>
      <c r="DE17" s="3956"/>
      <c r="DF17" s="3956"/>
      <c r="DG17" s="3956"/>
      <c r="DH17" s="3957"/>
      <c r="DI17" s="3957"/>
      <c r="DJ17" s="3957"/>
      <c r="DK17" s="3957"/>
      <c r="DL17" s="3957"/>
      <c r="DM17" s="3957"/>
      <c r="DN17" s="4239"/>
      <c r="DO17" s="1790"/>
      <c r="DP17" s="4457"/>
      <c r="DQ17" s="4195"/>
      <c r="DR17" s="4195"/>
      <c r="DS17" s="4195"/>
      <c r="DT17" s="3951"/>
      <c r="DU17" s="3951"/>
      <c r="DV17" s="3951"/>
      <c r="DW17" s="3951"/>
      <c r="DX17" s="3951"/>
      <c r="DY17" s="3951"/>
      <c r="DZ17" s="3951"/>
      <c r="EA17" s="3951"/>
      <c r="EB17" s="3951"/>
      <c r="EC17" s="3951"/>
      <c r="ED17" s="3951"/>
      <c r="EE17" s="3951"/>
      <c r="EF17" s="3951"/>
      <c r="EG17" s="3951"/>
      <c r="EH17" s="3951"/>
      <c r="EI17" s="3951"/>
      <c r="EJ17" s="3951"/>
      <c r="EK17" s="3951"/>
      <c r="EL17" s="3951"/>
      <c r="EM17" s="3951"/>
      <c r="EN17" s="3951"/>
      <c r="EO17" s="3951"/>
      <c r="EP17" s="3951"/>
      <c r="EQ17" s="3951"/>
      <c r="ER17" s="3951"/>
      <c r="ES17" s="3951"/>
      <c r="ET17" s="3951"/>
      <c r="EU17" s="3951"/>
      <c r="EV17" s="3951"/>
      <c r="EW17" s="3951"/>
      <c r="EX17" s="3951"/>
      <c r="EY17" s="3951"/>
      <c r="EZ17" s="3951"/>
      <c r="FA17" s="3951"/>
      <c r="FB17" s="3951"/>
      <c r="FC17" s="3951"/>
      <c r="FD17" s="3951"/>
      <c r="FE17" s="3951"/>
      <c r="FF17" s="3951"/>
      <c r="FG17" s="3951"/>
      <c r="FH17" s="3951"/>
      <c r="FI17" s="2061"/>
    </row>
    <row r="18" spans="1:165" s="1791" customFormat="1" ht="15" customHeight="1">
      <c r="A18" s="15831"/>
      <c r="B18" s="15769"/>
      <c r="C18" s="15769"/>
      <c r="D18" s="15768"/>
      <c r="E18" s="15770"/>
      <c r="F18" s="15770"/>
      <c r="G18" s="3962"/>
      <c r="H18" s="3963"/>
      <c r="I18" s="3963"/>
      <c r="J18" s="15772"/>
      <c r="K18" s="15774"/>
      <c r="L18" s="4420" t="s">
        <v>4305</v>
      </c>
      <c r="M18" s="3964"/>
      <c r="N18" s="3943" t="s">
        <v>1314</v>
      </c>
      <c r="O18" s="3965"/>
      <c r="P18" s="3966"/>
      <c r="Q18" s="3966"/>
      <c r="R18" s="3966"/>
      <c r="S18" s="3966"/>
      <c r="T18" s="3966"/>
      <c r="U18" s="3966"/>
      <c r="V18" s="3966"/>
      <c r="W18" s="3966"/>
      <c r="X18" s="3966"/>
      <c r="Y18" s="3966"/>
      <c r="Z18" s="3966"/>
      <c r="AA18" s="3967"/>
      <c r="AB18" s="3968"/>
      <c r="AC18" s="3969"/>
      <c r="AD18" s="3969"/>
      <c r="AE18" s="3970"/>
      <c r="AF18" s="3969"/>
      <c r="AG18" s="3969"/>
      <c r="AH18" s="3969"/>
      <c r="AI18" s="3969"/>
      <c r="AJ18" s="3969"/>
      <c r="AK18" s="3969"/>
      <c r="AL18" s="3969"/>
      <c r="AM18" s="3969"/>
      <c r="AN18" s="3969"/>
      <c r="AO18" s="3969"/>
      <c r="AP18" s="3969"/>
      <c r="AQ18" s="3969"/>
      <c r="AR18" s="3969"/>
      <c r="AS18" s="3969"/>
      <c r="AT18" s="3969"/>
      <c r="AU18" s="3969"/>
      <c r="AV18" s="3969"/>
      <c r="AW18" s="3969"/>
      <c r="AX18" s="3969"/>
      <c r="AY18" s="3969"/>
      <c r="AZ18" s="3969"/>
      <c r="BA18" s="3969"/>
      <c r="BB18" s="3969"/>
      <c r="BC18" s="3969"/>
      <c r="BD18" s="3969"/>
      <c r="BE18" s="3969"/>
      <c r="BF18" s="3969"/>
      <c r="BG18" s="3969"/>
      <c r="BH18" s="3969"/>
      <c r="BI18" s="3969"/>
      <c r="BJ18" s="3969"/>
      <c r="BK18" s="3969"/>
      <c r="BL18" s="3969"/>
      <c r="BM18" s="3969"/>
      <c r="BN18" s="3969"/>
      <c r="BO18" s="3969"/>
      <c r="BP18" s="3969"/>
      <c r="BQ18" s="3969"/>
      <c r="BR18" s="3971"/>
      <c r="BS18" s="3941"/>
      <c r="BT18" s="3972"/>
      <c r="BU18" s="3973"/>
      <c r="BV18" s="2408"/>
      <c r="BW18" s="15856"/>
      <c r="BX18" s="3954"/>
      <c r="BY18" s="3941"/>
      <c r="BZ18" s="3941"/>
      <c r="CA18" s="3955"/>
      <c r="CB18" s="3955"/>
      <c r="CC18" s="3955"/>
      <c r="CD18" s="3955"/>
      <c r="CE18" s="3956"/>
      <c r="CF18" s="3956"/>
      <c r="CG18" s="3956"/>
      <c r="CH18" s="3956"/>
      <c r="CI18" s="3956"/>
      <c r="CJ18" s="3956"/>
      <c r="CK18" s="3956"/>
      <c r="CL18" s="3956"/>
      <c r="CM18" s="3956"/>
      <c r="CN18" s="3956"/>
      <c r="CO18" s="3956"/>
      <c r="CP18" s="3956"/>
      <c r="CQ18" s="3956"/>
      <c r="CR18" s="3956"/>
      <c r="CS18" s="3956"/>
      <c r="CT18" s="3956"/>
      <c r="CU18" s="3956"/>
      <c r="CV18" s="3956"/>
      <c r="CW18" s="3956"/>
      <c r="CX18" s="3956"/>
      <c r="CY18" s="3956"/>
      <c r="CZ18" s="3956"/>
      <c r="DA18" s="3974"/>
      <c r="DB18" s="3956"/>
      <c r="DC18" s="3956"/>
      <c r="DD18" s="3956"/>
      <c r="DE18" s="3956"/>
      <c r="DF18" s="3956"/>
      <c r="DG18" s="3956"/>
      <c r="DH18" s="3957"/>
      <c r="DI18" s="3957"/>
      <c r="DJ18" s="3957"/>
      <c r="DK18" s="3957"/>
      <c r="DL18" s="3957"/>
      <c r="DM18" s="3957"/>
      <c r="DN18" s="4239"/>
      <c r="DO18" s="1790"/>
      <c r="DP18" s="4457"/>
      <c r="DQ18" s="4195"/>
      <c r="DR18" s="4195"/>
      <c r="DS18" s="4195"/>
      <c r="DT18" s="3951"/>
      <c r="DU18" s="3951"/>
      <c r="DV18" s="3951"/>
      <c r="DW18" s="3951"/>
      <c r="DX18" s="3951"/>
      <c r="DY18" s="3951"/>
      <c r="DZ18" s="3951"/>
      <c r="EA18" s="3951"/>
      <c r="EB18" s="3951"/>
      <c r="EC18" s="3951"/>
      <c r="ED18" s="3951"/>
      <c r="EE18" s="3951"/>
      <c r="EF18" s="3951"/>
      <c r="EG18" s="3951"/>
      <c r="EH18" s="3951"/>
      <c r="EI18" s="3951"/>
      <c r="EJ18" s="3951"/>
      <c r="EK18" s="3951"/>
      <c r="EL18" s="3951"/>
      <c r="EM18" s="3951"/>
      <c r="EN18" s="3951"/>
      <c r="EO18" s="3951"/>
      <c r="EP18" s="3951"/>
      <c r="EQ18" s="3951"/>
      <c r="ER18" s="3951"/>
      <c r="ES18" s="3951"/>
      <c r="ET18" s="3951"/>
      <c r="EU18" s="3951"/>
      <c r="EV18" s="3951"/>
      <c r="EW18" s="3951"/>
      <c r="EX18" s="3951"/>
      <c r="EY18" s="3951"/>
      <c r="EZ18" s="3951"/>
      <c r="FA18" s="3951"/>
      <c r="FB18" s="3951"/>
      <c r="FC18" s="3951"/>
      <c r="FD18" s="3951"/>
      <c r="FE18" s="3951"/>
      <c r="FF18" s="3951"/>
      <c r="FG18" s="3951"/>
      <c r="FH18" s="3951"/>
      <c r="FI18" s="2061"/>
    </row>
    <row r="19" spans="1:165" s="1791" customFormat="1" ht="15" customHeight="1" thickBot="1">
      <c r="A19" s="15832"/>
      <c r="B19" s="15790"/>
      <c r="C19" s="15790"/>
      <c r="D19" s="4394" t="s">
        <v>7844</v>
      </c>
      <c r="E19" s="1881" t="s">
        <v>1315</v>
      </c>
      <c r="F19" s="3886" t="s">
        <v>1316</v>
      </c>
      <c r="G19" s="3886" t="s">
        <v>70</v>
      </c>
      <c r="H19" s="1882">
        <v>3</v>
      </c>
      <c r="I19" s="1882">
        <v>6</v>
      </c>
      <c r="J19" s="1882">
        <v>9</v>
      </c>
      <c r="K19" s="1883" t="s">
        <v>234</v>
      </c>
      <c r="L19" s="4421" t="s">
        <v>218</v>
      </c>
      <c r="M19" s="1884" t="s">
        <v>1297</v>
      </c>
      <c r="N19" s="3975" t="s">
        <v>235</v>
      </c>
      <c r="O19" s="1885">
        <v>75000000</v>
      </c>
      <c r="P19" s="1886">
        <v>77250000</v>
      </c>
      <c r="Q19" s="1886">
        <v>79567500</v>
      </c>
      <c r="R19" s="1886">
        <v>163909050</v>
      </c>
      <c r="S19" s="1886">
        <v>168826321.5</v>
      </c>
      <c r="T19" s="1886">
        <v>173891111.14500001</v>
      </c>
      <c r="U19" s="1886">
        <v>179107844.47935003</v>
      </c>
      <c r="V19" s="1886">
        <v>184481079.81373054</v>
      </c>
      <c r="W19" s="1886">
        <v>190015512.20814246</v>
      </c>
      <c r="X19" s="1886">
        <v>195715977.57438675</v>
      </c>
      <c r="Y19" s="1886">
        <v>231750000</v>
      </c>
      <c r="Z19" s="1886">
        <v>1719514396.7206099</v>
      </c>
      <c r="AA19" s="821">
        <v>1</v>
      </c>
      <c r="AB19" s="381" t="s">
        <v>3833</v>
      </c>
      <c r="AC19" s="1887" t="s">
        <v>3834</v>
      </c>
      <c r="AD19" s="1888"/>
      <c r="AE19" s="1889">
        <v>53158000</v>
      </c>
      <c r="AF19" s="1889">
        <v>53158000</v>
      </c>
      <c r="AG19" s="1888"/>
      <c r="AH19" s="1888"/>
      <c r="AI19" s="1888"/>
      <c r="AJ19" s="1888"/>
      <c r="AK19" s="1888"/>
      <c r="AL19" s="1888"/>
      <c r="AM19" s="1888"/>
      <c r="AN19" s="1888"/>
      <c r="AO19" s="1888"/>
      <c r="AP19" s="1888"/>
      <c r="AQ19" s="1888"/>
      <c r="AR19" s="1888"/>
      <c r="AS19" s="1888"/>
      <c r="AT19" s="1888"/>
      <c r="AU19" s="1888"/>
      <c r="AV19" s="1888"/>
      <c r="AW19" s="1888"/>
      <c r="AX19" s="1888"/>
      <c r="AY19" s="1888"/>
      <c r="AZ19" s="1888"/>
      <c r="BA19" s="1888"/>
      <c r="BB19" s="1888"/>
      <c r="BC19" s="1888"/>
      <c r="BD19" s="1888"/>
      <c r="BE19" s="1888"/>
      <c r="BF19" s="1888"/>
      <c r="BG19" s="1888"/>
      <c r="BH19" s="1888"/>
      <c r="BI19" s="1888"/>
      <c r="BJ19" s="1888"/>
      <c r="BK19" s="1888"/>
      <c r="BL19" s="1888"/>
      <c r="BM19" s="1888"/>
      <c r="BN19" s="1888"/>
      <c r="BO19" s="1888"/>
      <c r="BP19" s="1888"/>
      <c r="BQ19" s="1888"/>
      <c r="BR19" s="1890"/>
      <c r="BS19" s="4394">
        <v>4</v>
      </c>
      <c r="BT19" s="1891">
        <v>4</v>
      </c>
      <c r="BU19" s="1892">
        <v>4</v>
      </c>
      <c r="BV19" s="4221">
        <v>1</v>
      </c>
      <c r="BW19" s="15857"/>
      <c r="BX19" s="4395" t="s">
        <v>3833</v>
      </c>
      <c r="BY19" s="4394" t="s">
        <v>3834</v>
      </c>
      <c r="BZ19" s="4394"/>
      <c r="CA19" s="4396">
        <v>56000000</v>
      </c>
      <c r="CB19" s="4396">
        <v>56000000</v>
      </c>
      <c r="CC19" s="4396"/>
      <c r="CD19" s="4396"/>
      <c r="CE19" s="4397">
        <v>4</v>
      </c>
      <c r="CF19" s="4397">
        <v>2</v>
      </c>
      <c r="CG19" s="4397">
        <v>2</v>
      </c>
      <c r="CH19" s="4397"/>
      <c r="CI19" s="4397"/>
      <c r="CJ19" s="4397"/>
      <c r="CK19" s="4397"/>
      <c r="CL19" s="4397"/>
      <c r="CM19" s="4397"/>
      <c r="CN19" s="4397"/>
      <c r="CO19" s="4397"/>
      <c r="CP19" s="4397"/>
      <c r="CQ19" s="4397"/>
      <c r="CR19" s="4397"/>
      <c r="CS19" s="4397"/>
      <c r="CT19" s="4397"/>
      <c r="CU19" s="4397"/>
      <c r="CV19" s="4397"/>
      <c r="CW19" s="4397"/>
      <c r="CX19" s="4397"/>
      <c r="CY19" s="4397"/>
      <c r="CZ19" s="4397"/>
      <c r="DA19" s="4398">
        <v>4</v>
      </c>
      <c r="DB19" s="4397"/>
      <c r="DC19" s="4397"/>
      <c r="DD19" s="4397"/>
      <c r="DE19" s="4397"/>
      <c r="DF19" s="4397"/>
      <c r="DG19" s="4399"/>
      <c r="DH19" s="4399"/>
      <c r="DI19" s="4399"/>
      <c r="DJ19" s="4399"/>
      <c r="DK19" s="4399"/>
      <c r="DL19" s="4399"/>
      <c r="DM19" s="4399"/>
      <c r="DN19" s="4400"/>
      <c r="DO19" s="1790"/>
      <c r="DP19" s="4457"/>
      <c r="DQ19" s="4195"/>
      <c r="DR19" s="4195"/>
      <c r="DS19" s="4195"/>
      <c r="DT19" s="3951"/>
      <c r="DU19" s="3951"/>
      <c r="DV19" s="3951"/>
      <c r="DW19" s="3951"/>
      <c r="DX19" s="3951"/>
      <c r="DY19" s="3951"/>
      <c r="DZ19" s="3951"/>
      <c r="EA19" s="3951"/>
      <c r="EB19" s="3951"/>
      <c r="EC19" s="3951"/>
      <c r="ED19" s="3951"/>
      <c r="EE19" s="3951"/>
      <c r="EF19" s="3951"/>
      <c r="EG19" s="3951"/>
      <c r="EH19" s="3951"/>
      <c r="EI19" s="3951"/>
      <c r="EJ19" s="3951"/>
      <c r="EK19" s="3951"/>
      <c r="EL19" s="3951"/>
      <c r="EM19" s="3951"/>
      <c r="EN19" s="3951"/>
      <c r="EO19" s="3951"/>
      <c r="EP19" s="3951"/>
      <c r="EQ19" s="3951"/>
      <c r="ER19" s="3951"/>
      <c r="ES19" s="3951"/>
      <c r="ET19" s="3951"/>
      <c r="EU19" s="3951"/>
      <c r="EV19" s="3951"/>
      <c r="EW19" s="3951"/>
      <c r="EX19" s="3951"/>
      <c r="EY19" s="3951"/>
      <c r="EZ19" s="3951"/>
      <c r="FA19" s="3951"/>
      <c r="FB19" s="3951"/>
      <c r="FC19" s="3951"/>
      <c r="FD19" s="3951"/>
      <c r="FE19" s="3951"/>
      <c r="FF19" s="3951"/>
      <c r="FG19" s="3951"/>
      <c r="FH19" s="3951"/>
      <c r="FI19" s="2061"/>
    </row>
    <row r="20" spans="1:165" s="1754" customFormat="1" ht="15" customHeight="1">
      <c r="A20" s="15817" t="s">
        <v>1317</v>
      </c>
      <c r="B20" s="15762" t="s">
        <v>1318</v>
      </c>
      <c r="C20" s="15755" t="s">
        <v>1319</v>
      </c>
      <c r="D20" s="15752" t="s">
        <v>7845</v>
      </c>
      <c r="E20" s="15755" t="s">
        <v>1320</v>
      </c>
      <c r="F20" s="15755" t="s">
        <v>497</v>
      </c>
      <c r="G20" s="3883" t="s">
        <v>254</v>
      </c>
      <c r="H20" s="3984">
        <v>1</v>
      </c>
      <c r="I20" s="3984">
        <v>1</v>
      </c>
      <c r="J20" s="15765">
        <v>1</v>
      </c>
      <c r="K20" s="15758" t="s">
        <v>1321</v>
      </c>
      <c r="L20" s="4422" t="s">
        <v>4305</v>
      </c>
      <c r="M20" s="3985" t="s">
        <v>1322</v>
      </c>
      <c r="N20" s="3985"/>
      <c r="O20" s="1893">
        <v>20000000</v>
      </c>
      <c r="P20" s="1894">
        <v>20600000</v>
      </c>
      <c r="Q20" s="1894">
        <v>21218000</v>
      </c>
      <c r="R20" s="1894">
        <v>21854540</v>
      </c>
      <c r="S20" s="1894">
        <v>22510176.199999999</v>
      </c>
      <c r="T20" s="1894">
        <v>23185481.486000001</v>
      </c>
      <c r="U20" s="1894">
        <v>23881045.930580001</v>
      </c>
      <c r="V20" s="1894">
        <v>24597477.308497403</v>
      </c>
      <c r="W20" s="1894">
        <v>25335401.627752326</v>
      </c>
      <c r="X20" s="1894">
        <v>26095463.676584896</v>
      </c>
      <c r="Y20" s="1894">
        <v>26878327.586882442</v>
      </c>
      <c r="Z20" s="1893">
        <v>256155913.81629708</v>
      </c>
      <c r="AA20" s="1895">
        <v>1</v>
      </c>
      <c r="AB20" s="1896" t="s">
        <v>3223</v>
      </c>
      <c r="AC20" s="4387" t="s">
        <v>2964</v>
      </c>
      <c r="AD20" s="1897"/>
      <c r="AE20" s="1898">
        <f>17487*AI20</f>
        <v>419688</v>
      </c>
      <c r="AF20" s="1897"/>
      <c r="AG20" s="1897"/>
      <c r="AH20" s="1897"/>
      <c r="AI20" s="1899">
        <v>24</v>
      </c>
      <c r="AJ20" s="1899">
        <v>9</v>
      </c>
      <c r="AK20" s="1899">
        <v>15</v>
      </c>
      <c r="AL20" s="1899">
        <v>24</v>
      </c>
      <c r="AM20" s="1897"/>
      <c r="AN20" s="1897"/>
      <c r="AO20" s="1897"/>
      <c r="AP20" s="1899">
        <v>4</v>
      </c>
      <c r="AQ20" s="1899">
        <v>7</v>
      </c>
      <c r="AR20" s="1899">
        <v>6</v>
      </c>
      <c r="AS20" s="1899">
        <v>7</v>
      </c>
      <c r="AT20" s="1897"/>
      <c r="AU20" s="1899">
        <v>14</v>
      </c>
      <c r="AV20" s="1899">
        <v>1</v>
      </c>
      <c r="AW20" s="1899">
        <v>3</v>
      </c>
      <c r="AX20" s="1899">
        <v>2</v>
      </c>
      <c r="AY20" s="1899">
        <v>4</v>
      </c>
      <c r="AZ20" s="1899"/>
      <c r="BA20" s="1897"/>
      <c r="BB20" s="1897"/>
      <c r="BC20" s="1897"/>
      <c r="BD20" s="1897"/>
      <c r="BE20" s="1899">
        <v>24</v>
      </c>
      <c r="BF20" s="1897"/>
      <c r="BG20" s="1897"/>
      <c r="BH20" s="1897"/>
      <c r="BI20" s="1897"/>
      <c r="BJ20" s="1897"/>
      <c r="BK20" s="1897"/>
      <c r="BL20" s="1897"/>
      <c r="BM20" s="1897"/>
      <c r="BN20" s="1897"/>
      <c r="BO20" s="1897"/>
      <c r="BP20" s="1897"/>
      <c r="BQ20" s="1897"/>
      <c r="BR20" s="1900"/>
      <c r="BS20" s="3983" t="s">
        <v>3781</v>
      </c>
      <c r="BT20" s="1899" t="s">
        <v>3781</v>
      </c>
      <c r="BU20" s="1899">
        <v>1</v>
      </c>
      <c r="BV20" s="4012" t="s">
        <v>3781</v>
      </c>
      <c r="BW20" s="15858">
        <v>1</v>
      </c>
      <c r="BX20" s="4388"/>
      <c r="BY20" s="4389"/>
      <c r="BZ20" s="3983" t="s">
        <v>8890</v>
      </c>
      <c r="CA20" s="4390"/>
      <c r="CB20" s="4390"/>
      <c r="CC20" s="4390"/>
      <c r="CD20" s="4390"/>
      <c r="CE20" s="4391"/>
      <c r="CF20" s="4391"/>
      <c r="CG20" s="4391"/>
      <c r="CH20" s="4391"/>
      <c r="CI20" s="4391"/>
      <c r="CJ20" s="4391"/>
      <c r="CK20" s="4391"/>
      <c r="CL20" s="4391"/>
      <c r="CM20" s="4391"/>
      <c r="CN20" s="4391"/>
      <c r="CO20" s="4391"/>
      <c r="CP20" s="4391"/>
      <c r="CQ20" s="4391"/>
      <c r="CR20" s="4391"/>
      <c r="CS20" s="4391"/>
      <c r="CT20" s="4391"/>
      <c r="CU20" s="4391"/>
      <c r="CV20" s="4391"/>
      <c r="CW20" s="4391"/>
      <c r="CX20" s="4391"/>
      <c r="CY20" s="4391"/>
      <c r="CZ20" s="4391"/>
      <c r="DA20" s="4392"/>
      <c r="DB20" s="4391"/>
      <c r="DC20" s="4391"/>
      <c r="DD20" s="4391"/>
      <c r="DE20" s="4391"/>
      <c r="DF20" s="4391"/>
      <c r="DG20" s="4391"/>
      <c r="DH20" s="4391"/>
      <c r="DI20" s="4391"/>
      <c r="DJ20" s="4391"/>
      <c r="DK20" s="4391"/>
      <c r="DL20" s="4391"/>
      <c r="DM20" s="4391"/>
      <c r="DN20" s="4393"/>
      <c r="DO20" s="1901"/>
      <c r="DP20" s="4458"/>
      <c r="DQ20" s="4449"/>
      <c r="DR20" s="4449"/>
      <c r="DS20" s="4449"/>
      <c r="DT20" s="3990"/>
      <c r="DU20" s="3990"/>
      <c r="DV20" s="3990"/>
      <c r="DW20" s="3990"/>
      <c r="DX20" s="3990"/>
      <c r="DY20" s="3990"/>
      <c r="DZ20" s="3990"/>
      <c r="EA20" s="3990"/>
      <c r="EB20" s="3990"/>
      <c r="EC20" s="3990"/>
      <c r="ED20" s="3990"/>
      <c r="EE20" s="3990"/>
      <c r="EF20" s="3990"/>
      <c r="EG20" s="3990"/>
      <c r="EH20" s="3990"/>
      <c r="EI20" s="3990"/>
      <c r="EJ20" s="3990"/>
      <c r="EK20" s="3990"/>
      <c r="EL20" s="3990"/>
      <c r="EM20" s="3990"/>
      <c r="EN20" s="3990"/>
      <c r="EO20" s="3990"/>
      <c r="EP20" s="3990"/>
      <c r="EQ20" s="3990"/>
      <c r="ER20" s="3990"/>
      <c r="ES20" s="3990"/>
      <c r="ET20" s="3990"/>
      <c r="EU20" s="3990"/>
      <c r="EV20" s="3990"/>
      <c r="EW20" s="3990"/>
      <c r="EX20" s="3990"/>
      <c r="EY20" s="3990"/>
      <c r="EZ20" s="3990"/>
      <c r="FA20" s="3990"/>
      <c r="FB20" s="3990"/>
      <c r="FC20" s="3990"/>
      <c r="FD20" s="3990"/>
      <c r="FE20" s="3990"/>
      <c r="FF20" s="3990"/>
      <c r="FG20" s="3990"/>
      <c r="FH20" s="3990"/>
      <c r="FI20" s="3992"/>
    </row>
    <row r="21" spans="1:165" s="1754" customFormat="1" ht="15" customHeight="1">
      <c r="A21" s="15817"/>
      <c r="B21" s="15762"/>
      <c r="C21" s="15755"/>
      <c r="D21" s="15761"/>
      <c r="E21" s="15762"/>
      <c r="F21" s="15762"/>
      <c r="G21" s="3883"/>
      <c r="H21" s="3984"/>
      <c r="I21" s="3984"/>
      <c r="J21" s="15764"/>
      <c r="K21" s="15760"/>
      <c r="L21" s="4422" t="s">
        <v>10185</v>
      </c>
      <c r="M21" s="3985"/>
      <c r="N21" s="3985" t="s">
        <v>1323</v>
      </c>
      <c r="O21" s="1893"/>
      <c r="P21" s="1894"/>
      <c r="Q21" s="1894"/>
      <c r="R21" s="1894"/>
      <c r="S21" s="1894"/>
      <c r="T21" s="1894"/>
      <c r="U21" s="1894"/>
      <c r="V21" s="1894"/>
      <c r="W21" s="1894"/>
      <c r="X21" s="1894"/>
      <c r="Y21" s="1894"/>
      <c r="Z21" s="1893"/>
      <c r="AA21" s="1895"/>
      <c r="AB21" s="1896"/>
      <c r="AC21" s="3977"/>
      <c r="AD21" s="1897"/>
      <c r="AE21" s="1898"/>
      <c r="AF21" s="1897"/>
      <c r="AG21" s="1897"/>
      <c r="AH21" s="1897"/>
      <c r="AI21" s="1899"/>
      <c r="AJ21" s="1899"/>
      <c r="AK21" s="1899"/>
      <c r="AL21" s="1899"/>
      <c r="AM21" s="1897"/>
      <c r="AN21" s="1897"/>
      <c r="AO21" s="1897"/>
      <c r="AP21" s="1899"/>
      <c r="AQ21" s="1899"/>
      <c r="AR21" s="1899"/>
      <c r="AS21" s="1899"/>
      <c r="AT21" s="1897"/>
      <c r="AU21" s="1899"/>
      <c r="AV21" s="1899"/>
      <c r="AW21" s="1899"/>
      <c r="AX21" s="1899"/>
      <c r="AY21" s="1899"/>
      <c r="AZ21" s="1899"/>
      <c r="BA21" s="1897"/>
      <c r="BB21" s="1897"/>
      <c r="BC21" s="1897"/>
      <c r="BD21" s="1897"/>
      <c r="BE21" s="1899"/>
      <c r="BF21" s="1897"/>
      <c r="BG21" s="1897"/>
      <c r="BH21" s="1897"/>
      <c r="BI21" s="1897"/>
      <c r="BJ21" s="1897"/>
      <c r="BK21" s="1897"/>
      <c r="BL21" s="1897"/>
      <c r="BM21" s="1897"/>
      <c r="BN21" s="1897"/>
      <c r="BO21" s="1897"/>
      <c r="BP21" s="1897"/>
      <c r="BQ21" s="1897"/>
      <c r="BR21" s="1900"/>
      <c r="BS21" s="3976"/>
      <c r="BT21" s="1899"/>
      <c r="BU21" s="1899"/>
      <c r="BV21" s="2295"/>
      <c r="BW21" s="15858"/>
      <c r="BX21" s="3978"/>
      <c r="BY21" s="3979"/>
      <c r="BZ21" s="3976"/>
      <c r="CA21" s="3980"/>
      <c r="CB21" s="3980"/>
      <c r="CC21" s="3980"/>
      <c r="CD21" s="3980"/>
      <c r="CE21" s="3981"/>
      <c r="CF21" s="3981"/>
      <c r="CG21" s="3981"/>
      <c r="CH21" s="3981"/>
      <c r="CI21" s="3981"/>
      <c r="CJ21" s="3981"/>
      <c r="CK21" s="3981"/>
      <c r="CL21" s="3981"/>
      <c r="CM21" s="3981"/>
      <c r="CN21" s="3981"/>
      <c r="CO21" s="3981"/>
      <c r="CP21" s="3981"/>
      <c r="CQ21" s="3981"/>
      <c r="CR21" s="3981"/>
      <c r="CS21" s="3981"/>
      <c r="CT21" s="3981"/>
      <c r="CU21" s="3981"/>
      <c r="CV21" s="3981"/>
      <c r="CW21" s="3981"/>
      <c r="CX21" s="3981"/>
      <c r="CY21" s="3981"/>
      <c r="CZ21" s="3981"/>
      <c r="DA21" s="3982"/>
      <c r="DB21" s="3981"/>
      <c r="DC21" s="3981"/>
      <c r="DD21" s="3981"/>
      <c r="DE21" s="3981"/>
      <c r="DF21" s="3981"/>
      <c r="DG21" s="3981"/>
      <c r="DH21" s="3981"/>
      <c r="DI21" s="3981"/>
      <c r="DJ21" s="3981"/>
      <c r="DK21" s="3981"/>
      <c r="DL21" s="3981"/>
      <c r="DM21" s="3981"/>
      <c r="DN21" s="4246"/>
      <c r="DO21" s="1901"/>
      <c r="DP21" s="4458"/>
      <c r="DQ21" s="4449"/>
      <c r="DR21" s="4449"/>
      <c r="DS21" s="4449"/>
      <c r="DT21" s="3990"/>
      <c r="DU21" s="3990"/>
      <c r="DV21" s="3990"/>
      <c r="DW21" s="3990"/>
      <c r="DX21" s="3990"/>
      <c r="DY21" s="3990"/>
      <c r="DZ21" s="3990"/>
      <c r="EA21" s="3990"/>
      <c r="EB21" s="3990"/>
      <c r="EC21" s="3990"/>
      <c r="ED21" s="3990"/>
      <c r="EE21" s="3990"/>
      <c r="EF21" s="3990"/>
      <c r="EG21" s="3990"/>
      <c r="EH21" s="3990"/>
      <c r="EI21" s="3990"/>
      <c r="EJ21" s="3990"/>
      <c r="EK21" s="3990"/>
      <c r="EL21" s="3990"/>
      <c r="EM21" s="3990"/>
      <c r="EN21" s="3990"/>
      <c r="EO21" s="3990"/>
      <c r="EP21" s="3990"/>
      <c r="EQ21" s="3990"/>
      <c r="ER21" s="3990"/>
      <c r="ES21" s="3990"/>
      <c r="ET21" s="3990"/>
      <c r="EU21" s="3990"/>
      <c r="EV21" s="3990"/>
      <c r="EW21" s="3990"/>
      <c r="EX21" s="3990"/>
      <c r="EY21" s="3990"/>
      <c r="EZ21" s="3990"/>
      <c r="FA21" s="3990"/>
      <c r="FB21" s="3990"/>
      <c r="FC21" s="3990"/>
      <c r="FD21" s="3990"/>
      <c r="FE21" s="3990"/>
      <c r="FF21" s="3990"/>
      <c r="FG21" s="3990"/>
      <c r="FH21" s="3990"/>
      <c r="FI21" s="3992"/>
    </row>
    <row r="22" spans="1:165" s="1754" customFormat="1" ht="15" customHeight="1">
      <c r="A22" s="15818"/>
      <c r="B22" s="15821"/>
      <c r="C22" s="15755"/>
      <c r="D22" s="15751" t="s">
        <v>7846</v>
      </c>
      <c r="E22" s="15754" t="s">
        <v>1324</v>
      </c>
      <c r="F22" s="15754" t="s">
        <v>313</v>
      </c>
      <c r="G22" s="3986" t="s">
        <v>254</v>
      </c>
      <c r="H22" s="3987" t="s">
        <v>315</v>
      </c>
      <c r="I22" s="3987">
        <v>0</v>
      </c>
      <c r="J22" s="15763" t="s">
        <v>111</v>
      </c>
      <c r="K22" s="15757" t="s">
        <v>313</v>
      </c>
      <c r="L22" s="4423" t="s">
        <v>4305</v>
      </c>
      <c r="M22" s="2731" t="s">
        <v>1322</v>
      </c>
      <c r="N22" s="2731"/>
      <c r="O22" s="3988">
        <v>20000000</v>
      </c>
      <c r="P22" s="3989">
        <v>0</v>
      </c>
      <c r="Q22" s="3989">
        <v>0</v>
      </c>
      <c r="R22" s="3989">
        <v>0</v>
      </c>
      <c r="S22" s="3989">
        <v>0</v>
      </c>
      <c r="T22" s="3989">
        <v>0</v>
      </c>
      <c r="U22" s="3989">
        <v>0</v>
      </c>
      <c r="V22" s="3989">
        <v>0</v>
      </c>
      <c r="W22" s="3989">
        <v>0</v>
      </c>
      <c r="X22" s="3989">
        <v>0</v>
      </c>
      <c r="Y22" s="3989">
        <v>30000000</v>
      </c>
      <c r="Z22" s="3988">
        <v>50000000</v>
      </c>
      <c r="AA22" s="3990"/>
      <c r="AB22" s="3991"/>
      <c r="AC22" s="3990"/>
      <c r="AD22" s="3990"/>
      <c r="AE22" s="3990"/>
      <c r="AF22" s="3990"/>
      <c r="AG22" s="3990"/>
      <c r="AH22" s="3990"/>
      <c r="AI22" s="3990"/>
      <c r="AJ22" s="3990"/>
      <c r="AK22" s="3990"/>
      <c r="AL22" s="3990"/>
      <c r="AM22" s="3990"/>
      <c r="AN22" s="3990"/>
      <c r="AO22" s="3990"/>
      <c r="AP22" s="3990"/>
      <c r="AQ22" s="3990"/>
      <c r="AR22" s="3990"/>
      <c r="AS22" s="3990"/>
      <c r="AT22" s="3990"/>
      <c r="AU22" s="3990"/>
      <c r="AV22" s="3990"/>
      <c r="AW22" s="3990"/>
      <c r="AX22" s="3990"/>
      <c r="AY22" s="3990"/>
      <c r="AZ22" s="3990"/>
      <c r="BA22" s="3990"/>
      <c r="BB22" s="3990"/>
      <c r="BC22" s="3990"/>
      <c r="BD22" s="3990"/>
      <c r="BE22" s="3990"/>
      <c r="BF22" s="3990"/>
      <c r="BG22" s="3990"/>
      <c r="BH22" s="3990"/>
      <c r="BI22" s="3990"/>
      <c r="BJ22" s="3990"/>
      <c r="BK22" s="3990"/>
      <c r="BL22" s="3990"/>
      <c r="BM22" s="3990"/>
      <c r="BN22" s="3990"/>
      <c r="BO22" s="3990"/>
      <c r="BP22" s="3990"/>
      <c r="BQ22" s="3990"/>
      <c r="BR22" s="3992"/>
      <c r="BS22" s="3976" t="s">
        <v>3781</v>
      </c>
      <c r="BT22" s="3993" t="s">
        <v>3781</v>
      </c>
      <c r="BU22" s="3993">
        <v>1</v>
      </c>
      <c r="BV22" s="2295" t="s">
        <v>3781</v>
      </c>
      <c r="BW22" s="15858"/>
      <c r="BX22" s="3994" t="s">
        <v>9686</v>
      </c>
      <c r="BY22" s="3979"/>
      <c r="BZ22" s="3976" t="s">
        <v>8890</v>
      </c>
      <c r="CA22" s="3980"/>
      <c r="CB22" s="3980"/>
      <c r="CC22" s="3980"/>
      <c r="CD22" s="3980"/>
      <c r="CE22" s="3981"/>
      <c r="CF22" s="3981"/>
      <c r="CG22" s="3981"/>
      <c r="CH22" s="3981"/>
      <c r="CI22" s="3981"/>
      <c r="CJ22" s="3981"/>
      <c r="CK22" s="3981"/>
      <c r="CL22" s="3981"/>
      <c r="CM22" s="3981"/>
      <c r="CN22" s="3981"/>
      <c r="CO22" s="3981"/>
      <c r="CP22" s="3981"/>
      <c r="CQ22" s="3981"/>
      <c r="CR22" s="3981"/>
      <c r="CS22" s="3981"/>
      <c r="CT22" s="3981"/>
      <c r="CU22" s="3981"/>
      <c r="CV22" s="3981"/>
      <c r="CW22" s="3981"/>
      <c r="CX22" s="3981"/>
      <c r="CY22" s="3981"/>
      <c r="CZ22" s="3981"/>
      <c r="DA22" s="3982"/>
      <c r="DB22" s="3981"/>
      <c r="DC22" s="3981"/>
      <c r="DD22" s="3981"/>
      <c r="DE22" s="3981"/>
      <c r="DF22" s="3981"/>
      <c r="DG22" s="3981"/>
      <c r="DH22" s="3981"/>
      <c r="DI22" s="3981"/>
      <c r="DJ22" s="3981"/>
      <c r="DK22" s="3981"/>
      <c r="DL22" s="3981"/>
      <c r="DM22" s="3981"/>
      <c r="DN22" s="4246"/>
      <c r="DO22" s="1901"/>
      <c r="DP22" s="4458"/>
      <c r="DQ22" s="4449"/>
      <c r="DR22" s="4449"/>
      <c r="DS22" s="4449"/>
      <c r="DT22" s="3990"/>
      <c r="DU22" s="3990"/>
      <c r="DV22" s="3990"/>
      <c r="DW22" s="3990"/>
      <c r="DX22" s="3990"/>
      <c r="DY22" s="3990"/>
      <c r="DZ22" s="3990"/>
      <c r="EA22" s="3990"/>
      <c r="EB22" s="3990"/>
      <c r="EC22" s="3990"/>
      <c r="ED22" s="3990"/>
      <c r="EE22" s="3990"/>
      <c r="EF22" s="3990"/>
      <c r="EG22" s="3990"/>
      <c r="EH22" s="3990"/>
      <c r="EI22" s="3990"/>
      <c r="EJ22" s="3990"/>
      <c r="EK22" s="3990"/>
      <c r="EL22" s="3990"/>
      <c r="EM22" s="3990"/>
      <c r="EN22" s="3990"/>
      <c r="EO22" s="3990"/>
      <c r="EP22" s="3990"/>
      <c r="EQ22" s="3990"/>
      <c r="ER22" s="3990"/>
      <c r="ES22" s="3990"/>
      <c r="ET22" s="3990"/>
      <c r="EU22" s="3990"/>
      <c r="EV22" s="3990"/>
      <c r="EW22" s="3990"/>
      <c r="EX22" s="3990"/>
      <c r="EY22" s="3990"/>
      <c r="EZ22" s="3990"/>
      <c r="FA22" s="3990"/>
      <c r="FB22" s="3990"/>
      <c r="FC22" s="3990"/>
      <c r="FD22" s="3990"/>
      <c r="FE22" s="3990"/>
      <c r="FF22" s="3990"/>
      <c r="FG22" s="3990"/>
      <c r="FH22" s="3990"/>
      <c r="FI22" s="3992"/>
    </row>
    <row r="23" spans="1:165" s="1754" customFormat="1" ht="15" customHeight="1">
      <c r="A23" s="15818"/>
      <c r="B23" s="15821"/>
      <c r="C23" s="15755"/>
      <c r="D23" s="15761"/>
      <c r="E23" s="15762"/>
      <c r="F23" s="15762"/>
      <c r="G23" s="3986"/>
      <c r="H23" s="3987"/>
      <c r="I23" s="3987"/>
      <c r="J23" s="15764"/>
      <c r="K23" s="15760"/>
      <c r="L23" s="4423" t="s">
        <v>10063</v>
      </c>
      <c r="M23" s="2731"/>
      <c r="N23" s="2731" t="s">
        <v>316</v>
      </c>
      <c r="O23" s="3988"/>
      <c r="P23" s="3989"/>
      <c r="Q23" s="3989"/>
      <c r="R23" s="3989"/>
      <c r="S23" s="3989"/>
      <c r="T23" s="3989"/>
      <c r="U23" s="3989"/>
      <c r="V23" s="3989"/>
      <c r="W23" s="3989"/>
      <c r="X23" s="3989"/>
      <c r="Y23" s="3989"/>
      <c r="Z23" s="3988"/>
      <c r="AA23" s="3990"/>
      <c r="AB23" s="3991"/>
      <c r="AC23" s="3990"/>
      <c r="AD23" s="3990"/>
      <c r="AE23" s="3990"/>
      <c r="AF23" s="3990"/>
      <c r="AG23" s="3990"/>
      <c r="AH23" s="3990"/>
      <c r="AI23" s="3990"/>
      <c r="AJ23" s="3990"/>
      <c r="AK23" s="3990"/>
      <c r="AL23" s="3990"/>
      <c r="AM23" s="3990"/>
      <c r="AN23" s="3990"/>
      <c r="AO23" s="3990"/>
      <c r="AP23" s="3990"/>
      <c r="AQ23" s="3990"/>
      <c r="AR23" s="3990"/>
      <c r="AS23" s="3990"/>
      <c r="AT23" s="3990"/>
      <c r="AU23" s="3990"/>
      <c r="AV23" s="3990"/>
      <c r="AW23" s="3990"/>
      <c r="AX23" s="3990"/>
      <c r="AY23" s="3990"/>
      <c r="AZ23" s="3990"/>
      <c r="BA23" s="3990"/>
      <c r="BB23" s="3990"/>
      <c r="BC23" s="3990"/>
      <c r="BD23" s="3990"/>
      <c r="BE23" s="3990"/>
      <c r="BF23" s="3990"/>
      <c r="BG23" s="3990"/>
      <c r="BH23" s="3990"/>
      <c r="BI23" s="3990"/>
      <c r="BJ23" s="3990"/>
      <c r="BK23" s="3990"/>
      <c r="BL23" s="3990"/>
      <c r="BM23" s="3990"/>
      <c r="BN23" s="3990"/>
      <c r="BO23" s="3990"/>
      <c r="BP23" s="3990"/>
      <c r="BQ23" s="3990"/>
      <c r="BR23" s="3992"/>
      <c r="BS23" s="3976"/>
      <c r="BT23" s="3993"/>
      <c r="BU23" s="3993"/>
      <c r="BV23" s="2295"/>
      <c r="BW23" s="15858"/>
      <c r="BX23" s="3994"/>
      <c r="BY23" s="3979"/>
      <c r="BZ23" s="3976"/>
      <c r="CA23" s="3980"/>
      <c r="CB23" s="3980"/>
      <c r="CC23" s="3980"/>
      <c r="CD23" s="3980"/>
      <c r="CE23" s="3981"/>
      <c r="CF23" s="3981"/>
      <c r="CG23" s="3981"/>
      <c r="CH23" s="3981"/>
      <c r="CI23" s="3981"/>
      <c r="CJ23" s="3981"/>
      <c r="CK23" s="3981"/>
      <c r="CL23" s="3981"/>
      <c r="CM23" s="3981"/>
      <c r="CN23" s="3981"/>
      <c r="CO23" s="3981"/>
      <c r="CP23" s="3981"/>
      <c r="CQ23" s="3981"/>
      <c r="CR23" s="3981"/>
      <c r="CS23" s="3981"/>
      <c r="CT23" s="3981"/>
      <c r="CU23" s="3981"/>
      <c r="CV23" s="3981"/>
      <c r="CW23" s="3981"/>
      <c r="CX23" s="3981"/>
      <c r="CY23" s="3981"/>
      <c r="CZ23" s="3981"/>
      <c r="DA23" s="3982"/>
      <c r="DB23" s="3981"/>
      <c r="DC23" s="3981"/>
      <c r="DD23" s="3981"/>
      <c r="DE23" s="3981"/>
      <c r="DF23" s="3981"/>
      <c r="DG23" s="3981"/>
      <c r="DH23" s="3981"/>
      <c r="DI23" s="3981"/>
      <c r="DJ23" s="3981"/>
      <c r="DK23" s="3981"/>
      <c r="DL23" s="3981"/>
      <c r="DM23" s="3981"/>
      <c r="DN23" s="4246"/>
      <c r="DO23" s="1901"/>
      <c r="DP23" s="4458"/>
      <c r="DQ23" s="4449"/>
      <c r="DR23" s="4449"/>
      <c r="DS23" s="4449"/>
      <c r="DT23" s="3990"/>
      <c r="DU23" s="3990"/>
      <c r="DV23" s="3990"/>
      <c r="DW23" s="3990"/>
      <c r="DX23" s="3990"/>
      <c r="DY23" s="3990"/>
      <c r="DZ23" s="3990"/>
      <c r="EA23" s="3990"/>
      <c r="EB23" s="3990"/>
      <c r="EC23" s="3990"/>
      <c r="ED23" s="3990"/>
      <c r="EE23" s="3990"/>
      <c r="EF23" s="3990"/>
      <c r="EG23" s="3990"/>
      <c r="EH23" s="3990"/>
      <c r="EI23" s="3990"/>
      <c r="EJ23" s="3990"/>
      <c r="EK23" s="3990"/>
      <c r="EL23" s="3990"/>
      <c r="EM23" s="3990"/>
      <c r="EN23" s="3990"/>
      <c r="EO23" s="3990"/>
      <c r="EP23" s="3990"/>
      <c r="EQ23" s="3990"/>
      <c r="ER23" s="3990"/>
      <c r="ES23" s="3990"/>
      <c r="ET23" s="3990"/>
      <c r="EU23" s="3990"/>
      <c r="EV23" s="3990"/>
      <c r="EW23" s="3990"/>
      <c r="EX23" s="3990"/>
      <c r="EY23" s="3990"/>
      <c r="EZ23" s="3990"/>
      <c r="FA23" s="3990"/>
      <c r="FB23" s="3990"/>
      <c r="FC23" s="3990"/>
      <c r="FD23" s="3990"/>
      <c r="FE23" s="3990"/>
      <c r="FF23" s="3990"/>
      <c r="FG23" s="3990"/>
      <c r="FH23" s="3990"/>
      <c r="FI23" s="3992"/>
    </row>
    <row r="24" spans="1:165" s="1754" customFormat="1" ht="15" customHeight="1">
      <c r="A24" s="15818"/>
      <c r="B24" s="15821"/>
      <c r="C24" s="15755"/>
      <c r="D24" s="15751" t="s">
        <v>7847</v>
      </c>
      <c r="E24" s="15754" t="s">
        <v>1325</v>
      </c>
      <c r="F24" s="15754" t="s">
        <v>318</v>
      </c>
      <c r="G24" s="3986" t="s">
        <v>254</v>
      </c>
      <c r="H24" s="3987">
        <v>1</v>
      </c>
      <c r="I24" s="3987">
        <v>1</v>
      </c>
      <c r="J24" s="15763">
        <v>2</v>
      </c>
      <c r="K24" s="15757" t="s">
        <v>319</v>
      </c>
      <c r="L24" s="4423" t="s">
        <v>4305</v>
      </c>
      <c r="M24" s="2731" t="s">
        <v>1322</v>
      </c>
      <c r="N24" s="2731"/>
      <c r="O24" s="3995">
        <v>30000000</v>
      </c>
      <c r="P24" s="3989">
        <v>30900000</v>
      </c>
      <c r="Q24" s="3989">
        <v>31827000</v>
      </c>
      <c r="R24" s="3989">
        <v>32781810</v>
      </c>
      <c r="S24" s="3989">
        <v>33765264.300000004</v>
      </c>
      <c r="T24" s="3989">
        <v>34778222.229000002</v>
      </c>
      <c r="U24" s="3989">
        <v>35821568.89587</v>
      </c>
      <c r="V24" s="3989">
        <v>36896215.962746099</v>
      </c>
      <c r="W24" s="3989">
        <v>38003102.441628486</v>
      </c>
      <c r="X24" s="3989">
        <v>39143195.514877342</v>
      </c>
      <c r="Y24" s="3989">
        <v>61800000</v>
      </c>
      <c r="Z24" s="3988">
        <v>405716379.34412193</v>
      </c>
      <c r="AA24" s="3990"/>
      <c r="AB24" s="3991"/>
      <c r="AC24" s="3990"/>
      <c r="AD24" s="3990"/>
      <c r="AE24" s="3990"/>
      <c r="AF24" s="3990"/>
      <c r="AG24" s="3990"/>
      <c r="AH24" s="3990"/>
      <c r="AI24" s="3990"/>
      <c r="AJ24" s="3990"/>
      <c r="AK24" s="3990"/>
      <c r="AL24" s="3990"/>
      <c r="AM24" s="3990"/>
      <c r="AN24" s="3990"/>
      <c r="AO24" s="3990"/>
      <c r="AP24" s="3990"/>
      <c r="AQ24" s="3990"/>
      <c r="AR24" s="3990"/>
      <c r="AS24" s="3990"/>
      <c r="AT24" s="3990"/>
      <c r="AU24" s="3990"/>
      <c r="AV24" s="3990"/>
      <c r="AW24" s="3990"/>
      <c r="AX24" s="3990"/>
      <c r="AY24" s="3990"/>
      <c r="AZ24" s="3990"/>
      <c r="BA24" s="3990"/>
      <c r="BB24" s="3990"/>
      <c r="BC24" s="3990"/>
      <c r="BD24" s="3990"/>
      <c r="BE24" s="3990"/>
      <c r="BF24" s="3990"/>
      <c r="BG24" s="3990"/>
      <c r="BH24" s="3990"/>
      <c r="BI24" s="3990"/>
      <c r="BJ24" s="3990"/>
      <c r="BK24" s="3990"/>
      <c r="BL24" s="3990"/>
      <c r="BM24" s="3990"/>
      <c r="BN24" s="3990"/>
      <c r="BO24" s="3990"/>
      <c r="BP24" s="3990"/>
      <c r="BQ24" s="3990"/>
      <c r="BR24" s="3992"/>
      <c r="BS24" s="3979" t="s">
        <v>3781</v>
      </c>
      <c r="BT24" s="3993" t="s">
        <v>3781</v>
      </c>
      <c r="BU24" s="3993">
        <v>2</v>
      </c>
      <c r="BV24" s="2295" t="s">
        <v>3781</v>
      </c>
      <c r="BW24" s="15858"/>
      <c r="BX24" s="3996" t="s">
        <v>8891</v>
      </c>
      <c r="BY24" s="3979"/>
      <c r="BZ24" s="3976" t="s">
        <v>8891</v>
      </c>
      <c r="CA24" s="3980"/>
      <c r="CB24" s="3980"/>
      <c r="CC24" s="3980"/>
      <c r="CD24" s="3980"/>
      <c r="CE24" s="3981"/>
      <c r="CF24" s="3981"/>
      <c r="CG24" s="3981"/>
      <c r="CH24" s="3981"/>
      <c r="CI24" s="3981"/>
      <c r="CJ24" s="3981"/>
      <c r="CK24" s="3981"/>
      <c r="CL24" s="3981"/>
      <c r="CM24" s="3981"/>
      <c r="CN24" s="3981"/>
      <c r="CO24" s="3981"/>
      <c r="CP24" s="3981"/>
      <c r="CQ24" s="3981"/>
      <c r="CR24" s="3981"/>
      <c r="CS24" s="3981"/>
      <c r="CT24" s="3981"/>
      <c r="CU24" s="3981"/>
      <c r="CV24" s="3981"/>
      <c r="CW24" s="3981"/>
      <c r="CX24" s="3981"/>
      <c r="CY24" s="3981"/>
      <c r="CZ24" s="3981"/>
      <c r="DA24" s="3982"/>
      <c r="DB24" s="3981"/>
      <c r="DC24" s="3981"/>
      <c r="DD24" s="3981"/>
      <c r="DE24" s="3981"/>
      <c r="DF24" s="3981"/>
      <c r="DG24" s="3981"/>
      <c r="DH24" s="3981"/>
      <c r="DI24" s="3981"/>
      <c r="DJ24" s="3981"/>
      <c r="DK24" s="3981"/>
      <c r="DL24" s="3981"/>
      <c r="DM24" s="3981"/>
      <c r="DN24" s="4246"/>
      <c r="DO24" s="1901"/>
      <c r="DP24" s="4458"/>
      <c r="DQ24" s="4449"/>
      <c r="DR24" s="4449"/>
      <c r="DS24" s="4449"/>
      <c r="DT24" s="3990"/>
      <c r="DU24" s="3990"/>
      <c r="DV24" s="3990"/>
      <c r="DW24" s="3990"/>
      <c r="DX24" s="3990"/>
      <c r="DY24" s="3990"/>
      <c r="DZ24" s="3990"/>
      <c r="EA24" s="3990"/>
      <c r="EB24" s="3990"/>
      <c r="EC24" s="3990"/>
      <c r="ED24" s="3990"/>
      <c r="EE24" s="3990"/>
      <c r="EF24" s="3990"/>
      <c r="EG24" s="3990"/>
      <c r="EH24" s="3990"/>
      <c r="EI24" s="3990"/>
      <c r="EJ24" s="3990"/>
      <c r="EK24" s="3990"/>
      <c r="EL24" s="3990"/>
      <c r="EM24" s="3990"/>
      <c r="EN24" s="3990"/>
      <c r="EO24" s="3990"/>
      <c r="EP24" s="3990"/>
      <c r="EQ24" s="3990"/>
      <c r="ER24" s="3990"/>
      <c r="ES24" s="3990"/>
      <c r="ET24" s="3990"/>
      <c r="EU24" s="3990"/>
      <c r="EV24" s="3990"/>
      <c r="EW24" s="3990"/>
      <c r="EX24" s="3990"/>
      <c r="EY24" s="3990"/>
      <c r="EZ24" s="3990"/>
      <c r="FA24" s="3990"/>
      <c r="FB24" s="3990"/>
      <c r="FC24" s="3990"/>
      <c r="FD24" s="3990"/>
      <c r="FE24" s="3990"/>
      <c r="FF24" s="3990"/>
      <c r="FG24" s="3990"/>
      <c r="FH24" s="3990"/>
      <c r="FI24" s="3992"/>
    </row>
    <row r="25" spans="1:165" s="1754" customFormat="1" ht="15" customHeight="1">
      <c r="A25" s="15818"/>
      <c r="B25" s="15821"/>
      <c r="C25" s="15755"/>
      <c r="D25" s="15752"/>
      <c r="E25" s="15755"/>
      <c r="F25" s="15755"/>
      <c r="G25" s="3986"/>
      <c r="H25" s="3987"/>
      <c r="I25" s="3987"/>
      <c r="J25" s="15765"/>
      <c r="K25" s="15758"/>
      <c r="L25" s="4423" t="s">
        <v>329</v>
      </c>
      <c r="M25" s="2731"/>
      <c r="N25" s="2731" t="s">
        <v>329</v>
      </c>
      <c r="O25" s="3995"/>
      <c r="P25" s="3989"/>
      <c r="Q25" s="3989"/>
      <c r="R25" s="3989"/>
      <c r="S25" s="3989"/>
      <c r="T25" s="3989"/>
      <c r="U25" s="3989"/>
      <c r="V25" s="3989"/>
      <c r="W25" s="3989"/>
      <c r="X25" s="3989"/>
      <c r="Y25" s="3989"/>
      <c r="Z25" s="3988"/>
      <c r="AA25" s="1897"/>
      <c r="AB25" s="3991"/>
      <c r="AC25" s="3990"/>
      <c r="AD25" s="3990"/>
      <c r="AE25" s="3990"/>
      <c r="AF25" s="3990"/>
      <c r="AG25" s="3990"/>
      <c r="AH25" s="3990"/>
      <c r="AI25" s="3990"/>
      <c r="AJ25" s="3990"/>
      <c r="AK25" s="3990"/>
      <c r="AL25" s="3990"/>
      <c r="AM25" s="3990"/>
      <c r="AN25" s="3990"/>
      <c r="AO25" s="3990"/>
      <c r="AP25" s="3990"/>
      <c r="AQ25" s="3990"/>
      <c r="AR25" s="3990"/>
      <c r="AS25" s="3990"/>
      <c r="AT25" s="3990"/>
      <c r="AU25" s="3990"/>
      <c r="AV25" s="3990"/>
      <c r="AW25" s="3990"/>
      <c r="AX25" s="3990"/>
      <c r="AY25" s="3990"/>
      <c r="AZ25" s="3990"/>
      <c r="BA25" s="3990"/>
      <c r="BB25" s="3990"/>
      <c r="BC25" s="3990"/>
      <c r="BD25" s="3990"/>
      <c r="BE25" s="3990"/>
      <c r="BF25" s="3990"/>
      <c r="BG25" s="3990"/>
      <c r="BH25" s="3990"/>
      <c r="BI25" s="3990"/>
      <c r="BJ25" s="3990"/>
      <c r="BK25" s="3990"/>
      <c r="BL25" s="3990"/>
      <c r="BM25" s="3990"/>
      <c r="BN25" s="3990"/>
      <c r="BO25" s="3990"/>
      <c r="BP25" s="3990"/>
      <c r="BQ25" s="3990"/>
      <c r="BR25" s="3992"/>
      <c r="BS25" s="3979"/>
      <c r="BT25" s="3993"/>
      <c r="BU25" s="3993"/>
      <c r="BV25" s="2295"/>
      <c r="BW25" s="15858"/>
      <c r="BX25" s="3996"/>
      <c r="BY25" s="3979"/>
      <c r="BZ25" s="3976"/>
      <c r="CA25" s="3980"/>
      <c r="CB25" s="3980"/>
      <c r="CC25" s="3980"/>
      <c r="CD25" s="3980"/>
      <c r="CE25" s="3981"/>
      <c r="CF25" s="3981"/>
      <c r="CG25" s="3981"/>
      <c r="CH25" s="3981"/>
      <c r="CI25" s="3981"/>
      <c r="CJ25" s="3981"/>
      <c r="CK25" s="3981"/>
      <c r="CL25" s="3981"/>
      <c r="CM25" s="3981"/>
      <c r="CN25" s="3981"/>
      <c r="CO25" s="3981"/>
      <c r="CP25" s="3981"/>
      <c r="CQ25" s="3981"/>
      <c r="CR25" s="3981"/>
      <c r="CS25" s="3981"/>
      <c r="CT25" s="3981"/>
      <c r="CU25" s="3981"/>
      <c r="CV25" s="3981"/>
      <c r="CW25" s="3981"/>
      <c r="CX25" s="3981"/>
      <c r="CY25" s="3981"/>
      <c r="CZ25" s="3981"/>
      <c r="DA25" s="3982"/>
      <c r="DB25" s="3981"/>
      <c r="DC25" s="3981"/>
      <c r="DD25" s="3981"/>
      <c r="DE25" s="3981"/>
      <c r="DF25" s="3981"/>
      <c r="DG25" s="3981"/>
      <c r="DH25" s="3981"/>
      <c r="DI25" s="3981"/>
      <c r="DJ25" s="3981"/>
      <c r="DK25" s="3981"/>
      <c r="DL25" s="3981"/>
      <c r="DM25" s="3981"/>
      <c r="DN25" s="4246"/>
      <c r="DO25" s="1901"/>
      <c r="DP25" s="4458"/>
      <c r="DQ25" s="4449"/>
      <c r="DR25" s="4449"/>
      <c r="DS25" s="4449"/>
      <c r="DT25" s="3990"/>
      <c r="DU25" s="3990"/>
      <c r="DV25" s="3990"/>
      <c r="DW25" s="3990"/>
      <c r="DX25" s="3990"/>
      <c r="DY25" s="3990"/>
      <c r="DZ25" s="3990"/>
      <c r="EA25" s="3990"/>
      <c r="EB25" s="3990"/>
      <c r="EC25" s="3990"/>
      <c r="ED25" s="3990"/>
      <c r="EE25" s="3990"/>
      <c r="EF25" s="3990"/>
      <c r="EG25" s="3990"/>
      <c r="EH25" s="3990"/>
      <c r="EI25" s="3990"/>
      <c r="EJ25" s="3990"/>
      <c r="EK25" s="3990"/>
      <c r="EL25" s="3990"/>
      <c r="EM25" s="3990"/>
      <c r="EN25" s="3990"/>
      <c r="EO25" s="3990"/>
      <c r="EP25" s="3990"/>
      <c r="EQ25" s="3990"/>
      <c r="ER25" s="3990"/>
      <c r="ES25" s="3990"/>
      <c r="ET25" s="3990"/>
      <c r="EU25" s="3990"/>
      <c r="EV25" s="3990"/>
      <c r="EW25" s="3990"/>
      <c r="EX25" s="3990"/>
      <c r="EY25" s="3990"/>
      <c r="EZ25" s="3990"/>
      <c r="FA25" s="3990"/>
      <c r="FB25" s="3990"/>
      <c r="FC25" s="3990"/>
      <c r="FD25" s="3990"/>
      <c r="FE25" s="3990"/>
      <c r="FF25" s="3990"/>
      <c r="FG25" s="3990"/>
      <c r="FH25" s="3990"/>
      <c r="FI25" s="3992"/>
    </row>
    <row r="26" spans="1:165" s="1754" customFormat="1" ht="15" customHeight="1">
      <c r="A26" s="15818"/>
      <c r="B26" s="15821"/>
      <c r="C26" s="15755"/>
      <c r="D26" s="15761"/>
      <c r="E26" s="15762"/>
      <c r="F26" s="15762"/>
      <c r="G26" s="3986"/>
      <c r="H26" s="3987"/>
      <c r="I26" s="3987"/>
      <c r="J26" s="15764"/>
      <c r="K26" s="15760"/>
      <c r="L26" s="4423" t="s">
        <v>10206</v>
      </c>
      <c r="M26" s="2731"/>
      <c r="N26" s="2731" t="s">
        <v>10207</v>
      </c>
      <c r="O26" s="3995"/>
      <c r="P26" s="3989"/>
      <c r="Q26" s="3989"/>
      <c r="R26" s="3989"/>
      <c r="S26" s="3989"/>
      <c r="T26" s="3989"/>
      <c r="U26" s="3989"/>
      <c r="V26" s="3989"/>
      <c r="W26" s="3989"/>
      <c r="X26" s="3989"/>
      <c r="Y26" s="3989"/>
      <c r="Z26" s="3988"/>
      <c r="AA26" s="1897"/>
      <c r="AB26" s="3991"/>
      <c r="AC26" s="3990"/>
      <c r="AD26" s="3990"/>
      <c r="AE26" s="3990"/>
      <c r="AF26" s="3990"/>
      <c r="AG26" s="3990"/>
      <c r="AH26" s="3990"/>
      <c r="AI26" s="3990"/>
      <c r="AJ26" s="3990"/>
      <c r="AK26" s="3990"/>
      <c r="AL26" s="3990"/>
      <c r="AM26" s="3990"/>
      <c r="AN26" s="3990"/>
      <c r="AO26" s="3990"/>
      <c r="AP26" s="3990"/>
      <c r="AQ26" s="3990"/>
      <c r="AR26" s="3990"/>
      <c r="AS26" s="3990"/>
      <c r="AT26" s="3990"/>
      <c r="AU26" s="3990"/>
      <c r="AV26" s="3990"/>
      <c r="AW26" s="3990"/>
      <c r="AX26" s="3990"/>
      <c r="AY26" s="3990"/>
      <c r="AZ26" s="3990"/>
      <c r="BA26" s="3990"/>
      <c r="BB26" s="3990"/>
      <c r="BC26" s="3990"/>
      <c r="BD26" s="3990"/>
      <c r="BE26" s="3990"/>
      <c r="BF26" s="3990"/>
      <c r="BG26" s="3990"/>
      <c r="BH26" s="3990"/>
      <c r="BI26" s="3990"/>
      <c r="BJ26" s="3990"/>
      <c r="BK26" s="3990"/>
      <c r="BL26" s="3990"/>
      <c r="BM26" s="3990"/>
      <c r="BN26" s="3990"/>
      <c r="BO26" s="3990"/>
      <c r="BP26" s="3990"/>
      <c r="BQ26" s="3990"/>
      <c r="BR26" s="3992"/>
      <c r="BS26" s="3979"/>
      <c r="BT26" s="3993"/>
      <c r="BU26" s="3993"/>
      <c r="BV26" s="2295"/>
      <c r="BW26" s="15858"/>
      <c r="BX26" s="3996"/>
      <c r="BY26" s="3979"/>
      <c r="BZ26" s="3976"/>
      <c r="CA26" s="3980"/>
      <c r="CB26" s="3980"/>
      <c r="CC26" s="3980"/>
      <c r="CD26" s="3980"/>
      <c r="CE26" s="3981"/>
      <c r="CF26" s="3981"/>
      <c r="CG26" s="3981"/>
      <c r="CH26" s="3981"/>
      <c r="CI26" s="3981"/>
      <c r="CJ26" s="3981"/>
      <c r="CK26" s="3981"/>
      <c r="CL26" s="3981"/>
      <c r="CM26" s="3981"/>
      <c r="CN26" s="3981"/>
      <c r="CO26" s="3981"/>
      <c r="CP26" s="3981"/>
      <c r="CQ26" s="3981"/>
      <c r="CR26" s="3981"/>
      <c r="CS26" s="3981"/>
      <c r="CT26" s="3981"/>
      <c r="CU26" s="3981"/>
      <c r="CV26" s="3981"/>
      <c r="CW26" s="3981"/>
      <c r="CX26" s="3981"/>
      <c r="CY26" s="3981"/>
      <c r="CZ26" s="3981"/>
      <c r="DA26" s="3982"/>
      <c r="DB26" s="3981"/>
      <c r="DC26" s="3981"/>
      <c r="DD26" s="3981"/>
      <c r="DE26" s="3981"/>
      <c r="DF26" s="3981"/>
      <c r="DG26" s="3981"/>
      <c r="DH26" s="3981"/>
      <c r="DI26" s="3981"/>
      <c r="DJ26" s="3981"/>
      <c r="DK26" s="3981"/>
      <c r="DL26" s="3981"/>
      <c r="DM26" s="3981"/>
      <c r="DN26" s="4246"/>
      <c r="DO26" s="1901"/>
      <c r="DP26" s="4458"/>
      <c r="DQ26" s="4449"/>
      <c r="DR26" s="4449"/>
      <c r="DS26" s="4449"/>
      <c r="DT26" s="3990"/>
      <c r="DU26" s="3990"/>
      <c r="DV26" s="3990"/>
      <c r="DW26" s="3990"/>
      <c r="DX26" s="3990"/>
      <c r="DY26" s="3990"/>
      <c r="DZ26" s="3990"/>
      <c r="EA26" s="3990"/>
      <c r="EB26" s="3990"/>
      <c r="EC26" s="3990"/>
      <c r="ED26" s="3990"/>
      <c r="EE26" s="3990"/>
      <c r="EF26" s="3990"/>
      <c r="EG26" s="3990"/>
      <c r="EH26" s="3990"/>
      <c r="EI26" s="3990"/>
      <c r="EJ26" s="3990"/>
      <c r="EK26" s="3990"/>
      <c r="EL26" s="3990"/>
      <c r="EM26" s="3990"/>
      <c r="EN26" s="3990"/>
      <c r="EO26" s="3990"/>
      <c r="EP26" s="3990"/>
      <c r="EQ26" s="3990"/>
      <c r="ER26" s="3990"/>
      <c r="ES26" s="3990"/>
      <c r="ET26" s="3990"/>
      <c r="EU26" s="3990"/>
      <c r="EV26" s="3990"/>
      <c r="EW26" s="3990"/>
      <c r="EX26" s="3990"/>
      <c r="EY26" s="3990"/>
      <c r="EZ26" s="3990"/>
      <c r="FA26" s="3990"/>
      <c r="FB26" s="3990"/>
      <c r="FC26" s="3990"/>
      <c r="FD26" s="3990"/>
      <c r="FE26" s="3990"/>
      <c r="FF26" s="3990"/>
      <c r="FG26" s="3990"/>
      <c r="FH26" s="3990"/>
      <c r="FI26" s="3992"/>
    </row>
    <row r="27" spans="1:165" s="1754" customFormat="1" ht="15" customHeight="1">
      <c r="A27" s="15818"/>
      <c r="B27" s="15821"/>
      <c r="C27" s="15755"/>
      <c r="D27" s="15751" t="s">
        <v>7848</v>
      </c>
      <c r="E27" s="15754" t="s">
        <v>1326</v>
      </c>
      <c r="F27" s="15757" t="s">
        <v>772</v>
      </c>
      <c r="G27" s="3986" t="s">
        <v>1327</v>
      </c>
      <c r="H27" s="3987">
        <v>50</v>
      </c>
      <c r="I27" s="3987">
        <v>150</v>
      </c>
      <c r="J27" s="15763">
        <v>300</v>
      </c>
      <c r="K27" s="15757" t="s">
        <v>337</v>
      </c>
      <c r="L27" s="4423" t="s">
        <v>4305</v>
      </c>
      <c r="M27" s="2731" t="s">
        <v>1322</v>
      </c>
      <c r="N27" s="2731"/>
      <c r="O27" s="3989">
        <v>10000000</v>
      </c>
      <c r="P27" s="3989">
        <v>10300000</v>
      </c>
      <c r="Q27" s="3989">
        <v>10609000</v>
      </c>
      <c r="R27" s="3989">
        <v>30900000</v>
      </c>
      <c r="S27" s="3989">
        <v>31827000</v>
      </c>
      <c r="T27" s="3989">
        <v>32781810</v>
      </c>
      <c r="U27" s="3989">
        <v>33765264.300000004</v>
      </c>
      <c r="V27" s="3989">
        <v>34778222.229000002</v>
      </c>
      <c r="W27" s="3989">
        <v>35821568.89587</v>
      </c>
      <c r="X27" s="3989">
        <v>36896215.962746099</v>
      </c>
      <c r="Y27" s="3989">
        <v>228018614.64977092</v>
      </c>
      <c r="Z27" s="3989">
        <v>495697696.03738701</v>
      </c>
      <c r="AA27" s="1895">
        <v>1</v>
      </c>
      <c r="AB27" s="3991" t="s">
        <v>3224</v>
      </c>
      <c r="AC27" s="3991" t="s">
        <v>2953</v>
      </c>
      <c r="AD27" s="3990"/>
      <c r="AE27" s="3997">
        <f>17478*AI27</f>
        <v>769032</v>
      </c>
      <c r="AF27" s="3990"/>
      <c r="AG27" s="3990"/>
      <c r="AH27" s="3990"/>
      <c r="AI27" s="3993">
        <v>44</v>
      </c>
      <c r="AJ27" s="3993">
        <v>22</v>
      </c>
      <c r="AK27" s="3993">
        <v>22</v>
      </c>
      <c r="AL27" s="3993">
        <v>44</v>
      </c>
      <c r="AM27" s="3993"/>
      <c r="AN27" s="3993"/>
      <c r="AO27" s="3993"/>
      <c r="AP27" s="3993">
        <v>15</v>
      </c>
      <c r="AQ27" s="3993">
        <v>5</v>
      </c>
      <c r="AR27" s="3993">
        <v>16</v>
      </c>
      <c r="AS27" s="3993">
        <v>8</v>
      </c>
      <c r="AT27" s="3993"/>
      <c r="AU27" s="3993">
        <f>+BE27-AV27-AW27-AX27-AY27</f>
        <v>28</v>
      </c>
      <c r="AV27" s="3993">
        <v>1</v>
      </c>
      <c r="AW27" s="3993">
        <v>7</v>
      </c>
      <c r="AX27" s="3993">
        <v>2</v>
      </c>
      <c r="AY27" s="3993">
        <v>6</v>
      </c>
      <c r="AZ27" s="3993"/>
      <c r="BA27" s="3993"/>
      <c r="BB27" s="3993"/>
      <c r="BC27" s="3993"/>
      <c r="BD27" s="3993"/>
      <c r="BE27" s="3993">
        <v>44</v>
      </c>
      <c r="BF27" s="3993"/>
      <c r="BG27" s="3993"/>
      <c r="BH27" s="3993"/>
      <c r="BI27" s="3993"/>
      <c r="BJ27" s="3993"/>
      <c r="BK27" s="3993"/>
      <c r="BL27" s="3993"/>
      <c r="BM27" s="3993"/>
      <c r="BN27" s="3990"/>
      <c r="BO27" s="3990"/>
      <c r="BP27" s="3990"/>
      <c r="BQ27" s="3990"/>
      <c r="BR27" s="3992"/>
      <c r="BS27" s="3976">
        <v>66</v>
      </c>
      <c r="BT27" s="3993">
        <v>66</v>
      </c>
      <c r="BU27" s="3993">
        <v>331</v>
      </c>
      <c r="BV27" s="2295">
        <v>1</v>
      </c>
      <c r="BW27" s="15858"/>
      <c r="BX27" s="3996" t="s">
        <v>8892</v>
      </c>
      <c r="BY27" s="3976"/>
      <c r="BZ27" s="3976"/>
      <c r="CA27" s="3998">
        <v>1777902</v>
      </c>
      <c r="CB27" s="3998">
        <v>1777902</v>
      </c>
      <c r="CC27" s="3998"/>
      <c r="CD27" s="3998"/>
      <c r="CE27" s="3999">
        <v>66</v>
      </c>
      <c r="CF27" s="3999">
        <v>41</v>
      </c>
      <c r="CG27" s="3999">
        <v>25</v>
      </c>
      <c r="CH27" s="3999"/>
      <c r="CI27" s="3999"/>
      <c r="CJ27" s="3999"/>
      <c r="CK27" s="3999"/>
      <c r="CL27" s="3999">
        <v>1</v>
      </c>
      <c r="CM27" s="3999">
        <v>36</v>
      </c>
      <c r="CN27" s="3999">
        <v>20</v>
      </c>
      <c r="CO27" s="3999">
        <v>9</v>
      </c>
      <c r="CP27" s="3999"/>
      <c r="CQ27" s="3999"/>
      <c r="CR27" s="3999"/>
      <c r="CS27" s="3999">
        <v>14</v>
      </c>
      <c r="CT27" s="3999">
        <v>9</v>
      </c>
      <c r="CU27" s="3999">
        <v>3</v>
      </c>
      <c r="CV27" s="3999"/>
      <c r="CW27" s="3999"/>
      <c r="CX27" s="3999"/>
      <c r="CY27" s="3999"/>
      <c r="CZ27" s="3999"/>
      <c r="DA27" s="4000">
        <v>66</v>
      </c>
      <c r="DB27" s="3999"/>
      <c r="DC27" s="3999"/>
      <c r="DD27" s="3999"/>
      <c r="DE27" s="3999"/>
      <c r="DF27" s="3999"/>
      <c r="DG27" s="3999"/>
      <c r="DH27" s="3999"/>
      <c r="DI27" s="3999"/>
      <c r="DJ27" s="3999"/>
      <c r="DK27" s="3999"/>
      <c r="DL27" s="3999"/>
      <c r="DM27" s="3999"/>
      <c r="DN27" s="4247"/>
      <c r="DO27" s="1901"/>
      <c r="DP27" s="4458"/>
      <c r="DQ27" s="4449"/>
      <c r="DR27" s="4449"/>
      <c r="DS27" s="4449"/>
      <c r="DT27" s="3990"/>
      <c r="DU27" s="3990"/>
      <c r="DV27" s="3990"/>
      <c r="DW27" s="3990"/>
      <c r="DX27" s="3990"/>
      <c r="DY27" s="3990"/>
      <c r="DZ27" s="3990"/>
      <c r="EA27" s="3990"/>
      <c r="EB27" s="3990"/>
      <c r="EC27" s="3990"/>
      <c r="ED27" s="3990"/>
      <c r="EE27" s="3990"/>
      <c r="EF27" s="3990"/>
      <c r="EG27" s="3990"/>
      <c r="EH27" s="3990"/>
      <c r="EI27" s="3990"/>
      <c r="EJ27" s="3990"/>
      <c r="EK27" s="3990"/>
      <c r="EL27" s="3990"/>
      <c r="EM27" s="3990"/>
      <c r="EN27" s="3990"/>
      <c r="EO27" s="3990"/>
      <c r="EP27" s="3990"/>
      <c r="EQ27" s="3990"/>
      <c r="ER27" s="3990"/>
      <c r="ES27" s="3990"/>
      <c r="ET27" s="3990"/>
      <c r="EU27" s="3990"/>
      <c r="EV27" s="3990"/>
      <c r="EW27" s="3990"/>
      <c r="EX27" s="3990"/>
      <c r="EY27" s="3990"/>
      <c r="EZ27" s="3990"/>
      <c r="FA27" s="3990"/>
      <c r="FB27" s="3990"/>
      <c r="FC27" s="3990"/>
      <c r="FD27" s="3990"/>
      <c r="FE27" s="3990"/>
      <c r="FF27" s="3990"/>
      <c r="FG27" s="3990"/>
      <c r="FH27" s="3990"/>
      <c r="FI27" s="3992"/>
    </row>
    <row r="28" spans="1:165" s="1754" customFormat="1" ht="15" customHeight="1">
      <c r="A28" s="15818"/>
      <c r="B28" s="15821"/>
      <c r="C28" s="15755"/>
      <c r="D28" s="15752"/>
      <c r="E28" s="15755"/>
      <c r="F28" s="15758"/>
      <c r="G28" s="3986"/>
      <c r="H28" s="3987"/>
      <c r="I28" s="3987"/>
      <c r="J28" s="15765"/>
      <c r="K28" s="15758"/>
      <c r="L28" s="4423" t="s">
        <v>329</v>
      </c>
      <c r="M28" s="2731"/>
      <c r="N28" s="2731" t="s">
        <v>329</v>
      </c>
      <c r="O28" s="3989"/>
      <c r="P28" s="3989"/>
      <c r="Q28" s="3989"/>
      <c r="R28" s="3989"/>
      <c r="S28" s="3989"/>
      <c r="T28" s="3989"/>
      <c r="U28" s="3989"/>
      <c r="V28" s="3989"/>
      <c r="W28" s="3989"/>
      <c r="X28" s="3989"/>
      <c r="Y28" s="3989"/>
      <c r="Z28" s="3989"/>
      <c r="AA28" s="1895"/>
      <c r="AB28" s="3991"/>
      <c r="AC28" s="3991"/>
      <c r="AD28" s="3990"/>
      <c r="AE28" s="3997"/>
      <c r="AF28" s="3990"/>
      <c r="AG28" s="3990"/>
      <c r="AH28" s="3990"/>
      <c r="AI28" s="3993"/>
      <c r="AJ28" s="3993"/>
      <c r="AK28" s="3993"/>
      <c r="AL28" s="3993"/>
      <c r="AM28" s="3993"/>
      <c r="AN28" s="3993"/>
      <c r="AO28" s="3993"/>
      <c r="AP28" s="3993"/>
      <c r="AQ28" s="3993"/>
      <c r="AR28" s="3993"/>
      <c r="AS28" s="3993"/>
      <c r="AT28" s="3993"/>
      <c r="AU28" s="3993"/>
      <c r="AV28" s="3993"/>
      <c r="AW28" s="3993"/>
      <c r="AX28" s="3993"/>
      <c r="AY28" s="3993"/>
      <c r="AZ28" s="3993"/>
      <c r="BA28" s="3993"/>
      <c r="BB28" s="3993"/>
      <c r="BC28" s="3993"/>
      <c r="BD28" s="3993"/>
      <c r="BE28" s="3993"/>
      <c r="BF28" s="3993"/>
      <c r="BG28" s="3993"/>
      <c r="BH28" s="3993"/>
      <c r="BI28" s="3993"/>
      <c r="BJ28" s="3993"/>
      <c r="BK28" s="3993"/>
      <c r="BL28" s="3993"/>
      <c r="BM28" s="3993"/>
      <c r="BN28" s="3990"/>
      <c r="BO28" s="3990"/>
      <c r="BP28" s="3990"/>
      <c r="BQ28" s="3990"/>
      <c r="BR28" s="3992"/>
      <c r="BS28" s="3976"/>
      <c r="BT28" s="3993"/>
      <c r="BU28" s="3993"/>
      <c r="BV28" s="2295"/>
      <c r="BW28" s="15858"/>
      <c r="BX28" s="3996"/>
      <c r="BY28" s="3976"/>
      <c r="BZ28" s="3976"/>
      <c r="CA28" s="3998"/>
      <c r="CB28" s="3998"/>
      <c r="CC28" s="3998"/>
      <c r="CD28" s="3998"/>
      <c r="CE28" s="3999"/>
      <c r="CF28" s="3999"/>
      <c r="CG28" s="3999"/>
      <c r="CH28" s="3999"/>
      <c r="CI28" s="3999"/>
      <c r="CJ28" s="3999"/>
      <c r="CK28" s="3999"/>
      <c r="CL28" s="3999"/>
      <c r="CM28" s="3999"/>
      <c r="CN28" s="3999"/>
      <c r="CO28" s="3999"/>
      <c r="CP28" s="3999"/>
      <c r="CQ28" s="3999"/>
      <c r="CR28" s="3999"/>
      <c r="CS28" s="3999"/>
      <c r="CT28" s="3999"/>
      <c r="CU28" s="3999"/>
      <c r="CV28" s="3999"/>
      <c r="CW28" s="3999"/>
      <c r="CX28" s="3999"/>
      <c r="CY28" s="3999"/>
      <c r="CZ28" s="3999"/>
      <c r="DA28" s="4000"/>
      <c r="DB28" s="3999"/>
      <c r="DC28" s="3999"/>
      <c r="DD28" s="3999"/>
      <c r="DE28" s="3999"/>
      <c r="DF28" s="3999"/>
      <c r="DG28" s="3999"/>
      <c r="DH28" s="3999"/>
      <c r="DI28" s="3999"/>
      <c r="DJ28" s="3999"/>
      <c r="DK28" s="3999"/>
      <c r="DL28" s="3999"/>
      <c r="DM28" s="3999"/>
      <c r="DN28" s="4247"/>
      <c r="DO28" s="1901"/>
      <c r="DP28" s="4458"/>
      <c r="DQ28" s="4449"/>
      <c r="DR28" s="4449"/>
      <c r="DS28" s="4449"/>
      <c r="DT28" s="3990"/>
      <c r="DU28" s="3990"/>
      <c r="DV28" s="3990"/>
      <c r="DW28" s="3990"/>
      <c r="DX28" s="3990"/>
      <c r="DY28" s="3990"/>
      <c r="DZ28" s="3990"/>
      <c r="EA28" s="3990"/>
      <c r="EB28" s="3990"/>
      <c r="EC28" s="3990"/>
      <c r="ED28" s="3990"/>
      <c r="EE28" s="3990"/>
      <c r="EF28" s="3990"/>
      <c r="EG28" s="3990"/>
      <c r="EH28" s="3990"/>
      <c r="EI28" s="3990"/>
      <c r="EJ28" s="3990"/>
      <c r="EK28" s="3990"/>
      <c r="EL28" s="3990"/>
      <c r="EM28" s="3990"/>
      <c r="EN28" s="3990"/>
      <c r="EO28" s="3990"/>
      <c r="EP28" s="3990"/>
      <c r="EQ28" s="3990"/>
      <c r="ER28" s="3990"/>
      <c r="ES28" s="3990"/>
      <c r="ET28" s="3990"/>
      <c r="EU28" s="3990"/>
      <c r="EV28" s="3990"/>
      <c r="EW28" s="3990"/>
      <c r="EX28" s="3990"/>
      <c r="EY28" s="3990"/>
      <c r="EZ28" s="3990"/>
      <c r="FA28" s="3990"/>
      <c r="FB28" s="3990"/>
      <c r="FC28" s="3990"/>
      <c r="FD28" s="3990"/>
      <c r="FE28" s="3990"/>
      <c r="FF28" s="3990"/>
      <c r="FG28" s="3990"/>
      <c r="FH28" s="3990"/>
      <c r="FI28" s="3992"/>
    </row>
    <row r="29" spans="1:165" s="1754" customFormat="1" ht="15" customHeight="1">
      <c r="A29" s="15818"/>
      <c r="B29" s="15821"/>
      <c r="C29" s="15755"/>
      <c r="D29" s="15761"/>
      <c r="E29" s="15762"/>
      <c r="F29" s="15760"/>
      <c r="G29" s="3986"/>
      <c r="H29" s="3987"/>
      <c r="I29" s="3987"/>
      <c r="J29" s="15764"/>
      <c r="K29" s="15760"/>
      <c r="L29" s="4423" t="s">
        <v>10194</v>
      </c>
      <c r="M29" s="2731"/>
      <c r="N29" s="2731" t="s">
        <v>10208</v>
      </c>
      <c r="O29" s="3989"/>
      <c r="P29" s="3989"/>
      <c r="Q29" s="3989"/>
      <c r="R29" s="3989"/>
      <c r="S29" s="3989"/>
      <c r="T29" s="3989"/>
      <c r="U29" s="3989"/>
      <c r="V29" s="3989"/>
      <c r="W29" s="3989"/>
      <c r="X29" s="3989"/>
      <c r="Y29" s="3989"/>
      <c r="Z29" s="3989"/>
      <c r="AA29" s="1895"/>
      <c r="AB29" s="3991"/>
      <c r="AC29" s="3991"/>
      <c r="AD29" s="3990"/>
      <c r="AE29" s="3997"/>
      <c r="AF29" s="3990"/>
      <c r="AG29" s="3990"/>
      <c r="AH29" s="3990"/>
      <c r="AI29" s="3993"/>
      <c r="AJ29" s="3993"/>
      <c r="AK29" s="3993"/>
      <c r="AL29" s="3993"/>
      <c r="AM29" s="3993"/>
      <c r="AN29" s="3993"/>
      <c r="AO29" s="3993"/>
      <c r="AP29" s="3993"/>
      <c r="AQ29" s="3993"/>
      <c r="AR29" s="3993"/>
      <c r="AS29" s="3993"/>
      <c r="AT29" s="3993"/>
      <c r="AU29" s="3993"/>
      <c r="AV29" s="3993"/>
      <c r="AW29" s="3993"/>
      <c r="AX29" s="3993"/>
      <c r="AY29" s="3993"/>
      <c r="AZ29" s="3993"/>
      <c r="BA29" s="3993"/>
      <c r="BB29" s="3993"/>
      <c r="BC29" s="3993"/>
      <c r="BD29" s="3993"/>
      <c r="BE29" s="3993"/>
      <c r="BF29" s="3993"/>
      <c r="BG29" s="3993"/>
      <c r="BH29" s="3993"/>
      <c r="BI29" s="3993"/>
      <c r="BJ29" s="3993"/>
      <c r="BK29" s="3993"/>
      <c r="BL29" s="3993"/>
      <c r="BM29" s="3993"/>
      <c r="BN29" s="3990"/>
      <c r="BO29" s="3990"/>
      <c r="BP29" s="3990"/>
      <c r="BQ29" s="3990"/>
      <c r="BR29" s="3992"/>
      <c r="BS29" s="3976"/>
      <c r="BT29" s="3993"/>
      <c r="BU29" s="3993"/>
      <c r="BV29" s="2295"/>
      <c r="BW29" s="15858"/>
      <c r="BX29" s="3996"/>
      <c r="BY29" s="3976"/>
      <c r="BZ29" s="3976"/>
      <c r="CA29" s="3998"/>
      <c r="CB29" s="3998"/>
      <c r="CC29" s="3998"/>
      <c r="CD29" s="3998"/>
      <c r="CE29" s="3999"/>
      <c r="CF29" s="3999"/>
      <c r="CG29" s="3999"/>
      <c r="CH29" s="3999"/>
      <c r="CI29" s="3999"/>
      <c r="CJ29" s="3999"/>
      <c r="CK29" s="3999"/>
      <c r="CL29" s="3999"/>
      <c r="CM29" s="3999"/>
      <c r="CN29" s="3999"/>
      <c r="CO29" s="3999"/>
      <c r="CP29" s="3999"/>
      <c r="CQ29" s="3999"/>
      <c r="CR29" s="3999"/>
      <c r="CS29" s="3999"/>
      <c r="CT29" s="3999"/>
      <c r="CU29" s="3999"/>
      <c r="CV29" s="3999"/>
      <c r="CW29" s="3999"/>
      <c r="CX29" s="3999"/>
      <c r="CY29" s="3999"/>
      <c r="CZ29" s="3999"/>
      <c r="DA29" s="4000"/>
      <c r="DB29" s="3999"/>
      <c r="DC29" s="3999"/>
      <c r="DD29" s="3999"/>
      <c r="DE29" s="3999"/>
      <c r="DF29" s="3999"/>
      <c r="DG29" s="3999"/>
      <c r="DH29" s="3999"/>
      <c r="DI29" s="3999"/>
      <c r="DJ29" s="3999"/>
      <c r="DK29" s="3999"/>
      <c r="DL29" s="3999"/>
      <c r="DM29" s="3999"/>
      <c r="DN29" s="4247"/>
      <c r="DO29" s="1901"/>
      <c r="DP29" s="4458"/>
      <c r="DQ29" s="4449"/>
      <c r="DR29" s="4449"/>
      <c r="DS29" s="4449"/>
      <c r="DT29" s="3990"/>
      <c r="DU29" s="3990"/>
      <c r="DV29" s="3990"/>
      <c r="DW29" s="3990"/>
      <c r="DX29" s="3990"/>
      <c r="DY29" s="3990"/>
      <c r="DZ29" s="3990"/>
      <c r="EA29" s="3990"/>
      <c r="EB29" s="3990"/>
      <c r="EC29" s="3990"/>
      <c r="ED29" s="3990"/>
      <c r="EE29" s="3990"/>
      <c r="EF29" s="3990"/>
      <c r="EG29" s="3990"/>
      <c r="EH29" s="3990"/>
      <c r="EI29" s="3990"/>
      <c r="EJ29" s="3990"/>
      <c r="EK29" s="3990"/>
      <c r="EL29" s="3990"/>
      <c r="EM29" s="3990"/>
      <c r="EN29" s="3990"/>
      <c r="EO29" s="3990"/>
      <c r="EP29" s="3990"/>
      <c r="EQ29" s="3990"/>
      <c r="ER29" s="3990"/>
      <c r="ES29" s="3990"/>
      <c r="ET29" s="3990"/>
      <c r="EU29" s="3990"/>
      <c r="EV29" s="3990"/>
      <c r="EW29" s="3990"/>
      <c r="EX29" s="3990"/>
      <c r="EY29" s="3990"/>
      <c r="EZ29" s="3990"/>
      <c r="FA29" s="3990"/>
      <c r="FB29" s="3990"/>
      <c r="FC29" s="3990"/>
      <c r="FD29" s="3990"/>
      <c r="FE29" s="3990"/>
      <c r="FF29" s="3990"/>
      <c r="FG29" s="3990"/>
      <c r="FH29" s="3990"/>
      <c r="FI29" s="3992"/>
    </row>
    <row r="30" spans="1:165" s="1754" customFormat="1" ht="15" customHeight="1">
      <c r="A30" s="15818"/>
      <c r="B30" s="15821"/>
      <c r="C30" s="15755"/>
      <c r="D30" s="15751" t="s">
        <v>7849</v>
      </c>
      <c r="E30" s="15754" t="s">
        <v>1328</v>
      </c>
      <c r="F30" s="15757" t="s">
        <v>341</v>
      </c>
      <c r="G30" s="3986" t="s">
        <v>1329</v>
      </c>
      <c r="H30" s="3987">
        <v>1</v>
      </c>
      <c r="I30" s="3987">
        <v>1</v>
      </c>
      <c r="J30" s="15763">
        <v>1</v>
      </c>
      <c r="K30" s="15757" t="s">
        <v>343</v>
      </c>
      <c r="L30" s="4423" t="s">
        <v>4305</v>
      </c>
      <c r="M30" s="2731" t="s">
        <v>1322</v>
      </c>
      <c r="N30" s="2731"/>
      <c r="O30" s="3989">
        <v>20000000</v>
      </c>
      <c r="P30" s="3989">
        <v>20600000</v>
      </c>
      <c r="Q30" s="3989">
        <v>21218000</v>
      </c>
      <c r="R30" s="3989">
        <v>21854540</v>
      </c>
      <c r="S30" s="3989">
        <v>22510176.199999999</v>
      </c>
      <c r="T30" s="3989">
        <v>23185481.486000001</v>
      </c>
      <c r="U30" s="3989">
        <v>23881045.930580001</v>
      </c>
      <c r="V30" s="3989">
        <v>24597477.308497403</v>
      </c>
      <c r="W30" s="3989">
        <v>25335401.627752326</v>
      </c>
      <c r="X30" s="3989">
        <v>26095463.676584896</v>
      </c>
      <c r="Y30" s="3989">
        <v>26878327.586882442</v>
      </c>
      <c r="Z30" s="3989">
        <v>256155913.81629708</v>
      </c>
      <c r="AA30" s="4001">
        <v>0.8</v>
      </c>
      <c r="AB30" s="3991"/>
      <c r="AC30" s="3990"/>
      <c r="AD30" s="4002" t="s">
        <v>3225</v>
      </c>
      <c r="AE30" s="3997">
        <f>17478*AI30</f>
        <v>174780</v>
      </c>
      <c r="AF30" s="3990"/>
      <c r="AG30" s="3990"/>
      <c r="AH30" s="3990"/>
      <c r="AI30" s="3993">
        <v>10</v>
      </c>
      <c r="AJ30" s="3993">
        <v>6</v>
      </c>
      <c r="AK30" s="3993">
        <v>4</v>
      </c>
      <c r="AL30" s="3993">
        <v>10</v>
      </c>
      <c r="AM30" s="3990"/>
      <c r="AN30" s="3990"/>
      <c r="AO30" s="3990"/>
      <c r="AP30" s="3990"/>
      <c r="AQ30" s="3993">
        <v>1</v>
      </c>
      <c r="AR30" s="3993">
        <v>6</v>
      </c>
      <c r="AS30" s="3993">
        <v>3</v>
      </c>
      <c r="AT30" s="3993"/>
      <c r="AU30" s="3993">
        <v>2</v>
      </c>
      <c r="AV30" s="3993"/>
      <c r="AW30" s="3993">
        <v>4</v>
      </c>
      <c r="AX30" s="3993"/>
      <c r="AY30" s="3993">
        <v>4</v>
      </c>
      <c r="AZ30" s="3993"/>
      <c r="BA30" s="3993"/>
      <c r="BB30" s="3993"/>
      <c r="BC30" s="3990"/>
      <c r="BD30" s="3990"/>
      <c r="BE30" s="3990"/>
      <c r="BF30" s="3990"/>
      <c r="BG30" s="3990"/>
      <c r="BH30" s="3990"/>
      <c r="BI30" s="3990"/>
      <c r="BJ30" s="3990"/>
      <c r="BK30" s="3990"/>
      <c r="BL30" s="3990"/>
      <c r="BM30" s="3990"/>
      <c r="BN30" s="3990"/>
      <c r="BO30" s="3990"/>
      <c r="BP30" s="3990"/>
      <c r="BQ30" s="3990"/>
      <c r="BR30" s="3992"/>
      <c r="BS30" s="3979">
        <v>1</v>
      </c>
      <c r="BT30" s="3993">
        <v>1</v>
      </c>
      <c r="BU30" s="3993">
        <v>1</v>
      </c>
      <c r="BV30" s="2295">
        <v>1</v>
      </c>
      <c r="BW30" s="15858"/>
      <c r="BX30" s="3996" t="s">
        <v>8893</v>
      </c>
      <c r="BY30" s="3976" t="s">
        <v>8894</v>
      </c>
      <c r="BZ30" s="3976"/>
      <c r="CA30" s="3998">
        <v>17847</v>
      </c>
      <c r="CB30" s="3980"/>
      <c r="CC30" s="3980"/>
      <c r="CD30" s="3980"/>
      <c r="CE30" s="3981">
        <v>1</v>
      </c>
      <c r="CF30" s="3981"/>
      <c r="CG30" s="3981"/>
      <c r="CH30" s="3981"/>
      <c r="CI30" s="3981"/>
      <c r="CJ30" s="3981"/>
      <c r="CK30" s="3981"/>
      <c r="CL30" s="3981"/>
      <c r="CM30" s="3981"/>
      <c r="CN30" s="3981"/>
      <c r="CO30" s="3981"/>
      <c r="CP30" s="3981"/>
      <c r="CQ30" s="3981"/>
      <c r="CR30" s="3981"/>
      <c r="CS30" s="3981"/>
      <c r="CT30" s="3981"/>
      <c r="CU30" s="3981"/>
      <c r="CV30" s="3981"/>
      <c r="CW30" s="3981"/>
      <c r="CX30" s="3981"/>
      <c r="CY30" s="3981"/>
      <c r="CZ30" s="3981"/>
      <c r="DA30" s="3982">
        <v>1</v>
      </c>
      <c r="DB30" s="3981"/>
      <c r="DC30" s="3981"/>
      <c r="DD30" s="3981"/>
      <c r="DE30" s="3981"/>
      <c r="DF30" s="3981"/>
      <c r="DG30" s="3981"/>
      <c r="DH30" s="3981"/>
      <c r="DI30" s="3981"/>
      <c r="DJ30" s="3981"/>
      <c r="DK30" s="3981"/>
      <c r="DL30" s="3981"/>
      <c r="DM30" s="3981"/>
      <c r="DN30" s="4246"/>
      <c r="DO30" s="1901"/>
      <c r="DP30" s="4458"/>
      <c r="DQ30" s="4449"/>
      <c r="DR30" s="4449"/>
      <c r="DS30" s="4449"/>
      <c r="DT30" s="3990"/>
      <c r="DU30" s="3990"/>
      <c r="DV30" s="3990"/>
      <c r="DW30" s="3990"/>
      <c r="DX30" s="3990"/>
      <c r="DY30" s="3990"/>
      <c r="DZ30" s="3990"/>
      <c r="EA30" s="3990"/>
      <c r="EB30" s="3990"/>
      <c r="EC30" s="3990"/>
      <c r="ED30" s="3990"/>
      <c r="EE30" s="3990"/>
      <c r="EF30" s="3990"/>
      <c r="EG30" s="3990"/>
      <c r="EH30" s="3990"/>
      <c r="EI30" s="3990"/>
      <c r="EJ30" s="3990"/>
      <c r="EK30" s="3990"/>
      <c r="EL30" s="3990"/>
      <c r="EM30" s="3990"/>
      <c r="EN30" s="3990"/>
      <c r="EO30" s="3990"/>
      <c r="EP30" s="3990"/>
      <c r="EQ30" s="3990"/>
      <c r="ER30" s="3990"/>
      <c r="ES30" s="3990"/>
      <c r="ET30" s="3990"/>
      <c r="EU30" s="3990"/>
      <c r="EV30" s="3990"/>
      <c r="EW30" s="3990"/>
      <c r="EX30" s="3990"/>
      <c r="EY30" s="3990"/>
      <c r="EZ30" s="3990"/>
      <c r="FA30" s="3990"/>
      <c r="FB30" s="3990"/>
      <c r="FC30" s="3990"/>
      <c r="FD30" s="3990"/>
      <c r="FE30" s="3990"/>
      <c r="FF30" s="3990"/>
      <c r="FG30" s="3990"/>
      <c r="FH30" s="3990"/>
      <c r="FI30" s="3992"/>
    </row>
    <row r="31" spans="1:165" s="1754" customFormat="1" ht="15" customHeight="1">
      <c r="A31" s="15818"/>
      <c r="B31" s="15821"/>
      <c r="C31" s="15755"/>
      <c r="D31" s="15752"/>
      <c r="E31" s="15755"/>
      <c r="F31" s="15758"/>
      <c r="G31" s="3986"/>
      <c r="H31" s="3987"/>
      <c r="I31" s="3987"/>
      <c r="J31" s="15765"/>
      <c r="K31" s="15758"/>
      <c r="L31" s="4423" t="s">
        <v>329</v>
      </c>
      <c r="M31" s="2731"/>
      <c r="N31" s="2731" t="s">
        <v>329</v>
      </c>
      <c r="O31" s="3989"/>
      <c r="P31" s="3989"/>
      <c r="Q31" s="3989"/>
      <c r="R31" s="3989"/>
      <c r="S31" s="3989"/>
      <c r="T31" s="3989"/>
      <c r="U31" s="3989"/>
      <c r="V31" s="3989"/>
      <c r="W31" s="3989"/>
      <c r="X31" s="3989"/>
      <c r="Y31" s="3989"/>
      <c r="Z31" s="3989"/>
      <c r="AA31" s="4001"/>
      <c r="AB31" s="3991"/>
      <c r="AC31" s="3990"/>
      <c r="AD31" s="4002"/>
      <c r="AE31" s="3997"/>
      <c r="AF31" s="3990"/>
      <c r="AG31" s="3990"/>
      <c r="AH31" s="3990"/>
      <c r="AI31" s="3993"/>
      <c r="AJ31" s="3993"/>
      <c r="AK31" s="3993"/>
      <c r="AL31" s="3993"/>
      <c r="AM31" s="3990"/>
      <c r="AN31" s="3990"/>
      <c r="AO31" s="3990"/>
      <c r="AP31" s="3990"/>
      <c r="AQ31" s="3993"/>
      <c r="AR31" s="3993"/>
      <c r="AS31" s="3993"/>
      <c r="AT31" s="3993"/>
      <c r="AU31" s="3993"/>
      <c r="AV31" s="3993"/>
      <c r="AW31" s="3993"/>
      <c r="AX31" s="3993"/>
      <c r="AY31" s="3993"/>
      <c r="AZ31" s="3993"/>
      <c r="BA31" s="3993"/>
      <c r="BB31" s="3993"/>
      <c r="BC31" s="3990"/>
      <c r="BD31" s="3990"/>
      <c r="BE31" s="3990"/>
      <c r="BF31" s="3990"/>
      <c r="BG31" s="3990"/>
      <c r="BH31" s="3990"/>
      <c r="BI31" s="3990"/>
      <c r="BJ31" s="3990"/>
      <c r="BK31" s="3990"/>
      <c r="BL31" s="3990"/>
      <c r="BM31" s="3990"/>
      <c r="BN31" s="3990"/>
      <c r="BO31" s="3990"/>
      <c r="BP31" s="3990"/>
      <c r="BQ31" s="3990"/>
      <c r="BR31" s="3992"/>
      <c r="BS31" s="3979"/>
      <c r="BT31" s="3993"/>
      <c r="BU31" s="3993"/>
      <c r="BV31" s="2295"/>
      <c r="BW31" s="15858"/>
      <c r="BX31" s="3996"/>
      <c r="BY31" s="3976"/>
      <c r="BZ31" s="3976"/>
      <c r="CA31" s="3998"/>
      <c r="CB31" s="3980"/>
      <c r="CC31" s="3980"/>
      <c r="CD31" s="3980"/>
      <c r="CE31" s="3981"/>
      <c r="CF31" s="3981"/>
      <c r="CG31" s="3981"/>
      <c r="CH31" s="3981"/>
      <c r="CI31" s="3981"/>
      <c r="CJ31" s="3981"/>
      <c r="CK31" s="3981"/>
      <c r="CL31" s="3981"/>
      <c r="CM31" s="3981"/>
      <c r="CN31" s="3981"/>
      <c r="CO31" s="3981"/>
      <c r="CP31" s="3981"/>
      <c r="CQ31" s="3981"/>
      <c r="CR31" s="3981"/>
      <c r="CS31" s="3981"/>
      <c r="CT31" s="3981"/>
      <c r="CU31" s="3981"/>
      <c r="CV31" s="3981"/>
      <c r="CW31" s="3981"/>
      <c r="CX31" s="3981"/>
      <c r="CY31" s="3981"/>
      <c r="CZ31" s="3981"/>
      <c r="DA31" s="3982"/>
      <c r="DB31" s="3981"/>
      <c r="DC31" s="3981"/>
      <c r="DD31" s="3981"/>
      <c r="DE31" s="3981"/>
      <c r="DF31" s="3981"/>
      <c r="DG31" s="3981"/>
      <c r="DH31" s="3981"/>
      <c r="DI31" s="3981"/>
      <c r="DJ31" s="3981"/>
      <c r="DK31" s="3981"/>
      <c r="DL31" s="3981"/>
      <c r="DM31" s="3981"/>
      <c r="DN31" s="4246"/>
      <c r="DO31" s="1901"/>
      <c r="DP31" s="4458"/>
      <c r="DQ31" s="4449"/>
      <c r="DR31" s="4449"/>
      <c r="DS31" s="4449"/>
      <c r="DT31" s="3990"/>
      <c r="DU31" s="3990"/>
      <c r="DV31" s="3990"/>
      <c r="DW31" s="3990"/>
      <c r="DX31" s="3990"/>
      <c r="DY31" s="3990"/>
      <c r="DZ31" s="3990"/>
      <c r="EA31" s="3990"/>
      <c r="EB31" s="3990"/>
      <c r="EC31" s="3990"/>
      <c r="ED31" s="3990"/>
      <c r="EE31" s="3990"/>
      <c r="EF31" s="3990"/>
      <c r="EG31" s="3990"/>
      <c r="EH31" s="3990"/>
      <c r="EI31" s="3990"/>
      <c r="EJ31" s="3990"/>
      <c r="EK31" s="3990"/>
      <c r="EL31" s="3990"/>
      <c r="EM31" s="3990"/>
      <c r="EN31" s="3990"/>
      <c r="EO31" s="3990"/>
      <c r="EP31" s="3990"/>
      <c r="EQ31" s="3990"/>
      <c r="ER31" s="3990"/>
      <c r="ES31" s="3990"/>
      <c r="ET31" s="3990"/>
      <c r="EU31" s="3990"/>
      <c r="EV31" s="3990"/>
      <c r="EW31" s="3990"/>
      <c r="EX31" s="3990"/>
      <c r="EY31" s="3990"/>
      <c r="EZ31" s="3990"/>
      <c r="FA31" s="3990"/>
      <c r="FB31" s="3990"/>
      <c r="FC31" s="3990"/>
      <c r="FD31" s="3990"/>
      <c r="FE31" s="3990"/>
      <c r="FF31" s="3990"/>
      <c r="FG31" s="3990"/>
      <c r="FH31" s="3990"/>
      <c r="FI31" s="3992"/>
    </row>
    <row r="32" spans="1:165" s="1754" customFormat="1" ht="15" customHeight="1">
      <c r="A32" s="15818"/>
      <c r="B32" s="15821"/>
      <c r="C32" s="15762"/>
      <c r="D32" s="15761"/>
      <c r="E32" s="15762"/>
      <c r="F32" s="15760"/>
      <c r="G32" s="3986"/>
      <c r="H32" s="3987"/>
      <c r="I32" s="3987"/>
      <c r="J32" s="15764"/>
      <c r="K32" s="15760"/>
      <c r="L32" s="4423" t="s">
        <v>10194</v>
      </c>
      <c r="M32" s="2731"/>
      <c r="N32" s="2731" t="s">
        <v>733</v>
      </c>
      <c r="O32" s="3989"/>
      <c r="P32" s="3989"/>
      <c r="Q32" s="3989"/>
      <c r="R32" s="3989"/>
      <c r="S32" s="3989"/>
      <c r="T32" s="3989"/>
      <c r="U32" s="3989"/>
      <c r="V32" s="3989"/>
      <c r="W32" s="3989"/>
      <c r="X32" s="3989"/>
      <c r="Y32" s="3989"/>
      <c r="Z32" s="3989"/>
      <c r="AA32" s="4001"/>
      <c r="AB32" s="3991"/>
      <c r="AC32" s="3990"/>
      <c r="AD32" s="4002"/>
      <c r="AE32" s="3997"/>
      <c r="AF32" s="3990"/>
      <c r="AG32" s="3990"/>
      <c r="AH32" s="3990"/>
      <c r="AI32" s="3993"/>
      <c r="AJ32" s="3993"/>
      <c r="AK32" s="3993"/>
      <c r="AL32" s="3993"/>
      <c r="AM32" s="3990"/>
      <c r="AN32" s="3990"/>
      <c r="AO32" s="3990"/>
      <c r="AP32" s="3990"/>
      <c r="AQ32" s="3993"/>
      <c r="AR32" s="3993"/>
      <c r="AS32" s="3993"/>
      <c r="AT32" s="3993"/>
      <c r="AU32" s="3993"/>
      <c r="AV32" s="3993"/>
      <c r="AW32" s="3993"/>
      <c r="AX32" s="3993"/>
      <c r="AY32" s="3993"/>
      <c r="AZ32" s="3993"/>
      <c r="BA32" s="3993"/>
      <c r="BB32" s="3993"/>
      <c r="BC32" s="3990"/>
      <c r="BD32" s="3990"/>
      <c r="BE32" s="3990"/>
      <c r="BF32" s="3990"/>
      <c r="BG32" s="3990"/>
      <c r="BH32" s="3990"/>
      <c r="BI32" s="3990"/>
      <c r="BJ32" s="3990"/>
      <c r="BK32" s="3990"/>
      <c r="BL32" s="3990"/>
      <c r="BM32" s="3990"/>
      <c r="BN32" s="3990"/>
      <c r="BO32" s="3990"/>
      <c r="BP32" s="3990"/>
      <c r="BQ32" s="3990"/>
      <c r="BR32" s="3992"/>
      <c r="BS32" s="3979"/>
      <c r="BT32" s="3993"/>
      <c r="BU32" s="3993"/>
      <c r="BV32" s="2295"/>
      <c r="BW32" s="15858"/>
      <c r="BX32" s="3996"/>
      <c r="BY32" s="3976"/>
      <c r="BZ32" s="3976"/>
      <c r="CA32" s="3998"/>
      <c r="CB32" s="3980"/>
      <c r="CC32" s="3980"/>
      <c r="CD32" s="3980"/>
      <c r="CE32" s="3981"/>
      <c r="CF32" s="3981"/>
      <c r="CG32" s="3981"/>
      <c r="CH32" s="3981"/>
      <c r="CI32" s="3981"/>
      <c r="CJ32" s="3981"/>
      <c r="CK32" s="3981"/>
      <c r="CL32" s="3981"/>
      <c r="CM32" s="3981"/>
      <c r="CN32" s="3981"/>
      <c r="CO32" s="3981"/>
      <c r="CP32" s="3981"/>
      <c r="CQ32" s="3981"/>
      <c r="CR32" s="3981"/>
      <c r="CS32" s="3981"/>
      <c r="CT32" s="3981"/>
      <c r="CU32" s="3981"/>
      <c r="CV32" s="3981"/>
      <c r="CW32" s="3981"/>
      <c r="CX32" s="3981"/>
      <c r="CY32" s="3981"/>
      <c r="CZ32" s="3981"/>
      <c r="DA32" s="3982"/>
      <c r="DB32" s="3981"/>
      <c r="DC32" s="3981"/>
      <c r="DD32" s="3981"/>
      <c r="DE32" s="3981"/>
      <c r="DF32" s="3981"/>
      <c r="DG32" s="3981"/>
      <c r="DH32" s="3981"/>
      <c r="DI32" s="3981"/>
      <c r="DJ32" s="3981"/>
      <c r="DK32" s="3981"/>
      <c r="DL32" s="3981"/>
      <c r="DM32" s="3981"/>
      <c r="DN32" s="4246"/>
      <c r="DO32" s="1901"/>
      <c r="DP32" s="4458"/>
      <c r="DQ32" s="4449"/>
      <c r="DR32" s="4449"/>
      <c r="DS32" s="4449"/>
      <c r="DT32" s="3990"/>
      <c r="DU32" s="3990"/>
      <c r="DV32" s="3990"/>
      <c r="DW32" s="3990"/>
      <c r="DX32" s="3990"/>
      <c r="DY32" s="3990"/>
      <c r="DZ32" s="3990"/>
      <c r="EA32" s="3990"/>
      <c r="EB32" s="3990"/>
      <c r="EC32" s="3990"/>
      <c r="ED32" s="3990"/>
      <c r="EE32" s="3990"/>
      <c r="EF32" s="3990"/>
      <c r="EG32" s="3990"/>
      <c r="EH32" s="3990"/>
      <c r="EI32" s="3990"/>
      <c r="EJ32" s="3990"/>
      <c r="EK32" s="3990"/>
      <c r="EL32" s="3990"/>
      <c r="EM32" s="3990"/>
      <c r="EN32" s="3990"/>
      <c r="EO32" s="3990"/>
      <c r="EP32" s="3990"/>
      <c r="EQ32" s="3990"/>
      <c r="ER32" s="3990"/>
      <c r="ES32" s="3990"/>
      <c r="ET32" s="3990"/>
      <c r="EU32" s="3990"/>
      <c r="EV32" s="3990"/>
      <c r="EW32" s="3990"/>
      <c r="EX32" s="3990"/>
      <c r="EY32" s="3990"/>
      <c r="EZ32" s="3990"/>
      <c r="FA32" s="3990"/>
      <c r="FB32" s="3990"/>
      <c r="FC32" s="3990"/>
      <c r="FD32" s="3990"/>
      <c r="FE32" s="3990"/>
      <c r="FF32" s="3990"/>
      <c r="FG32" s="3990"/>
      <c r="FH32" s="3990"/>
      <c r="FI32" s="3992"/>
    </row>
    <row r="33" spans="1:165" s="1754" customFormat="1" ht="15" customHeight="1">
      <c r="A33" s="15818"/>
      <c r="B33" s="15821"/>
      <c r="C33" s="15754" t="s">
        <v>1330</v>
      </c>
      <c r="D33" s="15751" t="s">
        <v>7850</v>
      </c>
      <c r="E33" s="15754" t="s">
        <v>1331</v>
      </c>
      <c r="F33" s="15754" t="s">
        <v>348</v>
      </c>
      <c r="G33" s="3986" t="s">
        <v>254</v>
      </c>
      <c r="H33" s="3987">
        <v>1</v>
      </c>
      <c r="I33" s="3987">
        <v>1</v>
      </c>
      <c r="J33" s="15763">
        <v>1</v>
      </c>
      <c r="K33" s="15757" t="s">
        <v>349</v>
      </c>
      <c r="L33" s="4423" t="s">
        <v>10068</v>
      </c>
      <c r="M33" s="2731" t="s">
        <v>1322</v>
      </c>
      <c r="N33" s="2731"/>
      <c r="O33" s="3989">
        <v>20000000</v>
      </c>
      <c r="P33" s="3989">
        <v>20600000</v>
      </c>
      <c r="Q33" s="3989">
        <v>21218000</v>
      </c>
      <c r="R33" s="3989">
        <v>21854540</v>
      </c>
      <c r="S33" s="3989">
        <v>22510176.199999999</v>
      </c>
      <c r="T33" s="3989">
        <v>23185481.486000001</v>
      </c>
      <c r="U33" s="3989">
        <v>23881045.930580001</v>
      </c>
      <c r="V33" s="3989">
        <v>24597477.308497403</v>
      </c>
      <c r="W33" s="3989">
        <v>25335401.627752326</v>
      </c>
      <c r="X33" s="3989">
        <v>26095463.676584896</v>
      </c>
      <c r="Y33" s="3989">
        <v>26878327.586882442</v>
      </c>
      <c r="Z33" s="3988">
        <v>256155913.81629708</v>
      </c>
      <c r="AA33" s="3990"/>
      <c r="AB33" s="3991"/>
      <c r="AC33" s="3990"/>
      <c r="AD33" s="3990"/>
      <c r="AE33" s="3990"/>
      <c r="AF33" s="3990"/>
      <c r="AG33" s="3990"/>
      <c r="AH33" s="3990"/>
      <c r="AI33" s="3990"/>
      <c r="AJ33" s="3990"/>
      <c r="AK33" s="3990"/>
      <c r="AL33" s="3990"/>
      <c r="AM33" s="3990"/>
      <c r="AN33" s="3990"/>
      <c r="AO33" s="3990"/>
      <c r="AP33" s="3990"/>
      <c r="AQ33" s="3990"/>
      <c r="AR33" s="3990"/>
      <c r="AS33" s="3990"/>
      <c r="AT33" s="3990"/>
      <c r="AU33" s="3990"/>
      <c r="AV33" s="3990"/>
      <c r="AW33" s="3990"/>
      <c r="AX33" s="3990"/>
      <c r="AY33" s="3990"/>
      <c r="AZ33" s="3990"/>
      <c r="BA33" s="3990"/>
      <c r="BB33" s="3990"/>
      <c r="BC33" s="3990"/>
      <c r="BD33" s="3990"/>
      <c r="BE33" s="3990"/>
      <c r="BF33" s="3990"/>
      <c r="BG33" s="3990"/>
      <c r="BH33" s="3990"/>
      <c r="BI33" s="3990"/>
      <c r="BJ33" s="3990"/>
      <c r="BK33" s="3990"/>
      <c r="BL33" s="3990"/>
      <c r="BM33" s="3990"/>
      <c r="BN33" s="3990"/>
      <c r="BO33" s="3990"/>
      <c r="BP33" s="3990"/>
      <c r="BQ33" s="3990"/>
      <c r="BR33" s="3992"/>
      <c r="BS33" s="3979" t="s">
        <v>3781</v>
      </c>
      <c r="BT33" s="3979" t="s">
        <v>3781</v>
      </c>
      <c r="BU33" s="3993">
        <v>1</v>
      </c>
      <c r="BV33" s="2295" t="s">
        <v>3781</v>
      </c>
      <c r="BW33" s="15858"/>
      <c r="BX33" s="3976" t="s">
        <v>8890</v>
      </c>
      <c r="BY33" s="3979"/>
      <c r="BZ33" s="3976"/>
      <c r="CA33" s="3980"/>
      <c r="CB33" s="3980"/>
      <c r="CC33" s="3980"/>
      <c r="CD33" s="3980"/>
      <c r="CE33" s="3981"/>
      <c r="CF33" s="3981"/>
      <c r="CG33" s="3981"/>
      <c r="CH33" s="3981"/>
      <c r="CI33" s="3981"/>
      <c r="CJ33" s="3981"/>
      <c r="CK33" s="3981"/>
      <c r="CL33" s="3981"/>
      <c r="CM33" s="3981"/>
      <c r="CN33" s="3981"/>
      <c r="CO33" s="3981"/>
      <c r="CP33" s="3981"/>
      <c r="CQ33" s="3981"/>
      <c r="CR33" s="3981"/>
      <c r="CS33" s="3981"/>
      <c r="CT33" s="3981"/>
      <c r="CU33" s="3981"/>
      <c r="CV33" s="3981"/>
      <c r="CW33" s="3981"/>
      <c r="CX33" s="3981"/>
      <c r="CY33" s="3981"/>
      <c r="CZ33" s="3981"/>
      <c r="DA33" s="3982"/>
      <c r="DB33" s="3981"/>
      <c r="DC33" s="3981"/>
      <c r="DD33" s="3981"/>
      <c r="DE33" s="3981"/>
      <c r="DF33" s="3981"/>
      <c r="DG33" s="3981"/>
      <c r="DH33" s="3981"/>
      <c r="DI33" s="3981"/>
      <c r="DJ33" s="3981"/>
      <c r="DK33" s="3981"/>
      <c r="DL33" s="3981"/>
      <c r="DM33" s="3981"/>
      <c r="DN33" s="4246"/>
      <c r="DO33" s="1901"/>
      <c r="DP33" s="4458"/>
      <c r="DQ33" s="4449"/>
      <c r="DR33" s="4449"/>
      <c r="DS33" s="4449"/>
      <c r="DT33" s="3990"/>
      <c r="DU33" s="3990"/>
      <c r="DV33" s="3990"/>
      <c r="DW33" s="3990"/>
      <c r="DX33" s="3990"/>
      <c r="DY33" s="3990"/>
      <c r="DZ33" s="3990"/>
      <c r="EA33" s="3990"/>
      <c r="EB33" s="3990"/>
      <c r="EC33" s="3990"/>
      <c r="ED33" s="3990"/>
      <c r="EE33" s="3990"/>
      <c r="EF33" s="3990"/>
      <c r="EG33" s="3990"/>
      <c r="EH33" s="3990"/>
      <c r="EI33" s="3990"/>
      <c r="EJ33" s="3990"/>
      <c r="EK33" s="3990"/>
      <c r="EL33" s="3990"/>
      <c r="EM33" s="3990"/>
      <c r="EN33" s="3990"/>
      <c r="EO33" s="3990"/>
      <c r="EP33" s="3990"/>
      <c r="EQ33" s="3990"/>
      <c r="ER33" s="3990"/>
      <c r="ES33" s="3990"/>
      <c r="ET33" s="3990"/>
      <c r="EU33" s="3990"/>
      <c r="EV33" s="3990"/>
      <c r="EW33" s="3990"/>
      <c r="EX33" s="3990"/>
      <c r="EY33" s="3990"/>
      <c r="EZ33" s="3990"/>
      <c r="FA33" s="3990"/>
      <c r="FB33" s="3990"/>
      <c r="FC33" s="3990"/>
      <c r="FD33" s="3990"/>
      <c r="FE33" s="3990"/>
      <c r="FF33" s="3990"/>
      <c r="FG33" s="3990"/>
      <c r="FH33" s="3990"/>
      <c r="FI33" s="3992"/>
    </row>
    <row r="34" spans="1:165" s="1754" customFormat="1" ht="15" customHeight="1">
      <c r="A34" s="15818"/>
      <c r="B34" s="15821"/>
      <c r="C34" s="15762"/>
      <c r="D34" s="15761"/>
      <c r="E34" s="15762"/>
      <c r="F34" s="15762"/>
      <c r="G34" s="3986"/>
      <c r="H34" s="3987"/>
      <c r="I34" s="3987"/>
      <c r="J34" s="15764"/>
      <c r="K34" s="15760"/>
      <c r="L34" s="4423" t="s">
        <v>10063</v>
      </c>
      <c r="M34" s="2731"/>
      <c r="N34" s="2731" t="s">
        <v>316</v>
      </c>
      <c r="O34" s="3989"/>
      <c r="P34" s="3989"/>
      <c r="Q34" s="3989"/>
      <c r="R34" s="3989"/>
      <c r="S34" s="3989"/>
      <c r="T34" s="3989"/>
      <c r="U34" s="3989"/>
      <c r="V34" s="3989"/>
      <c r="W34" s="3989"/>
      <c r="X34" s="3989"/>
      <c r="Y34" s="3989"/>
      <c r="Z34" s="3988"/>
      <c r="AA34" s="3990"/>
      <c r="AB34" s="3991"/>
      <c r="AC34" s="3990"/>
      <c r="AD34" s="3990"/>
      <c r="AE34" s="3990"/>
      <c r="AF34" s="3990"/>
      <c r="AG34" s="3990"/>
      <c r="AH34" s="3990"/>
      <c r="AI34" s="3990"/>
      <c r="AJ34" s="3990"/>
      <c r="AK34" s="3990"/>
      <c r="AL34" s="3990"/>
      <c r="AM34" s="3990"/>
      <c r="AN34" s="3990"/>
      <c r="AO34" s="3990"/>
      <c r="AP34" s="3990"/>
      <c r="AQ34" s="3990"/>
      <c r="AR34" s="3990"/>
      <c r="AS34" s="3990"/>
      <c r="AT34" s="3990"/>
      <c r="AU34" s="3990"/>
      <c r="AV34" s="3990"/>
      <c r="AW34" s="3990"/>
      <c r="AX34" s="3990"/>
      <c r="AY34" s="3990"/>
      <c r="AZ34" s="3990"/>
      <c r="BA34" s="3990"/>
      <c r="BB34" s="3990"/>
      <c r="BC34" s="3990"/>
      <c r="BD34" s="3990"/>
      <c r="BE34" s="3990"/>
      <c r="BF34" s="3990"/>
      <c r="BG34" s="3990"/>
      <c r="BH34" s="3990"/>
      <c r="BI34" s="3990"/>
      <c r="BJ34" s="3990"/>
      <c r="BK34" s="3990"/>
      <c r="BL34" s="3990"/>
      <c r="BM34" s="3990"/>
      <c r="BN34" s="3990"/>
      <c r="BO34" s="3990"/>
      <c r="BP34" s="3990"/>
      <c r="BQ34" s="3990"/>
      <c r="BR34" s="3992"/>
      <c r="BS34" s="3979"/>
      <c r="BT34" s="3979"/>
      <c r="BU34" s="3993"/>
      <c r="BV34" s="2295"/>
      <c r="BW34" s="15858"/>
      <c r="BX34" s="3976"/>
      <c r="BY34" s="3979"/>
      <c r="BZ34" s="3976"/>
      <c r="CA34" s="3980"/>
      <c r="CB34" s="3980"/>
      <c r="CC34" s="3980"/>
      <c r="CD34" s="3980"/>
      <c r="CE34" s="3981"/>
      <c r="CF34" s="3981"/>
      <c r="CG34" s="3981"/>
      <c r="CH34" s="3981"/>
      <c r="CI34" s="3981"/>
      <c r="CJ34" s="3981"/>
      <c r="CK34" s="3981"/>
      <c r="CL34" s="3981"/>
      <c r="CM34" s="3981"/>
      <c r="CN34" s="3981"/>
      <c r="CO34" s="3981"/>
      <c r="CP34" s="3981"/>
      <c r="CQ34" s="3981"/>
      <c r="CR34" s="3981"/>
      <c r="CS34" s="3981"/>
      <c r="CT34" s="3981"/>
      <c r="CU34" s="3981"/>
      <c r="CV34" s="3981"/>
      <c r="CW34" s="3981"/>
      <c r="CX34" s="3981"/>
      <c r="CY34" s="3981"/>
      <c r="CZ34" s="3981"/>
      <c r="DA34" s="3982"/>
      <c r="DB34" s="3981"/>
      <c r="DC34" s="3981"/>
      <c r="DD34" s="3981"/>
      <c r="DE34" s="3981"/>
      <c r="DF34" s="3981"/>
      <c r="DG34" s="3981"/>
      <c r="DH34" s="3981"/>
      <c r="DI34" s="3981"/>
      <c r="DJ34" s="3981"/>
      <c r="DK34" s="3981"/>
      <c r="DL34" s="3981"/>
      <c r="DM34" s="3981"/>
      <c r="DN34" s="4246"/>
      <c r="DO34" s="1901"/>
      <c r="DP34" s="4458"/>
      <c r="DQ34" s="4449"/>
      <c r="DR34" s="4449"/>
      <c r="DS34" s="4449"/>
      <c r="DT34" s="3990"/>
      <c r="DU34" s="3990"/>
      <c r="DV34" s="3990"/>
      <c r="DW34" s="3990"/>
      <c r="DX34" s="3990"/>
      <c r="DY34" s="3990"/>
      <c r="DZ34" s="3990"/>
      <c r="EA34" s="3990"/>
      <c r="EB34" s="3990"/>
      <c r="EC34" s="3990"/>
      <c r="ED34" s="3990"/>
      <c r="EE34" s="3990"/>
      <c r="EF34" s="3990"/>
      <c r="EG34" s="3990"/>
      <c r="EH34" s="3990"/>
      <c r="EI34" s="3990"/>
      <c r="EJ34" s="3990"/>
      <c r="EK34" s="3990"/>
      <c r="EL34" s="3990"/>
      <c r="EM34" s="3990"/>
      <c r="EN34" s="3990"/>
      <c r="EO34" s="3990"/>
      <c r="EP34" s="3990"/>
      <c r="EQ34" s="3990"/>
      <c r="ER34" s="3990"/>
      <c r="ES34" s="3990"/>
      <c r="ET34" s="3990"/>
      <c r="EU34" s="3990"/>
      <c r="EV34" s="3990"/>
      <c r="EW34" s="3990"/>
      <c r="EX34" s="3990"/>
      <c r="EY34" s="3990"/>
      <c r="EZ34" s="3990"/>
      <c r="FA34" s="3990"/>
      <c r="FB34" s="3990"/>
      <c r="FC34" s="3990"/>
      <c r="FD34" s="3990"/>
      <c r="FE34" s="3990"/>
      <c r="FF34" s="3990"/>
      <c r="FG34" s="3990"/>
      <c r="FH34" s="3990"/>
      <c r="FI34" s="3992"/>
    </row>
    <row r="35" spans="1:165" s="1754" customFormat="1" ht="15" customHeight="1">
      <c r="A35" s="15818"/>
      <c r="B35" s="15821"/>
      <c r="C35" s="15821" t="s">
        <v>1319</v>
      </c>
      <c r="D35" s="15751" t="s">
        <v>7851</v>
      </c>
      <c r="E35" s="15754" t="s">
        <v>1332</v>
      </c>
      <c r="F35" s="15754" t="s">
        <v>1333</v>
      </c>
      <c r="G35" s="3986" t="s">
        <v>254</v>
      </c>
      <c r="H35" s="3987">
        <v>1</v>
      </c>
      <c r="I35" s="3987">
        <v>1</v>
      </c>
      <c r="J35" s="15763">
        <v>1</v>
      </c>
      <c r="K35" s="15757" t="s">
        <v>343</v>
      </c>
      <c r="L35" s="4423" t="s">
        <v>4305</v>
      </c>
      <c r="M35" s="2731" t="s">
        <v>1322</v>
      </c>
      <c r="N35" s="2731"/>
      <c r="O35" s="3989">
        <v>5000000</v>
      </c>
      <c r="P35" s="3989">
        <v>0</v>
      </c>
      <c r="Q35" s="3989">
        <v>0</v>
      </c>
      <c r="R35" s="3989">
        <v>10000000</v>
      </c>
      <c r="S35" s="3989">
        <v>0</v>
      </c>
      <c r="T35" s="3989">
        <v>0</v>
      </c>
      <c r="U35" s="3989">
        <v>0</v>
      </c>
      <c r="V35" s="3989">
        <v>0</v>
      </c>
      <c r="W35" s="3989">
        <v>0</v>
      </c>
      <c r="X35" s="3989">
        <v>0</v>
      </c>
      <c r="Y35" s="3989">
        <v>15000000</v>
      </c>
      <c r="Z35" s="3989">
        <v>30000000</v>
      </c>
      <c r="AA35" s="4001">
        <v>1</v>
      </c>
      <c r="AB35" s="3991" t="s">
        <v>3226</v>
      </c>
      <c r="AC35" s="3991" t="s">
        <v>3227</v>
      </c>
      <c r="AD35" s="3991"/>
      <c r="AE35" s="3997">
        <f>17874*6</f>
        <v>107244</v>
      </c>
      <c r="AF35" s="3990"/>
      <c r="AG35" s="3990"/>
      <c r="AH35" s="3990"/>
      <c r="AI35" s="3993">
        <v>6</v>
      </c>
      <c r="AJ35" s="3993">
        <v>4</v>
      </c>
      <c r="AK35" s="3993">
        <v>2</v>
      </c>
      <c r="AL35" s="3993"/>
      <c r="AM35" s="3990"/>
      <c r="AN35" s="3990"/>
      <c r="AO35" s="3990"/>
      <c r="AP35" s="3990"/>
      <c r="AQ35" s="3993">
        <v>1</v>
      </c>
      <c r="AR35" s="3993">
        <v>2</v>
      </c>
      <c r="AS35" s="3993">
        <v>3</v>
      </c>
      <c r="AT35" s="3993"/>
      <c r="AU35" s="3993">
        <v>2</v>
      </c>
      <c r="AV35" s="3993"/>
      <c r="AW35" s="3993">
        <v>2</v>
      </c>
      <c r="AX35" s="3993"/>
      <c r="AY35" s="3993">
        <v>2</v>
      </c>
      <c r="AZ35" s="3993"/>
      <c r="BA35" s="3993"/>
      <c r="BB35" s="3993"/>
      <c r="BC35" s="3993"/>
      <c r="BD35" s="3993"/>
      <c r="BE35" s="3993">
        <v>6</v>
      </c>
      <c r="BF35" s="3993"/>
      <c r="BG35" s="3993"/>
      <c r="BH35" s="3990"/>
      <c r="BI35" s="3990"/>
      <c r="BJ35" s="3990"/>
      <c r="BK35" s="3990"/>
      <c r="BL35" s="3990"/>
      <c r="BM35" s="3990"/>
      <c r="BN35" s="3990"/>
      <c r="BO35" s="3990"/>
      <c r="BP35" s="3990"/>
      <c r="BQ35" s="3990"/>
      <c r="BR35" s="3992"/>
      <c r="BS35" s="3979" t="s">
        <v>3781</v>
      </c>
      <c r="BT35" s="3993" t="s">
        <v>3781</v>
      </c>
      <c r="BU35" s="3993">
        <v>1</v>
      </c>
      <c r="BV35" s="2295" t="s">
        <v>3781</v>
      </c>
      <c r="BW35" s="15858"/>
      <c r="BX35" s="3976" t="s">
        <v>8895</v>
      </c>
      <c r="BY35" s="3979"/>
      <c r="BZ35" s="3976"/>
      <c r="CA35" s="3980"/>
      <c r="CB35" s="3980"/>
      <c r="CC35" s="3980"/>
      <c r="CD35" s="3980"/>
      <c r="CE35" s="3981"/>
      <c r="CF35" s="3981"/>
      <c r="CG35" s="3981"/>
      <c r="CH35" s="3981"/>
      <c r="CI35" s="3981"/>
      <c r="CJ35" s="3981"/>
      <c r="CK35" s="3981"/>
      <c r="CL35" s="3981"/>
      <c r="CM35" s="3981"/>
      <c r="CN35" s="3981"/>
      <c r="CO35" s="3981"/>
      <c r="CP35" s="3981"/>
      <c r="CQ35" s="3981"/>
      <c r="CR35" s="3981"/>
      <c r="CS35" s="3981"/>
      <c r="CT35" s="3981"/>
      <c r="CU35" s="3981"/>
      <c r="CV35" s="3981"/>
      <c r="CW35" s="3981"/>
      <c r="CX35" s="3981"/>
      <c r="CY35" s="3981"/>
      <c r="CZ35" s="3981"/>
      <c r="DA35" s="3982"/>
      <c r="DB35" s="3981"/>
      <c r="DC35" s="3981"/>
      <c r="DD35" s="3981"/>
      <c r="DE35" s="3981"/>
      <c r="DF35" s="3981"/>
      <c r="DG35" s="3981"/>
      <c r="DH35" s="3981"/>
      <c r="DI35" s="3981"/>
      <c r="DJ35" s="3981"/>
      <c r="DK35" s="3981"/>
      <c r="DL35" s="3981"/>
      <c r="DM35" s="3981"/>
      <c r="DN35" s="4246"/>
      <c r="DO35" s="1901"/>
      <c r="DP35" s="4458"/>
      <c r="DQ35" s="4449"/>
      <c r="DR35" s="4449"/>
      <c r="DS35" s="4449"/>
      <c r="DT35" s="3990"/>
      <c r="DU35" s="3990"/>
      <c r="DV35" s="3990"/>
      <c r="DW35" s="3990"/>
      <c r="DX35" s="3990"/>
      <c r="DY35" s="3990"/>
      <c r="DZ35" s="3990"/>
      <c r="EA35" s="3990"/>
      <c r="EB35" s="3990"/>
      <c r="EC35" s="3990"/>
      <c r="ED35" s="3990"/>
      <c r="EE35" s="3990"/>
      <c r="EF35" s="3990"/>
      <c r="EG35" s="3990"/>
      <c r="EH35" s="3990"/>
      <c r="EI35" s="3990"/>
      <c r="EJ35" s="3990"/>
      <c r="EK35" s="3990"/>
      <c r="EL35" s="3990"/>
      <c r="EM35" s="3990"/>
      <c r="EN35" s="3990"/>
      <c r="EO35" s="3990"/>
      <c r="EP35" s="3990"/>
      <c r="EQ35" s="3990"/>
      <c r="ER35" s="3990"/>
      <c r="ES35" s="3990"/>
      <c r="ET35" s="3990"/>
      <c r="EU35" s="3990"/>
      <c r="EV35" s="3990"/>
      <c r="EW35" s="3990"/>
      <c r="EX35" s="3990"/>
      <c r="EY35" s="3990"/>
      <c r="EZ35" s="3990"/>
      <c r="FA35" s="3990"/>
      <c r="FB35" s="3990"/>
      <c r="FC35" s="3990"/>
      <c r="FD35" s="3990"/>
      <c r="FE35" s="3990"/>
      <c r="FF35" s="3990"/>
      <c r="FG35" s="3990"/>
      <c r="FH35" s="3990"/>
      <c r="FI35" s="3992"/>
    </row>
    <row r="36" spans="1:165" s="1754" customFormat="1" ht="15" customHeight="1">
      <c r="A36" s="15819"/>
      <c r="B36" s="15754"/>
      <c r="C36" s="15754"/>
      <c r="D36" s="15761"/>
      <c r="E36" s="15762"/>
      <c r="F36" s="15762"/>
      <c r="G36" s="4003"/>
      <c r="H36" s="4004"/>
      <c r="I36" s="4004"/>
      <c r="J36" s="15764"/>
      <c r="K36" s="15760"/>
      <c r="L36" s="4424" t="s">
        <v>10063</v>
      </c>
      <c r="M36" s="4005"/>
      <c r="N36" s="2731" t="s">
        <v>316</v>
      </c>
      <c r="O36" s="4006"/>
      <c r="P36" s="4006"/>
      <c r="Q36" s="4006"/>
      <c r="R36" s="4006"/>
      <c r="S36" s="4006"/>
      <c r="T36" s="4006"/>
      <c r="U36" s="4006"/>
      <c r="V36" s="4006"/>
      <c r="W36" s="4006"/>
      <c r="X36" s="4006"/>
      <c r="Y36" s="4006"/>
      <c r="Z36" s="4006"/>
      <c r="AA36" s="4001"/>
      <c r="AB36" s="3991"/>
      <c r="AC36" s="4007"/>
      <c r="AD36" s="4007"/>
      <c r="AE36" s="4008"/>
      <c r="AF36" s="4009"/>
      <c r="AG36" s="4009"/>
      <c r="AH36" s="4009"/>
      <c r="AI36" s="4010"/>
      <c r="AJ36" s="4010"/>
      <c r="AK36" s="4010"/>
      <c r="AL36" s="4010"/>
      <c r="AM36" s="4009"/>
      <c r="AN36" s="4009"/>
      <c r="AO36" s="4009"/>
      <c r="AP36" s="4009"/>
      <c r="AQ36" s="3993"/>
      <c r="AR36" s="3993"/>
      <c r="AS36" s="3993"/>
      <c r="AT36" s="3993"/>
      <c r="AU36" s="4010"/>
      <c r="AV36" s="4010"/>
      <c r="AW36" s="4010"/>
      <c r="AX36" s="4010"/>
      <c r="AY36" s="4010"/>
      <c r="AZ36" s="4010"/>
      <c r="BA36" s="4010"/>
      <c r="BB36" s="4010"/>
      <c r="BC36" s="4010"/>
      <c r="BD36" s="4010"/>
      <c r="BE36" s="4010"/>
      <c r="BF36" s="4010"/>
      <c r="BG36" s="4010"/>
      <c r="BH36" s="4009"/>
      <c r="BI36" s="4009"/>
      <c r="BJ36" s="4009"/>
      <c r="BK36" s="4009"/>
      <c r="BL36" s="4009"/>
      <c r="BM36" s="4009"/>
      <c r="BN36" s="4009"/>
      <c r="BO36" s="4009"/>
      <c r="BP36" s="4009"/>
      <c r="BQ36" s="4009"/>
      <c r="BR36" s="4011"/>
      <c r="BS36" s="3979"/>
      <c r="BT36" s="3993"/>
      <c r="BU36" s="4010"/>
      <c r="BV36" s="2295"/>
      <c r="BW36" s="15858"/>
      <c r="BX36" s="3976"/>
      <c r="BY36" s="3979"/>
      <c r="BZ36" s="3976"/>
      <c r="CA36" s="3980"/>
      <c r="CB36" s="3980"/>
      <c r="CC36" s="3980"/>
      <c r="CD36" s="3980"/>
      <c r="CE36" s="3981"/>
      <c r="CF36" s="3981"/>
      <c r="CG36" s="3981"/>
      <c r="CH36" s="3981"/>
      <c r="CI36" s="3981"/>
      <c r="CJ36" s="3981"/>
      <c r="CK36" s="3981"/>
      <c r="CL36" s="3981"/>
      <c r="CM36" s="3981"/>
      <c r="CN36" s="3981"/>
      <c r="CO36" s="3981"/>
      <c r="CP36" s="3981"/>
      <c r="CQ36" s="3981"/>
      <c r="CR36" s="3981"/>
      <c r="CS36" s="3981"/>
      <c r="CT36" s="3981"/>
      <c r="CU36" s="3981"/>
      <c r="CV36" s="3981"/>
      <c r="CW36" s="3981"/>
      <c r="CX36" s="3981"/>
      <c r="CY36" s="3981"/>
      <c r="CZ36" s="3981"/>
      <c r="DA36" s="3982"/>
      <c r="DB36" s="3981"/>
      <c r="DC36" s="3981"/>
      <c r="DD36" s="3981"/>
      <c r="DE36" s="3981"/>
      <c r="DF36" s="3981"/>
      <c r="DG36" s="3981"/>
      <c r="DH36" s="3981"/>
      <c r="DI36" s="3981"/>
      <c r="DJ36" s="3981"/>
      <c r="DK36" s="3981"/>
      <c r="DL36" s="3981"/>
      <c r="DM36" s="3981"/>
      <c r="DN36" s="4246"/>
      <c r="DO36" s="1901"/>
      <c r="DP36" s="4458"/>
      <c r="DQ36" s="4449"/>
      <c r="DR36" s="4449"/>
      <c r="DS36" s="4449"/>
      <c r="DT36" s="3990"/>
      <c r="DU36" s="3990"/>
      <c r="DV36" s="3990"/>
      <c r="DW36" s="3990"/>
      <c r="DX36" s="3990"/>
      <c r="DY36" s="3990"/>
      <c r="DZ36" s="3990"/>
      <c r="EA36" s="3990"/>
      <c r="EB36" s="3990"/>
      <c r="EC36" s="3990"/>
      <c r="ED36" s="3990"/>
      <c r="EE36" s="3990"/>
      <c r="EF36" s="3990"/>
      <c r="EG36" s="3990"/>
      <c r="EH36" s="3990"/>
      <c r="EI36" s="3990"/>
      <c r="EJ36" s="3990"/>
      <c r="EK36" s="3990"/>
      <c r="EL36" s="3990"/>
      <c r="EM36" s="3990"/>
      <c r="EN36" s="3990"/>
      <c r="EO36" s="3990"/>
      <c r="EP36" s="3990"/>
      <c r="EQ36" s="3990"/>
      <c r="ER36" s="3990"/>
      <c r="ES36" s="3990"/>
      <c r="ET36" s="3990"/>
      <c r="EU36" s="3990"/>
      <c r="EV36" s="3990"/>
      <c r="EW36" s="3990"/>
      <c r="EX36" s="3990"/>
      <c r="EY36" s="3990"/>
      <c r="EZ36" s="3990"/>
      <c r="FA36" s="3990"/>
      <c r="FB36" s="3990"/>
      <c r="FC36" s="3990"/>
      <c r="FD36" s="3990"/>
      <c r="FE36" s="3990"/>
      <c r="FF36" s="3990"/>
      <c r="FG36" s="3990"/>
      <c r="FH36" s="3990"/>
      <c r="FI36" s="3992"/>
    </row>
    <row r="37" spans="1:165" s="1754" customFormat="1" ht="15" customHeight="1">
      <c r="A37" s="15819"/>
      <c r="B37" s="15754"/>
      <c r="C37" s="15754"/>
      <c r="D37" s="15751" t="s">
        <v>7852</v>
      </c>
      <c r="E37" s="15754" t="s">
        <v>1334</v>
      </c>
      <c r="F37" s="15754" t="s">
        <v>1335</v>
      </c>
      <c r="G37" s="4003"/>
      <c r="H37" s="4004"/>
      <c r="I37" s="4004"/>
      <c r="J37" s="15757" t="s">
        <v>1336</v>
      </c>
      <c r="K37" s="15757" t="s">
        <v>313</v>
      </c>
      <c r="L37" s="4424" t="s">
        <v>4305</v>
      </c>
      <c r="M37" s="4005" t="s">
        <v>1322</v>
      </c>
      <c r="N37" s="4005"/>
      <c r="O37" s="4006">
        <v>10000000</v>
      </c>
      <c r="P37" s="4006">
        <v>0</v>
      </c>
      <c r="Q37" s="4006">
        <v>0</v>
      </c>
      <c r="R37" s="4006">
        <v>15000000</v>
      </c>
      <c r="S37" s="4006">
        <v>0</v>
      </c>
      <c r="T37" s="4006">
        <v>0</v>
      </c>
      <c r="U37" s="4006">
        <v>0</v>
      </c>
      <c r="V37" s="4006">
        <v>0</v>
      </c>
      <c r="W37" s="4006">
        <v>0</v>
      </c>
      <c r="X37" s="4006">
        <v>0</v>
      </c>
      <c r="Y37" s="4006">
        <v>20000000</v>
      </c>
      <c r="Z37" s="4006">
        <v>45000000</v>
      </c>
      <c r="AA37" s="4001"/>
      <c r="AB37" s="3991"/>
      <c r="AC37" s="4007"/>
      <c r="AD37" s="4007"/>
      <c r="AE37" s="4008"/>
      <c r="AF37" s="4009"/>
      <c r="AG37" s="4009"/>
      <c r="AH37" s="4009"/>
      <c r="AI37" s="4010"/>
      <c r="AJ37" s="4010"/>
      <c r="AK37" s="4010"/>
      <c r="AL37" s="4010"/>
      <c r="AM37" s="4009"/>
      <c r="AN37" s="4009"/>
      <c r="AO37" s="4009"/>
      <c r="AP37" s="4009"/>
      <c r="AQ37" s="3993"/>
      <c r="AR37" s="3993"/>
      <c r="AS37" s="3993"/>
      <c r="AT37" s="3993"/>
      <c r="AU37" s="4010"/>
      <c r="AV37" s="4010"/>
      <c r="AW37" s="4010"/>
      <c r="AX37" s="4010"/>
      <c r="AY37" s="4010"/>
      <c r="AZ37" s="4010"/>
      <c r="BA37" s="4010"/>
      <c r="BB37" s="4010"/>
      <c r="BC37" s="4010"/>
      <c r="BD37" s="4010"/>
      <c r="BE37" s="4010"/>
      <c r="BF37" s="4010"/>
      <c r="BG37" s="4010"/>
      <c r="BH37" s="4009"/>
      <c r="BI37" s="4009"/>
      <c r="BJ37" s="4009"/>
      <c r="BK37" s="4009"/>
      <c r="BL37" s="4009"/>
      <c r="BM37" s="4009"/>
      <c r="BN37" s="4009"/>
      <c r="BO37" s="4009"/>
      <c r="BP37" s="4009"/>
      <c r="BQ37" s="4009"/>
      <c r="BR37" s="4011"/>
      <c r="BS37" s="3979" t="s">
        <v>3781</v>
      </c>
      <c r="BT37" s="3993" t="s">
        <v>3781</v>
      </c>
      <c r="BU37" s="4010">
        <v>0</v>
      </c>
      <c r="BV37" s="15866" t="s">
        <v>3781</v>
      </c>
      <c r="BW37" s="15858"/>
      <c r="BX37" s="3976" t="s">
        <v>8890</v>
      </c>
      <c r="BY37" s="3979"/>
      <c r="BZ37" s="3976"/>
      <c r="CA37" s="3980"/>
      <c r="CB37" s="3980"/>
      <c r="CC37" s="3980"/>
      <c r="CD37" s="3980"/>
      <c r="CE37" s="3981"/>
      <c r="CF37" s="3981"/>
      <c r="CG37" s="3981"/>
      <c r="CH37" s="3981"/>
      <c r="CI37" s="3981"/>
      <c r="CJ37" s="3981"/>
      <c r="CK37" s="3981"/>
      <c r="CL37" s="3981"/>
      <c r="CM37" s="3981"/>
      <c r="CN37" s="3981"/>
      <c r="CO37" s="3981"/>
      <c r="CP37" s="3981"/>
      <c r="CQ37" s="3981"/>
      <c r="CR37" s="3981"/>
      <c r="CS37" s="3981"/>
      <c r="CT37" s="3981"/>
      <c r="CU37" s="3981"/>
      <c r="CV37" s="3981"/>
      <c r="CW37" s="3981"/>
      <c r="CX37" s="3981"/>
      <c r="CY37" s="3981"/>
      <c r="CZ37" s="3981"/>
      <c r="DA37" s="3982"/>
      <c r="DB37" s="3981"/>
      <c r="DC37" s="3981"/>
      <c r="DD37" s="3981"/>
      <c r="DE37" s="3981"/>
      <c r="DF37" s="3981"/>
      <c r="DG37" s="3981"/>
      <c r="DH37" s="3981"/>
      <c r="DI37" s="3981"/>
      <c r="DJ37" s="3981"/>
      <c r="DK37" s="3981"/>
      <c r="DL37" s="3981"/>
      <c r="DM37" s="3981"/>
      <c r="DN37" s="4246"/>
      <c r="DO37" s="1901"/>
      <c r="DP37" s="4458"/>
      <c r="DQ37" s="4449"/>
      <c r="DR37" s="4449"/>
      <c r="DS37" s="4449"/>
      <c r="DT37" s="3990"/>
      <c r="DU37" s="3990"/>
      <c r="DV37" s="3990"/>
      <c r="DW37" s="3990"/>
      <c r="DX37" s="3990"/>
      <c r="DY37" s="3990"/>
      <c r="DZ37" s="3990"/>
      <c r="EA37" s="3990"/>
      <c r="EB37" s="3990"/>
      <c r="EC37" s="3990"/>
      <c r="ED37" s="3990"/>
      <c r="EE37" s="3990"/>
      <c r="EF37" s="3990"/>
      <c r="EG37" s="3990"/>
      <c r="EH37" s="3990"/>
      <c r="EI37" s="3990"/>
      <c r="EJ37" s="3990"/>
      <c r="EK37" s="3990"/>
      <c r="EL37" s="3990"/>
      <c r="EM37" s="3990"/>
      <c r="EN37" s="3990"/>
      <c r="EO37" s="3990"/>
      <c r="EP37" s="3990"/>
      <c r="EQ37" s="3990"/>
      <c r="ER37" s="3990"/>
      <c r="ES37" s="3990"/>
      <c r="ET37" s="3990"/>
      <c r="EU37" s="3990"/>
      <c r="EV37" s="3990"/>
      <c r="EW37" s="3990"/>
      <c r="EX37" s="3990"/>
      <c r="EY37" s="3990"/>
      <c r="EZ37" s="3990"/>
      <c r="FA37" s="3990"/>
      <c r="FB37" s="3990"/>
      <c r="FC37" s="3990"/>
      <c r="FD37" s="3990"/>
      <c r="FE37" s="3990"/>
      <c r="FF37" s="3990"/>
      <c r="FG37" s="3990"/>
      <c r="FH37" s="3990"/>
      <c r="FI37" s="3992"/>
    </row>
    <row r="38" spans="1:165" s="1754" customFormat="1" ht="15" customHeight="1">
      <c r="A38" s="15819"/>
      <c r="B38" s="15754"/>
      <c r="C38" s="15754"/>
      <c r="D38" s="15752"/>
      <c r="E38" s="15755"/>
      <c r="F38" s="15755"/>
      <c r="G38" s="4003"/>
      <c r="H38" s="4004"/>
      <c r="I38" s="4004"/>
      <c r="J38" s="15758"/>
      <c r="K38" s="15758"/>
      <c r="L38" s="4424" t="s">
        <v>10063</v>
      </c>
      <c r="M38" s="4005"/>
      <c r="N38" s="4005" t="s">
        <v>10209</v>
      </c>
      <c r="O38" s="4006"/>
      <c r="P38" s="4006"/>
      <c r="Q38" s="4006"/>
      <c r="R38" s="4006"/>
      <c r="S38" s="4006"/>
      <c r="T38" s="4006"/>
      <c r="U38" s="4006"/>
      <c r="V38" s="4006"/>
      <c r="W38" s="4006"/>
      <c r="X38" s="4006"/>
      <c r="Y38" s="4006"/>
      <c r="Z38" s="4006"/>
      <c r="AA38" s="4001"/>
      <c r="AB38" s="3991"/>
      <c r="AC38" s="4007"/>
      <c r="AD38" s="4007"/>
      <c r="AE38" s="4008"/>
      <c r="AF38" s="4009"/>
      <c r="AG38" s="4009"/>
      <c r="AH38" s="4009"/>
      <c r="AI38" s="4010"/>
      <c r="AJ38" s="4010"/>
      <c r="AK38" s="4010"/>
      <c r="AL38" s="4010"/>
      <c r="AM38" s="4009"/>
      <c r="AN38" s="4009"/>
      <c r="AO38" s="4009"/>
      <c r="AP38" s="4009"/>
      <c r="AQ38" s="3993"/>
      <c r="AR38" s="3993"/>
      <c r="AS38" s="3993"/>
      <c r="AT38" s="3993"/>
      <c r="AU38" s="4010"/>
      <c r="AV38" s="4010"/>
      <c r="AW38" s="4010"/>
      <c r="AX38" s="4010"/>
      <c r="AY38" s="4010"/>
      <c r="AZ38" s="4010"/>
      <c r="BA38" s="4010"/>
      <c r="BB38" s="4010"/>
      <c r="BC38" s="4010"/>
      <c r="BD38" s="4010"/>
      <c r="BE38" s="4010"/>
      <c r="BF38" s="4010"/>
      <c r="BG38" s="4010"/>
      <c r="BH38" s="4009"/>
      <c r="BI38" s="4009"/>
      <c r="BJ38" s="4009"/>
      <c r="BK38" s="4009"/>
      <c r="BL38" s="4009"/>
      <c r="BM38" s="4009"/>
      <c r="BN38" s="4009"/>
      <c r="BO38" s="4009"/>
      <c r="BP38" s="4009"/>
      <c r="BQ38" s="4009"/>
      <c r="BR38" s="4011"/>
      <c r="BS38" s="3979"/>
      <c r="BT38" s="3993"/>
      <c r="BU38" s="4010"/>
      <c r="BV38" s="15867"/>
      <c r="BW38" s="15858"/>
      <c r="BX38" s="3976"/>
      <c r="BY38" s="3979"/>
      <c r="BZ38" s="3976"/>
      <c r="CA38" s="3980"/>
      <c r="CB38" s="3980"/>
      <c r="CC38" s="3980"/>
      <c r="CD38" s="3980"/>
      <c r="CE38" s="3981"/>
      <c r="CF38" s="3981"/>
      <c r="CG38" s="3981"/>
      <c r="CH38" s="3981"/>
      <c r="CI38" s="3981"/>
      <c r="CJ38" s="3981"/>
      <c r="CK38" s="3981"/>
      <c r="CL38" s="3981"/>
      <c r="CM38" s="3981"/>
      <c r="CN38" s="3981"/>
      <c r="CO38" s="3981"/>
      <c r="CP38" s="3981"/>
      <c r="CQ38" s="3981"/>
      <c r="CR38" s="3981"/>
      <c r="CS38" s="3981"/>
      <c r="CT38" s="3981"/>
      <c r="CU38" s="3981"/>
      <c r="CV38" s="3981"/>
      <c r="CW38" s="3981"/>
      <c r="CX38" s="3981"/>
      <c r="CY38" s="3981"/>
      <c r="CZ38" s="3981"/>
      <c r="DA38" s="3982"/>
      <c r="DB38" s="3981"/>
      <c r="DC38" s="3981"/>
      <c r="DD38" s="3981"/>
      <c r="DE38" s="3981"/>
      <c r="DF38" s="3981"/>
      <c r="DG38" s="3981"/>
      <c r="DH38" s="3981"/>
      <c r="DI38" s="3981"/>
      <c r="DJ38" s="3981"/>
      <c r="DK38" s="3981"/>
      <c r="DL38" s="3981"/>
      <c r="DM38" s="3981"/>
      <c r="DN38" s="4246"/>
      <c r="DO38" s="1901"/>
      <c r="DP38" s="4458"/>
      <c r="DQ38" s="4449"/>
      <c r="DR38" s="4449"/>
      <c r="DS38" s="4449"/>
      <c r="DT38" s="3990"/>
      <c r="DU38" s="3990"/>
      <c r="DV38" s="3990"/>
      <c r="DW38" s="3990"/>
      <c r="DX38" s="3990"/>
      <c r="DY38" s="3990"/>
      <c r="DZ38" s="3990"/>
      <c r="EA38" s="3990"/>
      <c r="EB38" s="3990"/>
      <c r="EC38" s="3990"/>
      <c r="ED38" s="3990"/>
      <c r="EE38" s="3990"/>
      <c r="EF38" s="3990"/>
      <c r="EG38" s="3990"/>
      <c r="EH38" s="3990"/>
      <c r="EI38" s="3990"/>
      <c r="EJ38" s="3990"/>
      <c r="EK38" s="3990"/>
      <c r="EL38" s="3990"/>
      <c r="EM38" s="3990"/>
      <c r="EN38" s="3990"/>
      <c r="EO38" s="3990"/>
      <c r="EP38" s="3990"/>
      <c r="EQ38" s="3990"/>
      <c r="ER38" s="3990"/>
      <c r="ES38" s="3990"/>
      <c r="ET38" s="3990"/>
      <c r="EU38" s="3990"/>
      <c r="EV38" s="3990"/>
      <c r="EW38" s="3990"/>
      <c r="EX38" s="3990"/>
      <c r="EY38" s="3990"/>
      <c r="EZ38" s="3990"/>
      <c r="FA38" s="3990"/>
      <c r="FB38" s="3990"/>
      <c r="FC38" s="3990"/>
      <c r="FD38" s="3990"/>
      <c r="FE38" s="3990"/>
      <c r="FF38" s="3990"/>
      <c r="FG38" s="3990"/>
      <c r="FH38" s="3990"/>
      <c r="FI38" s="3992"/>
    </row>
    <row r="39" spans="1:165" s="1754" customFormat="1" ht="15" customHeight="1">
      <c r="A39" s="15819"/>
      <c r="B39" s="15754"/>
      <c r="C39" s="15754"/>
      <c r="D39" s="15752"/>
      <c r="E39" s="15755"/>
      <c r="F39" s="15755"/>
      <c r="G39" s="4003"/>
      <c r="H39" s="4004"/>
      <c r="I39" s="4004"/>
      <c r="J39" s="15758"/>
      <c r="K39" s="15758"/>
      <c r="L39" s="4424" t="s">
        <v>10194</v>
      </c>
      <c r="M39" s="4005"/>
      <c r="N39" s="4005" t="s">
        <v>10194</v>
      </c>
      <c r="O39" s="4006"/>
      <c r="P39" s="4006"/>
      <c r="Q39" s="4006"/>
      <c r="R39" s="4006"/>
      <c r="S39" s="4006"/>
      <c r="T39" s="4006"/>
      <c r="U39" s="4006"/>
      <c r="V39" s="4006"/>
      <c r="W39" s="4006"/>
      <c r="X39" s="4006"/>
      <c r="Y39" s="4006"/>
      <c r="Z39" s="4006"/>
      <c r="AA39" s="4001"/>
      <c r="AB39" s="3991"/>
      <c r="AC39" s="4007"/>
      <c r="AD39" s="4007"/>
      <c r="AE39" s="4008"/>
      <c r="AF39" s="4009"/>
      <c r="AG39" s="4009"/>
      <c r="AH39" s="4009"/>
      <c r="AI39" s="4010"/>
      <c r="AJ39" s="4010"/>
      <c r="AK39" s="4010"/>
      <c r="AL39" s="4010"/>
      <c r="AM39" s="4009"/>
      <c r="AN39" s="4009"/>
      <c r="AO39" s="4009"/>
      <c r="AP39" s="4009"/>
      <c r="AQ39" s="3993"/>
      <c r="AR39" s="3993"/>
      <c r="AS39" s="3993"/>
      <c r="AT39" s="3993"/>
      <c r="AU39" s="4010"/>
      <c r="AV39" s="4010"/>
      <c r="AW39" s="4010"/>
      <c r="AX39" s="4010"/>
      <c r="AY39" s="4010"/>
      <c r="AZ39" s="4010"/>
      <c r="BA39" s="4010"/>
      <c r="BB39" s="4010"/>
      <c r="BC39" s="4010"/>
      <c r="BD39" s="4010"/>
      <c r="BE39" s="4010"/>
      <c r="BF39" s="4010"/>
      <c r="BG39" s="4010"/>
      <c r="BH39" s="4009"/>
      <c r="BI39" s="4009"/>
      <c r="BJ39" s="4009"/>
      <c r="BK39" s="4009"/>
      <c r="BL39" s="4009"/>
      <c r="BM39" s="4009"/>
      <c r="BN39" s="4009"/>
      <c r="BO39" s="4009"/>
      <c r="BP39" s="4009"/>
      <c r="BQ39" s="4009"/>
      <c r="BR39" s="4011"/>
      <c r="BS39" s="3979"/>
      <c r="BT39" s="3993"/>
      <c r="BU39" s="4010"/>
      <c r="BV39" s="15867"/>
      <c r="BW39" s="15858"/>
      <c r="BX39" s="3976"/>
      <c r="BY39" s="3979"/>
      <c r="BZ39" s="3976"/>
      <c r="CA39" s="3980"/>
      <c r="CB39" s="3980"/>
      <c r="CC39" s="3980"/>
      <c r="CD39" s="3980"/>
      <c r="CE39" s="3981"/>
      <c r="CF39" s="3981"/>
      <c r="CG39" s="3981"/>
      <c r="CH39" s="3981"/>
      <c r="CI39" s="3981"/>
      <c r="CJ39" s="3981"/>
      <c r="CK39" s="3981"/>
      <c r="CL39" s="3981"/>
      <c r="CM39" s="3981"/>
      <c r="CN39" s="3981"/>
      <c r="CO39" s="3981"/>
      <c r="CP39" s="3981"/>
      <c r="CQ39" s="3981"/>
      <c r="CR39" s="3981"/>
      <c r="CS39" s="3981"/>
      <c r="CT39" s="3981"/>
      <c r="CU39" s="3981"/>
      <c r="CV39" s="3981"/>
      <c r="CW39" s="3981"/>
      <c r="CX39" s="3981"/>
      <c r="CY39" s="3981"/>
      <c r="CZ39" s="3981"/>
      <c r="DA39" s="3982"/>
      <c r="DB39" s="3981"/>
      <c r="DC39" s="3981"/>
      <c r="DD39" s="3981"/>
      <c r="DE39" s="3981"/>
      <c r="DF39" s="3981"/>
      <c r="DG39" s="3981"/>
      <c r="DH39" s="3981"/>
      <c r="DI39" s="3981"/>
      <c r="DJ39" s="3981"/>
      <c r="DK39" s="3981"/>
      <c r="DL39" s="3981"/>
      <c r="DM39" s="3981"/>
      <c r="DN39" s="4246"/>
      <c r="DO39" s="1901"/>
      <c r="DP39" s="4458"/>
      <c r="DQ39" s="4449"/>
      <c r="DR39" s="4449"/>
      <c r="DS39" s="4449"/>
      <c r="DT39" s="3990"/>
      <c r="DU39" s="3990"/>
      <c r="DV39" s="3990"/>
      <c r="DW39" s="3990"/>
      <c r="DX39" s="3990"/>
      <c r="DY39" s="3990"/>
      <c r="DZ39" s="3990"/>
      <c r="EA39" s="3990"/>
      <c r="EB39" s="3990"/>
      <c r="EC39" s="3990"/>
      <c r="ED39" s="3990"/>
      <c r="EE39" s="3990"/>
      <c r="EF39" s="3990"/>
      <c r="EG39" s="3990"/>
      <c r="EH39" s="3990"/>
      <c r="EI39" s="3990"/>
      <c r="EJ39" s="3990"/>
      <c r="EK39" s="3990"/>
      <c r="EL39" s="3990"/>
      <c r="EM39" s="3990"/>
      <c r="EN39" s="3990"/>
      <c r="EO39" s="3990"/>
      <c r="EP39" s="3990"/>
      <c r="EQ39" s="3990"/>
      <c r="ER39" s="3990"/>
      <c r="ES39" s="3990"/>
      <c r="ET39" s="3990"/>
      <c r="EU39" s="3990"/>
      <c r="EV39" s="3990"/>
      <c r="EW39" s="3990"/>
      <c r="EX39" s="3990"/>
      <c r="EY39" s="3990"/>
      <c r="EZ39" s="3990"/>
      <c r="FA39" s="3990"/>
      <c r="FB39" s="3990"/>
      <c r="FC39" s="3990"/>
      <c r="FD39" s="3990"/>
      <c r="FE39" s="3990"/>
      <c r="FF39" s="3990"/>
      <c r="FG39" s="3990"/>
      <c r="FH39" s="3990"/>
      <c r="FI39" s="3992"/>
    </row>
    <row r="40" spans="1:165" s="1754" customFormat="1" ht="15" customHeight="1" thickBot="1">
      <c r="A40" s="15820"/>
      <c r="B40" s="15822"/>
      <c r="C40" s="15822"/>
      <c r="D40" s="15753"/>
      <c r="E40" s="15756"/>
      <c r="F40" s="15756"/>
      <c r="G40" s="3884" t="s">
        <v>254</v>
      </c>
      <c r="H40" s="1902">
        <v>1</v>
      </c>
      <c r="I40" s="1903" t="s">
        <v>1336</v>
      </c>
      <c r="J40" s="15759"/>
      <c r="K40" s="15759"/>
      <c r="L40" s="4425" t="s">
        <v>10185</v>
      </c>
      <c r="M40" s="1903"/>
      <c r="N40" s="1903" t="s">
        <v>1323</v>
      </c>
      <c r="O40" s="1904"/>
      <c r="P40" s="1904"/>
      <c r="Q40" s="1904"/>
      <c r="R40" s="1904"/>
      <c r="S40" s="1904"/>
      <c r="T40" s="1904"/>
      <c r="U40" s="1904"/>
      <c r="V40" s="1904"/>
      <c r="W40" s="1904"/>
      <c r="X40" s="1904"/>
      <c r="Y40" s="1904"/>
      <c r="Z40" s="1904"/>
      <c r="AA40" s="1905"/>
      <c r="AB40" s="934"/>
      <c r="AC40" s="1905"/>
      <c r="AD40" s="1905"/>
      <c r="AE40" s="1905"/>
      <c r="AF40" s="1905"/>
      <c r="AG40" s="1905"/>
      <c r="AH40" s="1905"/>
      <c r="AI40" s="1905"/>
      <c r="AJ40" s="1905"/>
      <c r="AK40" s="1905"/>
      <c r="AL40" s="1905"/>
      <c r="AM40" s="1905"/>
      <c r="AN40" s="1905"/>
      <c r="AO40" s="1905"/>
      <c r="AP40" s="1905"/>
      <c r="AQ40" s="4380"/>
      <c r="AR40" s="4380"/>
      <c r="AS40" s="4380"/>
      <c r="AT40" s="4380"/>
      <c r="AU40" s="1905"/>
      <c r="AV40" s="1905"/>
      <c r="AW40" s="1905"/>
      <c r="AX40" s="1905"/>
      <c r="AY40" s="1905"/>
      <c r="AZ40" s="1905"/>
      <c r="BA40" s="1905"/>
      <c r="BB40" s="1905"/>
      <c r="BC40" s="1905"/>
      <c r="BD40" s="1905"/>
      <c r="BE40" s="1905"/>
      <c r="BF40" s="1905"/>
      <c r="BG40" s="1905"/>
      <c r="BH40" s="1905"/>
      <c r="BI40" s="1905"/>
      <c r="BJ40" s="1905"/>
      <c r="BK40" s="1905"/>
      <c r="BL40" s="1905"/>
      <c r="BM40" s="1905"/>
      <c r="BN40" s="1905"/>
      <c r="BO40" s="1905"/>
      <c r="BP40" s="1905"/>
      <c r="BQ40" s="1905"/>
      <c r="BR40" s="1906"/>
      <c r="BS40" s="4381"/>
      <c r="BT40" s="4381"/>
      <c r="BU40" s="934"/>
      <c r="BV40" s="15868"/>
      <c r="BW40" s="15859"/>
      <c r="BX40" s="4382"/>
      <c r="BY40" s="4381"/>
      <c r="BZ40" s="4382"/>
      <c r="CA40" s="4383"/>
      <c r="CB40" s="4383"/>
      <c r="CC40" s="4383"/>
      <c r="CD40" s="4383"/>
      <c r="CE40" s="4384"/>
      <c r="CF40" s="4384"/>
      <c r="CG40" s="4384"/>
      <c r="CH40" s="4384"/>
      <c r="CI40" s="4384"/>
      <c r="CJ40" s="4384"/>
      <c r="CK40" s="4384"/>
      <c r="CL40" s="4384"/>
      <c r="CM40" s="4384"/>
      <c r="CN40" s="4384"/>
      <c r="CO40" s="4384"/>
      <c r="CP40" s="4384"/>
      <c r="CQ40" s="4384"/>
      <c r="CR40" s="4384"/>
      <c r="CS40" s="4384"/>
      <c r="CT40" s="4384"/>
      <c r="CU40" s="4384"/>
      <c r="CV40" s="4384"/>
      <c r="CW40" s="4384"/>
      <c r="CX40" s="4384"/>
      <c r="CY40" s="4384"/>
      <c r="CZ40" s="4384"/>
      <c r="DA40" s="4385"/>
      <c r="DB40" s="4384"/>
      <c r="DC40" s="4384"/>
      <c r="DD40" s="4384"/>
      <c r="DE40" s="4384"/>
      <c r="DF40" s="4384"/>
      <c r="DG40" s="4384"/>
      <c r="DH40" s="4384"/>
      <c r="DI40" s="4384"/>
      <c r="DJ40" s="4384"/>
      <c r="DK40" s="4384"/>
      <c r="DL40" s="4384"/>
      <c r="DM40" s="4384"/>
      <c r="DN40" s="4386"/>
      <c r="DO40" s="1901"/>
      <c r="DP40" s="4458"/>
      <c r="DQ40" s="4449"/>
      <c r="DR40" s="4449"/>
      <c r="DS40" s="4449"/>
      <c r="DT40" s="3990"/>
      <c r="DU40" s="3990"/>
      <c r="DV40" s="3990"/>
      <c r="DW40" s="3990"/>
      <c r="DX40" s="3990"/>
      <c r="DY40" s="3990"/>
      <c r="DZ40" s="3990"/>
      <c r="EA40" s="3990"/>
      <c r="EB40" s="3990"/>
      <c r="EC40" s="3990"/>
      <c r="ED40" s="3990"/>
      <c r="EE40" s="3990"/>
      <c r="EF40" s="3990"/>
      <c r="EG40" s="3990"/>
      <c r="EH40" s="3990"/>
      <c r="EI40" s="3990"/>
      <c r="EJ40" s="3990"/>
      <c r="EK40" s="3990"/>
      <c r="EL40" s="3990"/>
      <c r="EM40" s="3990"/>
      <c r="EN40" s="3990"/>
      <c r="EO40" s="3990"/>
      <c r="EP40" s="3990"/>
      <c r="EQ40" s="3990"/>
      <c r="ER40" s="3990"/>
      <c r="ES40" s="3990"/>
      <c r="ET40" s="3990"/>
      <c r="EU40" s="3990"/>
      <c r="EV40" s="3990"/>
      <c r="EW40" s="3990"/>
      <c r="EX40" s="3990"/>
      <c r="EY40" s="3990"/>
      <c r="EZ40" s="3990"/>
      <c r="FA40" s="3990"/>
      <c r="FB40" s="3990"/>
      <c r="FC40" s="3990"/>
      <c r="FD40" s="3990"/>
      <c r="FE40" s="3990"/>
      <c r="FF40" s="3990"/>
      <c r="FG40" s="3990"/>
      <c r="FH40" s="3990"/>
      <c r="FI40" s="3992"/>
    </row>
    <row r="41" spans="1:165" s="1775" customFormat="1" ht="15" customHeight="1">
      <c r="A41" s="15836" t="s">
        <v>1337</v>
      </c>
      <c r="B41" s="15748" t="s">
        <v>1338</v>
      </c>
      <c r="C41" s="3889" t="s">
        <v>1339</v>
      </c>
      <c r="D41" s="3868" t="s">
        <v>7853</v>
      </c>
      <c r="E41" s="1907" t="s">
        <v>1340</v>
      </c>
      <c r="F41" s="3889" t="s">
        <v>1341</v>
      </c>
      <c r="G41" s="1908" t="s">
        <v>542</v>
      </c>
      <c r="H41" s="4030">
        <v>1</v>
      </c>
      <c r="I41" s="4030">
        <v>2</v>
      </c>
      <c r="J41" s="4030">
        <v>2</v>
      </c>
      <c r="K41" s="4031" t="s">
        <v>1342</v>
      </c>
      <c r="L41" s="4426" t="s">
        <v>10063</v>
      </c>
      <c r="M41" s="4031" t="s">
        <v>316</v>
      </c>
      <c r="N41" s="4031"/>
      <c r="O41" s="1909">
        <v>5000000</v>
      </c>
      <c r="P41" s="1909">
        <v>5150000</v>
      </c>
      <c r="Q41" s="1909">
        <v>5304500</v>
      </c>
      <c r="R41" s="1909">
        <v>10000000</v>
      </c>
      <c r="S41" s="1909">
        <v>10300000</v>
      </c>
      <c r="T41" s="1909">
        <v>10609000</v>
      </c>
      <c r="U41" s="1909">
        <v>10927270</v>
      </c>
      <c r="V41" s="1909">
        <v>11255088.1</v>
      </c>
      <c r="W41" s="1909">
        <v>11592740.743000001</v>
      </c>
      <c r="X41" s="1909">
        <v>11940522.965290001</v>
      </c>
      <c r="Y41" s="1909">
        <v>12298738.654248701</v>
      </c>
      <c r="Z41" s="1909">
        <v>104377860.46253869</v>
      </c>
      <c r="AA41" s="1910">
        <v>1</v>
      </c>
      <c r="AB41" s="325" t="s">
        <v>3017</v>
      </c>
      <c r="AC41" s="1911" t="s">
        <v>3018</v>
      </c>
      <c r="AD41" s="1911" t="s">
        <v>3019</v>
      </c>
      <c r="AE41" s="1912">
        <f t="shared" ref="AE41:AE62" si="0">+AF41+AG41</f>
        <v>12892720</v>
      </c>
      <c r="AF41" s="1913">
        <v>7580320</v>
      </c>
      <c r="AG41" s="1913">
        <v>5312400</v>
      </c>
      <c r="AH41" s="1914">
        <v>0</v>
      </c>
      <c r="AI41" s="1915"/>
      <c r="AJ41" s="1916"/>
      <c r="AK41" s="1916"/>
      <c r="AL41" s="1916"/>
      <c r="AM41" s="1916"/>
      <c r="AN41" s="1916"/>
      <c r="AO41" s="1916"/>
      <c r="AP41" s="1916"/>
      <c r="AQ41" s="1916"/>
      <c r="AR41" s="1916"/>
      <c r="AS41" s="1916"/>
      <c r="AT41" s="1916"/>
      <c r="AU41" s="1916"/>
      <c r="AV41" s="1916"/>
      <c r="AW41" s="1916"/>
      <c r="AX41" s="1916"/>
      <c r="AY41" s="1916"/>
      <c r="AZ41" s="1916"/>
      <c r="BA41" s="1916"/>
      <c r="BB41" s="1916"/>
      <c r="BC41" s="1916"/>
      <c r="BD41" s="1916"/>
      <c r="BE41" s="1916"/>
      <c r="BF41" s="1916"/>
      <c r="BG41" s="1916"/>
      <c r="BH41" s="1916"/>
      <c r="BI41" s="1911" t="s">
        <v>3020</v>
      </c>
      <c r="BJ41" s="1916" t="s">
        <v>3021</v>
      </c>
      <c r="BK41" s="1916"/>
      <c r="BL41" s="1911" t="s">
        <v>3022</v>
      </c>
      <c r="BM41" s="392" t="s">
        <v>3023</v>
      </c>
      <c r="BN41" s="1917"/>
      <c r="BO41" s="1917"/>
      <c r="BP41" s="1917"/>
      <c r="BQ41" s="1917"/>
      <c r="BR41" s="1918"/>
      <c r="BS41" s="3869">
        <v>1</v>
      </c>
      <c r="BT41" s="1915">
        <v>1</v>
      </c>
      <c r="BU41" s="1915">
        <v>1</v>
      </c>
      <c r="BV41" s="4044">
        <v>1</v>
      </c>
      <c r="BW41" s="15860">
        <v>1</v>
      </c>
      <c r="BX41" s="4374" t="s">
        <v>9687</v>
      </c>
      <c r="BY41" s="4375" t="s">
        <v>3018</v>
      </c>
      <c r="BZ41" s="4375" t="s">
        <v>3019</v>
      </c>
      <c r="CA41" s="4376">
        <v>8349454.3250000002</v>
      </c>
      <c r="CB41" s="4376">
        <v>7930854.3250000002</v>
      </c>
      <c r="CC41" s="4376">
        <v>418600</v>
      </c>
      <c r="CD41" s="4376">
        <v>0</v>
      </c>
      <c r="CE41" s="4377"/>
      <c r="CF41" s="4377"/>
      <c r="CG41" s="4377"/>
      <c r="CH41" s="4377"/>
      <c r="CI41" s="4377"/>
      <c r="CJ41" s="4377"/>
      <c r="CK41" s="4377"/>
      <c r="CL41" s="4377"/>
      <c r="CM41" s="4377"/>
      <c r="CN41" s="4377"/>
      <c r="CO41" s="4377"/>
      <c r="CP41" s="4377"/>
      <c r="CQ41" s="4377"/>
      <c r="CR41" s="4377"/>
      <c r="CS41" s="4377"/>
      <c r="CT41" s="4377"/>
      <c r="CU41" s="4377"/>
      <c r="CV41" s="4377"/>
      <c r="CW41" s="4377"/>
      <c r="CX41" s="4377"/>
      <c r="CY41" s="4377"/>
      <c r="CZ41" s="4377"/>
      <c r="DA41" s="4378"/>
      <c r="DB41" s="4377"/>
      <c r="DC41" s="4377"/>
      <c r="DD41" s="4377"/>
      <c r="DE41" s="4377" t="s">
        <v>3020</v>
      </c>
      <c r="DF41" s="4377" t="s">
        <v>3021</v>
      </c>
      <c r="DG41" s="4377"/>
      <c r="DH41" s="4377" t="s">
        <v>3022</v>
      </c>
      <c r="DI41" s="4377" t="s">
        <v>3023</v>
      </c>
      <c r="DJ41" s="4377"/>
      <c r="DK41" s="4377"/>
      <c r="DL41" s="4377"/>
      <c r="DM41" s="4377"/>
      <c r="DN41" s="4379"/>
      <c r="DO41" s="1919"/>
      <c r="DP41" s="4459"/>
      <c r="DQ41" s="4450"/>
      <c r="DR41" s="4450"/>
      <c r="DS41" s="4450"/>
      <c r="DT41" s="3448"/>
      <c r="DU41" s="3448"/>
      <c r="DV41" s="3448"/>
      <c r="DW41" s="3448"/>
      <c r="DX41" s="3448"/>
      <c r="DY41" s="3448"/>
      <c r="DZ41" s="3448"/>
      <c r="EA41" s="3448"/>
      <c r="EB41" s="3448"/>
      <c r="EC41" s="3448"/>
      <c r="ED41" s="3448"/>
      <c r="EE41" s="3448"/>
      <c r="EF41" s="3448"/>
      <c r="EG41" s="3448"/>
      <c r="EH41" s="3448"/>
      <c r="EI41" s="3448"/>
      <c r="EJ41" s="3448"/>
      <c r="EK41" s="3448"/>
      <c r="EL41" s="3448"/>
      <c r="EM41" s="3448"/>
      <c r="EN41" s="3448"/>
      <c r="EO41" s="3448"/>
      <c r="EP41" s="3448"/>
      <c r="EQ41" s="3448"/>
      <c r="ER41" s="3448"/>
      <c r="ES41" s="3448"/>
      <c r="ET41" s="3448"/>
      <c r="EU41" s="3448"/>
      <c r="EV41" s="3448"/>
      <c r="EW41" s="3448"/>
      <c r="EX41" s="3448"/>
      <c r="EY41" s="3448"/>
      <c r="EZ41" s="3448"/>
      <c r="FA41" s="3448"/>
      <c r="FB41" s="3448"/>
      <c r="FC41" s="3448"/>
      <c r="FD41" s="3448"/>
      <c r="FE41" s="3448"/>
      <c r="FF41" s="3448"/>
      <c r="FG41" s="3448"/>
      <c r="FH41" s="3448"/>
      <c r="FI41" s="2060"/>
    </row>
    <row r="42" spans="1:165" s="1775" customFormat="1" ht="15" customHeight="1">
      <c r="A42" s="15837"/>
      <c r="B42" s="15840"/>
      <c r="C42" s="15840" t="s">
        <v>1343</v>
      </c>
      <c r="D42" s="15596" t="s">
        <v>7854</v>
      </c>
      <c r="E42" s="15739" t="s">
        <v>1344</v>
      </c>
      <c r="F42" s="15739" t="s">
        <v>1345</v>
      </c>
      <c r="G42" s="4014" t="s">
        <v>70</v>
      </c>
      <c r="H42" s="4015">
        <v>1</v>
      </c>
      <c r="I42" s="4015">
        <v>2</v>
      </c>
      <c r="J42" s="15742">
        <v>2</v>
      </c>
      <c r="K42" s="15745" t="s">
        <v>1346</v>
      </c>
      <c r="L42" s="4427" t="s">
        <v>10063</v>
      </c>
      <c r="M42" s="2732" t="s">
        <v>316</v>
      </c>
      <c r="N42" s="2732"/>
      <c r="O42" s="4016">
        <v>5000000</v>
      </c>
      <c r="P42" s="4016">
        <v>5150000</v>
      </c>
      <c r="Q42" s="4016">
        <v>5304500</v>
      </c>
      <c r="R42" s="4016">
        <v>10927270</v>
      </c>
      <c r="S42" s="4016">
        <v>11255088.1</v>
      </c>
      <c r="T42" s="4016">
        <v>11592740.743000001</v>
      </c>
      <c r="U42" s="4016">
        <v>11940522.965290001</v>
      </c>
      <c r="V42" s="4016">
        <v>12298738.654248701</v>
      </c>
      <c r="W42" s="4016">
        <v>12667700.813876163</v>
      </c>
      <c r="X42" s="4016">
        <v>13047731.838292448</v>
      </c>
      <c r="Y42" s="4016">
        <v>13439163.793441221</v>
      </c>
      <c r="Z42" s="4016">
        <v>112623456.90814854</v>
      </c>
      <c r="AA42" s="1910">
        <v>1</v>
      </c>
      <c r="AB42" s="4017" t="s">
        <v>3024</v>
      </c>
      <c r="AC42" s="4018" t="s">
        <v>3025</v>
      </c>
      <c r="AD42" s="4019"/>
      <c r="AE42" s="4020">
        <f t="shared" si="0"/>
        <v>13950640</v>
      </c>
      <c r="AF42" s="4021">
        <v>5295840</v>
      </c>
      <c r="AG42" s="4021">
        <v>8654800</v>
      </c>
      <c r="AH42" s="1914">
        <v>0</v>
      </c>
      <c r="AI42" s="4022">
        <v>68</v>
      </c>
      <c r="AJ42" s="4023">
        <v>68</v>
      </c>
      <c r="AK42" s="4023">
        <v>0</v>
      </c>
      <c r="AL42" s="4019"/>
      <c r="AM42" s="4019"/>
      <c r="AN42" s="4019"/>
      <c r="AO42" s="4019"/>
      <c r="AP42" s="4019"/>
      <c r="AQ42" s="4019"/>
      <c r="AR42" s="4019"/>
      <c r="AS42" s="4019"/>
      <c r="AT42" s="4019"/>
      <c r="AU42" s="4019"/>
      <c r="AV42" s="4019"/>
      <c r="AW42" s="4019"/>
      <c r="AX42" s="4019"/>
      <c r="AY42" s="4019"/>
      <c r="AZ42" s="4019"/>
      <c r="BA42" s="4019"/>
      <c r="BB42" s="4019"/>
      <c r="BC42" s="4019"/>
      <c r="BD42" s="4019"/>
      <c r="BE42" s="4019"/>
      <c r="BF42" s="4019"/>
      <c r="BG42" s="4019"/>
      <c r="BH42" s="4019"/>
      <c r="BI42" s="4018" t="s">
        <v>3020</v>
      </c>
      <c r="BJ42" s="4019" t="s">
        <v>3021</v>
      </c>
      <c r="BK42" s="4019"/>
      <c r="BL42" s="1911" t="s">
        <v>3022</v>
      </c>
      <c r="BM42" s="392" t="s">
        <v>3023</v>
      </c>
      <c r="BN42" s="3448"/>
      <c r="BO42" s="3448"/>
      <c r="BP42" s="3448"/>
      <c r="BQ42" s="3448"/>
      <c r="BR42" s="2060"/>
      <c r="BS42" s="4024">
        <v>7</v>
      </c>
      <c r="BT42" s="4023">
        <v>7</v>
      </c>
      <c r="BU42" s="4023">
        <v>7</v>
      </c>
      <c r="BV42" s="2368">
        <v>1</v>
      </c>
      <c r="BW42" s="15860"/>
      <c r="BX42" s="4025" t="s">
        <v>9688</v>
      </c>
      <c r="BY42" s="4024" t="s">
        <v>3025</v>
      </c>
      <c r="BZ42" s="4024"/>
      <c r="CA42" s="4026">
        <v>13508454.633333333</v>
      </c>
      <c r="CB42" s="4026">
        <v>9070854.6333333328</v>
      </c>
      <c r="CC42" s="4026">
        <v>4437600</v>
      </c>
      <c r="CD42" s="4026">
        <v>0</v>
      </c>
      <c r="CE42" s="4027">
        <v>46</v>
      </c>
      <c r="CF42" s="4028"/>
      <c r="CG42" s="4028"/>
      <c r="CH42" s="4028"/>
      <c r="CI42" s="4028"/>
      <c r="CJ42" s="4028"/>
      <c r="CK42" s="4028"/>
      <c r="CL42" s="4028"/>
      <c r="CM42" s="4028"/>
      <c r="CN42" s="4028"/>
      <c r="CO42" s="4028"/>
      <c r="CP42" s="4028"/>
      <c r="CQ42" s="4028"/>
      <c r="CR42" s="4028"/>
      <c r="CS42" s="4028"/>
      <c r="CT42" s="4028"/>
      <c r="CU42" s="4028"/>
      <c r="CV42" s="4028"/>
      <c r="CW42" s="4028"/>
      <c r="CX42" s="4028"/>
      <c r="CY42" s="4028"/>
      <c r="CZ42" s="4028"/>
      <c r="DA42" s="4029">
        <v>46</v>
      </c>
      <c r="DB42" s="4028"/>
      <c r="DC42" s="4028"/>
      <c r="DD42" s="4028"/>
      <c r="DE42" s="4028" t="s">
        <v>3020</v>
      </c>
      <c r="DF42" s="4028" t="s">
        <v>3021</v>
      </c>
      <c r="DG42" s="4028"/>
      <c r="DH42" s="4028" t="s">
        <v>3022</v>
      </c>
      <c r="DI42" s="4028" t="s">
        <v>3023</v>
      </c>
      <c r="DJ42" s="4028"/>
      <c r="DK42" s="4028"/>
      <c r="DL42" s="4028"/>
      <c r="DM42" s="4028"/>
      <c r="DN42" s="4248"/>
      <c r="DO42" s="1919"/>
      <c r="DP42" s="4459"/>
      <c r="DQ42" s="4450"/>
      <c r="DR42" s="4450"/>
      <c r="DS42" s="4450"/>
      <c r="DT42" s="3448"/>
      <c r="DU42" s="3448"/>
      <c r="DV42" s="3448"/>
      <c r="DW42" s="3448"/>
      <c r="DX42" s="3448"/>
      <c r="DY42" s="3448"/>
      <c r="DZ42" s="3448"/>
      <c r="EA42" s="3448"/>
      <c r="EB42" s="3448"/>
      <c r="EC42" s="3448"/>
      <c r="ED42" s="3448"/>
      <c r="EE42" s="3448"/>
      <c r="EF42" s="3448"/>
      <c r="EG42" s="3448"/>
      <c r="EH42" s="3448"/>
      <c r="EI42" s="3448"/>
      <c r="EJ42" s="3448"/>
      <c r="EK42" s="3448"/>
      <c r="EL42" s="3448"/>
      <c r="EM42" s="3448"/>
      <c r="EN42" s="3448"/>
      <c r="EO42" s="3448"/>
      <c r="EP42" s="3448"/>
      <c r="EQ42" s="3448"/>
      <c r="ER42" s="3448"/>
      <c r="ES42" s="3448"/>
      <c r="ET42" s="3448"/>
      <c r="EU42" s="3448"/>
      <c r="EV42" s="3448"/>
      <c r="EW42" s="3448"/>
      <c r="EX42" s="3448"/>
      <c r="EY42" s="3448"/>
      <c r="EZ42" s="3448"/>
      <c r="FA42" s="3448"/>
      <c r="FB42" s="3448"/>
      <c r="FC42" s="3448"/>
      <c r="FD42" s="3448"/>
      <c r="FE42" s="3448"/>
      <c r="FF42" s="3448"/>
      <c r="FG42" s="3448"/>
      <c r="FH42" s="3448"/>
      <c r="FI42" s="2060"/>
    </row>
    <row r="43" spans="1:165" s="1775" customFormat="1" ht="15" customHeight="1">
      <c r="A43" s="15837"/>
      <c r="B43" s="15840"/>
      <c r="C43" s="15840"/>
      <c r="D43" s="15577"/>
      <c r="E43" s="15740"/>
      <c r="F43" s="15740"/>
      <c r="G43" s="4014"/>
      <c r="H43" s="4015"/>
      <c r="I43" s="4015"/>
      <c r="J43" s="15743"/>
      <c r="K43" s="15746"/>
      <c r="L43" s="4427" t="s">
        <v>329</v>
      </c>
      <c r="M43" s="2732"/>
      <c r="N43" s="2732" t="s">
        <v>329</v>
      </c>
      <c r="O43" s="4016"/>
      <c r="P43" s="4016"/>
      <c r="Q43" s="4016"/>
      <c r="R43" s="4016"/>
      <c r="S43" s="4016"/>
      <c r="T43" s="4016"/>
      <c r="U43" s="4016"/>
      <c r="V43" s="4016"/>
      <c r="W43" s="4016"/>
      <c r="X43" s="4016"/>
      <c r="Y43" s="4016"/>
      <c r="Z43" s="4016"/>
      <c r="AA43" s="1910"/>
      <c r="AB43" s="4017"/>
      <c r="AC43" s="4018"/>
      <c r="AD43" s="4019"/>
      <c r="AE43" s="4020"/>
      <c r="AF43" s="4021"/>
      <c r="AG43" s="4021"/>
      <c r="AH43" s="1914"/>
      <c r="AI43" s="4022"/>
      <c r="AJ43" s="4023"/>
      <c r="AK43" s="4023"/>
      <c r="AL43" s="4019"/>
      <c r="AM43" s="4019"/>
      <c r="AN43" s="4019"/>
      <c r="AO43" s="4019"/>
      <c r="AP43" s="4019"/>
      <c r="AQ43" s="4019"/>
      <c r="AR43" s="4019"/>
      <c r="AS43" s="4019"/>
      <c r="AT43" s="4019"/>
      <c r="AU43" s="4019"/>
      <c r="AV43" s="4019"/>
      <c r="AW43" s="4019"/>
      <c r="AX43" s="4019"/>
      <c r="AY43" s="4019"/>
      <c r="AZ43" s="4019"/>
      <c r="BA43" s="4019"/>
      <c r="BB43" s="4019"/>
      <c r="BC43" s="4019"/>
      <c r="BD43" s="4019"/>
      <c r="BE43" s="4019"/>
      <c r="BF43" s="4019"/>
      <c r="BG43" s="4019"/>
      <c r="BH43" s="4019"/>
      <c r="BI43" s="4018"/>
      <c r="BJ43" s="4019"/>
      <c r="BK43" s="4019"/>
      <c r="BL43" s="1911"/>
      <c r="BM43" s="392"/>
      <c r="BN43" s="3448"/>
      <c r="BO43" s="3448"/>
      <c r="BP43" s="3448"/>
      <c r="BQ43" s="3448"/>
      <c r="BR43" s="2060"/>
      <c r="BS43" s="4024"/>
      <c r="BT43" s="4023"/>
      <c r="BU43" s="4023"/>
      <c r="BV43" s="2368"/>
      <c r="BW43" s="15860"/>
      <c r="BX43" s="4025"/>
      <c r="BY43" s="4024"/>
      <c r="BZ43" s="4024"/>
      <c r="CA43" s="4026"/>
      <c r="CB43" s="4026"/>
      <c r="CC43" s="4026"/>
      <c r="CD43" s="4026"/>
      <c r="CE43" s="4027"/>
      <c r="CF43" s="4028"/>
      <c r="CG43" s="4028"/>
      <c r="CH43" s="4028"/>
      <c r="CI43" s="4028"/>
      <c r="CJ43" s="4028"/>
      <c r="CK43" s="4028"/>
      <c r="CL43" s="4028"/>
      <c r="CM43" s="4028"/>
      <c r="CN43" s="4028"/>
      <c r="CO43" s="4028"/>
      <c r="CP43" s="4028"/>
      <c r="CQ43" s="4028"/>
      <c r="CR43" s="4028"/>
      <c r="CS43" s="4028"/>
      <c r="CT43" s="4028"/>
      <c r="CU43" s="4028"/>
      <c r="CV43" s="4028"/>
      <c r="CW43" s="4028"/>
      <c r="CX43" s="4028"/>
      <c r="CY43" s="4028"/>
      <c r="CZ43" s="4028"/>
      <c r="DA43" s="4029"/>
      <c r="DB43" s="4028"/>
      <c r="DC43" s="4028"/>
      <c r="DD43" s="4028"/>
      <c r="DE43" s="4028"/>
      <c r="DF43" s="4028"/>
      <c r="DG43" s="4028"/>
      <c r="DH43" s="4028"/>
      <c r="DI43" s="4028"/>
      <c r="DJ43" s="4028"/>
      <c r="DK43" s="4028"/>
      <c r="DL43" s="4028"/>
      <c r="DM43" s="4028"/>
      <c r="DN43" s="4248"/>
      <c r="DO43" s="1919"/>
      <c r="DP43" s="4459"/>
      <c r="DQ43" s="4450"/>
      <c r="DR43" s="4450"/>
      <c r="DS43" s="4450"/>
      <c r="DT43" s="3448"/>
      <c r="DU43" s="3448"/>
      <c r="DV43" s="3448"/>
      <c r="DW43" s="3448"/>
      <c r="DX43" s="3448"/>
      <c r="DY43" s="3448"/>
      <c r="DZ43" s="3448"/>
      <c r="EA43" s="3448"/>
      <c r="EB43" s="3448"/>
      <c r="EC43" s="3448"/>
      <c r="ED43" s="3448"/>
      <c r="EE43" s="3448"/>
      <c r="EF43" s="3448"/>
      <c r="EG43" s="3448"/>
      <c r="EH43" s="3448"/>
      <c r="EI43" s="3448"/>
      <c r="EJ43" s="3448"/>
      <c r="EK43" s="3448"/>
      <c r="EL43" s="3448"/>
      <c r="EM43" s="3448"/>
      <c r="EN43" s="3448"/>
      <c r="EO43" s="3448"/>
      <c r="EP43" s="3448"/>
      <c r="EQ43" s="3448"/>
      <c r="ER43" s="3448"/>
      <c r="ES43" s="3448"/>
      <c r="ET43" s="3448"/>
      <c r="EU43" s="3448"/>
      <c r="EV43" s="3448"/>
      <c r="EW43" s="3448"/>
      <c r="EX43" s="3448"/>
      <c r="EY43" s="3448"/>
      <c r="EZ43" s="3448"/>
      <c r="FA43" s="3448"/>
      <c r="FB43" s="3448"/>
      <c r="FC43" s="3448"/>
      <c r="FD43" s="3448"/>
      <c r="FE43" s="3448"/>
      <c r="FF43" s="3448"/>
      <c r="FG43" s="3448"/>
      <c r="FH43" s="3448"/>
      <c r="FI43" s="2060"/>
    </row>
    <row r="44" spans="1:165" s="1775" customFormat="1" ht="15" customHeight="1">
      <c r="A44" s="15837"/>
      <c r="B44" s="15840"/>
      <c r="C44" s="15840"/>
      <c r="D44" s="15578"/>
      <c r="E44" s="15748"/>
      <c r="F44" s="15748"/>
      <c r="G44" s="4014"/>
      <c r="H44" s="4015"/>
      <c r="I44" s="4015"/>
      <c r="J44" s="15749"/>
      <c r="K44" s="15750"/>
      <c r="L44" s="4427" t="s">
        <v>10194</v>
      </c>
      <c r="M44" s="2732"/>
      <c r="N44" s="2732" t="s">
        <v>10210</v>
      </c>
      <c r="O44" s="4016"/>
      <c r="P44" s="4016"/>
      <c r="Q44" s="4016"/>
      <c r="R44" s="4016"/>
      <c r="S44" s="4016"/>
      <c r="T44" s="4016"/>
      <c r="U44" s="4016"/>
      <c r="V44" s="4016"/>
      <c r="W44" s="4016"/>
      <c r="X44" s="4016"/>
      <c r="Y44" s="4016"/>
      <c r="Z44" s="4016"/>
      <c r="AA44" s="1910"/>
      <c r="AB44" s="4017"/>
      <c r="AC44" s="4018"/>
      <c r="AD44" s="4019"/>
      <c r="AE44" s="4020"/>
      <c r="AF44" s="4021"/>
      <c r="AG44" s="4021"/>
      <c r="AH44" s="1914"/>
      <c r="AI44" s="4022"/>
      <c r="AJ44" s="4023"/>
      <c r="AK44" s="4023"/>
      <c r="AL44" s="4019"/>
      <c r="AM44" s="4019"/>
      <c r="AN44" s="4019"/>
      <c r="AO44" s="4019"/>
      <c r="AP44" s="4019"/>
      <c r="AQ44" s="4019"/>
      <c r="AR44" s="4019"/>
      <c r="AS44" s="4019"/>
      <c r="AT44" s="4019"/>
      <c r="AU44" s="4019"/>
      <c r="AV44" s="4019"/>
      <c r="AW44" s="4019"/>
      <c r="AX44" s="4019"/>
      <c r="AY44" s="4019"/>
      <c r="AZ44" s="4019"/>
      <c r="BA44" s="4019"/>
      <c r="BB44" s="4019"/>
      <c r="BC44" s="4019"/>
      <c r="BD44" s="4019"/>
      <c r="BE44" s="4019"/>
      <c r="BF44" s="4019"/>
      <c r="BG44" s="4019"/>
      <c r="BH44" s="4019"/>
      <c r="BI44" s="4018"/>
      <c r="BJ44" s="4019"/>
      <c r="BK44" s="4019"/>
      <c r="BL44" s="1911"/>
      <c r="BM44" s="392"/>
      <c r="BN44" s="3448"/>
      <c r="BO44" s="3448"/>
      <c r="BP44" s="3448"/>
      <c r="BQ44" s="3448"/>
      <c r="BR44" s="2060"/>
      <c r="BS44" s="4024"/>
      <c r="BT44" s="4023"/>
      <c r="BU44" s="4023"/>
      <c r="BV44" s="2368"/>
      <c r="BW44" s="15860"/>
      <c r="BX44" s="4025"/>
      <c r="BY44" s="4024"/>
      <c r="BZ44" s="4024"/>
      <c r="CA44" s="4026"/>
      <c r="CB44" s="4026"/>
      <c r="CC44" s="4026"/>
      <c r="CD44" s="4026"/>
      <c r="CE44" s="4027"/>
      <c r="CF44" s="4028"/>
      <c r="CG44" s="4028"/>
      <c r="CH44" s="4028"/>
      <c r="CI44" s="4028"/>
      <c r="CJ44" s="4028"/>
      <c r="CK44" s="4028"/>
      <c r="CL44" s="4028"/>
      <c r="CM44" s="4028"/>
      <c r="CN44" s="4028"/>
      <c r="CO44" s="4028"/>
      <c r="CP44" s="4028"/>
      <c r="CQ44" s="4028"/>
      <c r="CR44" s="4028"/>
      <c r="CS44" s="4028"/>
      <c r="CT44" s="4028"/>
      <c r="CU44" s="4028"/>
      <c r="CV44" s="4028"/>
      <c r="CW44" s="4028"/>
      <c r="CX44" s="4028"/>
      <c r="CY44" s="4028"/>
      <c r="CZ44" s="4028"/>
      <c r="DA44" s="4029"/>
      <c r="DB44" s="4028"/>
      <c r="DC44" s="4028"/>
      <c r="DD44" s="4028"/>
      <c r="DE44" s="4028"/>
      <c r="DF44" s="4028"/>
      <c r="DG44" s="4028"/>
      <c r="DH44" s="4028"/>
      <c r="DI44" s="4028"/>
      <c r="DJ44" s="4028"/>
      <c r="DK44" s="4028"/>
      <c r="DL44" s="4028"/>
      <c r="DM44" s="4028"/>
      <c r="DN44" s="4248"/>
      <c r="DO44" s="1919"/>
      <c r="DP44" s="4459"/>
      <c r="DQ44" s="4450"/>
      <c r="DR44" s="4450"/>
      <c r="DS44" s="4450"/>
      <c r="DT44" s="3448"/>
      <c r="DU44" s="3448"/>
      <c r="DV44" s="3448"/>
      <c r="DW44" s="3448"/>
      <c r="DX44" s="3448"/>
      <c r="DY44" s="3448"/>
      <c r="DZ44" s="3448"/>
      <c r="EA44" s="3448"/>
      <c r="EB44" s="3448"/>
      <c r="EC44" s="3448"/>
      <c r="ED44" s="3448"/>
      <c r="EE44" s="3448"/>
      <c r="EF44" s="3448"/>
      <c r="EG44" s="3448"/>
      <c r="EH44" s="3448"/>
      <c r="EI44" s="3448"/>
      <c r="EJ44" s="3448"/>
      <c r="EK44" s="3448"/>
      <c r="EL44" s="3448"/>
      <c r="EM44" s="3448"/>
      <c r="EN44" s="3448"/>
      <c r="EO44" s="3448"/>
      <c r="EP44" s="3448"/>
      <c r="EQ44" s="3448"/>
      <c r="ER44" s="3448"/>
      <c r="ES44" s="3448"/>
      <c r="ET44" s="3448"/>
      <c r="EU44" s="3448"/>
      <c r="EV44" s="3448"/>
      <c r="EW44" s="3448"/>
      <c r="EX44" s="3448"/>
      <c r="EY44" s="3448"/>
      <c r="EZ44" s="3448"/>
      <c r="FA44" s="3448"/>
      <c r="FB44" s="3448"/>
      <c r="FC44" s="3448"/>
      <c r="FD44" s="3448"/>
      <c r="FE44" s="3448"/>
      <c r="FF44" s="3448"/>
      <c r="FG44" s="3448"/>
      <c r="FH44" s="3448"/>
      <c r="FI44" s="2060"/>
    </row>
    <row r="45" spans="1:165" s="1775" customFormat="1" ht="15" customHeight="1">
      <c r="A45" s="15837"/>
      <c r="B45" s="15840"/>
      <c r="C45" s="15840"/>
      <c r="D45" s="15596" t="s">
        <v>7855</v>
      </c>
      <c r="E45" s="15739" t="s">
        <v>1347</v>
      </c>
      <c r="F45" s="15739" t="s">
        <v>1348</v>
      </c>
      <c r="G45" s="4014" t="s">
        <v>70</v>
      </c>
      <c r="H45" s="4015">
        <v>2</v>
      </c>
      <c r="I45" s="4015">
        <v>2</v>
      </c>
      <c r="J45" s="15742">
        <v>2</v>
      </c>
      <c r="K45" s="15745" t="s">
        <v>124</v>
      </c>
      <c r="L45" s="4427" t="s">
        <v>10063</v>
      </c>
      <c r="M45" s="2732" t="s">
        <v>316</v>
      </c>
      <c r="N45" s="2732"/>
      <c r="O45" s="4032">
        <v>10000000</v>
      </c>
      <c r="P45" s="4016">
        <v>10300000</v>
      </c>
      <c r="Q45" s="4016">
        <v>10609000</v>
      </c>
      <c r="R45" s="4016">
        <v>10927270</v>
      </c>
      <c r="S45" s="4016">
        <v>11255088.1</v>
      </c>
      <c r="T45" s="4016">
        <v>11592740.743000001</v>
      </c>
      <c r="U45" s="4016">
        <v>11940522.965290001</v>
      </c>
      <c r="V45" s="4016">
        <v>12298738.654248701</v>
      </c>
      <c r="W45" s="4016">
        <v>12667700.813876163</v>
      </c>
      <c r="X45" s="4016">
        <v>13047731.838292448</v>
      </c>
      <c r="Y45" s="4016">
        <v>13439163.793441221</v>
      </c>
      <c r="Z45" s="4016">
        <v>128077956.90814854</v>
      </c>
      <c r="AA45" s="1910">
        <v>1</v>
      </c>
      <c r="AB45" s="4018" t="s">
        <v>3026</v>
      </c>
      <c r="AC45" s="4018" t="s">
        <v>3027</v>
      </c>
      <c r="AD45" s="3448"/>
      <c r="AE45" s="4021">
        <f t="shared" si="0"/>
        <v>29146076.618749999</v>
      </c>
      <c r="AF45" s="4021">
        <v>19277016.618749999</v>
      </c>
      <c r="AG45" s="4021">
        <v>9869060</v>
      </c>
      <c r="AH45" s="1914">
        <v>0</v>
      </c>
      <c r="AI45" s="4022">
        <v>545</v>
      </c>
      <c r="AJ45" s="4019">
        <v>147</v>
      </c>
      <c r="AK45" s="4019">
        <v>398</v>
      </c>
      <c r="AL45" s="4019">
        <v>190</v>
      </c>
      <c r="AM45" s="4019">
        <v>355</v>
      </c>
      <c r="AN45" s="4019">
        <v>0</v>
      </c>
      <c r="AO45" s="4019">
        <v>1</v>
      </c>
      <c r="AP45" s="4019">
        <v>6</v>
      </c>
      <c r="AQ45" s="4019">
        <v>194</v>
      </c>
      <c r="AR45" s="4019">
        <v>253</v>
      </c>
      <c r="AS45" s="4019">
        <v>144</v>
      </c>
      <c r="AT45" s="4019">
        <v>33</v>
      </c>
      <c r="AU45" s="4019">
        <v>0</v>
      </c>
      <c r="AV45" s="4019">
        <v>0</v>
      </c>
      <c r="AW45" s="4019">
        <v>0</v>
      </c>
      <c r="AX45" s="4019">
        <v>0</v>
      </c>
      <c r="AY45" s="4019">
        <v>67</v>
      </c>
      <c r="AZ45" s="4019">
        <v>0</v>
      </c>
      <c r="BA45" s="4019">
        <v>0</v>
      </c>
      <c r="BB45" s="4019">
        <v>0</v>
      </c>
      <c r="BC45" s="4019">
        <v>0</v>
      </c>
      <c r="BD45" s="4019">
        <v>0</v>
      </c>
      <c r="BE45" s="4019">
        <v>545</v>
      </c>
      <c r="BF45" s="4019">
        <v>0</v>
      </c>
      <c r="BG45" s="4019">
        <v>0</v>
      </c>
      <c r="BH45" s="4019">
        <v>0</v>
      </c>
      <c r="BI45" s="4018" t="s">
        <v>3020</v>
      </c>
      <c r="BJ45" s="3448" t="s">
        <v>3021</v>
      </c>
      <c r="BK45" s="3448"/>
      <c r="BL45" s="1911" t="s">
        <v>3022</v>
      </c>
      <c r="BM45" s="392" t="s">
        <v>3023</v>
      </c>
      <c r="BN45" s="3448"/>
      <c r="BO45" s="3448"/>
      <c r="BP45" s="3448"/>
      <c r="BQ45" s="3448"/>
      <c r="BR45" s="2060"/>
      <c r="BS45" s="4024">
        <v>34</v>
      </c>
      <c r="BT45" s="4023">
        <v>34</v>
      </c>
      <c r="BU45" s="4023">
        <v>34</v>
      </c>
      <c r="BV45" s="2368">
        <v>1</v>
      </c>
      <c r="BW45" s="15860"/>
      <c r="BX45" s="4025" t="s">
        <v>9689</v>
      </c>
      <c r="BY45" s="4024" t="s">
        <v>3027</v>
      </c>
      <c r="BZ45" s="4024"/>
      <c r="CA45" s="4026">
        <v>29390132.295833334</v>
      </c>
      <c r="CB45" s="4026">
        <v>23180832.295833334</v>
      </c>
      <c r="CC45" s="4026">
        <v>6209300</v>
      </c>
      <c r="CD45" s="4026">
        <v>0</v>
      </c>
      <c r="CE45" s="4027">
        <v>442</v>
      </c>
      <c r="CF45" s="4028">
        <v>118</v>
      </c>
      <c r="CG45" s="4028">
        <v>324</v>
      </c>
      <c r="CH45" s="4028"/>
      <c r="CI45" s="4028"/>
      <c r="CJ45" s="4028"/>
      <c r="CK45" s="4028"/>
      <c r="CL45" s="4028"/>
      <c r="CM45" s="4028"/>
      <c r="CN45" s="4028"/>
      <c r="CO45" s="4028"/>
      <c r="CP45" s="4028"/>
      <c r="CQ45" s="4028"/>
      <c r="CR45" s="4028"/>
      <c r="CS45" s="4028"/>
      <c r="CT45" s="4028"/>
      <c r="CU45" s="4028"/>
      <c r="CV45" s="4028">
        <v>0</v>
      </c>
      <c r="CW45" s="4028">
        <v>0</v>
      </c>
      <c r="CX45" s="4028">
        <v>0</v>
      </c>
      <c r="CY45" s="4028">
        <v>0</v>
      </c>
      <c r="CZ45" s="4028">
        <v>0</v>
      </c>
      <c r="DA45" s="4029">
        <v>442</v>
      </c>
      <c r="DB45" s="4028">
        <v>0</v>
      </c>
      <c r="DC45" s="4028">
        <v>0</v>
      </c>
      <c r="DD45" s="4028">
        <v>0</v>
      </c>
      <c r="DE45" s="4028" t="s">
        <v>3020</v>
      </c>
      <c r="DF45" s="4028" t="s">
        <v>3021</v>
      </c>
      <c r="DG45" s="4028"/>
      <c r="DH45" s="4028" t="s">
        <v>3022</v>
      </c>
      <c r="DI45" s="4028" t="s">
        <v>3023</v>
      </c>
      <c r="DJ45" s="4028"/>
      <c r="DK45" s="4028"/>
      <c r="DL45" s="4028"/>
      <c r="DM45" s="4028"/>
      <c r="DN45" s="4249"/>
      <c r="DO45" s="1919"/>
      <c r="DP45" s="4459"/>
      <c r="DQ45" s="4450"/>
      <c r="DR45" s="4450"/>
      <c r="DS45" s="4450"/>
      <c r="DT45" s="3448"/>
      <c r="DU45" s="3448"/>
      <c r="DV45" s="3448"/>
      <c r="DW45" s="3448"/>
      <c r="DX45" s="3448"/>
      <c r="DY45" s="3448"/>
      <c r="DZ45" s="3448"/>
      <c r="EA45" s="3448"/>
      <c r="EB45" s="3448"/>
      <c r="EC45" s="3448"/>
      <c r="ED45" s="3448"/>
      <c r="EE45" s="3448"/>
      <c r="EF45" s="3448"/>
      <c r="EG45" s="3448"/>
      <c r="EH45" s="3448"/>
      <c r="EI45" s="3448"/>
      <c r="EJ45" s="3448"/>
      <c r="EK45" s="3448"/>
      <c r="EL45" s="3448"/>
      <c r="EM45" s="3448"/>
      <c r="EN45" s="3448"/>
      <c r="EO45" s="3448"/>
      <c r="EP45" s="3448"/>
      <c r="EQ45" s="3448"/>
      <c r="ER45" s="3448"/>
      <c r="ES45" s="3448"/>
      <c r="ET45" s="3448"/>
      <c r="EU45" s="3448"/>
      <c r="EV45" s="3448"/>
      <c r="EW45" s="3448"/>
      <c r="EX45" s="3448"/>
      <c r="EY45" s="3448"/>
      <c r="EZ45" s="3448"/>
      <c r="FA45" s="3448"/>
      <c r="FB45" s="3448"/>
      <c r="FC45" s="3448"/>
      <c r="FD45" s="3448"/>
      <c r="FE45" s="3448"/>
      <c r="FF45" s="3448"/>
      <c r="FG45" s="3448"/>
      <c r="FH45" s="3448"/>
      <c r="FI45" s="2060"/>
    </row>
    <row r="46" spans="1:165" s="1775" customFormat="1" ht="15" customHeight="1">
      <c r="A46" s="15837"/>
      <c r="B46" s="15840"/>
      <c r="C46" s="15840"/>
      <c r="D46" s="15578"/>
      <c r="E46" s="15748"/>
      <c r="F46" s="15748"/>
      <c r="G46" s="4014"/>
      <c r="H46" s="4015"/>
      <c r="I46" s="4015"/>
      <c r="J46" s="15749"/>
      <c r="K46" s="15750"/>
      <c r="L46" s="4427" t="s">
        <v>295</v>
      </c>
      <c r="M46" s="2732"/>
      <c r="N46" s="2732" t="s">
        <v>295</v>
      </c>
      <c r="O46" s="4032"/>
      <c r="P46" s="4016"/>
      <c r="Q46" s="4016"/>
      <c r="R46" s="4016"/>
      <c r="S46" s="4016"/>
      <c r="T46" s="4016"/>
      <c r="U46" s="4016"/>
      <c r="V46" s="4016"/>
      <c r="W46" s="4016"/>
      <c r="X46" s="4016"/>
      <c r="Y46" s="4016"/>
      <c r="Z46" s="4016"/>
      <c r="AA46" s="1910"/>
      <c r="AB46" s="4018"/>
      <c r="AC46" s="4018"/>
      <c r="AD46" s="3448"/>
      <c r="AE46" s="4021"/>
      <c r="AF46" s="4021"/>
      <c r="AG46" s="4021"/>
      <c r="AH46" s="1914"/>
      <c r="AI46" s="4022"/>
      <c r="AJ46" s="4019"/>
      <c r="AK46" s="4019"/>
      <c r="AL46" s="4019"/>
      <c r="AM46" s="4019"/>
      <c r="AN46" s="4019"/>
      <c r="AO46" s="4019"/>
      <c r="AP46" s="4019"/>
      <c r="AQ46" s="4019"/>
      <c r="AR46" s="4019"/>
      <c r="AS46" s="4019"/>
      <c r="AT46" s="4019"/>
      <c r="AU46" s="4019"/>
      <c r="AV46" s="4019"/>
      <c r="AW46" s="4019"/>
      <c r="AX46" s="4019"/>
      <c r="AY46" s="4019"/>
      <c r="AZ46" s="4019"/>
      <c r="BA46" s="4019"/>
      <c r="BB46" s="4019"/>
      <c r="BC46" s="4019"/>
      <c r="BD46" s="4019"/>
      <c r="BE46" s="4019"/>
      <c r="BF46" s="4019"/>
      <c r="BG46" s="4019"/>
      <c r="BH46" s="4019"/>
      <c r="BI46" s="4018"/>
      <c r="BJ46" s="3448"/>
      <c r="BK46" s="3448"/>
      <c r="BL46" s="1911"/>
      <c r="BM46" s="392"/>
      <c r="BN46" s="3448"/>
      <c r="BO46" s="3448"/>
      <c r="BP46" s="3448"/>
      <c r="BQ46" s="3448"/>
      <c r="BR46" s="2060"/>
      <c r="BS46" s="4024"/>
      <c r="BT46" s="4023"/>
      <c r="BU46" s="4023"/>
      <c r="BV46" s="2368"/>
      <c r="BW46" s="15860"/>
      <c r="BX46" s="4025"/>
      <c r="BY46" s="4024"/>
      <c r="BZ46" s="4024"/>
      <c r="CA46" s="4026"/>
      <c r="CB46" s="4026"/>
      <c r="CC46" s="4026"/>
      <c r="CD46" s="4026"/>
      <c r="CE46" s="4027"/>
      <c r="CF46" s="4028"/>
      <c r="CG46" s="4028"/>
      <c r="CH46" s="4028"/>
      <c r="CI46" s="4028"/>
      <c r="CJ46" s="4028"/>
      <c r="CK46" s="4028"/>
      <c r="CL46" s="4028"/>
      <c r="CM46" s="4028"/>
      <c r="CN46" s="4028"/>
      <c r="CO46" s="4028"/>
      <c r="CP46" s="4028"/>
      <c r="CQ46" s="4028"/>
      <c r="CR46" s="4028"/>
      <c r="CS46" s="4028"/>
      <c r="CT46" s="4028"/>
      <c r="CU46" s="4028"/>
      <c r="CV46" s="4028"/>
      <c r="CW46" s="4028"/>
      <c r="CX46" s="4028"/>
      <c r="CY46" s="4028"/>
      <c r="CZ46" s="4028"/>
      <c r="DA46" s="4029"/>
      <c r="DB46" s="4028"/>
      <c r="DC46" s="4028"/>
      <c r="DD46" s="4028"/>
      <c r="DE46" s="4028"/>
      <c r="DF46" s="4028"/>
      <c r="DG46" s="4028"/>
      <c r="DH46" s="4028"/>
      <c r="DI46" s="4028"/>
      <c r="DJ46" s="4028"/>
      <c r="DK46" s="4028"/>
      <c r="DL46" s="4028"/>
      <c r="DM46" s="4028"/>
      <c r="DN46" s="4249"/>
      <c r="DO46" s="1919"/>
      <c r="DP46" s="4459"/>
      <c r="DQ46" s="4450"/>
      <c r="DR46" s="4450"/>
      <c r="DS46" s="4450"/>
      <c r="DT46" s="3448"/>
      <c r="DU46" s="3448"/>
      <c r="DV46" s="3448"/>
      <c r="DW46" s="3448"/>
      <c r="DX46" s="3448"/>
      <c r="DY46" s="3448"/>
      <c r="DZ46" s="3448"/>
      <c r="EA46" s="3448"/>
      <c r="EB46" s="3448"/>
      <c r="EC46" s="3448"/>
      <c r="ED46" s="3448"/>
      <c r="EE46" s="3448"/>
      <c r="EF46" s="3448"/>
      <c r="EG46" s="3448"/>
      <c r="EH46" s="3448"/>
      <c r="EI46" s="3448"/>
      <c r="EJ46" s="3448"/>
      <c r="EK46" s="3448"/>
      <c r="EL46" s="3448"/>
      <c r="EM46" s="3448"/>
      <c r="EN46" s="3448"/>
      <c r="EO46" s="3448"/>
      <c r="EP46" s="3448"/>
      <c r="EQ46" s="3448"/>
      <c r="ER46" s="3448"/>
      <c r="ES46" s="3448"/>
      <c r="ET46" s="3448"/>
      <c r="EU46" s="3448"/>
      <c r="EV46" s="3448"/>
      <c r="EW46" s="3448"/>
      <c r="EX46" s="3448"/>
      <c r="EY46" s="3448"/>
      <c r="EZ46" s="3448"/>
      <c r="FA46" s="3448"/>
      <c r="FB46" s="3448"/>
      <c r="FC46" s="3448"/>
      <c r="FD46" s="3448"/>
      <c r="FE46" s="3448"/>
      <c r="FF46" s="3448"/>
      <c r="FG46" s="3448"/>
      <c r="FH46" s="3448"/>
      <c r="FI46" s="2060"/>
    </row>
    <row r="47" spans="1:165" s="1775" customFormat="1" ht="15" customHeight="1">
      <c r="A47" s="15837"/>
      <c r="B47" s="15840"/>
      <c r="C47" s="15840"/>
      <c r="D47" s="15596" t="s">
        <v>7856</v>
      </c>
      <c r="E47" s="15739" t="s">
        <v>1349</v>
      </c>
      <c r="F47" s="15739" t="s">
        <v>1345</v>
      </c>
      <c r="G47" s="4014" t="s">
        <v>70</v>
      </c>
      <c r="H47" s="4015">
        <v>1</v>
      </c>
      <c r="I47" s="4015">
        <v>2</v>
      </c>
      <c r="J47" s="15742">
        <v>2</v>
      </c>
      <c r="K47" s="15745" t="s">
        <v>124</v>
      </c>
      <c r="L47" s="4427" t="s">
        <v>10069</v>
      </c>
      <c r="M47" s="2732" t="s">
        <v>316</v>
      </c>
      <c r="N47" s="2732"/>
      <c r="O47" s="4032">
        <v>5000000</v>
      </c>
      <c r="P47" s="4016">
        <v>5150000</v>
      </c>
      <c r="Q47" s="4016">
        <v>5304500</v>
      </c>
      <c r="R47" s="4016">
        <v>3182700</v>
      </c>
      <c r="S47" s="4016">
        <v>3278181</v>
      </c>
      <c r="T47" s="4016">
        <v>3376526.43</v>
      </c>
      <c r="U47" s="4016">
        <v>3477822.2229000004</v>
      </c>
      <c r="V47" s="4016">
        <v>3582156.8895870005</v>
      </c>
      <c r="W47" s="4016">
        <v>4776209.333333333</v>
      </c>
      <c r="X47" s="4016">
        <v>4919495.6133333333</v>
      </c>
      <c r="Y47" s="4016">
        <v>10134160.963466667</v>
      </c>
      <c r="Z47" s="4016">
        <v>52181752.452620335</v>
      </c>
      <c r="AA47" s="1910">
        <v>1</v>
      </c>
      <c r="AB47" s="4033" t="s">
        <v>3028</v>
      </c>
      <c r="AC47" s="4018" t="s">
        <v>3029</v>
      </c>
      <c r="AD47" s="3448"/>
      <c r="AE47" s="4020">
        <f t="shared" si="0"/>
        <v>32303809.668750003</v>
      </c>
      <c r="AF47" s="4020">
        <v>23195949.668750003</v>
      </c>
      <c r="AG47" s="4020">
        <v>9107860</v>
      </c>
      <c r="AH47" s="3448"/>
      <c r="AI47" s="4023">
        <v>890</v>
      </c>
      <c r="AJ47" s="4019">
        <v>320</v>
      </c>
      <c r="AK47" s="4019">
        <v>570</v>
      </c>
      <c r="AL47" s="4019">
        <v>280</v>
      </c>
      <c r="AM47" s="4019">
        <v>610</v>
      </c>
      <c r="AN47" s="4019">
        <v>119</v>
      </c>
      <c r="AO47" s="4019">
        <v>151</v>
      </c>
      <c r="AP47" s="4019">
        <v>77</v>
      </c>
      <c r="AQ47" s="4019">
        <v>190</v>
      </c>
      <c r="AR47" s="4019">
        <v>202</v>
      </c>
      <c r="AS47" s="4019">
        <v>118</v>
      </c>
      <c r="AT47" s="4019">
        <v>33</v>
      </c>
      <c r="AU47" s="4019">
        <v>0</v>
      </c>
      <c r="AV47" s="4019">
        <v>0</v>
      </c>
      <c r="AW47" s="4019">
        <v>0</v>
      </c>
      <c r="AX47" s="4019">
        <v>0</v>
      </c>
      <c r="AY47" s="4019">
        <v>63</v>
      </c>
      <c r="AZ47" s="4019">
        <v>0</v>
      </c>
      <c r="BA47" s="4019">
        <v>0</v>
      </c>
      <c r="BB47" s="4019">
        <v>0</v>
      </c>
      <c r="BC47" s="4019">
        <v>0</v>
      </c>
      <c r="BD47" s="4019">
        <v>0</v>
      </c>
      <c r="BE47" s="4019">
        <v>890</v>
      </c>
      <c r="BF47" s="4019">
        <v>0</v>
      </c>
      <c r="BG47" s="4019">
        <v>0</v>
      </c>
      <c r="BH47" s="4019">
        <v>0</v>
      </c>
      <c r="BI47" s="4018" t="s">
        <v>3020</v>
      </c>
      <c r="BJ47" s="3448" t="s">
        <v>3021</v>
      </c>
      <c r="BK47" s="3448"/>
      <c r="BL47" s="1911" t="s">
        <v>3022</v>
      </c>
      <c r="BM47" s="392" t="s">
        <v>3023</v>
      </c>
      <c r="BN47" s="3448"/>
      <c r="BO47" s="3448"/>
      <c r="BP47" s="3448"/>
      <c r="BQ47" s="3448"/>
      <c r="BR47" s="2060"/>
      <c r="BS47" s="4034">
        <v>1</v>
      </c>
      <c r="BT47" s="4022">
        <v>2</v>
      </c>
      <c r="BU47" s="4023">
        <v>2</v>
      </c>
      <c r="BV47" s="2368">
        <v>1</v>
      </c>
      <c r="BW47" s="15860"/>
      <c r="BX47" s="4025" t="s">
        <v>9690</v>
      </c>
      <c r="BY47" s="4024" t="s">
        <v>3029</v>
      </c>
      <c r="BZ47" s="4024"/>
      <c r="CA47" s="4026">
        <v>54653497.5625</v>
      </c>
      <c r="CB47" s="4026">
        <v>39568997.5625</v>
      </c>
      <c r="CC47" s="4026">
        <v>15084500</v>
      </c>
      <c r="CD47" s="4026">
        <v>0</v>
      </c>
      <c r="CE47" s="4028">
        <v>574</v>
      </c>
      <c r="CF47" s="4028">
        <v>205</v>
      </c>
      <c r="CG47" s="4028">
        <v>369</v>
      </c>
      <c r="CH47" s="4028"/>
      <c r="CI47" s="4028"/>
      <c r="CJ47" s="4028"/>
      <c r="CK47" s="4028"/>
      <c r="CL47" s="4028"/>
      <c r="CM47" s="4028"/>
      <c r="CN47" s="4028"/>
      <c r="CO47" s="4028"/>
      <c r="CP47" s="4028"/>
      <c r="CQ47" s="4028"/>
      <c r="CR47" s="4028"/>
      <c r="CS47" s="4028"/>
      <c r="CT47" s="4028"/>
      <c r="CU47" s="4028"/>
      <c r="CV47" s="4028"/>
      <c r="CW47" s="4028"/>
      <c r="CX47" s="4028"/>
      <c r="CY47" s="4028">
        <v>0</v>
      </c>
      <c r="CZ47" s="4028">
        <v>0</v>
      </c>
      <c r="DA47" s="4029">
        <v>574</v>
      </c>
      <c r="DB47" s="4028">
        <v>0</v>
      </c>
      <c r="DC47" s="4028">
        <v>0</v>
      </c>
      <c r="DD47" s="4028">
        <v>0</v>
      </c>
      <c r="DE47" s="4028" t="s">
        <v>3020</v>
      </c>
      <c r="DF47" s="4028" t="s">
        <v>3021</v>
      </c>
      <c r="DG47" s="4028"/>
      <c r="DH47" s="4028" t="s">
        <v>3022</v>
      </c>
      <c r="DI47" s="4028" t="s">
        <v>3023</v>
      </c>
      <c r="DJ47" s="4028"/>
      <c r="DK47" s="4028"/>
      <c r="DL47" s="4028"/>
      <c r="DM47" s="4028"/>
      <c r="DN47" s="4248"/>
      <c r="DO47" s="1919"/>
      <c r="DP47" s="4459"/>
      <c r="DQ47" s="4450"/>
      <c r="DR47" s="4450"/>
      <c r="DS47" s="4450"/>
      <c r="DT47" s="3448"/>
      <c r="DU47" s="3448"/>
      <c r="DV47" s="3448"/>
      <c r="DW47" s="3448"/>
      <c r="DX47" s="3448"/>
      <c r="DY47" s="3448"/>
      <c r="DZ47" s="3448"/>
      <c r="EA47" s="3448"/>
      <c r="EB47" s="3448"/>
      <c r="EC47" s="3448"/>
      <c r="ED47" s="3448"/>
      <c r="EE47" s="3448"/>
      <c r="EF47" s="3448"/>
      <c r="EG47" s="3448"/>
      <c r="EH47" s="3448"/>
      <c r="EI47" s="3448"/>
      <c r="EJ47" s="3448"/>
      <c r="EK47" s="3448"/>
      <c r="EL47" s="3448"/>
      <c r="EM47" s="3448"/>
      <c r="EN47" s="3448"/>
      <c r="EO47" s="3448"/>
      <c r="EP47" s="3448"/>
      <c r="EQ47" s="3448"/>
      <c r="ER47" s="3448"/>
      <c r="ES47" s="3448"/>
      <c r="ET47" s="3448"/>
      <c r="EU47" s="3448"/>
      <c r="EV47" s="3448"/>
      <c r="EW47" s="3448"/>
      <c r="EX47" s="3448"/>
      <c r="EY47" s="3448"/>
      <c r="EZ47" s="3448"/>
      <c r="FA47" s="3448"/>
      <c r="FB47" s="3448"/>
      <c r="FC47" s="3448"/>
      <c r="FD47" s="3448"/>
      <c r="FE47" s="3448"/>
      <c r="FF47" s="3448"/>
      <c r="FG47" s="3448"/>
      <c r="FH47" s="3448"/>
      <c r="FI47" s="2060"/>
    </row>
    <row r="48" spans="1:165" s="1775" customFormat="1" ht="15" customHeight="1">
      <c r="A48" s="15837"/>
      <c r="B48" s="15840"/>
      <c r="C48" s="15840"/>
      <c r="D48" s="15577"/>
      <c r="E48" s="15740"/>
      <c r="F48" s="15740"/>
      <c r="G48" s="4014"/>
      <c r="H48" s="4015"/>
      <c r="I48" s="4015"/>
      <c r="J48" s="15743"/>
      <c r="K48" s="15746"/>
      <c r="L48" s="4427" t="s">
        <v>10066</v>
      </c>
      <c r="M48" s="2732"/>
      <c r="N48" s="2732" t="s">
        <v>10211</v>
      </c>
      <c r="O48" s="4032"/>
      <c r="P48" s="4016"/>
      <c r="Q48" s="4016"/>
      <c r="R48" s="4016"/>
      <c r="S48" s="4016"/>
      <c r="T48" s="4016"/>
      <c r="U48" s="4016"/>
      <c r="V48" s="4016"/>
      <c r="W48" s="4016"/>
      <c r="X48" s="4016"/>
      <c r="Y48" s="4016"/>
      <c r="Z48" s="4016"/>
      <c r="AA48" s="1910"/>
      <c r="AB48" s="4033"/>
      <c r="AC48" s="4018"/>
      <c r="AD48" s="3448"/>
      <c r="AE48" s="4020"/>
      <c r="AF48" s="4020"/>
      <c r="AG48" s="4020"/>
      <c r="AH48" s="3448"/>
      <c r="AI48" s="4023"/>
      <c r="AJ48" s="4019"/>
      <c r="AK48" s="4019"/>
      <c r="AL48" s="4019"/>
      <c r="AM48" s="4019"/>
      <c r="AN48" s="4019"/>
      <c r="AO48" s="4019"/>
      <c r="AP48" s="4019"/>
      <c r="AQ48" s="4019"/>
      <c r="AR48" s="4019"/>
      <c r="AS48" s="4019"/>
      <c r="AT48" s="4019"/>
      <c r="AU48" s="4019"/>
      <c r="AV48" s="4019"/>
      <c r="AW48" s="4019"/>
      <c r="AX48" s="4019"/>
      <c r="AY48" s="4019"/>
      <c r="AZ48" s="4019"/>
      <c r="BA48" s="4019"/>
      <c r="BB48" s="4019"/>
      <c r="BC48" s="4019"/>
      <c r="BD48" s="4019"/>
      <c r="BE48" s="4019"/>
      <c r="BF48" s="4019"/>
      <c r="BG48" s="4019"/>
      <c r="BH48" s="4019"/>
      <c r="BI48" s="4018"/>
      <c r="BJ48" s="3448"/>
      <c r="BK48" s="3448"/>
      <c r="BL48" s="1911"/>
      <c r="BM48" s="392"/>
      <c r="BN48" s="3448"/>
      <c r="BO48" s="3448"/>
      <c r="BP48" s="3448"/>
      <c r="BQ48" s="3448"/>
      <c r="BR48" s="2060"/>
      <c r="BS48" s="4034"/>
      <c r="BT48" s="4022"/>
      <c r="BU48" s="4023"/>
      <c r="BV48" s="2368"/>
      <c r="BW48" s="15860"/>
      <c r="BX48" s="4025"/>
      <c r="BY48" s="4024"/>
      <c r="BZ48" s="4024"/>
      <c r="CA48" s="4026"/>
      <c r="CB48" s="4026"/>
      <c r="CC48" s="4026"/>
      <c r="CD48" s="4026"/>
      <c r="CE48" s="4028"/>
      <c r="CF48" s="4028"/>
      <c r="CG48" s="4028"/>
      <c r="CH48" s="4028"/>
      <c r="CI48" s="4028"/>
      <c r="CJ48" s="4028"/>
      <c r="CK48" s="4028"/>
      <c r="CL48" s="4028"/>
      <c r="CM48" s="4028"/>
      <c r="CN48" s="4028"/>
      <c r="CO48" s="4028"/>
      <c r="CP48" s="4028"/>
      <c r="CQ48" s="4028"/>
      <c r="CR48" s="4028"/>
      <c r="CS48" s="4028"/>
      <c r="CT48" s="4028"/>
      <c r="CU48" s="4028"/>
      <c r="CV48" s="4028"/>
      <c r="CW48" s="4028"/>
      <c r="CX48" s="4028"/>
      <c r="CY48" s="4028"/>
      <c r="CZ48" s="4028"/>
      <c r="DA48" s="4029"/>
      <c r="DB48" s="4028"/>
      <c r="DC48" s="4028"/>
      <c r="DD48" s="4028"/>
      <c r="DE48" s="4028"/>
      <c r="DF48" s="4028"/>
      <c r="DG48" s="4028"/>
      <c r="DH48" s="4028"/>
      <c r="DI48" s="4028"/>
      <c r="DJ48" s="4028"/>
      <c r="DK48" s="4028"/>
      <c r="DL48" s="4028"/>
      <c r="DM48" s="4028"/>
      <c r="DN48" s="4248"/>
      <c r="DO48" s="1919"/>
      <c r="DP48" s="4459"/>
      <c r="DQ48" s="4450"/>
      <c r="DR48" s="4450"/>
      <c r="DS48" s="4450"/>
      <c r="DT48" s="3448"/>
      <c r="DU48" s="3448"/>
      <c r="DV48" s="3448"/>
      <c r="DW48" s="3448"/>
      <c r="DX48" s="3448"/>
      <c r="DY48" s="3448"/>
      <c r="DZ48" s="3448"/>
      <c r="EA48" s="3448"/>
      <c r="EB48" s="3448"/>
      <c r="EC48" s="3448"/>
      <c r="ED48" s="3448"/>
      <c r="EE48" s="3448"/>
      <c r="EF48" s="3448"/>
      <c r="EG48" s="3448"/>
      <c r="EH48" s="3448"/>
      <c r="EI48" s="3448"/>
      <c r="EJ48" s="3448"/>
      <c r="EK48" s="3448"/>
      <c r="EL48" s="3448"/>
      <c r="EM48" s="3448"/>
      <c r="EN48" s="3448"/>
      <c r="EO48" s="3448"/>
      <c r="EP48" s="3448"/>
      <c r="EQ48" s="3448"/>
      <c r="ER48" s="3448"/>
      <c r="ES48" s="3448"/>
      <c r="ET48" s="3448"/>
      <c r="EU48" s="3448"/>
      <c r="EV48" s="3448"/>
      <c r="EW48" s="3448"/>
      <c r="EX48" s="3448"/>
      <c r="EY48" s="3448"/>
      <c r="EZ48" s="3448"/>
      <c r="FA48" s="3448"/>
      <c r="FB48" s="3448"/>
      <c r="FC48" s="3448"/>
      <c r="FD48" s="3448"/>
      <c r="FE48" s="3448"/>
      <c r="FF48" s="3448"/>
      <c r="FG48" s="3448"/>
      <c r="FH48" s="3448"/>
      <c r="FI48" s="2060"/>
    </row>
    <row r="49" spans="1:165" s="1775" customFormat="1" ht="15" customHeight="1">
      <c r="A49" s="15837"/>
      <c r="B49" s="15840"/>
      <c r="C49" s="15840"/>
      <c r="D49" s="15577"/>
      <c r="E49" s="15740"/>
      <c r="F49" s="15740"/>
      <c r="G49" s="4014"/>
      <c r="H49" s="4015"/>
      <c r="I49" s="4015"/>
      <c r="J49" s="15743"/>
      <c r="K49" s="15746"/>
      <c r="L49" s="4427" t="s">
        <v>295</v>
      </c>
      <c r="M49" s="2732"/>
      <c r="N49" s="2732" t="s">
        <v>295</v>
      </c>
      <c r="O49" s="4032"/>
      <c r="P49" s="4016"/>
      <c r="Q49" s="4016"/>
      <c r="R49" s="4016"/>
      <c r="S49" s="4016"/>
      <c r="T49" s="4016"/>
      <c r="U49" s="4016"/>
      <c r="V49" s="4016"/>
      <c r="W49" s="4016"/>
      <c r="X49" s="4016"/>
      <c r="Y49" s="4016"/>
      <c r="Z49" s="4016"/>
      <c r="AA49" s="1910"/>
      <c r="AB49" s="4033"/>
      <c r="AC49" s="4018"/>
      <c r="AD49" s="3448"/>
      <c r="AE49" s="4020"/>
      <c r="AF49" s="4020"/>
      <c r="AG49" s="4020"/>
      <c r="AH49" s="3448"/>
      <c r="AI49" s="4023"/>
      <c r="AJ49" s="4019"/>
      <c r="AK49" s="4019"/>
      <c r="AL49" s="4019"/>
      <c r="AM49" s="4019"/>
      <c r="AN49" s="4019"/>
      <c r="AO49" s="4019"/>
      <c r="AP49" s="4019"/>
      <c r="AQ49" s="4019"/>
      <c r="AR49" s="4019"/>
      <c r="AS49" s="4019"/>
      <c r="AT49" s="4019"/>
      <c r="AU49" s="4019"/>
      <c r="AV49" s="4019"/>
      <c r="AW49" s="4019"/>
      <c r="AX49" s="4019"/>
      <c r="AY49" s="4019"/>
      <c r="AZ49" s="4019"/>
      <c r="BA49" s="4019"/>
      <c r="BB49" s="4019"/>
      <c r="BC49" s="4019"/>
      <c r="BD49" s="4019"/>
      <c r="BE49" s="4019"/>
      <c r="BF49" s="4019"/>
      <c r="BG49" s="4019"/>
      <c r="BH49" s="4019"/>
      <c r="BI49" s="4018"/>
      <c r="BJ49" s="3448"/>
      <c r="BK49" s="3448"/>
      <c r="BL49" s="1911"/>
      <c r="BM49" s="392"/>
      <c r="BN49" s="3448"/>
      <c r="BO49" s="3448"/>
      <c r="BP49" s="3448"/>
      <c r="BQ49" s="3448"/>
      <c r="BR49" s="2060"/>
      <c r="BS49" s="4034"/>
      <c r="BT49" s="4022"/>
      <c r="BU49" s="4023"/>
      <c r="BV49" s="2368"/>
      <c r="BW49" s="15860"/>
      <c r="BX49" s="4025"/>
      <c r="BY49" s="4024"/>
      <c r="BZ49" s="4024"/>
      <c r="CA49" s="4026"/>
      <c r="CB49" s="4026"/>
      <c r="CC49" s="4026"/>
      <c r="CD49" s="4026"/>
      <c r="CE49" s="4028"/>
      <c r="CF49" s="4028"/>
      <c r="CG49" s="4028"/>
      <c r="CH49" s="4028"/>
      <c r="CI49" s="4028"/>
      <c r="CJ49" s="4028"/>
      <c r="CK49" s="4028"/>
      <c r="CL49" s="4028"/>
      <c r="CM49" s="4028"/>
      <c r="CN49" s="4028"/>
      <c r="CO49" s="4028"/>
      <c r="CP49" s="4028"/>
      <c r="CQ49" s="4028"/>
      <c r="CR49" s="4028"/>
      <c r="CS49" s="4028"/>
      <c r="CT49" s="4028"/>
      <c r="CU49" s="4028"/>
      <c r="CV49" s="4028"/>
      <c r="CW49" s="4028"/>
      <c r="CX49" s="4028"/>
      <c r="CY49" s="4028"/>
      <c r="CZ49" s="4028"/>
      <c r="DA49" s="4029"/>
      <c r="DB49" s="4028"/>
      <c r="DC49" s="4028"/>
      <c r="DD49" s="4028"/>
      <c r="DE49" s="4028"/>
      <c r="DF49" s="4028"/>
      <c r="DG49" s="4028"/>
      <c r="DH49" s="4028"/>
      <c r="DI49" s="4028"/>
      <c r="DJ49" s="4028"/>
      <c r="DK49" s="4028"/>
      <c r="DL49" s="4028"/>
      <c r="DM49" s="4028"/>
      <c r="DN49" s="4248"/>
      <c r="DO49" s="1919"/>
      <c r="DP49" s="4459"/>
      <c r="DQ49" s="4450"/>
      <c r="DR49" s="4450"/>
      <c r="DS49" s="4450"/>
      <c r="DT49" s="3448"/>
      <c r="DU49" s="3448"/>
      <c r="DV49" s="3448"/>
      <c r="DW49" s="3448"/>
      <c r="DX49" s="3448"/>
      <c r="DY49" s="3448"/>
      <c r="DZ49" s="3448"/>
      <c r="EA49" s="3448"/>
      <c r="EB49" s="3448"/>
      <c r="EC49" s="3448"/>
      <c r="ED49" s="3448"/>
      <c r="EE49" s="3448"/>
      <c r="EF49" s="3448"/>
      <c r="EG49" s="3448"/>
      <c r="EH49" s="3448"/>
      <c r="EI49" s="3448"/>
      <c r="EJ49" s="3448"/>
      <c r="EK49" s="3448"/>
      <c r="EL49" s="3448"/>
      <c r="EM49" s="3448"/>
      <c r="EN49" s="3448"/>
      <c r="EO49" s="3448"/>
      <c r="EP49" s="3448"/>
      <c r="EQ49" s="3448"/>
      <c r="ER49" s="3448"/>
      <c r="ES49" s="3448"/>
      <c r="ET49" s="3448"/>
      <c r="EU49" s="3448"/>
      <c r="EV49" s="3448"/>
      <c r="EW49" s="3448"/>
      <c r="EX49" s="3448"/>
      <c r="EY49" s="3448"/>
      <c r="EZ49" s="3448"/>
      <c r="FA49" s="3448"/>
      <c r="FB49" s="3448"/>
      <c r="FC49" s="3448"/>
      <c r="FD49" s="3448"/>
      <c r="FE49" s="3448"/>
      <c r="FF49" s="3448"/>
      <c r="FG49" s="3448"/>
      <c r="FH49" s="3448"/>
      <c r="FI49" s="2060"/>
    </row>
    <row r="50" spans="1:165" s="1775" customFormat="1" ht="15" customHeight="1">
      <c r="A50" s="15837"/>
      <c r="B50" s="15840"/>
      <c r="C50" s="15840"/>
      <c r="D50" s="15577"/>
      <c r="E50" s="15740"/>
      <c r="F50" s="15740"/>
      <c r="G50" s="4014"/>
      <c r="H50" s="4015"/>
      <c r="I50" s="4015"/>
      <c r="J50" s="15743"/>
      <c r="K50" s="15746"/>
      <c r="L50" s="4427" t="s">
        <v>10213</v>
      </c>
      <c r="M50" s="2732"/>
      <c r="N50" s="2732" t="s">
        <v>10212</v>
      </c>
      <c r="O50" s="4032"/>
      <c r="P50" s="4016"/>
      <c r="Q50" s="4016"/>
      <c r="R50" s="4016"/>
      <c r="S50" s="4016"/>
      <c r="T50" s="4016"/>
      <c r="U50" s="4016"/>
      <c r="V50" s="4016"/>
      <c r="W50" s="4016"/>
      <c r="X50" s="4016"/>
      <c r="Y50" s="4016"/>
      <c r="Z50" s="4016"/>
      <c r="AA50" s="1910"/>
      <c r="AB50" s="4033"/>
      <c r="AC50" s="4018"/>
      <c r="AD50" s="3448"/>
      <c r="AE50" s="4020"/>
      <c r="AF50" s="4020"/>
      <c r="AG50" s="4020"/>
      <c r="AH50" s="3448"/>
      <c r="AI50" s="4023"/>
      <c r="AJ50" s="4019"/>
      <c r="AK50" s="4019"/>
      <c r="AL50" s="4019"/>
      <c r="AM50" s="4019"/>
      <c r="AN50" s="4019"/>
      <c r="AO50" s="4019"/>
      <c r="AP50" s="4019"/>
      <c r="AQ50" s="4019"/>
      <c r="AR50" s="4019"/>
      <c r="AS50" s="4019"/>
      <c r="AT50" s="4019"/>
      <c r="AU50" s="4019"/>
      <c r="AV50" s="4019"/>
      <c r="AW50" s="4019"/>
      <c r="AX50" s="4019"/>
      <c r="AY50" s="4019"/>
      <c r="AZ50" s="4019"/>
      <c r="BA50" s="4019"/>
      <c r="BB50" s="4019"/>
      <c r="BC50" s="4019"/>
      <c r="BD50" s="4019"/>
      <c r="BE50" s="4019"/>
      <c r="BF50" s="4019"/>
      <c r="BG50" s="4019"/>
      <c r="BH50" s="4019"/>
      <c r="BI50" s="4018"/>
      <c r="BJ50" s="3448"/>
      <c r="BK50" s="3448"/>
      <c r="BL50" s="1911"/>
      <c r="BM50" s="392"/>
      <c r="BN50" s="3448"/>
      <c r="BO50" s="3448"/>
      <c r="BP50" s="3448"/>
      <c r="BQ50" s="3448"/>
      <c r="BR50" s="2060"/>
      <c r="BS50" s="4034"/>
      <c r="BT50" s="4022"/>
      <c r="BU50" s="4023"/>
      <c r="BV50" s="2368"/>
      <c r="BW50" s="15860"/>
      <c r="BX50" s="4025"/>
      <c r="BY50" s="4024"/>
      <c r="BZ50" s="4024"/>
      <c r="CA50" s="4026"/>
      <c r="CB50" s="4026"/>
      <c r="CC50" s="4026"/>
      <c r="CD50" s="4026"/>
      <c r="CE50" s="4028"/>
      <c r="CF50" s="4028"/>
      <c r="CG50" s="4028"/>
      <c r="CH50" s="4028"/>
      <c r="CI50" s="4028"/>
      <c r="CJ50" s="4028"/>
      <c r="CK50" s="4028"/>
      <c r="CL50" s="4028"/>
      <c r="CM50" s="4028"/>
      <c r="CN50" s="4028"/>
      <c r="CO50" s="4028"/>
      <c r="CP50" s="4028"/>
      <c r="CQ50" s="4028"/>
      <c r="CR50" s="4028"/>
      <c r="CS50" s="4028"/>
      <c r="CT50" s="4028"/>
      <c r="CU50" s="4028"/>
      <c r="CV50" s="4028"/>
      <c r="CW50" s="4028"/>
      <c r="CX50" s="4028"/>
      <c r="CY50" s="4028"/>
      <c r="CZ50" s="4028"/>
      <c r="DA50" s="4029"/>
      <c r="DB50" s="4028"/>
      <c r="DC50" s="4028"/>
      <c r="DD50" s="4028"/>
      <c r="DE50" s="4028"/>
      <c r="DF50" s="4028"/>
      <c r="DG50" s="4028"/>
      <c r="DH50" s="4028"/>
      <c r="DI50" s="4028"/>
      <c r="DJ50" s="4028"/>
      <c r="DK50" s="4028"/>
      <c r="DL50" s="4028"/>
      <c r="DM50" s="4028"/>
      <c r="DN50" s="4248"/>
      <c r="DO50" s="1919"/>
      <c r="DP50" s="4459"/>
      <c r="DQ50" s="4450"/>
      <c r="DR50" s="4450"/>
      <c r="DS50" s="4450"/>
      <c r="DT50" s="3448"/>
      <c r="DU50" s="3448"/>
      <c r="DV50" s="3448"/>
      <c r="DW50" s="3448"/>
      <c r="DX50" s="3448"/>
      <c r="DY50" s="3448"/>
      <c r="DZ50" s="3448"/>
      <c r="EA50" s="3448"/>
      <c r="EB50" s="3448"/>
      <c r="EC50" s="3448"/>
      <c r="ED50" s="3448"/>
      <c r="EE50" s="3448"/>
      <c r="EF50" s="3448"/>
      <c r="EG50" s="3448"/>
      <c r="EH50" s="3448"/>
      <c r="EI50" s="3448"/>
      <c r="EJ50" s="3448"/>
      <c r="EK50" s="3448"/>
      <c r="EL50" s="3448"/>
      <c r="EM50" s="3448"/>
      <c r="EN50" s="3448"/>
      <c r="EO50" s="3448"/>
      <c r="EP50" s="3448"/>
      <c r="EQ50" s="3448"/>
      <c r="ER50" s="3448"/>
      <c r="ES50" s="3448"/>
      <c r="ET50" s="3448"/>
      <c r="EU50" s="3448"/>
      <c r="EV50" s="3448"/>
      <c r="EW50" s="3448"/>
      <c r="EX50" s="3448"/>
      <c r="EY50" s="3448"/>
      <c r="EZ50" s="3448"/>
      <c r="FA50" s="3448"/>
      <c r="FB50" s="3448"/>
      <c r="FC50" s="3448"/>
      <c r="FD50" s="3448"/>
      <c r="FE50" s="3448"/>
      <c r="FF50" s="3448"/>
      <c r="FG50" s="3448"/>
      <c r="FH50" s="3448"/>
      <c r="FI50" s="2060"/>
    </row>
    <row r="51" spans="1:165" s="1775" customFormat="1" ht="15" customHeight="1">
      <c r="A51" s="15837"/>
      <c r="B51" s="15840"/>
      <c r="C51" s="15840"/>
      <c r="D51" s="15578"/>
      <c r="E51" s="15748"/>
      <c r="F51" s="15748"/>
      <c r="G51" s="4014"/>
      <c r="H51" s="4015"/>
      <c r="I51" s="4015"/>
      <c r="J51" s="15749"/>
      <c r="K51" s="15750"/>
      <c r="L51" s="4427" t="s">
        <v>10199</v>
      </c>
      <c r="M51" s="2732"/>
      <c r="N51" s="2732" t="s">
        <v>507</v>
      </c>
      <c r="O51" s="4032"/>
      <c r="P51" s="4016"/>
      <c r="Q51" s="4016"/>
      <c r="R51" s="4016"/>
      <c r="S51" s="4016"/>
      <c r="T51" s="4016"/>
      <c r="U51" s="4016"/>
      <c r="V51" s="4016"/>
      <c r="W51" s="4016"/>
      <c r="X51" s="4016"/>
      <c r="Y51" s="4016"/>
      <c r="Z51" s="4016"/>
      <c r="AA51" s="1910"/>
      <c r="AB51" s="4033"/>
      <c r="AC51" s="4018"/>
      <c r="AD51" s="3448"/>
      <c r="AE51" s="4020"/>
      <c r="AF51" s="4020"/>
      <c r="AG51" s="4020"/>
      <c r="AH51" s="3448"/>
      <c r="AI51" s="4023"/>
      <c r="AJ51" s="4019"/>
      <c r="AK51" s="4019"/>
      <c r="AL51" s="4019"/>
      <c r="AM51" s="4019"/>
      <c r="AN51" s="4019"/>
      <c r="AO51" s="4019"/>
      <c r="AP51" s="4019"/>
      <c r="AQ51" s="4019"/>
      <c r="AR51" s="4019"/>
      <c r="AS51" s="4019"/>
      <c r="AT51" s="4019"/>
      <c r="AU51" s="4019"/>
      <c r="AV51" s="4019"/>
      <c r="AW51" s="4019"/>
      <c r="AX51" s="4019"/>
      <c r="AY51" s="4019"/>
      <c r="AZ51" s="4019"/>
      <c r="BA51" s="4019"/>
      <c r="BB51" s="4019"/>
      <c r="BC51" s="4019"/>
      <c r="BD51" s="4019"/>
      <c r="BE51" s="4019"/>
      <c r="BF51" s="4019"/>
      <c r="BG51" s="4019"/>
      <c r="BH51" s="4019"/>
      <c r="BI51" s="4018"/>
      <c r="BJ51" s="3448"/>
      <c r="BK51" s="3448"/>
      <c r="BL51" s="1911"/>
      <c r="BM51" s="392"/>
      <c r="BN51" s="3448"/>
      <c r="BO51" s="3448"/>
      <c r="BP51" s="3448"/>
      <c r="BQ51" s="3448"/>
      <c r="BR51" s="2060"/>
      <c r="BS51" s="4034"/>
      <c r="BT51" s="4022"/>
      <c r="BU51" s="4023"/>
      <c r="BV51" s="2368"/>
      <c r="BW51" s="15860"/>
      <c r="BX51" s="4025"/>
      <c r="BY51" s="4024"/>
      <c r="BZ51" s="4024"/>
      <c r="CA51" s="4026"/>
      <c r="CB51" s="4026"/>
      <c r="CC51" s="4026"/>
      <c r="CD51" s="4026"/>
      <c r="CE51" s="4028"/>
      <c r="CF51" s="4028"/>
      <c r="CG51" s="4028"/>
      <c r="CH51" s="4028"/>
      <c r="CI51" s="4028"/>
      <c r="CJ51" s="4028"/>
      <c r="CK51" s="4028"/>
      <c r="CL51" s="4028"/>
      <c r="CM51" s="4028"/>
      <c r="CN51" s="4028"/>
      <c r="CO51" s="4028"/>
      <c r="CP51" s="4028"/>
      <c r="CQ51" s="4028"/>
      <c r="CR51" s="4028"/>
      <c r="CS51" s="4028"/>
      <c r="CT51" s="4028"/>
      <c r="CU51" s="4028"/>
      <c r="CV51" s="4028"/>
      <c r="CW51" s="4028"/>
      <c r="CX51" s="4028"/>
      <c r="CY51" s="4028"/>
      <c r="CZ51" s="4028"/>
      <c r="DA51" s="4029"/>
      <c r="DB51" s="4028"/>
      <c r="DC51" s="4028"/>
      <c r="DD51" s="4028"/>
      <c r="DE51" s="4028"/>
      <c r="DF51" s="4028"/>
      <c r="DG51" s="4028"/>
      <c r="DH51" s="4028"/>
      <c r="DI51" s="4028"/>
      <c r="DJ51" s="4028"/>
      <c r="DK51" s="4028"/>
      <c r="DL51" s="4028"/>
      <c r="DM51" s="4028"/>
      <c r="DN51" s="4248"/>
      <c r="DO51" s="1919"/>
      <c r="DP51" s="4459"/>
      <c r="DQ51" s="4450"/>
      <c r="DR51" s="4450"/>
      <c r="DS51" s="4450"/>
      <c r="DT51" s="3448"/>
      <c r="DU51" s="3448"/>
      <c r="DV51" s="3448"/>
      <c r="DW51" s="3448"/>
      <c r="DX51" s="3448"/>
      <c r="DY51" s="3448"/>
      <c r="DZ51" s="3448"/>
      <c r="EA51" s="3448"/>
      <c r="EB51" s="3448"/>
      <c r="EC51" s="3448"/>
      <c r="ED51" s="3448"/>
      <c r="EE51" s="3448"/>
      <c r="EF51" s="3448"/>
      <c r="EG51" s="3448"/>
      <c r="EH51" s="3448"/>
      <c r="EI51" s="3448"/>
      <c r="EJ51" s="3448"/>
      <c r="EK51" s="3448"/>
      <c r="EL51" s="3448"/>
      <c r="EM51" s="3448"/>
      <c r="EN51" s="3448"/>
      <c r="EO51" s="3448"/>
      <c r="EP51" s="3448"/>
      <c r="EQ51" s="3448"/>
      <c r="ER51" s="3448"/>
      <c r="ES51" s="3448"/>
      <c r="ET51" s="3448"/>
      <c r="EU51" s="3448"/>
      <c r="EV51" s="3448"/>
      <c r="EW51" s="3448"/>
      <c r="EX51" s="3448"/>
      <c r="EY51" s="3448"/>
      <c r="EZ51" s="3448"/>
      <c r="FA51" s="3448"/>
      <c r="FB51" s="3448"/>
      <c r="FC51" s="3448"/>
      <c r="FD51" s="3448"/>
      <c r="FE51" s="3448"/>
      <c r="FF51" s="3448"/>
      <c r="FG51" s="3448"/>
      <c r="FH51" s="3448"/>
      <c r="FI51" s="2060"/>
    </row>
    <row r="52" spans="1:165" s="1775" customFormat="1" ht="15" customHeight="1">
      <c r="A52" s="15837"/>
      <c r="B52" s="15840"/>
      <c r="C52" s="15840"/>
      <c r="D52" s="15596" t="s">
        <v>7857</v>
      </c>
      <c r="E52" s="15739" t="s">
        <v>1350</v>
      </c>
      <c r="F52" s="15739" t="s">
        <v>1351</v>
      </c>
      <c r="G52" s="4014" t="s">
        <v>70</v>
      </c>
      <c r="H52" s="4015">
        <v>1</v>
      </c>
      <c r="I52" s="4015">
        <v>1</v>
      </c>
      <c r="J52" s="15742">
        <v>1</v>
      </c>
      <c r="K52" s="15745" t="s">
        <v>1352</v>
      </c>
      <c r="L52" s="4427" t="s">
        <v>10063</v>
      </c>
      <c r="M52" s="2732" t="s">
        <v>316</v>
      </c>
      <c r="N52" s="2732"/>
      <c r="O52" s="4032">
        <v>5000000</v>
      </c>
      <c r="P52" s="4016">
        <v>5150000</v>
      </c>
      <c r="Q52" s="4016">
        <v>5304500</v>
      </c>
      <c r="R52" s="4016">
        <v>3182700</v>
      </c>
      <c r="S52" s="4016">
        <v>3278181</v>
      </c>
      <c r="T52" s="4016">
        <v>3376526.43</v>
      </c>
      <c r="U52" s="4016">
        <v>3477822.2229000004</v>
      </c>
      <c r="V52" s="4016">
        <v>3582156.8895870005</v>
      </c>
      <c r="W52" s="4016">
        <v>4776209.333333333</v>
      </c>
      <c r="X52" s="4016">
        <v>4919495.6133333333</v>
      </c>
      <c r="Y52" s="4016">
        <v>10134160.963466667</v>
      </c>
      <c r="Z52" s="4016">
        <v>52181752.452620335</v>
      </c>
      <c r="AA52" s="1910">
        <v>1</v>
      </c>
      <c r="AB52" s="4018" t="s">
        <v>3030</v>
      </c>
      <c r="AC52" s="4018" t="s">
        <v>3031</v>
      </c>
      <c r="AD52" s="4018"/>
      <c r="AE52" s="4020">
        <f t="shared" si="0"/>
        <v>19336969.818750001</v>
      </c>
      <c r="AF52" s="4020">
        <v>18122709.818750001</v>
      </c>
      <c r="AG52" s="4020">
        <v>1214260</v>
      </c>
      <c r="AH52" s="3448"/>
      <c r="AI52" s="4023">
        <v>629</v>
      </c>
      <c r="AJ52" s="4019">
        <v>198</v>
      </c>
      <c r="AK52" s="4019">
        <v>431</v>
      </c>
      <c r="AL52" s="4019">
        <v>238</v>
      </c>
      <c r="AM52" s="4019">
        <v>391</v>
      </c>
      <c r="AN52" s="4019">
        <v>20</v>
      </c>
      <c r="AO52" s="4019">
        <v>49</v>
      </c>
      <c r="AP52" s="4019">
        <v>48</v>
      </c>
      <c r="AQ52" s="4019">
        <v>189</v>
      </c>
      <c r="AR52" s="4019">
        <v>230</v>
      </c>
      <c r="AS52" s="4019">
        <v>110</v>
      </c>
      <c r="AT52" s="4019">
        <v>30</v>
      </c>
      <c r="AU52" s="4019">
        <v>0</v>
      </c>
      <c r="AV52" s="4019">
        <v>0</v>
      </c>
      <c r="AW52" s="4019">
        <v>0</v>
      </c>
      <c r="AX52" s="4019">
        <v>0</v>
      </c>
      <c r="AY52" s="4019">
        <v>59</v>
      </c>
      <c r="AZ52" s="4019">
        <v>0</v>
      </c>
      <c r="BA52" s="4019">
        <v>0</v>
      </c>
      <c r="BB52" s="4019">
        <v>0</v>
      </c>
      <c r="BC52" s="4019">
        <v>0</v>
      </c>
      <c r="BD52" s="4019">
        <v>0</v>
      </c>
      <c r="BE52" s="4019">
        <v>629</v>
      </c>
      <c r="BF52" s="4019">
        <v>0</v>
      </c>
      <c r="BG52" s="4019">
        <v>0</v>
      </c>
      <c r="BH52" s="4019">
        <v>0</v>
      </c>
      <c r="BI52" s="4018" t="s">
        <v>3020</v>
      </c>
      <c r="BJ52" s="3448" t="s">
        <v>3021</v>
      </c>
      <c r="BK52" s="3448"/>
      <c r="BL52" s="1911" t="s">
        <v>3022</v>
      </c>
      <c r="BM52" s="392" t="s">
        <v>3023</v>
      </c>
      <c r="BN52" s="3448"/>
      <c r="BO52" s="3448"/>
      <c r="BP52" s="3448"/>
      <c r="BQ52" s="3448"/>
      <c r="BR52" s="2060"/>
      <c r="BS52" s="4024">
        <v>1</v>
      </c>
      <c r="BT52" s="4023">
        <v>1</v>
      </c>
      <c r="BU52" s="4023">
        <v>1</v>
      </c>
      <c r="BV52" s="2368">
        <v>1</v>
      </c>
      <c r="BW52" s="15860"/>
      <c r="BX52" s="4025" t="s">
        <v>9691</v>
      </c>
      <c r="BY52" s="4024" t="s">
        <v>3031</v>
      </c>
      <c r="BZ52" s="4024"/>
      <c r="CA52" s="4026">
        <v>20990351.662500001</v>
      </c>
      <c r="CB52" s="4026">
        <v>19218651.662500001</v>
      </c>
      <c r="CC52" s="4026">
        <v>1771700</v>
      </c>
      <c r="CD52" s="4026">
        <v>0</v>
      </c>
      <c r="CE52" s="4028">
        <v>518</v>
      </c>
      <c r="CF52" s="4028">
        <v>159</v>
      </c>
      <c r="CG52" s="4028">
        <v>359</v>
      </c>
      <c r="CH52" s="4035"/>
      <c r="CI52" s="4035"/>
      <c r="CJ52" s="4028"/>
      <c r="CK52" s="4028"/>
      <c r="CL52" s="4028"/>
      <c r="CM52" s="4028"/>
      <c r="CN52" s="4028"/>
      <c r="CO52" s="4028"/>
      <c r="CP52" s="4028"/>
      <c r="CQ52" s="4028"/>
      <c r="CR52" s="4028"/>
      <c r="CS52" s="4028"/>
      <c r="CT52" s="4028"/>
      <c r="CU52" s="4028"/>
      <c r="CV52" s="4028"/>
      <c r="CW52" s="4028"/>
      <c r="CX52" s="4028"/>
      <c r="CY52" s="4028"/>
      <c r="CZ52" s="4028"/>
      <c r="DA52" s="4029">
        <v>518</v>
      </c>
      <c r="DB52" s="4028">
        <v>0</v>
      </c>
      <c r="DC52" s="4028">
        <v>0</v>
      </c>
      <c r="DD52" s="4028">
        <v>0</v>
      </c>
      <c r="DE52" s="4028" t="s">
        <v>3020</v>
      </c>
      <c r="DF52" s="4028" t="s">
        <v>3021</v>
      </c>
      <c r="DG52" s="4028"/>
      <c r="DH52" s="4028" t="s">
        <v>3022</v>
      </c>
      <c r="DI52" s="4028" t="s">
        <v>3023</v>
      </c>
      <c r="DJ52" s="4028"/>
      <c r="DK52" s="4028"/>
      <c r="DL52" s="4028"/>
      <c r="DM52" s="4028"/>
      <c r="DN52" s="4248"/>
      <c r="DO52" s="1919"/>
      <c r="DP52" s="4459"/>
      <c r="DQ52" s="4450"/>
      <c r="DR52" s="4450"/>
      <c r="DS52" s="4450"/>
      <c r="DT52" s="3448"/>
      <c r="DU52" s="3448"/>
      <c r="DV52" s="3448"/>
      <c r="DW52" s="3448"/>
      <c r="DX52" s="3448"/>
      <c r="DY52" s="3448"/>
      <c r="DZ52" s="3448"/>
      <c r="EA52" s="3448"/>
      <c r="EB52" s="3448"/>
      <c r="EC52" s="3448"/>
      <c r="ED52" s="3448"/>
      <c r="EE52" s="3448"/>
      <c r="EF52" s="3448"/>
      <c r="EG52" s="3448"/>
      <c r="EH52" s="3448"/>
      <c r="EI52" s="3448"/>
      <c r="EJ52" s="3448"/>
      <c r="EK52" s="3448"/>
      <c r="EL52" s="3448"/>
      <c r="EM52" s="3448"/>
      <c r="EN52" s="3448"/>
      <c r="EO52" s="3448"/>
      <c r="EP52" s="3448"/>
      <c r="EQ52" s="3448"/>
      <c r="ER52" s="3448"/>
      <c r="ES52" s="3448"/>
      <c r="ET52" s="3448"/>
      <c r="EU52" s="3448"/>
      <c r="EV52" s="3448"/>
      <c r="EW52" s="3448"/>
      <c r="EX52" s="3448"/>
      <c r="EY52" s="3448"/>
      <c r="EZ52" s="3448"/>
      <c r="FA52" s="3448"/>
      <c r="FB52" s="3448"/>
      <c r="FC52" s="3448"/>
      <c r="FD52" s="3448"/>
      <c r="FE52" s="3448"/>
      <c r="FF52" s="3448"/>
      <c r="FG52" s="3448"/>
      <c r="FH52" s="3448"/>
      <c r="FI52" s="2060"/>
    </row>
    <row r="53" spans="1:165" s="1775" customFormat="1" ht="15" customHeight="1">
      <c r="A53" s="15837"/>
      <c r="B53" s="15840"/>
      <c r="C53" s="15840"/>
      <c r="D53" s="15578"/>
      <c r="E53" s="15748"/>
      <c r="F53" s="15748"/>
      <c r="G53" s="4014"/>
      <c r="H53" s="4015"/>
      <c r="I53" s="4015"/>
      <c r="J53" s="15749"/>
      <c r="K53" s="15750"/>
      <c r="L53" s="4427" t="s">
        <v>10066</v>
      </c>
      <c r="M53" s="2732"/>
      <c r="N53" s="2732" t="s">
        <v>1353</v>
      </c>
      <c r="O53" s="4032"/>
      <c r="P53" s="4016"/>
      <c r="Q53" s="4016"/>
      <c r="R53" s="4016"/>
      <c r="S53" s="4016"/>
      <c r="T53" s="4016"/>
      <c r="U53" s="4016"/>
      <c r="V53" s="4016"/>
      <c r="W53" s="4016"/>
      <c r="X53" s="4016"/>
      <c r="Y53" s="4016"/>
      <c r="Z53" s="4016"/>
      <c r="AA53" s="1910"/>
      <c r="AB53" s="4018"/>
      <c r="AC53" s="4018"/>
      <c r="AD53" s="4018"/>
      <c r="AE53" s="4020"/>
      <c r="AF53" s="4020"/>
      <c r="AG53" s="4020"/>
      <c r="AH53" s="3448"/>
      <c r="AI53" s="4023"/>
      <c r="AJ53" s="4019"/>
      <c r="AK53" s="4019"/>
      <c r="AL53" s="4019"/>
      <c r="AM53" s="4019"/>
      <c r="AN53" s="4019"/>
      <c r="AO53" s="4019"/>
      <c r="AP53" s="4019"/>
      <c r="AQ53" s="4019"/>
      <c r="AR53" s="4019"/>
      <c r="AS53" s="4019"/>
      <c r="AT53" s="4019"/>
      <c r="AU53" s="4019"/>
      <c r="AV53" s="4019"/>
      <c r="AW53" s="4019"/>
      <c r="AX53" s="4019"/>
      <c r="AY53" s="4019"/>
      <c r="AZ53" s="4019"/>
      <c r="BA53" s="4019"/>
      <c r="BB53" s="4019"/>
      <c r="BC53" s="4019"/>
      <c r="BD53" s="4019"/>
      <c r="BE53" s="4019"/>
      <c r="BF53" s="4019"/>
      <c r="BG53" s="4019"/>
      <c r="BH53" s="4019"/>
      <c r="BI53" s="4018"/>
      <c r="BJ53" s="3448"/>
      <c r="BK53" s="3448"/>
      <c r="BL53" s="1911"/>
      <c r="BM53" s="392"/>
      <c r="BN53" s="3448"/>
      <c r="BO53" s="3448"/>
      <c r="BP53" s="3448"/>
      <c r="BQ53" s="3448"/>
      <c r="BR53" s="2060"/>
      <c r="BS53" s="4024"/>
      <c r="BT53" s="4023"/>
      <c r="BU53" s="4023"/>
      <c r="BV53" s="2368"/>
      <c r="BW53" s="15860"/>
      <c r="BX53" s="4025"/>
      <c r="BY53" s="4024"/>
      <c r="BZ53" s="4024"/>
      <c r="CA53" s="4026"/>
      <c r="CB53" s="4026"/>
      <c r="CC53" s="4026"/>
      <c r="CD53" s="4026"/>
      <c r="CE53" s="4028"/>
      <c r="CF53" s="4028"/>
      <c r="CG53" s="4028"/>
      <c r="CH53" s="4035"/>
      <c r="CI53" s="4035"/>
      <c r="CJ53" s="4028"/>
      <c r="CK53" s="4028"/>
      <c r="CL53" s="4028"/>
      <c r="CM53" s="4028"/>
      <c r="CN53" s="4028"/>
      <c r="CO53" s="4028"/>
      <c r="CP53" s="4028"/>
      <c r="CQ53" s="4028"/>
      <c r="CR53" s="4028"/>
      <c r="CS53" s="4028"/>
      <c r="CT53" s="4028"/>
      <c r="CU53" s="4028"/>
      <c r="CV53" s="4028"/>
      <c r="CW53" s="4028"/>
      <c r="CX53" s="4028"/>
      <c r="CY53" s="4028"/>
      <c r="CZ53" s="4028"/>
      <c r="DA53" s="4029"/>
      <c r="DB53" s="4028"/>
      <c r="DC53" s="4028"/>
      <c r="DD53" s="4028"/>
      <c r="DE53" s="4028"/>
      <c r="DF53" s="4028"/>
      <c r="DG53" s="4028"/>
      <c r="DH53" s="4028"/>
      <c r="DI53" s="4028"/>
      <c r="DJ53" s="4028"/>
      <c r="DK53" s="4028"/>
      <c r="DL53" s="4028"/>
      <c r="DM53" s="4028"/>
      <c r="DN53" s="4248"/>
      <c r="DO53" s="1919"/>
      <c r="DP53" s="4459"/>
      <c r="DQ53" s="4450"/>
      <c r="DR53" s="4450"/>
      <c r="DS53" s="4450"/>
      <c r="DT53" s="3448"/>
      <c r="DU53" s="3448"/>
      <c r="DV53" s="3448"/>
      <c r="DW53" s="3448"/>
      <c r="DX53" s="3448"/>
      <c r="DY53" s="3448"/>
      <c r="DZ53" s="3448"/>
      <c r="EA53" s="3448"/>
      <c r="EB53" s="3448"/>
      <c r="EC53" s="3448"/>
      <c r="ED53" s="3448"/>
      <c r="EE53" s="3448"/>
      <c r="EF53" s="3448"/>
      <c r="EG53" s="3448"/>
      <c r="EH53" s="3448"/>
      <c r="EI53" s="3448"/>
      <c r="EJ53" s="3448"/>
      <c r="EK53" s="3448"/>
      <c r="EL53" s="3448"/>
      <c r="EM53" s="3448"/>
      <c r="EN53" s="3448"/>
      <c r="EO53" s="3448"/>
      <c r="EP53" s="3448"/>
      <c r="EQ53" s="3448"/>
      <c r="ER53" s="3448"/>
      <c r="ES53" s="3448"/>
      <c r="ET53" s="3448"/>
      <c r="EU53" s="3448"/>
      <c r="EV53" s="3448"/>
      <c r="EW53" s="3448"/>
      <c r="EX53" s="3448"/>
      <c r="EY53" s="3448"/>
      <c r="EZ53" s="3448"/>
      <c r="FA53" s="3448"/>
      <c r="FB53" s="3448"/>
      <c r="FC53" s="3448"/>
      <c r="FD53" s="3448"/>
      <c r="FE53" s="3448"/>
      <c r="FF53" s="3448"/>
      <c r="FG53" s="3448"/>
      <c r="FH53" s="3448"/>
      <c r="FI53" s="2060"/>
    </row>
    <row r="54" spans="1:165" s="1775" customFormat="1" ht="15" customHeight="1">
      <c r="A54" s="15837"/>
      <c r="B54" s="15840"/>
      <c r="C54" s="15840"/>
      <c r="D54" s="3447" t="s">
        <v>7858</v>
      </c>
      <c r="E54" s="4250" t="s">
        <v>1354</v>
      </c>
      <c r="F54" s="4013" t="s">
        <v>1355</v>
      </c>
      <c r="G54" s="4014" t="s">
        <v>70</v>
      </c>
      <c r="H54" s="2732">
        <v>1</v>
      </c>
      <c r="I54" s="4015">
        <v>0</v>
      </c>
      <c r="J54" s="4015">
        <v>0</v>
      </c>
      <c r="K54" s="2732" t="s">
        <v>1356</v>
      </c>
      <c r="L54" s="4427" t="s">
        <v>10063</v>
      </c>
      <c r="M54" s="2732" t="s">
        <v>316</v>
      </c>
      <c r="N54" s="4251" t="s">
        <v>1357</v>
      </c>
      <c r="O54" s="4016">
        <v>30000000</v>
      </c>
      <c r="P54" s="4016">
        <v>0</v>
      </c>
      <c r="Q54" s="4016">
        <v>0</v>
      </c>
      <c r="R54" s="4016">
        <v>0</v>
      </c>
      <c r="S54" s="4016">
        <v>0</v>
      </c>
      <c r="T54" s="4016">
        <v>0</v>
      </c>
      <c r="U54" s="4016">
        <v>0</v>
      </c>
      <c r="V54" s="4016">
        <v>0</v>
      </c>
      <c r="W54" s="4016">
        <v>0</v>
      </c>
      <c r="X54" s="4016">
        <v>0</v>
      </c>
      <c r="Y54" s="4016">
        <v>0</v>
      </c>
      <c r="Z54" s="4016">
        <v>30000000</v>
      </c>
      <c r="AA54" s="1910">
        <v>1</v>
      </c>
      <c r="AB54" s="4018" t="s">
        <v>3032</v>
      </c>
      <c r="AC54" s="4018" t="s">
        <v>3033</v>
      </c>
      <c r="AD54" s="4018" t="s">
        <v>3034</v>
      </c>
      <c r="AE54" s="4020">
        <f t="shared" si="0"/>
        <v>1671767.6618750002</v>
      </c>
      <c r="AF54" s="4020">
        <v>1019101.6618750001</v>
      </c>
      <c r="AG54" s="4020">
        <v>652666</v>
      </c>
      <c r="AH54" s="3448"/>
      <c r="AI54" s="4023"/>
      <c r="AJ54" s="3448"/>
      <c r="AK54" s="3448"/>
      <c r="AL54" s="3448"/>
      <c r="AM54" s="3448"/>
      <c r="AN54" s="3448"/>
      <c r="AO54" s="3448"/>
      <c r="AP54" s="3448"/>
      <c r="AQ54" s="3448"/>
      <c r="AR54" s="3448"/>
      <c r="AS54" s="3448"/>
      <c r="AT54" s="3448"/>
      <c r="AU54" s="3448"/>
      <c r="AV54" s="3448"/>
      <c r="AW54" s="3448"/>
      <c r="AX54" s="3448"/>
      <c r="AY54" s="3448"/>
      <c r="AZ54" s="3448"/>
      <c r="BA54" s="3448"/>
      <c r="BB54" s="3448"/>
      <c r="BC54" s="3448"/>
      <c r="BD54" s="3448"/>
      <c r="BE54" s="3448"/>
      <c r="BF54" s="3448"/>
      <c r="BG54" s="3448"/>
      <c r="BH54" s="3448"/>
      <c r="BI54" s="4018" t="s">
        <v>3020</v>
      </c>
      <c r="BJ54" s="3448" t="s">
        <v>3021</v>
      </c>
      <c r="BK54" s="3448"/>
      <c r="BL54" s="1911" t="s">
        <v>3022</v>
      </c>
      <c r="BM54" s="392" t="s">
        <v>3023</v>
      </c>
      <c r="BN54" s="3448"/>
      <c r="BO54" s="3448"/>
      <c r="BP54" s="3448"/>
      <c r="BQ54" s="3448"/>
      <c r="BR54" s="2060"/>
      <c r="BS54" s="4024">
        <v>1</v>
      </c>
      <c r="BT54" s="4023">
        <v>1</v>
      </c>
      <c r="BU54" s="4023">
        <v>1</v>
      </c>
      <c r="BV54" s="2368">
        <v>1</v>
      </c>
      <c r="BW54" s="15860"/>
      <c r="BX54" s="4025" t="s">
        <v>8896</v>
      </c>
      <c r="BY54" s="4024" t="s">
        <v>8897</v>
      </c>
      <c r="BZ54" s="4024"/>
      <c r="CA54" s="4026">
        <v>1305535.1987500002</v>
      </c>
      <c r="CB54" s="4026">
        <v>1086505.1987500002</v>
      </c>
      <c r="CC54" s="4026">
        <v>219030</v>
      </c>
      <c r="CD54" s="4026">
        <v>0</v>
      </c>
      <c r="CE54" s="4028"/>
      <c r="CF54" s="4028"/>
      <c r="CG54" s="4028"/>
      <c r="CH54" s="4028"/>
      <c r="CI54" s="4028"/>
      <c r="CJ54" s="4028"/>
      <c r="CK54" s="4028"/>
      <c r="CL54" s="4028"/>
      <c r="CM54" s="4028"/>
      <c r="CN54" s="4028"/>
      <c r="CO54" s="4028"/>
      <c r="CP54" s="4028"/>
      <c r="CQ54" s="4028"/>
      <c r="CR54" s="4028"/>
      <c r="CS54" s="4028"/>
      <c r="CT54" s="4028"/>
      <c r="CU54" s="4028"/>
      <c r="CV54" s="4028"/>
      <c r="CW54" s="4028"/>
      <c r="CX54" s="4028"/>
      <c r="CY54" s="4028"/>
      <c r="CZ54" s="4028"/>
      <c r="DA54" s="4029"/>
      <c r="DB54" s="4028"/>
      <c r="DC54" s="4028"/>
      <c r="DD54" s="4028"/>
      <c r="DE54" s="4028" t="s">
        <v>3020</v>
      </c>
      <c r="DF54" s="4028" t="s">
        <v>3021</v>
      </c>
      <c r="DG54" s="4028"/>
      <c r="DH54" s="4028" t="s">
        <v>3022</v>
      </c>
      <c r="DI54" s="4028" t="s">
        <v>3023</v>
      </c>
      <c r="DJ54" s="4028"/>
      <c r="DK54" s="4028"/>
      <c r="DL54" s="4028"/>
      <c r="DM54" s="4028"/>
      <c r="DN54" s="4248"/>
      <c r="DO54" s="1919"/>
      <c r="DP54" s="4459"/>
      <c r="DQ54" s="4450"/>
      <c r="DR54" s="4450"/>
      <c r="DS54" s="4450"/>
      <c r="DT54" s="3448"/>
      <c r="DU54" s="3448"/>
      <c r="DV54" s="3448"/>
      <c r="DW54" s="3448"/>
      <c r="DX54" s="3448"/>
      <c r="DY54" s="3448"/>
      <c r="DZ54" s="3448"/>
      <c r="EA54" s="3448"/>
      <c r="EB54" s="3448"/>
      <c r="EC54" s="3448"/>
      <c r="ED54" s="3448"/>
      <c r="EE54" s="3448"/>
      <c r="EF54" s="3448"/>
      <c r="EG54" s="3448"/>
      <c r="EH54" s="3448"/>
      <c r="EI54" s="3448"/>
      <c r="EJ54" s="3448"/>
      <c r="EK54" s="3448"/>
      <c r="EL54" s="3448"/>
      <c r="EM54" s="3448"/>
      <c r="EN54" s="3448"/>
      <c r="EO54" s="3448"/>
      <c r="EP54" s="3448"/>
      <c r="EQ54" s="3448"/>
      <c r="ER54" s="3448"/>
      <c r="ES54" s="3448"/>
      <c r="ET54" s="3448"/>
      <c r="EU54" s="3448"/>
      <c r="EV54" s="3448"/>
      <c r="EW54" s="3448"/>
      <c r="EX54" s="3448"/>
      <c r="EY54" s="3448"/>
      <c r="EZ54" s="3448"/>
      <c r="FA54" s="3448"/>
      <c r="FB54" s="3448"/>
      <c r="FC54" s="3448"/>
      <c r="FD54" s="3448"/>
      <c r="FE54" s="3448"/>
      <c r="FF54" s="3448"/>
      <c r="FG54" s="3448"/>
      <c r="FH54" s="3448"/>
      <c r="FI54" s="2060"/>
    </row>
    <row r="55" spans="1:165" s="1775" customFormat="1" ht="15" customHeight="1">
      <c r="A55" s="15837"/>
      <c r="B55" s="15840"/>
      <c r="C55" s="15840"/>
      <c r="D55" s="15596" t="s">
        <v>7859</v>
      </c>
      <c r="E55" s="15739" t="s">
        <v>1358</v>
      </c>
      <c r="F55" s="15739" t="s">
        <v>1359</v>
      </c>
      <c r="G55" s="4014" t="s">
        <v>70</v>
      </c>
      <c r="H55" s="2732">
        <v>1</v>
      </c>
      <c r="I55" s="4015">
        <v>2</v>
      </c>
      <c r="J55" s="15742">
        <v>2</v>
      </c>
      <c r="K55" s="15745" t="s">
        <v>1360</v>
      </c>
      <c r="L55" s="4427" t="s">
        <v>10063</v>
      </c>
      <c r="M55" s="2732" t="s">
        <v>316</v>
      </c>
      <c r="N55" s="2732"/>
      <c r="O55" s="4016">
        <v>7000000</v>
      </c>
      <c r="P55" s="4016">
        <v>7210000</v>
      </c>
      <c r="Q55" s="4016">
        <v>7426300</v>
      </c>
      <c r="R55" s="4016">
        <v>15298178</v>
      </c>
      <c r="S55" s="4016">
        <v>15757123.34</v>
      </c>
      <c r="T55" s="4016">
        <v>16229837.040200001</v>
      </c>
      <c r="U55" s="4016">
        <v>16716732.151406001</v>
      </c>
      <c r="V55" s="4016">
        <v>17218234.115948182</v>
      </c>
      <c r="W55" s="4016">
        <v>17734781.139426626</v>
      </c>
      <c r="X55" s="4016">
        <v>18266824.573609427</v>
      </c>
      <c r="Y55" s="4016">
        <v>18814829.310817711</v>
      </c>
      <c r="Z55" s="4016">
        <v>157672839.67140794</v>
      </c>
      <c r="AA55" s="1910">
        <v>1</v>
      </c>
      <c r="AB55" s="4033" t="s">
        <v>3035</v>
      </c>
      <c r="AC55" s="4018" t="s">
        <v>3036</v>
      </c>
      <c r="AD55" s="4023"/>
      <c r="AE55" s="4020">
        <f t="shared" si="0"/>
        <v>23460836.618749999</v>
      </c>
      <c r="AF55" s="4020">
        <v>13591776.61875</v>
      </c>
      <c r="AG55" s="4020">
        <v>9869060</v>
      </c>
      <c r="AH55" s="3448"/>
      <c r="AI55" s="4019">
        <v>545</v>
      </c>
      <c r="AJ55" s="4019">
        <v>147</v>
      </c>
      <c r="AK55" s="4019">
        <v>398</v>
      </c>
      <c r="AL55" s="4019">
        <v>190</v>
      </c>
      <c r="AM55" s="4019">
        <v>355</v>
      </c>
      <c r="AN55" s="4019">
        <v>0</v>
      </c>
      <c r="AO55" s="4019">
        <v>1</v>
      </c>
      <c r="AP55" s="4019">
        <v>6</v>
      </c>
      <c r="AQ55" s="4019">
        <v>194</v>
      </c>
      <c r="AR55" s="4019">
        <v>253</v>
      </c>
      <c r="AS55" s="4019">
        <v>144</v>
      </c>
      <c r="AT55" s="4019">
        <v>33</v>
      </c>
      <c r="AU55" s="4019">
        <v>0</v>
      </c>
      <c r="AV55" s="4019">
        <v>0</v>
      </c>
      <c r="AW55" s="4019">
        <v>0</v>
      </c>
      <c r="AX55" s="4019">
        <v>0</v>
      </c>
      <c r="AY55" s="4019">
        <v>67</v>
      </c>
      <c r="AZ55" s="4019">
        <v>0</v>
      </c>
      <c r="BA55" s="4019">
        <v>0</v>
      </c>
      <c r="BB55" s="4019">
        <v>0</v>
      </c>
      <c r="BC55" s="4019">
        <v>0</v>
      </c>
      <c r="BD55" s="4019">
        <v>0</v>
      </c>
      <c r="BE55" s="4019">
        <v>545</v>
      </c>
      <c r="BF55" s="4019">
        <v>0</v>
      </c>
      <c r="BG55" s="4019">
        <v>0</v>
      </c>
      <c r="BH55" s="4019">
        <v>0</v>
      </c>
      <c r="BI55" s="4018" t="s">
        <v>3020</v>
      </c>
      <c r="BJ55" s="3448" t="s">
        <v>3021</v>
      </c>
      <c r="BK55" s="3448"/>
      <c r="BL55" s="1911" t="s">
        <v>3022</v>
      </c>
      <c r="BM55" s="392" t="s">
        <v>3023</v>
      </c>
      <c r="BN55" s="3448"/>
      <c r="BO55" s="3448"/>
      <c r="BP55" s="3448"/>
      <c r="BQ55" s="3448"/>
      <c r="BR55" s="2060"/>
      <c r="BS55" s="4024">
        <v>1</v>
      </c>
      <c r="BT55" s="4023">
        <v>1</v>
      </c>
      <c r="BU55" s="4023">
        <v>1</v>
      </c>
      <c r="BV55" s="2368">
        <v>1</v>
      </c>
      <c r="BW55" s="15860"/>
      <c r="BX55" s="4025" t="s">
        <v>9689</v>
      </c>
      <c r="BY55" s="4024" t="s">
        <v>3036</v>
      </c>
      <c r="BZ55" s="4024" t="s">
        <v>2976</v>
      </c>
      <c r="CA55" s="4026">
        <v>23802242.295833334</v>
      </c>
      <c r="CB55" s="4026">
        <v>17592942.295833334</v>
      </c>
      <c r="CC55" s="4026">
        <v>6209300</v>
      </c>
      <c r="CD55" s="4026">
        <v>0</v>
      </c>
      <c r="CE55" s="4028">
        <v>442</v>
      </c>
      <c r="CF55" s="4028">
        <v>118</v>
      </c>
      <c r="CG55" s="4028">
        <v>324</v>
      </c>
      <c r="CH55" s="4028"/>
      <c r="CI55" s="4028"/>
      <c r="CJ55" s="4028"/>
      <c r="CK55" s="4028"/>
      <c r="CL55" s="4028"/>
      <c r="CM55" s="4028"/>
      <c r="CN55" s="4028"/>
      <c r="CO55" s="4028"/>
      <c r="CP55" s="4028"/>
      <c r="CQ55" s="4028"/>
      <c r="CR55" s="4028"/>
      <c r="CS55" s="4028"/>
      <c r="CT55" s="4028"/>
      <c r="CU55" s="4028"/>
      <c r="CV55" s="4028"/>
      <c r="CW55" s="4028"/>
      <c r="CX55" s="4028"/>
      <c r="CY55" s="4028"/>
      <c r="CZ55" s="4028"/>
      <c r="DA55" s="4029">
        <v>442</v>
      </c>
      <c r="DB55" s="4028">
        <v>0</v>
      </c>
      <c r="DC55" s="4028">
        <v>0</v>
      </c>
      <c r="DD55" s="4028">
        <v>0</v>
      </c>
      <c r="DE55" s="4028" t="s">
        <v>3020</v>
      </c>
      <c r="DF55" s="4028" t="s">
        <v>3021</v>
      </c>
      <c r="DG55" s="4028"/>
      <c r="DH55" s="4028" t="s">
        <v>3022</v>
      </c>
      <c r="DI55" s="4028" t="s">
        <v>3023</v>
      </c>
      <c r="DJ55" s="4028"/>
      <c r="DK55" s="4028"/>
      <c r="DL55" s="4028"/>
      <c r="DM55" s="4028"/>
      <c r="DN55" s="4248"/>
      <c r="DO55" s="1919"/>
      <c r="DP55" s="4459"/>
      <c r="DQ55" s="4450"/>
      <c r="DR55" s="4450"/>
      <c r="DS55" s="4450"/>
      <c r="DT55" s="3448"/>
      <c r="DU55" s="3448"/>
      <c r="DV55" s="3448"/>
      <c r="DW55" s="3448"/>
      <c r="DX55" s="3448"/>
      <c r="DY55" s="3448"/>
      <c r="DZ55" s="3448"/>
      <c r="EA55" s="3448"/>
      <c r="EB55" s="3448"/>
      <c r="EC55" s="3448"/>
      <c r="ED55" s="3448"/>
      <c r="EE55" s="3448"/>
      <c r="EF55" s="3448"/>
      <c r="EG55" s="3448"/>
      <c r="EH55" s="3448"/>
      <c r="EI55" s="3448"/>
      <c r="EJ55" s="3448"/>
      <c r="EK55" s="3448"/>
      <c r="EL55" s="3448"/>
      <c r="EM55" s="3448"/>
      <c r="EN55" s="3448"/>
      <c r="EO55" s="3448"/>
      <c r="EP55" s="3448"/>
      <c r="EQ55" s="3448"/>
      <c r="ER55" s="3448"/>
      <c r="ES55" s="3448"/>
      <c r="ET55" s="3448"/>
      <c r="EU55" s="3448"/>
      <c r="EV55" s="3448"/>
      <c r="EW55" s="3448"/>
      <c r="EX55" s="3448"/>
      <c r="EY55" s="3448"/>
      <c r="EZ55" s="3448"/>
      <c r="FA55" s="3448"/>
      <c r="FB55" s="3448"/>
      <c r="FC55" s="3448"/>
      <c r="FD55" s="3448"/>
      <c r="FE55" s="3448"/>
      <c r="FF55" s="3448"/>
      <c r="FG55" s="3448"/>
      <c r="FH55" s="3448"/>
      <c r="FI55" s="2060"/>
    </row>
    <row r="56" spans="1:165" s="1775" customFormat="1" ht="15" customHeight="1">
      <c r="A56" s="15837"/>
      <c r="B56" s="15840"/>
      <c r="C56" s="15840"/>
      <c r="D56" s="15577"/>
      <c r="E56" s="15740"/>
      <c r="F56" s="15740"/>
      <c r="G56" s="4014"/>
      <c r="H56" s="2732"/>
      <c r="I56" s="4015"/>
      <c r="J56" s="15743"/>
      <c r="K56" s="15746"/>
      <c r="L56" s="4427" t="s">
        <v>295</v>
      </c>
      <c r="M56" s="2732"/>
      <c r="N56" s="2732" t="s">
        <v>295</v>
      </c>
      <c r="O56" s="4016"/>
      <c r="P56" s="4016"/>
      <c r="Q56" s="4016"/>
      <c r="R56" s="4016"/>
      <c r="S56" s="4016"/>
      <c r="T56" s="4016"/>
      <c r="U56" s="4016"/>
      <c r="V56" s="4016"/>
      <c r="W56" s="4016"/>
      <c r="X56" s="4016"/>
      <c r="Y56" s="4016"/>
      <c r="Z56" s="4016"/>
      <c r="AA56" s="1910"/>
      <c r="AB56" s="4033"/>
      <c r="AC56" s="4018"/>
      <c r="AD56" s="4023"/>
      <c r="AE56" s="4020"/>
      <c r="AF56" s="4020"/>
      <c r="AG56" s="4020"/>
      <c r="AH56" s="3448"/>
      <c r="AI56" s="4019"/>
      <c r="AJ56" s="4019"/>
      <c r="AK56" s="4019"/>
      <c r="AL56" s="4019"/>
      <c r="AM56" s="4019"/>
      <c r="AN56" s="4019"/>
      <c r="AO56" s="4019"/>
      <c r="AP56" s="4019"/>
      <c r="AQ56" s="4019"/>
      <c r="AR56" s="4019"/>
      <c r="AS56" s="4019"/>
      <c r="AT56" s="4019"/>
      <c r="AU56" s="4019"/>
      <c r="AV56" s="4019"/>
      <c r="AW56" s="4019"/>
      <c r="AX56" s="4019"/>
      <c r="AY56" s="4019"/>
      <c r="AZ56" s="4019"/>
      <c r="BA56" s="4019"/>
      <c r="BB56" s="4019"/>
      <c r="BC56" s="4019"/>
      <c r="BD56" s="4019"/>
      <c r="BE56" s="4019"/>
      <c r="BF56" s="4019"/>
      <c r="BG56" s="4019"/>
      <c r="BH56" s="4019"/>
      <c r="BI56" s="4018"/>
      <c r="BJ56" s="3448"/>
      <c r="BK56" s="3448"/>
      <c r="BL56" s="1911"/>
      <c r="BM56" s="392"/>
      <c r="BN56" s="3448"/>
      <c r="BO56" s="3448"/>
      <c r="BP56" s="3448"/>
      <c r="BQ56" s="3448"/>
      <c r="BR56" s="2060"/>
      <c r="BS56" s="4024"/>
      <c r="BT56" s="4023"/>
      <c r="BU56" s="4023"/>
      <c r="BV56" s="2368"/>
      <c r="BW56" s="15860"/>
      <c r="BX56" s="4025"/>
      <c r="BY56" s="4024"/>
      <c r="BZ56" s="4024"/>
      <c r="CA56" s="4026"/>
      <c r="CB56" s="4026"/>
      <c r="CC56" s="4026"/>
      <c r="CD56" s="4026"/>
      <c r="CE56" s="4028"/>
      <c r="CF56" s="4028"/>
      <c r="CG56" s="4028"/>
      <c r="CH56" s="4028"/>
      <c r="CI56" s="4028"/>
      <c r="CJ56" s="4028"/>
      <c r="CK56" s="4028"/>
      <c r="CL56" s="4028"/>
      <c r="CM56" s="4028"/>
      <c r="CN56" s="4028"/>
      <c r="CO56" s="4028"/>
      <c r="CP56" s="4028"/>
      <c r="CQ56" s="4028"/>
      <c r="CR56" s="4028"/>
      <c r="CS56" s="4028"/>
      <c r="CT56" s="4028"/>
      <c r="CU56" s="4028"/>
      <c r="CV56" s="4028"/>
      <c r="CW56" s="4028"/>
      <c r="CX56" s="4028"/>
      <c r="CY56" s="4028"/>
      <c r="CZ56" s="4028"/>
      <c r="DA56" s="4029"/>
      <c r="DB56" s="4028"/>
      <c r="DC56" s="4028"/>
      <c r="DD56" s="4028"/>
      <c r="DE56" s="4028"/>
      <c r="DF56" s="4028"/>
      <c r="DG56" s="4028"/>
      <c r="DH56" s="4028"/>
      <c r="DI56" s="4028"/>
      <c r="DJ56" s="4028"/>
      <c r="DK56" s="4028"/>
      <c r="DL56" s="4028"/>
      <c r="DM56" s="4028"/>
      <c r="DN56" s="4248"/>
      <c r="DO56" s="1919"/>
      <c r="DP56" s="4459"/>
      <c r="DQ56" s="4450"/>
      <c r="DR56" s="4450"/>
      <c r="DS56" s="4450"/>
      <c r="DT56" s="3448"/>
      <c r="DU56" s="3448"/>
      <c r="DV56" s="3448"/>
      <c r="DW56" s="3448"/>
      <c r="DX56" s="3448"/>
      <c r="DY56" s="3448"/>
      <c r="DZ56" s="3448"/>
      <c r="EA56" s="3448"/>
      <c r="EB56" s="3448"/>
      <c r="EC56" s="3448"/>
      <c r="ED56" s="3448"/>
      <c r="EE56" s="3448"/>
      <c r="EF56" s="3448"/>
      <c r="EG56" s="3448"/>
      <c r="EH56" s="3448"/>
      <c r="EI56" s="3448"/>
      <c r="EJ56" s="3448"/>
      <c r="EK56" s="3448"/>
      <c r="EL56" s="3448"/>
      <c r="EM56" s="3448"/>
      <c r="EN56" s="3448"/>
      <c r="EO56" s="3448"/>
      <c r="EP56" s="3448"/>
      <c r="EQ56" s="3448"/>
      <c r="ER56" s="3448"/>
      <c r="ES56" s="3448"/>
      <c r="ET56" s="3448"/>
      <c r="EU56" s="3448"/>
      <c r="EV56" s="3448"/>
      <c r="EW56" s="3448"/>
      <c r="EX56" s="3448"/>
      <c r="EY56" s="3448"/>
      <c r="EZ56" s="3448"/>
      <c r="FA56" s="3448"/>
      <c r="FB56" s="3448"/>
      <c r="FC56" s="3448"/>
      <c r="FD56" s="3448"/>
      <c r="FE56" s="3448"/>
      <c r="FF56" s="3448"/>
      <c r="FG56" s="3448"/>
      <c r="FH56" s="3448"/>
      <c r="FI56" s="2060"/>
    </row>
    <row r="57" spans="1:165" s="1775" customFormat="1" ht="15" customHeight="1">
      <c r="A57" s="15837"/>
      <c r="B57" s="15840"/>
      <c r="C57" s="15840"/>
      <c r="D57" s="15578"/>
      <c r="E57" s="15748"/>
      <c r="F57" s="15748"/>
      <c r="G57" s="4014"/>
      <c r="H57" s="2732"/>
      <c r="I57" s="4015"/>
      <c r="J57" s="15749"/>
      <c r="K57" s="15750"/>
      <c r="L57" s="4427" t="s">
        <v>10194</v>
      </c>
      <c r="M57" s="2732"/>
      <c r="N57" s="2732" t="s">
        <v>10194</v>
      </c>
      <c r="O57" s="4016"/>
      <c r="P57" s="4016"/>
      <c r="Q57" s="4016"/>
      <c r="R57" s="4016"/>
      <c r="S57" s="4016"/>
      <c r="T57" s="4016"/>
      <c r="U57" s="4016"/>
      <c r="V57" s="4016"/>
      <c r="W57" s="4016"/>
      <c r="X57" s="4016"/>
      <c r="Y57" s="4016"/>
      <c r="Z57" s="4016"/>
      <c r="AA57" s="1910"/>
      <c r="AB57" s="4033"/>
      <c r="AC57" s="4018"/>
      <c r="AD57" s="4023"/>
      <c r="AE57" s="4020"/>
      <c r="AF57" s="4020"/>
      <c r="AG57" s="4020"/>
      <c r="AH57" s="3448"/>
      <c r="AI57" s="4019"/>
      <c r="AJ57" s="4019"/>
      <c r="AK57" s="4019"/>
      <c r="AL57" s="4019"/>
      <c r="AM57" s="4019"/>
      <c r="AN57" s="4019"/>
      <c r="AO57" s="4019"/>
      <c r="AP57" s="4019"/>
      <c r="AQ57" s="4019"/>
      <c r="AR57" s="4019"/>
      <c r="AS57" s="4019"/>
      <c r="AT57" s="4019"/>
      <c r="AU57" s="4019"/>
      <c r="AV57" s="4019"/>
      <c r="AW57" s="4019"/>
      <c r="AX57" s="4019"/>
      <c r="AY57" s="4019"/>
      <c r="AZ57" s="4019"/>
      <c r="BA57" s="4019"/>
      <c r="BB57" s="4019"/>
      <c r="BC57" s="4019"/>
      <c r="BD57" s="4019"/>
      <c r="BE57" s="4019"/>
      <c r="BF57" s="4019"/>
      <c r="BG57" s="4019"/>
      <c r="BH57" s="4019"/>
      <c r="BI57" s="4018"/>
      <c r="BJ57" s="3448"/>
      <c r="BK57" s="3448"/>
      <c r="BL57" s="1911"/>
      <c r="BM57" s="392"/>
      <c r="BN57" s="3448"/>
      <c r="BO57" s="3448"/>
      <c r="BP57" s="3448"/>
      <c r="BQ57" s="3448"/>
      <c r="BR57" s="2060"/>
      <c r="BS57" s="4024"/>
      <c r="BT57" s="4023"/>
      <c r="BU57" s="4023"/>
      <c r="BV57" s="2368"/>
      <c r="BW57" s="15860"/>
      <c r="BX57" s="4025"/>
      <c r="BY57" s="4024"/>
      <c r="BZ57" s="4024"/>
      <c r="CA57" s="4026"/>
      <c r="CB57" s="4026"/>
      <c r="CC57" s="4026"/>
      <c r="CD57" s="4026"/>
      <c r="CE57" s="4028"/>
      <c r="CF57" s="4028"/>
      <c r="CG57" s="4028"/>
      <c r="CH57" s="4028"/>
      <c r="CI57" s="4028"/>
      <c r="CJ57" s="4028"/>
      <c r="CK57" s="4028"/>
      <c r="CL57" s="4028"/>
      <c r="CM57" s="4028"/>
      <c r="CN57" s="4028"/>
      <c r="CO57" s="4028"/>
      <c r="CP57" s="4028"/>
      <c r="CQ57" s="4028"/>
      <c r="CR57" s="4028"/>
      <c r="CS57" s="4028"/>
      <c r="CT57" s="4028"/>
      <c r="CU57" s="4028"/>
      <c r="CV57" s="4028"/>
      <c r="CW57" s="4028"/>
      <c r="CX57" s="4028"/>
      <c r="CY57" s="4028"/>
      <c r="CZ57" s="4028"/>
      <c r="DA57" s="4029"/>
      <c r="DB57" s="4028"/>
      <c r="DC57" s="4028"/>
      <c r="DD57" s="4028"/>
      <c r="DE57" s="4028"/>
      <c r="DF57" s="4028"/>
      <c r="DG57" s="4028"/>
      <c r="DH57" s="4028"/>
      <c r="DI57" s="4028"/>
      <c r="DJ57" s="4028"/>
      <c r="DK57" s="4028"/>
      <c r="DL57" s="4028"/>
      <c r="DM57" s="4028"/>
      <c r="DN57" s="4248"/>
      <c r="DO57" s="1919"/>
      <c r="DP57" s="4459"/>
      <c r="DQ57" s="4450"/>
      <c r="DR57" s="4450"/>
      <c r="DS57" s="4450"/>
      <c r="DT57" s="3448"/>
      <c r="DU57" s="3448"/>
      <c r="DV57" s="3448"/>
      <c r="DW57" s="3448"/>
      <c r="DX57" s="3448"/>
      <c r="DY57" s="3448"/>
      <c r="DZ57" s="3448"/>
      <c r="EA57" s="3448"/>
      <c r="EB57" s="3448"/>
      <c r="EC57" s="3448"/>
      <c r="ED57" s="3448"/>
      <c r="EE57" s="3448"/>
      <c r="EF57" s="3448"/>
      <c r="EG57" s="3448"/>
      <c r="EH57" s="3448"/>
      <c r="EI57" s="3448"/>
      <c r="EJ57" s="3448"/>
      <c r="EK57" s="3448"/>
      <c r="EL57" s="3448"/>
      <c r="EM57" s="3448"/>
      <c r="EN57" s="3448"/>
      <c r="EO57" s="3448"/>
      <c r="EP57" s="3448"/>
      <c r="EQ57" s="3448"/>
      <c r="ER57" s="3448"/>
      <c r="ES57" s="3448"/>
      <c r="ET57" s="3448"/>
      <c r="EU57" s="3448"/>
      <c r="EV57" s="3448"/>
      <c r="EW57" s="3448"/>
      <c r="EX57" s="3448"/>
      <c r="EY57" s="3448"/>
      <c r="EZ57" s="3448"/>
      <c r="FA57" s="3448"/>
      <c r="FB57" s="3448"/>
      <c r="FC57" s="3448"/>
      <c r="FD57" s="3448"/>
      <c r="FE57" s="3448"/>
      <c r="FF57" s="3448"/>
      <c r="FG57" s="3448"/>
      <c r="FH57" s="3448"/>
      <c r="FI57" s="2060"/>
    </row>
    <row r="58" spans="1:165" s="1775" customFormat="1" ht="15" customHeight="1">
      <c r="A58" s="15837"/>
      <c r="B58" s="15840"/>
      <c r="C58" s="15840"/>
      <c r="D58" s="15596" t="s">
        <v>7860</v>
      </c>
      <c r="E58" s="15739" t="s">
        <v>1361</v>
      </c>
      <c r="F58" s="15739" t="s">
        <v>1362</v>
      </c>
      <c r="G58" s="4014" t="s">
        <v>70</v>
      </c>
      <c r="H58" s="2732">
        <v>1</v>
      </c>
      <c r="I58" s="4015">
        <v>1</v>
      </c>
      <c r="J58" s="15742">
        <v>1</v>
      </c>
      <c r="K58" s="15745" t="s">
        <v>1363</v>
      </c>
      <c r="L58" s="4427" t="s">
        <v>10063</v>
      </c>
      <c r="M58" s="2732" t="s">
        <v>316</v>
      </c>
      <c r="N58" s="2732"/>
      <c r="O58" s="4016">
        <v>10000000</v>
      </c>
      <c r="P58" s="4016">
        <v>10300000</v>
      </c>
      <c r="Q58" s="4016">
        <v>10609000</v>
      </c>
      <c r="R58" s="4016">
        <v>10927270</v>
      </c>
      <c r="S58" s="4016">
        <v>11255088.1</v>
      </c>
      <c r="T58" s="4016">
        <v>11592740.743000001</v>
      </c>
      <c r="U58" s="4016">
        <v>11940522.965290001</v>
      </c>
      <c r="V58" s="4016">
        <v>12298738.654248701</v>
      </c>
      <c r="W58" s="4016">
        <v>12667700.813876163</v>
      </c>
      <c r="X58" s="4016">
        <v>13047731.838292448</v>
      </c>
      <c r="Y58" s="4016">
        <v>13439163.793441221</v>
      </c>
      <c r="Z58" s="4016">
        <v>128077956.90814854</v>
      </c>
      <c r="AA58" s="1910">
        <v>1</v>
      </c>
      <c r="AB58" s="4017" t="s">
        <v>3037</v>
      </c>
      <c r="AC58" s="4018" t="s">
        <v>3038</v>
      </c>
      <c r="AD58" s="4023"/>
      <c r="AE58" s="4020">
        <f t="shared" si="0"/>
        <v>9510196.6187500004</v>
      </c>
      <c r="AF58" s="4020">
        <v>8295936.6187500004</v>
      </c>
      <c r="AG58" s="4020">
        <v>1214260</v>
      </c>
      <c r="AH58" s="3448"/>
      <c r="AI58" s="4023">
        <v>465</v>
      </c>
      <c r="AJ58" s="4019">
        <v>145</v>
      </c>
      <c r="AK58" s="4019">
        <v>320</v>
      </c>
      <c r="AL58" s="4019">
        <v>225</v>
      </c>
      <c r="AM58" s="4019">
        <v>240</v>
      </c>
      <c r="AN58" s="4019">
        <v>12</v>
      </c>
      <c r="AO58" s="4019">
        <v>10</v>
      </c>
      <c r="AP58" s="4019">
        <v>17</v>
      </c>
      <c r="AQ58" s="4019">
        <v>162</v>
      </c>
      <c r="AR58" s="4019">
        <v>195</v>
      </c>
      <c r="AS58" s="4019">
        <v>85</v>
      </c>
      <c r="AT58" s="4019">
        <v>23</v>
      </c>
      <c r="AU58" s="4019">
        <v>0</v>
      </c>
      <c r="AV58" s="4019">
        <v>0</v>
      </c>
      <c r="AW58" s="4019">
        <v>0</v>
      </c>
      <c r="AX58" s="4019">
        <v>0</v>
      </c>
      <c r="AY58" s="4019">
        <v>39</v>
      </c>
      <c r="AZ58" s="4019">
        <v>0</v>
      </c>
      <c r="BA58" s="4019">
        <v>0</v>
      </c>
      <c r="BB58" s="4019">
        <v>0</v>
      </c>
      <c r="BC58" s="4019">
        <v>0</v>
      </c>
      <c r="BD58" s="4019">
        <v>0</v>
      </c>
      <c r="BE58" s="4019">
        <v>465</v>
      </c>
      <c r="BF58" s="4019">
        <v>0</v>
      </c>
      <c r="BG58" s="4019">
        <v>0</v>
      </c>
      <c r="BH58" s="4019">
        <v>0</v>
      </c>
      <c r="BI58" s="4018" t="s">
        <v>3020</v>
      </c>
      <c r="BJ58" s="3448" t="s">
        <v>3021</v>
      </c>
      <c r="BK58" s="3448"/>
      <c r="BL58" s="1911" t="s">
        <v>3022</v>
      </c>
      <c r="BM58" s="392" t="s">
        <v>3023</v>
      </c>
      <c r="BN58" s="3448"/>
      <c r="BO58" s="3448"/>
      <c r="BP58" s="3448"/>
      <c r="BQ58" s="3448"/>
      <c r="BR58" s="2060"/>
      <c r="BS58" s="4024">
        <v>1</v>
      </c>
      <c r="BT58" s="4023">
        <v>1</v>
      </c>
      <c r="BU58" s="4023">
        <v>1</v>
      </c>
      <c r="BV58" s="2368">
        <v>1</v>
      </c>
      <c r="BW58" s="15860"/>
      <c r="BX58" s="4025" t="s">
        <v>9692</v>
      </c>
      <c r="BY58" s="4024" t="s">
        <v>3038</v>
      </c>
      <c r="BZ58" s="4024" t="s">
        <v>2976</v>
      </c>
      <c r="CA58" s="4026">
        <v>10293787.6625</v>
      </c>
      <c r="CB58" s="4026">
        <v>8522087.6624999996</v>
      </c>
      <c r="CC58" s="4026">
        <v>1771700</v>
      </c>
      <c r="CD58" s="4026"/>
      <c r="CE58" s="4028">
        <v>309</v>
      </c>
      <c r="CF58" s="4028">
        <v>70</v>
      </c>
      <c r="CG58" s="4028">
        <v>239</v>
      </c>
      <c r="CH58" s="4035"/>
      <c r="CI58" s="4035"/>
      <c r="CJ58" s="4028"/>
      <c r="CK58" s="4028"/>
      <c r="CL58" s="4028"/>
      <c r="CM58" s="4028"/>
      <c r="CN58" s="4028"/>
      <c r="CO58" s="4028"/>
      <c r="CP58" s="4028"/>
      <c r="CQ58" s="4028"/>
      <c r="CR58" s="4028"/>
      <c r="CS58" s="4028"/>
      <c r="CT58" s="4028"/>
      <c r="CU58" s="4028"/>
      <c r="CV58" s="4028"/>
      <c r="CW58" s="4028"/>
      <c r="CX58" s="4028"/>
      <c r="CY58" s="4028"/>
      <c r="CZ58" s="4028"/>
      <c r="DA58" s="4029">
        <v>309</v>
      </c>
      <c r="DB58" s="4028">
        <v>0</v>
      </c>
      <c r="DC58" s="4028">
        <v>0</v>
      </c>
      <c r="DD58" s="4028">
        <v>0</v>
      </c>
      <c r="DE58" s="4028" t="s">
        <v>3020</v>
      </c>
      <c r="DF58" s="4028" t="s">
        <v>3021</v>
      </c>
      <c r="DG58" s="4028"/>
      <c r="DH58" s="4028" t="s">
        <v>3022</v>
      </c>
      <c r="DI58" s="4028" t="s">
        <v>3023</v>
      </c>
      <c r="DJ58" s="4028"/>
      <c r="DK58" s="4028"/>
      <c r="DL58" s="4028"/>
      <c r="DM58" s="4028"/>
      <c r="DN58" s="4248"/>
      <c r="DO58" s="1919"/>
      <c r="DP58" s="4459"/>
      <c r="DQ58" s="4450"/>
      <c r="DR58" s="4450"/>
      <c r="DS58" s="4450"/>
      <c r="DT58" s="3448"/>
      <c r="DU58" s="3448"/>
      <c r="DV58" s="3448"/>
      <c r="DW58" s="3448"/>
      <c r="DX58" s="3448"/>
      <c r="DY58" s="3448"/>
      <c r="DZ58" s="3448"/>
      <c r="EA58" s="3448"/>
      <c r="EB58" s="3448"/>
      <c r="EC58" s="3448"/>
      <c r="ED58" s="3448"/>
      <c r="EE58" s="3448"/>
      <c r="EF58" s="3448"/>
      <c r="EG58" s="3448"/>
      <c r="EH58" s="3448"/>
      <c r="EI58" s="3448"/>
      <c r="EJ58" s="3448"/>
      <c r="EK58" s="3448"/>
      <c r="EL58" s="3448"/>
      <c r="EM58" s="3448"/>
      <c r="EN58" s="3448"/>
      <c r="EO58" s="3448"/>
      <c r="EP58" s="3448"/>
      <c r="EQ58" s="3448"/>
      <c r="ER58" s="3448"/>
      <c r="ES58" s="3448"/>
      <c r="ET58" s="3448"/>
      <c r="EU58" s="3448"/>
      <c r="EV58" s="3448"/>
      <c r="EW58" s="3448"/>
      <c r="EX58" s="3448"/>
      <c r="EY58" s="3448"/>
      <c r="EZ58" s="3448"/>
      <c r="FA58" s="3448"/>
      <c r="FB58" s="3448"/>
      <c r="FC58" s="3448"/>
      <c r="FD58" s="3448"/>
      <c r="FE58" s="3448"/>
      <c r="FF58" s="3448"/>
      <c r="FG58" s="3448"/>
      <c r="FH58" s="3448"/>
      <c r="FI58" s="2060"/>
    </row>
    <row r="59" spans="1:165" s="1775" customFormat="1" ht="15" customHeight="1">
      <c r="A59" s="15837"/>
      <c r="B59" s="15840"/>
      <c r="C59" s="15840"/>
      <c r="D59" s="15577"/>
      <c r="E59" s="15740"/>
      <c r="F59" s="15740"/>
      <c r="G59" s="4014"/>
      <c r="H59" s="2732"/>
      <c r="I59" s="4015"/>
      <c r="J59" s="15743"/>
      <c r="K59" s="15746"/>
      <c r="L59" s="4427" t="s">
        <v>10194</v>
      </c>
      <c r="M59" s="2732"/>
      <c r="N59" s="2732" t="s">
        <v>295</v>
      </c>
      <c r="O59" s="4016"/>
      <c r="P59" s="4016"/>
      <c r="Q59" s="4016"/>
      <c r="R59" s="4016"/>
      <c r="S59" s="4016"/>
      <c r="T59" s="4016"/>
      <c r="U59" s="4016"/>
      <c r="V59" s="4016"/>
      <c r="W59" s="4016"/>
      <c r="X59" s="4016"/>
      <c r="Y59" s="4016"/>
      <c r="Z59" s="4016"/>
      <c r="AA59" s="1910"/>
      <c r="AB59" s="4017"/>
      <c r="AC59" s="4018"/>
      <c r="AD59" s="4023"/>
      <c r="AE59" s="4020"/>
      <c r="AF59" s="4020"/>
      <c r="AG59" s="4020"/>
      <c r="AH59" s="3448"/>
      <c r="AI59" s="4036"/>
      <c r="AJ59" s="4019"/>
      <c r="AK59" s="4019"/>
      <c r="AL59" s="4019"/>
      <c r="AM59" s="4019"/>
      <c r="AN59" s="4019"/>
      <c r="AO59" s="4019"/>
      <c r="AP59" s="4019"/>
      <c r="AQ59" s="4019"/>
      <c r="AR59" s="4019"/>
      <c r="AS59" s="4019"/>
      <c r="AT59" s="4019"/>
      <c r="AU59" s="4019"/>
      <c r="AV59" s="4019"/>
      <c r="AW59" s="4019"/>
      <c r="AX59" s="4019"/>
      <c r="AY59" s="4019"/>
      <c r="AZ59" s="4019"/>
      <c r="BA59" s="4019"/>
      <c r="BB59" s="4019"/>
      <c r="BC59" s="4019"/>
      <c r="BD59" s="4019"/>
      <c r="BE59" s="4019"/>
      <c r="BF59" s="4019"/>
      <c r="BG59" s="4019"/>
      <c r="BH59" s="4019"/>
      <c r="BI59" s="4018"/>
      <c r="BJ59" s="3448"/>
      <c r="BK59" s="3448"/>
      <c r="BL59" s="1911"/>
      <c r="BM59" s="392"/>
      <c r="BN59" s="3448"/>
      <c r="BO59" s="3448"/>
      <c r="BP59" s="3448"/>
      <c r="BQ59" s="3448"/>
      <c r="BR59" s="2060"/>
      <c r="BS59" s="4024"/>
      <c r="BT59" s="4023"/>
      <c r="BU59" s="4023"/>
      <c r="BV59" s="2368"/>
      <c r="BW59" s="15860"/>
      <c r="BX59" s="4025"/>
      <c r="BY59" s="4024"/>
      <c r="BZ59" s="4024"/>
      <c r="CA59" s="4026"/>
      <c r="CB59" s="4026"/>
      <c r="CC59" s="4026"/>
      <c r="CD59" s="4026"/>
      <c r="CE59" s="4028"/>
      <c r="CF59" s="4028"/>
      <c r="CG59" s="4028"/>
      <c r="CH59" s="4035"/>
      <c r="CI59" s="4035"/>
      <c r="CJ59" s="4028"/>
      <c r="CK59" s="4028"/>
      <c r="CL59" s="4028"/>
      <c r="CM59" s="4028"/>
      <c r="CN59" s="4028"/>
      <c r="CO59" s="4028"/>
      <c r="CP59" s="4028"/>
      <c r="CQ59" s="4028"/>
      <c r="CR59" s="4028"/>
      <c r="CS59" s="4028"/>
      <c r="CT59" s="4028"/>
      <c r="CU59" s="4028"/>
      <c r="CV59" s="4028"/>
      <c r="CW59" s="4028"/>
      <c r="CX59" s="4028"/>
      <c r="CY59" s="4028"/>
      <c r="CZ59" s="4028"/>
      <c r="DA59" s="4029"/>
      <c r="DB59" s="4028"/>
      <c r="DC59" s="4028"/>
      <c r="DD59" s="4028"/>
      <c r="DE59" s="4028"/>
      <c r="DF59" s="4028"/>
      <c r="DG59" s="4028"/>
      <c r="DH59" s="4028"/>
      <c r="DI59" s="4028"/>
      <c r="DJ59" s="4028"/>
      <c r="DK59" s="4028"/>
      <c r="DL59" s="4028"/>
      <c r="DM59" s="4028"/>
      <c r="DN59" s="4248"/>
      <c r="DO59" s="1919"/>
      <c r="DP59" s="4459"/>
      <c r="DQ59" s="4450"/>
      <c r="DR59" s="4450"/>
      <c r="DS59" s="4450"/>
      <c r="DT59" s="3448"/>
      <c r="DU59" s="3448"/>
      <c r="DV59" s="3448"/>
      <c r="DW59" s="3448"/>
      <c r="DX59" s="3448"/>
      <c r="DY59" s="3448"/>
      <c r="DZ59" s="3448"/>
      <c r="EA59" s="3448"/>
      <c r="EB59" s="3448"/>
      <c r="EC59" s="3448"/>
      <c r="ED59" s="3448"/>
      <c r="EE59" s="3448"/>
      <c r="EF59" s="3448"/>
      <c r="EG59" s="3448"/>
      <c r="EH59" s="3448"/>
      <c r="EI59" s="3448"/>
      <c r="EJ59" s="3448"/>
      <c r="EK59" s="3448"/>
      <c r="EL59" s="3448"/>
      <c r="EM59" s="3448"/>
      <c r="EN59" s="3448"/>
      <c r="EO59" s="3448"/>
      <c r="EP59" s="3448"/>
      <c r="EQ59" s="3448"/>
      <c r="ER59" s="3448"/>
      <c r="ES59" s="3448"/>
      <c r="ET59" s="3448"/>
      <c r="EU59" s="3448"/>
      <c r="EV59" s="3448"/>
      <c r="EW59" s="3448"/>
      <c r="EX59" s="3448"/>
      <c r="EY59" s="3448"/>
      <c r="EZ59" s="3448"/>
      <c r="FA59" s="3448"/>
      <c r="FB59" s="3448"/>
      <c r="FC59" s="3448"/>
      <c r="FD59" s="3448"/>
      <c r="FE59" s="3448"/>
      <c r="FF59" s="3448"/>
      <c r="FG59" s="3448"/>
      <c r="FH59" s="3448"/>
      <c r="FI59" s="2060"/>
    </row>
    <row r="60" spans="1:165" s="1775" customFormat="1" ht="15" customHeight="1">
      <c r="A60" s="15837"/>
      <c r="B60" s="15840"/>
      <c r="C60" s="15840"/>
      <c r="D60" s="15577"/>
      <c r="E60" s="15740"/>
      <c r="F60" s="15740"/>
      <c r="G60" s="4014"/>
      <c r="H60" s="2732"/>
      <c r="I60" s="4015"/>
      <c r="J60" s="15743"/>
      <c r="K60" s="15746"/>
      <c r="L60" s="4427" t="s">
        <v>10199</v>
      </c>
      <c r="M60" s="2732"/>
      <c r="N60" s="2732" t="s">
        <v>10214</v>
      </c>
      <c r="O60" s="4016"/>
      <c r="P60" s="4016"/>
      <c r="Q60" s="4016"/>
      <c r="R60" s="4016"/>
      <c r="S60" s="4016"/>
      <c r="T60" s="4016"/>
      <c r="U60" s="4016"/>
      <c r="V60" s="4016"/>
      <c r="W60" s="4016"/>
      <c r="X60" s="4016"/>
      <c r="Y60" s="4016"/>
      <c r="Z60" s="4016"/>
      <c r="AA60" s="1910"/>
      <c r="AB60" s="4017"/>
      <c r="AC60" s="4018"/>
      <c r="AD60" s="4023"/>
      <c r="AE60" s="4020"/>
      <c r="AF60" s="4020"/>
      <c r="AG60" s="4020"/>
      <c r="AH60" s="3448"/>
      <c r="AI60" s="4036"/>
      <c r="AJ60" s="4019"/>
      <c r="AK60" s="4019"/>
      <c r="AL60" s="4019"/>
      <c r="AM60" s="4019"/>
      <c r="AN60" s="4019"/>
      <c r="AO60" s="4019"/>
      <c r="AP60" s="4019"/>
      <c r="AQ60" s="4019"/>
      <c r="AR60" s="4019"/>
      <c r="AS60" s="4019"/>
      <c r="AT60" s="4019"/>
      <c r="AU60" s="4019"/>
      <c r="AV60" s="4019"/>
      <c r="AW60" s="4019"/>
      <c r="AX60" s="4019"/>
      <c r="AY60" s="4019"/>
      <c r="AZ60" s="4019"/>
      <c r="BA60" s="4019"/>
      <c r="BB60" s="4019"/>
      <c r="BC60" s="4019"/>
      <c r="BD60" s="4019"/>
      <c r="BE60" s="4019"/>
      <c r="BF60" s="4019"/>
      <c r="BG60" s="4019"/>
      <c r="BH60" s="4019"/>
      <c r="BI60" s="4018"/>
      <c r="BJ60" s="3448"/>
      <c r="BK60" s="3448"/>
      <c r="BL60" s="1911"/>
      <c r="BM60" s="392"/>
      <c r="BN60" s="3448"/>
      <c r="BO60" s="3448"/>
      <c r="BP60" s="3448"/>
      <c r="BQ60" s="3448"/>
      <c r="BR60" s="2060"/>
      <c r="BS60" s="4024"/>
      <c r="BT60" s="4023"/>
      <c r="BU60" s="4023"/>
      <c r="BV60" s="2368"/>
      <c r="BW60" s="15860"/>
      <c r="BX60" s="4025"/>
      <c r="BY60" s="4024"/>
      <c r="BZ60" s="4024"/>
      <c r="CA60" s="4026"/>
      <c r="CB60" s="4026"/>
      <c r="CC60" s="4026"/>
      <c r="CD60" s="4026"/>
      <c r="CE60" s="4028"/>
      <c r="CF60" s="4028"/>
      <c r="CG60" s="4028"/>
      <c r="CH60" s="4035"/>
      <c r="CI60" s="4035"/>
      <c r="CJ60" s="4028"/>
      <c r="CK60" s="4028"/>
      <c r="CL60" s="4028"/>
      <c r="CM60" s="4028"/>
      <c r="CN60" s="4028"/>
      <c r="CO60" s="4028"/>
      <c r="CP60" s="4028"/>
      <c r="CQ60" s="4028"/>
      <c r="CR60" s="4028"/>
      <c r="CS60" s="4028"/>
      <c r="CT60" s="4028"/>
      <c r="CU60" s="4028"/>
      <c r="CV60" s="4028"/>
      <c r="CW60" s="4028"/>
      <c r="CX60" s="4028"/>
      <c r="CY60" s="4028"/>
      <c r="CZ60" s="4028"/>
      <c r="DA60" s="4029"/>
      <c r="DB60" s="4028"/>
      <c r="DC60" s="4028"/>
      <c r="DD60" s="4028"/>
      <c r="DE60" s="4028"/>
      <c r="DF60" s="4028"/>
      <c r="DG60" s="4028"/>
      <c r="DH60" s="4028"/>
      <c r="DI60" s="4028"/>
      <c r="DJ60" s="4028"/>
      <c r="DK60" s="4028"/>
      <c r="DL60" s="4028"/>
      <c r="DM60" s="4028"/>
      <c r="DN60" s="4248"/>
      <c r="DO60" s="1919"/>
      <c r="DP60" s="4459"/>
      <c r="DQ60" s="4450"/>
      <c r="DR60" s="4450"/>
      <c r="DS60" s="4450"/>
      <c r="DT60" s="3448"/>
      <c r="DU60" s="3448"/>
      <c r="DV60" s="3448"/>
      <c r="DW60" s="3448"/>
      <c r="DX60" s="3448"/>
      <c r="DY60" s="3448"/>
      <c r="DZ60" s="3448"/>
      <c r="EA60" s="3448"/>
      <c r="EB60" s="3448"/>
      <c r="EC60" s="3448"/>
      <c r="ED60" s="3448"/>
      <c r="EE60" s="3448"/>
      <c r="EF60" s="3448"/>
      <c r="EG60" s="3448"/>
      <c r="EH60" s="3448"/>
      <c r="EI60" s="3448"/>
      <c r="EJ60" s="3448"/>
      <c r="EK60" s="3448"/>
      <c r="EL60" s="3448"/>
      <c r="EM60" s="3448"/>
      <c r="EN60" s="3448"/>
      <c r="EO60" s="3448"/>
      <c r="EP60" s="3448"/>
      <c r="EQ60" s="3448"/>
      <c r="ER60" s="3448"/>
      <c r="ES60" s="3448"/>
      <c r="ET60" s="3448"/>
      <c r="EU60" s="3448"/>
      <c r="EV60" s="3448"/>
      <c r="EW60" s="3448"/>
      <c r="EX60" s="3448"/>
      <c r="EY60" s="3448"/>
      <c r="EZ60" s="3448"/>
      <c r="FA60" s="3448"/>
      <c r="FB60" s="3448"/>
      <c r="FC60" s="3448"/>
      <c r="FD60" s="3448"/>
      <c r="FE60" s="3448"/>
      <c r="FF60" s="3448"/>
      <c r="FG60" s="3448"/>
      <c r="FH60" s="3448"/>
      <c r="FI60" s="2060"/>
    </row>
    <row r="61" spans="1:165" s="1775" customFormat="1" ht="15" customHeight="1">
      <c r="A61" s="15837"/>
      <c r="B61" s="15840"/>
      <c r="C61" s="15840"/>
      <c r="D61" s="15578"/>
      <c r="E61" s="15748"/>
      <c r="F61" s="15748"/>
      <c r="G61" s="4014"/>
      <c r="H61" s="2732"/>
      <c r="I61" s="4015"/>
      <c r="J61" s="15749"/>
      <c r="K61" s="15750"/>
      <c r="L61" s="4427" t="s">
        <v>10216</v>
      </c>
      <c r="M61" s="2732"/>
      <c r="N61" s="2732" t="s">
        <v>10215</v>
      </c>
      <c r="O61" s="4016"/>
      <c r="P61" s="4016"/>
      <c r="Q61" s="4016"/>
      <c r="R61" s="4016"/>
      <c r="S61" s="4016"/>
      <c r="T61" s="4016"/>
      <c r="U61" s="4016"/>
      <c r="V61" s="4016"/>
      <c r="W61" s="4016"/>
      <c r="X61" s="4016"/>
      <c r="Y61" s="4016"/>
      <c r="Z61" s="4016"/>
      <c r="AA61" s="1910"/>
      <c r="AB61" s="4017"/>
      <c r="AC61" s="4018"/>
      <c r="AD61" s="4023"/>
      <c r="AE61" s="4020"/>
      <c r="AF61" s="4020"/>
      <c r="AG61" s="4020"/>
      <c r="AH61" s="3448"/>
      <c r="AI61" s="4036"/>
      <c r="AJ61" s="4019"/>
      <c r="AK61" s="4019"/>
      <c r="AL61" s="4019"/>
      <c r="AM61" s="4019"/>
      <c r="AN61" s="4019"/>
      <c r="AO61" s="4019"/>
      <c r="AP61" s="4019"/>
      <c r="AQ61" s="4019"/>
      <c r="AR61" s="4019"/>
      <c r="AS61" s="4019"/>
      <c r="AT61" s="4019"/>
      <c r="AU61" s="4019"/>
      <c r="AV61" s="4019"/>
      <c r="AW61" s="4019"/>
      <c r="AX61" s="4019"/>
      <c r="AY61" s="4019"/>
      <c r="AZ61" s="4019"/>
      <c r="BA61" s="4019"/>
      <c r="BB61" s="4019"/>
      <c r="BC61" s="4019"/>
      <c r="BD61" s="4019"/>
      <c r="BE61" s="4019"/>
      <c r="BF61" s="4019"/>
      <c r="BG61" s="4019"/>
      <c r="BH61" s="4019"/>
      <c r="BI61" s="4018"/>
      <c r="BJ61" s="3448"/>
      <c r="BK61" s="3448"/>
      <c r="BL61" s="1911"/>
      <c r="BM61" s="392"/>
      <c r="BN61" s="3448"/>
      <c r="BO61" s="3448"/>
      <c r="BP61" s="3448"/>
      <c r="BQ61" s="3448"/>
      <c r="BR61" s="2060"/>
      <c r="BS61" s="4024"/>
      <c r="BT61" s="4023"/>
      <c r="BU61" s="4023"/>
      <c r="BV61" s="2368"/>
      <c r="BW61" s="15860"/>
      <c r="BX61" s="4025"/>
      <c r="BY61" s="4024"/>
      <c r="BZ61" s="4024"/>
      <c r="CA61" s="4026"/>
      <c r="CB61" s="4026"/>
      <c r="CC61" s="4026"/>
      <c r="CD61" s="4026"/>
      <c r="CE61" s="4028"/>
      <c r="CF61" s="4028"/>
      <c r="CG61" s="4028"/>
      <c r="CH61" s="4035"/>
      <c r="CI61" s="4035"/>
      <c r="CJ61" s="4028"/>
      <c r="CK61" s="4028"/>
      <c r="CL61" s="4028"/>
      <c r="CM61" s="4028"/>
      <c r="CN61" s="4028"/>
      <c r="CO61" s="4028"/>
      <c r="CP61" s="4028"/>
      <c r="CQ61" s="4028"/>
      <c r="CR61" s="4028"/>
      <c r="CS61" s="4028"/>
      <c r="CT61" s="4028"/>
      <c r="CU61" s="4028"/>
      <c r="CV61" s="4028"/>
      <c r="CW61" s="4028"/>
      <c r="CX61" s="4028"/>
      <c r="CY61" s="4028"/>
      <c r="CZ61" s="4028"/>
      <c r="DA61" s="4029"/>
      <c r="DB61" s="4028"/>
      <c r="DC61" s="4028"/>
      <c r="DD61" s="4028"/>
      <c r="DE61" s="4028"/>
      <c r="DF61" s="4028"/>
      <c r="DG61" s="4028"/>
      <c r="DH61" s="4028"/>
      <c r="DI61" s="4028"/>
      <c r="DJ61" s="4028"/>
      <c r="DK61" s="4028"/>
      <c r="DL61" s="4028"/>
      <c r="DM61" s="4028"/>
      <c r="DN61" s="4248"/>
      <c r="DO61" s="1919"/>
      <c r="DP61" s="4459"/>
      <c r="DQ61" s="4450"/>
      <c r="DR61" s="4450"/>
      <c r="DS61" s="4450"/>
      <c r="DT61" s="3448"/>
      <c r="DU61" s="3448"/>
      <c r="DV61" s="3448"/>
      <c r="DW61" s="3448"/>
      <c r="DX61" s="3448"/>
      <c r="DY61" s="3448"/>
      <c r="DZ61" s="3448"/>
      <c r="EA61" s="3448"/>
      <c r="EB61" s="3448"/>
      <c r="EC61" s="3448"/>
      <c r="ED61" s="3448"/>
      <c r="EE61" s="3448"/>
      <c r="EF61" s="3448"/>
      <c r="EG61" s="3448"/>
      <c r="EH61" s="3448"/>
      <c r="EI61" s="3448"/>
      <c r="EJ61" s="3448"/>
      <c r="EK61" s="3448"/>
      <c r="EL61" s="3448"/>
      <c r="EM61" s="3448"/>
      <c r="EN61" s="3448"/>
      <c r="EO61" s="3448"/>
      <c r="EP61" s="3448"/>
      <c r="EQ61" s="3448"/>
      <c r="ER61" s="3448"/>
      <c r="ES61" s="3448"/>
      <c r="ET61" s="3448"/>
      <c r="EU61" s="3448"/>
      <c r="EV61" s="3448"/>
      <c r="EW61" s="3448"/>
      <c r="EX61" s="3448"/>
      <c r="EY61" s="3448"/>
      <c r="EZ61" s="3448"/>
      <c r="FA61" s="3448"/>
      <c r="FB61" s="3448"/>
      <c r="FC61" s="3448"/>
      <c r="FD61" s="3448"/>
      <c r="FE61" s="3448"/>
      <c r="FF61" s="3448"/>
      <c r="FG61" s="3448"/>
      <c r="FH61" s="3448"/>
      <c r="FI61" s="2060"/>
    </row>
    <row r="62" spans="1:165" s="1775" customFormat="1" ht="15" customHeight="1">
      <c r="A62" s="15837"/>
      <c r="B62" s="15840"/>
      <c r="C62" s="15840"/>
      <c r="D62" s="15596" t="s">
        <v>7861</v>
      </c>
      <c r="E62" s="15739" t="s">
        <v>1364</v>
      </c>
      <c r="F62" s="15739" t="s">
        <v>1362</v>
      </c>
      <c r="G62" s="4014" t="s">
        <v>70</v>
      </c>
      <c r="H62" s="2732">
        <v>1</v>
      </c>
      <c r="I62" s="4015">
        <v>1</v>
      </c>
      <c r="J62" s="15742">
        <v>1</v>
      </c>
      <c r="K62" s="15745" t="s">
        <v>1363</v>
      </c>
      <c r="L62" s="4427" t="s">
        <v>10063</v>
      </c>
      <c r="M62" s="2732" t="s">
        <v>316</v>
      </c>
      <c r="N62" s="2732"/>
      <c r="O62" s="4016">
        <v>10000000</v>
      </c>
      <c r="P62" s="4016">
        <v>10300000</v>
      </c>
      <c r="Q62" s="4016">
        <v>10609000</v>
      </c>
      <c r="R62" s="4016">
        <v>10927270</v>
      </c>
      <c r="S62" s="4016">
        <v>11255088.1</v>
      </c>
      <c r="T62" s="4016">
        <v>11592740.743000001</v>
      </c>
      <c r="U62" s="4016">
        <v>11940522.965290001</v>
      </c>
      <c r="V62" s="4016">
        <v>12298738.654248701</v>
      </c>
      <c r="W62" s="4016">
        <v>12667700.813876163</v>
      </c>
      <c r="X62" s="4016">
        <v>13047731.838292448</v>
      </c>
      <c r="Y62" s="4016">
        <v>13439163.793441221</v>
      </c>
      <c r="Z62" s="4016">
        <v>128077956.90814854</v>
      </c>
      <c r="AA62" s="1910">
        <v>1</v>
      </c>
      <c r="AB62" s="4017" t="s">
        <v>3039</v>
      </c>
      <c r="AC62" s="4018" t="s">
        <v>3040</v>
      </c>
      <c r="AD62" s="4023"/>
      <c r="AE62" s="4020">
        <f t="shared" si="0"/>
        <v>9510196.6187500004</v>
      </c>
      <c r="AF62" s="4020">
        <v>8295936.6187500004</v>
      </c>
      <c r="AG62" s="4020">
        <v>1214260</v>
      </c>
      <c r="AH62" s="3448"/>
      <c r="AI62" s="4036">
        <v>546</v>
      </c>
      <c r="AJ62" s="4019">
        <v>147</v>
      </c>
      <c r="AK62" s="4019">
        <v>399</v>
      </c>
      <c r="AL62" s="4019">
        <v>195</v>
      </c>
      <c r="AM62" s="4019">
        <v>351</v>
      </c>
      <c r="AN62" s="4019">
        <v>0</v>
      </c>
      <c r="AO62" s="4019">
        <v>1</v>
      </c>
      <c r="AP62" s="4019">
        <v>6</v>
      </c>
      <c r="AQ62" s="4019">
        <v>187</v>
      </c>
      <c r="AR62" s="4019">
        <v>253</v>
      </c>
      <c r="AS62" s="4019">
        <v>118</v>
      </c>
      <c r="AT62" s="4019">
        <v>33</v>
      </c>
      <c r="AU62" s="4019">
        <v>0</v>
      </c>
      <c r="AV62" s="4019">
        <v>0</v>
      </c>
      <c r="AW62" s="4019">
        <v>0</v>
      </c>
      <c r="AX62" s="4019">
        <v>0</v>
      </c>
      <c r="AY62" s="4019">
        <v>6</v>
      </c>
      <c r="AZ62" s="4019">
        <v>0</v>
      </c>
      <c r="BA62" s="4019">
        <v>0</v>
      </c>
      <c r="BB62" s="4019">
        <v>0</v>
      </c>
      <c r="BC62" s="4019">
        <v>0</v>
      </c>
      <c r="BD62" s="4019">
        <v>0</v>
      </c>
      <c r="BE62" s="4019">
        <v>546</v>
      </c>
      <c r="BF62" s="4019"/>
      <c r="BG62" s="4019"/>
      <c r="BH62" s="4019"/>
      <c r="BI62" s="4018" t="s">
        <v>3020</v>
      </c>
      <c r="BJ62" s="4019" t="s">
        <v>3021</v>
      </c>
      <c r="BK62" s="4019"/>
      <c r="BL62" s="1911" t="s">
        <v>3022</v>
      </c>
      <c r="BM62" s="392" t="s">
        <v>3023</v>
      </c>
      <c r="BN62" s="4019"/>
      <c r="BO62" s="4019"/>
      <c r="BP62" s="4019"/>
      <c r="BQ62" s="4019"/>
      <c r="BR62" s="4043"/>
      <c r="BS62" s="4024">
        <v>1</v>
      </c>
      <c r="BT62" s="4023">
        <v>1</v>
      </c>
      <c r="BU62" s="4023">
        <v>1</v>
      </c>
      <c r="BV62" s="2368">
        <v>1</v>
      </c>
      <c r="BW62" s="15860"/>
      <c r="BX62" s="4025" t="s">
        <v>8898</v>
      </c>
      <c r="BY62" s="4024" t="s">
        <v>3040</v>
      </c>
      <c r="BZ62" s="4024" t="s">
        <v>2976</v>
      </c>
      <c r="CA62" s="4026">
        <v>10293787.6625</v>
      </c>
      <c r="CB62" s="4026">
        <v>8522087.6624999996</v>
      </c>
      <c r="CC62" s="4026">
        <v>1771700</v>
      </c>
      <c r="CD62" s="4026"/>
      <c r="CE62" s="4028">
        <v>349</v>
      </c>
      <c r="CF62" s="4028">
        <v>83</v>
      </c>
      <c r="CG62" s="4028">
        <v>266</v>
      </c>
      <c r="CH62" s="4028"/>
      <c r="CI62" s="4028"/>
      <c r="CJ62" s="4028"/>
      <c r="CK62" s="4028"/>
      <c r="CL62" s="4028"/>
      <c r="CM62" s="4028"/>
      <c r="CN62" s="4028"/>
      <c r="CO62" s="4028"/>
      <c r="CP62" s="4028"/>
      <c r="CQ62" s="4028"/>
      <c r="CR62" s="4028"/>
      <c r="CS62" s="4028"/>
      <c r="CT62" s="4028"/>
      <c r="CU62" s="4028"/>
      <c r="CV62" s="4028"/>
      <c r="CW62" s="4028"/>
      <c r="CX62" s="4028"/>
      <c r="CY62" s="4028"/>
      <c r="CZ62" s="4028"/>
      <c r="DA62" s="4029">
        <v>349</v>
      </c>
      <c r="DB62" s="4028"/>
      <c r="DC62" s="4028"/>
      <c r="DD62" s="4028"/>
      <c r="DE62" s="4028" t="s">
        <v>3020</v>
      </c>
      <c r="DF62" s="4028" t="s">
        <v>3021</v>
      </c>
      <c r="DG62" s="4028"/>
      <c r="DH62" s="4028" t="s">
        <v>3022</v>
      </c>
      <c r="DI62" s="4028" t="s">
        <v>3023</v>
      </c>
      <c r="DJ62" s="4028"/>
      <c r="DK62" s="4028"/>
      <c r="DL62" s="4028"/>
      <c r="DM62" s="4028"/>
      <c r="DN62" s="4248"/>
      <c r="DO62" s="1919"/>
      <c r="DP62" s="4459"/>
      <c r="DQ62" s="4450"/>
      <c r="DR62" s="4450"/>
      <c r="DS62" s="4450"/>
      <c r="DT62" s="3448"/>
      <c r="DU62" s="3448"/>
      <c r="DV62" s="3448"/>
      <c r="DW62" s="3448"/>
      <c r="DX62" s="3448"/>
      <c r="DY62" s="3448"/>
      <c r="DZ62" s="3448"/>
      <c r="EA62" s="3448"/>
      <c r="EB62" s="3448"/>
      <c r="EC62" s="3448"/>
      <c r="ED62" s="3448"/>
      <c r="EE62" s="3448"/>
      <c r="EF62" s="3448"/>
      <c r="EG62" s="3448"/>
      <c r="EH62" s="3448"/>
      <c r="EI62" s="3448"/>
      <c r="EJ62" s="3448"/>
      <c r="EK62" s="3448"/>
      <c r="EL62" s="3448"/>
      <c r="EM62" s="3448"/>
      <c r="EN62" s="3448"/>
      <c r="EO62" s="3448"/>
      <c r="EP62" s="3448"/>
      <c r="EQ62" s="3448"/>
      <c r="ER62" s="3448"/>
      <c r="ES62" s="3448"/>
      <c r="ET62" s="3448"/>
      <c r="EU62" s="3448"/>
      <c r="EV62" s="3448"/>
      <c r="EW62" s="3448"/>
      <c r="EX62" s="3448"/>
      <c r="EY62" s="3448"/>
      <c r="EZ62" s="3448"/>
      <c r="FA62" s="3448"/>
      <c r="FB62" s="3448"/>
      <c r="FC62" s="3448"/>
      <c r="FD62" s="3448"/>
      <c r="FE62" s="3448"/>
      <c r="FF62" s="3448"/>
      <c r="FG62" s="3448"/>
      <c r="FH62" s="3448"/>
      <c r="FI62" s="2060"/>
    </row>
    <row r="63" spans="1:165" s="1775" customFormat="1" ht="15" customHeight="1">
      <c r="A63" s="15838"/>
      <c r="B63" s="15739"/>
      <c r="C63" s="15739"/>
      <c r="D63" s="15577"/>
      <c r="E63" s="15740"/>
      <c r="F63" s="15740"/>
      <c r="G63" s="4037"/>
      <c r="H63" s="4038"/>
      <c r="I63" s="4039"/>
      <c r="J63" s="15743"/>
      <c r="K63" s="15746"/>
      <c r="L63" s="4428" t="s">
        <v>295</v>
      </c>
      <c r="M63" s="4038"/>
      <c r="N63" s="2732" t="s">
        <v>295</v>
      </c>
      <c r="O63" s="4040"/>
      <c r="P63" s="4040"/>
      <c r="Q63" s="4040"/>
      <c r="R63" s="4040"/>
      <c r="S63" s="4040"/>
      <c r="T63" s="4040"/>
      <c r="U63" s="4040"/>
      <c r="V63" s="4040"/>
      <c r="W63" s="4040"/>
      <c r="X63" s="4040"/>
      <c r="Y63" s="4040"/>
      <c r="Z63" s="4040"/>
      <c r="AA63" s="1910"/>
      <c r="AB63" s="4041"/>
      <c r="AC63" s="4018"/>
      <c r="AD63" s="4023"/>
      <c r="AE63" s="4042"/>
      <c r="AF63" s="4042"/>
      <c r="AG63" s="4042"/>
      <c r="AH63" s="3448"/>
      <c r="AI63" s="4036"/>
      <c r="AJ63" s="4019"/>
      <c r="AK63" s="4019"/>
      <c r="AL63" s="4019"/>
      <c r="AM63" s="4019"/>
      <c r="AN63" s="4019"/>
      <c r="AO63" s="4019"/>
      <c r="AP63" s="4019"/>
      <c r="AQ63" s="4019"/>
      <c r="AR63" s="4019"/>
      <c r="AS63" s="4019"/>
      <c r="AT63" s="4019"/>
      <c r="AU63" s="4019"/>
      <c r="AV63" s="4019"/>
      <c r="AW63" s="4019"/>
      <c r="AX63" s="4019"/>
      <c r="AY63" s="4019"/>
      <c r="AZ63" s="4019"/>
      <c r="BA63" s="4019"/>
      <c r="BB63" s="4019"/>
      <c r="BC63" s="4019"/>
      <c r="BD63" s="4019"/>
      <c r="BE63" s="4019"/>
      <c r="BF63" s="4019"/>
      <c r="BG63" s="4019"/>
      <c r="BH63" s="4019"/>
      <c r="BI63" s="4018"/>
      <c r="BJ63" s="4019"/>
      <c r="BK63" s="4019"/>
      <c r="BL63" s="1911"/>
      <c r="BM63" s="392"/>
      <c r="BN63" s="4019"/>
      <c r="BO63" s="4019"/>
      <c r="BP63" s="4019"/>
      <c r="BQ63" s="4019"/>
      <c r="BR63" s="4043"/>
      <c r="BS63" s="4024"/>
      <c r="BT63" s="4036"/>
      <c r="BU63" s="4036"/>
      <c r="BV63" s="2368"/>
      <c r="BW63" s="15860"/>
      <c r="BX63" s="4025"/>
      <c r="BY63" s="4024"/>
      <c r="BZ63" s="4024"/>
      <c r="CA63" s="4026"/>
      <c r="CB63" s="4026"/>
      <c r="CC63" s="4026"/>
      <c r="CD63" s="4026"/>
      <c r="CE63" s="4028"/>
      <c r="CF63" s="4028"/>
      <c r="CG63" s="4028"/>
      <c r="CH63" s="4028"/>
      <c r="CI63" s="4028"/>
      <c r="CJ63" s="4028"/>
      <c r="CK63" s="4028"/>
      <c r="CL63" s="4028"/>
      <c r="CM63" s="4028"/>
      <c r="CN63" s="4028"/>
      <c r="CO63" s="4028"/>
      <c r="CP63" s="4028"/>
      <c r="CQ63" s="4028"/>
      <c r="CR63" s="4028"/>
      <c r="CS63" s="4028"/>
      <c r="CT63" s="4028"/>
      <c r="CU63" s="4028"/>
      <c r="CV63" s="4028"/>
      <c r="CW63" s="4028"/>
      <c r="CX63" s="4028"/>
      <c r="CY63" s="4028"/>
      <c r="CZ63" s="4028"/>
      <c r="DA63" s="4029"/>
      <c r="DB63" s="4028"/>
      <c r="DC63" s="4028"/>
      <c r="DD63" s="4028"/>
      <c r="DE63" s="4028"/>
      <c r="DF63" s="4028"/>
      <c r="DG63" s="4028"/>
      <c r="DH63" s="4028"/>
      <c r="DI63" s="4028"/>
      <c r="DJ63" s="4028"/>
      <c r="DK63" s="4028"/>
      <c r="DL63" s="4028"/>
      <c r="DM63" s="4028"/>
      <c r="DN63" s="4248"/>
      <c r="DO63" s="1919"/>
      <c r="DP63" s="4459"/>
      <c r="DQ63" s="4450"/>
      <c r="DR63" s="4450"/>
      <c r="DS63" s="4450"/>
      <c r="DT63" s="3448"/>
      <c r="DU63" s="3448"/>
      <c r="DV63" s="3448"/>
      <c r="DW63" s="3448"/>
      <c r="DX63" s="3448"/>
      <c r="DY63" s="3448"/>
      <c r="DZ63" s="3448"/>
      <c r="EA63" s="3448"/>
      <c r="EB63" s="3448"/>
      <c r="EC63" s="3448"/>
      <c r="ED63" s="3448"/>
      <c r="EE63" s="3448"/>
      <c r="EF63" s="3448"/>
      <c r="EG63" s="3448"/>
      <c r="EH63" s="3448"/>
      <c r="EI63" s="3448"/>
      <c r="EJ63" s="3448"/>
      <c r="EK63" s="3448"/>
      <c r="EL63" s="3448"/>
      <c r="EM63" s="3448"/>
      <c r="EN63" s="3448"/>
      <c r="EO63" s="3448"/>
      <c r="EP63" s="3448"/>
      <c r="EQ63" s="3448"/>
      <c r="ER63" s="3448"/>
      <c r="ES63" s="3448"/>
      <c r="ET63" s="3448"/>
      <c r="EU63" s="3448"/>
      <c r="EV63" s="3448"/>
      <c r="EW63" s="3448"/>
      <c r="EX63" s="3448"/>
      <c r="EY63" s="3448"/>
      <c r="EZ63" s="3448"/>
      <c r="FA63" s="3448"/>
      <c r="FB63" s="3448"/>
      <c r="FC63" s="3448"/>
      <c r="FD63" s="3448"/>
      <c r="FE63" s="3448"/>
      <c r="FF63" s="3448"/>
      <c r="FG63" s="3448"/>
      <c r="FH63" s="3448"/>
      <c r="FI63" s="2060"/>
    </row>
    <row r="64" spans="1:165" s="1775" customFormat="1" ht="15" customHeight="1">
      <c r="A64" s="15838"/>
      <c r="B64" s="15739"/>
      <c r="C64" s="15739"/>
      <c r="D64" s="15577"/>
      <c r="E64" s="15740"/>
      <c r="F64" s="15740"/>
      <c r="G64" s="4037"/>
      <c r="H64" s="4038"/>
      <c r="I64" s="4039"/>
      <c r="J64" s="15743"/>
      <c r="K64" s="15746"/>
      <c r="L64" s="4428" t="s">
        <v>10194</v>
      </c>
      <c r="M64" s="4038"/>
      <c r="N64" s="4038" t="s">
        <v>10217</v>
      </c>
      <c r="O64" s="4040"/>
      <c r="P64" s="4040"/>
      <c r="Q64" s="4040"/>
      <c r="R64" s="4040"/>
      <c r="S64" s="4040"/>
      <c r="T64" s="4040"/>
      <c r="U64" s="4040"/>
      <c r="V64" s="4040"/>
      <c r="W64" s="4040"/>
      <c r="X64" s="4040"/>
      <c r="Y64" s="4040"/>
      <c r="Z64" s="4040"/>
      <c r="AA64" s="1910"/>
      <c r="AB64" s="4041"/>
      <c r="AC64" s="4018"/>
      <c r="AD64" s="4023"/>
      <c r="AE64" s="4042"/>
      <c r="AF64" s="4042"/>
      <c r="AG64" s="4042"/>
      <c r="AH64" s="3448"/>
      <c r="AI64" s="4036"/>
      <c r="AJ64" s="4019"/>
      <c r="AK64" s="4019"/>
      <c r="AL64" s="4019"/>
      <c r="AM64" s="4019"/>
      <c r="AN64" s="4019"/>
      <c r="AO64" s="4019"/>
      <c r="AP64" s="4019"/>
      <c r="AQ64" s="4019"/>
      <c r="AR64" s="4019"/>
      <c r="AS64" s="4019"/>
      <c r="AT64" s="4019"/>
      <c r="AU64" s="4019"/>
      <c r="AV64" s="4019"/>
      <c r="AW64" s="4019"/>
      <c r="AX64" s="4019"/>
      <c r="AY64" s="4019"/>
      <c r="AZ64" s="4019"/>
      <c r="BA64" s="4019"/>
      <c r="BB64" s="4019"/>
      <c r="BC64" s="4019"/>
      <c r="BD64" s="4019"/>
      <c r="BE64" s="4019"/>
      <c r="BF64" s="4019"/>
      <c r="BG64" s="4019"/>
      <c r="BH64" s="4019"/>
      <c r="BI64" s="4018"/>
      <c r="BJ64" s="4019"/>
      <c r="BK64" s="4019"/>
      <c r="BL64" s="1911"/>
      <c r="BM64" s="392"/>
      <c r="BN64" s="4019"/>
      <c r="BO64" s="4019"/>
      <c r="BP64" s="4019"/>
      <c r="BQ64" s="4019"/>
      <c r="BR64" s="4043"/>
      <c r="BS64" s="4024"/>
      <c r="BT64" s="4036"/>
      <c r="BU64" s="4036"/>
      <c r="BV64" s="2368"/>
      <c r="BW64" s="15860"/>
      <c r="BX64" s="4025"/>
      <c r="BY64" s="4024"/>
      <c r="BZ64" s="4024"/>
      <c r="CA64" s="4026"/>
      <c r="CB64" s="4026"/>
      <c r="CC64" s="4026"/>
      <c r="CD64" s="4026"/>
      <c r="CE64" s="4028"/>
      <c r="CF64" s="4028"/>
      <c r="CG64" s="4028"/>
      <c r="CH64" s="4028"/>
      <c r="CI64" s="4028"/>
      <c r="CJ64" s="4028"/>
      <c r="CK64" s="4028"/>
      <c r="CL64" s="4028"/>
      <c r="CM64" s="4028"/>
      <c r="CN64" s="4028"/>
      <c r="CO64" s="4028"/>
      <c r="CP64" s="4028"/>
      <c r="CQ64" s="4028"/>
      <c r="CR64" s="4028"/>
      <c r="CS64" s="4028"/>
      <c r="CT64" s="4028"/>
      <c r="CU64" s="4028"/>
      <c r="CV64" s="4028"/>
      <c r="CW64" s="4028"/>
      <c r="CX64" s="4028"/>
      <c r="CY64" s="4028"/>
      <c r="CZ64" s="4028"/>
      <c r="DA64" s="4029"/>
      <c r="DB64" s="4028"/>
      <c r="DC64" s="4028"/>
      <c r="DD64" s="4028"/>
      <c r="DE64" s="4028"/>
      <c r="DF64" s="4028"/>
      <c r="DG64" s="4028"/>
      <c r="DH64" s="4028"/>
      <c r="DI64" s="4028"/>
      <c r="DJ64" s="4028"/>
      <c r="DK64" s="4028"/>
      <c r="DL64" s="4028"/>
      <c r="DM64" s="4028"/>
      <c r="DN64" s="4248"/>
      <c r="DO64" s="1919"/>
      <c r="DP64" s="4459"/>
      <c r="DQ64" s="4450"/>
      <c r="DR64" s="4450"/>
      <c r="DS64" s="4450"/>
      <c r="DT64" s="3448"/>
      <c r="DU64" s="3448"/>
      <c r="DV64" s="3448"/>
      <c r="DW64" s="3448"/>
      <c r="DX64" s="3448"/>
      <c r="DY64" s="3448"/>
      <c r="DZ64" s="3448"/>
      <c r="EA64" s="3448"/>
      <c r="EB64" s="3448"/>
      <c r="EC64" s="3448"/>
      <c r="ED64" s="3448"/>
      <c r="EE64" s="3448"/>
      <c r="EF64" s="3448"/>
      <c r="EG64" s="3448"/>
      <c r="EH64" s="3448"/>
      <c r="EI64" s="3448"/>
      <c r="EJ64" s="3448"/>
      <c r="EK64" s="3448"/>
      <c r="EL64" s="3448"/>
      <c r="EM64" s="3448"/>
      <c r="EN64" s="3448"/>
      <c r="EO64" s="3448"/>
      <c r="EP64" s="3448"/>
      <c r="EQ64" s="3448"/>
      <c r="ER64" s="3448"/>
      <c r="ES64" s="3448"/>
      <c r="ET64" s="3448"/>
      <c r="EU64" s="3448"/>
      <c r="EV64" s="3448"/>
      <c r="EW64" s="3448"/>
      <c r="EX64" s="3448"/>
      <c r="EY64" s="3448"/>
      <c r="EZ64" s="3448"/>
      <c r="FA64" s="3448"/>
      <c r="FB64" s="3448"/>
      <c r="FC64" s="3448"/>
      <c r="FD64" s="3448"/>
      <c r="FE64" s="3448"/>
      <c r="FF64" s="3448"/>
      <c r="FG64" s="3448"/>
      <c r="FH64" s="3448"/>
      <c r="FI64" s="2060"/>
    </row>
    <row r="65" spans="1:165" s="1775" customFormat="1" ht="15" customHeight="1">
      <c r="A65" s="15838"/>
      <c r="B65" s="15739"/>
      <c r="C65" s="15739"/>
      <c r="D65" s="15577"/>
      <c r="E65" s="15740"/>
      <c r="F65" s="15740"/>
      <c r="G65" s="4037"/>
      <c r="H65" s="4038"/>
      <c r="I65" s="4039"/>
      <c r="J65" s="15743"/>
      <c r="K65" s="15746"/>
      <c r="L65" s="4428" t="s">
        <v>10199</v>
      </c>
      <c r="M65" s="4038"/>
      <c r="N65" s="4038" t="s">
        <v>10218</v>
      </c>
      <c r="O65" s="4040"/>
      <c r="P65" s="4040"/>
      <c r="Q65" s="4040"/>
      <c r="R65" s="4040"/>
      <c r="S65" s="4040"/>
      <c r="T65" s="4040"/>
      <c r="U65" s="4040"/>
      <c r="V65" s="4040"/>
      <c r="W65" s="4040"/>
      <c r="X65" s="4040"/>
      <c r="Y65" s="4040"/>
      <c r="Z65" s="4040"/>
      <c r="AA65" s="1910"/>
      <c r="AB65" s="4041"/>
      <c r="AC65" s="4018"/>
      <c r="AD65" s="4023"/>
      <c r="AE65" s="4042"/>
      <c r="AF65" s="4042"/>
      <c r="AG65" s="4042"/>
      <c r="AH65" s="3448"/>
      <c r="AI65" s="4036"/>
      <c r="AJ65" s="4019"/>
      <c r="AK65" s="4019"/>
      <c r="AL65" s="4019"/>
      <c r="AM65" s="4019"/>
      <c r="AN65" s="4019"/>
      <c r="AO65" s="4019"/>
      <c r="AP65" s="4019"/>
      <c r="AQ65" s="4019"/>
      <c r="AR65" s="4019"/>
      <c r="AS65" s="4019"/>
      <c r="AT65" s="4019"/>
      <c r="AU65" s="4019"/>
      <c r="AV65" s="4019"/>
      <c r="AW65" s="4019"/>
      <c r="AX65" s="4019"/>
      <c r="AY65" s="4019"/>
      <c r="AZ65" s="4019"/>
      <c r="BA65" s="4019"/>
      <c r="BB65" s="4019"/>
      <c r="BC65" s="4019"/>
      <c r="BD65" s="4019"/>
      <c r="BE65" s="4019"/>
      <c r="BF65" s="4019"/>
      <c r="BG65" s="4019"/>
      <c r="BH65" s="4019"/>
      <c r="BI65" s="4018"/>
      <c r="BJ65" s="4019"/>
      <c r="BK65" s="4019"/>
      <c r="BL65" s="1911"/>
      <c r="BM65" s="392"/>
      <c r="BN65" s="4019"/>
      <c r="BO65" s="4019"/>
      <c r="BP65" s="4019"/>
      <c r="BQ65" s="4019"/>
      <c r="BR65" s="4043"/>
      <c r="BS65" s="4024"/>
      <c r="BT65" s="4036"/>
      <c r="BU65" s="4036"/>
      <c r="BV65" s="2368"/>
      <c r="BW65" s="15860"/>
      <c r="BX65" s="4025"/>
      <c r="BY65" s="4024"/>
      <c r="BZ65" s="4024"/>
      <c r="CA65" s="4026"/>
      <c r="CB65" s="4026"/>
      <c r="CC65" s="4026"/>
      <c r="CD65" s="4026"/>
      <c r="CE65" s="4028"/>
      <c r="CF65" s="4028"/>
      <c r="CG65" s="4028"/>
      <c r="CH65" s="4028"/>
      <c r="CI65" s="4028"/>
      <c r="CJ65" s="4028"/>
      <c r="CK65" s="4028"/>
      <c r="CL65" s="4028"/>
      <c r="CM65" s="4028"/>
      <c r="CN65" s="4028"/>
      <c r="CO65" s="4028"/>
      <c r="CP65" s="4028"/>
      <c r="CQ65" s="4028"/>
      <c r="CR65" s="4028"/>
      <c r="CS65" s="4028"/>
      <c r="CT65" s="4028"/>
      <c r="CU65" s="4028"/>
      <c r="CV65" s="4028"/>
      <c r="CW65" s="4028"/>
      <c r="CX65" s="4028"/>
      <c r="CY65" s="4028"/>
      <c r="CZ65" s="4028"/>
      <c r="DA65" s="4029"/>
      <c r="DB65" s="4028"/>
      <c r="DC65" s="4028"/>
      <c r="DD65" s="4028"/>
      <c r="DE65" s="4028"/>
      <c r="DF65" s="4028"/>
      <c r="DG65" s="4028"/>
      <c r="DH65" s="4028"/>
      <c r="DI65" s="4028"/>
      <c r="DJ65" s="4028"/>
      <c r="DK65" s="4028"/>
      <c r="DL65" s="4028"/>
      <c r="DM65" s="4028"/>
      <c r="DN65" s="4248"/>
      <c r="DO65" s="1919"/>
      <c r="DP65" s="4459"/>
      <c r="DQ65" s="4450"/>
      <c r="DR65" s="4450"/>
      <c r="DS65" s="4450"/>
      <c r="DT65" s="3448"/>
      <c r="DU65" s="3448"/>
      <c r="DV65" s="3448"/>
      <c r="DW65" s="3448"/>
      <c r="DX65" s="3448"/>
      <c r="DY65" s="3448"/>
      <c r="DZ65" s="3448"/>
      <c r="EA65" s="3448"/>
      <c r="EB65" s="3448"/>
      <c r="EC65" s="3448"/>
      <c r="ED65" s="3448"/>
      <c r="EE65" s="3448"/>
      <c r="EF65" s="3448"/>
      <c r="EG65" s="3448"/>
      <c r="EH65" s="3448"/>
      <c r="EI65" s="3448"/>
      <c r="EJ65" s="3448"/>
      <c r="EK65" s="3448"/>
      <c r="EL65" s="3448"/>
      <c r="EM65" s="3448"/>
      <c r="EN65" s="3448"/>
      <c r="EO65" s="3448"/>
      <c r="EP65" s="3448"/>
      <c r="EQ65" s="3448"/>
      <c r="ER65" s="3448"/>
      <c r="ES65" s="3448"/>
      <c r="ET65" s="3448"/>
      <c r="EU65" s="3448"/>
      <c r="EV65" s="3448"/>
      <c r="EW65" s="3448"/>
      <c r="EX65" s="3448"/>
      <c r="EY65" s="3448"/>
      <c r="EZ65" s="3448"/>
      <c r="FA65" s="3448"/>
      <c r="FB65" s="3448"/>
      <c r="FC65" s="3448"/>
      <c r="FD65" s="3448"/>
      <c r="FE65" s="3448"/>
      <c r="FF65" s="3448"/>
      <c r="FG65" s="3448"/>
      <c r="FH65" s="3448"/>
      <c r="FI65" s="2060"/>
    </row>
    <row r="66" spans="1:165" s="1775" customFormat="1" ht="15" customHeight="1">
      <c r="A66" s="15838"/>
      <c r="B66" s="15739"/>
      <c r="C66" s="15739"/>
      <c r="D66" s="15578"/>
      <c r="E66" s="15748"/>
      <c r="F66" s="15748"/>
      <c r="G66" s="4037"/>
      <c r="H66" s="4038"/>
      <c r="I66" s="4039"/>
      <c r="J66" s="15749"/>
      <c r="K66" s="15750"/>
      <c r="L66" s="4428" t="s">
        <v>10216</v>
      </c>
      <c r="M66" s="4038"/>
      <c r="N66" s="4038" t="s">
        <v>10215</v>
      </c>
      <c r="O66" s="4040"/>
      <c r="P66" s="4040"/>
      <c r="Q66" s="4040"/>
      <c r="R66" s="4040"/>
      <c r="S66" s="4040"/>
      <c r="T66" s="4040"/>
      <c r="U66" s="4040"/>
      <c r="V66" s="4040"/>
      <c r="W66" s="4040"/>
      <c r="X66" s="4040"/>
      <c r="Y66" s="4040"/>
      <c r="Z66" s="4040"/>
      <c r="AA66" s="1910"/>
      <c r="AB66" s="4041"/>
      <c r="AC66" s="4018"/>
      <c r="AD66" s="4023"/>
      <c r="AE66" s="4042"/>
      <c r="AF66" s="4042"/>
      <c r="AG66" s="4042"/>
      <c r="AH66" s="3448"/>
      <c r="AI66" s="4036"/>
      <c r="AJ66" s="4019"/>
      <c r="AK66" s="4019"/>
      <c r="AL66" s="4019"/>
      <c r="AM66" s="4019"/>
      <c r="AN66" s="4019"/>
      <c r="AO66" s="4019"/>
      <c r="AP66" s="4019"/>
      <c r="AQ66" s="4019"/>
      <c r="AR66" s="4019"/>
      <c r="AS66" s="4019"/>
      <c r="AT66" s="4019"/>
      <c r="AU66" s="4019"/>
      <c r="AV66" s="4019"/>
      <c r="AW66" s="4019"/>
      <c r="AX66" s="4019"/>
      <c r="AY66" s="4019"/>
      <c r="AZ66" s="4019"/>
      <c r="BA66" s="4019"/>
      <c r="BB66" s="4019"/>
      <c r="BC66" s="4019"/>
      <c r="BD66" s="4019"/>
      <c r="BE66" s="4019"/>
      <c r="BF66" s="4019"/>
      <c r="BG66" s="4019"/>
      <c r="BH66" s="4019"/>
      <c r="BI66" s="4018"/>
      <c r="BJ66" s="4019"/>
      <c r="BK66" s="4019"/>
      <c r="BL66" s="1911"/>
      <c r="BM66" s="392"/>
      <c r="BN66" s="4019"/>
      <c r="BO66" s="4019"/>
      <c r="BP66" s="4019"/>
      <c r="BQ66" s="4019"/>
      <c r="BR66" s="4043"/>
      <c r="BS66" s="4024"/>
      <c r="BT66" s="4036"/>
      <c r="BU66" s="4036"/>
      <c r="BV66" s="2368"/>
      <c r="BW66" s="15860"/>
      <c r="BX66" s="4025"/>
      <c r="BY66" s="4024"/>
      <c r="BZ66" s="4024"/>
      <c r="CA66" s="4026"/>
      <c r="CB66" s="4026"/>
      <c r="CC66" s="4026"/>
      <c r="CD66" s="4026"/>
      <c r="CE66" s="4028"/>
      <c r="CF66" s="4028"/>
      <c r="CG66" s="4028"/>
      <c r="CH66" s="4028"/>
      <c r="CI66" s="4028"/>
      <c r="CJ66" s="4028"/>
      <c r="CK66" s="4028"/>
      <c r="CL66" s="4028"/>
      <c r="CM66" s="4028"/>
      <c r="CN66" s="4028"/>
      <c r="CO66" s="4028"/>
      <c r="CP66" s="4028"/>
      <c r="CQ66" s="4028"/>
      <c r="CR66" s="4028"/>
      <c r="CS66" s="4028"/>
      <c r="CT66" s="4028"/>
      <c r="CU66" s="4028"/>
      <c r="CV66" s="4028"/>
      <c r="CW66" s="4028"/>
      <c r="CX66" s="4028"/>
      <c r="CY66" s="4028"/>
      <c r="CZ66" s="4028"/>
      <c r="DA66" s="4029"/>
      <c r="DB66" s="4028"/>
      <c r="DC66" s="4028"/>
      <c r="DD66" s="4028"/>
      <c r="DE66" s="4028"/>
      <c r="DF66" s="4028"/>
      <c r="DG66" s="4028"/>
      <c r="DH66" s="4028"/>
      <c r="DI66" s="4028"/>
      <c r="DJ66" s="4028"/>
      <c r="DK66" s="4028"/>
      <c r="DL66" s="4028"/>
      <c r="DM66" s="4028"/>
      <c r="DN66" s="4248"/>
      <c r="DO66" s="1919"/>
      <c r="DP66" s="4459"/>
      <c r="DQ66" s="4450"/>
      <c r="DR66" s="4450"/>
      <c r="DS66" s="4450"/>
      <c r="DT66" s="3448"/>
      <c r="DU66" s="3448"/>
      <c r="DV66" s="3448"/>
      <c r="DW66" s="3448"/>
      <c r="DX66" s="3448"/>
      <c r="DY66" s="3448"/>
      <c r="DZ66" s="3448"/>
      <c r="EA66" s="3448"/>
      <c r="EB66" s="3448"/>
      <c r="EC66" s="3448"/>
      <c r="ED66" s="3448"/>
      <c r="EE66" s="3448"/>
      <c r="EF66" s="3448"/>
      <c r="EG66" s="3448"/>
      <c r="EH66" s="3448"/>
      <c r="EI66" s="3448"/>
      <c r="EJ66" s="3448"/>
      <c r="EK66" s="3448"/>
      <c r="EL66" s="3448"/>
      <c r="EM66" s="3448"/>
      <c r="EN66" s="3448"/>
      <c r="EO66" s="3448"/>
      <c r="EP66" s="3448"/>
      <c r="EQ66" s="3448"/>
      <c r="ER66" s="3448"/>
      <c r="ES66" s="3448"/>
      <c r="ET66" s="3448"/>
      <c r="EU66" s="3448"/>
      <c r="EV66" s="3448"/>
      <c r="EW66" s="3448"/>
      <c r="EX66" s="3448"/>
      <c r="EY66" s="3448"/>
      <c r="EZ66" s="3448"/>
      <c r="FA66" s="3448"/>
      <c r="FB66" s="3448"/>
      <c r="FC66" s="3448"/>
      <c r="FD66" s="3448"/>
      <c r="FE66" s="3448"/>
      <c r="FF66" s="3448"/>
      <c r="FG66" s="3448"/>
      <c r="FH66" s="3448"/>
      <c r="FI66" s="2060"/>
    </row>
    <row r="67" spans="1:165" s="1775" customFormat="1" ht="15" customHeight="1">
      <c r="A67" s="15838"/>
      <c r="B67" s="15739"/>
      <c r="C67" s="15739"/>
      <c r="D67" s="15596" t="s">
        <v>7862</v>
      </c>
      <c r="E67" s="15739" t="s">
        <v>1365</v>
      </c>
      <c r="F67" s="15739" t="s">
        <v>1366</v>
      </c>
      <c r="G67" s="4037"/>
      <c r="H67" s="4038"/>
      <c r="I67" s="4039"/>
      <c r="J67" s="15742">
        <v>1</v>
      </c>
      <c r="K67" s="15745" t="s">
        <v>1363</v>
      </c>
      <c r="L67" s="4428" t="s">
        <v>10063</v>
      </c>
      <c r="M67" s="4038" t="s">
        <v>316</v>
      </c>
      <c r="N67" s="4038"/>
      <c r="O67" s="4040">
        <v>30000000</v>
      </c>
      <c r="P67" s="4040">
        <v>30900000</v>
      </c>
      <c r="Q67" s="4040">
        <v>31827000</v>
      </c>
      <c r="R67" s="4040">
        <v>32781810</v>
      </c>
      <c r="S67" s="4040">
        <v>33765264.300000004</v>
      </c>
      <c r="T67" s="4040">
        <v>34778222.229000002</v>
      </c>
      <c r="U67" s="4040">
        <v>35821568.89587</v>
      </c>
      <c r="V67" s="4040">
        <v>36896215.962746099</v>
      </c>
      <c r="W67" s="4040">
        <v>38003102.441628486</v>
      </c>
      <c r="X67" s="4040">
        <v>39143195.514877342</v>
      </c>
      <c r="Y67" s="4040">
        <v>40317491.380323663</v>
      </c>
      <c r="Z67" s="4040">
        <v>384233870.72444558</v>
      </c>
      <c r="AA67" s="1910">
        <v>1</v>
      </c>
      <c r="AB67" s="4041" t="s">
        <v>3041</v>
      </c>
      <c r="AC67" s="4018" t="s">
        <v>3040</v>
      </c>
      <c r="AD67" s="4023"/>
      <c r="AE67" s="4042">
        <v>47119028.418750003</v>
      </c>
      <c r="AF67" s="4042">
        <v>16141114.418749999</v>
      </c>
      <c r="AG67" s="4042">
        <v>30977914</v>
      </c>
      <c r="AH67" s="3448">
        <v>0</v>
      </c>
      <c r="AI67" s="4036">
        <v>546</v>
      </c>
      <c r="AJ67" s="4019">
        <v>147</v>
      </c>
      <c r="AK67" s="4019">
        <v>399</v>
      </c>
      <c r="AL67" s="4019">
        <v>195</v>
      </c>
      <c r="AM67" s="4019">
        <v>351</v>
      </c>
      <c r="AN67" s="4019">
        <v>0</v>
      </c>
      <c r="AO67" s="4019">
        <v>1</v>
      </c>
      <c r="AP67" s="4019">
        <v>6</v>
      </c>
      <c r="AQ67" s="4019">
        <v>187</v>
      </c>
      <c r="AR67" s="4019">
        <v>253</v>
      </c>
      <c r="AS67" s="4019">
        <v>118</v>
      </c>
      <c r="AT67" s="4019">
        <v>33</v>
      </c>
      <c r="AU67" s="4019">
        <v>0</v>
      </c>
      <c r="AV67" s="4019">
        <v>0</v>
      </c>
      <c r="AW67" s="4019">
        <v>0</v>
      </c>
      <c r="AX67" s="4019">
        <v>0</v>
      </c>
      <c r="AY67" s="4019">
        <v>6</v>
      </c>
      <c r="AZ67" s="4019">
        <v>0</v>
      </c>
      <c r="BA67" s="4019">
        <v>0</v>
      </c>
      <c r="BB67" s="4019">
        <v>0</v>
      </c>
      <c r="BC67" s="4019">
        <v>0</v>
      </c>
      <c r="BD67" s="4019">
        <v>0</v>
      </c>
      <c r="BE67" s="4019">
        <v>546</v>
      </c>
      <c r="BF67" s="4019"/>
      <c r="BG67" s="4019"/>
      <c r="BH67" s="4019"/>
      <c r="BI67" s="4018" t="s">
        <v>3020</v>
      </c>
      <c r="BJ67" s="4019" t="s">
        <v>3021</v>
      </c>
      <c r="BK67" s="4019"/>
      <c r="BL67" s="1911" t="s">
        <v>3022</v>
      </c>
      <c r="BM67" s="392" t="s">
        <v>3023</v>
      </c>
      <c r="BN67" s="4019"/>
      <c r="BO67" s="4019"/>
      <c r="BP67" s="4019"/>
      <c r="BQ67" s="4019"/>
      <c r="BR67" s="4043"/>
      <c r="BS67" s="4024">
        <v>3</v>
      </c>
      <c r="BT67" s="4036">
        <v>3</v>
      </c>
      <c r="BU67" s="4036">
        <v>3</v>
      </c>
      <c r="BV67" s="15869">
        <v>1</v>
      </c>
      <c r="BW67" s="15860"/>
      <c r="BX67" s="4025" t="s">
        <v>9693</v>
      </c>
      <c r="BY67" s="4024" t="s">
        <v>3040</v>
      </c>
      <c r="BZ67" s="4024" t="s">
        <v>2976</v>
      </c>
      <c r="CA67" s="4026">
        <v>48587011.392499998</v>
      </c>
      <c r="CB67" s="4026">
        <v>29089341.392500002</v>
      </c>
      <c r="CC67" s="4026">
        <v>19497670</v>
      </c>
      <c r="CD67" s="4026">
        <v>0</v>
      </c>
      <c r="CE67" s="4028">
        <v>442</v>
      </c>
      <c r="CF67" s="4028">
        <v>118</v>
      </c>
      <c r="CG67" s="4028">
        <v>324</v>
      </c>
      <c r="CH67" s="4028"/>
      <c r="CI67" s="4028"/>
      <c r="CJ67" s="4028"/>
      <c r="CK67" s="4028"/>
      <c r="CL67" s="4028"/>
      <c r="CM67" s="4028"/>
      <c r="CN67" s="4028"/>
      <c r="CO67" s="4028"/>
      <c r="CP67" s="4028"/>
      <c r="CQ67" s="4028"/>
      <c r="CR67" s="4028"/>
      <c r="CS67" s="4028"/>
      <c r="CT67" s="4028"/>
      <c r="CU67" s="4028"/>
      <c r="CV67" s="4028"/>
      <c r="CW67" s="4028"/>
      <c r="CX67" s="4028"/>
      <c r="CY67" s="4028"/>
      <c r="CZ67" s="4028"/>
      <c r="DA67" s="4029">
        <v>442</v>
      </c>
      <c r="DB67" s="4028"/>
      <c r="DC67" s="4028"/>
      <c r="DD67" s="4028"/>
      <c r="DE67" s="4028" t="s">
        <v>3020</v>
      </c>
      <c r="DF67" s="4028" t="s">
        <v>3021</v>
      </c>
      <c r="DG67" s="4028"/>
      <c r="DH67" s="4028" t="s">
        <v>3022</v>
      </c>
      <c r="DI67" s="4028" t="s">
        <v>3023</v>
      </c>
      <c r="DJ67" s="4028"/>
      <c r="DK67" s="4028"/>
      <c r="DL67" s="4028"/>
      <c r="DM67" s="4028"/>
      <c r="DN67" s="4248"/>
      <c r="DO67" s="1919"/>
      <c r="DP67" s="4459"/>
      <c r="DQ67" s="4450"/>
      <c r="DR67" s="4450"/>
      <c r="DS67" s="4450"/>
      <c r="DT67" s="3448"/>
      <c r="DU67" s="3448"/>
      <c r="DV67" s="3448"/>
      <c r="DW67" s="3448"/>
      <c r="DX67" s="3448"/>
      <c r="DY67" s="3448"/>
      <c r="DZ67" s="3448"/>
      <c r="EA67" s="3448"/>
      <c r="EB67" s="3448"/>
      <c r="EC67" s="3448"/>
      <c r="ED67" s="3448"/>
      <c r="EE67" s="3448"/>
      <c r="EF67" s="3448"/>
      <c r="EG67" s="3448"/>
      <c r="EH67" s="3448"/>
      <c r="EI67" s="3448"/>
      <c r="EJ67" s="3448"/>
      <c r="EK67" s="3448"/>
      <c r="EL67" s="3448"/>
      <c r="EM67" s="3448"/>
      <c r="EN67" s="3448"/>
      <c r="EO67" s="3448"/>
      <c r="EP67" s="3448"/>
      <c r="EQ67" s="3448"/>
      <c r="ER67" s="3448"/>
      <c r="ES67" s="3448"/>
      <c r="ET67" s="3448"/>
      <c r="EU67" s="3448"/>
      <c r="EV67" s="3448"/>
      <c r="EW67" s="3448"/>
      <c r="EX67" s="3448"/>
      <c r="EY67" s="3448"/>
      <c r="EZ67" s="3448"/>
      <c r="FA67" s="3448"/>
      <c r="FB67" s="3448"/>
      <c r="FC67" s="3448"/>
      <c r="FD67" s="3448"/>
      <c r="FE67" s="3448"/>
      <c r="FF67" s="3448"/>
      <c r="FG67" s="3448"/>
      <c r="FH67" s="3448"/>
      <c r="FI67" s="2060"/>
    </row>
    <row r="68" spans="1:165" s="1775" customFormat="1" ht="15" customHeight="1">
      <c r="A68" s="15838"/>
      <c r="B68" s="15739"/>
      <c r="C68" s="15739"/>
      <c r="D68" s="15577"/>
      <c r="E68" s="15740"/>
      <c r="F68" s="15740"/>
      <c r="G68" s="4037"/>
      <c r="H68" s="4038"/>
      <c r="I68" s="4039"/>
      <c r="J68" s="15743"/>
      <c r="K68" s="15746"/>
      <c r="L68" s="4428" t="s">
        <v>10194</v>
      </c>
      <c r="M68" s="4038"/>
      <c r="N68" s="4038" t="s">
        <v>733</v>
      </c>
      <c r="O68" s="4040"/>
      <c r="P68" s="4040"/>
      <c r="Q68" s="4040"/>
      <c r="R68" s="4040"/>
      <c r="S68" s="4040"/>
      <c r="T68" s="4040"/>
      <c r="U68" s="4040"/>
      <c r="V68" s="4040"/>
      <c r="W68" s="4040"/>
      <c r="X68" s="4040"/>
      <c r="Y68" s="4040"/>
      <c r="Z68" s="4040"/>
      <c r="AA68" s="1910"/>
      <c r="AB68" s="4041"/>
      <c r="AC68" s="4018"/>
      <c r="AD68" s="4023"/>
      <c r="AE68" s="4042"/>
      <c r="AF68" s="4042"/>
      <c r="AG68" s="4042"/>
      <c r="AH68" s="3448"/>
      <c r="AI68" s="4036"/>
      <c r="AJ68" s="4019"/>
      <c r="AK68" s="4019"/>
      <c r="AL68" s="4019"/>
      <c r="AM68" s="4019"/>
      <c r="AN68" s="4019"/>
      <c r="AO68" s="4019"/>
      <c r="AP68" s="4019"/>
      <c r="AQ68" s="4019"/>
      <c r="AR68" s="4019"/>
      <c r="AS68" s="4019"/>
      <c r="AT68" s="4019"/>
      <c r="AU68" s="4019"/>
      <c r="AV68" s="4019"/>
      <c r="AW68" s="4019"/>
      <c r="AX68" s="4019"/>
      <c r="AY68" s="4019"/>
      <c r="AZ68" s="4019"/>
      <c r="BA68" s="4019"/>
      <c r="BB68" s="4019"/>
      <c r="BC68" s="4019"/>
      <c r="BD68" s="4019"/>
      <c r="BE68" s="4019"/>
      <c r="BF68" s="4019"/>
      <c r="BG68" s="4019"/>
      <c r="BH68" s="4019"/>
      <c r="BI68" s="4018"/>
      <c r="BJ68" s="4019"/>
      <c r="BK68" s="4019"/>
      <c r="BL68" s="1911"/>
      <c r="BM68" s="392"/>
      <c r="BN68" s="4019"/>
      <c r="BO68" s="4019"/>
      <c r="BP68" s="4019"/>
      <c r="BQ68" s="4019"/>
      <c r="BR68" s="4043"/>
      <c r="BS68" s="4024"/>
      <c r="BT68" s="4036"/>
      <c r="BU68" s="4036"/>
      <c r="BV68" s="15870"/>
      <c r="BW68" s="15860"/>
      <c r="BX68" s="4025"/>
      <c r="BY68" s="4024"/>
      <c r="BZ68" s="4024"/>
      <c r="CA68" s="4026"/>
      <c r="CB68" s="4026"/>
      <c r="CC68" s="4026"/>
      <c r="CD68" s="4026"/>
      <c r="CE68" s="4028"/>
      <c r="CF68" s="4028"/>
      <c r="CG68" s="4028"/>
      <c r="CH68" s="4028"/>
      <c r="CI68" s="4028"/>
      <c r="CJ68" s="4028"/>
      <c r="CK68" s="4028"/>
      <c r="CL68" s="4028"/>
      <c r="CM68" s="4028"/>
      <c r="CN68" s="4028"/>
      <c r="CO68" s="4028"/>
      <c r="CP68" s="4028"/>
      <c r="CQ68" s="4028"/>
      <c r="CR68" s="4028"/>
      <c r="CS68" s="4028"/>
      <c r="CT68" s="4028"/>
      <c r="CU68" s="4028"/>
      <c r="CV68" s="4028"/>
      <c r="CW68" s="4028"/>
      <c r="CX68" s="4028"/>
      <c r="CY68" s="4028"/>
      <c r="CZ68" s="4028"/>
      <c r="DA68" s="4029"/>
      <c r="DB68" s="4028"/>
      <c r="DC68" s="4028"/>
      <c r="DD68" s="4028"/>
      <c r="DE68" s="4028"/>
      <c r="DF68" s="4028"/>
      <c r="DG68" s="4028"/>
      <c r="DH68" s="4028"/>
      <c r="DI68" s="4028"/>
      <c r="DJ68" s="4028"/>
      <c r="DK68" s="4028"/>
      <c r="DL68" s="4028"/>
      <c r="DM68" s="4028"/>
      <c r="DN68" s="4248"/>
      <c r="DO68" s="1919"/>
      <c r="DP68" s="4459"/>
      <c r="DQ68" s="4450"/>
      <c r="DR68" s="4450"/>
      <c r="DS68" s="4450"/>
      <c r="DT68" s="3448"/>
      <c r="DU68" s="3448"/>
      <c r="DV68" s="3448"/>
      <c r="DW68" s="3448"/>
      <c r="DX68" s="3448"/>
      <c r="DY68" s="3448"/>
      <c r="DZ68" s="3448"/>
      <c r="EA68" s="3448"/>
      <c r="EB68" s="3448"/>
      <c r="EC68" s="3448"/>
      <c r="ED68" s="3448"/>
      <c r="EE68" s="3448"/>
      <c r="EF68" s="3448"/>
      <c r="EG68" s="3448"/>
      <c r="EH68" s="3448"/>
      <c r="EI68" s="3448"/>
      <c r="EJ68" s="3448"/>
      <c r="EK68" s="3448"/>
      <c r="EL68" s="3448"/>
      <c r="EM68" s="3448"/>
      <c r="EN68" s="3448"/>
      <c r="EO68" s="3448"/>
      <c r="EP68" s="3448"/>
      <c r="EQ68" s="3448"/>
      <c r="ER68" s="3448"/>
      <c r="ES68" s="3448"/>
      <c r="ET68" s="3448"/>
      <c r="EU68" s="3448"/>
      <c r="EV68" s="3448"/>
      <c r="EW68" s="3448"/>
      <c r="EX68" s="3448"/>
      <c r="EY68" s="3448"/>
      <c r="EZ68" s="3448"/>
      <c r="FA68" s="3448"/>
      <c r="FB68" s="3448"/>
      <c r="FC68" s="3448"/>
      <c r="FD68" s="3448"/>
      <c r="FE68" s="3448"/>
      <c r="FF68" s="3448"/>
      <c r="FG68" s="3448"/>
      <c r="FH68" s="3448"/>
      <c r="FI68" s="2060"/>
    </row>
    <row r="69" spans="1:165" s="1775" customFormat="1" ht="15" customHeight="1" thickBot="1">
      <c r="A69" s="15839"/>
      <c r="B69" s="15841"/>
      <c r="C69" s="15841"/>
      <c r="D69" s="15738"/>
      <c r="E69" s="15741"/>
      <c r="F69" s="15741"/>
      <c r="G69" s="1920" t="s">
        <v>70</v>
      </c>
      <c r="H69" s="1921">
        <v>1</v>
      </c>
      <c r="I69" s="1922">
        <v>1</v>
      </c>
      <c r="J69" s="15744"/>
      <c r="K69" s="15747"/>
      <c r="L69" s="4429" t="s">
        <v>10220</v>
      </c>
      <c r="M69" s="1921"/>
      <c r="N69" s="1921" t="s">
        <v>10219</v>
      </c>
      <c r="O69" s="1923"/>
      <c r="P69" s="1923"/>
      <c r="Q69" s="1923"/>
      <c r="R69" s="1923"/>
      <c r="S69" s="1923"/>
      <c r="T69" s="1923"/>
      <c r="U69" s="1923"/>
      <c r="V69" s="1923"/>
      <c r="W69" s="1923"/>
      <c r="X69" s="1923"/>
      <c r="Y69" s="1923"/>
      <c r="Z69" s="1923"/>
      <c r="AA69" s="4361"/>
      <c r="AB69" s="775"/>
      <c r="AC69" s="4362"/>
      <c r="AD69" s="1925"/>
      <c r="AE69" s="1924"/>
      <c r="AF69" s="1924"/>
      <c r="AG69" s="1924"/>
      <c r="AH69" s="1924"/>
      <c r="AI69" s="1925"/>
      <c r="AJ69" s="4363"/>
      <c r="AK69" s="4363"/>
      <c r="AL69" s="4363"/>
      <c r="AM69" s="4363"/>
      <c r="AN69" s="4363"/>
      <c r="AO69" s="4363"/>
      <c r="AP69" s="4363"/>
      <c r="AQ69" s="4363"/>
      <c r="AR69" s="4363"/>
      <c r="AS69" s="4363"/>
      <c r="AT69" s="4363"/>
      <c r="AU69" s="4363"/>
      <c r="AV69" s="4363"/>
      <c r="AW69" s="4363"/>
      <c r="AX69" s="4363"/>
      <c r="AY69" s="4363"/>
      <c r="AZ69" s="4363"/>
      <c r="BA69" s="4363"/>
      <c r="BB69" s="4363"/>
      <c r="BC69" s="4363"/>
      <c r="BD69" s="4363"/>
      <c r="BE69" s="4363"/>
      <c r="BF69" s="4363"/>
      <c r="BG69" s="4363"/>
      <c r="BH69" s="4363"/>
      <c r="BI69" s="4362"/>
      <c r="BJ69" s="4363"/>
      <c r="BK69" s="4363"/>
      <c r="BL69" s="4364"/>
      <c r="BM69" s="4365"/>
      <c r="BN69" s="4363"/>
      <c r="BO69" s="4363"/>
      <c r="BP69" s="4363"/>
      <c r="BQ69" s="4363"/>
      <c r="BR69" s="4366"/>
      <c r="BS69" s="4367"/>
      <c r="BT69" s="1925"/>
      <c r="BU69" s="1925"/>
      <c r="BV69" s="15871"/>
      <c r="BW69" s="15861"/>
      <c r="BX69" s="4368"/>
      <c r="BY69" s="4367"/>
      <c r="BZ69" s="4367"/>
      <c r="CA69" s="4369"/>
      <c r="CB69" s="4369"/>
      <c r="CC69" s="4369"/>
      <c r="CD69" s="4369"/>
      <c r="CE69" s="4370"/>
      <c r="CF69" s="4370"/>
      <c r="CG69" s="4370"/>
      <c r="CH69" s="4370"/>
      <c r="CI69" s="4370"/>
      <c r="CJ69" s="4370"/>
      <c r="CK69" s="4370"/>
      <c r="CL69" s="4370"/>
      <c r="CM69" s="4370"/>
      <c r="CN69" s="4370"/>
      <c r="CO69" s="4370"/>
      <c r="CP69" s="4370"/>
      <c r="CQ69" s="4370"/>
      <c r="CR69" s="4370"/>
      <c r="CS69" s="4370"/>
      <c r="CT69" s="4370"/>
      <c r="CU69" s="4370"/>
      <c r="CV69" s="4370"/>
      <c r="CW69" s="4370"/>
      <c r="CX69" s="4370"/>
      <c r="CY69" s="4370"/>
      <c r="CZ69" s="4370"/>
      <c r="DA69" s="4371"/>
      <c r="DB69" s="4370"/>
      <c r="DC69" s="4370"/>
      <c r="DD69" s="4370"/>
      <c r="DE69" s="4370"/>
      <c r="DF69" s="4370"/>
      <c r="DG69" s="4370"/>
      <c r="DH69" s="4370"/>
      <c r="DI69" s="4370"/>
      <c r="DJ69" s="4372"/>
      <c r="DK69" s="4372"/>
      <c r="DL69" s="4372"/>
      <c r="DM69" s="4372"/>
      <c r="DN69" s="4373"/>
      <c r="DO69" s="1919"/>
      <c r="DP69" s="4481"/>
      <c r="DQ69" s="4482"/>
      <c r="DR69" s="4482"/>
      <c r="DS69" s="4482"/>
      <c r="DT69" s="3815"/>
      <c r="DU69" s="3815"/>
      <c r="DV69" s="3815"/>
      <c r="DW69" s="3815"/>
      <c r="DX69" s="3815"/>
      <c r="DY69" s="3815"/>
      <c r="DZ69" s="3815"/>
      <c r="EA69" s="3815"/>
      <c r="EB69" s="3815"/>
      <c r="EC69" s="3815"/>
      <c r="ED69" s="3815"/>
      <c r="EE69" s="3815"/>
      <c r="EF69" s="3815"/>
      <c r="EG69" s="3815"/>
      <c r="EH69" s="3815"/>
      <c r="EI69" s="3815"/>
      <c r="EJ69" s="3815"/>
      <c r="EK69" s="3815"/>
      <c r="EL69" s="3815"/>
      <c r="EM69" s="3815"/>
      <c r="EN69" s="3815"/>
      <c r="EO69" s="3815"/>
      <c r="EP69" s="3815"/>
      <c r="EQ69" s="3815"/>
      <c r="ER69" s="3815"/>
      <c r="ES69" s="3815"/>
      <c r="ET69" s="3815"/>
      <c r="EU69" s="3815"/>
      <c r="EV69" s="3815"/>
      <c r="EW69" s="3815"/>
      <c r="EX69" s="3815"/>
      <c r="EY69" s="3815"/>
      <c r="EZ69" s="3815"/>
      <c r="FA69" s="3815"/>
      <c r="FB69" s="3815"/>
      <c r="FC69" s="3815"/>
      <c r="FD69" s="3815"/>
      <c r="FE69" s="3815"/>
      <c r="FF69" s="3815"/>
      <c r="FG69" s="3815"/>
      <c r="FH69" s="3815"/>
      <c r="FI69" s="3816"/>
    </row>
    <row r="70" spans="1:165" s="1780" customFormat="1" ht="15" customHeight="1">
      <c r="A70" s="15780" t="s">
        <v>569</v>
      </c>
      <c r="B70" s="15734" t="s">
        <v>1367</v>
      </c>
      <c r="C70" s="15734" t="s">
        <v>1368</v>
      </c>
      <c r="D70" s="15608" t="s">
        <v>7863</v>
      </c>
      <c r="E70" s="15733" t="s">
        <v>1369</v>
      </c>
      <c r="F70" s="15733" t="s">
        <v>1370</v>
      </c>
      <c r="G70" s="3879" t="s">
        <v>1371</v>
      </c>
      <c r="H70" s="4052">
        <v>3</v>
      </c>
      <c r="I70" s="4052">
        <v>3</v>
      </c>
      <c r="J70" s="15737">
        <v>6</v>
      </c>
      <c r="K70" s="15730" t="s">
        <v>1372</v>
      </c>
      <c r="L70" s="4430" t="s">
        <v>2896</v>
      </c>
      <c r="M70" s="4053" t="s">
        <v>163</v>
      </c>
      <c r="N70" s="4053"/>
      <c r="O70" s="1926">
        <v>150000000</v>
      </c>
      <c r="P70" s="1927">
        <v>154500000</v>
      </c>
      <c r="Q70" s="1927">
        <v>159135000</v>
      </c>
      <c r="R70" s="1927">
        <v>163909050</v>
      </c>
      <c r="S70" s="1927">
        <v>168826321.5</v>
      </c>
      <c r="T70" s="1927">
        <v>173891111.14500001</v>
      </c>
      <c r="U70" s="1927">
        <v>179107844.47935003</v>
      </c>
      <c r="V70" s="1927">
        <v>184481079.81373054</v>
      </c>
      <c r="W70" s="1927">
        <v>190015512.20814246</v>
      </c>
      <c r="X70" s="1927">
        <v>195715977.57438675</v>
      </c>
      <c r="Y70" s="1927">
        <v>309000000</v>
      </c>
      <c r="Z70" s="1927">
        <v>2028581896.7206099</v>
      </c>
      <c r="AA70" s="3894"/>
      <c r="AB70" s="4354" t="s">
        <v>2941</v>
      </c>
      <c r="AC70" s="1928"/>
      <c r="AD70" s="1928"/>
      <c r="AE70" s="1929"/>
      <c r="AF70" s="1928"/>
      <c r="AG70" s="1928"/>
      <c r="AH70" s="1928"/>
      <c r="AI70" s="1930"/>
      <c r="AJ70" s="1928"/>
      <c r="AK70" s="1928"/>
      <c r="AL70" s="1928"/>
      <c r="AM70" s="1928"/>
      <c r="AN70" s="1928"/>
      <c r="AO70" s="1928"/>
      <c r="AP70" s="1928"/>
      <c r="AQ70" s="1928"/>
      <c r="AR70" s="1928"/>
      <c r="AS70" s="1928"/>
      <c r="AT70" s="1928"/>
      <c r="AU70" s="1928"/>
      <c r="AV70" s="1928"/>
      <c r="AW70" s="1928"/>
      <c r="AX70" s="1928"/>
      <c r="AY70" s="1928"/>
      <c r="AZ70" s="1928"/>
      <c r="BA70" s="1928"/>
      <c r="BB70" s="1928"/>
      <c r="BC70" s="1928"/>
      <c r="BD70" s="1928"/>
      <c r="BE70" s="1928"/>
      <c r="BF70" s="1928"/>
      <c r="BG70" s="1928"/>
      <c r="BH70" s="1928"/>
      <c r="BI70" s="1931"/>
      <c r="BJ70" s="1928"/>
      <c r="BK70" s="1928"/>
      <c r="BL70" s="1928"/>
      <c r="BM70" s="1928"/>
      <c r="BN70" s="1932"/>
      <c r="BO70" s="1932"/>
      <c r="BP70" s="1932"/>
      <c r="BQ70" s="1932"/>
      <c r="BR70" s="1933"/>
      <c r="BS70" s="4355">
        <v>3</v>
      </c>
      <c r="BT70" s="3894">
        <v>3</v>
      </c>
      <c r="BU70" s="3891">
        <v>3</v>
      </c>
      <c r="BV70" s="3874">
        <v>1</v>
      </c>
      <c r="BW70" s="15862">
        <v>0.66666666666666663</v>
      </c>
      <c r="BX70" s="4047" t="s">
        <v>9694</v>
      </c>
      <c r="BY70" s="4355"/>
      <c r="BZ70" s="4356" t="s">
        <v>8899</v>
      </c>
      <c r="CA70" s="4357"/>
      <c r="CB70" s="4357"/>
      <c r="CC70" s="4357"/>
      <c r="CD70" s="4357"/>
      <c r="CE70" s="4358"/>
      <c r="CF70" s="4358"/>
      <c r="CG70" s="4358"/>
      <c r="CH70" s="4358"/>
      <c r="CI70" s="4358"/>
      <c r="CJ70" s="4358"/>
      <c r="CK70" s="4358"/>
      <c r="CL70" s="4358"/>
      <c r="CM70" s="4358"/>
      <c r="CN70" s="4358"/>
      <c r="CO70" s="4358"/>
      <c r="CP70" s="4358"/>
      <c r="CQ70" s="4358"/>
      <c r="CR70" s="4358"/>
      <c r="CS70" s="4358"/>
      <c r="CT70" s="4358"/>
      <c r="CU70" s="4358"/>
      <c r="CV70" s="4358"/>
      <c r="CW70" s="4358"/>
      <c r="CX70" s="4358"/>
      <c r="CY70" s="4358"/>
      <c r="CZ70" s="4358"/>
      <c r="DA70" s="4359"/>
      <c r="DB70" s="4358"/>
      <c r="DC70" s="4358"/>
      <c r="DD70" s="4358"/>
      <c r="DE70" s="4358"/>
      <c r="DF70" s="4358"/>
      <c r="DG70" s="4358"/>
      <c r="DH70" s="4358"/>
      <c r="DI70" s="4358"/>
      <c r="DJ70" s="4358"/>
      <c r="DK70" s="4358"/>
      <c r="DL70" s="4358"/>
      <c r="DM70" s="4358"/>
      <c r="DN70" s="4360"/>
      <c r="DO70" s="1819"/>
      <c r="DP70" s="4479"/>
      <c r="DQ70" s="4480"/>
      <c r="DR70" s="4480"/>
      <c r="DS70" s="4480"/>
      <c r="DT70" s="1932"/>
      <c r="DU70" s="1932"/>
      <c r="DV70" s="1932"/>
      <c r="DW70" s="1932"/>
      <c r="DX70" s="1932"/>
      <c r="DY70" s="1932"/>
      <c r="DZ70" s="1932"/>
      <c r="EA70" s="1932"/>
      <c r="EB70" s="1932"/>
      <c r="EC70" s="1932"/>
      <c r="ED70" s="1932"/>
      <c r="EE70" s="1932"/>
      <c r="EF70" s="1932"/>
      <c r="EG70" s="1932"/>
      <c r="EH70" s="1932"/>
      <c r="EI70" s="1932"/>
      <c r="EJ70" s="1932"/>
      <c r="EK70" s="1932"/>
      <c r="EL70" s="1932"/>
      <c r="EM70" s="1932"/>
      <c r="EN70" s="1932"/>
      <c r="EO70" s="1932"/>
      <c r="EP70" s="1932"/>
      <c r="EQ70" s="1932"/>
      <c r="ER70" s="1932"/>
      <c r="ES70" s="1932"/>
      <c r="ET70" s="1932"/>
      <c r="EU70" s="1932"/>
      <c r="EV70" s="1932"/>
      <c r="EW70" s="1932"/>
      <c r="EX70" s="1932"/>
      <c r="EY70" s="1932"/>
      <c r="EZ70" s="1932"/>
      <c r="FA70" s="1932"/>
      <c r="FB70" s="1932"/>
      <c r="FC70" s="1932"/>
      <c r="FD70" s="1932"/>
      <c r="FE70" s="1932"/>
      <c r="FF70" s="1932"/>
      <c r="FG70" s="1932"/>
      <c r="FH70" s="1932"/>
      <c r="FI70" s="1933"/>
    </row>
    <row r="71" spans="1:165" s="1780" customFormat="1" ht="15" customHeight="1">
      <c r="A71" s="15780"/>
      <c r="B71" s="15734"/>
      <c r="C71" s="15734"/>
      <c r="D71" s="15609"/>
      <c r="E71" s="15734"/>
      <c r="F71" s="15734"/>
      <c r="G71" s="3879"/>
      <c r="H71" s="4052"/>
      <c r="I71" s="4052"/>
      <c r="J71" s="15736"/>
      <c r="K71" s="15731"/>
      <c r="L71" s="4430" t="s">
        <v>208</v>
      </c>
      <c r="M71" s="4053"/>
      <c r="N71" s="4053" t="s">
        <v>208</v>
      </c>
      <c r="O71" s="1926"/>
      <c r="P71" s="1927"/>
      <c r="Q71" s="1927"/>
      <c r="R71" s="1927"/>
      <c r="S71" s="1927"/>
      <c r="T71" s="1927"/>
      <c r="U71" s="1927"/>
      <c r="V71" s="1927"/>
      <c r="W71" s="1927"/>
      <c r="X71" s="1927"/>
      <c r="Y71" s="1927"/>
      <c r="Z71" s="1927"/>
      <c r="AA71" s="3894"/>
      <c r="AB71" s="2560"/>
      <c r="AC71" s="1928"/>
      <c r="AD71" s="1928"/>
      <c r="AE71" s="1929"/>
      <c r="AF71" s="1928"/>
      <c r="AG71" s="1928"/>
      <c r="AH71" s="1928"/>
      <c r="AI71" s="1930"/>
      <c r="AJ71" s="4045"/>
      <c r="AK71" s="4045"/>
      <c r="AL71" s="4045"/>
      <c r="AM71" s="4045"/>
      <c r="AN71" s="4045"/>
      <c r="AO71" s="4045"/>
      <c r="AP71" s="4045"/>
      <c r="AQ71" s="4045"/>
      <c r="AR71" s="4045"/>
      <c r="AS71" s="4045"/>
      <c r="AT71" s="4045"/>
      <c r="AU71" s="4045"/>
      <c r="AV71" s="4045"/>
      <c r="AW71" s="4045"/>
      <c r="AX71" s="4045"/>
      <c r="AY71" s="4045"/>
      <c r="AZ71" s="4045"/>
      <c r="BA71" s="4045"/>
      <c r="BB71" s="4045"/>
      <c r="BC71" s="4045"/>
      <c r="BD71" s="4045"/>
      <c r="BE71" s="4045"/>
      <c r="BF71" s="4045"/>
      <c r="BG71" s="4045"/>
      <c r="BH71" s="4045"/>
      <c r="BI71" s="1931"/>
      <c r="BJ71" s="1928"/>
      <c r="BK71" s="1928"/>
      <c r="BL71" s="1928"/>
      <c r="BM71" s="1928"/>
      <c r="BN71" s="1932"/>
      <c r="BO71" s="1932"/>
      <c r="BP71" s="1932"/>
      <c r="BQ71" s="1932"/>
      <c r="BR71" s="1933"/>
      <c r="BS71" s="4046"/>
      <c r="BT71" s="3894"/>
      <c r="BU71" s="3891"/>
      <c r="BV71" s="2453"/>
      <c r="BW71" s="15862"/>
      <c r="BX71" s="4047"/>
      <c r="BY71" s="4046"/>
      <c r="BZ71" s="4048"/>
      <c r="CA71" s="4049"/>
      <c r="CB71" s="4049"/>
      <c r="CC71" s="4049"/>
      <c r="CD71" s="4049"/>
      <c r="CE71" s="4050"/>
      <c r="CF71" s="4050"/>
      <c r="CG71" s="4050"/>
      <c r="CH71" s="4050"/>
      <c r="CI71" s="4050"/>
      <c r="CJ71" s="4050"/>
      <c r="CK71" s="4050"/>
      <c r="CL71" s="4050"/>
      <c r="CM71" s="4050"/>
      <c r="CN71" s="4050"/>
      <c r="CO71" s="4050"/>
      <c r="CP71" s="4050"/>
      <c r="CQ71" s="4050"/>
      <c r="CR71" s="4050"/>
      <c r="CS71" s="4050"/>
      <c r="CT71" s="4050"/>
      <c r="CU71" s="4050"/>
      <c r="CV71" s="4050"/>
      <c r="CW71" s="4050"/>
      <c r="CX71" s="4050"/>
      <c r="CY71" s="4050"/>
      <c r="CZ71" s="4050"/>
      <c r="DA71" s="4051"/>
      <c r="DB71" s="4050"/>
      <c r="DC71" s="4050"/>
      <c r="DD71" s="4050"/>
      <c r="DE71" s="4050"/>
      <c r="DF71" s="4050"/>
      <c r="DG71" s="4050"/>
      <c r="DH71" s="4050"/>
      <c r="DI71" s="4050"/>
      <c r="DJ71" s="4050"/>
      <c r="DK71" s="4050"/>
      <c r="DL71" s="4050"/>
      <c r="DM71" s="4050"/>
      <c r="DN71" s="4252"/>
      <c r="DO71" s="1819"/>
      <c r="DP71" s="4460"/>
      <c r="DQ71" s="4451"/>
      <c r="DR71" s="4451"/>
      <c r="DS71" s="4451"/>
      <c r="DT71" s="3471"/>
      <c r="DU71" s="3471"/>
      <c r="DV71" s="3471"/>
      <c r="DW71" s="3471"/>
      <c r="DX71" s="3471"/>
      <c r="DY71" s="3471"/>
      <c r="DZ71" s="3471"/>
      <c r="EA71" s="3471"/>
      <c r="EB71" s="3471"/>
      <c r="EC71" s="3471"/>
      <c r="ED71" s="3471"/>
      <c r="EE71" s="3471"/>
      <c r="EF71" s="3471"/>
      <c r="EG71" s="3471"/>
      <c r="EH71" s="3471"/>
      <c r="EI71" s="3471"/>
      <c r="EJ71" s="3471"/>
      <c r="EK71" s="3471"/>
      <c r="EL71" s="3471"/>
      <c r="EM71" s="3471"/>
      <c r="EN71" s="3471"/>
      <c r="EO71" s="3471"/>
      <c r="EP71" s="3471"/>
      <c r="EQ71" s="3471"/>
      <c r="ER71" s="3471"/>
      <c r="ES71" s="3471"/>
      <c r="ET71" s="3471"/>
      <c r="EU71" s="3471"/>
      <c r="EV71" s="3471"/>
      <c r="EW71" s="3471"/>
      <c r="EX71" s="3471"/>
      <c r="EY71" s="3471"/>
      <c r="EZ71" s="3471"/>
      <c r="FA71" s="3471"/>
      <c r="FB71" s="3471"/>
      <c r="FC71" s="3471"/>
      <c r="FD71" s="3471"/>
      <c r="FE71" s="3471"/>
      <c r="FF71" s="3471"/>
      <c r="FG71" s="3471"/>
      <c r="FH71" s="3471"/>
      <c r="FI71" s="2054"/>
    </row>
    <row r="72" spans="1:165" s="1780" customFormat="1" ht="15" customHeight="1">
      <c r="A72" s="15781"/>
      <c r="B72" s="15783"/>
      <c r="C72" s="15783"/>
      <c r="D72" s="15703" t="s">
        <v>7864</v>
      </c>
      <c r="E72" s="15732" t="s">
        <v>1373</v>
      </c>
      <c r="F72" s="15732" t="s">
        <v>1374</v>
      </c>
      <c r="G72" s="4054" t="s">
        <v>542</v>
      </c>
      <c r="H72" s="4055">
        <v>1</v>
      </c>
      <c r="I72" s="4055">
        <v>1</v>
      </c>
      <c r="J72" s="15735">
        <v>1</v>
      </c>
      <c r="K72" s="15729" t="s">
        <v>1375</v>
      </c>
      <c r="L72" s="4431" t="s">
        <v>2896</v>
      </c>
      <c r="M72" s="2733" t="s">
        <v>163</v>
      </c>
      <c r="N72" s="2733"/>
      <c r="O72" s="4056">
        <v>1000000000</v>
      </c>
      <c r="P72" s="4057">
        <v>1030000000</v>
      </c>
      <c r="Q72" s="4057">
        <v>1060900000</v>
      </c>
      <c r="R72" s="4057">
        <v>1092727000</v>
      </c>
      <c r="S72" s="4057">
        <v>1125508810</v>
      </c>
      <c r="T72" s="4057">
        <v>1159274074.3</v>
      </c>
      <c r="U72" s="4057">
        <v>1194052296.529</v>
      </c>
      <c r="V72" s="4057">
        <v>1229873865.42487</v>
      </c>
      <c r="W72" s="4057">
        <v>1266770081.3876162</v>
      </c>
      <c r="X72" s="4057">
        <v>1304773183.8292446</v>
      </c>
      <c r="Y72" s="4057">
        <v>1343916379.3441219</v>
      </c>
      <c r="Z72" s="4057">
        <v>12807795690.814854</v>
      </c>
      <c r="AA72" s="4058"/>
      <c r="AB72" s="2727" t="s">
        <v>2942</v>
      </c>
      <c r="AC72" s="4045"/>
      <c r="AD72" s="4045"/>
      <c r="AE72" s="4059"/>
      <c r="AF72" s="4045"/>
      <c r="AG72" s="4045"/>
      <c r="AH72" s="4045"/>
      <c r="AI72" s="4060"/>
      <c r="AJ72" s="4045"/>
      <c r="AK72" s="4045"/>
      <c r="AL72" s="4045"/>
      <c r="AM72" s="4045"/>
      <c r="AN72" s="4045"/>
      <c r="AO72" s="4045"/>
      <c r="AP72" s="4045"/>
      <c r="AQ72" s="4045"/>
      <c r="AR72" s="4045"/>
      <c r="AS72" s="4045"/>
      <c r="AT72" s="4045"/>
      <c r="AU72" s="4045"/>
      <c r="AV72" s="4045"/>
      <c r="AW72" s="4045"/>
      <c r="AX72" s="4045"/>
      <c r="AY72" s="4045"/>
      <c r="AZ72" s="4045"/>
      <c r="BA72" s="4045"/>
      <c r="BB72" s="4045"/>
      <c r="BC72" s="4045"/>
      <c r="BD72" s="4045"/>
      <c r="BE72" s="4045"/>
      <c r="BF72" s="4045"/>
      <c r="BG72" s="4045"/>
      <c r="BH72" s="4045"/>
      <c r="BI72" s="4061"/>
      <c r="BJ72" s="4045"/>
      <c r="BK72" s="4045"/>
      <c r="BL72" s="4045"/>
      <c r="BM72" s="4045"/>
      <c r="BN72" s="3471"/>
      <c r="BO72" s="3471"/>
      <c r="BP72" s="3471"/>
      <c r="BQ72" s="3471"/>
      <c r="BR72" s="2054"/>
      <c r="BS72" s="4046" t="s">
        <v>3781</v>
      </c>
      <c r="BT72" s="4046" t="s">
        <v>3781</v>
      </c>
      <c r="BU72" s="4046" t="s">
        <v>3781</v>
      </c>
      <c r="BV72" s="2453" t="s">
        <v>3781</v>
      </c>
      <c r="BW72" s="15862"/>
      <c r="BX72" s="4062" t="s">
        <v>9695</v>
      </c>
      <c r="BY72" s="4046"/>
      <c r="BZ72" s="2727" t="s">
        <v>8900</v>
      </c>
      <c r="CA72" s="4049"/>
      <c r="CB72" s="4049"/>
      <c r="CC72" s="4049"/>
      <c r="CD72" s="4049"/>
      <c r="CE72" s="4050"/>
      <c r="CF72" s="4050"/>
      <c r="CG72" s="4050"/>
      <c r="CH72" s="4050"/>
      <c r="CI72" s="4050"/>
      <c r="CJ72" s="4050"/>
      <c r="CK72" s="4050"/>
      <c r="CL72" s="4050"/>
      <c r="CM72" s="4050"/>
      <c r="CN72" s="4050"/>
      <c r="CO72" s="4050"/>
      <c r="CP72" s="4050"/>
      <c r="CQ72" s="4050"/>
      <c r="CR72" s="4050"/>
      <c r="CS72" s="4050"/>
      <c r="CT72" s="4050"/>
      <c r="CU72" s="4050"/>
      <c r="CV72" s="4050"/>
      <c r="CW72" s="4050"/>
      <c r="CX72" s="4050"/>
      <c r="CY72" s="4050"/>
      <c r="CZ72" s="4050"/>
      <c r="DA72" s="4051"/>
      <c r="DB72" s="4050"/>
      <c r="DC72" s="4050"/>
      <c r="DD72" s="4050"/>
      <c r="DE72" s="4050"/>
      <c r="DF72" s="4050"/>
      <c r="DG72" s="4050"/>
      <c r="DH72" s="4050"/>
      <c r="DI72" s="4050"/>
      <c r="DJ72" s="4050"/>
      <c r="DK72" s="4050"/>
      <c r="DL72" s="4050"/>
      <c r="DM72" s="4050"/>
      <c r="DN72" s="4252"/>
      <c r="DO72" s="1819"/>
      <c r="DP72" s="4460"/>
      <c r="DQ72" s="4451"/>
      <c r="DR72" s="4451"/>
      <c r="DS72" s="4451"/>
      <c r="DT72" s="3471"/>
      <c r="DU72" s="3471"/>
      <c r="DV72" s="3471"/>
      <c r="DW72" s="3471"/>
      <c r="DX72" s="3471"/>
      <c r="DY72" s="3471"/>
      <c r="DZ72" s="3471"/>
      <c r="EA72" s="3471"/>
      <c r="EB72" s="3471"/>
      <c r="EC72" s="3471"/>
      <c r="ED72" s="3471"/>
      <c r="EE72" s="3471"/>
      <c r="EF72" s="3471"/>
      <c r="EG72" s="3471"/>
      <c r="EH72" s="3471"/>
      <c r="EI72" s="3471"/>
      <c r="EJ72" s="3471"/>
      <c r="EK72" s="3471"/>
      <c r="EL72" s="3471"/>
      <c r="EM72" s="3471"/>
      <c r="EN72" s="3471"/>
      <c r="EO72" s="3471"/>
      <c r="EP72" s="3471"/>
      <c r="EQ72" s="3471"/>
      <c r="ER72" s="3471"/>
      <c r="ES72" s="3471"/>
      <c r="ET72" s="3471"/>
      <c r="EU72" s="3471"/>
      <c r="EV72" s="3471"/>
      <c r="EW72" s="3471"/>
      <c r="EX72" s="3471"/>
      <c r="EY72" s="3471"/>
      <c r="EZ72" s="3471"/>
      <c r="FA72" s="3471"/>
      <c r="FB72" s="3471"/>
      <c r="FC72" s="3471"/>
      <c r="FD72" s="3471"/>
      <c r="FE72" s="3471"/>
      <c r="FF72" s="3471"/>
      <c r="FG72" s="3471"/>
      <c r="FH72" s="3471"/>
      <c r="FI72" s="2054"/>
    </row>
    <row r="73" spans="1:165" s="1780" customFormat="1" ht="15" customHeight="1">
      <c r="A73" s="15781"/>
      <c r="B73" s="15783"/>
      <c r="C73" s="15783"/>
      <c r="D73" s="15609"/>
      <c r="E73" s="15734"/>
      <c r="F73" s="15734"/>
      <c r="G73" s="4054"/>
      <c r="H73" s="4055"/>
      <c r="I73" s="4055"/>
      <c r="J73" s="15736"/>
      <c r="K73" s="15731"/>
      <c r="L73" s="4431" t="s">
        <v>10092</v>
      </c>
      <c r="M73" s="2733"/>
      <c r="N73" s="2733" t="s">
        <v>890</v>
      </c>
      <c r="O73" s="4056"/>
      <c r="P73" s="4057"/>
      <c r="Q73" s="4057"/>
      <c r="R73" s="4057"/>
      <c r="S73" s="4057"/>
      <c r="T73" s="4057"/>
      <c r="U73" s="4057"/>
      <c r="V73" s="4057"/>
      <c r="W73" s="4057"/>
      <c r="X73" s="4057"/>
      <c r="Y73" s="4057"/>
      <c r="Z73" s="4057"/>
      <c r="AA73" s="4058"/>
      <c r="AB73" s="2727"/>
      <c r="AC73" s="4045"/>
      <c r="AD73" s="4045"/>
      <c r="AE73" s="4059"/>
      <c r="AF73" s="4045"/>
      <c r="AG73" s="4045"/>
      <c r="AH73" s="4045"/>
      <c r="AI73" s="4060"/>
      <c r="AJ73" s="4045"/>
      <c r="AK73" s="4045"/>
      <c r="AL73" s="4045"/>
      <c r="AM73" s="4045"/>
      <c r="AN73" s="4045"/>
      <c r="AO73" s="4045"/>
      <c r="AP73" s="4045"/>
      <c r="AQ73" s="4045"/>
      <c r="AR73" s="4045"/>
      <c r="AS73" s="4045"/>
      <c r="AT73" s="4045"/>
      <c r="AU73" s="4045"/>
      <c r="AV73" s="4045"/>
      <c r="AW73" s="4045"/>
      <c r="AX73" s="4045"/>
      <c r="AY73" s="4045"/>
      <c r="AZ73" s="4045"/>
      <c r="BA73" s="4045"/>
      <c r="BB73" s="4045"/>
      <c r="BC73" s="4045"/>
      <c r="BD73" s="4045"/>
      <c r="BE73" s="4045"/>
      <c r="BF73" s="4045"/>
      <c r="BG73" s="4045"/>
      <c r="BH73" s="4045"/>
      <c r="BI73" s="4061"/>
      <c r="BJ73" s="4045"/>
      <c r="BK73" s="4045"/>
      <c r="BL73" s="4045"/>
      <c r="BM73" s="4045"/>
      <c r="BN73" s="3471"/>
      <c r="BO73" s="3471"/>
      <c r="BP73" s="3471"/>
      <c r="BQ73" s="3471"/>
      <c r="BR73" s="2054"/>
      <c r="BS73" s="4046"/>
      <c r="BT73" s="4046"/>
      <c r="BU73" s="4046"/>
      <c r="BV73" s="2453"/>
      <c r="BW73" s="15862"/>
      <c r="BX73" s="4062"/>
      <c r="BY73" s="4046"/>
      <c r="BZ73" s="2727"/>
      <c r="CA73" s="4049"/>
      <c r="CB73" s="4049"/>
      <c r="CC73" s="4049"/>
      <c r="CD73" s="4049"/>
      <c r="CE73" s="4050"/>
      <c r="CF73" s="4050"/>
      <c r="CG73" s="4050"/>
      <c r="CH73" s="4050"/>
      <c r="CI73" s="4050"/>
      <c r="CJ73" s="4050"/>
      <c r="CK73" s="4050"/>
      <c r="CL73" s="4050"/>
      <c r="CM73" s="4050"/>
      <c r="CN73" s="4050"/>
      <c r="CO73" s="4050"/>
      <c r="CP73" s="4050"/>
      <c r="CQ73" s="4050"/>
      <c r="CR73" s="4050"/>
      <c r="CS73" s="4050"/>
      <c r="CT73" s="4050"/>
      <c r="CU73" s="4050"/>
      <c r="CV73" s="4050"/>
      <c r="CW73" s="4050"/>
      <c r="CX73" s="4050"/>
      <c r="CY73" s="4050"/>
      <c r="CZ73" s="4050"/>
      <c r="DA73" s="4051"/>
      <c r="DB73" s="4050"/>
      <c r="DC73" s="4050"/>
      <c r="DD73" s="4050"/>
      <c r="DE73" s="4050"/>
      <c r="DF73" s="4050"/>
      <c r="DG73" s="4050"/>
      <c r="DH73" s="4050"/>
      <c r="DI73" s="4050"/>
      <c r="DJ73" s="4050"/>
      <c r="DK73" s="4050"/>
      <c r="DL73" s="4050"/>
      <c r="DM73" s="4050"/>
      <c r="DN73" s="4252"/>
      <c r="DO73" s="1819"/>
      <c r="DP73" s="4460"/>
      <c r="DQ73" s="4451"/>
      <c r="DR73" s="4451"/>
      <c r="DS73" s="4451"/>
      <c r="DT73" s="3471"/>
      <c r="DU73" s="3471"/>
      <c r="DV73" s="3471"/>
      <c r="DW73" s="3471"/>
      <c r="DX73" s="3471"/>
      <c r="DY73" s="3471"/>
      <c r="DZ73" s="3471"/>
      <c r="EA73" s="3471"/>
      <c r="EB73" s="3471"/>
      <c r="EC73" s="3471"/>
      <c r="ED73" s="3471"/>
      <c r="EE73" s="3471"/>
      <c r="EF73" s="3471"/>
      <c r="EG73" s="3471"/>
      <c r="EH73" s="3471"/>
      <c r="EI73" s="3471"/>
      <c r="EJ73" s="3471"/>
      <c r="EK73" s="3471"/>
      <c r="EL73" s="3471"/>
      <c r="EM73" s="3471"/>
      <c r="EN73" s="3471"/>
      <c r="EO73" s="3471"/>
      <c r="EP73" s="3471"/>
      <c r="EQ73" s="3471"/>
      <c r="ER73" s="3471"/>
      <c r="ES73" s="3471"/>
      <c r="ET73" s="3471"/>
      <c r="EU73" s="3471"/>
      <c r="EV73" s="3471"/>
      <c r="EW73" s="3471"/>
      <c r="EX73" s="3471"/>
      <c r="EY73" s="3471"/>
      <c r="EZ73" s="3471"/>
      <c r="FA73" s="3471"/>
      <c r="FB73" s="3471"/>
      <c r="FC73" s="3471"/>
      <c r="FD73" s="3471"/>
      <c r="FE73" s="3471"/>
      <c r="FF73" s="3471"/>
      <c r="FG73" s="3471"/>
      <c r="FH73" s="3471"/>
      <c r="FI73" s="2054"/>
    </row>
    <row r="74" spans="1:165" s="1780" customFormat="1" ht="15" customHeight="1">
      <c r="A74" s="15781"/>
      <c r="B74" s="15783"/>
      <c r="C74" s="15783"/>
      <c r="D74" s="2727" t="s">
        <v>7865</v>
      </c>
      <c r="E74" s="4253" t="s">
        <v>1376</v>
      </c>
      <c r="F74" s="4054" t="s">
        <v>1377</v>
      </c>
      <c r="G74" s="4054" t="s">
        <v>542</v>
      </c>
      <c r="H74" s="4055">
        <v>0</v>
      </c>
      <c r="I74" s="4055">
        <v>1</v>
      </c>
      <c r="J74" s="4055">
        <v>1</v>
      </c>
      <c r="K74" s="2733" t="s">
        <v>1378</v>
      </c>
      <c r="L74" s="4431" t="s">
        <v>2896</v>
      </c>
      <c r="M74" s="2733" t="s">
        <v>163</v>
      </c>
      <c r="N74" s="2733"/>
      <c r="O74" s="4056">
        <v>20000000</v>
      </c>
      <c r="P74" s="4056">
        <v>50000000</v>
      </c>
      <c r="Q74" s="4057">
        <v>0</v>
      </c>
      <c r="R74" s="4057">
        <v>0</v>
      </c>
      <c r="S74" s="4057">
        <v>0</v>
      </c>
      <c r="T74" s="4057">
        <v>0</v>
      </c>
      <c r="U74" s="4057">
        <v>30000000</v>
      </c>
      <c r="V74" s="4057">
        <v>30900000</v>
      </c>
      <c r="W74" s="4057">
        <v>31827000</v>
      </c>
      <c r="X74" s="4057">
        <v>32781810</v>
      </c>
      <c r="Y74" s="4057">
        <v>33765264.300000004</v>
      </c>
      <c r="Z74" s="4057">
        <v>229274074.30000001</v>
      </c>
      <c r="AA74" s="4058"/>
      <c r="AB74" s="4254"/>
      <c r="AC74" s="4045"/>
      <c r="AD74" s="4045"/>
      <c r="AE74" s="4059"/>
      <c r="AF74" s="4045"/>
      <c r="AG74" s="4045"/>
      <c r="AH74" s="4045"/>
      <c r="AI74" s="4060"/>
      <c r="AJ74" s="4045"/>
      <c r="AK74" s="4045"/>
      <c r="AL74" s="4045"/>
      <c r="AM74" s="4045"/>
      <c r="AN74" s="4045"/>
      <c r="AO74" s="4045"/>
      <c r="AP74" s="4045"/>
      <c r="AQ74" s="4045"/>
      <c r="AR74" s="4045"/>
      <c r="AS74" s="4045"/>
      <c r="AT74" s="4045"/>
      <c r="AU74" s="4045"/>
      <c r="AV74" s="4045"/>
      <c r="AW74" s="4045"/>
      <c r="AX74" s="4045"/>
      <c r="AY74" s="4045"/>
      <c r="AZ74" s="4045"/>
      <c r="BA74" s="4045"/>
      <c r="BB74" s="4045"/>
      <c r="BC74" s="4045"/>
      <c r="BD74" s="4045"/>
      <c r="BE74" s="4045"/>
      <c r="BF74" s="4045"/>
      <c r="BG74" s="4045"/>
      <c r="BH74" s="4045"/>
      <c r="BI74" s="4061"/>
      <c r="BJ74" s="4045"/>
      <c r="BK74" s="4045"/>
      <c r="BL74" s="4045"/>
      <c r="BM74" s="4045"/>
      <c r="BN74" s="3471"/>
      <c r="BO74" s="3471"/>
      <c r="BP74" s="3471"/>
      <c r="BQ74" s="3471"/>
      <c r="BR74" s="2054"/>
      <c r="BS74" s="4046">
        <v>1</v>
      </c>
      <c r="BT74" s="4058">
        <v>1</v>
      </c>
      <c r="BU74" s="4063">
        <v>1</v>
      </c>
      <c r="BV74" s="2453">
        <v>1</v>
      </c>
      <c r="BW74" s="15862"/>
      <c r="BX74" s="4255" t="s">
        <v>8901</v>
      </c>
      <c r="BY74" s="4046"/>
      <c r="BZ74" s="4046"/>
      <c r="CA74" s="4049"/>
      <c r="CB74" s="4049"/>
      <c r="CC74" s="4049"/>
      <c r="CD74" s="4049"/>
      <c r="CE74" s="4050"/>
      <c r="CF74" s="4050"/>
      <c r="CG74" s="4050"/>
      <c r="CH74" s="4050"/>
      <c r="CI74" s="4050"/>
      <c r="CJ74" s="4050"/>
      <c r="CK74" s="4050"/>
      <c r="CL74" s="4050"/>
      <c r="CM74" s="4050"/>
      <c r="CN74" s="4050"/>
      <c r="CO74" s="4050"/>
      <c r="CP74" s="4050"/>
      <c r="CQ74" s="4050"/>
      <c r="CR74" s="4050"/>
      <c r="CS74" s="4050"/>
      <c r="CT74" s="4050"/>
      <c r="CU74" s="4050"/>
      <c r="CV74" s="4050"/>
      <c r="CW74" s="4050"/>
      <c r="CX74" s="4050"/>
      <c r="CY74" s="4050"/>
      <c r="CZ74" s="4050"/>
      <c r="DA74" s="4051"/>
      <c r="DB74" s="4050"/>
      <c r="DC74" s="4050"/>
      <c r="DD74" s="4050"/>
      <c r="DE74" s="4050"/>
      <c r="DF74" s="4050"/>
      <c r="DG74" s="4050"/>
      <c r="DH74" s="4050"/>
      <c r="DI74" s="4050"/>
      <c r="DJ74" s="4050"/>
      <c r="DK74" s="4050"/>
      <c r="DL74" s="4050"/>
      <c r="DM74" s="4050"/>
      <c r="DN74" s="4252"/>
      <c r="DO74" s="1819"/>
      <c r="DP74" s="4460"/>
      <c r="DQ74" s="4451"/>
      <c r="DR74" s="4451"/>
      <c r="DS74" s="4451"/>
      <c r="DT74" s="3471"/>
      <c r="DU74" s="3471"/>
      <c r="DV74" s="3471"/>
      <c r="DW74" s="3471"/>
      <c r="DX74" s="3471"/>
      <c r="DY74" s="3471"/>
      <c r="DZ74" s="3471"/>
      <c r="EA74" s="3471"/>
      <c r="EB74" s="3471"/>
      <c r="EC74" s="3471"/>
      <c r="ED74" s="3471"/>
      <c r="EE74" s="3471"/>
      <c r="EF74" s="3471"/>
      <c r="EG74" s="3471"/>
      <c r="EH74" s="3471"/>
      <c r="EI74" s="3471"/>
      <c r="EJ74" s="3471"/>
      <c r="EK74" s="3471"/>
      <c r="EL74" s="3471"/>
      <c r="EM74" s="3471"/>
      <c r="EN74" s="3471"/>
      <c r="EO74" s="3471"/>
      <c r="EP74" s="3471"/>
      <c r="EQ74" s="3471"/>
      <c r="ER74" s="3471"/>
      <c r="ES74" s="3471"/>
      <c r="ET74" s="3471"/>
      <c r="EU74" s="3471"/>
      <c r="EV74" s="3471"/>
      <c r="EW74" s="3471"/>
      <c r="EX74" s="3471"/>
      <c r="EY74" s="3471"/>
      <c r="EZ74" s="3471"/>
      <c r="FA74" s="3471"/>
      <c r="FB74" s="3471"/>
      <c r="FC74" s="3471"/>
      <c r="FD74" s="3471"/>
      <c r="FE74" s="3471"/>
      <c r="FF74" s="3471"/>
      <c r="FG74" s="3471"/>
      <c r="FH74" s="3471"/>
      <c r="FI74" s="2054"/>
    </row>
    <row r="75" spans="1:165" s="1780" customFormat="1" ht="15" customHeight="1">
      <c r="A75" s="15781"/>
      <c r="B75" s="15783"/>
      <c r="C75" s="4054" t="s">
        <v>1379</v>
      </c>
      <c r="D75" s="2727" t="s">
        <v>7866</v>
      </c>
      <c r="E75" s="4253" t="s">
        <v>1380</v>
      </c>
      <c r="F75" s="4054" t="s">
        <v>1381</v>
      </c>
      <c r="G75" s="4054" t="s">
        <v>542</v>
      </c>
      <c r="H75" s="2734" t="s">
        <v>1382</v>
      </c>
      <c r="I75" s="2734" t="s">
        <v>1383</v>
      </c>
      <c r="J75" s="2734" t="s">
        <v>1384</v>
      </c>
      <c r="K75" s="2733" t="s">
        <v>196</v>
      </c>
      <c r="L75" s="4431" t="s">
        <v>2896</v>
      </c>
      <c r="M75" s="2733" t="s">
        <v>163</v>
      </c>
      <c r="N75" s="2733"/>
      <c r="O75" s="4057">
        <v>30000000</v>
      </c>
      <c r="P75" s="4057">
        <v>30900000</v>
      </c>
      <c r="Q75" s="4057">
        <v>31827000</v>
      </c>
      <c r="R75" s="4057">
        <v>61800000</v>
      </c>
      <c r="S75" s="4057">
        <v>63654000</v>
      </c>
      <c r="T75" s="4057">
        <v>65563620</v>
      </c>
      <c r="U75" s="4057">
        <v>67530528.600000009</v>
      </c>
      <c r="V75" s="4057">
        <v>69556444.458000004</v>
      </c>
      <c r="W75" s="4057">
        <v>71643137.79174</v>
      </c>
      <c r="X75" s="4057">
        <v>73792431.925492197</v>
      </c>
      <c r="Y75" s="4057">
        <v>123600000</v>
      </c>
      <c r="Z75" s="4057">
        <v>689867162.7752322</v>
      </c>
      <c r="AA75" s="4256">
        <v>1</v>
      </c>
      <c r="AB75" s="2727" t="s">
        <v>2947</v>
      </c>
      <c r="AC75" s="4045"/>
      <c r="AD75" s="4045"/>
      <c r="AE75" s="4257">
        <v>261770866</v>
      </c>
      <c r="AF75" s="4258"/>
      <c r="AG75" s="4258"/>
      <c r="AH75" s="4258"/>
      <c r="AI75" s="4259">
        <v>415</v>
      </c>
      <c r="AJ75" s="4058">
        <v>225</v>
      </c>
      <c r="AK75" s="4058">
        <v>190</v>
      </c>
      <c r="AL75" s="4058">
        <v>0</v>
      </c>
      <c r="AM75" s="4058">
        <v>0</v>
      </c>
      <c r="AN75" s="4058">
        <v>20</v>
      </c>
      <c r="AO75" s="4058">
        <v>232</v>
      </c>
      <c r="AP75" s="4058">
        <v>150</v>
      </c>
      <c r="AQ75" s="4058">
        <v>12</v>
      </c>
      <c r="AR75" s="4058"/>
      <c r="AS75" s="4058"/>
      <c r="AT75" s="4058"/>
      <c r="AU75" s="4058"/>
      <c r="AV75" s="4058"/>
      <c r="AW75" s="4058"/>
      <c r="AX75" s="4058"/>
      <c r="AY75" s="4058"/>
      <c r="AZ75" s="4058"/>
      <c r="BA75" s="4058"/>
      <c r="BB75" s="4058"/>
      <c r="BC75" s="4058"/>
      <c r="BD75" s="4058"/>
      <c r="BE75" s="4058">
        <v>415</v>
      </c>
      <c r="BF75" s="4058"/>
      <c r="BG75" s="4058"/>
      <c r="BH75" s="4058"/>
      <c r="BI75" s="4061"/>
      <c r="BJ75" s="4045"/>
      <c r="BK75" s="4045"/>
      <c r="BL75" s="4045"/>
      <c r="BM75" s="4045"/>
      <c r="BN75" s="3471"/>
      <c r="BO75" s="3471"/>
      <c r="BP75" s="3471"/>
      <c r="BQ75" s="3471"/>
      <c r="BR75" s="2054"/>
      <c r="BS75" s="4046">
        <v>653</v>
      </c>
      <c r="BT75" s="4260">
        <v>653</v>
      </c>
      <c r="BU75" s="4058">
        <v>653</v>
      </c>
      <c r="BV75" s="2453">
        <v>1</v>
      </c>
      <c r="BW75" s="15862"/>
      <c r="BX75" s="4062" t="s">
        <v>8902</v>
      </c>
      <c r="BY75" s="4046"/>
      <c r="BZ75" s="4046"/>
      <c r="CA75" s="4049">
        <v>729745000</v>
      </c>
      <c r="CB75" s="4049"/>
      <c r="CC75" s="4049"/>
      <c r="CD75" s="4049"/>
      <c r="CE75" s="4050">
        <v>653</v>
      </c>
      <c r="CF75" s="4050"/>
      <c r="CG75" s="4050"/>
      <c r="CH75" s="4050"/>
      <c r="CI75" s="4050"/>
      <c r="CJ75" s="4050"/>
      <c r="CK75" s="4050"/>
      <c r="CL75" s="4050"/>
      <c r="CM75" s="4050"/>
      <c r="CN75" s="4050"/>
      <c r="CO75" s="4050"/>
      <c r="CP75" s="4050"/>
      <c r="CQ75" s="4050"/>
      <c r="CR75" s="4050"/>
      <c r="CS75" s="4050"/>
      <c r="CT75" s="4050"/>
      <c r="CU75" s="4050"/>
      <c r="CV75" s="4050"/>
      <c r="CW75" s="4050"/>
      <c r="CX75" s="4050"/>
      <c r="CY75" s="4050"/>
      <c r="CZ75" s="4050"/>
      <c r="DA75" s="4051">
        <v>653</v>
      </c>
      <c r="DB75" s="4050"/>
      <c r="DC75" s="4050"/>
      <c r="DD75" s="4050"/>
      <c r="DE75" s="4050"/>
      <c r="DF75" s="4050"/>
      <c r="DG75" s="4050"/>
      <c r="DH75" s="4050"/>
      <c r="DI75" s="4050"/>
      <c r="DJ75" s="4050"/>
      <c r="DK75" s="4050"/>
      <c r="DL75" s="4050"/>
      <c r="DM75" s="4050"/>
      <c r="DN75" s="4252"/>
      <c r="DO75" s="1819"/>
      <c r="DP75" s="4460"/>
      <c r="DQ75" s="4451"/>
      <c r="DR75" s="4451"/>
      <c r="DS75" s="4451"/>
      <c r="DT75" s="3471"/>
      <c r="DU75" s="3471"/>
      <c r="DV75" s="3471"/>
      <c r="DW75" s="3471"/>
      <c r="DX75" s="3471"/>
      <c r="DY75" s="3471"/>
      <c r="DZ75" s="3471"/>
      <c r="EA75" s="3471"/>
      <c r="EB75" s="3471"/>
      <c r="EC75" s="3471"/>
      <c r="ED75" s="3471"/>
      <c r="EE75" s="3471"/>
      <c r="EF75" s="3471"/>
      <c r="EG75" s="3471"/>
      <c r="EH75" s="3471"/>
      <c r="EI75" s="3471"/>
      <c r="EJ75" s="3471"/>
      <c r="EK75" s="3471"/>
      <c r="EL75" s="3471"/>
      <c r="EM75" s="3471"/>
      <c r="EN75" s="3471"/>
      <c r="EO75" s="3471"/>
      <c r="EP75" s="3471"/>
      <c r="EQ75" s="3471"/>
      <c r="ER75" s="3471"/>
      <c r="ES75" s="3471"/>
      <c r="ET75" s="3471"/>
      <c r="EU75" s="3471"/>
      <c r="EV75" s="3471"/>
      <c r="EW75" s="3471"/>
      <c r="EX75" s="3471"/>
      <c r="EY75" s="3471"/>
      <c r="EZ75" s="3471"/>
      <c r="FA75" s="3471"/>
      <c r="FB75" s="3471"/>
      <c r="FC75" s="3471"/>
      <c r="FD75" s="3471"/>
      <c r="FE75" s="3471"/>
      <c r="FF75" s="3471"/>
      <c r="FG75" s="3471"/>
      <c r="FH75" s="3471"/>
      <c r="FI75" s="2054"/>
    </row>
    <row r="76" spans="1:165" s="1780" customFormat="1" ht="15" customHeight="1">
      <c r="A76" s="15781"/>
      <c r="B76" s="15783"/>
      <c r="C76" s="15732" t="s">
        <v>214</v>
      </c>
      <c r="D76" s="15703" t="s">
        <v>7867</v>
      </c>
      <c r="E76" s="15732" t="s">
        <v>1385</v>
      </c>
      <c r="F76" s="15732" t="s">
        <v>1386</v>
      </c>
      <c r="G76" s="4054" t="s">
        <v>70</v>
      </c>
      <c r="H76" s="2733">
        <v>2</v>
      </c>
      <c r="I76" s="2733">
        <v>4</v>
      </c>
      <c r="J76" s="15729">
        <v>4</v>
      </c>
      <c r="K76" s="15729" t="s">
        <v>152</v>
      </c>
      <c r="L76" s="4431" t="s">
        <v>2896</v>
      </c>
      <c r="M76" s="2733" t="s">
        <v>163</v>
      </c>
      <c r="N76" s="2733"/>
      <c r="O76" s="4057">
        <v>60000000</v>
      </c>
      <c r="P76" s="4057">
        <v>61800000</v>
      </c>
      <c r="Q76" s="4057">
        <v>63654000</v>
      </c>
      <c r="R76" s="4057">
        <v>82750200</v>
      </c>
      <c r="S76" s="4057">
        <v>85232706</v>
      </c>
      <c r="T76" s="4057">
        <v>87789687.180000007</v>
      </c>
      <c r="U76" s="4057">
        <v>90423377.795400009</v>
      </c>
      <c r="V76" s="4057">
        <v>93136079.129262015</v>
      </c>
      <c r="W76" s="4057">
        <v>95930161.503139883</v>
      </c>
      <c r="X76" s="4057">
        <v>98808066.348234087</v>
      </c>
      <c r="Y76" s="4057">
        <v>108688872.9830575</v>
      </c>
      <c r="Z76" s="4057">
        <v>928213150.93909347</v>
      </c>
      <c r="AA76" s="4058"/>
      <c r="AB76" s="2727" t="s">
        <v>9883</v>
      </c>
      <c r="AC76" s="4063"/>
      <c r="AD76" s="4063"/>
      <c r="AE76" s="4064"/>
      <c r="AF76" s="4063"/>
      <c r="AG76" s="4063"/>
      <c r="AH76" s="4063"/>
      <c r="AI76" s="4063"/>
      <c r="AJ76" s="4058"/>
      <c r="AK76" s="4058"/>
      <c r="AL76" s="4058"/>
      <c r="AM76" s="4058"/>
      <c r="AN76" s="4058"/>
      <c r="AO76" s="4058"/>
      <c r="AP76" s="4058"/>
      <c r="AQ76" s="4058"/>
      <c r="AR76" s="4058"/>
      <c r="AS76" s="4058"/>
      <c r="AT76" s="4058"/>
      <c r="AU76" s="4058"/>
      <c r="AV76" s="4058"/>
      <c r="AW76" s="4058"/>
      <c r="AX76" s="4058"/>
      <c r="AY76" s="4058"/>
      <c r="AZ76" s="4058"/>
      <c r="BA76" s="4058"/>
      <c r="BB76" s="4058"/>
      <c r="BC76" s="4058"/>
      <c r="BD76" s="4058"/>
      <c r="BE76" s="4058"/>
      <c r="BF76" s="4058"/>
      <c r="BG76" s="4058"/>
      <c r="BH76" s="4058"/>
      <c r="BI76" s="4061"/>
      <c r="BJ76" s="4045"/>
      <c r="BK76" s="4045"/>
      <c r="BL76" s="4045"/>
      <c r="BM76" s="4045"/>
      <c r="BN76" s="3471"/>
      <c r="BO76" s="3471"/>
      <c r="BP76" s="3471"/>
      <c r="BQ76" s="3471"/>
      <c r="BR76" s="2054"/>
      <c r="BS76" s="4046">
        <v>0</v>
      </c>
      <c r="BT76" s="4058">
        <v>1</v>
      </c>
      <c r="BU76" s="4058">
        <v>0</v>
      </c>
      <c r="BV76" s="2453">
        <v>0</v>
      </c>
      <c r="BW76" s="15862"/>
      <c r="BX76" s="2727" t="s">
        <v>8903</v>
      </c>
      <c r="BY76" s="4046"/>
      <c r="BZ76" s="1934"/>
      <c r="CA76" s="4049"/>
      <c r="CB76" s="4049"/>
      <c r="CC76" s="4049"/>
      <c r="CD76" s="4049"/>
      <c r="CE76" s="4050"/>
      <c r="CF76" s="4050"/>
      <c r="CG76" s="4050"/>
      <c r="CH76" s="4050"/>
      <c r="CI76" s="4050"/>
      <c r="CJ76" s="4050"/>
      <c r="CK76" s="4050"/>
      <c r="CL76" s="4050"/>
      <c r="CM76" s="4050"/>
      <c r="CN76" s="4050"/>
      <c r="CO76" s="4050"/>
      <c r="CP76" s="4050"/>
      <c r="CQ76" s="4050"/>
      <c r="CR76" s="4050"/>
      <c r="CS76" s="4050"/>
      <c r="CT76" s="4050"/>
      <c r="CU76" s="4050"/>
      <c r="CV76" s="4050"/>
      <c r="CW76" s="4050"/>
      <c r="CX76" s="4050"/>
      <c r="CY76" s="4050"/>
      <c r="CZ76" s="4050"/>
      <c r="DA76" s="4051"/>
      <c r="DB76" s="4050"/>
      <c r="DC76" s="4050"/>
      <c r="DD76" s="4050"/>
      <c r="DE76" s="4050"/>
      <c r="DF76" s="4050"/>
      <c r="DG76" s="4050"/>
      <c r="DH76" s="4050"/>
      <c r="DI76" s="4050"/>
      <c r="DJ76" s="4050"/>
      <c r="DK76" s="4050"/>
      <c r="DL76" s="4050"/>
      <c r="DM76" s="4050"/>
      <c r="DN76" s="4252"/>
      <c r="DO76" s="1819"/>
      <c r="DP76" s="4460"/>
      <c r="DQ76" s="4451"/>
      <c r="DR76" s="4451"/>
      <c r="DS76" s="4451"/>
      <c r="DT76" s="3471"/>
      <c r="DU76" s="3471"/>
      <c r="DV76" s="3471"/>
      <c r="DW76" s="3471"/>
      <c r="DX76" s="3471"/>
      <c r="DY76" s="3471"/>
      <c r="DZ76" s="3471"/>
      <c r="EA76" s="3471"/>
      <c r="EB76" s="3471"/>
      <c r="EC76" s="3471"/>
      <c r="ED76" s="3471"/>
      <c r="EE76" s="3471"/>
      <c r="EF76" s="3471"/>
      <c r="EG76" s="3471"/>
      <c r="EH76" s="3471"/>
      <c r="EI76" s="3471"/>
      <c r="EJ76" s="3471"/>
      <c r="EK76" s="3471"/>
      <c r="EL76" s="3471"/>
      <c r="EM76" s="3471"/>
      <c r="EN76" s="3471"/>
      <c r="EO76" s="3471"/>
      <c r="EP76" s="3471"/>
      <c r="EQ76" s="3471"/>
      <c r="ER76" s="3471"/>
      <c r="ES76" s="3471"/>
      <c r="ET76" s="3471"/>
      <c r="EU76" s="3471"/>
      <c r="EV76" s="3471"/>
      <c r="EW76" s="3471"/>
      <c r="EX76" s="3471"/>
      <c r="EY76" s="3471"/>
      <c r="EZ76" s="3471"/>
      <c r="FA76" s="3471"/>
      <c r="FB76" s="3471"/>
      <c r="FC76" s="3471"/>
      <c r="FD76" s="3471"/>
      <c r="FE76" s="3471"/>
      <c r="FF76" s="3471"/>
      <c r="FG76" s="3471"/>
      <c r="FH76" s="3471"/>
      <c r="FI76" s="2054"/>
    </row>
    <row r="77" spans="1:165" s="1780" customFormat="1" ht="15" customHeight="1">
      <c r="A77" s="15781"/>
      <c r="B77" s="15783"/>
      <c r="C77" s="15733"/>
      <c r="D77" s="15608"/>
      <c r="E77" s="15733"/>
      <c r="F77" s="15733"/>
      <c r="G77" s="4054"/>
      <c r="H77" s="2733"/>
      <c r="I77" s="2733"/>
      <c r="J77" s="15730"/>
      <c r="K77" s="15730"/>
      <c r="L77" s="4431" t="s">
        <v>10194</v>
      </c>
      <c r="M77" s="2733"/>
      <c r="N77" s="2733" t="s">
        <v>733</v>
      </c>
      <c r="O77" s="4057"/>
      <c r="P77" s="4057"/>
      <c r="Q77" s="4057"/>
      <c r="R77" s="4057"/>
      <c r="S77" s="4057"/>
      <c r="T77" s="4057"/>
      <c r="U77" s="4057"/>
      <c r="V77" s="4057"/>
      <c r="W77" s="4057"/>
      <c r="X77" s="4057"/>
      <c r="Y77" s="4057"/>
      <c r="Z77" s="4057"/>
      <c r="AA77" s="4058"/>
      <c r="AB77" s="2727"/>
      <c r="AC77" s="4063"/>
      <c r="AD77" s="4063"/>
      <c r="AE77" s="4064"/>
      <c r="AF77" s="4063"/>
      <c r="AG77" s="4063"/>
      <c r="AH77" s="4063"/>
      <c r="AI77" s="4065"/>
      <c r="AJ77" s="4058"/>
      <c r="AK77" s="4058"/>
      <c r="AL77" s="4058"/>
      <c r="AM77" s="4058"/>
      <c r="AN77" s="4058"/>
      <c r="AO77" s="4058"/>
      <c r="AP77" s="4058"/>
      <c r="AQ77" s="4058"/>
      <c r="AR77" s="4058"/>
      <c r="AS77" s="4058"/>
      <c r="AT77" s="4058"/>
      <c r="AU77" s="4058"/>
      <c r="AV77" s="4058"/>
      <c r="AW77" s="4058"/>
      <c r="AX77" s="4058"/>
      <c r="AY77" s="4058"/>
      <c r="AZ77" s="4058"/>
      <c r="BA77" s="4058"/>
      <c r="BB77" s="4058"/>
      <c r="BC77" s="4058"/>
      <c r="BD77" s="4058"/>
      <c r="BE77" s="4058"/>
      <c r="BF77" s="4058"/>
      <c r="BG77" s="4058"/>
      <c r="BH77" s="4058"/>
      <c r="BI77" s="4061"/>
      <c r="BJ77" s="4045"/>
      <c r="BK77" s="4045"/>
      <c r="BL77" s="4045"/>
      <c r="BM77" s="4045"/>
      <c r="BN77" s="3471"/>
      <c r="BO77" s="3471"/>
      <c r="BP77" s="3471"/>
      <c r="BQ77" s="3471"/>
      <c r="BR77" s="2054"/>
      <c r="BS77" s="4046"/>
      <c r="BT77" s="4058"/>
      <c r="BU77" s="4058"/>
      <c r="BV77" s="2453"/>
      <c r="BW77" s="15862"/>
      <c r="BX77" s="2727"/>
      <c r="BY77" s="4046"/>
      <c r="BZ77" s="1934"/>
      <c r="CA77" s="4049"/>
      <c r="CB77" s="4049"/>
      <c r="CC77" s="4049"/>
      <c r="CD77" s="4049"/>
      <c r="CE77" s="4050"/>
      <c r="CF77" s="4050"/>
      <c r="CG77" s="4050"/>
      <c r="CH77" s="4050"/>
      <c r="CI77" s="4050"/>
      <c r="CJ77" s="4050"/>
      <c r="CK77" s="4050"/>
      <c r="CL77" s="4050"/>
      <c r="CM77" s="4050"/>
      <c r="CN77" s="4050"/>
      <c r="CO77" s="4050"/>
      <c r="CP77" s="4050"/>
      <c r="CQ77" s="4050"/>
      <c r="CR77" s="4050"/>
      <c r="CS77" s="4050"/>
      <c r="CT77" s="4050"/>
      <c r="CU77" s="4050"/>
      <c r="CV77" s="4050"/>
      <c r="CW77" s="4050"/>
      <c r="CX77" s="4050"/>
      <c r="CY77" s="4050"/>
      <c r="CZ77" s="4050"/>
      <c r="DA77" s="4051"/>
      <c r="DB77" s="4050"/>
      <c r="DC77" s="4050"/>
      <c r="DD77" s="4050"/>
      <c r="DE77" s="4050"/>
      <c r="DF77" s="4050"/>
      <c r="DG77" s="4050"/>
      <c r="DH77" s="4050"/>
      <c r="DI77" s="4050"/>
      <c r="DJ77" s="4050"/>
      <c r="DK77" s="4050"/>
      <c r="DL77" s="4050"/>
      <c r="DM77" s="4050"/>
      <c r="DN77" s="4252"/>
      <c r="DO77" s="1819"/>
      <c r="DP77" s="4460"/>
      <c r="DQ77" s="4451"/>
      <c r="DR77" s="4451"/>
      <c r="DS77" s="4451"/>
      <c r="DT77" s="3471"/>
      <c r="DU77" s="3471"/>
      <c r="DV77" s="3471"/>
      <c r="DW77" s="3471"/>
      <c r="DX77" s="3471"/>
      <c r="DY77" s="3471"/>
      <c r="DZ77" s="3471"/>
      <c r="EA77" s="3471"/>
      <c r="EB77" s="3471"/>
      <c r="EC77" s="3471"/>
      <c r="ED77" s="3471"/>
      <c r="EE77" s="3471"/>
      <c r="EF77" s="3471"/>
      <c r="EG77" s="3471"/>
      <c r="EH77" s="3471"/>
      <c r="EI77" s="3471"/>
      <c r="EJ77" s="3471"/>
      <c r="EK77" s="3471"/>
      <c r="EL77" s="3471"/>
      <c r="EM77" s="3471"/>
      <c r="EN77" s="3471"/>
      <c r="EO77" s="3471"/>
      <c r="EP77" s="3471"/>
      <c r="EQ77" s="3471"/>
      <c r="ER77" s="3471"/>
      <c r="ES77" s="3471"/>
      <c r="ET77" s="3471"/>
      <c r="EU77" s="3471"/>
      <c r="EV77" s="3471"/>
      <c r="EW77" s="3471"/>
      <c r="EX77" s="3471"/>
      <c r="EY77" s="3471"/>
      <c r="EZ77" s="3471"/>
      <c r="FA77" s="3471"/>
      <c r="FB77" s="3471"/>
      <c r="FC77" s="3471"/>
      <c r="FD77" s="3471"/>
      <c r="FE77" s="3471"/>
      <c r="FF77" s="3471"/>
      <c r="FG77" s="3471"/>
      <c r="FH77" s="3471"/>
      <c r="FI77" s="2054"/>
    </row>
    <row r="78" spans="1:165" s="1780" customFormat="1" ht="15" customHeight="1">
      <c r="A78" s="15781"/>
      <c r="B78" s="15783"/>
      <c r="C78" s="15734"/>
      <c r="D78" s="15609"/>
      <c r="E78" s="15734"/>
      <c r="F78" s="15734"/>
      <c r="G78" s="4054"/>
      <c r="H78" s="2733"/>
      <c r="I78" s="2733"/>
      <c r="J78" s="15731"/>
      <c r="K78" s="15731"/>
      <c r="L78" s="4431" t="s">
        <v>329</v>
      </c>
      <c r="M78" s="2733"/>
      <c r="N78" s="2733" t="s">
        <v>329</v>
      </c>
      <c r="O78" s="4057"/>
      <c r="P78" s="4057"/>
      <c r="Q78" s="4057"/>
      <c r="R78" s="4057"/>
      <c r="S78" s="4057"/>
      <c r="T78" s="4057"/>
      <c r="U78" s="4057"/>
      <c r="V78" s="4057"/>
      <c r="W78" s="4057"/>
      <c r="X78" s="4057"/>
      <c r="Y78" s="4057"/>
      <c r="Z78" s="4057"/>
      <c r="AA78" s="4058"/>
      <c r="AB78" s="2727"/>
      <c r="AC78" s="4063"/>
      <c r="AD78" s="4063"/>
      <c r="AE78" s="4064"/>
      <c r="AF78" s="4063"/>
      <c r="AG78" s="4063"/>
      <c r="AH78" s="4063"/>
      <c r="AI78" s="4065"/>
      <c r="AJ78" s="4058"/>
      <c r="AK78" s="4058"/>
      <c r="AL78" s="4058"/>
      <c r="AM78" s="4058"/>
      <c r="AN78" s="4058"/>
      <c r="AO78" s="4058"/>
      <c r="AP78" s="4058"/>
      <c r="AQ78" s="4058"/>
      <c r="AR78" s="4058"/>
      <c r="AS78" s="4058"/>
      <c r="AT78" s="4058"/>
      <c r="AU78" s="4058"/>
      <c r="AV78" s="4058"/>
      <c r="AW78" s="4058"/>
      <c r="AX78" s="4058"/>
      <c r="AY78" s="4058"/>
      <c r="AZ78" s="4058"/>
      <c r="BA78" s="4058"/>
      <c r="BB78" s="4058"/>
      <c r="BC78" s="4058"/>
      <c r="BD78" s="4058"/>
      <c r="BE78" s="4058"/>
      <c r="BF78" s="4058"/>
      <c r="BG78" s="4058"/>
      <c r="BH78" s="4058"/>
      <c r="BI78" s="4061"/>
      <c r="BJ78" s="4045"/>
      <c r="BK78" s="4045"/>
      <c r="BL78" s="4045"/>
      <c r="BM78" s="4045"/>
      <c r="BN78" s="3471"/>
      <c r="BO78" s="3471"/>
      <c r="BP78" s="3471"/>
      <c r="BQ78" s="3471"/>
      <c r="BR78" s="2054"/>
      <c r="BS78" s="4046"/>
      <c r="BT78" s="4058"/>
      <c r="BU78" s="4058"/>
      <c r="BV78" s="2453"/>
      <c r="BW78" s="15862"/>
      <c r="BX78" s="2727"/>
      <c r="BY78" s="4046"/>
      <c r="BZ78" s="1934"/>
      <c r="CA78" s="4049"/>
      <c r="CB78" s="4049"/>
      <c r="CC78" s="4049"/>
      <c r="CD78" s="4049"/>
      <c r="CE78" s="4050"/>
      <c r="CF78" s="4050"/>
      <c r="CG78" s="4050"/>
      <c r="CH78" s="4050"/>
      <c r="CI78" s="4050"/>
      <c r="CJ78" s="4050"/>
      <c r="CK78" s="4050"/>
      <c r="CL78" s="4050"/>
      <c r="CM78" s="4050"/>
      <c r="CN78" s="4050"/>
      <c r="CO78" s="4050"/>
      <c r="CP78" s="4050"/>
      <c r="CQ78" s="4050"/>
      <c r="CR78" s="4050"/>
      <c r="CS78" s="4050"/>
      <c r="CT78" s="4050"/>
      <c r="CU78" s="4050"/>
      <c r="CV78" s="4050"/>
      <c r="CW78" s="4050"/>
      <c r="CX78" s="4050"/>
      <c r="CY78" s="4050"/>
      <c r="CZ78" s="4050"/>
      <c r="DA78" s="4051"/>
      <c r="DB78" s="4050"/>
      <c r="DC78" s="4050"/>
      <c r="DD78" s="4050"/>
      <c r="DE78" s="4050"/>
      <c r="DF78" s="4050"/>
      <c r="DG78" s="4050"/>
      <c r="DH78" s="4050"/>
      <c r="DI78" s="4050"/>
      <c r="DJ78" s="4050"/>
      <c r="DK78" s="4050"/>
      <c r="DL78" s="4050"/>
      <c r="DM78" s="4050"/>
      <c r="DN78" s="4252"/>
      <c r="DO78" s="1819"/>
      <c r="DP78" s="4460"/>
      <c r="DQ78" s="4451"/>
      <c r="DR78" s="4451"/>
      <c r="DS78" s="4451"/>
      <c r="DT78" s="3471"/>
      <c r="DU78" s="3471"/>
      <c r="DV78" s="3471"/>
      <c r="DW78" s="3471"/>
      <c r="DX78" s="3471"/>
      <c r="DY78" s="3471"/>
      <c r="DZ78" s="3471"/>
      <c r="EA78" s="3471"/>
      <c r="EB78" s="3471"/>
      <c r="EC78" s="3471"/>
      <c r="ED78" s="3471"/>
      <c r="EE78" s="3471"/>
      <c r="EF78" s="3471"/>
      <c r="EG78" s="3471"/>
      <c r="EH78" s="3471"/>
      <c r="EI78" s="3471"/>
      <c r="EJ78" s="3471"/>
      <c r="EK78" s="3471"/>
      <c r="EL78" s="3471"/>
      <c r="EM78" s="3471"/>
      <c r="EN78" s="3471"/>
      <c r="EO78" s="3471"/>
      <c r="EP78" s="3471"/>
      <c r="EQ78" s="3471"/>
      <c r="ER78" s="3471"/>
      <c r="ES78" s="3471"/>
      <c r="ET78" s="3471"/>
      <c r="EU78" s="3471"/>
      <c r="EV78" s="3471"/>
      <c r="EW78" s="3471"/>
      <c r="EX78" s="3471"/>
      <c r="EY78" s="3471"/>
      <c r="EZ78" s="3471"/>
      <c r="FA78" s="3471"/>
      <c r="FB78" s="3471"/>
      <c r="FC78" s="3471"/>
      <c r="FD78" s="3471"/>
      <c r="FE78" s="3471"/>
      <c r="FF78" s="3471"/>
      <c r="FG78" s="3471"/>
      <c r="FH78" s="3471"/>
      <c r="FI78" s="2054"/>
    </row>
    <row r="79" spans="1:165" s="1780" customFormat="1" ht="15" customHeight="1">
      <c r="A79" s="15781"/>
      <c r="B79" s="15783"/>
      <c r="C79" s="4054" t="s">
        <v>1387</v>
      </c>
      <c r="D79" s="2727" t="s">
        <v>7868</v>
      </c>
      <c r="E79" s="4253" t="s">
        <v>1388</v>
      </c>
      <c r="F79" s="4054" t="s">
        <v>1389</v>
      </c>
      <c r="G79" s="4054" t="s">
        <v>70</v>
      </c>
      <c r="H79" s="4261">
        <v>2</v>
      </c>
      <c r="I79" s="4262">
        <v>10</v>
      </c>
      <c r="J79" s="4262">
        <v>20</v>
      </c>
      <c r="K79" s="2733" t="s">
        <v>187</v>
      </c>
      <c r="L79" s="4431" t="s">
        <v>2896</v>
      </c>
      <c r="M79" s="2733" t="s">
        <v>163</v>
      </c>
      <c r="N79" s="2733"/>
      <c r="O79" s="4056">
        <v>5000000</v>
      </c>
      <c r="P79" s="4057">
        <v>5150000</v>
      </c>
      <c r="Q79" s="4057">
        <v>5304500</v>
      </c>
      <c r="R79" s="4057">
        <v>10927270</v>
      </c>
      <c r="S79" s="4057">
        <v>11255088.1</v>
      </c>
      <c r="T79" s="4057">
        <v>11592740.743000001</v>
      </c>
      <c r="U79" s="4057">
        <v>11940522.965290001</v>
      </c>
      <c r="V79" s="4057">
        <v>12298738.654248701</v>
      </c>
      <c r="W79" s="4057">
        <v>12667700.813876163</v>
      </c>
      <c r="X79" s="4057">
        <v>13047731.838292448</v>
      </c>
      <c r="Y79" s="4057">
        <v>13439163.793441221</v>
      </c>
      <c r="Z79" s="4057">
        <v>112623456.90814854</v>
      </c>
      <c r="AA79" s="4263">
        <f>17/20</f>
        <v>0.85</v>
      </c>
      <c r="AB79" s="2727" t="s">
        <v>2948</v>
      </c>
      <c r="AC79" s="4264" t="s">
        <v>2949</v>
      </c>
      <c r="AD79" s="4045"/>
      <c r="AE79" s="4059">
        <v>35413366</v>
      </c>
      <c r="AF79" s="4045" t="s">
        <v>2943</v>
      </c>
      <c r="AG79" s="4045"/>
      <c r="AH79" s="4045"/>
      <c r="AI79" s="4265">
        <v>17</v>
      </c>
      <c r="AJ79" s="4058">
        <v>9</v>
      </c>
      <c r="AK79" s="4058">
        <v>8</v>
      </c>
      <c r="AL79" s="4058">
        <v>11</v>
      </c>
      <c r="AM79" s="4058">
        <v>6</v>
      </c>
      <c r="AN79" s="4058"/>
      <c r="AO79" s="4058"/>
      <c r="AP79" s="4058">
        <v>3</v>
      </c>
      <c r="AQ79" s="4058">
        <v>11</v>
      </c>
      <c r="AR79" s="4058">
        <v>3</v>
      </c>
      <c r="AS79" s="4058"/>
      <c r="AT79" s="4058"/>
      <c r="AU79" s="4058"/>
      <c r="AV79" s="4058"/>
      <c r="AW79" s="4058"/>
      <c r="AX79" s="4058"/>
      <c r="AY79" s="4058"/>
      <c r="AZ79" s="4058"/>
      <c r="BA79" s="4058"/>
      <c r="BB79" s="4058"/>
      <c r="BC79" s="4058"/>
      <c r="BD79" s="4058"/>
      <c r="BE79" s="4058"/>
      <c r="BF79" s="4058"/>
      <c r="BG79" s="4058"/>
      <c r="BH79" s="4058"/>
      <c r="BI79" s="4061"/>
      <c r="BJ79" s="4045"/>
      <c r="BK79" s="4045"/>
      <c r="BL79" s="4045"/>
      <c r="BM79" s="4045"/>
      <c r="BN79" s="3471"/>
      <c r="BO79" s="3471"/>
      <c r="BP79" s="3471"/>
      <c r="BQ79" s="3471"/>
      <c r="BR79" s="2054"/>
      <c r="BS79" s="4046" t="s">
        <v>3781</v>
      </c>
      <c r="BT79" s="4046" t="s">
        <v>3781</v>
      </c>
      <c r="BU79" s="4063">
        <v>17</v>
      </c>
      <c r="BV79" s="2453" t="s">
        <v>3781</v>
      </c>
      <c r="BW79" s="15862"/>
      <c r="BX79" s="2727" t="s">
        <v>8904</v>
      </c>
      <c r="BY79" s="4046"/>
      <c r="BZ79" s="1934"/>
      <c r="CA79" s="4049"/>
      <c r="CB79" s="4049"/>
      <c r="CC79" s="4049"/>
      <c r="CD79" s="4049"/>
      <c r="CE79" s="4050"/>
      <c r="CF79" s="4050"/>
      <c r="CG79" s="4050"/>
      <c r="CH79" s="4050"/>
      <c r="CI79" s="4050"/>
      <c r="CJ79" s="4050"/>
      <c r="CK79" s="4050"/>
      <c r="CL79" s="4050"/>
      <c r="CM79" s="4050"/>
      <c r="CN79" s="4050"/>
      <c r="CO79" s="4050"/>
      <c r="CP79" s="4050"/>
      <c r="CQ79" s="4050"/>
      <c r="CR79" s="4050"/>
      <c r="CS79" s="4050"/>
      <c r="CT79" s="4050"/>
      <c r="CU79" s="4050"/>
      <c r="CV79" s="4050"/>
      <c r="CW79" s="4050"/>
      <c r="CX79" s="4050"/>
      <c r="CY79" s="4050"/>
      <c r="CZ79" s="4050"/>
      <c r="DA79" s="4051"/>
      <c r="DB79" s="4050"/>
      <c r="DC79" s="4050"/>
      <c r="DD79" s="4050"/>
      <c r="DE79" s="4050"/>
      <c r="DF79" s="4050"/>
      <c r="DG79" s="4050"/>
      <c r="DH79" s="4050"/>
      <c r="DI79" s="4050"/>
      <c r="DJ79" s="4050"/>
      <c r="DK79" s="4050"/>
      <c r="DL79" s="4050"/>
      <c r="DM79" s="4050"/>
      <c r="DN79" s="4252"/>
      <c r="DO79" s="1819"/>
      <c r="DP79" s="4460"/>
      <c r="DQ79" s="4451"/>
      <c r="DR79" s="4451"/>
      <c r="DS79" s="4451"/>
      <c r="DT79" s="3471"/>
      <c r="DU79" s="3471"/>
      <c r="DV79" s="3471"/>
      <c r="DW79" s="3471"/>
      <c r="DX79" s="3471"/>
      <c r="DY79" s="3471"/>
      <c r="DZ79" s="3471"/>
      <c r="EA79" s="3471"/>
      <c r="EB79" s="3471"/>
      <c r="EC79" s="3471"/>
      <c r="ED79" s="3471"/>
      <c r="EE79" s="3471"/>
      <c r="EF79" s="3471"/>
      <c r="EG79" s="3471"/>
      <c r="EH79" s="3471"/>
      <c r="EI79" s="3471"/>
      <c r="EJ79" s="3471"/>
      <c r="EK79" s="3471"/>
      <c r="EL79" s="3471"/>
      <c r="EM79" s="3471"/>
      <c r="EN79" s="3471"/>
      <c r="EO79" s="3471"/>
      <c r="EP79" s="3471"/>
      <c r="EQ79" s="3471"/>
      <c r="ER79" s="3471"/>
      <c r="ES79" s="3471"/>
      <c r="ET79" s="3471"/>
      <c r="EU79" s="3471"/>
      <c r="EV79" s="3471"/>
      <c r="EW79" s="3471"/>
      <c r="EX79" s="3471"/>
      <c r="EY79" s="3471"/>
      <c r="EZ79" s="3471"/>
      <c r="FA79" s="3471"/>
      <c r="FB79" s="3471"/>
      <c r="FC79" s="3471"/>
      <c r="FD79" s="3471"/>
      <c r="FE79" s="3471"/>
      <c r="FF79" s="3471"/>
      <c r="FG79" s="3471"/>
      <c r="FH79" s="3471"/>
      <c r="FI79" s="2054"/>
    </row>
    <row r="80" spans="1:165" s="1780" customFormat="1" ht="15" customHeight="1">
      <c r="A80" s="15781"/>
      <c r="B80" s="15783"/>
      <c r="C80" s="15783" t="s">
        <v>1368</v>
      </c>
      <c r="D80" s="2727" t="s">
        <v>7869</v>
      </c>
      <c r="E80" s="4253" t="s">
        <v>1390</v>
      </c>
      <c r="F80" s="4054" t="s">
        <v>1391</v>
      </c>
      <c r="G80" s="4054" t="s">
        <v>70</v>
      </c>
      <c r="H80" s="4262">
        <v>100</v>
      </c>
      <c r="I80" s="4262">
        <v>200</v>
      </c>
      <c r="J80" s="4262">
        <v>400</v>
      </c>
      <c r="K80" s="2733" t="s">
        <v>1392</v>
      </c>
      <c r="L80" s="4431" t="s">
        <v>2896</v>
      </c>
      <c r="M80" s="2733" t="s">
        <v>163</v>
      </c>
      <c r="N80" s="2733"/>
      <c r="O80" s="4057">
        <v>20000000</v>
      </c>
      <c r="P80" s="4057">
        <v>20600000</v>
      </c>
      <c r="Q80" s="4057">
        <v>21218000</v>
      </c>
      <c r="R80" s="4057">
        <v>31827000</v>
      </c>
      <c r="S80" s="4057">
        <v>31827000</v>
      </c>
      <c r="T80" s="4057">
        <v>31827000</v>
      </c>
      <c r="U80" s="4057">
        <v>31827000</v>
      </c>
      <c r="V80" s="4057">
        <v>31827000</v>
      </c>
      <c r="W80" s="4057">
        <v>31827000</v>
      </c>
      <c r="X80" s="4057">
        <v>31827000</v>
      </c>
      <c r="Y80" s="4057">
        <v>63654000</v>
      </c>
      <c r="Z80" s="4057">
        <v>348261000</v>
      </c>
      <c r="AA80" s="4063"/>
      <c r="AB80" s="2727" t="s">
        <v>2944</v>
      </c>
      <c r="AC80" s="4045"/>
      <c r="AD80" s="4045"/>
      <c r="AE80" s="4266"/>
      <c r="AF80" s="4045"/>
      <c r="AG80" s="4045"/>
      <c r="AH80" s="4045"/>
      <c r="AI80" s="4266"/>
      <c r="AJ80" s="4266"/>
      <c r="AK80" s="4266"/>
      <c r="AL80" s="4266"/>
      <c r="AM80" s="4266"/>
      <c r="AN80" s="4266"/>
      <c r="AO80" s="4266"/>
      <c r="AP80" s="4266"/>
      <c r="AQ80" s="4266"/>
      <c r="AR80" s="4266"/>
      <c r="AS80" s="4045"/>
      <c r="AT80" s="4045"/>
      <c r="AU80" s="4045"/>
      <c r="AV80" s="4045"/>
      <c r="AW80" s="4045"/>
      <c r="AX80" s="4045"/>
      <c r="AY80" s="4045"/>
      <c r="AZ80" s="4045"/>
      <c r="BA80" s="4045"/>
      <c r="BB80" s="4045"/>
      <c r="BC80" s="4045"/>
      <c r="BD80" s="4045"/>
      <c r="BE80" s="4045"/>
      <c r="BF80" s="4045"/>
      <c r="BG80" s="4045"/>
      <c r="BH80" s="4045"/>
      <c r="BI80" s="4061"/>
      <c r="BJ80" s="4045"/>
      <c r="BK80" s="4045"/>
      <c r="BL80" s="4045"/>
      <c r="BM80" s="4045"/>
      <c r="BN80" s="3471"/>
      <c r="BO80" s="3471"/>
      <c r="BP80" s="3471"/>
      <c r="BQ80" s="3471"/>
      <c r="BR80" s="2054"/>
      <c r="BS80" s="4046">
        <v>0</v>
      </c>
      <c r="BT80" s="4063">
        <v>400</v>
      </c>
      <c r="BU80" s="4063">
        <v>0</v>
      </c>
      <c r="BV80" s="2453">
        <v>0</v>
      </c>
      <c r="BW80" s="15862"/>
      <c r="BX80" s="4267"/>
      <c r="BY80" s="4046"/>
      <c r="BZ80" s="2727" t="s">
        <v>8905</v>
      </c>
      <c r="CA80" s="4049"/>
      <c r="CB80" s="4049"/>
      <c r="CC80" s="4049"/>
      <c r="CD80" s="4049"/>
      <c r="CE80" s="4050"/>
      <c r="CF80" s="4050"/>
      <c r="CG80" s="4050"/>
      <c r="CH80" s="4050"/>
      <c r="CI80" s="4050"/>
      <c r="CJ80" s="4050"/>
      <c r="CK80" s="4050"/>
      <c r="CL80" s="4050"/>
      <c r="CM80" s="4050"/>
      <c r="CN80" s="4050"/>
      <c r="CO80" s="4050"/>
      <c r="CP80" s="4050"/>
      <c r="CQ80" s="4050"/>
      <c r="CR80" s="4050"/>
      <c r="CS80" s="4050"/>
      <c r="CT80" s="4050"/>
      <c r="CU80" s="4050"/>
      <c r="CV80" s="4050"/>
      <c r="CW80" s="4050"/>
      <c r="CX80" s="4050"/>
      <c r="CY80" s="4050"/>
      <c r="CZ80" s="4050"/>
      <c r="DA80" s="4051"/>
      <c r="DB80" s="4050"/>
      <c r="DC80" s="4050"/>
      <c r="DD80" s="4050"/>
      <c r="DE80" s="4050"/>
      <c r="DF80" s="4050"/>
      <c r="DG80" s="4050"/>
      <c r="DH80" s="4050"/>
      <c r="DI80" s="4050"/>
      <c r="DJ80" s="4050"/>
      <c r="DK80" s="4050"/>
      <c r="DL80" s="4050"/>
      <c r="DM80" s="4050"/>
      <c r="DN80" s="4252"/>
      <c r="DO80" s="1819"/>
      <c r="DP80" s="4460"/>
      <c r="DQ80" s="4451"/>
      <c r="DR80" s="4451"/>
      <c r="DS80" s="4451"/>
      <c r="DT80" s="3471"/>
      <c r="DU80" s="3471"/>
      <c r="DV80" s="3471"/>
      <c r="DW80" s="3471"/>
      <c r="DX80" s="3471"/>
      <c r="DY80" s="3471"/>
      <c r="DZ80" s="3471"/>
      <c r="EA80" s="3471"/>
      <c r="EB80" s="3471"/>
      <c r="EC80" s="3471"/>
      <c r="ED80" s="3471"/>
      <c r="EE80" s="3471"/>
      <c r="EF80" s="3471"/>
      <c r="EG80" s="3471"/>
      <c r="EH80" s="3471"/>
      <c r="EI80" s="3471"/>
      <c r="EJ80" s="3471"/>
      <c r="EK80" s="3471"/>
      <c r="EL80" s="3471"/>
      <c r="EM80" s="3471"/>
      <c r="EN80" s="3471"/>
      <c r="EO80" s="3471"/>
      <c r="EP80" s="3471"/>
      <c r="EQ80" s="3471"/>
      <c r="ER80" s="3471"/>
      <c r="ES80" s="3471"/>
      <c r="ET80" s="3471"/>
      <c r="EU80" s="3471"/>
      <c r="EV80" s="3471"/>
      <c r="EW80" s="3471"/>
      <c r="EX80" s="3471"/>
      <c r="EY80" s="3471"/>
      <c r="EZ80" s="3471"/>
      <c r="FA80" s="3471"/>
      <c r="FB80" s="3471"/>
      <c r="FC80" s="3471"/>
      <c r="FD80" s="3471"/>
      <c r="FE80" s="3471"/>
      <c r="FF80" s="3471"/>
      <c r="FG80" s="3471"/>
      <c r="FH80" s="3471"/>
      <c r="FI80" s="2054"/>
    </row>
    <row r="81" spans="1:165" s="1780" customFormat="1" ht="15" customHeight="1">
      <c r="A81" s="15781"/>
      <c r="B81" s="15783"/>
      <c r="C81" s="15783"/>
      <c r="D81" s="2727" t="s">
        <v>7870</v>
      </c>
      <c r="E81" s="4253" t="s">
        <v>1393</v>
      </c>
      <c r="F81" s="4054" t="s">
        <v>1394</v>
      </c>
      <c r="G81" s="4054" t="s">
        <v>70</v>
      </c>
      <c r="H81" s="2733" t="s">
        <v>180</v>
      </c>
      <c r="I81" s="2733" t="s">
        <v>181</v>
      </c>
      <c r="J81" s="2733" t="s">
        <v>182</v>
      </c>
      <c r="K81" s="2733" t="s">
        <v>183</v>
      </c>
      <c r="L81" s="4431" t="s">
        <v>2896</v>
      </c>
      <c r="M81" s="2733" t="s">
        <v>163</v>
      </c>
      <c r="N81" s="2733"/>
      <c r="O81" s="4057">
        <v>50000000</v>
      </c>
      <c r="P81" s="4057">
        <v>51500000</v>
      </c>
      <c r="Q81" s="4057">
        <v>53045000</v>
      </c>
      <c r="R81" s="4057">
        <v>74899540</v>
      </c>
      <c r="S81" s="4057">
        <v>77146526.200000003</v>
      </c>
      <c r="T81" s="4057">
        <v>79460921.986000001</v>
      </c>
      <c r="U81" s="4057">
        <v>81844749.645580009</v>
      </c>
      <c r="V81" s="4057">
        <v>84300092.134947404</v>
      </c>
      <c r="W81" s="4057">
        <v>86829094.898995832</v>
      </c>
      <c r="X81" s="4057">
        <v>89433967.745965704</v>
      </c>
      <c r="Y81" s="4057">
        <v>135492461.13513803</v>
      </c>
      <c r="Z81" s="4057">
        <v>863952353.74662697</v>
      </c>
      <c r="AA81" s="4268">
        <v>1</v>
      </c>
      <c r="AB81" s="2727" t="s">
        <v>2945</v>
      </c>
      <c r="AC81" s="4045"/>
      <c r="AD81" s="4045"/>
      <c r="AE81" s="4269">
        <v>3720000</v>
      </c>
      <c r="AF81" s="4045"/>
      <c r="AG81" s="4045"/>
      <c r="AH81" s="4045"/>
      <c r="AI81" s="4265">
        <v>300</v>
      </c>
      <c r="AJ81" s="4058">
        <v>165</v>
      </c>
      <c r="AK81" s="4058">
        <v>135</v>
      </c>
      <c r="AL81" s="4058">
        <v>200</v>
      </c>
      <c r="AM81" s="4058">
        <v>100</v>
      </c>
      <c r="AN81" s="4058">
        <v>0</v>
      </c>
      <c r="AO81" s="4058">
        <v>0</v>
      </c>
      <c r="AP81" s="4058">
        <v>0</v>
      </c>
      <c r="AQ81" s="4058">
        <v>55</v>
      </c>
      <c r="AR81" s="4058">
        <v>245</v>
      </c>
      <c r="AS81" s="4058">
        <v>0</v>
      </c>
      <c r="AT81" s="4058">
        <v>0</v>
      </c>
      <c r="AU81" s="4058">
        <v>0</v>
      </c>
      <c r="AV81" s="4058">
        <v>0</v>
      </c>
      <c r="AW81" s="4058">
        <v>0</v>
      </c>
      <c r="AX81" s="4058">
        <v>0</v>
      </c>
      <c r="AY81" s="4058">
        <v>0</v>
      </c>
      <c r="AZ81" s="4058">
        <v>0</v>
      </c>
      <c r="BA81" s="4058">
        <v>0</v>
      </c>
      <c r="BB81" s="4058"/>
      <c r="BC81" s="4058">
        <v>0</v>
      </c>
      <c r="BD81" s="4058">
        <v>0</v>
      </c>
      <c r="BE81" s="4058">
        <v>0</v>
      </c>
      <c r="BF81" s="4058">
        <v>0</v>
      </c>
      <c r="BG81" s="4058">
        <v>0</v>
      </c>
      <c r="BH81" s="4058">
        <v>0</v>
      </c>
      <c r="BI81" s="4061"/>
      <c r="BJ81" s="4045"/>
      <c r="BK81" s="4045"/>
      <c r="BL81" s="4045"/>
      <c r="BM81" s="4045"/>
      <c r="BN81" s="3471"/>
      <c r="BO81" s="3471"/>
      <c r="BP81" s="3471"/>
      <c r="BQ81" s="3471"/>
      <c r="BR81" s="2054"/>
      <c r="BS81" s="2727" t="s">
        <v>3781</v>
      </c>
      <c r="BT81" s="4063" t="s">
        <v>3781</v>
      </c>
      <c r="BU81" s="4063">
        <v>300</v>
      </c>
      <c r="BV81" s="2453" t="s">
        <v>3781</v>
      </c>
      <c r="BW81" s="15862"/>
      <c r="BX81" s="4062" t="s">
        <v>8906</v>
      </c>
      <c r="BY81" s="4046"/>
      <c r="BZ81" s="4046"/>
      <c r="CA81" s="4270">
        <v>15000000</v>
      </c>
      <c r="CB81" s="4049"/>
      <c r="CC81" s="4049"/>
      <c r="CD81" s="4049"/>
      <c r="CE81" s="4050"/>
      <c r="CF81" s="4050"/>
      <c r="CG81" s="4050"/>
      <c r="CH81" s="4050"/>
      <c r="CI81" s="4050"/>
      <c r="CJ81" s="4050"/>
      <c r="CK81" s="4050"/>
      <c r="CL81" s="4050"/>
      <c r="CM81" s="4050"/>
      <c r="CN81" s="4050"/>
      <c r="CO81" s="4050"/>
      <c r="CP81" s="4050"/>
      <c r="CQ81" s="4050"/>
      <c r="CR81" s="4050"/>
      <c r="CS81" s="4050"/>
      <c r="CT81" s="4050"/>
      <c r="CU81" s="4050"/>
      <c r="CV81" s="4050"/>
      <c r="CW81" s="4050"/>
      <c r="CX81" s="4050"/>
      <c r="CY81" s="4050"/>
      <c r="CZ81" s="4050"/>
      <c r="DA81" s="4051"/>
      <c r="DB81" s="4050"/>
      <c r="DC81" s="4050"/>
      <c r="DD81" s="4050"/>
      <c r="DE81" s="4050"/>
      <c r="DF81" s="4050"/>
      <c r="DG81" s="4050"/>
      <c r="DH81" s="4050"/>
      <c r="DI81" s="4050"/>
      <c r="DJ81" s="4050"/>
      <c r="DK81" s="4050"/>
      <c r="DL81" s="4050"/>
      <c r="DM81" s="4050"/>
      <c r="DN81" s="4252"/>
      <c r="DO81" s="1819"/>
      <c r="DP81" s="4460"/>
      <c r="DQ81" s="4451"/>
      <c r="DR81" s="4451"/>
      <c r="DS81" s="4451"/>
      <c r="DT81" s="3471"/>
      <c r="DU81" s="3471"/>
      <c r="DV81" s="3471"/>
      <c r="DW81" s="3471"/>
      <c r="DX81" s="3471"/>
      <c r="DY81" s="3471"/>
      <c r="DZ81" s="3471"/>
      <c r="EA81" s="3471"/>
      <c r="EB81" s="3471"/>
      <c r="EC81" s="3471"/>
      <c r="ED81" s="3471"/>
      <c r="EE81" s="3471"/>
      <c r="EF81" s="3471"/>
      <c r="EG81" s="3471"/>
      <c r="EH81" s="3471"/>
      <c r="EI81" s="3471"/>
      <c r="EJ81" s="3471"/>
      <c r="EK81" s="3471"/>
      <c r="EL81" s="3471"/>
      <c r="EM81" s="3471"/>
      <c r="EN81" s="3471"/>
      <c r="EO81" s="3471"/>
      <c r="EP81" s="3471"/>
      <c r="EQ81" s="3471"/>
      <c r="ER81" s="3471"/>
      <c r="ES81" s="3471"/>
      <c r="ET81" s="3471"/>
      <c r="EU81" s="3471"/>
      <c r="EV81" s="3471"/>
      <c r="EW81" s="3471"/>
      <c r="EX81" s="3471"/>
      <c r="EY81" s="3471"/>
      <c r="EZ81" s="3471"/>
      <c r="FA81" s="3471"/>
      <c r="FB81" s="3471"/>
      <c r="FC81" s="3471"/>
      <c r="FD81" s="3471"/>
      <c r="FE81" s="3471"/>
      <c r="FF81" s="3471"/>
      <c r="FG81" s="3471"/>
      <c r="FH81" s="3471"/>
      <c r="FI81" s="2054"/>
    </row>
    <row r="82" spans="1:165" s="1780" customFormat="1" ht="15" customHeight="1">
      <c r="A82" s="15781"/>
      <c r="B82" s="15783"/>
      <c r="C82" s="4066" t="s">
        <v>1395</v>
      </c>
      <c r="D82" s="3870" t="s">
        <v>7871</v>
      </c>
      <c r="E82" s="4066" t="s">
        <v>1396</v>
      </c>
      <c r="F82" s="4066" t="s">
        <v>198</v>
      </c>
      <c r="G82" s="4054" t="s">
        <v>70</v>
      </c>
      <c r="H82" s="2733" t="s">
        <v>199</v>
      </c>
      <c r="I82" s="2733" t="s">
        <v>200</v>
      </c>
      <c r="J82" s="4067" t="s">
        <v>201</v>
      </c>
      <c r="K82" s="4067" t="s">
        <v>202</v>
      </c>
      <c r="L82" s="4431" t="s">
        <v>2896</v>
      </c>
      <c r="M82" s="2733" t="s">
        <v>163</v>
      </c>
      <c r="N82" s="4271" t="s">
        <v>1397</v>
      </c>
      <c r="O82" s="4056">
        <v>40000000</v>
      </c>
      <c r="P82" s="4057">
        <v>41200000</v>
      </c>
      <c r="Q82" s="4057">
        <v>42436000</v>
      </c>
      <c r="R82" s="4057">
        <v>82400000</v>
      </c>
      <c r="S82" s="4057">
        <v>84872000</v>
      </c>
      <c r="T82" s="4057">
        <v>87418160</v>
      </c>
      <c r="U82" s="4057">
        <v>90040704.799999997</v>
      </c>
      <c r="V82" s="4057">
        <v>92741925.944000006</v>
      </c>
      <c r="W82" s="4057">
        <v>95524183.722320005</v>
      </c>
      <c r="X82" s="4057">
        <v>98389909.233989611</v>
      </c>
      <c r="Y82" s="4057">
        <v>123600000</v>
      </c>
      <c r="Z82" s="4057">
        <v>878622883.70030951</v>
      </c>
      <c r="AA82" s="4256">
        <v>0.4</v>
      </c>
      <c r="AB82" s="2560" t="s">
        <v>9623</v>
      </c>
      <c r="AC82" s="4045"/>
      <c r="AD82" s="4045"/>
      <c r="AE82" s="4272"/>
      <c r="AF82" s="4045"/>
      <c r="AG82" s="4045"/>
      <c r="AH82" s="4045"/>
      <c r="AI82" s="4273"/>
      <c r="AJ82" s="4254"/>
      <c r="AK82" s="4254"/>
      <c r="AL82" s="4254"/>
      <c r="AM82" s="4254"/>
      <c r="AN82" s="4254"/>
      <c r="AO82" s="4254"/>
      <c r="AP82" s="4254"/>
      <c r="AQ82" s="4254"/>
      <c r="AR82" s="4254"/>
      <c r="AS82" s="4254"/>
      <c r="AT82" s="4254"/>
      <c r="AU82" s="4254"/>
      <c r="AV82" s="4254"/>
      <c r="AW82" s="4254"/>
      <c r="AX82" s="4254"/>
      <c r="AY82" s="4254"/>
      <c r="AZ82" s="4254"/>
      <c r="BA82" s="4254"/>
      <c r="BB82" s="4254"/>
      <c r="BC82" s="4254"/>
      <c r="BD82" s="4254"/>
      <c r="BE82" s="4254"/>
      <c r="BF82" s="4254"/>
      <c r="BG82" s="4254"/>
      <c r="BH82" s="4254"/>
      <c r="BI82" s="4061"/>
      <c r="BJ82" s="4045"/>
      <c r="BK82" s="4045"/>
      <c r="BL82" s="4045"/>
      <c r="BM82" s="4045"/>
      <c r="BN82" s="3471"/>
      <c r="BO82" s="3471"/>
      <c r="BP82" s="3471"/>
      <c r="BQ82" s="3471"/>
      <c r="BR82" s="2054"/>
      <c r="BS82" s="4274">
        <v>1</v>
      </c>
      <c r="BT82" s="4256">
        <v>1</v>
      </c>
      <c r="BU82" s="4256">
        <v>1</v>
      </c>
      <c r="BV82" s="2453">
        <v>1</v>
      </c>
      <c r="BW82" s="15862"/>
      <c r="BX82" s="4062" t="s">
        <v>8907</v>
      </c>
      <c r="BY82" s="2727" t="s">
        <v>8908</v>
      </c>
      <c r="BZ82" s="2727" t="s">
        <v>8909</v>
      </c>
      <c r="CA82" s="4275">
        <v>15000000</v>
      </c>
      <c r="CB82" s="4049"/>
      <c r="CC82" s="4049"/>
      <c r="CD82" s="4049"/>
      <c r="CE82" s="4050"/>
      <c r="CF82" s="4050"/>
      <c r="CG82" s="4050"/>
      <c r="CH82" s="4050"/>
      <c r="CI82" s="4050"/>
      <c r="CJ82" s="4050"/>
      <c r="CK82" s="4050"/>
      <c r="CL82" s="4050"/>
      <c r="CM82" s="4050"/>
      <c r="CN82" s="4050"/>
      <c r="CO82" s="4050"/>
      <c r="CP82" s="4050"/>
      <c r="CQ82" s="4050"/>
      <c r="CR82" s="4050"/>
      <c r="CS82" s="4050"/>
      <c r="CT82" s="4050"/>
      <c r="CU82" s="4050"/>
      <c r="CV82" s="4050"/>
      <c r="CW82" s="4050"/>
      <c r="CX82" s="4050"/>
      <c r="CY82" s="4050"/>
      <c r="CZ82" s="4050"/>
      <c r="DA82" s="4051"/>
      <c r="DB82" s="4050"/>
      <c r="DC82" s="4050"/>
      <c r="DD82" s="4050"/>
      <c r="DE82" s="4050"/>
      <c r="DF82" s="4050"/>
      <c r="DG82" s="4050"/>
      <c r="DH82" s="4050"/>
      <c r="DI82" s="4050"/>
      <c r="DJ82" s="4050"/>
      <c r="DK82" s="4050"/>
      <c r="DL82" s="4050"/>
      <c r="DM82" s="4050"/>
      <c r="DN82" s="4252"/>
      <c r="DO82" s="1819"/>
      <c r="DP82" s="4460"/>
      <c r="DQ82" s="4451"/>
      <c r="DR82" s="4451"/>
      <c r="DS82" s="4451"/>
      <c r="DT82" s="3471"/>
      <c r="DU82" s="3471"/>
      <c r="DV82" s="3471"/>
      <c r="DW82" s="3471"/>
      <c r="DX82" s="3471"/>
      <c r="DY82" s="3471"/>
      <c r="DZ82" s="3471"/>
      <c r="EA82" s="3471"/>
      <c r="EB82" s="3471"/>
      <c r="EC82" s="3471"/>
      <c r="ED82" s="3471"/>
      <c r="EE82" s="3471"/>
      <c r="EF82" s="3471"/>
      <c r="EG82" s="3471"/>
      <c r="EH82" s="3471"/>
      <c r="EI82" s="3471"/>
      <c r="EJ82" s="3471"/>
      <c r="EK82" s="3471"/>
      <c r="EL82" s="3471"/>
      <c r="EM82" s="3471"/>
      <c r="EN82" s="3471"/>
      <c r="EO82" s="3471"/>
      <c r="EP82" s="3471"/>
      <c r="EQ82" s="3471"/>
      <c r="ER82" s="3471"/>
      <c r="ES82" s="3471"/>
      <c r="ET82" s="3471"/>
      <c r="EU82" s="3471"/>
      <c r="EV82" s="3471"/>
      <c r="EW82" s="3471"/>
      <c r="EX82" s="3471"/>
      <c r="EY82" s="3471"/>
      <c r="EZ82" s="3471"/>
      <c r="FA82" s="3471"/>
      <c r="FB82" s="3471"/>
      <c r="FC82" s="3471"/>
      <c r="FD82" s="3471"/>
      <c r="FE82" s="3471"/>
      <c r="FF82" s="3471"/>
      <c r="FG82" s="3471"/>
      <c r="FH82" s="3471"/>
      <c r="FI82" s="2054"/>
    </row>
    <row r="83" spans="1:165" s="1780" customFormat="1" ht="15" customHeight="1" thickBot="1">
      <c r="A83" s="15782"/>
      <c r="B83" s="15784"/>
      <c r="C83" s="3880" t="s">
        <v>1398</v>
      </c>
      <c r="D83" s="4347" t="s">
        <v>7872</v>
      </c>
      <c r="E83" s="1935" t="s">
        <v>1399</v>
      </c>
      <c r="F83" s="3880" t="s">
        <v>1400</v>
      </c>
      <c r="G83" s="3880" t="s">
        <v>70</v>
      </c>
      <c r="H83" s="1936">
        <v>1</v>
      </c>
      <c r="I83" s="1936">
        <v>2</v>
      </c>
      <c r="J83" s="1936">
        <v>3</v>
      </c>
      <c r="K83" s="1937" t="s">
        <v>1401</v>
      </c>
      <c r="L83" s="4432" t="s">
        <v>2896</v>
      </c>
      <c r="M83" s="1936" t="s">
        <v>163</v>
      </c>
      <c r="N83" s="4068" t="s">
        <v>1397</v>
      </c>
      <c r="O83" s="1938">
        <v>50000000</v>
      </c>
      <c r="P83" s="1938">
        <v>51500000</v>
      </c>
      <c r="Q83" s="1938">
        <v>53045000</v>
      </c>
      <c r="R83" s="1938">
        <v>74899540</v>
      </c>
      <c r="S83" s="1938">
        <v>77146526.200000003</v>
      </c>
      <c r="T83" s="1938">
        <v>79460921.986000001</v>
      </c>
      <c r="U83" s="1938">
        <v>81844749.645580009</v>
      </c>
      <c r="V83" s="1938">
        <v>84300092.134947404</v>
      </c>
      <c r="W83" s="1938">
        <v>86829094.898995832</v>
      </c>
      <c r="X83" s="1938">
        <v>89433967.745965704</v>
      </c>
      <c r="Y83" s="1938">
        <v>135492461.13513803</v>
      </c>
      <c r="Z83" s="1938">
        <v>863952353.74662697</v>
      </c>
      <c r="AA83" s="1786"/>
      <c r="AB83" s="1786" t="s">
        <v>2946</v>
      </c>
      <c r="AC83" s="1939"/>
      <c r="AD83" s="1939"/>
      <c r="AE83" s="1940"/>
      <c r="AF83" s="1939"/>
      <c r="AG83" s="1939"/>
      <c r="AH83" s="1939"/>
      <c r="AI83" s="1941"/>
      <c r="AJ83" s="1939"/>
      <c r="AK83" s="1939"/>
      <c r="AL83" s="1939"/>
      <c r="AM83" s="1939"/>
      <c r="AN83" s="1939"/>
      <c r="AO83" s="1939"/>
      <c r="AP83" s="1939"/>
      <c r="AQ83" s="1939"/>
      <c r="AR83" s="1939"/>
      <c r="AS83" s="1939"/>
      <c r="AT83" s="1939"/>
      <c r="AU83" s="1939"/>
      <c r="AV83" s="1939"/>
      <c r="AW83" s="1939"/>
      <c r="AX83" s="1939"/>
      <c r="AY83" s="1939"/>
      <c r="AZ83" s="1939"/>
      <c r="BA83" s="1939"/>
      <c r="BB83" s="1939"/>
      <c r="BC83" s="1939"/>
      <c r="BD83" s="1939"/>
      <c r="BE83" s="1939"/>
      <c r="BF83" s="1939"/>
      <c r="BG83" s="1939"/>
      <c r="BH83" s="1939"/>
      <c r="BI83" s="1942"/>
      <c r="BJ83" s="1939"/>
      <c r="BK83" s="1939"/>
      <c r="BL83" s="1939"/>
      <c r="BM83" s="1939"/>
      <c r="BN83" s="1943"/>
      <c r="BO83" s="1943"/>
      <c r="BP83" s="1943"/>
      <c r="BQ83" s="1943"/>
      <c r="BR83" s="1944"/>
      <c r="BS83" s="4348" t="s">
        <v>3781</v>
      </c>
      <c r="BT83" s="1786" t="s">
        <v>3781</v>
      </c>
      <c r="BU83" s="1786">
        <v>2</v>
      </c>
      <c r="BV83" s="4349" t="s">
        <v>3781</v>
      </c>
      <c r="BW83" s="15863"/>
      <c r="BX83" s="1786" t="s">
        <v>8910</v>
      </c>
      <c r="BY83" s="4348"/>
      <c r="BZ83" s="1786"/>
      <c r="CA83" s="4350"/>
      <c r="CB83" s="4350"/>
      <c r="CC83" s="4350"/>
      <c r="CD83" s="4350"/>
      <c r="CE83" s="4351"/>
      <c r="CF83" s="4351"/>
      <c r="CG83" s="4351"/>
      <c r="CH83" s="4351"/>
      <c r="CI83" s="4351"/>
      <c r="CJ83" s="4351"/>
      <c r="CK83" s="4351"/>
      <c r="CL83" s="4351"/>
      <c r="CM83" s="4351"/>
      <c r="CN83" s="4351"/>
      <c r="CO83" s="4351"/>
      <c r="CP83" s="4351"/>
      <c r="CQ83" s="4351"/>
      <c r="CR83" s="4351"/>
      <c r="CS83" s="4351"/>
      <c r="CT83" s="4351"/>
      <c r="CU83" s="4351"/>
      <c r="CV83" s="4351"/>
      <c r="CW83" s="4351"/>
      <c r="CX83" s="4351"/>
      <c r="CY83" s="4351"/>
      <c r="CZ83" s="4351"/>
      <c r="DA83" s="4352"/>
      <c r="DB83" s="4351"/>
      <c r="DC83" s="4351"/>
      <c r="DD83" s="4351"/>
      <c r="DE83" s="4351"/>
      <c r="DF83" s="4351"/>
      <c r="DG83" s="4351"/>
      <c r="DH83" s="4351"/>
      <c r="DI83" s="4351"/>
      <c r="DJ83" s="4351"/>
      <c r="DK83" s="4351"/>
      <c r="DL83" s="4351"/>
      <c r="DM83" s="4351"/>
      <c r="DN83" s="4353"/>
      <c r="DO83" s="1819"/>
      <c r="DP83" s="4477"/>
      <c r="DQ83" s="4478"/>
      <c r="DR83" s="4478"/>
      <c r="DS83" s="4478"/>
      <c r="DT83" s="1943"/>
      <c r="DU83" s="1943"/>
      <c r="DV83" s="1943"/>
      <c r="DW83" s="1943"/>
      <c r="DX83" s="1943"/>
      <c r="DY83" s="1943"/>
      <c r="DZ83" s="1943"/>
      <c r="EA83" s="1943"/>
      <c r="EB83" s="1943"/>
      <c r="EC83" s="1943"/>
      <c r="ED83" s="1943"/>
      <c r="EE83" s="1943"/>
      <c r="EF83" s="1943"/>
      <c r="EG83" s="1943"/>
      <c r="EH83" s="1943"/>
      <c r="EI83" s="1943"/>
      <c r="EJ83" s="1943"/>
      <c r="EK83" s="1943"/>
      <c r="EL83" s="1943"/>
      <c r="EM83" s="1943"/>
      <c r="EN83" s="1943"/>
      <c r="EO83" s="1943"/>
      <c r="EP83" s="1943"/>
      <c r="EQ83" s="1943"/>
      <c r="ER83" s="1943"/>
      <c r="ES83" s="1943"/>
      <c r="ET83" s="1943"/>
      <c r="EU83" s="1943"/>
      <c r="EV83" s="1943"/>
      <c r="EW83" s="1943"/>
      <c r="EX83" s="1943"/>
      <c r="EY83" s="1943"/>
      <c r="EZ83" s="1943"/>
      <c r="FA83" s="1943"/>
      <c r="FB83" s="1943"/>
      <c r="FC83" s="1943"/>
      <c r="FD83" s="1943"/>
      <c r="FE83" s="1943"/>
      <c r="FF83" s="1943"/>
      <c r="FG83" s="1943"/>
      <c r="FH83" s="1943"/>
      <c r="FI83" s="1944"/>
    </row>
    <row r="84" spans="1:165" s="1810" customFormat="1" ht="15" customHeight="1" thickBot="1">
      <c r="A84" s="15805" t="s">
        <v>1402</v>
      </c>
      <c r="B84" s="15728" t="s">
        <v>1403</v>
      </c>
      <c r="C84" s="3881" t="s">
        <v>1404</v>
      </c>
      <c r="D84" s="3871" t="s">
        <v>7873</v>
      </c>
      <c r="E84" s="1945" t="s">
        <v>1405</v>
      </c>
      <c r="F84" s="3881" t="s">
        <v>1406</v>
      </c>
      <c r="G84" s="3881" t="s">
        <v>70</v>
      </c>
      <c r="H84" s="4084">
        <v>0</v>
      </c>
      <c r="I84" s="4084" t="s">
        <v>71</v>
      </c>
      <c r="J84" s="4084" t="s">
        <v>72</v>
      </c>
      <c r="K84" s="1946" t="s">
        <v>73</v>
      </c>
      <c r="L84" s="4433" t="s">
        <v>65</v>
      </c>
      <c r="M84" s="1946" t="s">
        <v>74</v>
      </c>
      <c r="N84" s="1946"/>
      <c r="O84" s="1947">
        <v>0</v>
      </c>
      <c r="P84" s="1948">
        <v>0</v>
      </c>
      <c r="Q84" s="1948">
        <v>0</v>
      </c>
      <c r="R84" s="1948">
        <v>700000000</v>
      </c>
      <c r="S84" s="1948">
        <v>0</v>
      </c>
      <c r="T84" s="1948">
        <v>0</v>
      </c>
      <c r="U84" s="1948">
        <v>0</v>
      </c>
      <c r="V84" s="1948">
        <v>0</v>
      </c>
      <c r="W84" s="1948">
        <v>0</v>
      </c>
      <c r="X84" s="1948">
        <v>0</v>
      </c>
      <c r="Y84" s="1948">
        <v>700000000</v>
      </c>
      <c r="Z84" s="1948">
        <v>1400000000</v>
      </c>
      <c r="AA84" s="1949">
        <v>1</v>
      </c>
      <c r="AB84" s="4332" t="s">
        <v>3750</v>
      </c>
      <c r="AC84" s="4333" t="s">
        <v>4219</v>
      </c>
      <c r="AD84" s="4334" t="s">
        <v>3751</v>
      </c>
      <c r="AE84" s="4335">
        <v>12194155</v>
      </c>
      <c r="AF84" s="4335">
        <v>12194155</v>
      </c>
      <c r="AG84" s="1950"/>
      <c r="AH84" s="1950"/>
      <c r="AI84" s="1951">
        <v>2</v>
      </c>
      <c r="AJ84" s="1950">
        <v>1</v>
      </c>
      <c r="AK84" s="1950">
        <v>1</v>
      </c>
      <c r="AL84" s="1950" t="s">
        <v>2943</v>
      </c>
      <c r="AM84" s="1950"/>
      <c r="AN84" s="1950"/>
      <c r="AO84" s="1950"/>
      <c r="AP84" s="1950"/>
      <c r="AQ84" s="1950"/>
      <c r="AR84" s="1950"/>
      <c r="AS84" s="1950"/>
      <c r="AT84" s="1950"/>
      <c r="AU84" s="1950"/>
      <c r="AV84" s="1950"/>
      <c r="AW84" s="1950"/>
      <c r="AX84" s="1950"/>
      <c r="AY84" s="1950"/>
      <c r="AZ84" s="1950"/>
      <c r="BA84" s="1950"/>
      <c r="BB84" s="1950"/>
      <c r="BC84" s="1950"/>
      <c r="BD84" s="1950"/>
      <c r="BE84" s="1950" t="s">
        <v>2943</v>
      </c>
      <c r="BF84" s="1950"/>
      <c r="BG84" s="1950"/>
      <c r="BH84" s="1950"/>
      <c r="BI84" s="1950"/>
      <c r="BJ84" s="1950"/>
      <c r="BK84" s="1950"/>
      <c r="BL84" s="1950"/>
      <c r="BM84" s="1950"/>
      <c r="BN84" s="1950"/>
      <c r="BO84" s="1950"/>
      <c r="BP84" s="1950"/>
      <c r="BQ84" s="1950"/>
      <c r="BR84" s="1952"/>
      <c r="BS84" s="4336">
        <v>1.5432098765432098E-2</v>
      </c>
      <c r="BT84" s="4337">
        <v>0.08</v>
      </c>
      <c r="BU84" s="4338">
        <v>6.7768547363562942E-2</v>
      </c>
      <c r="BV84" s="3875">
        <v>0.84710684204453679</v>
      </c>
      <c r="BW84" s="15864">
        <v>0.95179665454149398</v>
      </c>
      <c r="BX84" s="4339" t="s">
        <v>9696</v>
      </c>
      <c r="BY84" s="4340" t="s">
        <v>8911</v>
      </c>
      <c r="BZ84" s="4341" t="s">
        <v>8912</v>
      </c>
      <c r="CA84" s="4342">
        <v>36840000</v>
      </c>
      <c r="CB84" s="4342">
        <v>36840000</v>
      </c>
      <c r="CC84" s="4343"/>
      <c r="CD84" s="4343"/>
      <c r="CE84" s="4344">
        <v>5</v>
      </c>
      <c r="CF84" s="4344">
        <v>3</v>
      </c>
      <c r="CG84" s="4344">
        <v>2</v>
      </c>
      <c r="CH84" s="4344"/>
      <c r="CI84" s="4344"/>
      <c r="CJ84" s="4344"/>
      <c r="CK84" s="4344"/>
      <c r="CL84" s="4344"/>
      <c r="CM84" s="4344"/>
      <c r="CN84" s="4344"/>
      <c r="CO84" s="4344"/>
      <c r="CP84" s="4344"/>
      <c r="CQ84" s="4344"/>
      <c r="CR84" s="4344"/>
      <c r="CS84" s="4344"/>
      <c r="CT84" s="4344"/>
      <c r="CU84" s="4344"/>
      <c r="CV84" s="4344"/>
      <c r="CW84" s="4344"/>
      <c r="CX84" s="4344"/>
      <c r="CY84" s="4344"/>
      <c r="CZ84" s="4344"/>
      <c r="DA84" s="4345">
        <v>5</v>
      </c>
      <c r="DB84" s="4344"/>
      <c r="DC84" s="4344"/>
      <c r="DD84" s="4344"/>
      <c r="DE84" s="4344"/>
      <c r="DF84" s="4344"/>
      <c r="DG84" s="4344"/>
      <c r="DH84" s="4344"/>
      <c r="DI84" s="4344"/>
      <c r="DJ84" s="4344"/>
      <c r="DK84" s="4344"/>
      <c r="DL84" s="4344"/>
      <c r="DM84" s="4344"/>
      <c r="DN84" s="4346"/>
      <c r="DO84" s="1809"/>
      <c r="DP84" s="4475"/>
      <c r="DQ84" s="4476"/>
      <c r="DR84" s="4476"/>
      <c r="DS84" s="4476"/>
      <c r="DT84" s="1950"/>
      <c r="DU84" s="1950"/>
      <c r="DV84" s="1950"/>
      <c r="DW84" s="1950"/>
      <c r="DX84" s="1950"/>
      <c r="DY84" s="1950"/>
      <c r="DZ84" s="1950"/>
      <c r="EA84" s="1950"/>
      <c r="EB84" s="1950"/>
      <c r="EC84" s="1950"/>
      <c r="ED84" s="1950"/>
      <c r="EE84" s="1950"/>
      <c r="EF84" s="1950"/>
      <c r="EG84" s="1950"/>
      <c r="EH84" s="1950"/>
      <c r="EI84" s="1950"/>
      <c r="EJ84" s="1950"/>
      <c r="EK84" s="1950"/>
      <c r="EL84" s="1950"/>
      <c r="EM84" s="1950"/>
      <c r="EN84" s="1950"/>
      <c r="EO84" s="1950"/>
      <c r="EP84" s="1950"/>
      <c r="EQ84" s="1950"/>
      <c r="ER84" s="1950"/>
      <c r="ES84" s="1950"/>
      <c r="ET84" s="1950"/>
      <c r="EU84" s="1950"/>
      <c r="EV84" s="1950"/>
      <c r="EW84" s="1950"/>
      <c r="EX84" s="1950"/>
      <c r="EY84" s="1950"/>
      <c r="EZ84" s="1950"/>
      <c r="FA84" s="1950"/>
      <c r="FB84" s="1950"/>
      <c r="FC84" s="1950"/>
      <c r="FD84" s="1950"/>
      <c r="FE84" s="1950"/>
      <c r="FF84" s="1950"/>
      <c r="FG84" s="1950"/>
      <c r="FH84" s="1950"/>
      <c r="FI84" s="1952"/>
    </row>
    <row r="85" spans="1:165" s="1810" customFormat="1" ht="15" customHeight="1">
      <c r="A85" s="15806"/>
      <c r="B85" s="15808"/>
      <c r="C85" s="15808" t="s">
        <v>80</v>
      </c>
      <c r="D85" s="15688" t="s">
        <v>7874</v>
      </c>
      <c r="E85" s="15727" t="s">
        <v>1407</v>
      </c>
      <c r="F85" s="15727" t="s">
        <v>76</v>
      </c>
      <c r="G85" s="4069" t="s">
        <v>70</v>
      </c>
      <c r="H85" s="4070">
        <v>1</v>
      </c>
      <c r="I85" s="4070" t="s">
        <v>77</v>
      </c>
      <c r="J85" s="15725" t="s">
        <v>77</v>
      </c>
      <c r="K85" s="15725" t="s">
        <v>78</v>
      </c>
      <c r="L85" s="4434" t="s">
        <v>65</v>
      </c>
      <c r="M85" s="2735" t="s">
        <v>74</v>
      </c>
      <c r="N85" s="2735"/>
      <c r="O85" s="4071">
        <v>25000000</v>
      </c>
      <c r="P85" s="4071">
        <v>0</v>
      </c>
      <c r="Q85" s="4071">
        <v>0</v>
      </c>
      <c r="R85" s="4071">
        <v>27250000.000000004</v>
      </c>
      <c r="S85" s="4071">
        <v>0</v>
      </c>
      <c r="T85" s="4071">
        <v>0</v>
      </c>
      <c r="U85" s="4071">
        <v>29702500.000000004</v>
      </c>
      <c r="V85" s="4071">
        <v>0</v>
      </c>
      <c r="W85" s="4071">
        <v>0</v>
      </c>
      <c r="X85" s="4071">
        <v>0</v>
      </c>
      <c r="Y85" s="4071">
        <v>0</v>
      </c>
      <c r="Z85" s="4071">
        <v>81952500</v>
      </c>
      <c r="AA85" s="4072">
        <v>1</v>
      </c>
      <c r="AB85" s="4073" t="s">
        <v>4220</v>
      </c>
      <c r="AC85" s="4074" t="s">
        <v>4221</v>
      </c>
      <c r="AD85" s="3470"/>
      <c r="AE85" s="2132">
        <v>29300000</v>
      </c>
      <c r="AF85" s="2132">
        <v>29300000</v>
      </c>
      <c r="AG85" s="3470"/>
      <c r="AH85" s="3470"/>
      <c r="AI85" s="3860">
        <v>37</v>
      </c>
      <c r="AJ85" s="3470">
        <v>19</v>
      </c>
      <c r="AK85" s="3470">
        <v>18</v>
      </c>
      <c r="AL85" s="3470"/>
      <c r="AM85" s="3470"/>
      <c r="AN85" s="3470"/>
      <c r="AO85" s="3470"/>
      <c r="AP85" s="3470"/>
      <c r="AQ85" s="3470"/>
      <c r="AR85" s="3470"/>
      <c r="AS85" s="3470"/>
      <c r="AT85" s="3470"/>
      <c r="AU85" s="3470"/>
      <c r="AV85" s="3470"/>
      <c r="AW85" s="3470"/>
      <c r="AX85" s="3470"/>
      <c r="AY85" s="3470"/>
      <c r="AZ85" s="3470"/>
      <c r="BA85" s="3470"/>
      <c r="BB85" s="3470"/>
      <c r="BC85" s="3470"/>
      <c r="BD85" s="3470"/>
      <c r="BE85" s="3470"/>
      <c r="BF85" s="3470"/>
      <c r="BG85" s="3470"/>
      <c r="BH85" s="3470"/>
      <c r="BI85" s="3470"/>
      <c r="BJ85" s="3470"/>
      <c r="BK85" s="3470"/>
      <c r="BL85" s="3470"/>
      <c r="BM85" s="3470"/>
      <c r="BN85" s="3470"/>
      <c r="BO85" s="3470"/>
      <c r="BP85" s="3470"/>
      <c r="BQ85" s="3470"/>
      <c r="BR85" s="3475"/>
      <c r="BS85" s="2611">
        <v>1</v>
      </c>
      <c r="BT85" s="4076">
        <v>1</v>
      </c>
      <c r="BU85" s="2721">
        <v>1</v>
      </c>
      <c r="BV85" s="3149">
        <v>1</v>
      </c>
      <c r="BW85" s="15864"/>
      <c r="BX85" s="4077" t="s">
        <v>9697</v>
      </c>
      <c r="BY85" s="4078" t="s">
        <v>4221</v>
      </c>
      <c r="BZ85" s="4078"/>
      <c r="CA85" s="4079">
        <v>29300000</v>
      </c>
      <c r="CB85" s="4079">
        <v>29300000</v>
      </c>
      <c r="CC85" s="4080"/>
      <c r="CD85" s="4080"/>
      <c r="CE85" s="4081">
        <v>36</v>
      </c>
      <c r="CF85" s="4081">
        <v>22</v>
      </c>
      <c r="CG85" s="4081">
        <v>14</v>
      </c>
      <c r="CH85" s="4081"/>
      <c r="CI85" s="4081"/>
      <c r="CJ85" s="4081"/>
      <c r="CK85" s="4081"/>
      <c r="CL85" s="4081"/>
      <c r="CM85" s="4081"/>
      <c r="CN85" s="4081"/>
      <c r="CO85" s="4081"/>
      <c r="CP85" s="4081"/>
      <c r="CQ85" s="4081"/>
      <c r="CR85" s="4081"/>
      <c r="CS85" s="4081"/>
      <c r="CT85" s="4081"/>
      <c r="CU85" s="4081"/>
      <c r="CV85" s="4081"/>
      <c r="CW85" s="4081"/>
      <c r="CX85" s="4081"/>
      <c r="CY85" s="4081"/>
      <c r="CZ85" s="4081"/>
      <c r="DA85" s="4082">
        <v>36</v>
      </c>
      <c r="DB85" s="4081"/>
      <c r="DC85" s="4081"/>
      <c r="DD85" s="4081"/>
      <c r="DE85" s="4081"/>
      <c r="DF85" s="4083"/>
      <c r="DG85" s="4083"/>
      <c r="DH85" s="4083"/>
      <c r="DI85" s="4083"/>
      <c r="DJ85" s="4083"/>
      <c r="DK85" s="4083"/>
      <c r="DL85" s="4083"/>
      <c r="DM85" s="4083"/>
      <c r="DN85" s="4279"/>
      <c r="DO85" s="1809"/>
      <c r="DP85" s="4461"/>
      <c r="DQ85" s="4452"/>
      <c r="DR85" s="4452"/>
      <c r="DS85" s="4452"/>
      <c r="DT85" s="3470"/>
      <c r="DU85" s="3470"/>
      <c r="DV85" s="3470"/>
      <c r="DW85" s="3470"/>
      <c r="DX85" s="3470"/>
      <c r="DY85" s="3470"/>
      <c r="DZ85" s="3470"/>
      <c r="EA85" s="3470"/>
      <c r="EB85" s="3470"/>
      <c r="EC85" s="3470"/>
      <c r="ED85" s="3470"/>
      <c r="EE85" s="3470"/>
      <c r="EF85" s="3470"/>
      <c r="EG85" s="3470"/>
      <c r="EH85" s="3470"/>
      <c r="EI85" s="3470"/>
      <c r="EJ85" s="3470"/>
      <c r="EK85" s="3470"/>
      <c r="EL85" s="3470"/>
      <c r="EM85" s="3470"/>
      <c r="EN85" s="3470"/>
      <c r="EO85" s="3470"/>
      <c r="EP85" s="3470"/>
      <c r="EQ85" s="3470"/>
      <c r="ER85" s="3470"/>
      <c r="ES85" s="3470"/>
      <c r="ET85" s="3470"/>
      <c r="EU85" s="3470"/>
      <c r="EV85" s="3470"/>
      <c r="EW85" s="3470"/>
      <c r="EX85" s="3470"/>
      <c r="EY85" s="3470"/>
      <c r="EZ85" s="3470"/>
      <c r="FA85" s="3470"/>
      <c r="FB85" s="3470"/>
      <c r="FC85" s="3470"/>
      <c r="FD85" s="3470"/>
      <c r="FE85" s="3470"/>
      <c r="FF85" s="3470"/>
      <c r="FG85" s="3470"/>
      <c r="FH85" s="3470"/>
      <c r="FI85" s="3475"/>
    </row>
    <row r="86" spans="1:165" s="1810" customFormat="1" ht="15" customHeight="1">
      <c r="A86" s="15806"/>
      <c r="B86" s="15808"/>
      <c r="C86" s="15808"/>
      <c r="D86" s="15622"/>
      <c r="E86" s="15728"/>
      <c r="F86" s="15728"/>
      <c r="G86" s="4069"/>
      <c r="H86" s="4070"/>
      <c r="I86" s="4070"/>
      <c r="J86" s="15726"/>
      <c r="K86" s="15726"/>
      <c r="L86" s="4434" t="s">
        <v>10063</v>
      </c>
      <c r="M86" s="2735"/>
      <c r="N86" s="2735" t="s">
        <v>1408</v>
      </c>
      <c r="O86" s="4071"/>
      <c r="P86" s="4071"/>
      <c r="Q86" s="4071"/>
      <c r="R86" s="4071"/>
      <c r="S86" s="4071"/>
      <c r="T86" s="4071"/>
      <c r="U86" s="4071"/>
      <c r="V86" s="4071"/>
      <c r="W86" s="4071"/>
      <c r="X86" s="4071"/>
      <c r="Y86" s="4071"/>
      <c r="Z86" s="4071"/>
      <c r="AA86" s="4072"/>
      <c r="AB86" s="4073"/>
      <c r="AC86" s="4074"/>
      <c r="AD86" s="4075"/>
      <c r="AE86" s="2132"/>
      <c r="AF86" s="2132"/>
      <c r="AG86" s="3470"/>
      <c r="AH86" s="3470"/>
      <c r="AI86" s="3860"/>
      <c r="AJ86" s="3470"/>
      <c r="AK86" s="3470"/>
      <c r="AL86" s="3470"/>
      <c r="AM86" s="3470"/>
      <c r="AN86" s="3470"/>
      <c r="AO86" s="3470"/>
      <c r="AP86" s="3470"/>
      <c r="AQ86" s="3470"/>
      <c r="AR86" s="3470"/>
      <c r="AS86" s="3470"/>
      <c r="AT86" s="3470"/>
      <c r="AU86" s="3470"/>
      <c r="AV86" s="3470"/>
      <c r="AW86" s="3470"/>
      <c r="AX86" s="3470"/>
      <c r="AY86" s="3470"/>
      <c r="AZ86" s="3470"/>
      <c r="BA86" s="3470"/>
      <c r="BB86" s="3470"/>
      <c r="BC86" s="3470"/>
      <c r="BD86" s="3470"/>
      <c r="BE86" s="3470"/>
      <c r="BF86" s="3470"/>
      <c r="BG86" s="3470"/>
      <c r="BH86" s="3470"/>
      <c r="BI86" s="3470"/>
      <c r="BJ86" s="3470"/>
      <c r="BK86" s="3470"/>
      <c r="BL86" s="3470"/>
      <c r="BM86" s="3470"/>
      <c r="BN86" s="3470"/>
      <c r="BO86" s="3470"/>
      <c r="BP86" s="3470"/>
      <c r="BQ86" s="3470"/>
      <c r="BR86" s="3475"/>
      <c r="BS86" s="2611"/>
      <c r="BT86" s="4076"/>
      <c r="BU86" s="2721"/>
      <c r="BV86" s="3149"/>
      <c r="BW86" s="15864"/>
      <c r="BX86" s="4077"/>
      <c r="BY86" s="4078"/>
      <c r="BZ86" s="4078"/>
      <c r="CA86" s="4079"/>
      <c r="CB86" s="4079"/>
      <c r="CC86" s="4080"/>
      <c r="CD86" s="4080"/>
      <c r="CE86" s="4081"/>
      <c r="CF86" s="4081"/>
      <c r="CG86" s="4081"/>
      <c r="CH86" s="4081"/>
      <c r="CI86" s="4081"/>
      <c r="CJ86" s="4081"/>
      <c r="CK86" s="4081"/>
      <c r="CL86" s="4081"/>
      <c r="CM86" s="4081"/>
      <c r="CN86" s="4081"/>
      <c r="CO86" s="4081"/>
      <c r="CP86" s="4081"/>
      <c r="CQ86" s="4081"/>
      <c r="CR86" s="4081"/>
      <c r="CS86" s="4081"/>
      <c r="CT86" s="4081"/>
      <c r="CU86" s="4081"/>
      <c r="CV86" s="4081"/>
      <c r="CW86" s="4081"/>
      <c r="CX86" s="4081"/>
      <c r="CY86" s="4081"/>
      <c r="CZ86" s="4081"/>
      <c r="DA86" s="4082"/>
      <c r="DB86" s="4081"/>
      <c r="DC86" s="4081"/>
      <c r="DD86" s="4081"/>
      <c r="DE86" s="4081"/>
      <c r="DF86" s="4083"/>
      <c r="DG86" s="4083"/>
      <c r="DH86" s="4083"/>
      <c r="DI86" s="4083"/>
      <c r="DJ86" s="4083"/>
      <c r="DK86" s="4083"/>
      <c r="DL86" s="4083"/>
      <c r="DM86" s="4083"/>
      <c r="DN86" s="4279"/>
      <c r="DO86" s="1809"/>
      <c r="DP86" s="4461"/>
      <c r="DQ86" s="4452"/>
      <c r="DR86" s="4452"/>
      <c r="DS86" s="4452"/>
      <c r="DT86" s="3470"/>
      <c r="DU86" s="3470"/>
      <c r="DV86" s="3470"/>
      <c r="DW86" s="3470"/>
      <c r="DX86" s="3470"/>
      <c r="DY86" s="3470"/>
      <c r="DZ86" s="3470"/>
      <c r="EA86" s="3470"/>
      <c r="EB86" s="3470"/>
      <c r="EC86" s="3470"/>
      <c r="ED86" s="3470"/>
      <c r="EE86" s="3470"/>
      <c r="EF86" s="3470"/>
      <c r="EG86" s="3470"/>
      <c r="EH86" s="3470"/>
      <c r="EI86" s="3470"/>
      <c r="EJ86" s="3470"/>
      <c r="EK86" s="3470"/>
      <c r="EL86" s="3470"/>
      <c r="EM86" s="3470"/>
      <c r="EN86" s="3470"/>
      <c r="EO86" s="3470"/>
      <c r="EP86" s="3470"/>
      <c r="EQ86" s="3470"/>
      <c r="ER86" s="3470"/>
      <c r="ES86" s="3470"/>
      <c r="ET86" s="3470"/>
      <c r="EU86" s="3470"/>
      <c r="EV86" s="3470"/>
      <c r="EW86" s="3470"/>
      <c r="EX86" s="3470"/>
      <c r="EY86" s="3470"/>
      <c r="EZ86" s="3470"/>
      <c r="FA86" s="3470"/>
      <c r="FB86" s="3470"/>
      <c r="FC86" s="3470"/>
      <c r="FD86" s="3470"/>
      <c r="FE86" s="3470"/>
      <c r="FF86" s="3470"/>
      <c r="FG86" s="3470"/>
      <c r="FH86" s="3470"/>
      <c r="FI86" s="3475"/>
    </row>
    <row r="87" spans="1:165" s="1810" customFormat="1" ht="15" customHeight="1">
      <c r="A87" s="15806"/>
      <c r="B87" s="15808"/>
      <c r="C87" s="15808"/>
      <c r="D87" s="3872" t="s">
        <v>7875</v>
      </c>
      <c r="E87" s="4280" t="s">
        <v>1409</v>
      </c>
      <c r="F87" s="4069" t="s">
        <v>82</v>
      </c>
      <c r="G87" s="4069" t="s">
        <v>70</v>
      </c>
      <c r="H87" s="4070" t="s">
        <v>1410</v>
      </c>
      <c r="I87" s="4070" t="s">
        <v>1411</v>
      </c>
      <c r="J87" s="4070" t="s">
        <v>1412</v>
      </c>
      <c r="K87" s="2735" t="s">
        <v>73</v>
      </c>
      <c r="L87" s="4434" t="s">
        <v>65</v>
      </c>
      <c r="M87" s="2735" t="s">
        <v>74</v>
      </c>
      <c r="N87" s="2735"/>
      <c r="O87" s="4071">
        <v>500000000</v>
      </c>
      <c r="P87" s="4071">
        <v>0</v>
      </c>
      <c r="Q87" s="4071">
        <v>0</v>
      </c>
      <c r="R87" s="4071">
        <v>525750000</v>
      </c>
      <c r="S87" s="4071">
        <v>0</v>
      </c>
      <c r="T87" s="4071">
        <v>0</v>
      </c>
      <c r="U87" s="4071">
        <v>0</v>
      </c>
      <c r="V87" s="4071">
        <v>0</v>
      </c>
      <c r="W87" s="4071">
        <v>0</v>
      </c>
      <c r="X87" s="4071">
        <v>0</v>
      </c>
      <c r="Y87" s="4071">
        <v>577250000</v>
      </c>
      <c r="Z87" s="4071">
        <v>1603000000</v>
      </c>
      <c r="AA87" s="2720">
        <v>1</v>
      </c>
      <c r="AB87" s="4281" t="s">
        <v>3752</v>
      </c>
      <c r="AC87" s="4074" t="s">
        <v>4222</v>
      </c>
      <c r="AD87" s="4282" t="s">
        <v>4223</v>
      </c>
      <c r="AE87" s="2132">
        <v>5400000</v>
      </c>
      <c r="AF87" s="2132">
        <v>5400000</v>
      </c>
      <c r="AG87" s="3470"/>
      <c r="AH87" s="3470"/>
      <c r="AI87" s="3860">
        <v>6</v>
      </c>
      <c r="AJ87" s="3470">
        <v>3</v>
      </c>
      <c r="AK87" s="3470">
        <v>3</v>
      </c>
      <c r="AL87" s="3470" t="s">
        <v>2943</v>
      </c>
      <c r="AM87" s="3470" t="s">
        <v>2943</v>
      </c>
      <c r="AN87" s="3470"/>
      <c r="AO87" s="3470"/>
      <c r="AP87" s="3470"/>
      <c r="AQ87" s="3470"/>
      <c r="AR87" s="3470"/>
      <c r="AS87" s="3470"/>
      <c r="AT87" s="3470"/>
      <c r="AU87" s="3470"/>
      <c r="AV87" s="3470"/>
      <c r="AW87" s="3470"/>
      <c r="AX87" s="3470"/>
      <c r="AY87" s="3470"/>
      <c r="AZ87" s="3470"/>
      <c r="BA87" s="3470"/>
      <c r="BB87" s="3470"/>
      <c r="BC87" s="3470"/>
      <c r="BD87" s="3470"/>
      <c r="BE87" s="3470" t="s">
        <v>2943</v>
      </c>
      <c r="BF87" s="3470"/>
      <c r="BG87" s="3470"/>
      <c r="BH87" s="3470"/>
      <c r="BI87" s="3470"/>
      <c r="BJ87" s="3470"/>
      <c r="BK87" s="3470"/>
      <c r="BL87" s="3470"/>
      <c r="BM87" s="3470"/>
      <c r="BN87" s="3470"/>
      <c r="BO87" s="3470"/>
      <c r="BP87" s="3470"/>
      <c r="BQ87" s="3470"/>
      <c r="BR87" s="3475"/>
      <c r="BS87" s="4283">
        <v>7.5709779179810727E-2</v>
      </c>
      <c r="BT87" s="4284">
        <v>0.13</v>
      </c>
      <c r="BU87" s="4285">
        <v>0.12481037089578706</v>
      </c>
      <c r="BV87" s="3149">
        <v>0.96007977612143891</v>
      </c>
      <c r="BW87" s="15864"/>
      <c r="BX87" s="4276" t="s">
        <v>8913</v>
      </c>
      <c r="BY87" s="4078" t="s">
        <v>8911</v>
      </c>
      <c r="BZ87" s="4078" t="s">
        <v>8914</v>
      </c>
      <c r="CA87" s="4079">
        <v>22901000</v>
      </c>
      <c r="CB87" s="4079">
        <v>22901000</v>
      </c>
      <c r="CC87" s="4080"/>
      <c r="CD87" s="4080"/>
      <c r="CE87" s="4081">
        <v>24</v>
      </c>
      <c r="CF87" s="4081">
        <v>14</v>
      </c>
      <c r="CG87" s="4081">
        <v>10</v>
      </c>
      <c r="CH87" s="4081"/>
      <c r="CI87" s="4081"/>
      <c r="CJ87" s="4081"/>
      <c r="CK87" s="4081"/>
      <c r="CL87" s="4081"/>
      <c r="CM87" s="4277"/>
      <c r="CN87" s="4277"/>
      <c r="CO87" s="4277"/>
      <c r="CP87" s="4277"/>
      <c r="CQ87" s="4277"/>
      <c r="CR87" s="4277"/>
      <c r="CS87" s="4277"/>
      <c r="CT87" s="4277"/>
      <c r="CU87" s="4277"/>
      <c r="CV87" s="4277"/>
      <c r="CW87" s="4277"/>
      <c r="CX87" s="4277"/>
      <c r="CY87" s="4277"/>
      <c r="CZ87" s="4277"/>
      <c r="DA87" s="4278">
        <v>24</v>
      </c>
      <c r="DB87" s="4277"/>
      <c r="DC87" s="4277"/>
      <c r="DD87" s="4277"/>
      <c r="DE87" s="4277"/>
      <c r="DF87" s="4083"/>
      <c r="DG87" s="4083"/>
      <c r="DH87" s="4083"/>
      <c r="DI87" s="4083"/>
      <c r="DJ87" s="4083"/>
      <c r="DK87" s="4083"/>
      <c r="DL87" s="4083"/>
      <c r="DM87" s="4083"/>
      <c r="DN87" s="4279"/>
      <c r="DO87" s="1809"/>
      <c r="DP87" s="4461"/>
      <c r="DQ87" s="4452"/>
      <c r="DR87" s="4452"/>
      <c r="DS87" s="4452"/>
      <c r="DT87" s="3470"/>
      <c r="DU87" s="3470"/>
      <c r="DV87" s="3470"/>
      <c r="DW87" s="3470"/>
      <c r="DX87" s="3470"/>
      <c r="DY87" s="3470"/>
      <c r="DZ87" s="3470"/>
      <c r="EA87" s="3470"/>
      <c r="EB87" s="3470"/>
      <c r="EC87" s="3470"/>
      <c r="ED87" s="3470"/>
      <c r="EE87" s="3470"/>
      <c r="EF87" s="3470"/>
      <c r="EG87" s="3470"/>
      <c r="EH87" s="3470"/>
      <c r="EI87" s="3470"/>
      <c r="EJ87" s="3470"/>
      <c r="EK87" s="3470"/>
      <c r="EL87" s="3470"/>
      <c r="EM87" s="3470"/>
      <c r="EN87" s="3470"/>
      <c r="EO87" s="3470"/>
      <c r="EP87" s="3470"/>
      <c r="EQ87" s="3470"/>
      <c r="ER87" s="3470"/>
      <c r="ES87" s="3470"/>
      <c r="ET87" s="3470"/>
      <c r="EU87" s="3470"/>
      <c r="EV87" s="3470"/>
      <c r="EW87" s="3470"/>
      <c r="EX87" s="3470"/>
      <c r="EY87" s="3470"/>
      <c r="EZ87" s="3470"/>
      <c r="FA87" s="3470"/>
      <c r="FB87" s="3470"/>
      <c r="FC87" s="3470"/>
      <c r="FD87" s="3470"/>
      <c r="FE87" s="3470"/>
      <c r="FF87" s="3470"/>
      <c r="FG87" s="3470"/>
      <c r="FH87" s="3470"/>
      <c r="FI87" s="3475"/>
    </row>
    <row r="88" spans="1:165" s="1810" customFormat="1" ht="15" customHeight="1" thickBot="1">
      <c r="A88" s="15807"/>
      <c r="B88" s="15809"/>
      <c r="C88" s="15809"/>
      <c r="D88" s="4319" t="s">
        <v>7876</v>
      </c>
      <c r="E88" s="1953" t="s">
        <v>1413</v>
      </c>
      <c r="F88" s="3882" t="s">
        <v>1414</v>
      </c>
      <c r="G88" s="3882" t="s">
        <v>70</v>
      </c>
      <c r="H88" s="1954">
        <v>10</v>
      </c>
      <c r="I88" s="1954">
        <v>20</v>
      </c>
      <c r="J88" s="1954">
        <v>30</v>
      </c>
      <c r="K88" s="1955" t="s">
        <v>73</v>
      </c>
      <c r="L88" s="4435" t="s">
        <v>65</v>
      </c>
      <c r="M88" s="1955" t="s">
        <v>74</v>
      </c>
      <c r="N88" s="1955"/>
      <c r="O88" s="1956">
        <v>30000000</v>
      </c>
      <c r="P88" s="1956">
        <v>0</v>
      </c>
      <c r="Q88" s="1956">
        <v>0</v>
      </c>
      <c r="R88" s="1956">
        <v>61800000</v>
      </c>
      <c r="S88" s="1956">
        <v>0</v>
      </c>
      <c r="T88" s="1956">
        <v>0</v>
      </c>
      <c r="U88" s="1956">
        <v>0</v>
      </c>
      <c r="V88" s="1956">
        <v>0</v>
      </c>
      <c r="W88" s="1956">
        <v>0</v>
      </c>
      <c r="X88" s="1956">
        <v>0</v>
      </c>
      <c r="Y88" s="1956">
        <v>92700000</v>
      </c>
      <c r="Z88" s="1956">
        <v>184500000</v>
      </c>
      <c r="AA88" s="1957">
        <v>0.5</v>
      </c>
      <c r="AB88" s="4320" t="s">
        <v>4224</v>
      </c>
      <c r="AC88" s="405" t="s">
        <v>4222</v>
      </c>
      <c r="AD88" s="405" t="s">
        <v>4225</v>
      </c>
      <c r="AE88" s="4321">
        <v>900000</v>
      </c>
      <c r="AF88" s="4321">
        <v>900000</v>
      </c>
      <c r="AG88" s="1643"/>
      <c r="AH88" s="1643"/>
      <c r="AI88" s="1643">
        <v>1</v>
      </c>
      <c r="AJ88" s="1643">
        <v>1</v>
      </c>
      <c r="AK88" s="1643"/>
      <c r="AL88" s="1643"/>
      <c r="AM88" s="1643" t="s">
        <v>2943</v>
      </c>
      <c r="AN88" s="1643"/>
      <c r="AO88" s="1643"/>
      <c r="AP88" s="1643"/>
      <c r="AQ88" s="1643"/>
      <c r="AR88" s="1643"/>
      <c r="AS88" s="1643"/>
      <c r="AT88" s="1643"/>
      <c r="AU88" s="1643"/>
      <c r="AV88" s="1643"/>
      <c r="AW88" s="1643"/>
      <c r="AX88" s="1643"/>
      <c r="AY88" s="1643"/>
      <c r="AZ88" s="1643"/>
      <c r="BA88" s="1643"/>
      <c r="BB88" s="1643"/>
      <c r="BC88" s="1643"/>
      <c r="BD88" s="1643"/>
      <c r="BE88" s="1643" t="s">
        <v>2943</v>
      </c>
      <c r="BF88" s="1643"/>
      <c r="BG88" s="1643"/>
      <c r="BH88" s="1643"/>
      <c r="BI88" s="1643"/>
      <c r="BJ88" s="1643"/>
      <c r="BK88" s="1643"/>
      <c r="BL88" s="1643"/>
      <c r="BM88" s="1643"/>
      <c r="BN88" s="1643"/>
      <c r="BO88" s="1643"/>
      <c r="BP88" s="1643"/>
      <c r="BQ88" s="1643"/>
      <c r="BR88" s="1958"/>
      <c r="BS88" s="4322">
        <v>1</v>
      </c>
      <c r="BT88" s="1959">
        <v>30</v>
      </c>
      <c r="BU88" s="1634">
        <v>30</v>
      </c>
      <c r="BV88" s="4323">
        <v>1</v>
      </c>
      <c r="BW88" s="15865"/>
      <c r="BX88" s="4324" t="s">
        <v>4224</v>
      </c>
      <c r="BY88" s="4325" t="s">
        <v>8911</v>
      </c>
      <c r="BZ88" s="4325" t="s">
        <v>4225</v>
      </c>
      <c r="CA88" s="4326">
        <v>900000</v>
      </c>
      <c r="CB88" s="4326">
        <v>900000</v>
      </c>
      <c r="CC88" s="4327"/>
      <c r="CD88" s="4327"/>
      <c r="CE88" s="4328">
        <v>1</v>
      </c>
      <c r="CF88" s="4328">
        <v>1</v>
      </c>
      <c r="CG88" s="4328"/>
      <c r="CH88" s="4328"/>
      <c r="CI88" s="4328">
        <v>1</v>
      </c>
      <c r="CJ88" s="4328"/>
      <c r="CK88" s="4328"/>
      <c r="CL88" s="4328"/>
      <c r="CM88" s="4328"/>
      <c r="CN88" s="4328"/>
      <c r="CO88" s="4328"/>
      <c r="CP88" s="4328"/>
      <c r="CQ88" s="4328"/>
      <c r="CR88" s="4328"/>
      <c r="CS88" s="4328"/>
      <c r="CT88" s="4328"/>
      <c r="CU88" s="4328"/>
      <c r="CV88" s="4328"/>
      <c r="CW88" s="4328"/>
      <c r="CX88" s="4328"/>
      <c r="CY88" s="4328"/>
      <c r="CZ88" s="4328"/>
      <c r="DA88" s="4329">
        <v>1</v>
      </c>
      <c r="DB88" s="4328"/>
      <c r="DC88" s="4328"/>
      <c r="DD88" s="4328"/>
      <c r="DE88" s="4328"/>
      <c r="DF88" s="4328"/>
      <c r="DG88" s="4328"/>
      <c r="DH88" s="4328"/>
      <c r="DI88" s="4328"/>
      <c r="DJ88" s="4328"/>
      <c r="DK88" s="4330"/>
      <c r="DL88" s="4330"/>
      <c r="DM88" s="4330"/>
      <c r="DN88" s="4331"/>
      <c r="DO88" s="1809"/>
      <c r="DP88" s="4473"/>
      <c r="DQ88" s="4474"/>
      <c r="DR88" s="4474"/>
      <c r="DS88" s="4474"/>
      <c r="DT88" s="1643"/>
      <c r="DU88" s="1643"/>
      <c r="DV88" s="1643"/>
      <c r="DW88" s="1643"/>
      <c r="DX88" s="1643"/>
      <c r="DY88" s="1643"/>
      <c r="DZ88" s="1643"/>
      <c r="EA88" s="1643"/>
      <c r="EB88" s="1643"/>
      <c r="EC88" s="1643"/>
      <c r="ED88" s="1643"/>
      <c r="EE88" s="1643"/>
      <c r="EF88" s="1643"/>
      <c r="EG88" s="1643"/>
      <c r="EH88" s="1643"/>
      <c r="EI88" s="1643"/>
      <c r="EJ88" s="1643"/>
      <c r="EK88" s="1643"/>
      <c r="EL88" s="1643"/>
      <c r="EM88" s="1643"/>
      <c r="EN88" s="1643"/>
      <c r="EO88" s="1643"/>
      <c r="EP88" s="1643"/>
      <c r="EQ88" s="1643"/>
      <c r="ER88" s="1643"/>
      <c r="ES88" s="1643"/>
      <c r="ET88" s="1643"/>
      <c r="EU88" s="1643"/>
      <c r="EV88" s="1643"/>
      <c r="EW88" s="1643"/>
      <c r="EX88" s="1643"/>
      <c r="EY88" s="1643"/>
      <c r="EZ88" s="1643"/>
      <c r="FA88" s="1643"/>
      <c r="FB88" s="1643"/>
      <c r="FC88" s="1643"/>
      <c r="FD88" s="1643"/>
      <c r="FE88" s="1643"/>
      <c r="FF88" s="1643"/>
      <c r="FG88" s="1643"/>
      <c r="FH88" s="1643"/>
      <c r="FI88" s="1958"/>
    </row>
    <row r="89" spans="1:165" s="1834" customFormat="1" ht="15" customHeight="1">
      <c r="A89" s="15791" t="s">
        <v>1415</v>
      </c>
      <c r="B89" s="15717" t="s">
        <v>1416</v>
      </c>
      <c r="C89" s="15722" t="s">
        <v>1417</v>
      </c>
      <c r="D89" s="15691" t="s">
        <v>7877</v>
      </c>
      <c r="E89" s="15722" t="s">
        <v>1418</v>
      </c>
      <c r="F89" s="15722" t="s">
        <v>1419</v>
      </c>
      <c r="G89" s="3887" t="s">
        <v>70</v>
      </c>
      <c r="H89" s="4090">
        <v>1</v>
      </c>
      <c r="I89" s="4090">
        <v>2</v>
      </c>
      <c r="J89" s="15723">
        <v>2</v>
      </c>
      <c r="K89" s="15724" t="s">
        <v>1420</v>
      </c>
      <c r="L89" s="4436" t="s">
        <v>86</v>
      </c>
      <c r="M89" s="4091" t="s">
        <v>422</v>
      </c>
      <c r="N89" s="1960"/>
      <c r="O89" s="1961">
        <v>7000000</v>
      </c>
      <c r="P89" s="1961">
        <v>7210000</v>
      </c>
      <c r="Q89" s="1961">
        <v>7426300</v>
      </c>
      <c r="R89" s="1961">
        <v>14420000</v>
      </c>
      <c r="S89" s="1961">
        <v>14852600</v>
      </c>
      <c r="T89" s="1961">
        <v>15298178</v>
      </c>
      <c r="U89" s="1961">
        <v>15757123.34</v>
      </c>
      <c r="V89" s="1961">
        <v>16229837.040200001</v>
      </c>
      <c r="W89" s="1961">
        <v>16716732.151406001</v>
      </c>
      <c r="X89" s="1961">
        <v>17218234.115948182</v>
      </c>
      <c r="Y89" s="1961">
        <v>17734781.139426626</v>
      </c>
      <c r="Z89" s="1961">
        <v>149863785.78698081</v>
      </c>
      <c r="AA89" s="3892" t="s">
        <v>1732</v>
      </c>
      <c r="AB89" s="3892"/>
      <c r="AC89" s="3892"/>
      <c r="AD89" s="4313" t="s">
        <v>3562</v>
      </c>
      <c r="AE89" s="1709"/>
      <c r="AF89" s="1709"/>
      <c r="AG89" s="1709"/>
      <c r="AH89" s="1709"/>
      <c r="AI89" s="1709"/>
      <c r="AJ89" s="1709"/>
      <c r="AK89" s="1709"/>
      <c r="AL89" s="1709"/>
      <c r="AM89" s="1709"/>
      <c r="AN89" s="1709"/>
      <c r="AO89" s="1709"/>
      <c r="AP89" s="1709"/>
      <c r="AQ89" s="1709"/>
      <c r="AR89" s="1709"/>
      <c r="AS89" s="1709"/>
      <c r="AT89" s="1709"/>
      <c r="AU89" s="1709"/>
      <c r="AV89" s="1709"/>
      <c r="AW89" s="1709"/>
      <c r="AX89" s="1709"/>
      <c r="AY89" s="1709"/>
      <c r="AZ89" s="1709"/>
      <c r="BA89" s="1709"/>
      <c r="BB89" s="1709"/>
      <c r="BC89" s="1709"/>
      <c r="BD89" s="1709"/>
      <c r="BE89" s="1709"/>
      <c r="BF89" s="1709"/>
      <c r="BG89" s="1709"/>
      <c r="BH89" s="1709"/>
      <c r="BI89" s="1711"/>
      <c r="BJ89" s="1711"/>
      <c r="BK89" s="1711"/>
      <c r="BL89" s="1711"/>
      <c r="BM89" s="1711"/>
      <c r="BN89" s="1711"/>
      <c r="BO89" s="1711"/>
      <c r="BP89" s="1711"/>
      <c r="BQ89" s="1711"/>
      <c r="BR89" s="1712"/>
      <c r="BS89" s="4168" t="s">
        <v>3781</v>
      </c>
      <c r="BT89" s="3923" t="s">
        <v>3781</v>
      </c>
      <c r="BU89" s="3218" t="s">
        <v>3781</v>
      </c>
      <c r="BV89" s="3876" t="s">
        <v>3781</v>
      </c>
      <c r="BW89" s="15846">
        <v>0.8292307692307691</v>
      </c>
      <c r="BX89" s="4314"/>
      <c r="BY89" s="4168"/>
      <c r="BZ89" s="4168"/>
      <c r="CA89" s="4315"/>
      <c r="CB89" s="4315"/>
      <c r="CC89" s="4315"/>
      <c r="CD89" s="4315"/>
      <c r="CE89" s="4316"/>
      <c r="CF89" s="4316"/>
      <c r="CG89" s="4316"/>
      <c r="CH89" s="4316"/>
      <c r="CI89" s="4316"/>
      <c r="CJ89" s="4316"/>
      <c r="CK89" s="4316"/>
      <c r="CL89" s="4316"/>
      <c r="CM89" s="4316"/>
      <c r="CN89" s="4316"/>
      <c r="CO89" s="4316"/>
      <c r="CP89" s="4316"/>
      <c r="CQ89" s="4316"/>
      <c r="CR89" s="4316"/>
      <c r="CS89" s="4316"/>
      <c r="CT89" s="4316"/>
      <c r="CU89" s="4316"/>
      <c r="CV89" s="4316"/>
      <c r="CW89" s="4316"/>
      <c r="CX89" s="4316"/>
      <c r="CY89" s="4316"/>
      <c r="CZ89" s="4316"/>
      <c r="DA89" s="4317"/>
      <c r="DB89" s="4316"/>
      <c r="DC89" s="4316"/>
      <c r="DD89" s="4316"/>
      <c r="DE89" s="4316"/>
      <c r="DF89" s="4316"/>
      <c r="DG89" s="4316"/>
      <c r="DH89" s="4316"/>
      <c r="DI89" s="4316"/>
      <c r="DJ89" s="4316"/>
      <c r="DK89" s="4316"/>
      <c r="DL89" s="4316"/>
      <c r="DM89" s="4316"/>
      <c r="DN89" s="4318"/>
      <c r="DO89" s="1833"/>
      <c r="DP89" s="4471"/>
      <c r="DQ89" s="4472"/>
      <c r="DR89" s="4472"/>
      <c r="DS89" s="4472"/>
      <c r="DT89" s="3856"/>
      <c r="DU89" s="3856"/>
      <c r="DV89" s="3856"/>
      <c r="DW89" s="3856"/>
      <c r="DX89" s="3856"/>
      <c r="DY89" s="3856"/>
      <c r="DZ89" s="3856"/>
      <c r="EA89" s="3856"/>
      <c r="EB89" s="3856"/>
      <c r="EC89" s="3856"/>
      <c r="ED89" s="3856"/>
      <c r="EE89" s="3856"/>
      <c r="EF89" s="3856"/>
      <c r="EG89" s="3856"/>
      <c r="EH89" s="3856"/>
      <c r="EI89" s="3856"/>
      <c r="EJ89" s="3856"/>
      <c r="EK89" s="3856"/>
      <c r="EL89" s="3856"/>
      <c r="EM89" s="3856"/>
      <c r="EN89" s="3856"/>
      <c r="EO89" s="3856"/>
      <c r="EP89" s="3856"/>
      <c r="EQ89" s="3856"/>
      <c r="ER89" s="3856"/>
      <c r="ES89" s="3856"/>
      <c r="ET89" s="3856"/>
      <c r="EU89" s="3856"/>
      <c r="EV89" s="3856"/>
      <c r="EW89" s="3856"/>
      <c r="EX89" s="3856"/>
      <c r="EY89" s="3856"/>
      <c r="EZ89" s="3856"/>
      <c r="FA89" s="3856"/>
      <c r="FB89" s="3856"/>
      <c r="FC89" s="3856"/>
      <c r="FD89" s="3856"/>
      <c r="FE89" s="3856"/>
      <c r="FF89" s="3856"/>
      <c r="FG89" s="3856"/>
      <c r="FH89" s="3856"/>
      <c r="FI89" s="3857"/>
    </row>
    <row r="90" spans="1:165" s="1834" customFormat="1" ht="15" customHeight="1">
      <c r="A90" s="15791"/>
      <c r="B90" s="15717"/>
      <c r="C90" s="15722"/>
      <c r="D90" s="15692"/>
      <c r="E90" s="15717"/>
      <c r="F90" s="15717"/>
      <c r="G90" s="3887"/>
      <c r="H90" s="4090"/>
      <c r="I90" s="4090"/>
      <c r="J90" s="15719"/>
      <c r="K90" s="15721"/>
      <c r="L90" s="4436" t="s">
        <v>10204</v>
      </c>
      <c r="M90" s="4091"/>
      <c r="N90" s="1960" t="s">
        <v>1421</v>
      </c>
      <c r="O90" s="1961"/>
      <c r="P90" s="1961"/>
      <c r="Q90" s="1961"/>
      <c r="R90" s="1961"/>
      <c r="S90" s="1961"/>
      <c r="T90" s="1961"/>
      <c r="U90" s="1961"/>
      <c r="V90" s="1961"/>
      <c r="W90" s="1961"/>
      <c r="X90" s="1961"/>
      <c r="Y90" s="1961"/>
      <c r="Z90" s="1961"/>
      <c r="AA90" s="3892"/>
      <c r="AB90" s="3892"/>
      <c r="AC90" s="3892"/>
      <c r="AD90" s="4085"/>
      <c r="AE90" s="1709"/>
      <c r="AF90" s="1709"/>
      <c r="AG90" s="1709"/>
      <c r="AH90" s="1709"/>
      <c r="AI90" s="1709"/>
      <c r="AJ90" s="1709"/>
      <c r="AK90" s="1709"/>
      <c r="AL90" s="1709"/>
      <c r="AM90" s="1709"/>
      <c r="AN90" s="1709"/>
      <c r="AO90" s="1709"/>
      <c r="AP90" s="1709"/>
      <c r="AQ90" s="1709"/>
      <c r="AR90" s="1709"/>
      <c r="AS90" s="1709"/>
      <c r="AT90" s="1709"/>
      <c r="AU90" s="1709"/>
      <c r="AV90" s="1709"/>
      <c r="AW90" s="1709"/>
      <c r="AX90" s="1709"/>
      <c r="AY90" s="1709"/>
      <c r="AZ90" s="1709"/>
      <c r="BA90" s="1709"/>
      <c r="BB90" s="1709"/>
      <c r="BC90" s="1709"/>
      <c r="BD90" s="1709"/>
      <c r="BE90" s="1709"/>
      <c r="BF90" s="1709"/>
      <c r="BG90" s="1709"/>
      <c r="BH90" s="1709"/>
      <c r="BI90" s="1711"/>
      <c r="BJ90" s="1711"/>
      <c r="BK90" s="1711"/>
      <c r="BL90" s="1711"/>
      <c r="BM90" s="1711"/>
      <c r="BN90" s="1711"/>
      <c r="BO90" s="1711"/>
      <c r="BP90" s="1711"/>
      <c r="BQ90" s="1711"/>
      <c r="BR90" s="1712"/>
      <c r="BS90" s="3922"/>
      <c r="BT90" s="3923"/>
      <c r="BU90" s="3218"/>
      <c r="BV90" s="3219"/>
      <c r="BW90" s="15846"/>
      <c r="BX90" s="4086"/>
      <c r="BY90" s="3922"/>
      <c r="BZ90" s="3922"/>
      <c r="CA90" s="4087"/>
      <c r="CB90" s="4087"/>
      <c r="CC90" s="4087"/>
      <c r="CD90" s="4087"/>
      <c r="CE90" s="4088"/>
      <c r="CF90" s="4088"/>
      <c r="CG90" s="4088"/>
      <c r="CH90" s="4088"/>
      <c r="CI90" s="4088"/>
      <c r="CJ90" s="4088"/>
      <c r="CK90" s="4088"/>
      <c r="CL90" s="4088"/>
      <c r="CM90" s="4088"/>
      <c r="CN90" s="4088"/>
      <c r="CO90" s="4088"/>
      <c r="CP90" s="4088"/>
      <c r="CQ90" s="4088"/>
      <c r="CR90" s="4088"/>
      <c r="CS90" s="4088"/>
      <c r="CT90" s="4088"/>
      <c r="CU90" s="4088"/>
      <c r="CV90" s="4088"/>
      <c r="CW90" s="4088"/>
      <c r="CX90" s="4088"/>
      <c r="CY90" s="4088"/>
      <c r="CZ90" s="4088"/>
      <c r="DA90" s="4089"/>
      <c r="DB90" s="4088"/>
      <c r="DC90" s="4088"/>
      <c r="DD90" s="4088"/>
      <c r="DE90" s="4088"/>
      <c r="DF90" s="4088"/>
      <c r="DG90" s="4088"/>
      <c r="DH90" s="4088"/>
      <c r="DI90" s="4088"/>
      <c r="DJ90" s="4088"/>
      <c r="DK90" s="4088"/>
      <c r="DL90" s="4088"/>
      <c r="DM90" s="4088"/>
      <c r="DN90" s="4286"/>
      <c r="DO90" s="1833"/>
      <c r="DP90" s="4456"/>
      <c r="DQ90" s="4448"/>
      <c r="DR90" s="4448"/>
      <c r="DS90" s="4448"/>
      <c r="DT90" s="3224"/>
      <c r="DU90" s="3224"/>
      <c r="DV90" s="3224"/>
      <c r="DW90" s="3224"/>
      <c r="DX90" s="3224"/>
      <c r="DY90" s="3224"/>
      <c r="DZ90" s="3224"/>
      <c r="EA90" s="3224"/>
      <c r="EB90" s="3224"/>
      <c r="EC90" s="3224"/>
      <c r="ED90" s="3224"/>
      <c r="EE90" s="3224"/>
      <c r="EF90" s="3224"/>
      <c r="EG90" s="3224"/>
      <c r="EH90" s="3224"/>
      <c r="EI90" s="3224"/>
      <c r="EJ90" s="3224"/>
      <c r="EK90" s="3224"/>
      <c r="EL90" s="3224"/>
      <c r="EM90" s="3224"/>
      <c r="EN90" s="3224"/>
      <c r="EO90" s="3224"/>
      <c r="EP90" s="3224"/>
      <c r="EQ90" s="3224"/>
      <c r="ER90" s="3224"/>
      <c r="ES90" s="3224"/>
      <c r="ET90" s="3224"/>
      <c r="EU90" s="3224"/>
      <c r="EV90" s="3224"/>
      <c r="EW90" s="3224"/>
      <c r="EX90" s="3224"/>
      <c r="EY90" s="3224"/>
      <c r="EZ90" s="3224"/>
      <c r="FA90" s="3224"/>
      <c r="FB90" s="3224"/>
      <c r="FC90" s="3224"/>
      <c r="FD90" s="3224"/>
      <c r="FE90" s="3224"/>
      <c r="FF90" s="3224"/>
      <c r="FG90" s="3224"/>
      <c r="FH90" s="3224"/>
      <c r="FI90" s="2057"/>
    </row>
    <row r="91" spans="1:165" s="1834" customFormat="1" ht="15" customHeight="1">
      <c r="A91" s="15792"/>
      <c r="B91" s="15795"/>
      <c r="C91" s="15722"/>
      <c r="D91" s="15715" t="s">
        <v>7878</v>
      </c>
      <c r="E91" s="15716" t="s">
        <v>1422</v>
      </c>
      <c r="F91" s="15716" t="s">
        <v>1423</v>
      </c>
      <c r="G91" s="4092" t="s">
        <v>70</v>
      </c>
      <c r="H91" s="4093">
        <v>1</v>
      </c>
      <c r="I91" s="4093">
        <v>2</v>
      </c>
      <c r="J91" s="15718">
        <v>3</v>
      </c>
      <c r="K91" s="15720" t="s">
        <v>1424</v>
      </c>
      <c r="L91" s="4437" t="s">
        <v>26</v>
      </c>
      <c r="M91" s="2736" t="s">
        <v>390</v>
      </c>
      <c r="N91" s="4094"/>
      <c r="O91" s="4095">
        <v>10000000</v>
      </c>
      <c r="P91" s="4095">
        <v>10300000</v>
      </c>
      <c r="Q91" s="4095">
        <v>10609000</v>
      </c>
      <c r="R91" s="4095">
        <v>21854540</v>
      </c>
      <c r="S91" s="4095">
        <v>22510176.199999999</v>
      </c>
      <c r="T91" s="4095">
        <v>23185481.486000001</v>
      </c>
      <c r="U91" s="4095">
        <v>23881045.930580001</v>
      </c>
      <c r="V91" s="4095">
        <v>24597477.308497403</v>
      </c>
      <c r="W91" s="4095">
        <v>25335401.627752326</v>
      </c>
      <c r="X91" s="4095">
        <v>26095463.676584896</v>
      </c>
      <c r="Y91" s="4095">
        <v>30900000</v>
      </c>
      <c r="Z91" s="4095">
        <v>229268586.22941464</v>
      </c>
      <c r="AA91" s="3224" t="s">
        <v>1732</v>
      </c>
      <c r="AB91" s="3224"/>
      <c r="AC91" s="3224"/>
      <c r="AD91" s="3439" t="s">
        <v>3852</v>
      </c>
      <c r="AE91" s="3224"/>
      <c r="AF91" s="3224"/>
      <c r="AG91" s="3224"/>
      <c r="AH91" s="3224"/>
      <c r="AI91" s="3224"/>
      <c r="AJ91" s="3224"/>
      <c r="AK91" s="3224"/>
      <c r="AL91" s="3224"/>
      <c r="AM91" s="3224"/>
      <c r="AN91" s="3224"/>
      <c r="AO91" s="3224"/>
      <c r="AP91" s="3224"/>
      <c r="AQ91" s="3224"/>
      <c r="AR91" s="3224"/>
      <c r="AS91" s="3224"/>
      <c r="AT91" s="3224"/>
      <c r="AU91" s="3224"/>
      <c r="AV91" s="3224"/>
      <c r="AW91" s="3224"/>
      <c r="AX91" s="3224"/>
      <c r="AY91" s="3224"/>
      <c r="AZ91" s="3224"/>
      <c r="BA91" s="3224"/>
      <c r="BB91" s="3224"/>
      <c r="BC91" s="3224"/>
      <c r="BD91" s="3224"/>
      <c r="BE91" s="3224"/>
      <c r="BF91" s="3224"/>
      <c r="BG91" s="3224"/>
      <c r="BH91" s="3224"/>
      <c r="BI91" s="3224"/>
      <c r="BJ91" s="3224"/>
      <c r="BK91" s="3224"/>
      <c r="BL91" s="3224"/>
      <c r="BM91" s="3224"/>
      <c r="BN91" s="3224"/>
      <c r="BO91" s="3224"/>
      <c r="BP91" s="3224"/>
      <c r="BQ91" s="3224"/>
      <c r="BR91" s="2057"/>
      <c r="BS91" s="3922">
        <v>0</v>
      </c>
      <c r="BT91" s="4096">
        <v>2</v>
      </c>
      <c r="BU91" s="3221">
        <v>0</v>
      </c>
      <c r="BV91" s="3219">
        <v>0</v>
      </c>
      <c r="BW91" s="15846"/>
      <c r="BX91" s="4086"/>
      <c r="BY91" s="3922"/>
      <c r="BZ91" s="3922"/>
      <c r="CA91" s="4087"/>
      <c r="CB91" s="4087"/>
      <c r="CC91" s="4087"/>
      <c r="CD91" s="4087"/>
      <c r="CE91" s="4088"/>
      <c r="CF91" s="4088"/>
      <c r="CG91" s="4088"/>
      <c r="CH91" s="4088"/>
      <c r="CI91" s="4088"/>
      <c r="CJ91" s="4088"/>
      <c r="CK91" s="4088"/>
      <c r="CL91" s="4088"/>
      <c r="CM91" s="4088"/>
      <c r="CN91" s="4088"/>
      <c r="CO91" s="4088"/>
      <c r="CP91" s="4088"/>
      <c r="CQ91" s="4088"/>
      <c r="CR91" s="4088"/>
      <c r="CS91" s="4088"/>
      <c r="CT91" s="4088"/>
      <c r="CU91" s="4088"/>
      <c r="CV91" s="4088"/>
      <c r="CW91" s="4088"/>
      <c r="CX91" s="4088"/>
      <c r="CY91" s="4088"/>
      <c r="CZ91" s="4088"/>
      <c r="DA91" s="4089"/>
      <c r="DB91" s="4088"/>
      <c r="DC91" s="4088"/>
      <c r="DD91" s="4088"/>
      <c r="DE91" s="4088"/>
      <c r="DF91" s="4088"/>
      <c r="DG91" s="4088"/>
      <c r="DH91" s="4088"/>
      <c r="DI91" s="4088"/>
      <c r="DJ91" s="4088"/>
      <c r="DK91" s="4088"/>
      <c r="DL91" s="4088"/>
      <c r="DM91" s="4088"/>
      <c r="DN91" s="4286"/>
      <c r="DO91" s="1833"/>
      <c r="DP91" s="4456"/>
      <c r="DQ91" s="4448"/>
      <c r="DR91" s="4448"/>
      <c r="DS91" s="4448"/>
      <c r="DT91" s="3224"/>
      <c r="DU91" s="3224"/>
      <c r="DV91" s="3224"/>
      <c r="DW91" s="3224"/>
      <c r="DX91" s="3224"/>
      <c r="DY91" s="3224"/>
      <c r="DZ91" s="3224"/>
      <c r="EA91" s="3224"/>
      <c r="EB91" s="3224"/>
      <c r="EC91" s="3224"/>
      <c r="ED91" s="3224"/>
      <c r="EE91" s="3224"/>
      <c r="EF91" s="3224"/>
      <c r="EG91" s="3224"/>
      <c r="EH91" s="3224"/>
      <c r="EI91" s="3224"/>
      <c r="EJ91" s="3224"/>
      <c r="EK91" s="3224"/>
      <c r="EL91" s="3224"/>
      <c r="EM91" s="3224"/>
      <c r="EN91" s="3224"/>
      <c r="EO91" s="3224"/>
      <c r="EP91" s="3224"/>
      <c r="EQ91" s="3224"/>
      <c r="ER91" s="3224"/>
      <c r="ES91" s="3224"/>
      <c r="ET91" s="3224"/>
      <c r="EU91" s="3224"/>
      <c r="EV91" s="3224"/>
      <c r="EW91" s="3224"/>
      <c r="EX91" s="3224"/>
      <c r="EY91" s="3224"/>
      <c r="EZ91" s="3224"/>
      <c r="FA91" s="3224"/>
      <c r="FB91" s="3224"/>
      <c r="FC91" s="3224"/>
      <c r="FD91" s="3224"/>
      <c r="FE91" s="3224"/>
      <c r="FF91" s="3224"/>
      <c r="FG91" s="3224"/>
      <c r="FH91" s="3224"/>
      <c r="FI91" s="2057"/>
    </row>
    <row r="92" spans="1:165" s="1834" customFormat="1" ht="15" customHeight="1">
      <c r="A92" s="15792"/>
      <c r="B92" s="15795"/>
      <c r="C92" s="15722"/>
      <c r="D92" s="15691"/>
      <c r="E92" s="15722"/>
      <c r="F92" s="15722"/>
      <c r="G92" s="4092"/>
      <c r="H92" s="4093"/>
      <c r="I92" s="4093"/>
      <c r="J92" s="15723"/>
      <c r="K92" s="15724"/>
      <c r="L92" s="4437" t="s">
        <v>477</v>
      </c>
      <c r="M92" s="2736"/>
      <c r="N92" s="4094" t="s">
        <v>10221</v>
      </c>
      <c r="O92" s="4095"/>
      <c r="P92" s="4095"/>
      <c r="Q92" s="4095"/>
      <c r="R92" s="4095"/>
      <c r="S92" s="4095"/>
      <c r="T92" s="4095"/>
      <c r="U92" s="4095"/>
      <c r="V92" s="4095"/>
      <c r="W92" s="4095"/>
      <c r="X92" s="4095"/>
      <c r="Y92" s="4095"/>
      <c r="Z92" s="4095"/>
      <c r="AA92" s="3224"/>
      <c r="AB92" s="3224"/>
      <c r="AC92" s="3224"/>
      <c r="AD92" s="3439"/>
      <c r="AE92" s="3224"/>
      <c r="AF92" s="3224"/>
      <c r="AG92" s="3224"/>
      <c r="AH92" s="3224"/>
      <c r="AI92" s="3224"/>
      <c r="AJ92" s="3224"/>
      <c r="AK92" s="3224"/>
      <c r="AL92" s="3224"/>
      <c r="AM92" s="3224"/>
      <c r="AN92" s="3224"/>
      <c r="AO92" s="3224"/>
      <c r="AP92" s="3224"/>
      <c r="AQ92" s="3224"/>
      <c r="AR92" s="3224"/>
      <c r="AS92" s="3224"/>
      <c r="AT92" s="3224"/>
      <c r="AU92" s="3224"/>
      <c r="AV92" s="3224"/>
      <c r="AW92" s="3224"/>
      <c r="AX92" s="3224"/>
      <c r="AY92" s="3224"/>
      <c r="AZ92" s="3224"/>
      <c r="BA92" s="3224"/>
      <c r="BB92" s="3224"/>
      <c r="BC92" s="3224"/>
      <c r="BD92" s="3224"/>
      <c r="BE92" s="3224"/>
      <c r="BF92" s="3224"/>
      <c r="BG92" s="3224"/>
      <c r="BH92" s="3224"/>
      <c r="BI92" s="3224"/>
      <c r="BJ92" s="3224"/>
      <c r="BK92" s="3224"/>
      <c r="BL92" s="3224"/>
      <c r="BM92" s="3224"/>
      <c r="BN92" s="3224"/>
      <c r="BO92" s="3224"/>
      <c r="BP92" s="3224"/>
      <c r="BQ92" s="3224"/>
      <c r="BR92" s="2057"/>
      <c r="BS92" s="3922"/>
      <c r="BT92" s="4096"/>
      <c r="BU92" s="3221"/>
      <c r="BV92" s="3219"/>
      <c r="BW92" s="15846"/>
      <c r="BX92" s="4086"/>
      <c r="BY92" s="3922"/>
      <c r="BZ92" s="3922"/>
      <c r="CA92" s="4087"/>
      <c r="CB92" s="4087"/>
      <c r="CC92" s="4087"/>
      <c r="CD92" s="4087"/>
      <c r="CE92" s="4088"/>
      <c r="CF92" s="4088"/>
      <c r="CG92" s="4088"/>
      <c r="CH92" s="4088"/>
      <c r="CI92" s="4088"/>
      <c r="CJ92" s="4088"/>
      <c r="CK92" s="4088"/>
      <c r="CL92" s="4088"/>
      <c r="CM92" s="4088"/>
      <c r="CN92" s="4088"/>
      <c r="CO92" s="4088"/>
      <c r="CP92" s="4088"/>
      <c r="CQ92" s="4088"/>
      <c r="CR92" s="4088"/>
      <c r="CS92" s="4088"/>
      <c r="CT92" s="4088"/>
      <c r="CU92" s="4088"/>
      <c r="CV92" s="4088"/>
      <c r="CW92" s="4088"/>
      <c r="CX92" s="4088"/>
      <c r="CY92" s="4088"/>
      <c r="CZ92" s="4088"/>
      <c r="DA92" s="4089"/>
      <c r="DB92" s="4088"/>
      <c r="DC92" s="4088"/>
      <c r="DD92" s="4088"/>
      <c r="DE92" s="4088"/>
      <c r="DF92" s="4088"/>
      <c r="DG92" s="4088"/>
      <c r="DH92" s="4088"/>
      <c r="DI92" s="4088"/>
      <c r="DJ92" s="4088"/>
      <c r="DK92" s="4088"/>
      <c r="DL92" s="4088"/>
      <c r="DM92" s="4088"/>
      <c r="DN92" s="4286"/>
      <c r="DO92" s="1833"/>
      <c r="DP92" s="4456"/>
      <c r="DQ92" s="4448"/>
      <c r="DR92" s="4448"/>
      <c r="DS92" s="4448"/>
      <c r="DT92" s="3224"/>
      <c r="DU92" s="3224"/>
      <c r="DV92" s="3224"/>
      <c r="DW92" s="3224"/>
      <c r="DX92" s="3224"/>
      <c r="DY92" s="3224"/>
      <c r="DZ92" s="3224"/>
      <c r="EA92" s="3224"/>
      <c r="EB92" s="3224"/>
      <c r="EC92" s="3224"/>
      <c r="ED92" s="3224"/>
      <c r="EE92" s="3224"/>
      <c r="EF92" s="3224"/>
      <c r="EG92" s="3224"/>
      <c r="EH92" s="3224"/>
      <c r="EI92" s="3224"/>
      <c r="EJ92" s="3224"/>
      <c r="EK92" s="3224"/>
      <c r="EL92" s="3224"/>
      <c r="EM92" s="3224"/>
      <c r="EN92" s="3224"/>
      <c r="EO92" s="3224"/>
      <c r="EP92" s="3224"/>
      <c r="EQ92" s="3224"/>
      <c r="ER92" s="3224"/>
      <c r="ES92" s="3224"/>
      <c r="ET92" s="3224"/>
      <c r="EU92" s="3224"/>
      <c r="EV92" s="3224"/>
      <c r="EW92" s="3224"/>
      <c r="EX92" s="3224"/>
      <c r="EY92" s="3224"/>
      <c r="EZ92" s="3224"/>
      <c r="FA92" s="3224"/>
      <c r="FB92" s="3224"/>
      <c r="FC92" s="3224"/>
      <c r="FD92" s="3224"/>
      <c r="FE92" s="3224"/>
      <c r="FF92" s="3224"/>
      <c r="FG92" s="3224"/>
      <c r="FH92" s="3224"/>
      <c r="FI92" s="2057"/>
    </row>
    <row r="93" spans="1:165" s="1834" customFormat="1" ht="15" customHeight="1">
      <c r="A93" s="15792"/>
      <c r="B93" s="15795"/>
      <c r="C93" s="15717"/>
      <c r="D93" s="15692"/>
      <c r="E93" s="15717"/>
      <c r="F93" s="15717"/>
      <c r="G93" s="4092"/>
      <c r="H93" s="4093"/>
      <c r="I93" s="4093"/>
      <c r="J93" s="15719"/>
      <c r="K93" s="15721"/>
      <c r="L93" s="4437" t="s">
        <v>10204</v>
      </c>
      <c r="M93" s="2736"/>
      <c r="N93" s="4094" t="s">
        <v>10222</v>
      </c>
      <c r="O93" s="4095"/>
      <c r="P93" s="4095"/>
      <c r="Q93" s="4095"/>
      <c r="R93" s="4095"/>
      <c r="S93" s="4095"/>
      <c r="T93" s="4095"/>
      <c r="U93" s="4095"/>
      <c r="V93" s="4095"/>
      <c r="W93" s="4095"/>
      <c r="X93" s="4095"/>
      <c r="Y93" s="4095"/>
      <c r="Z93" s="4095"/>
      <c r="AA93" s="3224"/>
      <c r="AB93" s="3224"/>
      <c r="AC93" s="3224"/>
      <c r="AD93" s="3439"/>
      <c r="AE93" s="3224"/>
      <c r="AF93" s="3224"/>
      <c r="AG93" s="3224"/>
      <c r="AH93" s="3224"/>
      <c r="AI93" s="3224"/>
      <c r="AJ93" s="3224"/>
      <c r="AK93" s="3224"/>
      <c r="AL93" s="3224"/>
      <c r="AM93" s="3224"/>
      <c r="AN93" s="3224"/>
      <c r="AO93" s="3224"/>
      <c r="AP93" s="3224"/>
      <c r="AQ93" s="3224"/>
      <c r="AR93" s="3224"/>
      <c r="AS93" s="3224"/>
      <c r="AT93" s="3224"/>
      <c r="AU93" s="3224"/>
      <c r="AV93" s="3224"/>
      <c r="AW93" s="3224"/>
      <c r="AX93" s="3224"/>
      <c r="AY93" s="3224"/>
      <c r="AZ93" s="3224"/>
      <c r="BA93" s="3224"/>
      <c r="BB93" s="3224"/>
      <c r="BC93" s="3224"/>
      <c r="BD93" s="3224"/>
      <c r="BE93" s="3224"/>
      <c r="BF93" s="3224"/>
      <c r="BG93" s="3224"/>
      <c r="BH93" s="3224"/>
      <c r="BI93" s="3224"/>
      <c r="BJ93" s="3224"/>
      <c r="BK93" s="3224"/>
      <c r="BL93" s="3224"/>
      <c r="BM93" s="3224"/>
      <c r="BN93" s="3224"/>
      <c r="BO93" s="3224"/>
      <c r="BP93" s="3224"/>
      <c r="BQ93" s="3224"/>
      <c r="BR93" s="2057"/>
      <c r="BS93" s="3922"/>
      <c r="BT93" s="4096"/>
      <c r="BU93" s="3221"/>
      <c r="BV93" s="3219"/>
      <c r="BW93" s="15846"/>
      <c r="BX93" s="4086"/>
      <c r="BY93" s="3922"/>
      <c r="BZ93" s="3922"/>
      <c r="CA93" s="4087"/>
      <c r="CB93" s="4087"/>
      <c r="CC93" s="4087"/>
      <c r="CD93" s="4087"/>
      <c r="CE93" s="4088"/>
      <c r="CF93" s="4088"/>
      <c r="CG93" s="4088"/>
      <c r="CH93" s="4088"/>
      <c r="CI93" s="4088"/>
      <c r="CJ93" s="4088"/>
      <c r="CK93" s="4088"/>
      <c r="CL93" s="4088"/>
      <c r="CM93" s="4088"/>
      <c r="CN93" s="4088"/>
      <c r="CO93" s="4088"/>
      <c r="CP93" s="4088"/>
      <c r="CQ93" s="4088"/>
      <c r="CR93" s="4088"/>
      <c r="CS93" s="4088"/>
      <c r="CT93" s="4088"/>
      <c r="CU93" s="4088"/>
      <c r="CV93" s="4088"/>
      <c r="CW93" s="4088"/>
      <c r="CX93" s="4088"/>
      <c r="CY93" s="4088"/>
      <c r="CZ93" s="4088"/>
      <c r="DA93" s="4089"/>
      <c r="DB93" s="4088"/>
      <c r="DC93" s="4088"/>
      <c r="DD93" s="4088"/>
      <c r="DE93" s="4088"/>
      <c r="DF93" s="4088"/>
      <c r="DG93" s="4088"/>
      <c r="DH93" s="4088"/>
      <c r="DI93" s="4088"/>
      <c r="DJ93" s="4088"/>
      <c r="DK93" s="4088"/>
      <c r="DL93" s="4088"/>
      <c r="DM93" s="4088"/>
      <c r="DN93" s="4286"/>
      <c r="DO93" s="1833"/>
      <c r="DP93" s="4456"/>
      <c r="DQ93" s="4448"/>
      <c r="DR93" s="4448"/>
      <c r="DS93" s="4448"/>
      <c r="DT93" s="3224"/>
      <c r="DU93" s="3224"/>
      <c r="DV93" s="3224"/>
      <c r="DW93" s="3224"/>
      <c r="DX93" s="3224"/>
      <c r="DY93" s="3224"/>
      <c r="DZ93" s="3224"/>
      <c r="EA93" s="3224"/>
      <c r="EB93" s="3224"/>
      <c r="EC93" s="3224"/>
      <c r="ED93" s="3224"/>
      <c r="EE93" s="3224"/>
      <c r="EF93" s="3224"/>
      <c r="EG93" s="3224"/>
      <c r="EH93" s="3224"/>
      <c r="EI93" s="3224"/>
      <c r="EJ93" s="3224"/>
      <c r="EK93" s="3224"/>
      <c r="EL93" s="3224"/>
      <c r="EM93" s="3224"/>
      <c r="EN93" s="3224"/>
      <c r="EO93" s="3224"/>
      <c r="EP93" s="3224"/>
      <c r="EQ93" s="3224"/>
      <c r="ER93" s="3224"/>
      <c r="ES93" s="3224"/>
      <c r="ET93" s="3224"/>
      <c r="EU93" s="3224"/>
      <c r="EV93" s="3224"/>
      <c r="EW93" s="3224"/>
      <c r="EX93" s="3224"/>
      <c r="EY93" s="3224"/>
      <c r="EZ93" s="3224"/>
      <c r="FA93" s="3224"/>
      <c r="FB93" s="3224"/>
      <c r="FC93" s="3224"/>
      <c r="FD93" s="3224"/>
      <c r="FE93" s="3224"/>
      <c r="FF93" s="3224"/>
      <c r="FG93" s="3224"/>
      <c r="FH93" s="3224"/>
      <c r="FI93" s="2057"/>
    </row>
    <row r="94" spans="1:165" s="1834" customFormat="1" ht="15" customHeight="1">
      <c r="A94" s="15792"/>
      <c r="B94" s="15795"/>
      <c r="C94" s="15716" t="s">
        <v>1425</v>
      </c>
      <c r="D94" s="15715" t="s">
        <v>7879</v>
      </c>
      <c r="E94" s="15716" t="s">
        <v>1426</v>
      </c>
      <c r="F94" s="15716" t="s">
        <v>1427</v>
      </c>
      <c r="G94" s="4092" t="s">
        <v>70</v>
      </c>
      <c r="H94" s="4093">
        <v>2</v>
      </c>
      <c r="I94" s="4093">
        <v>4</v>
      </c>
      <c r="J94" s="15718">
        <v>6</v>
      </c>
      <c r="K94" s="15720" t="s">
        <v>91</v>
      </c>
      <c r="L94" s="4437" t="s">
        <v>86</v>
      </c>
      <c r="M94" s="2736" t="s">
        <v>422</v>
      </c>
      <c r="N94" s="4094"/>
      <c r="O94" s="4095">
        <v>15000000</v>
      </c>
      <c r="P94" s="4095">
        <v>15450000</v>
      </c>
      <c r="Q94" s="4095">
        <v>15913500</v>
      </c>
      <c r="R94" s="4095">
        <v>30900000</v>
      </c>
      <c r="S94" s="4095">
        <v>31827000</v>
      </c>
      <c r="T94" s="4095">
        <v>32781810</v>
      </c>
      <c r="U94" s="4095">
        <v>33765264.300000004</v>
      </c>
      <c r="V94" s="4095">
        <v>34778222.229000002</v>
      </c>
      <c r="W94" s="4095">
        <v>35821568.89587</v>
      </c>
      <c r="X94" s="4095">
        <v>36896215.962746099</v>
      </c>
      <c r="Y94" s="4095">
        <v>38003102.441628486</v>
      </c>
      <c r="Z94" s="4095">
        <v>321136683.82924461</v>
      </c>
      <c r="AA94" s="2705">
        <v>1</v>
      </c>
      <c r="AB94" s="3893" t="s">
        <v>3563</v>
      </c>
      <c r="AC94" s="3893" t="s">
        <v>3564</v>
      </c>
      <c r="AD94" s="2710"/>
      <c r="AE94" s="4287">
        <v>10000000</v>
      </c>
      <c r="AF94" s="2710"/>
      <c r="AG94" s="4287">
        <v>10000000</v>
      </c>
      <c r="AH94" s="2710"/>
      <c r="AI94" s="2710">
        <v>500</v>
      </c>
      <c r="AJ94" s="2710">
        <v>266</v>
      </c>
      <c r="AK94" s="2710">
        <v>234</v>
      </c>
      <c r="AL94" s="2710">
        <v>301</v>
      </c>
      <c r="AM94" s="2710">
        <v>199</v>
      </c>
      <c r="AN94" s="2710">
        <v>76</v>
      </c>
      <c r="AO94" s="2710">
        <v>190</v>
      </c>
      <c r="AP94" s="2710">
        <v>87</v>
      </c>
      <c r="AQ94" s="2710">
        <v>145</v>
      </c>
      <c r="AR94" s="2710">
        <v>2</v>
      </c>
      <c r="AS94" s="2710"/>
      <c r="AT94" s="2710"/>
      <c r="AU94" s="2710">
        <v>487</v>
      </c>
      <c r="AV94" s="2710"/>
      <c r="AW94" s="2710">
        <v>11</v>
      </c>
      <c r="AX94" s="2710">
        <v>2</v>
      </c>
      <c r="AY94" s="2710"/>
      <c r="AZ94" s="2710"/>
      <c r="BA94" s="2710"/>
      <c r="BB94" s="2710"/>
      <c r="BC94" s="2710"/>
      <c r="BD94" s="2710"/>
      <c r="BE94" s="2710">
        <v>500</v>
      </c>
      <c r="BF94" s="2710"/>
      <c r="BG94" s="2710"/>
      <c r="BH94" s="2711"/>
      <c r="BI94" s="2711"/>
      <c r="BJ94" s="2711"/>
      <c r="BK94" s="2711"/>
      <c r="BL94" s="2711"/>
      <c r="BM94" s="2711"/>
      <c r="BN94" s="2711"/>
      <c r="BO94" s="2711"/>
      <c r="BP94" s="2711"/>
      <c r="BQ94" s="2711"/>
      <c r="BR94" s="3223"/>
      <c r="BS94" s="4100">
        <v>3</v>
      </c>
      <c r="BT94" s="4096">
        <v>3</v>
      </c>
      <c r="BU94" s="3221">
        <v>4</v>
      </c>
      <c r="BV94" s="3219">
        <v>1</v>
      </c>
      <c r="BW94" s="15846"/>
      <c r="BX94" s="4101" t="s">
        <v>3563</v>
      </c>
      <c r="BY94" s="4100" t="s">
        <v>3564</v>
      </c>
      <c r="BZ94" s="4100"/>
      <c r="CA94" s="4102">
        <v>10000000</v>
      </c>
      <c r="CB94" s="4102"/>
      <c r="CC94" s="4102">
        <v>10000000</v>
      </c>
      <c r="CD94" s="4102"/>
      <c r="CE94" s="4103">
        <v>500</v>
      </c>
      <c r="CF94" s="4103">
        <v>266</v>
      </c>
      <c r="CG94" s="4103">
        <v>234</v>
      </c>
      <c r="CH94" s="4103">
        <v>301</v>
      </c>
      <c r="CI94" s="4103">
        <v>199</v>
      </c>
      <c r="CJ94" s="4103">
        <v>76</v>
      </c>
      <c r="CK94" s="4103">
        <v>190</v>
      </c>
      <c r="CL94" s="4103">
        <v>87</v>
      </c>
      <c r="CM94" s="4103">
        <v>145</v>
      </c>
      <c r="CN94" s="4103">
        <v>2</v>
      </c>
      <c r="CO94" s="4103"/>
      <c r="CP94" s="4103"/>
      <c r="CQ94" s="4103">
        <v>487</v>
      </c>
      <c r="CR94" s="4103"/>
      <c r="CS94" s="4103">
        <v>11</v>
      </c>
      <c r="CT94" s="4103">
        <v>2</v>
      </c>
      <c r="CU94" s="4103"/>
      <c r="CV94" s="4103"/>
      <c r="CW94" s="4103"/>
      <c r="CX94" s="4103"/>
      <c r="CY94" s="4103"/>
      <c r="CZ94" s="4103"/>
      <c r="DA94" s="4104">
        <v>500</v>
      </c>
      <c r="DB94" s="4103"/>
      <c r="DC94" s="4103"/>
      <c r="DD94" s="4103"/>
      <c r="DE94" s="4103"/>
      <c r="DF94" s="4103"/>
      <c r="DG94" s="4103"/>
      <c r="DH94" s="4103"/>
      <c r="DI94" s="4103"/>
      <c r="DJ94" s="4103"/>
      <c r="DK94" s="4103"/>
      <c r="DL94" s="4103"/>
      <c r="DM94" s="4105"/>
      <c r="DN94" s="4288"/>
      <c r="DO94" s="1833"/>
      <c r="DP94" s="4456"/>
      <c r="DQ94" s="4448"/>
      <c r="DR94" s="4448"/>
      <c r="DS94" s="4448"/>
      <c r="DT94" s="3224"/>
      <c r="DU94" s="3224"/>
      <c r="DV94" s="3224"/>
      <c r="DW94" s="3224"/>
      <c r="DX94" s="3224"/>
      <c r="DY94" s="3224"/>
      <c r="DZ94" s="3224"/>
      <c r="EA94" s="3224"/>
      <c r="EB94" s="3224"/>
      <c r="EC94" s="3224"/>
      <c r="ED94" s="3224"/>
      <c r="EE94" s="3224"/>
      <c r="EF94" s="3224"/>
      <c r="EG94" s="3224"/>
      <c r="EH94" s="3224"/>
      <c r="EI94" s="3224"/>
      <c r="EJ94" s="3224"/>
      <c r="EK94" s="3224"/>
      <c r="EL94" s="3224"/>
      <c r="EM94" s="3224"/>
      <c r="EN94" s="3224"/>
      <c r="EO94" s="3224"/>
      <c r="EP94" s="3224"/>
      <c r="EQ94" s="3224"/>
      <c r="ER94" s="3224"/>
      <c r="ES94" s="3224"/>
      <c r="ET94" s="3224"/>
      <c r="EU94" s="3224"/>
      <c r="EV94" s="3224"/>
      <c r="EW94" s="3224"/>
      <c r="EX94" s="3224"/>
      <c r="EY94" s="3224"/>
      <c r="EZ94" s="3224"/>
      <c r="FA94" s="3224"/>
      <c r="FB94" s="3224"/>
      <c r="FC94" s="3224"/>
      <c r="FD94" s="3224"/>
      <c r="FE94" s="3224"/>
      <c r="FF94" s="3224"/>
      <c r="FG94" s="3224"/>
      <c r="FH94" s="3224"/>
      <c r="FI94" s="2057"/>
    </row>
    <row r="95" spans="1:165" s="1834" customFormat="1" ht="15" customHeight="1">
      <c r="A95" s="15792"/>
      <c r="B95" s="15795"/>
      <c r="C95" s="15722"/>
      <c r="D95" s="15691"/>
      <c r="E95" s="15722"/>
      <c r="F95" s="15722"/>
      <c r="G95" s="4092"/>
      <c r="H95" s="4093"/>
      <c r="I95" s="4093"/>
      <c r="J95" s="15723"/>
      <c r="K95" s="15724"/>
      <c r="L95" s="4437" t="s">
        <v>10072</v>
      </c>
      <c r="M95" s="2736"/>
      <c r="N95" s="4094" t="s">
        <v>93</v>
      </c>
      <c r="O95" s="4095"/>
      <c r="P95" s="4095"/>
      <c r="Q95" s="4095"/>
      <c r="R95" s="4095"/>
      <c r="S95" s="4095"/>
      <c r="T95" s="4095"/>
      <c r="U95" s="4095"/>
      <c r="V95" s="4095"/>
      <c r="W95" s="4095"/>
      <c r="X95" s="4095"/>
      <c r="Y95" s="4095"/>
      <c r="Z95" s="4095"/>
      <c r="AA95" s="2103"/>
      <c r="AB95" s="3892"/>
      <c r="AC95" s="3892"/>
      <c r="AD95" s="4098"/>
      <c r="AE95" s="4099"/>
      <c r="AF95" s="1709"/>
      <c r="AG95" s="4099"/>
      <c r="AH95" s="1709"/>
      <c r="AI95" s="1709"/>
      <c r="AJ95" s="1709"/>
      <c r="AK95" s="1709"/>
      <c r="AL95" s="1709"/>
      <c r="AM95" s="1709"/>
      <c r="AN95" s="1709"/>
      <c r="AO95" s="1709"/>
      <c r="AP95" s="1709"/>
      <c r="AQ95" s="1709"/>
      <c r="AR95" s="1709"/>
      <c r="AS95" s="1709"/>
      <c r="AT95" s="1709"/>
      <c r="AU95" s="1709"/>
      <c r="AV95" s="1709"/>
      <c r="AW95" s="1709"/>
      <c r="AX95" s="1709"/>
      <c r="AY95" s="1709"/>
      <c r="AZ95" s="1709"/>
      <c r="BA95" s="1709"/>
      <c r="BB95" s="1709"/>
      <c r="BC95" s="1709"/>
      <c r="BD95" s="1709"/>
      <c r="BE95" s="1709"/>
      <c r="BF95" s="1709"/>
      <c r="BG95" s="1709"/>
      <c r="BH95" s="1711"/>
      <c r="BI95" s="2711"/>
      <c r="BJ95" s="2711"/>
      <c r="BK95" s="2711"/>
      <c r="BL95" s="2711"/>
      <c r="BM95" s="2711"/>
      <c r="BN95" s="2711"/>
      <c r="BO95" s="2711"/>
      <c r="BP95" s="2711"/>
      <c r="BQ95" s="2711"/>
      <c r="BR95" s="3223"/>
      <c r="BS95" s="4100"/>
      <c r="BT95" s="4096"/>
      <c r="BU95" s="3221"/>
      <c r="BV95" s="3219"/>
      <c r="BW95" s="15846"/>
      <c r="BX95" s="4101"/>
      <c r="BY95" s="4100"/>
      <c r="BZ95" s="4100"/>
      <c r="CA95" s="4102"/>
      <c r="CB95" s="4102"/>
      <c r="CC95" s="4102"/>
      <c r="CD95" s="4102"/>
      <c r="CE95" s="4103"/>
      <c r="CF95" s="4103"/>
      <c r="CG95" s="4103"/>
      <c r="CH95" s="4103"/>
      <c r="CI95" s="4103"/>
      <c r="CJ95" s="4103"/>
      <c r="CK95" s="4103"/>
      <c r="CL95" s="4103"/>
      <c r="CM95" s="4103"/>
      <c r="CN95" s="4103"/>
      <c r="CO95" s="4103"/>
      <c r="CP95" s="4103"/>
      <c r="CQ95" s="4103"/>
      <c r="CR95" s="4103"/>
      <c r="CS95" s="4103"/>
      <c r="CT95" s="4103"/>
      <c r="CU95" s="4103"/>
      <c r="CV95" s="4103"/>
      <c r="CW95" s="4103"/>
      <c r="CX95" s="4103"/>
      <c r="CY95" s="4103"/>
      <c r="CZ95" s="4103"/>
      <c r="DA95" s="4104"/>
      <c r="DB95" s="4103"/>
      <c r="DC95" s="4103"/>
      <c r="DD95" s="4103"/>
      <c r="DE95" s="4103"/>
      <c r="DF95" s="4103"/>
      <c r="DG95" s="4103"/>
      <c r="DH95" s="4103"/>
      <c r="DI95" s="4103"/>
      <c r="DJ95" s="4103"/>
      <c r="DK95" s="4103"/>
      <c r="DL95" s="4103"/>
      <c r="DM95" s="4105"/>
      <c r="DN95" s="4288"/>
      <c r="DO95" s="1833"/>
      <c r="DP95" s="4456"/>
      <c r="DQ95" s="4448"/>
      <c r="DR95" s="4448"/>
      <c r="DS95" s="4448"/>
      <c r="DT95" s="3224"/>
      <c r="DU95" s="3224"/>
      <c r="DV95" s="3224"/>
      <c r="DW95" s="3224"/>
      <c r="DX95" s="3224"/>
      <c r="DY95" s="3224"/>
      <c r="DZ95" s="3224"/>
      <c r="EA95" s="3224"/>
      <c r="EB95" s="3224"/>
      <c r="EC95" s="3224"/>
      <c r="ED95" s="3224"/>
      <c r="EE95" s="3224"/>
      <c r="EF95" s="3224"/>
      <c r="EG95" s="3224"/>
      <c r="EH95" s="3224"/>
      <c r="EI95" s="3224"/>
      <c r="EJ95" s="3224"/>
      <c r="EK95" s="3224"/>
      <c r="EL95" s="3224"/>
      <c r="EM95" s="3224"/>
      <c r="EN95" s="3224"/>
      <c r="EO95" s="3224"/>
      <c r="EP95" s="3224"/>
      <c r="EQ95" s="3224"/>
      <c r="ER95" s="3224"/>
      <c r="ES95" s="3224"/>
      <c r="ET95" s="3224"/>
      <c r="EU95" s="3224"/>
      <c r="EV95" s="3224"/>
      <c r="EW95" s="3224"/>
      <c r="EX95" s="3224"/>
      <c r="EY95" s="3224"/>
      <c r="EZ95" s="3224"/>
      <c r="FA95" s="3224"/>
      <c r="FB95" s="3224"/>
      <c r="FC95" s="3224"/>
      <c r="FD95" s="3224"/>
      <c r="FE95" s="3224"/>
      <c r="FF95" s="3224"/>
      <c r="FG95" s="3224"/>
      <c r="FH95" s="3224"/>
      <c r="FI95" s="2057"/>
    </row>
    <row r="96" spans="1:165" s="1834" customFormat="1" ht="15" customHeight="1">
      <c r="A96" s="15792"/>
      <c r="B96" s="15795"/>
      <c r="C96" s="15717"/>
      <c r="D96" s="15692"/>
      <c r="E96" s="15717"/>
      <c r="F96" s="15717"/>
      <c r="G96" s="4092"/>
      <c r="H96" s="4093"/>
      <c r="I96" s="4093"/>
      <c r="J96" s="15719"/>
      <c r="K96" s="15721"/>
      <c r="L96" s="4437" t="s">
        <v>10063</v>
      </c>
      <c r="M96" s="2736"/>
      <c r="N96" s="4094" t="s">
        <v>724</v>
      </c>
      <c r="O96" s="4095"/>
      <c r="P96" s="4095"/>
      <c r="Q96" s="4095"/>
      <c r="R96" s="4095"/>
      <c r="S96" s="4095"/>
      <c r="T96" s="4095"/>
      <c r="U96" s="4095"/>
      <c r="V96" s="4095"/>
      <c r="W96" s="4095"/>
      <c r="X96" s="4095"/>
      <c r="Y96" s="4095"/>
      <c r="Z96" s="4095"/>
      <c r="AA96" s="2103"/>
      <c r="AB96" s="3892"/>
      <c r="AC96" s="3892"/>
      <c r="AD96" s="4098"/>
      <c r="AE96" s="4099"/>
      <c r="AF96" s="1709"/>
      <c r="AG96" s="4099"/>
      <c r="AH96" s="1709"/>
      <c r="AI96" s="1709"/>
      <c r="AJ96" s="1709"/>
      <c r="AK96" s="1709"/>
      <c r="AL96" s="1709"/>
      <c r="AM96" s="1709"/>
      <c r="AN96" s="1709"/>
      <c r="AO96" s="1709"/>
      <c r="AP96" s="1709"/>
      <c r="AQ96" s="1709"/>
      <c r="AR96" s="1709"/>
      <c r="AS96" s="1709"/>
      <c r="AT96" s="1709"/>
      <c r="AU96" s="1709"/>
      <c r="AV96" s="1709"/>
      <c r="AW96" s="1709"/>
      <c r="AX96" s="1709"/>
      <c r="AY96" s="1709"/>
      <c r="AZ96" s="1709"/>
      <c r="BA96" s="1709"/>
      <c r="BB96" s="1709"/>
      <c r="BC96" s="1709"/>
      <c r="BD96" s="1709"/>
      <c r="BE96" s="1709"/>
      <c r="BF96" s="1709"/>
      <c r="BG96" s="1709"/>
      <c r="BH96" s="1711"/>
      <c r="BI96" s="2711"/>
      <c r="BJ96" s="2711"/>
      <c r="BK96" s="2711"/>
      <c r="BL96" s="2711"/>
      <c r="BM96" s="2711"/>
      <c r="BN96" s="2711"/>
      <c r="BO96" s="2711"/>
      <c r="BP96" s="2711"/>
      <c r="BQ96" s="2711"/>
      <c r="BR96" s="3223"/>
      <c r="BS96" s="4100"/>
      <c r="BT96" s="4096"/>
      <c r="BU96" s="3221"/>
      <c r="BV96" s="3219"/>
      <c r="BW96" s="15846"/>
      <c r="BX96" s="4101"/>
      <c r="BY96" s="4100"/>
      <c r="BZ96" s="4100"/>
      <c r="CA96" s="4102"/>
      <c r="CB96" s="4102"/>
      <c r="CC96" s="4102"/>
      <c r="CD96" s="4102"/>
      <c r="CE96" s="4103"/>
      <c r="CF96" s="4103"/>
      <c r="CG96" s="4103"/>
      <c r="CH96" s="4103"/>
      <c r="CI96" s="4103"/>
      <c r="CJ96" s="4103"/>
      <c r="CK96" s="4103"/>
      <c r="CL96" s="4103"/>
      <c r="CM96" s="4103"/>
      <c r="CN96" s="4103"/>
      <c r="CO96" s="4103"/>
      <c r="CP96" s="4103"/>
      <c r="CQ96" s="4103"/>
      <c r="CR96" s="4103"/>
      <c r="CS96" s="4103"/>
      <c r="CT96" s="4103"/>
      <c r="CU96" s="4103"/>
      <c r="CV96" s="4103"/>
      <c r="CW96" s="4103"/>
      <c r="CX96" s="4103"/>
      <c r="CY96" s="4103"/>
      <c r="CZ96" s="4103"/>
      <c r="DA96" s="4104"/>
      <c r="DB96" s="4103"/>
      <c r="DC96" s="4103"/>
      <c r="DD96" s="4103"/>
      <c r="DE96" s="4103"/>
      <c r="DF96" s="4103"/>
      <c r="DG96" s="4103"/>
      <c r="DH96" s="4103"/>
      <c r="DI96" s="4103"/>
      <c r="DJ96" s="4103"/>
      <c r="DK96" s="4103"/>
      <c r="DL96" s="4103"/>
      <c r="DM96" s="4105"/>
      <c r="DN96" s="4288"/>
      <c r="DO96" s="1833"/>
      <c r="DP96" s="4456"/>
      <c r="DQ96" s="4448"/>
      <c r="DR96" s="4448"/>
      <c r="DS96" s="4448"/>
      <c r="DT96" s="3224"/>
      <c r="DU96" s="3224"/>
      <c r="DV96" s="3224"/>
      <c r="DW96" s="3224"/>
      <c r="DX96" s="3224"/>
      <c r="DY96" s="3224"/>
      <c r="DZ96" s="3224"/>
      <c r="EA96" s="3224"/>
      <c r="EB96" s="3224"/>
      <c r="EC96" s="3224"/>
      <c r="ED96" s="3224"/>
      <c r="EE96" s="3224"/>
      <c r="EF96" s="3224"/>
      <c r="EG96" s="3224"/>
      <c r="EH96" s="3224"/>
      <c r="EI96" s="3224"/>
      <c r="EJ96" s="3224"/>
      <c r="EK96" s="3224"/>
      <c r="EL96" s="3224"/>
      <c r="EM96" s="3224"/>
      <c r="EN96" s="3224"/>
      <c r="EO96" s="3224"/>
      <c r="EP96" s="3224"/>
      <c r="EQ96" s="3224"/>
      <c r="ER96" s="3224"/>
      <c r="ES96" s="3224"/>
      <c r="ET96" s="3224"/>
      <c r="EU96" s="3224"/>
      <c r="EV96" s="3224"/>
      <c r="EW96" s="3224"/>
      <c r="EX96" s="3224"/>
      <c r="EY96" s="3224"/>
      <c r="EZ96" s="3224"/>
      <c r="FA96" s="3224"/>
      <c r="FB96" s="3224"/>
      <c r="FC96" s="3224"/>
      <c r="FD96" s="3224"/>
      <c r="FE96" s="3224"/>
      <c r="FF96" s="3224"/>
      <c r="FG96" s="3224"/>
      <c r="FH96" s="3224"/>
      <c r="FI96" s="2057"/>
    </row>
    <row r="97" spans="1:165" s="1834" customFormat="1" ht="15.75" customHeight="1">
      <c r="A97" s="15792"/>
      <c r="B97" s="15795"/>
      <c r="C97" s="15716" t="s">
        <v>1417</v>
      </c>
      <c r="D97" s="15715" t="s">
        <v>7880</v>
      </c>
      <c r="E97" s="15716" t="s">
        <v>1428</v>
      </c>
      <c r="F97" s="15716" t="s">
        <v>1429</v>
      </c>
      <c r="G97" s="4092" t="s">
        <v>70</v>
      </c>
      <c r="H97" s="4093">
        <v>5</v>
      </c>
      <c r="I97" s="4093">
        <v>10</v>
      </c>
      <c r="J97" s="15718">
        <v>10</v>
      </c>
      <c r="K97" s="15720" t="s">
        <v>124</v>
      </c>
      <c r="L97" s="4437" t="s">
        <v>86</v>
      </c>
      <c r="M97" s="2736" t="s">
        <v>422</v>
      </c>
      <c r="N97" s="4094"/>
      <c r="O97" s="4095">
        <v>30000000</v>
      </c>
      <c r="P97" s="4095">
        <v>30900000</v>
      </c>
      <c r="Q97" s="4095">
        <v>31827000</v>
      </c>
      <c r="R97" s="4095">
        <v>79567500</v>
      </c>
      <c r="S97" s="4095">
        <v>81954525</v>
      </c>
      <c r="T97" s="4095">
        <v>84413160.75</v>
      </c>
      <c r="U97" s="4095">
        <v>86945555.572500005</v>
      </c>
      <c r="V97" s="4095">
        <v>89553922.239675015</v>
      </c>
      <c r="W97" s="4095">
        <v>159206973.33333334</v>
      </c>
      <c r="X97" s="4095">
        <v>163983182.53333336</v>
      </c>
      <c r="Y97" s="4095">
        <v>168902678.00933337</v>
      </c>
      <c r="Z97" s="4095">
        <v>1007254497.4381752</v>
      </c>
      <c r="AA97" s="3892" t="s">
        <v>1732</v>
      </c>
      <c r="AB97" s="1963"/>
      <c r="AC97" s="1963"/>
      <c r="AD97" s="1962" t="s">
        <v>3562</v>
      </c>
      <c r="AE97" s="1709"/>
      <c r="AF97" s="1709"/>
      <c r="AG97" s="1709"/>
      <c r="AH97" s="1709"/>
      <c r="AI97" s="1709"/>
      <c r="AJ97" s="1709"/>
      <c r="AK97" s="1709"/>
      <c r="AL97" s="1709"/>
      <c r="AM97" s="1709"/>
      <c r="AN97" s="1709"/>
      <c r="AO97" s="1709"/>
      <c r="AP97" s="1709"/>
      <c r="AQ97" s="1709"/>
      <c r="AR97" s="1709"/>
      <c r="AS97" s="1709"/>
      <c r="AT97" s="1709"/>
      <c r="AU97" s="1709"/>
      <c r="AV97" s="1709"/>
      <c r="AW97" s="1709"/>
      <c r="AX97" s="1709"/>
      <c r="AY97" s="1709"/>
      <c r="AZ97" s="1709"/>
      <c r="BA97" s="1709"/>
      <c r="BB97" s="1709"/>
      <c r="BC97" s="1709"/>
      <c r="BD97" s="1709"/>
      <c r="BE97" s="1709"/>
      <c r="BF97" s="1709"/>
      <c r="BG97" s="1709"/>
      <c r="BH97" s="1709"/>
      <c r="BI97" s="2711"/>
      <c r="BJ97" s="2711"/>
      <c r="BK97" s="2711"/>
      <c r="BL97" s="2711"/>
      <c r="BM97" s="2711"/>
      <c r="BN97" s="2711"/>
      <c r="BO97" s="2711"/>
      <c r="BP97" s="2711"/>
      <c r="BQ97" s="2711"/>
      <c r="BR97" s="3223"/>
      <c r="BS97" s="3922" t="s">
        <v>3781</v>
      </c>
      <c r="BT97" s="4096" t="s">
        <v>3781</v>
      </c>
      <c r="BU97" s="3221" t="s">
        <v>3781</v>
      </c>
      <c r="BV97" s="3219" t="s">
        <v>3781</v>
      </c>
      <c r="BW97" s="15846"/>
      <c r="BX97" s="4086"/>
      <c r="BY97" s="3922"/>
      <c r="BZ97" s="3922"/>
      <c r="CA97" s="4087"/>
      <c r="CB97" s="4087"/>
      <c r="CC97" s="4087"/>
      <c r="CD97" s="4087"/>
      <c r="CE97" s="4088"/>
      <c r="CF97" s="4088"/>
      <c r="CG97" s="4088"/>
      <c r="CH97" s="4088"/>
      <c r="CI97" s="4088"/>
      <c r="CJ97" s="4088"/>
      <c r="CK97" s="4088"/>
      <c r="CL97" s="4088"/>
      <c r="CM97" s="4088"/>
      <c r="CN97" s="4088"/>
      <c r="CO97" s="4088"/>
      <c r="CP97" s="4088"/>
      <c r="CQ97" s="4088"/>
      <c r="CR97" s="4088"/>
      <c r="CS97" s="4088"/>
      <c r="CT97" s="4088"/>
      <c r="CU97" s="4088"/>
      <c r="CV97" s="4088"/>
      <c r="CW97" s="4088"/>
      <c r="CX97" s="4088"/>
      <c r="CY97" s="4088"/>
      <c r="CZ97" s="4088"/>
      <c r="DA97" s="4089"/>
      <c r="DB97" s="4088"/>
      <c r="DC97" s="4088"/>
      <c r="DD97" s="4088"/>
      <c r="DE97" s="4088"/>
      <c r="DF97" s="4088"/>
      <c r="DG97" s="4088"/>
      <c r="DH97" s="4088"/>
      <c r="DI97" s="4088"/>
      <c r="DJ97" s="4088"/>
      <c r="DK97" s="4088"/>
      <c r="DL97" s="4088"/>
      <c r="DM97" s="4088"/>
      <c r="DN97" s="4286"/>
      <c r="DO97" s="1833"/>
      <c r="DP97" s="4456"/>
      <c r="DQ97" s="4448"/>
      <c r="DR97" s="4448"/>
      <c r="DS97" s="4448"/>
      <c r="DT97" s="3224"/>
      <c r="DU97" s="3224"/>
      <c r="DV97" s="3224"/>
      <c r="DW97" s="3224"/>
      <c r="DX97" s="3224"/>
      <c r="DY97" s="3224"/>
      <c r="DZ97" s="3224"/>
      <c r="EA97" s="3224"/>
      <c r="EB97" s="3224"/>
      <c r="EC97" s="3224"/>
      <c r="ED97" s="3224"/>
      <c r="EE97" s="3224"/>
      <c r="EF97" s="3224"/>
      <c r="EG97" s="3224"/>
      <c r="EH97" s="3224"/>
      <c r="EI97" s="3224"/>
      <c r="EJ97" s="3224"/>
      <c r="EK97" s="3224"/>
      <c r="EL97" s="3224"/>
      <c r="EM97" s="3224"/>
      <c r="EN97" s="3224"/>
      <c r="EO97" s="3224"/>
      <c r="EP97" s="3224"/>
      <c r="EQ97" s="3224"/>
      <c r="ER97" s="3224"/>
      <c r="ES97" s="3224"/>
      <c r="ET97" s="3224"/>
      <c r="EU97" s="3224"/>
      <c r="EV97" s="3224"/>
      <c r="EW97" s="3224"/>
      <c r="EX97" s="3224"/>
      <c r="EY97" s="3224"/>
      <c r="EZ97" s="3224"/>
      <c r="FA97" s="3224"/>
      <c r="FB97" s="3224"/>
      <c r="FC97" s="3224"/>
      <c r="FD97" s="3224"/>
      <c r="FE97" s="3224"/>
      <c r="FF97" s="3224"/>
      <c r="FG97" s="3224"/>
      <c r="FH97" s="3224"/>
      <c r="FI97" s="2057"/>
    </row>
    <row r="98" spans="1:165" s="1834" customFormat="1" ht="15.75" customHeight="1">
      <c r="A98" s="15792"/>
      <c r="B98" s="15795"/>
      <c r="C98" s="15722"/>
      <c r="D98" s="15691"/>
      <c r="E98" s="15722"/>
      <c r="F98" s="15722"/>
      <c r="G98" s="4092"/>
      <c r="H98" s="4093"/>
      <c r="I98" s="4093"/>
      <c r="J98" s="15723"/>
      <c r="K98" s="15724"/>
      <c r="L98" s="4437" t="s">
        <v>329</v>
      </c>
      <c r="M98" s="2736"/>
      <c r="N98" s="4094" t="s">
        <v>329</v>
      </c>
      <c r="O98" s="4095"/>
      <c r="P98" s="4095"/>
      <c r="Q98" s="4095"/>
      <c r="R98" s="4095"/>
      <c r="S98" s="4095"/>
      <c r="T98" s="4095"/>
      <c r="U98" s="4095"/>
      <c r="V98" s="4095"/>
      <c r="W98" s="4095"/>
      <c r="X98" s="4095"/>
      <c r="Y98" s="4095"/>
      <c r="Z98" s="4095"/>
      <c r="AA98" s="3892"/>
      <c r="AB98" s="1963"/>
      <c r="AC98" s="1963"/>
      <c r="AD98" s="4085"/>
      <c r="AE98" s="1709"/>
      <c r="AF98" s="1709"/>
      <c r="AG98" s="1709"/>
      <c r="AH98" s="1709"/>
      <c r="AI98" s="1709"/>
      <c r="AJ98" s="1709"/>
      <c r="AK98" s="1709"/>
      <c r="AL98" s="1709"/>
      <c r="AM98" s="1709"/>
      <c r="AN98" s="1709"/>
      <c r="AO98" s="1709"/>
      <c r="AP98" s="1709"/>
      <c r="AQ98" s="1709"/>
      <c r="AR98" s="1709"/>
      <c r="AS98" s="1709"/>
      <c r="AT98" s="1709"/>
      <c r="AU98" s="1709"/>
      <c r="AV98" s="1709"/>
      <c r="AW98" s="1709"/>
      <c r="AX98" s="1709"/>
      <c r="AY98" s="1709"/>
      <c r="AZ98" s="1709"/>
      <c r="BA98" s="1709"/>
      <c r="BB98" s="1709"/>
      <c r="BC98" s="1709"/>
      <c r="BD98" s="1709"/>
      <c r="BE98" s="1709"/>
      <c r="BF98" s="1709"/>
      <c r="BG98" s="1709"/>
      <c r="BH98" s="1709"/>
      <c r="BI98" s="2711"/>
      <c r="BJ98" s="2711"/>
      <c r="BK98" s="2711"/>
      <c r="BL98" s="2711"/>
      <c r="BM98" s="2711"/>
      <c r="BN98" s="2711"/>
      <c r="BO98" s="2711"/>
      <c r="BP98" s="2711"/>
      <c r="BQ98" s="2711"/>
      <c r="BR98" s="3223"/>
      <c r="BS98" s="3922"/>
      <c r="BT98" s="4096"/>
      <c r="BU98" s="3221"/>
      <c r="BV98" s="3219"/>
      <c r="BW98" s="15846"/>
      <c r="BX98" s="4086"/>
      <c r="BY98" s="3922"/>
      <c r="BZ98" s="3922"/>
      <c r="CA98" s="4087"/>
      <c r="CB98" s="4087"/>
      <c r="CC98" s="4087"/>
      <c r="CD98" s="4087"/>
      <c r="CE98" s="4088"/>
      <c r="CF98" s="4088"/>
      <c r="CG98" s="4088"/>
      <c r="CH98" s="4088"/>
      <c r="CI98" s="4088"/>
      <c r="CJ98" s="4088"/>
      <c r="CK98" s="4088"/>
      <c r="CL98" s="4088"/>
      <c r="CM98" s="4088"/>
      <c r="CN98" s="4088"/>
      <c r="CO98" s="4088"/>
      <c r="CP98" s="4088"/>
      <c r="CQ98" s="4088"/>
      <c r="CR98" s="4088"/>
      <c r="CS98" s="4088"/>
      <c r="CT98" s="4088"/>
      <c r="CU98" s="4088"/>
      <c r="CV98" s="4088"/>
      <c r="CW98" s="4088"/>
      <c r="CX98" s="4088"/>
      <c r="CY98" s="4088"/>
      <c r="CZ98" s="4088"/>
      <c r="DA98" s="4089"/>
      <c r="DB98" s="4088"/>
      <c r="DC98" s="4088"/>
      <c r="DD98" s="4088"/>
      <c r="DE98" s="4088"/>
      <c r="DF98" s="4088"/>
      <c r="DG98" s="4088"/>
      <c r="DH98" s="4088"/>
      <c r="DI98" s="4088"/>
      <c r="DJ98" s="4088"/>
      <c r="DK98" s="4088"/>
      <c r="DL98" s="4088"/>
      <c r="DM98" s="4088"/>
      <c r="DN98" s="4286"/>
      <c r="DO98" s="1833"/>
      <c r="DP98" s="4456"/>
      <c r="DQ98" s="4448"/>
      <c r="DR98" s="4448"/>
      <c r="DS98" s="4448"/>
      <c r="DT98" s="3224"/>
      <c r="DU98" s="3224"/>
      <c r="DV98" s="3224"/>
      <c r="DW98" s="3224"/>
      <c r="DX98" s="3224"/>
      <c r="DY98" s="3224"/>
      <c r="DZ98" s="3224"/>
      <c r="EA98" s="3224"/>
      <c r="EB98" s="3224"/>
      <c r="EC98" s="3224"/>
      <c r="ED98" s="3224"/>
      <c r="EE98" s="3224"/>
      <c r="EF98" s="3224"/>
      <c r="EG98" s="3224"/>
      <c r="EH98" s="3224"/>
      <c r="EI98" s="3224"/>
      <c r="EJ98" s="3224"/>
      <c r="EK98" s="3224"/>
      <c r="EL98" s="3224"/>
      <c r="EM98" s="3224"/>
      <c r="EN98" s="3224"/>
      <c r="EO98" s="3224"/>
      <c r="EP98" s="3224"/>
      <c r="EQ98" s="3224"/>
      <c r="ER98" s="3224"/>
      <c r="ES98" s="3224"/>
      <c r="ET98" s="3224"/>
      <c r="EU98" s="3224"/>
      <c r="EV98" s="3224"/>
      <c r="EW98" s="3224"/>
      <c r="EX98" s="3224"/>
      <c r="EY98" s="3224"/>
      <c r="EZ98" s="3224"/>
      <c r="FA98" s="3224"/>
      <c r="FB98" s="3224"/>
      <c r="FC98" s="3224"/>
      <c r="FD98" s="3224"/>
      <c r="FE98" s="3224"/>
      <c r="FF98" s="3224"/>
      <c r="FG98" s="3224"/>
      <c r="FH98" s="3224"/>
      <c r="FI98" s="2057"/>
    </row>
    <row r="99" spans="1:165" s="1834" customFormat="1" ht="15.75" customHeight="1">
      <c r="A99" s="15792"/>
      <c r="B99" s="15795"/>
      <c r="C99" s="15717"/>
      <c r="D99" s="15692"/>
      <c r="E99" s="15717"/>
      <c r="F99" s="15717"/>
      <c r="G99" s="4092"/>
      <c r="H99" s="4093"/>
      <c r="I99" s="4093"/>
      <c r="J99" s="15719"/>
      <c r="K99" s="15721"/>
      <c r="L99" s="4437" t="s">
        <v>10194</v>
      </c>
      <c r="M99" s="2736"/>
      <c r="N99" s="4094" t="s">
        <v>733</v>
      </c>
      <c r="O99" s="4095"/>
      <c r="P99" s="4095"/>
      <c r="Q99" s="4095"/>
      <c r="R99" s="4095"/>
      <c r="S99" s="4095"/>
      <c r="T99" s="4095"/>
      <c r="U99" s="4095"/>
      <c r="V99" s="4095"/>
      <c r="W99" s="4095"/>
      <c r="X99" s="4095"/>
      <c r="Y99" s="4095"/>
      <c r="Z99" s="4095"/>
      <c r="AA99" s="3892"/>
      <c r="AB99" s="1963"/>
      <c r="AC99" s="1963"/>
      <c r="AD99" s="4085"/>
      <c r="AE99" s="1709"/>
      <c r="AF99" s="1709"/>
      <c r="AG99" s="1709"/>
      <c r="AH99" s="1709"/>
      <c r="AI99" s="1709"/>
      <c r="AJ99" s="1709"/>
      <c r="AK99" s="1709"/>
      <c r="AL99" s="1709"/>
      <c r="AM99" s="1709"/>
      <c r="AN99" s="1709"/>
      <c r="AO99" s="1709"/>
      <c r="AP99" s="1709"/>
      <c r="AQ99" s="1709"/>
      <c r="AR99" s="1709"/>
      <c r="AS99" s="1709"/>
      <c r="AT99" s="1709"/>
      <c r="AU99" s="1709"/>
      <c r="AV99" s="1709"/>
      <c r="AW99" s="1709"/>
      <c r="AX99" s="1709"/>
      <c r="AY99" s="1709"/>
      <c r="AZ99" s="1709"/>
      <c r="BA99" s="1709"/>
      <c r="BB99" s="1709"/>
      <c r="BC99" s="1709"/>
      <c r="BD99" s="1709"/>
      <c r="BE99" s="1709"/>
      <c r="BF99" s="1709"/>
      <c r="BG99" s="1709"/>
      <c r="BH99" s="1709"/>
      <c r="BI99" s="2711"/>
      <c r="BJ99" s="2711"/>
      <c r="BK99" s="2711"/>
      <c r="BL99" s="2711"/>
      <c r="BM99" s="2711"/>
      <c r="BN99" s="2711"/>
      <c r="BO99" s="2711"/>
      <c r="BP99" s="2711"/>
      <c r="BQ99" s="2711"/>
      <c r="BR99" s="3223"/>
      <c r="BS99" s="3922"/>
      <c r="BT99" s="4096"/>
      <c r="BU99" s="3221"/>
      <c r="BV99" s="3219"/>
      <c r="BW99" s="15846"/>
      <c r="BX99" s="4086"/>
      <c r="BY99" s="3922"/>
      <c r="BZ99" s="3922"/>
      <c r="CA99" s="4087"/>
      <c r="CB99" s="4087"/>
      <c r="CC99" s="4087"/>
      <c r="CD99" s="4087"/>
      <c r="CE99" s="4088"/>
      <c r="CF99" s="4088"/>
      <c r="CG99" s="4088"/>
      <c r="CH99" s="4088"/>
      <c r="CI99" s="4088"/>
      <c r="CJ99" s="4088"/>
      <c r="CK99" s="4088"/>
      <c r="CL99" s="4088"/>
      <c r="CM99" s="4088"/>
      <c r="CN99" s="4088"/>
      <c r="CO99" s="4088"/>
      <c r="CP99" s="4088"/>
      <c r="CQ99" s="4088"/>
      <c r="CR99" s="4088"/>
      <c r="CS99" s="4088"/>
      <c r="CT99" s="4088"/>
      <c r="CU99" s="4088"/>
      <c r="CV99" s="4088"/>
      <c r="CW99" s="4088"/>
      <c r="CX99" s="4088"/>
      <c r="CY99" s="4088"/>
      <c r="CZ99" s="4088"/>
      <c r="DA99" s="4089"/>
      <c r="DB99" s="4088"/>
      <c r="DC99" s="4088"/>
      <c r="DD99" s="4088"/>
      <c r="DE99" s="4088"/>
      <c r="DF99" s="4088"/>
      <c r="DG99" s="4088"/>
      <c r="DH99" s="4088"/>
      <c r="DI99" s="4088"/>
      <c r="DJ99" s="4088"/>
      <c r="DK99" s="4088"/>
      <c r="DL99" s="4088"/>
      <c r="DM99" s="4088"/>
      <c r="DN99" s="4286"/>
      <c r="DO99" s="1833"/>
      <c r="DP99" s="4456"/>
      <c r="DQ99" s="4448"/>
      <c r="DR99" s="4448"/>
      <c r="DS99" s="4448"/>
      <c r="DT99" s="3224"/>
      <c r="DU99" s="3224"/>
      <c r="DV99" s="3224"/>
      <c r="DW99" s="3224"/>
      <c r="DX99" s="3224"/>
      <c r="DY99" s="3224"/>
      <c r="DZ99" s="3224"/>
      <c r="EA99" s="3224"/>
      <c r="EB99" s="3224"/>
      <c r="EC99" s="3224"/>
      <c r="ED99" s="3224"/>
      <c r="EE99" s="3224"/>
      <c r="EF99" s="3224"/>
      <c r="EG99" s="3224"/>
      <c r="EH99" s="3224"/>
      <c r="EI99" s="3224"/>
      <c r="EJ99" s="3224"/>
      <c r="EK99" s="3224"/>
      <c r="EL99" s="3224"/>
      <c r="EM99" s="3224"/>
      <c r="EN99" s="3224"/>
      <c r="EO99" s="3224"/>
      <c r="EP99" s="3224"/>
      <c r="EQ99" s="3224"/>
      <c r="ER99" s="3224"/>
      <c r="ES99" s="3224"/>
      <c r="ET99" s="3224"/>
      <c r="EU99" s="3224"/>
      <c r="EV99" s="3224"/>
      <c r="EW99" s="3224"/>
      <c r="EX99" s="3224"/>
      <c r="EY99" s="3224"/>
      <c r="EZ99" s="3224"/>
      <c r="FA99" s="3224"/>
      <c r="FB99" s="3224"/>
      <c r="FC99" s="3224"/>
      <c r="FD99" s="3224"/>
      <c r="FE99" s="3224"/>
      <c r="FF99" s="3224"/>
      <c r="FG99" s="3224"/>
      <c r="FH99" s="3224"/>
      <c r="FI99" s="2057"/>
    </row>
    <row r="100" spans="1:165" s="1834" customFormat="1" ht="15.75" customHeight="1">
      <c r="A100" s="15792"/>
      <c r="B100" s="15795"/>
      <c r="C100" s="4092" t="s">
        <v>1430</v>
      </c>
      <c r="D100" s="3873" t="s">
        <v>7881</v>
      </c>
      <c r="E100" s="4152" t="s">
        <v>1431</v>
      </c>
      <c r="F100" s="4092" t="s">
        <v>95</v>
      </c>
      <c r="G100" s="4092" t="s">
        <v>70</v>
      </c>
      <c r="H100" s="4093">
        <v>1</v>
      </c>
      <c r="I100" s="4093">
        <v>2</v>
      </c>
      <c r="J100" s="4093">
        <v>2</v>
      </c>
      <c r="K100" s="2736" t="s">
        <v>1432</v>
      </c>
      <c r="L100" s="4437" t="s">
        <v>86</v>
      </c>
      <c r="M100" s="2736" t="s">
        <v>422</v>
      </c>
      <c r="N100" s="4094"/>
      <c r="O100" s="4095">
        <v>12000000</v>
      </c>
      <c r="P100" s="4095">
        <v>12360000</v>
      </c>
      <c r="Q100" s="4095">
        <v>12730800</v>
      </c>
      <c r="R100" s="4095">
        <v>13112724</v>
      </c>
      <c r="S100" s="4095">
        <v>13506105.720000001</v>
      </c>
      <c r="T100" s="4095">
        <v>13911288.891600002</v>
      </c>
      <c r="U100" s="4095">
        <v>14328627.558348002</v>
      </c>
      <c r="V100" s="4095">
        <v>14758486.385098442</v>
      </c>
      <c r="W100" s="4095">
        <v>15201240.976651397</v>
      </c>
      <c r="X100" s="4095">
        <v>15657278.205950938</v>
      </c>
      <c r="Y100" s="4095">
        <v>16126996.552129466</v>
      </c>
      <c r="Z100" s="4095">
        <v>153693548.28977826</v>
      </c>
      <c r="AA100" s="2705">
        <v>1</v>
      </c>
      <c r="AB100" s="3439" t="s">
        <v>3565</v>
      </c>
      <c r="AC100" s="3439" t="s">
        <v>3566</v>
      </c>
      <c r="AD100" s="3224"/>
      <c r="AE100" s="1709"/>
      <c r="AF100" s="1709"/>
      <c r="AG100" s="1709"/>
      <c r="AH100" s="1709"/>
      <c r="AI100" s="1709"/>
      <c r="AJ100" s="1709"/>
      <c r="AK100" s="1709"/>
      <c r="AL100" s="1709"/>
      <c r="AM100" s="1709"/>
      <c r="AN100" s="1709"/>
      <c r="AO100" s="1709"/>
      <c r="AP100" s="1709"/>
      <c r="AQ100" s="1709"/>
      <c r="AR100" s="1709"/>
      <c r="AS100" s="1709"/>
      <c r="AT100" s="1709"/>
      <c r="AU100" s="1709"/>
      <c r="AV100" s="1709"/>
      <c r="AW100" s="1709"/>
      <c r="AX100" s="1709"/>
      <c r="AY100" s="1709"/>
      <c r="AZ100" s="1709"/>
      <c r="BA100" s="1709"/>
      <c r="BB100" s="1709"/>
      <c r="BC100" s="1709"/>
      <c r="BD100" s="1709"/>
      <c r="BE100" s="1709"/>
      <c r="BF100" s="1709"/>
      <c r="BG100" s="1709"/>
      <c r="BH100" s="1709"/>
      <c r="BI100" s="3224"/>
      <c r="BJ100" s="3224"/>
      <c r="BK100" s="3224"/>
      <c r="BL100" s="3224"/>
      <c r="BM100" s="3224"/>
      <c r="BN100" s="3224"/>
      <c r="BO100" s="3224"/>
      <c r="BP100" s="3224"/>
      <c r="BQ100" s="3224"/>
      <c r="BR100" s="2057"/>
      <c r="BS100" s="3922" t="s">
        <v>3781</v>
      </c>
      <c r="BT100" s="4096" t="s">
        <v>3781</v>
      </c>
      <c r="BU100" s="3221">
        <v>2</v>
      </c>
      <c r="BV100" s="3219" t="s">
        <v>3781</v>
      </c>
      <c r="BW100" s="15846"/>
      <c r="BX100" s="4086" t="s">
        <v>9698</v>
      </c>
      <c r="BY100" s="3922"/>
      <c r="BZ100" s="3922"/>
      <c r="CA100" s="4087"/>
      <c r="CB100" s="4087"/>
      <c r="CC100" s="4087"/>
      <c r="CD100" s="4087"/>
      <c r="CE100" s="4088"/>
      <c r="CF100" s="4088"/>
      <c r="CG100" s="4088"/>
      <c r="CH100" s="4088"/>
      <c r="CI100" s="4088"/>
      <c r="CJ100" s="4088"/>
      <c r="CK100" s="4088"/>
      <c r="CL100" s="4088"/>
      <c r="CM100" s="4088"/>
      <c r="CN100" s="4088"/>
      <c r="CO100" s="4088"/>
      <c r="CP100" s="4088"/>
      <c r="CQ100" s="4088"/>
      <c r="CR100" s="4088"/>
      <c r="CS100" s="4088"/>
      <c r="CT100" s="4088"/>
      <c r="CU100" s="4088"/>
      <c r="CV100" s="4088"/>
      <c r="CW100" s="4088"/>
      <c r="CX100" s="4088"/>
      <c r="CY100" s="4088"/>
      <c r="CZ100" s="4088"/>
      <c r="DA100" s="4089"/>
      <c r="DB100" s="4088"/>
      <c r="DC100" s="4088"/>
      <c r="DD100" s="4088"/>
      <c r="DE100" s="4088"/>
      <c r="DF100" s="4088"/>
      <c r="DG100" s="4088"/>
      <c r="DH100" s="4088"/>
      <c r="DI100" s="4088"/>
      <c r="DJ100" s="4088"/>
      <c r="DK100" s="4088"/>
      <c r="DL100" s="4088"/>
      <c r="DM100" s="4088"/>
      <c r="DN100" s="4286"/>
      <c r="DO100" s="1833"/>
      <c r="DP100" s="4456"/>
      <c r="DQ100" s="4448"/>
      <c r="DR100" s="4448"/>
      <c r="DS100" s="4448"/>
      <c r="DT100" s="3224"/>
      <c r="DU100" s="3224"/>
      <c r="DV100" s="3224"/>
      <c r="DW100" s="3224"/>
      <c r="DX100" s="3224"/>
      <c r="DY100" s="3224"/>
      <c r="DZ100" s="3224"/>
      <c r="EA100" s="3224"/>
      <c r="EB100" s="3224"/>
      <c r="EC100" s="3224"/>
      <c r="ED100" s="3224"/>
      <c r="EE100" s="3224"/>
      <c r="EF100" s="3224"/>
      <c r="EG100" s="3224"/>
      <c r="EH100" s="3224"/>
      <c r="EI100" s="3224"/>
      <c r="EJ100" s="3224"/>
      <c r="EK100" s="3224"/>
      <c r="EL100" s="3224"/>
      <c r="EM100" s="3224"/>
      <c r="EN100" s="3224"/>
      <c r="EO100" s="3224"/>
      <c r="EP100" s="3224"/>
      <c r="EQ100" s="3224"/>
      <c r="ER100" s="3224"/>
      <c r="ES100" s="3224"/>
      <c r="ET100" s="3224"/>
      <c r="EU100" s="3224"/>
      <c r="EV100" s="3224"/>
      <c r="EW100" s="3224"/>
      <c r="EX100" s="3224"/>
      <c r="EY100" s="3224"/>
      <c r="EZ100" s="3224"/>
      <c r="FA100" s="3224"/>
      <c r="FB100" s="3224"/>
      <c r="FC100" s="3224"/>
      <c r="FD100" s="3224"/>
      <c r="FE100" s="3224"/>
      <c r="FF100" s="3224"/>
      <c r="FG100" s="3224"/>
      <c r="FH100" s="3224"/>
      <c r="FI100" s="2057"/>
    </row>
    <row r="101" spans="1:165" s="1834" customFormat="1" ht="15" customHeight="1">
      <c r="A101" s="15792"/>
      <c r="B101" s="15795"/>
      <c r="C101" s="15716" t="s">
        <v>1430</v>
      </c>
      <c r="D101" s="15715" t="s">
        <v>7882</v>
      </c>
      <c r="E101" s="15715" t="s">
        <v>4919</v>
      </c>
      <c r="F101" s="15716" t="s">
        <v>1433</v>
      </c>
      <c r="G101" s="4092" t="s">
        <v>70</v>
      </c>
      <c r="H101" s="4093">
        <v>1</v>
      </c>
      <c r="I101" s="4093">
        <v>1</v>
      </c>
      <c r="J101" s="15718">
        <v>1</v>
      </c>
      <c r="K101" s="15720" t="s">
        <v>127</v>
      </c>
      <c r="L101" s="4437" t="s">
        <v>86</v>
      </c>
      <c r="M101" s="2736" t="s">
        <v>422</v>
      </c>
      <c r="N101" s="4094"/>
      <c r="O101" s="4095">
        <v>10000000</v>
      </c>
      <c r="P101" s="4095">
        <v>10300000</v>
      </c>
      <c r="Q101" s="4095">
        <v>10609000</v>
      </c>
      <c r="R101" s="4095">
        <v>10927270</v>
      </c>
      <c r="S101" s="4095">
        <v>11255088.1</v>
      </c>
      <c r="T101" s="4095">
        <v>11592740.743000001</v>
      </c>
      <c r="U101" s="4095">
        <v>11940522.965290001</v>
      </c>
      <c r="V101" s="4095">
        <v>12298738.654248701</v>
      </c>
      <c r="W101" s="4095">
        <v>12667700.813876163</v>
      </c>
      <c r="X101" s="4095">
        <v>13047731.838292448</v>
      </c>
      <c r="Y101" s="4095">
        <v>13439163.793441221</v>
      </c>
      <c r="Z101" s="4095">
        <v>128077956.90814854</v>
      </c>
      <c r="AA101" s="2705">
        <v>1</v>
      </c>
      <c r="AB101" s="3439" t="s">
        <v>3567</v>
      </c>
      <c r="AC101" s="3439" t="s">
        <v>3568</v>
      </c>
      <c r="AD101" s="3224"/>
      <c r="AE101" s="1709"/>
      <c r="AF101" s="1709"/>
      <c r="AG101" s="1709"/>
      <c r="AH101" s="1709"/>
      <c r="AI101" s="1709"/>
      <c r="AJ101" s="1709"/>
      <c r="AK101" s="1709"/>
      <c r="AL101" s="1709"/>
      <c r="AM101" s="1709"/>
      <c r="AN101" s="1709"/>
      <c r="AO101" s="1709"/>
      <c r="AP101" s="1709"/>
      <c r="AQ101" s="1709"/>
      <c r="AR101" s="1709"/>
      <c r="AS101" s="1709"/>
      <c r="AT101" s="1709"/>
      <c r="AU101" s="1709"/>
      <c r="AV101" s="1709"/>
      <c r="AW101" s="1709"/>
      <c r="AX101" s="1709"/>
      <c r="AY101" s="1709"/>
      <c r="AZ101" s="1709"/>
      <c r="BA101" s="1709"/>
      <c r="BB101" s="1709"/>
      <c r="BC101" s="1709"/>
      <c r="BD101" s="1709"/>
      <c r="BE101" s="1709"/>
      <c r="BF101" s="1709"/>
      <c r="BG101" s="1709"/>
      <c r="BH101" s="1709"/>
      <c r="BI101" s="3224"/>
      <c r="BJ101" s="3224"/>
      <c r="BK101" s="3224"/>
      <c r="BL101" s="3224"/>
      <c r="BM101" s="3224"/>
      <c r="BN101" s="3224"/>
      <c r="BO101" s="3224"/>
      <c r="BP101" s="3224"/>
      <c r="BQ101" s="3224"/>
      <c r="BR101" s="2057"/>
      <c r="BS101" s="3922" t="s">
        <v>3781</v>
      </c>
      <c r="BT101" s="4096" t="s">
        <v>3781</v>
      </c>
      <c r="BU101" s="3221">
        <v>1</v>
      </c>
      <c r="BV101" s="3219" t="s">
        <v>3781</v>
      </c>
      <c r="BW101" s="15846"/>
      <c r="BX101" s="4086" t="s">
        <v>9698</v>
      </c>
      <c r="BY101" s="3922"/>
      <c r="BZ101" s="3922"/>
      <c r="CA101" s="4087"/>
      <c r="CB101" s="4087"/>
      <c r="CC101" s="4087"/>
      <c r="CD101" s="4087"/>
      <c r="CE101" s="4088"/>
      <c r="CF101" s="4088"/>
      <c r="CG101" s="4088"/>
      <c r="CH101" s="4088"/>
      <c r="CI101" s="4088"/>
      <c r="CJ101" s="4088"/>
      <c r="CK101" s="4088"/>
      <c r="CL101" s="4088"/>
      <c r="CM101" s="4088"/>
      <c r="CN101" s="4088"/>
      <c r="CO101" s="4088"/>
      <c r="CP101" s="4088"/>
      <c r="CQ101" s="4088"/>
      <c r="CR101" s="4088"/>
      <c r="CS101" s="4088"/>
      <c r="CT101" s="4088"/>
      <c r="CU101" s="4088"/>
      <c r="CV101" s="4088"/>
      <c r="CW101" s="4088"/>
      <c r="CX101" s="4088"/>
      <c r="CY101" s="4088"/>
      <c r="CZ101" s="4088"/>
      <c r="DA101" s="4089"/>
      <c r="DB101" s="4088"/>
      <c r="DC101" s="4088"/>
      <c r="DD101" s="4088"/>
      <c r="DE101" s="4088"/>
      <c r="DF101" s="4088"/>
      <c r="DG101" s="4088"/>
      <c r="DH101" s="4088"/>
      <c r="DI101" s="4088"/>
      <c r="DJ101" s="4088"/>
      <c r="DK101" s="4088"/>
      <c r="DL101" s="4088"/>
      <c r="DM101" s="4088"/>
      <c r="DN101" s="4286"/>
      <c r="DO101" s="1833"/>
      <c r="DP101" s="4456"/>
      <c r="DQ101" s="4448"/>
      <c r="DR101" s="4448"/>
      <c r="DS101" s="4448"/>
      <c r="DT101" s="3224"/>
      <c r="DU101" s="3224"/>
      <c r="DV101" s="3224"/>
      <c r="DW101" s="3224"/>
      <c r="DX101" s="3224"/>
      <c r="DY101" s="3224"/>
      <c r="DZ101" s="3224"/>
      <c r="EA101" s="3224"/>
      <c r="EB101" s="3224"/>
      <c r="EC101" s="3224"/>
      <c r="ED101" s="3224"/>
      <c r="EE101" s="3224"/>
      <c r="EF101" s="3224"/>
      <c r="EG101" s="3224"/>
      <c r="EH101" s="3224"/>
      <c r="EI101" s="3224"/>
      <c r="EJ101" s="3224"/>
      <c r="EK101" s="3224"/>
      <c r="EL101" s="3224"/>
      <c r="EM101" s="3224"/>
      <c r="EN101" s="3224"/>
      <c r="EO101" s="3224"/>
      <c r="EP101" s="3224"/>
      <c r="EQ101" s="3224"/>
      <c r="ER101" s="3224"/>
      <c r="ES101" s="3224"/>
      <c r="ET101" s="3224"/>
      <c r="EU101" s="3224"/>
      <c r="EV101" s="3224"/>
      <c r="EW101" s="3224"/>
      <c r="EX101" s="3224"/>
      <c r="EY101" s="3224"/>
      <c r="EZ101" s="3224"/>
      <c r="FA101" s="3224"/>
      <c r="FB101" s="3224"/>
      <c r="FC101" s="3224"/>
      <c r="FD101" s="3224"/>
      <c r="FE101" s="3224"/>
      <c r="FF101" s="3224"/>
      <c r="FG101" s="3224"/>
      <c r="FH101" s="3224"/>
      <c r="FI101" s="2057"/>
    </row>
    <row r="102" spans="1:165" s="1834" customFormat="1" ht="15" customHeight="1">
      <c r="A102" s="15792"/>
      <c r="B102" s="15795"/>
      <c r="C102" s="15717"/>
      <c r="D102" s="15692"/>
      <c r="E102" s="15692"/>
      <c r="F102" s="15717"/>
      <c r="G102" s="4092"/>
      <c r="H102" s="4093"/>
      <c r="I102" s="4093"/>
      <c r="J102" s="15719"/>
      <c r="K102" s="15721"/>
      <c r="L102" s="4437" t="s">
        <v>10204</v>
      </c>
      <c r="M102" s="2736"/>
      <c r="N102" s="4094" t="s">
        <v>1434</v>
      </c>
      <c r="O102" s="4095"/>
      <c r="P102" s="4095"/>
      <c r="Q102" s="4095"/>
      <c r="R102" s="4095"/>
      <c r="S102" s="4095"/>
      <c r="T102" s="4095"/>
      <c r="U102" s="4095"/>
      <c r="V102" s="4095"/>
      <c r="W102" s="4095"/>
      <c r="X102" s="4095"/>
      <c r="Y102" s="4095"/>
      <c r="Z102" s="4095"/>
      <c r="AA102" s="2705"/>
      <c r="AB102" s="3439"/>
      <c r="AC102" s="3439"/>
      <c r="AD102" s="3767"/>
      <c r="AE102" s="1709"/>
      <c r="AF102" s="1709"/>
      <c r="AG102" s="1709"/>
      <c r="AH102" s="1709"/>
      <c r="AI102" s="1709"/>
      <c r="AJ102" s="1709"/>
      <c r="AK102" s="1709"/>
      <c r="AL102" s="1709"/>
      <c r="AM102" s="1709"/>
      <c r="AN102" s="1709"/>
      <c r="AO102" s="1709"/>
      <c r="AP102" s="1709"/>
      <c r="AQ102" s="1709"/>
      <c r="AR102" s="1709"/>
      <c r="AS102" s="1709"/>
      <c r="AT102" s="1709"/>
      <c r="AU102" s="1709"/>
      <c r="AV102" s="1709"/>
      <c r="AW102" s="1709"/>
      <c r="AX102" s="1709"/>
      <c r="AY102" s="1709"/>
      <c r="AZ102" s="1709"/>
      <c r="BA102" s="1709"/>
      <c r="BB102" s="1709"/>
      <c r="BC102" s="1709"/>
      <c r="BD102" s="1709"/>
      <c r="BE102" s="1709"/>
      <c r="BF102" s="1709"/>
      <c r="BG102" s="1709"/>
      <c r="BH102" s="1709"/>
      <c r="BI102" s="3224"/>
      <c r="BJ102" s="3224"/>
      <c r="BK102" s="3224"/>
      <c r="BL102" s="3224"/>
      <c r="BM102" s="3224"/>
      <c r="BN102" s="3224"/>
      <c r="BO102" s="3224"/>
      <c r="BP102" s="3224"/>
      <c r="BQ102" s="3224"/>
      <c r="BR102" s="2057"/>
      <c r="BS102" s="3922"/>
      <c r="BT102" s="4096"/>
      <c r="BU102" s="3221"/>
      <c r="BV102" s="3219"/>
      <c r="BW102" s="15846"/>
      <c r="BX102" s="4086"/>
      <c r="BY102" s="3922"/>
      <c r="BZ102" s="3922"/>
      <c r="CA102" s="4087"/>
      <c r="CB102" s="4087"/>
      <c r="CC102" s="4087"/>
      <c r="CD102" s="4087"/>
      <c r="CE102" s="4088"/>
      <c r="CF102" s="4088"/>
      <c r="CG102" s="4088"/>
      <c r="CH102" s="4088"/>
      <c r="CI102" s="4088"/>
      <c r="CJ102" s="4088"/>
      <c r="CK102" s="4088"/>
      <c r="CL102" s="4088"/>
      <c r="CM102" s="4088"/>
      <c r="CN102" s="4088"/>
      <c r="CO102" s="4088"/>
      <c r="CP102" s="4088"/>
      <c r="CQ102" s="4088"/>
      <c r="CR102" s="4088"/>
      <c r="CS102" s="4088"/>
      <c r="CT102" s="4088"/>
      <c r="CU102" s="4088"/>
      <c r="CV102" s="4088"/>
      <c r="CW102" s="4088"/>
      <c r="CX102" s="4088"/>
      <c r="CY102" s="4088"/>
      <c r="CZ102" s="4088"/>
      <c r="DA102" s="4089"/>
      <c r="DB102" s="4088"/>
      <c r="DC102" s="4088"/>
      <c r="DD102" s="4088"/>
      <c r="DE102" s="4088"/>
      <c r="DF102" s="4088"/>
      <c r="DG102" s="4088"/>
      <c r="DH102" s="4088"/>
      <c r="DI102" s="4088"/>
      <c r="DJ102" s="4088"/>
      <c r="DK102" s="4088"/>
      <c r="DL102" s="4088"/>
      <c r="DM102" s="4088"/>
      <c r="DN102" s="4286"/>
      <c r="DO102" s="1833"/>
      <c r="DP102" s="4456"/>
      <c r="DQ102" s="4448"/>
      <c r="DR102" s="4448"/>
      <c r="DS102" s="4448"/>
      <c r="DT102" s="3224"/>
      <c r="DU102" s="3224"/>
      <c r="DV102" s="3224"/>
      <c r="DW102" s="3224"/>
      <c r="DX102" s="3224"/>
      <c r="DY102" s="3224"/>
      <c r="DZ102" s="3224"/>
      <c r="EA102" s="3224"/>
      <c r="EB102" s="3224"/>
      <c r="EC102" s="3224"/>
      <c r="ED102" s="3224"/>
      <c r="EE102" s="3224"/>
      <c r="EF102" s="3224"/>
      <c r="EG102" s="3224"/>
      <c r="EH102" s="3224"/>
      <c r="EI102" s="3224"/>
      <c r="EJ102" s="3224"/>
      <c r="EK102" s="3224"/>
      <c r="EL102" s="3224"/>
      <c r="EM102" s="3224"/>
      <c r="EN102" s="3224"/>
      <c r="EO102" s="3224"/>
      <c r="EP102" s="3224"/>
      <c r="EQ102" s="3224"/>
      <c r="ER102" s="3224"/>
      <c r="ES102" s="3224"/>
      <c r="ET102" s="3224"/>
      <c r="EU102" s="3224"/>
      <c r="EV102" s="3224"/>
      <c r="EW102" s="3224"/>
      <c r="EX102" s="3224"/>
      <c r="EY102" s="3224"/>
      <c r="EZ102" s="3224"/>
      <c r="FA102" s="3224"/>
      <c r="FB102" s="3224"/>
      <c r="FC102" s="3224"/>
      <c r="FD102" s="3224"/>
      <c r="FE102" s="3224"/>
      <c r="FF102" s="3224"/>
      <c r="FG102" s="3224"/>
      <c r="FH102" s="3224"/>
      <c r="FI102" s="2057"/>
    </row>
    <row r="103" spans="1:165" s="1834" customFormat="1" ht="15" customHeight="1">
      <c r="A103" s="15792"/>
      <c r="B103" s="15795"/>
      <c r="C103" s="15795" t="s">
        <v>1417</v>
      </c>
      <c r="D103" s="15715" t="s">
        <v>7883</v>
      </c>
      <c r="E103" s="15716" t="s">
        <v>4920</v>
      </c>
      <c r="F103" s="15716" t="s">
        <v>1435</v>
      </c>
      <c r="G103" s="4092" t="s">
        <v>70</v>
      </c>
      <c r="H103" s="4093">
        <v>3</v>
      </c>
      <c r="I103" s="4093">
        <v>5</v>
      </c>
      <c r="J103" s="15718">
        <v>7</v>
      </c>
      <c r="K103" s="15720" t="s">
        <v>1363</v>
      </c>
      <c r="L103" s="4437" t="s">
        <v>86</v>
      </c>
      <c r="M103" s="2736" t="s">
        <v>422</v>
      </c>
      <c r="N103" s="4094"/>
      <c r="O103" s="4095">
        <v>5000000</v>
      </c>
      <c r="P103" s="4095">
        <v>5150000</v>
      </c>
      <c r="Q103" s="4095">
        <v>5304500</v>
      </c>
      <c r="R103" s="4095">
        <v>5463635</v>
      </c>
      <c r="S103" s="4095">
        <v>5627544.0499999998</v>
      </c>
      <c r="T103" s="4095">
        <v>5796370.3715000004</v>
      </c>
      <c r="U103" s="4095">
        <v>5970261.4826450003</v>
      </c>
      <c r="V103" s="4095">
        <v>6149369.3271243507</v>
      </c>
      <c r="W103" s="4095">
        <v>6333850.4069380816</v>
      </c>
      <c r="X103" s="4095">
        <v>6523865.9191462239</v>
      </c>
      <c r="Y103" s="4095">
        <v>6719581.8967206106</v>
      </c>
      <c r="Z103" s="4095">
        <v>64038978.454074271</v>
      </c>
      <c r="AA103" s="4153" t="s">
        <v>1732</v>
      </c>
      <c r="AB103" s="4153"/>
      <c r="AC103" s="4153"/>
      <c r="AD103" s="1962" t="s">
        <v>3569</v>
      </c>
      <c r="AE103" s="1709"/>
      <c r="AF103" s="1709"/>
      <c r="AG103" s="1709"/>
      <c r="AH103" s="1709"/>
      <c r="AI103" s="1709"/>
      <c r="AJ103" s="1709"/>
      <c r="AK103" s="1709"/>
      <c r="AL103" s="1709"/>
      <c r="AM103" s="1709"/>
      <c r="AN103" s="1709"/>
      <c r="AO103" s="1709"/>
      <c r="AP103" s="1709"/>
      <c r="AQ103" s="1709"/>
      <c r="AR103" s="1709"/>
      <c r="AS103" s="1709"/>
      <c r="AT103" s="1709"/>
      <c r="AU103" s="1709"/>
      <c r="AV103" s="1709"/>
      <c r="AW103" s="1709"/>
      <c r="AX103" s="1709"/>
      <c r="AY103" s="1709"/>
      <c r="AZ103" s="1709"/>
      <c r="BA103" s="1709"/>
      <c r="BB103" s="1709"/>
      <c r="BC103" s="1709"/>
      <c r="BD103" s="1709"/>
      <c r="BE103" s="1709"/>
      <c r="BF103" s="1709"/>
      <c r="BG103" s="1709"/>
      <c r="BH103" s="1709"/>
      <c r="BI103" s="2711"/>
      <c r="BJ103" s="2711"/>
      <c r="BK103" s="2711"/>
      <c r="BL103" s="2711"/>
      <c r="BM103" s="2711"/>
      <c r="BN103" s="2711"/>
      <c r="BO103" s="2711"/>
      <c r="BP103" s="2711"/>
      <c r="BQ103" s="2711"/>
      <c r="BR103" s="3223"/>
      <c r="BS103" s="3922" t="s">
        <v>3781</v>
      </c>
      <c r="BT103" s="4096" t="s">
        <v>3781</v>
      </c>
      <c r="BU103" s="3221">
        <v>6</v>
      </c>
      <c r="BV103" s="3219" t="s">
        <v>3781</v>
      </c>
      <c r="BW103" s="15846"/>
      <c r="BX103" s="4154" t="s">
        <v>9699</v>
      </c>
      <c r="BY103" s="3922"/>
      <c r="BZ103" s="3922"/>
      <c r="CA103" s="4087"/>
      <c r="CB103" s="4087"/>
      <c r="CC103" s="4087"/>
      <c r="CD103" s="4087"/>
      <c r="CE103" s="4088"/>
      <c r="CF103" s="4088"/>
      <c r="CG103" s="4088"/>
      <c r="CH103" s="4088"/>
      <c r="CI103" s="4088"/>
      <c r="CJ103" s="4088"/>
      <c r="CK103" s="4088"/>
      <c r="CL103" s="4088"/>
      <c r="CM103" s="4088"/>
      <c r="CN103" s="4088"/>
      <c r="CO103" s="4088"/>
      <c r="CP103" s="4088"/>
      <c r="CQ103" s="4088"/>
      <c r="CR103" s="4088"/>
      <c r="CS103" s="4088"/>
      <c r="CT103" s="4088"/>
      <c r="CU103" s="4088"/>
      <c r="CV103" s="4088"/>
      <c r="CW103" s="4088"/>
      <c r="CX103" s="4088"/>
      <c r="CY103" s="4088"/>
      <c r="CZ103" s="4088"/>
      <c r="DA103" s="4089"/>
      <c r="DB103" s="4088"/>
      <c r="DC103" s="4088"/>
      <c r="DD103" s="4088"/>
      <c r="DE103" s="4088"/>
      <c r="DF103" s="4088"/>
      <c r="DG103" s="4088"/>
      <c r="DH103" s="4088"/>
      <c r="DI103" s="4088"/>
      <c r="DJ103" s="4088"/>
      <c r="DK103" s="4088"/>
      <c r="DL103" s="4088"/>
      <c r="DM103" s="4088"/>
      <c r="DN103" s="4286"/>
      <c r="DO103" s="1833"/>
      <c r="DP103" s="4456"/>
      <c r="DQ103" s="4448"/>
      <c r="DR103" s="4448"/>
      <c r="DS103" s="4448"/>
      <c r="DT103" s="3224"/>
      <c r="DU103" s="3224"/>
      <c r="DV103" s="3224"/>
      <c r="DW103" s="3224"/>
      <c r="DX103" s="3224"/>
      <c r="DY103" s="3224"/>
      <c r="DZ103" s="3224"/>
      <c r="EA103" s="3224"/>
      <c r="EB103" s="3224"/>
      <c r="EC103" s="3224"/>
      <c r="ED103" s="3224"/>
      <c r="EE103" s="3224"/>
      <c r="EF103" s="3224"/>
      <c r="EG103" s="3224"/>
      <c r="EH103" s="3224"/>
      <c r="EI103" s="3224"/>
      <c r="EJ103" s="3224"/>
      <c r="EK103" s="3224"/>
      <c r="EL103" s="3224"/>
      <c r="EM103" s="3224"/>
      <c r="EN103" s="3224"/>
      <c r="EO103" s="3224"/>
      <c r="EP103" s="3224"/>
      <c r="EQ103" s="3224"/>
      <c r="ER103" s="3224"/>
      <c r="ES103" s="3224"/>
      <c r="ET103" s="3224"/>
      <c r="EU103" s="3224"/>
      <c r="EV103" s="3224"/>
      <c r="EW103" s="3224"/>
      <c r="EX103" s="3224"/>
      <c r="EY103" s="3224"/>
      <c r="EZ103" s="3224"/>
      <c r="FA103" s="3224"/>
      <c r="FB103" s="3224"/>
      <c r="FC103" s="3224"/>
      <c r="FD103" s="3224"/>
      <c r="FE103" s="3224"/>
      <c r="FF103" s="3224"/>
      <c r="FG103" s="3224"/>
      <c r="FH103" s="3224"/>
      <c r="FI103" s="2057"/>
    </row>
    <row r="104" spans="1:165" s="1834" customFormat="1" ht="15" customHeight="1">
      <c r="A104" s="15792"/>
      <c r="B104" s="15795"/>
      <c r="C104" s="15795"/>
      <c r="D104" s="15691"/>
      <c r="E104" s="15722"/>
      <c r="F104" s="15722"/>
      <c r="G104" s="4092"/>
      <c r="H104" s="4093"/>
      <c r="I104" s="4093"/>
      <c r="J104" s="15723"/>
      <c r="K104" s="15724"/>
      <c r="L104" s="4437" t="s">
        <v>10199</v>
      </c>
      <c r="M104" s="2736"/>
      <c r="N104" s="4094" t="s">
        <v>10223</v>
      </c>
      <c r="O104" s="4095"/>
      <c r="P104" s="4095"/>
      <c r="Q104" s="4095"/>
      <c r="R104" s="4095"/>
      <c r="S104" s="4095"/>
      <c r="T104" s="4095"/>
      <c r="U104" s="4095"/>
      <c r="V104" s="4095"/>
      <c r="W104" s="4095"/>
      <c r="X104" s="4095"/>
      <c r="Y104" s="4095"/>
      <c r="Z104" s="4095"/>
      <c r="AA104" s="4153"/>
      <c r="AB104" s="4153"/>
      <c r="AC104" s="4153"/>
      <c r="AD104" s="4085"/>
      <c r="AE104" s="1709"/>
      <c r="AF104" s="1709"/>
      <c r="AG104" s="1709"/>
      <c r="AH104" s="1709"/>
      <c r="AI104" s="1709"/>
      <c r="AJ104" s="1709"/>
      <c r="AK104" s="1709"/>
      <c r="AL104" s="1709"/>
      <c r="AM104" s="1709"/>
      <c r="AN104" s="1709"/>
      <c r="AO104" s="1709"/>
      <c r="AP104" s="1709"/>
      <c r="AQ104" s="1709"/>
      <c r="AR104" s="1709"/>
      <c r="AS104" s="1709"/>
      <c r="AT104" s="1709"/>
      <c r="AU104" s="1709"/>
      <c r="AV104" s="1709"/>
      <c r="AW104" s="1709"/>
      <c r="AX104" s="1709"/>
      <c r="AY104" s="1709"/>
      <c r="AZ104" s="1709"/>
      <c r="BA104" s="1709"/>
      <c r="BB104" s="1709"/>
      <c r="BC104" s="1709"/>
      <c r="BD104" s="1709"/>
      <c r="BE104" s="1709"/>
      <c r="BF104" s="1709"/>
      <c r="BG104" s="1709"/>
      <c r="BH104" s="1709"/>
      <c r="BI104" s="2711"/>
      <c r="BJ104" s="2711"/>
      <c r="BK104" s="2711"/>
      <c r="BL104" s="2711"/>
      <c r="BM104" s="2711"/>
      <c r="BN104" s="2711"/>
      <c r="BO104" s="2711"/>
      <c r="BP104" s="2711"/>
      <c r="BQ104" s="2711"/>
      <c r="BR104" s="3223"/>
      <c r="BS104" s="3922"/>
      <c r="BT104" s="4096"/>
      <c r="BU104" s="3221"/>
      <c r="BV104" s="3219"/>
      <c r="BW104" s="15846"/>
      <c r="BX104" s="4154"/>
      <c r="BY104" s="3922"/>
      <c r="BZ104" s="3922"/>
      <c r="CA104" s="4087"/>
      <c r="CB104" s="4087"/>
      <c r="CC104" s="4087"/>
      <c r="CD104" s="4087"/>
      <c r="CE104" s="4088"/>
      <c r="CF104" s="4088"/>
      <c r="CG104" s="4088"/>
      <c r="CH104" s="4088"/>
      <c r="CI104" s="4088"/>
      <c r="CJ104" s="4088"/>
      <c r="CK104" s="4088"/>
      <c r="CL104" s="4088"/>
      <c r="CM104" s="4088"/>
      <c r="CN104" s="4088"/>
      <c r="CO104" s="4088"/>
      <c r="CP104" s="4088"/>
      <c r="CQ104" s="4088"/>
      <c r="CR104" s="4088"/>
      <c r="CS104" s="4088"/>
      <c r="CT104" s="4088"/>
      <c r="CU104" s="4088"/>
      <c r="CV104" s="4088"/>
      <c r="CW104" s="4088"/>
      <c r="CX104" s="4088"/>
      <c r="CY104" s="4088"/>
      <c r="CZ104" s="4088"/>
      <c r="DA104" s="4089"/>
      <c r="DB104" s="4088"/>
      <c r="DC104" s="4088"/>
      <c r="DD104" s="4088"/>
      <c r="DE104" s="4088"/>
      <c r="DF104" s="4088"/>
      <c r="DG104" s="4088"/>
      <c r="DH104" s="4088"/>
      <c r="DI104" s="4088"/>
      <c r="DJ104" s="4088"/>
      <c r="DK104" s="4088"/>
      <c r="DL104" s="4088"/>
      <c r="DM104" s="4088"/>
      <c r="DN104" s="4286"/>
      <c r="DO104" s="1833"/>
      <c r="DP104" s="4456"/>
      <c r="DQ104" s="4448"/>
      <c r="DR104" s="4448"/>
      <c r="DS104" s="4448"/>
      <c r="DT104" s="3224"/>
      <c r="DU104" s="3224"/>
      <c r="DV104" s="3224"/>
      <c r="DW104" s="3224"/>
      <c r="DX104" s="3224"/>
      <c r="DY104" s="3224"/>
      <c r="DZ104" s="3224"/>
      <c r="EA104" s="3224"/>
      <c r="EB104" s="3224"/>
      <c r="EC104" s="3224"/>
      <c r="ED104" s="3224"/>
      <c r="EE104" s="3224"/>
      <c r="EF104" s="3224"/>
      <c r="EG104" s="3224"/>
      <c r="EH104" s="3224"/>
      <c r="EI104" s="3224"/>
      <c r="EJ104" s="3224"/>
      <c r="EK104" s="3224"/>
      <c r="EL104" s="3224"/>
      <c r="EM104" s="3224"/>
      <c r="EN104" s="3224"/>
      <c r="EO104" s="3224"/>
      <c r="EP104" s="3224"/>
      <c r="EQ104" s="3224"/>
      <c r="ER104" s="3224"/>
      <c r="ES104" s="3224"/>
      <c r="ET104" s="3224"/>
      <c r="EU104" s="3224"/>
      <c r="EV104" s="3224"/>
      <c r="EW104" s="3224"/>
      <c r="EX104" s="3224"/>
      <c r="EY104" s="3224"/>
      <c r="EZ104" s="3224"/>
      <c r="FA104" s="3224"/>
      <c r="FB104" s="3224"/>
      <c r="FC104" s="3224"/>
      <c r="FD104" s="3224"/>
      <c r="FE104" s="3224"/>
      <c r="FF104" s="3224"/>
      <c r="FG104" s="3224"/>
      <c r="FH104" s="3224"/>
      <c r="FI104" s="2057"/>
    </row>
    <row r="105" spans="1:165" s="1834" customFormat="1" ht="15" customHeight="1">
      <c r="A105" s="15792"/>
      <c r="B105" s="15795"/>
      <c r="C105" s="15795"/>
      <c r="D105" s="15692"/>
      <c r="E105" s="15717"/>
      <c r="F105" s="15717"/>
      <c r="G105" s="4092"/>
      <c r="H105" s="4093"/>
      <c r="I105" s="4093"/>
      <c r="J105" s="15719"/>
      <c r="K105" s="15721"/>
      <c r="L105" s="4437" t="s">
        <v>10204</v>
      </c>
      <c r="M105" s="2736"/>
      <c r="N105" s="4094" t="s">
        <v>10224</v>
      </c>
      <c r="O105" s="4095"/>
      <c r="P105" s="4095"/>
      <c r="Q105" s="4095"/>
      <c r="R105" s="4095"/>
      <c r="S105" s="4095"/>
      <c r="T105" s="4095"/>
      <c r="U105" s="4095"/>
      <c r="V105" s="4095"/>
      <c r="W105" s="4095"/>
      <c r="X105" s="4095"/>
      <c r="Y105" s="4095"/>
      <c r="Z105" s="4095"/>
      <c r="AA105" s="4153"/>
      <c r="AB105" s="4153"/>
      <c r="AC105" s="4153"/>
      <c r="AD105" s="4085"/>
      <c r="AE105" s="1709"/>
      <c r="AF105" s="1709"/>
      <c r="AG105" s="1709"/>
      <c r="AH105" s="1709"/>
      <c r="AI105" s="1709"/>
      <c r="AJ105" s="1709"/>
      <c r="AK105" s="1709"/>
      <c r="AL105" s="1709"/>
      <c r="AM105" s="1709"/>
      <c r="AN105" s="1709"/>
      <c r="AO105" s="1709"/>
      <c r="AP105" s="1709"/>
      <c r="AQ105" s="1709"/>
      <c r="AR105" s="1709"/>
      <c r="AS105" s="1709"/>
      <c r="AT105" s="1709"/>
      <c r="AU105" s="1709"/>
      <c r="AV105" s="1709"/>
      <c r="AW105" s="1709"/>
      <c r="AX105" s="1709"/>
      <c r="AY105" s="1709"/>
      <c r="AZ105" s="1709"/>
      <c r="BA105" s="1709"/>
      <c r="BB105" s="1709"/>
      <c r="BC105" s="1709"/>
      <c r="BD105" s="1709"/>
      <c r="BE105" s="1709"/>
      <c r="BF105" s="1709"/>
      <c r="BG105" s="1709"/>
      <c r="BH105" s="1709"/>
      <c r="BI105" s="2711"/>
      <c r="BJ105" s="2711"/>
      <c r="BK105" s="2711"/>
      <c r="BL105" s="2711"/>
      <c r="BM105" s="2711"/>
      <c r="BN105" s="2711"/>
      <c r="BO105" s="2711"/>
      <c r="BP105" s="2711"/>
      <c r="BQ105" s="2711"/>
      <c r="BR105" s="3223"/>
      <c r="BS105" s="3922"/>
      <c r="BT105" s="4096"/>
      <c r="BU105" s="3221"/>
      <c r="BV105" s="3219"/>
      <c r="BW105" s="15846"/>
      <c r="BX105" s="4154"/>
      <c r="BY105" s="3922"/>
      <c r="BZ105" s="3922"/>
      <c r="CA105" s="4087"/>
      <c r="CB105" s="4087"/>
      <c r="CC105" s="4087"/>
      <c r="CD105" s="4087"/>
      <c r="CE105" s="4088"/>
      <c r="CF105" s="4088"/>
      <c r="CG105" s="4088"/>
      <c r="CH105" s="4088"/>
      <c r="CI105" s="4088"/>
      <c r="CJ105" s="4088"/>
      <c r="CK105" s="4088"/>
      <c r="CL105" s="4088"/>
      <c r="CM105" s="4088"/>
      <c r="CN105" s="4088"/>
      <c r="CO105" s="4088"/>
      <c r="CP105" s="4088"/>
      <c r="CQ105" s="4088"/>
      <c r="CR105" s="4088"/>
      <c r="CS105" s="4088"/>
      <c r="CT105" s="4088"/>
      <c r="CU105" s="4088"/>
      <c r="CV105" s="4088"/>
      <c r="CW105" s="4088"/>
      <c r="CX105" s="4088"/>
      <c r="CY105" s="4088"/>
      <c r="CZ105" s="4088"/>
      <c r="DA105" s="4089"/>
      <c r="DB105" s="4088"/>
      <c r="DC105" s="4088"/>
      <c r="DD105" s="4088"/>
      <c r="DE105" s="4088"/>
      <c r="DF105" s="4088"/>
      <c r="DG105" s="4088"/>
      <c r="DH105" s="4088"/>
      <c r="DI105" s="4088"/>
      <c r="DJ105" s="4088"/>
      <c r="DK105" s="4088"/>
      <c r="DL105" s="4088"/>
      <c r="DM105" s="4088"/>
      <c r="DN105" s="4286"/>
      <c r="DO105" s="1833"/>
      <c r="DP105" s="4456"/>
      <c r="DQ105" s="4448"/>
      <c r="DR105" s="4448"/>
      <c r="DS105" s="4448"/>
      <c r="DT105" s="3224"/>
      <c r="DU105" s="3224"/>
      <c r="DV105" s="3224"/>
      <c r="DW105" s="3224"/>
      <c r="DX105" s="3224"/>
      <c r="DY105" s="3224"/>
      <c r="DZ105" s="3224"/>
      <c r="EA105" s="3224"/>
      <c r="EB105" s="3224"/>
      <c r="EC105" s="3224"/>
      <c r="ED105" s="3224"/>
      <c r="EE105" s="3224"/>
      <c r="EF105" s="3224"/>
      <c r="EG105" s="3224"/>
      <c r="EH105" s="3224"/>
      <c r="EI105" s="3224"/>
      <c r="EJ105" s="3224"/>
      <c r="EK105" s="3224"/>
      <c r="EL105" s="3224"/>
      <c r="EM105" s="3224"/>
      <c r="EN105" s="3224"/>
      <c r="EO105" s="3224"/>
      <c r="EP105" s="3224"/>
      <c r="EQ105" s="3224"/>
      <c r="ER105" s="3224"/>
      <c r="ES105" s="3224"/>
      <c r="ET105" s="3224"/>
      <c r="EU105" s="3224"/>
      <c r="EV105" s="3224"/>
      <c r="EW105" s="3224"/>
      <c r="EX105" s="3224"/>
      <c r="EY105" s="3224"/>
      <c r="EZ105" s="3224"/>
      <c r="FA105" s="3224"/>
      <c r="FB105" s="3224"/>
      <c r="FC105" s="3224"/>
      <c r="FD105" s="3224"/>
      <c r="FE105" s="3224"/>
      <c r="FF105" s="3224"/>
      <c r="FG105" s="3224"/>
      <c r="FH105" s="3224"/>
      <c r="FI105" s="2057"/>
    </row>
    <row r="106" spans="1:165" s="1834" customFormat="1" ht="15" customHeight="1">
      <c r="A106" s="15792"/>
      <c r="B106" s="15795"/>
      <c r="C106" s="15795"/>
      <c r="D106" s="15715" t="s">
        <v>7884</v>
      </c>
      <c r="E106" s="15716" t="s">
        <v>4933</v>
      </c>
      <c r="F106" s="15716" t="s">
        <v>1436</v>
      </c>
      <c r="G106" s="4092" t="s">
        <v>70</v>
      </c>
      <c r="H106" s="4093">
        <v>1</v>
      </c>
      <c r="I106" s="4094" t="s">
        <v>1437</v>
      </c>
      <c r="J106" s="15720" t="s">
        <v>1438</v>
      </c>
      <c r="K106" s="15720" t="s">
        <v>1363</v>
      </c>
      <c r="L106" s="4437" t="s">
        <v>86</v>
      </c>
      <c r="M106" s="2736" t="s">
        <v>422</v>
      </c>
      <c r="N106" s="4094"/>
      <c r="O106" s="4095">
        <v>100000000</v>
      </c>
      <c r="P106" s="4095">
        <v>35000000</v>
      </c>
      <c r="Q106" s="4095">
        <v>36050000</v>
      </c>
      <c r="R106" s="4095">
        <v>37131500</v>
      </c>
      <c r="S106" s="4095">
        <v>38245445</v>
      </c>
      <c r="T106" s="4095">
        <v>39392808.350000001</v>
      </c>
      <c r="U106" s="4095">
        <v>40574592.600500003</v>
      </c>
      <c r="V106" s="4095">
        <v>41791830.378515005</v>
      </c>
      <c r="W106" s="4095">
        <v>43045585.289870456</v>
      </c>
      <c r="X106" s="4095">
        <v>44336952.848566569</v>
      </c>
      <c r="Y106" s="4095">
        <v>45667061.434023567</v>
      </c>
      <c r="Z106" s="4095">
        <v>501235775.90147561</v>
      </c>
      <c r="AA106" s="4153" t="s">
        <v>1732</v>
      </c>
      <c r="AB106" s="4153" t="s">
        <v>2951</v>
      </c>
      <c r="AC106" s="4153" t="s">
        <v>2951</v>
      </c>
      <c r="AD106" s="2715" t="s">
        <v>3570</v>
      </c>
      <c r="AE106" s="1709"/>
      <c r="AF106" s="1709"/>
      <c r="AG106" s="1709"/>
      <c r="AH106" s="1709"/>
      <c r="AI106" s="1709"/>
      <c r="AJ106" s="1709"/>
      <c r="AK106" s="1709"/>
      <c r="AL106" s="1709"/>
      <c r="AM106" s="1709"/>
      <c r="AN106" s="1709"/>
      <c r="AO106" s="1709"/>
      <c r="AP106" s="1709"/>
      <c r="AQ106" s="1709"/>
      <c r="AR106" s="1709"/>
      <c r="AS106" s="1709"/>
      <c r="AT106" s="1709"/>
      <c r="AU106" s="1709"/>
      <c r="AV106" s="1709"/>
      <c r="AW106" s="1709"/>
      <c r="AX106" s="1709"/>
      <c r="AY106" s="1709"/>
      <c r="AZ106" s="1709"/>
      <c r="BA106" s="1709"/>
      <c r="BB106" s="1709"/>
      <c r="BC106" s="1709"/>
      <c r="BD106" s="1709"/>
      <c r="BE106" s="1709"/>
      <c r="BF106" s="1709"/>
      <c r="BG106" s="1709"/>
      <c r="BH106" s="1709"/>
      <c r="BI106" s="2711"/>
      <c r="BJ106" s="2711"/>
      <c r="BK106" s="2711"/>
      <c r="BL106" s="2711"/>
      <c r="BM106" s="2711"/>
      <c r="BN106" s="2711"/>
      <c r="BO106" s="2711"/>
      <c r="BP106" s="2711"/>
      <c r="BQ106" s="2711"/>
      <c r="BR106" s="3223"/>
      <c r="BS106" s="3922" t="s">
        <v>3781</v>
      </c>
      <c r="BT106" s="4096" t="s">
        <v>3781</v>
      </c>
      <c r="BU106" s="2725" t="s">
        <v>3781</v>
      </c>
      <c r="BV106" s="3219" t="s">
        <v>3781</v>
      </c>
      <c r="BW106" s="15846"/>
      <c r="BX106" s="4086"/>
      <c r="BY106" s="3922"/>
      <c r="BZ106" s="3922"/>
      <c r="CA106" s="4087"/>
      <c r="CB106" s="4087"/>
      <c r="CC106" s="4087"/>
      <c r="CD106" s="4087"/>
      <c r="CE106" s="4088"/>
      <c r="CF106" s="4088"/>
      <c r="CG106" s="4088"/>
      <c r="CH106" s="4088"/>
      <c r="CI106" s="4088"/>
      <c r="CJ106" s="4088"/>
      <c r="CK106" s="4088"/>
      <c r="CL106" s="4088"/>
      <c r="CM106" s="4088"/>
      <c r="CN106" s="4088"/>
      <c r="CO106" s="4088"/>
      <c r="CP106" s="4088"/>
      <c r="CQ106" s="4088"/>
      <c r="CR106" s="4088"/>
      <c r="CS106" s="4088"/>
      <c r="CT106" s="4088"/>
      <c r="CU106" s="4088"/>
      <c r="CV106" s="4088"/>
      <c r="CW106" s="4088"/>
      <c r="CX106" s="4088"/>
      <c r="CY106" s="4088"/>
      <c r="CZ106" s="4088"/>
      <c r="DA106" s="4089"/>
      <c r="DB106" s="4088"/>
      <c r="DC106" s="4088"/>
      <c r="DD106" s="4088"/>
      <c r="DE106" s="4088"/>
      <c r="DF106" s="4088"/>
      <c r="DG106" s="4088"/>
      <c r="DH106" s="4088"/>
      <c r="DI106" s="4088"/>
      <c r="DJ106" s="4088"/>
      <c r="DK106" s="4088"/>
      <c r="DL106" s="4088"/>
      <c r="DM106" s="4088"/>
      <c r="DN106" s="4286"/>
      <c r="DO106" s="1833"/>
      <c r="DP106" s="4456"/>
      <c r="DQ106" s="4448"/>
      <c r="DR106" s="4448"/>
      <c r="DS106" s="4448"/>
      <c r="DT106" s="3224"/>
      <c r="DU106" s="3224"/>
      <c r="DV106" s="3224"/>
      <c r="DW106" s="3224"/>
      <c r="DX106" s="3224"/>
      <c r="DY106" s="3224"/>
      <c r="DZ106" s="3224"/>
      <c r="EA106" s="3224"/>
      <c r="EB106" s="3224"/>
      <c r="EC106" s="3224"/>
      <c r="ED106" s="3224"/>
      <c r="EE106" s="3224"/>
      <c r="EF106" s="3224"/>
      <c r="EG106" s="3224"/>
      <c r="EH106" s="3224"/>
      <c r="EI106" s="3224"/>
      <c r="EJ106" s="3224"/>
      <c r="EK106" s="3224"/>
      <c r="EL106" s="3224"/>
      <c r="EM106" s="3224"/>
      <c r="EN106" s="3224"/>
      <c r="EO106" s="3224"/>
      <c r="EP106" s="3224"/>
      <c r="EQ106" s="3224"/>
      <c r="ER106" s="3224"/>
      <c r="ES106" s="3224"/>
      <c r="ET106" s="3224"/>
      <c r="EU106" s="3224"/>
      <c r="EV106" s="3224"/>
      <c r="EW106" s="3224"/>
      <c r="EX106" s="3224"/>
      <c r="EY106" s="3224"/>
      <c r="EZ106" s="3224"/>
      <c r="FA106" s="3224"/>
      <c r="FB106" s="3224"/>
      <c r="FC106" s="3224"/>
      <c r="FD106" s="3224"/>
      <c r="FE106" s="3224"/>
      <c r="FF106" s="3224"/>
      <c r="FG106" s="3224"/>
      <c r="FH106" s="3224"/>
      <c r="FI106" s="2057"/>
    </row>
    <row r="107" spans="1:165" s="1834" customFormat="1" ht="15" customHeight="1">
      <c r="A107" s="15792"/>
      <c r="B107" s="15795"/>
      <c r="C107" s="15795"/>
      <c r="D107" s="15691"/>
      <c r="E107" s="15722"/>
      <c r="F107" s="15722"/>
      <c r="G107" s="4092"/>
      <c r="H107" s="4093"/>
      <c r="I107" s="4094"/>
      <c r="J107" s="15724"/>
      <c r="K107" s="15724"/>
      <c r="L107" s="4437" t="s">
        <v>10199</v>
      </c>
      <c r="M107" s="2736"/>
      <c r="N107" s="4094" t="s">
        <v>10225</v>
      </c>
      <c r="O107" s="4095"/>
      <c r="P107" s="4095"/>
      <c r="Q107" s="4095"/>
      <c r="R107" s="4095"/>
      <c r="S107" s="4095"/>
      <c r="T107" s="4095"/>
      <c r="U107" s="4095"/>
      <c r="V107" s="4095"/>
      <c r="W107" s="4095"/>
      <c r="X107" s="4095"/>
      <c r="Y107" s="4095"/>
      <c r="Z107" s="4095"/>
      <c r="AA107" s="4153"/>
      <c r="AB107" s="4153"/>
      <c r="AC107" s="4153"/>
      <c r="AD107" s="4155"/>
      <c r="AE107" s="1709"/>
      <c r="AF107" s="1709"/>
      <c r="AG107" s="1709"/>
      <c r="AH107" s="1709"/>
      <c r="AI107" s="1709"/>
      <c r="AJ107" s="1709"/>
      <c r="AK107" s="1709"/>
      <c r="AL107" s="1709"/>
      <c r="AM107" s="1709"/>
      <c r="AN107" s="1709"/>
      <c r="AO107" s="1709"/>
      <c r="AP107" s="1709"/>
      <c r="AQ107" s="1709"/>
      <c r="AR107" s="1709"/>
      <c r="AS107" s="1709"/>
      <c r="AT107" s="1709"/>
      <c r="AU107" s="1709"/>
      <c r="AV107" s="1709"/>
      <c r="AW107" s="1709"/>
      <c r="AX107" s="1709"/>
      <c r="AY107" s="1709"/>
      <c r="AZ107" s="1709"/>
      <c r="BA107" s="1709"/>
      <c r="BB107" s="1709"/>
      <c r="BC107" s="1709"/>
      <c r="BD107" s="1709"/>
      <c r="BE107" s="1709"/>
      <c r="BF107" s="1709"/>
      <c r="BG107" s="1709"/>
      <c r="BH107" s="1709"/>
      <c r="BI107" s="2711"/>
      <c r="BJ107" s="2711"/>
      <c r="BK107" s="2711"/>
      <c r="BL107" s="2711"/>
      <c r="BM107" s="2711"/>
      <c r="BN107" s="2711"/>
      <c r="BO107" s="2711"/>
      <c r="BP107" s="2711"/>
      <c r="BQ107" s="2711"/>
      <c r="BR107" s="3223"/>
      <c r="BS107" s="3922"/>
      <c r="BT107" s="4096"/>
      <c r="BU107" s="2725"/>
      <c r="BV107" s="3219"/>
      <c r="BW107" s="15846"/>
      <c r="BX107" s="4086"/>
      <c r="BY107" s="3922"/>
      <c r="BZ107" s="3922"/>
      <c r="CA107" s="4087"/>
      <c r="CB107" s="4087"/>
      <c r="CC107" s="4087"/>
      <c r="CD107" s="4087"/>
      <c r="CE107" s="4088"/>
      <c r="CF107" s="4088"/>
      <c r="CG107" s="4088"/>
      <c r="CH107" s="4088"/>
      <c r="CI107" s="4088"/>
      <c r="CJ107" s="4088"/>
      <c r="CK107" s="4088"/>
      <c r="CL107" s="4088"/>
      <c r="CM107" s="4088"/>
      <c r="CN107" s="4088"/>
      <c r="CO107" s="4088"/>
      <c r="CP107" s="4088"/>
      <c r="CQ107" s="4088"/>
      <c r="CR107" s="4088"/>
      <c r="CS107" s="4088"/>
      <c r="CT107" s="4088"/>
      <c r="CU107" s="4088"/>
      <c r="CV107" s="4088"/>
      <c r="CW107" s="4088"/>
      <c r="CX107" s="4088"/>
      <c r="CY107" s="4088"/>
      <c r="CZ107" s="4088"/>
      <c r="DA107" s="4089"/>
      <c r="DB107" s="4088"/>
      <c r="DC107" s="4088"/>
      <c r="DD107" s="4088"/>
      <c r="DE107" s="4088"/>
      <c r="DF107" s="4088"/>
      <c r="DG107" s="4088"/>
      <c r="DH107" s="4088"/>
      <c r="DI107" s="4088"/>
      <c r="DJ107" s="4088"/>
      <c r="DK107" s="4088"/>
      <c r="DL107" s="4088"/>
      <c r="DM107" s="4088"/>
      <c r="DN107" s="4286"/>
      <c r="DO107" s="1833"/>
      <c r="DP107" s="4456"/>
      <c r="DQ107" s="4448"/>
      <c r="DR107" s="4448"/>
      <c r="DS107" s="4448"/>
      <c r="DT107" s="3224"/>
      <c r="DU107" s="3224"/>
      <c r="DV107" s="3224"/>
      <c r="DW107" s="3224"/>
      <c r="DX107" s="3224"/>
      <c r="DY107" s="3224"/>
      <c r="DZ107" s="3224"/>
      <c r="EA107" s="3224"/>
      <c r="EB107" s="3224"/>
      <c r="EC107" s="3224"/>
      <c r="ED107" s="3224"/>
      <c r="EE107" s="3224"/>
      <c r="EF107" s="3224"/>
      <c r="EG107" s="3224"/>
      <c r="EH107" s="3224"/>
      <c r="EI107" s="3224"/>
      <c r="EJ107" s="3224"/>
      <c r="EK107" s="3224"/>
      <c r="EL107" s="3224"/>
      <c r="EM107" s="3224"/>
      <c r="EN107" s="3224"/>
      <c r="EO107" s="3224"/>
      <c r="EP107" s="3224"/>
      <c r="EQ107" s="3224"/>
      <c r="ER107" s="3224"/>
      <c r="ES107" s="3224"/>
      <c r="ET107" s="3224"/>
      <c r="EU107" s="3224"/>
      <c r="EV107" s="3224"/>
      <c r="EW107" s="3224"/>
      <c r="EX107" s="3224"/>
      <c r="EY107" s="3224"/>
      <c r="EZ107" s="3224"/>
      <c r="FA107" s="3224"/>
      <c r="FB107" s="3224"/>
      <c r="FC107" s="3224"/>
      <c r="FD107" s="3224"/>
      <c r="FE107" s="3224"/>
      <c r="FF107" s="3224"/>
      <c r="FG107" s="3224"/>
      <c r="FH107" s="3224"/>
      <c r="FI107" s="2057"/>
    </row>
    <row r="108" spans="1:165" s="1834" customFormat="1" ht="15" customHeight="1">
      <c r="A108" s="15792"/>
      <c r="B108" s="15795"/>
      <c r="C108" s="15795"/>
      <c r="D108" s="15692"/>
      <c r="E108" s="15717"/>
      <c r="F108" s="15717"/>
      <c r="G108" s="4092"/>
      <c r="H108" s="4093"/>
      <c r="I108" s="4094"/>
      <c r="J108" s="15721"/>
      <c r="K108" s="15721"/>
      <c r="L108" s="4437" t="s">
        <v>10204</v>
      </c>
      <c r="M108" s="2736"/>
      <c r="N108" s="4094" t="s">
        <v>10226</v>
      </c>
      <c r="O108" s="4095"/>
      <c r="P108" s="4095"/>
      <c r="Q108" s="4095"/>
      <c r="R108" s="4095"/>
      <c r="S108" s="4095"/>
      <c r="T108" s="4095"/>
      <c r="U108" s="4095"/>
      <c r="V108" s="4095"/>
      <c r="W108" s="4095"/>
      <c r="X108" s="4095"/>
      <c r="Y108" s="4095"/>
      <c r="Z108" s="4095"/>
      <c r="AA108" s="4153"/>
      <c r="AB108" s="4153"/>
      <c r="AC108" s="4153"/>
      <c r="AD108" s="4155"/>
      <c r="AE108" s="1709"/>
      <c r="AF108" s="1709"/>
      <c r="AG108" s="1709"/>
      <c r="AH108" s="1709"/>
      <c r="AI108" s="1709"/>
      <c r="AJ108" s="1709"/>
      <c r="AK108" s="1709"/>
      <c r="AL108" s="1709"/>
      <c r="AM108" s="1709"/>
      <c r="AN108" s="1709"/>
      <c r="AO108" s="1709"/>
      <c r="AP108" s="1709"/>
      <c r="AQ108" s="1709"/>
      <c r="AR108" s="1709"/>
      <c r="AS108" s="1709"/>
      <c r="AT108" s="1709"/>
      <c r="AU108" s="1709"/>
      <c r="AV108" s="1709"/>
      <c r="AW108" s="1709"/>
      <c r="AX108" s="1709"/>
      <c r="AY108" s="1709"/>
      <c r="AZ108" s="1709"/>
      <c r="BA108" s="1709"/>
      <c r="BB108" s="1709"/>
      <c r="BC108" s="1709"/>
      <c r="BD108" s="1709"/>
      <c r="BE108" s="1709"/>
      <c r="BF108" s="1709"/>
      <c r="BG108" s="1709"/>
      <c r="BH108" s="1709"/>
      <c r="BI108" s="2711"/>
      <c r="BJ108" s="2711"/>
      <c r="BK108" s="2711"/>
      <c r="BL108" s="2711"/>
      <c r="BM108" s="2711"/>
      <c r="BN108" s="2711"/>
      <c r="BO108" s="2711"/>
      <c r="BP108" s="2711"/>
      <c r="BQ108" s="2711"/>
      <c r="BR108" s="3223"/>
      <c r="BS108" s="3922"/>
      <c r="BT108" s="4096"/>
      <c r="BU108" s="2725"/>
      <c r="BV108" s="3219"/>
      <c r="BW108" s="15846"/>
      <c r="BX108" s="4086"/>
      <c r="BY108" s="3922"/>
      <c r="BZ108" s="3922"/>
      <c r="CA108" s="4087"/>
      <c r="CB108" s="4087"/>
      <c r="CC108" s="4087"/>
      <c r="CD108" s="4087"/>
      <c r="CE108" s="4088"/>
      <c r="CF108" s="4088"/>
      <c r="CG108" s="4088"/>
      <c r="CH108" s="4088"/>
      <c r="CI108" s="4088"/>
      <c r="CJ108" s="4088"/>
      <c r="CK108" s="4088"/>
      <c r="CL108" s="4088"/>
      <c r="CM108" s="4088"/>
      <c r="CN108" s="4088"/>
      <c r="CO108" s="4088"/>
      <c r="CP108" s="4088"/>
      <c r="CQ108" s="4088"/>
      <c r="CR108" s="4088"/>
      <c r="CS108" s="4088"/>
      <c r="CT108" s="4088"/>
      <c r="CU108" s="4088"/>
      <c r="CV108" s="4088"/>
      <c r="CW108" s="4088"/>
      <c r="CX108" s="4088"/>
      <c r="CY108" s="4088"/>
      <c r="CZ108" s="4088"/>
      <c r="DA108" s="4089"/>
      <c r="DB108" s="4088"/>
      <c r="DC108" s="4088"/>
      <c r="DD108" s="4088"/>
      <c r="DE108" s="4088"/>
      <c r="DF108" s="4088"/>
      <c r="DG108" s="4088"/>
      <c r="DH108" s="4088"/>
      <c r="DI108" s="4088"/>
      <c r="DJ108" s="4088"/>
      <c r="DK108" s="4088"/>
      <c r="DL108" s="4088"/>
      <c r="DM108" s="4088"/>
      <c r="DN108" s="4286"/>
      <c r="DO108" s="1833"/>
      <c r="DP108" s="4456"/>
      <c r="DQ108" s="4448"/>
      <c r="DR108" s="4448"/>
      <c r="DS108" s="4448"/>
      <c r="DT108" s="3224"/>
      <c r="DU108" s="3224"/>
      <c r="DV108" s="3224"/>
      <c r="DW108" s="3224"/>
      <c r="DX108" s="3224"/>
      <c r="DY108" s="3224"/>
      <c r="DZ108" s="3224"/>
      <c r="EA108" s="3224"/>
      <c r="EB108" s="3224"/>
      <c r="EC108" s="3224"/>
      <c r="ED108" s="3224"/>
      <c r="EE108" s="3224"/>
      <c r="EF108" s="3224"/>
      <c r="EG108" s="3224"/>
      <c r="EH108" s="3224"/>
      <c r="EI108" s="3224"/>
      <c r="EJ108" s="3224"/>
      <c r="EK108" s="3224"/>
      <c r="EL108" s="3224"/>
      <c r="EM108" s="3224"/>
      <c r="EN108" s="3224"/>
      <c r="EO108" s="3224"/>
      <c r="EP108" s="3224"/>
      <c r="EQ108" s="3224"/>
      <c r="ER108" s="3224"/>
      <c r="ES108" s="3224"/>
      <c r="ET108" s="3224"/>
      <c r="EU108" s="3224"/>
      <c r="EV108" s="3224"/>
      <c r="EW108" s="3224"/>
      <c r="EX108" s="3224"/>
      <c r="EY108" s="3224"/>
      <c r="EZ108" s="3224"/>
      <c r="FA108" s="3224"/>
      <c r="FB108" s="3224"/>
      <c r="FC108" s="3224"/>
      <c r="FD108" s="3224"/>
      <c r="FE108" s="3224"/>
      <c r="FF108" s="3224"/>
      <c r="FG108" s="3224"/>
      <c r="FH108" s="3224"/>
      <c r="FI108" s="2057"/>
    </row>
    <row r="109" spans="1:165" s="1834" customFormat="1" ht="15" customHeight="1">
      <c r="A109" s="15792"/>
      <c r="B109" s="15795"/>
      <c r="C109" s="15795"/>
      <c r="D109" s="15715" t="s">
        <v>7885</v>
      </c>
      <c r="E109" s="15716" t="s">
        <v>4921</v>
      </c>
      <c r="F109" s="15716" t="s">
        <v>155</v>
      </c>
      <c r="G109" s="4092" t="s">
        <v>70</v>
      </c>
      <c r="H109" s="4093">
        <v>1</v>
      </c>
      <c r="I109" s="4093">
        <v>1</v>
      </c>
      <c r="J109" s="15718">
        <v>1</v>
      </c>
      <c r="K109" s="15720" t="s">
        <v>1439</v>
      </c>
      <c r="L109" s="4437" t="s">
        <v>86</v>
      </c>
      <c r="M109" s="2736" t="s">
        <v>422</v>
      </c>
      <c r="N109" s="4094"/>
      <c r="O109" s="4095">
        <v>20000000</v>
      </c>
      <c r="P109" s="4095">
        <v>20600000</v>
      </c>
      <c r="Q109" s="4095">
        <v>21218000</v>
      </c>
      <c r="R109" s="4095">
        <v>43709080</v>
      </c>
      <c r="S109" s="4095">
        <v>45020352.399999999</v>
      </c>
      <c r="T109" s="4095">
        <v>46370962.972000003</v>
      </c>
      <c r="U109" s="4095">
        <v>47762091.861160003</v>
      </c>
      <c r="V109" s="4095">
        <v>49194954.616994806</v>
      </c>
      <c r="W109" s="4095">
        <v>50670803.255504653</v>
      </c>
      <c r="X109" s="4095">
        <v>52190927.353169791</v>
      </c>
      <c r="Y109" s="4095">
        <v>61800000</v>
      </c>
      <c r="Z109" s="4095">
        <v>458537172.45882928</v>
      </c>
      <c r="AA109" s="4153" t="s">
        <v>1732</v>
      </c>
      <c r="AB109" s="4153" t="s">
        <v>2951</v>
      </c>
      <c r="AC109" s="4153" t="s">
        <v>2951</v>
      </c>
      <c r="AD109" s="1962" t="s">
        <v>3569</v>
      </c>
      <c r="AE109" s="1709"/>
      <c r="AF109" s="1709"/>
      <c r="AG109" s="1709"/>
      <c r="AH109" s="1709"/>
      <c r="AI109" s="1709"/>
      <c r="AJ109" s="1709"/>
      <c r="AK109" s="1709"/>
      <c r="AL109" s="1709"/>
      <c r="AM109" s="1709"/>
      <c r="AN109" s="1709"/>
      <c r="AO109" s="1709"/>
      <c r="AP109" s="1709"/>
      <c r="AQ109" s="1709"/>
      <c r="AR109" s="1709"/>
      <c r="AS109" s="1709"/>
      <c r="AT109" s="1709"/>
      <c r="AU109" s="1709"/>
      <c r="AV109" s="1709"/>
      <c r="AW109" s="1709"/>
      <c r="AX109" s="1709"/>
      <c r="AY109" s="1709"/>
      <c r="AZ109" s="1709"/>
      <c r="BA109" s="1709"/>
      <c r="BB109" s="1709"/>
      <c r="BC109" s="1709"/>
      <c r="BD109" s="1709"/>
      <c r="BE109" s="1709"/>
      <c r="BF109" s="1709"/>
      <c r="BG109" s="1709"/>
      <c r="BH109" s="1709"/>
      <c r="BI109" s="2711"/>
      <c r="BJ109" s="2711"/>
      <c r="BK109" s="2711"/>
      <c r="BL109" s="2711"/>
      <c r="BM109" s="2711"/>
      <c r="BN109" s="2711"/>
      <c r="BO109" s="2711"/>
      <c r="BP109" s="2711"/>
      <c r="BQ109" s="2711"/>
      <c r="BR109" s="3223"/>
      <c r="BS109" s="3922" t="s">
        <v>3781</v>
      </c>
      <c r="BT109" s="4096" t="s">
        <v>3781</v>
      </c>
      <c r="BU109" s="2725" t="s">
        <v>3781</v>
      </c>
      <c r="BV109" s="3219" t="s">
        <v>3781</v>
      </c>
      <c r="BW109" s="15846"/>
      <c r="BX109" s="4086"/>
      <c r="BY109" s="3922"/>
      <c r="BZ109" s="3922"/>
      <c r="CA109" s="4087"/>
      <c r="CB109" s="4087"/>
      <c r="CC109" s="4087"/>
      <c r="CD109" s="4087"/>
      <c r="CE109" s="4088"/>
      <c r="CF109" s="4088"/>
      <c r="CG109" s="4088"/>
      <c r="CH109" s="4088"/>
      <c r="CI109" s="4088"/>
      <c r="CJ109" s="4088"/>
      <c r="CK109" s="4088"/>
      <c r="CL109" s="4088"/>
      <c r="CM109" s="4088"/>
      <c r="CN109" s="4088"/>
      <c r="CO109" s="4088"/>
      <c r="CP109" s="4088"/>
      <c r="CQ109" s="4088"/>
      <c r="CR109" s="4088"/>
      <c r="CS109" s="4088"/>
      <c r="CT109" s="4088"/>
      <c r="CU109" s="4088"/>
      <c r="CV109" s="4088"/>
      <c r="CW109" s="4088"/>
      <c r="CX109" s="4088"/>
      <c r="CY109" s="4088"/>
      <c r="CZ109" s="4088"/>
      <c r="DA109" s="4089"/>
      <c r="DB109" s="4088"/>
      <c r="DC109" s="4088"/>
      <c r="DD109" s="4088"/>
      <c r="DE109" s="4088"/>
      <c r="DF109" s="4088"/>
      <c r="DG109" s="4088"/>
      <c r="DH109" s="4088"/>
      <c r="DI109" s="4088"/>
      <c r="DJ109" s="4088"/>
      <c r="DK109" s="4088"/>
      <c r="DL109" s="4088"/>
      <c r="DM109" s="4088"/>
      <c r="DN109" s="4286"/>
      <c r="DO109" s="1833"/>
      <c r="DP109" s="4456"/>
      <c r="DQ109" s="4448"/>
      <c r="DR109" s="4448"/>
      <c r="DS109" s="4448"/>
      <c r="DT109" s="3224"/>
      <c r="DU109" s="3224"/>
      <c r="DV109" s="3224"/>
      <c r="DW109" s="3224"/>
      <c r="DX109" s="3224"/>
      <c r="DY109" s="3224"/>
      <c r="DZ109" s="3224"/>
      <c r="EA109" s="3224"/>
      <c r="EB109" s="3224"/>
      <c r="EC109" s="3224"/>
      <c r="ED109" s="3224"/>
      <c r="EE109" s="3224"/>
      <c r="EF109" s="3224"/>
      <c r="EG109" s="3224"/>
      <c r="EH109" s="3224"/>
      <c r="EI109" s="3224"/>
      <c r="EJ109" s="3224"/>
      <c r="EK109" s="3224"/>
      <c r="EL109" s="3224"/>
      <c r="EM109" s="3224"/>
      <c r="EN109" s="3224"/>
      <c r="EO109" s="3224"/>
      <c r="EP109" s="3224"/>
      <c r="EQ109" s="3224"/>
      <c r="ER109" s="3224"/>
      <c r="ES109" s="3224"/>
      <c r="ET109" s="3224"/>
      <c r="EU109" s="3224"/>
      <c r="EV109" s="3224"/>
      <c r="EW109" s="3224"/>
      <c r="EX109" s="3224"/>
      <c r="EY109" s="3224"/>
      <c r="EZ109" s="3224"/>
      <c r="FA109" s="3224"/>
      <c r="FB109" s="3224"/>
      <c r="FC109" s="3224"/>
      <c r="FD109" s="3224"/>
      <c r="FE109" s="3224"/>
      <c r="FF109" s="3224"/>
      <c r="FG109" s="3224"/>
      <c r="FH109" s="3224"/>
      <c r="FI109" s="2057"/>
    </row>
    <row r="110" spans="1:165" s="1834" customFormat="1" ht="15" customHeight="1">
      <c r="A110" s="15792"/>
      <c r="B110" s="15795"/>
      <c r="C110" s="15795"/>
      <c r="D110" s="15692"/>
      <c r="E110" s="15717"/>
      <c r="F110" s="15717"/>
      <c r="G110" s="4092"/>
      <c r="H110" s="4093"/>
      <c r="I110" s="4093"/>
      <c r="J110" s="15719"/>
      <c r="K110" s="15721"/>
      <c r="L110" s="4437" t="s">
        <v>10204</v>
      </c>
      <c r="M110" s="2736"/>
      <c r="N110" s="4094" t="s">
        <v>1440</v>
      </c>
      <c r="O110" s="4095"/>
      <c r="P110" s="4095"/>
      <c r="Q110" s="4095"/>
      <c r="R110" s="4095"/>
      <c r="S110" s="4095"/>
      <c r="T110" s="4095"/>
      <c r="U110" s="4095"/>
      <c r="V110" s="4095"/>
      <c r="W110" s="4095"/>
      <c r="X110" s="4095"/>
      <c r="Y110" s="4095"/>
      <c r="Z110" s="4095"/>
      <c r="AA110" s="4153"/>
      <c r="AB110" s="4153"/>
      <c r="AC110" s="4153"/>
      <c r="AD110" s="1962"/>
      <c r="AE110" s="1709"/>
      <c r="AF110" s="1709"/>
      <c r="AG110" s="1709"/>
      <c r="AH110" s="1709"/>
      <c r="AI110" s="1709"/>
      <c r="AJ110" s="1709"/>
      <c r="AK110" s="1709"/>
      <c r="AL110" s="1709"/>
      <c r="AM110" s="1709"/>
      <c r="AN110" s="1709"/>
      <c r="AO110" s="1709"/>
      <c r="AP110" s="1709"/>
      <c r="AQ110" s="1709"/>
      <c r="AR110" s="1709"/>
      <c r="AS110" s="1709"/>
      <c r="AT110" s="1709"/>
      <c r="AU110" s="1709"/>
      <c r="AV110" s="1709"/>
      <c r="AW110" s="1709"/>
      <c r="AX110" s="1709"/>
      <c r="AY110" s="1709"/>
      <c r="AZ110" s="1709"/>
      <c r="BA110" s="1709"/>
      <c r="BB110" s="1709"/>
      <c r="BC110" s="1709"/>
      <c r="BD110" s="1709"/>
      <c r="BE110" s="1709"/>
      <c r="BF110" s="1709"/>
      <c r="BG110" s="1709"/>
      <c r="BH110" s="1709"/>
      <c r="BI110" s="2711"/>
      <c r="BJ110" s="2711"/>
      <c r="BK110" s="2711"/>
      <c r="BL110" s="2711"/>
      <c r="BM110" s="2711"/>
      <c r="BN110" s="2711"/>
      <c r="BO110" s="2711"/>
      <c r="BP110" s="2711"/>
      <c r="BQ110" s="2711"/>
      <c r="BR110" s="3223"/>
      <c r="BS110" s="3922"/>
      <c r="BT110" s="4096"/>
      <c r="BU110" s="2725"/>
      <c r="BV110" s="3219"/>
      <c r="BW110" s="15846"/>
      <c r="BX110" s="4086"/>
      <c r="BY110" s="3922"/>
      <c r="BZ110" s="3922"/>
      <c r="CA110" s="4087"/>
      <c r="CB110" s="4087"/>
      <c r="CC110" s="4087"/>
      <c r="CD110" s="4087"/>
      <c r="CE110" s="4088"/>
      <c r="CF110" s="4088"/>
      <c r="CG110" s="4088"/>
      <c r="CH110" s="4088"/>
      <c r="CI110" s="4088"/>
      <c r="CJ110" s="4088"/>
      <c r="CK110" s="4088"/>
      <c r="CL110" s="4088"/>
      <c r="CM110" s="4088"/>
      <c r="CN110" s="4088"/>
      <c r="CO110" s="4088"/>
      <c r="CP110" s="4088"/>
      <c r="CQ110" s="4088"/>
      <c r="CR110" s="4088"/>
      <c r="CS110" s="4088"/>
      <c r="CT110" s="4088"/>
      <c r="CU110" s="4088"/>
      <c r="CV110" s="4088"/>
      <c r="CW110" s="4088"/>
      <c r="CX110" s="4088"/>
      <c r="CY110" s="4088"/>
      <c r="CZ110" s="4088"/>
      <c r="DA110" s="4089"/>
      <c r="DB110" s="4088"/>
      <c r="DC110" s="4088"/>
      <c r="DD110" s="4088"/>
      <c r="DE110" s="4088"/>
      <c r="DF110" s="4088"/>
      <c r="DG110" s="4088"/>
      <c r="DH110" s="4088"/>
      <c r="DI110" s="4088"/>
      <c r="DJ110" s="4088"/>
      <c r="DK110" s="4088"/>
      <c r="DL110" s="4088"/>
      <c r="DM110" s="4088"/>
      <c r="DN110" s="4286"/>
      <c r="DO110" s="1833"/>
      <c r="DP110" s="4456"/>
      <c r="DQ110" s="4448"/>
      <c r="DR110" s="4448"/>
      <c r="DS110" s="4448"/>
      <c r="DT110" s="3224"/>
      <c r="DU110" s="3224"/>
      <c r="DV110" s="3224"/>
      <c r="DW110" s="3224"/>
      <c r="DX110" s="3224"/>
      <c r="DY110" s="3224"/>
      <c r="DZ110" s="3224"/>
      <c r="EA110" s="3224"/>
      <c r="EB110" s="3224"/>
      <c r="EC110" s="3224"/>
      <c r="ED110" s="3224"/>
      <c r="EE110" s="3224"/>
      <c r="EF110" s="3224"/>
      <c r="EG110" s="3224"/>
      <c r="EH110" s="3224"/>
      <c r="EI110" s="3224"/>
      <c r="EJ110" s="3224"/>
      <c r="EK110" s="3224"/>
      <c r="EL110" s="3224"/>
      <c r="EM110" s="3224"/>
      <c r="EN110" s="3224"/>
      <c r="EO110" s="3224"/>
      <c r="EP110" s="3224"/>
      <c r="EQ110" s="3224"/>
      <c r="ER110" s="3224"/>
      <c r="ES110" s="3224"/>
      <c r="ET110" s="3224"/>
      <c r="EU110" s="3224"/>
      <c r="EV110" s="3224"/>
      <c r="EW110" s="3224"/>
      <c r="EX110" s="3224"/>
      <c r="EY110" s="3224"/>
      <c r="EZ110" s="3224"/>
      <c r="FA110" s="3224"/>
      <c r="FB110" s="3224"/>
      <c r="FC110" s="3224"/>
      <c r="FD110" s="3224"/>
      <c r="FE110" s="3224"/>
      <c r="FF110" s="3224"/>
      <c r="FG110" s="3224"/>
      <c r="FH110" s="3224"/>
      <c r="FI110" s="2057"/>
    </row>
    <row r="111" spans="1:165" s="1834" customFormat="1" ht="15" customHeight="1">
      <c r="A111" s="15792"/>
      <c r="B111" s="15795"/>
      <c r="C111" s="15795"/>
      <c r="D111" s="15715" t="s">
        <v>7886</v>
      </c>
      <c r="E111" s="15716" t="s">
        <v>4922</v>
      </c>
      <c r="F111" s="15716" t="s">
        <v>1441</v>
      </c>
      <c r="G111" s="4092" t="s">
        <v>70</v>
      </c>
      <c r="H111" s="4093">
        <v>1</v>
      </c>
      <c r="I111" s="4093">
        <v>1</v>
      </c>
      <c r="J111" s="15718">
        <v>1</v>
      </c>
      <c r="K111" s="15720" t="s">
        <v>1439</v>
      </c>
      <c r="L111" s="4437" t="s">
        <v>86</v>
      </c>
      <c r="M111" s="2736" t="s">
        <v>422</v>
      </c>
      <c r="N111" s="4094"/>
      <c r="O111" s="4095">
        <v>9000000</v>
      </c>
      <c r="P111" s="4095">
        <v>9270000</v>
      </c>
      <c r="Q111" s="4095">
        <v>9548100</v>
      </c>
      <c r="R111" s="4095">
        <v>18540000</v>
      </c>
      <c r="S111" s="4095">
        <v>19096200</v>
      </c>
      <c r="T111" s="4095">
        <v>19669086</v>
      </c>
      <c r="U111" s="4095">
        <v>20259158.580000002</v>
      </c>
      <c r="V111" s="4095">
        <v>20866933.337400004</v>
      </c>
      <c r="W111" s="4095">
        <v>21492941.337522004</v>
      </c>
      <c r="X111" s="4095">
        <v>22137729.577647664</v>
      </c>
      <c r="Y111" s="4095">
        <v>22801861.464977093</v>
      </c>
      <c r="Z111" s="4095">
        <v>192682010.29754674</v>
      </c>
      <c r="AA111" s="4153" t="s">
        <v>1732</v>
      </c>
      <c r="AB111" s="4153" t="s">
        <v>2951</v>
      </c>
      <c r="AC111" s="4153" t="s">
        <v>2951</v>
      </c>
      <c r="AD111" s="1962" t="s">
        <v>3569</v>
      </c>
      <c r="AE111" s="1709"/>
      <c r="AF111" s="1709"/>
      <c r="AG111" s="1709"/>
      <c r="AH111" s="1709"/>
      <c r="AI111" s="1709"/>
      <c r="AJ111" s="1709"/>
      <c r="AK111" s="1709"/>
      <c r="AL111" s="1709"/>
      <c r="AM111" s="1709"/>
      <c r="AN111" s="1709"/>
      <c r="AO111" s="1709"/>
      <c r="AP111" s="1709"/>
      <c r="AQ111" s="1709"/>
      <c r="AR111" s="1709"/>
      <c r="AS111" s="1709"/>
      <c r="AT111" s="1709"/>
      <c r="AU111" s="1709"/>
      <c r="AV111" s="1709"/>
      <c r="AW111" s="1709"/>
      <c r="AX111" s="1709"/>
      <c r="AY111" s="1709"/>
      <c r="AZ111" s="1709"/>
      <c r="BA111" s="1709"/>
      <c r="BB111" s="1709"/>
      <c r="BC111" s="1709"/>
      <c r="BD111" s="1709"/>
      <c r="BE111" s="1709"/>
      <c r="BF111" s="1709"/>
      <c r="BG111" s="1709"/>
      <c r="BH111" s="1709"/>
      <c r="BI111" s="2711"/>
      <c r="BJ111" s="2711"/>
      <c r="BK111" s="2711"/>
      <c r="BL111" s="2711"/>
      <c r="BM111" s="2711"/>
      <c r="BN111" s="2711"/>
      <c r="BO111" s="2711"/>
      <c r="BP111" s="2711"/>
      <c r="BQ111" s="2711"/>
      <c r="BR111" s="3223"/>
      <c r="BS111" s="3922" t="s">
        <v>3781</v>
      </c>
      <c r="BT111" s="4096" t="s">
        <v>3781</v>
      </c>
      <c r="BU111" s="2725" t="s">
        <v>3781</v>
      </c>
      <c r="BV111" s="3219" t="s">
        <v>3781</v>
      </c>
      <c r="BW111" s="15846"/>
      <c r="BX111" s="4086"/>
      <c r="BY111" s="3922"/>
      <c r="BZ111" s="3922"/>
      <c r="CA111" s="4087"/>
      <c r="CB111" s="4087"/>
      <c r="CC111" s="4087"/>
      <c r="CD111" s="4087"/>
      <c r="CE111" s="4088"/>
      <c r="CF111" s="4088"/>
      <c r="CG111" s="4088"/>
      <c r="CH111" s="4088"/>
      <c r="CI111" s="4088"/>
      <c r="CJ111" s="4088"/>
      <c r="CK111" s="4088"/>
      <c r="CL111" s="4088"/>
      <c r="CM111" s="4088"/>
      <c r="CN111" s="4088"/>
      <c r="CO111" s="4088"/>
      <c r="CP111" s="4088"/>
      <c r="CQ111" s="4088"/>
      <c r="CR111" s="4088"/>
      <c r="CS111" s="4088"/>
      <c r="CT111" s="4088"/>
      <c r="CU111" s="4088"/>
      <c r="CV111" s="4088"/>
      <c r="CW111" s="4088"/>
      <c r="CX111" s="4088"/>
      <c r="CY111" s="4088"/>
      <c r="CZ111" s="4088"/>
      <c r="DA111" s="4089"/>
      <c r="DB111" s="4088"/>
      <c r="DC111" s="4088"/>
      <c r="DD111" s="4088"/>
      <c r="DE111" s="4088"/>
      <c r="DF111" s="4088"/>
      <c r="DG111" s="4088"/>
      <c r="DH111" s="4088"/>
      <c r="DI111" s="4088"/>
      <c r="DJ111" s="4088"/>
      <c r="DK111" s="4088"/>
      <c r="DL111" s="4088"/>
      <c r="DM111" s="4088"/>
      <c r="DN111" s="4286"/>
      <c r="DO111" s="1833"/>
      <c r="DP111" s="4456"/>
      <c r="DQ111" s="4448"/>
      <c r="DR111" s="4448"/>
      <c r="DS111" s="4448"/>
      <c r="DT111" s="3224"/>
      <c r="DU111" s="3224"/>
      <c r="DV111" s="3224"/>
      <c r="DW111" s="3224"/>
      <c r="DX111" s="3224"/>
      <c r="DY111" s="3224"/>
      <c r="DZ111" s="3224"/>
      <c r="EA111" s="3224"/>
      <c r="EB111" s="3224"/>
      <c r="EC111" s="3224"/>
      <c r="ED111" s="3224"/>
      <c r="EE111" s="3224"/>
      <c r="EF111" s="3224"/>
      <c r="EG111" s="3224"/>
      <c r="EH111" s="3224"/>
      <c r="EI111" s="3224"/>
      <c r="EJ111" s="3224"/>
      <c r="EK111" s="3224"/>
      <c r="EL111" s="3224"/>
      <c r="EM111" s="3224"/>
      <c r="EN111" s="3224"/>
      <c r="EO111" s="3224"/>
      <c r="EP111" s="3224"/>
      <c r="EQ111" s="3224"/>
      <c r="ER111" s="3224"/>
      <c r="ES111" s="3224"/>
      <c r="ET111" s="3224"/>
      <c r="EU111" s="3224"/>
      <c r="EV111" s="3224"/>
      <c r="EW111" s="3224"/>
      <c r="EX111" s="3224"/>
      <c r="EY111" s="3224"/>
      <c r="EZ111" s="3224"/>
      <c r="FA111" s="3224"/>
      <c r="FB111" s="3224"/>
      <c r="FC111" s="3224"/>
      <c r="FD111" s="3224"/>
      <c r="FE111" s="3224"/>
      <c r="FF111" s="3224"/>
      <c r="FG111" s="3224"/>
      <c r="FH111" s="3224"/>
      <c r="FI111" s="2057"/>
    </row>
    <row r="112" spans="1:165" s="1834" customFormat="1" ht="15" customHeight="1">
      <c r="A112" s="15792"/>
      <c r="B112" s="15795"/>
      <c r="C112" s="15795"/>
      <c r="D112" s="15692"/>
      <c r="E112" s="15717"/>
      <c r="F112" s="15717"/>
      <c r="G112" s="4092"/>
      <c r="H112" s="4093"/>
      <c r="I112" s="4093"/>
      <c r="J112" s="15719"/>
      <c r="K112" s="15721"/>
      <c r="L112" s="4437" t="s">
        <v>10204</v>
      </c>
      <c r="M112" s="2736"/>
      <c r="N112" s="4094" t="s">
        <v>1440</v>
      </c>
      <c r="O112" s="4095"/>
      <c r="P112" s="4095"/>
      <c r="Q112" s="4095"/>
      <c r="R112" s="4095"/>
      <c r="S112" s="4095"/>
      <c r="T112" s="4095"/>
      <c r="U112" s="4095"/>
      <c r="V112" s="4095"/>
      <c r="W112" s="4095"/>
      <c r="X112" s="4095"/>
      <c r="Y112" s="4095"/>
      <c r="Z112" s="4095"/>
      <c r="AA112" s="4153"/>
      <c r="AB112" s="4153"/>
      <c r="AC112" s="4153"/>
      <c r="AD112" s="1962"/>
      <c r="AE112" s="1709"/>
      <c r="AF112" s="1709"/>
      <c r="AG112" s="1709"/>
      <c r="AH112" s="1709"/>
      <c r="AI112" s="1709"/>
      <c r="AJ112" s="1709"/>
      <c r="AK112" s="1709"/>
      <c r="AL112" s="1709"/>
      <c r="AM112" s="1709"/>
      <c r="AN112" s="1709"/>
      <c r="AO112" s="1709"/>
      <c r="AP112" s="1709"/>
      <c r="AQ112" s="1709"/>
      <c r="AR112" s="1709"/>
      <c r="AS112" s="1709"/>
      <c r="AT112" s="1709"/>
      <c r="AU112" s="1709"/>
      <c r="AV112" s="1709"/>
      <c r="AW112" s="1709"/>
      <c r="AX112" s="1709"/>
      <c r="AY112" s="1709"/>
      <c r="AZ112" s="1709"/>
      <c r="BA112" s="1709"/>
      <c r="BB112" s="1709"/>
      <c r="BC112" s="1709"/>
      <c r="BD112" s="1709"/>
      <c r="BE112" s="1709"/>
      <c r="BF112" s="1709"/>
      <c r="BG112" s="1709"/>
      <c r="BH112" s="1709"/>
      <c r="BI112" s="2711"/>
      <c r="BJ112" s="2711"/>
      <c r="BK112" s="2711"/>
      <c r="BL112" s="2711"/>
      <c r="BM112" s="2711"/>
      <c r="BN112" s="2711"/>
      <c r="BO112" s="2711"/>
      <c r="BP112" s="2711"/>
      <c r="BQ112" s="2711"/>
      <c r="BR112" s="3223"/>
      <c r="BS112" s="3922"/>
      <c r="BT112" s="4096"/>
      <c r="BU112" s="2725"/>
      <c r="BV112" s="3219"/>
      <c r="BW112" s="15846"/>
      <c r="BX112" s="4086"/>
      <c r="BY112" s="3922"/>
      <c r="BZ112" s="3922"/>
      <c r="CA112" s="4087"/>
      <c r="CB112" s="4087"/>
      <c r="CC112" s="4087"/>
      <c r="CD112" s="4087"/>
      <c r="CE112" s="4088"/>
      <c r="CF112" s="4088"/>
      <c r="CG112" s="4088"/>
      <c r="CH112" s="4088"/>
      <c r="CI112" s="4088"/>
      <c r="CJ112" s="4088"/>
      <c r="CK112" s="4088"/>
      <c r="CL112" s="4088"/>
      <c r="CM112" s="4088"/>
      <c r="CN112" s="4088"/>
      <c r="CO112" s="4088"/>
      <c r="CP112" s="4088"/>
      <c r="CQ112" s="4088"/>
      <c r="CR112" s="4088"/>
      <c r="CS112" s="4088"/>
      <c r="CT112" s="4088"/>
      <c r="CU112" s="4088"/>
      <c r="CV112" s="4088"/>
      <c r="CW112" s="4088"/>
      <c r="CX112" s="4088"/>
      <c r="CY112" s="4088"/>
      <c r="CZ112" s="4088"/>
      <c r="DA112" s="4089"/>
      <c r="DB112" s="4088"/>
      <c r="DC112" s="4088"/>
      <c r="DD112" s="4088"/>
      <c r="DE112" s="4088"/>
      <c r="DF112" s="4088"/>
      <c r="DG112" s="4088"/>
      <c r="DH112" s="4088"/>
      <c r="DI112" s="4088"/>
      <c r="DJ112" s="4088"/>
      <c r="DK112" s="4088"/>
      <c r="DL112" s="4088"/>
      <c r="DM112" s="4088"/>
      <c r="DN112" s="4286"/>
      <c r="DO112" s="1833"/>
      <c r="DP112" s="4456"/>
      <c r="DQ112" s="4448"/>
      <c r="DR112" s="4448"/>
      <c r="DS112" s="4448"/>
      <c r="DT112" s="3224"/>
      <c r="DU112" s="3224"/>
      <c r="DV112" s="3224"/>
      <c r="DW112" s="3224"/>
      <c r="DX112" s="3224"/>
      <c r="DY112" s="3224"/>
      <c r="DZ112" s="3224"/>
      <c r="EA112" s="3224"/>
      <c r="EB112" s="3224"/>
      <c r="EC112" s="3224"/>
      <c r="ED112" s="3224"/>
      <c r="EE112" s="3224"/>
      <c r="EF112" s="3224"/>
      <c r="EG112" s="3224"/>
      <c r="EH112" s="3224"/>
      <c r="EI112" s="3224"/>
      <c r="EJ112" s="3224"/>
      <c r="EK112" s="3224"/>
      <c r="EL112" s="3224"/>
      <c r="EM112" s="3224"/>
      <c r="EN112" s="3224"/>
      <c r="EO112" s="3224"/>
      <c r="EP112" s="3224"/>
      <c r="EQ112" s="3224"/>
      <c r="ER112" s="3224"/>
      <c r="ES112" s="3224"/>
      <c r="ET112" s="3224"/>
      <c r="EU112" s="3224"/>
      <c r="EV112" s="3224"/>
      <c r="EW112" s="3224"/>
      <c r="EX112" s="3224"/>
      <c r="EY112" s="3224"/>
      <c r="EZ112" s="3224"/>
      <c r="FA112" s="3224"/>
      <c r="FB112" s="3224"/>
      <c r="FC112" s="3224"/>
      <c r="FD112" s="3224"/>
      <c r="FE112" s="3224"/>
      <c r="FF112" s="3224"/>
      <c r="FG112" s="3224"/>
      <c r="FH112" s="3224"/>
      <c r="FI112" s="2057"/>
    </row>
    <row r="113" spans="1:165" s="1834" customFormat="1" ht="15" customHeight="1">
      <c r="A113" s="15792"/>
      <c r="B113" s="15795"/>
      <c r="C113" s="15795"/>
      <c r="D113" s="3873" t="s">
        <v>7887</v>
      </c>
      <c r="E113" s="4152" t="s">
        <v>4923</v>
      </c>
      <c r="F113" s="4092" t="s">
        <v>1442</v>
      </c>
      <c r="G113" s="4092" t="s">
        <v>70</v>
      </c>
      <c r="H113" s="4093">
        <v>1</v>
      </c>
      <c r="I113" s="4093">
        <v>1</v>
      </c>
      <c r="J113" s="4093">
        <v>1</v>
      </c>
      <c r="K113" s="2736" t="s">
        <v>1443</v>
      </c>
      <c r="L113" s="4437" t="s">
        <v>86</v>
      </c>
      <c r="M113" s="2736" t="s">
        <v>422</v>
      </c>
      <c r="N113" s="4094"/>
      <c r="O113" s="4095">
        <v>10000000</v>
      </c>
      <c r="P113" s="4095">
        <v>10300000</v>
      </c>
      <c r="Q113" s="4095">
        <v>10609000</v>
      </c>
      <c r="R113" s="4095">
        <v>10927270</v>
      </c>
      <c r="S113" s="4095">
        <v>11255088.1</v>
      </c>
      <c r="T113" s="4095">
        <v>11592740.743000001</v>
      </c>
      <c r="U113" s="4095">
        <v>11940522.965290001</v>
      </c>
      <c r="V113" s="4095">
        <v>12298738.654248701</v>
      </c>
      <c r="W113" s="4095">
        <v>12667700.813876163</v>
      </c>
      <c r="X113" s="4095">
        <v>13047731.838292448</v>
      </c>
      <c r="Y113" s="4095">
        <v>13439163.793441221</v>
      </c>
      <c r="Z113" s="4095">
        <v>128077956.90814854</v>
      </c>
      <c r="AA113" s="4153" t="s">
        <v>1732</v>
      </c>
      <c r="AB113" s="4153" t="s">
        <v>2951</v>
      </c>
      <c r="AC113" s="4153" t="s">
        <v>2951</v>
      </c>
      <c r="AD113" s="1962" t="s">
        <v>3569</v>
      </c>
      <c r="AE113" s="1709"/>
      <c r="AF113" s="1709"/>
      <c r="AG113" s="1709"/>
      <c r="AH113" s="1709"/>
      <c r="AI113" s="1709"/>
      <c r="AJ113" s="1709"/>
      <c r="AK113" s="1709"/>
      <c r="AL113" s="1709"/>
      <c r="AM113" s="1709"/>
      <c r="AN113" s="1709"/>
      <c r="AO113" s="1709"/>
      <c r="AP113" s="1709"/>
      <c r="AQ113" s="1709"/>
      <c r="AR113" s="1709"/>
      <c r="AS113" s="1709"/>
      <c r="AT113" s="1709"/>
      <c r="AU113" s="1709"/>
      <c r="AV113" s="1709"/>
      <c r="AW113" s="1709"/>
      <c r="AX113" s="1709"/>
      <c r="AY113" s="1709"/>
      <c r="AZ113" s="1709"/>
      <c r="BA113" s="1709"/>
      <c r="BB113" s="1709"/>
      <c r="BC113" s="1709"/>
      <c r="BD113" s="1709"/>
      <c r="BE113" s="1709"/>
      <c r="BF113" s="1709"/>
      <c r="BG113" s="1709"/>
      <c r="BH113" s="1709"/>
      <c r="BI113" s="2711"/>
      <c r="BJ113" s="2711"/>
      <c r="BK113" s="2711"/>
      <c r="BL113" s="2711"/>
      <c r="BM113" s="2711"/>
      <c r="BN113" s="2711"/>
      <c r="BO113" s="2711"/>
      <c r="BP113" s="2711"/>
      <c r="BQ113" s="2711"/>
      <c r="BR113" s="3223"/>
      <c r="BS113" s="3922" t="s">
        <v>3781</v>
      </c>
      <c r="BT113" s="4096" t="s">
        <v>3781</v>
      </c>
      <c r="BU113" s="2725" t="s">
        <v>3781</v>
      </c>
      <c r="BV113" s="3219" t="s">
        <v>3781</v>
      </c>
      <c r="BW113" s="15846"/>
      <c r="BX113" s="4086"/>
      <c r="BY113" s="3922"/>
      <c r="BZ113" s="3922"/>
      <c r="CA113" s="4087"/>
      <c r="CB113" s="4087"/>
      <c r="CC113" s="4087"/>
      <c r="CD113" s="4087"/>
      <c r="CE113" s="4088"/>
      <c r="CF113" s="4088"/>
      <c r="CG113" s="4088"/>
      <c r="CH113" s="4088"/>
      <c r="CI113" s="4088"/>
      <c r="CJ113" s="4088"/>
      <c r="CK113" s="4088"/>
      <c r="CL113" s="4088"/>
      <c r="CM113" s="4088"/>
      <c r="CN113" s="4088"/>
      <c r="CO113" s="4088"/>
      <c r="CP113" s="4088"/>
      <c r="CQ113" s="4088"/>
      <c r="CR113" s="4088"/>
      <c r="CS113" s="4088"/>
      <c r="CT113" s="4088"/>
      <c r="CU113" s="4088"/>
      <c r="CV113" s="4088"/>
      <c r="CW113" s="4088"/>
      <c r="CX113" s="4088"/>
      <c r="CY113" s="4088"/>
      <c r="CZ113" s="4088"/>
      <c r="DA113" s="4089"/>
      <c r="DB113" s="4088"/>
      <c r="DC113" s="4088"/>
      <c r="DD113" s="4088"/>
      <c r="DE113" s="4088"/>
      <c r="DF113" s="4088"/>
      <c r="DG113" s="4088"/>
      <c r="DH113" s="4088"/>
      <c r="DI113" s="4088"/>
      <c r="DJ113" s="4088"/>
      <c r="DK113" s="4088"/>
      <c r="DL113" s="4088"/>
      <c r="DM113" s="4088"/>
      <c r="DN113" s="4286"/>
      <c r="DO113" s="1833"/>
      <c r="DP113" s="4456"/>
      <c r="DQ113" s="4448"/>
      <c r="DR113" s="4448"/>
      <c r="DS113" s="4448"/>
      <c r="DT113" s="3224"/>
      <c r="DU113" s="3224"/>
      <c r="DV113" s="3224"/>
      <c r="DW113" s="3224"/>
      <c r="DX113" s="3224"/>
      <c r="DY113" s="3224"/>
      <c r="DZ113" s="3224"/>
      <c r="EA113" s="3224"/>
      <c r="EB113" s="3224"/>
      <c r="EC113" s="3224"/>
      <c r="ED113" s="3224"/>
      <c r="EE113" s="3224"/>
      <c r="EF113" s="3224"/>
      <c r="EG113" s="3224"/>
      <c r="EH113" s="3224"/>
      <c r="EI113" s="3224"/>
      <c r="EJ113" s="3224"/>
      <c r="EK113" s="3224"/>
      <c r="EL113" s="3224"/>
      <c r="EM113" s="3224"/>
      <c r="EN113" s="3224"/>
      <c r="EO113" s="3224"/>
      <c r="EP113" s="3224"/>
      <c r="EQ113" s="3224"/>
      <c r="ER113" s="3224"/>
      <c r="ES113" s="3224"/>
      <c r="ET113" s="3224"/>
      <c r="EU113" s="3224"/>
      <c r="EV113" s="3224"/>
      <c r="EW113" s="3224"/>
      <c r="EX113" s="3224"/>
      <c r="EY113" s="3224"/>
      <c r="EZ113" s="3224"/>
      <c r="FA113" s="3224"/>
      <c r="FB113" s="3224"/>
      <c r="FC113" s="3224"/>
      <c r="FD113" s="3224"/>
      <c r="FE113" s="3224"/>
      <c r="FF113" s="3224"/>
      <c r="FG113" s="3224"/>
      <c r="FH113" s="3224"/>
      <c r="FI113" s="2057"/>
    </row>
    <row r="114" spans="1:165" s="1834" customFormat="1" ht="15" customHeight="1">
      <c r="A114" s="15792"/>
      <c r="B114" s="15795"/>
      <c r="C114" s="15795" t="s">
        <v>1444</v>
      </c>
      <c r="D114" s="3873" t="s">
        <v>7888</v>
      </c>
      <c r="E114" s="4152" t="s">
        <v>4924</v>
      </c>
      <c r="F114" s="4092" t="s">
        <v>95</v>
      </c>
      <c r="G114" s="4092" t="s">
        <v>70</v>
      </c>
      <c r="H114" s="2736">
        <v>1</v>
      </c>
      <c r="I114" s="4093">
        <v>2</v>
      </c>
      <c r="J114" s="4093">
        <v>2</v>
      </c>
      <c r="K114" s="2736" t="s">
        <v>1445</v>
      </c>
      <c r="L114" s="4437" t="s">
        <v>86</v>
      </c>
      <c r="M114" s="2736" t="s">
        <v>422</v>
      </c>
      <c r="N114" s="4094"/>
      <c r="O114" s="4095">
        <v>30000000</v>
      </c>
      <c r="P114" s="4095">
        <v>30900000</v>
      </c>
      <c r="Q114" s="4095">
        <v>31827000</v>
      </c>
      <c r="R114" s="4095">
        <v>32781810</v>
      </c>
      <c r="S114" s="4095">
        <v>33765264.300000004</v>
      </c>
      <c r="T114" s="4095">
        <v>34778222.229000002</v>
      </c>
      <c r="U114" s="4095">
        <v>35821568.89587</v>
      </c>
      <c r="V114" s="4095">
        <v>36896215.962746099</v>
      </c>
      <c r="W114" s="4095">
        <v>38003102.441628486</v>
      </c>
      <c r="X114" s="4095">
        <v>39143195.514877342</v>
      </c>
      <c r="Y114" s="4095">
        <v>40317491.380323663</v>
      </c>
      <c r="Z114" s="4095">
        <v>384233870.72444558</v>
      </c>
      <c r="AA114" s="2705">
        <v>1</v>
      </c>
      <c r="AB114" s="2725" t="s">
        <v>3571</v>
      </c>
      <c r="AC114" s="2725" t="s">
        <v>3572</v>
      </c>
      <c r="AD114" s="3221"/>
      <c r="AE114" s="3445">
        <v>2426000</v>
      </c>
      <c r="AF114" s="3221"/>
      <c r="AG114" s="3445">
        <v>2426000</v>
      </c>
      <c r="AH114" s="3221"/>
      <c r="AI114" s="3221">
        <v>183</v>
      </c>
      <c r="AJ114" s="3221">
        <v>95</v>
      </c>
      <c r="AK114" s="3221">
        <v>88</v>
      </c>
      <c r="AL114" s="3221">
        <v>106</v>
      </c>
      <c r="AM114" s="3221">
        <v>77</v>
      </c>
      <c r="AN114" s="3221">
        <v>30</v>
      </c>
      <c r="AO114" s="3221">
        <v>46</v>
      </c>
      <c r="AP114" s="3221">
        <v>36</v>
      </c>
      <c r="AQ114" s="3221">
        <v>71</v>
      </c>
      <c r="AR114" s="3221"/>
      <c r="AS114" s="3221"/>
      <c r="AT114" s="3221"/>
      <c r="AU114" s="3221"/>
      <c r="AV114" s="3221"/>
      <c r="AW114" s="3221"/>
      <c r="AX114" s="3221"/>
      <c r="AY114" s="3221"/>
      <c r="AZ114" s="3221"/>
      <c r="BA114" s="3221"/>
      <c r="BB114" s="3221"/>
      <c r="BC114" s="3221"/>
      <c r="BD114" s="3221"/>
      <c r="BE114" s="3221">
        <v>183</v>
      </c>
      <c r="BF114" s="3221"/>
      <c r="BG114" s="3221"/>
      <c r="BH114" s="3221"/>
      <c r="BI114" s="3224"/>
      <c r="BJ114" s="3224"/>
      <c r="BK114" s="3224"/>
      <c r="BL114" s="3224"/>
      <c r="BM114" s="3224"/>
      <c r="BN114" s="3224"/>
      <c r="BO114" s="3224"/>
      <c r="BP114" s="3224"/>
      <c r="BQ114" s="3224"/>
      <c r="BR114" s="2057"/>
      <c r="BS114" s="4100">
        <v>2</v>
      </c>
      <c r="BT114" s="4096">
        <v>2</v>
      </c>
      <c r="BU114" s="3221">
        <v>2</v>
      </c>
      <c r="BV114" s="3219">
        <v>1</v>
      </c>
      <c r="BW114" s="15846"/>
      <c r="BX114" s="4101" t="s">
        <v>8915</v>
      </c>
      <c r="BY114" s="4100" t="s">
        <v>3572</v>
      </c>
      <c r="BZ114" s="4100"/>
      <c r="CA114" s="4102">
        <v>2426000</v>
      </c>
      <c r="CB114" s="4102"/>
      <c r="CC114" s="4102">
        <v>2426000</v>
      </c>
      <c r="CD114" s="4102"/>
      <c r="CE114" s="4103">
        <v>183</v>
      </c>
      <c r="CF114" s="4103">
        <v>95</v>
      </c>
      <c r="CG114" s="4103">
        <v>88</v>
      </c>
      <c r="CH114" s="4103">
        <v>106</v>
      </c>
      <c r="CI114" s="4103">
        <v>77</v>
      </c>
      <c r="CJ114" s="4103">
        <v>30</v>
      </c>
      <c r="CK114" s="4103">
        <v>46</v>
      </c>
      <c r="CL114" s="4103">
        <v>36</v>
      </c>
      <c r="CM114" s="4103">
        <v>71</v>
      </c>
      <c r="CN114" s="4103"/>
      <c r="CO114" s="4103"/>
      <c r="CP114" s="4103"/>
      <c r="CQ114" s="4103"/>
      <c r="CR114" s="4103"/>
      <c r="CS114" s="4103"/>
      <c r="CT114" s="4103"/>
      <c r="CU114" s="4103"/>
      <c r="CV114" s="4103"/>
      <c r="CW114" s="4103"/>
      <c r="CX114" s="4103"/>
      <c r="CY114" s="4103"/>
      <c r="CZ114" s="4103"/>
      <c r="DA114" s="4104">
        <v>183</v>
      </c>
      <c r="DB114" s="4103"/>
      <c r="DC114" s="4103"/>
      <c r="DD114" s="4103"/>
      <c r="DE114" s="4103"/>
      <c r="DF114" s="4103"/>
      <c r="DG114" s="4103"/>
      <c r="DH114" s="4103"/>
      <c r="DI114" s="4103"/>
      <c r="DJ114" s="4103"/>
      <c r="DK114" s="4103"/>
      <c r="DL114" s="4103"/>
      <c r="DM114" s="4103"/>
      <c r="DN114" s="4289"/>
      <c r="DO114" s="1833"/>
      <c r="DP114" s="4456"/>
      <c r="DQ114" s="4448"/>
      <c r="DR114" s="4448"/>
      <c r="DS114" s="4448"/>
      <c r="DT114" s="3224"/>
      <c r="DU114" s="3224"/>
      <c r="DV114" s="3224"/>
      <c r="DW114" s="3224"/>
      <c r="DX114" s="3224"/>
      <c r="DY114" s="3224"/>
      <c r="DZ114" s="3224"/>
      <c r="EA114" s="3224"/>
      <c r="EB114" s="3224"/>
      <c r="EC114" s="3224"/>
      <c r="ED114" s="3224"/>
      <c r="EE114" s="3224"/>
      <c r="EF114" s="3224"/>
      <c r="EG114" s="3224"/>
      <c r="EH114" s="3224"/>
      <c r="EI114" s="3224"/>
      <c r="EJ114" s="3224"/>
      <c r="EK114" s="3224"/>
      <c r="EL114" s="3224"/>
      <c r="EM114" s="3224"/>
      <c r="EN114" s="3224"/>
      <c r="EO114" s="3224"/>
      <c r="EP114" s="3224"/>
      <c r="EQ114" s="3224"/>
      <c r="ER114" s="3224"/>
      <c r="ES114" s="3224"/>
      <c r="ET114" s="3224"/>
      <c r="EU114" s="3224"/>
      <c r="EV114" s="3224"/>
      <c r="EW114" s="3224"/>
      <c r="EX114" s="3224"/>
      <c r="EY114" s="3224"/>
      <c r="EZ114" s="3224"/>
      <c r="FA114" s="3224"/>
      <c r="FB114" s="3224"/>
      <c r="FC114" s="3224"/>
      <c r="FD114" s="3224"/>
      <c r="FE114" s="3224"/>
      <c r="FF114" s="3224"/>
      <c r="FG114" s="3224"/>
      <c r="FH114" s="3224"/>
      <c r="FI114" s="2057"/>
    </row>
    <row r="115" spans="1:165" s="1834" customFormat="1" ht="15" customHeight="1">
      <c r="A115" s="15792"/>
      <c r="B115" s="15795"/>
      <c r="C115" s="15795"/>
      <c r="D115" s="15715" t="s">
        <v>7889</v>
      </c>
      <c r="E115" s="15716" t="s">
        <v>4925</v>
      </c>
      <c r="F115" s="15716" t="s">
        <v>95</v>
      </c>
      <c r="G115" s="4092" t="s">
        <v>70</v>
      </c>
      <c r="H115" s="2736">
        <v>1</v>
      </c>
      <c r="I115" s="2736">
        <v>2</v>
      </c>
      <c r="J115" s="15720">
        <v>2</v>
      </c>
      <c r="K115" s="15720" t="s">
        <v>138</v>
      </c>
      <c r="L115" s="4437" t="s">
        <v>86</v>
      </c>
      <c r="M115" s="2736" t="s">
        <v>422</v>
      </c>
      <c r="N115" s="4094" t="s">
        <v>1446</v>
      </c>
      <c r="O115" s="4095">
        <v>20000000</v>
      </c>
      <c r="P115" s="4095">
        <v>20600000</v>
      </c>
      <c r="Q115" s="4095">
        <v>21218000</v>
      </c>
      <c r="R115" s="4095">
        <v>43709080</v>
      </c>
      <c r="S115" s="4095">
        <v>45020352.399999999</v>
      </c>
      <c r="T115" s="4095">
        <v>46370962.972000003</v>
      </c>
      <c r="U115" s="4095">
        <v>47762091.861160003</v>
      </c>
      <c r="V115" s="4095">
        <v>49194954.616994806</v>
      </c>
      <c r="W115" s="4095">
        <v>50670803.255504653</v>
      </c>
      <c r="X115" s="4095">
        <v>52190927.353169791</v>
      </c>
      <c r="Y115" s="4095">
        <v>53756655.173764884</v>
      </c>
      <c r="Z115" s="4095">
        <v>450493827.63259417</v>
      </c>
      <c r="AA115" s="2705">
        <v>1</v>
      </c>
      <c r="AB115" s="2725" t="s">
        <v>3573</v>
      </c>
      <c r="AC115" s="2725" t="s">
        <v>3572</v>
      </c>
      <c r="AD115" s="3221"/>
      <c r="AE115" s="3445">
        <v>18320000</v>
      </c>
      <c r="AF115" s="3221"/>
      <c r="AG115" s="3445">
        <v>18320000</v>
      </c>
      <c r="AH115" s="3221"/>
      <c r="AI115" s="3221">
        <v>916</v>
      </c>
      <c r="AJ115" s="3221">
        <v>485</v>
      </c>
      <c r="AK115" s="3221">
        <v>431</v>
      </c>
      <c r="AL115" s="3221">
        <v>608</v>
      </c>
      <c r="AM115" s="3221">
        <v>308</v>
      </c>
      <c r="AN115" s="3221">
        <v>168</v>
      </c>
      <c r="AO115" s="3221">
        <v>326</v>
      </c>
      <c r="AP115" s="3221">
        <v>305</v>
      </c>
      <c r="AQ115" s="3221">
        <v>93</v>
      </c>
      <c r="AR115" s="3221">
        <v>17</v>
      </c>
      <c r="AS115" s="3221">
        <v>4</v>
      </c>
      <c r="AT115" s="3221">
        <v>3</v>
      </c>
      <c r="AU115" s="3221">
        <v>584</v>
      </c>
      <c r="AV115" s="3221">
        <v>12</v>
      </c>
      <c r="AW115" s="3221">
        <v>103</v>
      </c>
      <c r="AX115" s="3221">
        <v>15</v>
      </c>
      <c r="AY115" s="3221">
        <v>8</v>
      </c>
      <c r="AZ115" s="3221">
        <v>3</v>
      </c>
      <c r="BA115" s="3221">
        <v>5</v>
      </c>
      <c r="BB115" s="3221">
        <v>3</v>
      </c>
      <c r="BC115" s="3221"/>
      <c r="BD115" s="3221"/>
      <c r="BE115" s="3221">
        <v>916</v>
      </c>
      <c r="BF115" s="3221"/>
      <c r="BG115" s="3221"/>
      <c r="BH115" s="3221"/>
      <c r="BI115" s="3224"/>
      <c r="BJ115" s="3224"/>
      <c r="BK115" s="3224"/>
      <c r="BL115" s="3224"/>
      <c r="BM115" s="3224"/>
      <c r="BN115" s="3224"/>
      <c r="BO115" s="3224"/>
      <c r="BP115" s="3224"/>
      <c r="BQ115" s="3224"/>
      <c r="BR115" s="2057"/>
      <c r="BS115" s="4100">
        <v>2</v>
      </c>
      <c r="BT115" s="4096">
        <v>2</v>
      </c>
      <c r="BU115" s="2725">
        <v>2</v>
      </c>
      <c r="BV115" s="3219">
        <v>1</v>
      </c>
      <c r="BW115" s="15846"/>
      <c r="BX115" s="4101" t="s">
        <v>3573</v>
      </c>
      <c r="BY115" s="4100" t="s">
        <v>3572</v>
      </c>
      <c r="BZ115" s="4100"/>
      <c r="CA115" s="4102">
        <v>18320000</v>
      </c>
      <c r="CB115" s="4102"/>
      <c r="CC115" s="4102">
        <v>18320000</v>
      </c>
      <c r="CD115" s="4102"/>
      <c r="CE115" s="4103">
        <v>916</v>
      </c>
      <c r="CF115" s="4103">
        <v>485</v>
      </c>
      <c r="CG115" s="4103">
        <v>431</v>
      </c>
      <c r="CH115" s="4103">
        <v>608</v>
      </c>
      <c r="CI115" s="4103">
        <v>308</v>
      </c>
      <c r="CJ115" s="4103">
        <v>168</v>
      </c>
      <c r="CK115" s="4103">
        <v>326</v>
      </c>
      <c r="CL115" s="4103">
        <v>305</v>
      </c>
      <c r="CM115" s="4103">
        <v>93</v>
      </c>
      <c r="CN115" s="4103">
        <v>17</v>
      </c>
      <c r="CO115" s="4103">
        <v>4</v>
      </c>
      <c r="CP115" s="4103">
        <v>3</v>
      </c>
      <c r="CQ115" s="4103">
        <v>584</v>
      </c>
      <c r="CR115" s="4103">
        <v>12</v>
      </c>
      <c r="CS115" s="4103">
        <v>103</v>
      </c>
      <c r="CT115" s="4103">
        <v>15</v>
      </c>
      <c r="CU115" s="4103">
        <v>8</v>
      </c>
      <c r="CV115" s="4103">
        <v>3</v>
      </c>
      <c r="CW115" s="4103">
        <v>5</v>
      </c>
      <c r="CX115" s="4103">
        <v>3</v>
      </c>
      <c r="CY115" s="4103"/>
      <c r="CZ115" s="4103"/>
      <c r="DA115" s="4104">
        <v>916</v>
      </c>
      <c r="DB115" s="4103"/>
      <c r="DC115" s="4103"/>
      <c r="DD115" s="4103"/>
      <c r="DE115" s="4103"/>
      <c r="DF115" s="4103"/>
      <c r="DG115" s="4103"/>
      <c r="DH115" s="4103"/>
      <c r="DI115" s="4103"/>
      <c r="DJ115" s="4103"/>
      <c r="DK115" s="4103"/>
      <c r="DL115" s="4103"/>
      <c r="DM115" s="4103"/>
      <c r="DN115" s="4289"/>
      <c r="DO115" s="1833"/>
      <c r="DP115" s="4456"/>
      <c r="DQ115" s="4448"/>
      <c r="DR115" s="4448"/>
      <c r="DS115" s="4448"/>
      <c r="DT115" s="3224"/>
      <c r="DU115" s="3224"/>
      <c r="DV115" s="3224"/>
      <c r="DW115" s="3224"/>
      <c r="DX115" s="3224"/>
      <c r="DY115" s="3224"/>
      <c r="DZ115" s="3224"/>
      <c r="EA115" s="3224"/>
      <c r="EB115" s="3224"/>
      <c r="EC115" s="3224"/>
      <c r="ED115" s="3224"/>
      <c r="EE115" s="3224"/>
      <c r="EF115" s="3224"/>
      <c r="EG115" s="3224"/>
      <c r="EH115" s="3224"/>
      <c r="EI115" s="3224"/>
      <c r="EJ115" s="3224"/>
      <c r="EK115" s="3224"/>
      <c r="EL115" s="3224"/>
      <c r="EM115" s="3224"/>
      <c r="EN115" s="3224"/>
      <c r="EO115" s="3224"/>
      <c r="EP115" s="3224"/>
      <c r="EQ115" s="3224"/>
      <c r="ER115" s="3224"/>
      <c r="ES115" s="3224"/>
      <c r="ET115" s="3224"/>
      <c r="EU115" s="3224"/>
      <c r="EV115" s="3224"/>
      <c r="EW115" s="3224"/>
      <c r="EX115" s="3224"/>
      <c r="EY115" s="3224"/>
      <c r="EZ115" s="3224"/>
      <c r="FA115" s="3224"/>
      <c r="FB115" s="3224"/>
      <c r="FC115" s="3224"/>
      <c r="FD115" s="3224"/>
      <c r="FE115" s="3224"/>
      <c r="FF115" s="3224"/>
      <c r="FG115" s="3224"/>
      <c r="FH115" s="3224"/>
      <c r="FI115" s="2057"/>
    </row>
    <row r="116" spans="1:165" s="1834" customFormat="1" ht="15" customHeight="1">
      <c r="A116" s="15792"/>
      <c r="B116" s="15795"/>
      <c r="C116" s="15795"/>
      <c r="D116" s="15692"/>
      <c r="E116" s="15717"/>
      <c r="F116" s="15717"/>
      <c r="G116" s="4092"/>
      <c r="H116" s="2736"/>
      <c r="I116" s="2736"/>
      <c r="J116" s="15721"/>
      <c r="K116" s="15721"/>
      <c r="L116" s="4437" t="s">
        <v>8644</v>
      </c>
      <c r="M116" s="2736"/>
      <c r="N116" s="4094" t="s">
        <v>1446</v>
      </c>
      <c r="O116" s="4095"/>
      <c r="P116" s="4095"/>
      <c r="Q116" s="4095"/>
      <c r="R116" s="4095"/>
      <c r="S116" s="4095"/>
      <c r="T116" s="4095"/>
      <c r="U116" s="4095"/>
      <c r="V116" s="4095"/>
      <c r="W116" s="4095"/>
      <c r="X116" s="4095"/>
      <c r="Y116" s="4095"/>
      <c r="Z116" s="4095"/>
      <c r="AA116" s="2705"/>
      <c r="AB116" s="2725"/>
      <c r="AC116" s="2725"/>
      <c r="AD116" s="3221"/>
      <c r="AE116" s="3445"/>
      <c r="AF116" s="3221"/>
      <c r="AG116" s="3445"/>
      <c r="AH116" s="3221"/>
      <c r="AI116" s="3221"/>
      <c r="AJ116" s="3221"/>
      <c r="AK116" s="3221"/>
      <c r="AL116" s="3221"/>
      <c r="AM116" s="3221"/>
      <c r="AN116" s="3221"/>
      <c r="AO116" s="3221"/>
      <c r="AP116" s="3221"/>
      <c r="AQ116" s="3221"/>
      <c r="AR116" s="3221"/>
      <c r="AS116" s="3221"/>
      <c r="AT116" s="3221"/>
      <c r="AU116" s="3221"/>
      <c r="AV116" s="3221"/>
      <c r="AW116" s="3221"/>
      <c r="AX116" s="3221"/>
      <c r="AY116" s="3221"/>
      <c r="AZ116" s="3221"/>
      <c r="BA116" s="3221"/>
      <c r="BB116" s="3221"/>
      <c r="BC116" s="3221"/>
      <c r="BD116" s="3221"/>
      <c r="BE116" s="3221"/>
      <c r="BF116" s="3221"/>
      <c r="BG116" s="3221"/>
      <c r="BH116" s="3221"/>
      <c r="BI116" s="3224"/>
      <c r="BJ116" s="3224"/>
      <c r="BK116" s="3224"/>
      <c r="BL116" s="3224"/>
      <c r="BM116" s="3224"/>
      <c r="BN116" s="3224"/>
      <c r="BO116" s="3224"/>
      <c r="BP116" s="3224"/>
      <c r="BQ116" s="3224"/>
      <c r="BR116" s="2057"/>
      <c r="BS116" s="4100"/>
      <c r="BT116" s="4096"/>
      <c r="BU116" s="2725"/>
      <c r="BV116" s="3219"/>
      <c r="BW116" s="15846"/>
      <c r="BX116" s="4101"/>
      <c r="BY116" s="4100"/>
      <c r="BZ116" s="4100"/>
      <c r="CA116" s="4102"/>
      <c r="CB116" s="4102"/>
      <c r="CC116" s="4102"/>
      <c r="CD116" s="4102"/>
      <c r="CE116" s="4103"/>
      <c r="CF116" s="4103"/>
      <c r="CG116" s="4103"/>
      <c r="CH116" s="4103"/>
      <c r="CI116" s="4103"/>
      <c r="CJ116" s="4103"/>
      <c r="CK116" s="4103"/>
      <c r="CL116" s="4103"/>
      <c r="CM116" s="4103"/>
      <c r="CN116" s="4103"/>
      <c r="CO116" s="4103"/>
      <c r="CP116" s="4103"/>
      <c r="CQ116" s="4103"/>
      <c r="CR116" s="4103"/>
      <c r="CS116" s="4103"/>
      <c r="CT116" s="4103"/>
      <c r="CU116" s="4103"/>
      <c r="CV116" s="4103"/>
      <c r="CW116" s="4103"/>
      <c r="CX116" s="4103"/>
      <c r="CY116" s="4103"/>
      <c r="CZ116" s="4103"/>
      <c r="DA116" s="4104"/>
      <c r="DB116" s="4103"/>
      <c r="DC116" s="4103"/>
      <c r="DD116" s="4103"/>
      <c r="DE116" s="4103"/>
      <c r="DF116" s="4103"/>
      <c r="DG116" s="4103"/>
      <c r="DH116" s="4103"/>
      <c r="DI116" s="4103"/>
      <c r="DJ116" s="4103"/>
      <c r="DK116" s="4103"/>
      <c r="DL116" s="4103"/>
      <c r="DM116" s="4103"/>
      <c r="DN116" s="4289"/>
      <c r="DO116" s="1833"/>
      <c r="DP116" s="4456"/>
      <c r="DQ116" s="4448"/>
      <c r="DR116" s="4448"/>
      <c r="DS116" s="4448"/>
      <c r="DT116" s="3224"/>
      <c r="DU116" s="3224"/>
      <c r="DV116" s="3224"/>
      <c r="DW116" s="3224"/>
      <c r="DX116" s="3224"/>
      <c r="DY116" s="3224"/>
      <c r="DZ116" s="3224"/>
      <c r="EA116" s="3224"/>
      <c r="EB116" s="3224"/>
      <c r="EC116" s="3224"/>
      <c r="ED116" s="3224"/>
      <c r="EE116" s="3224"/>
      <c r="EF116" s="3224"/>
      <c r="EG116" s="3224"/>
      <c r="EH116" s="3224"/>
      <c r="EI116" s="3224"/>
      <c r="EJ116" s="3224"/>
      <c r="EK116" s="3224"/>
      <c r="EL116" s="3224"/>
      <c r="EM116" s="3224"/>
      <c r="EN116" s="3224"/>
      <c r="EO116" s="3224"/>
      <c r="EP116" s="3224"/>
      <c r="EQ116" s="3224"/>
      <c r="ER116" s="3224"/>
      <c r="ES116" s="3224"/>
      <c r="ET116" s="3224"/>
      <c r="EU116" s="3224"/>
      <c r="EV116" s="3224"/>
      <c r="EW116" s="3224"/>
      <c r="EX116" s="3224"/>
      <c r="EY116" s="3224"/>
      <c r="EZ116" s="3224"/>
      <c r="FA116" s="3224"/>
      <c r="FB116" s="3224"/>
      <c r="FC116" s="3224"/>
      <c r="FD116" s="3224"/>
      <c r="FE116" s="3224"/>
      <c r="FF116" s="3224"/>
      <c r="FG116" s="3224"/>
      <c r="FH116" s="3224"/>
      <c r="FI116" s="2057"/>
    </row>
    <row r="117" spans="1:165" s="1834" customFormat="1" ht="15" customHeight="1">
      <c r="A117" s="15792"/>
      <c r="B117" s="15795"/>
      <c r="C117" s="15795"/>
      <c r="D117" s="15715" t="s">
        <v>7890</v>
      </c>
      <c r="E117" s="15716" t="s">
        <v>4926</v>
      </c>
      <c r="F117" s="15716" t="s">
        <v>134</v>
      </c>
      <c r="G117" s="4092" t="s">
        <v>70</v>
      </c>
      <c r="H117" s="4094" t="s">
        <v>1447</v>
      </c>
      <c r="I117" s="4094" t="s">
        <v>1447</v>
      </c>
      <c r="J117" s="15720" t="s">
        <v>1447</v>
      </c>
      <c r="K117" s="15720" t="s">
        <v>138</v>
      </c>
      <c r="L117" s="4437" t="s">
        <v>86</v>
      </c>
      <c r="M117" s="2736" t="s">
        <v>422</v>
      </c>
      <c r="N117" s="4094"/>
      <c r="O117" s="4095">
        <v>40000000</v>
      </c>
      <c r="P117" s="4095">
        <v>41200000</v>
      </c>
      <c r="Q117" s="4095">
        <v>42436000</v>
      </c>
      <c r="R117" s="4095">
        <v>82400000</v>
      </c>
      <c r="S117" s="4095">
        <v>84872000</v>
      </c>
      <c r="T117" s="4095">
        <v>87418160</v>
      </c>
      <c r="U117" s="4095">
        <v>90040704.799999997</v>
      </c>
      <c r="V117" s="4095">
        <v>92741925.944000006</v>
      </c>
      <c r="W117" s="4095">
        <v>95524183.722320005</v>
      </c>
      <c r="X117" s="4095">
        <v>98389909.233989611</v>
      </c>
      <c r="Y117" s="4095">
        <v>101341606.51100931</v>
      </c>
      <c r="Z117" s="4095">
        <v>856364490.21131885</v>
      </c>
      <c r="AA117" s="2705">
        <v>1</v>
      </c>
      <c r="AB117" s="2725" t="s">
        <v>3574</v>
      </c>
      <c r="AC117" s="2725" t="s">
        <v>3575</v>
      </c>
      <c r="AD117" s="3221"/>
      <c r="AE117" s="3445">
        <v>28000000</v>
      </c>
      <c r="AF117" s="3221"/>
      <c r="AG117" s="3445">
        <v>28000000</v>
      </c>
      <c r="AH117" s="3221"/>
      <c r="AI117" s="3221">
        <v>183</v>
      </c>
      <c r="AJ117" s="3221">
        <v>95</v>
      </c>
      <c r="AK117" s="3221">
        <v>88</v>
      </c>
      <c r="AL117" s="3221">
        <v>106</v>
      </c>
      <c r="AM117" s="3221">
        <v>77</v>
      </c>
      <c r="AN117" s="3221">
        <v>30</v>
      </c>
      <c r="AO117" s="3221">
        <v>46</v>
      </c>
      <c r="AP117" s="3221">
        <v>36</v>
      </c>
      <c r="AQ117" s="3221">
        <v>71</v>
      </c>
      <c r="AR117" s="3221"/>
      <c r="AS117" s="3221"/>
      <c r="AT117" s="3221"/>
      <c r="AU117" s="3221"/>
      <c r="AV117" s="3221"/>
      <c r="AW117" s="3221"/>
      <c r="AX117" s="3221"/>
      <c r="AY117" s="3221"/>
      <c r="AZ117" s="3221"/>
      <c r="BA117" s="3221"/>
      <c r="BB117" s="3221"/>
      <c r="BC117" s="3221"/>
      <c r="BD117" s="3221"/>
      <c r="BE117" s="3221">
        <v>183</v>
      </c>
      <c r="BF117" s="3221"/>
      <c r="BG117" s="3221"/>
      <c r="BH117" s="3221"/>
      <c r="BI117" s="3224"/>
      <c r="BJ117" s="3224"/>
      <c r="BK117" s="3224"/>
      <c r="BL117" s="3224"/>
      <c r="BM117" s="3224"/>
      <c r="BN117" s="3224"/>
      <c r="BO117" s="3224"/>
      <c r="BP117" s="3224"/>
      <c r="BQ117" s="3224"/>
      <c r="BR117" s="2057"/>
      <c r="BS117" s="4100">
        <v>7</v>
      </c>
      <c r="BT117" s="4096">
        <v>7</v>
      </c>
      <c r="BU117" s="2725">
        <v>7</v>
      </c>
      <c r="BV117" s="3219">
        <v>1</v>
      </c>
      <c r="BW117" s="15846"/>
      <c r="BX117" s="4101" t="s">
        <v>3574</v>
      </c>
      <c r="BY117" s="4100" t="s">
        <v>3575</v>
      </c>
      <c r="BZ117" s="4100"/>
      <c r="CA117" s="4102">
        <v>28000000</v>
      </c>
      <c r="CB117" s="4102"/>
      <c r="CC117" s="4102">
        <v>28000000</v>
      </c>
      <c r="CD117" s="4102"/>
      <c r="CE117" s="4103" t="s">
        <v>9700</v>
      </c>
      <c r="CF117" s="4103"/>
      <c r="CG117" s="4103"/>
      <c r="CH117" s="4103"/>
      <c r="CI117" s="4103"/>
      <c r="CJ117" s="4103"/>
      <c r="CK117" s="4103"/>
      <c r="CL117" s="4103"/>
      <c r="CM117" s="4103"/>
      <c r="CN117" s="4103"/>
      <c r="CO117" s="4103"/>
      <c r="CP117" s="4103"/>
      <c r="CQ117" s="4103"/>
      <c r="CR117" s="4103"/>
      <c r="CS117" s="4103"/>
      <c r="CT117" s="4103"/>
      <c r="CU117" s="4103"/>
      <c r="CV117" s="4103"/>
      <c r="CW117" s="4103"/>
      <c r="CX117" s="4103"/>
      <c r="CY117" s="4103"/>
      <c r="CZ117" s="4103"/>
      <c r="DA117" s="4104"/>
      <c r="DB117" s="4103"/>
      <c r="DC117" s="4103"/>
      <c r="DD117" s="4103"/>
      <c r="DE117" s="4103"/>
      <c r="DF117" s="4103"/>
      <c r="DG117" s="4103"/>
      <c r="DH117" s="4103"/>
      <c r="DI117" s="4103"/>
      <c r="DJ117" s="4103"/>
      <c r="DK117" s="4103"/>
      <c r="DL117" s="4103"/>
      <c r="DM117" s="4103"/>
      <c r="DN117" s="4289"/>
      <c r="DO117" s="1833"/>
      <c r="DP117" s="4456"/>
      <c r="DQ117" s="4448"/>
      <c r="DR117" s="4448"/>
      <c r="DS117" s="4448"/>
      <c r="DT117" s="3224"/>
      <c r="DU117" s="3224"/>
      <c r="DV117" s="3224"/>
      <c r="DW117" s="3224"/>
      <c r="DX117" s="3224"/>
      <c r="DY117" s="3224"/>
      <c r="DZ117" s="3224"/>
      <c r="EA117" s="3224"/>
      <c r="EB117" s="3224"/>
      <c r="EC117" s="3224"/>
      <c r="ED117" s="3224"/>
      <c r="EE117" s="3224"/>
      <c r="EF117" s="3224"/>
      <c r="EG117" s="3224"/>
      <c r="EH117" s="3224"/>
      <c r="EI117" s="3224"/>
      <c r="EJ117" s="3224"/>
      <c r="EK117" s="3224"/>
      <c r="EL117" s="3224"/>
      <c r="EM117" s="3224"/>
      <c r="EN117" s="3224"/>
      <c r="EO117" s="3224"/>
      <c r="EP117" s="3224"/>
      <c r="EQ117" s="3224"/>
      <c r="ER117" s="3224"/>
      <c r="ES117" s="3224"/>
      <c r="ET117" s="3224"/>
      <c r="EU117" s="3224"/>
      <c r="EV117" s="3224"/>
      <c r="EW117" s="3224"/>
      <c r="EX117" s="3224"/>
      <c r="EY117" s="3224"/>
      <c r="EZ117" s="3224"/>
      <c r="FA117" s="3224"/>
      <c r="FB117" s="3224"/>
      <c r="FC117" s="3224"/>
      <c r="FD117" s="3224"/>
      <c r="FE117" s="3224"/>
      <c r="FF117" s="3224"/>
      <c r="FG117" s="3224"/>
      <c r="FH117" s="3224"/>
      <c r="FI117" s="2057"/>
    </row>
    <row r="118" spans="1:165" s="1834" customFormat="1" ht="15" customHeight="1">
      <c r="A118" s="15792"/>
      <c r="B118" s="15795"/>
      <c r="C118" s="4092"/>
      <c r="D118" s="15692"/>
      <c r="E118" s="15717"/>
      <c r="F118" s="15717"/>
      <c r="G118" s="4092"/>
      <c r="H118" s="4094"/>
      <c r="I118" s="4094"/>
      <c r="J118" s="15721"/>
      <c r="K118" s="15721"/>
      <c r="L118" s="4437" t="s">
        <v>8644</v>
      </c>
      <c r="M118" s="2736"/>
      <c r="N118" s="4094" t="s">
        <v>139</v>
      </c>
      <c r="O118" s="4095"/>
      <c r="P118" s="4095"/>
      <c r="Q118" s="4095"/>
      <c r="R118" s="4095"/>
      <c r="S118" s="4095"/>
      <c r="T118" s="4095"/>
      <c r="U118" s="4095"/>
      <c r="V118" s="4095"/>
      <c r="W118" s="4095"/>
      <c r="X118" s="4095"/>
      <c r="Y118" s="4095"/>
      <c r="Z118" s="4095"/>
      <c r="AA118" s="2705"/>
      <c r="AB118" s="2725"/>
      <c r="AC118" s="2725"/>
      <c r="AD118" s="3221"/>
      <c r="AE118" s="3865"/>
      <c r="AF118" s="3218"/>
      <c r="AG118" s="3865"/>
      <c r="AH118" s="3218"/>
      <c r="AI118" s="3218"/>
      <c r="AJ118" s="3218"/>
      <c r="AK118" s="3218"/>
      <c r="AL118" s="3218"/>
      <c r="AM118" s="3218"/>
      <c r="AN118" s="3218"/>
      <c r="AO118" s="3218"/>
      <c r="AP118" s="3218"/>
      <c r="AQ118" s="3218"/>
      <c r="AR118" s="3218"/>
      <c r="AS118" s="3218"/>
      <c r="AT118" s="3218"/>
      <c r="AU118" s="3218"/>
      <c r="AV118" s="3218"/>
      <c r="AW118" s="3218"/>
      <c r="AX118" s="3218"/>
      <c r="AY118" s="3218"/>
      <c r="AZ118" s="3218"/>
      <c r="BA118" s="3218"/>
      <c r="BB118" s="3218"/>
      <c r="BC118" s="3218"/>
      <c r="BD118" s="3218"/>
      <c r="BE118" s="3218"/>
      <c r="BF118" s="3218"/>
      <c r="BG118" s="3218"/>
      <c r="BH118" s="3218"/>
      <c r="BI118" s="3224"/>
      <c r="BJ118" s="3224"/>
      <c r="BK118" s="3224"/>
      <c r="BL118" s="3224"/>
      <c r="BM118" s="3224"/>
      <c r="BN118" s="3224"/>
      <c r="BO118" s="3224"/>
      <c r="BP118" s="3224"/>
      <c r="BQ118" s="3224"/>
      <c r="BR118" s="2057"/>
      <c r="BS118" s="4100"/>
      <c r="BT118" s="4096"/>
      <c r="BU118" s="2725"/>
      <c r="BV118" s="3219"/>
      <c r="BW118" s="15846"/>
      <c r="BX118" s="4101"/>
      <c r="BY118" s="4100"/>
      <c r="BZ118" s="4100"/>
      <c r="CA118" s="4102"/>
      <c r="CB118" s="4102"/>
      <c r="CC118" s="4102"/>
      <c r="CD118" s="4102"/>
      <c r="CE118" s="4103"/>
      <c r="CF118" s="4103"/>
      <c r="CG118" s="4103"/>
      <c r="CH118" s="4103"/>
      <c r="CI118" s="4103"/>
      <c r="CJ118" s="4103"/>
      <c r="CK118" s="4103"/>
      <c r="CL118" s="4103"/>
      <c r="CM118" s="4103"/>
      <c r="CN118" s="4103"/>
      <c r="CO118" s="4103"/>
      <c r="CP118" s="4103"/>
      <c r="CQ118" s="4103"/>
      <c r="CR118" s="4103"/>
      <c r="CS118" s="4103"/>
      <c r="CT118" s="4103"/>
      <c r="CU118" s="4103"/>
      <c r="CV118" s="4103"/>
      <c r="CW118" s="4103"/>
      <c r="CX118" s="4103"/>
      <c r="CY118" s="4103"/>
      <c r="CZ118" s="4103"/>
      <c r="DA118" s="4104"/>
      <c r="DB118" s="4103"/>
      <c r="DC118" s="4103"/>
      <c r="DD118" s="4103"/>
      <c r="DE118" s="4103"/>
      <c r="DF118" s="4103"/>
      <c r="DG118" s="4103"/>
      <c r="DH118" s="4103"/>
      <c r="DI118" s="4103"/>
      <c r="DJ118" s="4103"/>
      <c r="DK118" s="4103"/>
      <c r="DL118" s="4103"/>
      <c r="DM118" s="4103"/>
      <c r="DN118" s="4289"/>
      <c r="DO118" s="1833"/>
      <c r="DP118" s="4456"/>
      <c r="DQ118" s="4448"/>
      <c r="DR118" s="4448"/>
      <c r="DS118" s="4448"/>
      <c r="DT118" s="3224"/>
      <c r="DU118" s="3224"/>
      <c r="DV118" s="3224"/>
      <c r="DW118" s="3224"/>
      <c r="DX118" s="3224"/>
      <c r="DY118" s="3224"/>
      <c r="DZ118" s="3224"/>
      <c r="EA118" s="3224"/>
      <c r="EB118" s="3224"/>
      <c r="EC118" s="3224"/>
      <c r="ED118" s="3224"/>
      <c r="EE118" s="3224"/>
      <c r="EF118" s="3224"/>
      <c r="EG118" s="3224"/>
      <c r="EH118" s="3224"/>
      <c r="EI118" s="3224"/>
      <c r="EJ118" s="3224"/>
      <c r="EK118" s="3224"/>
      <c r="EL118" s="3224"/>
      <c r="EM118" s="3224"/>
      <c r="EN118" s="3224"/>
      <c r="EO118" s="3224"/>
      <c r="EP118" s="3224"/>
      <c r="EQ118" s="3224"/>
      <c r="ER118" s="3224"/>
      <c r="ES118" s="3224"/>
      <c r="ET118" s="3224"/>
      <c r="EU118" s="3224"/>
      <c r="EV118" s="3224"/>
      <c r="EW118" s="3224"/>
      <c r="EX118" s="3224"/>
      <c r="EY118" s="3224"/>
      <c r="EZ118" s="3224"/>
      <c r="FA118" s="3224"/>
      <c r="FB118" s="3224"/>
      <c r="FC118" s="3224"/>
      <c r="FD118" s="3224"/>
      <c r="FE118" s="3224"/>
      <c r="FF118" s="3224"/>
      <c r="FG118" s="3224"/>
      <c r="FH118" s="3224"/>
      <c r="FI118" s="2057"/>
    </row>
    <row r="119" spans="1:165" s="1834" customFormat="1" ht="15" customHeight="1">
      <c r="A119" s="15792"/>
      <c r="B119" s="15795"/>
      <c r="C119" s="4092" t="s">
        <v>1417</v>
      </c>
      <c r="D119" s="15715" t="s">
        <v>7891</v>
      </c>
      <c r="E119" s="15716" t="s">
        <v>4927</v>
      </c>
      <c r="F119" s="15716" t="s">
        <v>1448</v>
      </c>
      <c r="G119" s="4092" t="s">
        <v>70</v>
      </c>
      <c r="H119" s="2736">
        <v>1</v>
      </c>
      <c r="I119" s="2736">
        <v>1</v>
      </c>
      <c r="J119" s="15720">
        <v>1</v>
      </c>
      <c r="K119" s="15720" t="s">
        <v>1449</v>
      </c>
      <c r="L119" s="4437" t="s">
        <v>86</v>
      </c>
      <c r="M119" s="2736" t="s">
        <v>422</v>
      </c>
      <c r="N119" s="4094"/>
      <c r="O119" s="4095">
        <v>50000000</v>
      </c>
      <c r="P119" s="4095">
        <v>51500000</v>
      </c>
      <c r="Q119" s="4095">
        <v>53045000</v>
      </c>
      <c r="R119" s="4095">
        <v>54636350</v>
      </c>
      <c r="S119" s="4095">
        <v>56275440.5</v>
      </c>
      <c r="T119" s="4095">
        <v>57963703.715000004</v>
      </c>
      <c r="U119" s="4095">
        <v>59702614.826450005</v>
      </c>
      <c r="V119" s="4095">
        <v>61493693.271243505</v>
      </c>
      <c r="W119" s="4095">
        <v>63338504.069380812</v>
      </c>
      <c r="X119" s="4095">
        <v>65238659.191462241</v>
      </c>
      <c r="Y119" s="4095">
        <v>67195818.967206106</v>
      </c>
      <c r="Z119" s="4095">
        <v>640389784.54074275</v>
      </c>
      <c r="AA119" s="3893" t="s">
        <v>1732</v>
      </c>
      <c r="AB119" s="3893"/>
      <c r="AC119" s="3893"/>
      <c r="AD119" s="3893" t="s">
        <v>3576</v>
      </c>
      <c r="AE119" s="1709"/>
      <c r="AF119" s="1709"/>
      <c r="AG119" s="1709"/>
      <c r="AH119" s="1709"/>
      <c r="AI119" s="1709"/>
      <c r="AJ119" s="1709"/>
      <c r="AK119" s="1709"/>
      <c r="AL119" s="1709"/>
      <c r="AM119" s="1709"/>
      <c r="AN119" s="1709"/>
      <c r="AO119" s="1709"/>
      <c r="AP119" s="1709"/>
      <c r="AQ119" s="1709"/>
      <c r="AR119" s="1709"/>
      <c r="AS119" s="1709"/>
      <c r="AT119" s="1709"/>
      <c r="AU119" s="1709"/>
      <c r="AV119" s="1709"/>
      <c r="AW119" s="1709"/>
      <c r="AX119" s="1709"/>
      <c r="AY119" s="1709"/>
      <c r="AZ119" s="1709"/>
      <c r="BA119" s="1709"/>
      <c r="BB119" s="1709"/>
      <c r="BC119" s="1709"/>
      <c r="BD119" s="1709"/>
      <c r="BE119" s="1709"/>
      <c r="BF119" s="1709"/>
      <c r="BG119" s="1709"/>
      <c r="BH119" s="1709"/>
      <c r="BI119" s="2710"/>
      <c r="BJ119" s="2710"/>
      <c r="BK119" s="2710"/>
      <c r="BL119" s="2710"/>
      <c r="BM119" s="2710"/>
      <c r="BN119" s="2710"/>
      <c r="BO119" s="2710"/>
      <c r="BP119" s="2710"/>
      <c r="BQ119" s="2710"/>
      <c r="BR119" s="4156"/>
      <c r="BS119" s="3922" t="s">
        <v>3781</v>
      </c>
      <c r="BT119" s="4096" t="s">
        <v>3781</v>
      </c>
      <c r="BU119" s="2725" t="s">
        <v>3781</v>
      </c>
      <c r="BV119" s="3219" t="s">
        <v>3781</v>
      </c>
      <c r="BW119" s="15846"/>
      <c r="BX119" s="4086"/>
      <c r="BY119" s="3922"/>
      <c r="BZ119" s="3922"/>
      <c r="CA119" s="4087"/>
      <c r="CB119" s="4087"/>
      <c r="CC119" s="4087"/>
      <c r="CD119" s="4087"/>
      <c r="CE119" s="4088"/>
      <c r="CF119" s="4088"/>
      <c r="CG119" s="4088"/>
      <c r="CH119" s="4088"/>
      <c r="CI119" s="4088"/>
      <c r="CJ119" s="4088"/>
      <c r="CK119" s="4088"/>
      <c r="CL119" s="4088"/>
      <c r="CM119" s="4088"/>
      <c r="CN119" s="4088"/>
      <c r="CO119" s="4088"/>
      <c r="CP119" s="4088"/>
      <c r="CQ119" s="4088"/>
      <c r="CR119" s="4088"/>
      <c r="CS119" s="4088"/>
      <c r="CT119" s="4088"/>
      <c r="CU119" s="4088"/>
      <c r="CV119" s="4088"/>
      <c r="CW119" s="4088"/>
      <c r="CX119" s="4088"/>
      <c r="CY119" s="4088"/>
      <c r="CZ119" s="4088"/>
      <c r="DA119" s="4089"/>
      <c r="DB119" s="4088"/>
      <c r="DC119" s="4088"/>
      <c r="DD119" s="4088"/>
      <c r="DE119" s="4088"/>
      <c r="DF119" s="4088"/>
      <c r="DG119" s="4088"/>
      <c r="DH119" s="4088"/>
      <c r="DI119" s="4088"/>
      <c r="DJ119" s="4088"/>
      <c r="DK119" s="4088"/>
      <c r="DL119" s="4088"/>
      <c r="DM119" s="4088"/>
      <c r="DN119" s="4286"/>
      <c r="DO119" s="1833"/>
      <c r="DP119" s="4456"/>
      <c r="DQ119" s="4448"/>
      <c r="DR119" s="4448"/>
      <c r="DS119" s="4448"/>
      <c r="DT119" s="3224"/>
      <c r="DU119" s="3224"/>
      <c r="DV119" s="3224"/>
      <c r="DW119" s="3224"/>
      <c r="DX119" s="3224"/>
      <c r="DY119" s="3224"/>
      <c r="DZ119" s="3224"/>
      <c r="EA119" s="3224"/>
      <c r="EB119" s="3224"/>
      <c r="EC119" s="3224"/>
      <c r="ED119" s="3224"/>
      <c r="EE119" s="3224"/>
      <c r="EF119" s="3224"/>
      <c r="EG119" s="3224"/>
      <c r="EH119" s="3224"/>
      <c r="EI119" s="3224"/>
      <c r="EJ119" s="3224"/>
      <c r="EK119" s="3224"/>
      <c r="EL119" s="3224"/>
      <c r="EM119" s="3224"/>
      <c r="EN119" s="3224"/>
      <c r="EO119" s="3224"/>
      <c r="EP119" s="3224"/>
      <c r="EQ119" s="3224"/>
      <c r="ER119" s="3224"/>
      <c r="ES119" s="3224"/>
      <c r="ET119" s="3224"/>
      <c r="EU119" s="3224"/>
      <c r="EV119" s="3224"/>
      <c r="EW119" s="3224"/>
      <c r="EX119" s="3224"/>
      <c r="EY119" s="3224"/>
      <c r="EZ119" s="3224"/>
      <c r="FA119" s="3224"/>
      <c r="FB119" s="3224"/>
      <c r="FC119" s="3224"/>
      <c r="FD119" s="3224"/>
      <c r="FE119" s="3224"/>
      <c r="FF119" s="3224"/>
      <c r="FG119" s="3224"/>
      <c r="FH119" s="3224"/>
      <c r="FI119" s="2057"/>
    </row>
    <row r="120" spans="1:165" s="1834" customFormat="1" ht="15" customHeight="1">
      <c r="A120" s="15792"/>
      <c r="B120" s="15795"/>
      <c r="C120" s="4092"/>
      <c r="D120" s="15692"/>
      <c r="E120" s="15717"/>
      <c r="F120" s="15717"/>
      <c r="G120" s="4092"/>
      <c r="H120" s="2736"/>
      <c r="I120" s="2736"/>
      <c r="J120" s="15721"/>
      <c r="K120" s="15721"/>
      <c r="L120" s="4437" t="s">
        <v>8644</v>
      </c>
      <c r="M120" s="2736"/>
      <c r="N120" s="4094" t="s">
        <v>1450</v>
      </c>
      <c r="O120" s="4095"/>
      <c r="P120" s="4095"/>
      <c r="Q120" s="4095"/>
      <c r="R120" s="4095"/>
      <c r="S120" s="4095"/>
      <c r="T120" s="4095"/>
      <c r="U120" s="4095"/>
      <c r="V120" s="4095"/>
      <c r="W120" s="4095"/>
      <c r="X120" s="4095"/>
      <c r="Y120" s="4095"/>
      <c r="Z120" s="4095"/>
      <c r="AA120" s="3893"/>
      <c r="AB120" s="3893"/>
      <c r="AC120" s="3893"/>
      <c r="AD120" s="3893"/>
      <c r="AE120" s="1709"/>
      <c r="AF120" s="1709"/>
      <c r="AG120" s="1709"/>
      <c r="AH120" s="1709"/>
      <c r="AI120" s="1709"/>
      <c r="AJ120" s="1709"/>
      <c r="AK120" s="1709"/>
      <c r="AL120" s="1709"/>
      <c r="AM120" s="1709"/>
      <c r="AN120" s="1709"/>
      <c r="AO120" s="1709"/>
      <c r="AP120" s="1709"/>
      <c r="AQ120" s="1709"/>
      <c r="AR120" s="1709"/>
      <c r="AS120" s="1709"/>
      <c r="AT120" s="1709"/>
      <c r="AU120" s="1709"/>
      <c r="AV120" s="1709"/>
      <c r="AW120" s="1709"/>
      <c r="AX120" s="1709"/>
      <c r="AY120" s="1709"/>
      <c r="AZ120" s="1709"/>
      <c r="BA120" s="1709"/>
      <c r="BB120" s="1709"/>
      <c r="BC120" s="1709"/>
      <c r="BD120" s="1709"/>
      <c r="BE120" s="1709"/>
      <c r="BF120" s="1709"/>
      <c r="BG120" s="1709"/>
      <c r="BH120" s="1709"/>
      <c r="BI120" s="2710"/>
      <c r="BJ120" s="2710"/>
      <c r="BK120" s="2710"/>
      <c r="BL120" s="2710"/>
      <c r="BM120" s="2710"/>
      <c r="BN120" s="2710"/>
      <c r="BO120" s="2710"/>
      <c r="BP120" s="2710"/>
      <c r="BQ120" s="2710"/>
      <c r="BR120" s="4156"/>
      <c r="BS120" s="3922"/>
      <c r="BT120" s="4096"/>
      <c r="BU120" s="2725"/>
      <c r="BV120" s="3219"/>
      <c r="BW120" s="15846"/>
      <c r="BX120" s="4086"/>
      <c r="BY120" s="3922"/>
      <c r="BZ120" s="3922"/>
      <c r="CA120" s="4087"/>
      <c r="CB120" s="4087"/>
      <c r="CC120" s="4087"/>
      <c r="CD120" s="4087"/>
      <c r="CE120" s="4088"/>
      <c r="CF120" s="4088"/>
      <c r="CG120" s="4088"/>
      <c r="CH120" s="4088"/>
      <c r="CI120" s="4088"/>
      <c r="CJ120" s="4088"/>
      <c r="CK120" s="4088"/>
      <c r="CL120" s="4088"/>
      <c r="CM120" s="4088"/>
      <c r="CN120" s="4088"/>
      <c r="CO120" s="4088"/>
      <c r="CP120" s="4088"/>
      <c r="CQ120" s="4088"/>
      <c r="CR120" s="4088"/>
      <c r="CS120" s="4088"/>
      <c r="CT120" s="4088"/>
      <c r="CU120" s="4088"/>
      <c r="CV120" s="4088"/>
      <c r="CW120" s="4088"/>
      <c r="CX120" s="4088"/>
      <c r="CY120" s="4088"/>
      <c r="CZ120" s="4088"/>
      <c r="DA120" s="4089"/>
      <c r="DB120" s="4088"/>
      <c r="DC120" s="4088"/>
      <c r="DD120" s="4088"/>
      <c r="DE120" s="4088"/>
      <c r="DF120" s="4088"/>
      <c r="DG120" s="4088"/>
      <c r="DH120" s="4088"/>
      <c r="DI120" s="4088"/>
      <c r="DJ120" s="4088"/>
      <c r="DK120" s="4088"/>
      <c r="DL120" s="4088"/>
      <c r="DM120" s="4088"/>
      <c r="DN120" s="4286"/>
      <c r="DO120" s="1833"/>
      <c r="DP120" s="4456"/>
      <c r="DQ120" s="4448"/>
      <c r="DR120" s="4448"/>
      <c r="DS120" s="4448"/>
      <c r="DT120" s="3224"/>
      <c r="DU120" s="3224"/>
      <c r="DV120" s="3224"/>
      <c r="DW120" s="3224"/>
      <c r="DX120" s="3224"/>
      <c r="DY120" s="3224"/>
      <c r="DZ120" s="3224"/>
      <c r="EA120" s="3224"/>
      <c r="EB120" s="3224"/>
      <c r="EC120" s="3224"/>
      <c r="ED120" s="3224"/>
      <c r="EE120" s="3224"/>
      <c r="EF120" s="3224"/>
      <c r="EG120" s="3224"/>
      <c r="EH120" s="3224"/>
      <c r="EI120" s="3224"/>
      <c r="EJ120" s="3224"/>
      <c r="EK120" s="3224"/>
      <c r="EL120" s="3224"/>
      <c r="EM120" s="3224"/>
      <c r="EN120" s="3224"/>
      <c r="EO120" s="3224"/>
      <c r="EP120" s="3224"/>
      <c r="EQ120" s="3224"/>
      <c r="ER120" s="3224"/>
      <c r="ES120" s="3224"/>
      <c r="ET120" s="3224"/>
      <c r="EU120" s="3224"/>
      <c r="EV120" s="3224"/>
      <c r="EW120" s="3224"/>
      <c r="EX120" s="3224"/>
      <c r="EY120" s="3224"/>
      <c r="EZ120" s="3224"/>
      <c r="FA120" s="3224"/>
      <c r="FB120" s="3224"/>
      <c r="FC120" s="3224"/>
      <c r="FD120" s="3224"/>
      <c r="FE120" s="3224"/>
      <c r="FF120" s="3224"/>
      <c r="FG120" s="3224"/>
      <c r="FH120" s="3224"/>
      <c r="FI120" s="2057"/>
    </row>
    <row r="121" spans="1:165" s="1834" customFormat="1" ht="15" customHeight="1">
      <c r="A121" s="15792"/>
      <c r="B121" s="15795"/>
      <c r="C121" s="15795" t="s">
        <v>1444</v>
      </c>
      <c r="D121" s="15715" t="s">
        <v>7892</v>
      </c>
      <c r="E121" s="15716" t="s">
        <v>4928</v>
      </c>
      <c r="F121" s="15716" t="s">
        <v>1451</v>
      </c>
      <c r="G121" s="4092" t="s">
        <v>70</v>
      </c>
      <c r="H121" s="4094" t="s">
        <v>1447</v>
      </c>
      <c r="I121" s="4094" t="s">
        <v>1452</v>
      </c>
      <c r="J121" s="15720" t="s">
        <v>1453</v>
      </c>
      <c r="K121" s="15720" t="s">
        <v>138</v>
      </c>
      <c r="L121" s="4437" t="s">
        <v>86</v>
      </c>
      <c r="M121" s="2736" t="s">
        <v>422</v>
      </c>
      <c r="N121" s="4094"/>
      <c r="O121" s="4095">
        <v>35000000</v>
      </c>
      <c r="P121" s="4095">
        <v>36050000</v>
      </c>
      <c r="Q121" s="4095">
        <v>37131500</v>
      </c>
      <c r="R121" s="4095">
        <v>38245445</v>
      </c>
      <c r="S121" s="4095">
        <v>39392808.350000001</v>
      </c>
      <c r="T121" s="4095">
        <v>40574592.600500003</v>
      </c>
      <c r="U121" s="4095">
        <v>41791830.378515005</v>
      </c>
      <c r="V121" s="4095">
        <v>43045585.289870456</v>
      </c>
      <c r="W121" s="4095">
        <v>44336952.848566569</v>
      </c>
      <c r="X121" s="4095">
        <v>45667061.434023567</v>
      </c>
      <c r="Y121" s="4095">
        <v>47037073.277044274</v>
      </c>
      <c r="Z121" s="4095">
        <v>448272849.1785199</v>
      </c>
      <c r="AA121" s="4157">
        <v>1</v>
      </c>
      <c r="AB121" s="3893" t="s">
        <v>3577</v>
      </c>
      <c r="AC121" s="3893" t="s">
        <v>3578</v>
      </c>
      <c r="AD121" s="3893" t="s">
        <v>3577</v>
      </c>
      <c r="AE121" s="4158">
        <v>41791830.378514998</v>
      </c>
      <c r="AF121" s="2710"/>
      <c r="AG121" s="2710"/>
      <c r="AH121" s="2710"/>
      <c r="AI121" s="4159">
        <v>1388</v>
      </c>
      <c r="AJ121" s="2710"/>
      <c r="AK121" s="2710"/>
      <c r="AL121" s="2710"/>
      <c r="AM121" s="2710"/>
      <c r="AN121" s="2710">
        <v>945</v>
      </c>
      <c r="AO121" s="2710">
        <v>42</v>
      </c>
      <c r="AP121" s="2710">
        <v>15</v>
      </c>
      <c r="AQ121" s="2710">
        <v>52</v>
      </c>
      <c r="AR121" s="2710">
        <v>23</v>
      </c>
      <c r="AS121" s="2710">
        <v>45</v>
      </c>
      <c r="AT121" s="2710">
        <v>266</v>
      </c>
      <c r="AU121" s="2710"/>
      <c r="AV121" s="2710"/>
      <c r="AW121" s="2710"/>
      <c r="AX121" s="2710"/>
      <c r="AY121" s="2710"/>
      <c r="AZ121" s="2710"/>
      <c r="BA121" s="2710"/>
      <c r="BB121" s="2710"/>
      <c r="BC121" s="2710"/>
      <c r="BD121" s="2710"/>
      <c r="BE121" s="2710">
        <v>1388</v>
      </c>
      <c r="BF121" s="2710"/>
      <c r="BG121" s="2710"/>
      <c r="BH121" s="2710"/>
      <c r="BI121" s="2710"/>
      <c r="BJ121" s="2710"/>
      <c r="BK121" s="2710"/>
      <c r="BL121" s="2710"/>
      <c r="BM121" s="2710"/>
      <c r="BN121" s="2710"/>
      <c r="BO121" s="2710"/>
      <c r="BP121" s="2710"/>
      <c r="BQ121" s="2710"/>
      <c r="BR121" s="4156"/>
      <c r="BS121" s="3922" t="s">
        <v>9701</v>
      </c>
      <c r="BT121" s="4096">
        <v>10</v>
      </c>
      <c r="BU121" s="2725">
        <v>6</v>
      </c>
      <c r="BV121" s="3219">
        <v>0.6</v>
      </c>
      <c r="BW121" s="15846"/>
      <c r="BX121" s="4086"/>
      <c r="BY121" s="3922"/>
      <c r="BZ121" s="3922"/>
      <c r="CA121" s="4087"/>
      <c r="CB121" s="4087"/>
      <c r="CC121" s="4087"/>
      <c r="CD121" s="4087"/>
      <c r="CE121" s="4088"/>
      <c r="CF121" s="4088"/>
      <c r="CG121" s="4088"/>
      <c r="CH121" s="4088"/>
      <c r="CI121" s="4088"/>
      <c r="CJ121" s="4088"/>
      <c r="CK121" s="4088"/>
      <c r="CL121" s="4088"/>
      <c r="CM121" s="4088"/>
      <c r="CN121" s="4088"/>
      <c r="CO121" s="4088"/>
      <c r="CP121" s="4088"/>
      <c r="CQ121" s="4088"/>
      <c r="CR121" s="4088"/>
      <c r="CS121" s="4088"/>
      <c r="CT121" s="4088"/>
      <c r="CU121" s="4088"/>
      <c r="CV121" s="4088"/>
      <c r="CW121" s="4088"/>
      <c r="CX121" s="4088"/>
      <c r="CY121" s="4088"/>
      <c r="CZ121" s="4088"/>
      <c r="DA121" s="4089"/>
      <c r="DB121" s="4088"/>
      <c r="DC121" s="4088"/>
      <c r="DD121" s="4088"/>
      <c r="DE121" s="4088"/>
      <c r="DF121" s="4088"/>
      <c r="DG121" s="4088"/>
      <c r="DH121" s="4088"/>
      <c r="DI121" s="4088"/>
      <c r="DJ121" s="4088"/>
      <c r="DK121" s="4088"/>
      <c r="DL121" s="4088"/>
      <c r="DM121" s="4088"/>
      <c r="DN121" s="4286"/>
      <c r="DO121" s="1833"/>
      <c r="DP121" s="4456"/>
      <c r="DQ121" s="4448"/>
      <c r="DR121" s="4448"/>
      <c r="DS121" s="4448"/>
      <c r="DT121" s="3224"/>
      <c r="DU121" s="3224"/>
      <c r="DV121" s="3224"/>
      <c r="DW121" s="3224"/>
      <c r="DX121" s="3224"/>
      <c r="DY121" s="3224"/>
      <c r="DZ121" s="3224"/>
      <c r="EA121" s="3224"/>
      <c r="EB121" s="3224"/>
      <c r="EC121" s="3224"/>
      <c r="ED121" s="3224"/>
      <c r="EE121" s="3224"/>
      <c r="EF121" s="3224"/>
      <c r="EG121" s="3224"/>
      <c r="EH121" s="3224"/>
      <c r="EI121" s="3224"/>
      <c r="EJ121" s="3224"/>
      <c r="EK121" s="3224"/>
      <c r="EL121" s="3224"/>
      <c r="EM121" s="3224"/>
      <c r="EN121" s="3224"/>
      <c r="EO121" s="3224"/>
      <c r="EP121" s="3224"/>
      <c r="EQ121" s="3224"/>
      <c r="ER121" s="3224"/>
      <c r="ES121" s="3224"/>
      <c r="ET121" s="3224"/>
      <c r="EU121" s="3224"/>
      <c r="EV121" s="3224"/>
      <c r="EW121" s="3224"/>
      <c r="EX121" s="3224"/>
      <c r="EY121" s="3224"/>
      <c r="EZ121" s="3224"/>
      <c r="FA121" s="3224"/>
      <c r="FB121" s="3224"/>
      <c r="FC121" s="3224"/>
      <c r="FD121" s="3224"/>
      <c r="FE121" s="3224"/>
      <c r="FF121" s="3224"/>
      <c r="FG121" s="3224"/>
      <c r="FH121" s="3224"/>
      <c r="FI121" s="2057"/>
    </row>
    <row r="122" spans="1:165" s="1834" customFormat="1" ht="15" customHeight="1">
      <c r="A122" s="15792"/>
      <c r="B122" s="15795"/>
      <c r="C122" s="15795"/>
      <c r="D122" s="15692"/>
      <c r="E122" s="15717"/>
      <c r="F122" s="15717"/>
      <c r="G122" s="4092"/>
      <c r="H122" s="4094"/>
      <c r="I122" s="4094"/>
      <c r="J122" s="15721"/>
      <c r="K122" s="15721"/>
      <c r="L122" s="4437" t="s">
        <v>8644</v>
      </c>
      <c r="M122" s="2736"/>
      <c r="N122" s="4094" t="s">
        <v>1446</v>
      </c>
      <c r="O122" s="4095"/>
      <c r="P122" s="4095"/>
      <c r="Q122" s="4095"/>
      <c r="R122" s="4095"/>
      <c r="S122" s="4095"/>
      <c r="T122" s="4095"/>
      <c r="U122" s="4095"/>
      <c r="V122" s="4095"/>
      <c r="W122" s="4095"/>
      <c r="X122" s="4095"/>
      <c r="Y122" s="4095"/>
      <c r="Z122" s="4095"/>
      <c r="AA122" s="4157"/>
      <c r="AB122" s="3893"/>
      <c r="AC122" s="3893"/>
      <c r="AD122" s="3893"/>
      <c r="AE122" s="4158"/>
      <c r="AF122" s="2710"/>
      <c r="AG122" s="2710"/>
      <c r="AH122" s="2710"/>
      <c r="AI122" s="4159"/>
      <c r="AJ122" s="2710"/>
      <c r="AK122" s="2710"/>
      <c r="AL122" s="2710"/>
      <c r="AM122" s="2710"/>
      <c r="AN122" s="2710"/>
      <c r="AO122" s="2710"/>
      <c r="AP122" s="2710"/>
      <c r="AQ122" s="2710"/>
      <c r="AR122" s="2710"/>
      <c r="AS122" s="2710"/>
      <c r="AT122" s="2710"/>
      <c r="AU122" s="2710"/>
      <c r="AV122" s="2710"/>
      <c r="AW122" s="2710"/>
      <c r="AX122" s="2710"/>
      <c r="AY122" s="2710"/>
      <c r="AZ122" s="2710"/>
      <c r="BA122" s="2710"/>
      <c r="BB122" s="2710"/>
      <c r="BC122" s="2710"/>
      <c r="BD122" s="2710"/>
      <c r="BE122" s="2710"/>
      <c r="BF122" s="2710"/>
      <c r="BG122" s="2710"/>
      <c r="BH122" s="2710"/>
      <c r="BI122" s="2710"/>
      <c r="BJ122" s="2710"/>
      <c r="BK122" s="2710"/>
      <c r="BL122" s="2710"/>
      <c r="BM122" s="2710"/>
      <c r="BN122" s="2710"/>
      <c r="BO122" s="2710"/>
      <c r="BP122" s="2710"/>
      <c r="BQ122" s="2710"/>
      <c r="BR122" s="4156"/>
      <c r="BS122" s="3922"/>
      <c r="BT122" s="4096"/>
      <c r="BU122" s="2725"/>
      <c r="BV122" s="3219"/>
      <c r="BW122" s="15846"/>
      <c r="BX122" s="4086"/>
      <c r="BY122" s="3922"/>
      <c r="BZ122" s="3922"/>
      <c r="CA122" s="4087"/>
      <c r="CB122" s="4087"/>
      <c r="CC122" s="4087"/>
      <c r="CD122" s="4087"/>
      <c r="CE122" s="4088"/>
      <c r="CF122" s="4088"/>
      <c r="CG122" s="4088"/>
      <c r="CH122" s="4088"/>
      <c r="CI122" s="4088"/>
      <c r="CJ122" s="4088"/>
      <c r="CK122" s="4088"/>
      <c r="CL122" s="4088"/>
      <c r="CM122" s="4088"/>
      <c r="CN122" s="4088"/>
      <c r="CO122" s="4088"/>
      <c r="CP122" s="4088"/>
      <c r="CQ122" s="4088"/>
      <c r="CR122" s="4088"/>
      <c r="CS122" s="4088"/>
      <c r="CT122" s="4088"/>
      <c r="CU122" s="4088"/>
      <c r="CV122" s="4088"/>
      <c r="CW122" s="4088"/>
      <c r="CX122" s="4088"/>
      <c r="CY122" s="4088"/>
      <c r="CZ122" s="4088"/>
      <c r="DA122" s="4089"/>
      <c r="DB122" s="4088"/>
      <c r="DC122" s="4088"/>
      <c r="DD122" s="4088"/>
      <c r="DE122" s="4088"/>
      <c r="DF122" s="4088"/>
      <c r="DG122" s="4088"/>
      <c r="DH122" s="4088"/>
      <c r="DI122" s="4088"/>
      <c r="DJ122" s="4088"/>
      <c r="DK122" s="4088"/>
      <c r="DL122" s="4088"/>
      <c r="DM122" s="4088"/>
      <c r="DN122" s="4286"/>
      <c r="DO122" s="1833"/>
      <c r="DP122" s="4456"/>
      <c r="DQ122" s="4448"/>
      <c r="DR122" s="4448"/>
      <c r="DS122" s="4448"/>
      <c r="DT122" s="3224"/>
      <c r="DU122" s="3224"/>
      <c r="DV122" s="3224"/>
      <c r="DW122" s="3224"/>
      <c r="DX122" s="3224"/>
      <c r="DY122" s="3224"/>
      <c r="DZ122" s="3224"/>
      <c r="EA122" s="3224"/>
      <c r="EB122" s="3224"/>
      <c r="EC122" s="3224"/>
      <c r="ED122" s="3224"/>
      <c r="EE122" s="3224"/>
      <c r="EF122" s="3224"/>
      <c r="EG122" s="3224"/>
      <c r="EH122" s="3224"/>
      <c r="EI122" s="3224"/>
      <c r="EJ122" s="3224"/>
      <c r="EK122" s="3224"/>
      <c r="EL122" s="3224"/>
      <c r="EM122" s="3224"/>
      <c r="EN122" s="3224"/>
      <c r="EO122" s="3224"/>
      <c r="EP122" s="3224"/>
      <c r="EQ122" s="3224"/>
      <c r="ER122" s="3224"/>
      <c r="ES122" s="3224"/>
      <c r="ET122" s="3224"/>
      <c r="EU122" s="3224"/>
      <c r="EV122" s="3224"/>
      <c r="EW122" s="3224"/>
      <c r="EX122" s="3224"/>
      <c r="EY122" s="3224"/>
      <c r="EZ122" s="3224"/>
      <c r="FA122" s="3224"/>
      <c r="FB122" s="3224"/>
      <c r="FC122" s="3224"/>
      <c r="FD122" s="3224"/>
      <c r="FE122" s="3224"/>
      <c r="FF122" s="3224"/>
      <c r="FG122" s="3224"/>
      <c r="FH122" s="3224"/>
      <c r="FI122" s="2057"/>
    </row>
    <row r="123" spans="1:165" s="1834" customFormat="1" ht="15" customHeight="1">
      <c r="A123" s="15792"/>
      <c r="B123" s="15795"/>
      <c r="C123" s="15795"/>
      <c r="D123" s="15715" t="s">
        <v>7893</v>
      </c>
      <c r="E123" s="15716" t="s">
        <v>4929</v>
      </c>
      <c r="F123" s="15716" t="s">
        <v>1454</v>
      </c>
      <c r="G123" s="4092" t="s">
        <v>70</v>
      </c>
      <c r="H123" s="4094" t="s">
        <v>1455</v>
      </c>
      <c r="I123" s="4094" t="s">
        <v>1455</v>
      </c>
      <c r="J123" s="15720" t="s">
        <v>1455</v>
      </c>
      <c r="K123" s="15720" t="s">
        <v>138</v>
      </c>
      <c r="L123" s="4437" t="s">
        <v>86</v>
      </c>
      <c r="M123" s="2736" t="s">
        <v>422</v>
      </c>
      <c r="N123" s="4094"/>
      <c r="O123" s="4095">
        <v>35000000</v>
      </c>
      <c r="P123" s="4095">
        <v>36050000</v>
      </c>
      <c r="Q123" s="4095">
        <v>37131500</v>
      </c>
      <c r="R123" s="4095">
        <v>38245445</v>
      </c>
      <c r="S123" s="4095">
        <v>39392808.350000001</v>
      </c>
      <c r="T123" s="4095">
        <v>40574592.600500003</v>
      </c>
      <c r="U123" s="4095">
        <v>41791830.378515005</v>
      </c>
      <c r="V123" s="4095">
        <v>43045585.289870456</v>
      </c>
      <c r="W123" s="4095">
        <v>44336952.848566569</v>
      </c>
      <c r="X123" s="4095">
        <v>45667061.434023567</v>
      </c>
      <c r="Y123" s="4095">
        <v>47037073.277044274</v>
      </c>
      <c r="Z123" s="4095">
        <v>448272849.1785199</v>
      </c>
      <c r="AA123" s="4157">
        <v>1</v>
      </c>
      <c r="AB123" s="3893" t="s">
        <v>3579</v>
      </c>
      <c r="AC123" s="3893" t="s">
        <v>3580</v>
      </c>
      <c r="AD123" s="3893" t="s">
        <v>3581</v>
      </c>
      <c r="AE123" s="4158">
        <v>41791830.378515005</v>
      </c>
      <c r="AF123" s="2710"/>
      <c r="AG123" s="2710"/>
      <c r="AH123" s="2710"/>
      <c r="AI123" s="2710">
        <v>807</v>
      </c>
      <c r="AJ123" s="2710">
        <v>406</v>
      </c>
      <c r="AK123" s="2710">
        <v>401</v>
      </c>
      <c r="AL123" s="2710"/>
      <c r="AM123" s="2710"/>
      <c r="AN123" s="2710">
        <v>712</v>
      </c>
      <c r="AO123" s="2710">
        <v>95</v>
      </c>
      <c r="AP123" s="2710">
        <v>0</v>
      </c>
      <c r="AQ123" s="2710">
        <v>0</v>
      </c>
      <c r="AR123" s="2710">
        <v>0</v>
      </c>
      <c r="AS123" s="2710">
        <v>0</v>
      </c>
      <c r="AT123" s="2710">
        <v>0</v>
      </c>
      <c r="AU123" s="2710"/>
      <c r="AV123" s="2710"/>
      <c r="AW123" s="2710"/>
      <c r="AX123" s="2710"/>
      <c r="AY123" s="2710"/>
      <c r="AZ123" s="2710"/>
      <c r="BA123" s="2710"/>
      <c r="BB123" s="2710"/>
      <c r="BC123" s="2710"/>
      <c r="BD123" s="2710"/>
      <c r="BE123" s="2710"/>
      <c r="BF123" s="2710"/>
      <c r="BG123" s="2710"/>
      <c r="BH123" s="2710"/>
      <c r="BI123" s="2710"/>
      <c r="BJ123" s="2710"/>
      <c r="BK123" s="2710"/>
      <c r="BL123" s="2710"/>
      <c r="BM123" s="2710"/>
      <c r="BN123" s="2710"/>
      <c r="BO123" s="2710"/>
      <c r="BP123" s="2710"/>
      <c r="BQ123" s="2710"/>
      <c r="BR123" s="4156"/>
      <c r="BS123" s="3922" t="s">
        <v>9701</v>
      </c>
      <c r="BT123" s="4096">
        <v>13</v>
      </c>
      <c r="BU123" s="2725">
        <v>9</v>
      </c>
      <c r="BV123" s="3219">
        <v>0.69230769230769229</v>
      </c>
      <c r="BW123" s="15846"/>
      <c r="BX123" s="4086"/>
      <c r="BY123" s="3922"/>
      <c r="BZ123" s="3922"/>
      <c r="CA123" s="4087"/>
      <c r="CB123" s="4087"/>
      <c r="CC123" s="4087"/>
      <c r="CD123" s="4087"/>
      <c r="CE123" s="4088"/>
      <c r="CF123" s="4088"/>
      <c r="CG123" s="4088"/>
      <c r="CH123" s="4088"/>
      <c r="CI123" s="4088"/>
      <c r="CJ123" s="4088"/>
      <c r="CK123" s="4088"/>
      <c r="CL123" s="4088"/>
      <c r="CM123" s="4088"/>
      <c r="CN123" s="4088"/>
      <c r="CO123" s="4088"/>
      <c r="CP123" s="4088"/>
      <c r="CQ123" s="4088"/>
      <c r="CR123" s="4088"/>
      <c r="CS123" s="4088"/>
      <c r="CT123" s="4088"/>
      <c r="CU123" s="4088"/>
      <c r="CV123" s="4088"/>
      <c r="CW123" s="4088"/>
      <c r="CX123" s="4088"/>
      <c r="CY123" s="4088"/>
      <c r="CZ123" s="4088"/>
      <c r="DA123" s="4089"/>
      <c r="DB123" s="4088"/>
      <c r="DC123" s="4088"/>
      <c r="DD123" s="4088"/>
      <c r="DE123" s="4088"/>
      <c r="DF123" s="4088"/>
      <c r="DG123" s="4088"/>
      <c r="DH123" s="4088"/>
      <c r="DI123" s="4088"/>
      <c r="DJ123" s="4088"/>
      <c r="DK123" s="4088"/>
      <c r="DL123" s="4088"/>
      <c r="DM123" s="4088"/>
      <c r="DN123" s="4286"/>
      <c r="DO123" s="1833"/>
      <c r="DP123" s="4456"/>
      <c r="DQ123" s="4448"/>
      <c r="DR123" s="4448"/>
      <c r="DS123" s="4448"/>
      <c r="DT123" s="3224"/>
      <c r="DU123" s="3224"/>
      <c r="DV123" s="3224"/>
      <c r="DW123" s="3224"/>
      <c r="DX123" s="3224"/>
      <c r="DY123" s="3224"/>
      <c r="DZ123" s="3224"/>
      <c r="EA123" s="3224"/>
      <c r="EB123" s="3224"/>
      <c r="EC123" s="3224"/>
      <c r="ED123" s="3224"/>
      <c r="EE123" s="3224"/>
      <c r="EF123" s="3224"/>
      <c r="EG123" s="3224"/>
      <c r="EH123" s="3224"/>
      <c r="EI123" s="3224"/>
      <c r="EJ123" s="3224"/>
      <c r="EK123" s="3224"/>
      <c r="EL123" s="3224"/>
      <c r="EM123" s="3224"/>
      <c r="EN123" s="3224"/>
      <c r="EO123" s="3224"/>
      <c r="EP123" s="3224"/>
      <c r="EQ123" s="3224"/>
      <c r="ER123" s="3224"/>
      <c r="ES123" s="3224"/>
      <c r="ET123" s="3224"/>
      <c r="EU123" s="3224"/>
      <c r="EV123" s="3224"/>
      <c r="EW123" s="3224"/>
      <c r="EX123" s="3224"/>
      <c r="EY123" s="3224"/>
      <c r="EZ123" s="3224"/>
      <c r="FA123" s="3224"/>
      <c r="FB123" s="3224"/>
      <c r="FC123" s="3224"/>
      <c r="FD123" s="3224"/>
      <c r="FE123" s="3224"/>
      <c r="FF123" s="3224"/>
      <c r="FG123" s="3224"/>
      <c r="FH123" s="3224"/>
      <c r="FI123" s="2057"/>
    </row>
    <row r="124" spans="1:165" s="1834" customFormat="1" ht="15" customHeight="1">
      <c r="A124" s="15792"/>
      <c r="B124" s="15795"/>
      <c r="C124" s="15795"/>
      <c r="D124" s="15692"/>
      <c r="E124" s="15717"/>
      <c r="F124" s="15717"/>
      <c r="G124" s="4092"/>
      <c r="H124" s="4094"/>
      <c r="I124" s="4094"/>
      <c r="J124" s="15721"/>
      <c r="K124" s="15721"/>
      <c r="L124" s="4437" t="s">
        <v>8644</v>
      </c>
      <c r="M124" s="2736"/>
      <c r="N124" s="4094" t="s">
        <v>1446</v>
      </c>
      <c r="O124" s="4095"/>
      <c r="P124" s="4095"/>
      <c r="Q124" s="4095"/>
      <c r="R124" s="4095"/>
      <c r="S124" s="4095"/>
      <c r="T124" s="4095"/>
      <c r="U124" s="4095"/>
      <c r="V124" s="4095"/>
      <c r="W124" s="4095"/>
      <c r="X124" s="4095"/>
      <c r="Y124" s="4095"/>
      <c r="Z124" s="4095"/>
      <c r="AA124" s="4157"/>
      <c r="AB124" s="3893"/>
      <c r="AC124" s="3893"/>
      <c r="AD124" s="3893"/>
      <c r="AE124" s="4158"/>
      <c r="AF124" s="2710"/>
      <c r="AG124" s="2710"/>
      <c r="AH124" s="2710"/>
      <c r="AI124" s="2710"/>
      <c r="AJ124" s="2710"/>
      <c r="AK124" s="2710"/>
      <c r="AL124" s="2710"/>
      <c r="AM124" s="2710"/>
      <c r="AN124" s="2710"/>
      <c r="AO124" s="2710"/>
      <c r="AP124" s="2710"/>
      <c r="AQ124" s="2710"/>
      <c r="AR124" s="2710"/>
      <c r="AS124" s="2710"/>
      <c r="AT124" s="2710"/>
      <c r="AU124" s="2710"/>
      <c r="AV124" s="2710"/>
      <c r="AW124" s="2710"/>
      <c r="AX124" s="2710"/>
      <c r="AY124" s="2710"/>
      <c r="AZ124" s="2710"/>
      <c r="BA124" s="2710"/>
      <c r="BB124" s="2710"/>
      <c r="BC124" s="2710"/>
      <c r="BD124" s="2710"/>
      <c r="BE124" s="2710"/>
      <c r="BF124" s="2710"/>
      <c r="BG124" s="2710"/>
      <c r="BH124" s="2710"/>
      <c r="BI124" s="2710"/>
      <c r="BJ124" s="2710"/>
      <c r="BK124" s="2710"/>
      <c r="BL124" s="2710"/>
      <c r="BM124" s="2710"/>
      <c r="BN124" s="2710"/>
      <c r="BO124" s="2710"/>
      <c r="BP124" s="2710"/>
      <c r="BQ124" s="2710"/>
      <c r="BR124" s="4156"/>
      <c r="BS124" s="3922"/>
      <c r="BT124" s="4096"/>
      <c r="BU124" s="2725"/>
      <c r="BV124" s="3219"/>
      <c r="BW124" s="15846"/>
      <c r="BX124" s="4086"/>
      <c r="BY124" s="3922"/>
      <c r="BZ124" s="3922"/>
      <c r="CA124" s="4087"/>
      <c r="CB124" s="4087"/>
      <c r="CC124" s="4087"/>
      <c r="CD124" s="4087"/>
      <c r="CE124" s="4088"/>
      <c r="CF124" s="4088"/>
      <c r="CG124" s="4088"/>
      <c r="CH124" s="4088"/>
      <c r="CI124" s="4088"/>
      <c r="CJ124" s="4088"/>
      <c r="CK124" s="4088"/>
      <c r="CL124" s="4088"/>
      <c r="CM124" s="4088"/>
      <c r="CN124" s="4088"/>
      <c r="CO124" s="4088"/>
      <c r="CP124" s="4088"/>
      <c r="CQ124" s="4088"/>
      <c r="CR124" s="4088"/>
      <c r="CS124" s="4088"/>
      <c r="CT124" s="4088"/>
      <c r="CU124" s="4088"/>
      <c r="CV124" s="4088"/>
      <c r="CW124" s="4088"/>
      <c r="CX124" s="4088"/>
      <c r="CY124" s="4088"/>
      <c r="CZ124" s="4088"/>
      <c r="DA124" s="4089"/>
      <c r="DB124" s="4088"/>
      <c r="DC124" s="4088"/>
      <c r="DD124" s="4088"/>
      <c r="DE124" s="4088"/>
      <c r="DF124" s="4088"/>
      <c r="DG124" s="4088"/>
      <c r="DH124" s="4088"/>
      <c r="DI124" s="4088"/>
      <c r="DJ124" s="4088"/>
      <c r="DK124" s="4088"/>
      <c r="DL124" s="4088"/>
      <c r="DM124" s="4088"/>
      <c r="DN124" s="4286"/>
      <c r="DO124" s="1833"/>
      <c r="DP124" s="4456"/>
      <c r="DQ124" s="4448"/>
      <c r="DR124" s="4448"/>
      <c r="DS124" s="4448"/>
      <c r="DT124" s="3224"/>
      <c r="DU124" s="3224"/>
      <c r="DV124" s="3224"/>
      <c r="DW124" s="3224"/>
      <c r="DX124" s="3224"/>
      <c r="DY124" s="3224"/>
      <c r="DZ124" s="3224"/>
      <c r="EA124" s="3224"/>
      <c r="EB124" s="3224"/>
      <c r="EC124" s="3224"/>
      <c r="ED124" s="3224"/>
      <c r="EE124" s="3224"/>
      <c r="EF124" s="3224"/>
      <c r="EG124" s="3224"/>
      <c r="EH124" s="3224"/>
      <c r="EI124" s="3224"/>
      <c r="EJ124" s="3224"/>
      <c r="EK124" s="3224"/>
      <c r="EL124" s="3224"/>
      <c r="EM124" s="3224"/>
      <c r="EN124" s="3224"/>
      <c r="EO124" s="3224"/>
      <c r="EP124" s="3224"/>
      <c r="EQ124" s="3224"/>
      <c r="ER124" s="3224"/>
      <c r="ES124" s="3224"/>
      <c r="ET124" s="3224"/>
      <c r="EU124" s="3224"/>
      <c r="EV124" s="3224"/>
      <c r="EW124" s="3224"/>
      <c r="EX124" s="3224"/>
      <c r="EY124" s="3224"/>
      <c r="EZ124" s="3224"/>
      <c r="FA124" s="3224"/>
      <c r="FB124" s="3224"/>
      <c r="FC124" s="3224"/>
      <c r="FD124" s="3224"/>
      <c r="FE124" s="3224"/>
      <c r="FF124" s="3224"/>
      <c r="FG124" s="3224"/>
      <c r="FH124" s="3224"/>
      <c r="FI124" s="2057"/>
    </row>
    <row r="125" spans="1:165" s="1834" customFormat="1" ht="15" customHeight="1">
      <c r="A125" s="15792"/>
      <c r="B125" s="15795"/>
      <c r="C125" s="15795"/>
      <c r="D125" s="15715" t="s">
        <v>7894</v>
      </c>
      <c r="E125" s="15716" t="s">
        <v>4930</v>
      </c>
      <c r="F125" s="15716" t="s">
        <v>1456</v>
      </c>
      <c r="G125" s="4092" t="s">
        <v>70</v>
      </c>
      <c r="H125" s="2736">
        <v>1</v>
      </c>
      <c r="I125" s="2736">
        <v>1</v>
      </c>
      <c r="J125" s="15720">
        <v>1</v>
      </c>
      <c r="K125" s="15720" t="s">
        <v>138</v>
      </c>
      <c r="L125" s="4437" t="s">
        <v>86</v>
      </c>
      <c r="M125" s="2736" t="s">
        <v>422</v>
      </c>
      <c r="N125" s="4094"/>
      <c r="O125" s="4095">
        <v>35000000</v>
      </c>
      <c r="P125" s="4095">
        <v>36050000</v>
      </c>
      <c r="Q125" s="4095">
        <v>37131500</v>
      </c>
      <c r="R125" s="4095">
        <v>38245445</v>
      </c>
      <c r="S125" s="4095">
        <v>39392808.350000001</v>
      </c>
      <c r="T125" s="4095">
        <v>40574592.600500003</v>
      </c>
      <c r="U125" s="4095">
        <v>41791830.378515005</v>
      </c>
      <c r="V125" s="4095">
        <v>43045585.289870456</v>
      </c>
      <c r="W125" s="4095">
        <v>44336952.848566569</v>
      </c>
      <c r="X125" s="4095">
        <v>45667061.434023567</v>
      </c>
      <c r="Y125" s="4095">
        <v>47037073.277044274</v>
      </c>
      <c r="Z125" s="4095">
        <v>448272849.1785199</v>
      </c>
      <c r="AA125" s="4160">
        <v>1</v>
      </c>
      <c r="AB125" s="2725" t="s">
        <v>3582</v>
      </c>
      <c r="AC125" s="2725" t="s">
        <v>3583</v>
      </c>
      <c r="AD125" s="3221">
        <v>6</v>
      </c>
      <c r="AE125" s="4162">
        <v>41791830.378515005</v>
      </c>
      <c r="AF125" s="2725"/>
      <c r="AG125" s="2725"/>
      <c r="AH125" s="2725"/>
      <c r="AI125" s="2725">
        <v>6</v>
      </c>
      <c r="AJ125" s="2725">
        <v>3</v>
      </c>
      <c r="AK125" s="2725">
        <v>3</v>
      </c>
      <c r="AL125" s="2725"/>
      <c r="AM125" s="2725"/>
      <c r="AN125" s="2725"/>
      <c r="AO125" s="2725"/>
      <c r="AP125" s="2725"/>
      <c r="AQ125" s="2725"/>
      <c r="AR125" s="2725"/>
      <c r="AS125" s="2725"/>
      <c r="AT125" s="2725">
        <v>6</v>
      </c>
      <c r="AU125" s="2725"/>
      <c r="AV125" s="2725"/>
      <c r="AW125" s="2725"/>
      <c r="AX125" s="2725"/>
      <c r="AY125" s="2725"/>
      <c r="AZ125" s="2725">
        <v>6</v>
      </c>
      <c r="BA125" s="3221"/>
      <c r="BB125" s="3221"/>
      <c r="BC125" s="3221"/>
      <c r="BD125" s="3221"/>
      <c r="BE125" s="3221"/>
      <c r="BF125" s="3221"/>
      <c r="BG125" s="3221"/>
      <c r="BH125" s="3221"/>
      <c r="BI125" s="3221"/>
      <c r="BJ125" s="3221"/>
      <c r="BK125" s="3221"/>
      <c r="BL125" s="3221"/>
      <c r="BM125" s="3221"/>
      <c r="BN125" s="3221"/>
      <c r="BO125" s="3221"/>
      <c r="BP125" s="3221"/>
      <c r="BQ125" s="3221"/>
      <c r="BR125" s="4163"/>
      <c r="BS125" s="3922">
        <v>0</v>
      </c>
      <c r="BT125" s="4096">
        <v>1</v>
      </c>
      <c r="BU125" s="2725">
        <v>1</v>
      </c>
      <c r="BV125" s="3219">
        <v>1</v>
      </c>
      <c r="BW125" s="15846"/>
      <c r="BX125" s="4086"/>
      <c r="BY125" s="3922"/>
      <c r="BZ125" s="3922"/>
      <c r="CA125" s="4087"/>
      <c r="CB125" s="4087"/>
      <c r="CC125" s="4087"/>
      <c r="CD125" s="4087"/>
      <c r="CE125" s="4088"/>
      <c r="CF125" s="4088"/>
      <c r="CG125" s="4088"/>
      <c r="CH125" s="4088"/>
      <c r="CI125" s="4088"/>
      <c r="CJ125" s="4088"/>
      <c r="CK125" s="4088"/>
      <c r="CL125" s="4088"/>
      <c r="CM125" s="4088"/>
      <c r="CN125" s="4088"/>
      <c r="CO125" s="4088"/>
      <c r="CP125" s="4088"/>
      <c r="CQ125" s="4088"/>
      <c r="CR125" s="4088"/>
      <c r="CS125" s="4088"/>
      <c r="CT125" s="4088"/>
      <c r="CU125" s="4088"/>
      <c r="CV125" s="4088"/>
      <c r="CW125" s="4088"/>
      <c r="CX125" s="4088"/>
      <c r="CY125" s="4088"/>
      <c r="CZ125" s="4088"/>
      <c r="DA125" s="4089"/>
      <c r="DB125" s="4088"/>
      <c r="DC125" s="4088"/>
      <c r="DD125" s="4088"/>
      <c r="DE125" s="4088"/>
      <c r="DF125" s="4088"/>
      <c r="DG125" s="4088"/>
      <c r="DH125" s="4088"/>
      <c r="DI125" s="4088"/>
      <c r="DJ125" s="4088"/>
      <c r="DK125" s="4088"/>
      <c r="DL125" s="4088"/>
      <c r="DM125" s="4088"/>
      <c r="DN125" s="4286"/>
      <c r="DO125" s="1833"/>
      <c r="DP125" s="4456"/>
      <c r="DQ125" s="4448"/>
      <c r="DR125" s="4448"/>
      <c r="DS125" s="4448"/>
      <c r="DT125" s="3224"/>
      <c r="DU125" s="3224"/>
      <c r="DV125" s="3224"/>
      <c r="DW125" s="3224"/>
      <c r="DX125" s="3224"/>
      <c r="DY125" s="3224"/>
      <c r="DZ125" s="3224"/>
      <c r="EA125" s="3224"/>
      <c r="EB125" s="3224"/>
      <c r="EC125" s="3224"/>
      <c r="ED125" s="3224"/>
      <c r="EE125" s="3224"/>
      <c r="EF125" s="3224"/>
      <c r="EG125" s="3224"/>
      <c r="EH125" s="3224"/>
      <c r="EI125" s="3224"/>
      <c r="EJ125" s="3224"/>
      <c r="EK125" s="3224"/>
      <c r="EL125" s="3224"/>
      <c r="EM125" s="3224"/>
      <c r="EN125" s="3224"/>
      <c r="EO125" s="3224"/>
      <c r="EP125" s="3224"/>
      <c r="EQ125" s="3224"/>
      <c r="ER125" s="3224"/>
      <c r="ES125" s="3224"/>
      <c r="ET125" s="3224"/>
      <c r="EU125" s="3224"/>
      <c r="EV125" s="3224"/>
      <c r="EW125" s="3224"/>
      <c r="EX125" s="3224"/>
      <c r="EY125" s="3224"/>
      <c r="EZ125" s="3224"/>
      <c r="FA125" s="3224"/>
      <c r="FB125" s="3224"/>
      <c r="FC125" s="3224"/>
      <c r="FD125" s="3224"/>
      <c r="FE125" s="3224"/>
      <c r="FF125" s="3224"/>
      <c r="FG125" s="3224"/>
      <c r="FH125" s="3224"/>
      <c r="FI125" s="2057"/>
    </row>
    <row r="126" spans="1:165" s="1834" customFormat="1" ht="15" customHeight="1">
      <c r="A126" s="15792"/>
      <c r="B126" s="15795"/>
      <c r="C126" s="15795"/>
      <c r="D126" s="15692"/>
      <c r="E126" s="15717"/>
      <c r="F126" s="15717"/>
      <c r="G126" s="4092"/>
      <c r="H126" s="2736"/>
      <c r="I126" s="2736"/>
      <c r="J126" s="15721"/>
      <c r="K126" s="15721"/>
      <c r="L126" s="4437" t="s">
        <v>8644</v>
      </c>
      <c r="M126" s="2736"/>
      <c r="N126" s="4094" t="s">
        <v>1446</v>
      </c>
      <c r="O126" s="4095"/>
      <c r="P126" s="4095"/>
      <c r="Q126" s="4095"/>
      <c r="R126" s="4095"/>
      <c r="S126" s="4095"/>
      <c r="T126" s="4095"/>
      <c r="U126" s="4095"/>
      <c r="V126" s="4095"/>
      <c r="W126" s="4095"/>
      <c r="X126" s="4095"/>
      <c r="Y126" s="4095"/>
      <c r="Z126" s="4095"/>
      <c r="AA126" s="4160"/>
      <c r="AB126" s="4161"/>
      <c r="AC126" s="2725"/>
      <c r="AD126" s="3932"/>
      <c r="AE126" s="4162"/>
      <c r="AF126" s="2725"/>
      <c r="AG126" s="2725"/>
      <c r="AH126" s="2725"/>
      <c r="AI126" s="2725"/>
      <c r="AJ126" s="2725"/>
      <c r="AK126" s="2725"/>
      <c r="AL126" s="2725"/>
      <c r="AM126" s="2725"/>
      <c r="AN126" s="2725"/>
      <c r="AO126" s="2725"/>
      <c r="AP126" s="2725"/>
      <c r="AQ126" s="2725"/>
      <c r="AR126" s="2725"/>
      <c r="AS126" s="2725"/>
      <c r="AT126" s="2725"/>
      <c r="AU126" s="2725"/>
      <c r="AV126" s="2725"/>
      <c r="AW126" s="2725"/>
      <c r="AX126" s="2725"/>
      <c r="AY126" s="2725"/>
      <c r="AZ126" s="2725"/>
      <c r="BA126" s="3221"/>
      <c r="BB126" s="3221"/>
      <c r="BC126" s="3221"/>
      <c r="BD126" s="3221"/>
      <c r="BE126" s="3221"/>
      <c r="BF126" s="3221"/>
      <c r="BG126" s="3221"/>
      <c r="BH126" s="3221"/>
      <c r="BI126" s="3221"/>
      <c r="BJ126" s="3221"/>
      <c r="BK126" s="3221"/>
      <c r="BL126" s="3221"/>
      <c r="BM126" s="3221"/>
      <c r="BN126" s="3221"/>
      <c r="BO126" s="3221"/>
      <c r="BP126" s="3221"/>
      <c r="BQ126" s="3221"/>
      <c r="BR126" s="4163"/>
      <c r="BS126" s="3922"/>
      <c r="BT126" s="4096"/>
      <c r="BU126" s="2725"/>
      <c r="BV126" s="3219"/>
      <c r="BW126" s="15846"/>
      <c r="BX126" s="4086"/>
      <c r="BY126" s="3922"/>
      <c r="BZ126" s="3922"/>
      <c r="CA126" s="4087"/>
      <c r="CB126" s="4087"/>
      <c r="CC126" s="4087"/>
      <c r="CD126" s="4087"/>
      <c r="CE126" s="4088"/>
      <c r="CF126" s="4088"/>
      <c r="CG126" s="4088"/>
      <c r="CH126" s="4088"/>
      <c r="CI126" s="4088"/>
      <c r="CJ126" s="4088"/>
      <c r="CK126" s="4088"/>
      <c r="CL126" s="4088"/>
      <c r="CM126" s="4088"/>
      <c r="CN126" s="4088"/>
      <c r="CO126" s="4088"/>
      <c r="CP126" s="4088"/>
      <c r="CQ126" s="4088"/>
      <c r="CR126" s="4088"/>
      <c r="CS126" s="4088"/>
      <c r="CT126" s="4088"/>
      <c r="CU126" s="4088"/>
      <c r="CV126" s="4088"/>
      <c r="CW126" s="4088"/>
      <c r="CX126" s="4088"/>
      <c r="CY126" s="4088"/>
      <c r="CZ126" s="4088"/>
      <c r="DA126" s="4089"/>
      <c r="DB126" s="4088"/>
      <c r="DC126" s="4088"/>
      <c r="DD126" s="4088"/>
      <c r="DE126" s="4088"/>
      <c r="DF126" s="4088"/>
      <c r="DG126" s="4088"/>
      <c r="DH126" s="4088"/>
      <c r="DI126" s="4088"/>
      <c r="DJ126" s="4088"/>
      <c r="DK126" s="4088"/>
      <c r="DL126" s="4088"/>
      <c r="DM126" s="4088"/>
      <c r="DN126" s="4286"/>
      <c r="DO126" s="1833"/>
      <c r="DP126" s="4456"/>
      <c r="DQ126" s="4448"/>
      <c r="DR126" s="4448"/>
      <c r="DS126" s="4448"/>
      <c r="DT126" s="3224"/>
      <c r="DU126" s="3224"/>
      <c r="DV126" s="3224"/>
      <c r="DW126" s="3224"/>
      <c r="DX126" s="3224"/>
      <c r="DY126" s="3224"/>
      <c r="DZ126" s="3224"/>
      <c r="EA126" s="3224"/>
      <c r="EB126" s="3224"/>
      <c r="EC126" s="3224"/>
      <c r="ED126" s="3224"/>
      <c r="EE126" s="3224"/>
      <c r="EF126" s="3224"/>
      <c r="EG126" s="3224"/>
      <c r="EH126" s="3224"/>
      <c r="EI126" s="3224"/>
      <c r="EJ126" s="3224"/>
      <c r="EK126" s="3224"/>
      <c r="EL126" s="3224"/>
      <c r="EM126" s="3224"/>
      <c r="EN126" s="3224"/>
      <c r="EO126" s="3224"/>
      <c r="EP126" s="3224"/>
      <c r="EQ126" s="3224"/>
      <c r="ER126" s="3224"/>
      <c r="ES126" s="3224"/>
      <c r="ET126" s="3224"/>
      <c r="EU126" s="3224"/>
      <c r="EV126" s="3224"/>
      <c r="EW126" s="3224"/>
      <c r="EX126" s="3224"/>
      <c r="EY126" s="3224"/>
      <c r="EZ126" s="3224"/>
      <c r="FA126" s="3224"/>
      <c r="FB126" s="3224"/>
      <c r="FC126" s="3224"/>
      <c r="FD126" s="3224"/>
      <c r="FE126" s="3224"/>
      <c r="FF126" s="3224"/>
      <c r="FG126" s="3224"/>
      <c r="FH126" s="3224"/>
      <c r="FI126" s="2057"/>
    </row>
    <row r="127" spans="1:165" s="1834" customFormat="1" ht="15" customHeight="1">
      <c r="A127" s="15792"/>
      <c r="B127" s="15795"/>
      <c r="C127" s="15795"/>
      <c r="D127" s="15715" t="s">
        <v>7895</v>
      </c>
      <c r="E127" s="15716" t="s">
        <v>4931</v>
      </c>
      <c r="F127" s="15716" t="s">
        <v>1456</v>
      </c>
      <c r="G127" s="4092" t="s">
        <v>70</v>
      </c>
      <c r="H127" s="2736">
        <v>1</v>
      </c>
      <c r="I127" s="2736">
        <v>1</v>
      </c>
      <c r="J127" s="15720">
        <v>1</v>
      </c>
      <c r="K127" s="15720" t="s">
        <v>1457</v>
      </c>
      <c r="L127" s="4437" t="s">
        <v>86</v>
      </c>
      <c r="M127" s="2736" t="s">
        <v>422</v>
      </c>
      <c r="N127" s="4094"/>
      <c r="O127" s="4095">
        <v>50000000</v>
      </c>
      <c r="P127" s="4095">
        <v>51500000</v>
      </c>
      <c r="Q127" s="4095">
        <v>53045000</v>
      </c>
      <c r="R127" s="4095">
        <v>54636350</v>
      </c>
      <c r="S127" s="4095">
        <v>56275440.5</v>
      </c>
      <c r="T127" s="4095">
        <v>57963703.715000004</v>
      </c>
      <c r="U127" s="4095">
        <v>59702614.826450005</v>
      </c>
      <c r="V127" s="4095">
        <v>61493693.271243505</v>
      </c>
      <c r="W127" s="4095">
        <v>63338504.069380812</v>
      </c>
      <c r="X127" s="4095">
        <v>65238659.191462241</v>
      </c>
      <c r="Y127" s="4095">
        <v>67195818.967206106</v>
      </c>
      <c r="Z127" s="4095">
        <v>640389784.54074275</v>
      </c>
      <c r="AA127" s="4157">
        <v>1</v>
      </c>
      <c r="AB127" s="4290" t="s">
        <v>3584</v>
      </c>
      <c r="AC127" s="3221" t="s">
        <v>3585</v>
      </c>
      <c r="AD127" s="4290" t="s">
        <v>3584</v>
      </c>
      <c r="AE127" s="4162">
        <v>59702614.826450005</v>
      </c>
      <c r="AF127" s="3221"/>
      <c r="AG127" s="3221"/>
      <c r="AH127" s="3221"/>
      <c r="AI127" s="3922">
        <v>2</v>
      </c>
      <c r="AJ127" s="3922"/>
      <c r="AK127" s="3922">
        <v>2</v>
      </c>
      <c r="AL127" s="3922">
        <v>2</v>
      </c>
      <c r="AM127" s="3922"/>
      <c r="AN127" s="3922"/>
      <c r="AO127" s="3922"/>
      <c r="AP127" s="3922"/>
      <c r="AQ127" s="3922"/>
      <c r="AR127" s="3922"/>
      <c r="AS127" s="3922">
        <v>2</v>
      </c>
      <c r="AT127" s="3922"/>
      <c r="AU127" s="3922"/>
      <c r="AV127" s="3922"/>
      <c r="AW127" s="3922"/>
      <c r="AX127" s="3922"/>
      <c r="AY127" s="3922"/>
      <c r="AZ127" s="3922"/>
      <c r="BA127" s="3922"/>
      <c r="BB127" s="3922"/>
      <c r="BC127" s="3922"/>
      <c r="BD127" s="3922"/>
      <c r="BE127" s="3922">
        <v>2</v>
      </c>
      <c r="BF127" s="3922"/>
      <c r="BG127" s="3922"/>
      <c r="BH127" s="3922"/>
      <c r="BI127" s="3221"/>
      <c r="BJ127" s="3221"/>
      <c r="BK127" s="3221"/>
      <c r="BL127" s="3221"/>
      <c r="BM127" s="3221"/>
      <c r="BN127" s="3221"/>
      <c r="BO127" s="3221"/>
      <c r="BP127" s="3221"/>
      <c r="BQ127" s="3221"/>
      <c r="BR127" s="4163"/>
      <c r="BS127" s="3922">
        <v>0</v>
      </c>
      <c r="BT127" s="4096">
        <v>1</v>
      </c>
      <c r="BU127" s="2725">
        <v>1</v>
      </c>
      <c r="BV127" s="3219">
        <v>1</v>
      </c>
      <c r="BW127" s="15846"/>
      <c r="BX127" s="4086"/>
      <c r="BY127" s="3922"/>
      <c r="BZ127" s="3922"/>
      <c r="CA127" s="4087"/>
      <c r="CB127" s="4087"/>
      <c r="CC127" s="4087"/>
      <c r="CD127" s="4087"/>
      <c r="CE127" s="4088"/>
      <c r="CF127" s="4088"/>
      <c r="CG127" s="4088"/>
      <c r="CH127" s="4088"/>
      <c r="CI127" s="4088"/>
      <c r="CJ127" s="4088"/>
      <c r="CK127" s="4088"/>
      <c r="CL127" s="4088"/>
      <c r="CM127" s="4088"/>
      <c r="CN127" s="4088"/>
      <c r="CO127" s="4088"/>
      <c r="CP127" s="4088"/>
      <c r="CQ127" s="4088"/>
      <c r="CR127" s="4088"/>
      <c r="CS127" s="4088"/>
      <c r="CT127" s="4088"/>
      <c r="CU127" s="4088"/>
      <c r="CV127" s="4088"/>
      <c r="CW127" s="4088"/>
      <c r="CX127" s="4088"/>
      <c r="CY127" s="4088"/>
      <c r="CZ127" s="4088"/>
      <c r="DA127" s="4089"/>
      <c r="DB127" s="4088"/>
      <c r="DC127" s="4088"/>
      <c r="DD127" s="4088"/>
      <c r="DE127" s="4088"/>
      <c r="DF127" s="4088"/>
      <c r="DG127" s="4088"/>
      <c r="DH127" s="4088"/>
      <c r="DI127" s="4088"/>
      <c r="DJ127" s="4088"/>
      <c r="DK127" s="4088"/>
      <c r="DL127" s="4088"/>
      <c r="DM127" s="4088"/>
      <c r="DN127" s="4286"/>
      <c r="DO127" s="1833"/>
      <c r="DP127" s="4456"/>
      <c r="DQ127" s="4448"/>
      <c r="DR127" s="4448"/>
      <c r="DS127" s="4448"/>
      <c r="DT127" s="3224"/>
      <c r="DU127" s="3224"/>
      <c r="DV127" s="3224"/>
      <c r="DW127" s="3224"/>
      <c r="DX127" s="3224"/>
      <c r="DY127" s="3224"/>
      <c r="DZ127" s="3224"/>
      <c r="EA127" s="3224"/>
      <c r="EB127" s="3224"/>
      <c r="EC127" s="3224"/>
      <c r="ED127" s="3224"/>
      <c r="EE127" s="3224"/>
      <c r="EF127" s="3224"/>
      <c r="EG127" s="3224"/>
      <c r="EH127" s="3224"/>
      <c r="EI127" s="3224"/>
      <c r="EJ127" s="3224"/>
      <c r="EK127" s="3224"/>
      <c r="EL127" s="3224"/>
      <c r="EM127" s="3224"/>
      <c r="EN127" s="3224"/>
      <c r="EO127" s="3224"/>
      <c r="EP127" s="3224"/>
      <c r="EQ127" s="3224"/>
      <c r="ER127" s="3224"/>
      <c r="ES127" s="3224"/>
      <c r="ET127" s="3224"/>
      <c r="EU127" s="3224"/>
      <c r="EV127" s="3224"/>
      <c r="EW127" s="3224"/>
      <c r="EX127" s="3224"/>
      <c r="EY127" s="3224"/>
      <c r="EZ127" s="3224"/>
      <c r="FA127" s="3224"/>
      <c r="FB127" s="3224"/>
      <c r="FC127" s="3224"/>
      <c r="FD127" s="3224"/>
      <c r="FE127" s="3224"/>
      <c r="FF127" s="3224"/>
      <c r="FG127" s="3224"/>
      <c r="FH127" s="3224"/>
      <c r="FI127" s="2057"/>
    </row>
    <row r="128" spans="1:165" s="1834" customFormat="1" ht="15" customHeight="1">
      <c r="A128" s="15793"/>
      <c r="B128" s="15716"/>
      <c r="C128" s="15716"/>
      <c r="D128" s="15692"/>
      <c r="E128" s="15717"/>
      <c r="F128" s="15717"/>
      <c r="G128" s="3929"/>
      <c r="H128" s="4097"/>
      <c r="I128" s="4097"/>
      <c r="J128" s="15721"/>
      <c r="K128" s="15721"/>
      <c r="L128" s="4438" t="s">
        <v>10063</v>
      </c>
      <c r="M128" s="4097"/>
      <c r="N128" s="4094" t="s">
        <v>144</v>
      </c>
      <c r="O128" s="4165"/>
      <c r="P128" s="4165"/>
      <c r="Q128" s="4165"/>
      <c r="R128" s="4165"/>
      <c r="S128" s="4165"/>
      <c r="T128" s="4165"/>
      <c r="U128" s="4165"/>
      <c r="V128" s="4165"/>
      <c r="W128" s="4165"/>
      <c r="X128" s="4165"/>
      <c r="Y128" s="4165"/>
      <c r="Z128" s="4165"/>
      <c r="AA128" s="4166"/>
      <c r="AB128" s="4290"/>
      <c r="AC128" s="3236"/>
      <c r="AD128" s="4290"/>
      <c r="AE128" s="4167"/>
      <c r="AF128" s="3218"/>
      <c r="AG128" s="3218"/>
      <c r="AH128" s="3218"/>
      <c r="AI128" s="4168"/>
      <c r="AJ128" s="4168"/>
      <c r="AK128" s="4168"/>
      <c r="AL128" s="4168"/>
      <c r="AM128" s="4168"/>
      <c r="AN128" s="4168"/>
      <c r="AO128" s="4168"/>
      <c r="AP128" s="4168"/>
      <c r="AQ128" s="4168"/>
      <c r="AR128" s="4168"/>
      <c r="AS128" s="4168"/>
      <c r="AT128" s="4168"/>
      <c r="AU128" s="4168"/>
      <c r="AV128" s="4168"/>
      <c r="AW128" s="4168"/>
      <c r="AX128" s="4168"/>
      <c r="AY128" s="4168"/>
      <c r="AZ128" s="4168"/>
      <c r="BA128" s="4168"/>
      <c r="BB128" s="4168"/>
      <c r="BC128" s="4168"/>
      <c r="BD128" s="4168"/>
      <c r="BE128" s="4168"/>
      <c r="BF128" s="4168"/>
      <c r="BG128" s="4168"/>
      <c r="BH128" s="4168"/>
      <c r="BI128" s="3236"/>
      <c r="BJ128" s="3236"/>
      <c r="BK128" s="3236"/>
      <c r="BL128" s="3236"/>
      <c r="BM128" s="3236"/>
      <c r="BN128" s="3236"/>
      <c r="BO128" s="3236"/>
      <c r="BP128" s="3236"/>
      <c r="BQ128" s="3236"/>
      <c r="BR128" s="4169"/>
      <c r="BS128" s="3922"/>
      <c r="BT128" s="3935"/>
      <c r="BU128" s="3862"/>
      <c r="BV128" s="3219"/>
      <c r="BW128" s="15846"/>
      <c r="BX128" s="4086"/>
      <c r="BY128" s="3922"/>
      <c r="BZ128" s="3922"/>
      <c r="CA128" s="4087"/>
      <c r="CB128" s="4087"/>
      <c r="CC128" s="4087"/>
      <c r="CD128" s="4087"/>
      <c r="CE128" s="4088"/>
      <c r="CF128" s="4088"/>
      <c r="CG128" s="4088"/>
      <c r="CH128" s="4088"/>
      <c r="CI128" s="4088"/>
      <c r="CJ128" s="4088"/>
      <c r="CK128" s="4088"/>
      <c r="CL128" s="4088"/>
      <c r="CM128" s="4088"/>
      <c r="CN128" s="4088"/>
      <c r="CO128" s="4088"/>
      <c r="CP128" s="4088"/>
      <c r="CQ128" s="4088"/>
      <c r="CR128" s="4088"/>
      <c r="CS128" s="4088"/>
      <c r="CT128" s="4088"/>
      <c r="CU128" s="4088"/>
      <c r="CV128" s="4088"/>
      <c r="CW128" s="4088"/>
      <c r="CX128" s="4088"/>
      <c r="CY128" s="4088"/>
      <c r="CZ128" s="4088"/>
      <c r="DA128" s="4089"/>
      <c r="DB128" s="4088"/>
      <c r="DC128" s="4088"/>
      <c r="DD128" s="4088"/>
      <c r="DE128" s="4088"/>
      <c r="DF128" s="4088"/>
      <c r="DG128" s="4088"/>
      <c r="DH128" s="4088"/>
      <c r="DI128" s="4088"/>
      <c r="DJ128" s="4088"/>
      <c r="DK128" s="4088"/>
      <c r="DL128" s="4088"/>
      <c r="DM128" s="4088"/>
      <c r="DN128" s="4286"/>
      <c r="DO128" s="1833"/>
      <c r="DP128" s="4456"/>
      <c r="DQ128" s="4448"/>
      <c r="DR128" s="4448"/>
      <c r="DS128" s="4448"/>
      <c r="DT128" s="3224"/>
      <c r="DU128" s="3224"/>
      <c r="DV128" s="3224"/>
      <c r="DW128" s="3224"/>
      <c r="DX128" s="3224"/>
      <c r="DY128" s="3224"/>
      <c r="DZ128" s="3224"/>
      <c r="EA128" s="3224"/>
      <c r="EB128" s="3224"/>
      <c r="EC128" s="3224"/>
      <c r="ED128" s="3224"/>
      <c r="EE128" s="3224"/>
      <c r="EF128" s="3224"/>
      <c r="EG128" s="3224"/>
      <c r="EH128" s="3224"/>
      <c r="EI128" s="3224"/>
      <c r="EJ128" s="3224"/>
      <c r="EK128" s="3224"/>
      <c r="EL128" s="3224"/>
      <c r="EM128" s="3224"/>
      <c r="EN128" s="3224"/>
      <c r="EO128" s="3224"/>
      <c r="EP128" s="3224"/>
      <c r="EQ128" s="3224"/>
      <c r="ER128" s="3224"/>
      <c r="ES128" s="3224"/>
      <c r="ET128" s="3224"/>
      <c r="EU128" s="3224"/>
      <c r="EV128" s="3224"/>
      <c r="EW128" s="3224"/>
      <c r="EX128" s="3224"/>
      <c r="EY128" s="3224"/>
      <c r="EZ128" s="3224"/>
      <c r="FA128" s="3224"/>
      <c r="FB128" s="3224"/>
      <c r="FC128" s="3224"/>
      <c r="FD128" s="3224"/>
      <c r="FE128" s="3224"/>
      <c r="FF128" s="3224"/>
      <c r="FG128" s="3224"/>
      <c r="FH128" s="3224"/>
      <c r="FI128" s="2057"/>
    </row>
    <row r="129" spans="1:165" s="1834" customFormat="1" ht="15" customHeight="1">
      <c r="A129" s="15793"/>
      <c r="B129" s="15716"/>
      <c r="C129" s="15716"/>
      <c r="D129" s="15716" t="s">
        <v>7896</v>
      </c>
      <c r="E129" s="15716" t="s">
        <v>4932</v>
      </c>
      <c r="F129" s="15716" t="s">
        <v>95</v>
      </c>
      <c r="G129" s="3929"/>
      <c r="H129" s="4097"/>
      <c r="I129" s="4097"/>
      <c r="J129" s="15720" t="s">
        <v>207</v>
      </c>
      <c r="K129" s="15720" t="s">
        <v>202</v>
      </c>
      <c r="L129" s="4438" t="s">
        <v>86</v>
      </c>
      <c r="M129" s="4097" t="s">
        <v>422</v>
      </c>
      <c r="N129" s="4164"/>
      <c r="O129" s="4165">
        <v>50000000</v>
      </c>
      <c r="P129" s="4165">
        <v>51500000</v>
      </c>
      <c r="Q129" s="4165">
        <v>53045000</v>
      </c>
      <c r="R129" s="4165">
        <v>103000000</v>
      </c>
      <c r="S129" s="4165">
        <v>106090000</v>
      </c>
      <c r="T129" s="4165">
        <v>109272700</v>
      </c>
      <c r="U129" s="4165">
        <v>112550881</v>
      </c>
      <c r="V129" s="4165">
        <v>115927407.43000001</v>
      </c>
      <c r="W129" s="4165">
        <v>119405229.65290001</v>
      </c>
      <c r="X129" s="4165">
        <v>122987386.54248701</v>
      </c>
      <c r="Y129" s="4165">
        <v>257500000</v>
      </c>
      <c r="Z129" s="4165">
        <v>1201278604.6253872</v>
      </c>
      <c r="AA129" s="4166" t="s">
        <v>1732</v>
      </c>
      <c r="AB129" s="4290" t="s">
        <v>2951</v>
      </c>
      <c r="AC129" s="3236" t="s">
        <v>2951</v>
      </c>
      <c r="AD129" s="4290" t="s">
        <v>3563</v>
      </c>
      <c r="AE129" s="4167" t="s">
        <v>2951</v>
      </c>
      <c r="AF129" s="3218" t="s">
        <v>2951</v>
      </c>
      <c r="AG129" s="3218" t="s">
        <v>2951</v>
      </c>
      <c r="AH129" s="3218" t="s">
        <v>2951</v>
      </c>
      <c r="AI129" s="4168" t="s">
        <v>2951</v>
      </c>
      <c r="AJ129" s="4168" t="s">
        <v>2951</v>
      </c>
      <c r="AK129" s="4168" t="s">
        <v>2951</v>
      </c>
      <c r="AL129" s="4168" t="s">
        <v>2951</v>
      </c>
      <c r="AM129" s="4168" t="s">
        <v>2951</v>
      </c>
      <c r="AN129" s="4168" t="s">
        <v>2951</v>
      </c>
      <c r="AO129" s="4168" t="s">
        <v>2951</v>
      </c>
      <c r="AP129" s="4168" t="s">
        <v>2951</v>
      </c>
      <c r="AQ129" s="4168" t="s">
        <v>2951</v>
      </c>
      <c r="AR129" s="4168" t="s">
        <v>2951</v>
      </c>
      <c r="AS129" s="4168" t="s">
        <v>2951</v>
      </c>
      <c r="AT129" s="4168" t="s">
        <v>2951</v>
      </c>
      <c r="AU129" s="4168" t="s">
        <v>2951</v>
      </c>
      <c r="AV129" s="4168" t="s">
        <v>2951</v>
      </c>
      <c r="AW129" s="4168" t="s">
        <v>2951</v>
      </c>
      <c r="AX129" s="4168" t="s">
        <v>2951</v>
      </c>
      <c r="AY129" s="4168" t="s">
        <v>2951</v>
      </c>
      <c r="AZ129" s="4168" t="s">
        <v>2951</v>
      </c>
      <c r="BA129" s="4168" t="s">
        <v>2951</v>
      </c>
      <c r="BB129" s="4168" t="s">
        <v>2951</v>
      </c>
      <c r="BC129" s="4168" t="s">
        <v>2951</v>
      </c>
      <c r="BD129" s="4168" t="s">
        <v>2951</v>
      </c>
      <c r="BE129" s="4168" t="s">
        <v>2951</v>
      </c>
      <c r="BF129" s="4168" t="s">
        <v>2951</v>
      </c>
      <c r="BG129" s="4168" t="s">
        <v>2951</v>
      </c>
      <c r="BH129" s="4168" t="s">
        <v>2951</v>
      </c>
      <c r="BI129" s="3236"/>
      <c r="BJ129" s="3236"/>
      <c r="BK129" s="3236"/>
      <c r="BL129" s="3236"/>
      <c r="BM129" s="3236"/>
      <c r="BN129" s="3236"/>
      <c r="BO129" s="3236"/>
      <c r="BP129" s="3236"/>
      <c r="BQ129" s="3236"/>
      <c r="BR129" s="4169"/>
      <c r="BS129" s="3922">
        <v>0</v>
      </c>
      <c r="BT129" s="3935">
        <v>5</v>
      </c>
      <c r="BU129" s="3862">
        <v>5</v>
      </c>
      <c r="BV129" s="3219">
        <v>1</v>
      </c>
      <c r="BW129" s="15846"/>
      <c r="BX129" s="4086"/>
      <c r="BY129" s="3922"/>
      <c r="BZ129" s="3922"/>
      <c r="CA129" s="4087"/>
      <c r="CB129" s="4087"/>
      <c r="CC129" s="4087"/>
      <c r="CD129" s="4087"/>
      <c r="CE129" s="4088"/>
      <c r="CF129" s="4088"/>
      <c r="CG129" s="4088"/>
      <c r="CH129" s="4088"/>
      <c r="CI129" s="4088"/>
      <c r="CJ129" s="4088"/>
      <c r="CK129" s="4088"/>
      <c r="CL129" s="4088"/>
      <c r="CM129" s="4088"/>
      <c r="CN129" s="4088"/>
      <c r="CO129" s="4088"/>
      <c r="CP129" s="4088"/>
      <c r="CQ129" s="4088"/>
      <c r="CR129" s="4088"/>
      <c r="CS129" s="4088"/>
      <c r="CT129" s="4088"/>
      <c r="CU129" s="4088"/>
      <c r="CV129" s="4088"/>
      <c r="CW129" s="4088"/>
      <c r="CX129" s="4088"/>
      <c r="CY129" s="4088"/>
      <c r="CZ129" s="4088"/>
      <c r="DA129" s="4089"/>
      <c r="DB129" s="4088"/>
      <c r="DC129" s="4088"/>
      <c r="DD129" s="4088"/>
      <c r="DE129" s="4088"/>
      <c r="DF129" s="4088"/>
      <c r="DG129" s="4088"/>
      <c r="DH129" s="4088"/>
      <c r="DI129" s="4088"/>
      <c r="DJ129" s="4088"/>
      <c r="DK129" s="4088"/>
      <c r="DL129" s="4088"/>
      <c r="DM129" s="4088"/>
      <c r="DN129" s="4286"/>
      <c r="DO129" s="1833"/>
      <c r="DP129" s="4456"/>
      <c r="DQ129" s="4448"/>
      <c r="DR129" s="4448"/>
      <c r="DS129" s="4448"/>
      <c r="DT129" s="3224"/>
      <c r="DU129" s="3224"/>
      <c r="DV129" s="3224"/>
      <c r="DW129" s="3224"/>
      <c r="DX129" s="3224"/>
      <c r="DY129" s="3224"/>
      <c r="DZ129" s="3224"/>
      <c r="EA129" s="3224"/>
      <c r="EB129" s="3224"/>
      <c r="EC129" s="3224"/>
      <c r="ED129" s="3224"/>
      <c r="EE129" s="3224"/>
      <c r="EF129" s="3224"/>
      <c r="EG129" s="3224"/>
      <c r="EH129" s="3224"/>
      <c r="EI129" s="3224"/>
      <c r="EJ129" s="3224"/>
      <c r="EK129" s="3224"/>
      <c r="EL129" s="3224"/>
      <c r="EM129" s="3224"/>
      <c r="EN129" s="3224"/>
      <c r="EO129" s="3224"/>
      <c r="EP129" s="3224"/>
      <c r="EQ129" s="3224"/>
      <c r="ER129" s="3224"/>
      <c r="ES129" s="3224"/>
      <c r="ET129" s="3224"/>
      <c r="EU129" s="3224"/>
      <c r="EV129" s="3224"/>
      <c r="EW129" s="3224"/>
      <c r="EX129" s="3224"/>
      <c r="EY129" s="3224"/>
      <c r="EZ129" s="3224"/>
      <c r="FA129" s="3224"/>
      <c r="FB129" s="3224"/>
      <c r="FC129" s="3224"/>
      <c r="FD129" s="3224"/>
      <c r="FE129" s="3224"/>
      <c r="FF129" s="3224"/>
      <c r="FG129" s="3224"/>
      <c r="FH129" s="3224"/>
      <c r="FI129" s="2057"/>
    </row>
    <row r="130" spans="1:165" s="1834" customFormat="1" ht="15" customHeight="1">
      <c r="A130" s="15793"/>
      <c r="B130" s="15716"/>
      <c r="C130" s="15716"/>
      <c r="D130" s="15722"/>
      <c r="E130" s="15722"/>
      <c r="F130" s="15722"/>
      <c r="G130" s="3929"/>
      <c r="H130" s="4097"/>
      <c r="I130" s="4097"/>
      <c r="J130" s="15724"/>
      <c r="K130" s="15724"/>
      <c r="L130" s="4438" t="s">
        <v>2896</v>
      </c>
      <c r="M130" s="4097"/>
      <c r="N130" s="4164" t="s">
        <v>163</v>
      </c>
      <c r="O130" s="4165"/>
      <c r="P130" s="4165"/>
      <c r="Q130" s="4165"/>
      <c r="R130" s="4165"/>
      <c r="S130" s="4165"/>
      <c r="T130" s="4165"/>
      <c r="U130" s="4165"/>
      <c r="V130" s="4165"/>
      <c r="W130" s="4165"/>
      <c r="X130" s="4165"/>
      <c r="Y130" s="4165"/>
      <c r="Z130" s="4165"/>
      <c r="AA130" s="4166"/>
      <c r="AB130" s="4290"/>
      <c r="AC130" s="3236"/>
      <c r="AD130" s="4290"/>
      <c r="AE130" s="4167"/>
      <c r="AF130" s="3218"/>
      <c r="AG130" s="3218"/>
      <c r="AH130" s="3218"/>
      <c r="AI130" s="4168"/>
      <c r="AJ130" s="4168"/>
      <c r="AK130" s="4168"/>
      <c r="AL130" s="4168"/>
      <c r="AM130" s="4168"/>
      <c r="AN130" s="4168"/>
      <c r="AO130" s="4168"/>
      <c r="AP130" s="4168"/>
      <c r="AQ130" s="4168"/>
      <c r="AR130" s="4168"/>
      <c r="AS130" s="4168"/>
      <c r="AT130" s="4168"/>
      <c r="AU130" s="4168"/>
      <c r="AV130" s="4168"/>
      <c r="AW130" s="4168"/>
      <c r="AX130" s="4168"/>
      <c r="AY130" s="4168"/>
      <c r="AZ130" s="4168"/>
      <c r="BA130" s="4168"/>
      <c r="BB130" s="4168"/>
      <c r="BC130" s="4168"/>
      <c r="BD130" s="4168"/>
      <c r="BE130" s="4168"/>
      <c r="BF130" s="4168"/>
      <c r="BG130" s="4168"/>
      <c r="BH130" s="4168"/>
      <c r="BI130" s="3236"/>
      <c r="BJ130" s="3236"/>
      <c r="BK130" s="3236"/>
      <c r="BL130" s="3236"/>
      <c r="BM130" s="3236"/>
      <c r="BN130" s="3236"/>
      <c r="BO130" s="3236"/>
      <c r="BP130" s="3236"/>
      <c r="BQ130" s="3236"/>
      <c r="BR130" s="4169"/>
      <c r="BS130" s="3922"/>
      <c r="BT130" s="3935"/>
      <c r="BU130" s="3862"/>
      <c r="BV130" s="3219"/>
      <c r="BW130" s="15846"/>
      <c r="BX130" s="4086"/>
      <c r="BY130" s="3922"/>
      <c r="BZ130" s="3922"/>
      <c r="CA130" s="4087"/>
      <c r="CB130" s="4087"/>
      <c r="CC130" s="4087"/>
      <c r="CD130" s="4087"/>
      <c r="CE130" s="4088"/>
      <c r="CF130" s="4088"/>
      <c r="CG130" s="4088"/>
      <c r="CH130" s="4088"/>
      <c r="CI130" s="4088"/>
      <c r="CJ130" s="4088"/>
      <c r="CK130" s="4088"/>
      <c r="CL130" s="4088"/>
      <c r="CM130" s="4088"/>
      <c r="CN130" s="4088"/>
      <c r="CO130" s="4088"/>
      <c r="CP130" s="4088"/>
      <c r="CQ130" s="4088"/>
      <c r="CR130" s="4088"/>
      <c r="CS130" s="4088"/>
      <c r="CT130" s="4088"/>
      <c r="CU130" s="4088"/>
      <c r="CV130" s="4088"/>
      <c r="CW130" s="4088"/>
      <c r="CX130" s="4088"/>
      <c r="CY130" s="4088"/>
      <c r="CZ130" s="4088"/>
      <c r="DA130" s="4089"/>
      <c r="DB130" s="4088"/>
      <c r="DC130" s="4088"/>
      <c r="DD130" s="4088"/>
      <c r="DE130" s="4088"/>
      <c r="DF130" s="4088"/>
      <c r="DG130" s="4088"/>
      <c r="DH130" s="4088"/>
      <c r="DI130" s="4088"/>
      <c r="DJ130" s="4088"/>
      <c r="DK130" s="4088"/>
      <c r="DL130" s="4088"/>
      <c r="DM130" s="4088"/>
      <c r="DN130" s="4286"/>
      <c r="DO130" s="1833"/>
      <c r="DP130" s="4456"/>
      <c r="DQ130" s="4448"/>
      <c r="DR130" s="4448"/>
      <c r="DS130" s="4448"/>
      <c r="DT130" s="3224"/>
      <c r="DU130" s="3224"/>
      <c r="DV130" s="3224"/>
      <c r="DW130" s="3224"/>
      <c r="DX130" s="3224"/>
      <c r="DY130" s="3224"/>
      <c r="DZ130" s="3224"/>
      <c r="EA130" s="3224"/>
      <c r="EB130" s="3224"/>
      <c r="EC130" s="3224"/>
      <c r="ED130" s="3224"/>
      <c r="EE130" s="3224"/>
      <c r="EF130" s="3224"/>
      <c r="EG130" s="3224"/>
      <c r="EH130" s="3224"/>
      <c r="EI130" s="3224"/>
      <c r="EJ130" s="3224"/>
      <c r="EK130" s="3224"/>
      <c r="EL130" s="3224"/>
      <c r="EM130" s="3224"/>
      <c r="EN130" s="3224"/>
      <c r="EO130" s="3224"/>
      <c r="EP130" s="3224"/>
      <c r="EQ130" s="3224"/>
      <c r="ER130" s="3224"/>
      <c r="ES130" s="3224"/>
      <c r="ET130" s="3224"/>
      <c r="EU130" s="3224"/>
      <c r="EV130" s="3224"/>
      <c r="EW130" s="3224"/>
      <c r="EX130" s="3224"/>
      <c r="EY130" s="3224"/>
      <c r="EZ130" s="3224"/>
      <c r="FA130" s="3224"/>
      <c r="FB130" s="3224"/>
      <c r="FC130" s="3224"/>
      <c r="FD130" s="3224"/>
      <c r="FE130" s="3224"/>
      <c r="FF130" s="3224"/>
      <c r="FG130" s="3224"/>
      <c r="FH130" s="3224"/>
      <c r="FI130" s="2057"/>
    </row>
    <row r="131" spans="1:165" s="1834" customFormat="1" ht="15" customHeight="1" thickBot="1">
      <c r="A131" s="15794"/>
      <c r="B131" s="15796"/>
      <c r="C131" s="15796"/>
      <c r="D131" s="15775"/>
      <c r="E131" s="15775"/>
      <c r="F131" s="15775"/>
      <c r="G131" s="3888" t="s">
        <v>70</v>
      </c>
      <c r="H131" s="1964" t="s">
        <v>205</v>
      </c>
      <c r="I131" s="1964" t="s">
        <v>1458</v>
      </c>
      <c r="J131" s="15872"/>
      <c r="K131" s="15872"/>
      <c r="L131" s="4439" t="s">
        <v>208</v>
      </c>
      <c r="M131" s="1964"/>
      <c r="N131" s="1964" t="s">
        <v>208</v>
      </c>
      <c r="O131" s="1965"/>
      <c r="P131" s="1966"/>
      <c r="Q131" s="1966"/>
      <c r="R131" s="1966"/>
      <c r="S131" s="1966"/>
      <c r="T131" s="1966"/>
      <c r="U131" s="1966"/>
      <c r="V131" s="1966"/>
      <c r="W131" s="1966"/>
      <c r="X131" s="1966"/>
      <c r="Y131" s="1966"/>
      <c r="Z131" s="1966"/>
      <c r="AA131" s="3008"/>
      <c r="AB131" s="3008"/>
      <c r="AC131" s="3008"/>
      <c r="AD131" s="3008"/>
      <c r="AE131" s="4306"/>
      <c r="AF131" s="4306"/>
      <c r="AG131" s="4306"/>
      <c r="AH131" s="4306"/>
      <c r="AI131" s="4306"/>
      <c r="AJ131" s="4306"/>
      <c r="AK131" s="4306"/>
      <c r="AL131" s="4306"/>
      <c r="AM131" s="4306"/>
      <c r="AN131" s="4306"/>
      <c r="AO131" s="4306"/>
      <c r="AP131" s="4306"/>
      <c r="AQ131" s="4306"/>
      <c r="AR131" s="4306"/>
      <c r="AS131" s="4306"/>
      <c r="AT131" s="4306"/>
      <c r="AU131" s="4306"/>
      <c r="AV131" s="4306"/>
      <c r="AW131" s="4306"/>
      <c r="AX131" s="4306"/>
      <c r="AY131" s="4306"/>
      <c r="AZ131" s="4306"/>
      <c r="BA131" s="4306"/>
      <c r="BB131" s="4306"/>
      <c r="BC131" s="4306"/>
      <c r="BD131" s="4306"/>
      <c r="BE131" s="4306"/>
      <c r="BF131" s="4306"/>
      <c r="BG131" s="4306"/>
      <c r="BH131" s="4306"/>
      <c r="BI131" s="1749"/>
      <c r="BJ131" s="1749"/>
      <c r="BK131" s="1749"/>
      <c r="BL131" s="1749"/>
      <c r="BM131" s="1749"/>
      <c r="BN131" s="1749"/>
      <c r="BO131" s="1749"/>
      <c r="BP131" s="1749"/>
      <c r="BQ131" s="1749"/>
      <c r="BR131" s="1967"/>
      <c r="BS131" s="2011"/>
      <c r="BT131" s="1870"/>
      <c r="BU131" s="3008"/>
      <c r="BV131" s="4307"/>
      <c r="BW131" s="15847"/>
      <c r="BX131" s="4308"/>
      <c r="BY131" s="2011"/>
      <c r="BZ131" s="2011"/>
      <c r="CA131" s="4309"/>
      <c r="CB131" s="4309"/>
      <c r="CC131" s="4309"/>
      <c r="CD131" s="4309"/>
      <c r="CE131" s="4310"/>
      <c r="CF131" s="4310"/>
      <c r="CG131" s="4310"/>
      <c r="CH131" s="4310"/>
      <c r="CI131" s="4310"/>
      <c r="CJ131" s="4310"/>
      <c r="CK131" s="4310"/>
      <c r="CL131" s="4310"/>
      <c r="CM131" s="4310"/>
      <c r="CN131" s="4310"/>
      <c r="CO131" s="4310"/>
      <c r="CP131" s="4310"/>
      <c r="CQ131" s="4310"/>
      <c r="CR131" s="4310"/>
      <c r="CS131" s="4310"/>
      <c r="CT131" s="4310"/>
      <c r="CU131" s="4310"/>
      <c r="CV131" s="4310"/>
      <c r="CW131" s="4310"/>
      <c r="CX131" s="4310"/>
      <c r="CY131" s="4310"/>
      <c r="CZ131" s="4310"/>
      <c r="DA131" s="4311"/>
      <c r="DB131" s="4310"/>
      <c r="DC131" s="4310"/>
      <c r="DD131" s="4310"/>
      <c r="DE131" s="4310"/>
      <c r="DF131" s="4310"/>
      <c r="DG131" s="4310"/>
      <c r="DH131" s="4310"/>
      <c r="DI131" s="4310"/>
      <c r="DJ131" s="4310"/>
      <c r="DK131" s="4310"/>
      <c r="DL131" s="4310"/>
      <c r="DM131" s="4310"/>
      <c r="DN131" s="4312"/>
      <c r="DO131" s="1833"/>
      <c r="DP131" s="4469"/>
      <c r="DQ131" s="4470"/>
      <c r="DR131" s="4470"/>
      <c r="DS131" s="4470"/>
      <c r="DT131" s="1751"/>
      <c r="DU131" s="1751"/>
      <c r="DV131" s="1751"/>
      <c r="DW131" s="1751"/>
      <c r="DX131" s="1751"/>
      <c r="DY131" s="1751"/>
      <c r="DZ131" s="1751"/>
      <c r="EA131" s="1751"/>
      <c r="EB131" s="1751"/>
      <c r="EC131" s="1751"/>
      <c r="ED131" s="1751"/>
      <c r="EE131" s="1751"/>
      <c r="EF131" s="1751"/>
      <c r="EG131" s="1751"/>
      <c r="EH131" s="1751"/>
      <c r="EI131" s="1751"/>
      <c r="EJ131" s="1751"/>
      <c r="EK131" s="1751"/>
      <c r="EL131" s="1751"/>
      <c r="EM131" s="1751"/>
      <c r="EN131" s="1751"/>
      <c r="EO131" s="1751"/>
      <c r="EP131" s="1751"/>
      <c r="EQ131" s="1751"/>
      <c r="ER131" s="1751"/>
      <c r="ES131" s="1751"/>
      <c r="ET131" s="1751"/>
      <c r="EU131" s="1751"/>
      <c r="EV131" s="1751"/>
      <c r="EW131" s="1751"/>
      <c r="EX131" s="1751"/>
      <c r="EY131" s="1751"/>
      <c r="EZ131" s="1751"/>
      <c r="FA131" s="1751"/>
      <c r="FB131" s="1751"/>
      <c r="FC131" s="1751"/>
      <c r="FD131" s="1751"/>
      <c r="FE131" s="1751"/>
      <c r="FF131" s="1751"/>
      <c r="FG131" s="1751"/>
      <c r="FH131" s="1751"/>
      <c r="FI131" s="1869"/>
    </row>
    <row r="132" spans="1:165" s="1801" customFormat="1" ht="15" customHeight="1">
      <c r="A132" s="15797" t="s">
        <v>1459</v>
      </c>
      <c r="B132" s="15801" t="s">
        <v>1460</v>
      </c>
      <c r="C132" s="15878" t="s">
        <v>1461</v>
      </c>
      <c r="D132" s="15877" t="s">
        <v>7897</v>
      </c>
      <c r="E132" s="15878" t="s">
        <v>1462</v>
      </c>
      <c r="F132" s="15878" t="s">
        <v>497</v>
      </c>
      <c r="G132" s="3877" t="s">
        <v>254</v>
      </c>
      <c r="H132" s="1968">
        <v>1</v>
      </c>
      <c r="I132" s="1968">
        <v>1</v>
      </c>
      <c r="J132" s="15879">
        <v>1</v>
      </c>
      <c r="K132" s="15879" t="s">
        <v>1463</v>
      </c>
      <c r="L132" s="4440" t="s">
        <v>10066</v>
      </c>
      <c r="M132" s="1968" t="s">
        <v>298</v>
      </c>
      <c r="N132" s="1968"/>
      <c r="O132" s="1969">
        <v>20000000</v>
      </c>
      <c r="P132" s="1970">
        <v>20600000</v>
      </c>
      <c r="Q132" s="1970">
        <v>21218000</v>
      </c>
      <c r="R132" s="1970">
        <v>21854540</v>
      </c>
      <c r="S132" s="1970">
        <v>22510176.199999999</v>
      </c>
      <c r="T132" s="1970">
        <v>23185481.486000001</v>
      </c>
      <c r="U132" s="1970">
        <v>23881045.930580001</v>
      </c>
      <c r="V132" s="1970">
        <v>24597477.308497403</v>
      </c>
      <c r="W132" s="1970">
        <v>25335401.627752326</v>
      </c>
      <c r="X132" s="1970">
        <v>26095463.676584896</v>
      </c>
      <c r="Y132" s="1970">
        <v>26878327.586882442</v>
      </c>
      <c r="Z132" s="1969">
        <v>256155913.81629708</v>
      </c>
      <c r="AA132" s="1971">
        <v>1</v>
      </c>
      <c r="AB132" s="1494" t="s">
        <v>3930</v>
      </c>
      <c r="AC132" s="1972" t="s">
        <v>3931</v>
      </c>
      <c r="AD132" s="1972"/>
      <c r="AE132" s="1973">
        <v>2482500</v>
      </c>
      <c r="AF132" s="1972" t="s">
        <v>2943</v>
      </c>
      <c r="AG132" s="1972"/>
      <c r="AH132" s="1972"/>
      <c r="AI132" s="1972">
        <v>84</v>
      </c>
      <c r="AJ132" s="1972"/>
      <c r="AK132" s="1972"/>
      <c r="AL132" s="1972"/>
      <c r="AM132" s="1972"/>
      <c r="AN132" s="1972"/>
      <c r="AO132" s="1972"/>
      <c r="AP132" s="1972"/>
      <c r="AQ132" s="1972"/>
      <c r="AR132" s="1972"/>
      <c r="AS132" s="1972"/>
      <c r="AT132" s="1972"/>
      <c r="AU132" s="1972"/>
      <c r="AV132" s="1972"/>
      <c r="AW132" s="1972"/>
      <c r="AX132" s="1972"/>
      <c r="AY132" s="1972"/>
      <c r="AZ132" s="1972"/>
      <c r="BA132" s="1972"/>
      <c r="BB132" s="1972"/>
      <c r="BC132" s="1972"/>
      <c r="BD132" s="1972"/>
      <c r="BE132" s="1972" t="s">
        <v>2891</v>
      </c>
      <c r="BF132" s="1972"/>
      <c r="BG132" s="1972"/>
      <c r="BH132" s="1972"/>
      <c r="BI132" s="1972"/>
      <c r="BJ132" s="1972"/>
      <c r="BK132" s="1972"/>
      <c r="BL132" s="1494" t="s">
        <v>3932</v>
      </c>
      <c r="BM132" s="1972"/>
      <c r="BN132" s="1972"/>
      <c r="BO132" s="1972"/>
      <c r="BP132" s="1972"/>
      <c r="BQ132" s="1972"/>
      <c r="BR132" s="1974"/>
      <c r="BS132" s="4300" t="s">
        <v>9701</v>
      </c>
      <c r="BT132" s="1460">
        <v>1</v>
      </c>
      <c r="BU132" s="4300">
        <v>0</v>
      </c>
      <c r="BV132" s="3861">
        <v>0</v>
      </c>
      <c r="BW132" s="15851">
        <v>0</v>
      </c>
      <c r="BX132" s="4301"/>
      <c r="BY132" s="4300"/>
      <c r="BZ132" s="4300"/>
      <c r="CA132" s="4302"/>
      <c r="CB132" s="4302"/>
      <c r="CC132" s="4302"/>
      <c r="CD132" s="4302"/>
      <c r="CE132" s="4303"/>
      <c r="CF132" s="4303"/>
      <c r="CG132" s="4303"/>
      <c r="CH132" s="4303"/>
      <c r="CI132" s="4303"/>
      <c r="CJ132" s="4303"/>
      <c r="CK132" s="4303"/>
      <c r="CL132" s="4303"/>
      <c r="CM132" s="4303"/>
      <c r="CN132" s="4303"/>
      <c r="CO132" s="4303"/>
      <c r="CP132" s="4303"/>
      <c r="CQ132" s="4303"/>
      <c r="CR132" s="4303"/>
      <c r="CS132" s="4303"/>
      <c r="CT132" s="4303"/>
      <c r="CU132" s="4303"/>
      <c r="CV132" s="4303"/>
      <c r="CW132" s="4303"/>
      <c r="CX132" s="4303"/>
      <c r="CY132" s="4303"/>
      <c r="CZ132" s="4303"/>
      <c r="DA132" s="4304"/>
      <c r="DB132" s="4303"/>
      <c r="DC132" s="4303"/>
      <c r="DD132" s="4303"/>
      <c r="DE132" s="4303"/>
      <c r="DF132" s="4303"/>
      <c r="DG132" s="4303"/>
      <c r="DH132" s="4303"/>
      <c r="DI132" s="4303"/>
      <c r="DJ132" s="4303"/>
      <c r="DK132" s="4303"/>
      <c r="DL132" s="4303"/>
      <c r="DM132" s="4303"/>
      <c r="DN132" s="4305"/>
      <c r="DO132" s="1800"/>
      <c r="DP132" s="4468"/>
      <c r="DQ132" s="1973"/>
      <c r="DR132" s="1973"/>
      <c r="DS132" s="1973"/>
      <c r="DT132" s="1972"/>
      <c r="DU132" s="1972"/>
      <c r="DV132" s="1972"/>
      <c r="DW132" s="1972"/>
      <c r="DX132" s="1972"/>
      <c r="DY132" s="1972"/>
      <c r="DZ132" s="1972"/>
      <c r="EA132" s="1972"/>
      <c r="EB132" s="1972"/>
      <c r="EC132" s="1972"/>
      <c r="ED132" s="1972"/>
      <c r="EE132" s="1972"/>
      <c r="EF132" s="1972"/>
      <c r="EG132" s="1972"/>
      <c r="EH132" s="1972"/>
      <c r="EI132" s="1972"/>
      <c r="EJ132" s="1972"/>
      <c r="EK132" s="1972"/>
      <c r="EL132" s="1972"/>
      <c r="EM132" s="1972"/>
      <c r="EN132" s="1972"/>
      <c r="EO132" s="1972"/>
      <c r="EP132" s="1972"/>
      <c r="EQ132" s="1972"/>
      <c r="ER132" s="1972"/>
      <c r="ES132" s="1972"/>
      <c r="ET132" s="1972"/>
      <c r="EU132" s="1972"/>
      <c r="EV132" s="1972"/>
      <c r="EW132" s="1972"/>
      <c r="EX132" s="1972"/>
      <c r="EY132" s="1972"/>
      <c r="EZ132" s="1972"/>
      <c r="FA132" s="1972"/>
      <c r="FB132" s="1972"/>
      <c r="FC132" s="1972"/>
      <c r="FD132" s="1972"/>
      <c r="FE132" s="1972"/>
      <c r="FF132" s="1972"/>
      <c r="FG132" s="1972"/>
      <c r="FH132" s="1972"/>
      <c r="FI132" s="1974"/>
    </row>
    <row r="133" spans="1:165" s="1801" customFormat="1" ht="15" customHeight="1">
      <c r="A133" s="15797"/>
      <c r="B133" s="15801"/>
      <c r="C133" s="15801"/>
      <c r="D133" s="15876"/>
      <c r="E133" s="15801"/>
      <c r="F133" s="15801"/>
      <c r="G133" s="3877"/>
      <c r="H133" s="1968"/>
      <c r="I133" s="1968"/>
      <c r="J133" s="15874"/>
      <c r="K133" s="15874"/>
      <c r="L133" s="4440" t="s">
        <v>10063</v>
      </c>
      <c r="M133" s="1968"/>
      <c r="N133" s="1968" t="s">
        <v>316</v>
      </c>
      <c r="O133" s="1969"/>
      <c r="P133" s="1970"/>
      <c r="Q133" s="1970"/>
      <c r="R133" s="1970"/>
      <c r="S133" s="1970"/>
      <c r="T133" s="1970"/>
      <c r="U133" s="1970"/>
      <c r="V133" s="1970"/>
      <c r="W133" s="1970"/>
      <c r="X133" s="1970"/>
      <c r="Y133" s="1970"/>
      <c r="Z133" s="1969"/>
      <c r="AA133" s="1971"/>
      <c r="AB133" s="1494"/>
      <c r="AC133" s="1972"/>
      <c r="AD133" s="1972"/>
      <c r="AE133" s="1973"/>
      <c r="AF133" s="1972"/>
      <c r="AG133" s="1972"/>
      <c r="AH133" s="1972"/>
      <c r="AI133" s="1972"/>
      <c r="AJ133" s="1972"/>
      <c r="AK133" s="1972"/>
      <c r="AL133" s="1972"/>
      <c r="AM133" s="1972"/>
      <c r="AN133" s="1972"/>
      <c r="AO133" s="1972"/>
      <c r="AP133" s="1972"/>
      <c r="AQ133" s="1972"/>
      <c r="AR133" s="1972"/>
      <c r="AS133" s="1972"/>
      <c r="AT133" s="1972"/>
      <c r="AU133" s="1972"/>
      <c r="AV133" s="1972"/>
      <c r="AW133" s="1972"/>
      <c r="AX133" s="1972"/>
      <c r="AY133" s="1972"/>
      <c r="AZ133" s="1972"/>
      <c r="BA133" s="1972"/>
      <c r="BB133" s="1972"/>
      <c r="BC133" s="1972"/>
      <c r="BD133" s="1972"/>
      <c r="BE133" s="1972"/>
      <c r="BF133" s="1972"/>
      <c r="BG133" s="1972"/>
      <c r="BH133" s="1972"/>
      <c r="BI133" s="1972"/>
      <c r="BJ133" s="1972"/>
      <c r="BK133" s="1972"/>
      <c r="BL133" s="1494"/>
      <c r="BM133" s="1972"/>
      <c r="BN133" s="1972"/>
      <c r="BO133" s="1972"/>
      <c r="BP133" s="1972"/>
      <c r="BQ133" s="1972"/>
      <c r="BR133" s="1974"/>
      <c r="BS133" s="4170"/>
      <c r="BT133" s="1460"/>
      <c r="BU133" s="4170"/>
      <c r="BV133" s="3110"/>
      <c r="BW133" s="15851"/>
      <c r="BX133" s="4171"/>
      <c r="BY133" s="4170"/>
      <c r="BZ133" s="4170"/>
      <c r="CA133" s="4172"/>
      <c r="CB133" s="4172"/>
      <c r="CC133" s="4172"/>
      <c r="CD133" s="4172"/>
      <c r="CE133" s="3105"/>
      <c r="CF133" s="3105"/>
      <c r="CG133" s="3105"/>
      <c r="CH133" s="3105"/>
      <c r="CI133" s="3105"/>
      <c r="CJ133" s="3105"/>
      <c r="CK133" s="3105"/>
      <c r="CL133" s="3105"/>
      <c r="CM133" s="3105"/>
      <c r="CN133" s="3105"/>
      <c r="CO133" s="3105"/>
      <c r="CP133" s="3105"/>
      <c r="CQ133" s="3105"/>
      <c r="CR133" s="3105"/>
      <c r="CS133" s="3105"/>
      <c r="CT133" s="3105"/>
      <c r="CU133" s="3105"/>
      <c r="CV133" s="3105"/>
      <c r="CW133" s="3105"/>
      <c r="CX133" s="3105"/>
      <c r="CY133" s="3105"/>
      <c r="CZ133" s="3105"/>
      <c r="DA133" s="4173"/>
      <c r="DB133" s="3105"/>
      <c r="DC133" s="3105"/>
      <c r="DD133" s="3105"/>
      <c r="DE133" s="3105"/>
      <c r="DF133" s="3105"/>
      <c r="DG133" s="3105"/>
      <c r="DH133" s="3105"/>
      <c r="DI133" s="3105"/>
      <c r="DJ133" s="3105"/>
      <c r="DK133" s="3105"/>
      <c r="DL133" s="3105"/>
      <c r="DM133" s="3105"/>
      <c r="DN133" s="4291"/>
      <c r="DO133" s="1800"/>
      <c r="DP133" s="4462"/>
      <c r="DQ133" s="4453"/>
      <c r="DR133" s="4453"/>
      <c r="DS133" s="4453"/>
      <c r="DT133" s="3122"/>
      <c r="DU133" s="3122"/>
      <c r="DV133" s="3122"/>
      <c r="DW133" s="3122"/>
      <c r="DX133" s="3122"/>
      <c r="DY133" s="3122"/>
      <c r="DZ133" s="3122"/>
      <c r="EA133" s="3122"/>
      <c r="EB133" s="3122"/>
      <c r="EC133" s="3122"/>
      <c r="ED133" s="3122"/>
      <c r="EE133" s="3122"/>
      <c r="EF133" s="3122"/>
      <c r="EG133" s="3122"/>
      <c r="EH133" s="3122"/>
      <c r="EI133" s="3122"/>
      <c r="EJ133" s="3122"/>
      <c r="EK133" s="3122"/>
      <c r="EL133" s="3122"/>
      <c r="EM133" s="3122"/>
      <c r="EN133" s="3122"/>
      <c r="EO133" s="3122"/>
      <c r="EP133" s="3122"/>
      <c r="EQ133" s="3122"/>
      <c r="ER133" s="3122"/>
      <c r="ES133" s="3122"/>
      <c r="ET133" s="3122"/>
      <c r="EU133" s="3122"/>
      <c r="EV133" s="3122"/>
      <c r="EW133" s="3122"/>
      <c r="EX133" s="3122"/>
      <c r="EY133" s="3122"/>
      <c r="EZ133" s="3122"/>
      <c r="FA133" s="3122"/>
      <c r="FB133" s="3122"/>
      <c r="FC133" s="3122"/>
      <c r="FD133" s="3122"/>
      <c r="FE133" s="3122"/>
      <c r="FF133" s="3122"/>
      <c r="FG133" s="3122"/>
      <c r="FH133" s="3122"/>
      <c r="FI133" s="4176"/>
    </row>
    <row r="134" spans="1:165" s="1801" customFormat="1" ht="15" customHeight="1">
      <c r="A134" s="15798"/>
      <c r="B134" s="15802"/>
      <c r="C134" s="15803" t="s">
        <v>1464</v>
      </c>
      <c r="D134" s="15875" t="s">
        <v>7898</v>
      </c>
      <c r="E134" s="15803" t="s">
        <v>1465</v>
      </c>
      <c r="F134" s="15803" t="s">
        <v>1466</v>
      </c>
      <c r="G134" s="4174" t="s">
        <v>254</v>
      </c>
      <c r="H134" s="2737">
        <v>1</v>
      </c>
      <c r="I134" s="2737" t="s">
        <v>1467</v>
      </c>
      <c r="J134" s="15873" t="s">
        <v>1468</v>
      </c>
      <c r="K134" s="15873" t="s">
        <v>1469</v>
      </c>
      <c r="L134" s="4441" t="s">
        <v>10066</v>
      </c>
      <c r="M134" s="2737" t="s">
        <v>298</v>
      </c>
      <c r="N134" s="2737"/>
      <c r="O134" s="4175"/>
      <c r="P134" s="4175"/>
      <c r="Q134" s="4175"/>
      <c r="R134" s="4175"/>
      <c r="S134" s="4175"/>
      <c r="T134" s="4175"/>
      <c r="U134" s="2737"/>
      <c r="V134" s="4175"/>
      <c r="W134" s="4175"/>
      <c r="X134" s="4175"/>
      <c r="Y134" s="4175"/>
      <c r="Z134" s="4175"/>
      <c r="AA134" s="1971">
        <v>1</v>
      </c>
      <c r="AB134" s="3119" t="s">
        <v>3933</v>
      </c>
      <c r="AC134" s="3122" t="s">
        <v>3934</v>
      </c>
      <c r="AD134" s="3119" t="s">
        <v>3935</v>
      </c>
      <c r="AE134" s="3122"/>
      <c r="AF134" s="3122"/>
      <c r="AG134" s="3122"/>
      <c r="AH134" s="3122"/>
      <c r="AI134" s="3122"/>
      <c r="AJ134" s="3122"/>
      <c r="AK134" s="3122"/>
      <c r="AL134" s="3122"/>
      <c r="AM134" s="3122"/>
      <c r="AN134" s="3122"/>
      <c r="AO134" s="3122"/>
      <c r="AP134" s="3122"/>
      <c r="AQ134" s="3122"/>
      <c r="AR134" s="3122"/>
      <c r="AS134" s="3122"/>
      <c r="AT134" s="3122"/>
      <c r="AU134" s="3122"/>
      <c r="AV134" s="3122"/>
      <c r="AW134" s="3122"/>
      <c r="AX134" s="3122"/>
      <c r="AY134" s="3122"/>
      <c r="AZ134" s="3122"/>
      <c r="BA134" s="3122"/>
      <c r="BB134" s="3122"/>
      <c r="BC134" s="3122"/>
      <c r="BD134" s="3122"/>
      <c r="BE134" s="3122"/>
      <c r="BF134" s="3122"/>
      <c r="BG134" s="3122"/>
      <c r="BH134" s="3122"/>
      <c r="BI134" s="3122"/>
      <c r="BJ134" s="3122"/>
      <c r="BK134" s="3122"/>
      <c r="BL134" s="3122"/>
      <c r="BM134" s="3122"/>
      <c r="BN134" s="3122"/>
      <c r="BO134" s="3122"/>
      <c r="BP134" s="3122"/>
      <c r="BQ134" s="3122"/>
      <c r="BR134" s="4176"/>
      <c r="BS134" s="4170" t="s">
        <v>9701</v>
      </c>
      <c r="BT134" s="3109">
        <v>1</v>
      </c>
      <c r="BU134" s="3104">
        <v>0</v>
      </c>
      <c r="BV134" s="3110">
        <v>0</v>
      </c>
      <c r="BW134" s="15851"/>
      <c r="BX134" s="4171"/>
      <c r="BY134" s="4170"/>
      <c r="BZ134" s="4170"/>
      <c r="CA134" s="4172"/>
      <c r="CB134" s="4172"/>
      <c r="CC134" s="4172"/>
      <c r="CD134" s="4172"/>
      <c r="CE134" s="3105"/>
      <c r="CF134" s="3105"/>
      <c r="CG134" s="3105"/>
      <c r="CH134" s="3105"/>
      <c r="CI134" s="3105"/>
      <c r="CJ134" s="3105"/>
      <c r="CK134" s="3105"/>
      <c r="CL134" s="3105"/>
      <c r="CM134" s="3105"/>
      <c r="CN134" s="3105"/>
      <c r="CO134" s="3105"/>
      <c r="CP134" s="3105"/>
      <c r="CQ134" s="3105"/>
      <c r="CR134" s="3105"/>
      <c r="CS134" s="3105"/>
      <c r="CT134" s="3105"/>
      <c r="CU134" s="3105"/>
      <c r="CV134" s="3105"/>
      <c r="CW134" s="3105"/>
      <c r="CX134" s="3105"/>
      <c r="CY134" s="3105"/>
      <c r="CZ134" s="3105"/>
      <c r="DA134" s="4173"/>
      <c r="DB134" s="3105"/>
      <c r="DC134" s="3105"/>
      <c r="DD134" s="3105"/>
      <c r="DE134" s="3105"/>
      <c r="DF134" s="3105"/>
      <c r="DG134" s="3105"/>
      <c r="DH134" s="3105"/>
      <c r="DI134" s="3105"/>
      <c r="DJ134" s="3105"/>
      <c r="DK134" s="3105"/>
      <c r="DL134" s="3105"/>
      <c r="DM134" s="3105"/>
      <c r="DN134" s="4291"/>
      <c r="DO134" s="1800"/>
      <c r="DP134" s="4462"/>
      <c r="DQ134" s="4453"/>
      <c r="DR134" s="4453"/>
      <c r="DS134" s="4453"/>
      <c r="DT134" s="3122"/>
      <c r="DU134" s="3122"/>
      <c r="DV134" s="3122"/>
      <c r="DW134" s="3122"/>
      <c r="DX134" s="3122"/>
      <c r="DY134" s="3122"/>
      <c r="DZ134" s="3122"/>
      <c r="EA134" s="3122"/>
      <c r="EB134" s="3122"/>
      <c r="EC134" s="3122"/>
      <c r="ED134" s="3122"/>
      <c r="EE134" s="3122"/>
      <c r="EF134" s="3122"/>
      <c r="EG134" s="3122"/>
      <c r="EH134" s="3122"/>
      <c r="EI134" s="3122"/>
      <c r="EJ134" s="3122"/>
      <c r="EK134" s="3122"/>
      <c r="EL134" s="3122"/>
      <c r="EM134" s="3122"/>
      <c r="EN134" s="3122"/>
      <c r="EO134" s="3122"/>
      <c r="EP134" s="3122"/>
      <c r="EQ134" s="3122"/>
      <c r="ER134" s="3122"/>
      <c r="ES134" s="3122"/>
      <c r="ET134" s="3122"/>
      <c r="EU134" s="3122"/>
      <c r="EV134" s="3122"/>
      <c r="EW134" s="3122"/>
      <c r="EX134" s="3122"/>
      <c r="EY134" s="3122"/>
      <c r="EZ134" s="3122"/>
      <c r="FA134" s="3122"/>
      <c r="FB134" s="3122"/>
      <c r="FC134" s="3122"/>
      <c r="FD134" s="3122"/>
      <c r="FE134" s="3122"/>
      <c r="FF134" s="3122"/>
      <c r="FG134" s="3122"/>
      <c r="FH134" s="3122"/>
      <c r="FI134" s="4176"/>
    </row>
    <row r="135" spans="1:165" s="1801" customFormat="1" ht="15" customHeight="1">
      <c r="A135" s="15798"/>
      <c r="B135" s="15802"/>
      <c r="C135" s="15801"/>
      <c r="D135" s="15876"/>
      <c r="E135" s="15801"/>
      <c r="F135" s="15801"/>
      <c r="G135" s="4174"/>
      <c r="H135" s="2737"/>
      <c r="I135" s="2737"/>
      <c r="J135" s="15874"/>
      <c r="K135" s="15874"/>
      <c r="L135" s="4441" t="s">
        <v>10063</v>
      </c>
      <c r="M135" s="2737"/>
      <c r="N135" s="2737" t="s">
        <v>316</v>
      </c>
      <c r="O135" s="4175"/>
      <c r="P135" s="4175"/>
      <c r="Q135" s="4175"/>
      <c r="R135" s="4175"/>
      <c r="S135" s="4175"/>
      <c r="T135" s="4175"/>
      <c r="U135" s="2737"/>
      <c r="V135" s="4175"/>
      <c r="W135" s="4175"/>
      <c r="X135" s="4175"/>
      <c r="Y135" s="4175"/>
      <c r="Z135" s="4175"/>
      <c r="AA135" s="1971"/>
      <c r="AB135" s="3119"/>
      <c r="AC135" s="3122"/>
      <c r="AD135" s="3119"/>
      <c r="AE135" s="3122"/>
      <c r="AF135" s="3122"/>
      <c r="AG135" s="3122"/>
      <c r="AH135" s="3122"/>
      <c r="AI135" s="3122"/>
      <c r="AJ135" s="3122"/>
      <c r="AK135" s="3122"/>
      <c r="AL135" s="3122"/>
      <c r="AM135" s="3122"/>
      <c r="AN135" s="3122"/>
      <c r="AO135" s="3122"/>
      <c r="AP135" s="3122"/>
      <c r="AQ135" s="3122"/>
      <c r="AR135" s="3122"/>
      <c r="AS135" s="3122"/>
      <c r="AT135" s="3122"/>
      <c r="AU135" s="3122"/>
      <c r="AV135" s="3122"/>
      <c r="AW135" s="3122"/>
      <c r="AX135" s="3122"/>
      <c r="AY135" s="3122"/>
      <c r="AZ135" s="3122"/>
      <c r="BA135" s="3122"/>
      <c r="BB135" s="3122"/>
      <c r="BC135" s="3122"/>
      <c r="BD135" s="3122"/>
      <c r="BE135" s="3122"/>
      <c r="BF135" s="3122"/>
      <c r="BG135" s="3122"/>
      <c r="BH135" s="3122"/>
      <c r="BI135" s="3122"/>
      <c r="BJ135" s="3122"/>
      <c r="BK135" s="3122"/>
      <c r="BL135" s="1972"/>
      <c r="BM135" s="1972"/>
      <c r="BN135" s="3122"/>
      <c r="BO135" s="3122"/>
      <c r="BP135" s="3122"/>
      <c r="BQ135" s="3122"/>
      <c r="BR135" s="4176"/>
      <c r="BS135" s="4170"/>
      <c r="BT135" s="3109"/>
      <c r="BU135" s="3104"/>
      <c r="BV135" s="3110"/>
      <c r="BW135" s="15851"/>
      <c r="BX135" s="4171"/>
      <c r="BY135" s="4170"/>
      <c r="BZ135" s="4170"/>
      <c r="CA135" s="4172"/>
      <c r="CB135" s="4172"/>
      <c r="CC135" s="4172"/>
      <c r="CD135" s="4172"/>
      <c r="CE135" s="3105"/>
      <c r="CF135" s="3105"/>
      <c r="CG135" s="3105"/>
      <c r="CH135" s="3105"/>
      <c r="CI135" s="3105"/>
      <c r="CJ135" s="3105"/>
      <c r="CK135" s="3105"/>
      <c r="CL135" s="3105"/>
      <c r="CM135" s="3105"/>
      <c r="CN135" s="3105"/>
      <c r="CO135" s="3105"/>
      <c r="CP135" s="3105"/>
      <c r="CQ135" s="3105"/>
      <c r="CR135" s="3105"/>
      <c r="CS135" s="3105"/>
      <c r="CT135" s="3105"/>
      <c r="CU135" s="3105"/>
      <c r="CV135" s="3105"/>
      <c r="CW135" s="3105"/>
      <c r="CX135" s="3105"/>
      <c r="CY135" s="3105"/>
      <c r="CZ135" s="3105"/>
      <c r="DA135" s="4173"/>
      <c r="DB135" s="3105"/>
      <c r="DC135" s="3105"/>
      <c r="DD135" s="3105"/>
      <c r="DE135" s="3105"/>
      <c r="DF135" s="3105"/>
      <c r="DG135" s="3105"/>
      <c r="DH135" s="3105"/>
      <c r="DI135" s="3105"/>
      <c r="DJ135" s="3105"/>
      <c r="DK135" s="3105"/>
      <c r="DL135" s="3105"/>
      <c r="DM135" s="3105"/>
      <c r="DN135" s="4291"/>
      <c r="DO135" s="1800"/>
      <c r="DP135" s="4462"/>
      <c r="DQ135" s="4453"/>
      <c r="DR135" s="4453"/>
      <c r="DS135" s="4453"/>
      <c r="DT135" s="3122"/>
      <c r="DU135" s="3122"/>
      <c r="DV135" s="3122"/>
      <c r="DW135" s="3122"/>
      <c r="DX135" s="3122"/>
      <c r="DY135" s="3122"/>
      <c r="DZ135" s="3122"/>
      <c r="EA135" s="3122"/>
      <c r="EB135" s="3122"/>
      <c r="EC135" s="3122"/>
      <c r="ED135" s="3122"/>
      <c r="EE135" s="3122"/>
      <c r="EF135" s="3122"/>
      <c r="EG135" s="3122"/>
      <c r="EH135" s="3122"/>
      <c r="EI135" s="3122"/>
      <c r="EJ135" s="3122"/>
      <c r="EK135" s="3122"/>
      <c r="EL135" s="3122"/>
      <c r="EM135" s="3122"/>
      <c r="EN135" s="3122"/>
      <c r="EO135" s="3122"/>
      <c r="EP135" s="3122"/>
      <c r="EQ135" s="3122"/>
      <c r="ER135" s="3122"/>
      <c r="ES135" s="3122"/>
      <c r="ET135" s="3122"/>
      <c r="EU135" s="3122"/>
      <c r="EV135" s="3122"/>
      <c r="EW135" s="3122"/>
      <c r="EX135" s="3122"/>
      <c r="EY135" s="3122"/>
      <c r="EZ135" s="3122"/>
      <c r="FA135" s="3122"/>
      <c r="FB135" s="3122"/>
      <c r="FC135" s="3122"/>
      <c r="FD135" s="3122"/>
      <c r="FE135" s="3122"/>
      <c r="FF135" s="3122"/>
      <c r="FG135" s="3122"/>
      <c r="FH135" s="3122"/>
      <c r="FI135" s="4176"/>
    </row>
    <row r="136" spans="1:165" s="1801" customFormat="1" ht="15" customHeight="1">
      <c r="A136" s="15798"/>
      <c r="B136" s="15802"/>
      <c r="C136" s="15803" t="s">
        <v>1461</v>
      </c>
      <c r="D136" s="15875" t="s">
        <v>7899</v>
      </c>
      <c r="E136" s="15803" t="s">
        <v>1470</v>
      </c>
      <c r="F136" s="15803" t="s">
        <v>1471</v>
      </c>
      <c r="G136" s="4174" t="s">
        <v>254</v>
      </c>
      <c r="H136" s="2737">
        <v>1</v>
      </c>
      <c r="I136" s="2737">
        <v>0</v>
      </c>
      <c r="J136" s="15873">
        <v>0</v>
      </c>
      <c r="K136" s="15880" t="s">
        <v>1472</v>
      </c>
      <c r="L136" s="4442" t="s">
        <v>10063</v>
      </c>
      <c r="M136" s="2737" t="s">
        <v>316</v>
      </c>
      <c r="N136" s="2737"/>
      <c r="O136" s="4178">
        <v>60000000</v>
      </c>
      <c r="P136" s="4179">
        <v>0</v>
      </c>
      <c r="Q136" s="4179">
        <v>0</v>
      </c>
      <c r="R136" s="4179">
        <v>0</v>
      </c>
      <c r="S136" s="4179">
        <v>0</v>
      </c>
      <c r="T136" s="4179">
        <v>0</v>
      </c>
      <c r="U136" s="4179">
        <v>0</v>
      </c>
      <c r="V136" s="4179">
        <v>0</v>
      </c>
      <c r="W136" s="4179">
        <v>0</v>
      </c>
      <c r="X136" s="4179">
        <v>0</v>
      </c>
      <c r="Y136" s="4179">
        <v>0</v>
      </c>
      <c r="Z136" s="4180">
        <v>60000000</v>
      </c>
      <c r="AA136" s="3109"/>
      <c r="AB136" s="4181" t="s">
        <v>3042</v>
      </c>
      <c r="AC136" s="3109"/>
      <c r="AD136" s="3165" t="s">
        <v>3043</v>
      </c>
      <c r="AE136" s="4182">
        <f>+AF136+AG136</f>
        <v>0</v>
      </c>
      <c r="AF136" s="4182">
        <v>0</v>
      </c>
      <c r="AG136" s="4182">
        <v>0</v>
      </c>
      <c r="AH136" s="4182">
        <v>0</v>
      </c>
      <c r="AI136" s="3109"/>
      <c r="AJ136" s="3122"/>
      <c r="AK136" s="3122"/>
      <c r="AL136" s="3122"/>
      <c r="AM136" s="3122"/>
      <c r="AN136" s="3122"/>
      <c r="AO136" s="3122"/>
      <c r="AP136" s="3122"/>
      <c r="AQ136" s="3122"/>
      <c r="AR136" s="3122"/>
      <c r="AS136" s="3122"/>
      <c r="AT136" s="3122"/>
      <c r="AU136" s="3122"/>
      <c r="AV136" s="3122"/>
      <c r="AW136" s="3122"/>
      <c r="AX136" s="3122"/>
      <c r="AY136" s="3122"/>
      <c r="AZ136" s="3122"/>
      <c r="BA136" s="3122"/>
      <c r="BB136" s="3122"/>
      <c r="BC136" s="3122"/>
      <c r="BD136" s="3122"/>
      <c r="BE136" s="3122"/>
      <c r="BF136" s="3122"/>
      <c r="BG136" s="3122"/>
      <c r="BH136" s="3122"/>
      <c r="BI136" s="3165" t="s">
        <v>3020</v>
      </c>
      <c r="BJ136" s="3122" t="s">
        <v>3021</v>
      </c>
      <c r="BK136" s="3122"/>
      <c r="BL136" s="1975" t="s">
        <v>3022</v>
      </c>
      <c r="BM136" s="3864" t="s">
        <v>3023</v>
      </c>
      <c r="BN136" s="3122"/>
      <c r="BO136" s="3122"/>
      <c r="BP136" s="3122"/>
      <c r="BQ136" s="3122"/>
      <c r="BR136" s="4176"/>
      <c r="BS136" s="4170">
        <v>0</v>
      </c>
      <c r="BT136" s="3109">
        <v>1</v>
      </c>
      <c r="BU136" s="3104">
        <v>0</v>
      </c>
      <c r="BV136" s="3110">
        <v>0</v>
      </c>
      <c r="BW136" s="15851"/>
      <c r="BX136" s="4181" t="s">
        <v>9702</v>
      </c>
      <c r="BY136" s="4170"/>
      <c r="BZ136" s="4170"/>
      <c r="CA136" s="4172"/>
      <c r="CB136" s="4172"/>
      <c r="CC136" s="4172"/>
      <c r="CD136" s="4172"/>
      <c r="CE136" s="3105"/>
      <c r="CF136" s="3105"/>
      <c r="CG136" s="3105"/>
      <c r="CH136" s="3105"/>
      <c r="CI136" s="3105"/>
      <c r="CJ136" s="3105"/>
      <c r="CK136" s="3105"/>
      <c r="CL136" s="3105"/>
      <c r="CM136" s="3105"/>
      <c r="CN136" s="3105"/>
      <c r="CO136" s="3105"/>
      <c r="CP136" s="3105"/>
      <c r="CQ136" s="3105"/>
      <c r="CR136" s="3105"/>
      <c r="CS136" s="3105"/>
      <c r="CT136" s="3105"/>
      <c r="CU136" s="3105"/>
      <c r="CV136" s="3105"/>
      <c r="CW136" s="3105"/>
      <c r="CX136" s="3105"/>
      <c r="CY136" s="3105"/>
      <c r="CZ136" s="3105"/>
      <c r="DA136" s="4173"/>
      <c r="DB136" s="3105"/>
      <c r="DC136" s="3105"/>
      <c r="DD136" s="3105"/>
      <c r="DE136" s="3105"/>
      <c r="DF136" s="3105"/>
      <c r="DG136" s="3105"/>
      <c r="DH136" s="3105"/>
      <c r="DI136" s="3105"/>
      <c r="DJ136" s="3105"/>
      <c r="DK136" s="3105"/>
      <c r="DL136" s="3105"/>
      <c r="DM136" s="3105"/>
      <c r="DN136" s="4291"/>
      <c r="DO136" s="1800"/>
      <c r="DP136" s="4462"/>
      <c r="DQ136" s="4453"/>
      <c r="DR136" s="4453"/>
      <c r="DS136" s="4453"/>
      <c r="DT136" s="3122"/>
      <c r="DU136" s="3122"/>
      <c r="DV136" s="3122"/>
      <c r="DW136" s="3122"/>
      <c r="DX136" s="3122"/>
      <c r="DY136" s="3122"/>
      <c r="DZ136" s="3122"/>
      <c r="EA136" s="3122"/>
      <c r="EB136" s="3122"/>
      <c r="EC136" s="3122"/>
      <c r="ED136" s="3122"/>
      <c r="EE136" s="3122"/>
      <c r="EF136" s="3122"/>
      <c r="EG136" s="3122"/>
      <c r="EH136" s="3122"/>
      <c r="EI136" s="3122"/>
      <c r="EJ136" s="3122"/>
      <c r="EK136" s="3122"/>
      <c r="EL136" s="3122"/>
      <c r="EM136" s="3122"/>
      <c r="EN136" s="3122"/>
      <c r="EO136" s="3122"/>
      <c r="EP136" s="3122"/>
      <c r="EQ136" s="3122"/>
      <c r="ER136" s="3122"/>
      <c r="ES136" s="3122"/>
      <c r="ET136" s="3122"/>
      <c r="EU136" s="3122"/>
      <c r="EV136" s="3122"/>
      <c r="EW136" s="3122"/>
      <c r="EX136" s="3122"/>
      <c r="EY136" s="3122"/>
      <c r="EZ136" s="3122"/>
      <c r="FA136" s="3122"/>
      <c r="FB136" s="3122"/>
      <c r="FC136" s="3122"/>
      <c r="FD136" s="3122"/>
      <c r="FE136" s="3122"/>
      <c r="FF136" s="3122"/>
      <c r="FG136" s="3122"/>
      <c r="FH136" s="3122"/>
      <c r="FI136" s="4176"/>
    </row>
    <row r="137" spans="1:165" s="1801" customFormat="1" ht="15" customHeight="1">
      <c r="A137" s="15798"/>
      <c r="B137" s="15802"/>
      <c r="C137" s="15878"/>
      <c r="D137" s="15877"/>
      <c r="E137" s="15878"/>
      <c r="F137" s="15878"/>
      <c r="G137" s="4174"/>
      <c r="H137" s="2737"/>
      <c r="I137" s="2737"/>
      <c r="J137" s="15879"/>
      <c r="K137" s="15882"/>
      <c r="L137" s="4442" t="s">
        <v>10092</v>
      </c>
      <c r="M137" s="2737"/>
      <c r="N137" s="2737" t="s">
        <v>890</v>
      </c>
      <c r="O137" s="4178"/>
      <c r="P137" s="4179"/>
      <c r="Q137" s="4179"/>
      <c r="R137" s="4179"/>
      <c r="S137" s="4179"/>
      <c r="T137" s="4179"/>
      <c r="U137" s="4179"/>
      <c r="V137" s="4179"/>
      <c r="W137" s="4179"/>
      <c r="X137" s="4179"/>
      <c r="Y137" s="4179"/>
      <c r="Z137" s="4180"/>
      <c r="AA137" s="3109"/>
      <c r="AB137" s="4181"/>
      <c r="AC137" s="3109"/>
      <c r="AD137" s="3165"/>
      <c r="AE137" s="4182"/>
      <c r="AF137" s="4182"/>
      <c r="AG137" s="4182"/>
      <c r="AH137" s="4182"/>
      <c r="AI137" s="3109"/>
      <c r="AJ137" s="3122"/>
      <c r="AK137" s="3122"/>
      <c r="AL137" s="3122"/>
      <c r="AM137" s="3122"/>
      <c r="AN137" s="3122"/>
      <c r="AO137" s="3122"/>
      <c r="AP137" s="3122"/>
      <c r="AQ137" s="3122"/>
      <c r="AR137" s="3122"/>
      <c r="AS137" s="3122"/>
      <c r="AT137" s="3122"/>
      <c r="AU137" s="3122"/>
      <c r="AV137" s="3122"/>
      <c r="AW137" s="3122"/>
      <c r="AX137" s="3122"/>
      <c r="AY137" s="3122"/>
      <c r="AZ137" s="3122"/>
      <c r="BA137" s="3122"/>
      <c r="BB137" s="3122"/>
      <c r="BC137" s="3122"/>
      <c r="BD137" s="3122"/>
      <c r="BE137" s="3122"/>
      <c r="BF137" s="3122"/>
      <c r="BG137" s="3122"/>
      <c r="BH137" s="3122"/>
      <c r="BI137" s="3165"/>
      <c r="BJ137" s="3122"/>
      <c r="BK137" s="3122"/>
      <c r="BL137" s="1975"/>
      <c r="BM137" s="3864"/>
      <c r="BN137" s="3122"/>
      <c r="BO137" s="3122"/>
      <c r="BP137" s="3122"/>
      <c r="BQ137" s="3122"/>
      <c r="BR137" s="4183"/>
      <c r="BS137" s="4170"/>
      <c r="BT137" s="3109"/>
      <c r="BU137" s="3104"/>
      <c r="BV137" s="3110"/>
      <c r="BW137" s="15851"/>
      <c r="BX137" s="4181"/>
      <c r="BY137" s="4170"/>
      <c r="BZ137" s="4170"/>
      <c r="CA137" s="4172"/>
      <c r="CB137" s="4172"/>
      <c r="CC137" s="4172"/>
      <c r="CD137" s="4172"/>
      <c r="CE137" s="3105"/>
      <c r="CF137" s="3105"/>
      <c r="CG137" s="3105"/>
      <c r="CH137" s="3105"/>
      <c r="CI137" s="3105"/>
      <c r="CJ137" s="3105"/>
      <c r="CK137" s="3105"/>
      <c r="CL137" s="3105"/>
      <c r="CM137" s="3105"/>
      <c r="CN137" s="3105"/>
      <c r="CO137" s="3105"/>
      <c r="CP137" s="3105"/>
      <c r="CQ137" s="3105"/>
      <c r="CR137" s="3105"/>
      <c r="CS137" s="3105"/>
      <c r="CT137" s="3105"/>
      <c r="CU137" s="3105"/>
      <c r="CV137" s="3105"/>
      <c r="CW137" s="3105"/>
      <c r="CX137" s="3105"/>
      <c r="CY137" s="3105"/>
      <c r="CZ137" s="3105"/>
      <c r="DA137" s="4173"/>
      <c r="DB137" s="3105"/>
      <c r="DC137" s="3105"/>
      <c r="DD137" s="3105"/>
      <c r="DE137" s="3105"/>
      <c r="DF137" s="3105"/>
      <c r="DG137" s="3105"/>
      <c r="DH137" s="3105"/>
      <c r="DI137" s="3105"/>
      <c r="DJ137" s="3105"/>
      <c r="DK137" s="3105"/>
      <c r="DL137" s="3105"/>
      <c r="DM137" s="3105"/>
      <c r="DN137" s="4291"/>
      <c r="DO137" s="1800"/>
      <c r="DP137" s="4462"/>
      <c r="DQ137" s="4453"/>
      <c r="DR137" s="4453"/>
      <c r="DS137" s="4453"/>
      <c r="DT137" s="3122"/>
      <c r="DU137" s="3122"/>
      <c r="DV137" s="3122"/>
      <c r="DW137" s="3122"/>
      <c r="DX137" s="3122"/>
      <c r="DY137" s="3122"/>
      <c r="DZ137" s="3122"/>
      <c r="EA137" s="3122"/>
      <c r="EB137" s="3122"/>
      <c r="EC137" s="3122"/>
      <c r="ED137" s="3122"/>
      <c r="EE137" s="3122"/>
      <c r="EF137" s="3122"/>
      <c r="EG137" s="3122"/>
      <c r="EH137" s="3122"/>
      <c r="EI137" s="3122"/>
      <c r="EJ137" s="3122"/>
      <c r="EK137" s="3122"/>
      <c r="EL137" s="3122"/>
      <c r="EM137" s="3122"/>
      <c r="EN137" s="3122"/>
      <c r="EO137" s="3122"/>
      <c r="EP137" s="3122"/>
      <c r="EQ137" s="3122"/>
      <c r="ER137" s="3122"/>
      <c r="ES137" s="3122"/>
      <c r="ET137" s="3122"/>
      <c r="EU137" s="3122"/>
      <c r="EV137" s="3122"/>
      <c r="EW137" s="3122"/>
      <c r="EX137" s="3122"/>
      <c r="EY137" s="3122"/>
      <c r="EZ137" s="3122"/>
      <c r="FA137" s="3122"/>
      <c r="FB137" s="3122"/>
      <c r="FC137" s="3122"/>
      <c r="FD137" s="3122"/>
      <c r="FE137" s="3122"/>
      <c r="FF137" s="3122"/>
      <c r="FG137" s="3122"/>
      <c r="FH137" s="3122"/>
      <c r="FI137" s="4176"/>
    </row>
    <row r="138" spans="1:165" s="1801" customFormat="1" ht="15" customHeight="1">
      <c r="A138" s="15798"/>
      <c r="B138" s="15802"/>
      <c r="C138" s="15878"/>
      <c r="D138" s="15876"/>
      <c r="E138" s="15801"/>
      <c r="F138" s="15801"/>
      <c r="G138" s="4174"/>
      <c r="H138" s="2737"/>
      <c r="I138" s="2737"/>
      <c r="J138" s="15874"/>
      <c r="K138" s="15881"/>
      <c r="L138" s="4442" t="s">
        <v>65</v>
      </c>
      <c r="M138" s="2737"/>
      <c r="N138" s="2737" t="s">
        <v>10227</v>
      </c>
      <c r="O138" s="4178"/>
      <c r="P138" s="4179"/>
      <c r="Q138" s="4179"/>
      <c r="R138" s="4179"/>
      <c r="S138" s="4179"/>
      <c r="T138" s="4179"/>
      <c r="U138" s="4179"/>
      <c r="V138" s="4179"/>
      <c r="W138" s="4179"/>
      <c r="X138" s="4179"/>
      <c r="Y138" s="4179"/>
      <c r="Z138" s="4180"/>
      <c r="AA138" s="3109"/>
      <c r="AB138" s="4181"/>
      <c r="AC138" s="3109"/>
      <c r="AD138" s="3165"/>
      <c r="AE138" s="4182"/>
      <c r="AF138" s="4182"/>
      <c r="AG138" s="4182"/>
      <c r="AH138" s="4182"/>
      <c r="AI138" s="3109"/>
      <c r="AJ138" s="3122"/>
      <c r="AK138" s="3122"/>
      <c r="AL138" s="3122"/>
      <c r="AM138" s="3122"/>
      <c r="AN138" s="3122"/>
      <c r="AO138" s="3122"/>
      <c r="AP138" s="3122"/>
      <c r="AQ138" s="3122"/>
      <c r="AR138" s="3122"/>
      <c r="AS138" s="3122"/>
      <c r="AT138" s="3122"/>
      <c r="AU138" s="3122"/>
      <c r="AV138" s="3122"/>
      <c r="AW138" s="3122"/>
      <c r="AX138" s="3122"/>
      <c r="AY138" s="3122"/>
      <c r="AZ138" s="3122"/>
      <c r="BA138" s="3122"/>
      <c r="BB138" s="3122"/>
      <c r="BC138" s="3122"/>
      <c r="BD138" s="3122"/>
      <c r="BE138" s="3122"/>
      <c r="BF138" s="3122"/>
      <c r="BG138" s="3122"/>
      <c r="BH138" s="3122"/>
      <c r="BI138" s="3165"/>
      <c r="BJ138" s="3122"/>
      <c r="BK138" s="3122"/>
      <c r="BL138" s="1975"/>
      <c r="BM138" s="3864"/>
      <c r="BN138" s="3122"/>
      <c r="BO138" s="3122"/>
      <c r="BP138" s="3122"/>
      <c r="BQ138" s="3122"/>
      <c r="BR138" s="4183"/>
      <c r="BS138" s="4170"/>
      <c r="BT138" s="3109"/>
      <c r="BU138" s="3104"/>
      <c r="BV138" s="3110"/>
      <c r="BW138" s="15851"/>
      <c r="BX138" s="4181"/>
      <c r="BY138" s="4170"/>
      <c r="BZ138" s="4170"/>
      <c r="CA138" s="4172"/>
      <c r="CB138" s="4172"/>
      <c r="CC138" s="4172"/>
      <c r="CD138" s="4172"/>
      <c r="CE138" s="3105"/>
      <c r="CF138" s="3105"/>
      <c r="CG138" s="3105"/>
      <c r="CH138" s="3105"/>
      <c r="CI138" s="3105"/>
      <c r="CJ138" s="3105"/>
      <c r="CK138" s="3105"/>
      <c r="CL138" s="3105"/>
      <c r="CM138" s="3105"/>
      <c r="CN138" s="3105"/>
      <c r="CO138" s="3105"/>
      <c r="CP138" s="3105"/>
      <c r="CQ138" s="3105"/>
      <c r="CR138" s="3105"/>
      <c r="CS138" s="3105"/>
      <c r="CT138" s="3105"/>
      <c r="CU138" s="3105"/>
      <c r="CV138" s="3105"/>
      <c r="CW138" s="3105"/>
      <c r="CX138" s="3105"/>
      <c r="CY138" s="3105"/>
      <c r="CZ138" s="3105"/>
      <c r="DA138" s="4173"/>
      <c r="DB138" s="3105"/>
      <c r="DC138" s="3105"/>
      <c r="DD138" s="3105"/>
      <c r="DE138" s="3105"/>
      <c r="DF138" s="3105"/>
      <c r="DG138" s="3105"/>
      <c r="DH138" s="3105"/>
      <c r="DI138" s="3105"/>
      <c r="DJ138" s="3105"/>
      <c r="DK138" s="3105"/>
      <c r="DL138" s="3105"/>
      <c r="DM138" s="3105"/>
      <c r="DN138" s="4291"/>
      <c r="DO138" s="1800"/>
      <c r="DP138" s="4462"/>
      <c r="DQ138" s="4453"/>
      <c r="DR138" s="4453"/>
      <c r="DS138" s="4453"/>
      <c r="DT138" s="3122"/>
      <c r="DU138" s="3122"/>
      <c r="DV138" s="3122"/>
      <c r="DW138" s="3122"/>
      <c r="DX138" s="3122"/>
      <c r="DY138" s="3122"/>
      <c r="DZ138" s="3122"/>
      <c r="EA138" s="3122"/>
      <c r="EB138" s="3122"/>
      <c r="EC138" s="3122"/>
      <c r="ED138" s="3122"/>
      <c r="EE138" s="3122"/>
      <c r="EF138" s="3122"/>
      <c r="EG138" s="3122"/>
      <c r="EH138" s="3122"/>
      <c r="EI138" s="3122"/>
      <c r="EJ138" s="3122"/>
      <c r="EK138" s="3122"/>
      <c r="EL138" s="3122"/>
      <c r="EM138" s="3122"/>
      <c r="EN138" s="3122"/>
      <c r="EO138" s="3122"/>
      <c r="EP138" s="3122"/>
      <c r="EQ138" s="3122"/>
      <c r="ER138" s="3122"/>
      <c r="ES138" s="3122"/>
      <c r="ET138" s="3122"/>
      <c r="EU138" s="3122"/>
      <c r="EV138" s="3122"/>
      <c r="EW138" s="3122"/>
      <c r="EX138" s="3122"/>
      <c r="EY138" s="3122"/>
      <c r="EZ138" s="3122"/>
      <c r="FA138" s="3122"/>
      <c r="FB138" s="3122"/>
      <c r="FC138" s="3122"/>
      <c r="FD138" s="3122"/>
      <c r="FE138" s="3122"/>
      <c r="FF138" s="3122"/>
      <c r="FG138" s="3122"/>
      <c r="FH138" s="3122"/>
      <c r="FI138" s="4176"/>
    </row>
    <row r="139" spans="1:165" s="1801" customFormat="1" ht="15" customHeight="1">
      <c r="A139" s="15798"/>
      <c r="B139" s="15802"/>
      <c r="C139" s="15878"/>
      <c r="D139" s="15875" t="s">
        <v>7900</v>
      </c>
      <c r="E139" s="15803" t="s">
        <v>1473</v>
      </c>
      <c r="F139" s="15803" t="s">
        <v>1474</v>
      </c>
      <c r="G139" s="4174" t="s">
        <v>254</v>
      </c>
      <c r="H139" s="2737">
        <v>1</v>
      </c>
      <c r="I139" s="2737">
        <v>1</v>
      </c>
      <c r="J139" s="15873">
        <v>1</v>
      </c>
      <c r="K139" s="15880" t="s">
        <v>1475</v>
      </c>
      <c r="L139" s="4442" t="s">
        <v>10074</v>
      </c>
      <c r="M139" s="2738" t="s">
        <v>298</v>
      </c>
      <c r="N139" s="2737"/>
      <c r="O139" s="4178">
        <v>20000000</v>
      </c>
      <c r="P139" s="4179">
        <v>20600000</v>
      </c>
      <c r="Q139" s="4179">
        <v>21218000</v>
      </c>
      <c r="R139" s="4179">
        <v>21854540</v>
      </c>
      <c r="S139" s="4179">
        <v>22510176.199999999</v>
      </c>
      <c r="T139" s="4179">
        <v>23185481.486000001</v>
      </c>
      <c r="U139" s="4179">
        <v>23881045.930580001</v>
      </c>
      <c r="V139" s="4179">
        <v>24597477.308497403</v>
      </c>
      <c r="W139" s="4179">
        <v>25335401.627752326</v>
      </c>
      <c r="X139" s="4179">
        <v>26095463.676584896</v>
      </c>
      <c r="Y139" s="4179">
        <v>26878327.586882442</v>
      </c>
      <c r="Z139" s="4180">
        <v>256155913.81629708</v>
      </c>
      <c r="AA139" s="3122"/>
      <c r="AB139" s="3122"/>
      <c r="AC139" s="3122"/>
      <c r="AD139" s="3122"/>
      <c r="AE139" s="3122"/>
      <c r="AF139" s="3122"/>
      <c r="AG139" s="3122"/>
      <c r="AH139" s="3122"/>
      <c r="AI139" s="3122"/>
      <c r="AJ139" s="3122"/>
      <c r="AK139" s="3122"/>
      <c r="AL139" s="3122"/>
      <c r="AM139" s="3122"/>
      <c r="AN139" s="3122"/>
      <c r="AO139" s="3122"/>
      <c r="AP139" s="3122"/>
      <c r="AQ139" s="3122"/>
      <c r="AR139" s="3122"/>
      <c r="AS139" s="3122"/>
      <c r="AT139" s="3122"/>
      <c r="AU139" s="3122"/>
      <c r="AV139" s="3122"/>
      <c r="AW139" s="3122"/>
      <c r="AX139" s="3122"/>
      <c r="AY139" s="3122"/>
      <c r="AZ139" s="3122"/>
      <c r="BA139" s="3122"/>
      <c r="BB139" s="3122"/>
      <c r="BC139" s="3122"/>
      <c r="BD139" s="3122"/>
      <c r="BE139" s="3122"/>
      <c r="BF139" s="3122"/>
      <c r="BG139" s="3122"/>
      <c r="BH139" s="3122"/>
      <c r="BI139" s="3122"/>
      <c r="BJ139" s="3122"/>
      <c r="BK139" s="3122"/>
      <c r="BL139" s="3122"/>
      <c r="BM139" s="3122"/>
      <c r="BN139" s="3122"/>
      <c r="BO139" s="3122"/>
      <c r="BP139" s="3122"/>
      <c r="BQ139" s="3122"/>
      <c r="BR139" s="3122"/>
      <c r="BS139" s="4170" t="s">
        <v>9701</v>
      </c>
      <c r="BT139" s="3109">
        <v>1</v>
      </c>
      <c r="BU139" s="3104">
        <v>0</v>
      </c>
      <c r="BV139" s="3110">
        <v>0</v>
      </c>
      <c r="BW139" s="15851"/>
      <c r="BX139" s="4171"/>
      <c r="BY139" s="4170"/>
      <c r="BZ139" s="4170"/>
      <c r="CA139" s="4172"/>
      <c r="CB139" s="4172"/>
      <c r="CC139" s="4172"/>
      <c r="CD139" s="4172"/>
      <c r="CE139" s="3105"/>
      <c r="CF139" s="3105"/>
      <c r="CG139" s="3105"/>
      <c r="CH139" s="3105"/>
      <c r="CI139" s="3105"/>
      <c r="CJ139" s="3105"/>
      <c r="CK139" s="3105"/>
      <c r="CL139" s="3105"/>
      <c r="CM139" s="3105"/>
      <c r="CN139" s="3105"/>
      <c r="CO139" s="3105"/>
      <c r="CP139" s="3105"/>
      <c r="CQ139" s="3105"/>
      <c r="CR139" s="3105"/>
      <c r="CS139" s="3105"/>
      <c r="CT139" s="3105"/>
      <c r="CU139" s="3105"/>
      <c r="CV139" s="3105"/>
      <c r="CW139" s="3105"/>
      <c r="CX139" s="3105"/>
      <c r="CY139" s="3105"/>
      <c r="CZ139" s="3105"/>
      <c r="DA139" s="4173"/>
      <c r="DB139" s="3105"/>
      <c r="DC139" s="3105"/>
      <c r="DD139" s="3105"/>
      <c r="DE139" s="3105"/>
      <c r="DF139" s="3105"/>
      <c r="DG139" s="3105"/>
      <c r="DH139" s="3105"/>
      <c r="DI139" s="3105"/>
      <c r="DJ139" s="3105"/>
      <c r="DK139" s="3105"/>
      <c r="DL139" s="3105"/>
      <c r="DM139" s="3105"/>
      <c r="DN139" s="4291"/>
      <c r="DO139" s="1800"/>
      <c r="DP139" s="4462"/>
      <c r="DQ139" s="4453"/>
      <c r="DR139" s="4453"/>
      <c r="DS139" s="4453"/>
      <c r="DT139" s="3122"/>
      <c r="DU139" s="3122"/>
      <c r="DV139" s="3122"/>
      <c r="DW139" s="3122"/>
      <c r="DX139" s="3122"/>
      <c r="DY139" s="3122"/>
      <c r="DZ139" s="3122"/>
      <c r="EA139" s="3122"/>
      <c r="EB139" s="3122"/>
      <c r="EC139" s="3122"/>
      <c r="ED139" s="3122"/>
      <c r="EE139" s="3122"/>
      <c r="EF139" s="3122"/>
      <c r="EG139" s="3122"/>
      <c r="EH139" s="3122"/>
      <c r="EI139" s="3122"/>
      <c r="EJ139" s="3122"/>
      <c r="EK139" s="3122"/>
      <c r="EL139" s="3122"/>
      <c r="EM139" s="3122"/>
      <c r="EN139" s="3122"/>
      <c r="EO139" s="3122"/>
      <c r="EP139" s="3122"/>
      <c r="EQ139" s="3122"/>
      <c r="ER139" s="3122"/>
      <c r="ES139" s="3122"/>
      <c r="ET139" s="3122"/>
      <c r="EU139" s="3122"/>
      <c r="EV139" s="3122"/>
      <c r="EW139" s="3122"/>
      <c r="EX139" s="3122"/>
      <c r="EY139" s="3122"/>
      <c r="EZ139" s="3122"/>
      <c r="FA139" s="3122"/>
      <c r="FB139" s="3122"/>
      <c r="FC139" s="3122"/>
      <c r="FD139" s="3122"/>
      <c r="FE139" s="3122"/>
      <c r="FF139" s="3122"/>
      <c r="FG139" s="3122"/>
      <c r="FH139" s="3122"/>
      <c r="FI139" s="4176"/>
    </row>
    <row r="140" spans="1:165" s="1801" customFormat="1" ht="15" customHeight="1">
      <c r="A140" s="15798"/>
      <c r="B140" s="15802"/>
      <c r="C140" s="15878"/>
      <c r="D140" s="15876"/>
      <c r="E140" s="15801"/>
      <c r="F140" s="15801"/>
      <c r="G140" s="4174"/>
      <c r="H140" s="2737"/>
      <c r="I140" s="2737"/>
      <c r="J140" s="15874"/>
      <c r="K140" s="15881"/>
      <c r="L140" s="4442" t="s">
        <v>10063</v>
      </c>
      <c r="M140" s="2738"/>
      <c r="N140" s="2737" t="s">
        <v>1476</v>
      </c>
      <c r="O140" s="4178"/>
      <c r="P140" s="4179"/>
      <c r="Q140" s="4179"/>
      <c r="R140" s="4179"/>
      <c r="S140" s="4179"/>
      <c r="T140" s="4179"/>
      <c r="U140" s="4179"/>
      <c r="V140" s="4179"/>
      <c r="W140" s="4179"/>
      <c r="X140" s="4179"/>
      <c r="Y140" s="4179"/>
      <c r="Z140" s="4180"/>
      <c r="AA140" s="1972"/>
      <c r="AB140" s="3122"/>
      <c r="AC140" s="3122"/>
      <c r="AD140" s="3122"/>
      <c r="AE140" s="3122"/>
      <c r="AF140" s="3122"/>
      <c r="AG140" s="3122"/>
      <c r="AH140" s="3122"/>
      <c r="AI140" s="3122"/>
      <c r="AJ140" s="3122"/>
      <c r="AK140" s="3122"/>
      <c r="AL140" s="3122"/>
      <c r="AM140" s="3122"/>
      <c r="AN140" s="3122"/>
      <c r="AO140" s="3122"/>
      <c r="AP140" s="3122"/>
      <c r="AQ140" s="3122"/>
      <c r="AR140" s="3122"/>
      <c r="AS140" s="3122"/>
      <c r="AT140" s="3122"/>
      <c r="AU140" s="3122"/>
      <c r="AV140" s="3122"/>
      <c r="AW140" s="3122"/>
      <c r="AX140" s="3122"/>
      <c r="AY140" s="3122"/>
      <c r="AZ140" s="3122"/>
      <c r="BA140" s="3122"/>
      <c r="BB140" s="3122"/>
      <c r="BC140" s="3122"/>
      <c r="BD140" s="3122"/>
      <c r="BE140" s="3122"/>
      <c r="BF140" s="3122"/>
      <c r="BG140" s="3122"/>
      <c r="BH140" s="3122"/>
      <c r="BI140" s="3122"/>
      <c r="BJ140" s="3122"/>
      <c r="BK140" s="3122"/>
      <c r="BL140" s="3122"/>
      <c r="BM140" s="3122"/>
      <c r="BN140" s="3122"/>
      <c r="BO140" s="3122"/>
      <c r="BP140" s="3122"/>
      <c r="BQ140" s="3122"/>
      <c r="BR140" s="3122"/>
      <c r="BS140" s="4170"/>
      <c r="BT140" s="3109"/>
      <c r="BU140" s="3104"/>
      <c r="BV140" s="3110"/>
      <c r="BW140" s="15851"/>
      <c r="BX140" s="4171"/>
      <c r="BY140" s="4170"/>
      <c r="BZ140" s="4170"/>
      <c r="CA140" s="4172"/>
      <c r="CB140" s="4172"/>
      <c r="CC140" s="4172"/>
      <c r="CD140" s="4172"/>
      <c r="CE140" s="3105"/>
      <c r="CF140" s="3105"/>
      <c r="CG140" s="3105"/>
      <c r="CH140" s="3105"/>
      <c r="CI140" s="3105"/>
      <c r="CJ140" s="3105"/>
      <c r="CK140" s="3105"/>
      <c r="CL140" s="3105"/>
      <c r="CM140" s="3105"/>
      <c r="CN140" s="3105"/>
      <c r="CO140" s="3105"/>
      <c r="CP140" s="3105"/>
      <c r="CQ140" s="3105"/>
      <c r="CR140" s="3105"/>
      <c r="CS140" s="3105"/>
      <c r="CT140" s="3105"/>
      <c r="CU140" s="3105"/>
      <c r="CV140" s="3105"/>
      <c r="CW140" s="3105"/>
      <c r="CX140" s="3105"/>
      <c r="CY140" s="3105"/>
      <c r="CZ140" s="3105"/>
      <c r="DA140" s="4173"/>
      <c r="DB140" s="3105"/>
      <c r="DC140" s="3105"/>
      <c r="DD140" s="3105"/>
      <c r="DE140" s="3105"/>
      <c r="DF140" s="3105"/>
      <c r="DG140" s="3105"/>
      <c r="DH140" s="3105"/>
      <c r="DI140" s="3105"/>
      <c r="DJ140" s="3105"/>
      <c r="DK140" s="3105"/>
      <c r="DL140" s="3105"/>
      <c r="DM140" s="3105"/>
      <c r="DN140" s="4291"/>
      <c r="DO140" s="1800"/>
      <c r="DP140" s="4462"/>
      <c r="DQ140" s="4453"/>
      <c r="DR140" s="4453"/>
      <c r="DS140" s="4453"/>
      <c r="DT140" s="3122"/>
      <c r="DU140" s="3122"/>
      <c r="DV140" s="3122"/>
      <c r="DW140" s="3122"/>
      <c r="DX140" s="3122"/>
      <c r="DY140" s="3122"/>
      <c r="DZ140" s="3122"/>
      <c r="EA140" s="3122"/>
      <c r="EB140" s="3122"/>
      <c r="EC140" s="3122"/>
      <c r="ED140" s="3122"/>
      <c r="EE140" s="3122"/>
      <c r="EF140" s="3122"/>
      <c r="EG140" s="3122"/>
      <c r="EH140" s="3122"/>
      <c r="EI140" s="3122"/>
      <c r="EJ140" s="3122"/>
      <c r="EK140" s="3122"/>
      <c r="EL140" s="3122"/>
      <c r="EM140" s="3122"/>
      <c r="EN140" s="3122"/>
      <c r="EO140" s="3122"/>
      <c r="EP140" s="3122"/>
      <c r="EQ140" s="3122"/>
      <c r="ER140" s="3122"/>
      <c r="ES140" s="3122"/>
      <c r="ET140" s="3122"/>
      <c r="EU140" s="3122"/>
      <c r="EV140" s="3122"/>
      <c r="EW140" s="3122"/>
      <c r="EX140" s="3122"/>
      <c r="EY140" s="3122"/>
      <c r="EZ140" s="3122"/>
      <c r="FA140" s="3122"/>
      <c r="FB140" s="3122"/>
      <c r="FC140" s="3122"/>
      <c r="FD140" s="3122"/>
      <c r="FE140" s="3122"/>
      <c r="FF140" s="3122"/>
      <c r="FG140" s="3122"/>
      <c r="FH140" s="3122"/>
      <c r="FI140" s="4176"/>
    </row>
    <row r="141" spans="1:165" s="1801" customFormat="1" ht="15" customHeight="1">
      <c r="A141" s="15798"/>
      <c r="B141" s="15802"/>
      <c r="C141" s="15878"/>
      <c r="D141" s="15875" t="s">
        <v>7901</v>
      </c>
      <c r="E141" s="15803" t="s">
        <v>1477</v>
      </c>
      <c r="F141" s="15803" t="s">
        <v>1474</v>
      </c>
      <c r="G141" s="4174" t="s">
        <v>254</v>
      </c>
      <c r="H141" s="2737">
        <v>1</v>
      </c>
      <c r="I141" s="2737">
        <v>1</v>
      </c>
      <c r="J141" s="15873">
        <v>1</v>
      </c>
      <c r="K141" s="15880" t="s">
        <v>1475</v>
      </c>
      <c r="L141" s="4442" t="s">
        <v>10066</v>
      </c>
      <c r="M141" s="2738" t="s">
        <v>298</v>
      </c>
      <c r="N141" s="2737"/>
      <c r="O141" s="4175"/>
      <c r="P141" s="4175"/>
      <c r="Q141" s="4175"/>
      <c r="R141" s="4175"/>
      <c r="S141" s="4175"/>
      <c r="T141" s="4175"/>
      <c r="U141" s="4175"/>
      <c r="V141" s="4175"/>
      <c r="W141" s="4175"/>
      <c r="X141" s="4175"/>
      <c r="Y141" s="4175"/>
      <c r="Z141" s="4175"/>
      <c r="AA141" s="1971">
        <v>1</v>
      </c>
      <c r="AB141" s="3122"/>
      <c r="AC141" s="3119" t="s">
        <v>3936</v>
      </c>
      <c r="AD141" s="3122" t="s">
        <v>3934</v>
      </c>
      <c r="AE141" s="3119" t="s">
        <v>3935</v>
      </c>
      <c r="AF141" s="3122"/>
      <c r="AG141" s="3122"/>
      <c r="AH141" s="3122"/>
      <c r="AI141" s="3122"/>
      <c r="AJ141" s="3122"/>
      <c r="AK141" s="3122"/>
      <c r="AL141" s="3122"/>
      <c r="AM141" s="3122"/>
      <c r="AN141" s="3122"/>
      <c r="AO141" s="3122"/>
      <c r="AP141" s="3122"/>
      <c r="AQ141" s="3122"/>
      <c r="AR141" s="3122"/>
      <c r="AS141" s="3122"/>
      <c r="AT141" s="3122"/>
      <c r="AU141" s="3122"/>
      <c r="AV141" s="3122"/>
      <c r="AW141" s="3122"/>
      <c r="AX141" s="3122"/>
      <c r="AY141" s="3122"/>
      <c r="AZ141" s="3122"/>
      <c r="BA141" s="3122"/>
      <c r="BB141" s="3122"/>
      <c r="BC141" s="3122"/>
      <c r="BD141" s="3122"/>
      <c r="BE141" s="3122"/>
      <c r="BF141" s="3122"/>
      <c r="BG141" s="3122"/>
      <c r="BH141" s="3122"/>
      <c r="BI141" s="3122"/>
      <c r="BJ141" s="3122"/>
      <c r="BK141" s="3122"/>
      <c r="BL141" s="3122"/>
      <c r="BM141" s="3122"/>
      <c r="BN141" s="3122"/>
      <c r="BO141" s="3122"/>
      <c r="BP141" s="3122"/>
      <c r="BQ141" s="3122"/>
      <c r="BR141" s="3122"/>
      <c r="BS141" s="4170" t="s">
        <v>9701</v>
      </c>
      <c r="BT141" s="3109">
        <v>1</v>
      </c>
      <c r="BU141" s="3104">
        <v>0</v>
      </c>
      <c r="BV141" s="3110">
        <v>0</v>
      </c>
      <c r="BW141" s="15851"/>
      <c r="BX141" s="4171"/>
      <c r="BY141" s="4170"/>
      <c r="BZ141" s="4170"/>
      <c r="CA141" s="4172"/>
      <c r="CB141" s="4172"/>
      <c r="CC141" s="4172"/>
      <c r="CD141" s="4172"/>
      <c r="CE141" s="3105"/>
      <c r="CF141" s="3105"/>
      <c r="CG141" s="3105"/>
      <c r="CH141" s="3105"/>
      <c r="CI141" s="3105"/>
      <c r="CJ141" s="3105"/>
      <c r="CK141" s="3105"/>
      <c r="CL141" s="3105"/>
      <c r="CM141" s="3105"/>
      <c r="CN141" s="3105"/>
      <c r="CO141" s="3105"/>
      <c r="CP141" s="3105"/>
      <c r="CQ141" s="3105"/>
      <c r="CR141" s="3105"/>
      <c r="CS141" s="3105"/>
      <c r="CT141" s="3105"/>
      <c r="CU141" s="3105"/>
      <c r="CV141" s="3105"/>
      <c r="CW141" s="3105"/>
      <c r="CX141" s="3105"/>
      <c r="CY141" s="3105"/>
      <c r="CZ141" s="3105"/>
      <c r="DA141" s="4173"/>
      <c r="DB141" s="3105"/>
      <c r="DC141" s="3105"/>
      <c r="DD141" s="3105"/>
      <c r="DE141" s="3105"/>
      <c r="DF141" s="3105"/>
      <c r="DG141" s="3105"/>
      <c r="DH141" s="3105"/>
      <c r="DI141" s="3105"/>
      <c r="DJ141" s="3105"/>
      <c r="DK141" s="3105"/>
      <c r="DL141" s="3105"/>
      <c r="DM141" s="3105"/>
      <c r="DN141" s="4291"/>
      <c r="DO141" s="1800"/>
      <c r="DP141" s="4462"/>
      <c r="DQ141" s="4453"/>
      <c r="DR141" s="4453"/>
      <c r="DS141" s="4453"/>
      <c r="DT141" s="3122"/>
      <c r="DU141" s="3122"/>
      <c r="DV141" s="3122"/>
      <c r="DW141" s="3122"/>
      <c r="DX141" s="3122"/>
      <c r="DY141" s="3122"/>
      <c r="DZ141" s="3122"/>
      <c r="EA141" s="3122"/>
      <c r="EB141" s="3122"/>
      <c r="EC141" s="3122"/>
      <c r="ED141" s="3122"/>
      <c r="EE141" s="3122"/>
      <c r="EF141" s="3122"/>
      <c r="EG141" s="3122"/>
      <c r="EH141" s="3122"/>
      <c r="EI141" s="3122"/>
      <c r="EJ141" s="3122"/>
      <c r="EK141" s="3122"/>
      <c r="EL141" s="3122"/>
      <c r="EM141" s="3122"/>
      <c r="EN141" s="3122"/>
      <c r="EO141" s="3122"/>
      <c r="EP141" s="3122"/>
      <c r="EQ141" s="3122"/>
      <c r="ER141" s="3122"/>
      <c r="ES141" s="3122"/>
      <c r="ET141" s="3122"/>
      <c r="EU141" s="3122"/>
      <c r="EV141" s="3122"/>
      <c r="EW141" s="3122"/>
      <c r="EX141" s="3122"/>
      <c r="EY141" s="3122"/>
      <c r="EZ141" s="3122"/>
      <c r="FA141" s="3122"/>
      <c r="FB141" s="3122"/>
      <c r="FC141" s="3122"/>
      <c r="FD141" s="3122"/>
      <c r="FE141" s="3122"/>
      <c r="FF141" s="3122"/>
      <c r="FG141" s="3122"/>
      <c r="FH141" s="3122"/>
      <c r="FI141" s="4176"/>
    </row>
    <row r="142" spans="1:165" s="1801" customFormat="1" ht="15" customHeight="1">
      <c r="A142" s="15798"/>
      <c r="B142" s="15802"/>
      <c r="C142" s="15801"/>
      <c r="D142" s="15876"/>
      <c r="E142" s="15801"/>
      <c r="F142" s="15801"/>
      <c r="G142" s="4174"/>
      <c r="H142" s="2737"/>
      <c r="I142" s="2737"/>
      <c r="J142" s="15874"/>
      <c r="K142" s="15881"/>
      <c r="L142" s="4442" t="s">
        <v>10063</v>
      </c>
      <c r="M142" s="2738"/>
      <c r="N142" s="2737" t="s">
        <v>1476</v>
      </c>
      <c r="O142" s="4175"/>
      <c r="P142" s="4175"/>
      <c r="Q142" s="4175"/>
      <c r="R142" s="4175"/>
      <c r="S142" s="4175"/>
      <c r="T142" s="4175"/>
      <c r="U142" s="4175"/>
      <c r="V142" s="4175"/>
      <c r="W142" s="4175"/>
      <c r="X142" s="4175"/>
      <c r="Y142" s="4175"/>
      <c r="Z142" s="4175"/>
      <c r="AA142" s="1971"/>
      <c r="AB142" s="3122"/>
      <c r="AC142" s="3119"/>
      <c r="AD142" s="3122"/>
      <c r="AE142" s="3119"/>
      <c r="AF142" s="3122"/>
      <c r="AG142" s="3122"/>
      <c r="AH142" s="3122"/>
      <c r="AI142" s="3122"/>
      <c r="AJ142" s="3122"/>
      <c r="AK142" s="3122"/>
      <c r="AL142" s="3122"/>
      <c r="AM142" s="3122"/>
      <c r="AN142" s="3122"/>
      <c r="AO142" s="3122"/>
      <c r="AP142" s="3122"/>
      <c r="AQ142" s="3122"/>
      <c r="AR142" s="3122"/>
      <c r="AS142" s="3122"/>
      <c r="AT142" s="3122"/>
      <c r="AU142" s="3122"/>
      <c r="AV142" s="3122"/>
      <c r="AW142" s="3122"/>
      <c r="AX142" s="3122"/>
      <c r="AY142" s="3122"/>
      <c r="AZ142" s="3122"/>
      <c r="BA142" s="3122"/>
      <c r="BB142" s="3122"/>
      <c r="BC142" s="3122"/>
      <c r="BD142" s="3122"/>
      <c r="BE142" s="3122"/>
      <c r="BF142" s="3122"/>
      <c r="BG142" s="3122"/>
      <c r="BH142" s="3122"/>
      <c r="BI142" s="3122"/>
      <c r="BJ142" s="3122"/>
      <c r="BK142" s="3122"/>
      <c r="BL142" s="3122"/>
      <c r="BM142" s="3122"/>
      <c r="BN142" s="3122"/>
      <c r="BO142" s="3122"/>
      <c r="BP142" s="3122"/>
      <c r="BQ142" s="3122"/>
      <c r="BR142" s="3122"/>
      <c r="BS142" s="4170"/>
      <c r="BT142" s="3109"/>
      <c r="BU142" s="3104"/>
      <c r="BV142" s="3110"/>
      <c r="BW142" s="15851"/>
      <c r="BX142" s="4171"/>
      <c r="BY142" s="4170"/>
      <c r="BZ142" s="4170"/>
      <c r="CA142" s="4172"/>
      <c r="CB142" s="4172"/>
      <c r="CC142" s="4172"/>
      <c r="CD142" s="4172"/>
      <c r="CE142" s="3105"/>
      <c r="CF142" s="3105"/>
      <c r="CG142" s="3105"/>
      <c r="CH142" s="3105"/>
      <c r="CI142" s="3105"/>
      <c r="CJ142" s="3105"/>
      <c r="CK142" s="3105"/>
      <c r="CL142" s="3105"/>
      <c r="CM142" s="3105"/>
      <c r="CN142" s="3105"/>
      <c r="CO142" s="3105"/>
      <c r="CP142" s="3105"/>
      <c r="CQ142" s="3105"/>
      <c r="CR142" s="3105"/>
      <c r="CS142" s="3105"/>
      <c r="CT142" s="3105"/>
      <c r="CU142" s="3105"/>
      <c r="CV142" s="3105"/>
      <c r="CW142" s="3105"/>
      <c r="CX142" s="3105"/>
      <c r="CY142" s="3105"/>
      <c r="CZ142" s="3105"/>
      <c r="DA142" s="4173"/>
      <c r="DB142" s="3105"/>
      <c r="DC142" s="3105"/>
      <c r="DD142" s="3105"/>
      <c r="DE142" s="3105"/>
      <c r="DF142" s="3105"/>
      <c r="DG142" s="3105"/>
      <c r="DH142" s="3105"/>
      <c r="DI142" s="3105"/>
      <c r="DJ142" s="3105"/>
      <c r="DK142" s="3105"/>
      <c r="DL142" s="3105"/>
      <c r="DM142" s="3105"/>
      <c r="DN142" s="4291"/>
      <c r="DO142" s="1800"/>
      <c r="DP142" s="4462"/>
      <c r="DQ142" s="4453"/>
      <c r="DR142" s="4453"/>
      <c r="DS142" s="4453"/>
      <c r="DT142" s="3122"/>
      <c r="DU142" s="3122"/>
      <c r="DV142" s="3122"/>
      <c r="DW142" s="3122"/>
      <c r="DX142" s="3122"/>
      <c r="DY142" s="3122"/>
      <c r="DZ142" s="3122"/>
      <c r="EA142" s="3122"/>
      <c r="EB142" s="3122"/>
      <c r="EC142" s="3122"/>
      <c r="ED142" s="3122"/>
      <c r="EE142" s="3122"/>
      <c r="EF142" s="3122"/>
      <c r="EG142" s="3122"/>
      <c r="EH142" s="3122"/>
      <c r="EI142" s="3122"/>
      <c r="EJ142" s="3122"/>
      <c r="EK142" s="3122"/>
      <c r="EL142" s="3122"/>
      <c r="EM142" s="3122"/>
      <c r="EN142" s="3122"/>
      <c r="EO142" s="3122"/>
      <c r="EP142" s="3122"/>
      <c r="EQ142" s="3122"/>
      <c r="ER142" s="3122"/>
      <c r="ES142" s="3122"/>
      <c r="ET142" s="3122"/>
      <c r="EU142" s="3122"/>
      <c r="EV142" s="3122"/>
      <c r="EW142" s="3122"/>
      <c r="EX142" s="3122"/>
      <c r="EY142" s="3122"/>
      <c r="EZ142" s="3122"/>
      <c r="FA142" s="3122"/>
      <c r="FB142" s="3122"/>
      <c r="FC142" s="3122"/>
      <c r="FD142" s="3122"/>
      <c r="FE142" s="3122"/>
      <c r="FF142" s="3122"/>
      <c r="FG142" s="3122"/>
      <c r="FH142" s="3122"/>
      <c r="FI142" s="4176"/>
    </row>
    <row r="143" spans="1:165" s="1801" customFormat="1" ht="15" customHeight="1">
      <c r="A143" s="15798"/>
      <c r="B143" s="15802"/>
      <c r="C143" s="15802" t="s">
        <v>1478</v>
      </c>
      <c r="D143" s="15875" t="s">
        <v>7902</v>
      </c>
      <c r="E143" s="15803" t="s">
        <v>1479</v>
      </c>
      <c r="F143" s="15803" t="s">
        <v>1480</v>
      </c>
      <c r="G143" s="4174" t="s">
        <v>254</v>
      </c>
      <c r="H143" s="2737">
        <v>1</v>
      </c>
      <c r="I143" s="2737">
        <v>1</v>
      </c>
      <c r="J143" s="15873">
        <v>1</v>
      </c>
      <c r="K143" s="15880" t="s">
        <v>1475</v>
      </c>
      <c r="L143" s="4442" t="s">
        <v>10066</v>
      </c>
      <c r="M143" s="2738" t="s">
        <v>298</v>
      </c>
      <c r="N143" s="2737"/>
      <c r="O143" s="4180">
        <v>30000000</v>
      </c>
      <c r="P143" s="4179">
        <v>0</v>
      </c>
      <c r="Q143" s="4179">
        <v>0</v>
      </c>
      <c r="R143" s="4179">
        <v>10000000</v>
      </c>
      <c r="S143" s="4179">
        <v>0</v>
      </c>
      <c r="T143" s="4179">
        <v>0</v>
      </c>
      <c r="U143" s="4179">
        <v>0</v>
      </c>
      <c r="V143" s="4179">
        <v>0</v>
      </c>
      <c r="W143" s="4179">
        <v>0</v>
      </c>
      <c r="X143" s="4179">
        <v>0</v>
      </c>
      <c r="Y143" s="4179">
        <v>15000000</v>
      </c>
      <c r="Z143" s="4180">
        <v>55000000</v>
      </c>
      <c r="AA143" s="1971">
        <v>1</v>
      </c>
      <c r="AB143" s="3122"/>
      <c r="AC143" s="3119" t="s">
        <v>3933</v>
      </c>
      <c r="AD143" s="3119"/>
      <c r="AE143" s="3119" t="s">
        <v>3937</v>
      </c>
      <c r="AF143" s="3122"/>
      <c r="AG143" s="3122"/>
      <c r="AH143" s="3122"/>
      <c r="AI143" s="3122"/>
      <c r="AJ143" s="3122"/>
      <c r="AK143" s="3122"/>
      <c r="AL143" s="3122"/>
      <c r="AM143" s="3122"/>
      <c r="AN143" s="3122"/>
      <c r="AO143" s="3122"/>
      <c r="AP143" s="3122"/>
      <c r="AQ143" s="3122"/>
      <c r="AR143" s="3122"/>
      <c r="AS143" s="3122"/>
      <c r="AT143" s="3122"/>
      <c r="AU143" s="3122"/>
      <c r="AV143" s="3122"/>
      <c r="AW143" s="3122"/>
      <c r="AX143" s="3122"/>
      <c r="AY143" s="3122"/>
      <c r="AZ143" s="3122"/>
      <c r="BA143" s="3122"/>
      <c r="BB143" s="3122"/>
      <c r="BC143" s="3122"/>
      <c r="BD143" s="3122"/>
      <c r="BE143" s="3122"/>
      <c r="BF143" s="3122"/>
      <c r="BG143" s="3122"/>
      <c r="BH143" s="3122"/>
      <c r="BI143" s="3122"/>
      <c r="BJ143" s="3122"/>
      <c r="BK143" s="3122"/>
      <c r="BL143" s="3122"/>
      <c r="BM143" s="3122"/>
      <c r="BN143" s="3122"/>
      <c r="BO143" s="3122"/>
      <c r="BP143" s="3122"/>
      <c r="BQ143" s="3122"/>
      <c r="BR143" s="3122"/>
      <c r="BS143" s="4170" t="s">
        <v>9701</v>
      </c>
      <c r="BT143" s="3109">
        <v>1</v>
      </c>
      <c r="BU143" s="3104">
        <v>0</v>
      </c>
      <c r="BV143" s="3110">
        <v>0</v>
      </c>
      <c r="BW143" s="15851"/>
      <c r="BX143" s="4171"/>
      <c r="BY143" s="4170"/>
      <c r="BZ143" s="4170"/>
      <c r="CA143" s="4172"/>
      <c r="CB143" s="4172"/>
      <c r="CC143" s="4172"/>
      <c r="CD143" s="4172"/>
      <c r="CE143" s="3105"/>
      <c r="CF143" s="3105"/>
      <c r="CG143" s="3105"/>
      <c r="CH143" s="3105"/>
      <c r="CI143" s="3105"/>
      <c r="CJ143" s="3105"/>
      <c r="CK143" s="3105"/>
      <c r="CL143" s="3105"/>
      <c r="CM143" s="3105"/>
      <c r="CN143" s="3105"/>
      <c r="CO143" s="3105"/>
      <c r="CP143" s="3105"/>
      <c r="CQ143" s="3105"/>
      <c r="CR143" s="3105"/>
      <c r="CS143" s="3105"/>
      <c r="CT143" s="3105"/>
      <c r="CU143" s="3105"/>
      <c r="CV143" s="3105"/>
      <c r="CW143" s="3105"/>
      <c r="CX143" s="3105"/>
      <c r="CY143" s="3105"/>
      <c r="CZ143" s="3105"/>
      <c r="DA143" s="4173"/>
      <c r="DB143" s="3105"/>
      <c r="DC143" s="3105"/>
      <c r="DD143" s="3105"/>
      <c r="DE143" s="3105"/>
      <c r="DF143" s="3105"/>
      <c r="DG143" s="3105"/>
      <c r="DH143" s="3105"/>
      <c r="DI143" s="3105"/>
      <c r="DJ143" s="3105"/>
      <c r="DK143" s="3105"/>
      <c r="DL143" s="3105"/>
      <c r="DM143" s="3105"/>
      <c r="DN143" s="4291"/>
      <c r="DO143" s="1800"/>
      <c r="DP143" s="4462"/>
      <c r="DQ143" s="4453"/>
      <c r="DR143" s="4453"/>
      <c r="DS143" s="4453"/>
      <c r="DT143" s="3122"/>
      <c r="DU143" s="3122"/>
      <c r="DV143" s="3122"/>
      <c r="DW143" s="3122"/>
      <c r="DX143" s="3122"/>
      <c r="DY143" s="3122"/>
      <c r="DZ143" s="3122"/>
      <c r="EA143" s="3122"/>
      <c r="EB143" s="3122"/>
      <c r="EC143" s="3122"/>
      <c r="ED143" s="3122"/>
      <c r="EE143" s="3122"/>
      <c r="EF143" s="3122"/>
      <c r="EG143" s="3122"/>
      <c r="EH143" s="3122"/>
      <c r="EI143" s="3122"/>
      <c r="EJ143" s="3122"/>
      <c r="EK143" s="3122"/>
      <c r="EL143" s="3122"/>
      <c r="EM143" s="3122"/>
      <c r="EN143" s="3122"/>
      <c r="EO143" s="3122"/>
      <c r="EP143" s="3122"/>
      <c r="EQ143" s="3122"/>
      <c r="ER143" s="3122"/>
      <c r="ES143" s="3122"/>
      <c r="ET143" s="3122"/>
      <c r="EU143" s="3122"/>
      <c r="EV143" s="3122"/>
      <c r="EW143" s="3122"/>
      <c r="EX143" s="3122"/>
      <c r="EY143" s="3122"/>
      <c r="EZ143" s="3122"/>
      <c r="FA143" s="3122"/>
      <c r="FB143" s="3122"/>
      <c r="FC143" s="3122"/>
      <c r="FD143" s="3122"/>
      <c r="FE143" s="3122"/>
      <c r="FF143" s="3122"/>
      <c r="FG143" s="3122"/>
      <c r="FH143" s="3122"/>
      <c r="FI143" s="4176"/>
    </row>
    <row r="144" spans="1:165" s="1801" customFormat="1" ht="15" customHeight="1">
      <c r="A144" s="15798"/>
      <c r="B144" s="15802"/>
      <c r="C144" s="15802"/>
      <c r="D144" s="15876"/>
      <c r="E144" s="15801"/>
      <c r="F144" s="15801"/>
      <c r="G144" s="4174"/>
      <c r="H144" s="2737"/>
      <c r="I144" s="2737"/>
      <c r="J144" s="15874"/>
      <c r="K144" s="15881"/>
      <c r="L144" s="4442" t="s">
        <v>10199</v>
      </c>
      <c r="M144" s="2738"/>
      <c r="N144" s="2737" t="s">
        <v>1481</v>
      </c>
      <c r="O144" s="4180"/>
      <c r="P144" s="4179"/>
      <c r="Q144" s="4179"/>
      <c r="R144" s="4179"/>
      <c r="S144" s="4179"/>
      <c r="T144" s="4179"/>
      <c r="U144" s="4179"/>
      <c r="V144" s="4179"/>
      <c r="W144" s="4179"/>
      <c r="X144" s="4179"/>
      <c r="Y144" s="4179"/>
      <c r="Z144" s="4180"/>
      <c r="AA144" s="1971"/>
      <c r="AB144" s="3122"/>
      <c r="AC144" s="3119"/>
      <c r="AD144" s="3119"/>
      <c r="AE144" s="4184"/>
      <c r="AF144" s="3122"/>
      <c r="AG144" s="3122"/>
      <c r="AH144" s="3122"/>
      <c r="AI144" s="3122"/>
      <c r="AJ144" s="3122"/>
      <c r="AK144" s="3122"/>
      <c r="AL144" s="3122"/>
      <c r="AM144" s="3122"/>
      <c r="AN144" s="3122"/>
      <c r="AO144" s="3122"/>
      <c r="AP144" s="3122"/>
      <c r="AQ144" s="3122"/>
      <c r="AR144" s="3122"/>
      <c r="AS144" s="3122"/>
      <c r="AT144" s="3122"/>
      <c r="AU144" s="3122"/>
      <c r="AV144" s="3122"/>
      <c r="AW144" s="3122"/>
      <c r="AX144" s="3122"/>
      <c r="AY144" s="3122"/>
      <c r="AZ144" s="3122"/>
      <c r="BA144" s="3122"/>
      <c r="BB144" s="3122"/>
      <c r="BC144" s="3122"/>
      <c r="BD144" s="3122"/>
      <c r="BE144" s="3122"/>
      <c r="BF144" s="3122"/>
      <c r="BG144" s="3122"/>
      <c r="BH144" s="3122"/>
      <c r="BI144" s="3122"/>
      <c r="BJ144" s="3122"/>
      <c r="BK144" s="3122"/>
      <c r="BL144" s="3122"/>
      <c r="BM144" s="3122"/>
      <c r="BN144" s="3122"/>
      <c r="BO144" s="3122"/>
      <c r="BP144" s="3122"/>
      <c r="BQ144" s="3122"/>
      <c r="BR144" s="3122"/>
      <c r="BS144" s="4170"/>
      <c r="BT144" s="3109"/>
      <c r="BU144" s="3104"/>
      <c r="BV144" s="3110"/>
      <c r="BW144" s="15851"/>
      <c r="BX144" s="4171"/>
      <c r="BY144" s="4170"/>
      <c r="BZ144" s="4170"/>
      <c r="CA144" s="4172"/>
      <c r="CB144" s="4172"/>
      <c r="CC144" s="4172"/>
      <c r="CD144" s="4172"/>
      <c r="CE144" s="3105"/>
      <c r="CF144" s="3105"/>
      <c r="CG144" s="3105"/>
      <c r="CH144" s="3105"/>
      <c r="CI144" s="3105"/>
      <c r="CJ144" s="3105"/>
      <c r="CK144" s="3105"/>
      <c r="CL144" s="3105"/>
      <c r="CM144" s="3105"/>
      <c r="CN144" s="3105"/>
      <c r="CO144" s="3105"/>
      <c r="CP144" s="3105"/>
      <c r="CQ144" s="3105"/>
      <c r="CR144" s="3105"/>
      <c r="CS144" s="3105"/>
      <c r="CT144" s="3105"/>
      <c r="CU144" s="3105"/>
      <c r="CV144" s="3105"/>
      <c r="CW144" s="3105"/>
      <c r="CX144" s="3105"/>
      <c r="CY144" s="3105"/>
      <c r="CZ144" s="3105"/>
      <c r="DA144" s="4173"/>
      <c r="DB144" s="3105"/>
      <c r="DC144" s="3105"/>
      <c r="DD144" s="3105"/>
      <c r="DE144" s="3105"/>
      <c r="DF144" s="3105"/>
      <c r="DG144" s="3105"/>
      <c r="DH144" s="3105"/>
      <c r="DI144" s="3105"/>
      <c r="DJ144" s="3105"/>
      <c r="DK144" s="3105"/>
      <c r="DL144" s="3105"/>
      <c r="DM144" s="3105"/>
      <c r="DN144" s="4291"/>
      <c r="DO144" s="1800"/>
      <c r="DP144" s="4462"/>
      <c r="DQ144" s="4453"/>
      <c r="DR144" s="4453"/>
      <c r="DS144" s="4453"/>
      <c r="DT144" s="3122"/>
      <c r="DU144" s="3122"/>
      <c r="DV144" s="3122"/>
      <c r="DW144" s="3122"/>
      <c r="DX144" s="3122"/>
      <c r="DY144" s="3122"/>
      <c r="DZ144" s="3122"/>
      <c r="EA144" s="3122"/>
      <c r="EB144" s="3122"/>
      <c r="EC144" s="3122"/>
      <c r="ED144" s="3122"/>
      <c r="EE144" s="3122"/>
      <c r="EF144" s="3122"/>
      <c r="EG144" s="3122"/>
      <c r="EH144" s="3122"/>
      <c r="EI144" s="3122"/>
      <c r="EJ144" s="3122"/>
      <c r="EK144" s="3122"/>
      <c r="EL144" s="3122"/>
      <c r="EM144" s="3122"/>
      <c r="EN144" s="3122"/>
      <c r="EO144" s="3122"/>
      <c r="EP144" s="3122"/>
      <c r="EQ144" s="3122"/>
      <c r="ER144" s="3122"/>
      <c r="ES144" s="3122"/>
      <c r="ET144" s="3122"/>
      <c r="EU144" s="3122"/>
      <c r="EV144" s="3122"/>
      <c r="EW144" s="3122"/>
      <c r="EX144" s="3122"/>
      <c r="EY144" s="3122"/>
      <c r="EZ144" s="3122"/>
      <c r="FA144" s="3122"/>
      <c r="FB144" s="3122"/>
      <c r="FC144" s="3122"/>
      <c r="FD144" s="3122"/>
      <c r="FE144" s="3122"/>
      <c r="FF144" s="3122"/>
      <c r="FG144" s="3122"/>
      <c r="FH144" s="3122"/>
      <c r="FI144" s="4176"/>
    </row>
    <row r="145" spans="1:165" s="1801" customFormat="1" ht="15" customHeight="1">
      <c r="A145" s="15798"/>
      <c r="B145" s="15802"/>
      <c r="C145" s="15802"/>
      <c r="D145" s="15875" t="s">
        <v>7903</v>
      </c>
      <c r="E145" s="15803" t="s">
        <v>1482</v>
      </c>
      <c r="F145" s="15803" t="s">
        <v>1483</v>
      </c>
      <c r="G145" s="4174" t="s">
        <v>254</v>
      </c>
      <c r="H145" s="2737">
        <v>1</v>
      </c>
      <c r="I145" s="2737">
        <v>1</v>
      </c>
      <c r="J145" s="15873">
        <v>1</v>
      </c>
      <c r="K145" s="15880" t="s">
        <v>1484</v>
      </c>
      <c r="L145" s="4442" t="s">
        <v>10066</v>
      </c>
      <c r="M145" s="2738" t="s">
        <v>298</v>
      </c>
      <c r="N145" s="2737"/>
      <c r="O145" s="4178">
        <v>20000000</v>
      </c>
      <c r="P145" s="4179">
        <v>20600000</v>
      </c>
      <c r="Q145" s="4179">
        <v>21218000</v>
      </c>
      <c r="R145" s="4179">
        <v>21854540</v>
      </c>
      <c r="S145" s="4179">
        <v>22510176.199999999</v>
      </c>
      <c r="T145" s="4179">
        <v>23185481.486000001</v>
      </c>
      <c r="U145" s="4179">
        <v>23881045.930580001</v>
      </c>
      <c r="V145" s="4179">
        <v>24597477.308497403</v>
      </c>
      <c r="W145" s="4179">
        <v>25335401.627752326</v>
      </c>
      <c r="X145" s="4179">
        <v>26095463.676584896</v>
      </c>
      <c r="Y145" s="4179">
        <v>26878327.586882442</v>
      </c>
      <c r="Z145" s="4180">
        <v>256155913.81629708</v>
      </c>
      <c r="AA145" s="3122"/>
      <c r="AB145" s="3122"/>
      <c r="AC145" s="3119"/>
      <c r="AD145" s="3122"/>
      <c r="AE145" s="3123"/>
      <c r="AF145" s="3122"/>
      <c r="AG145" s="3122"/>
      <c r="AH145" s="3122"/>
      <c r="AI145" s="3122"/>
      <c r="AJ145" s="3122"/>
      <c r="AK145" s="3122"/>
      <c r="AL145" s="3122"/>
      <c r="AM145" s="3122"/>
      <c r="AN145" s="3122"/>
      <c r="AO145" s="3122"/>
      <c r="AP145" s="3122"/>
      <c r="AQ145" s="3122"/>
      <c r="AR145" s="3122"/>
      <c r="AS145" s="3122"/>
      <c r="AT145" s="3122"/>
      <c r="AU145" s="3122"/>
      <c r="AV145" s="3122"/>
      <c r="AW145" s="3122"/>
      <c r="AX145" s="3122"/>
      <c r="AY145" s="3122"/>
      <c r="AZ145" s="3122"/>
      <c r="BA145" s="3122"/>
      <c r="BB145" s="3122"/>
      <c r="BC145" s="3122"/>
      <c r="BD145" s="3122"/>
      <c r="BE145" s="3122"/>
      <c r="BF145" s="3122"/>
      <c r="BG145" s="3122"/>
      <c r="BH145" s="3122"/>
      <c r="BI145" s="3122"/>
      <c r="BJ145" s="3122"/>
      <c r="BK145" s="3122"/>
      <c r="BL145" s="3122"/>
      <c r="BM145" s="3122"/>
      <c r="BN145" s="3122"/>
      <c r="BO145" s="3122"/>
      <c r="BP145" s="3122"/>
      <c r="BQ145" s="3122"/>
      <c r="BR145" s="3122"/>
      <c r="BS145" s="4170" t="s">
        <v>9701</v>
      </c>
      <c r="BT145" s="3109">
        <v>1</v>
      </c>
      <c r="BU145" s="3104">
        <v>0</v>
      </c>
      <c r="BV145" s="3110">
        <v>0</v>
      </c>
      <c r="BW145" s="15851"/>
      <c r="BX145" s="4171"/>
      <c r="BY145" s="4170"/>
      <c r="BZ145" s="4170"/>
      <c r="CA145" s="4172"/>
      <c r="CB145" s="4172"/>
      <c r="CC145" s="4172"/>
      <c r="CD145" s="4172"/>
      <c r="CE145" s="3105"/>
      <c r="CF145" s="3105"/>
      <c r="CG145" s="3105"/>
      <c r="CH145" s="3105"/>
      <c r="CI145" s="3105"/>
      <c r="CJ145" s="3105"/>
      <c r="CK145" s="3105"/>
      <c r="CL145" s="3105"/>
      <c r="CM145" s="3105"/>
      <c r="CN145" s="3105"/>
      <c r="CO145" s="3105"/>
      <c r="CP145" s="3105"/>
      <c r="CQ145" s="3105"/>
      <c r="CR145" s="3105"/>
      <c r="CS145" s="3105"/>
      <c r="CT145" s="3105"/>
      <c r="CU145" s="3105"/>
      <c r="CV145" s="3105"/>
      <c r="CW145" s="3105"/>
      <c r="CX145" s="3105"/>
      <c r="CY145" s="3105"/>
      <c r="CZ145" s="3105"/>
      <c r="DA145" s="4173"/>
      <c r="DB145" s="3105"/>
      <c r="DC145" s="3105"/>
      <c r="DD145" s="3105"/>
      <c r="DE145" s="3105"/>
      <c r="DF145" s="3105"/>
      <c r="DG145" s="3105"/>
      <c r="DH145" s="3105"/>
      <c r="DI145" s="3105"/>
      <c r="DJ145" s="3105"/>
      <c r="DK145" s="3105"/>
      <c r="DL145" s="3105"/>
      <c r="DM145" s="3105"/>
      <c r="DN145" s="4291"/>
      <c r="DO145" s="1800"/>
      <c r="DP145" s="4462"/>
      <c r="DQ145" s="4453"/>
      <c r="DR145" s="4453"/>
      <c r="DS145" s="4453"/>
      <c r="DT145" s="3122"/>
      <c r="DU145" s="3122"/>
      <c r="DV145" s="3122"/>
      <c r="DW145" s="3122"/>
      <c r="DX145" s="3122"/>
      <c r="DY145" s="3122"/>
      <c r="DZ145" s="3122"/>
      <c r="EA145" s="3122"/>
      <c r="EB145" s="3122"/>
      <c r="EC145" s="3122"/>
      <c r="ED145" s="3122"/>
      <c r="EE145" s="3122"/>
      <c r="EF145" s="3122"/>
      <c r="EG145" s="3122"/>
      <c r="EH145" s="3122"/>
      <c r="EI145" s="3122"/>
      <c r="EJ145" s="3122"/>
      <c r="EK145" s="3122"/>
      <c r="EL145" s="3122"/>
      <c r="EM145" s="3122"/>
      <c r="EN145" s="3122"/>
      <c r="EO145" s="3122"/>
      <c r="EP145" s="3122"/>
      <c r="EQ145" s="3122"/>
      <c r="ER145" s="3122"/>
      <c r="ES145" s="3122"/>
      <c r="ET145" s="3122"/>
      <c r="EU145" s="3122"/>
      <c r="EV145" s="3122"/>
      <c r="EW145" s="3122"/>
      <c r="EX145" s="3122"/>
      <c r="EY145" s="3122"/>
      <c r="EZ145" s="3122"/>
      <c r="FA145" s="3122"/>
      <c r="FB145" s="3122"/>
      <c r="FC145" s="3122"/>
      <c r="FD145" s="3122"/>
      <c r="FE145" s="3122"/>
      <c r="FF145" s="3122"/>
      <c r="FG145" s="3122"/>
      <c r="FH145" s="3122"/>
      <c r="FI145" s="4176"/>
    </row>
    <row r="146" spans="1:165" s="1801" customFormat="1" ht="15" customHeight="1">
      <c r="A146" s="15799"/>
      <c r="B146" s="15803"/>
      <c r="C146" s="15803"/>
      <c r="D146" s="15876"/>
      <c r="E146" s="15801"/>
      <c r="F146" s="15801"/>
      <c r="G146" s="4185"/>
      <c r="H146" s="4186"/>
      <c r="I146" s="4186"/>
      <c r="J146" s="15874"/>
      <c r="K146" s="15881"/>
      <c r="L146" s="4443" t="s">
        <v>10199</v>
      </c>
      <c r="M146" s="4187"/>
      <c r="N146" s="2737" t="s">
        <v>1481</v>
      </c>
      <c r="O146" s="4188"/>
      <c r="P146" s="4189"/>
      <c r="Q146" s="4189"/>
      <c r="R146" s="4189"/>
      <c r="S146" s="4189"/>
      <c r="T146" s="4189"/>
      <c r="U146" s="4189"/>
      <c r="V146" s="4189"/>
      <c r="W146" s="4189"/>
      <c r="X146" s="4189"/>
      <c r="Y146" s="4189"/>
      <c r="Z146" s="4190"/>
      <c r="AA146" s="1972"/>
      <c r="AB146" s="4191"/>
      <c r="AC146" s="4192"/>
      <c r="AD146" s="4191"/>
      <c r="AE146" s="3123"/>
      <c r="AF146" s="4191"/>
      <c r="AG146" s="4191"/>
      <c r="AH146" s="4191"/>
      <c r="AI146" s="4191"/>
      <c r="AJ146" s="4191"/>
      <c r="AK146" s="4191"/>
      <c r="AL146" s="4191"/>
      <c r="AM146" s="4191"/>
      <c r="AN146" s="4191"/>
      <c r="AO146" s="4191"/>
      <c r="AP146" s="4191"/>
      <c r="AQ146" s="4191"/>
      <c r="AR146" s="4191"/>
      <c r="AS146" s="4191"/>
      <c r="AT146" s="4191"/>
      <c r="AU146" s="4191"/>
      <c r="AV146" s="4191"/>
      <c r="AW146" s="4191"/>
      <c r="AX146" s="4191"/>
      <c r="AY146" s="4191"/>
      <c r="AZ146" s="4191"/>
      <c r="BA146" s="4191"/>
      <c r="BB146" s="4191"/>
      <c r="BC146" s="4191"/>
      <c r="BD146" s="4191"/>
      <c r="BE146" s="4191"/>
      <c r="BF146" s="4191"/>
      <c r="BG146" s="4191"/>
      <c r="BH146" s="4191"/>
      <c r="BI146" s="4191"/>
      <c r="BJ146" s="4191"/>
      <c r="BK146" s="4191"/>
      <c r="BL146" s="4191"/>
      <c r="BM146" s="4191"/>
      <c r="BN146" s="4191"/>
      <c r="BO146" s="4191"/>
      <c r="BP146" s="4191"/>
      <c r="BQ146" s="4191"/>
      <c r="BR146" s="4191"/>
      <c r="BS146" s="4170"/>
      <c r="BT146" s="4193"/>
      <c r="BU146" s="3863"/>
      <c r="BV146" s="3110"/>
      <c r="BW146" s="15851"/>
      <c r="BX146" s="4171"/>
      <c r="BY146" s="4170"/>
      <c r="BZ146" s="4170"/>
      <c r="CA146" s="4172"/>
      <c r="CB146" s="4172"/>
      <c r="CC146" s="4172"/>
      <c r="CD146" s="4172"/>
      <c r="CE146" s="3105"/>
      <c r="CF146" s="3105"/>
      <c r="CG146" s="3105"/>
      <c r="CH146" s="3105"/>
      <c r="CI146" s="3105"/>
      <c r="CJ146" s="3105"/>
      <c r="CK146" s="3105"/>
      <c r="CL146" s="3105"/>
      <c r="CM146" s="3105"/>
      <c r="CN146" s="3105"/>
      <c r="CO146" s="3105"/>
      <c r="CP146" s="3105"/>
      <c r="CQ146" s="3105"/>
      <c r="CR146" s="3105"/>
      <c r="CS146" s="3105"/>
      <c r="CT146" s="3105"/>
      <c r="CU146" s="3105"/>
      <c r="CV146" s="3105"/>
      <c r="CW146" s="3105"/>
      <c r="CX146" s="3105"/>
      <c r="CY146" s="3105"/>
      <c r="CZ146" s="3105"/>
      <c r="DA146" s="4173"/>
      <c r="DB146" s="3105"/>
      <c r="DC146" s="3105"/>
      <c r="DD146" s="3105"/>
      <c r="DE146" s="3105"/>
      <c r="DF146" s="3105"/>
      <c r="DG146" s="3105"/>
      <c r="DH146" s="3105"/>
      <c r="DI146" s="3105"/>
      <c r="DJ146" s="3105"/>
      <c r="DK146" s="3105"/>
      <c r="DL146" s="3105"/>
      <c r="DM146" s="3105"/>
      <c r="DN146" s="4291"/>
      <c r="DO146" s="1800"/>
      <c r="DP146" s="4462"/>
      <c r="DQ146" s="4453"/>
      <c r="DR146" s="4453"/>
      <c r="DS146" s="4453"/>
      <c r="DT146" s="3122"/>
      <c r="DU146" s="3122"/>
      <c r="DV146" s="3122"/>
      <c r="DW146" s="3122"/>
      <c r="DX146" s="3122"/>
      <c r="DY146" s="3122"/>
      <c r="DZ146" s="3122"/>
      <c r="EA146" s="3122"/>
      <c r="EB146" s="3122"/>
      <c r="EC146" s="3122"/>
      <c r="ED146" s="3122"/>
      <c r="EE146" s="3122"/>
      <c r="EF146" s="3122"/>
      <c r="EG146" s="3122"/>
      <c r="EH146" s="3122"/>
      <c r="EI146" s="3122"/>
      <c r="EJ146" s="3122"/>
      <c r="EK146" s="3122"/>
      <c r="EL146" s="3122"/>
      <c r="EM146" s="3122"/>
      <c r="EN146" s="3122"/>
      <c r="EO146" s="3122"/>
      <c r="EP146" s="3122"/>
      <c r="EQ146" s="3122"/>
      <c r="ER146" s="3122"/>
      <c r="ES146" s="3122"/>
      <c r="ET146" s="3122"/>
      <c r="EU146" s="3122"/>
      <c r="EV146" s="3122"/>
      <c r="EW146" s="3122"/>
      <c r="EX146" s="3122"/>
      <c r="EY146" s="3122"/>
      <c r="EZ146" s="3122"/>
      <c r="FA146" s="3122"/>
      <c r="FB146" s="3122"/>
      <c r="FC146" s="3122"/>
      <c r="FD146" s="3122"/>
      <c r="FE146" s="3122"/>
      <c r="FF146" s="3122"/>
      <c r="FG146" s="3122"/>
      <c r="FH146" s="3122"/>
      <c r="FI146" s="4176"/>
    </row>
    <row r="147" spans="1:165" s="1801" customFormat="1" ht="15" customHeight="1">
      <c r="A147" s="15799"/>
      <c r="B147" s="15803"/>
      <c r="C147" s="15803"/>
      <c r="D147" s="15875" t="s">
        <v>7904</v>
      </c>
      <c r="E147" s="15803" t="s">
        <v>1485</v>
      </c>
      <c r="F147" s="15803" t="s">
        <v>1486</v>
      </c>
      <c r="G147" s="4185"/>
      <c r="H147" s="4186"/>
      <c r="I147" s="4186"/>
      <c r="J147" s="15873">
        <v>0</v>
      </c>
      <c r="K147" s="15880" t="s">
        <v>1487</v>
      </c>
      <c r="L147" s="4443" t="s">
        <v>10066</v>
      </c>
      <c r="M147" s="4187" t="s">
        <v>1488</v>
      </c>
      <c r="N147" s="4186"/>
      <c r="O147" s="4188">
        <v>20000000</v>
      </c>
      <c r="P147" s="4189">
        <v>10000000</v>
      </c>
      <c r="Q147" s="4189">
        <v>10300000</v>
      </c>
      <c r="R147" s="4189">
        <v>10609000</v>
      </c>
      <c r="S147" s="4189">
        <v>10927270</v>
      </c>
      <c r="T147" s="4189">
        <v>11255088.1</v>
      </c>
      <c r="U147" s="4189">
        <v>11592740.743000001</v>
      </c>
      <c r="V147" s="4189">
        <v>11940522.965290001</v>
      </c>
      <c r="W147" s="4189">
        <v>12298738.654248701</v>
      </c>
      <c r="X147" s="4189">
        <v>12667700.813876163</v>
      </c>
      <c r="Y147" s="4189">
        <v>13047731.838292448</v>
      </c>
      <c r="Z147" s="4190">
        <v>134638793.11470729</v>
      </c>
      <c r="AA147" s="1972">
        <v>1</v>
      </c>
      <c r="AB147" s="4191"/>
      <c r="AC147" s="4192"/>
      <c r="AD147" s="4191"/>
      <c r="AE147" s="3123" t="s">
        <v>3938</v>
      </c>
      <c r="AF147" s="4191"/>
      <c r="AG147" s="4191"/>
      <c r="AH147" s="4191"/>
      <c r="AI147" s="4191"/>
      <c r="AJ147" s="4191"/>
      <c r="AK147" s="4191"/>
      <c r="AL147" s="4191"/>
      <c r="AM147" s="4191"/>
      <c r="AN147" s="4191"/>
      <c r="AO147" s="4191"/>
      <c r="AP147" s="4191"/>
      <c r="AQ147" s="4191"/>
      <c r="AR147" s="4191"/>
      <c r="AS147" s="4191"/>
      <c r="AT147" s="4191"/>
      <c r="AU147" s="4191"/>
      <c r="AV147" s="4191"/>
      <c r="AW147" s="4191"/>
      <c r="AX147" s="4191"/>
      <c r="AY147" s="4191"/>
      <c r="AZ147" s="4191"/>
      <c r="BA147" s="4191"/>
      <c r="BB147" s="4191"/>
      <c r="BC147" s="4191"/>
      <c r="BD147" s="4191"/>
      <c r="BE147" s="4191"/>
      <c r="BF147" s="4191"/>
      <c r="BG147" s="4191"/>
      <c r="BH147" s="4191"/>
      <c r="BI147" s="4191"/>
      <c r="BJ147" s="4191"/>
      <c r="BK147" s="4191"/>
      <c r="BL147" s="4191"/>
      <c r="BM147" s="4191"/>
      <c r="BN147" s="4191"/>
      <c r="BO147" s="4191"/>
      <c r="BP147" s="4191"/>
      <c r="BQ147" s="4191"/>
      <c r="BR147" s="4191"/>
      <c r="BS147" s="4170" t="s">
        <v>9701</v>
      </c>
      <c r="BT147" s="4193">
        <v>1</v>
      </c>
      <c r="BU147" s="3863">
        <v>0</v>
      </c>
      <c r="BV147" s="3110">
        <v>0</v>
      </c>
      <c r="BW147" s="15851"/>
      <c r="BX147" s="4171"/>
      <c r="BY147" s="4170"/>
      <c r="BZ147" s="4170"/>
      <c r="CA147" s="4172"/>
      <c r="CB147" s="4172"/>
      <c r="CC147" s="4172"/>
      <c r="CD147" s="4172"/>
      <c r="CE147" s="3105"/>
      <c r="CF147" s="3105"/>
      <c r="CG147" s="3105"/>
      <c r="CH147" s="3105"/>
      <c r="CI147" s="3105"/>
      <c r="CJ147" s="3105"/>
      <c r="CK147" s="3105"/>
      <c r="CL147" s="3105"/>
      <c r="CM147" s="3105"/>
      <c r="CN147" s="3105"/>
      <c r="CO147" s="3105"/>
      <c r="CP147" s="3105"/>
      <c r="CQ147" s="3105"/>
      <c r="CR147" s="3105"/>
      <c r="CS147" s="3105"/>
      <c r="CT147" s="3105"/>
      <c r="CU147" s="3105"/>
      <c r="CV147" s="3105"/>
      <c r="CW147" s="3105"/>
      <c r="CX147" s="3105"/>
      <c r="CY147" s="3105"/>
      <c r="CZ147" s="3105"/>
      <c r="DA147" s="4173"/>
      <c r="DB147" s="3105"/>
      <c r="DC147" s="3105"/>
      <c r="DD147" s="3105"/>
      <c r="DE147" s="3105"/>
      <c r="DF147" s="3105"/>
      <c r="DG147" s="3105"/>
      <c r="DH147" s="3105"/>
      <c r="DI147" s="3105"/>
      <c r="DJ147" s="3105"/>
      <c r="DK147" s="3105"/>
      <c r="DL147" s="3105"/>
      <c r="DM147" s="3105"/>
      <c r="DN147" s="4291"/>
      <c r="DO147" s="1800"/>
      <c r="DP147" s="4462"/>
      <c r="DQ147" s="4453"/>
      <c r="DR147" s="4453"/>
      <c r="DS147" s="4453"/>
      <c r="DT147" s="3122"/>
      <c r="DU147" s="3122"/>
      <c r="DV147" s="3122"/>
      <c r="DW147" s="3122"/>
      <c r="DX147" s="3122"/>
      <c r="DY147" s="3122"/>
      <c r="DZ147" s="3122"/>
      <c r="EA147" s="3122"/>
      <c r="EB147" s="3122"/>
      <c r="EC147" s="3122"/>
      <c r="ED147" s="3122"/>
      <c r="EE147" s="3122"/>
      <c r="EF147" s="3122"/>
      <c r="EG147" s="3122"/>
      <c r="EH147" s="3122"/>
      <c r="EI147" s="3122"/>
      <c r="EJ147" s="3122"/>
      <c r="EK147" s="3122"/>
      <c r="EL147" s="3122"/>
      <c r="EM147" s="3122"/>
      <c r="EN147" s="3122"/>
      <c r="EO147" s="3122"/>
      <c r="EP147" s="3122"/>
      <c r="EQ147" s="3122"/>
      <c r="ER147" s="3122"/>
      <c r="ES147" s="3122"/>
      <c r="ET147" s="3122"/>
      <c r="EU147" s="3122"/>
      <c r="EV147" s="3122"/>
      <c r="EW147" s="3122"/>
      <c r="EX147" s="3122"/>
      <c r="EY147" s="3122"/>
      <c r="EZ147" s="3122"/>
      <c r="FA147" s="3122"/>
      <c r="FB147" s="3122"/>
      <c r="FC147" s="3122"/>
      <c r="FD147" s="3122"/>
      <c r="FE147" s="3122"/>
      <c r="FF147" s="3122"/>
      <c r="FG147" s="3122"/>
      <c r="FH147" s="3122"/>
      <c r="FI147" s="4176"/>
    </row>
    <row r="148" spans="1:165" s="1801" customFormat="1" ht="15" customHeight="1" thickBot="1">
      <c r="A148" s="15800"/>
      <c r="B148" s="15804"/>
      <c r="C148" s="15804"/>
      <c r="D148" s="15889"/>
      <c r="E148" s="15890"/>
      <c r="F148" s="15890"/>
      <c r="G148" s="3878" t="s">
        <v>254</v>
      </c>
      <c r="H148" s="1976">
        <v>1</v>
      </c>
      <c r="I148" s="1976">
        <v>0</v>
      </c>
      <c r="J148" s="15891"/>
      <c r="K148" s="15892"/>
      <c r="L148" s="4444" t="s">
        <v>10199</v>
      </c>
      <c r="M148" s="1977"/>
      <c r="N148" s="1976" t="s">
        <v>1489</v>
      </c>
      <c r="O148" s="1978"/>
      <c r="P148" s="1979"/>
      <c r="Q148" s="1979"/>
      <c r="R148" s="1979"/>
      <c r="S148" s="1979"/>
      <c r="T148" s="1979"/>
      <c r="U148" s="1979"/>
      <c r="V148" s="1979"/>
      <c r="W148" s="1979"/>
      <c r="X148" s="1979"/>
      <c r="Y148" s="1979"/>
      <c r="Z148" s="1980"/>
      <c r="AA148" s="4292"/>
      <c r="AB148" s="1981"/>
      <c r="AC148" s="1981"/>
      <c r="AD148" s="1981"/>
      <c r="AE148" s="1527"/>
      <c r="AF148" s="1981"/>
      <c r="AG148" s="1981"/>
      <c r="AH148" s="1981"/>
      <c r="AI148" s="1981"/>
      <c r="AJ148" s="1981"/>
      <c r="AK148" s="1981"/>
      <c r="AL148" s="1981"/>
      <c r="AM148" s="1981"/>
      <c r="AN148" s="1981"/>
      <c r="AO148" s="1981"/>
      <c r="AP148" s="1981"/>
      <c r="AQ148" s="1981"/>
      <c r="AR148" s="1981"/>
      <c r="AS148" s="1981"/>
      <c r="AT148" s="1981"/>
      <c r="AU148" s="1981"/>
      <c r="AV148" s="1981"/>
      <c r="AW148" s="1981"/>
      <c r="AX148" s="1981"/>
      <c r="AY148" s="1981"/>
      <c r="AZ148" s="1981"/>
      <c r="BA148" s="1981"/>
      <c r="BB148" s="1981"/>
      <c r="BC148" s="1981"/>
      <c r="BD148" s="1981"/>
      <c r="BE148" s="1981"/>
      <c r="BF148" s="1981"/>
      <c r="BG148" s="1981"/>
      <c r="BH148" s="1981"/>
      <c r="BI148" s="1981"/>
      <c r="BJ148" s="1981"/>
      <c r="BK148" s="1981"/>
      <c r="BL148" s="1981"/>
      <c r="BM148" s="1981"/>
      <c r="BN148" s="1981"/>
      <c r="BO148" s="1981"/>
      <c r="BP148" s="1981"/>
      <c r="BQ148" s="1981"/>
      <c r="BR148" s="1981"/>
      <c r="BS148" s="4293" t="s">
        <v>9701</v>
      </c>
      <c r="BT148" s="1982">
        <v>1</v>
      </c>
      <c r="BU148" s="1983">
        <v>0</v>
      </c>
      <c r="BV148" s="4294">
        <v>0</v>
      </c>
      <c r="BW148" s="15852"/>
      <c r="BX148" s="4295"/>
      <c r="BY148" s="4293"/>
      <c r="BZ148" s="4293"/>
      <c r="CA148" s="4296"/>
      <c r="CB148" s="4296"/>
      <c r="CC148" s="4296"/>
      <c r="CD148" s="4296"/>
      <c r="CE148" s="4297"/>
      <c r="CF148" s="4297"/>
      <c r="CG148" s="4297"/>
      <c r="CH148" s="4297"/>
      <c r="CI148" s="4297"/>
      <c r="CJ148" s="4297"/>
      <c r="CK148" s="4297"/>
      <c r="CL148" s="4297"/>
      <c r="CM148" s="4297"/>
      <c r="CN148" s="4297"/>
      <c r="CO148" s="4297"/>
      <c r="CP148" s="4297"/>
      <c r="CQ148" s="4297"/>
      <c r="CR148" s="4297"/>
      <c r="CS148" s="4297"/>
      <c r="CT148" s="4297"/>
      <c r="CU148" s="4297"/>
      <c r="CV148" s="4297"/>
      <c r="CW148" s="4297"/>
      <c r="CX148" s="4297"/>
      <c r="CY148" s="4297"/>
      <c r="CZ148" s="4297"/>
      <c r="DA148" s="4298"/>
      <c r="DB148" s="4297"/>
      <c r="DC148" s="4297"/>
      <c r="DD148" s="4297"/>
      <c r="DE148" s="4297"/>
      <c r="DF148" s="4297"/>
      <c r="DG148" s="4297"/>
      <c r="DH148" s="4297"/>
      <c r="DI148" s="4297"/>
      <c r="DJ148" s="4297"/>
      <c r="DK148" s="4297"/>
      <c r="DL148" s="4297"/>
      <c r="DM148" s="4297"/>
      <c r="DN148" s="4299"/>
      <c r="DO148" s="1800"/>
      <c r="DP148" s="4465"/>
      <c r="DQ148" s="4466"/>
      <c r="DR148" s="4466"/>
      <c r="DS148" s="4466"/>
      <c r="DT148" s="1981"/>
      <c r="DU148" s="1981"/>
      <c r="DV148" s="1981"/>
      <c r="DW148" s="1981"/>
      <c r="DX148" s="1981"/>
      <c r="DY148" s="1981"/>
      <c r="DZ148" s="1981"/>
      <c r="EA148" s="1981"/>
      <c r="EB148" s="1981"/>
      <c r="EC148" s="1981"/>
      <c r="ED148" s="1981"/>
      <c r="EE148" s="1981"/>
      <c r="EF148" s="1981"/>
      <c r="EG148" s="1981"/>
      <c r="EH148" s="1981"/>
      <c r="EI148" s="1981"/>
      <c r="EJ148" s="1981"/>
      <c r="EK148" s="1981"/>
      <c r="EL148" s="1981"/>
      <c r="EM148" s="1981"/>
      <c r="EN148" s="1981"/>
      <c r="EO148" s="1981"/>
      <c r="EP148" s="1981"/>
      <c r="EQ148" s="1981"/>
      <c r="ER148" s="1981"/>
      <c r="ES148" s="1981"/>
      <c r="ET148" s="1981"/>
      <c r="EU148" s="1981"/>
      <c r="EV148" s="1981"/>
      <c r="EW148" s="1981"/>
      <c r="EX148" s="1981"/>
      <c r="EY148" s="1981"/>
      <c r="EZ148" s="1981"/>
      <c r="FA148" s="1981"/>
      <c r="FB148" s="1981"/>
      <c r="FC148" s="1981"/>
      <c r="FD148" s="1981"/>
      <c r="FE148" s="1981"/>
      <c r="FF148" s="1981"/>
      <c r="FG148" s="1981"/>
      <c r="FH148" s="1981"/>
      <c r="FI148" s="4467"/>
    </row>
    <row r="149" spans="1:165" s="1791" customFormat="1" ht="15" customHeight="1">
      <c r="A149" s="15785" t="s">
        <v>1490</v>
      </c>
      <c r="B149" s="15788" t="s">
        <v>1491</v>
      </c>
      <c r="C149" s="15788" t="s">
        <v>1492</v>
      </c>
      <c r="D149" s="15883" t="s">
        <v>7905</v>
      </c>
      <c r="E149" s="15788" t="s">
        <v>1493</v>
      </c>
      <c r="F149" s="15788" t="s">
        <v>313</v>
      </c>
      <c r="G149" s="4196" t="s">
        <v>254</v>
      </c>
      <c r="H149" s="4197">
        <v>1</v>
      </c>
      <c r="I149" s="4198">
        <v>0</v>
      </c>
      <c r="J149" s="15886">
        <v>0</v>
      </c>
      <c r="K149" s="15886" t="s">
        <v>1494</v>
      </c>
      <c r="L149" s="4445" t="s">
        <v>10063</v>
      </c>
      <c r="M149" s="4198" t="s">
        <v>316</v>
      </c>
      <c r="N149" s="4198"/>
      <c r="O149" s="4199">
        <v>100000000</v>
      </c>
      <c r="P149" s="4199">
        <v>0</v>
      </c>
      <c r="Q149" s="4199">
        <v>0</v>
      </c>
      <c r="R149" s="4199">
        <v>0</v>
      </c>
      <c r="S149" s="4199">
        <v>0</v>
      </c>
      <c r="T149" s="4199">
        <v>0</v>
      </c>
      <c r="U149" s="4199">
        <v>0</v>
      </c>
      <c r="V149" s="4199">
        <v>0</v>
      </c>
      <c r="W149" s="4199">
        <v>0</v>
      </c>
      <c r="X149" s="4199">
        <v>0</v>
      </c>
      <c r="Y149" s="4199">
        <v>0</v>
      </c>
      <c r="Z149" s="4199">
        <v>100000000</v>
      </c>
      <c r="AA149" s="4200">
        <v>1</v>
      </c>
      <c r="AB149" s="4201" t="s">
        <v>3044</v>
      </c>
      <c r="AC149" s="4201" t="s">
        <v>3045</v>
      </c>
      <c r="AD149" s="1880"/>
      <c r="AE149" s="4202">
        <f>+AF149+AG149</f>
        <v>16717676.61875</v>
      </c>
      <c r="AF149" s="4202">
        <v>10191016.61875</v>
      </c>
      <c r="AG149" s="4202">
        <v>6526660</v>
      </c>
      <c r="AH149" s="4203">
        <v>0</v>
      </c>
      <c r="AI149" s="1880"/>
      <c r="AJ149" s="4204"/>
      <c r="AK149" s="4204"/>
      <c r="AL149" s="4204"/>
      <c r="AM149" s="4204"/>
      <c r="AN149" s="4204"/>
      <c r="AO149" s="4204"/>
      <c r="AP149" s="4204"/>
      <c r="AQ149" s="4204"/>
      <c r="AR149" s="4204"/>
      <c r="AS149" s="4204"/>
      <c r="AT149" s="4204"/>
      <c r="AU149" s="4204"/>
      <c r="AV149" s="4204"/>
      <c r="AW149" s="4204"/>
      <c r="AX149" s="4204"/>
      <c r="AY149" s="4204"/>
      <c r="AZ149" s="4204"/>
      <c r="BA149" s="4204"/>
      <c r="BB149" s="4204"/>
      <c r="BC149" s="4204"/>
      <c r="BD149" s="4204"/>
      <c r="BE149" s="4204"/>
      <c r="BF149" s="4204"/>
      <c r="BG149" s="4204"/>
      <c r="BH149" s="4204"/>
      <c r="BI149" s="4201" t="s">
        <v>3020</v>
      </c>
      <c r="BJ149" s="4204" t="s">
        <v>3021</v>
      </c>
      <c r="BK149" s="4204"/>
      <c r="BL149" s="4201" t="s">
        <v>3022</v>
      </c>
      <c r="BM149" s="1765" t="s">
        <v>3023</v>
      </c>
      <c r="BN149" s="4204"/>
      <c r="BO149" s="4204"/>
      <c r="BP149" s="4204"/>
      <c r="BQ149" s="4204"/>
      <c r="BR149" s="4204"/>
      <c r="BS149" s="1880">
        <v>1</v>
      </c>
      <c r="BT149" s="1880">
        <v>1</v>
      </c>
      <c r="BU149" s="1985">
        <v>1</v>
      </c>
      <c r="BV149" s="4205">
        <v>1</v>
      </c>
      <c r="BW149" s="15853">
        <v>1</v>
      </c>
      <c r="BX149" s="4201" t="s">
        <v>9703</v>
      </c>
      <c r="BY149" s="4201" t="s">
        <v>9704</v>
      </c>
      <c r="BZ149" s="1880" t="s">
        <v>2976</v>
      </c>
      <c r="CA149" s="4206">
        <v>13055351.987500001</v>
      </c>
      <c r="CB149" s="4206">
        <v>10865051.987500001</v>
      </c>
      <c r="CC149" s="4206">
        <v>2190300</v>
      </c>
      <c r="CD149" s="4206">
        <v>0</v>
      </c>
      <c r="CE149" s="4207"/>
      <c r="CF149" s="4208"/>
      <c r="CG149" s="4208"/>
      <c r="CH149" s="4208"/>
      <c r="CI149" s="4208"/>
      <c r="CJ149" s="4208"/>
      <c r="CK149" s="4208"/>
      <c r="CL149" s="4208"/>
      <c r="CM149" s="4208"/>
      <c r="CN149" s="4208"/>
      <c r="CO149" s="4208"/>
      <c r="CP149" s="4208"/>
      <c r="CQ149" s="4208"/>
      <c r="CR149" s="4208"/>
      <c r="CS149" s="4208"/>
      <c r="CT149" s="4208"/>
      <c r="CU149" s="4208"/>
      <c r="CV149" s="4208"/>
      <c r="CW149" s="4208"/>
      <c r="CX149" s="4208"/>
      <c r="CY149" s="4208"/>
      <c r="CZ149" s="4208"/>
      <c r="DA149" s="4209"/>
      <c r="DB149" s="4208"/>
      <c r="DC149" s="4208"/>
      <c r="DD149" s="4208"/>
      <c r="DE149" s="4210" t="s">
        <v>3020</v>
      </c>
      <c r="DF149" s="4208" t="s">
        <v>3021</v>
      </c>
      <c r="DG149" s="4208"/>
      <c r="DH149" s="4210" t="s">
        <v>3022</v>
      </c>
      <c r="DI149" s="4207" t="s">
        <v>3023</v>
      </c>
      <c r="DJ149" s="4208"/>
      <c r="DK149" s="4208"/>
      <c r="DL149" s="4208"/>
      <c r="DM149" s="4208"/>
      <c r="DN149" s="4211"/>
      <c r="DO149" s="1790"/>
      <c r="DP149" s="4464"/>
      <c r="DQ149" s="1986"/>
      <c r="DR149" s="1986"/>
      <c r="DS149" s="1986"/>
      <c r="DT149" s="1878"/>
      <c r="DU149" s="1878"/>
      <c r="DV149" s="1878"/>
      <c r="DW149" s="1878"/>
      <c r="DX149" s="1878"/>
      <c r="DY149" s="1878"/>
      <c r="DZ149" s="1878"/>
      <c r="EA149" s="1878"/>
      <c r="EB149" s="1878"/>
      <c r="EC149" s="1878"/>
      <c r="ED149" s="1878"/>
      <c r="EE149" s="1878"/>
      <c r="EF149" s="1878"/>
      <c r="EG149" s="1878"/>
      <c r="EH149" s="1878"/>
      <c r="EI149" s="1878"/>
      <c r="EJ149" s="1878"/>
      <c r="EK149" s="1878"/>
      <c r="EL149" s="1878"/>
      <c r="EM149" s="1878"/>
      <c r="EN149" s="1878"/>
      <c r="EO149" s="1878"/>
      <c r="EP149" s="1878"/>
      <c r="EQ149" s="1878"/>
      <c r="ER149" s="1878"/>
      <c r="ES149" s="1878"/>
      <c r="ET149" s="1878"/>
      <c r="EU149" s="1878"/>
      <c r="EV149" s="1878"/>
      <c r="EW149" s="1878"/>
      <c r="EX149" s="1878"/>
      <c r="EY149" s="1878"/>
      <c r="EZ149" s="1878"/>
      <c r="FA149" s="1878"/>
      <c r="FB149" s="1878"/>
      <c r="FC149" s="1878"/>
      <c r="FD149" s="1878"/>
      <c r="FE149" s="1878"/>
      <c r="FF149" s="1878"/>
      <c r="FG149" s="1878"/>
      <c r="FH149" s="1878"/>
      <c r="FI149" s="1879"/>
    </row>
    <row r="150" spans="1:165" s="1791" customFormat="1" ht="15" customHeight="1">
      <c r="A150" s="15786"/>
      <c r="B150" s="15789"/>
      <c r="C150" s="15789"/>
      <c r="D150" s="15884"/>
      <c r="E150" s="15789"/>
      <c r="F150" s="15789"/>
      <c r="G150" s="3940"/>
      <c r="H150" s="3942"/>
      <c r="I150" s="2730"/>
      <c r="J150" s="15887"/>
      <c r="K150" s="15887"/>
      <c r="L150" s="4419" t="s">
        <v>10220</v>
      </c>
      <c r="M150" s="2730"/>
      <c r="N150" s="2730" t="s">
        <v>1495</v>
      </c>
      <c r="O150" s="3945"/>
      <c r="P150" s="3945"/>
      <c r="Q150" s="3945"/>
      <c r="R150" s="3945"/>
      <c r="S150" s="3945"/>
      <c r="T150" s="3945"/>
      <c r="U150" s="3945"/>
      <c r="V150" s="3945"/>
      <c r="W150" s="3945"/>
      <c r="X150" s="3945"/>
      <c r="Y150" s="3945"/>
      <c r="Z150" s="3945"/>
      <c r="AA150" s="4213"/>
      <c r="AB150" s="3947"/>
      <c r="AC150" s="3947"/>
      <c r="AD150" s="3953"/>
      <c r="AE150" s="4214"/>
      <c r="AF150" s="4214"/>
      <c r="AG150" s="4214"/>
      <c r="AH150" s="4215"/>
      <c r="AI150" s="3953"/>
      <c r="AJ150" s="3951"/>
      <c r="AK150" s="3951"/>
      <c r="AL150" s="3951"/>
      <c r="AM150" s="3951"/>
      <c r="AN150" s="3951"/>
      <c r="AO150" s="3951"/>
      <c r="AP150" s="3951"/>
      <c r="AQ150" s="3951"/>
      <c r="AR150" s="3951"/>
      <c r="AS150" s="3951"/>
      <c r="AT150" s="3951"/>
      <c r="AU150" s="3951"/>
      <c r="AV150" s="3951"/>
      <c r="AW150" s="3951"/>
      <c r="AX150" s="3951"/>
      <c r="AY150" s="3951"/>
      <c r="AZ150" s="3951"/>
      <c r="BA150" s="3951"/>
      <c r="BB150" s="3951"/>
      <c r="BC150" s="3951"/>
      <c r="BD150" s="3951"/>
      <c r="BE150" s="3951"/>
      <c r="BF150" s="3951"/>
      <c r="BG150" s="3951"/>
      <c r="BH150" s="3951"/>
      <c r="BI150" s="3947"/>
      <c r="BJ150" s="3951"/>
      <c r="BK150" s="3951"/>
      <c r="BL150" s="3947"/>
      <c r="BM150" s="2741"/>
      <c r="BN150" s="3951"/>
      <c r="BO150" s="3951"/>
      <c r="BP150" s="3951"/>
      <c r="BQ150" s="3951"/>
      <c r="BR150" s="3951"/>
      <c r="BS150" s="3953"/>
      <c r="BT150" s="3953"/>
      <c r="BU150" s="3941"/>
      <c r="BV150" s="2408"/>
      <c r="BW150" s="15854"/>
      <c r="BX150" s="3947"/>
      <c r="BY150" s="3947"/>
      <c r="BZ150" s="3953"/>
      <c r="CA150" s="4216"/>
      <c r="CB150" s="4216"/>
      <c r="CC150" s="4216"/>
      <c r="CD150" s="4216"/>
      <c r="CE150" s="4217"/>
      <c r="CF150" s="4195"/>
      <c r="CG150" s="4195"/>
      <c r="CH150" s="4195"/>
      <c r="CI150" s="4195"/>
      <c r="CJ150" s="4195"/>
      <c r="CK150" s="4195"/>
      <c r="CL150" s="4195"/>
      <c r="CM150" s="4195"/>
      <c r="CN150" s="4195"/>
      <c r="CO150" s="4195"/>
      <c r="CP150" s="4195"/>
      <c r="CQ150" s="4195"/>
      <c r="CR150" s="4195"/>
      <c r="CS150" s="4195"/>
      <c r="CT150" s="4195"/>
      <c r="CU150" s="4195"/>
      <c r="CV150" s="4195"/>
      <c r="CW150" s="4195"/>
      <c r="CX150" s="4195"/>
      <c r="CY150" s="4195"/>
      <c r="CZ150" s="4195"/>
      <c r="DA150" s="4218"/>
      <c r="DB150" s="4195"/>
      <c r="DC150" s="4195"/>
      <c r="DD150" s="4195"/>
      <c r="DE150" s="4194"/>
      <c r="DF150" s="4195"/>
      <c r="DG150" s="4195"/>
      <c r="DH150" s="4194"/>
      <c r="DI150" s="4217"/>
      <c r="DJ150" s="4195"/>
      <c r="DK150" s="4195"/>
      <c r="DL150" s="4195"/>
      <c r="DM150" s="4195"/>
      <c r="DN150" s="4219"/>
      <c r="DO150" s="1790"/>
      <c r="DP150" s="4457"/>
      <c r="DQ150" s="4195"/>
      <c r="DR150" s="4195"/>
      <c r="DS150" s="4195"/>
      <c r="DT150" s="3951"/>
      <c r="DU150" s="3951"/>
      <c r="DV150" s="3951"/>
      <c r="DW150" s="3951"/>
      <c r="DX150" s="3951"/>
      <c r="DY150" s="3951"/>
      <c r="DZ150" s="3951"/>
      <c r="EA150" s="3951"/>
      <c r="EB150" s="3951"/>
      <c r="EC150" s="3951"/>
      <c r="ED150" s="3951"/>
      <c r="EE150" s="3951"/>
      <c r="EF150" s="3951"/>
      <c r="EG150" s="3951"/>
      <c r="EH150" s="3951"/>
      <c r="EI150" s="3951"/>
      <c r="EJ150" s="3951"/>
      <c r="EK150" s="3951"/>
      <c r="EL150" s="3951"/>
      <c r="EM150" s="3951"/>
      <c r="EN150" s="3951"/>
      <c r="EO150" s="3951"/>
      <c r="EP150" s="3951"/>
      <c r="EQ150" s="3951"/>
      <c r="ER150" s="3951"/>
      <c r="ES150" s="3951"/>
      <c r="ET150" s="3951"/>
      <c r="EU150" s="3951"/>
      <c r="EV150" s="3951"/>
      <c r="EW150" s="3951"/>
      <c r="EX150" s="3951"/>
      <c r="EY150" s="3951"/>
      <c r="EZ150" s="3951"/>
      <c r="FA150" s="3951"/>
      <c r="FB150" s="3951"/>
      <c r="FC150" s="3951"/>
      <c r="FD150" s="3951"/>
      <c r="FE150" s="3951"/>
      <c r="FF150" s="3951"/>
      <c r="FG150" s="3951"/>
      <c r="FH150" s="3951"/>
      <c r="FI150" s="2061"/>
    </row>
    <row r="151" spans="1:165" s="1791" customFormat="1" ht="15" customHeight="1">
      <c r="A151" s="15786"/>
      <c r="B151" s="15789"/>
      <c r="C151" s="15789" t="s">
        <v>1496</v>
      </c>
      <c r="D151" s="15884" t="s">
        <v>7906</v>
      </c>
      <c r="E151" s="15789" t="s">
        <v>1497</v>
      </c>
      <c r="F151" s="15789" t="s">
        <v>1498</v>
      </c>
      <c r="G151" s="3940"/>
      <c r="H151" s="3942"/>
      <c r="I151" s="2730"/>
      <c r="J151" s="15887"/>
      <c r="K151" s="15887" t="s">
        <v>73</v>
      </c>
      <c r="L151" s="4419" t="s">
        <v>10063</v>
      </c>
      <c r="M151" s="2730" t="s">
        <v>316</v>
      </c>
      <c r="N151" s="2730"/>
      <c r="O151" s="3945"/>
      <c r="P151" s="3945"/>
      <c r="Q151" s="3945"/>
      <c r="R151" s="3945"/>
      <c r="S151" s="3945"/>
      <c r="T151" s="3945"/>
      <c r="U151" s="3945"/>
      <c r="V151" s="3945"/>
      <c r="W151" s="3945"/>
      <c r="X151" s="3945"/>
      <c r="Y151" s="3945"/>
      <c r="Z151" s="3945"/>
      <c r="AA151" s="4213"/>
      <c r="AB151" s="3947"/>
      <c r="AC151" s="3947"/>
      <c r="AD151" s="3953"/>
      <c r="AE151" s="4214"/>
      <c r="AF151" s="4214"/>
      <c r="AG151" s="4214"/>
      <c r="AH151" s="4215"/>
      <c r="AI151" s="3953"/>
      <c r="AJ151" s="3951"/>
      <c r="AK151" s="3951"/>
      <c r="AL151" s="3951"/>
      <c r="AM151" s="3951"/>
      <c r="AN151" s="3951"/>
      <c r="AO151" s="3951"/>
      <c r="AP151" s="3951"/>
      <c r="AQ151" s="3951"/>
      <c r="AR151" s="3951"/>
      <c r="AS151" s="3951"/>
      <c r="AT151" s="3951"/>
      <c r="AU151" s="3951"/>
      <c r="AV151" s="3951"/>
      <c r="AW151" s="3951"/>
      <c r="AX151" s="3951"/>
      <c r="AY151" s="3951"/>
      <c r="AZ151" s="3951"/>
      <c r="BA151" s="3951"/>
      <c r="BB151" s="3951"/>
      <c r="BC151" s="3951"/>
      <c r="BD151" s="3951"/>
      <c r="BE151" s="3951"/>
      <c r="BF151" s="3951"/>
      <c r="BG151" s="3951"/>
      <c r="BH151" s="3951"/>
      <c r="BI151" s="3947"/>
      <c r="BJ151" s="3951"/>
      <c r="BK151" s="3951"/>
      <c r="BL151" s="3947"/>
      <c r="BM151" s="2741"/>
      <c r="BN151" s="3951"/>
      <c r="BO151" s="3951"/>
      <c r="BP151" s="3951"/>
      <c r="BQ151" s="3951"/>
      <c r="BR151" s="3951"/>
      <c r="BS151" s="3953">
        <v>1</v>
      </c>
      <c r="BT151" s="3953">
        <v>1</v>
      </c>
      <c r="BU151" s="3941">
        <v>1</v>
      </c>
      <c r="BV151" s="2408">
        <v>1</v>
      </c>
      <c r="BW151" s="15854"/>
      <c r="BX151" s="3947" t="s">
        <v>9705</v>
      </c>
      <c r="BY151" s="3947" t="s">
        <v>9706</v>
      </c>
      <c r="BZ151" s="3953" t="s">
        <v>2976</v>
      </c>
      <c r="CA151" s="4216">
        <v>2761564.3250000002</v>
      </c>
      <c r="CB151" s="4216">
        <v>2342964.3250000002</v>
      </c>
      <c r="CC151" s="4216">
        <v>418600</v>
      </c>
      <c r="CD151" s="4216">
        <v>0</v>
      </c>
      <c r="CE151" s="4217"/>
      <c r="CF151" s="4195"/>
      <c r="CG151" s="4195"/>
      <c r="CH151" s="4195"/>
      <c r="CI151" s="4195"/>
      <c r="CJ151" s="4195"/>
      <c r="CK151" s="4195"/>
      <c r="CL151" s="4195"/>
      <c r="CM151" s="4195"/>
      <c r="CN151" s="4195"/>
      <c r="CO151" s="4195"/>
      <c r="CP151" s="4195"/>
      <c r="CQ151" s="4195"/>
      <c r="CR151" s="4195"/>
      <c r="CS151" s="4195"/>
      <c r="CT151" s="4195"/>
      <c r="CU151" s="4195"/>
      <c r="CV151" s="4195"/>
      <c r="CW151" s="4195"/>
      <c r="CX151" s="4195"/>
      <c r="CY151" s="4195"/>
      <c r="CZ151" s="4195"/>
      <c r="DA151" s="4218"/>
      <c r="DB151" s="4195"/>
      <c r="DC151" s="4195"/>
      <c r="DD151" s="4195"/>
      <c r="DE151" s="4194" t="s">
        <v>3020</v>
      </c>
      <c r="DF151" s="4195" t="s">
        <v>3021</v>
      </c>
      <c r="DG151" s="4195"/>
      <c r="DH151" s="4194" t="s">
        <v>3022</v>
      </c>
      <c r="DI151" s="4217" t="s">
        <v>3023</v>
      </c>
      <c r="DJ151" s="4195"/>
      <c r="DK151" s="4195"/>
      <c r="DL151" s="4195"/>
      <c r="DM151" s="4195"/>
      <c r="DN151" s="4219"/>
      <c r="DO151" s="1790"/>
      <c r="DP151" s="4457"/>
      <c r="DQ151" s="4195"/>
      <c r="DR151" s="4195"/>
      <c r="DS151" s="4195"/>
      <c r="DT151" s="3951"/>
      <c r="DU151" s="3951"/>
      <c r="DV151" s="3951"/>
      <c r="DW151" s="3951"/>
      <c r="DX151" s="3951"/>
      <c r="DY151" s="3951"/>
      <c r="DZ151" s="3951"/>
      <c r="EA151" s="3951"/>
      <c r="EB151" s="3951"/>
      <c r="EC151" s="3951"/>
      <c r="ED151" s="3951"/>
      <c r="EE151" s="3951"/>
      <c r="EF151" s="3951"/>
      <c r="EG151" s="3951"/>
      <c r="EH151" s="3951"/>
      <c r="EI151" s="3951"/>
      <c r="EJ151" s="3951"/>
      <c r="EK151" s="3951"/>
      <c r="EL151" s="3951"/>
      <c r="EM151" s="3951"/>
      <c r="EN151" s="3951"/>
      <c r="EO151" s="3951"/>
      <c r="EP151" s="3951"/>
      <c r="EQ151" s="3951"/>
      <c r="ER151" s="3951"/>
      <c r="ES151" s="3951"/>
      <c r="ET151" s="3951"/>
      <c r="EU151" s="3951"/>
      <c r="EV151" s="3951"/>
      <c r="EW151" s="3951"/>
      <c r="EX151" s="3951"/>
      <c r="EY151" s="3951"/>
      <c r="EZ151" s="3951"/>
      <c r="FA151" s="3951"/>
      <c r="FB151" s="3951"/>
      <c r="FC151" s="3951"/>
      <c r="FD151" s="3951"/>
      <c r="FE151" s="3951"/>
      <c r="FF151" s="3951"/>
      <c r="FG151" s="3951"/>
      <c r="FH151" s="3951"/>
      <c r="FI151" s="2061"/>
    </row>
    <row r="152" spans="1:165" s="1791" customFormat="1" ht="15" customHeight="1" thickBot="1">
      <c r="A152" s="15787"/>
      <c r="B152" s="15790"/>
      <c r="C152" s="15790"/>
      <c r="D152" s="15885"/>
      <c r="E152" s="15790"/>
      <c r="F152" s="15790"/>
      <c r="G152" s="3886" t="s">
        <v>254</v>
      </c>
      <c r="H152" s="1882"/>
      <c r="I152" s="1883" t="s">
        <v>1499</v>
      </c>
      <c r="J152" s="15888"/>
      <c r="K152" s="15888"/>
      <c r="L152" s="4421" t="s">
        <v>10220</v>
      </c>
      <c r="M152" s="1883"/>
      <c r="N152" s="1883" t="s">
        <v>1495</v>
      </c>
      <c r="O152" s="1886">
        <v>0</v>
      </c>
      <c r="P152" s="1886">
        <v>0</v>
      </c>
      <c r="Q152" s="1886">
        <v>0</v>
      </c>
      <c r="R152" s="1886">
        <v>1000000000</v>
      </c>
      <c r="S152" s="1886">
        <v>0</v>
      </c>
      <c r="T152" s="1886">
        <v>0</v>
      </c>
      <c r="U152" s="1886">
        <v>0</v>
      </c>
      <c r="V152" s="1886">
        <v>0</v>
      </c>
      <c r="W152" s="1886">
        <v>0</v>
      </c>
      <c r="X152" s="1886">
        <v>0</v>
      </c>
      <c r="Y152" s="1886">
        <v>0</v>
      </c>
      <c r="Z152" s="1886">
        <v>1000000000</v>
      </c>
      <c r="AA152" s="4220">
        <v>1</v>
      </c>
      <c r="AB152" s="1767" t="s">
        <v>3046</v>
      </c>
      <c r="AC152" s="1887" t="s">
        <v>3047</v>
      </c>
      <c r="AD152" s="1892"/>
      <c r="AE152" s="1987">
        <f>+AF152+AG152</f>
        <v>7207480</v>
      </c>
      <c r="AF152" s="1987">
        <v>1895080</v>
      </c>
      <c r="AG152" s="1987">
        <v>5312400</v>
      </c>
      <c r="AH152" s="1888"/>
      <c r="AI152" s="1892"/>
      <c r="AJ152" s="1888"/>
      <c r="AK152" s="1888"/>
      <c r="AL152" s="1888"/>
      <c r="AM152" s="1888"/>
      <c r="AN152" s="1888"/>
      <c r="AO152" s="1888"/>
      <c r="AP152" s="1888"/>
      <c r="AQ152" s="1888"/>
      <c r="AR152" s="1888"/>
      <c r="AS152" s="1888"/>
      <c r="AT152" s="1888"/>
      <c r="AU152" s="1888"/>
      <c r="AV152" s="1888"/>
      <c r="AW152" s="1888"/>
      <c r="AX152" s="1888"/>
      <c r="AY152" s="1888"/>
      <c r="AZ152" s="1888"/>
      <c r="BA152" s="1888"/>
      <c r="BB152" s="1888"/>
      <c r="BC152" s="1888"/>
      <c r="BD152" s="1888"/>
      <c r="BE152" s="1888"/>
      <c r="BF152" s="1888"/>
      <c r="BG152" s="1888"/>
      <c r="BH152" s="1888"/>
      <c r="BI152" s="1887" t="s">
        <v>3020</v>
      </c>
      <c r="BJ152" s="1888" t="s">
        <v>3021</v>
      </c>
      <c r="BK152" s="1888"/>
      <c r="BL152" s="1887" t="s">
        <v>3022</v>
      </c>
      <c r="BM152" s="381" t="s">
        <v>3023</v>
      </c>
      <c r="BN152" s="1888"/>
      <c r="BO152" s="1888"/>
      <c r="BP152" s="1888"/>
      <c r="BQ152" s="1888"/>
      <c r="BR152" s="1888"/>
      <c r="BS152" s="1892"/>
      <c r="BT152" s="1892"/>
      <c r="BU152" s="381"/>
      <c r="BV152" s="4221"/>
      <c r="BW152" s="15855"/>
      <c r="BX152" s="1767"/>
      <c r="BY152" s="1887"/>
      <c r="BZ152" s="1892"/>
      <c r="CA152" s="1988"/>
      <c r="CB152" s="1988"/>
      <c r="CC152" s="1988"/>
      <c r="CD152" s="1989"/>
      <c r="CE152" s="4222"/>
      <c r="CF152" s="1990"/>
      <c r="CG152" s="1990"/>
      <c r="CH152" s="1990"/>
      <c r="CI152" s="1990"/>
      <c r="CJ152" s="1990"/>
      <c r="CK152" s="1990"/>
      <c r="CL152" s="1990"/>
      <c r="CM152" s="1990"/>
      <c r="CN152" s="1990"/>
      <c r="CO152" s="1990"/>
      <c r="CP152" s="1990"/>
      <c r="CQ152" s="1990"/>
      <c r="CR152" s="1990"/>
      <c r="CS152" s="1990"/>
      <c r="CT152" s="1990"/>
      <c r="CU152" s="1990"/>
      <c r="CV152" s="1990"/>
      <c r="CW152" s="1990"/>
      <c r="CX152" s="1990"/>
      <c r="CY152" s="1990"/>
      <c r="CZ152" s="1990"/>
      <c r="DA152" s="1991"/>
      <c r="DB152" s="1990"/>
      <c r="DC152" s="1990"/>
      <c r="DD152" s="1990"/>
      <c r="DE152" s="4223"/>
      <c r="DF152" s="1990"/>
      <c r="DG152" s="1990"/>
      <c r="DH152" s="4223"/>
      <c r="DI152" s="4222"/>
      <c r="DJ152" s="1990"/>
      <c r="DK152" s="1990"/>
      <c r="DL152" s="1990"/>
      <c r="DM152" s="1990"/>
      <c r="DN152" s="4224"/>
      <c r="DO152" s="1790"/>
      <c r="DP152" s="4463"/>
      <c r="DQ152" s="1990"/>
      <c r="DR152" s="1990"/>
      <c r="DS152" s="1990"/>
      <c r="DT152" s="1888"/>
      <c r="DU152" s="1888"/>
      <c r="DV152" s="1888"/>
      <c r="DW152" s="1888"/>
      <c r="DX152" s="1888"/>
      <c r="DY152" s="1888"/>
      <c r="DZ152" s="1888"/>
      <c r="EA152" s="1888"/>
      <c r="EB152" s="1888"/>
      <c r="EC152" s="1888"/>
      <c r="ED152" s="1888"/>
      <c r="EE152" s="1888"/>
      <c r="EF152" s="1888"/>
      <c r="EG152" s="1888"/>
      <c r="EH152" s="1888"/>
      <c r="EI152" s="1888"/>
      <c r="EJ152" s="1888"/>
      <c r="EK152" s="1888"/>
      <c r="EL152" s="1888"/>
      <c r="EM152" s="1888"/>
      <c r="EN152" s="1888"/>
      <c r="EO152" s="1888"/>
      <c r="EP152" s="1888"/>
      <c r="EQ152" s="1888"/>
      <c r="ER152" s="1888"/>
      <c r="ES152" s="1888"/>
      <c r="ET152" s="1888"/>
      <c r="EU152" s="1888"/>
      <c r="EV152" s="1888"/>
      <c r="EW152" s="1888"/>
      <c r="EX152" s="1888"/>
      <c r="EY152" s="1888"/>
      <c r="EZ152" s="1888"/>
      <c r="FA152" s="1888"/>
      <c r="FB152" s="1888"/>
      <c r="FC152" s="1888"/>
      <c r="FD152" s="1888"/>
      <c r="FE152" s="1888"/>
      <c r="FF152" s="1888"/>
      <c r="FG152" s="1888"/>
      <c r="FH152" s="1888"/>
      <c r="FI152" s="1890"/>
    </row>
    <row r="153" spans="1:165" ht="15" customHeight="1">
      <c r="A153" s="105"/>
      <c r="B153" s="105"/>
      <c r="C153" s="105"/>
      <c r="D153" s="105"/>
      <c r="E153" s="105"/>
      <c r="F153" s="105"/>
      <c r="G153" s="105"/>
      <c r="H153" s="105"/>
      <c r="I153" s="105"/>
      <c r="J153" s="105"/>
      <c r="K153" s="105"/>
      <c r="L153" s="4446"/>
      <c r="M153" s="105"/>
      <c r="N153" s="105"/>
      <c r="O153" s="105"/>
      <c r="P153" s="105"/>
      <c r="Q153" s="105"/>
      <c r="R153" s="105"/>
      <c r="S153" s="105"/>
      <c r="T153" s="105"/>
      <c r="U153" s="105"/>
      <c r="V153" s="105"/>
      <c r="W153" s="105"/>
      <c r="X153" s="105"/>
      <c r="Y153" s="105"/>
      <c r="Z153" s="105"/>
      <c r="BS153" s="32"/>
      <c r="BT153" s="32"/>
      <c r="BU153" s="32"/>
      <c r="BV153" s="32"/>
      <c r="BW153" s="32"/>
      <c r="BX153" s="928"/>
      <c r="BY153" s="32"/>
      <c r="BZ153" s="32"/>
      <c r="CA153" s="839"/>
      <c r="CB153" s="839"/>
      <c r="CC153" s="839"/>
      <c r="CD153" s="839"/>
      <c r="CE153" s="839"/>
      <c r="CF153" s="839"/>
      <c r="CG153" s="839"/>
      <c r="CH153" s="839"/>
      <c r="CI153" s="839"/>
      <c r="CJ153" s="839"/>
      <c r="CK153" s="839"/>
      <c r="CL153" s="839"/>
      <c r="CM153" s="839"/>
      <c r="CN153" s="839"/>
      <c r="CO153" s="839"/>
      <c r="CP153" s="839"/>
      <c r="CQ153" s="839"/>
      <c r="CR153" s="839"/>
      <c r="CS153" s="839"/>
      <c r="CT153" s="839"/>
      <c r="CU153" s="839"/>
      <c r="CV153" s="839"/>
      <c r="CW153" s="839"/>
      <c r="CX153" s="839"/>
      <c r="CY153" s="839"/>
      <c r="CZ153" s="839"/>
      <c r="DA153" s="839"/>
      <c r="DB153" s="839"/>
      <c r="DC153" s="839"/>
      <c r="DD153" s="839"/>
      <c r="DE153" s="839"/>
      <c r="DF153" s="839"/>
      <c r="DG153" s="839"/>
      <c r="DH153" s="839"/>
      <c r="DI153" s="839"/>
      <c r="DJ153" s="839"/>
      <c r="DK153" s="839"/>
      <c r="DL153" s="839"/>
      <c r="DM153" s="839"/>
      <c r="DN153" s="839"/>
    </row>
    <row r="154" spans="1:165" ht="15" customHeight="1">
      <c r="A154" s="105"/>
      <c r="B154" s="105"/>
      <c r="C154" s="105"/>
      <c r="D154" s="105"/>
      <c r="E154" s="105"/>
      <c r="F154" s="105"/>
      <c r="G154" s="105"/>
      <c r="H154" s="105"/>
      <c r="I154" s="105"/>
      <c r="J154" s="105"/>
      <c r="K154" s="105"/>
      <c r="L154" s="4446"/>
      <c r="M154" s="105"/>
      <c r="N154" s="105"/>
      <c r="O154" s="105"/>
      <c r="P154" s="105"/>
      <c r="Q154" s="105"/>
      <c r="R154" s="105"/>
      <c r="S154" s="105"/>
      <c r="T154" s="105"/>
      <c r="U154" s="105"/>
      <c r="V154" s="105"/>
      <c r="W154" s="105"/>
      <c r="X154" s="105"/>
      <c r="Y154" s="105"/>
      <c r="Z154" s="105"/>
      <c r="BS154" s="32"/>
      <c r="BT154" s="32"/>
      <c r="BU154" s="32"/>
      <c r="BV154" s="32"/>
      <c r="BW154" s="32"/>
      <c r="BX154" s="928"/>
      <c r="BY154" s="32"/>
      <c r="BZ154" s="32"/>
      <c r="CA154" s="2954">
        <f>SUM(CA5:CA152)</f>
        <v>1305244339.0037501</v>
      </c>
      <c r="CB154" s="839">
        <f t="shared" ref="CB154:DC154" si="1">SUM(CB5:CB152)</f>
        <v>417205324.00375003</v>
      </c>
      <c r="CC154" s="839">
        <f t="shared" si="1"/>
        <v>128276167</v>
      </c>
      <c r="CD154" s="839">
        <f t="shared" si="1"/>
        <v>0</v>
      </c>
      <c r="CE154" s="2954">
        <f>SUM(CE5:CE152)</f>
        <v>6042</v>
      </c>
      <c r="CF154" s="839">
        <f t="shared" si="1"/>
        <v>1960</v>
      </c>
      <c r="CG154" s="839">
        <f t="shared" si="1"/>
        <v>3296</v>
      </c>
      <c r="CH154" s="839">
        <f t="shared" si="1"/>
        <v>1339</v>
      </c>
      <c r="CI154" s="839">
        <f t="shared" si="1"/>
        <v>706</v>
      </c>
      <c r="CJ154" s="839">
        <f t="shared" si="1"/>
        <v>310</v>
      </c>
      <c r="CK154" s="839">
        <f t="shared" si="1"/>
        <v>688</v>
      </c>
      <c r="CL154" s="839">
        <f t="shared" si="1"/>
        <v>511</v>
      </c>
      <c r="CM154" s="839">
        <f t="shared" si="1"/>
        <v>404</v>
      </c>
      <c r="CN154" s="839">
        <f t="shared" si="1"/>
        <v>167</v>
      </c>
      <c r="CO154" s="839">
        <f t="shared" si="1"/>
        <v>19</v>
      </c>
      <c r="CP154" s="839">
        <f t="shared" si="1"/>
        <v>11</v>
      </c>
      <c r="CQ154" s="839">
        <f t="shared" si="1"/>
        <v>1201</v>
      </c>
      <c r="CR154" s="839">
        <f t="shared" si="1"/>
        <v>20</v>
      </c>
      <c r="CS154" s="839">
        <f t="shared" si="1"/>
        <v>233</v>
      </c>
      <c r="CT154" s="839">
        <f t="shared" si="1"/>
        <v>52</v>
      </c>
      <c r="CU154" s="839">
        <f t="shared" si="1"/>
        <v>32</v>
      </c>
      <c r="CV154" s="839">
        <f t="shared" si="1"/>
        <v>3</v>
      </c>
      <c r="CW154" s="839">
        <f t="shared" si="1"/>
        <v>5</v>
      </c>
      <c r="CX154" s="839">
        <f t="shared" si="1"/>
        <v>3</v>
      </c>
      <c r="CY154" s="839">
        <f t="shared" si="1"/>
        <v>0</v>
      </c>
      <c r="CZ154" s="839">
        <f t="shared" si="1"/>
        <v>0</v>
      </c>
      <c r="DA154" s="839">
        <f t="shared" si="1"/>
        <v>6042</v>
      </c>
      <c r="DB154" s="839">
        <f t="shared" si="1"/>
        <v>0</v>
      </c>
      <c r="DC154" s="839">
        <f t="shared" si="1"/>
        <v>0</v>
      </c>
      <c r="DD154" s="839"/>
      <c r="DE154" s="839"/>
      <c r="DF154" s="839"/>
      <c r="DG154" s="839"/>
      <c r="DH154" s="839"/>
      <c r="DI154" s="839"/>
      <c r="DJ154" s="839"/>
      <c r="DK154" s="839"/>
      <c r="DL154" s="839"/>
      <c r="DM154" s="839"/>
      <c r="DN154" s="839"/>
    </row>
    <row r="155" spans="1:165" ht="15" customHeight="1">
      <c r="A155" s="105"/>
      <c r="B155" s="105"/>
      <c r="C155" s="105"/>
      <c r="D155" s="105"/>
      <c r="E155" s="105"/>
      <c r="F155" s="105"/>
      <c r="G155" s="105"/>
      <c r="H155" s="105"/>
      <c r="I155" s="105"/>
      <c r="J155" s="105"/>
      <c r="K155" s="105"/>
      <c r="L155" s="4446"/>
      <c r="M155" s="105"/>
      <c r="N155" s="105"/>
      <c r="O155" s="105"/>
      <c r="P155" s="105"/>
      <c r="Q155" s="105"/>
      <c r="R155" s="105"/>
      <c r="S155" s="105"/>
      <c r="T155" s="105"/>
      <c r="U155" s="105"/>
      <c r="V155" s="105"/>
      <c r="W155" s="105"/>
      <c r="X155" s="105"/>
      <c r="Y155" s="105"/>
      <c r="Z155" s="105"/>
    </row>
    <row r="156" spans="1:165" ht="15" customHeight="1">
      <c r="A156" s="105"/>
      <c r="B156" s="105"/>
      <c r="C156" s="105"/>
      <c r="D156" s="105"/>
      <c r="E156" s="105"/>
      <c r="F156" s="105"/>
      <c r="G156" s="105"/>
      <c r="H156" s="105"/>
      <c r="I156" s="105"/>
      <c r="J156" s="105"/>
      <c r="K156" s="105"/>
      <c r="L156" s="4446"/>
      <c r="M156" s="105"/>
      <c r="N156" s="105"/>
      <c r="O156" s="105"/>
      <c r="P156" s="105"/>
      <c r="Q156" s="105"/>
      <c r="R156" s="105"/>
      <c r="S156" s="105"/>
      <c r="T156" s="105"/>
      <c r="U156" s="105"/>
      <c r="V156" s="105"/>
      <c r="W156" s="105"/>
      <c r="X156" s="105"/>
      <c r="Y156" s="105"/>
      <c r="Z156" s="105"/>
    </row>
    <row r="157" spans="1:165" ht="15" customHeight="1">
      <c r="A157" s="105"/>
      <c r="B157" s="105"/>
      <c r="C157" s="105"/>
      <c r="D157" s="105"/>
      <c r="E157" s="105"/>
      <c r="F157" s="105"/>
      <c r="G157" s="105"/>
      <c r="H157" s="105"/>
      <c r="I157" s="105"/>
      <c r="J157" s="105"/>
      <c r="K157" s="105"/>
      <c r="L157" s="4446"/>
      <c r="M157" s="105"/>
      <c r="N157" s="105"/>
      <c r="O157" s="105"/>
      <c r="P157" s="105"/>
      <c r="Q157" s="105"/>
      <c r="R157" s="105"/>
      <c r="S157" s="105"/>
      <c r="T157" s="105"/>
      <c r="U157" s="105"/>
      <c r="V157" s="105"/>
      <c r="W157" s="105"/>
      <c r="X157" s="105"/>
      <c r="Y157" s="105"/>
      <c r="Z157" s="105"/>
    </row>
    <row r="158" spans="1:165" ht="15" customHeight="1">
      <c r="A158" s="105"/>
      <c r="B158" s="105"/>
      <c r="C158" s="105"/>
      <c r="D158" s="105"/>
      <c r="E158" s="105"/>
      <c r="F158" s="105"/>
      <c r="G158" s="105"/>
      <c r="H158" s="105"/>
      <c r="I158" s="105"/>
      <c r="J158" s="105"/>
      <c r="K158" s="105"/>
      <c r="L158" s="4446"/>
      <c r="M158" s="105"/>
      <c r="N158" s="105"/>
      <c r="O158" s="105"/>
      <c r="P158" s="105"/>
      <c r="Q158" s="105"/>
      <c r="R158" s="105"/>
      <c r="S158" s="105"/>
      <c r="T158" s="105"/>
      <c r="U158" s="105"/>
      <c r="V158" s="105"/>
      <c r="W158" s="105"/>
      <c r="X158" s="105"/>
      <c r="Y158" s="105"/>
      <c r="Z158" s="105"/>
    </row>
    <row r="159" spans="1:165" ht="15" customHeight="1">
      <c r="A159" s="105"/>
      <c r="B159" s="105"/>
      <c r="C159" s="105"/>
      <c r="D159" s="105"/>
      <c r="E159" s="105"/>
      <c r="F159" s="105"/>
      <c r="G159" s="105"/>
      <c r="H159" s="105"/>
      <c r="I159" s="105"/>
      <c r="J159" s="105"/>
      <c r="K159" s="105"/>
      <c r="L159" s="4446"/>
      <c r="M159" s="105"/>
      <c r="N159" s="105"/>
      <c r="O159" s="105"/>
      <c r="P159" s="105"/>
      <c r="Q159" s="105"/>
      <c r="R159" s="105"/>
      <c r="S159" s="105"/>
      <c r="T159" s="105"/>
      <c r="U159" s="105"/>
      <c r="V159" s="105"/>
      <c r="W159" s="105"/>
      <c r="X159" s="105"/>
      <c r="Y159" s="105"/>
      <c r="Z159" s="105"/>
    </row>
    <row r="160" spans="1:165" ht="15" customHeight="1">
      <c r="A160" s="105"/>
      <c r="B160" s="105"/>
      <c r="C160" s="105"/>
      <c r="D160" s="105"/>
      <c r="E160" s="105"/>
      <c r="F160" s="105"/>
      <c r="G160" s="105"/>
      <c r="H160" s="105"/>
      <c r="I160" s="105"/>
      <c r="J160" s="105"/>
      <c r="K160" s="105"/>
      <c r="L160" s="4446"/>
      <c r="M160" s="105"/>
      <c r="N160" s="105"/>
      <c r="O160" s="105"/>
      <c r="P160" s="105"/>
      <c r="Q160" s="105"/>
      <c r="R160" s="105"/>
      <c r="S160" s="105"/>
      <c r="T160" s="105"/>
      <c r="U160" s="105"/>
      <c r="V160" s="105"/>
      <c r="W160" s="105"/>
      <c r="X160" s="105"/>
      <c r="Y160" s="105"/>
      <c r="Z160" s="105"/>
    </row>
    <row r="161" spans="1:26" ht="15" customHeight="1">
      <c r="A161" s="105"/>
      <c r="B161" s="105"/>
      <c r="C161" s="105"/>
      <c r="D161" s="105"/>
      <c r="E161" s="105"/>
      <c r="F161" s="105"/>
      <c r="G161" s="105"/>
      <c r="H161" s="105"/>
      <c r="I161" s="105"/>
      <c r="J161" s="105"/>
      <c r="K161" s="105"/>
      <c r="L161" s="4446"/>
      <c r="M161" s="105"/>
      <c r="N161" s="105"/>
      <c r="O161" s="105"/>
      <c r="P161" s="105"/>
      <c r="Q161" s="105"/>
      <c r="R161" s="105"/>
      <c r="S161" s="105"/>
      <c r="T161" s="105"/>
      <c r="U161" s="105"/>
      <c r="V161" s="105"/>
      <c r="W161" s="105"/>
      <c r="X161" s="105"/>
      <c r="Y161" s="105"/>
      <c r="Z161" s="105"/>
    </row>
    <row r="162" spans="1:26" ht="15" customHeight="1">
      <c r="A162" s="105"/>
      <c r="B162" s="105"/>
      <c r="C162" s="105"/>
      <c r="D162" s="105"/>
      <c r="E162" s="105"/>
      <c r="F162" s="105"/>
      <c r="G162" s="105"/>
      <c r="H162" s="105"/>
      <c r="I162" s="105"/>
      <c r="J162" s="105"/>
      <c r="K162" s="105"/>
      <c r="L162" s="4446"/>
      <c r="M162" s="105"/>
      <c r="N162" s="105"/>
      <c r="O162" s="105"/>
      <c r="P162" s="105"/>
      <c r="Q162" s="105"/>
      <c r="R162" s="105"/>
      <c r="S162" s="105"/>
      <c r="T162" s="105"/>
      <c r="U162" s="105"/>
      <c r="V162" s="105"/>
      <c r="W162" s="105"/>
      <c r="X162" s="105"/>
      <c r="Y162" s="105"/>
      <c r="Z162" s="105"/>
    </row>
    <row r="163" spans="1:26" ht="15" customHeight="1">
      <c r="A163" s="105"/>
      <c r="B163" s="105"/>
      <c r="C163" s="105"/>
      <c r="D163" s="105"/>
      <c r="E163" s="105"/>
      <c r="F163" s="105"/>
      <c r="G163" s="105"/>
      <c r="H163" s="105"/>
      <c r="I163" s="105"/>
      <c r="J163" s="105"/>
      <c r="K163" s="105"/>
      <c r="L163" s="4446"/>
      <c r="M163" s="105"/>
      <c r="N163" s="105"/>
      <c r="O163" s="105"/>
      <c r="P163" s="105"/>
      <c r="Q163" s="105"/>
      <c r="R163" s="105"/>
      <c r="S163" s="105"/>
      <c r="T163" s="105"/>
      <c r="U163" s="105"/>
      <c r="V163" s="105"/>
      <c r="W163" s="105"/>
      <c r="X163" s="105"/>
      <c r="Y163" s="105"/>
      <c r="Z163" s="105"/>
    </row>
    <row r="164" spans="1:26" ht="15" customHeight="1">
      <c r="A164" s="105"/>
      <c r="B164" s="105"/>
      <c r="C164" s="105"/>
      <c r="D164" s="105"/>
      <c r="E164" s="105"/>
      <c r="F164" s="105"/>
      <c r="G164" s="105"/>
      <c r="H164" s="105"/>
      <c r="I164" s="105"/>
      <c r="J164" s="105"/>
      <c r="K164" s="105"/>
      <c r="L164" s="4446"/>
      <c r="M164" s="105"/>
      <c r="N164" s="105"/>
      <c r="O164" s="105"/>
      <c r="P164" s="105"/>
      <c r="Q164" s="105"/>
      <c r="R164" s="105"/>
      <c r="S164" s="105"/>
      <c r="T164" s="105"/>
      <c r="U164" s="105"/>
      <c r="V164" s="105"/>
      <c r="W164" s="105"/>
      <c r="X164" s="105"/>
      <c r="Y164" s="105"/>
      <c r="Z164" s="105"/>
    </row>
    <row r="165" spans="1:26" ht="15" customHeight="1">
      <c r="A165" s="105"/>
      <c r="B165" s="105"/>
      <c r="C165" s="105"/>
      <c r="D165" s="105"/>
      <c r="E165" s="105"/>
      <c r="F165" s="105"/>
      <c r="G165" s="105"/>
      <c r="H165" s="105"/>
      <c r="I165" s="105"/>
      <c r="J165" s="105"/>
      <c r="K165" s="105"/>
      <c r="L165" s="4446"/>
      <c r="M165" s="105"/>
      <c r="N165" s="105"/>
      <c r="O165" s="105"/>
      <c r="P165" s="105"/>
      <c r="Q165" s="105"/>
      <c r="R165" s="105"/>
      <c r="S165" s="105"/>
      <c r="T165" s="105"/>
      <c r="U165" s="105"/>
      <c r="V165" s="105"/>
      <c r="W165" s="105"/>
      <c r="X165" s="105"/>
      <c r="Y165" s="105"/>
      <c r="Z165" s="105"/>
    </row>
    <row r="166" spans="1:26" ht="15" customHeight="1">
      <c r="A166" s="105"/>
      <c r="B166" s="105"/>
      <c r="C166" s="105"/>
      <c r="D166" s="105"/>
      <c r="E166" s="105"/>
      <c r="F166" s="105"/>
      <c r="G166" s="105"/>
      <c r="H166" s="105"/>
      <c r="I166" s="105"/>
      <c r="J166" s="105"/>
      <c r="K166" s="105"/>
      <c r="L166" s="4446"/>
      <c r="M166" s="105"/>
      <c r="N166" s="105"/>
      <c r="O166" s="105"/>
      <c r="P166" s="105"/>
      <c r="Q166" s="105"/>
      <c r="R166" s="105"/>
      <c r="S166" s="105"/>
      <c r="T166" s="105"/>
      <c r="U166" s="105"/>
      <c r="V166" s="105"/>
      <c r="W166" s="105"/>
      <c r="X166" s="105"/>
      <c r="Y166" s="105"/>
      <c r="Z166" s="105"/>
    </row>
    <row r="167" spans="1:26" ht="15" customHeight="1">
      <c r="A167" s="105"/>
      <c r="B167" s="105"/>
      <c r="C167" s="105"/>
      <c r="D167" s="105"/>
      <c r="E167" s="105"/>
      <c r="F167" s="105"/>
      <c r="G167" s="105"/>
      <c r="H167" s="105"/>
      <c r="I167" s="105"/>
      <c r="J167" s="105"/>
      <c r="K167" s="105"/>
      <c r="L167" s="4446"/>
      <c r="M167" s="105"/>
      <c r="N167" s="105"/>
      <c r="O167" s="105"/>
      <c r="P167" s="105"/>
      <c r="Q167" s="105"/>
      <c r="R167" s="105"/>
      <c r="S167" s="105"/>
      <c r="T167" s="105"/>
      <c r="U167" s="105"/>
      <c r="V167" s="105"/>
      <c r="W167" s="105"/>
      <c r="X167" s="105"/>
      <c r="Y167" s="105"/>
      <c r="Z167" s="105"/>
    </row>
    <row r="168" spans="1:26" ht="15" customHeight="1">
      <c r="A168" s="105"/>
      <c r="B168" s="105"/>
      <c r="C168" s="105"/>
      <c r="D168" s="105"/>
      <c r="E168" s="105"/>
      <c r="F168" s="105"/>
      <c r="G168" s="105"/>
      <c r="H168" s="105"/>
      <c r="I168" s="105"/>
      <c r="J168" s="105"/>
      <c r="K168" s="105"/>
      <c r="L168" s="4446"/>
      <c r="M168" s="105"/>
      <c r="N168" s="105"/>
      <c r="O168" s="105"/>
      <c r="P168" s="105"/>
      <c r="Q168" s="105"/>
      <c r="R168" s="105"/>
      <c r="S168" s="105"/>
      <c r="T168" s="105"/>
      <c r="U168" s="105"/>
      <c r="V168" s="105"/>
      <c r="W168" s="105"/>
      <c r="X168" s="105"/>
      <c r="Y168" s="105"/>
      <c r="Z168" s="105"/>
    </row>
    <row r="169" spans="1:26" ht="15" customHeight="1">
      <c r="A169" s="105"/>
      <c r="B169" s="105"/>
      <c r="C169" s="105"/>
      <c r="D169" s="105"/>
      <c r="E169" s="105"/>
      <c r="F169" s="105"/>
      <c r="G169" s="105"/>
      <c r="H169" s="105"/>
      <c r="I169" s="105"/>
      <c r="J169" s="105"/>
      <c r="K169" s="105"/>
      <c r="L169" s="4446"/>
      <c r="M169" s="105"/>
      <c r="N169" s="105"/>
      <c r="O169" s="105"/>
      <c r="P169" s="105"/>
      <c r="Q169" s="105"/>
      <c r="R169" s="105"/>
      <c r="S169" s="105"/>
      <c r="T169" s="105"/>
      <c r="U169" s="105"/>
      <c r="V169" s="105"/>
      <c r="W169" s="105"/>
      <c r="X169" s="105"/>
      <c r="Y169" s="105"/>
      <c r="Z169" s="105"/>
    </row>
    <row r="170" spans="1:26" ht="15" customHeight="1">
      <c r="A170" s="105"/>
      <c r="B170" s="105"/>
      <c r="C170" s="105"/>
      <c r="D170" s="105"/>
      <c r="E170" s="105"/>
      <c r="F170" s="105"/>
      <c r="G170" s="105"/>
      <c r="H170" s="105"/>
      <c r="I170" s="105"/>
      <c r="J170" s="105"/>
      <c r="K170" s="105"/>
      <c r="L170" s="4446"/>
      <c r="M170" s="105"/>
      <c r="N170" s="105"/>
      <c r="O170" s="105"/>
      <c r="P170" s="105"/>
      <c r="Q170" s="105"/>
      <c r="R170" s="105"/>
      <c r="S170" s="105"/>
      <c r="T170" s="105"/>
      <c r="U170" s="105"/>
      <c r="V170" s="105"/>
      <c r="W170" s="105"/>
      <c r="X170" s="105"/>
      <c r="Y170" s="105"/>
      <c r="Z170" s="105"/>
    </row>
    <row r="171" spans="1:26" ht="15" customHeight="1">
      <c r="A171" s="105"/>
      <c r="B171" s="105"/>
      <c r="C171" s="105"/>
      <c r="D171" s="105"/>
      <c r="E171" s="105"/>
      <c r="F171" s="105"/>
      <c r="G171" s="105"/>
      <c r="H171" s="105"/>
      <c r="I171" s="105"/>
      <c r="J171" s="105"/>
      <c r="K171" s="105"/>
      <c r="L171" s="4446"/>
      <c r="M171" s="105"/>
      <c r="N171" s="105"/>
      <c r="O171" s="105"/>
      <c r="P171" s="105"/>
      <c r="Q171" s="105"/>
      <c r="R171" s="105"/>
      <c r="S171" s="105"/>
      <c r="T171" s="105"/>
      <c r="U171" s="105"/>
      <c r="V171" s="105"/>
      <c r="W171" s="105"/>
      <c r="X171" s="105"/>
      <c r="Y171" s="105"/>
      <c r="Z171" s="105"/>
    </row>
    <row r="172" spans="1:26" ht="15" customHeight="1">
      <c r="A172" s="105"/>
      <c r="B172" s="105"/>
      <c r="C172" s="105"/>
      <c r="D172" s="105"/>
      <c r="E172" s="105"/>
      <c r="F172" s="105"/>
      <c r="G172" s="105"/>
      <c r="H172" s="105"/>
      <c r="I172" s="105"/>
      <c r="J172" s="105"/>
      <c r="K172" s="105"/>
      <c r="L172" s="4446"/>
      <c r="M172" s="105"/>
      <c r="N172" s="105"/>
      <c r="O172" s="105"/>
      <c r="P172" s="105"/>
      <c r="Q172" s="105"/>
      <c r="R172" s="105"/>
      <c r="S172" s="105"/>
      <c r="T172" s="105"/>
      <c r="U172" s="105"/>
      <c r="V172" s="105"/>
      <c r="W172" s="105"/>
      <c r="X172" s="105"/>
      <c r="Y172" s="105"/>
      <c r="Z172" s="105"/>
    </row>
    <row r="173" spans="1:26" ht="15" customHeight="1">
      <c r="A173" s="105"/>
      <c r="B173" s="105"/>
      <c r="C173" s="105"/>
      <c r="D173" s="105"/>
      <c r="E173" s="105"/>
      <c r="F173" s="105"/>
      <c r="G173" s="105"/>
      <c r="H173" s="105"/>
      <c r="I173" s="105"/>
      <c r="J173" s="105"/>
      <c r="K173" s="105"/>
      <c r="L173" s="4446"/>
      <c r="M173" s="105"/>
      <c r="N173" s="105"/>
      <c r="O173" s="105"/>
      <c r="P173" s="105"/>
      <c r="Q173" s="105"/>
      <c r="R173" s="105"/>
      <c r="S173" s="105"/>
      <c r="T173" s="105"/>
      <c r="U173" s="105"/>
      <c r="V173" s="105"/>
      <c r="W173" s="105"/>
      <c r="X173" s="105"/>
      <c r="Y173" s="105"/>
      <c r="Z173" s="105"/>
    </row>
    <row r="174" spans="1:26" ht="15" customHeight="1">
      <c r="A174" s="105"/>
      <c r="B174" s="105"/>
      <c r="C174" s="105"/>
      <c r="D174" s="105"/>
      <c r="E174" s="105"/>
      <c r="F174" s="105"/>
      <c r="G174" s="105"/>
      <c r="H174" s="105"/>
      <c r="I174" s="105"/>
      <c r="J174" s="105"/>
      <c r="K174" s="105"/>
      <c r="L174" s="4446"/>
      <c r="M174" s="105"/>
      <c r="N174" s="105"/>
      <c r="O174" s="105"/>
      <c r="P174" s="105"/>
      <c r="Q174" s="105"/>
      <c r="R174" s="105"/>
      <c r="S174" s="105"/>
      <c r="T174" s="105"/>
      <c r="U174" s="105"/>
      <c r="V174" s="105"/>
      <c r="W174" s="105"/>
      <c r="X174" s="105"/>
      <c r="Y174" s="105"/>
      <c r="Z174" s="105"/>
    </row>
    <row r="175" spans="1:26" ht="15" customHeight="1">
      <c r="A175" s="105"/>
      <c r="B175" s="105"/>
      <c r="C175" s="105"/>
      <c r="D175" s="105"/>
      <c r="E175" s="105"/>
      <c r="F175" s="105"/>
      <c r="G175" s="105"/>
      <c r="H175" s="105"/>
      <c r="I175" s="105"/>
      <c r="J175" s="105"/>
      <c r="K175" s="105"/>
      <c r="L175" s="4446"/>
      <c r="M175" s="105"/>
      <c r="N175" s="105"/>
      <c r="O175" s="105"/>
      <c r="P175" s="105"/>
      <c r="Q175" s="105"/>
      <c r="R175" s="105"/>
      <c r="S175" s="105"/>
      <c r="T175" s="105"/>
      <c r="U175" s="105"/>
      <c r="V175" s="105"/>
      <c r="W175" s="105"/>
      <c r="X175" s="105"/>
      <c r="Y175" s="105"/>
      <c r="Z175" s="105"/>
    </row>
    <row r="176" spans="1:26" ht="15" customHeight="1">
      <c r="A176" s="105"/>
      <c r="B176" s="105"/>
      <c r="C176" s="105"/>
      <c r="D176" s="105"/>
      <c r="E176" s="105"/>
      <c r="F176" s="105"/>
      <c r="G176" s="105"/>
      <c r="H176" s="105"/>
      <c r="I176" s="105"/>
      <c r="J176" s="105"/>
      <c r="K176" s="105"/>
      <c r="L176" s="4446"/>
      <c r="M176" s="105"/>
      <c r="N176" s="105"/>
      <c r="O176" s="105"/>
      <c r="P176" s="105"/>
      <c r="Q176" s="105"/>
      <c r="R176" s="105"/>
      <c r="S176" s="105"/>
      <c r="T176" s="105"/>
      <c r="U176" s="105"/>
      <c r="V176" s="105"/>
      <c r="W176" s="105"/>
      <c r="X176" s="105"/>
      <c r="Y176" s="105"/>
      <c r="Z176" s="105"/>
    </row>
    <row r="177" spans="1:26" ht="15" customHeight="1">
      <c r="A177" s="105"/>
      <c r="B177" s="105"/>
      <c r="C177" s="105"/>
      <c r="D177" s="105"/>
      <c r="E177" s="105"/>
      <c r="F177" s="105"/>
      <c r="G177" s="105"/>
      <c r="H177" s="105"/>
      <c r="I177" s="105"/>
      <c r="J177" s="105"/>
      <c r="K177" s="105"/>
      <c r="L177" s="4446"/>
      <c r="M177" s="105"/>
      <c r="N177" s="105"/>
      <c r="O177" s="105"/>
      <c r="P177" s="105"/>
      <c r="Q177" s="105"/>
      <c r="R177" s="105"/>
      <c r="S177" s="105"/>
      <c r="T177" s="105"/>
      <c r="U177" s="105"/>
      <c r="V177" s="105"/>
      <c r="W177" s="105"/>
      <c r="X177" s="105"/>
      <c r="Y177" s="105"/>
      <c r="Z177" s="105"/>
    </row>
    <row r="178" spans="1:26" ht="15" customHeight="1">
      <c r="A178" s="105"/>
      <c r="B178" s="105"/>
      <c r="C178" s="105"/>
      <c r="D178" s="105"/>
      <c r="E178" s="105"/>
      <c r="F178" s="105"/>
      <c r="G178" s="105"/>
      <c r="H178" s="105"/>
      <c r="I178" s="105"/>
      <c r="J178" s="105"/>
      <c r="K178" s="105"/>
      <c r="L178" s="4446"/>
      <c r="M178" s="105"/>
      <c r="N178" s="105"/>
      <c r="O178" s="105"/>
      <c r="P178" s="105"/>
      <c r="Q178" s="105"/>
      <c r="R178" s="105"/>
      <c r="S178" s="105"/>
      <c r="T178" s="105"/>
      <c r="U178" s="105"/>
      <c r="V178" s="105"/>
      <c r="W178" s="105"/>
      <c r="X178" s="105"/>
      <c r="Y178" s="105"/>
      <c r="Z178" s="105"/>
    </row>
    <row r="179" spans="1:26" ht="15" customHeight="1">
      <c r="A179" s="105"/>
      <c r="B179" s="105"/>
      <c r="C179" s="105"/>
      <c r="D179" s="105"/>
      <c r="E179" s="105"/>
      <c r="F179" s="105"/>
      <c r="G179" s="105"/>
      <c r="H179" s="105"/>
      <c r="I179" s="105"/>
      <c r="J179" s="105"/>
      <c r="K179" s="105"/>
      <c r="L179" s="4446"/>
      <c r="M179" s="105"/>
      <c r="N179" s="105"/>
      <c r="O179" s="105"/>
      <c r="P179" s="105"/>
      <c r="Q179" s="105"/>
      <c r="R179" s="105"/>
      <c r="S179" s="105"/>
      <c r="T179" s="105"/>
      <c r="U179" s="105"/>
      <c r="V179" s="105"/>
      <c r="W179" s="105"/>
      <c r="X179" s="105"/>
      <c r="Y179" s="105"/>
      <c r="Z179" s="105"/>
    </row>
    <row r="180" spans="1:26" ht="15" customHeight="1">
      <c r="A180" s="105"/>
      <c r="B180" s="105"/>
      <c r="C180" s="105"/>
      <c r="D180" s="105"/>
      <c r="E180" s="105"/>
      <c r="F180" s="105"/>
      <c r="G180" s="105"/>
      <c r="H180" s="105"/>
      <c r="I180" s="105"/>
      <c r="J180" s="105"/>
      <c r="K180" s="105"/>
      <c r="L180" s="4446"/>
      <c r="M180" s="105"/>
      <c r="N180" s="105"/>
      <c r="O180" s="105"/>
      <c r="P180" s="105"/>
      <c r="Q180" s="105"/>
      <c r="R180" s="105"/>
      <c r="S180" s="105"/>
      <c r="T180" s="105"/>
      <c r="U180" s="105"/>
      <c r="V180" s="105"/>
      <c r="W180" s="105"/>
      <c r="X180" s="105"/>
      <c r="Y180" s="105"/>
      <c r="Z180" s="105"/>
    </row>
    <row r="181" spans="1:26" ht="15" customHeight="1">
      <c r="A181" s="105"/>
      <c r="B181" s="105"/>
      <c r="C181" s="105"/>
      <c r="D181" s="105"/>
      <c r="E181" s="105"/>
      <c r="F181" s="105"/>
      <c r="G181" s="105"/>
      <c r="H181" s="105"/>
      <c r="I181" s="105"/>
      <c r="J181" s="105"/>
      <c r="K181" s="105"/>
      <c r="L181" s="4446"/>
      <c r="M181" s="105"/>
      <c r="N181" s="105"/>
      <c r="O181" s="105"/>
      <c r="P181" s="105"/>
      <c r="Q181" s="105"/>
      <c r="R181" s="105"/>
      <c r="S181" s="105"/>
      <c r="T181" s="105"/>
      <c r="U181" s="105"/>
      <c r="V181" s="105"/>
      <c r="W181" s="105"/>
      <c r="X181" s="105"/>
      <c r="Y181" s="105"/>
      <c r="Z181" s="105"/>
    </row>
    <row r="182" spans="1:26" ht="15" customHeight="1">
      <c r="A182" s="105"/>
      <c r="B182" s="105"/>
      <c r="C182" s="105"/>
      <c r="D182" s="105"/>
      <c r="E182" s="105"/>
      <c r="F182" s="105"/>
      <c r="G182" s="105"/>
      <c r="H182" s="105"/>
      <c r="I182" s="105"/>
      <c r="J182" s="105"/>
      <c r="K182" s="105"/>
      <c r="L182" s="4446"/>
      <c r="M182" s="105"/>
      <c r="N182" s="105"/>
      <c r="O182" s="105"/>
      <c r="P182" s="105"/>
      <c r="Q182" s="105"/>
      <c r="R182" s="105"/>
      <c r="S182" s="105"/>
      <c r="T182" s="105"/>
      <c r="U182" s="105"/>
      <c r="V182" s="105"/>
      <c r="W182" s="105"/>
      <c r="X182" s="105"/>
      <c r="Y182" s="105"/>
      <c r="Z182" s="105"/>
    </row>
    <row r="183" spans="1:26" ht="15" customHeight="1">
      <c r="A183" s="105"/>
      <c r="B183" s="105"/>
      <c r="C183" s="105"/>
      <c r="D183" s="105"/>
      <c r="E183" s="105"/>
      <c r="F183" s="105"/>
      <c r="G183" s="105"/>
      <c r="H183" s="105"/>
      <c r="I183" s="105"/>
      <c r="J183" s="105"/>
      <c r="K183" s="105"/>
      <c r="L183" s="4446"/>
      <c r="M183" s="105"/>
      <c r="N183" s="105"/>
      <c r="O183" s="105"/>
      <c r="P183" s="105"/>
      <c r="Q183" s="105"/>
      <c r="R183" s="105"/>
      <c r="S183" s="105"/>
      <c r="T183" s="105"/>
      <c r="U183" s="105"/>
      <c r="V183" s="105"/>
      <c r="W183" s="105"/>
      <c r="X183" s="105"/>
      <c r="Y183" s="105"/>
      <c r="Z183" s="105"/>
    </row>
    <row r="184" spans="1:26" ht="15" customHeight="1">
      <c r="A184" s="105"/>
      <c r="B184" s="105"/>
      <c r="C184" s="105"/>
      <c r="D184" s="105"/>
      <c r="E184" s="105"/>
      <c r="F184" s="105"/>
      <c r="G184" s="105"/>
      <c r="H184" s="105"/>
      <c r="I184" s="105"/>
      <c r="J184" s="105"/>
      <c r="K184" s="105"/>
      <c r="L184" s="4446"/>
      <c r="M184" s="105"/>
      <c r="N184" s="105"/>
      <c r="O184" s="105"/>
      <c r="P184" s="105"/>
      <c r="Q184" s="105"/>
      <c r="R184" s="105"/>
      <c r="S184" s="105"/>
      <c r="T184" s="105"/>
      <c r="U184" s="105"/>
      <c r="V184" s="105"/>
      <c r="W184" s="105"/>
      <c r="X184" s="105"/>
      <c r="Y184" s="105"/>
      <c r="Z184" s="105"/>
    </row>
    <row r="185" spans="1:26" ht="15" customHeight="1">
      <c r="A185" s="105"/>
      <c r="B185" s="105"/>
      <c r="C185" s="105"/>
      <c r="D185" s="105"/>
      <c r="E185" s="105"/>
      <c r="F185" s="105"/>
      <c r="G185" s="105"/>
      <c r="H185" s="105"/>
      <c r="I185" s="105"/>
      <c r="J185" s="105"/>
      <c r="K185" s="105"/>
      <c r="L185" s="4446"/>
      <c r="M185" s="105"/>
      <c r="N185" s="105"/>
      <c r="O185" s="105"/>
      <c r="P185" s="105"/>
      <c r="Q185" s="105"/>
      <c r="R185" s="105"/>
      <c r="S185" s="105"/>
      <c r="T185" s="105"/>
      <c r="U185" s="105"/>
      <c r="V185" s="105"/>
      <c r="W185" s="105"/>
      <c r="X185" s="105"/>
      <c r="Y185" s="105"/>
      <c r="Z185" s="105"/>
    </row>
    <row r="186" spans="1:26" ht="15" customHeight="1">
      <c r="A186" s="105"/>
      <c r="B186" s="105"/>
      <c r="C186" s="105"/>
      <c r="D186" s="105"/>
      <c r="E186" s="105"/>
      <c r="F186" s="105"/>
      <c r="G186" s="105"/>
      <c r="H186" s="105"/>
      <c r="I186" s="105"/>
      <c r="J186" s="105"/>
      <c r="K186" s="105"/>
      <c r="L186" s="4446"/>
      <c r="M186" s="105"/>
      <c r="N186" s="105"/>
      <c r="O186" s="105"/>
      <c r="P186" s="105"/>
      <c r="Q186" s="105"/>
      <c r="R186" s="105"/>
      <c r="S186" s="105"/>
      <c r="T186" s="105"/>
      <c r="U186" s="105"/>
      <c r="V186" s="105"/>
      <c r="W186" s="105"/>
      <c r="X186" s="105"/>
      <c r="Y186" s="105"/>
      <c r="Z186" s="105"/>
    </row>
    <row r="187" spans="1:26" ht="15" customHeight="1">
      <c r="A187" s="105"/>
      <c r="B187" s="105"/>
      <c r="C187" s="105"/>
      <c r="D187" s="105"/>
      <c r="E187" s="105"/>
      <c r="F187" s="105"/>
      <c r="G187" s="105"/>
      <c r="H187" s="105"/>
      <c r="I187" s="105"/>
      <c r="J187" s="105"/>
      <c r="K187" s="105"/>
      <c r="L187" s="4446"/>
      <c r="M187" s="105"/>
      <c r="N187" s="105"/>
      <c r="O187" s="105"/>
      <c r="P187" s="105"/>
      <c r="Q187" s="105"/>
      <c r="R187" s="105"/>
      <c r="S187" s="105"/>
      <c r="T187" s="105"/>
      <c r="U187" s="105"/>
      <c r="V187" s="105"/>
      <c r="W187" s="105"/>
      <c r="X187" s="105"/>
      <c r="Y187" s="105"/>
      <c r="Z187" s="105"/>
    </row>
    <row r="188" spans="1:26" ht="15" customHeight="1">
      <c r="A188" s="105"/>
      <c r="B188" s="105"/>
      <c r="C188" s="105"/>
      <c r="D188" s="105"/>
      <c r="E188" s="105"/>
      <c r="F188" s="105"/>
      <c r="G188" s="105"/>
      <c r="H188" s="105"/>
      <c r="I188" s="105"/>
      <c r="J188" s="105"/>
      <c r="K188" s="105"/>
      <c r="L188" s="4446"/>
      <c r="M188" s="105"/>
      <c r="N188" s="105"/>
      <c r="O188" s="105"/>
      <c r="P188" s="105"/>
      <c r="Q188" s="105"/>
      <c r="R188" s="105"/>
      <c r="S188" s="105"/>
      <c r="T188" s="105"/>
      <c r="U188" s="105"/>
      <c r="V188" s="105"/>
      <c r="W188" s="105"/>
      <c r="X188" s="105"/>
      <c r="Y188" s="105"/>
      <c r="Z188" s="105"/>
    </row>
    <row r="189" spans="1:26" ht="15" customHeight="1">
      <c r="A189" s="105"/>
      <c r="B189" s="105"/>
      <c r="C189" s="105"/>
      <c r="D189" s="105"/>
      <c r="E189" s="105"/>
      <c r="F189" s="105"/>
      <c r="G189" s="105"/>
      <c r="H189" s="105"/>
      <c r="I189" s="105"/>
      <c r="J189" s="105"/>
      <c r="K189" s="105"/>
      <c r="L189" s="4446"/>
      <c r="M189" s="105"/>
      <c r="N189" s="105"/>
      <c r="O189" s="105"/>
      <c r="P189" s="105"/>
      <c r="Q189" s="105"/>
      <c r="R189" s="105"/>
      <c r="S189" s="105"/>
      <c r="T189" s="105"/>
      <c r="U189" s="105"/>
      <c r="V189" s="105"/>
      <c r="W189" s="105"/>
      <c r="X189" s="105"/>
      <c r="Y189" s="105"/>
      <c r="Z189" s="105"/>
    </row>
    <row r="190" spans="1:26" ht="15" customHeight="1">
      <c r="A190" s="105"/>
      <c r="B190" s="105"/>
      <c r="C190" s="105"/>
      <c r="D190" s="105"/>
      <c r="E190" s="105"/>
      <c r="F190" s="105"/>
      <c r="G190" s="105"/>
      <c r="H190" s="105"/>
      <c r="I190" s="105"/>
      <c r="J190" s="105"/>
      <c r="K190" s="105"/>
      <c r="L190" s="4446"/>
      <c r="M190" s="105"/>
      <c r="N190" s="105"/>
      <c r="O190" s="105"/>
      <c r="P190" s="105"/>
      <c r="Q190" s="105"/>
      <c r="R190" s="105"/>
      <c r="S190" s="105"/>
      <c r="T190" s="105"/>
      <c r="U190" s="105"/>
      <c r="V190" s="105"/>
      <c r="W190" s="105"/>
      <c r="X190" s="105"/>
      <c r="Y190" s="105"/>
      <c r="Z190" s="105"/>
    </row>
    <row r="191" spans="1:26" ht="15" customHeight="1">
      <c r="A191" s="105"/>
      <c r="B191" s="105"/>
      <c r="C191" s="105"/>
      <c r="D191" s="105"/>
      <c r="E191" s="105"/>
      <c r="F191" s="105"/>
      <c r="G191" s="105"/>
      <c r="H191" s="105"/>
      <c r="I191" s="105"/>
      <c r="J191" s="105"/>
      <c r="K191" s="105"/>
      <c r="L191" s="4446"/>
      <c r="M191" s="105"/>
      <c r="N191" s="105"/>
      <c r="O191" s="105"/>
      <c r="P191" s="105"/>
      <c r="Q191" s="105"/>
      <c r="R191" s="105"/>
      <c r="S191" s="105"/>
      <c r="T191" s="105"/>
      <c r="U191" s="105"/>
      <c r="V191" s="105"/>
      <c r="W191" s="105"/>
      <c r="X191" s="105"/>
      <c r="Y191" s="105"/>
      <c r="Z191" s="105"/>
    </row>
    <row r="192" spans="1:26" ht="15" customHeight="1">
      <c r="A192" s="105"/>
      <c r="B192" s="105"/>
      <c r="C192" s="105"/>
      <c r="D192" s="105"/>
      <c r="E192" s="105"/>
      <c r="F192" s="105"/>
      <c r="G192" s="105"/>
      <c r="H192" s="105"/>
      <c r="I192" s="105"/>
      <c r="J192" s="105"/>
      <c r="K192" s="105"/>
      <c r="L192" s="4446"/>
      <c r="M192" s="105"/>
      <c r="N192" s="105"/>
      <c r="O192" s="105"/>
      <c r="P192" s="105"/>
      <c r="Q192" s="105"/>
      <c r="R192" s="105"/>
      <c r="S192" s="105"/>
      <c r="T192" s="105"/>
      <c r="U192" s="105"/>
      <c r="V192" s="105"/>
      <c r="W192" s="105"/>
      <c r="X192" s="105"/>
      <c r="Y192" s="105"/>
      <c r="Z192" s="105"/>
    </row>
    <row r="193" spans="1:26" ht="15" customHeight="1">
      <c r="A193" s="105"/>
      <c r="B193" s="105"/>
      <c r="C193" s="105"/>
      <c r="D193" s="105"/>
      <c r="E193" s="105"/>
      <c r="F193" s="105"/>
      <c r="G193" s="105"/>
      <c r="H193" s="105"/>
      <c r="I193" s="105"/>
      <c r="J193" s="105"/>
      <c r="K193" s="105"/>
      <c r="L193" s="4446"/>
      <c r="M193" s="105"/>
      <c r="N193" s="105"/>
      <c r="O193" s="105"/>
      <c r="P193" s="105"/>
      <c r="Q193" s="105"/>
      <c r="R193" s="105"/>
      <c r="S193" s="105"/>
      <c r="T193" s="105"/>
      <c r="U193" s="105"/>
      <c r="V193" s="105"/>
      <c r="W193" s="105"/>
      <c r="X193" s="105"/>
      <c r="Y193" s="105"/>
      <c r="Z193" s="105"/>
    </row>
    <row r="194" spans="1:26" ht="15" customHeight="1">
      <c r="A194" s="105"/>
      <c r="B194" s="105"/>
      <c r="C194" s="105"/>
      <c r="D194" s="105"/>
      <c r="E194" s="105"/>
      <c r="F194" s="105"/>
      <c r="G194" s="105"/>
      <c r="H194" s="105"/>
      <c r="I194" s="105"/>
      <c r="J194" s="105"/>
      <c r="K194" s="105"/>
      <c r="L194" s="4446"/>
      <c r="M194" s="105"/>
      <c r="N194" s="105"/>
      <c r="O194" s="105"/>
      <c r="P194" s="105"/>
      <c r="Q194" s="105"/>
      <c r="R194" s="105"/>
      <c r="S194" s="105"/>
      <c r="T194" s="105"/>
      <c r="U194" s="105"/>
      <c r="V194" s="105"/>
      <c r="W194" s="105"/>
      <c r="X194" s="105"/>
      <c r="Y194" s="105"/>
      <c r="Z194" s="105"/>
    </row>
    <row r="195" spans="1:26" ht="15" customHeight="1">
      <c r="A195" s="105"/>
      <c r="B195" s="105"/>
      <c r="C195" s="105"/>
      <c r="D195" s="105"/>
      <c r="E195" s="105"/>
      <c r="F195" s="105"/>
      <c r="G195" s="105"/>
      <c r="H195" s="105"/>
      <c r="I195" s="105"/>
      <c r="J195" s="105"/>
      <c r="K195" s="105"/>
      <c r="L195" s="4446"/>
      <c r="M195" s="105"/>
      <c r="N195" s="105"/>
      <c r="O195" s="105"/>
      <c r="P195" s="105"/>
      <c r="Q195" s="105"/>
      <c r="R195" s="105"/>
      <c r="S195" s="105"/>
      <c r="T195" s="105"/>
      <c r="U195" s="105"/>
      <c r="V195" s="105"/>
      <c r="W195" s="105"/>
      <c r="X195" s="105"/>
      <c r="Y195" s="105"/>
      <c r="Z195" s="105"/>
    </row>
    <row r="196" spans="1:26" ht="15" customHeight="1">
      <c r="A196" s="105"/>
      <c r="B196" s="105"/>
      <c r="C196" s="105"/>
      <c r="D196" s="105"/>
      <c r="E196" s="105"/>
      <c r="F196" s="105"/>
      <c r="G196" s="105"/>
      <c r="H196" s="105"/>
      <c r="I196" s="105"/>
      <c r="J196" s="105"/>
      <c r="K196" s="105"/>
      <c r="L196" s="4446"/>
      <c r="M196" s="105"/>
      <c r="N196" s="105"/>
      <c r="O196" s="105"/>
      <c r="P196" s="105"/>
      <c r="Q196" s="105"/>
      <c r="R196" s="105"/>
      <c r="S196" s="105"/>
      <c r="T196" s="105"/>
      <c r="U196" s="105"/>
      <c r="V196" s="105"/>
      <c r="W196" s="105"/>
      <c r="X196" s="105"/>
      <c r="Y196" s="105"/>
      <c r="Z196" s="105"/>
    </row>
    <row r="197" spans="1:26" ht="15" customHeight="1">
      <c r="A197" s="105"/>
      <c r="B197" s="105"/>
      <c r="C197" s="105"/>
      <c r="D197" s="105"/>
      <c r="E197" s="105"/>
      <c r="F197" s="105"/>
      <c r="G197" s="105"/>
      <c r="H197" s="105"/>
      <c r="I197" s="105"/>
      <c r="J197" s="105"/>
      <c r="K197" s="105"/>
      <c r="L197" s="4446"/>
      <c r="M197" s="105"/>
      <c r="N197" s="105"/>
      <c r="O197" s="105"/>
      <c r="P197" s="105"/>
      <c r="Q197" s="105"/>
      <c r="R197" s="105"/>
      <c r="S197" s="105"/>
      <c r="T197" s="105"/>
      <c r="U197" s="105"/>
      <c r="V197" s="105"/>
      <c r="W197" s="105"/>
      <c r="X197" s="105"/>
      <c r="Y197" s="105"/>
      <c r="Z197" s="105"/>
    </row>
    <row r="198" spans="1:26" ht="15" customHeight="1">
      <c r="A198" s="105"/>
      <c r="B198" s="105"/>
      <c r="C198" s="105"/>
      <c r="D198" s="105"/>
      <c r="E198" s="105"/>
      <c r="F198" s="105"/>
      <c r="G198" s="105"/>
      <c r="H198" s="105"/>
      <c r="I198" s="105"/>
      <c r="J198" s="105"/>
      <c r="K198" s="105"/>
      <c r="L198" s="4446"/>
      <c r="M198" s="105"/>
      <c r="N198" s="105"/>
      <c r="O198" s="105"/>
      <c r="P198" s="105"/>
      <c r="Q198" s="105"/>
      <c r="R198" s="105"/>
      <c r="S198" s="105"/>
      <c r="T198" s="105"/>
      <c r="U198" s="105"/>
      <c r="V198" s="105"/>
      <c r="W198" s="105"/>
      <c r="X198" s="105"/>
      <c r="Y198" s="105"/>
      <c r="Z198" s="105"/>
    </row>
    <row r="199" spans="1:26" ht="15" customHeight="1">
      <c r="A199" s="105"/>
      <c r="B199" s="105"/>
      <c r="C199" s="105"/>
      <c r="D199" s="105"/>
      <c r="E199" s="105"/>
      <c r="F199" s="105"/>
      <c r="G199" s="105"/>
      <c r="H199" s="105"/>
      <c r="I199" s="105"/>
      <c r="J199" s="105"/>
      <c r="K199" s="105"/>
      <c r="L199" s="4446"/>
      <c r="M199" s="105"/>
      <c r="N199" s="105"/>
      <c r="O199" s="105"/>
      <c r="P199" s="105"/>
      <c r="Q199" s="105"/>
      <c r="R199" s="105"/>
      <c r="S199" s="105"/>
      <c r="T199" s="105"/>
      <c r="U199" s="105"/>
      <c r="V199" s="105"/>
      <c r="W199" s="105"/>
      <c r="X199" s="105"/>
      <c r="Y199" s="105"/>
      <c r="Z199" s="105"/>
    </row>
    <row r="200" spans="1:26" ht="15" customHeight="1">
      <c r="A200" s="105"/>
      <c r="B200" s="105"/>
      <c r="C200" s="105"/>
      <c r="D200" s="105"/>
      <c r="E200" s="105"/>
      <c r="F200" s="105"/>
      <c r="G200" s="105"/>
      <c r="H200" s="105"/>
      <c r="I200" s="105"/>
      <c r="J200" s="105"/>
      <c r="K200" s="105"/>
      <c r="L200" s="4446"/>
      <c r="M200" s="105"/>
      <c r="N200" s="105"/>
      <c r="O200" s="105"/>
      <c r="P200" s="105"/>
      <c r="Q200" s="105"/>
      <c r="R200" s="105"/>
      <c r="S200" s="105"/>
      <c r="T200" s="105"/>
      <c r="U200" s="105"/>
      <c r="V200" s="105"/>
      <c r="W200" s="105"/>
      <c r="X200" s="105"/>
      <c r="Y200" s="105"/>
      <c r="Z200" s="105"/>
    </row>
    <row r="201" spans="1:26" ht="15" customHeight="1">
      <c r="A201" s="105"/>
      <c r="B201" s="105"/>
      <c r="C201" s="105"/>
      <c r="D201" s="105"/>
      <c r="E201" s="105"/>
      <c r="F201" s="105"/>
      <c r="G201" s="105"/>
      <c r="H201" s="105"/>
      <c r="I201" s="105"/>
      <c r="J201" s="105"/>
      <c r="K201" s="105"/>
      <c r="L201" s="4446"/>
      <c r="M201" s="105"/>
      <c r="N201" s="105"/>
      <c r="O201" s="105"/>
      <c r="P201" s="105"/>
      <c r="Q201" s="105"/>
      <c r="R201" s="105"/>
      <c r="S201" s="105"/>
      <c r="T201" s="105"/>
      <c r="U201" s="105"/>
      <c r="V201" s="105"/>
      <c r="W201" s="105"/>
      <c r="X201" s="105"/>
      <c r="Y201" s="105"/>
      <c r="Z201" s="105"/>
    </row>
    <row r="202" spans="1:26" ht="15" customHeight="1">
      <c r="A202" s="105"/>
      <c r="B202" s="105"/>
      <c r="C202" s="105"/>
      <c r="D202" s="105"/>
      <c r="E202" s="105"/>
      <c r="F202" s="105"/>
      <c r="G202" s="105"/>
      <c r="H202" s="105"/>
      <c r="I202" s="105"/>
      <c r="J202" s="105"/>
      <c r="K202" s="105"/>
      <c r="L202" s="4446"/>
      <c r="M202" s="105"/>
      <c r="N202" s="105"/>
      <c r="O202" s="105"/>
      <c r="P202" s="105"/>
      <c r="Q202" s="105"/>
      <c r="R202" s="105"/>
      <c r="S202" s="105"/>
      <c r="T202" s="105"/>
      <c r="U202" s="105"/>
      <c r="V202" s="105"/>
      <c r="W202" s="105"/>
      <c r="X202" s="105"/>
      <c r="Y202" s="105"/>
      <c r="Z202" s="105"/>
    </row>
    <row r="203" spans="1:26" ht="15" customHeight="1">
      <c r="A203" s="105"/>
      <c r="B203" s="105"/>
      <c r="C203" s="105"/>
      <c r="D203" s="105"/>
      <c r="E203" s="105"/>
      <c r="F203" s="105"/>
      <c r="G203" s="105"/>
      <c r="H203" s="105"/>
      <c r="I203" s="105"/>
      <c r="J203" s="105"/>
      <c r="K203" s="105"/>
      <c r="L203" s="4446"/>
      <c r="M203" s="105"/>
      <c r="N203" s="105"/>
      <c r="O203" s="105"/>
      <c r="P203" s="105"/>
      <c r="Q203" s="105"/>
      <c r="R203" s="105"/>
      <c r="S203" s="105"/>
      <c r="T203" s="105"/>
      <c r="U203" s="105"/>
      <c r="V203" s="105"/>
      <c r="W203" s="105"/>
      <c r="X203" s="105"/>
      <c r="Y203" s="105"/>
      <c r="Z203" s="105"/>
    </row>
    <row r="204" spans="1:26" ht="15" customHeight="1">
      <c r="A204" s="105"/>
      <c r="B204" s="105"/>
      <c r="C204" s="105"/>
      <c r="D204" s="105"/>
      <c r="E204" s="105"/>
      <c r="F204" s="105"/>
      <c r="G204" s="105"/>
      <c r="H204" s="105"/>
      <c r="I204" s="105"/>
      <c r="J204" s="105"/>
      <c r="K204" s="105"/>
      <c r="L204" s="4446"/>
      <c r="M204" s="105"/>
      <c r="N204" s="105"/>
      <c r="O204" s="105"/>
      <c r="P204" s="105"/>
      <c r="Q204" s="105"/>
      <c r="R204" s="105"/>
      <c r="S204" s="105"/>
      <c r="T204" s="105"/>
      <c r="U204" s="105"/>
      <c r="V204" s="105"/>
      <c r="W204" s="105"/>
      <c r="X204" s="105"/>
      <c r="Y204" s="105"/>
      <c r="Z204" s="105"/>
    </row>
    <row r="205" spans="1:26" ht="15" customHeight="1">
      <c r="A205" s="105"/>
      <c r="B205" s="105"/>
      <c r="C205" s="105"/>
      <c r="D205" s="105"/>
      <c r="E205" s="105"/>
      <c r="F205" s="105"/>
      <c r="G205" s="105"/>
      <c r="H205" s="105"/>
      <c r="I205" s="105"/>
      <c r="J205" s="105"/>
      <c r="K205" s="105"/>
      <c r="L205" s="4446"/>
      <c r="M205" s="105"/>
      <c r="N205" s="105"/>
      <c r="O205" s="105"/>
      <c r="P205" s="105"/>
      <c r="Q205" s="105"/>
      <c r="R205" s="105"/>
      <c r="S205" s="105"/>
      <c r="T205" s="105"/>
      <c r="U205" s="105"/>
      <c r="V205" s="105"/>
      <c r="W205" s="105"/>
      <c r="X205" s="105"/>
      <c r="Y205" s="105"/>
      <c r="Z205" s="105"/>
    </row>
    <row r="206" spans="1:26" ht="15" customHeight="1">
      <c r="A206" s="106"/>
      <c r="B206" s="106"/>
      <c r="C206" s="106"/>
      <c r="D206" s="105"/>
      <c r="E206" s="105"/>
      <c r="F206" s="105"/>
      <c r="G206" s="105"/>
      <c r="H206" s="106"/>
      <c r="I206" s="106"/>
      <c r="J206" s="106"/>
      <c r="K206" s="106"/>
      <c r="L206" s="4447"/>
      <c r="M206" s="106"/>
      <c r="N206" s="106"/>
      <c r="O206" s="106"/>
      <c r="P206" s="106"/>
      <c r="Q206" s="106"/>
      <c r="R206" s="106"/>
      <c r="S206" s="106"/>
      <c r="T206" s="106"/>
      <c r="U206" s="106"/>
      <c r="V206" s="106"/>
      <c r="W206" s="106"/>
      <c r="X206" s="106"/>
      <c r="Y206" s="106"/>
      <c r="Z206" s="106"/>
    </row>
    <row r="207" spans="1:26" ht="15" customHeight="1">
      <c r="A207" s="106"/>
      <c r="B207" s="106"/>
      <c r="C207" s="106"/>
      <c r="D207" s="105"/>
      <c r="E207" s="105"/>
      <c r="F207" s="105"/>
      <c r="G207" s="105"/>
      <c r="H207" s="106"/>
      <c r="I207" s="106"/>
      <c r="J207" s="106"/>
      <c r="K207" s="106"/>
      <c r="L207" s="4447"/>
      <c r="M207" s="106"/>
      <c r="N207" s="106"/>
      <c r="O207" s="106"/>
      <c r="P207" s="106"/>
      <c r="Q207" s="106"/>
      <c r="R207" s="106"/>
      <c r="S207" s="106"/>
      <c r="T207" s="106"/>
      <c r="U207" s="106"/>
      <c r="V207" s="106"/>
      <c r="W207" s="106"/>
      <c r="X207" s="106"/>
      <c r="Y207" s="106"/>
      <c r="Z207" s="106"/>
    </row>
    <row r="208" spans="1:26" ht="15" customHeight="1">
      <c r="A208" s="106"/>
      <c r="B208" s="106"/>
      <c r="C208" s="106"/>
      <c r="D208" s="105"/>
      <c r="E208" s="105"/>
      <c r="F208" s="105"/>
      <c r="G208" s="105"/>
      <c r="H208" s="106"/>
      <c r="I208" s="106"/>
      <c r="J208" s="106"/>
      <c r="K208" s="106"/>
      <c r="L208" s="4447"/>
      <c r="M208" s="106"/>
      <c r="N208" s="106"/>
      <c r="O208" s="106"/>
      <c r="P208" s="106"/>
      <c r="Q208" s="106"/>
      <c r="R208" s="106"/>
      <c r="S208" s="106"/>
      <c r="T208" s="106"/>
      <c r="U208" s="106"/>
      <c r="V208" s="106"/>
      <c r="W208" s="106"/>
      <c r="X208" s="106"/>
      <c r="Y208" s="106"/>
      <c r="Z208" s="106"/>
    </row>
    <row r="209" spans="1:26" ht="15" customHeight="1">
      <c r="A209" s="106"/>
      <c r="B209" s="106"/>
      <c r="C209" s="106"/>
      <c r="D209" s="105"/>
      <c r="E209" s="105"/>
      <c r="F209" s="105"/>
      <c r="G209" s="105"/>
      <c r="H209" s="106"/>
      <c r="I209" s="106"/>
      <c r="J209" s="106"/>
      <c r="K209" s="106"/>
      <c r="L209" s="4447"/>
      <c r="M209" s="106"/>
      <c r="N209" s="106"/>
      <c r="O209" s="106"/>
      <c r="P209" s="106"/>
      <c r="Q209" s="106"/>
      <c r="R209" s="106"/>
      <c r="S209" s="106"/>
      <c r="T209" s="106"/>
      <c r="U209" s="106"/>
      <c r="V209" s="106"/>
      <c r="W209" s="106"/>
      <c r="X209" s="106"/>
      <c r="Y209" s="106"/>
      <c r="Z209" s="106"/>
    </row>
    <row r="210" spans="1:26" ht="15" customHeight="1">
      <c r="A210" s="106"/>
      <c r="B210" s="106"/>
      <c r="C210" s="106"/>
      <c r="D210" s="105"/>
      <c r="E210" s="105"/>
      <c r="F210" s="105"/>
      <c r="G210" s="105"/>
      <c r="H210" s="106"/>
      <c r="I210" s="106"/>
      <c r="J210" s="106"/>
      <c r="K210" s="106"/>
      <c r="L210" s="4447"/>
      <c r="M210" s="106"/>
      <c r="N210" s="106"/>
      <c r="O210" s="106"/>
      <c r="P210" s="106"/>
      <c r="Q210" s="106"/>
      <c r="R210" s="106"/>
      <c r="S210" s="106"/>
      <c r="T210" s="106"/>
      <c r="U210" s="106"/>
      <c r="V210" s="106"/>
      <c r="W210" s="106"/>
      <c r="X210" s="106"/>
      <c r="Y210" s="106"/>
      <c r="Z210" s="106"/>
    </row>
    <row r="211" spans="1:26" ht="15" customHeight="1">
      <c r="A211" s="106"/>
      <c r="B211" s="106"/>
      <c r="C211" s="106"/>
      <c r="D211" s="105"/>
      <c r="E211" s="105"/>
      <c r="F211" s="105"/>
      <c r="G211" s="105"/>
      <c r="H211" s="106"/>
      <c r="I211" s="106"/>
      <c r="J211" s="106"/>
      <c r="K211" s="106"/>
      <c r="L211" s="4447"/>
      <c r="M211" s="106"/>
      <c r="N211" s="106"/>
      <c r="O211" s="106"/>
      <c r="P211" s="106"/>
      <c r="Q211" s="106"/>
      <c r="R211" s="106"/>
      <c r="S211" s="106"/>
      <c r="T211" s="106"/>
      <c r="U211" s="106"/>
      <c r="V211" s="106"/>
      <c r="W211" s="106"/>
      <c r="X211" s="106"/>
      <c r="Y211" s="106"/>
      <c r="Z211" s="106"/>
    </row>
    <row r="212" spans="1:26" ht="15" customHeight="1">
      <c r="A212" s="106"/>
      <c r="B212" s="106"/>
      <c r="C212" s="106"/>
      <c r="D212" s="105"/>
      <c r="E212" s="105"/>
      <c r="F212" s="105"/>
      <c r="G212" s="105"/>
      <c r="H212" s="106"/>
      <c r="I212" s="106"/>
      <c r="J212" s="106"/>
      <c r="K212" s="106"/>
      <c r="L212" s="4447"/>
      <c r="M212" s="106"/>
      <c r="N212" s="106"/>
      <c r="O212" s="106"/>
      <c r="P212" s="106"/>
      <c r="Q212" s="106"/>
      <c r="R212" s="106"/>
      <c r="S212" s="106"/>
      <c r="T212" s="106"/>
      <c r="U212" s="106"/>
      <c r="V212" s="106"/>
      <c r="W212" s="106"/>
      <c r="X212" s="106"/>
      <c r="Y212" s="106"/>
      <c r="Z212" s="106"/>
    </row>
    <row r="213" spans="1:26" ht="15" customHeight="1">
      <c r="A213" s="106"/>
      <c r="B213" s="106"/>
      <c r="C213" s="106"/>
      <c r="D213" s="105"/>
      <c r="E213" s="105"/>
      <c r="F213" s="105"/>
      <c r="G213" s="105"/>
      <c r="H213" s="106"/>
      <c r="I213" s="106"/>
      <c r="J213" s="106"/>
      <c r="K213" s="106"/>
      <c r="L213" s="4447"/>
      <c r="M213" s="106"/>
      <c r="N213" s="106"/>
      <c r="O213" s="106"/>
      <c r="P213" s="106"/>
      <c r="Q213" s="106"/>
      <c r="R213" s="106"/>
      <c r="S213" s="106"/>
      <c r="T213" s="106"/>
      <c r="U213" s="106"/>
      <c r="V213" s="106"/>
      <c r="W213" s="106"/>
      <c r="X213" s="106"/>
      <c r="Y213" s="106"/>
      <c r="Z213" s="106"/>
    </row>
    <row r="214" spans="1:26" ht="15" customHeight="1">
      <c r="A214" s="106"/>
      <c r="B214" s="106"/>
      <c r="C214" s="106"/>
      <c r="D214" s="105"/>
      <c r="E214" s="105"/>
      <c r="F214" s="105"/>
      <c r="G214" s="105"/>
      <c r="H214" s="106"/>
      <c r="I214" s="106"/>
      <c r="J214" s="106"/>
      <c r="K214" s="106"/>
      <c r="L214" s="4447"/>
      <c r="M214" s="106"/>
      <c r="N214" s="106"/>
      <c r="O214" s="106"/>
      <c r="P214" s="106"/>
      <c r="Q214" s="106"/>
      <c r="R214" s="106"/>
      <c r="S214" s="106"/>
      <c r="T214" s="106"/>
      <c r="U214" s="106"/>
      <c r="V214" s="106"/>
      <c r="W214" s="106"/>
      <c r="X214" s="106"/>
      <c r="Y214" s="106"/>
      <c r="Z214" s="106"/>
    </row>
    <row r="215" spans="1:26" ht="15" customHeight="1">
      <c r="A215" s="106"/>
      <c r="B215" s="106"/>
      <c r="C215" s="106"/>
      <c r="D215" s="105"/>
      <c r="E215" s="105"/>
      <c r="F215" s="105"/>
      <c r="G215" s="105"/>
      <c r="H215" s="106"/>
      <c r="I215" s="106"/>
      <c r="J215" s="106"/>
      <c r="K215" s="106"/>
      <c r="L215" s="4447"/>
      <c r="M215" s="106"/>
      <c r="N215" s="106"/>
      <c r="O215" s="106"/>
      <c r="P215" s="106"/>
      <c r="Q215" s="106"/>
      <c r="R215" s="106"/>
      <c r="S215" s="106"/>
      <c r="T215" s="106"/>
      <c r="U215" s="106"/>
      <c r="V215" s="106"/>
      <c r="W215" s="106"/>
      <c r="X215" s="106"/>
      <c r="Y215" s="106"/>
      <c r="Z215" s="106"/>
    </row>
    <row r="216" spans="1:26" ht="15" customHeight="1">
      <c r="A216" s="106"/>
      <c r="B216" s="106"/>
      <c r="C216" s="106"/>
      <c r="D216" s="105"/>
      <c r="E216" s="105"/>
      <c r="F216" s="105"/>
      <c r="G216" s="105"/>
      <c r="H216" s="106"/>
      <c r="I216" s="106"/>
      <c r="J216" s="106"/>
      <c r="K216" s="106"/>
      <c r="L216" s="4447"/>
      <c r="M216" s="106"/>
      <c r="N216" s="106"/>
      <c r="O216" s="106"/>
      <c r="P216" s="106"/>
      <c r="Q216" s="106"/>
      <c r="R216" s="106"/>
      <c r="S216" s="106"/>
      <c r="T216" s="106"/>
      <c r="U216" s="106"/>
      <c r="V216" s="106"/>
      <c r="W216" s="106"/>
      <c r="X216" s="106"/>
      <c r="Y216" s="106"/>
      <c r="Z216" s="106"/>
    </row>
    <row r="217" spans="1:26" ht="15" customHeight="1">
      <c r="A217" s="106"/>
      <c r="B217" s="106"/>
      <c r="C217" s="106"/>
      <c r="D217" s="105"/>
      <c r="E217" s="105"/>
      <c r="F217" s="105"/>
      <c r="G217" s="105"/>
      <c r="H217" s="106"/>
      <c r="I217" s="106"/>
      <c r="J217" s="106"/>
      <c r="K217" s="106"/>
      <c r="L217" s="4447"/>
      <c r="M217" s="106"/>
      <c r="N217" s="106"/>
      <c r="O217" s="106"/>
      <c r="P217" s="106"/>
      <c r="Q217" s="106"/>
      <c r="R217" s="106"/>
      <c r="S217" s="106"/>
      <c r="T217" s="106"/>
      <c r="U217" s="106"/>
      <c r="V217" s="106"/>
      <c r="W217" s="106"/>
      <c r="X217" s="106"/>
      <c r="Y217" s="106"/>
      <c r="Z217" s="106"/>
    </row>
    <row r="218" spans="1:26" ht="15" customHeight="1">
      <c r="A218" s="106"/>
      <c r="B218" s="106"/>
      <c r="C218" s="106"/>
      <c r="D218" s="105"/>
      <c r="E218" s="105"/>
      <c r="F218" s="105"/>
      <c r="G218" s="105"/>
      <c r="H218" s="106"/>
      <c r="I218" s="106"/>
      <c r="J218" s="106"/>
      <c r="K218" s="106"/>
      <c r="L218" s="4447"/>
      <c r="M218" s="106"/>
      <c r="N218" s="106"/>
      <c r="O218" s="106"/>
      <c r="P218" s="106"/>
      <c r="Q218" s="106"/>
      <c r="R218" s="106"/>
      <c r="S218" s="106"/>
      <c r="T218" s="106"/>
      <c r="U218" s="106"/>
      <c r="V218" s="106"/>
      <c r="W218" s="106"/>
      <c r="X218" s="106"/>
      <c r="Y218" s="106"/>
      <c r="Z218" s="106"/>
    </row>
    <row r="219" spans="1:26" ht="15" customHeight="1">
      <c r="A219" s="106"/>
      <c r="B219" s="106"/>
      <c r="C219" s="106"/>
      <c r="D219" s="105"/>
      <c r="E219" s="105"/>
      <c r="F219" s="105"/>
      <c r="G219" s="105"/>
      <c r="H219" s="106"/>
      <c r="I219" s="106"/>
      <c r="J219" s="106"/>
      <c r="K219" s="106"/>
      <c r="L219" s="4447"/>
      <c r="M219" s="106"/>
      <c r="N219" s="106"/>
      <c r="O219" s="106"/>
      <c r="P219" s="106"/>
      <c r="Q219" s="106"/>
      <c r="R219" s="106"/>
      <c r="S219" s="106"/>
      <c r="T219" s="106"/>
      <c r="U219" s="106"/>
      <c r="V219" s="106"/>
      <c r="W219" s="106"/>
      <c r="X219" s="106"/>
      <c r="Y219" s="106"/>
      <c r="Z219" s="106"/>
    </row>
    <row r="220" spans="1:26" ht="15" customHeight="1">
      <c r="A220" s="106"/>
      <c r="B220" s="106"/>
      <c r="C220" s="106"/>
      <c r="D220" s="105"/>
      <c r="E220" s="105"/>
      <c r="F220" s="105"/>
      <c r="G220" s="105"/>
      <c r="H220" s="106"/>
      <c r="I220" s="106"/>
      <c r="J220" s="106"/>
      <c r="K220" s="106"/>
      <c r="L220" s="4447"/>
      <c r="M220" s="106"/>
      <c r="N220" s="106"/>
      <c r="O220" s="106"/>
      <c r="P220" s="106"/>
      <c r="Q220" s="106"/>
      <c r="R220" s="106"/>
      <c r="S220" s="106"/>
      <c r="T220" s="106"/>
      <c r="U220" s="106"/>
      <c r="V220" s="106"/>
      <c r="W220" s="106"/>
      <c r="X220" s="106"/>
      <c r="Y220" s="106"/>
      <c r="Z220" s="106"/>
    </row>
    <row r="221" spans="1:26" ht="15" customHeight="1">
      <c r="A221" s="106"/>
      <c r="B221" s="106"/>
      <c r="C221" s="106"/>
      <c r="D221" s="105"/>
      <c r="E221" s="105"/>
      <c r="F221" s="105"/>
      <c r="G221" s="105"/>
      <c r="H221" s="106"/>
      <c r="I221" s="106"/>
      <c r="J221" s="106"/>
      <c r="K221" s="106"/>
      <c r="L221" s="4447"/>
      <c r="M221" s="106"/>
      <c r="N221" s="106"/>
      <c r="O221" s="106"/>
      <c r="P221" s="106"/>
      <c r="Q221" s="106"/>
      <c r="R221" s="106"/>
      <c r="S221" s="106"/>
      <c r="T221" s="106"/>
      <c r="U221" s="106"/>
      <c r="V221" s="106"/>
      <c r="W221" s="106"/>
      <c r="X221" s="106"/>
      <c r="Y221" s="106"/>
      <c r="Z221" s="106"/>
    </row>
    <row r="222" spans="1:26" ht="15" customHeight="1">
      <c r="A222" s="106"/>
      <c r="B222" s="106"/>
      <c r="C222" s="106"/>
      <c r="D222" s="105"/>
      <c r="E222" s="105"/>
      <c r="F222" s="105"/>
      <c r="G222" s="105"/>
      <c r="H222" s="106"/>
      <c r="I222" s="106"/>
      <c r="J222" s="106"/>
      <c r="K222" s="106"/>
      <c r="L222" s="4447"/>
      <c r="M222" s="106"/>
      <c r="N222" s="106"/>
      <c r="O222" s="106"/>
      <c r="P222" s="106"/>
      <c r="Q222" s="106"/>
      <c r="R222" s="106"/>
      <c r="S222" s="106"/>
      <c r="T222" s="106"/>
      <c r="U222" s="106"/>
      <c r="V222" s="106"/>
      <c r="W222" s="106"/>
      <c r="X222" s="106"/>
      <c r="Y222" s="106"/>
      <c r="Z222" s="106"/>
    </row>
    <row r="223" spans="1:26" ht="15" customHeight="1">
      <c r="A223" s="106"/>
      <c r="B223" s="106"/>
      <c r="C223" s="106"/>
      <c r="D223" s="105"/>
      <c r="E223" s="105"/>
      <c r="F223" s="105"/>
      <c r="G223" s="105"/>
      <c r="H223" s="106"/>
      <c r="I223" s="106"/>
      <c r="J223" s="106"/>
      <c r="K223" s="106"/>
      <c r="L223" s="4447"/>
      <c r="M223" s="106"/>
      <c r="N223" s="106"/>
      <c r="O223" s="106"/>
      <c r="P223" s="106"/>
      <c r="Q223" s="106"/>
      <c r="R223" s="106"/>
      <c r="S223" s="106"/>
      <c r="T223" s="106"/>
      <c r="U223" s="106"/>
      <c r="V223" s="106"/>
      <c r="W223" s="106"/>
      <c r="X223" s="106"/>
      <c r="Y223" s="106"/>
      <c r="Z223" s="106"/>
    </row>
    <row r="224" spans="1:26" ht="15" customHeight="1">
      <c r="A224" s="106"/>
      <c r="B224" s="106"/>
      <c r="C224" s="106"/>
      <c r="D224" s="105"/>
      <c r="E224" s="105"/>
      <c r="F224" s="105"/>
      <c r="G224" s="105"/>
      <c r="H224" s="106"/>
      <c r="I224" s="106"/>
      <c r="J224" s="106"/>
      <c r="K224" s="106"/>
      <c r="L224" s="4447"/>
      <c r="M224" s="106"/>
      <c r="N224" s="106"/>
      <c r="O224" s="106"/>
      <c r="P224" s="106"/>
      <c r="Q224" s="106"/>
      <c r="R224" s="106"/>
      <c r="S224" s="106"/>
      <c r="T224" s="106"/>
      <c r="U224" s="106"/>
      <c r="V224" s="106"/>
      <c r="W224" s="106"/>
      <c r="X224" s="106"/>
      <c r="Y224" s="106"/>
      <c r="Z224" s="106"/>
    </row>
    <row r="225" spans="1:26" ht="15" customHeight="1">
      <c r="A225" s="106"/>
      <c r="B225" s="106"/>
      <c r="C225" s="106"/>
      <c r="D225" s="105"/>
      <c r="E225" s="105"/>
      <c r="F225" s="105"/>
      <c r="G225" s="105"/>
      <c r="H225" s="106"/>
      <c r="I225" s="106"/>
      <c r="J225" s="106"/>
      <c r="K225" s="106"/>
      <c r="L225" s="4447"/>
      <c r="M225" s="106"/>
      <c r="N225" s="106"/>
      <c r="O225" s="106"/>
      <c r="P225" s="106"/>
      <c r="Q225" s="106"/>
      <c r="R225" s="106"/>
      <c r="S225" s="106"/>
      <c r="T225" s="106"/>
      <c r="U225" s="106"/>
      <c r="V225" s="106"/>
      <c r="W225" s="106"/>
      <c r="X225" s="106"/>
      <c r="Y225" s="106"/>
      <c r="Z225" s="106"/>
    </row>
    <row r="226" spans="1:26" ht="15" customHeight="1">
      <c r="A226" s="106"/>
      <c r="B226" s="106"/>
      <c r="C226" s="106"/>
      <c r="D226" s="105"/>
      <c r="E226" s="105"/>
      <c r="F226" s="105"/>
      <c r="G226" s="105"/>
      <c r="H226" s="106"/>
      <c r="I226" s="106"/>
      <c r="J226" s="106"/>
      <c r="K226" s="106"/>
      <c r="L226" s="4447"/>
      <c r="M226" s="106"/>
      <c r="N226" s="106"/>
      <c r="O226" s="106"/>
      <c r="P226" s="106"/>
      <c r="Q226" s="106"/>
      <c r="R226" s="106"/>
      <c r="S226" s="106"/>
      <c r="T226" s="106"/>
      <c r="U226" s="106"/>
      <c r="V226" s="106"/>
      <c r="W226" s="106"/>
      <c r="X226" s="106"/>
      <c r="Y226" s="106"/>
      <c r="Z226" s="106"/>
    </row>
    <row r="227" spans="1:26" ht="15" customHeight="1">
      <c r="A227" s="106"/>
      <c r="B227" s="106"/>
      <c r="C227" s="106"/>
      <c r="D227" s="105"/>
      <c r="E227" s="105"/>
      <c r="F227" s="105"/>
      <c r="G227" s="105"/>
      <c r="H227" s="106"/>
      <c r="I227" s="106"/>
      <c r="J227" s="106"/>
      <c r="K227" s="106"/>
      <c r="L227" s="4447"/>
      <c r="M227" s="106"/>
      <c r="N227" s="106"/>
      <c r="O227" s="106"/>
      <c r="P227" s="106"/>
      <c r="Q227" s="106"/>
      <c r="R227" s="106"/>
      <c r="S227" s="106"/>
      <c r="T227" s="106"/>
      <c r="U227" s="106"/>
      <c r="V227" s="106"/>
      <c r="W227" s="106"/>
      <c r="X227" s="106"/>
      <c r="Y227" s="106"/>
      <c r="Z227" s="106"/>
    </row>
  </sheetData>
  <autoFilter ref="A4:DS152" xr:uid="{00000000-0009-0000-0000-00000F000000}"/>
  <mergeCells count="397">
    <mergeCell ref="EZ3:EZ4"/>
    <mergeCell ref="FA3:FA4"/>
    <mergeCell ref="FB3:FB4"/>
    <mergeCell ref="FE3:FE4"/>
    <mergeCell ref="FF3:FH3"/>
    <mergeCell ref="C149:C150"/>
    <mergeCell ref="C151:C152"/>
    <mergeCell ref="DP1:FI1"/>
    <mergeCell ref="DP2:DP4"/>
    <mergeCell ref="DQ2:DQ4"/>
    <mergeCell ref="DR2:DR4"/>
    <mergeCell ref="DS2:DS4"/>
    <mergeCell ref="DT2:DT4"/>
    <mergeCell ref="DU2:DU4"/>
    <mergeCell ref="DV2:DY2"/>
    <mergeCell ref="DZ2:EY2"/>
    <mergeCell ref="EZ2:FD2"/>
    <mergeCell ref="FE2:FI2"/>
    <mergeCell ref="DV3:DV4"/>
    <mergeCell ref="DW3:DW4"/>
    <mergeCell ref="DX3:DX4"/>
    <mergeCell ref="DY3:DY4"/>
    <mergeCell ref="DZ3:DZ4"/>
    <mergeCell ref="EA3:EB3"/>
    <mergeCell ref="EC3:ED3"/>
    <mergeCell ref="EE3:EK3"/>
    <mergeCell ref="EL3:ES3"/>
    <mergeCell ref="ET3:EY3"/>
    <mergeCell ref="D149:D150"/>
    <mergeCell ref="D151:D152"/>
    <mergeCell ref="E149:E150"/>
    <mergeCell ref="E151:E152"/>
    <mergeCell ref="F151:F152"/>
    <mergeCell ref="F149:F150"/>
    <mergeCell ref="J149:J150"/>
    <mergeCell ref="J151:J152"/>
    <mergeCell ref="K151:K152"/>
    <mergeCell ref="K149:K150"/>
    <mergeCell ref="K145:K146"/>
    <mergeCell ref="J145:J146"/>
    <mergeCell ref="F145:F146"/>
    <mergeCell ref="E145:E146"/>
    <mergeCell ref="D145:D146"/>
    <mergeCell ref="D147:D148"/>
    <mergeCell ref="E147:E148"/>
    <mergeCell ref="F147:F148"/>
    <mergeCell ref="J147:J148"/>
    <mergeCell ref="K147:K148"/>
    <mergeCell ref="K141:K142"/>
    <mergeCell ref="J141:J142"/>
    <mergeCell ref="F141:F142"/>
    <mergeCell ref="E141:E142"/>
    <mergeCell ref="D141:D142"/>
    <mergeCell ref="C136:C142"/>
    <mergeCell ref="C132:C133"/>
    <mergeCell ref="C134:C135"/>
    <mergeCell ref="D143:D144"/>
    <mergeCell ref="E143:E144"/>
    <mergeCell ref="F143:F144"/>
    <mergeCell ref="J143:J144"/>
    <mergeCell ref="K143:K144"/>
    <mergeCell ref="K136:K138"/>
    <mergeCell ref="J136:J138"/>
    <mergeCell ref="F136:F138"/>
    <mergeCell ref="E136:E138"/>
    <mergeCell ref="D136:D138"/>
    <mergeCell ref="D139:D140"/>
    <mergeCell ref="E139:E140"/>
    <mergeCell ref="F139:F140"/>
    <mergeCell ref="J139:J140"/>
    <mergeCell ref="K139:K140"/>
    <mergeCell ref="K134:K135"/>
    <mergeCell ref="J134:J135"/>
    <mergeCell ref="F134:F135"/>
    <mergeCell ref="E134:E135"/>
    <mergeCell ref="D134:D135"/>
    <mergeCell ref="D132:D133"/>
    <mergeCell ref="E132:E133"/>
    <mergeCell ref="F132:F133"/>
    <mergeCell ref="J132:J133"/>
    <mergeCell ref="K132:K133"/>
    <mergeCell ref="D129:D131"/>
    <mergeCell ref="E129:E131"/>
    <mergeCell ref="F129:F131"/>
    <mergeCell ref="J129:J131"/>
    <mergeCell ref="K129:K131"/>
    <mergeCell ref="K127:K128"/>
    <mergeCell ref="J127:J128"/>
    <mergeCell ref="F127:F128"/>
    <mergeCell ref="E127:E128"/>
    <mergeCell ref="D127:D128"/>
    <mergeCell ref="K123:K124"/>
    <mergeCell ref="J123:J124"/>
    <mergeCell ref="F123:F124"/>
    <mergeCell ref="E123:E124"/>
    <mergeCell ref="D123:D124"/>
    <mergeCell ref="K125:K126"/>
    <mergeCell ref="J125:J126"/>
    <mergeCell ref="F125:F126"/>
    <mergeCell ref="E125:E126"/>
    <mergeCell ref="D125:D126"/>
    <mergeCell ref="K119:K120"/>
    <mergeCell ref="J119:J120"/>
    <mergeCell ref="F119:F120"/>
    <mergeCell ref="E119:E120"/>
    <mergeCell ref="D119:D120"/>
    <mergeCell ref="K121:K122"/>
    <mergeCell ref="J121:J122"/>
    <mergeCell ref="F121:F122"/>
    <mergeCell ref="E121:E122"/>
    <mergeCell ref="D121:D122"/>
    <mergeCell ref="K115:K116"/>
    <mergeCell ref="J115:J116"/>
    <mergeCell ref="F115:F116"/>
    <mergeCell ref="E115:E116"/>
    <mergeCell ref="D115:D116"/>
    <mergeCell ref="K117:K118"/>
    <mergeCell ref="J117:J118"/>
    <mergeCell ref="F117:F118"/>
    <mergeCell ref="E117:E118"/>
    <mergeCell ref="D117:D118"/>
    <mergeCell ref="K109:K110"/>
    <mergeCell ref="J109:J110"/>
    <mergeCell ref="F109:F110"/>
    <mergeCell ref="E109:E110"/>
    <mergeCell ref="D109:D110"/>
    <mergeCell ref="K111:K112"/>
    <mergeCell ref="J111:J112"/>
    <mergeCell ref="F111:F112"/>
    <mergeCell ref="E111:E112"/>
    <mergeCell ref="D111:D112"/>
    <mergeCell ref="E103:E105"/>
    <mergeCell ref="F103:F105"/>
    <mergeCell ref="J103:J105"/>
    <mergeCell ref="K103:K105"/>
    <mergeCell ref="K106:K108"/>
    <mergeCell ref="J106:J108"/>
    <mergeCell ref="F106:F108"/>
    <mergeCell ref="E106:E108"/>
    <mergeCell ref="D106:D108"/>
    <mergeCell ref="D103:D105"/>
    <mergeCell ref="BW89:BW131"/>
    <mergeCell ref="BW132:BW148"/>
    <mergeCell ref="BW149:BW152"/>
    <mergeCell ref="BW13:BW19"/>
    <mergeCell ref="BW20:BW40"/>
    <mergeCell ref="BW41:BW69"/>
    <mergeCell ref="BW70:BW83"/>
    <mergeCell ref="BW84:BW88"/>
    <mergeCell ref="BV37:BV40"/>
    <mergeCell ref="BV67:BV69"/>
    <mergeCell ref="CQ3:CX3"/>
    <mergeCell ref="CY3:DD3"/>
    <mergeCell ref="DE3:DE4"/>
    <mergeCell ref="DF3:DF4"/>
    <mergeCell ref="BT2:BT4"/>
    <mergeCell ref="BU2:BU4"/>
    <mergeCell ref="BV2:BV4"/>
    <mergeCell ref="BW2:BW4"/>
    <mergeCell ref="BW5:BW12"/>
    <mergeCell ref="BV11:BV12"/>
    <mergeCell ref="BV5:BV7"/>
    <mergeCell ref="BV8:BV10"/>
    <mergeCell ref="AH3:AH4"/>
    <mergeCell ref="AI3:AI4"/>
    <mergeCell ref="AJ3:AK3"/>
    <mergeCell ref="AL3:AM3"/>
    <mergeCell ref="BS1:DN1"/>
    <mergeCell ref="BS2:BS4"/>
    <mergeCell ref="BX2:BX4"/>
    <mergeCell ref="BY2:BY4"/>
    <mergeCell ref="BZ2:BZ4"/>
    <mergeCell ref="CA2:CD2"/>
    <mergeCell ref="CE2:DD2"/>
    <mergeCell ref="DE2:DI2"/>
    <mergeCell ref="DJ2:DN2"/>
    <mergeCell ref="CA3:CA4"/>
    <mergeCell ref="CB3:CB4"/>
    <mergeCell ref="CC3:CC4"/>
    <mergeCell ref="CD3:CD4"/>
    <mergeCell ref="CE3:CE4"/>
    <mergeCell ref="CF3:CG3"/>
    <mergeCell ref="CH3:CI3"/>
    <mergeCell ref="DG3:DG4"/>
    <mergeCell ref="DJ3:DJ4"/>
    <mergeCell ref="DK3:DM3"/>
    <mergeCell ref="CJ3:CP3"/>
    <mergeCell ref="A41:A69"/>
    <mergeCell ref="B41:B69"/>
    <mergeCell ref="C42:C69"/>
    <mergeCell ref="C20:C32"/>
    <mergeCell ref="AN3:AT3"/>
    <mergeCell ref="AU3:BB3"/>
    <mergeCell ref="BC3:BH3"/>
    <mergeCell ref="AA1:BR1"/>
    <mergeCell ref="AA2:AA4"/>
    <mergeCell ref="AB2:AB4"/>
    <mergeCell ref="AC2:AC4"/>
    <mergeCell ref="AD2:AD4"/>
    <mergeCell ref="AE2:AH2"/>
    <mergeCell ref="AI2:BH2"/>
    <mergeCell ref="BI2:BM2"/>
    <mergeCell ref="BN2:BR2"/>
    <mergeCell ref="AE3:AE4"/>
    <mergeCell ref="BN3:BN4"/>
    <mergeCell ref="BO3:BQ3"/>
    <mergeCell ref="BJ3:BJ4"/>
    <mergeCell ref="BK3:BK4"/>
    <mergeCell ref="BI3:BI4"/>
    <mergeCell ref="AF3:AF4"/>
    <mergeCell ref="AG3:AG4"/>
    <mergeCell ref="A1:U1"/>
    <mergeCell ref="A2:U3"/>
    <mergeCell ref="A20:A40"/>
    <mergeCell ref="B20:B40"/>
    <mergeCell ref="A5:A12"/>
    <mergeCell ref="B5:B12"/>
    <mergeCell ref="C8:C12"/>
    <mergeCell ref="A13:A19"/>
    <mergeCell ref="B13:B19"/>
    <mergeCell ref="C17:C19"/>
    <mergeCell ref="C5:C7"/>
    <mergeCell ref="C35:C40"/>
    <mergeCell ref="E5:E7"/>
    <mergeCell ref="F5:F7"/>
    <mergeCell ref="J5:J7"/>
    <mergeCell ref="K5:K7"/>
    <mergeCell ref="D20:D21"/>
    <mergeCell ref="C15:C16"/>
    <mergeCell ref="D15:D16"/>
    <mergeCell ref="E15:E16"/>
    <mergeCell ref="F15:F16"/>
    <mergeCell ref="J15:J16"/>
    <mergeCell ref="K15:K16"/>
    <mergeCell ref="D11:D12"/>
    <mergeCell ref="A70:A83"/>
    <mergeCell ref="B70:B83"/>
    <mergeCell ref="C70:C74"/>
    <mergeCell ref="C80:C81"/>
    <mergeCell ref="A149:A152"/>
    <mergeCell ref="B149:B152"/>
    <mergeCell ref="A89:A131"/>
    <mergeCell ref="B89:B131"/>
    <mergeCell ref="C103:C113"/>
    <mergeCell ref="C114:C117"/>
    <mergeCell ref="C121:C131"/>
    <mergeCell ref="C89:C93"/>
    <mergeCell ref="C94:C96"/>
    <mergeCell ref="C97:C99"/>
    <mergeCell ref="C101:C102"/>
    <mergeCell ref="A132:A148"/>
    <mergeCell ref="B132:B148"/>
    <mergeCell ref="C143:C148"/>
    <mergeCell ref="A84:A88"/>
    <mergeCell ref="B84:B88"/>
    <mergeCell ref="C85:C88"/>
    <mergeCell ref="D5:D7"/>
    <mergeCell ref="J20:J21"/>
    <mergeCell ref="K20:K21"/>
    <mergeCell ref="D17:D18"/>
    <mergeCell ref="E17:E18"/>
    <mergeCell ref="F17:F18"/>
    <mergeCell ref="J17:J18"/>
    <mergeCell ref="K17:K18"/>
    <mergeCell ref="E20:E21"/>
    <mergeCell ref="F20:F21"/>
    <mergeCell ref="E11:E12"/>
    <mergeCell ref="F11:F12"/>
    <mergeCell ref="J11:J12"/>
    <mergeCell ref="K11:K12"/>
    <mergeCell ref="K8:K10"/>
    <mergeCell ref="J8:J10"/>
    <mergeCell ref="F8:F10"/>
    <mergeCell ref="E8:E10"/>
    <mergeCell ref="D8:D10"/>
    <mergeCell ref="J24:J26"/>
    <mergeCell ref="K24:K26"/>
    <mergeCell ref="D22:D23"/>
    <mergeCell ref="E22:E23"/>
    <mergeCell ref="F22:F23"/>
    <mergeCell ref="J22:J23"/>
    <mergeCell ref="K22:K23"/>
    <mergeCell ref="K30:K32"/>
    <mergeCell ref="J30:J32"/>
    <mergeCell ref="F30:F32"/>
    <mergeCell ref="E30:E32"/>
    <mergeCell ref="D30:D32"/>
    <mergeCell ref="D27:D29"/>
    <mergeCell ref="E27:E29"/>
    <mergeCell ref="F27:F29"/>
    <mergeCell ref="J27:J29"/>
    <mergeCell ref="K27:K29"/>
    <mergeCell ref="D24:D26"/>
    <mergeCell ref="E24:E26"/>
    <mergeCell ref="F24:F26"/>
    <mergeCell ref="K33:K34"/>
    <mergeCell ref="D35:D36"/>
    <mergeCell ref="E35:E36"/>
    <mergeCell ref="F35:F36"/>
    <mergeCell ref="J35:J36"/>
    <mergeCell ref="K35:K36"/>
    <mergeCell ref="D33:D34"/>
    <mergeCell ref="C33:C34"/>
    <mergeCell ref="E33:E34"/>
    <mergeCell ref="F33:F34"/>
    <mergeCell ref="J33:J34"/>
    <mergeCell ref="J42:J44"/>
    <mergeCell ref="K42:K44"/>
    <mergeCell ref="D37:D40"/>
    <mergeCell ref="E37:E40"/>
    <mergeCell ref="F37:F40"/>
    <mergeCell ref="J37:J40"/>
    <mergeCell ref="K37:K40"/>
    <mergeCell ref="D47:D51"/>
    <mergeCell ref="E47:E51"/>
    <mergeCell ref="F47:F51"/>
    <mergeCell ref="J47:J51"/>
    <mergeCell ref="K47:K51"/>
    <mergeCell ref="K45:K46"/>
    <mergeCell ref="J45:J46"/>
    <mergeCell ref="F45:F46"/>
    <mergeCell ref="E45:E46"/>
    <mergeCell ref="D45:D46"/>
    <mergeCell ref="D42:D44"/>
    <mergeCell ref="E42:E44"/>
    <mergeCell ref="F42:F44"/>
    <mergeCell ref="K55:K57"/>
    <mergeCell ref="J55:J57"/>
    <mergeCell ref="F55:F57"/>
    <mergeCell ref="E55:E57"/>
    <mergeCell ref="D55:D57"/>
    <mergeCell ref="K52:K53"/>
    <mergeCell ref="J52:J53"/>
    <mergeCell ref="F52:F53"/>
    <mergeCell ref="E52:E53"/>
    <mergeCell ref="D52:D53"/>
    <mergeCell ref="D62:D66"/>
    <mergeCell ref="E62:E66"/>
    <mergeCell ref="F62:F66"/>
    <mergeCell ref="J62:J66"/>
    <mergeCell ref="K62:K66"/>
    <mergeCell ref="D58:D61"/>
    <mergeCell ref="E58:E61"/>
    <mergeCell ref="F58:F61"/>
    <mergeCell ref="J58:J61"/>
    <mergeCell ref="K58:K61"/>
    <mergeCell ref="D70:D71"/>
    <mergeCell ref="E70:E71"/>
    <mergeCell ref="F70:F71"/>
    <mergeCell ref="J70:J71"/>
    <mergeCell ref="K70:K71"/>
    <mergeCell ref="D67:D69"/>
    <mergeCell ref="E67:E69"/>
    <mergeCell ref="F67:F69"/>
    <mergeCell ref="J67:J69"/>
    <mergeCell ref="K67:K69"/>
    <mergeCell ref="K76:K78"/>
    <mergeCell ref="D76:D78"/>
    <mergeCell ref="C76:C78"/>
    <mergeCell ref="E76:E78"/>
    <mergeCell ref="F76:F78"/>
    <mergeCell ref="J76:J78"/>
    <mergeCell ref="D72:D73"/>
    <mergeCell ref="E72:E73"/>
    <mergeCell ref="F72:F73"/>
    <mergeCell ref="J72:J73"/>
    <mergeCell ref="K72:K73"/>
    <mergeCell ref="K85:K86"/>
    <mergeCell ref="D89:D90"/>
    <mergeCell ref="E89:E90"/>
    <mergeCell ref="F89:F90"/>
    <mergeCell ref="J89:J90"/>
    <mergeCell ref="K89:K90"/>
    <mergeCell ref="D85:D86"/>
    <mergeCell ref="E85:E86"/>
    <mergeCell ref="F85:F86"/>
    <mergeCell ref="J85:J86"/>
    <mergeCell ref="D94:D96"/>
    <mergeCell ref="E94:E96"/>
    <mergeCell ref="F94:F96"/>
    <mergeCell ref="J94:J96"/>
    <mergeCell ref="K94:K96"/>
    <mergeCell ref="D91:D93"/>
    <mergeCell ref="E91:E93"/>
    <mergeCell ref="F91:F93"/>
    <mergeCell ref="J91:J93"/>
    <mergeCell ref="K91:K93"/>
    <mergeCell ref="D101:D102"/>
    <mergeCell ref="E101:E102"/>
    <mergeCell ref="F101:F102"/>
    <mergeCell ref="J101:J102"/>
    <mergeCell ref="K101:K102"/>
    <mergeCell ref="D97:D99"/>
    <mergeCell ref="E97:E99"/>
    <mergeCell ref="F97:F99"/>
    <mergeCell ref="J97:J99"/>
    <mergeCell ref="K97:K99"/>
  </mergeCells>
  <conditionalFormatting sqref="BW5:BW7">
    <cfRule type="cellIs" dxfId="179" priority="57" operator="between">
      <formula>0.81</formula>
      <formula>9999.99</formula>
    </cfRule>
    <cfRule type="cellIs" dxfId="178" priority="58" operator="between">
      <formula>0.61</formula>
      <formula>0.8</formula>
    </cfRule>
    <cfRule type="cellIs" dxfId="177" priority="59" operator="between">
      <formula>0.31</formula>
      <formula>0.6</formula>
    </cfRule>
    <cfRule type="cellIs" dxfId="176" priority="60" operator="between">
      <formula>-9999.99</formula>
      <formula>0.3</formula>
    </cfRule>
  </conditionalFormatting>
  <conditionalFormatting sqref="BW13">
    <cfRule type="cellIs" dxfId="175" priority="53" operator="between">
      <formula>0.81</formula>
      <formula>9999.99</formula>
    </cfRule>
    <cfRule type="cellIs" dxfId="174" priority="54" operator="between">
      <formula>0.61</formula>
      <formula>0.8</formula>
    </cfRule>
    <cfRule type="cellIs" dxfId="173" priority="55" operator="between">
      <formula>0.31</formula>
      <formula>0.6</formula>
    </cfRule>
    <cfRule type="cellIs" dxfId="172" priority="56" operator="between">
      <formula>-9999.99</formula>
      <formula>0.3</formula>
    </cfRule>
  </conditionalFormatting>
  <conditionalFormatting sqref="BW41">
    <cfRule type="cellIs" dxfId="171" priority="49" operator="between">
      <formula>0.81</formula>
      <formula>9999.99</formula>
    </cfRule>
    <cfRule type="cellIs" dxfId="170" priority="50" operator="between">
      <formula>0.61</formula>
      <formula>0.8</formula>
    </cfRule>
    <cfRule type="cellIs" dxfId="169" priority="51" operator="between">
      <formula>0.31</formula>
      <formula>0.6</formula>
    </cfRule>
    <cfRule type="cellIs" dxfId="168" priority="52" operator="between">
      <formula>-9999.99</formula>
      <formula>0.3</formula>
    </cfRule>
  </conditionalFormatting>
  <conditionalFormatting sqref="BW20:BW21">
    <cfRule type="cellIs" dxfId="167" priority="29" operator="between">
      <formula>0.81</formula>
      <formula>9999.99</formula>
    </cfRule>
    <cfRule type="cellIs" dxfId="166" priority="30" operator="between">
      <formula>0.61</formula>
      <formula>0.8</formula>
    </cfRule>
    <cfRule type="cellIs" dxfId="165" priority="31" operator="between">
      <formula>0.31</formula>
      <formula>0.6</formula>
    </cfRule>
    <cfRule type="cellIs" dxfId="164" priority="32" operator="between">
      <formula>-9999.99</formula>
      <formula>0.3</formula>
    </cfRule>
  </conditionalFormatting>
  <conditionalFormatting sqref="BW84">
    <cfRule type="cellIs" dxfId="163" priority="45" operator="between">
      <formula>0.81</formula>
      <formula>9999.99</formula>
    </cfRule>
    <cfRule type="cellIs" dxfId="162" priority="46" operator="between">
      <formula>0.61</formula>
      <formula>0.8</formula>
    </cfRule>
    <cfRule type="cellIs" dxfId="161" priority="47" operator="between">
      <formula>0.31</formula>
      <formula>0.6</formula>
    </cfRule>
    <cfRule type="cellIs" dxfId="160" priority="48" operator="between">
      <formula>-9999.99</formula>
      <formula>0.3</formula>
    </cfRule>
  </conditionalFormatting>
  <conditionalFormatting sqref="BW89:BW90">
    <cfRule type="cellIs" dxfId="159" priority="41" operator="between">
      <formula>0.81</formula>
      <formula>9999.99</formula>
    </cfRule>
    <cfRule type="cellIs" dxfId="158" priority="42" operator="between">
      <formula>0.61</formula>
      <formula>0.8</formula>
    </cfRule>
    <cfRule type="cellIs" dxfId="157" priority="43" operator="between">
      <formula>0.31</formula>
      <formula>0.6</formula>
    </cfRule>
    <cfRule type="cellIs" dxfId="156" priority="44" operator="between">
      <formula>-9999.99</formula>
      <formula>0.3</formula>
    </cfRule>
  </conditionalFormatting>
  <conditionalFormatting sqref="BW132:BW133">
    <cfRule type="cellIs" dxfId="155" priority="37" operator="between">
      <formula>0.81</formula>
      <formula>9999.99</formula>
    </cfRule>
    <cfRule type="cellIs" dxfId="154" priority="38" operator="between">
      <formula>0.61</formula>
      <formula>0.8</formula>
    </cfRule>
    <cfRule type="cellIs" dxfId="153" priority="39" operator="between">
      <formula>0.31</formula>
      <formula>0.6</formula>
    </cfRule>
    <cfRule type="cellIs" dxfId="152" priority="40" operator="between">
      <formula>-9999.99</formula>
      <formula>0.3</formula>
    </cfRule>
  </conditionalFormatting>
  <conditionalFormatting sqref="BW149:BW151">
    <cfRule type="cellIs" dxfId="151" priority="33" operator="between">
      <formula>0.81</formula>
      <formula>9999.99</formula>
    </cfRule>
    <cfRule type="cellIs" dxfId="150" priority="34" operator="between">
      <formula>0.61</formula>
      <formula>0.8</formula>
    </cfRule>
    <cfRule type="cellIs" dxfId="149" priority="35" operator="between">
      <formula>0.31</formula>
      <formula>0.6</formula>
    </cfRule>
    <cfRule type="cellIs" dxfId="148" priority="36" operator="between">
      <formula>-9999.99</formula>
      <formula>0.3</formula>
    </cfRule>
  </conditionalFormatting>
  <conditionalFormatting sqref="BW70:BW71">
    <cfRule type="cellIs" dxfId="147" priority="25" operator="between">
      <formula>0.81</formula>
      <formula>9999.99</formula>
    </cfRule>
    <cfRule type="cellIs" dxfId="146" priority="26" operator="between">
      <formula>0.61</formula>
      <formula>0.8</formula>
    </cfRule>
    <cfRule type="cellIs" dxfId="145" priority="27" operator="between">
      <formula>0.31</formula>
      <formula>0.6</formula>
    </cfRule>
    <cfRule type="cellIs" dxfId="144" priority="28" operator="between">
      <formula>-9999.99</formula>
      <formula>0.3</formula>
    </cfRule>
  </conditionalFormatting>
  <conditionalFormatting sqref="BV5 BV41:BV67 BV70:BV152">
    <cfRule type="cellIs" dxfId="143" priority="5" operator="between">
      <formula>0.81</formula>
      <formula>1</formula>
    </cfRule>
    <cfRule type="cellIs" dxfId="142" priority="6" operator="between">
      <formula>0.61</formula>
      <formula>0.8</formula>
    </cfRule>
    <cfRule type="cellIs" dxfId="141" priority="7" operator="between">
      <formula>0.31</formula>
      <formula>0.6</formula>
    </cfRule>
    <cfRule type="cellIs" dxfId="140" priority="8" operator="between">
      <formula>0</formula>
      <formula>0.3</formula>
    </cfRule>
  </conditionalFormatting>
  <conditionalFormatting sqref="BV8 BV13:BV37 BV11">
    <cfRule type="cellIs" dxfId="139" priority="1" operator="between">
      <formula>0.81</formula>
      <formula>1</formula>
    </cfRule>
    <cfRule type="cellIs" dxfId="138" priority="2" operator="between">
      <formula>0.61</formula>
      <formula>0.8</formula>
    </cfRule>
    <cfRule type="cellIs" dxfId="137" priority="3" operator="between">
      <formula>0.31</formula>
      <formula>0.6</formula>
    </cfRule>
    <cfRule type="cellIs" dxfId="136" priority="4" operator="between">
      <formula>0</formula>
      <formula>0.3</formula>
    </cfRule>
  </conditionalFormatting>
  <pageMargins left="0.7" right="0.7" top="0.75" bottom="0.75" header="0.3" footer="0.3"/>
  <pageSetup paperSize="9" orientation="portrait" horizontalDpi="4294967293" verticalDpi="4294967293"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tabColor theme="2" tint="-0.89999084444715716"/>
  </sheetPr>
  <dimension ref="A1:FJ244"/>
  <sheetViews>
    <sheetView topLeftCell="D199" zoomScale="80" zoomScaleNormal="80" workbookViewId="0">
      <selection sqref="A1:FP181"/>
    </sheetView>
  </sheetViews>
  <sheetFormatPr baseColWidth="10" defaultColWidth="11.42578125" defaultRowHeight="15" customHeight="1"/>
  <cols>
    <col min="1" max="1" width="18.28515625" style="2" hidden="1" customWidth="1"/>
    <col min="2" max="2" width="18.5703125" style="2" hidden="1" customWidth="1"/>
    <col min="3" max="3" width="20" style="2" hidden="1" customWidth="1"/>
    <col min="4" max="4" width="20" style="2" customWidth="1"/>
    <col min="5" max="5" width="59" style="2" customWidth="1"/>
    <col min="6" max="6" width="27.140625" style="3" customWidth="1"/>
    <col min="7" max="7" width="18.5703125" style="3" hidden="1" customWidth="1"/>
    <col min="8" max="9" width="18.5703125" style="2" hidden="1" customWidth="1"/>
    <col min="10" max="10" width="17.140625" style="2" customWidth="1"/>
    <col min="11" max="11" width="6.28515625" style="2" hidden="1" customWidth="1"/>
    <col min="12" max="12" width="13.7109375" style="2" customWidth="1"/>
    <col min="13" max="13" width="18.140625" style="2" customWidth="1"/>
    <col min="14" max="14" width="13" style="2" customWidth="1"/>
    <col min="15" max="20" width="18.5703125" style="2" hidden="1" customWidth="1"/>
    <col min="21" max="21" width="9.85546875" style="2" hidden="1" customWidth="1"/>
    <col min="22" max="23" width="18.5703125" style="2" hidden="1" customWidth="1"/>
    <col min="24" max="24" width="4.42578125" style="2" hidden="1" customWidth="1"/>
    <col min="25" max="25" width="4" style="2" hidden="1" customWidth="1"/>
    <col min="26" max="26" width="4.42578125" style="2" hidden="1" customWidth="1"/>
    <col min="27" max="27" width="4" style="2" hidden="1" customWidth="1"/>
    <col min="28" max="28" width="5.140625" style="2" hidden="1" customWidth="1"/>
    <col min="29" max="29" width="4" style="2" hidden="1" customWidth="1"/>
    <col min="30" max="31" width="4.140625" style="2" hidden="1" customWidth="1"/>
    <col min="32" max="32" width="4.28515625" style="2" hidden="1" customWidth="1"/>
    <col min="33" max="33" width="4" style="2" hidden="1" customWidth="1"/>
    <col min="34" max="34" width="4.85546875" style="2" hidden="1" customWidth="1"/>
    <col min="35" max="37" width="4.42578125" style="2" hidden="1" customWidth="1"/>
    <col min="38" max="38" width="4.140625" style="2" hidden="1" customWidth="1"/>
    <col min="39" max="39" width="4.42578125" style="2" hidden="1" customWidth="1"/>
    <col min="40" max="40" width="4.140625" style="2" hidden="1" customWidth="1"/>
    <col min="41" max="42" width="4.28515625" style="2" hidden="1" customWidth="1"/>
    <col min="43" max="43" width="4.85546875" style="2" hidden="1" customWidth="1"/>
    <col min="44" max="46" width="4.28515625" style="2" hidden="1" customWidth="1"/>
    <col min="47" max="47" width="4.42578125" style="2" hidden="1" customWidth="1"/>
    <col min="48" max="49" width="4.28515625" style="2" hidden="1" customWidth="1"/>
    <col min="50" max="50" width="3.7109375" style="2" hidden="1" customWidth="1"/>
    <col min="51" max="51" width="3.28515625" style="2" hidden="1" customWidth="1"/>
    <col min="52" max="52" width="5.7109375" style="2" hidden="1" customWidth="1"/>
    <col min="53" max="53" width="5.42578125" style="2" hidden="1" customWidth="1"/>
    <col min="54" max="54" width="4.140625" style="2" hidden="1" customWidth="1"/>
    <col min="55" max="55" width="4" style="2" hidden="1" customWidth="1"/>
    <col min="56" max="56" width="4.7109375" style="2" hidden="1" customWidth="1"/>
    <col min="57" max="57" width="3.5703125" style="2" hidden="1" customWidth="1"/>
    <col min="58" max="58" width="4.7109375" style="2" hidden="1" customWidth="1"/>
    <col min="59" max="59" width="3.7109375" style="2" hidden="1" customWidth="1"/>
    <col min="60" max="60" width="3.42578125" style="2" hidden="1" customWidth="1"/>
    <col min="61" max="61" width="3.28515625" style="2" hidden="1" customWidth="1"/>
    <col min="62" max="62" width="2.5703125" style="2" hidden="1" customWidth="1"/>
    <col min="63" max="63" width="2.7109375" style="2" hidden="1" customWidth="1"/>
    <col min="64" max="64" width="3.5703125" style="2" hidden="1" customWidth="1"/>
    <col min="65" max="65" width="2.140625" style="2" hidden="1" customWidth="1"/>
    <col min="66" max="66" width="3.5703125" style="2" hidden="1" customWidth="1"/>
    <col min="67" max="67" width="4.28515625" style="2" hidden="1" customWidth="1"/>
    <col min="68" max="68" width="2.7109375" style="2" hidden="1" customWidth="1"/>
    <col min="69" max="69" width="3.7109375" style="2" hidden="1" customWidth="1"/>
    <col min="70" max="70" width="5.85546875" style="2" hidden="1" customWidth="1"/>
    <col min="71" max="71" width="2.85546875" style="2" hidden="1" customWidth="1"/>
    <col min="72" max="72" width="20.5703125" style="2" hidden="1" customWidth="1"/>
    <col min="73" max="73" width="16" style="2" hidden="1" customWidth="1"/>
    <col min="74" max="74" width="20.140625" style="2" hidden="1" customWidth="1"/>
    <col min="75" max="75" width="18.5703125" style="2" hidden="1" customWidth="1"/>
    <col min="76" max="76" width="11.5703125" style="2" hidden="1" customWidth="1"/>
    <col min="77" max="77" width="23.7109375" style="2" hidden="1" customWidth="1"/>
    <col min="78" max="78" width="24.28515625" style="2" hidden="1" customWidth="1"/>
    <col min="79" max="79" width="28" style="2" hidden="1" customWidth="1"/>
    <col min="80" max="83" width="17.7109375" style="496" hidden="1" customWidth="1"/>
    <col min="84" max="109" width="11.5703125" style="496" hidden="1" customWidth="1"/>
    <col min="110" max="111" width="0" style="496" hidden="1" customWidth="1"/>
    <col min="112" max="112" width="11.5703125" style="496" hidden="1" customWidth="1"/>
    <col min="113" max="119" width="0" style="496" hidden="1" customWidth="1"/>
    <col min="120" max="120" width="1.42578125" style="490" customWidth="1"/>
    <col min="121" max="16384" width="11.42578125" style="2"/>
  </cols>
  <sheetData>
    <row r="1" spans="1:166" ht="15" customHeight="1" thickBot="1">
      <c r="A1" s="15943" t="s">
        <v>642</v>
      </c>
      <c r="B1" s="15944"/>
      <c r="C1" s="15944"/>
      <c r="D1" s="15944"/>
      <c r="E1" s="15944"/>
      <c r="F1" s="15944"/>
      <c r="G1" s="15944"/>
      <c r="H1" s="15944"/>
      <c r="I1" s="15944"/>
      <c r="J1" s="15944"/>
      <c r="K1" s="15944"/>
      <c r="L1" s="15944"/>
      <c r="M1" s="15944"/>
      <c r="N1" s="15944"/>
      <c r="O1" s="15944"/>
      <c r="P1" s="15944"/>
      <c r="Q1" s="15944"/>
      <c r="R1" s="15944"/>
      <c r="S1" s="15944"/>
      <c r="T1" s="15944"/>
      <c r="U1" s="15945"/>
      <c r="AB1" s="13290" t="s">
        <v>0</v>
      </c>
      <c r="AC1" s="13291"/>
      <c r="AD1" s="13291"/>
      <c r="AE1" s="13291"/>
      <c r="AF1" s="13291"/>
      <c r="AG1" s="13291"/>
      <c r="AH1" s="13291"/>
      <c r="AI1" s="13291"/>
      <c r="AJ1" s="13291"/>
      <c r="AK1" s="13291"/>
      <c r="AL1" s="13291"/>
      <c r="AM1" s="13291"/>
      <c r="AN1" s="13291"/>
      <c r="AO1" s="13291"/>
      <c r="AP1" s="13291"/>
      <c r="AQ1" s="13291"/>
      <c r="AR1" s="13291"/>
      <c r="AS1" s="13291"/>
      <c r="AT1" s="13291"/>
      <c r="AU1" s="13291"/>
      <c r="AV1" s="13291"/>
      <c r="AW1" s="13291"/>
      <c r="AX1" s="13291"/>
      <c r="AY1" s="13291"/>
      <c r="AZ1" s="13291"/>
      <c r="BA1" s="13291"/>
      <c r="BB1" s="13291"/>
      <c r="BC1" s="13291"/>
      <c r="BD1" s="13291"/>
      <c r="BE1" s="13291"/>
      <c r="BF1" s="13291"/>
      <c r="BG1" s="13291"/>
      <c r="BH1" s="13291"/>
      <c r="BI1" s="13291"/>
      <c r="BJ1" s="13291"/>
      <c r="BK1" s="13291"/>
      <c r="BL1" s="13291"/>
      <c r="BM1" s="13291"/>
      <c r="BN1" s="13291"/>
      <c r="BO1" s="13291"/>
      <c r="BP1" s="13291"/>
      <c r="BQ1" s="13291"/>
      <c r="BR1" s="13291"/>
      <c r="BS1" s="13292"/>
      <c r="BT1" s="13290" t="s">
        <v>8493</v>
      </c>
      <c r="BU1" s="13291"/>
      <c r="BV1" s="13291"/>
      <c r="BW1" s="13291"/>
      <c r="BX1" s="13291"/>
      <c r="BY1" s="13291"/>
      <c r="BZ1" s="13291"/>
      <c r="CA1" s="13291"/>
      <c r="CB1" s="13618"/>
      <c r="CC1" s="13618"/>
      <c r="CD1" s="13618"/>
      <c r="CE1" s="13618"/>
      <c r="CF1" s="13618"/>
      <c r="CG1" s="13618"/>
      <c r="CH1" s="13618"/>
      <c r="CI1" s="13618"/>
      <c r="CJ1" s="13618"/>
      <c r="CK1" s="13618"/>
      <c r="CL1" s="13618"/>
      <c r="CM1" s="13618"/>
      <c r="CN1" s="13618"/>
      <c r="CO1" s="13618"/>
      <c r="CP1" s="13618"/>
      <c r="CQ1" s="13618"/>
      <c r="CR1" s="13618"/>
      <c r="CS1" s="13618"/>
      <c r="CT1" s="13618"/>
      <c r="CU1" s="13618"/>
      <c r="CV1" s="13618"/>
      <c r="CW1" s="13618"/>
      <c r="CX1" s="13618"/>
      <c r="CY1" s="13618"/>
      <c r="CZ1" s="13618"/>
      <c r="DA1" s="13618"/>
      <c r="DB1" s="13618"/>
      <c r="DC1" s="13618"/>
      <c r="DD1" s="13618"/>
      <c r="DE1" s="13618"/>
      <c r="DF1" s="13618"/>
      <c r="DG1" s="13618"/>
      <c r="DH1" s="13618"/>
      <c r="DI1" s="13618"/>
      <c r="DJ1" s="13618"/>
      <c r="DK1" s="13618"/>
      <c r="DL1" s="13618"/>
      <c r="DM1" s="13618"/>
      <c r="DN1" s="13618"/>
      <c r="DO1" s="15842"/>
      <c r="DQ1" s="13291" t="s">
        <v>8497</v>
      </c>
      <c r="DR1" s="13291"/>
      <c r="DS1" s="13291"/>
      <c r="DT1" s="13291"/>
      <c r="DU1" s="13291"/>
      <c r="DV1" s="13291"/>
      <c r="DW1" s="13618"/>
      <c r="DX1" s="13618"/>
      <c r="DY1" s="13618"/>
      <c r="DZ1" s="13618"/>
      <c r="EA1" s="13291"/>
      <c r="EB1" s="13291"/>
      <c r="EC1" s="13291"/>
      <c r="ED1" s="13291"/>
      <c r="EE1" s="13291"/>
      <c r="EF1" s="13291"/>
      <c r="EG1" s="13291"/>
      <c r="EH1" s="13291"/>
      <c r="EI1" s="13291"/>
      <c r="EJ1" s="13291"/>
      <c r="EK1" s="13291"/>
      <c r="EL1" s="13291"/>
      <c r="EM1" s="13291"/>
      <c r="EN1" s="13291"/>
      <c r="EO1" s="13291"/>
      <c r="EP1" s="13291"/>
      <c r="EQ1" s="13291"/>
      <c r="ER1" s="13291"/>
      <c r="ES1" s="13291"/>
      <c r="ET1" s="13291"/>
      <c r="EU1" s="13291"/>
      <c r="EV1" s="13291"/>
      <c r="EW1" s="13291"/>
      <c r="EX1" s="13291"/>
      <c r="EY1" s="13291"/>
      <c r="EZ1" s="13291"/>
      <c r="FA1" s="13291"/>
      <c r="FB1" s="13291"/>
      <c r="FC1" s="13291"/>
      <c r="FD1" s="13291"/>
      <c r="FE1" s="13291"/>
      <c r="FF1" s="13291"/>
      <c r="FG1" s="13291"/>
      <c r="FH1" s="13291"/>
      <c r="FI1" s="13291"/>
      <c r="FJ1" s="13292"/>
    </row>
    <row r="2" spans="1:166" ht="15" customHeight="1" thickBot="1">
      <c r="A2" s="15938" t="s">
        <v>643</v>
      </c>
      <c r="B2" s="15939"/>
      <c r="C2" s="15939"/>
      <c r="D2" s="15940"/>
      <c r="E2" s="15940"/>
      <c r="F2" s="15939"/>
      <c r="G2" s="15939"/>
      <c r="H2" s="15939"/>
      <c r="I2" s="15939"/>
      <c r="J2" s="15939"/>
      <c r="K2" s="15939"/>
      <c r="L2" s="15941"/>
      <c r="M2" s="15939"/>
      <c r="N2" s="15939"/>
      <c r="O2" s="15939"/>
      <c r="P2" s="15939"/>
      <c r="Q2" s="15939"/>
      <c r="R2" s="15939"/>
      <c r="S2" s="15939"/>
      <c r="T2" s="15939"/>
      <c r="U2" s="15942"/>
      <c r="V2" s="78"/>
      <c r="W2" s="75"/>
      <c r="X2" s="75"/>
      <c r="Y2" s="75"/>
      <c r="Z2" s="75"/>
      <c r="AA2" s="76"/>
      <c r="AB2" s="13293" t="s">
        <v>1</v>
      </c>
      <c r="AC2" s="13295" t="s">
        <v>2</v>
      </c>
      <c r="AD2" s="13295" t="s">
        <v>3</v>
      </c>
      <c r="AE2" s="13297" t="s">
        <v>4</v>
      </c>
      <c r="AF2" s="13299" t="s">
        <v>355</v>
      </c>
      <c r="AG2" s="13300"/>
      <c r="AH2" s="13300"/>
      <c r="AI2" s="13301"/>
      <c r="AJ2" s="13299" t="s">
        <v>356</v>
      </c>
      <c r="AK2" s="13300"/>
      <c r="AL2" s="13300"/>
      <c r="AM2" s="13300"/>
      <c r="AN2" s="13300"/>
      <c r="AO2" s="13300"/>
      <c r="AP2" s="13300"/>
      <c r="AQ2" s="13300"/>
      <c r="AR2" s="13300"/>
      <c r="AS2" s="13300"/>
      <c r="AT2" s="13300"/>
      <c r="AU2" s="13300"/>
      <c r="AV2" s="13300"/>
      <c r="AW2" s="13300"/>
      <c r="AX2" s="13300"/>
      <c r="AY2" s="13300"/>
      <c r="AZ2" s="13300"/>
      <c r="BA2" s="13300"/>
      <c r="BB2" s="13300"/>
      <c r="BC2" s="13300"/>
      <c r="BD2" s="13300"/>
      <c r="BE2" s="13300"/>
      <c r="BF2" s="13300"/>
      <c r="BG2" s="13300"/>
      <c r="BH2" s="13300"/>
      <c r="BI2" s="13301"/>
      <c r="BJ2" s="13302" t="s">
        <v>357</v>
      </c>
      <c r="BK2" s="13303"/>
      <c r="BL2" s="13303"/>
      <c r="BM2" s="13303"/>
      <c r="BN2" s="13304"/>
      <c r="BO2" s="13305" t="s">
        <v>5</v>
      </c>
      <c r="BP2" s="13306"/>
      <c r="BQ2" s="13306"/>
      <c r="BR2" s="13306"/>
      <c r="BS2" s="13307"/>
      <c r="BT2" s="13293" t="s">
        <v>8490</v>
      </c>
      <c r="BU2" s="15843" t="s">
        <v>2104</v>
      </c>
      <c r="BV2" s="15843" t="s">
        <v>9882</v>
      </c>
      <c r="BW2" s="15843" t="s">
        <v>9652</v>
      </c>
      <c r="BX2" s="15843" t="s">
        <v>9651</v>
      </c>
      <c r="BY2" s="13295" t="s">
        <v>8491</v>
      </c>
      <c r="BZ2" s="13295" t="s">
        <v>8492</v>
      </c>
      <c r="CA2" s="13297" t="s">
        <v>4</v>
      </c>
      <c r="CB2" s="14602" t="s">
        <v>355</v>
      </c>
      <c r="CC2" s="14603"/>
      <c r="CD2" s="14603"/>
      <c r="CE2" s="14604"/>
      <c r="CF2" s="14602" t="s">
        <v>356</v>
      </c>
      <c r="CG2" s="14603"/>
      <c r="CH2" s="14603"/>
      <c r="CI2" s="14603"/>
      <c r="CJ2" s="14603"/>
      <c r="CK2" s="14603"/>
      <c r="CL2" s="14603"/>
      <c r="CM2" s="14603"/>
      <c r="CN2" s="14603"/>
      <c r="CO2" s="14603"/>
      <c r="CP2" s="14603"/>
      <c r="CQ2" s="14603"/>
      <c r="CR2" s="14603"/>
      <c r="CS2" s="14603"/>
      <c r="CT2" s="14603"/>
      <c r="CU2" s="14603"/>
      <c r="CV2" s="14603"/>
      <c r="CW2" s="14603"/>
      <c r="CX2" s="14603"/>
      <c r="CY2" s="14603"/>
      <c r="CZ2" s="14603"/>
      <c r="DA2" s="14603"/>
      <c r="DB2" s="14603"/>
      <c r="DC2" s="14603"/>
      <c r="DD2" s="14603"/>
      <c r="DE2" s="14604"/>
      <c r="DF2" s="15629" t="s">
        <v>357</v>
      </c>
      <c r="DG2" s="15630"/>
      <c r="DH2" s="15630"/>
      <c r="DI2" s="15630"/>
      <c r="DJ2" s="15631"/>
      <c r="DK2" s="15632" t="s">
        <v>5</v>
      </c>
      <c r="DL2" s="15633"/>
      <c r="DM2" s="15633"/>
      <c r="DN2" s="15633"/>
      <c r="DO2" s="15634"/>
      <c r="DQ2" s="14600" t="s">
        <v>8498</v>
      </c>
      <c r="DR2" s="14609" t="s">
        <v>10189</v>
      </c>
      <c r="DS2" s="14609" t="s">
        <v>10190</v>
      </c>
      <c r="DT2" s="13295" t="s">
        <v>8499</v>
      </c>
      <c r="DU2" s="13295" t="s">
        <v>8500</v>
      </c>
      <c r="DV2" s="13297" t="s">
        <v>4</v>
      </c>
      <c r="DW2" s="14602" t="s">
        <v>355</v>
      </c>
      <c r="DX2" s="14603"/>
      <c r="DY2" s="14603"/>
      <c r="DZ2" s="14604"/>
      <c r="EA2" s="13299" t="s">
        <v>356</v>
      </c>
      <c r="EB2" s="13300"/>
      <c r="EC2" s="13300"/>
      <c r="ED2" s="13300"/>
      <c r="EE2" s="13300"/>
      <c r="EF2" s="13300"/>
      <c r="EG2" s="13300"/>
      <c r="EH2" s="13300"/>
      <c r="EI2" s="13300"/>
      <c r="EJ2" s="13300"/>
      <c r="EK2" s="13300"/>
      <c r="EL2" s="13300"/>
      <c r="EM2" s="15138"/>
      <c r="EN2" s="15138"/>
      <c r="EO2" s="15138"/>
      <c r="EP2" s="15138"/>
      <c r="EQ2" s="15138"/>
      <c r="ER2" s="15138"/>
      <c r="ES2" s="15138"/>
      <c r="ET2" s="15138"/>
      <c r="EU2" s="15138"/>
      <c r="EV2" s="15138"/>
      <c r="EW2" s="15138"/>
      <c r="EX2" s="15138"/>
      <c r="EY2" s="15138"/>
      <c r="EZ2" s="15139"/>
      <c r="FA2" s="15140" t="s">
        <v>357</v>
      </c>
      <c r="FB2" s="15141"/>
      <c r="FC2" s="15141"/>
      <c r="FD2" s="15141"/>
      <c r="FE2" s="15142"/>
      <c r="FF2" s="13305" t="s">
        <v>5</v>
      </c>
      <c r="FG2" s="13306"/>
      <c r="FH2" s="13306"/>
      <c r="FI2" s="13306"/>
      <c r="FJ2" s="13307"/>
    </row>
    <row r="3" spans="1:166" ht="15" customHeight="1" thickBot="1">
      <c r="A3" s="15946" t="s">
        <v>53</v>
      </c>
      <c r="B3" s="15991" t="s">
        <v>54</v>
      </c>
      <c r="C3" s="13331" t="s">
        <v>55</v>
      </c>
      <c r="D3" s="15997" t="s">
        <v>4635</v>
      </c>
      <c r="E3" s="13331" t="s">
        <v>56</v>
      </c>
      <c r="F3" s="13331" t="s">
        <v>57</v>
      </c>
      <c r="G3" s="926"/>
      <c r="H3" s="926"/>
      <c r="I3" s="15935" t="s">
        <v>60</v>
      </c>
      <c r="J3" s="15935" t="s">
        <v>61</v>
      </c>
      <c r="K3" s="13335" t="s">
        <v>62</v>
      </c>
      <c r="L3" s="15999" t="s">
        <v>10056</v>
      </c>
      <c r="M3" s="13335" t="s">
        <v>63</v>
      </c>
      <c r="N3" s="13335" t="s">
        <v>64</v>
      </c>
      <c r="O3" s="926"/>
      <c r="P3" s="926"/>
      <c r="Q3" s="926"/>
      <c r="R3" s="926"/>
      <c r="S3" s="926"/>
      <c r="T3" s="926"/>
      <c r="U3" s="15948" t="s">
        <v>951</v>
      </c>
      <c r="V3" s="78"/>
      <c r="W3" s="75"/>
      <c r="X3" s="75"/>
      <c r="Y3" s="75"/>
      <c r="Z3" s="75"/>
      <c r="AA3" s="76"/>
      <c r="AB3" s="13294"/>
      <c r="AC3" s="13296"/>
      <c r="AD3" s="13296"/>
      <c r="AE3" s="13298"/>
      <c r="AF3" s="13308" t="s">
        <v>6</v>
      </c>
      <c r="AG3" s="13310" t="s">
        <v>7</v>
      </c>
      <c r="AH3" s="13312" t="s">
        <v>8</v>
      </c>
      <c r="AI3" s="13314" t="s">
        <v>9</v>
      </c>
      <c r="AJ3" s="13308" t="s">
        <v>10</v>
      </c>
      <c r="AK3" s="13282" t="s">
        <v>11</v>
      </c>
      <c r="AL3" s="13284"/>
      <c r="AM3" s="13282" t="s">
        <v>12</v>
      </c>
      <c r="AN3" s="13284"/>
      <c r="AO3" s="13282" t="s">
        <v>13</v>
      </c>
      <c r="AP3" s="13283"/>
      <c r="AQ3" s="13283"/>
      <c r="AR3" s="13283"/>
      <c r="AS3" s="13283"/>
      <c r="AT3" s="13283"/>
      <c r="AU3" s="13284"/>
      <c r="AV3" s="13285" t="s">
        <v>14</v>
      </c>
      <c r="AW3" s="13286"/>
      <c r="AX3" s="13286"/>
      <c r="AY3" s="13286"/>
      <c r="AZ3" s="13286"/>
      <c r="BA3" s="13286"/>
      <c r="BB3" s="13286"/>
      <c r="BC3" s="13287"/>
      <c r="BD3" s="13285" t="s">
        <v>15</v>
      </c>
      <c r="BE3" s="13286"/>
      <c r="BF3" s="13286"/>
      <c r="BG3" s="13286"/>
      <c r="BH3" s="13286"/>
      <c r="BI3" s="13287"/>
      <c r="BJ3" s="13288" t="s">
        <v>16</v>
      </c>
      <c r="BK3" s="13288" t="s">
        <v>17</v>
      </c>
      <c r="BL3" s="13275" t="s">
        <v>18</v>
      </c>
      <c r="BM3" s="10" t="s">
        <v>19</v>
      </c>
      <c r="BN3" s="489" t="s">
        <v>20</v>
      </c>
      <c r="BO3" s="13277" t="s">
        <v>21</v>
      </c>
      <c r="BP3" s="13279" t="s">
        <v>22</v>
      </c>
      <c r="BQ3" s="13280"/>
      <c r="BR3" s="13281"/>
      <c r="BS3" s="12" t="s">
        <v>20</v>
      </c>
      <c r="BT3" s="13294"/>
      <c r="BU3" s="15844"/>
      <c r="BV3" s="15844"/>
      <c r="BW3" s="15844"/>
      <c r="BX3" s="15844"/>
      <c r="BY3" s="13296"/>
      <c r="BZ3" s="13296"/>
      <c r="CA3" s="13298"/>
      <c r="CB3" s="14605" t="s">
        <v>6</v>
      </c>
      <c r="CC3" s="14611" t="s">
        <v>7</v>
      </c>
      <c r="CD3" s="14577" t="s">
        <v>8</v>
      </c>
      <c r="CE3" s="14579" t="s">
        <v>9</v>
      </c>
      <c r="CF3" s="14605" t="s">
        <v>10</v>
      </c>
      <c r="CG3" s="15635" t="s">
        <v>11</v>
      </c>
      <c r="CH3" s="15636"/>
      <c r="CI3" s="15635" t="s">
        <v>12</v>
      </c>
      <c r="CJ3" s="15636"/>
      <c r="CK3" s="15635" t="s">
        <v>13</v>
      </c>
      <c r="CL3" s="15644"/>
      <c r="CM3" s="15644"/>
      <c r="CN3" s="15644"/>
      <c r="CO3" s="15644"/>
      <c r="CP3" s="15644"/>
      <c r="CQ3" s="15636"/>
      <c r="CR3" s="15645" t="s">
        <v>14</v>
      </c>
      <c r="CS3" s="15642"/>
      <c r="CT3" s="15642"/>
      <c r="CU3" s="15642"/>
      <c r="CV3" s="15642"/>
      <c r="CW3" s="15642"/>
      <c r="CX3" s="15642"/>
      <c r="CY3" s="15646"/>
      <c r="CZ3" s="15645" t="s">
        <v>15</v>
      </c>
      <c r="DA3" s="15642"/>
      <c r="DB3" s="15642"/>
      <c r="DC3" s="15642"/>
      <c r="DD3" s="15642"/>
      <c r="DE3" s="15646"/>
      <c r="DF3" s="15647" t="s">
        <v>16</v>
      </c>
      <c r="DG3" s="15647" t="s">
        <v>17</v>
      </c>
      <c r="DH3" s="15637" t="s">
        <v>18</v>
      </c>
      <c r="DI3" s="499" t="s">
        <v>19</v>
      </c>
      <c r="DJ3" s="927" t="s">
        <v>20</v>
      </c>
      <c r="DK3" s="15639" t="s">
        <v>21</v>
      </c>
      <c r="DL3" s="15641" t="s">
        <v>22</v>
      </c>
      <c r="DM3" s="15642"/>
      <c r="DN3" s="15643"/>
      <c r="DO3" s="835" t="s">
        <v>20</v>
      </c>
      <c r="DQ3" s="14601"/>
      <c r="DR3" s="14609"/>
      <c r="DS3" s="14609"/>
      <c r="DT3" s="13296"/>
      <c r="DU3" s="13296"/>
      <c r="DV3" s="13298"/>
      <c r="DW3" s="14605" t="s">
        <v>6</v>
      </c>
      <c r="DX3" s="14611" t="s">
        <v>7</v>
      </c>
      <c r="DY3" s="14577" t="s">
        <v>8</v>
      </c>
      <c r="DZ3" s="14579" t="s">
        <v>9</v>
      </c>
      <c r="EA3" s="13308" t="s">
        <v>10</v>
      </c>
      <c r="EB3" s="13282" t="s">
        <v>11</v>
      </c>
      <c r="EC3" s="13284"/>
      <c r="ED3" s="13282" t="s">
        <v>12</v>
      </c>
      <c r="EE3" s="13284"/>
      <c r="EF3" s="13282" t="s">
        <v>13</v>
      </c>
      <c r="EG3" s="13283"/>
      <c r="EH3" s="13283"/>
      <c r="EI3" s="13283"/>
      <c r="EJ3" s="13283"/>
      <c r="EK3" s="13283"/>
      <c r="EL3" s="13283"/>
      <c r="EM3" s="15143" t="s">
        <v>14</v>
      </c>
      <c r="EN3" s="15144"/>
      <c r="EO3" s="15144"/>
      <c r="EP3" s="15144"/>
      <c r="EQ3" s="15144"/>
      <c r="ER3" s="15144"/>
      <c r="ES3" s="15144"/>
      <c r="ET3" s="15144"/>
      <c r="EU3" s="15144" t="s">
        <v>15</v>
      </c>
      <c r="EV3" s="15144"/>
      <c r="EW3" s="15144"/>
      <c r="EX3" s="15144"/>
      <c r="EY3" s="15144"/>
      <c r="EZ3" s="15198"/>
      <c r="FA3" s="15199" t="s">
        <v>16</v>
      </c>
      <c r="FB3" s="15183" t="s">
        <v>17</v>
      </c>
      <c r="FC3" s="15145" t="s">
        <v>18</v>
      </c>
      <c r="FD3" s="3375" t="s">
        <v>19</v>
      </c>
      <c r="FE3" s="3376" t="s">
        <v>20</v>
      </c>
      <c r="FF3" s="15135" t="s">
        <v>21</v>
      </c>
      <c r="FG3" s="13279" t="s">
        <v>22</v>
      </c>
      <c r="FH3" s="13280"/>
      <c r="FI3" s="13281"/>
      <c r="FJ3" s="12" t="s">
        <v>20</v>
      </c>
    </row>
    <row r="4" spans="1:166" ht="15" customHeight="1" thickBot="1">
      <c r="A4" s="15947"/>
      <c r="B4" s="15992"/>
      <c r="C4" s="15952"/>
      <c r="D4" s="15998"/>
      <c r="E4" s="15952"/>
      <c r="F4" s="15952"/>
      <c r="G4" s="4675" t="s">
        <v>58</v>
      </c>
      <c r="H4" s="4675" t="s">
        <v>59</v>
      </c>
      <c r="I4" s="15936"/>
      <c r="J4" s="15936"/>
      <c r="K4" s="15937"/>
      <c r="L4" s="16000"/>
      <c r="M4" s="15937"/>
      <c r="N4" s="15937"/>
      <c r="O4" s="4676"/>
      <c r="P4" s="4142"/>
      <c r="Q4" s="4142"/>
      <c r="R4" s="4142"/>
      <c r="S4" s="4142"/>
      <c r="T4" s="4142"/>
      <c r="U4" s="15949"/>
      <c r="V4" s="4677"/>
      <c r="W4" s="4678"/>
      <c r="X4" s="4678"/>
      <c r="Y4" s="4678"/>
      <c r="Z4" s="4678"/>
      <c r="AA4" s="4679"/>
      <c r="AB4" s="13294"/>
      <c r="AC4" s="13296"/>
      <c r="AD4" s="13296"/>
      <c r="AE4" s="13298"/>
      <c r="AF4" s="13309"/>
      <c r="AG4" s="13311"/>
      <c r="AH4" s="13313"/>
      <c r="AI4" s="13315"/>
      <c r="AJ4" s="13309"/>
      <c r="AK4" s="3462" t="s">
        <v>23</v>
      </c>
      <c r="AL4" s="3463" t="s">
        <v>24</v>
      </c>
      <c r="AM4" s="3462" t="s">
        <v>25</v>
      </c>
      <c r="AN4" s="3463" t="s">
        <v>26</v>
      </c>
      <c r="AO4" s="3464" t="s">
        <v>27</v>
      </c>
      <c r="AP4" s="3465" t="s">
        <v>28</v>
      </c>
      <c r="AQ4" s="3466" t="s">
        <v>29</v>
      </c>
      <c r="AR4" s="3466" t="s">
        <v>30</v>
      </c>
      <c r="AS4" s="3466" t="s">
        <v>31</v>
      </c>
      <c r="AT4" s="3466" t="s">
        <v>32</v>
      </c>
      <c r="AU4" s="3467" t="s">
        <v>33</v>
      </c>
      <c r="AV4" s="3464" t="s">
        <v>34</v>
      </c>
      <c r="AW4" s="3466" t="s">
        <v>35</v>
      </c>
      <c r="AX4" s="3466" t="s">
        <v>36</v>
      </c>
      <c r="AY4" s="3466" t="s">
        <v>37</v>
      </c>
      <c r="AZ4" s="3466" t="s">
        <v>38</v>
      </c>
      <c r="BA4" s="3466" t="s">
        <v>39</v>
      </c>
      <c r="BB4" s="3466" t="s">
        <v>40</v>
      </c>
      <c r="BC4" s="3467" t="s">
        <v>41</v>
      </c>
      <c r="BD4" s="4680" t="s">
        <v>42</v>
      </c>
      <c r="BE4" s="3466" t="s">
        <v>43</v>
      </c>
      <c r="BF4" s="3466" t="s">
        <v>44</v>
      </c>
      <c r="BG4" s="3466" t="s">
        <v>45</v>
      </c>
      <c r="BH4" s="3466" t="s">
        <v>46</v>
      </c>
      <c r="BI4" s="3373" t="s">
        <v>47</v>
      </c>
      <c r="BJ4" s="13289"/>
      <c r="BK4" s="13289"/>
      <c r="BL4" s="13276"/>
      <c r="BM4" s="924" t="s">
        <v>48</v>
      </c>
      <c r="BN4" s="21" t="s">
        <v>49</v>
      </c>
      <c r="BO4" s="13278"/>
      <c r="BP4" s="4136" t="s">
        <v>50</v>
      </c>
      <c r="BQ4" s="4136" t="s">
        <v>51</v>
      </c>
      <c r="BR4" s="4136" t="s">
        <v>52</v>
      </c>
      <c r="BS4" s="2217" t="s">
        <v>49</v>
      </c>
      <c r="BT4" s="13294"/>
      <c r="BU4" s="15844"/>
      <c r="BV4" s="15844"/>
      <c r="BW4" s="15844"/>
      <c r="BX4" s="15844"/>
      <c r="BY4" s="13296"/>
      <c r="BZ4" s="13296"/>
      <c r="CA4" s="13298"/>
      <c r="CB4" s="14606"/>
      <c r="CC4" s="14612"/>
      <c r="CD4" s="14578"/>
      <c r="CE4" s="14580"/>
      <c r="CF4" s="14606"/>
      <c r="CG4" s="4681" t="s">
        <v>23</v>
      </c>
      <c r="CH4" s="4682" t="s">
        <v>24</v>
      </c>
      <c r="CI4" s="4681" t="s">
        <v>25</v>
      </c>
      <c r="CJ4" s="4682" t="s">
        <v>26</v>
      </c>
      <c r="CK4" s="4681" t="s">
        <v>27</v>
      </c>
      <c r="CL4" s="4683" t="s">
        <v>28</v>
      </c>
      <c r="CM4" s="4683" t="s">
        <v>29</v>
      </c>
      <c r="CN4" s="4683" t="s">
        <v>30</v>
      </c>
      <c r="CO4" s="4683" t="s">
        <v>31</v>
      </c>
      <c r="CP4" s="4683" t="s">
        <v>32</v>
      </c>
      <c r="CQ4" s="4682" t="s">
        <v>33</v>
      </c>
      <c r="CR4" s="4681" t="s">
        <v>34</v>
      </c>
      <c r="CS4" s="4683" t="s">
        <v>35</v>
      </c>
      <c r="CT4" s="4683" t="s">
        <v>36</v>
      </c>
      <c r="CU4" s="4683" t="s">
        <v>37</v>
      </c>
      <c r="CV4" s="4683" t="s">
        <v>38</v>
      </c>
      <c r="CW4" s="4683" t="s">
        <v>39</v>
      </c>
      <c r="CX4" s="4683" t="s">
        <v>40</v>
      </c>
      <c r="CY4" s="4682" t="s">
        <v>41</v>
      </c>
      <c r="CZ4" s="4684" t="s">
        <v>42</v>
      </c>
      <c r="DA4" s="4683" t="s">
        <v>43</v>
      </c>
      <c r="DB4" s="4683" t="s">
        <v>44</v>
      </c>
      <c r="DC4" s="4683" t="s">
        <v>45</v>
      </c>
      <c r="DD4" s="4683" t="s">
        <v>46</v>
      </c>
      <c r="DE4" s="4685" t="s">
        <v>47</v>
      </c>
      <c r="DF4" s="15648"/>
      <c r="DG4" s="15648"/>
      <c r="DH4" s="15638"/>
      <c r="DI4" s="925" t="s">
        <v>48</v>
      </c>
      <c r="DJ4" s="503" t="s">
        <v>49</v>
      </c>
      <c r="DK4" s="15640"/>
      <c r="DL4" s="2227" t="s">
        <v>50</v>
      </c>
      <c r="DM4" s="2227" t="s">
        <v>51</v>
      </c>
      <c r="DN4" s="2227" t="s">
        <v>52</v>
      </c>
      <c r="DO4" s="2228" t="s">
        <v>49</v>
      </c>
      <c r="DQ4" s="14601"/>
      <c r="DR4" s="15137"/>
      <c r="DS4" s="15137"/>
      <c r="DT4" s="13296"/>
      <c r="DU4" s="13296"/>
      <c r="DV4" s="13298"/>
      <c r="DW4" s="14606"/>
      <c r="DX4" s="14612"/>
      <c r="DY4" s="14578"/>
      <c r="DZ4" s="14580"/>
      <c r="EA4" s="13309"/>
      <c r="EB4" s="3462" t="s">
        <v>23</v>
      </c>
      <c r="EC4" s="3463" t="s">
        <v>24</v>
      </c>
      <c r="ED4" s="3462" t="s">
        <v>25</v>
      </c>
      <c r="EE4" s="3463" t="s">
        <v>26</v>
      </c>
      <c r="EF4" s="3464" t="s">
        <v>27</v>
      </c>
      <c r="EG4" s="3465" t="s">
        <v>28</v>
      </c>
      <c r="EH4" s="3466" t="s">
        <v>29</v>
      </c>
      <c r="EI4" s="3466" t="s">
        <v>30</v>
      </c>
      <c r="EJ4" s="3466" t="s">
        <v>31</v>
      </c>
      <c r="EK4" s="3466" t="s">
        <v>32</v>
      </c>
      <c r="EL4" s="3373" t="s">
        <v>33</v>
      </c>
      <c r="EM4" s="3464" t="s">
        <v>34</v>
      </c>
      <c r="EN4" s="3466" t="s">
        <v>35</v>
      </c>
      <c r="EO4" s="3466" t="s">
        <v>36</v>
      </c>
      <c r="EP4" s="3466" t="s">
        <v>37</v>
      </c>
      <c r="EQ4" s="3466" t="s">
        <v>38</v>
      </c>
      <c r="ER4" s="3466" t="s">
        <v>39</v>
      </c>
      <c r="ES4" s="3466" t="s">
        <v>40</v>
      </c>
      <c r="ET4" s="3466" t="s">
        <v>41</v>
      </c>
      <c r="EU4" s="3466" t="s">
        <v>42</v>
      </c>
      <c r="EV4" s="3466" t="s">
        <v>43</v>
      </c>
      <c r="EW4" s="3466" t="s">
        <v>44</v>
      </c>
      <c r="EX4" s="3466" t="s">
        <v>45</v>
      </c>
      <c r="EY4" s="3466" t="s">
        <v>46</v>
      </c>
      <c r="EZ4" s="3467" t="s">
        <v>47</v>
      </c>
      <c r="FA4" s="15200"/>
      <c r="FB4" s="15184"/>
      <c r="FC4" s="15146"/>
      <c r="FD4" s="4137" t="s">
        <v>48</v>
      </c>
      <c r="FE4" s="3469" t="s">
        <v>49</v>
      </c>
      <c r="FF4" s="15136"/>
      <c r="FG4" s="4136" t="s">
        <v>50</v>
      </c>
      <c r="FH4" s="4136" t="s">
        <v>51</v>
      </c>
      <c r="FI4" s="4136" t="s">
        <v>52</v>
      </c>
      <c r="FJ4" s="2217" t="s">
        <v>49</v>
      </c>
    </row>
    <row r="5" spans="1:166" s="1846" customFormat="1" ht="15" customHeight="1">
      <c r="A5" s="15988" t="s">
        <v>644</v>
      </c>
      <c r="B5" s="16001" t="s">
        <v>645</v>
      </c>
      <c r="C5" s="15996" t="s">
        <v>646</v>
      </c>
      <c r="D5" s="4820" t="s">
        <v>7907</v>
      </c>
      <c r="E5" s="4821" t="s">
        <v>4934</v>
      </c>
      <c r="F5" s="4821" t="s">
        <v>647</v>
      </c>
      <c r="G5" s="4821" t="s">
        <v>542</v>
      </c>
      <c r="H5" s="1999">
        <v>0.1</v>
      </c>
      <c r="I5" s="1999">
        <v>0.5</v>
      </c>
      <c r="J5" s="1999">
        <v>1</v>
      </c>
      <c r="K5" s="4821" t="s">
        <v>648</v>
      </c>
      <c r="L5" s="4821" t="s">
        <v>2896</v>
      </c>
      <c r="M5" s="4821" t="s">
        <v>167</v>
      </c>
      <c r="N5" s="4821"/>
      <c r="O5" s="3018">
        <v>20</v>
      </c>
      <c r="P5" s="3018">
        <v>21</v>
      </c>
      <c r="Q5" s="3018">
        <v>21</v>
      </c>
      <c r="R5" s="3018">
        <v>22</v>
      </c>
      <c r="S5" s="3018">
        <v>23</v>
      </c>
      <c r="T5" s="3018">
        <v>23</v>
      </c>
      <c r="U5" s="4822">
        <v>24</v>
      </c>
      <c r="V5" s="3018">
        <v>25</v>
      </c>
      <c r="W5" s="3018">
        <v>25</v>
      </c>
      <c r="X5" s="3018">
        <v>26</v>
      </c>
      <c r="Y5" s="3018">
        <v>27</v>
      </c>
      <c r="Z5" s="1993">
        <v>257</v>
      </c>
      <c r="AA5" s="3018"/>
      <c r="AB5" s="1994">
        <v>0.39679999999999999</v>
      </c>
      <c r="AC5" s="1995" t="s">
        <v>2905</v>
      </c>
      <c r="AD5" s="3018" t="s">
        <v>2906</v>
      </c>
      <c r="AE5" s="1649"/>
      <c r="AF5" s="1996">
        <v>20000000</v>
      </c>
      <c r="AG5" s="1997"/>
      <c r="AH5" s="1996">
        <v>20000000</v>
      </c>
      <c r="AI5" s="1649"/>
      <c r="AJ5" s="1649">
        <v>127</v>
      </c>
      <c r="AK5" s="1649">
        <v>39</v>
      </c>
      <c r="AL5" s="1649">
        <v>88</v>
      </c>
      <c r="AM5" s="1649"/>
      <c r="AN5" s="1649"/>
      <c r="AO5" s="1649"/>
      <c r="AP5" s="1649"/>
      <c r="AQ5" s="1649"/>
      <c r="AR5" s="1649"/>
      <c r="AS5" s="1649"/>
      <c r="AT5" s="1649"/>
      <c r="AU5" s="1649"/>
      <c r="AV5" s="1649"/>
      <c r="AW5" s="1649">
        <v>3</v>
      </c>
      <c r="AX5" s="1649"/>
      <c r="AY5" s="1649"/>
      <c r="AZ5" s="1649"/>
      <c r="BA5" s="1649"/>
      <c r="BB5" s="1649"/>
      <c r="BC5" s="1649"/>
      <c r="BD5" s="1649"/>
      <c r="BE5" s="1649"/>
      <c r="BF5" s="1649"/>
      <c r="BG5" s="1649"/>
      <c r="BH5" s="1649"/>
      <c r="BI5" s="1998"/>
      <c r="BJ5" s="1649"/>
      <c r="BK5" s="1649"/>
      <c r="BL5" s="1649"/>
      <c r="BM5" s="1649"/>
      <c r="BN5" s="1649"/>
      <c r="BO5" s="1649"/>
      <c r="BP5" s="1649"/>
      <c r="BQ5" s="1649"/>
      <c r="BR5" s="1649"/>
      <c r="BS5" s="1649"/>
      <c r="BT5" s="1999">
        <v>1</v>
      </c>
      <c r="BU5" s="1648">
        <v>1</v>
      </c>
      <c r="BV5" s="1999">
        <v>1</v>
      </c>
      <c r="BW5" s="4109">
        <f t="shared" ref="BW5:BW39" si="0">BV5/BU5</f>
        <v>1</v>
      </c>
      <c r="BX5" s="16007">
        <f>AVERAGE(BW5:BW35)</f>
        <v>0.91607142857142843</v>
      </c>
      <c r="BY5" s="4823" t="s">
        <v>8916</v>
      </c>
      <c r="BZ5" s="4824" t="s">
        <v>8917</v>
      </c>
      <c r="CA5" s="4824"/>
      <c r="CB5" s="4825">
        <v>45000000</v>
      </c>
      <c r="CC5" s="4825"/>
      <c r="CD5" s="4825">
        <v>45000000</v>
      </c>
      <c r="CE5" s="4825"/>
      <c r="CF5" s="4826">
        <v>2865</v>
      </c>
      <c r="CG5" s="4827">
        <v>1040</v>
      </c>
      <c r="CH5" s="4827">
        <v>1825</v>
      </c>
      <c r="CI5" s="4827">
        <v>2865</v>
      </c>
      <c r="CJ5" s="4827"/>
      <c r="CK5" s="4827"/>
      <c r="CL5" s="4827"/>
      <c r="CM5" s="4827"/>
      <c r="CN5" s="4827"/>
      <c r="CO5" s="4827"/>
      <c r="CP5" s="4827"/>
      <c r="CQ5" s="4827"/>
      <c r="CR5" s="4827"/>
      <c r="CS5" s="4828"/>
      <c r="CT5" s="4827"/>
      <c r="CU5" s="4827"/>
      <c r="CV5" s="4827"/>
      <c r="CW5" s="4827"/>
      <c r="CX5" s="4827"/>
      <c r="CY5" s="4827"/>
      <c r="CZ5" s="4827"/>
      <c r="DA5" s="4827"/>
      <c r="DB5" s="4827"/>
      <c r="DC5" s="4827"/>
      <c r="DD5" s="4827"/>
      <c r="DE5" s="4827"/>
      <c r="DF5" s="4829"/>
      <c r="DG5" s="4829"/>
      <c r="DH5" s="4829"/>
      <c r="DI5" s="4829"/>
      <c r="DJ5" s="4829"/>
      <c r="DK5" s="4829"/>
      <c r="DL5" s="4829"/>
      <c r="DM5" s="4829"/>
      <c r="DN5" s="4829"/>
      <c r="DO5" s="4830"/>
      <c r="DQ5" s="4968"/>
      <c r="DR5" s="4969"/>
      <c r="DS5" s="4969"/>
      <c r="DT5" s="4969"/>
      <c r="DU5" s="4969"/>
      <c r="DV5" s="4969"/>
      <c r="DW5" s="4969"/>
      <c r="DX5" s="4969"/>
      <c r="DY5" s="4969"/>
      <c r="DZ5" s="4969"/>
      <c r="EA5" s="4969"/>
      <c r="EB5" s="4969"/>
      <c r="EC5" s="4969"/>
      <c r="ED5" s="4969"/>
      <c r="EE5" s="4969"/>
      <c r="EF5" s="4969"/>
      <c r="EG5" s="4969"/>
      <c r="EH5" s="4969"/>
      <c r="EI5" s="4969"/>
      <c r="EJ5" s="4969"/>
      <c r="EK5" s="4969"/>
      <c r="EL5" s="4969"/>
      <c r="EM5" s="4969"/>
      <c r="EN5" s="4969"/>
      <c r="EO5" s="4969"/>
      <c r="EP5" s="4969"/>
      <c r="EQ5" s="4969"/>
      <c r="ER5" s="4969"/>
      <c r="ES5" s="4969"/>
      <c r="ET5" s="4969"/>
      <c r="EU5" s="4969"/>
      <c r="EV5" s="4969"/>
      <c r="EW5" s="4969"/>
      <c r="EX5" s="4969"/>
      <c r="EY5" s="4969"/>
      <c r="EZ5" s="4969"/>
      <c r="FA5" s="4969"/>
      <c r="FB5" s="4969"/>
      <c r="FC5" s="4969"/>
      <c r="FD5" s="4969"/>
      <c r="FE5" s="4969"/>
      <c r="FF5" s="4969"/>
      <c r="FG5" s="4969"/>
      <c r="FH5" s="4969"/>
      <c r="FI5" s="4969"/>
      <c r="FJ5" s="4970"/>
    </row>
    <row r="6" spans="1:166" s="1846" customFormat="1" ht="15" customHeight="1">
      <c r="A6" s="15989"/>
      <c r="B6" s="15953"/>
      <c r="C6" s="15615"/>
      <c r="D6" s="4128" t="s">
        <v>7908</v>
      </c>
      <c r="E6" s="2728" t="s">
        <v>4935</v>
      </c>
      <c r="F6" s="2728" t="s">
        <v>649</v>
      </c>
      <c r="G6" s="2728" t="s">
        <v>650</v>
      </c>
      <c r="H6" s="4609">
        <v>1</v>
      </c>
      <c r="I6" s="4609">
        <v>1</v>
      </c>
      <c r="J6" s="4609">
        <v>1</v>
      </c>
      <c r="K6" s="2728" t="s">
        <v>651</v>
      </c>
      <c r="L6" s="2728" t="s">
        <v>2896</v>
      </c>
      <c r="M6" s="2728" t="s">
        <v>167</v>
      </c>
      <c r="N6" s="2728"/>
      <c r="O6" s="3183">
        <v>40</v>
      </c>
      <c r="P6" s="3183">
        <v>41</v>
      </c>
      <c r="Q6" s="3183">
        <v>42</v>
      </c>
      <c r="R6" s="3183">
        <v>44</v>
      </c>
      <c r="S6" s="3183">
        <v>45</v>
      </c>
      <c r="T6" s="3183">
        <v>46</v>
      </c>
      <c r="U6" s="4686">
        <v>48</v>
      </c>
      <c r="V6" s="3183">
        <v>49</v>
      </c>
      <c r="W6" s="3183">
        <v>51</v>
      </c>
      <c r="X6" s="3183">
        <v>52</v>
      </c>
      <c r="Y6" s="3183">
        <v>54</v>
      </c>
      <c r="Z6" s="4610">
        <v>512</v>
      </c>
      <c r="AA6" s="3183"/>
      <c r="AB6" s="4492">
        <v>0.86</v>
      </c>
      <c r="AC6" s="4611" t="s">
        <v>2907</v>
      </c>
      <c r="AD6" s="3183" t="s">
        <v>2908</v>
      </c>
      <c r="AE6" s="4612"/>
      <c r="AF6" s="4689">
        <v>1284646421</v>
      </c>
      <c r="AG6" s="3200"/>
      <c r="AH6" s="4690">
        <v>1284646421</v>
      </c>
      <c r="AI6" s="4612"/>
      <c r="AJ6" s="4612">
        <v>86</v>
      </c>
      <c r="AK6" s="4612">
        <v>17</v>
      </c>
      <c r="AL6" s="4612">
        <v>69</v>
      </c>
      <c r="AM6" s="4612"/>
      <c r="AN6" s="4612"/>
      <c r="AO6" s="4612"/>
      <c r="AP6" s="4612"/>
      <c r="AQ6" s="4612"/>
      <c r="AR6" s="4612"/>
      <c r="AS6" s="4612"/>
      <c r="AT6" s="4612"/>
      <c r="AU6" s="4612"/>
      <c r="AV6" s="4612"/>
      <c r="AW6" s="4612">
        <v>5</v>
      </c>
      <c r="AX6" s="4612"/>
      <c r="AY6" s="4612"/>
      <c r="AZ6" s="4612"/>
      <c r="BA6" s="4612"/>
      <c r="BB6" s="4612"/>
      <c r="BC6" s="4612"/>
      <c r="BD6" s="4612"/>
      <c r="BE6" s="4612"/>
      <c r="BF6" s="4612"/>
      <c r="BG6" s="4612"/>
      <c r="BH6" s="4612"/>
      <c r="BI6" s="4614"/>
      <c r="BJ6" s="4612"/>
      <c r="BK6" s="4612"/>
      <c r="BL6" s="4612"/>
      <c r="BM6" s="4612"/>
      <c r="BN6" s="4612"/>
      <c r="BO6" s="4612"/>
      <c r="BP6" s="4612"/>
      <c r="BQ6" s="4612"/>
      <c r="BR6" s="4612"/>
      <c r="BS6" s="4612"/>
      <c r="BT6" s="2728">
        <v>93</v>
      </c>
      <c r="BU6" s="4612">
        <v>93</v>
      </c>
      <c r="BV6" s="4612">
        <v>93</v>
      </c>
      <c r="BW6" s="3192">
        <f t="shared" si="0"/>
        <v>1</v>
      </c>
      <c r="BX6" s="16008"/>
      <c r="BY6" s="4691" t="s">
        <v>8918</v>
      </c>
      <c r="BZ6" s="4691" t="s">
        <v>8919</v>
      </c>
      <c r="CA6" s="3183"/>
      <c r="CB6" s="4688">
        <v>2308593603</v>
      </c>
      <c r="CC6" s="4692"/>
      <c r="CD6" s="4688">
        <v>2308593603</v>
      </c>
      <c r="CE6" s="4692"/>
      <c r="CF6" s="3195"/>
      <c r="CG6" s="3195"/>
      <c r="CH6" s="3195"/>
      <c r="CI6" s="3195"/>
      <c r="CJ6" s="3195"/>
      <c r="CK6" s="3195"/>
      <c r="CL6" s="3195"/>
      <c r="CM6" s="3195"/>
      <c r="CN6" s="3195"/>
      <c r="CO6" s="3195"/>
      <c r="CP6" s="3195"/>
      <c r="CQ6" s="3195"/>
      <c r="CR6" s="3195"/>
      <c r="CS6" s="3197"/>
      <c r="CT6" s="3195"/>
      <c r="CU6" s="3195"/>
      <c r="CV6" s="3195"/>
      <c r="CW6" s="3195"/>
      <c r="CX6" s="3195"/>
      <c r="CY6" s="3195"/>
      <c r="CZ6" s="3195"/>
      <c r="DA6" s="3195"/>
      <c r="DB6" s="3195"/>
      <c r="DC6" s="3195"/>
      <c r="DD6" s="3195"/>
      <c r="DE6" s="3195"/>
      <c r="DF6" s="3195"/>
      <c r="DG6" s="3195"/>
      <c r="DH6" s="3195"/>
      <c r="DI6" s="3195"/>
      <c r="DJ6" s="3195"/>
      <c r="DK6" s="3195"/>
      <c r="DL6" s="3195"/>
      <c r="DM6" s="3195"/>
      <c r="DN6" s="3195"/>
      <c r="DO6" s="4831"/>
      <c r="DQ6" s="3476"/>
      <c r="DR6" s="3193"/>
      <c r="DS6" s="3193"/>
      <c r="DT6" s="3193"/>
      <c r="DU6" s="3193"/>
      <c r="DV6" s="3193"/>
      <c r="DW6" s="3193"/>
      <c r="DX6" s="3193"/>
      <c r="DY6" s="3193"/>
      <c r="DZ6" s="3193"/>
      <c r="EA6" s="3193"/>
      <c r="EB6" s="3193"/>
      <c r="EC6" s="3193"/>
      <c r="ED6" s="3193"/>
      <c r="EE6" s="3193"/>
      <c r="EF6" s="3193"/>
      <c r="EG6" s="3193"/>
      <c r="EH6" s="3193"/>
      <c r="EI6" s="3193"/>
      <c r="EJ6" s="3193"/>
      <c r="EK6" s="3193"/>
      <c r="EL6" s="3193"/>
      <c r="EM6" s="3193"/>
      <c r="EN6" s="3193"/>
      <c r="EO6" s="3193"/>
      <c r="EP6" s="3193"/>
      <c r="EQ6" s="3193"/>
      <c r="ER6" s="3193"/>
      <c r="ES6" s="3193"/>
      <c r="ET6" s="3193"/>
      <c r="EU6" s="3193"/>
      <c r="EV6" s="3193"/>
      <c r="EW6" s="3193"/>
      <c r="EX6" s="3193"/>
      <c r="EY6" s="3193"/>
      <c r="EZ6" s="3193"/>
      <c r="FA6" s="3193"/>
      <c r="FB6" s="3193"/>
      <c r="FC6" s="3193"/>
      <c r="FD6" s="3193"/>
      <c r="FE6" s="3193"/>
      <c r="FF6" s="3193"/>
      <c r="FG6" s="3193"/>
      <c r="FH6" s="3193"/>
      <c r="FI6" s="3193"/>
      <c r="FJ6" s="3477"/>
    </row>
    <row r="7" spans="1:166" s="1846" customFormat="1" ht="15" customHeight="1">
      <c r="A7" s="15989"/>
      <c r="B7" s="15953"/>
      <c r="C7" s="15615"/>
      <c r="D7" s="4128" t="s">
        <v>7909</v>
      </c>
      <c r="E7" s="2728" t="s">
        <v>4936</v>
      </c>
      <c r="F7" s="2728" t="s">
        <v>652</v>
      </c>
      <c r="G7" s="2728" t="s">
        <v>542</v>
      </c>
      <c r="H7" s="2728">
        <v>1</v>
      </c>
      <c r="I7" s="2728">
        <v>4</v>
      </c>
      <c r="J7" s="2728">
        <v>10</v>
      </c>
      <c r="K7" s="2728" t="s">
        <v>653</v>
      </c>
      <c r="L7" s="2728" t="s">
        <v>2896</v>
      </c>
      <c r="M7" s="2728" t="s">
        <v>167</v>
      </c>
      <c r="N7" s="2728"/>
      <c r="O7" s="3183">
        <v>60</v>
      </c>
      <c r="P7" s="3183">
        <v>62</v>
      </c>
      <c r="Q7" s="3183">
        <v>64</v>
      </c>
      <c r="R7" s="3183">
        <v>66</v>
      </c>
      <c r="S7" s="3183">
        <v>68</v>
      </c>
      <c r="T7" s="3183">
        <v>70</v>
      </c>
      <c r="U7" s="4686">
        <v>72</v>
      </c>
      <c r="V7" s="3183">
        <v>74</v>
      </c>
      <c r="W7" s="3183">
        <v>76</v>
      </c>
      <c r="X7" s="3183">
        <v>78</v>
      </c>
      <c r="Y7" s="3183">
        <v>81</v>
      </c>
      <c r="Z7" s="4610">
        <v>771</v>
      </c>
      <c r="AA7" s="3183"/>
      <c r="AB7" s="3184">
        <v>1</v>
      </c>
      <c r="AC7" s="4611" t="s">
        <v>2909</v>
      </c>
      <c r="AD7" s="3183" t="s">
        <v>2910</v>
      </c>
      <c r="AE7" s="4612"/>
      <c r="AF7" s="4613" t="s">
        <v>2911</v>
      </c>
      <c r="AG7" s="3200"/>
      <c r="AH7" s="4615">
        <v>10000000</v>
      </c>
      <c r="AI7" s="4612"/>
      <c r="AJ7" s="4612">
        <v>400</v>
      </c>
      <c r="AK7" s="4612">
        <v>280</v>
      </c>
      <c r="AL7" s="4612">
        <v>120</v>
      </c>
      <c r="AM7" s="4612"/>
      <c r="AN7" s="4612"/>
      <c r="AO7" s="4612"/>
      <c r="AP7" s="4612"/>
      <c r="AQ7" s="4612"/>
      <c r="AR7" s="4612"/>
      <c r="AS7" s="4612"/>
      <c r="AT7" s="4612"/>
      <c r="AU7" s="4612"/>
      <c r="AV7" s="4612"/>
      <c r="AW7" s="4612">
        <v>40</v>
      </c>
      <c r="AX7" s="4612"/>
      <c r="AY7" s="4612"/>
      <c r="AZ7" s="4612"/>
      <c r="BA7" s="4612"/>
      <c r="BB7" s="4612"/>
      <c r="BC7" s="4612"/>
      <c r="BD7" s="4612"/>
      <c r="BE7" s="4612"/>
      <c r="BF7" s="4612"/>
      <c r="BG7" s="4612"/>
      <c r="BH7" s="4612"/>
      <c r="BI7" s="4614"/>
      <c r="BJ7" s="4612"/>
      <c r="BK7" s="4612"/>
      <c r="BL7" s="4612"/>
      <c r="BM7" s="4612"/>
      <c r="BN7" s="4612"/>
      <c r="BO7" s="4612"/>
      <c r="BP7" s="4612"/>
      <c r="BQ7" s="4612"/>
      <c r="BR7" s="4612"/>
      <c r="BS7" s="4612"/>
      <c r="BT7" s="2728">
        <v>12</v>
      </c>
      <c r="BU7" s="4612">
        <v>12</v>
      </c>
      <c r="BV7" s="2728">
        <v>12</v>
      </c>
      <c r="BW7" s="3192">
        <f t="shared" si="0"/>
        <v>1</v>
      </c>
      <c r="BX7" s="16008"/>
      <c r="BY7" s="4687" t="s">
        <v>8920</v>
      </c>
      <c r="BZ7" s="4687" t="s">
        <v>8921</v>
      </c>
      <c r="CA7" s="3183"/>
      <c r="CB7" s="4688">
        <v>15000000</v>
      </c>
      <c r="CC7" s="4692"/>
      <c r="CD7" s="4688">
        <v>15000000</v>
      </c>
      <c r="CE7" s="4692"/>
      <c r="CF7" s="4693">
        <v>211</v>
      </c>
      <c r="CG7" s="4694">
        <v>68</v>
      </c>
      <c r="CH7" s="4694">
        <v>143</v>
      </c>
      <c r="CI7" s="3195"/>
      <c r="CJ7" s="3195"/>
      <c r="CK7" s="3195"/>
      <c r="CL7" s="3195"/>
      <c r="CM7" s="3195"/>
      <c r="CN7" s="3195"/>
      <c r="CO7" s="3195"/>
      <c r="CP7" s="3195"/>
      <c r="CQ7" s="3195"/>
      <c r="CR7" s="3195"/>
      <c r="CS7" s="3197"/>
      <c r="CT7" s="3195"/>
      <c r="CU7" s="3195"/>
      <c r="CV7" s="3195"/>
      <c r="CW7" s="3195"/>
      <c r="CX7" s="3195"/>
      <c r="CY7" s="3195"/>
      <c r="CZ7" s="3195"/>
      <c r="DA7" s="3195"/>
      <c r="DB7" s="3195"/>
      <c r="DC7" s="3195"/>
      <c r="DD7" s="3195"/>
      <c r="DE7" s="3195"/>
      <c r="DF7" s="3195"/>
      <c r="DG7" s="3195"/>
      <c r="DH7" s="3195"/>
      <c r="DI7" s="3195"/>
      <c r="DJ7" s="3195"/>
      <c r="DK7" s="3195"/>
      <c r="DL7" s="3195"/>
      <c r="DM7" s="3195"/>
      <c r="DN7" s="3195"/>
      <c r="DO7" s="4831"/>
      <c r="DQ7" s="3476"/>
      <c r="DR7" s="3193"/>
      <c r="DS7" s="3193"/>
      <c r="DT7" s="3193"/>
      <c r="DU7" s="3193"/>
      <c r="DV7" s="3193"/>
      <c r="DW7" s="3193"/>
      <c r="DX7" s="3193"/>
      <c r="DY7" s="3193"/>
      <c r="DZ7" s="3193"/>
      <c r="EA7" s="3193"/>
      <c r="EB7" s="3193"/>
      <c r="EC7" s="3193"/>
      <c r="ED7" s="3193"/>
      <c r="EE7" s="3193"/>
      <c r="EF7" s="3193"/>
      <c r="EG7" s="3193"/>
      <c r="EH7" s="3193"/>
      <c r="EI7" s="3193"/>
      <c r="EJ7" s="3193"/>
      <c r="EK7" s="3193"/>
      <c r="EL7" s="3193"/>
      <c r="EM7" s="3193"/>
      <c r="EN7" s="3193"/>
      <c r="EO7" s="3193"/>
      <c r="EP7" s="3193"/>
      <c r="EQ7" s="3193"/>
      <c r="ER7" s="3193"/>
      <c r="ES7" s="3193"/>
      <c r="ET7" s="3193"/>
      <c r="EU7" s="3193"/>
      <c r="EV7" s="3193"/>
      <c r="EW7" s="3193"/>
      <c r="EX7" s="3193"/>
      <c r="EY7" s="3193"/>
      <c r="EZ7" s="3193"/>
      <c r="FA7" s="3193"/>
      <c r="FB7" s="3193"/>
      <c r="FC7" s="3193"/>
      <c r="FD7" s="3193"/>
      <c r="FE7" s="3193"/>
      <c r="FF7" s="3193"/>
      <c r="FG7" s="3193"/>
      <c r="FH7" s="3193"/>
      <c r="FI7" s="3193"/>
      <c r="FJ7" s="3477"/>
    </row>
    <row r="8" spans="1:166" s="1846" customFormat="1" ht="15" customHeight="1">
      <c r="A8" s="15989"/>
      <c r="B8" s="15953"/>
      <c r="C8" s="15953" t="s">
        <v>654</v>
      </c>
      <c r="D8" s="4128" t="s">
        <v>7910</v>
      </c>
      <c r="E8" s="2728" t="s">
        <v>4937</v>
      </c>
      <c r="F8" s="2728" t="s">
        <v>655</v>
      </c>
      <c r="G8" s="2728" t="s">
        <v>656</v>
      </c>
      <c r="H8" s="2728">
        <v>3</v>
      </c>
      <c r="I8" s="2728">
        <v>6</v>
      </c>
      <c r="J8" s="2728">
        <v>10</v>
      </c>
      <c r="K8" s="2728" t="s">
        <v>657</v>
      </c>
      <c r="L8" s="2728" t="s">
        <v>2896</v>
      </c>
      <c r="M8" s="2728" t="s">
        <v>167</v>
      </c>
      <c r="N8" s="2728"/>
      <c r="O8" s="3183">
        <v>30</v>
      </c>
      <c r="P8" s="3183">
        <v>31</v>
      </c>
      <c r="Q8" s="3183">
        <v>32</v>
      </c>
      <c r="R8" s="3183">
        <v>33</v>
      </c>
      <c r="S8" s="3183">
        <v>34</v>
      </c>
      <c r="T8" s="3183">
        <v>35</v>
      </c>
      <c r="U8" s="4686">
        <v>36</v>
      </c>
      <c r="V8" s="3183">
        <v>37</v>
      </c>
      <c r="W8" s="3183">
        <v>38</v>
      </c>
      <c r="X8" s="3183">
        <v>39</v>
      </c>
      <c r="Y8" s="3183">
        <v>40</v>
      </c>
      <c r="Z8" s="4610">
        <v>385</v>
      </c>
      <c r="AA8" s="3183"/>
      <c r="AB8" s="2723">
        <v>1</v>
      </c>
      <c r="AC8" s="4611" t="s">
        <v>2912</v>
      </c>
      <c r="AD8" s="3183" t="s">
        <v>2913</v>
      </c>
      <c r="AE8" s="4616" t="s">
        <v>2914</v>
      </c>
      <c r="AF8" s="4695">
        <v>399000000</v>
      </c>
      <c r="AG8" s="4695">
        <v>399000000</v>
      </c>
      <c r="AH8" s="3193"/>
      <c r="AI8" s="4612"/>
      <c r="AJ8" s="4612">
        <v>738</v>
      </c>
      <c r="AK8" s="4612">
        <v>440</v>
      </c>
      <c r="AL8" s="4612">
        <v>298</v>
      </c>
      <c r="AM8" s="4612">
        <v>527</v>
      </c>
      <c r="AN8" s="4612">
        <v>211</v>
      </c>
      <c r="AO8" s="4612"/>
      <c r="AP8" s="4612"/>
      <c r="AQ8" s="4612"/>
      <c r="AR8" s="4612"/>
      <c r="AS8" s="4612"/>
      <c r="AT8" s="4612"/>
      <c r="AU8" s="4612"/>
      <c r="AV8" s="4612"/>
      <c r="AW8" s="4612">
        <v>738</v>
      </c>
      <c r="AX8" s="4612">
        <v>47</v>
      </c>
      <c r="AY8" s="4612"/>
      <c r="AZ8" s="4612"/>
      <c r="BA8" s="4612"/>
      <c r="BB8" s="4612"/>
      <c r="BC8" s="4612"/>
      <c r="BD8" s="4612"/>
      <c r="BE8" s="4612">
        <v>41</v>
      </c>
      <c r="BF8" s="4612">
        <v>12</v>
      </c>
      <c r="BG8" s="4612"/>
      <c r="BH8" s="4612"/>
      <c r="BI8" s="4614"/>
      <c r="BJ8" s="4612"/>
      <c r="BK8" s="4612"/>
      <c r="BL8" s="4612"/>
      <c r="BM8" s="4612"/>
      <c r="BN8" s="4612"/>
      <c r="BO8" s="4612"/>
      <c r="BP8" s="4612"/>
      <c r="BQ8" s="4612"/>
      <c r="BR8" s="4612"/>
      <c r="BS8" s="4612"/>
      <c r="BT8" s="2728">
        <v>9</v>
      </c>
      <c r="BU8" s="3183">
        <v>9</v>
      </c>
      <c r="BV8" s="2728">
        <v>9</v>
      </c>
      <c r="BW8" s="3192">
        <f t="shared" si="0"/>
        <v>1</v>
      </c>
      <c r="BX8" s="16008"/>
      <c r="BY8" s="4696" t="s">
        <v>8922</v>
      </c>
      <c r="BZ8" s="4687" t="s">
        <v>8923</v>
      </c>
      <c r="CA8" s="3183"/>
      <c r="CB8" s="4697">
        <v>38940000</v>
      </c>
      <c r="CC8" s="4692"/>
      <c r="CD8" s="4688">
        <v>38940000</v>
      </c>
      <c r="CE8" s="4692"/>
      <c r="CF8" s="3195"/>
      <c r="CG8" s="3195"/>
      <c r="CH8" s="3195"/>
      <c r="CI8" s="3195"/>
      <c r="CJ8" s="3195"/>
      <c r="CK8" s="3195"/>
      <c r="CL8" s="3195"/>
      <c r="CM8" s="3195"/>
      <c r="CN8" s="3195"/>
      <c r="CO8" s="3195"/>
      <c r="CP8" s="3195"/>
      <c r="CQ8" s="3195"/>
      <c r="CR8" s="3195"/>
      <c r="CS8" s="3197"/>
      <c r="CT8" s="3195"/>
      <c r="CU8" s="3195"/>
      <c r="CV8" s="3195"/>
      <c r="CW8" s="3195"/>
      <c r="CX8" s="3195"/>
      <c r="CY8" s="3195"/>
      <c r="CZ8" s="3195"/>
      <c r="DA8" s="3195"/>
      <c r="DB8" s="3195"/>
      <c r="DC8" s="3195"/>
      <c r="DD8" s="3195"/>
      <c r="DE8" s="3195"/>
      <c r="DF8" s="3195"/>
      <c r="DG8" s="3195"/>
      <c r="DH8" s="3195"/>
      <c r="DI8" s="3195"/>
      <c r="DJ8" s="3195"/>
      <c r="DK8" s="3195"/>
      <c r="DL8" s="3195"/>
      <c r="DM8" s="3195"/>
      <c r="DN8" s="3195"/>
      <c r="DO8" s="4831"/>
      <c r="DQ8" s="3476"/>
      <c r="DR8" s="3193"/>
      <c r="DS8" s="3193"/>
      <c r="DT8" s="3193"/>
      <c r="DU8" s="3193"/>
      <c r="DV8" s="3193"/>
      <c r="DW8" s="3193"/>
      <c r="DX8" s="3193"/>
      <c r="DY8" s="3193"/>
      <c r="DZ8" s="3193"/>
      <c r="EA8" s="3193"/>
      <c r="EB8" s="3193"/>
      <c r="EC8" s="3193"/>
      <c r="ED8" s="3193"/>
      <c r="EE8" s="3193"/>
      <c r="EF8" s="3193"/>
      <c r="EG8" s="3193"/>
      <c r="EH8" s="3193"/>
      <c r="EI8" s="3193"/>
      <c r="EJ8" s="3193"/>
      <c r="EK8" s="3193"/>
      <c r="EL8" s="3193"/>
      <c r="EM8" s="3193"/>
      <c r="EN8" s="3193"/>
      <c r="EO8" s="3193"/>
      <c r="EP8" s="3193"/>
      <c r="EQ8" s="3193"/>
      <c r="ER8" s="3193"/>
      <c r="ES8" s="3193"/>
      <c r="ET8" s="3193"/>
      <c r="EU8" s="3193"/>
      <c r="EV8" s="3193"/>
      <c r="EW8" s="3193"/>
      <c r="EX8" s="3193"/>
      <c r="EY8" s="3193"/>
      <c r="EZ8" s="3193"/>
      <c r="FA8" s="3193"/>
      <c r="FB8" s="3193"/>
      <c r="FC8" s="3193"/>
      <c r="FD8" s="3193"/>
      <c r="FE8" s="3193"/>
      <c r="FF8" s="3193"/>
      <c r="FG8" s="3193"/>
      <c r="FH8" s="3193"/>
      <c r="FI8" s="3193"/>
      <c r="FJ8" s="3477"/>
    </row>
    <row r="9" spans="1:166" s="1846" customFormat="1" ht="15" customHeight="1">
      <c r="A9" s="15989"/>
      <c r="B9" s="15953"/>
      <c r="C9" s="15953"/>
      <c r="D9" s="4128" t="s">
        <v>7911</v>
      </c>
      <c r="E9" s="2728" t="s">
        <v>4938</v>
      </c>
      <c r="F9" s="2728" t="s">
        <v>658</v>
      </c>
      <c r="G9" s="2728" t="s">
        <v>659</v>
      </c>
      <c r="H9" s="4609">
        <v>0.2</v>
      </c>
      <c r="I9" s="4609">
        <v>0.4</v>
      </c>
      <c r="J9" s="4609">
        <v>0.8</v>
      </c>
      <c r="K9" s="2728" t="s">
        <v>660</v>
      </c>
      <c r="L9" s="2728" t="s">
        <v>2896</v>
      </c>
      <c r="M9" s="2728" t="s">
        <v>167</v>
      </c>
      <c r="N9" s="2728"/>
      <c r="O9" s="3183">
        <v>25</v>
      </c>
      <c r="P9" s="3183">
        <v>26</v>
      </c>
      <c r="Q9" s="3183">
        <v>27</v>
      </c>
      <c r="R9" s="3183">
        <v>27</v>
      </c>
      <c r="S9" s="3183">
        <v>28</v>
      </c>
      <c r="T9" s="3183">
        <v>29</v>
      </c>
      <c r="U9" s="4686">
        <v>30</v>
      </c>
      <c r="V9" s="3183">
        <v>31</v>
      </c>
      <c r="W9" s="3183">
        <v>32</v>
      </c>
      <c r="X9" s="3183">
        <v>33</v>
      </c>
      <c r="Y9" s="3183">
        <v>34</v>
      </c>
      <c r="Z9" s="4610">
        <v>322</v>
      </c>
      <c r="AA9" s="3183"/>
      <c r="AB9" s="2723">
        <v>0.8</v>
      </c>
      <c r="AC9" s="4611" t="s">
        <v>9906</v>
      </c>
      <c r="AD9" s="3183" t="s">
        <v>2915</v>
      </c>
      <c r="AE9" s="4616" t="s">
        <v>2914</v>
      </c>
      <c r="AF9" s="4613"/>
      <c r="AG9" s="3200"/>
      <c r="AH9" s="3200"/>
      <c r="AI9" s="4612"/>
      <c r="AJ9" s="4612">
        <v>479</v>
      </c>
      <c r="AK9" s="4612">
        <v>294</v>
      </c>
      <c r="AL9" s="4612">
        <v>185</v>
      </c>
      <c r="AM9" s="4612">
        <v>479</v>
      </c>
      <c r="AN9" s="4612"/>
      <c r="AO9" s="4612">
        <v>5</v>
      </c>
      <c r="AP9" s="4612">
        <v>207</v>
      </c>
      <c r="AQ9" s="4612">
        <v>198</v>
      </c>
      <c r="AR9" s="4612">
        <v>61</v>
      </c>
      <c r="AS9" s="4612">
        <v>8</v>
      </c>
      <c r="AT9" s="4612"/>
      <c r="AU9" s="4612"/>
      <c r="AV9" s="4612"/>
      <c r="AW9" s="4612">
        <v>479</v>
      </c>
      <c r="AX9" s="4612">
        <v>16</v>
      </c>
      <c r="AY9" s="4612"/>
      <c r="AZ9" s="4612"/>
      <c r="BA9" s="4612"/>
      <c r="BB9" s="4612"/>
      <c r="BC9" s="4612"/>
      <c r="BD9" s="4612"/>
      <c r="BE9" s="4612">
        <v>14</v>
      </c>
      <c r="BF9" s="4612">
        <v>18</v>
      </c>
      <c r="BG9" s="4612"/>
      <c r="BH9" s="4612"/>
      <c r="BI9" s="4614"/>
      <c r="BJ9" s="4612"/>
      <c r="BK9" s="4612"/>
      <c r="BL9" s="4612"/>
      <c r="BM9" s="4612"/>
      <c r="BN9" s="4612"/>
      <c r="BO9" s="4612"/>
      <c r="BP9" s="4612"/>
      <c r="BQ9" s="4612"/>
      <c r="BR9" s="4612"/>
      <c r="BS9" s="4612"/>
      <c r="BT9" s="4609">
        <v>1</v>
      </c>
      <c r="BU9" s="2723">
        <v>1</v>
      </c>
      <c r="BV9" s="4609">
        <v>1</v>
      </c>
      <c r="BW9" s="3192">
        <f t="shared" si="0"/>
        <v>1</v>
      </c>
      <c r="BX9" s="16008"/>
      <c r="BY9" s="4698" t="s">
        <v>8924</v>
      </c>
      <c r="BZ9" s="4691" t="s">
        <v>8925</v>
      </c>
      <c r="CA9" s="3183"/>
      <c r="CB9" s="4688">
        <v>319490000</v>
      </c>
      <c r="CC9" s="4692"/>
      <c r="CD9" s="4688">
        <v>319490000</v>
      </c>
      <c r="CE9" s="4692"/>
      <c r="CF9" s="3195"/>
      <c r="CG9" s="3195"/>
      <c r="CH9" s="3195"/>
      <c r="CI9" s="3195"/>
      <c r="CJ9" s="3195"/>
      <c r="CK9" s="3195"/>
      <c r="CL9" s="3195"/>
      <c r="CM9" s="3195"/>
      <c r="CN9" s="3195"/>
      <c r="CO9" s="3195"/>
      <c r="CP9" s="3195"/>
      <c r="CQ9" s="3195"/>
      <c r="CR9" s="3195"/>
      <c r="CS9" s="3197"/>
      <c r="CT9" s="3195"/>
      <c r="CU9" s="3195"/>
      <c r="CV9" s="3195"/>
      <c r="CW9" s="3195"/>
      <c r="CX9" s="3195"/>
      <c r="CY9" s="3195"/>
      <c r="CZ9" s="3195"/>
      <c r="DA9" s="3195"/>
      <c r="DB9" s="3195"/>
      <c r="DC9" s="3195"/>
      <c r="DD9" s="3195"/>
      <c r="DE9" s="3195"/>
      <c r="DF9" s="3195"/>
      <c r="DG9" s="3195"/>
      <c r="DH9" s="3195"/>
      <c r="DI9" s="3195"/>
      <c r="DJ9" s="3195"/>
      <c r="DK9" s="3195"/>
      <c r="DL9" s="3195"/>
      <c r="DM9" s="3195"/>
      <c r="DN9" s="3195"/>
      <c r="DO9" s="4831"/>
      <c r="DQ9" s="3476"/>
      <c r="DR9" s="3193"/>
      <c r="DS9" s="3193"/>
      <c r="DT9" s="3193"/>
      <c r="DU9" s="3193"/>
      <c r="DV9" s="3193"/>
      <c r="DW9" s="3193"/>
      <c r="DX9" s="3193"/>
      <c r="DY9" s="3193"/>
      <c r="DZ9" s="3193"/>
      <c r="EA9" s="3193"/>
      <c r="EB9" s="3193"/>
      <c r="EC9" s="3193"/>
      <c r="ED9" s="3193"/>
      <c r="EE9" s="3193"/>
      <c r="EF9" s="3193"/>
      <c r="EG9" s="3193"/>
      <c r="EH9" s="3193"/>
      <c r="EI9" s="3193"/>
      <c r="EJ9" s="3193"/>
      <c r="EK9" s="3193"/>
      <c r="EL9" s="3193"/>
      <c r="EM9" s="3193"/>
      <c r="EN9" s="3193"/>
      <c r="EO9" s="3193"/>
      <c r="EP9" s="3193"/>
      <c r="EQ9" s="3193"/>
      <c r="ER9" s="3193"/>
      <c r="ES9" s="3193"/>
      <c r="ET9" s="3193"/>
      <c r="EU9" s="3193"/>
      <c r="EV9" s="3193"/>
      <c r="EW9" s="3193"/>
      <c r="EX9" s="3193"/>
      <c r="EY9" s="3193"/>
      <c r="EZ9" s="3193"/>
      <c r="FA9" s="3193"/>
      <c r="FB9" s="3193"/>
      <c r="FC9" s="3193"/>
      <c r="FD9" s="3193"/>
      <c r="FE9" s="3193"/>
      <c r="FF9" s="3193"/>
      <c r="FG9" s="3193"/>
      <c r="FH9" s="3193"/>
      <c r="FI9" s="3193"/>
      <c r="FJ9" s="3477"/>
    </row>
    <row r="10" spans="1:166" s="1846" customFormat="1" ht="15" customHeight="1">
      <c r="A10" s="15989"/>
      <c r="B10" s="15953"/>
      <c r="C10" s="15953"/>
      <c r="D10" s="15615" t="s">
        <v>7912</v>
      </c>
      <c r="E10" s="15931" t="s">
        <v>4939</v>
      </c>
      <c r="F10" s="15931" t="s">
        <v>661</v>
      </c>
      <c r="G10" s="15931" t="s">
        <v>542</v>
      </c>
      <c r="H10" s="15932">
        <v>0.05</v>
      </c>
      <c r="I10" s="15932">
        <v>0.5</v>
      </c>
      <c r="J10" s="15932">
        <v>1</v>
      </c>
      <c r="K10" s="15931" t="s">
        <v>662</v>
      </c>
      <c r="L10" s="2728" t="s">
        <v>2896</v>
      </c>
      <c r="M10" s="2728" t="s">
        <v>167</v>
      </c>
      <c r="N10" s="2728"/>
      <c r="O10" s="3183">
        <v>30</v>
      </c>
      <c r="P10" s="3183">
        <v>31</v>
      </c>
      <c r="Q10" s="3183">
        <v>32</v>
      </c>
      <c r="R10" s="3183">
        <v>33</v>
      </c>
      <c r="S10" s="3183">
        <v>34</v>
      </c>
      <c r="T10" s="3183">
        <v>35</v>
      </c>
      <c r="U10" s="4686">
        <v>36</v>
      </c>
      <c r="V10" s="3183">
        <v>37</v>
      </c>
      <c r="W10" s="3183">
        <v>38</v>
      </c>
      <c r="X10" s="3183">
        <v>39</v>
      </c>
      <c r="Y10" s="3183">
        <v>40</v>
      </c>
      <c r="Z10" s="4610">
        <v>385</v>
      </c>
      <c r="AA10" s="3183"/>
      <c r="AB10" s="2723" t="s">
        <v>2916</v>
      </c>
      <c r="AC10" s="4611" t="s">
        <v>2917</v>
      </c>
      <c r="AD10" s="3183" t="s">
        <v>2918</v>
      </c>
      <c r="AE10" s="4612"/>
      <c r="AF10" s="4613" t="s">
        <v>2919</v>
      </c>
      <c r="AG10" s="3200"/>
      <c r="AH10" s="3200" t="s">
        <v>2919</v>
      </c>
      <c r="AI10" s="4612"/>
      <c r="AJ10" s="4612">
        <v>694</v>
      </c>
      <c r="AK10" s="4612">
        <v>401</v>
      </c>
      <c r="AL10" s="3183">
        <v>293</v>
      </c>
      <c r="AM10" s="3183">
        <v>649</v>
      </c>
      <c r="AN10" s="3183">
        <v>45</v>
      </c>
      <c r="AO10" s="3183">
        <v>2</v>
      </c>
      <c r="AP10" s="3183">
        <v>171</v>
      </c>
      <c r="AQ10" s="3183">
        <v>462</v>
      </c>
      <c r="AR10" s="3183">
        <v>58</v>
      </c>
      <c r="AS10" s="3183">
        <v>1</v>
      </c>
      <c r="AT10" s="4612"/>
      <c r="AU10" s="4612"/>
      <c r="AV10" s="4612"/>
      <c r="AW10" s="4612"/>
      <c r="AX10" s="4612"/>
      <c r="AY10" s="4612"/>
      <c r="AZ10" s="4612"/>
      <c r="BA10" s="4612"/>
      <c r="BB10" s="4612"/>
      <c r="BC10" s="4612"/>
      <c r="BD10" s="4612"/>
      <c r="BE10" s="4612">
        <v>37</v>
      </c>
      <c r="BF10" s="4612">
        <v>17</v>
      </c>
      <c r="BG10" s="4612"/>
      <c r="BH10" s="4612"/>
      <c r="BI10" s="4614"/>
      <c r="BJ10" s="4612"/>
      <c r="BK10" s="4612"/>
      <c r="BL10" s="4612"/>
      <c r="BM10" s="4612"/>
      <c r="BN10" s="4612"/>
      <c r="BO10" s="4612"/>
      <c r="BP10" s="4612"/>
      <c r="BQ10" s="4612"/>
      <c r="BR10" s="4612"/>
      <c r="BS10" s="4612"/>
      <c r="BT10" s="4609">
        <v>0.9</v>
      </c>
      <c r="BU10" s="2723">
        <v>0.9</v>
      </c>
      <c r="BV10" s="4609">
        <v>0.9</v>
      </c>
      <c r="BW10" s="3192">
        <f t="shared" si="0"/>
        <v>1</v>
      </c>
      <c r="BX10" s="16008"/>
      <c r="BY10" s="4687" t="s">
        <v>8926</v>
      </c>
      <c r="BZ10" s="4687" t="s">
        <v>8927</v>
      </c>
      <c r="CA10" s="3183"/>
      <c r="CB10" s="4688">
        <v>8000000</v>
      </c>
      <c r="CC10" s="4692"/>
      <c r="CD10" s="4688">
        <v>8000000</v>
      </c>
      <c r="CE10" s="4692"/>
      <c r="CF10" s="4699">
        <v>72</v>
      </c>
      <c r="CG10" s="3195"/>
      <c r="CH10" s="3195"/>
      <c r="CI10" s="3195"/>
      <c r="CJ10" s="3195"/>
      <c r="CK10" s="3195"/>
      <c r="CL10" s="3195"/>
      <c r="CM10" s="3195"/>
      <c r="CN10" s="3195"/>
      <c r="CO10" s="3195"/>
      <c r="CP10" s="3195"/>
      <c r="CQ10" s="3195"/>
      <c r="CR10" s="3195"/>
      <c r="CS10" s="3197">
        <v>72</v>
      </c>
      <c r="CT10" s="3195"/>
      <c r="CU10" s="3195"/>
      <c r="CV10" s="3195"/>
      <c r="CW10" s="3195"/>
      <c r="CX10" s="3195"/>
      <c r="CY10" s="3195"/>
      <c r="CZ10" s="3195"/>
      <c r="DA10" s="3195"/>
      <c r="DB10" s="3195"/>
      <c r="DC10" s="3195"/>
      <c r="DD10" s="3195"/>
      <c r="DE10" s="3195"/>
      <c r="DF10" s="3195"/>
      <c r="DG10" s="3195"/>
      <c r="DH10" s="3195"/>
      <c r="DI10" s="3195"/>
      <c r="DJ10" s="3195"/>
      <c r="DK10" s="3195"/>
      <c r="DL10" s="3195"/>
      <c r="DM10" s="3195"/>
      <c r="DN10" s="3195"/>
      <c r="DO10" s="4831"/>
      <c r="DQ10" s="3476"/>
      <c r="DR10" s="3193"/>
      <c r="DS10" s="3193"/>
      <c r="DT10" s="3193"/>
      <c r="DU10" s="3193"/>
      <c r="DV10" s="3193"/>
      <c r="DW10" s="3193"/>
      <c r="DX10" s="3193"/>
      <c r="DY10" s="3193"/>
      <c r="DZ10" s="3193"/>
      <c r="EA10" s="3193"/>
      <c r="EB10" s="3193"/>
      <c r="EC10" s="3193"/>
      <c r="ED10" s="3193"/>
      <c r="EE10" s="3193"/>
      <c r="EF10" s="3193"/>
      <c r="EG10" s="3193"/>
      <c r="EH10" s="3193"/>
      <c r="EI10" s="3193"/>
      <c r="EJ10" s="3193"/>
      <c r="EK10" s="3193"/>
      <c r="EL10" s="3193"/>
      <c r="EM10" s="3193"/>
      <c r="EN10" s="3193"/>
      <c r="EO10" s="3193"/>
      <c r="EP10" s="3193"/>
      <c r="EQ10" s="3193"/>
      <c r="ER10" s="3193"/>
      <c r="ES10" s="3193"/>
      <c r="ET10" s="3193"/>
      <c r="EU10" s="3193"/>
      <c r="EV10" s="3193"/>
      <c r="EW10" s="3193"/>
      <c r="EX10" s="3193"/>
      <c r="EY10" s="3193"/>
      <c r="EZ10" s="3193"/>
      <c r="FA10" s="3193"/>
      <c r="FB10" s="3193"/>
      <c r="FC10" s="3193"/>
      <c r="FD10" s="3193"/>
      <c r="FE10" s="3193"/>
      <c r="FF10" s="3193"/>
      <c r="FG10" s="3193"/>
      <c r="FH10" s="3193"/>
      <c r="FI10" s="3193"/>
      <c r="FJ10" s="3477"/>
    </row>
    <row r="11" spans="1:166" s="1846" customFormat="1" ht="15" customHeight="1">
      <c r="A11" s="15989"/>
      <c r="B11" s="15953"/>
      <c r="C11" s="15953"/>
      <c r="D11" s="15615"/>
      <c r="E11" s="15931"/>
      <c r="F11" s="15931"/>
      <c r="G11" s="15931"/>
      <c r="H11" s="15932"/>
      <c r="I11" s="15932"/>
      <c r="J11" s="15932"/>
      <c r="K11" s="15931"/>
      <c r="L11" s="2728" t="s">
        <v>86</v>
      </c>
      <c r="M11" s="2728"/>
      <c r="N11" s="2728" t="s">
        <v>663</v>
      </c>
      <c r="O11" s="3183"/>
      <c r="P11" s="3183"/>
      <c r="Q11" s="3183"/>
      <c r="R11" s="3183"/>
      <c r="S11" s="3183"/>
      <c r="T11" s="3183"/>
      <c r="U11" s="4686"/>
      <c r="V11" s="3183"/>
      <c r="W11" s="3183"/>
      <c r="X11" s="3183"/>
      <c r="Y11" s="3183"/>
      <c r="Z11" s="4610"/>
      <c r="AA11" s="3183"/>
      <c r="AB11" s="2723"/>
      <c r="AC11" s="4611"/>
      <c r="AD11" s="3183"/>
      <c r="AE11" s="4612"/>
      <c r="AF11" s="4613"/>
      <c r="AG11" s="3200"/>
      <c r="AH11" s="3200"/>
      <c r="AI11" s="4612"/>
      <c r="AJ11" s="4612"/>
      <c r="AK11" s="4612"/>
      <c r="AL11" s="3183"/>
      <c r="AM11" s="3183"/>
      <c r="AN11" s="3183"/>
      <c r="AO11" s="3183"/>
      <c r="AP11" s="3183"/>
      <c r="AQ11" s="3183"/>
      <c r="AR11" s="3183"/>
      <c r="AS11" s="3183"/>
      <c r="AT11" s="4612"/>
      <c r="AU11" s="4612"/>
      <c r="AV11" s="4612"/>
      <c r="AW11" s="4612"/>
      <c r="AX11" s="4612"/>
      <c r="AY11" s="4612"/>
      <c r="AZ11" s="4612"/>
      <c r="BA11" s="4612"/>
      <c r="BB11" s="4612"/>
      <c r="BC11" s="4612"/>
      <c r="BD11" s="4612"/>
      <c r="BE11" s="4612"/>
      <c r="BF11" s="4612"/>
      <c r="BG11" s="4612"/>
      <c r="BH11" s="4612"/>
      <c r="BI11" s="4614"/>
      <c r="BJ11" s="4612"/>
      <c r="BK11" s="4612"/>
      <c r="BL11" s="4612"/>
      <c r="BM11" s="4612"/>
      <c r="BN11" s="4612"/>
      <c r="BO11" s="4612"/>
      <c r="BP11" s="4612"/>
      <c r="BQ11" s="4612"/>
      <c r="BR11" s="4612"/>
      <c r="BS11" s="4612"/>
      <c r="BT11" s="4609"/>
      <c r="BU11" s="2723"/>
      <c r="BV11" s="4609"/>
      <c r="BW11" s="3192"/>
      <c r="BX11" s="16008"/>
      <c r="BY11" s="4687"/>
      <c r="BZ11" s="4687"/>
      <c r="CA11" s="3183"/>
      <c r="CB11" s="4688"/>
      <c r="CC11" s="4692"/>
      <c r="CD11" s="4688"/>
      <c r="CE11" s="4692"/>
      <c r="CF11" s="4699"/>
      <c r="CG11" s="3195"/>
      <c r="CH11" s="3195"/>
      <c r="CI11" s="3195"/>
      <c r="CJ11" s="3195"/>
      <c r="CK11" s="3195"/>
      <c r="CL11" s="3195"/>
      <c r="CM11" s="3195"/>
      <c r="CN11" s="3195"/>
      <c r="CO11" s="3195"/>
      <c r="CP11" s="3195"/>
      <c r="CQ11" s="3195"/>
      <c r="CR11" s="3195"/>
      <c r="CS11" s="3197"/>
      <c r="CT11" s="3195"/>
      <c r="CU11" s="3195"/>
      <c r="CV11" s="3195"/>
      <c r="CW11" s="3195"/>
      <c r="CX11" s="3195"/>
      <c r="CY11" s="3195"/>
      <c r="CZ11" s="3195"/>
      <c r="DA11" s="3195"/>
      <c r="DB11" s="3195"/>
      <c r="DC11" s="3195"/>
      <c r="DD11" s="3195"/>
      <c r="DE11" s="3195"/>
      <c r="DF11" s="3195"/>
      <c r="DG11" s="3195"/>
      <c r="DH11" s="3195"/>
      <c r="DI11" s="3195"/>
      <c r="DJ11" s="3195"/>
      <c r="DK11" s="3195"/>
      <c r="DL11" s="3195"/>
      <c r="DM11" s="3195"/>
      <c r="DN11" s="3195"/>
      <c r="DO11" s="4831"/>
      <c r="DQ11" s="3476"/>
      <c r="DR11" s="3193"/>
      <c r="DS11" s="3193"/>
      <c r="DT11" s="3193"/>
      <c r="DU11" s="3193"/>
      <c r="DV11" s="3193"/>
      <c r="DW11" s="3193"/>
      <c r="DX11" s="3193"/>
      <c r="DY11" s="3193"/>
      <c r="DZ11" s="3193"/>
      <c r="EA11" s="3193"/>
      <c r="EB11" s="3193"/>
      <c r="EC11" s="3193"/>
      <c r="ED11" s="3193"/>
      <c r="EE11" s="3193"/>
      <c r="EF11" s="3193"/>
      <c r="EG11" s="3193"/>
      <c r="EH11" s="3193"/>
      <c r="EI11" s="3193"/>
      <c r="EJ11" s="3193"/>
      <c r="EK11" s="3193"/>
      <c r="EL11" s="3193"/>
      <c r="EM11" s="3193"/>
      <c r="EN11" s="3193"/>
      <c r="EO11" s="3193"/>
      <c r="EP11" s="3193"/>
      <c r="EQ11" s="3193"/>
      <c r="ER11" s="3193"/>
      <c r="ES11" s="3193"/>
      <c r="ET11" s="3193"/>
      <c r="EU11" s="3193"/>
      <c r="EV11" s="3193"/>
      <c r="EW11" s="3193"/>
      <c r="EX11" s="3193"/>
      <c r="EY11" s="3193"/>
      <c r="EZ11" s="3193"/>
      <c r="FA11" s="3193"/>
      <c r="FB11" s="3193"/>
      <c r="FC11" s="3193"/>
      <c r="FD11" s="3193"/>
      <c r="FE11" s="3193"/>
      <c r="FF11" s="3193"/>
      <c r="FG11" s="3193"/>
      <c r="FH11" s="3193"/>
      <c r="FI11" s="3193"/>
      <c r="FJ11" s="3477"/>
    </row>
    <row r="12" spans="1:166" s="1846" customFormat="1" ht="15" customHeight="1">
      <c r="A12" s="15989"/>
      <c r="B12" s="15953"/>
      <c r="C12" s="15953"/>
      <c r="D12" s="15615" t="s">
        <v>7913</v>
      </c>
      <c r="E12" s="15931" t="s">
        <v>4940</v>
      </c>
      <c r="F12" s="15931" t="s">
        <v>664</v>
      </c>
      <c r="G12" s="15931">
        <v>0</v>
      </c>
      <c r="H12" s="15931">
        <v>1</v>
      </c>
      <c r="I12" s="15931">
        <v>4</v>
      </c>
      <c r="J12" s="15931">
        <v>10</v>
      </c>
      <c r="K12" s="15931" t="s">
        <v>665</v>
      </c>
      <c r="L12" s="2728" t="s">
        <v>2896</v>
      </c>
      <c r="M12" s="2728" t="s">
        <v>167</v>
      </c>
      <c r="N12" s="2728"/>
      <c r="O12" s="3183">
        <v>25</v>
      </c>
      <c r="P12" s="3183">
        <v>26</v>
      </c>
      <c r="Q12" s="3183">
        <v>27</v>
      </c>
      <c r="R12" s="3183">
        <v>27</v>
      </c>
      <c r="S12" s="3183">
        <v>28</v>
      </c>
      <c r="T12" s="3183">
        <v>29</v>
      </c>
      <c r="U12" s="4686">
        <v>30</v>
      </c>
      <c r="V12" s="3183">
        <v>31</v>
      </c>
      <c r="W12" s="3183">
        <v>32</v>
      </c>
      <c r="X12" s="3183">
        <v>33</v>
      </c>
      <c r="Y12" s="3183">
        <v>34</v>
      </c>
      <c r="Z12" s="4610">
        <v>322</v>
      </c>
      <c r="AA12" s="3183"/>
      <c r="AB12" s="2723">
        <v>1</v>
      </c>
      <c r="AC12" s="4611" t="s">
        <v>2920</v>
      </c>
      <c r="AD12" s="3183" t="s">
        <v>2921</v>
      </c>
      <c r="AE12" s="4612"/>
      <c r="AF12" s="3201" t="s">
        <v>2922</v>
      </c>
      <c r="AG12" s="3200"/>
      <c r="AH12" s="3201" t="s">
        <v>2922</v>
      </c>
      <c r="AI12" s="4612"/>
      <c r="AJ12" s="4612">
        <v>69</v>
      </c>
      <c r="AK12" s="4612">
        <v>5</v>
      </c>
      <c r="AL12" s="4612">
        <v>64</v>
      </c>
      <c r="AM12" s="4612"/>
      <c r="AN12" s="4612"/>
      <c r="AO12" s="4612"/>
      <c r="AP12" s="4612"/>
      <c r="AQ12" s="4612"/>
      <c r="AR12" s="4612"/>
      <c r="AS12" s="4612"/>
      <c r="AT12" s="4612"/>
      <c r="AU12" s="4612"/>
      <c r="AV12" s="4612"/>
      <c r="AW12" s="4612"/>
      <c r="AX12" s="4612"/>
      <c r="AY12" s="4612"/>
      <c r="AZ12" s="4612"/>
      <c r="BA12" s="4612"/>
      <c r="BB12" s="4612"/>
      <c r="BC12" s="4612"/>
      <c r="BD12" s="4612"/>
      <c r="BE12" s="4612"/>
      <c r="BF12" s="4612"/>
      <c r="BG12" s="4612"/>
      <c r="BH12" s="4612"/>
      <c r="BI12" s="4614"/>
      <c r="BJ12" s="4612"/>
      <c r="BK12" s="4612"/>
      <c r="BL12" s="4612"/>
      <c r="BM12" s="4612"/>
      <c r="BN12" s="4612"/>
      <c r="BO12" s="4612"/>
      <c r="BP12" s="4612"/>
      <c r="BQ12" s="4612"/>
      <c r="BR12" s="4612"/>
      <c r="BS12" s="4612"/>
      <c r="BT12" s="2728">
        <v>10</v>
      </c>
      <c r="BU12" s="3183">
        <v>10</v>
      </c>
      <c r="BV12" s="2728">
        <v>10</v>
      </c>
      <c r="BW12" s="3192">
        <f t="shared" si="0"/>
        <v>1</v>
      </c>
      <c r="BX12" s="16008"/>
      <c r="BY12" s="4687" t="s">
        <v>8928</v>
      </c>
      <c r="BZ12" s="4687" t="s">
        <v>8929</v>
      </c>
      <c r="CA12" s="3183"/>
      <c r="CB12" s="4692"/>
      <c r="CC12" s="4692"/>
      <c r="CD12" s="4692"/>
      <c r="CE12" s="4692"/>
      <c r="CF12" s="3195"/>
      <c r="CG12" s="3195"/>
      <c r="CH12" s="3195"/>
      <c r="CI12" s="3195"/>
      <c r="CJ12" s="3195"/>
      <c r="CK12" s="3195"/>
      <c r="CL12" s="3195"/>
      <c r="CM12" s="3195"/>
      <c r="CN12" s="3195"/>
      <c r="CO12" s="3195"/>
      <c r="CP12" s="3195"/>
      <c r="CQ12" s="3195"/>
      <c r="CR12" s="3195"/>
      <c r="CS12" s="3197"/>
      <c r="CT12" s="3195"/>
      <c r="CU12" s="3195"/>
      <c r="CV12" s="3195"/>
      <c r="CW12" s="3195"/>
      <c r="CX12" s="3195"/>
      <c r="CY12" s="3195"/>
      <c r="CZ12" s="3195"/>
      <c r="DA12" s="3195"/>
      <c r="DB12" s="3195"/>
      <c r="DC12" s="3195"/>
      <c r="DD12" s="3195"/>
      <c r="DE12" s="3195"/>
      <c r="DF12" s="3195"/>
      <c r="DG12" s="3195"/>
      <c r="DH12" s="3195"/>
      <c r="DI12" s="3195"/>
      <c r="DJ12" s="3195"/>
      <c r="DK12" s="3195"/>
      <c r="DL12" s="3195"/>
      <c r="DM12" s="3195"/>
      <c r="DN12" s="3195"/>
      <c r="DO12" s="4831"/>
      <c r="DQ12" s="3476"/>
      <c r="DR12" s="3193"/>
      <c r="DS12" s="3193"/>
      <c r="DT12" s="3193"/>
      <c r="DU12" s="3193"/>
      <c r="DV12" s="3193"/>
      <c r="DW12" s="3193"/>
      <c r="DX12" s="3193"/>
      <c r="DY12" s="3193"/>
      <c r="DZ12" s="3193"/>
      <c r="EA12" s="3193"/>
      <c r="EB12" s="3193"/>
      <c r="EC12" s="3193"/>
      <c r="ED12" s="3193"/>
      <c r="EE12" s="3193"/>
      <c r="EF12" s="3193"/>
      <c r="EG12" s="3193"/>
      <c r="EH12" s="3193"/>
      <c r="EI12" s="3193"/>
      <c r="EJ12" s="3193"/>
      <c r="EK12" s="3193"/>
      <c r="EL12" s="3193"/>
      <c r="EM12" s="3193"/>
      <c r="EN12" s="3193"/>
      <c r="EO12" s="3193"/>
      <c r="EP12" s="3193"/>
      <c r="EQ12" s="3193"/>
      <c r="ER12" s="3193"/>
      <c r="ES12" s="3193"/>
      <c r="ET12" s="3193"/>
      <c r="EU12" s="3193"/>
      <c r="EV12" s="3193"/>
      <c r="EW12" s="3193"/>
      <c r="EX12" s="3193"/>
      <c r="EY12" s="3193"/>
      <c r="EZ12" s="3193"/>
      <c r="FA12" s="3193"/>
      <c r="FB12" s="3193"/>
      <c r="FC12" s="3193"/>
      <c r="FD12" s="3193"/>
      <c r="FE12" s="3193"/>
      <c r="FF12" s="3193"/>
      <c r="FG12" s="3193"/>
      <c r="FH12" s="3193"/>
      <c r="FI12" s="3193"/>
      <c r="FJ12" s="3477"/>
    </row>
    <row r="13" spans="1:166" s="1846" customFormat="1" ht="15" customHeight="1">
      <c r="A13" s="15989"/>
      <c r="B13" s="15953"/>
      <c r="C13" s="15953"/>
      <c r="D13" s="15615"/>
      <c r="E13" s="15931"/>
      <c r="F13" s="15931"/>
      <c r="G13" s="15931"/>
      <c r="H13" s="15931"/>
      <c r="I13" s="15931"/>
      <c r="J13" s="15931"/>
      <c r="K13" s="15931"/>
      <c r="L13" s="2728" t="s">
        <v>10063</v>
      </c>
      <c r="M13" s="2728"/>
      <c r="N13" s="2728" t="s">
        <v>10228</v>
      </c>
      <c r="O13" s="3183"/>
      <c r="P13" s="3183"/>
      <c r="Q13" s="3183"/>
      <c r="R13" s="3183"/>
      <c r="S13" s="3183"/>
      <c r="T13" s="3183"/>
      <c r="U13" s="4686"/>
      <c r="V13" s="3183"/>
      <c r="W13" s="3183"/>
      <c r="X13" s="3183"/>
      <c r="Y13" s="3183"/>
      <c r="Z13" s="4610"/>
      <c r="AA13" s="3183"/>
      <c r="AB13" s="2723"/>
      <c r="AC13" s="4611"/>
      <c r="AD13" s="3183"/>
      <c r="AE13" s="4612"/>
      <c r="AF13" s="3201"/>
      <c r="AG13" s="3200"/>
      <c r="AH13" s="3201"/>
      <c r="AI13" s="4612"/>
      <c r="AJ13" s="4612"/>
      <c r="AK13" s="4612"/>
      <c r="AL13" s="4612"/>
      <c r="AM13" s="4612"/>
      <c r="AN13" s="4612"/>
      <c r="AO13" s="4612"/>
      <c r="AP13" s="4612"/>
      <c r="AQ13" s="4612"/>
      <c r="AR13" s="4612"/>
      <c r="AS13" s="4612"/>
      <c r="AT13" s="4612"/>
      <c r="AU13" s="4612"/>
      <c r="AV13" s="4612"/>
      <c r="AW13" s="4612"/>
      <c r="AX13" s="4612"/>
      <c r="AY13" s="4612"/>
      <c r="AZ13" s="4612"/>
      <c r="BA13" s="4612"/>
      <c r="BB13" s="4612"/>
      <c r="BC13" s="4612"/>
      <c r="BD13" s="4612"/>
      <c r="BE13" s="4612"/>
      <c r="BF13" s="4612"/>
      <c r="BG13" s="4612"/>
      <c r="BH13" s="4612"/>
      <c r="BI13" s="4614"/>
      <c r="BJ13" s="4612"/>
      <c r="BK13" s="4612"/>
      <c r="BL13" s="4612"/>
      <c r="BM13" s="4612"/>
      <c r="BN13" s="4612"/>
      <c r="BO13" s="4612"/>
      <c r="BP13" s="4612"/>
      <c r="BQ13" s="4612"/>
      <c r="BR13" s="4612"/>
      <c r="BS13" s="4612"/>
      <c r="BT13" s="2728"/>
      <c r="BU13" s="3183"/>
      <c r="BV13" s="2728"/>
      <c r="BW13" s="3192"/>
      <c r="BX13" s="16008"/>
      <c r="BY13" s="4687"/>
      <c r="BZ13" s="4687"/>
      <c r="CA13" s="3183"/>
      <c r="CB13" s="4692"/>
      <c r="CC13" s="4692"/>
      <c r="CD13" s="4692"/>
      <c r="CE13" s="4692"/>
      <c r="CF13" s="3195"/>
      <c r="CG13" s="3195"/>
      <c r="CH13" s="3195"/>
      <c r="CI13" s="3195"/>
      <c r="CJ13" s="3195"/>
      <c r="CK13" s="3195"/>
      <c r="CL13" s="3195"/>
      <c r="CM13" s="3195"/>
      <c r="CN13" s="3195"/>
      <c r="CO13" s="3195"/>
      <c r="CP13" s="3195"/>
      <c r="CQ13" s="3195"/>
      <c r="CR13" s="3195"/>
      <c r="CS13" s="3197"/>
      <c r="CT13" s="3195"/>
      <c r="CU13" s="3195"/>
      <c r="CV13" s="3195"/>
      <c r="CW13" s="3195"/>
      <c r="CX13" s="3195"/>
      <c r="CY13" s="3195"/>
      <c r="CZ13" s="3195"/>
      <c r="DA13" s="3195"/>
      <c r="DB13" s="3195"/>
      <c r="DC13" s="3195"/>
      <c r="DD13" s="3195"/>
      <c r="DE13" s="3195"/>
      <c r="DF13" s="3195"/>
      <c r="DG13" s="3195"/>
      <c r="DH13" s="3195"/>
      <c r="DI13" s="3195"/>
      <c r="DJ13" s="3195"/>
      <c r="DK13" s="3195"/>
      <c r="DL13" s="3195"/>
      <c r="DM13" s="3195"/>
      <c r="DN13" s="3195"/>
      <c r="DO13" s="4831"/>
      <c r="DQ13" s="3476"/>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477"/>
    </row>
    <row r="14" spans="1:166" s="1846" customFormat="1" ht="15" customHeight="1">
      <c r="A14" s="15989"/>
      <c r="B14" s="15953"/>
      <c r="C14" s="15953"/>
      <c r="D14" s="15615"/>
      <c r="E14" s="15931"/>
      <c r="F14" s="15931"/>
      <c r="G14" s="15931"/>
      <c r="H14" s="15931"/>
      <c r="I14" s="15931"/>
      <c r="J14" s="15931"/>
      <c r="K14" s="15931"/>
      <c r="L14" s="2728" t="s">
        <v>10199</v>
      </c>
      <c r="M14" s="2728"/>
      <c r="N14" s="2728" t="s">
        <v>1489</v>
      </c>
      <c r="O14" s="3183"/>
      <c r="P14" s="3183"/>
      <c r="Q14" s="3183"/>
      <c r="R14" s="3183"/>
      <c r="S14" s="3183"/>
      <c r="T14" s="3183"/>
      <c r="U14" s="4686"/>
      <c r="V14" s="3183"/>
      <c r="W14" s="3183"/>
      <c r="X14" s="3183"/>
      <c r="Y14" s="3183"/>
      <c r="Z14" s="4610"/>
      <c r="AA14" s="3183"/>
      <c r="AB14" s="2723"/>
      <c r="AC14" s="4611"/>
      <c r="AD14" s="3183"/>
      <c r="AE14" s="4612"/>
      <c r="AF14" s="3201"/>
      <c r="AG14" s="3200"/>
      <c r="AH14" s="3201"/>
      <c r="AI14" s="4612"/>
      <c r="AJ14" s="4612"/>
      <c r="AK14" s="4612"/>
      <c r="AL14" s="4612"/>
      <c r="AM14" s="4612"/>
      <c r="AN14" s="4612"/>
      <c r="AO14" s="4612"/>
      <c r="AP14" s="4612"/>
      <c r="AQ14" s="4612"/>
      <c r="AR14" s="4612"/>
      <c r="AS14" s="4612"/>
      <c r="AT14" s="4612"/>
      <c r="AU14" s="4612"/>
      <c r="AV14" s="4612"/>
      <c r="AW14" s="4612"/>
      <c r="AX14" s="4612"/>
      <c r="AY14" s="4612"/>
      <c r="AZ14" s="4612"/>
      <c r="BA14" s="4612"/>
      <c r="BB14" s="4612"/>
      <c r="BC14" s="4612"/>
      <c r="BD14" s="4612"/>
      <c r="BE14" s="4612"/>
      <c r="BF14" s="4612"/>
      <c r="BG14" s="4612"/>
      <c r="BH14" s="4612"/>
      <c r="BI14" s="4614"/>
      <c r="BJ14" s="4612"/>
      <c r="BK14" s="4612"/>
      <c r="BL14" s="4612"/>
      <c r="BM14" s="4612"/>
      <c r="BN14" s="4612"/>
      <c r="BO14" s="4612"/>
      <c r="BP14" s="4612"/>
      <c r="BQ14" s="4612"/>
      <c r="BR14" s="4612"/>
      <c r="BS14" s="4612"/>
      <c r="BT14" s="2728"/>
      <c r="BU14" s="3183"/>
      <c r="BV14" s="2728"/>
      <c r="BW14" s="3192"/>
      <c r="BX14" s="16008"/>
      <c r="BY14" s="4687"/>
      <c r="BZ14" s="4687"/>
      <c r="CA14" s="3183"/>
      <c r="CB14" s="4692"/>
      <c r="CC14" s="4692"/>
      <c r="CD14" s="4692"/>
      <c r="CE14" s="4692"/>
      <c r="CF14" s="3195"/>
      <c r="CG14" s="3195"/>
      <c r="CH14" s="3195"/>
      <c r="CI14" s="3195"/>
      <c r="CJ14" s="3195"/>
      <c r="CK14" s="3195"/>
      <c r="CL14" s="3195"/>
      <c r="CM14" s="3195"/>
      <c r="CN14" s="3195"/>
      <c r="CO14" s="3195"/>
      <c r="CP14" s="3195"/>
      <c r="CQ14" s="3195"/>
      <c r="CR14" s="3195"/>
      <c r="CS14" s="3197"/>
      <c r="CT14" s="3195"/>
      <c r="CU14" s="3195"/>
      <c r="CV14" s="3195"/>
      <c r="CW14" s="3195"/>
      <c r="CX14" s="3195"/>
      <c r="CY14" s="3195"/>
      <c r="CZ14" s="3195"/>
      <c r="DA14" s="3195"/>
      <c r="DB14" s="3195"/>
      <c r="DC14" s="3195"/>
      <c r="DD14" s="3195"/>
      <c r="DE14" s="3195"/>
      <c r="DF14" s="3195"/>
      <c r="DG14" s="3195"/>
      <c r="DH14" s="3195"/>
      <c r="DI14" s="3195"/>
      <c r="DJ14" s="3195"/>
      <c r="DK14" s="3195"/>
      <c r="DL14" s="3195"/>
      <c r="DM14" s="3195"/>
      <c r="DN14" s="3195"/>
      <c r="DO14" s="4831"/>
      <c r="DQ14" s="3476"/>
      <c r="DR14" s="3193"/>
      <c r="DS14" s="3193"/>
      <c r="DT14" s="3193"/>
      <c r="DU14" s="3193"/>
      <c r="DV14" s="3193"/>
      <c r="DW14" s="3193"/>
      <c r="DX14" s="3193"/>
      <c r="DY14" s="3193"/>
      <c r="DZ14" s="3193"/>
      <c r="EA14" s="3193"/>
      <c r="EB14" s="3193"/>
      <c r="EC14" s="3193"/>
      <c r="ED14" s="3193"/>
      <c r="EE14" s="3193"/>
      <c r="EF14" s="3193"/>
      <c r="EG14" s="3193"/>
      <c r="EH14" s="3193"/>
      <c r="EI14" s="3193"/>
      <c r="EJ14" s="3193"/>
      <c r="EK14" s="3193"/>
      <c r="EL14" s="3193"/>
      <c r="EM14" s="3193"/>
      <c r="EN14" s="3193"/>
      <c r="EO14" s="3193"/>
      <c r="EP14" s="3193"/>
      <c r="EQ14" s="3193"/>
      <c r="ER14" s="3193"/>
      <c r="ES14" s="3193"/>
      <c r="ET14" s="3193"/>
      <c r="EU14" s="3193"/>
      <c r="EV14" s="3193"/>
      <c r="EW14" s="3193"/>
      <c r="EX14" s="3193"/>
      <c r="EY14" s="3193"/>
      <c r="EZ14" s="3193"/>
      <c r="FA14" s="3193"/>
      <c r="FB14" s="3193"/>
      <c r="FC14" s="3193"/>
      <c r="FD14" s="3193"/>
      <c r="FE14" s="3193"/>
      <c r="FF14" s="3193"/>
      <c r="FG14" s="3193"/>
      <c r="FH14" s="3193"/>
      <c r="FI14" s="3193"/>
      <c r="FJ14" s="3477"/>
    </row>
    <row r="15" spans="1:166" s="1846" customFormat="1" ht="15" customHeight="1">
      <c r="A15" s="15989"/>
      <c r="B15" s="15953"/>
      <c r="C15" s="15953"/>
      <c r="D15" s="15953" t="s">
        <v>7914</v>
      </c>
      <c r="E15" s="15931" t="s">
        <v>4941</v>
      </c>
      <c r="F15" s="15931" t="s">
        <v>666</v>
      </c>
      <c r="G15" s="15931" t="s">
        <v>542</v>
      </c>
      <c r="H15" s="2728" t="s">
        <v>667</v>
      </c>
      <c r="I15" s="2728" t="s">
        <v>667</v>
      </c>
      <c r="J15" s="2728" t="s">
        <v>667</v>
      </c>
      <c r="K15" s="15931" t="s">
        <v>668</v>
      </c>
      <c r="L15" s="4616" t="s">
        <v>2896</v>
      </c>
      <c r="M15" s="2728" t="s">
        <v>167</v>
      </c>
      <c r="N15" s="2728" t="s">
        <v>669</v>
      </c>
      <c r="O15" s="15342"/>
      <c r="P15" s="15931"/>
      <c r="Q15" s="15931"/>
      <c r="R15" s="15931"/>
      <c r="S15" s="15931"/>
      <c r="T15" s="15931"/>
      <c r="U15" s="4700"/>
      <c r="V15" s="15931"/>
      <c r="W15" s="15931"/>
      <c r="X15" s="15931"/>
      <c r="Y15" s="15931"/>
      <c r="Z15" s="15615">
        <v>0</v>
      </c>
      <c r="AA15" s="15931" t="s">
        <v>670</v>
      </c>
      <c r="AB15" s="4609">
        <v>1</v>
      </c>
      <c r="AC15" s="2728" t="s">
        <v>2923</v>
      </c>
      <c r="AD15" s="3183" t="s">
        <v>2924</v>
      </c>
      <c r="AE15" s="4612"/>
      <c r="AF15" s="4613"/>
      <c r="AG15" s="3200"/>
      <c r="AH15" s="3200"/>
      <c r="AI15" s="4701"/>
      <c r="AJ15" s="3183">
        <v>32</v>
      </c>
      <c r="AK15" s="3183">
        <v>19</v>
      </c>
      <c r="AL15" s="3183">
        <v>13</v>
      </c>
      <c r="AM15" s="3183">
        <v>27</v>
      </c>
      <c r="AN15" s="3183">
        <v>5</v>
      </c>
      <c r="AO15" s="3183">
        <v>32</v>
      </c>
      <c r="AP15" s="3183"/>
      <c r="AQ15" s="3183"/>
      <c r="AR15" s="3183"/>
      <c r="AS15" s="3183"/>
      <c r="AT15" s="3183"/>
      <c r="AU15" s="3183"/>
      <c r="AV15" s="3183"/>
      <c r="AW15" s="3183">
        <v>32</v>
      </c>
      <c r="AX15" s="4702"/>
      <c r="AY15" s="3183">
        <v>1</v>
      </c>
      <c r="AZ15" s="4702"/>
      <c r="BA15" s="4702"/>
      <c r="BB15" s="4702"/>
      <c r="BC15" s="4702"/>
      <c r="BD15" s="4611"/>
      <c r="BE15" s="4611"/>
      <c r="BF15" s="4611"/>
      <c r="BG15" s="4611"/>
      <c r="BH15" s="4611"/>
      <c r="BI15" s="4703"/>
      <c r="BJ15" s="4704"/>
      <c r="BK15" s="3183"/>
      <c r="BL15" s="3183"/>
      <c r="BM15" s="3183"/>
      <c r="BN15" s="3183"/>
      <c r="BO15" s="3183"/>
      <c r="BP15" s="3183"/>
      <c r="BQ15" s="3183"/>
      <c r="BR15" s="3183"/>
      <c r="BS15" s="3183"/>
      <c r="BT15" s="4609">
        <v>1</v>
      </c>
      <c r="BU15" s="4492">
        <v>1</v>
      </c>
      <c r="BV15" s="4609">
        <v>1</v>
      </c>
      <c r="BW15" s="3192">
        <f t="shared" si="0"/>
        <v>1</v>
      </c>
      <c r="BX15" s="16008"/>
      <c r="BY15" s="4705" t="s">
        <v>8930</v>
      </c>
      <c r="BZ15" s="4691" t="s">
        <v>8931</v>
      </c>
      <c r="CA15" s="3183"/>
      <c r="CB15" s="4692"/>
      <c r="CC15" s="4692"/>
      <c r="CD15" s="4692"/>
      <c r="CE15" s="4692"/>
      <c r="CF15" s="3195">
        <v>60</v>
      </c>
      <c r="CG15" s="3195"/>
      <c r="CH15" s="3195"/>
      <c r="CI15" s="3195"/>
      <c r="CJ15" s="3195"/>
      <c r="CK15" s="3195">
        <v>60</v>
      </c>
      <c r="CL15" s="3195"/>
      <c r="CM15" s="3195"/>
      <c r="CN15" s="3195"/>
      <c r="CO15" s="3195"/>
      <c r="CP15" s="3195"/>
      <c r="CQ15" s="3195"/>
      <c r="CR15" s="3195"/>
      <c r="CS15" s="3197">
        <v>60</v>
      </c>
      <c r="CT15" s="3195"/>
      <c r="CU15" s="3195"/>
      <c r="CV15" s="3195"/>
      <c r="CW15" s="3195"/>
      <c r="CX15" s="3195"/>
      <c r="CY15" s="3195"/>
      <c r="CZ15" s="3195"/>
      <c r="DA15" s="3195"/>
      <c r="DB15" s="3195"/>
      <c r="DC15" s="3195"/>
      <c r="DD15" s="3195"/>
      <c r="DE15" s="3195"/>
      <c r="DF15" s="3195"/>
      <c r="DG15" s="3195"/>
      <c r="DH15" s="3195"/>
      <c r="DI15" s="3195"/>
      <c r="DJ15" s="3195"/>
      <c r="DK15" s="3195"/>
      <c r="DL15" s="3195"/>
      <c r="DM15" s="3195"/>
      <c r="DN15" s="3195"/>
      <c r="DO15" s="4831"/>
      <c r="DQ15" s="3476"/>
      <c r="DR15" s="3193"/>
      <c r="DS15" s="3193"/>
      <c r="DT15" s="3193"/>
      <c r="DU15" s="3193"/>
      <c r="DV15" s="3193"/>
      <c r="DW15" s="3193"/>
      <c r="DX15" s="3193"/>
      <c r="DY15" s="3193"/>
      <c r="DZ15" s="3193"/>
      <c r="EA15" s="3193"/>
      <c r="EB15" s="3193"/>
      <c r="EC15" s="3193"/>
      <c r="ED15" s="3193"/>
      <c r="EE15" s="3193"/>
      <c r="EF15" s="3193"/>
      <c r="EG15" s="3193"/>
      <c r="EH15" s="3193"/>
      <c r="EI15" s="3193"/>
      <c r="EJ15" s="3193"/>
      <c r="EK15" s="3193"/>
      <c r="EL15" s="3193"/>
      <c r="EM15" s="3193"/>
      <c r="EN15" s="3193"/>
      <c r="EO15" s="3193"/>
      <c r="EP15" s="3193"/>
      <c r="EQ15" s="3193"/>
      <c r="ER15" s="3193"/>
      <c r="ES15" s="3193"/>
      <c r="ET15" s="3193"/>
      <c r="EU15" s="3193"/>
      <c r="EV15" s="3193"/>
      <c r="EW15" s="3193"/>
      <c r="EX15" s="3193"/>
      <c r="EY15" s="3193"/>
      <c r="EZ15" s="3193"/>
      <c r="FA15" s="3193"/>
      <c r="FB15" s="3193"/>
      <c r="FC15" s="3193"/>
      <c r="FD15" s="3193"/>
      <c r="FE15" s="3193"/>
      <c r="FF15" s="3193"/>
      <c r="FG15" s="3193"/>
      <c r="FH15" s="3193"/>
      <c r="FI15" s="3193"/>
      <c r="FJ15" s="3477"/>
    </row>
    <row r="16" spans="1:166" s="1846" customFormat="1" ht="15" customHeight="1">
      <c r="A16" s="15989"/>
      <c r="B16" s="15953"/>
      <c r="C16" s="15953"/>
      <c r="D16" s="15953"/>
      <c r="E16" s="15931"/>
      <c r="F16" s="15931"/>
      <c r="G16" s="15931"/>
      <c r="H16" s="2728" t="s">
        <v>671</v>
      </c>
      <c r="I16" s="2728" t="s">
        <v>672</v>
      </c>
      <c r="J16" s="2728" t="s">
        <v>672</v>
      </c>
      <c r="K16" s="15931"/>
      <c r="L16" s="4616" t="s">
        <v>2896</v>
      </c>
      <c r="M16" s="2728" t="s">
        <v>167</v>
      </c>
      <c r="N16" s="2728" t="s">
        <v>669</v>
      </c>
      <c r="O16" s="15342"/>
      <c r="P16" s="15931"/>
      <c r="Q16" s="15931"/>
      <c r="R16" s="15931"/>
      <c r="S16" s="15931"/>
      <c r="T16" s="15931"/>
      <c r="U16" s="4700"/>
      <c r="V16" s="15931"/>
      <c r="W16" s="15931"/>
      <c r="X16" s="15931"/>
      <c r="Y16" s="15931"/>
      <c r="Z16" s="15615"/>
      <c r="AA16" s="15931"/>
      <c r="AB16" s="4609">
        <v>1</v>
      </c>
      <c r="AC16" s="2728" t="s">
        <v>2925</v>
      </c>
      <c r="AD16" s="3183" t="s">
        <v>2924</v>
      </c>
      <c r="AE16" s="4612"/>
      <c r="AF16" s="4613"/>
      <c r="AG16" s="3200"/>
      <c r="AH16" s="3200"/>
      <c r="AI16" s="4701"/>
      <c r="AJ16" s="3183">
        <v>4156</v>
      </c>
      <c r="AK16" s="3183">
        <v>2535</v>
      </c>
      <c r="AL16" s="3183">
        <v>1621</v>
      </c>
      <c r="AM16" s="3183">
        <v>3392</v>
      </c>
      <c r="AN16" s="3183">
        <v>764</v>
      </c>
      <c r="AO16" s="3182">
        <v>3</v>
      </c>
      <c r="AP16" s="3182">
        <v>2145</v>
      </c>
      <c r="AQ16" s="3182">
        <v>1706</v>
      </c>
      <c r="AR16" s="3182">
        <v>268</v>
      </c>
      <c r="AS16" s="3182">
        <v>31</v>
      </c>
      <c r="AT16" s="3182">
        <v>3</v>
      </c>
      <c r="AU16" s="4702"/>
      <c r="AV16" s="4702"/>
      <c r="AW16" s="3183">
        <v>4156</v>
      </c>
      <c r="AX16" s="3183">
        <v>176</v>
      </c>
      <c r="AY16" s="3183">
        <v>7</v>
      </c>
      <c r="AZ16" s="4702"/>
      <c r="BA16" s="4702"/>
      <c r="BB16" s="4702"/>
      <c r="BC16" s="4702"/>
      <c r="BD16" s="3183"/>
      <c r="BE16" s="3183">
        <v>201</v>
      </c>
      <c r="BF16" s="3183">
        <v>73</v>
      </c>
      <c r="BG16" s="3183"/>
      <c r="BH16" s="3183"/>
      <c r="BI16" s="2728"/>
      <c r="BJ16" s="3183"/>
      <c r="BK16" s="3183"/>
      <c r="BL16" s="3183"/>
      <c r="BM16" s="3183"/>
      <c r="BN16" s="3183"/>
      <c r="BO16" s="4704"/>
      <c r="BP16" s="3183"/>
      <c r="BQ16" s="3183"/>
      <c r="BR16" s="3183"/>
      <c r="BS16" s="3183"/>
      <c r="BT16" s="4609">
        <v>0.95</v>
      </c>
      <c r="BU16" s="4492">
        <v>0.95</v>
      </c>
      <c r="BV16" s="4609">
        <v>0.95</v>
      </c>
      <c r="BW16" s="3192">
        <f t="shared" si="0"/>
        <v>1</v>
      </c>
      <c r="BX16" s="16008"/>
      <c r="BY16" s="4706" t="s">
        <v>8932</v>
      </c>
      <c r="BZ16" s="4691" t="s">
        <v>8931</v>
      </c>
      <c r="CA16" s="3183"/>
      <c r="CB16" s="4692"/>
      <c r="CC16" s="4692"/>
      <c r="CD16" s="4692"/>
      <c r="CE16" s="4692"/>
      <c r="CF16" s="3195">
        <v>3439</v>
      </c>
      <c r="CG16" s="3195"/>
      <c r="CH16" s="3195"/>
      <c r="CI16" s="3195"/>
      <c r="CJ16" s="3195"/>
      <c r="CK16" s="3195"/>
      <c r="CL16" s="3195">
        <v>3439</v>
      </c>
      <c r="CM16" s="3195"/>
      <c r="CN16" s="3195"/>
      <c r="CO16" s="3195"/>
      <c r="CP16" s="3195"/>
      <c r="CQ16" s="3195"/>
      <c r="CR16" s="3195"/>
      <c r="CS16" s="3197">
        <v>3439</v>
      </c>
      <c r="CT16" s="3195"/>
      <c r="CU16" s="3195"/>
      <c r="CV16" s="3195"/>
      <c r="CW16" s="3195"/>
      <c r="CX16" s="3195"/>
      <c r="CY16" s="3195"/>
      <c r="CZ16" s="3195"/>
      <c r="DA16" s="3195"/>
      <c r="DB16" s="3195"/>
      <c r="DC16" s="3195"/>
      <c r="DD16" s="3195"/>
      <c r="DE16" s="3195"/>
      <c r="DF16" s="3195"/>
      <c r="DG16" s="3195"/>
      <c r="DH16" s="3195"/>
      <c r="DI16" s="3195"/>
      <c r="DJ16" s="3195"/>
      <c r="DK16" s="3195"/>
      <c r="DL16" s="3195"/>
      <c r="DM16" s="3195"/>
      <c r="DN16" s="3195"/>
      <c r="DO16" s="4831"/>
      <c r="DQ16" s="3476"/>
      <c r="DR16" s="3193"/>
      <c r="DS16" s="3193"/>
      <c r="DT16" s="3193"/>
      <c r="DU16" s="3193"/>
      <c r="DV16" s="3193"/>
      <c r="DW16" s="3193"/>
      <c r="DX16" s="3193"/>
      <c r="DY16" s="3193"/>
      <c r="DZ16" s="3193"/>
      <c r="EA16" s="3193"/>
      <c r="EB16" s="3193"/>
      <c r="EC16" s="3193"/>
      <c r="ED16" s="3193"/>
      <c r="EE16" s="3193"/>
      <c r="EF16" s="3193"/>
      <c r="EG16" s="3193"/>
      <c r="EH16" s="3193"/>
      <c r="EI16" s="3193"/>
      <c r="EJ16" s="3193"/>
      <c r="EK16" s="3193"/>
      <c r="EL16" s="3193"/>
      <c r="EM16" s="3193"/>
      <c r="EN16" s="3193"/>
      <c r="EO16" s="3193"/>
      <c r="EP16" s="3193"/>
      <c r="EQ16" s="3193"/>
      <c r="ER16" s="3193"/>
      <c r="ES16" s="3193"/>
      <c r="ET16" s="3193"/>
      <c r="EU16" s="3193"/>
      <c r="EV16" s="3193"/>
      <c r="EW16" s="3193"/>
      <c r="EX16" s="3193"/>
      <c r="EY16" s="3193"/>
      <c r="EZ16" s="3193"/>
      <c r="FA16" s="3193"/>
      <c r="FB16" s="3193"/>
      <c r="FC16" s="3193"/>
      <c r="FD16" s="3193"/>
      <c r="FE16" s="3193"/>
      <c r="FF16" s="3193"/>
      <c r="FG16" s="3193"/>
      <c r="FH16" s="3193"/>
      <c r="FI16" s="3193"/>
      <c r="FJ16" s="3477"/>
    </row>
    <row r="17" spans="1:166" s="1846" customFormat="1" ht="15" customHeight="1">
      <c r="A17" s="15989"/>
      <c r="B17" s="15953"/>
      <c r="C17" s="15953"/>
      <c r="D17" s="15953"/>
      <c r="E17" s="15931"/>
      <c r="F17" s="15931"/>
      <c r="G17" s="15931"/>
      <c r="H17" s="2728" t="s">
        <v>673</v>
      </c>
      <c r="I17" s="2728" t="s">
        <v>674</v>
      </c>
      <c r="J17" s="2728" t="s">
        <v>675</v>
      </c>
      <c r="K17" s="15931"/>
      <c r="L17" s="4616" t="s">
        <v>2896</v>
      </c>
      <c r="M17" s="2728" t="s">
        <v>167</v>
      </c>
      <c r="N17" s="2728" t="s">
        <v>669</v>
      </c>
      <c r="O17" s="15342"/>
      <c r="P17" s="15931"/>
      <c r="Q17" s="15931"/>
      <c r="R17" s="15931"/>
      <c r="S17" s="15931"/>
      <c r="T17" s="15931"/>
      <c r="U17" s="4700"/>
      <c r="V17" s="15931"/>
      <c r="W17" s="15931"/>
      <c r="X17" s="15931"/>
      <c r="Y17" s="15931"/>
      <c r="Z17" s="15615"/>
      <c r="AA17" s="15931"/>
      <c r="AB17" s="4609">
        <v>1</v>
      </c>
      <c r="AC17" s="2728" t="s">
        <v>2925</v>
      </c>
      <c r="AD17" s="3183" t="s">
        <v>2924</v>
      </c>
      <c r="AE17" s="4612"/>
      <c r="AF17" s="4613"/>
      <c r="AG17" s="3200"/>
      <c r="AH17" s="3200"/>
      <c r="AI17" s="4701"/>
      <c r="AJ17" s="3183">
        <v>398</v>
      </c>
      <c r="AK17" s="3183">
        <v>232</v>
      </c>
      <c r="AL17" s="3183">
        <v>166</v>
      </c>
      <c r="AM17" s="3183">
        <v>343</v>
      </c>
      <c r="AN17" s="3183">
        <v>55</v>
      </c>
      <c r="AO17" s="3183">
        <v>0</v>
      </c>
      <c r="AP17" s="3183">
        <v>0</v>
      </c>
      <c r="AQ17" s="3183">
        <v>225</v>
      </c>
      <c r="AR17" s="3183">
        <v>171</v>
      </c>
      <c r="AS17" s="3183">
        <v>1</v>
      </c>
      <c r="AT17" s="3183">
        <v>1</v>
      </c>
      <c r="AU17" s="3183">
        <v>0</v>
      </c>
      <c r="AV17" s="4702"/>
      <c r="AW17" s="3183">
        <v>398</v>
      </c>
      <c r="AX17" s="3183">
        <v>19</v>
      </c>
      <c r="AY17" s="3183"/>
      <c r="AZ17" s="4702"/>
      <c r="BA17" s="4702"/>
      <c r="BB17" s="4702"/>
      <c r="BC17" s="4702"/>
      <c r="BD17" s="3183"/>
      <c r="BE17" s="3183">
        <v>21</v>
      </c>
      <c r="BF17" s="3183">
        <v>7</v>
      </c>
      <c r="BG17" s="3183"/>
      <c r="BH17" s="3183"/>
      <c r="BI17" s="2728"/>
      <c r="BJ17" s="3183"/>
      <c r="BK17" s="3183"/>
      <c r="BL17" s="3183"/>
      <c r="BM17" s="3183"/>
      <c r="BN17" s="3183"/>
      <c r="BO17" s="3183"/>
      <c r="BP17" s="3183"/>
      <c r="BQ17" s="3183"/>
      <c r="BR17" s="3183"/>
      <c r="BS17" s="3183"/>
      <c r="BT17" s="4609">
        <v>0.85</v>
      </c>
      <c r="BU17" s="4492">
        <v>0.85</v>
      </c>
      <c r="BV17" s="4609">
        <v>0.85</v>
      </c>
      <c r="BW17" s="3192">
        <f t="shared" si="0"/>
        <v>1</v>
      </c>
      <c r="BX17" s="16008"/>
      <c r="BY17" s="4706" t="s">
        <v>8933</v>
      </c>
      <c r="BZ17" s="4691" t="s">
        <v>8931</v>
      </c>
      <c r="CA17" s="3183"/>
      <c r="CB17" s="4692"/>
      <c r="CC17" s="4692"/>
      <c r="CD17" s="4692"/>
      <c r="CE17" s="4692"/>
      <c r="CF17" s="3195">
        <v>1134</v>
      </c>
      <c r="CG17" s="3195"/>
      <c r="CH17" s="3195"/>
      <c r="CI17" s="3195"/>
      <c r="CJ17" s="3195"/>
      <c r="CK17" s="3195"/>
      <c r="CL17" s="3195"/>
      <c r="CM17" s="3195">
        <v>11344</v>
      </c>
      <c r="CN17" s="3195"/>
      <c r="CO17" s="3195"/>
      <c r="CP17" s="3195"/>
      <c r="CQ17" s="3195"/>
      <c r="CR17" s="3195"/>
      <c r="CS17" s="3197">
        <v>1134</v>
      </c>
      <c r="CT17" s="3195"/>
      <c r="CU17" s="3195"/>
      <c r="CV17" s="3195"/>
      <c r="CW17" s="3195"/>
      <c r="CX17" s="3195"/>
      <c r="CY17" s="3195"/>
      <c r="CZ17" s="3195"/>
      <c r="DA17" s="3195"/>
      <c r="DB17" s="3195"/>
      <c r="DC17" s="3195"/>
      <c r="DD17" s="3195"/>
      <c r="DE17" s="3195"/>
      <c r="DF17" s="3195"/>
      <c r="DG17" s="3195"/>
      <c r="DH17" s="3195"/>
      <c r="DI17" s="3195"/>
      <c r="DJ17" s="3195"/>
      <c r="DK17" s="3195"/>
      <c r="DL17" s="3195"/>
      <c r="DM17" s="3195"/>
      <c r="DN17" s="3195"/>
      <c r="DO17" s="4831"/>
      <c r="DQ17" s="3476"/>
      <c r="DR17" s="3193"/>
      <c r="DS17" s="3193"/>
      <c r="DT17" s="3193"/>
      <c r="DU17" s="3193"/>
      <c r="DV17" s="3193"/>
      <c r="DW17" s="3193"/>
      <c r="DX17" s="3193"/>
      <c r="DY17" s="3193"/>
      <c r="DZ17" s="3193"/>
      <c r="EA17" s="3193"/>
      <c r="EB17" s="3193"/>
      <c r="EC17" s="3193"/>
      <c r="ED17" s="3193"/>
      <c r="EE17" s="3193"/>
      <c r="EF17" s="3193"/>
      <c r="EG17" s="3193"/>
      <c r="EH17" s="3193"/>
      <c r="EI17" s="3193"/>
      <c r="EJ17" s="3193"/>
      <c r="EK17" s="3193"/>
      <c r="EL17" s="3193"/>
      <c r="EM17" s="3193"/>
      <c r="EN17" s="3193"/>
      <c r="EO17" s="3193"/>
      <c r="EP17" s="3193"/>
      <c r="EQ17" s="3193"/>
      <c r="ER17" s="3193"/>
      <c r="ES17" s="3193"/>
      <c r="ET17" s="3193"/>
      <c r="EU17" s="3193"/>
      <c r="EV17" s="3193"/>
      <c r="EW17" s="3193"/>
      <c r="EX17" s="3193"/>
      <c r="EY17" s="3193"/>
      <c r="EZ17" s="3193"/>
      <c r="FA17" s="3193"/>
      <c r="FB17" s="3193"/>
      <c r="FC17" s="3193"/>
      <c r="FD17" s="3193"/>
      <c r="FE17" s="3193"/>
      <c r="FF17" s="3193"/>
      <c r="FG17" s="3193"/>
      <c r="FH17" s="3193"/>
      <c r="FI17" s="3193"/>
      <c r="FJ17" s="3477"/>
    </row>
    <row r="18" spans="1:166" s="1846" customFormat="1" ht="15" customHeight="1">
      <c r="A18" s="15989"/>
      <c r="B18" s="15953"/>
      <c r="C18" s="15953"/>
      <c r="D18" s="15953"/>
      <c r="E18" s="15931"/>
      <c r="F18" s="15931"/>
      <c r="G18" s="15931"/>
      <c r="H18" s="15931" t="s">
        <v>676</v>
      </c>
      <c r="I18" s="15931" t="s">
        <v>677</v>
      </c>
      <c r="J18" s="15931" t="s">
        <v>678</v>
      </c>
      <c r="K18" s="15931"/>
      <c r="L18" s="4616" t="s">
        <v>2896</v>
      </c>
      <c r="M18" s="2728" t="s">
        <v>167</v>
      </c>
      <c r="N18" s="2728" t="s">
        <v>669</v>
      </c>
      <c r="O18" s="15342"/>
      <c r="P18" s="15931"/>
      <c r="Q18" s="15931"/>
      <c r="R18" s="15931"/>
      <c r="S18" s="15931"/>
      <c r="T18" s="15931"/>
      <c r="U18" s="4700"/>
      <c r="V18" s="15931"/>
      <c r="W18" s="15931"/>
      <c r="X18" s="15931"/>
      <c r="Y18" s="15931"/>
      <c r="Z18" s="15615"/>
      <c r="AA18" s="15931"/>
      <c r="AB18" s="4609">
        <v>1</v>
      </c>
      <c r="AC18" s="2728" t="s">
        <v>2925</v>
      </c>
      <c r="AD18" s="3183" t="s">
        <v>2924</v>
      </c>
      <c r="AE18" s="4612"/>
      <c r="AF18" s="4613"/>
      <c r="AG18" s="3200"/>
      <c r="AH18" s="3200"/>
      <c r="AI18" s="4701"/>
      <c r="AJ18" s="3183">
        <v>4</v>
      </c>
      <c r="AK18" s="3183">
        <v>3</v>
      </c>
      <c r="AL18" s="3183">
        <v>1</v>
      </c>
      <c r="AM18" s="3183">
        <v>4</v>
      </c>
      <c r="AN18" s="3183">
        <v>0</v>
      </c>
      <c r="AO18" s="3183"/>
      <c r="AP18" s="3183"/>
      <c r="AQ18" s="3183"/>
      <c r="AR18" s="3183"/>
      <c r="AS18" s="3183"/>
      <c r="AT18" s="3183"/>
      <c r="AU18" s="3183"/>
      <c r="AV18" s="3183"/>
      <c r="AW18" s="3183"/>
      <c r="AX18" s="3183"/>
      <c r="AY18" s="3183"/>
      <c r="AZ18" s="3183"/>
      <c r="BA18" s="3183"/>
      <c r="BB18" s="3183"/>
      <c r="BC18" s="3183"/>
      <c r="BD18" s="3183"/>
      <c r="BE18" s="3183"/>
      <c r="BF18" s="3183"/>
      <c r="BG18" s="3183"/>
      <c r="BH18" s="3183"/>
      <c r="BI18" s="2728"/>
      <c r="BJ18" s="3183"/>
      <c r="BK18" s="3183"/>
      <c r="BL18" s="3183"/>
      <c r="BM18" s="3183"/>
      <c r="BN18" s="3183"/>
      <c r="BO18" s="3183"/>
      <c r="BP18" s="3183"/>
      <c r="BQ18" s="3183"/>
      <c r="BR18" s="3183"/>
      <c r="BS18" s="3183"/>
      <c r="BT18" s="4609">
        <v>0.3</v>
      </c>
      <c r="BU18" s="4492">
        <v>0.3</v>
      </c>
      <c r="BV18" s="4609">
        <v>0.3</v>
      </c>
      <c r="BW18" s="3192">
        <f t="shared" si="0"/>
        <v>1</v>
      </c>
      <c r="BX18" s="16008"/>
      <c r="BY18" s="4705" t="s">
        <v>8934</v>
      </c>
      <c r="BZ18" s="3183"/>
      <c r="CA18" s="3183"/>
      <c r="CB18" s="4692"/>
      <c r="CC18" s="4692"/>
      <c r="CD18" s="4692"/>
      <c r="CE18" s="4692"/>
      <c r="CF18" s="3195"/>
      <c r="CG18" s="3195"/>
      <c r="CH18" s="3195"/>
      <c r="CI18" s="3195"/>
      <c r="CJ18" s="3195"/>
      <c r="CK18" s="3195"/>
      <c r="CL18" s="3195"/>
      <c r="CM18" s="3195"/>
      <c r="CN18" s="3195"/>
      <c r="CO18" s="3195"/>
      <c r="CP18" s="3195"/>
      <c r="CQ18" s="3195"/>
      <c r="CR18" s="3195"/>
      <c r="CS18" s="3197"/>
      <c r="CT18" s="3195"/>
      <c r="CU18" s="3195"/>
      <c r="CV18" s="3195"/>
      <c r="CW18" s="3195"/>
      <c r="CX18" s="3195"/>
      <c r="CY18" s="3195"/>
      <c r="CZ18" s="3195"/>
      <c r="DA18" s="3195"/>
      <c r="DB18" s="3195"/>
      <c r="DC18" s="3195"/>
      <c r="DD18" s="3195"/>
      <c r="DE18" s="3195"/>
      <c r="DF18" s="3195"/>
      <c r="DG18" s="3195"/>
      <c r="DH18" s="3195"/>
      <c r="DI18" s="3195"/>
      <c r="DJ18" s="3195"/>
      <c r="DK18" s="3195"/>
      <c r="DL18" s="3195"/>
      <c r="DM18" s="3195"/>
      <c r="DN18" s="3195"/>
      <c r="DO18" s="4831"/>
      <c r="DQ18" s="3476"/>
      <c r="DR18" s="3193"/>
      <c r="DS18" s="3193"/>
      <c r="DT18" s="3193"/>
      <c r="DU18" s="3193"/>
      <c r="DV18" s="3193"/>
      <c r="DW18" s="3193"/>
      <c r="DX18" s="3193"/>
      <c r="DY18" s="3193"/>
      <c r="DZ18" s="3193"/>
      <c r="EA18" s="3193"/>
      <c r="EB18" s="3193"/>
      <c r="EC18" s="3193"/>
      <c r="ED18" s="3193"/>
      <c r="EE18" s="3193"/>
      <c r="EF18" s="3193"/>
      <c r="EG18" s="3193"/>
      <c r="EH18" s="3193"/>
      <c r="EI18" s="3193"/>
      <c r="EJ18" s="3193"/>
      <c r="EK18" s="3193"/>
      <c r="EL18" s="3193"/>
      <c r="EM18" s="3193"/>
      <c r="EN18" s="3193"/>
      <c r="EO18" s="3193"/>
      <c r="EP18" s="3193"/>
      <c r="EQ18" s="3193"/>
      <c r="ER18" s="3193"/>
      <c r="ES18" s="3193"/>
      <c r="ET18" s="3193"/>
      <c r="EU18" s="3193"/>
      <c r="EV18" s="3193"/>
      <c r="EW18" s="3193"/>
      <c r="EX18" s="3193"/>
      <c r="EY18" s="3193"/>
      <c r="EZ18" s="3193"/>
      <c r="FA18" s="3193"/>
      <c r="FB18" s="3193"/>
      <c r="FC18" s="3193"/>
      <c r="FD18" s="3193"/>
      <c r="FE18" s="3193"/>
      <c r="FF18" s="3193"/>
      <c r="FG18" s="3193"/>
      <c r="FH18" s="3193"/>
      <c r="FI18" s="3193"/>
      <c r="FJ18" s="3477"/>
    </row>
    <row r="19" spans="1:166" s="1846" customFormat="1" ht="15" customHeight="1">
      <c r="A19" s="15989"/>
      <c r="B19" s="15953"/>
      <c r="C19" s="15953"/>
      <c r="D19" s="15953"/>
      <c r="E19" s="15931"/>
      <c r="F19" s="15931"/>
      <c r="G19" s="15931"/>
      <c r="H19" s="15931"/>
      <c r="I19" s="15931"/>
      <c r="J19" s="15931"/>
      <c r="K19" s="15931"/>
      <c r="L19" s="4616" t="s">
        <v>10194</v>
      </c>
      <c r="M19" s="2728"/>
      <c r="N19" s="2728"/>
      <c r="O19" s="15342"/>
      <c r="P19" s="15931"/>
      <c r="Q19" s="15931"/>
      <c r="R19" s="15931"/>
      <c r="S19" s="15931"/>
      <c r="T19" s="15931"/>
      <c r="U19" s="4700"/>
      <c r="V19" s="15931"/>
      <c r="W19" s="15931"/>
      <c r="X19" s="15931"/>
      <c r="Y19" s="15931"/>
      <c r="Z19" s="15615"/>
      <c r="AA19" s="15931"/>
      <c r="AB19" s="4609"/>
      <c r="AC19" s="2728"/>
      <c r="AD19" s="3183"/>
      <c r="AE19" s="4612"/>
      <c r="AF19" s="4613"/>
      <c r="AG19" s="3200"/>
      <c r="AH19" s="3200"/>
      <c r="AI19" s="4701"/>
      <c r="AJ19" s="3183"/>
      <c r="AK19" s="3183"/>
      <c r="AL19" s="3183"/>
      <c r="AM19" s="3183"/>
      <c r="AN19" s="3183"/>
      <c r="AO19" s="3183"/>
      <c r="AP19" s="3183"/>
      <c r="AQ19" s="3183"/>
      <c r="AR19" s="3183"/>
      <c r="AS19" s="3183"/>
      <c r="AT19" s="3183"/>
      <c r="AU19" s="3183"/>
      <c r="AV19" s="3183"/>
      <c r="AW19" s="3183"/>
      <c r="AX19" s="3183"/>
      <c r="AY19" s="3183"/>
      <c r="AZ19" s="3183"/>
      <c r="BA19" s="3183"/>
      <c r="BB19" s="3183"/>
      <c r="BC19" s="3183"/>
      <c r="BD19" s="3183"/>
      <c r="BE19" s="3183"/>
      <c r="BF19" s="3183"/>
      <c r="BG19" s="3183"/>
      <c r="BH19" s="3183"/>
      <c r="BI19" s="2728"/>
      <c r="BJ19" s="3183"/>
      <c r="BK19" s="3183"/>
      <c r="BL19" s="3183"/>
      <c r="BM19" s="3183"/>
      <c r="BN19" s="3183"/>
      <c r="BO19" s="3183"/>
      <c r="BP19" s="3183"/>
      <c r="BQ19" s="3183"/>
      <c r="BR19" s="3183"/>
      <c r="BS19" s="3183"/>
      <c r="BT19" s="4609"/>
      <c r="BU19" s="4492"/>
      <c r="BV19" s="4609"/>
      <c r="BW19" s="3192"/>
      <c r="BX19" s="16008"/>
      <c r="BY19" s="4705"/>
      <c r="BZ19" s="3183"/>
      <c r="CA19" s="3183"/>
      <c r="CB19" s="4692"/>
      <c r="CC19" s="4692"/>
      <c r="CD19" s="4692"/>
      <c r="CE19" s="4692"/>
      <c r="CF19" s="3195"/>
      <c r="CG19" s="3195"/>
      <c r="CH19" s="3195"/>
      <c r="CI19" s="3195"/>
      <c r="CJ19" s="3195"/>
      <c r="CK19" s="3195"/>
      <c r="CL19" s="3195"/>
      <c r="CM19" s="3195"/>
      <c r="CN19" s="3195"/>
      <c r="CO19" s="3195"/>
      <c r="CP19" s="3195"/>
      <c r="CQ19" s="3195"/>
      <c r="CR19" s="3195"/>
      <c r="CS19" s="3197"/>
      <c r="CT19" s="3195"/>
      <c r="CU19" s="3195"/>
      <c r="CV19" s="3195"/>
      <c r="CW19" s="3195"/>
      <c r="CX19" s="3195"/>
      <c r="CY19" s="3195"/>
      <c r="CZ19" s="3195"/>
      <c r="DA19" s="3195"/>
      <c r="DB19" s="3195"/>
      <c r="DC19" s="3195"/>
      <c r="DD19" s="3195"/>
      <c r="DE19" s="3195"/>
      <c r="DF19" s="3195"/>
      <c r="DG19" s="3195"/>
      <c r="DH19" s="3195"/>
      <c r="DI19" s="3195"/>
      <c r="DJ19" s="3195"/>
      <c r="DK19" s="3195"/>
      <c r="DL19" s="3195"/>
      <c r="DM19" s="3195"/>
      <c r="DN19" s="3195"/>
      <c r="DO19" s="4831"/>
      <c r="DQ19" s="3476"/>
      <c r="DR19" s="3193"/>
      <c r="DS19" s="3193"/>
      <c r="DT19" s="3193"/>
      <c r="DU19" s="3193"/>
      <c r="DV19" s="3193"/>
      <c r="DW19" s="3193"/>
      <c r="DX19" s="3193"/>
      <c r="DY19" s="3193"/>
      <c r="DZ19" s="3193"/>
      <c r="EA19" s="3193"/>
      <c r="EB19" s="3193"/>
      <c r="EC19" s="3193"/>
      <c r="ED19" s="3193"/>
      <c r="EE19" s="3193"/>
      <c r="EF19" s="3193"/>
      <c r="EG19" s="3193"/>
      <c r="EH19" s="3193"/>
      <c r="EI19" s="3193"/>
      <c r="EJ19" s="3193"/>
      <c r="EK19" s="3193"/>
      <c r="EL19" s="3193"/>
      <c r="EM19" s="3193"/>
      <c r="EN19" s="3193"/>
      <c r="EO19" s="3193"/>
      <c r="EP19" s="3193"/>
      <c r="EQ19" s="3193"/>
      <c r="ER19" s="3193"/>
      <c r="ES19" s="3193"/>
      <c r="ET19" s="3193"/>
      <c r="EU19" s="3193"/>
      <c r="EV19" s="3193"/>
      <c r="EW19" s="3193"/>
      <c r="EX19" s="3193"/>
      <c r="EY19" s="3193"/>
      <c r="EZ19" s="3193"/>
      <c r="FA19" s="3193"/>
      <c r="FB19" s="3193"/>
      <c r="FC19" s="3193"/>
      <c r="FD19" s="3193"/>
      <c r="FE19" s="3193"/>
      <c r="FF19" s="3193"/>
      <c r="FG19" s="3193"/>
      <c r="FH19" s="3193"/>
      <c r="FI19" s="3193"/>
      <c r="FJ19" s="3477"/>
    </row>
    <row r="20" spans="1:166" s="1846" customFormat="1" ht="15" customHeight="1">
      <c r="A20" s="15989"/>
      <c r="B20" s="15953"/>
      <c r="C20" s="15953"/>
      <c r="D20" s="15953"/>
      <c r="E20" s="15931"/>
      <c r="F20" s="15931"/>
      <c r="G20" s="15931"/>
      <c r="H20" s="15931" t="s">
        <v>679</v>
      </c>
      <c r="I20" s="15931" t="s">
        <v>680</v>
      </c>
      <c r="J20" s="15931" t="s">
        <v>681</v>
      </c>
      <c r="K20" s="15931"/>
      <c r="L20" s="4616" t="s">
        <v>2896</v>
      </c>
      <c r="M20" s="2728" t="s">
        <v>167</v>
      </c>
      <c r="N20" s="2728" t="s">
        <v>669</v>
      </c>
      <c r="O20" s="15342"/>
      <c r="P20" s="15931"/>
      <c r="Q20" s="15931"/>
      <c r="R20" s="15931"/>
      <c r="S20" s="15931"/>
      <c r="T20" s="15931"/>
      <c r="U20" s="4700"/>
      <c r="V20" s="15931"/>
      <c r="W20" s="15931"/>
      <c r="X20" s="15931"/>
      <c r="Y20" s="15931"/>
      <c r="Z20" s="15615"/>
      <c r="AA20" s="15931"/>
      <c r="AB20" s="4609">
        <v>1</v>
      </c>
      <c r="AC20" s="2728" t="s">
        <v>2926</v>
      </c>
      <c r="AD20" s="2728" t="s">
        <v>2927</v>
      </c>
      <c r="AE20" s="3183" t="s">
        <v>2928</v>
      </c>
      <c r="AF20" s="4707">
        <v>3434700</v>
      </c>
      <c r="AG20" s="4615">
        <v>3434700</v>
      </c>
      <c r="AH20" s="3200"/>
      <c r="AI20" s="4701"/>
      <c r="AJ20" s="3183">
        <v>2</v>
      </c>
      <c r="AK20" s="3183">
        <v>2</v>
      </c>
      <c r="AL20" s="3183"/>
      <c r="AM20" s="3183">
        <v>2</v>
      </c>
      <c r="AN20" s="4612"/>
      <c r="AO20" s="4612"/>
      <c r="AP20" s="4612"/>
      <c r="AQ20" s="4612"/>
      <c r="AR20" s="4612">
        <v>2</v>
      </c>
      <c r="AS20" s="4612"/>
      <c r="AT20" s="4612"/>
      <c r="AU20" s="4612"/>
      <c r="AV20" s="4612"/>
      <c r="AW20" s="4612">
        <v>2</v>
      </c>
      <c r="AX20" s="4612"/>
      <c r="AY20" s="4612"/>
      <c r="AZ20" s="4612"/>
      <c r="BA20" s="4612"/>
      <c r="BB20" s="4612"/>
      <c r="BC20" s="4612"/>
      <c r="BD20" s="4612"/>
      <c r="BE20" s="4612"/>
      <c r="BF20" s="4612"/>
      <c r="BG20" s="4612"/>
      <c r="BH20" s="4612"/>
      <c r="BI20" s="4612"/>
      <c r="BJ20" s="4612"/>
      <c r="BK20" s="3183"/>
      <c r="BL20" s="3183"/>
      <c r="BM20" s="3183"/>
      <c r="BN20" s="3183"/>
      <c r="BO20" s="3183"/>
      <c r="BP20" s="3183"/>
      <c r="BQ20" s="3183"/>
      <c r="BR20" s="3183"/>
      <c r="BS20" s="3183"/>
      <c r="BT20" s="4609">
        <v>0.1</v>
      </c>
      <c r="BU20" s="4609">
        <v>0.1</v>
      </c>
      <c r="BV20" s="4609">
        <v>0.1</v>
      </c>
      <c r="BW20" s="3192">
        <f t="shared" si="0"/>
        <v>1</v>
      </c>
      <c r="BX20" s="16008"/>
      <c r="BY20" s="2728"/>
      <c r="BZ20" s="3183"/>
      <c r="CA20" s="3183"/>
      <c r="CB20" s="4692"/>
      <c r="CC20" s="4692"/>
      <c r="CD20" s="4692"/>
      <c r="CE20" s="4692"/>
      <c r="CF20" s="3195"/>
      <c r="CG20" s="3195"/>
      <c r="CH20" s="3195"/>
      <c r="CI20" s="3195"/>
      <c r="CJ20" s="3195"/>
      <c r="CK20" s="3195"/>
      <c r="CL20" s="3195"/>
      <c r="CM20" s="3195"/>
      <c r="CN20" s="3195"/>
      <c r="CO20" s="3195"/>
      <c r="CP20" s="3195"/>
      <c r="CQ20" s="3195"/>
      <c r="CR20" s="3195"/>
      <c r="CS20" s="3197"/>
      <c r="CT20" s="3195"/>
      <c r="CU20" s="3195"/>
      <c r="CV20" s="3195"/>
      <c r="CW20" s="3195"/>
      <c r="CX20" s="3195"/>
      <c r="CY20" s="3195"/>
      <c r="CZ20" s="3195"/>
      <c r="DA20" s="3195"/>
      <c r="DB20" s="3195"/>
      <c r="DC20" s="3195"/>
      <c r="DD20" s="3195"/>
      <c r="DE20" s="3195"/>
      <c r="DF20" s="3195"/>
      <c r="DG20" s="3195"/>
      <c r="DH20" s="3195"/>
      <c r="DI20" s="3195"/>
      <c r="DJ20" s="3195"/>
      <c r="DK20" s="3195"/>
      <c r="DL20" s="3195"/>
      <c r="DM20" s="3195"/>
      <c r="DN20" s="3195"/>
      <c r="DO20" s="4831"/>
      <c r="DQ20" s="3476"/>
      <c r="DR20" s="3193"/>
      <c r="DS20" s="3193"/>
      <c r="DT20" s="3193"/>
      <c r="DU20" s="3193"/>
      <c r="DV20" s="3193"/>
      <c r="DW20" s="3193"/>
      <c r="DX20" s="3193"/>
      <c r="DY20" s="3193"/>
      <c r="DZ20" s="3193"/>
      <c r="EA20" s="3193"/>
      <c r="EB20" s="3193"/>
      <c r="EC20" s="3193"/>
      <c r="ED20" s="3193"/>
      <c r="EE20" s="3193"/>
      <c r="EF20" s="3193"/>
      <c r="EG20" s="3193"/>
      <c r="EH20" s="3193"/>
      <c r="EI20" s="3193"/>
      <c r="EJ20" s="3193"/>
      <c r="EK20" s="3193"/>
      <c r="EL20" s="3193"/>
      <c r="EM20" s="3193"/>
      <c r="EN20" s="3193"/>
      <c r="EO20" s="3193"/>
      <c r="EP20" s="3193"/>
      <c r="EQ20" s="3193"/>
      <c r="ER20" s="3193"/>
      <c r="ES20" s="3193"/>
      <c r="ET20" s="3193"/>
      <c r="EU20" s="3193"/>
      <c r="EV20" s="3193"/>
      <c r="EW20" s="3193"/>
      <c r="EX20" s="3193"/>
      <c r="EY20" s="3193"/>
      <c r="EZ20" s="3193"/>
      <c r="FA20" s="3193"/>
      <c r="FB20" s="3193"/>
      <c r="FC20" s="3193"/>
      <c r="FD20" s="3193"/>
      <c r="FE20" s="3193"/>
      <c r="FF20" s="3193"/>
      <c r="FG20" s="3193"/>
      <c r="FH20" s="3193"/>
      <c r="FI20" s="3193"/>
      <c r="FJ20" s="3477"/>
    </row>
    <row r="21" spans="1:166" s="1846" customFormat="1" ht="15" customHeight="1">
      <c r="A21" s="15989"/>
      <c r="B21" s="15953"/>
      <c r="C21" s="15953"/>
      <c r="D21" s="15953"/>
      <c r="E21" s="15931"/>
      <c r="F21" s="15931"/>
      <c r="G21" s="15931"/>
      <c r="H21" s="15931"/>
      <c r="I21" s="15931"/>
      <c r="J21" s="15931"/>
      <c r="K21" s="15931"/>
      <c r="L21" s="4616" t="s">
        <v>10194</v>
      </c>
      <c r="M21" s="2728"/>
      <c r="N21" s="2728"/>
      <c r="O21" s="3183"/>
      <c r="P21" s="2728"/>
      <c r="Q21" s="2728"/>
      <c r="R21" s="2728"/>
      <c r="S21" s="2728"/>
      <c r="T21" s="2728"/>
      <c r="U21" s="4700"/>
      <c r="V21" s="2728"/>
      <c r="W21" s="2728"/>
      <c r="X21" s="2728"/>
      <c r="Y21" s="2728"/>
      <c r="Z21" s="4128"/>
      <c r="AA21" s="2728"/>
      <c r="AB21" s="4609"/>
      <c r="AC21" s="2728"/>
      <c r="AD21" s="2728"/>
      <c r="AE21" s="3183"/>
      <c r="AF21" s="4707"/>
      <c r="AG21" s="4615"/>
      <c r="AH21" s="3200"/>
      <c r="AI21" s="4701"/>
      <c r="AJ21" s="3183"/>
      <c r="AK21" s="3183"/>
      <c r="AL21" s="3183"/>
      <c r="AM21" s="3183"/>
      <c r="AN21" s="4612"/>
      <c r="AO21" s="4612"/>
      <c r="AP21" s="4612"/>
      <c r="AQ21" s="4612"/>
      <c r="AR21" s="4612"/>
      <c r="AS21" s="4612"/>
      <c r="AT21" s="4612"/>
      <c r="AU21" s="4612"/>
      <c r="AV21" s="4612"/>
      <c r="AW21" s="4612"/>
      <c r="AX21" s="4612"/>
      <c r="AY21" s="4612"/>
      <c r="AZ21" s="4612"/>
      <c r="BA21" s="4612"/>
      <c r="BB21" s="4612"/>
      <c r="BC21" s="4612"/>
      <c r="BD21" s="4612"/>
      <c r="BE21" s="4612"/>
      <c r="BF21" s="4612"/>
      <c r="BG21" s="4612"/>
      <c r="BH21" s="4612"/>
      <c r="BI21" s="4612"/>
      <c r="BJ21" s="4612"/>
      <c r="BK21" s="3183"/>
      <c r="BL21" s="3183"/>
      <c r="BM21" s="3183"/>
      <c r="BN21" s="3183"/>
      <c r="BO21" s="3183"/>
      <c r="BP21" s="3183"/>
      <c r="BQ21" s="3183"/>
      <c r="BR21" s="3183"/>
      <c r="BS21" s="3183"/>
      <c r="BT21" s="4609"/>
      <c r="BU21" s="4609"/>
      <c r="BV21" s="4609"/>
      <c r="BW21" s="3192"/>
      <c r="BX21" s="16008"/>
      <c r="BY21" s="2728"/>
      <c r="BZ21" s="3183"/>
      <c r="CA21" s="3183"/>
      <c r="CB21" s="4692"/>
      <c r="CC21" s="4692"/>
      <c r="CD21" s="4692"/>
      <c r="CE21" s="4692"/>
      <c r="CF21" s="3195"/>
      <c r="CG21" s="3195"/>
      <c r="CH21" s="3195"/>
      <c r="CI21" s="3195"/>
      <c r="CJ21" s="3195"/>
      <c r="CK21" s="3195"/>
      <c r="CL21" s="3195"/>
      <c r="CM21" s="3195"/>
      <c r="CN21" s="3195"/>
      <c r="CO21" s="3195"/>
      <c r="CP21" s="3195"/>
      <c r="CQ21" s="3195"/>
      <c r="CR21" s="3195"/>
      <c r="CS21" s="3197"/>
      <c r="CT21" s="3195"/>
      <c r="CU21" s="3195"/>
      <c r="CV21" s="3195"/>
      <c r="CW21" s="3195"/>
      <c r="CX21" s="3195"/>
      <c r="CY21" s="3195"/>
      <c r="CZ21" s="3195"/>
      <c r="DA21" s="3195"/>
      <c r="DB21" s="3195"/>
      <c r="DC21" s="3195"/>
      <c r="DD21" s="3195"/>
      <c r="DE21" s="3195"/>
      <c r="DF21" s="3195"/>
      <c r="DG21" s="3195"/>
      <c r="DH21" s="3195"/>
      <c r="DI21" s="3195"/>
      <c r="DJ21" s="3195"/>
      <c r="DK21" s="3195"/>
      <c r="DL21" s="3195"/>
      <c r="DM21" s="3195"/>
      <c r="DN21" s="3195"/>
      <c r="DO21" s="4831"/>
      <c r="DQ21" s="3476"/>
      <c r="DR21" s="3193"/>
      <c r="DS21" s="3193"/>
      <c r="DT21" s="3193"/>
      <c r="DU21" s="3193"/>
      <c r="DV21" s="3193"/>
      <c r="DW21" s="3193"/>
      <c r="DX21" s="3193"/>
      <c r="DY21" s="3193"/>
      <c r="DZ21" s="3193"/>
      <c r="EA21" s="3193"/>
      <c r="EB21" s="3193"/>
      <c r="EC21" s="3193"/>
      <c r="ED21" s="3193"/>
      <c r="EE21" s="3193"/>
      <c r="EF21" s="3193"/>
      <c r="EG21" s="3193"/>
      <c r="EH21" s="3193"/>
      <c r="EI21" s="3193"/>
      <c r="EJ21" s="3193"/>
      <c r="EK21" s="3193"/>
      <c r="EL21" s="3193"/>
      <c r="EM21" s="3193"/>
      <c r="EN21" s="3193"/>
      <c r="EO21" s="3193"/>
      <c r="EP21" s="3193"/>
      <c r="EQ21" s="3193"/>
      <c r="ER21" s="3193"/>
      <c r="ES21" s="3193"/>
      <c r="ET21" s="3193"/>
      <c r="EU21" s="3193"/>
      <c r="EV21" s="3193"/>
      <c r="EW21" s="3193"/>
      <c r="EX21" s="3193"/>
      <c r="EY21" s="3193"/>
      <c r="EZ21" s="3193"/>
      <c r="FA21" s="3193"/>
      <c r="FB21" s="3193"/>
      <c r="FC21" s="3193"/>
      <c r="FD21" s="3193"/>
      <c r="FE21" s="3193"/>
      <c r="FF21" s="3193"/>
      <c r="FG21" s="3193"/>
      <c r="FH21" s="3193"/>
      <c r="FI21" s="3193"/>
      <c r="FJ21" s="3477"/>
    </row>
    <row r="22" spans="1:166" s="1846" customFormat="1" ht="15" customHeight="1">
      <c r="A22" s="15989"/>
      <c r="B22" s="15953"/>
      <c r="C22" s="15953"/>
      <c r="D22" s="4128" t="s">
        <v>7915</v>
      </c>
      <c r="E22" s="2728" t="s">
        <v>4942</v>
      </c>
      <c r="F22" s="2728" t="s">
        <v>682</v>
      </c>
      <c r="G22" s="2728">
        <v>0</v>
      </c>
      <c r="H22" s="2728">
        <v>1</v>
      </c>
      <c r="I22" s="2728">
        <v>3</v>
      </c>
      <c r="J22" s="2728">
        <v>5</v>
      </c>
      <c r="K22" s="2728" t="s">
        <v>683</v>
      </c>
      <c r="L22" s="2728" t="s">
        <v>2896</v>
      </c>
      <c r="M22" s="2728" t="s">
        <v>684</v>
      </c>
      <c r="N22" s="2728"/>
      <c r="O22" s="3183">
        <v>30</v>
      </c>
      <c r="P22" s="3183">
        <v>31</v>
      </c>
      <c r="Q22" s="3183">
        <v>32</v>
      </c>
      <c r="R22" s="3183">
        <v>33</v>
      </c>
      <c r="S22" s="3183">
        <v>34</v>
      </c>
      <c r="T22" s="3183">
        <v>35</v>
      </c>
      <c r="U22" s="4686">
        <v>36</v>
      </c>
      <c r="V22" s="3183">
        <v>37</v>
      </c>
      <c r="W22" s="3183">
        <v>38</v>
      </c>
      <c r="X22" s="3183">
        <v>39</v>
      </c>
      <c r="Y22" s="3183">
        <v>40</v>
      </c>
      <c r="Z22" s="4610">
        <v>385</v>
      </c>
      <c r="AA22" s="3183"/>
      <c r="AB22" s="2728"/>
      <c r="AC22" s="2728" t="s">
        <v>2929</v>
      </c>
      <c r="AD22" s="3183"/>
      <c r="AE22" s="4612"/>
      <c r="AF22" s="4613"/>
      <c r="AG22" s="3200"/>
      <c r="AH22" s="3200"/>
      <c r="AI22" s="4612"/>
      <c r="AJ22" s="4612"/>
      <c r="AK22" s="4612"/>
      <c r="AL22" s="4612"/>
      <c r="AM22" s="4612"/>
      <c r="AN22" s="4612"/>
      <c r="AO22" s="4612"/>
      <c r="AP22" s="4612"/>
      <c r="AQ22" s="4612"/>
      <c r="AR22" s="4612"/>
      <c r="AS22" s="4612"/>
      <c r="AT22" s="4612"/>
      <c r="AU22" s="4612"/>
      <c r="AV22" s="4612"/>
      <c r="AW22" s="4612"/>
      <c r="AX22" s="4612"/>
      <c r="AY22" s="4612"/>
      <c r="AZ22" s="4612"/>
      <c r="BA22" s="4612"/>
      <c r="BB22" s="4612"/>
      <c r="BC22" s="4612"/>
      <c r="BD22" s="4612"/>
      <c r="BE22" s="4612"/>
      <c r="BF22" s="4612"/>
      <c r="BG22" s="4612"/>
      <c r="BH22" s="4612"/>
      <c r="BI22" s="4614"/>
      <c r="BJ22" s="4612"/>
      <c r="BK22" s="4612"/>
      <c r="BL22" s="4612"/>
      <c r="BM22" s="4612"/>
      <c r="BN22" s="4612"/>
      <c r="BO22" s="4612"/>
      <c r="BP22" s="4612"/>
      <c r="BQ22" s="4612"/>
      <c r="BR22" s="4612"/>
      <c r="BS22" s="4612"/>
      <c r="BT22" s="2728">
        <v>5</v>
      </c>
      <c r="BU22" s="3183">
        <v>5</v>
      </c>
      <c r="BV22" s="2728">
        <v>5</v>
      </c>
      <c r="BW22" s="3192">
        <f t="shared" si="0"/>
        <v>1</v>
      </c>
      <c r="BX22" s="16008"/>
      <c r="BY22" s="4698" t="s">
        <v>8935</v>
      </c>
      <c r="BZ22" s="4691" t="s">
        <v>8936</v>
      </c>
      <c r="CA22" s="3183"/>
      <c r="CB22" s="4688">
        <v>15400000</v>
      </c>
      <c r="CC22" s="4692"/>
      <c r="CD22" s="4688">
        <v>15400000</v>
      </c>
      <c r="CE22" s="4692"/>
      <c r="CF22" s="4699">
        <v>2694</v>
      </c>
      <c r="CG22" s="3195"/>
      <c r="CH22" s="3195"/>
      <c r="CI22" s="3195"/>
      <c r="CJ22" s="3195"/>
      <c r="CK22" s="3195"/>
      <c r="CL22" s="3195"/>
      <c r="CM22" s="3195"/>
      <c r="CN22" s="3195"/>
      <c r="CO22" s="3195"/>
      <c r="CP22" s="3195"/>
      <c r="CQ22" s="3195"/>
      <c r="CR22" s="3195"/>
      <c r="CS22" s="3197"/>
      <c r="CT22" s="3195"/>
      <c r="CU22" s="3195"/>
      <c r="CV22" s="3195"/>
      <c r="CW22" s="3195"/>
      <c r="CX22" s="3195"/>
      <c r="CY22" s="3195"/>
      <c r="CZ22" s="3195"/>
      <c r="DA22" s="3195"/>
      <c r="DB22" s="3195"/>
      <c r="DC22" s="3195"/>
      <c r="DD22" s="3195"/>
      <c r="DE22" s="3195"/>
      <c r="DF22" s="3195"/>
      <c r="DG22" s="3195"/>
      <c r="DH22" s="3195"/>
      <c r="DI22" s="3195"/>
      <c r="DJ22" s="3195"/>
      <c r="DK22" s="3195"/>
      <c r="DL22" s="3195"/>
      <c r="DM22" s="3195"/>
      <c r="DN22" s="3195"/>
      <c r="DO22" s="4831"/>
      <c r="DQ22" s="3476"/>
      <c r="DR22" s="3193"/>
      <c r="DS22" s="3193"/>
      <c r="DT22" s="3193"/>
      <c r="DU22" s="3193"/>
      <c r="DV22" s="3193"/>
      <c r="DW22" s="3193"/>
      <c r="DX22" s="3193"/>
      <c r="DY22" s="3193"/>
      <c r="DZ22" s="3193"/>
      <c r="EA22" s="3193"/>
      <c r="EB22" s="3193"/>
      <c r="EC22" s="3193"/>
      <c r="ED22" s="3193"/>
      <c r="EE22" s="3193"/>
      <c r="EF22" s="3193"/>
      <c r="EG22" s="3193"/>
      <c r="EH22" s="3193"/>
      <c r="EI22" s="3193"/>
      <c r="EJ22" s="3193"/>
      <c r="EK22" s="3193"/>
      <c r="EL22" s="3193"/>
      <c r="EM22" s="3193"/>
      <c r="EN22" s="3193"/>
      <c r="EO22" s="3193"/>
      <c r="EP22" s="3193"/>
      <c r="EQ22" s="3193"/>
      <c r="ER22" s="3193"/>
      <c r="ES22" s="3193"/>
      <c r="ET22" s="3193"/>
      <c r="EU22" s="3193"/>
      <c r="EV22" s="3193"/>
      <c r="EW22" s="3193"/>
      <c r="EX22" s="3193"/>
      <c r="EY22" s="3193"/>
      <c r="EZ22" s="3193"/>
      <c r="FA22" s="3193"/>
      <c r="FB22" s="3193"/>
      <c r="FC22" s="3193"/>
      <c r="FD22" s="3193"/>
      <c r="FE22" s="3193"/>
      <c r="FF22" s="3193"/>
      <c r="FG22" s="3193"/>
      <c r="FH22" s="3193"/>
      <c r="FI22" s="3193"/>
      <c r="FJ22" s="3477"/>
    </row>
    <row r="23" spans="1:166" s="1846" customFormat="1" ht="15" customHeight="1">
      <c r="A23" s="15989"/>
      <c r="B23" s="15953"/>
      <c r="C23" s="15953"/>
      <c r="D23" s="4128" t="s">
        <v>7916</v>
      </c>
      <c r="E23" s="2728" t="s">
        <v>4943</v>
      </c>
      <c r="F23" s="2728" t="s">
        <v>685</v>
      </c>
      <c r="G23" s="2728" t="s">
        <v>686</v>
      </c>
      <c r="H23" s="2728">
        <v>1</v>
      </c>
      <c r="I23" s="2728">
        <v>1</v>
      </c>
      <c r="J23" s="2728">
        <v>1</v>
      </c>
      <c r="K23" s="2728" t="s">
        <v>687</v>
      </c>
      <c r="L23" s="2728" t="s">
        <v>2896</v>
      </c>
      <c r="M23" s="2728" t="s">
        <v>167</v>
      </c>
      <c r="N23" s="2728"/>
      <c r="O23" s="3183">
        <v>25</v>
      </c>
      <c r="P23" s="3183">
        <v>26</v>
      </c>
      <c r="Q23" s="3183">
        <v>27</v>
      </c>
      <c r="R23" s="3183">
        <v>27</v>
      </c>
      <c r="S23" s="3183">
        <v>28</v>
      </c>
      <c r="T23" s="3183">
        <v>29</v>
      </c>
      <c r="U23" s="4686">
        <v>30</v>
      </c>
      <c r="V23" s="3183">
        <v>31</v>
      </c>
      <c r="W23" s="3183">
        <v>32</v>
      </c>
      <c r="X23" s="3183">
        <v>33</v>
      </c>
      <c r="Y23" s="3183">
        <v>34</v>
      </c>
      <c r="Z23" s="4610">
        <v>322</v>
      </c>
      <c r="AA23" s="3183"/>
      <c r="AB23" s="4609">
        <v>1</v>
      </c>
      <c r="AC23" s="4703" t="s">
        <v>2930</v>
      </c>
      <c r="AD23" s="3183" t="s">
        <v>2931</v>
      </c>
      <c r="AE23" s="4612"/>
      <c r="AF23" s="4613"/>
      <c r="AG23" s="3200"/>
      <c r="AH23" s="3200"/>
      <c r="AI23" s="4612"/>
      <c r="AJ23" s="3183">
        <v>2237</v>
      </c>
      <c r="AK23" s="3183">
        <v>895</v>
      </c>
      <c r="AL23" s="3183">
        <v>1342</v>
      </c>
      <c r="AM23" s="4612"/>
      <c r="AN23" s="4612"/>
      <c r="AO23" s="4612"/>
      <c r="AP23" s="4612"/>
      <c r="AQ23" s="4612"/>
      <c r="AR23" s="4612"/>
      <c r="AS23" s="4612"/>
      <c r="AT23" s="4612"/>
      <c r="AU23" s="4612"/>
      <c r="AV23" s="4612"/>
      <c r="AW23" s="4612"/>
      <c r="AX23" s="4612"/>
      <c r="AY23" s="4612"/>
      <c r="AZ23" s="4612"/>
      <c r="BA23" s="4612"/>
      <c r="BB23" s="4612"/>
      <c r="BC23" s="4612"/>
      <c r="BD23" s="4612"/>
      <c r="BE23" s="4612"/>
      <c r="BF23" s="4612"/>
      <c r="BG23" s="4612"/>
      <c r="BH23" s="4612"/>
      <c r="BI23" s="4614"/>
      <c r="BJ23" s="4612"/>
      <c r="BK23" s="4612"/>
      <c r="BL23" s="4612"/>
      <c r="BM23" s="4612"/>
      <c r="BN23" s="4612"/>
      <c r="BO23" s="4612"/>
      <c r="BP23" s="4612"/>
      <c r="BQ23" s="4612"/>
      <c r="BR23" s="4612"/>
      <c r="BS23" s="4612"/>
      <c r="BT23" s="2728">
        <v>1</v>
      </c>
      <c r="BU23" s="3183">
        <v>1</v>
      </c>
      <c r="BV23" s="2728">
        <v>1</v>
      </c>
      <c r="BW23" s="3192">
        <f t="shared" si="0"/>
        <v>1</v>
      </c>
      <c r="BX23" s="16008"/>
      <c r="BY23" s="4698" t="s">
        <v>8937</v>
      </c>
      <c r="BZ23" s="4691" t="s">
        <v>8938</v>
      </c>
      <c r="CA23" s="3183"/>
      <c r="CB23" s="4697">
        <v>5299000</v>
      </c>
      <c r="CC23" s="4692"/>
      <c r="CD23" s="4688">
        <v>5299000</v>
      </c>
      <c r="CE23" s="4692"/>
      <c r="CF23" s="3195"/>
      <c r="CG23" s="3195"/>
      <c r="CH23" s="3195"/>
      <c r="CI23" s="3195"/>
      <c r="CJ23" s="3195"/>
      <c r="CK23" s="3195"/>
      <c r="CL23" s="3195"/>
      <c r="CM23" s="3195"/>
      <c r="CN23" s="3195"/>
      <c r="CO23" s="3195"/>
      <c r="CP23" s="3195"/>
      <c r="CQ23" s="3195"/>
      <c r="CR23" s="3195"/>
      <c r="CS23" s="3197"/>
      <c r="CT23" s="3195"/>
      <c r="CU23" s="3195"/>
      <c r="CV23" s="3195"/>
      <c r="CW23" s="3195"/>
      <c r="CX23" s="3195"/>
      <c r="CY23" s="3195"/>
      <c r="CZ23" s="3195"/>
      <c r="DA23" s="3195"/>
      <c r="DB23" s="3195"/>
      <c r="DC23" s="3195"/>
      <c r="DD23" s="3195"/>
      <c r="DE23" s="3195"/>
      <c r="DF23" s="3195"/>
      <c r="DG23" s="3195"/>
      <c r="DH23" s="3195"/>
      <c r="DI23" s="3195"/>
      <c r="DJ23" s="3195"/>
      <c r="DK23" s="3195"/>
      <c r="DL23" s="3195"/>
      <c r="DM23" s="3195"/>
      <c r="DN23" s="3195"/>
      <c r="DO23" s="4831"/>
      <c r="DQ23" s="3476"/>
      <c r="DR23" s="3193"/>
      <c r="DS23" s="3193"/>
      <c r="DT23" s="3193"/>
      <c r="DU23" s="3193"/>
      <c r="DV23" s="3193"/>
      <c r="DW23" s="3193"/>
      <c r="DX23" s="3193"/>
      <c r="DY23" s="3193"/>
      <c r="DZ23" s="3193"/>
      <c r="EA23" s="3193"/>
      <c r="EB23" s="3193"/>
      <c r="EC23" s="3193"/>
      <c r="ED23" s="3193"/>
      <c r="EE23" s="3193"/>
      <c r="EF23" s="3193"/>
      <c r="EG23" s="3193"/>
      <c r="EH23" s="3193"/>
      <c r="EI23" s="3193"/>
      <c r="EJ23" s="3193"/>
      <c r="EK23" s="3193"/>
      <c r="EL23" s="3193"/>
      <c r="EM23" s="3193"/>
      <c r="EN23" s="3193"/>
      <c r="EO23" s="3193"/>
      <c r="EP23" s="3193"/>
      <c r="EQ23" s="3193"/>
      <c r="ER23" s="3193"/>
      <c r="ES23" s="3193"/>
      <c r="ET23" s="3193"/>
      <c r="EU23" s="3193"/>
      <c r="EV23" s="3193"/>
      <c r="EW23" s="3193"/>
      <c r="EX23" s="3193"/>
      <c r="EY23" s="3193"/>
      <c r="EZ23" s="3193"/>
      <c r="FA23" s="3193"/>
      <c r="FB23" s="3193"/>
      <c r="FC23" s="3193"/>
      <c r="FD23" s="3193"/>
      <c r="FE23" s="3193"/>
      <c r="FF23" s="3193"/>
      <c r="FG23" s="3193"/>
      <c r="FH23" s="3193"/>
      <c r="FI23" s="3193"/>
      <c r="FJ23" s="3477"/>
    </row>
    <row r="24" spans="1:166" s="1846" customFormat="1" ht="15" customHeight="1">
      <c r="A24" s="15989"/>
      <c r="B24" s="15953"/>
      <c r="C24" s="15953"/>
      <c r="D24" s="4128" t="s">
        <v>7917</v>
      </c>
      <c r="E24" s="2728" t="s">
        <v>4944</v>
      </c>
      <c r="F24" s="2728" t="s">
        <v>688</v>
      </c>
      <c r="G24" s="2728" t="s">
        <v>542</v>
      </c>
      <c r="H24" s="4609">
        <v>0.1</v>
      </c>
      <c r="I24" s="4609">
        <v>0.5</v>
      </c>
      <c r="J24" s="4609">
        <v>1</v>
      </c>
      <c r="K24" s="2728" t="s">
        <v>689</v>
      </c>
      <c r="L24" s="2728" t="s">
        <v>2896</v>
      </c>
      <c r="M24" s="2728" t="s">
        <v>167</v>
      </c>
      <c r="N24" s="2728"/>
      <c r="O24" s="3183">
        <v>30</v>
      </c>
      <c r="P24" s="3183">
        <v>31</v>
      </c>
      <c r="Q24" s="3183">
        <v>32</v>
      </c>
      <c r="R24" s="3183" t="s">
        <v>690</v>
      </c>
      <c r="S24" s="3183" t="s">
        <v>690</v>
      </c>
      <c r="T24" s="3183">
        <v>35</v>
      </c>
      <c r="U24" s="4686">
        <v>36</v>
      </c>
      <c r="V24" s="3183">
        <v>37</v>
      </c>
      <c r="W24" s="3183" t="s">
        <v>690</v>
      </c>
      <c r="X24" s="3183" t="s">
        <v>690</v>
      </c>
      <c r="Y24" s="3183">
        <v>40</v>
      </c>
      <c r="Z24" s="4610">
        <v>241</v>
      </c>
      <c r="AA24" s="3183"/>
      <c r="AB24" s="4609">
        <v>1</v>
      </c>
      <c r="AC24" s="4708" t="s">
        <v>2932</v>
      </c>
      <c r="AD24" s="3183" t="s">
        <v>2933</v>
      </c>
      <c r="AE24" s="4612"/>
      <c r="AF24" s="4709" t="s">
        <v>2934</v>
      </c>
      <c r="AG24" s="3200"/>
      <c r="AH24" s="4709" t="s">
        <v>2934</v>
      </c>
      <c r="AI24" s="4612"/>
      <c r="AJ24" s="4612">
        <v>5280</v>
      </c>
      <c r="AK24" s="4612">
        <v>3187</v>
      </c>
      <c r="AL24" s="4612">
        <v>2093</v>
      </c>
      <c r="AM24" s="4612">
        <v>4411</v>
      </c>
      <c r="AN24" s="4612">
        <v>869</v>
      </c>
      <c r="AO24" s="4612">
        <v>37</v>
      </c>
      <c r="AP24" s="4612">
        <v>2316</v>
      </c>
      <c r="AQ24" s="4612">
        <v>2393</v>
      </c>
      <c r="AR24" s="4612">
        <v>497</v>
      </c>
      <c r="AS24" s="4612">
        <v>33</v>
      </c>
      <c r="AT24" s="4612">
        <v>4</v>
      </c>
      <c r="AU24" s="4612">
        <v>0</v>
      </c>
      <c r="AV24" s="4612">
        <v>0</v>
      </c>
      <c r="AW24" s="4612">
        <v>4586</v>
      </c>
      <c r="AX24" s="4612">
        <v>195</v>
      </c>
      <c r="AY24" s="4612">
        <v>8</v>
      </c>
      <c r="AZ24" s="4612">
        <v>0</v>
      </c>
      <c r="BA24" s="4612">
        <v>0</v>
      </c>
      <c r="BB24" s="4612">
        <v>0</v>
      </c>
      <c r="BC24" s="4612">
        <v>0</v>
      </c>
      <c r="BD24" s="4612">
        <v>0</v>
      </c>
      <c r="BE24" s="4612">
        <v>259</v>
      </c>
      <c r="BF24" s="4612">
        <v>97</v>
      </c>
      <c r="BG24" s="4612">
        <v>0</v>
      </c>
      <c r="BH24" s="4612">
        <v>0</v>
      </c>
      <c r="BI24" s="4614">
        <v>0</v>
      </c>
      <c r="BJ24" s="4612">
        <v>0</v>
      </c>
      <c r="BK24" s="4612">
        <v>0</v>
      </c>
      <c r="BL24" s="4612">
        <v>0</v>
      </c>
      <c r="BM24" s="4612">
        <v>0</v>
      </c>
      <c r="BN24" s="4612">
        <v>0</v>
      </c>
      <c r="BO24" s="4612">
        <v>0</v>
      </c>
      <c r="BP24" s="4612">
        <v>0</v>
      </c>
      <c r="BQ24" s="4612">
        <v>0</v>
      </c>
      <c r="BR24" s="4612">
        <v>0</v>
      </c>
      <c r="BS24" s="4612">
        <v>0</v>
      </c>
      <c r="BT24" s="4609">
        <v>1</v>
      </c>
      <c r="BU24" s="4492">
        <v>1</v>
      </c>
      <c r="BV24" s="4609">
        <v>1</v>
      </c>
      <c r="BW24" s="3192">
        <f t="shared" si="0"/>
        <v>1</v>
      </c>
      <c r="BX24" s="16008"/>
      <c r="BY24" s="4687" t="s">
        <v>8939</v>
      </c>
      <c r="BZ24" s="4687" t="s">
        <v>8940</v>
      </c>
      <c r="CA24" s="3183"/>
      <c r="CB24" s="4697">
        <v>135000000</v>
      </c>
      <c r="CC24" s="4692"/>
      <c r="CD24" s="4688">
        <v>135000000</v>
      </c>
      <c r="CE24" s="4692"/>
      <c r="CF24" s="3195"/>
      <c r="CG24" s="3195"/>
      <c r="CH24" s="3195"/>
      <c r="CI24" s="3195"/>
      <c r="CJ24" s="3195"/>
      <c r="CK24" s="3195"/>
      <c r="CL24" s="3195"/>
      <c r="CM24" s="3195"/>
      <c r="CN24" s="3195"/>
      <c r="CO24" s="3195"/>
      <c r="CP24" s="3195"/>
      <c r="CQ24" s="3195"/>
      <c r="CR24" s="3195"/>
      <c r="CS24" s="3197"/>
      <c r="CT24" s="3195"/>
      <c r="CU24" s="3195"/>
      <c r="CV24" s="3195"/>
      <c r="CW24" s="3195"/>
      <c r="CX24" s="3195"/>
      <c r="CY24" s="3195"/>
      <c r="CZ24" s="3195"/>
      <c r="DA24" s="3195"/>
      <c r="DB24" s="3195"/>
      <c r="DC24" s="3195"/>
      <c r="DD24" s="3195"/>
      <c r="DE24" s="3195"/>
      <c r="DF24" s="3195"/>
      <c r="DG24" s="3195"/>
      <c r="DH24" s="3195"/>
      <c r="DI24" s="3195"/>
      <c r="DJ24" s="3195"/>
      <c r="DK24" s="3195"/>
      <c r="DL24" s="3195"/>
      <c r="DM24" s="3195"/>
      <c r="DN24" s="3195"/>
      <c r="DO24" s="4831"/>
      <c r="DQ24" s="3476"/>
      <c r="DR24" s="3193"/>
      <c r="DS24" s="3193"/>
      <c r="DT24" s="3193"/>
      <c r="DU24" s="3193"/>
      <c r="DV24" s="3193"/>
      <c r="DW24" s="3193"/>
      <c r="DX24" s="3193"/>
      <c r="DY24" s="3193"/>
      <c r="DZ24" s="3193"/>
      <c r="EA24" s="3193"/>
      <c r="EB24" s="3193"/>
      <c r="EC24" s="3193"/>
      <c r="ED24" s="3193"/>
      <c r="EE24" s="3193"/>
      <c r="EF24" s="3193"/>
      <c r="EG24" s="3193"/>
      <c r="EH24" s="3193"/>
      <c r="EI24" s="3193"/>
      <c r="EJ24" s="3193"/>
      <c r="EK24" s="3193"/>
      <c r="EL24" s="3193"/>
      <c r="EM24" s="3193"/>
      <c r="EN24" s="3193"/>
      <c r="EO24" s="3193"/>
      <c r="EP24" s="3193"/>
      <c r="EQ24" s="3193"/>
      <c r="ER24" s="3193"/>
      <c r="ES24" s="3193"/>
      <c r="ET24" s="3193"/>
      <c r="EU24" s="3193"/>
      <c r="EV24" s="3193"/>
      <c r="EW24" s="3193"/>
      <c r="EX24" s="3193"/>
      <c r="EY24" s="3193"/>
      <c r="EZ24" s="3193"/>
      <c r="FA24" s="3193"/>
      <c r="FB24" s="3193"/>
      <c r="FC24" s="3193"/>
      <c r="FD24" s="3193"/>
      <c r="FE24" s="3193"/>
      <c r="FF24" s="3193"/>
      <c r="FG24" s="3193"/>
      <c r="FH24" s="3193"/>
      <c r="FI24" s="3193"/>
      <c r="FJ24" s="3477"/>
    </row>
    <row r="25" spans="1:166" s="1846" customFormat="1" ht="15" customHeight="1">
      <c r="A25" s="15989"/>
      <c r="B25" s="15953"/>
      <c r="C25" s="15953"/>
      <c r="D25" s="4128" t="s">
        <v>7918</v>
      </c>
      <c r="E25" s="2728" t="s">
        <v>4945</v>
      </c>
      <c r="F25" s="2728" t="s">
        <v>682</v>
      </c>
      <c r="G25" s="2728" t="s">
        <v>691</v>
      </c>
      <c r="H25" s="2728">
        <v>2</v>
      </c>
      <c r="I25" s="2728">
        <v>4</v>
      </c>
      <c r="J25" s="2728">
        <v>10</v>
      </c>
      <c r="K25" s="2728" t="s">
        <v>692</v>
      </c>
      <c r="L25" s="2728" t="s">
        <v>2896</v>
      </c>
      <c r="M25" s="2728" t="s">
        <v>167</v>
      </c>
      <c r="N25" s="2728"/>
      <c r="O25" s="3183">
        <v>50</v>
      </c>
      <c r="P25" s="3183">
        <v>52</v>
      </c>
      <c r="Q25" s="3183">
        <v>53</v>
      </c>
      <c r="R25" s="3183">
        <v>55</v>
      </c>
      <c r="S25" s="3183">
        <v>56</v>
      </c>
      <c r="T25" s="3183">
        <v>58</v>
      </c>
      <c r="U25" s="4686">
        <v>60</v>
      </c>
      <c r="V25" s="3183">
        <v>61</v>
      </c>
      <c r="W25" s="3183">
        <v>63</v>
      </c>
      <c r="X25" s="3183">
        <v>65</v>
      </c>
      <c r="Y25" s="3183">
        <v>67</v>
      </c>
      <c r="Z25" s="4610">
        <v>640</v>
      </c>
      <c r="AA25" s="3183"/>
      <c r="AB25" s="2728"/>
      <c r="AC25" s="2728" t="s">
        <v>2935</v>
      </c>
      <c r="AD25" s="2728"/>
      <c r="AE25" s="4612"/>
      <c r="AF25" s="4613"/>
      <c r="AG25" s="3200"/>
      <c r="AH25" s="3200"/>
      <c r="AI25" s="4612"/>
      <c r="AJ25" s="4612"/>
      <c r="AK25" s="4612"/>
      <c r="AL25" s="4612"/>
      <c r="AM25" s="4612"/>
      <c r="AN25" s="4612"/>
      <c r="AO25" s="4612"/>
      <c r="AP25" s="4612"/>
      <c r="AQ25" s="4612"/>
      <c r="AR25" s="4612"/>
      <c r="AS25" s="4612"/>
      <c r="AT25" s="4612"/>
      <c r="AU25" s="4612"/>
      <c r="AV25" s="4612"/>
      <c r="AW25" s="4612"/>
      <c r="AX25" s="4612"/>
      <c r="AY25" s="4612"/>
      <c r="AZ25" s="4612"/>
      <c r="BA25" s="4612"/>
      <c r="BB25" s="4612"/>
      <c r="BC25" s="4612"/>
      <c r="BD25" s="4612"/>
      <c r="BE25" s="4612"/>
      <c r="BF25" s="4612"/>
      <c r="BG25" s="4612"/>
      <c r="BH25" s="4612"/>
      <c r="BI25" s="4614"/>
      <c r="BJ25" s="4612"/>
      <c r="BK25" s="4612"/>
      <c r="BL25" s="4612"/>
      <c r="BM25" s="4612"/>
      <c r="BN25" s="4612"/>
      <c r="BO25" s="4612"/>
      <c r="BP25" s="4612"/>
      <c r="BQ25" s="4612"/>
      <c r="BR25" s="4612"/>
      <c r="BS25" s="4612"/>
      <c r="BT25" s="2728">
        <v>10</v>
      </c>
      <c r="BU25" s="2728">
        <v>10</v>
      </c>
      <c r="BV25" s="2728">
        <v>10</v>
      </c>
      <c r="BW25" s="3192">
        <f t="shared" si="0"/>
        <v>1</v>
      </c>
      <c r="BX25" s="16008"/>
      <c r="BY25" s="4698" t="s">
        <v>8941</v>
      </c>
      <c r="BZ25" s="4687" t="s">
        <v>8942</v>
      </c>
      <c r="CA25" s="3183"/>
      <c r="CB25" s="4697">
        <v>17668000</v>
      </c>
      <c r="CC25" s="4692"/>
      <c r="CD25" s="4688">
        <v>17668000</v>
      </c>
      <c r="CE25" s="4692"/>
      <c r="CF25" s="3195"/>
      <c r="CG25" s="3195"/>
      <c r="CH25" s="3195"/>
      <c r="CI25" s="3195"/>
      <c r="CJ25" s="3195"/>
      <c r="CK25" s="3195"/>
      <c r="CL25" s="3195"/>
      <c r="CM25" s="3195"/>
      <c r="CN25" s="3195"/>
      <c r="CO25" s="3195"/>
      <c r="CP25" s="3195"/>
      <c r="CQ25" s="3195"/>
      <c r="CR25" s="3195"/>
      <c r="CS25" s="3197"/>
      <c r="CT25" s="3195"/>
      <c r="CU25" s="3195"/>
      <c r="CV25" s="3195"/>
      <c r="CW25" s="3195"/>
      <c r="CX25" s="3195"/>
      <c r="CY25" s="3195"/>
      <c r="CZ25" s="3195"/>
      <c r="DA25" s="3195"/>
      <c r="DB25" s="3195"/>
      <c r="DC25" s="3195"/>
      <c r="DD25" s="3195"/>
      <c r="DE25" s="3195"/>
      <c r="DF25" s="3195"/>
      <c r="DG25" s="3195"/>
      <c r="DH25" s="3195"/>
      <c r="DI25" s="3195"/>
      <c r="DJ25" s="3195"/>
      <c r="DK25" s="3195"/>
      <c r="DL25" s="3195"/>
      <c r="DM25" s="3195"/>
      <c r="DN25" s="3195"/>
      <c r="DO25" s="4831"/>
      <c r="DQ25" s="3476"/>
      <c r="DR25" s="3193"/>
      <c r="DS25" s="3193"/>
      <c r="DT25" s="3193"/>
      <c r="DU25" s="3193"/>
      <c r="DV25" s="3193"/>
      <c r="DW25" s="3193"/>
      <c r="DX25" s="3193"/>
      <c r="DY25" s="3193"/>
      <c r="DZ25" s="3193"/>
      <c r="EA25" s="3193"/>
      <c r="EB25" s="3193"/>
      <c r="EC25" s="3193"/>
      <c r="ED25" s="3193"/>
      <c r="EE25" s="3193"/>
      <c r="EF25" s="3193"/>
      <c r="EG25" s="3193"/>
      <c r="EH25" s="3193"/>
      <c r="EI25" s="3193"/>
      <c r="EJ25" s="3193"/>
      <c r="EK25" s="3193"/>
      <c r="EL25" s="3193"/>
      <c r="EM25" s="3193"/>
      <c r="EN25" s="3193"/>
      <c r="EO25" s="3193"/>
      <c r="EP25" s="3193"/>
      <c r="EQ25" s="3193"/>
      <c r="ER25" s="3193"/>
      <c r="ES25" s="3193"/>
      <c r="ET25" s="3193"/>
      <c r="EU25" s="3193"/>
      <c r="EV25" s="3193"/>
      <c r="EW25" s="3193"/>
      <c r="EX25" s="3193"/>
      <c r="EY25" s="3193"/>
      <c r="EZ25" s="3193"/>
      <c r="FA25" s="3193"/>
      <c r="FB25" s="3193"/>
      <c r="FC25" s="3193"/>
      <c r="FD25" s="3193"/>
      <c r="FE25" s="3193"/>
      <c r="FF25" s="3193"/>
      <c r="FG25" s="3193"/>
      <c r="FH25" s="3193"/>
      <c r="FI25" s="3193"/>
      <c r="FJ25" s="3477"/>
    </row>
    <row r="26" spans="1:166" s="1846" customFormat="1" ht="15" customHeight="1">
      <c r="A26" s="15989"/>
      <c r="B26" s="15953"/>
      <c r="C26" s="15953"/>
      <c r="D26" s="15615" t="s">
        <v>7919</v>
      </c>
      <c r="E26" s="15931" t="s">
        <v>4946</v>
      </c>
      <c r="F26" s="15931" t="s">
        <v>693</v>
      </c>
      <c r="G26" s="15931">
        <v>0</v>
      </c>
      <c r="H26" s="15932">
        <v>0.05</v>
      </c>
      <c r="I26" s="15932">
        <v>0.2</v>
      </c>
      <c r="J26" s="15932">
        <v>0.5</v>
      </c>
      <c r="K26" s="15931" t="s">
        <v>694</v>
      </c>
      <c r="L26" s="2728" t="s">
        <v>2896</v>
      </c>
      <c r="M26" s="2728" t="s">
        <v>167</v>
      </c>
      <c r="N26" s="2728"/>
      <c r="O26" s="3183">
        <v>25</v>
      </c>
      <c r="P26" s="3183">
        <v>26</v>
      </c>
      <c r="Q26" s="3183">
        <v>27</v>
      </c>
      <c r="R26" s="3183">
        <v>27</v>
      </c>
      <c r="S26" s="3183">
        <v>28</v>
      </c>
      <c r="T26" s="3183">
        <v>29</v>
      </c>
      <c r="U26" s="4686">
        <v>30</v>
      </c>
      <c r="V26" s="3183">
        <v>31</v>
      </c>
      <c r="W26" s="3183">
        <v>32</v>
      </c>
      <c r="X26" s="3183">
        <v>33</v>
      </c>
      <c r="Y26" s="3183">
        <v>34</v>
      </c>
      <c r="Z26" s="4610">
        <v>322</v>
      </c>
      <c r="AA26" s="3183"/>
      <c r="AB26" s="2728"/>
      <c r="AC26" s="4617" t="s">
        <v>2936</v>
      </c>
      <c r="AD26" s="2728"/>
      <c r="AE26" s="4612"/>
      <c r="AF26" s="4613"/>
      <c r="AG26" s="3200"/>
      <c r="AH26" s="3200"/>
      <c r="AI26" s="4612"/>
      <c r="AJ26" s="4612"/>
      <c r="AK26" s="4612"/>
      <c r="AL26" s="4612"/>
      <c r="AM26" s="4612"/>
      <c r="AN26" s="4612"/>
      <c r="AO26" s="4612"/>
      <c r="AP26" s="4612"/>
      <c r="AQ26" s="4612"/>
      <c r="AR26" s="4612"/>
      <c r="AS26" s="4612"/>
      <c r="AT26" s="4612"/>
      <c r="AU26" s="4612"/>
      <c r="AV26" s="4612"/>
      <c r="AW26" s="4612"/>
      <c r="AX26" s="4612"/>
      <c r="AY26" s="4612"/>
      <c r="AZ26" s="4612"/>
      <c r="BA26" s="4612"/>
      <c r="BB26" s="4612"/>
      <c r="BC26" s="4612"/>
      <c r="BD26" s="4612"/>
      <c r="BE26" s="4612"/>
      <c r="BF26" s="4612"/>
      <c r="BG26" s="4612"/>
      <c r="BH26" s="4612"/>
      <c r="BI26" s="4614"/>
      <c r="BJ26" s="4612"/>
      <c r="BK26" s="4612"/>
      <c r="BL26" s="4612"/>
      <c r="BM26" s="4612"/>
      <c r="BN26" s="4612"/>
      <c r="BO26" s="4612"/>
      <c r="BP26" s="4612"/>
      <c r="BQ26" s="4612"/>
      <c r="BR26" s="4612"/>
      <c r="BS26" s="4612"/>
      <c r="BT26" s="4710">
        <f>6/72</f>
        <v>8.3333333333333329E-2</v>
      </c>
      <c r="BU26" s="2723">
        <v>0.35</v>
      </c>
      <c r="BV26" s="4609">
        <v>0.1</v>
      </c>
      <c r="BW26" s="3192">
        <f t="shared" si="0"/>
        <v>0.28571428571428575</v>
      </c>
      <c r="BX26" s="16008"/>
      <c r="BY26" s="4698" t="s">
        <v>8943</v>
      </c>
      <c r="BZ26" s="4691" t="s">
        <v>8944</v>
      </c>
      <c r="CA26" s="3183"/>
      <c r="CB26" s="4697">
        <v>17668000</v>
      </c>
      <c r="CC26" s="4692"/>
      <c r="CD26" s="4688">
        <v>17668000</v>
      </c>
      <c r="CE26" s="4692"/>
      <c r="CF26" s="3195"/>
      <c r="CG26" s="3195"/>
      <c r="CH26" s="3195"/>
      <c r="CI26" s="3195"/>
      <c r="CJ26" s="3195"/>
      <c r="CK26" s="3195"/>
      <c r="CL26" s="3195"/>
      <c r="CM26" s="3195"/>
      <c r="CN26" s="3195"/>
      <c r="CO26" s="3195"/>
      <c r="CP26" s="3195"/>
      <c r="CQ26" s="3195"/>
      <c r="CR26" s="3195"/>
      <c r="CS26" s="3197"/>
      <c r="CT26" s="3195"/>
      <c r="CU26" s="3195"/>
      <c r="CV26" s="3195"/>
      <c r="CW26" s="3195"/>
      <c r="CX26" s="3195"/>
      <c r="CY26" s="3195"/>
      <c r="CZ26" s="3195"/>
      <c r="DA26" s="3195"/>
      <c r="DB26" s="3195"/>
      <c r="DC26" s="3195"/>
      <c r="DD26" s="3195"/>
      <c r="DE26" s="3195"/>
      <c r="DF26" s="3195"/>
      <c r="DG26" s="3195"/>
      <c r="DH26" s="3195"/>
      <c r="DI26" s="3195"/>
      <c r="DJ26" s="3195"/>
      <c r="DK26" s="3195"/>
      <c r="DL26" s="3195"/>
      <c r="DM26" s="3195"/>
      <c r="DN26" s="3195"/>
      <c r="DO26" s="4831"/>
      <c r="DQ26" s="3476"/>
      <c r="DR26" s="3193"/>
      <c r="DS26" s="3193"/>
      <c r="DT26" s="3193"/>
      <c r="DU26" s="3193"/>
      <c r="DV26" s="3193"/>
      <c r="DW26" s="3193"/>
      <c r="DX26" s="3193"/>
      <c r="DY26" s="3193"/>
      <c r="DZ26" s="3193"/>
      <c r="EA26" s="3193"/>
      <c r="EB26" s="3193"/>
      <c r="EC26" s="3193"/>
      <c r="ED26" s="3193"/>
      <c r="EE26" s="3193"/>
      <c r="EF26" s="3193"/>
      <c r="EG26" s="3193"/>
      <c r="EH26" s="3193"/>
      <c r="EI26" s="3193"/>
      <c r="EJ26" s="3193"/>
      <c r="EK26" s="3193"/>
      <c r="EL26" s="3193"/>
      <c r="EM26" s="3193"/>
      <c r="EN26" s="3193"/>
      <c r="EO26" s="3193"/>
      <c r="EP26" s="3193"/>
      <c r="EQ26" s="3193"/>
      <c r="ER26" s="3193"/>
      <c r="ES26" s="3193"/>
      <c r="ET26" s="3193"/>
      <c r="EU26" s="3193"/>
      <c r="EV26" s="3193"/>
      <c r="EW26" s="3193"/>
      <c r="EX26" s="3193"/>
      <c r="EY26" s="3193"/>
      <c r="EZ26" s="3193"/>
      <c r="FA26" s="3193"/>
      <c r="FB26" s="3193"/>
      <c r="FC26" s="3193"/>
      <c r="FD26" s="3193"/>
      <c r="FE26" s="3193"/>
      <c r="FF26" s="3193"/>
      <c r="FG26" s="3193"/>
      <c r="FH26" s="3193"/>
      <c r="FI26" s="3193"/>
      <c r="FJ26" s="3477"/>
    </row>
    <row r="27" spans="1:166" s="1846" customFormat="1" ht="15" customHeight="1">
      <c r="A27" s="15989"/>
      <c r="B27" s="15953"/>
      <c r="C27" s="15953"/>
      <c r="D27" s="15615"/>
      <c r="E27" s="15931"/>
      <c r="F27" s="15931"/>
      <c r="G27" s="15931"/>
      <c r="H27" s="15932"/>
      <c r="I27" s="15932"/>
      <c r="J27" s="15932"/>
      <c r="K27" s="15931"/>
      <c r="L27" s="2728" t="s">
        <v>10194</v>
      </c>
      <c r="M27" s="2728"/>
      <c r="N27" s="2728" t="s">
        <v>695</v>
      </c>
      <c r="O27" s="3183"/>
      <c r="P27" s="3183"/>
      <c r="Q27" s="3183"/>
      <c r="R27" s="3183"/>
      <c r="S27" s="3183"/>
      <c r="T27" s="3183"/>
      <c r="U27" s="4686"/>
      <c r="V27" s="3183"/>
      <c r="W27" s="3183"/>
      <c r="X27" s="3183"/>
      <c r="Y27" s="3183"/>
      <c r="Z27" s="4610"/>
      <c r="AA27" s="3183"/>
      <c r="AB27" s="2728"/>
      <c r="AC27" s="4617"/>
      <c r="AD27" s="2728"/>
      <c r="AE27" s="4612"/>
      <c r="AF27" s="4613"/>
      <c r="AG27" s="3200"/>
      <c r="AH27" s="3200"/>
      <c r="AI27" s="4612"/>
      <c r="AJ27" s="4612"/>
      <c r="AK27" s="4612"/>
      <c r="AL27" s="4612"/>
      <c r="AM27" s="4612"/>
      <c r="AN27" s="4612"/>
      <c r="AO27" s="4612"/>
      <c r="AP27" s="4612"/>
      <c r="AQ27" s="4612"/>
      <c r="AR27" s="4612"/>
      <c r="AS27" s="4612"/>
      <c r="AT27" s="4612"/>
      <c r="AU27" s="4612"/>
      <c r="AV27" s="4612"/>
      <c r="AW27" s="4612"/>
      <c r="AX27" s="4612"/>
      <c r="AY27" s="4612"/>
      <c r="AZ27" s="4612"/>
      <c r="BA27" s="4612"/>
      <c r="BB27" s="4612"/>
      <c r="BC27" s="4612"/>
      <c r="BD27" s="4612"/>
      <c r="BE27" s="4612"/>
      <c r="BF27" s="4612"/>
      <c r="BG27" s="4612"/>
      <c r="BH27" s="4612"/>
      <c r="BI27" s="4614"/>
      <c r="BJ27" s="4612"/>
      <c r="BK27" s="4612"/>
      <c r="BL27" s="4612"/>
      <c r="BM27" s="4612"/>
      <c r="BN27" s="4612"/>
      <c r="BO27" s="4612"/>
      <c r="BP27" s="4612"/>
      <c r="BQ27" s="4612"/>
      <c r="BR27" s="4612"/>
      <c r="BS27" s="4612"/>
      <c r="BT27" s="4710"/>
      <c r="BU27" s="2723"/>
      <c r="BV27" s="4609"/>
      <c r="BW27" s="3192"/>
      <c r="BX27" s="16008"/>
      <c r="BY27" s="4698"/>
      <c r="BZ27" s="4691"/>
      <c r="CA27" s="3183"/>
      <c r="CB27" s="4697"/>
      <c r="CC27" s="4692"/>
      <c r="CD27" s="4688"/>
      <c r="CE27" s="4692"/>
      <c r="CF27" s="3195"/>
      <c r="CG27" s="3195"/>
      <c r="CH27" s="3195"/>
      <c r="CI27" s="3195"/>
      <c r="CJ27" s="3195"/>
      <c r="CK27" s="3195"/>
      <c r="CL27" s="3195"/>
      <c r="CM27" s="3195"/>
      <c r="CN27" s="3195"/>
      <c r="CO27" s="3195"/>
      <c r="CP27" s="3195"/>
      <c r="CQ27" s="3195"/>
      <c r="CR27" s="3195"/>
      <c r="CS27" s="3197"/>
      <c r="CT27" s="3195"/>
      <c r="CU27" s="3195"/>
      <c r="CV27" s="3195"/>
      <c r="CW27" s="3195"/>
      <c r="CX27" s="3195"/>
      <c r="CY27" s="3195"/>
      <c r="CZ27" s="3195"/>
      <c r="DA27" s="3195"/>
      <c r="DB27" s="3195"/>
      <c r="DC27" s="3195"/>
      <c r="DD27" s="3195"/>
      <c r="DE27" s="3195"/>
      <c r="DF27" s="3195"/>
      <c r="DG27" s="3195"/>
      <c r="DH27" s="3195"/>
      <c r="DI27" s="3195"/>
      <c r="DJ27" s="3195"/>
      <c r="DK27" s="3195"/>
      <c r="DL27" s="3195"/>
      <c r="DM27" s="3195"/>
      <c r="DN27" s="3195"/>
      <c r="DO27" s="4831"/>
      <c r="DQ27" s="3476"/>
      <c r="DR27" s="3193"/>
      <c r="DS27" s="3193"/>
      <c r="DT27" s="3193"/>
      <c r="DU27" s="3193"/>
      <c r="DV27" s="3193"/>
      <c r="DW27" s="3193"/>
      <c r="DX27" s="3193"/>
      <c r="DY27" s="3193"/>
      <c r="DZ27" s="3193"/>
      <c r="EA27" s="3193"/>
      <c r="EB27" s="3193"/>
      <c r="EC27" s="3193"/>
      <c r="ED27" s="3193"/>
      <c r="EE27" s="3193"/>
      <c r="EF27" s="3193"/>
      <c r="EG27" s="3193"/>
      <c r="EH27" s="3193"/>
      <c r="EI27" s="3193"/>
      <c r="EJ27" s="3193"/>
      <c r="EK27" s="3193"/>
      <c r="EL27" s="3193"/>
      <c r="EM27" s="3193"/>
      <c r="EN27" s="3193"/>
      <c r="EO27" s="3193"/>
      <c r="EP27" s="3193"/>
      <c r="EQ27" s="3193"/>
      <c r="ER27" s="3193"/>
      <c r="ES27" s="3193"/>
      <c r="ET27" s="3193"/>
      <c r="EU27" s="3193"/>
      <c r="EV27" s="3193"/>
      <c r="EW27" s="3193"/>
      <c r="EX27" s="3193"/>
      <c r="EY27" s="3193"/>
      <c r="EZ27" s="3193"/>
      <c r="FA27" s="3193"/>
      <c r="FB27" s="3193"/>
      <c r="FC27" s="3193"/>
      <c r="FD27" s="3193"/>
      <c r="FE27" s="3193"/>
      <c r="FF27" s="3193"/>
      <c r="FG27" s="3193"/>
      <c r="FH27" s="3193"/>
      <c r="FI27" s="3193"/>
      <c r="FJ27" s="3477"/>
    </row>
    <row r="28" spans="1:166" s="1846" customFormat="1" ht="15" customHeight="1">
      <c r="A28" s="15989"/>
      <c r="B28" s="15953"/>
      <c r="C28" s="15953"/>
      <c r="D28" s="4128" t="s">
        <v>7920</v>
      </c>
      <c r="E28" s="2728" t="s">
        <v>4947</v>
      </c>
      <c r="F28" s="2728" t="s">
        <v>696</v>
      </c>
      <c r="G28" s="2728">
        <v>0</v>
      </c>
      <c r="H28" s="2728">
        <v>20</v>
      </c>
      <c r="I28" s="2728">
        <v>60</v>
      </c>
      <c r="J28" s="2728">
        <v>80</v>
      </c>
      <c r="K28" s="2728" t="s">
        <v>697</v>
      </c>
      <c r="L28" s="2728" t="s">
        <v>2896</v>
      </c>
      <c r="M28" s="2728" t="s">
        <v>167</v>
      </c>
      <c r="N28" s="2728"/>
      <c r="O28" s="3183">
        <v>15</v>
      </c>
      <c r="P28" s="3183">
        <v>15</v>
      </c>
      <c r="Q28" s="3183">
        <v>16</v>
      </c>
      <c r="R28" s="3183">
        <v>16</v>
      </c>
      <c r="S28" s="3183">
        <v>17</v>
      </c>
      <c r="T28" s="3183">
        <v>17</v>
      </c>
      <c r="U28" s="4686">
        <v>18</v>
      </c>
      <c r="V28" s="3183">
        <v>18</v>
      </c>
      <c r="W28" s="3183">
        <v>19</v>
      </c>
      <c r="X28" s="3183">
        <v>20</v>
      </c>
      <c r="Y28" s="3183">
        <v>20</v>
      </c>
      <c r="Z28" s="4610">
        <v>191</v>
      </c>
      <c r="AA28" s="3183"/>
      <c r="AB28" s="4609">
        <v>0.6</v>
      </c>
      <c r="AC28" s="2728" t="s">
        <v>2937</v>
      </c>
      <c r="AD28" s="2728" t="s">
        <v>2928</v>
      </c>
      <c r="AE28" s="4612"/>
      <c r="AF28" s="4707">
        <v>3434700</v>
      </c>
      <c r="AG28" s="4707">
        <v>3434700</v>
      </c>
      <c r="AH28" s="4711"/>
      <c r="AI28" s="4612"/>
      <c r="AJ28" s="3183">
        <v>2</v>
      </c>
      <c r="AK28" s="3183">
        <v>2</v>
      </c>
      <c r="AL28" s="3183"/>
      <c r="AM28" s="3183">
        <v>2</v>
      </c>
      <c r="AN28" s="4612"/>
      <c r="AO28" s="4612"/>
      <c r="AP28" s="4612"/>
      <c r="AQ28" s="4612"/>
      <c r="AR28" s="4612">
        <v>2</v>
      </c>
      <c r="AS28" s="4612"/>
      <c r="AT28" s="4612"/>
      <c r="AU28" s="4612"/>
      <c r="AV28" s="4612"/>
      <c r="AW28" s="4612">
        <v>2</v>
      </c>
      <c r="AX28" s="4612"/>
      <c r="AY28" s="4612"/>
      <c r="AZ28" s="4612"/>
      <c r="BA28" s="4612"/>
      <c r="BB28" s="4612"/>
      <c r="BC28" s="4612"/>
      <c r="BD28" s="4612"/>
      <c r="BE28" s="4612"/>
      <c r="BF28" s="4612"/>
      <c r="BG28" s="4612"/>
      <c r="BH28" s="4612"/>
      <c r="BI28" s="4614"/>
      <c r="BJ28" s="4612"/>
      <c r="BK28" s="4612"/>
      <c r="BL28" s="4612"/>
      <c r="BM28" s="4612"/>
      <c r="BN28" s="4612"/>
      <c r="BO28" s="4612"/>
      <c r="BP28" s="4612"/>
      <c r="BQ28" s="4612"/>
      <c r="BR28" s="4612"/>
      <c r="BS28" s="4612"/>
      <c r="BT28" s="2728">
        <v>0</v>
      </c>
      <c r="BU28" s="3183">
        <v>56</v>
      </c>
      <c r="BV28" s="2728">
        <v>2</v>
      </c>
      <c r="BW28" s="3192">
        <f t="shared" si="0"/>
        <v>3.5714285714285712E-2</v>
      </c>
      <c r="BX28" s="16008"/>
      <c r="BY28" s="4698" t="s">
        <v>8945</v>
      </c>
      <c r="BZ28" s="4691"/>
      <c r="CA28" s="3183"/>
      <c r="CB28" s="4688">
        <v>0</v>
      </c>
      <c r="CC28" s="4692"/>
      <c r="CD28" s="4692"/>
      <c r="CE28" s="4692"/>
      <c r="CF28" s="3195"/>
      <c r="CG28" s="3195"/>
      <c r="CH28" s="3195"/>
      <c r="CI28" s="3195"/>
      <c r="CJ28" s="3195"/>
      <c r="CK28" s="3195"/>
      <c r="CL28" s="3195"/>
      <c r="CM28" s="3195"/>
      <c r="CN28" s="3195"/>
      <c r="CO28" s="3195"/>
      <c r="CP28" s="3195"/>
      <c r="CQ28" s="3195"/>
      <c r="CR28" s="3195"/>
      <c r="CS28" s="3197"/>
      <c r="CT28" s="3195"/>
      <c r="CU28" s="3195"/>
      <c r="CV28" s="3195"/>
      <c r="CW28" s="3195"/>
      <c r="CX28" s="3195"/>
      <c r="CY28" s="3195"/>
      <c r="CZ28" s="3195"/>
      <c r="DA28" s="3195"/>
      <c r="DB28" s="3195"/>
      <c r="DC28" s="3195"/>
      <c r="DD28" s="3195"/>
      <c r="DE28" s="3195"/>
      <c r="DF28" s="3195"/>
      <c r="DG28" s="3195"/>
      <c r="DH28" s="3195"/>
      <c r="DI28" s="3195"/>
      <c r="DJ28" s="3195"/>
      <c r="DK28" s="3195"/>
      <c r="DL28" s="3195"/>
      <c r="DM28" s="3195"/>
      <c r="DN28" s="3195"/>
      <c r="DO28" s="4831"/>
      <c r="DQ28" s="3476"/>
      <c r="DR28" s="3193"/>
      <c r="DS28" s="3193"/>
      <c r="DT28" s="3193"/>
      <c r="DU28" s="3193"/>
      <c r="DV28" s="3193"/>
      <c r="DW28" s="3193"/>
      <c r="DX28" s="3193"/>
      <c r="DY28" s="3193"/>
      <c r="DZ28" s="3193"/>
      <c r="EA28" s="3193"/>
      <c r="EB28" s="3193"/>
      <c r="EC28" s="3193"/>
      <c r="ED28" s="3193"/>
      <c r="EE28" s="3193"/>
      <c r="EF28" s="3193"/>
      <c r="EG28" s="3193"/>
      <c r="EH28" s="3193"/>
      <c r="EI28" s="3193"/>
      <c r="EJ28" s="3193"/>
      <c r="EK28" s="3193"/>
      <c r="EL28" s="3193"/>
      <c r="EM28" s="3193"/>
      <c r="EN28" s="3193"/>
      <c r="EO28" s="3193"/>
      <c r="EP28" s="3193"/>
      <c r="EQ28" s="3193"/>
      <c r="ER28" s="3193"/>
      <c r="ES28" s="3193"/>
      <c r="ET28" s="3193"/>
      <c r="EU28" s="3193"/>
      <c r="EV28" s="3193"/>
      <c r="EW28" s="3193"/>
      <c r="EX28" s="3193"/>
      <c r="EY28" s="3193"/>
      <c r="EZ28" s="3193"/>
      <c r="FA28" s="3193"/>
      <c r="FB28" s="3193"/>
      <c r="FC28" s="3193"/>
      <c r="FD28" s="3193"/>
      <c r="FE28" s="3193"/>
      <c r="FF28" s="3193"/>
      <c r="FG28" s="3193"/>
      <c r="FH28" s="3193"/>
      <c r="FI28" s="3193"/>
      <c r="FJ28" s="3477"/>
    </row>
    <row r="29" spans="1:166" s="1846" customFormat="1" ht="15" customHeight="1">
      <c r="A29" s="15989"/>
      <c r="B29" s="15953"/>
      <c r="C29" s="15615" t="s">
        <v>698</v>
      </c>
      <c r="D29" s="4128" t="s">
        <v>7921</v>
      </c>
      <c r="E29" s="2728" t="s">
        <v>4948</v>
      </c>
      <c r="F29" s="2728" t="s">
        <v>699</v>
      </c>
      <c r="G29" s="2728">
        <v>0</v>
      </c>
      <c r="H29" s="4609">
        <v>0.3</v>
      </c>
      <c r="I29" s="4609">
        <v>0.6</v>
      </c>
      <c r="J29" s="4609">
        <v>0.8</v>
      </c>
      <c r="K29" s="2728" t="s">
        <v>700</v>
      </c>
      <c r="L29" s="2728" t="s">
        <v>2896</v>
      </c>
      <c r="M29" s="2728" t="s">
        <v>167</v>
      </c>
      <c r="N29" s="2728"/>
      <c r="O29" s="3183">
        <v>500</v>
      </c>
      <c r="P29" s="3183">
        <v>515</v>
      </c>
      <c r="Q29" s="3183">
        <v>530</v>
      </c>
      <c r="R29" s="3183" t="s">
        <v>690</v>
      </c>
      <c r="S29" s="3183" t="s">
        <v>690</v>
      </c>
      <c r="T29" s="3183" t="s">
        <v>690</v>
      </c>
      <c r="U29" s="4686">
        <v>597</v>
      </c>
      <c r="V29" s="3183" t="s">
        <v>690</v>
      </c>
      <c r="W29" s="3183" t="s">
        <v>690</v>
      </c>
      <c r="X29" s="3183" t="s">
        <v>690</v>
      </c>
      <c r="Y29" s="3183">
        <v>672</v>
      </c>
      <c r="Z29" s="4610">
        <v>2814</v>
      </c>
      <c r="AA29" s="3183"/>
      <c r="AB29" s="4712">
        <v>0.8</v>
      </c>
      <c r="AC29" s="3201" t="s">
        <v>2938</v>
      </c>
      <c r="AD29" s="2728"/>
      <c r="AE29" s="4612"/>
      <c r="AF29" s="4613"/>
      <c r="AG29" s="3200"/>
      <c r="AH29" s="3200"/>
      <c r="AI29" s="4612"/>
      <c r="AJ29" s="4612"/>
      <c r="AK29" s="4612"/>
      <c r="AL29" s="4612"/>
      <c r="AM29" s="4612"/>
      <c r="AN29" s="4612"/>
      <c r="AO29" s="4612"/>
      <c r="AP29" s="4612"/>
      <c r="AQ29" s="4612"/>
      <c r="AR29" s="4612"/>
      <c r="AS29" s="4612"/>
      <c r="AT29" s="4612"/>
      <c r="AU29" s="4612"/>
      <c r="AV29" s="4612"/>
      <c r="AW29" s="4612"/>
      <c r="AX29" s="4612"/>
      <c r="AY29" s="4612"/>
      <c r="AZ29" s="4612"/>
      <c r="BA29" s="4612"/>
      <c r="BB29" s="4612"/>
      <c r="BC29" s="4612"/>
      <c r="BD29" s="4612"/>
      <c r="BE29" s="4612"/>
      <c r="BF29" s="4612"/>
      <c r="BG29" s="4612"/>
      <c r="BH29" s="4612"/>
      <c r="BI29" s="4614"/>
      <c r="BJ29" s="4612"/>
      <c r="BK29" s="4612"/>
      <c r="BL29" s="4612"/>
      <c r="BM29" s="4612"/>
      <c r="BN29" s="4612"/>
      <c r="BO29" s="4612"/>
      <c r="BP29" s="4612"/>
      <c r="BQ29" s="4612"/>
      <c r="BR29" s="4612"/>
      <c r="BS29" s="4612"/>
      <c r="BT29" s="4609">
        <v>1</v>
      </c>
      <c r="BU29" s="4492">
        <v>1</v>
      </c>
      <c r="BV29" s="4609">
        <v>1</v>
      </c>
      <c r="BW29" s="3192">
        <f t="shared" si="0"/>
        <v>1</v>
      </c>
      <c r="BX29" s="16008"/>
      <c r="BY29" s="4698" t="s">
        <v>8946</v>
      </c>
      <c r="BZ29" s="4691" t="s">
        <v>8947</v>
      </c>
      <c r="CA29" s="3183"/>
      <c r="CB29" s="4688" t="s">
        <v>8948</v>
      </c>
      <c r="CC29" s="4692"/>
      <c r="CD29" s="4692"/>
      <c r="CE29" s="4692"/>
      <c r="CF29" s="3195"/>
      <c r="CG29" s="3195"/>
      <c r="CH29" s="3195"/>
      <c r="CI29" s="3195"/>
      <c r="CJ29" s="3195"/>
      <c r="CK29" s="3195"/>
      <c r="CL29" s="3195"/>
      <c r="CM29" s="3195"/>
      <c r="CN29" s="3195"/>
      <c r="CO29" s="3195"/>
      <c r="CP29" s="3195"/>
      <c r="CQ29" s="3195"/>
      <c r="CR29" s="3195"/>
      <c r="CS29" s="3197"/>
      <c r="CT29" s="3195"/>
      <c r="CU29" s="3195"/>
      <c r="CV29" s="3195"/>
      <c r="CW29" s="3195"/>
      <c r="CX29" s="3195"/>
      <c r="CY29" s="3195"/>
      <c r="CZ29" s="3195"/>
      <c r="DA29" s="3195"/>
      <c r="DB29" s="3195"/>
      <c r="DC29" s="3195"/>
      <c r="DD29" s="3195"/>
      <c r="DE29" s="3195"/>
      <c r="DF29" s="3195"/>
      <c r="DG29" s="3195"/>
      <c r="DH29" s="3195"/>
      <c r="DI29" s="3195"/>
      <c r="DJ29" s="3195"/>
      <c r="DK29" s="3195"/>
      <c r="DL29" s="3195"/>
      <c r="DM29" s="3195"/>
      <c r="DN29" s="3195"/>
      <c r="DO29" s="4831"/>
      <c r="DQ29" s="3476"/>
      <c r="DR29" s="3193"/>
      <c r="DS29" s="3193"/>
      <c r="DT29" s="3193"/>
      <c r="DU29" s="3193"/>
      <c r="DV29" s="3193"/>
      <c r="DW29" s="3193"/>
      <c r="DX29" s="3193"/>
      <c r="DY29" s="3193"/>
      <c r="DZ29" s="3193"/>
      <c r="EA29" s="3193"/>
      <c r="EB29" s="3193"/>
      <c r="EC29" s="3193"/>
      <c r="ED29" s="3193"/>
      <c r="EE29" s="3193"/>
      <c r="EF29" s="3193"/>
      <c r="EG29" s="3193"/>
      <c r="EH29" s="3193"/>
      <c r="EI29" s="3193"/>
      <c r="EJ29" s="3193"/>
      <c r="EK29" s="3193"/>
      <c r="EL29" s="3193"/>
      <c r="EM29" s="3193"/>
      <c r="EN29" s="3193"/>
      <c r="EO29" s="3193"/>
      <c r="EP29" s="3193"/>
      <c r="EQ29" s="3193"/>
      <c r="ER29" s="3193"/>
      <c r="ES29" s="3193"/>
      <c r="ET29" s="3193"/>
      <c r="EU29" s="3193"/>
      <c r="EV29" s="3193"/>
      <c r="EW29" s="3193"/>
      <c r="EX29" s="3193"/>
      <c r="EY29" s="3193"/>
      <c r="EZ29" s="3193"/>
      <c r="FA29" s="3193"/>
      <c r="FB29" s="3193"/>
      <c r="FC29" s="3193"/>
      <c r="FD29" s="3193"/>
      <c r="FE29" s="3193"/>
      <c r="FF29" s="3193"/>
      <c r="FG29" s="3193"/>
      <c r="FH29" s="3193"/>
      <c r="FI29" s="3193"/>
      <c r="FJ29" s="3477"/>
    </row>
    <row r="30" spans="1:166" s="1846" customFormat="1" ht="15" customHeight="1">
      <c r="A30" s="15989"/>
      <c r="B30" s="15953"/>
      <c r="C30" s="15615"/>
      <c r="D30" s="15615" t="s">
        <v>7922</v>
      </c>
      <c r="E30" s="15931" t="s">
        <v>4949</v>
      </c>
      <c r="F30" s="15931" t="s">
        <v>701</v>
      </c>
      <c r="G30" s="15931">
        <v>0</v>
      </c>
      <c r="H30" s="15932">
        <v>0.2</v>
      </c>
      <c r="I30" s="15932">
        <v>0.4</v>
      </c>
      <c r="J30" s="15932">
        <v>0.6</v>
      </c>
      <c r="K30" s="15931" t="s">
        <v>702</v>
      </c>
      <c r="L30" s="2728" t="s">
        <v>10070</v>
      </c>
      <c r="M30" s="2728" t="s">
        <v>512</v>
      </c>
      <c r="N30" s="2728"/>
      <c r="O30" s="3183">
        <v>70</v>
      </c>
      <c r="P30" s="3183">
        <v>72</v>
      </c>
      <c r="Q30" s="3183">
        <v>74</v>
      </c>
      <c r="R30" s="3183">
        <v>76</v>
      </c>
      <c r="S30" s="3183">
        <v>79</v>
      </c>
      <c r="T30" s="3183">
        <v>81</v>
      </c>
      <c r="U30" s="4686">
        <v>84</v>
      </c>
      <c r="V30" s="3183">
        <v>86</v>
      </c>
      <c r="W30" s="3183">
        <v>89</v>
      </c>
      <c r="X30" s="3183">
        <v>91</v>
      </c>
      <c r="Y30" s="3183">
        <v>94</v>
      </c>
      <c r="Z30" s="4610">
        <v>896</v>
      </c>
      <c r="AA30" s="3183"/>
      <c r="AB30" s="3193"/>
      <c r="AC30" s="3193"/>
      <c r="AD30" s="3193"/>
      <c r="AE30" s="3193"/>
      <c r="AF30" s="3193"/>
      <c r="AG30" s="3193"/>
      <c r="AH30" s="3193"/>
      <c r="AI30" s="3193"/>
      <c r="AJ30" s="3193"/>
      <c r="AK30" s="3193"/>
      <c r="AL30" s="3193"/>
      <c r="AM30" s="3193"/>
      <c r="AN30" s="3193"/>
      <c r="AO30" s="3193"/>
      <c r="AP30" s="3193"/>
      <c r="AQ30" s="3193"/>
      <c r="AR30" s="3193"/>
      <c r="AS30" s="3193"/>
      <c r="AT30" s="3193"/>
      <c r="AU30" s="3193"/>
      <c r="AV30" s="3193"/>
      <c r="AW30" s="3193"/>
      <c r="AX30" s="3193"/>
      <c r="AY30" s="3193"/>
      <c r="AZ30" s="3193"/>
      <c r="BA30" s="3193"/>
      <c r="BB30" s="3193"/>
      <c r="BC30" s="3193"/>
      <c r="BD30" s="3193"/>
      <c r="BE30" s="3193"/>
      <c r="BF30" s="3193"/>
      <c r="BG30" s="3193"/>
      <c r="BH30" s="3193"/>
      <c r="BI30" s="3193"/>
      <c r="BJ30" s="3193"/>
      <c r="BK30" s="3193"/>
      <c r="BL30" s="3193"/>
      <c r="BM30" s="3193"/>
      <c r="BN30" s="3193"/>
      <c r="BO30" s="3193"/>
      <c r="BP30" s="3193"/>
      <c r="BQ30" s="3193"/>
      <c r="BR30" s="3193"/>
      <c r="BS30" s="3193"/>
      <c r="BT30" s="3183" t="s">
        <v>3781</v>
      </c>
      <c r="BU30" s="3183" t="s">
        <v>3781</v>
      </c>
      <c r="BV30" s="3183" t="s">
        <v>3781</v>
      </c>
      <c r="BW30" s="3192" t="s">
        <v>3781</v>
      </c>
      <c r="BX30" s="16008"/>
      <c r="BY30" s="4698"/>
      <c r="BZ30" s="3183"/>
      <c r="CA30" s="3183"/>
      <c r="CB30" s="4692"/>
      <c r="CC30" s="4692"/>
      <c r="CD30" s="4692"/>
      <c r="CE30" s="4692"/>
      <c r="CF30" s="3195"/>
      <c r="CG30" s="3195"/>
      <c r="CH30" s="3195"/>
      <c r="CI30" s="3195"/>
      <c r="CJ30" s="3195"/>
      <c r="CK30" s="3195"/>
      <c r="CL30" s="3195"/>
      <c r="CM30" s="3195"/>
      <c r="CN30" s="3195"/>
      <c r="CO30" s="3195"/>
      <c r="CP30" s="3195"/>
      <c r="CQ30" s="3195"/>
      <c r="CR30" s="3195"/>
      <c r="CS30" s="3197"/>
      <c r="CT30" s="3195"/>
      <c r="CU30" s="3195"/>
      <c r="CV30" s="3195"/>
      <c r="CW30" s="3195"/>
      <c r="CX30" s="3195"/>
      <c r="CY30" s="3195"/>
      <c r="CZ30" s="3195"/>
      <c r="DA30" s="3195"/>
      <c r="DB30" s="3195"/>
      <c r="DC30" s="3195"/>
      <c r="DD30" s="3195"/>
      <c r="DE30" s="3195"/>
      <c r="DF30" s="3195"/>
      <c r="DG30" s="3195"/>
      <c r="DH30" s="3195"/>
      <c r="DI30" s="3195"/>
      <c r="DJ30" s="3195"/>
      <c r="DK30" s="3195"/>
      <c r="DL30" s="3195"/>
      <c r="DM30" s="3195"/>
      <c r="DN30" s="3195"/>
      <c r="DO30" s="4831"/>
      <c r="DQ30" s="3476"/>
      <c r="DR30" s="3193"/>
      <c r="DS30" s="3193"/>
      <c r="DT30" s="3193"/>
      <c r="DU30" s="3193"/>
      <c r="DV30" s="3193"/>
      <c r="DW30" s="3193"/>
      <c r="DX30" s="3193"/>
      <c r="DY30" s="3193"/>
      <c r="DZ30" s="3193"/>
      <c r="EA30" s="3193"/>
      <c r="EB30" s="3193"/>
      <c r="EC30" s="3193"/>
      <c r="ED30" s="3193"/>
      <c r="EE30" s="3193"/>
      <c r="EF30" s="3193"/>
      <c r="EG30" s="3193"/>
      <c r="EH30" s="3193"/>
      <c r="EI30" s="3193"/>
      <c r="EJ30" s="3193"/>
      <c r="EK30" s="3193"/>
      <c r="EL30" s="3193"/>
      <c r="EM30" s="3193"/>
      <c r="EN30" s="3193"/>
      <c r="EO30" s="3193"/>
      <c r="EP30" s="3193"/>
      <c r="EQ30" s="3193"/>
      <c r="ER30" s="3193"/>
      <c r="ES30" s="3193"/>
      <c r="ET30" s="3193"/>
      <c r="EU30" s="3193"/>
      <c r="EV30" s="3193"/>
      <c r="EW30" s="3193"/>
      <c r="EX30" s="3193"/>
      <c r="EY30" s="3193"/>
      <c r="EZ30" s="3193"/>
      <c r="FA30" s="3193"/>
      <c r="FB30" s="3193"/>
      <c r="FC30" s="3193"/>
      <c r="FD30" s="3193"/>
      <c r="FE30" s="3193"/>
      <c r="FF30" s="3193"/>
      <c r="FG30" s="3193"/>
      <c r="FH30" s="3193"/>
      <c r="FI30" s="3193"/>
      <c r="FJ30" s="3477"/>
    </row>
    <row r="31" spans="1:166" s="1846" customFormat="1" ht="15" customHeight="1">
      <c r="A31" s="15989"/>
      <c r="B31" s="15953"/>
      <c r="C31" s="15615"/>
      <c r="D31" s="15615"/>
      <c r="E31" s="15931"/>
      <c r="F31" s="15931"/>
      <c r="G31" s="15931"/>
      <c r="H31" s="15932"/>
      <c r="I31" s="15932"/>
      <c r="J31" s="15932"/>
      <c r="K31" s="15931"/>
      <c r="L31" s="2728" t="s">
        <v>2896</v>
      </c>
      <c r="M31" s="2728"/>
      <c r="N31" s="2728" t="s">
        <v>10229</v>
      </c>
      <c r="O31" s="3183"/>
      <c r="P31" s="3183"/>
      <c r="Q31" s="3183"/>
      <c r="R31" s="3183"/>
      <c r="S31" s="3183"/>
      <c r="T31" s="3183"/>
      <c r="U31" s="4686"/>
      <c r="V31" s="3183"/>
      <c r="W31" s="3183"/>
      <c r="X31" s="3183"/>
      <c r="Y31" s="3183"/>
      <c r="Z31" s="4610"/>
      <c r="AA31" s="3183"/>
      <c r="AB31" s="3193"/>
      <c r="AC31" s="3193"/>
      <c r="AD31" s="3193"/>
      <c r="AE31" s="3193"/>
      <c r="AF31" s="3193"/>
      <c r="AG31" s="3193"/>
      <c r="AH31" s="3193"/>
      <c r="AI31" s="3193"/>
      <c r="AJ31" s="3193"/>
      <c r="AK31" s="3193"/>
      <c r="AL31" s="3193"/>
      <c r="AM31" s="3193"/>
      <c r="AN31" s="3193"/>
      <c r="AO31" s="3193"/>
      <c r="AP31" s="3193"/>
      <c r="AQ31" s="3193"/>
      <c r="AR31" s="3193"/>
      <c r="AS31" s="3193"/>
      <c r="AT31" s="3193"/>
      <c r="AU31" s="3193"/>
      <c r="AV31" s="3193"/>
      <c r="AW31" s="3193"/>
      <c r="AX31" s="3193"/>
      <c r="AY31" s="3193"/>
      <c r="AZ31" s="3193"/>
      <c r="BA31" s="3193"/>
      <c r="BB31" s="3193"/>
      <c r="BC31" s="3193"/>
      <c r="BD31" s="3193"/>
      <c r="BE31" s="3193"/>
      <c r="BF31" s="3193"/>
      <c r="BG31" s="3193"/>
      <c r="BH31" s="3193"/>
      <c r="BI31" s="3193"/>
      <c r="BJ31" s="3193"/>
      <c r="BK31" s="3193"/>
      <c r="BL31" s="3193"/>
      <c r="BM31" s="3193"/>
      <c r="BN31" s="3193"/>
      <c r="BO31" s="3193"/>
      <c r="BP31" s="3193"/>
      <c r="BQ31" s="3193"/>
      <c r="BR31" s="3193"/>
      <c r="BS31" s="3193"/>
      <c r="BT31" s="3183"/>
      <c r="BU31" s="3183"/>
      <c r="BV31" s="3183"/>
      <c r="BW31" s="3192"/>
      <c r="BX31" s="16008"/>
      <c r="BY31" s="4698"/>
      <c r="BZ31" s="3183"/>
      <c r="CA31" s="3183"/>
      <c r="CB31" s="4692"/>
      <c r="CC31" s="4692"/>
      <c r="CD31" s="4692"/>
      <c r="CE31" s="4692"/>
      <c r="CF31" s="3195"/>
      <c r="CG31" s="3195"/>
      <c r="CH31" s="3195"/>
      <c r="CI31" s="3195"/>
      <c r="CJ31" s="3195"/>
      <c r="CK31" s="3195"/>
      <c r="CL31" s="3195"/>
      <c r="CM31" s="3195"/>
      <c r="CN31" s="3195"/>
      <c r="CO31" s="3195"/>
      <c r="CP31" s="3195"/>
      <c r="CQ31" s="3195"/>
      <c r="CR31" s="3195"/>
      <c r="CS31" s="3197"/>
      <c r="CT31" s="3195"/>
      <c r="CU31" s="3195"/>
      <c r="CV31" s="3195"/>
      <c r="CW31" s="3195"/>
      <c r="CX31" s="3195"/>
      <c r="CY31" s="3195"/>
      <c r="CZ31" s="3195"/>
      <c r="DA31" s="3195"/>
      <c r="DB31" s="3195"/>
      <c r="DC31" s="3195"/>
      <c r="DD31" s="3195"/>
      <c r="DE31" s="3195"/>
      <c r="DF31" s="3195"/>
      <c r="DG31" s="3195"/>
      <c r="DH31" s="3195"/>
      <c r="DI31" s="3195"/>
      <c r="DJ31" s="3195"/>
      <c r="DK31" s="3195"/>
      <c r="DL31" s="3195"/>
      <c r="DM31" s="3195"/>
      <c r="DN31" s="3195"/>
      <c r="DO31" s="4831"/>
      <c r="DQ31" s="3476"/>
      <c r="DR31" s="3193"/>
      <c r="DS31" s="3193"/>
      <c r="DT31" s="3193"/>
      <c r="DU31" s="3193"/>
      <c r="DV31" s="3193"/>
      <c r="DW31" s="3193"/>
      <c r="DX31" s="3193"/>
      <c r="DY31" s="3193"/>
      <c r="DZ31" s="3193"/>
      <c r="EA31" s="3193"/>
      <c r="EB31" s="3193"/>
      <c r="EC31" s="3193"/>
      <c r="ED31" s="3193"/>
      <c r="EE31" s="3193"/>
      <c r="EF31" s="3193"/>
      <c r="EG31" s="3193"/>
      <c r="EH31" s="3193"/>
      <c r="EI31" s="3193"/>
      <c r="EJ31" s="3193"/>
      <c r="EK31" s="3193"/>
      <c r="EL31" s="3193"/>
      <c r="EM31" s="3193"/>
      <c r="EN31" s="3193"/>
      <c r="EO31" s="3193"/>
      <c r="EP31" s="3193"/>
      <c r="EQ31" s="3193"/>
      <c r="ER31" s="3193"/>
      <c r="ES31" s="3193"/>
      <c r="ET31" s="3193"/>
      <c r="EU31" s="3193"/>
      <c r="EV31" s="3193"/>
      <c r="EW31" s="3193"/>
      <c r="EX31" s="3193"/>
      <c r="EY31" s="3193"/>
      <c r="EZ31" s="3193"/>
      <c r="FA31" s="3193"/>
      <c r="FB31" s="3193"/>
      <c r="FC31" s="3193"/>
      <c r="FD31" s="3193"/>
      <c r="FE31" s="3193"/>
      <c r="FF31" s="3193"/>
      <c r="FG31" s="3193"/>
      <c r="FH31" s="3193"/>
      <c r="FI31" s="3193"/>
      <c r="FJ31" s="3477"/>
    </row>
    <row r="32" spans="1:166" s="1846" customFormat="1" ht="15" customHeight="1">
      <c r="A32" s="15989"/>
      <c r="B32" s="15953"/>
      <c r="C32" s="15615"/>
      <c r="D32" s="15615"/>
      <c r="E32" s="15931"/>
      <c r="F32" s="15931"/>
      <c r="G32" s="15931"/>
      <c r="H32" s="15932"/>
      <c r="I32" s="15932"/>
      <c r="J32" s="15932"/>
      <c r="K32" s="15931"/>
      <c r="L32" s="2728" t="s">
        <v>8575</v>
      </c>
      <c r="M32" s="2728"/>
      <c r="N32" s="2728" t="s">
        <v>10230</v>
      </c>
      <c r="O32" s="3183"/>
      <c r="P32" s="3183"/>
      <c r="Q32" s="3183"/>
      <c r="R32" s="3183"/>
      <c r="S32" s="3183"/>
      <c r="T32" s="3183"/>
      <c r="U32" s="4686"/>
      <c r="V32" s="3183"/>
      <c r="W32" s="3183"/>
      <c r="X32" s="3183"/>
      <c r="Y32" s="3183"/>
      <c r="Z32" s="4610"/>
      <c r="AA32" s="3183"/>
      <c r="AB32" s="3193"/>
      <c r="AC32" s="3193"/>
      <c r="AD32" s="3193"/>
      <c r="AE32" s="3193"/>
      <c r="AF32" s="3193"/>
      <c r="AG32" s="3193"/>
      <c r="AH32" s="3193"/>
      <c r="AI32" s="3193"/>
      <c r="AJ32" s="3193"/>
      <c r="AK32" s="3193"/>
      <c r="AL32" s="3193"/>
      <c r="AM32" s="3193"/>
      <c r="AN32" s="3193"/>
      <c r="AO32" s="3193"/>
      <c r="AP32" s="3193"/>
      <c r="AQ32" s="3193"/>
      <c r="AR32" s="3193"/>
      <c r="AS32" s="3193"/>
      <c r="AT32" s="3193"/>
      <c r="AU32" s="3193"/>
      <c r="AV32" s="3193"/>
      <c r="AW32" s="3193"/>
      <c r="AX32" s="3193"/>
      <c r="AY32" s="3193"/>
      <c r="AZ32" s="3193"/>
      <c r="BA32" s="3193"/>
      <c r="BB32" s="3193"/>
      <c r="BC32" s="3193"/>
      <c r="BD32" s="3193"/>
      <c r="BE32" s="3193"/>
      <c r="BF32" s="3193"/>
      <c r="BG32" s="3193"/>
      <c r="BH32" s="3193"/>
      <c r="BI32" s="3193"/>
      <c r="BJ32" s="3193"/>
      <c r="BK32" s="3193"/>
      <c r="BL32" s="3193"/>
      <c r="BM32" s="3193"/>
      <c r="BN32" s="3193"/>
      <c r="BO32" s="3193"/>
      <c r="BP32" s="3193"/>
      <c r="BQ32" s="3193"/>
      <c r="BR32" s="3193"/>
      <c r="BS32" s="3193"/>
      <c r="BT32" s="3183"/>
      <c r="BU32" s="3183"/>
      <c r="BV32" s="3183"/>
      <c r="BW32" s="3192"/>
      <c r="BX32" s="16008"/>
      <c r="BY32" s="4698"/>
      <c r="BZ32" s="3183"/>
      <c r="CA32" s="3183"/>
      <c r="CB32" s="4692"/>
      <c r="CC32" s="4692"/>
      <c r="CD32" s="4692"/>
      <c r="CE32" s="4692"/>
      <c r="CF32" s="3195"/>
      <c r="CG32" s="3195"/>
      <c r="CH32" s="3195"/>
      <c r="CI32" s="3195"/>
      <c r="CJ32" s="3195"/>
      <c r="CK32" s="3195"/>
      <c r="CL32" s="3195"/>
      <c r="CM32" s="3195"/>
      <c r="CN32" s="3195"/>
      <c r="CO32" s="3195"/>
      <c r="CP32" s="3195"/>
      <c r="CQ32" s="3195"/>
      <c r="CR32" s="3195"/>
      <c r="CS32" s="3197"/>
      <c r="CT32" s="3195"/>
      <c r="CU32" s="3195"/>
      <c r="CV32" s="3195"/>
      <c r="CW32" s="3195"/>
      <c r="CX32" s="3195"/>
      <c r="CY32" s="3195"/>
      <c r="CZ32" s="3195"/>
      <c r="DA32" s="3195"/>
      <c r="DB32" s="3195"/>
      <c r="DC32" s="3195"/>
      <c r="DD32" s="3195"/>
      <c r="DE32" s="3195"/>
      <c r="DF32" s="3195"/>
      <c r="DG32" s="3195"/>
      <c r="DH32" s="3195"/>
      <c r="DI32" s="3195"/>
      <c r="DJ32" s="3195"/>
      <c r="DK32" s="3195"/>
      <c r="DL32" s="3195"/>
      <c r="DM32" s="3195"/>
      <c r="DN32" s="3195"/>
      <c r="DO32" s="4831"/>
      <c r="DQ32" s="3476"/>
      <c r="DR32" s="3193"/>
      <c r="DS32" s="3193"/>
      <c r="DT32" s="3193"/>
      <c r="DU32" s="3193"/>
      <c r="DV32" s="3193"/>
      <c r="DW32" s="3193"/>
      <c r="DX32" s="3193"/>
      <c r="DY32" s="3193"/>
      <c r="DZ32" s="3193"/>
      <c r="EA32" s="3193"/>
      <c r="EB32" s="3193"/>
      <c r="EC32" s="3193"/>
      <c r="ED32" s="3193"/>
      <c r="EE32" s="3193"/>
      <c r="EF32" s="3193"/>
      <c r="EG32" s="3193"/>
      <c r="EH32" s="3193"/>
      <c r="EI32" s="3193"/>
      <c r="EJ32" s="3193"/>
      <c r="EK32" s="3193"/>
      <c r="EL32" s="3193"/>
      <c r="EM32" s="3193"/>
      <c r="EN32" s="3193"/>
      <c r="EO32" s="3193"/>
      <c r="EP32" s="3193"/>
      <c r="EQ32" s="3193"/>
      <c r="ER32" s="3193"/>
      <c r="ES32" s="3193"/>
      <c r="ET32" s="3193"/>
      <c r="EU32" s="3193"/>
      <c r="EV32" s="3193"/>
      <c r="EW32" s="3193"/>
      <c r="EX32" s="3193"/>
      <c r="EY32" s="3193"/>
      <c r="EZ32" s="3193"/>
      <c r="FA32" s="3193"/>
      <c r="FB32" s="3193"/>
      <c r="FC32" s="3193"/>
      <c r="FD32" s="3193"/>
      <c r="FE32" s="3193"/>
      <c r="FF32" s="3193"/>
      <c r="FG32" s="3193"/>
      <c r="FH32" s="3193"/>
      <c r="FI32" s="3193"/>
      <c r="FJ32" s="3477"/>
    </row>
    <row r="33" spans="1:166" s="1846" customFormat="1" ht="15" customHeight="1">
      <c r="A33" s="15989"/>
      <c r="B33" s="15953"/>
      <c r="C33" s="15615"/>
      <c r="D33" s="15615" t="s">
        <v>7923</v>
      </c>
      <c r="E33" s="15931" t="s">
        <v>4950</v>
      </c>
      <c r="F33" s="15931" t="s">
        <v>703</v>
      </c>
      <c r="G33" s="15931">
        <v>0</v>
      </c>
      <c r="H33" s="15931">
        <v>1</v>
      </c>
      <c r="I33" s="15931">
        <v>1</v>
      </c>
      <c r="J33" s="15931">
        <v>1</v>
      </c>
      <c r="K33" s="15931" t="s">
        <v>704</v>
      </c>
      <c r="L33" s="2728" t="s">
        <v>2896</v>
      </c>
      <c r="M33" s="2728" t="s">
        <v>167</v>
      </c>
      <c r="N33" s="2728"/>
      <c r="O33" s="3183">
        <v>60</v>
      </c>
      <c r="P33" s="3183">
        <v>62</v>
      </c>
      <c r="Q33" s="3183">
        <v>64</v>
      </c>
      <c r="R33" s="3183">
        <v>66</v>
      </c>
      <c r="S33" s="3183">
        <v>68</v>
      </c>
      <c r="T33" s="3183">
        <v>70</v>
      </c>
      <c r="U33" s="4686">
        <v>72</v>
      </c>
      <c r="V33" s="3183">
        <v>74</v>
      </c>
      <c r="W33" s="3183">
        <v>76</v>
      </c>
      <c r="X33" s="3183">
        <v>78</v>
      </c>
      <c r="Y33" s="3183">
        <v>81</v>
      </c>
      <c r="Z33" s="4610">
        <v>771</v>
      </c>
      <c r="AA33" s="3183"/>
      <c r="AB33" s="3193" t="s">
        <v>3781</v>
      </c>
      <c r="AC33" s="3193" t="s">
        <v>2939</v>
      </c>
      <c r="AD33" s="3193"/>
      <c r="AE33" s="3193"/>
      <c r="AF33" s="3193"/>
      <c r="AG33" s="3193"/>
      <c r="AH33" s="3193"/>
      <c r="AI33" s="3193"/>
      <c r="AJ33" s="3193"/>
      <c r="AK33" s="3193"/>
      <c r="AL33" s="3193"/>
      <c r="AM33" s="3193"/>
      <c r="AN33" s="3193"/>
      <c r="AO33" s="3193"/>
      <c r="AP33" s="3193"/>
      <c r="AQ33" s="3193"/>
      <c r="AR33" s="3193"/>
      <c r="AS33" s="3193"/>
      <c r="AT33" s="3193"/>
      <c r="AU33" s="3193"/>
      <c r="AV33" s="3193"/>
      <c r="AW33" s="3193"/>
      <c r="AX33" s="3193"/>
      <c r="AY33" s="3193"/>
      <c r="AZ33" s="3193"/>
      <c r="BA33" s="3193"/>
      <c r="BB33" s="3193"/>
      <c r="BC33" s="3193"/>
      <c r="BD33" s="3193"/>
      <c r="BE33" s="3193"/>
      <c r="BF33" s="3193"/>
      <c r="BG33" s="3193"/>
      <c r="BH33" s="3193"/>
      <c r="BI33" s="3193"/>
      <c r="BJ33" s="3193"/>
      <c r="BK33" s="3193"/>
      <c r="BL33" s="3193"/>
      <c r="BM33" s="3193"/>
      <c r="BN33" s="3193"/>
      <c r="BO33" s="3193"/>
      <c r="BP33" s="3193"/>
      <c r="BQ33" s="3193"/>
      <c r="BR33" s="3193"/>
      <c r="BS33" s="3193"/>
      <c r="BT33" s="3183">
        <v>1</v>
      </c>
      <c r="BU33" s="3183">
        <v>1</v>
      </c>
      <c r="BV33" s="3183">
        <v>1</v>
      </c>
      <c r="BW33" s="16022">
        <v>1</v>
      </c>
      <c r="BX33" s="16008"/>
      <c r="BY33" s="4698" t="s">
        <v>8949</v>
      </c>
      <c r="BZ33" s="3183" t="s">
        <v>8947</v>
      </c>
      <c r="CA33" s="3183"/>
      <c r="CB33" s="4692">
        <v>17000000</v>
      </c>
      <c r="CC33" s="4692"/>
      <c r="CD33" s="4692"/>
      <c r="CE33" s="4692"/>
      <c r="CF33" s="3195"/>
      <c r="CG33" s="3195"/>
      <c r="CH33" s="3195"/>
      <c r="CI33" s="3195"/>
      <c r="CJ33" s="3195"/>
      <c r="CK33" s="3195"/>
      <c r="CL33" s="3195"/>
      <c r="CM33" s="3195"/>
      <c r="CN33" s="3195"/>
      <c r="CO33" s="3195"/>
      <c r="CP33" s="3195"/>
      <c r="CQ33" s="3195"/>
      <c r="CR33" s="3195"/>
      <c r="CS33" s="3197"/>
      <c r="CT33" s="3195"/>
      <c r="CU33" s="3195"/>
      <c r="CV33" s="3195"/>
      <c r="CW33" s="3195"/>
      <c r="CX33" s="3195"/>
      <c r="CY33" s="3195"/>
      <c r="CZ33" s="3195"/>
      <c r="DA33" s="3195"/>
      <c r="DB33" s="3195"/>
      <c r="DC33" s="3195"/>
      <c r="DD33" s="3195"/>
      <c r="DE33" s="3195"/>
      <c r="DF33" s="3195"/>
      <c r="DG33" s="3195"/>
      <c r="DH33" s="3195"/>
      <c r="DI33" s="3195"/>
      <c r="DJ33" s="3195"/>
      <c r="DK33" s="3195"/>
      <c r="DL33" s="3195"/>
      <c r="DM33" s="3195"/>
      <c r="DN33" s="3195"/>
      <c r="DO33" s="4831"/>
      <c r="DQ33" s="3476"/>
      <c r="DR33" s="3193"/>
      <c r="DS33" s="3193"/>
      <c r="DT33" s="3193"/>
      <c r="DU33" s="3193"/>
      <c r="DV33" s="3193"/>
      <c r="DW33" s="3193"/>
      <c r="DX33" s="3193"/>
      <c r="DY33" s="3193"/>
      <c r="DZ33" s="3193"/>
      <c r="EA33" s="3193"/>
      <c r="EB33" s="3193"/>
      <c r="EC33" s="3193"/>
      <c r="ED33" s="3193"/>
      <c r="EE33" s="3193"/>
      <c r="EF33" s="3193"/>
      <c r="EG33" s="3193"/>
      <c r="EH33" s="3193"/>
      <c r="EI33" s="3193"/>
      <c r="EJ33" s="3193"/>
      <c r="EK33" s="3193"/>
      <c r="EL33" s="3193"/>
      <c r="EM33" s="3193"/>
      <c r="EN33" s="3193"/>
      <c r="EO33" s="3193"/>
      <c r="EP33" s="3193"/>
      <c r="EQ33" s="3193"/>
      <c r="ER33" s="3193"/>
      <c r="ES33" s="3193"/>
      <c r="ET33" s="3193"/>
      <c r="EU33" s="3193"/>
      <c r="EV33" s="3193"/>
      <c r="EW33" s="3193"/>
      <c r="EX33" s="3193"/>
      <c r="EY33" s="3193"/>
      <c r="EZ33" s="3193"/>
      <c r="FA33" s="3193"/>
      <c r="FB33" s="3193"/>
      <c r="FC33" s="3193"/>
      <c r="FD33" s="3193"/>
      <c r="FE33" s="3193"/>
      <c r="FF33" s="3193"/>
      <c r="FG33" s="3193"/>
      <c r="FH33" s="3193"/>
      <c r="FI33" s="3193"/>
      <c r="FJ33" s="3477"/>
    </row>
    <row r="34" spans="1:166" s="1846" customFormat="1" ht="15" customHeight="1">
      <c r="A34" s="15989"/>
      <c r="B34" s="15953"/>
      <c r="C34" s="15615"/>
      <c r="D34" s="15615"/>
      <c r="E34" s="15931"/>
      <c r="F34" s="15931"/>
      <c r="G34" s="15931"/>
      <c r="H34" s="15931"/>
      <c r="I34" s="15931"/>
      <c r="J34" s="15931"/>
      <c r="K34" s="15931"/>
      <c r="L34" s="2728" t="s">
        <v>10070</v>
      </c>
      <c r="M34" s="2728"/>
      <c r="N34" s="2728" t="s">
        <v>512</v>
      </c>
      <c r="O34" s="3183"/>
      <c r="P34" s="3183"/>
      <c r="Q34" s="3183"/>
      <c r="R34" s="3183"/>
      <c r="S34" s="3183"/>
      <c r="T34" s="3183"/>
      <c r="U34" s="4686"/>
      <c r="V34" s="3183"/>
      <c r="W34" s="3183"/>
      <c r="X34" s="3183"/>
      <c r="Y34" s="3183"/>
      <c r="Z34" s="4610"/>
      <c r="AA34" s="3183"/>
      <c r="AB34" s="3193"/>
      <c r="AC34" s="3193"/>
      <c r="AD34" s="3193"/>
      <c r="AE34" s="3193"/>
      <c r="AF34" s="3193"/>
      <c r="AG34" s="3193"/>
      <c r="AH34" s="3193"/>
      <c r="AI34" s="3193"/>
      <c r="AJ34" s="3193"/>
      <c r="AK34" s="3193"/>
      <c r="AL34" s="3193"/>
      <c r="AM34" s="3193"/>
      <c r="AN34" s="3193"/>
      <c r="AO34" s="3193"/>
      <c r="AP34" s="3193"/>
      <c r="AQ34" s="3193"/>
      <c r="AR34" s="3193"/>
      <c r="AS34" s="3193"/>
      <c r="AT34" s="3193"/>
      <c r="AU34" s="3193"/>
      <c r="AV34" s="3193"/>
      <c r="AW34" s="3193"/>
      <c r="AX34" s="3193"/>
      <c r="AY34" s="3193"/>
      <c r="AZ34" s="3193"/>
      <c r="BA34" s="3193"/>
      <c r="BB34" s="3193"/>
      <c r="BC34" s="3193"/>
      <c r="BD34" s="3193"/>
      <c r="BE34" s="3193"/>
      <c r="BF34" s="3193"/>
      <c r="BG34" s="3193"/>
      <c r="BH34" s="3193"/>
      <c r="BI34" s="3193"/>
      <c r="BJ34" s="3193"/>
      <c r="BK34" s="3193"/>
      <c r="BL34" s="3193"/>
      <c r="BM34" s="3193"/>
      <c r="BN34" s="3193"/>
      <c r="BO34" s="3193"/>
      <c r="BP34" s="3193"/>
      <c r="BQ34" s="3193"/>
      <c r="BR34" s="3193"/>
      <c r="BS34" s="3193"/>
      <c r="BT34" s="3183"/>
      <c r="BU34" s="3183"/>
      <c r="BV34" s="3183"/>
      <c r="BW34" s="16022"/>
      <c r="BX34" s="16008"/>
      <c r="BY34" s="4698"/>
      <c r="BZ34" s="3183"/>
      <c r="CA34" s="3183"/>
      <c r="CB34" s="4692"/>
      <c r="CC34" s="4692"/>
      <c r="CD34" s="4692"/>
      <c r="CE34" s="4692"/>
      <c r="CF34" s="3195"/>
      <c r="CG34" s="3195"/>
      <c r="CH34" s="3195"/>
      <c r="CI34" s="3195"/>
      <c r="CJ34" s="3195"/>
      <c r="CK34" s="3195"/>
      <c r="CL34" s="3195"/>
      <c r="CM34" s="3195"/>
      <c r="CN34" s="3195"/>
      <c r="CO34" s="3195"/>
      <c r="CP34" s="3195"/>
      <c r="CQ34" s="3195"/>
      <c r="CR34" s="3195"/>
      <c r="CS34" s="3197"/>
      <c r="CT34" s="3195"/>
      <c r="CU34" s="3195"/>
      <c r="CV34" s="3195"/>
      <c r="CW34" s="3195"/>
      <c r="CX34" s="3195"/>
      <c r="CY34" s="3195"/>
      <c r="CZ34" s="3195"/>
      <c r="DA34" s="3195"/>
      <c r="DB34" s="3195"/>
      <c r="DC34" s="3195"/>
      <c r="DD34" s="3195"/>
      <c r="DE34" s="3195"/>
      <c r="DF34" s="3195"/>
      <c r="DG34" s="3195"/>
      <c r="DH34" s="3195"/>
      <c r="DI34" s="3195"/>
      <c r="DJ34" s="3195"/>
      <c r="DK34" s="3195"/>
      <c r="DL34" s="3195"/>
      <c r="DM34" s="3195"/>
      <c r="DN34" s="3195"/>
      <c r="DO34" s="4831"/>
      <c r="DQ34" s="3476"/>
      <c r="DR34" s="3193"/>
      <c r="DS34" s="3193"/>
      <c r="DT34" s="3193"/>
      <c r="DU34" s="3193"/>
      <c r="DV34" s="3193"/>
      <c r="DW34" s="3193"/>
      <c r="DX34" s="3193"/>
      <c r="DY34" s="3193"/>
      <c r="DZ34" s="3193"/>
      <c r="EA34" s="3193"/>
      <c r="EB34" s="3193"/>
      <c r="EC34" s="3193"/>
      <c r="ED34" s="3193"/>
      <c r="EE34" s="3193"/>
      <c r="EF34" s="3193"/>
      <c r="EG34" s="3193"/>
      <c r="EH34" s="3193"/>
      <c r="EI34" s="3193"/>
      <c r="EJ34" s="3193"/>
      <c r="EK34" s="3193"/>
      <c r="EL34" s="3193"/>
      <c r="EM34" s="3193"/>
      <c r="EN34" s="3193"/>
      <c r="EO34" s="3193"/>
      <c r="EP34" s="3193"/>
      <c r="EQ34" s="3193"/>
      <c r="ER34" s="3193"/>
      <c r="ES34" s="3193"/>
      <c r="ET34" s="3193"/>
      <c r="EU34" s="3193"/>
      <c r="EV34" s="3193"/>
      <c r="EW34" s="3193"/>
      <c r="EX34" s="3193"/>
      <c r="EY34" s="3193"/>
      <c r="EZ34" s="3193"/>
      <c r="FA34" s="3193"/>
      <c r="FB34" s="3193"/>
      <c r="FC34" s="3193"/>
      <c r="FD34" s="3193"/>
      <c r="FE34" s="3193"/>
      <c r="FF34" s="3193"/>
      <c r="FG34" s="3193"/>
      <c r="FH34" s="3193"/>
      <c r="FI34" s="3193"/>
      <c r="FJ34" s="3477"/>
    </row>
    <row r="35" spans="1:166" s="1846" customFormat="1" ht="15" customHeight="1" thickBot="1">
      <c r="A35" s="15990"/>
      <c r="B35" s="16002"/>
      <c r="C35" s="15933"/>
      <c r="D35" s="15933"/>
      <c r="E35" s="15934"/>
      <c r="F35" s="15934"/>
      <c r="G35" s="15934"/>
      <c r="H35" s="15934"/>
      <c r="I35" s="15934"/>
      <c r="J35" s="15934"/>
      <c r="K35" s="15934"/>
      <c r="L35" s="4953" t="s">
        <v>10092</v>
      </c>
      <c r="M35" s="4953"/>
      <c r="N35" s="4953" t="s">
        <v>890</v>
      </c>
      <c r="O35" s="3020"/>
      <c r="P35" s="3020"/>
      <c r="Q35" s="3020"/>
      <c r="R35" s="3020"/>
      <c r="S35" s="3020"/>
      <c r="T35" s="3020"/>
      <c r="U35" s="4954"/>
      <c r="V35" s="3020"/>
      <c r="W35" s="3020"/>
      <c r="X35" s="3020"/>
      <c r="Y35" s="3020"/>
      <c r="Z35" s="4955"/>
      <c r="AA35" s="3020"/>
      <c r="AB35" s="4956"/>
      <c r="AC35" s="4957"/>
      <c r="AD35" s="4958"/>
      <c r="AE35" s="4959"/>
      <c r="AF35" s="4960"/>
      <c r="AG35" s="4960"/>
      <c r="AH35" s="4960"/>
      <c r="AI35" s="4959"/>
      <c r="AJ35" s="4956"/>
      <c r="AK35" s="4956"/>
      <c r="AL35" s="4956"/>
      <c r="AM35" s="4956"/>
      <c r="AN35" s="4956"/>
      <c r="AO35" s="4956"/>
      <c r="AP35" s="4956"/>
      <c r="AQ35" s="4956"/>
      <c r="AR35" s="4956"/>
      <c r="AS35" s="4956"/>
      <c r="AT35" s="4956"/>
      <c r="AU35" s="4956"/>
      <c r="AV35" s="4956"/>
      <c r="AW35" s="4956"/>
      <c r="AX35" s="4956"/>
      <c r="AY35" s="4956"/>
      <c r="AZ35" s="4956"/>
      <c r="BA35" s="4956"/>
      <c r="BB35" s="4956"/>
      <c r="BC35" s="4956"/>
      <c r="BD35" s="4956"/>
      <c r="BE35" s="4956"/>
      <c r="BF35" s="4956"/>
      <c r="BG35" s="4956"/>
      <c r="BH35" s="4956"/>
      <c r="BI35" s="4956"/>
      <c r="BJ35" s="1698"/>
      <c r="BK35" s="1698"/>
      <c r="BL35" s="1698"/>
      <c r="BM35" s="1698"/>
      <c r="BN35" s="1698"/>
      <c r="BO35" s="1698"/>
      <c r="BP35" s="1698"/>
      <c r="BQ35" s="1698"/>
      <c r="BR35" s="1698"/>
      <c r="BS35" s="1698"/>
      <c r="BT35" s="4953"/>
      <c r="BU35" s="3020"/>
      <c r="BV35" s="4953"/>
      <c r="BW35" s="14892"/>
      <c r="BX35" s="16009"/>
      <c r="BY35" s="4961"/>
      <c r="BZ35" s="4962"/>
      <c r="CA35" s="3020"/>
      <c r="CB35" s="4963"/>
      <c r="CC35" s="4964"/>
      <c r="CD35" s="4964"/>
      <c r="CE35" s="4964"/>
      <c r="CF35" s="4965"/>
      <c r="CG35" s="4965"/>
      <c r="CH35" s="4965"/>
      <c r="CI35" s="4965"/>
      <c r="CJ35" s="4965"/>
      <c r="CK35" s="4965"/>
      <c r="CL35" s="4965"/>
      <c r="CM35" s="4965"/>
      <c r="CN35" s="4965"/>
      <c r="CO35" s="4965"/>
      <c r="CP35" s="4965"/>
      <c r="CQ35" s="4965"/>
      <c r="CR35" s="4965"/>
      <c r="CS35" s="4966"/>
      <c r="CT35" s="4965"/>
      <c r="CU35" s="4965"/>
      <c r="CV35" s="4965"/>
      <c r="CW35" s="4965"/>
      <c r="CX35" s="4965"/>
      <c r="CY35" s="4965"/>
      <c r="CZ35" s="4965"/>
      <c r="DA35" s="4965"/>
      <c r="DB35" s="4965"/>
      <c r="DC35" s="4965"/>
      <c r="DD35" s="4965"/>
      <c r="DE35" s="4965"/>
      <c r="DF35" s="4965"/>
      <c r="DG35" s="4965"/>
      <c r="DH35" s="4965"/>
      <c r="DI35" s="4965"/>
      <c r="DJ35" s="4965"/>
      <c r="DK35" s="4965"/>
      <c r="DL35" s="4965"/>
      <c r="DM35" s="4965"/>
      <c r="DN35" s="4965"/>
      <c r="DO35" s="4967"/>
      <c r="DQ35" s="3842"/>
      <c r="DR35" s="3843"/>
      <c r="DS35" s="3843"/>
      <c r="DT35" s="3843"/>
      <c r="DU35" s="3843"/>
      <c r="DV35" s="3843"/>
      <c r="DW35" s="3843"/>
      <c r="DX35" s="3843"/>
      <c r="DY35" s="3843"/>
      <c r="DZ35" s="3843"/>
      <c r="EA35" s="3843"/>
      <c r="EB35" s="3843"/>
      <c r="EC35" s="3843"/>
      <c r="ED35" s="3843"/>
      <c r="EE35" s="3843"/>
      <c r="EF35" s="3843"/>
      <c r="EG35" s="3843"/>
      <c r="EH35" s="3843"/>
      <c r="EI35" s="3843"/>
      <c r="EJ35" s="3843"/>
      <c r="EK35" s="3843"/>
      <c r="EL35" s="3843"/>
      <c r="EM35" s="3843"/>
      <c r="EN35" s="3843"/>
      <c r="EO35" s="3843"/>
      <c r="EP35" s="3843"/>
      <c r="EQ35" s="3843"/>
      <c r="ER35" s="3843"/>
      <c r="ES35" s="3843"/>
      <c r="ET35" s="3843"/>
      <c r="EU35" s="3843"/>
      <c r="EV35" s="3843"/>
      <c r="EW35" s="3843"/>
      <c r="EX35" s="3843"/>
      <c r="EY35" s="3843"/>
      <c r="EZ35" s="3843"/>
      <c r="FA35" s="3843"/>
      <c r="FB35" s="3843"/>
      <c r="FC35" s="3843"/>
      <c r="FD35" s="3843"/>
      <c r="FE35" s="3843"/>
      <c r="FF35" s="3843"/>
      <c r="FG35" s="3843"/>
      <c r="FH35" s="3843"/>
      <c r="FI35" s="3843"/>
      <c r="FJ35" s="3844"/>
    </row>
    <row r="36" spans="1:166" s="1799" customFormat="1" ht="15" customHeight="1">
      <c r="A36" s="15954" t="s">
        <v>86</v>
      </c>
      <c r="B36" s="15957" t="s">
        <v>705</v>
      </c>
      <c r="C36" s="15958" t="s">
        <v>706</v>
      </c>
      <c r="D36" s="4636" t="s">
        <v>7924</v>
      </c>
      <c r="E36" s="4944" t="s">
        <v>4951</v>
      </c>
      <c r="F36" s="4944" t="s">
        <v>95</v>
      </c>
      <c r="G36" s="4944">
        <v>0</v>
      </c>
      <c r="H36" s="4944">
        <v>1</v>
      </c>
      <c r="I36" s="4944">
        <v>1</v>
      </c>
      <c r="J36" s="4944">
        <v>1</v>
      </c>
      <c r="K36" s="4944" t="s">
        <v>707</v>
      </c>
      <c r="L36" s="4944" t="s">
        <v>86</v>
      </c>
      <c r="M36" s="4944" t="s">
        <v>708</v>
      </c>
      <c r="N36" s="4944"/>
      <c r="O36" s="4634">
        <v>30</v>
      </c>
      <c r="P36" s="4634">
        <v>31</v>
      </c>
      <c r="Q36" s="4634">
        <v>32</v>
      </c>
      <c r="R36" s="4634">
        <v>33</v>
      </c>
      <c r="S36" s="4634">
        <v>34</v>
      </c>
      <c r="T36" s="4634">
        <v>35</v>
      </c>
      <c r="U36" s="4945">
        <v>36</v>
      </c>
      <c r="V36" s="4634">
        <v>37</v>
      </c>
      <c r="W36" s="4634">
        <v>38</v>
      </c>
      <c r="X36" s="4634">
        <v>39</v>
      </c>
      <c r="Y36" s="4634">
        <v>40</v>
      </c>
      <c r="Z36" s="1756">
        <v>384</v>
      </c>
      <c r="AA36" s="4634"/>
      <c r="AB36" s="4946">
        <v>1</v>
      </c>
      <c r="AC36" s="4630" t="s">
        <v>3656</v>
      </c>
      <c r="AD36" s="4630" t="s">
        <v>3657</v>
      </c>
      <c r="AE36" s="4630" t="s">
        <v>3658</v>
      </c>
      <c r="AF36" s="3054">
        <v>183000000</v>
      </c>
      <c r="AG36" s="4629">
        <v>183000000</v>
      </c>
      <c r="AH36" s="4629"/>
      <c r="AI36" s="4629"/>
      <c r="AJ36" s="4629">
        <v>535</v>
      </c>
      <c r="AK36" s="4629">
        <v>164</v>
      </c>
      <c r="AL36" s="4629">
        <v>371</v>
      </c>
      <c r="AM36" s="4629">
        <v>414</v>
      </c>
      <c r="AN36" s="4629">
        <v>121</v>
      </c>
      <c r="AO36" s="4629">
        <v>6</v>
      </c>
      <c r="AP36" s="4629">
        <v>20</v>
      </c>
      <c r="AQ36" s="4629">
        <v>35</v>
      </c>
      <c r="AR36" s="4629">
        <v>135</v>
      </c>
      <c r="AS36" s="4629">
        <v>159</v>
      </c>
      <c r="AT36" s="4629">
        <v>113</v>
      </c>
      <c r="AU36" s="4629">
        <v>67</v>
      </c>
      <c r="AV36" s="4629">
        <v>215</v>
      </c>
      <c r="AW36" s="4629">
        <v>303</v>
      </c>
      <c r="AX36" s="4629">
        <v>7</v>
      </c>
      <c r="AY36" s="4629">
        <v>4</v>
      </c>
      <c r="AZ36" s="4629">
        <v>4</v>
      </c>
      <c r="BA36" s="4629">
        <v>0</v>
      </c>
      <c r="BB36" s="4629">
        <v>0</v>
      </c>
      <c r="BC36" s="4629">
        <v>2</v>
      </c>
      <c r="BD36" s="4629">
        <v>512</v>
      </c>
      <c r="BE36" s="4629">
        <v>20</v>
      </c>
      <c r="BF36" s="4629">
        <v>3</v>
      </c>
      <c r="BG36" s="4629">
        <v>0</v>
      </c>
      <c r="BH36" s="4629">
        <v>0</v>
      </c>
      <c r="BI36" s="4629">
        <v>0</v>
      </c>
      <c r="BJ36" s="4630" t="s">
        <v>3659</v>
      </c>
      <c r="BK36" s="4629" t="s">
        <v>1732</v>
      </c>
      <c r="BL36" s="4629" t="s">
        <v>1732</v>
      </c>
      <c r="BM36" s="4629" t="s">
        <v>1732</v>
      </c>
      <c r="BN36" s="4629" t="s">
        <v>1732</v>
      </c>
      <c r="BO36" s="4629" t="s">
        <v>1732</v>
      </c>
      <c r="BP36" s="4629" t="s">
        <v>1732</v>
      </c>
      <c r="BQ36" s="4629" t="s">
        <v>1732</v>
      </c>
      <c r="BR36" s="4629" t="s">
        <v>1732</v>
      </c>
      <c r="BS36" s="4629" t="s">
        <v>1732</v>
      </c>
      <c r="BT36" s="3898">
        <v>1</v>
      </c>
      <c r="BU36" s="4634">
        <v>1</v>
      </c>
      <c r="BV36" s="4944">
        <v>1</v>
      </c>
      <c r="BW36" s="4110">
        <f t="shared" si="0"/>
        <v>1</v>
      </c>
      <c r="BX36" s="16010">
        <f>AVERAGE(BW36:BW74)</f>
        <v>1</v>
      </c>
      <c r="BY36" s="4947" t="s">
        <v>8950</v>
      </c>
      <c r="BZ36" s="4947" t="s">
        <v>3657</v>
      </c>
      <c r="CA36" s="4947" t="s">
        <v>3658</v>
      </c>
      <c r="CB36" s="4948">
        <v>183000000</v>
      </c>
      <c r="CC36" s="4948"/>
      <c r="CD36" s="4948">
        <v>183000000</v>
      </c>
      <c r="CE36" s="4948"/>
      <c r="CF36" s="4949">
        <v>187</v>
      </c>
      <c r="CG36" s="4949">
        <v>59</v>
      </c>
      <c r="CH36" s="4949">
        <v>128</v>
      </c>
      <c r="CI36" s="4949">
        <v>187</v>
      </c>
      <c r="CJ36" s="4949">
        <v>0</v>
      </c>
      <c r="CK36" s="4949">
        <v>0</v>
      </c>
      <c r="CL36" s="4949">
        <v>4</v>
      </c>
      <c r="CM36" s="4949">
        <v>14</v>
      </c>
      <c r="CN36" s="4949">
        <v>27</v>
      </c>
      <c r="CO36" s="4949">
        <v>37</v>
      </c>
      <c r="CP36" s="4949">
        <v>33</v>
      </c>
      <c r="CQ36" s="4949">
        <v>77</v>
      </c>
      <c r="CR36" s="4949">
        <v>112</v>
      </c>
      <c r="CS36" s="4950">
        <v>66</v>
      </c>
      <c r="CT36" s="4949">
        <v>1</v>
      </c>
      <c r="CU36" s="4949">
        <v>0</v>
      </c>
      <c r="CV36" s="4949">
        <v>5</v>
      </c>
      <c r="CW36" s="4949">
        <v>1</v>
      </c>
      <c r="CX36" s="4949">
        <v>0</v>
      </c>
      <c r="CY36" s="4949">
        <v>1</v>
      </c>
      <c r="CZ36" s="4949">
        <v>182</v>
      </c>
      <c r="DA36" s="4949">
        <v>3</v>
      </c>
      <c r="DB36" s="4949">
        <v>2</v>
      </c>
      <c r="DC36" s="4949">
        <v>0</v>
      </c>
      <c r="DD36" s="4949">
        <v>0</v>
      </c>
      <c r="DE36" s="4949">
        <v>0</v>
      </c>
      <c r="DF36" s="4949" t="s">
        <v>8951</v>
      </c>
      <c r="DG36" s="4951"/>
      <c r="DH36" s="4951"/>
      <c r="DI36" s="4951"/>
      <c r="DJ36" s="4951"/>
      <c r="DK36" s="4951"/>
      <c r="DL36" s="4951"/>
      <c r="DM36" s="4951"/>
      <c r="DN36" s="4951"/>
      <c r="DO36" s="4952"/>
      <c r="DP36" s="1798"/>
      <c r="DQ36" s="3837"/>
      <c r="DR36" s="3838"/>
      <c r="DS36" s="3838"/>
      <c r="DT36" s="3838"/>
      <c r="DU36" s="3838"/>
      <c r="DV36" s="3838"/>
      <c r="DW36" s="3838"/>
      <c r="DX36" s="3838"/>
      <c r="DY36" s="3838"/>
      <c r="DZ36" s="3838"/>
      <c r="EA36" s="3838"/>
      <c r="EB36" s="3838"/>
      <c r="EC36" s="3838"/>
      <c r="ED36" s="3838"/>
      <c r="EE36" s="3838"/>
      <c r="EF36" s="3838"/>
      <c r="EG36" s="3838"/>
      <c r="EH36" s="3838"/>
      <c r="EI36" s="3838"/>
      <c r="EJ36" s="3838"/>
      <c r="EK36" s="3838"/>
      <c r="EL36" s="3838"/>
      <c r="EM36" s="3838"/>
      <c r="EN36" s="3838"/>
      <c r="EO36" s="3838"/>
      <c r="EP36" s="3838"/>
      <c r="EQ36" s="3838"/>
      <c r="ER36" s="3838"/>
      <c r="ES36" s="3838"/>
      <c r="ET36" s="3838"/>
      <c r="EU36" s="3838"/>
      <c r="EV36" s="3838"/>
      <c r="EW36" s="3838"/>
      <c r="EX36" s="3838"/>
      <c r="EY36" s="3838"/>
      <c r="EZ36" s="3838"/>
      <c r="FA36" s="3838"/>
      <c r="FB36" s="3838"/>
      <c r="FC36" s="3838"/>
      <c r="FD36" s="3838"/>
      <c r="FE36" s="3838"/>
      <c r="FF36" s="3838"/>
      <c r="FG36" s="3838"/>
      <c r="FH36" s="3838"/>
      <c r="FI36" s="3838"/>
      <c r="FJ36" s="3839"/>
    </row>
    <row r="37" spans="1:166" s="1799" customFormat="1" ht="15" customHeight="1">
      <c r="A37" s="15955"/>
      <c r="B37" s="15950"/>
      <c r="C37" s="15959"/>
      <c r="D37" s="4619" t="s">
        <v>7925</v>
      </c>
      <c r="E37" s="2739" t="s">
        <v>4952</v>
      </c>
      <c r="F37" s="2739" t="s">
        <v>709</v>
      </c>
      <c r="G37" s="2739" t="s">
        <v>710</v>
      </c>
      <c r="H37" s="2739">
        <v>20</v>
      </c>
      <c r="I37" s="2739">
        <v>15</v>
      </c>
      <c r="J37" s="2739">
        <v>10</v>
      </c>
      <c r="K37" s="2739" t="s">
        <v>711</v>
      </c>
      <c r="L37" s="2739" t="s">
        <v>86</v>
      </c>
      <c r="M37" s="2739" t="s">
        <v>708</v>
      </c>
      <c r="N37" s="2739"/>
      <c r="O37" s="4625"/>
      <c r="P37" s="4625"/>
      <c r="Q37" s="4625"/>
      <c r="R37" s="4625"/>
      <c r="S37" s="4625"/>
      <c r="T37" s="4625"/>
      <c r="U37" s="4713"/>
      <c r="V37" s="4625"/>
      <c r="W37" s="4625"/>
      <c r="X37" s="4625"/>
      <c r="Y37" s="4625"/>
      <c r="Z37" s="4618">
        <v>0</v>
      </c>
      <c r="AA37" s="2739" t="s">
        <v>712</v>
      </c>
      <c r="AB37" s="2232">
        <v>1</v>
      </c>
      <c r="AC37" s="4622" t="s">
        <v>3660</v>
      </c>
      <c r="AD37" s="4622" t="s">
        <v>3661</v>
      </c>
      <c r="AE37" s="4622" t="s">
        <v>3662</v>
      </c>
      <c r="AF37" s="4626">
        <v>140000000</v>
      </c>
      <c r="AG37" s="4626">
        <v>200000000</v>
      </c>
      <c r="AH37" s="4623"/>
      <c r="AI37" s="4623"/>
      <c r="AJ37" s="4622" t="s">
        <v>3663</v>
      </c>
      <c r="AK37" s="4623"/>
      <c r="AL37" s="4623"/>
      <c r="AM37" s="4623"/>
      <c r="AN37" s="4623"/>
      <c r="AO37" s="4623"/>
      <c r="AP37" s="4623"/>
      <c r="AQ37" s="4623"/>
      <c r="AR37" s="4623"/>
      <c r="AS37" s="4623"/>
      <c r="AT37" s="4623"/>
      <c r="AU37" s="4623"/>
      <c r="AV37" s="4623"/>
      <c r="AW37" s="4623"/>
      <c r="AX37" s="4623"/>
      <c r="AY37" s="4623"/>
      <c r="AZ37" s="4623"/>
      <c r="BA37" s="4623"/>
      <c r="BB37" s="4623"/>
      <c r="BC37" s="4623"/>
      <c r="BD37" s="4623"/>
      <c r="BE37" s="4623"/>
      <c r="BF37" s="4623"/>
      <c r="BG37" s="4623"/>
      <c r="BH37" s="4623"/>
      <c r="BI37" s="4623"/>
      <c r="BJ37" s="4623"/>
      <c r="BK37" s="4623"/>
      <c r="BL37" s="4623"/>
      <c r="BM37" s="4623"/>
      <c r="BN37" s="4623"/>
      <c r="BO37" s="4623"/>
      <c r="BP37" s="4623"/>
      <c r="BQ37" s="4623"/>
      <c r="BR37" s="4623"/>
      <c r="BS37" s="4623"/>
      <c r="BT37" s="3034">
        <v>2</v>
      </c>
      <c r="BU37" s="4625">
        <v>2</v>
      </c>
      <c r="BV37" s="2739">
        <v>2</v>
      </c>
      <c r="BW37" s="2334">
        <f t="shared" si="0"/>
        <v>1</v>
      </c>
      <c r="BX37" s="16011"/>
      <c r="BY37" s="4714" t="s">
        <v>8952</v>
      </c>
      <c r="BZ37" s="4714" t="s">
        <v>3661</v>
      </c>
      <c r="CA37" s="4714" t="s">
        <v>8953</v>
      </c>
      <c r="CB37" s="4715">
        <v>140000000</v>
      </c>
      <c r="CC37" s="4715">
        <v>200000000</v>
      </c>
      <c r="CD37" s="4715"/>
      <c r="CE37" s="4715"/>
      <c r="CF37" s="4716"/>
      <c r="CG37" s="4716"/>
      <c r="CH37" s="4716"/>
      <c r="CI37" s="4716"/>
      <c r="CJ37" s="4716"/>
      <c r="CK37" s="4716"/>
      <c r="CL37" s="4716"/>
      <c r="CM37" s="4716"/>
      <c r="CN37" s="4716"/>
      <c r="CO37" s="4716"/>
      <c r="CP37" s="4716"/>
      <c r="CQ37" s="4716"/>
      <c r="CR37" s="4716"/>
      <c r="CS37" s="4717"/>
      <c r="CT37" s="4716"/>
      <c r="CU37" s="4716"/>
      <c r="CV37" s="4716"/>
      <c r="CW37" s="4716"/>
      <c r="CX37" s="4716"/>
      <c r="CY37" s="4716"/>
      <c r="CZ37" s="4716"/>
      <c r="DA37" s="4716"/>
      <c r="DB37" s="4716"/>
      <c r="DC37" s="4716"/>
      <c r="DD37" s="4716"/>
      <c r="DE37" s="4716"/>
      <c r="DF37" s="4718"/>
      <c r="DG37" s="4718"/>
      <c r="DH37" s="4718"/>
      <c r="DI37" s="4718"/>
      <c r="DJ37" s="4718"/>
      <c r="DK37" s="4718"/>
      <c r="DL37" s="4718"/>
      <c r="DM37" s="4718"/>
      <c r="DN37" s="4718"/>
      <c r="DO37" s="4832"/>
      <c r="DP37" s="1798"/>
      <c r="DQ37" s="3472"/>
      <c r="DR37" s="3437"/>
      <c r="DS37" s="3437"/>
      <c r="DT37" s="3437"/>
      <c r="DU37" s="3437"/>
      <c r="DV37" s="3437"/>
      <c r="DW37" s="3437"/>
      <c r="DX37" s="3437"/>
      <c r="DY37" s="3437"/>
      <c r="DZ37" s="3437"/>
      <c r="EA37" s="3437"/>
      <c r="EB37" s="3437"/>
      <c r="EC37" s="3437"/>
      <c r="ED37" s="3437"/>
      <c r="EE37" s="3437"/>
      <c r="EF37" s="3437"/>
      <c r="EG37" s="3437"/>
      <c r="EH37" s="3437"/>
      <c r="EI37" s="3437"/>
      <c r="EJ37" s="3437"/>
      <c r="EK37" s="3437"/>
      <c r="EL37" s="3437"/>
      <c r="EM37" s="3437"/>
      <c r="EN37" s="3437"/>
      <c r="EO37" s="3437"/>
      <c r="EP37" s="3437"/>
      <c r="EQ37" s="3437"/>
      <c r="ER37" s="3437"/>
      <c r="ES37" s="3437"/>
      <c r="ET37" s="3437"/>
      <c r="EU37" s="3437"/>
      <c r="EV37" s="3437"/>
      <c r="EW37" s="3437"/>
      <c r="EX37" s="3437"/>
      <c r="EY37" s="3437"/>
      <c r="EZ37" s="3437"/>
      <c r="FA37" s="3437"/>
      <c r="FB37" s="3437"/>
      <c r="FC37" s="3437"/>
      <c r="FD37" s="3437"/>
      <c r="FE37" s="3437"/>
      <c r="FF37" s="3437"/>
      <c r="FG37" s="3437"/>
      <c r="FH37" s="3437"/>
      <c r="FI37" s="3437"/>
      <c r="FJ37" s="3473"/>
    </row>
    <row r="38" spans="1:166" s="1799" customFormat="1" ht="15" customHeight="1">
      <c r="A38" s="15955"/>
      <c r="B38" s="15950"/>
      <c r="C38" s="15959"/>
      <c r="D38" s="4619" t="s">
        <v>7926</v>
      </c>
      <c r="E38" s="2739" t="s">
        <v>4953</v>
      </c>
      <c r="F38" s="2739" t="s">
        <v>95</v>
      </c>
      <c r="G38" s="2739" t="s">
        <v>713</v>
      </c>
      <c r="H38" s="2739">
        <v>4</v>
      </c>
      <c r="I38" s="2739">
        <v>3</v>
      </c>
      <c r="J38" s="2739">
        <v>2</v>
      </c>
      <c r="K38" s="2739" t="s">
        <v>711</v>
      </c>
      <c r="L38" s="2739" t="s">
        <v>86</v>
      </c>
      <c r="M38" s="2739" t="s">
        <v>708</v>
      </c>
      <c r="N38" s="2739"/>
      <c r="O38" s="4625">
        <v>25</v>
      </c>
      <c r="P38" s="4625">
        <v>26</v>
      </c>
      <c r="Q38" s="4625">
        <v>27</v>
      </c>
      <c r="R38" s="4625">
        <v>27</v>
      </c>
      <c r="S38" s="4625">
        <v>28</v>
      </c>
      <c r="T38" s="4625">
        <v>29</v>
      </c>
      <c r="U38" s="4713">
        <v>30</v>
      </c>
      <c r="V38" s="4625">
        <v>31</v>
      </c>
      <c r="W38" s="4625">
        <v>32</v>
      </c>
      <c r="X38" s="4625">
        <v>33</v>
      </c>
      <c r="Y38" s="4625">
        <v>34</v>
      </c>
      <c r="Z38" s="4618">
        <v>320</v>
      </c>
      <c r="AA38" s="4625"/>
      <c r="AB38" s="2232">
        <v>1</v>
      </c>
      <c r="AC38" s="4622" t="s">
        <v>3664</v>
      </c>
      <c r="AD38" s="4622" t="s">
        <v>3657</v>
      </c>
      <c r="AE38" s="4623" t="s">
        <v>3665</v>
      </c>
      <c r="AF38" s="4626">
        <v>183000000</v>
      </c>
      <c r="AG38" s="4623">
        <v>183000000</v>
      </c>
      <c r="AH38" s="4626"/>
      <c r="AI38" s="4623"/>
      <c r="AJ38" s="4623">
        <v>535</v>
      </c>
      <c r="AK38" s="4623">
        <v>164</v>
      </c>
      <c r="AL38" s="4623">
        <v>371</v>
      </c>
      <c r="AM38" s="4623">
        <v>414</v>
      </c>
      <c r="AN38" s="4623">
        <v>121</v>
      </c>
      <c r="AO38" s="4623">
        <v>6</v>
      </c>
      <c r="AP38" s="4623">
        <v>20</v>
      </c>
      <c r="AQ38" s="4623">
        <v>35</v>
      </c>
      <c r="AR38" s="4623">
        <v>135</v>
      </c>
      <c r="AS38" s="4623">
        <v>159</v>
      </c>
      <c r="AT38" s="4623">
        <v>113</v>
      </c>
      <c r="AU38" s="4623">
        <v>67</v>
      </c>
      <c r="AV38" s="4623">
        <v>215</v>
      </c>
      <c r="AW38" s="4623">
        <v>303</v>
      </c>
      <c r="AX38" s="4623">
        <v>7</v>
      </c>
      <c r="AY38" s="4623">
        <v>4</v>
      </c>
      <c r="AZ38" s="4623">
        <v>4</v>
      </c>
      <c r="BA38" s="4623">
        <v>0</v>
      </c>
      <c r="BB38" s="4623">
        <v>0</v>
      </c>
      <c r="BC38" s="4623">
        <v>2</v>
      </c>
      <c r="BD38" s="4623">
        <v>512</v>
      </c>
      <c r="BE38" s="4623">
        <v>20</v>
      </c>
      <c r="BF38" s="4623">
        <v>3</v>
      </c>
      <c r="BG38" s="4623">
        <v>0</v>
      </c>
      <c r="BH38" s="4623">
        <v>0</v>
      </c>
      <c r="BI38" s="4623">
        <v>0</v>
      </c>
      <c r="BJ38" s="4622" t="s">
        <v>3659</v>
      </c>
      <c r="BK38" s="4623" t="s">
        <v>1732</v>
      </c>
      <c r="BL38" s="4623" t="s">
        <v>1732</v>
      </c>
      <c r="BM38" s="4623" t="s">
        <v>1732</v>
      </c>
      <c r="BN38" s="4623" t="s">
        <v>1732</v>
      </c>
      <c r="BO38" s="4623" t="s">
        <v>1732</v>
      </c>
      <c r="BP38" s="4623" t="s">
        <v>1732</v>
      </c>
      <c r="BQ38" s="4623" t="s">
        <v>1732</v>
      </c>
      <c r="BR38" s="4623" t="s">
        <v>1732</v>
      </c>
      <c r="BS38" s="4623" t="s">
        <v>1732</v>
      </c>
      <c r="BT38" s="3034">
        <v>1</v>
      </c>
      <c r="BU38" s="4625">
        <v>1</v>
      </c>
      <c r="BV38" s="2739">
        <v>1</v>
      </c>
      <c r="BW38" s="2334">
        <f t="shared" si="0"/>
        <v>1</v>
      </c>
      <c r="BX38" s="16011"/>
      <c r="BY38" s="4714" t="s">
        <v>3664</v>
      </c>
      <c r="BZ38" s="4714" t="s">
        <v>3657</v>
      </c>
      <c r="CA38" s="4714" t="s">
        <v>3665</v>
      </c>
      <c r="CB38" s="4715"/>
      <c r="CC38" s="4715"/>
      <c r="CD38" s="4715"/>
      <c r="CE38" s="4715"/>
      <c r="CF38" s="4716"/>
      <c r="CG38" s="4716"/>
      <c r="CH38" s="4716"/>
      <c r="CI38" s="4716"/>
      <c r="CJ38" s="4716"/>
      <c r="CK38" s="4716"/>
      <c r="CL38" s="4716"/>
      <c r="CM38" s="4716"/>
      <c r="CN38" s="4716"/>
      <c r="CO38" s="4716"/>
      <c r="CP38" s="4716"/>
      <c r="CQ38" s="4716"/>
      <c r="CR38" s="4716"/>
      <c r="CS38" s="4717"/>
      <c r="CT38" s="4716"/>
      <c r="CU38" s="4716"/>
      <c r="CV38" s="4716"/>
      <c r="CW38" s="4716"/>
      <c r="CX38" s="4716"/>
      <c r="CY38" s="4716"/>
      <c r="CZ38" s="4716"/>
      <c r="DA38" s="4716"/>
      <c r="DB38" s="4716"/>
      <c r="DC38" s="4716"/>
      <c r="DD38" s="4716"/>
      <c r="DE38" s="4716"/>
      <c r="DF38" s="4716"/>
      <c r="DG38" s="4718"/>
      <c r="DH38" s="4718"/>
      <c r="DI38" s="4718"/>
      <c r="DJ38" s="4718"/>
      <c r="DK38" s="4718"/>
      <c r="DL38" s="4718"/>
      <c r="DM38" s="4718"/>
      <c r="DN38" s="4718"/>
      <c r="DO38" s="4832"/>
      <c r="DP38" s="1798"/>
      <c r="DQ38" s="3472"/>
      <c r="DR38" s="3437"/>
      <c r="DS38" s="3437"/>
      <c r="DT38" s="3437"/>
      <c r="DU38" s="3437"/>
      <c r="DV38" s="3437"/>
      <c r="DW38" s="3437"/>
      <c r="DX38" s="3437"/>
      <c r="DY38" s="3437"/>
      <c r="DZ38" s="3437"/>
      <c r="EA38" s="3437"/>
      <c r="EB38" s="3437"/>
      <c r="EC38" s="3437"/>
      <c r="ED38" s="3437"/>
      <c r="EE38" s="3437"/>
      <c r="EF38" s="3437"/>
      <c r="EG38" s="3437"/>
      <c r="EH38" s="3437"/>
      <c r="EI38" s="3437"/>
      <c r="EJ38" s="3437"/>
      <c r="EK38" s="3437"/>
      <c r="EL38" s="3437"/>
      <c r="EM38" s="3437"/>
      <c r="EN38" s="3437"/>
      <c r="EO38" s="3437"/>
      <c r="EP38" s="3437"/>
      <c r="EQ38" s="3437"/>
      <c r="ER38" s="3437"/>
      <c r="ES38" s="3437"/>
      <c r="ET38" s="3437"/>
      <c r="EU38" s="3437"/>
      <c r="EV38" s="3437"/>
      <c r="EW38" s="3437"/>
      <c r="EX38" s="3437"/>
      <c r="EY38" s="3437"/>
      <c r="EZ38" s="3437"/>
      <c r="FA38" s="3437"/>
      <c r="FB38" s="3437"/>
      <c r="FC38" s="3437"/>
      <c r="FD38" s="3437"/>
      <c r="FE38" s="3437"/>
      <c r="FF38" s="3437"/>
      <c r="FG38" s="3437"/>
      <c r="FH38" s="3437"/>
      <c r="FI38" s="3437"/>
      <c r="FJ38" s="3473"/>
    </row>
    <row r="39" spans="1:166" s="1799" customFormat="1" ht="15" customHeight="1">
      <c r="A39" s="15955"/>
      <c r="B39" s="15950"/>
      <c r="C39" s="15950" t="s">
        <v>714</v>
      </c>
      <c r="D39" s="4619" t="s">
        <v>7927</v>
      </c>
      <c r="E39" s="2739" t="s">
        <v>4954</v>
      </c>
      <c r="F39" s="2739" t="s">
        <v>95</v>
      </c>
      <c r="G39" s="2739" t="s">
        <v>542</v>
      </c>
      <c r="H39" s="2739">
        <v>1</v>
      </c>
      <c r="I39" s="2739">
        <v>1</v>
      </c>
      <c r="J39" s="2739">
        <v>1</v>
      </c>
      <c r="K39" s="2739" t="s">
        <v>707</v>
      </c>
      <c r="L39" s="2739" t="s">
        <v>86</v>
      </c>
      <c r="M39" s="2739" t="s">
        <v>708</v>
      </c>
      <c r="N39" s="2739"/>
      <c r="O39" s="4625">
        <v>30</v>
      </c>
      <c r="P39" s="4625">
        <v>31</v>
      </c>
      <c r="Q39" s="4625">
        <v>32</v>
      </c>
      <c r="R39" s="4625">
        <v>33</v>
      </c>
      <c r="S39" s="4625">
        <v>34</v>
      </c>
      <c r="T39" s="4625">
        <v>35</v>
      </c>
      <c r="U39" s="4713">
        <v>36</v>
      </c>
      <c r="V39" s="4625">
        <v>37</v>
      </c>
      <c r="W39" s="4625">
        <v>38</v>
      </c>
      <c r="X39" s="4625">
        <v>39</v>
      </c>
      <c r="Y39" s="4625">
        <v>40</v>
      </c>
      <c r="Z39" s="4618">
        <v>384</v>
      </c>
      <c r="AA39" s="4625"/>
      <c r="AB39" s="2232">
        <v>1</v>
      </c>
      <c r="AC39" s="4622" t="s">
        <v>3666</v>
      </c>
      <c r="AD39" s="4622" t="s">
        <v>3657</v>
      </c>
      <c r="AE39" s="4623" t="s">
        <v>3667</v>
      </c>
      <c r="AF39" s="4626">
        <v>140000000</v>
      </c>
      <c r="AG39" s="4623"/>
      <c r="AH39" s="4623"/>
      <c r="AI39" s="4623"/>
      <c r="AJ39" s="4623">
        <v>3204</v>
      </c>
      <c r="AK39" s="4623">
        <v>1287</v>
      </c>
      <c r="AL39" s="4623">
        <v>1917</v>
      </c>
      <c r="AM39" s="4623">
        <v>3608</v>
      </c>
      <c r="AN39" s="4623">
        <v>746</v>
      </c>
      <c r="AO39" s="4623">
        <v>6</v>
      </c>
      <c r="AP39" s="4623">
        <v>678</v>
      </c>
      <c r="AQ39" s="4623">
        <v>523</v>
      </c>
      <c r="AR39" s="4623">
        <v>312</v>
      </c>
      <c r="AS39" s="4623">
        <v>373</v>
      </c>
      <c r="AT39" s="4623">
        <v>489</v>
      </c>
      <c r="AU39" s="4623">
        <v>823</v>
      </c>
      <c r="AV39" s="4623">
        <v>2452</v>
      </c>
      <c r="AW39" s="4623">
        <v>316</v>
      </c>
      <c r="AX39" s="4623">
        <v>98</v>
      </c>
      <c r="AY39" s="4623">
        <v>142</v>
      </c>
      <c r="AZ39" s="4623">
        <v>193</v>
      </c>
      <c r="BA39" s="4623">
        <v>0</v>
      </c>
      <c r="BB39" s="4623">
        <v>0</v>
      </c>
      <c r="BC39" s="4623">
        <v>3</v>
      </c>
      <c r="BD39" s="4623">
        <v>3099</v>
      </c>
      <c r="BE39" s="4623">
        <v>52</v>
      </c>
      <c r="BF39" s="4623">
        <v>52</v>
      </c>
      <c r="BG39" s="4623">
        <v>0</v>
      </c>
      <c r="BH39" s="4623">
        <v>0</v>
      </c>
      <c r="BI39" s="4623">
        <v>0</v>
      </c>
      <c r="BJ39" s="4622" t="s">
        <v>3668</v>
      </c>
      <c r="BK39" s="4623" t="s">
        <v>1732</v>
      </c>
      <c r="BL39" s="4623" t="s">
        <v>1732</v>
      </c>
      <c r="BM39" s="4623" t="s">
        <v>1732</v>
      </c>
      <c r="BN39" s="4623" t="s">
        <v>1732</v>
      </c>
      <c r="BO39" s="4623" t="s">
        <v>1732</v>
      </c>
      <c r="BP39" s="4623" t="s">
        <v>1732</v>
      </c>
      <c r="BQ39" s="4623" t="s">
        <v>1732</v>
      </c>
      <c r="BR39" s="4623" t="s">
        <v>1732</v>
      </c>
      <c r="BS39" s="4623" t="s">
        <v>1732</v>
      </c>
      <c r="BT39" s="3034">
        <v>2</v>
      </c>
      <c r="BU39" s="4625">
        <v>2</v>
      </c>
      <c r="BV39" s="2739">
        <v>2</v>
      </c>
      <c r="BW39" s="2334">
        <f t="shared" si="0"/>
        <v>1</v>
      </c>
      <c r="BX39" s="16011"/>
      <c r="BY39" s="4714" t="s">
        <v>8954</v>
      </c>
      <c r="BZ39" s="4714" t="s">
        <v>3657</v>
      </c>
      <c r="CA39" s="4714" t="s">
        <v>3667</v>
      </c>
      <c r="CB39" s="4715">
        <v>200000000</v>
      </c>
      <c r="CC39" s="4715"/>
      <c r="CD39" s="4715"/>
      <c r="CE39" s="4715"/>
      <c r="CF39" s="4716">
        <v>971</v>
      </c>
      <c r="CG39" s="4716">
        <v>214</v>
      </c>
      <c r="CH39" s="4716">
        <v>757</v>
      </c>
      <c r="CI39" s="4716">
        <v>770</v>
      </c>
      <c r="CJ39" s="4716">
        <v>198</v>
      </c>
      <c r="CK39" s="4716">
        <v>6</v>
      </c>
      <c r="CL39" s="4716">
        <v>20</v>
      </c>
      <c r="CM39" s="4716">
        <v>40</v>
      </c>
      <c r="CN39" s="4716">
        <v>158</v>
      </c>
      <c r="CO39" s="4716">
        <v>222</v>
      </c>
      <c r="CP39" s="4716">
        <v>305</v>
      </c>
      <c r="CQ39" s="4716">
        <v>217</v>
      </c>
      <c r="CR39" s="4716">
        <v>592</v>
      </c>
      <c r="CS39" s="4717">
        <v>311</v>
      </c>
      <c r="CT39" s="4716">
        <v>17</v>
      </c>
      <c r="CU39" s="4716">
        <v>6</v>
      </c>
      <c r="CV39" s="4716">
        <v>38</v>
      </c>
      <c r="CW39" s="4716">
        <v>0</v>
      </c>
      <c r="CX39" s="4716">
        <v>0</v>
      </c>
      <c r="CY39" s="4716">
        <v>6</v>
      </c>
      <c r="CZ39" s="4716">
        <v>937</v>
      </c>
      <c r="DA39" s="4716">
        <v>22</v>
      </c>
      <c r="DB39" s="4716">
        <v>12</v>
      </c>
      <c r="DC39" s="4716">
        <v>0</v>
      </c>
      <c r="DD39" s="4716">
        <v>0</v>
      </c>
      <c r="DE39" s="4716">
        <v>0</v>
      </c>
      <c r="DF39" s="4716" t="s">
        <v>8955</v>
      </c>
      <c r="DG39" s="4718"/>
      <c r="DH39" s="4718"/>
      <c r="DI39" s="4718"/>
      <c r="DJ39" s="4718"/>
      <c r="DK39" s="4718"/>
      <c r="DL39" s="4718"/>
      <c r="DM39" s="4718"/>
      <c r="DN39" s="4718"/>
      <c r="DO39" s="4832"/>
      <c r="DP39" s="1798"/>
      <c r="DQ39" s="3472"/>
      <c r="DR39" s="3437"/>
      <c r="DS39" s="3437"/>
      <c r="DT39" s="3437"/>
      <c r="DU39" s="3437"/>
      <c r="DV39" s="3437"/>
      <c r="DW39" s="3437"/>
      <c r="DX39" s="3437"/>
      <c r="DY39" s="3437"/>
      <c r="DZ39" s="3437"/>
      <c r="EA39" s="3437"/>
      <c r="EB39" s="3437"/>
      <c r="EC39" s="3437"/>
      <c r="ED39" s="3437"/>
      <c r="EE39" s="3437"/>
      <c r="EF39" s="3437"/>
      <c r="EG39" s="3437"/>
      <c r="EH39" s="3437"/>
      <c r="EI39" s="3437"/>
      <c r="EJ39" s="3437"/>
      <c r="EK39" s="3437"/>
      <c r="EL39" s="3437"/>
      <c r="EM39" s="3437"/>
      <c r="EN39" s="3437"/>
      <c r="EO39" s="3437"/>
      <c r="EP39" s="3437"/>
      <c r="EQ39" s="3437"/>
      <c r="ER39" s="3437"/>
      <c r="ES39" s="3437"/>
      <c r="ET39" s="3437"/>
      <c r="EU39" s="3437"/>
      <c r="EV39" s="3437"/>
      <c r="EW39" s="3437"/>
      <c r="EX39" s="3437"/>
      <c r="EY39" s="3437"/>
      <c r="EZ39" s="3437"/>
      <c r="FA39" s="3437"/>
      <c r="FB39" s="3437"/>
      <c r="FC39" s="3437"/>
      <c r="FD39" s="3437"/>
      <c r="FE39" s="3437"/>
      <c r="FF39" s="3437"/>
      <c r="FG39" s="3437"/>
      <c r="FH39" s="3437"/>
      <c r="FI39" s="3437"/>
      <c r="FJ39" s="3473"/>
    </row>
    <row r="40" spans="1:166" s="1799" customFormat="1" ht="15" customHeight="1">
      <c r="A40" s="15955"/>
      <c r="B40" s="15950"/>
      <c r="C40" s="15950"/>
      <c r="D40" s="4619" t="s">
        <v>7928</v>
      </c>
      <c r="E40" s="2739" t="s">
        <v>4955</v>
      </c>
      <c r="F40" s="2739" t="s">
        <v>95</v>
      </c>
      <c r="G40" s="2739" t="s">
        <v>715</v>
      </c>
      <c r="H40" s="2739">
        <v>1</v>
      </c>
      <c r="I40" s="2739">
        <v>2</v>
      </c>
      <c r="J40" s="2739">
        <v>3</v>
      </c>
      <c r="K40" s="2739" t="s">
        <v>716</v>
      </c>
      <c r="L40" s="2739" t="s">
        <v>86</v>
      </c>
      <c r="M40" s="2739" t="s">
        <v>708</v>
      </c>
      <c r="N40" s="2739"/>
      <c r="O40" s="4625">
        <v>30</v>
      </c>
      <c r="P40" s="4625">
        <v>31</v>
      </c>
      <c r="Q40" s="4625">
        <v>32</v>
      </c>
      <c r="R40" s="4625">
        <v>33</v>
      </c>
      <c r="S40" s="4625">
        <v>34</v>
      </c>
      <c r="T40" s="4625">
        <v>35</v>
      </c>
      <c r="U40" s="4713">
        <v>36</v>
      </c>
      <c r="V40" s="4625">
        <v>37</v>
      </c>
      <c r="W40" s="4625">
        <v>38</v>
      </c>
      <c r="X40" s="4625">
        <v>39</v>
      </c>
      <c r="Y40" s="4625">
        <v>40</v>
      </c>
      <c r="Z40" s="4618">
        <v>384</v>
      </c>
      <c r="AA40" s="4625"/>
      <c r="AB40" s="2232">
        <v>1</v>
      </c>
      <c r="AC40" s="4622" t="s">
        <v>3669</v>
      </c>
      <c r="AD40" s="4622" t="s">
        <v>3657</v>
      </c>
      <c r="AE40" s="4623" t="s">
        <v>3670</v>
      </c>
      <c r="AF40" s="4626">
        <v>200000000</v>
      </c>
      <c r="AG40" s="4623"/>
      <c r="AH40" s="4623"/>
      <c r="AI40" s="4623"/>
      <c r="AJ40" s="4623">
        <v>2669</v>
      </c>
      <c r="AK40" s="4623">
        <v>1123</v>
      </c>
      <c r="AL40" s="4623">
        <v>1546</v>
      </c>
      <c r="AM40" s="4623">
        <v>3194</v>
      </c>
      <c r="AN40" s="4623">
        <v>625</v>
      </c>
      <c r="AO40" s="4623">
        <v>0</v>
      </c>
      <c r="AP40" s="4623">
        <v>658</v>
      </c>
      <c r="AQ40" s="4623">
        <v>488</v>
      </c>
      <c r="AR40" s="4623">
        <v>177</v>
      </c>
      <c r="AS40" s="4623">
        <v>214</v>
      </c>
      <c r="AT40" s="4623">
        <v>376</v>
      </c>
      <c r="AU40" s="4623">
        <v>756</v>
      </c>
      <c r="AV40" s="4623">
        <v>2237</v>
      </c>
      <c r="AW40" s="4623">
        <v>13</v>
      </c>
      <c r="AX40" s="4623">
        <v>91</v>
      </c>
      <c r="AY40" s="4623">
        <v>138</v>
      </c>
      <c r="AZ40" s="4623">
        <v>189</v>
      </c>
      <c r="BA40" s="4623">
        <v>0</v>
      </c>
      <c r="BB40" s="4623">
        <v>0</v>
      </c>
      <c r="BC40" s="4623">
        <v>1</v>
      </c>
      <c r="BD40" s="4623">
        <v>2587</v>
      </c>
      <c r="BE40" s="4623">
        <v>32</v>
      </c>
      <c r="BF40" s="4623">
        <v>49</v>
      </c>
      <c r="BG40" s="4623">
        <v>0</v>
      </c>
      <c r="BH40" s="4623">
        <v>0</v>
      </c>
      <c r="BI40" s="4623">
        <v>0</v>
      </c>
      <c r="BJ40" s="4622" t="s">
        <v>3671</v>
      </c>
      <c r="BK40" s="4623" t="s">
        <v>1732</v>
      </c>
      <c r="BL40" s="4623" t="s">
        <v>1732</v>
      </c>
      <c r="BM40" s="4623" t="s">
        <v>1732</v>
      </c>
      <c r="BN40" s="4623" t="s">
        <v>1732</v>
      </c>
      <c r="BO40" s="4623" t="s">
        <v>1732</v>
      </c>
      <c r="BP40" s="4623" t="s">
        <v>1732</v>
      </c>
      <c r="BQ40" s="4623" t="s">
        <v>1732</v>
      </c>
      <c r="BR40" s="4623" t="s">
        <v>1732</v>
      </c>
      <c r="BS40" s="4623" t="s">
        <v>1732</v>
      </c>
      <c r="BT40" s="3034">
        <v>1</v>
      </c>
      <c r="BU40" s="4625">
        <v>1</v>
      </c>
      <c r="BV40" s="2739">
        <v>2</v>
      </c>
      <c r="BW40" s="2334">
        <v>1</v>
      </c>
      <c r="BX40" s="16011"/>
      <c r="BY40" s="4714" t="s">
        <v>8956</v>
      </c>
      <c r="BZ40" s="4714" t="s">
        <v>3657</v>
      </c>
      <c r="CA40" s="4714" t="s">
        <v>8957</v>
      </c>
      <c r="CB40" s="4715">
        <v>150000000</v>
      </c>
      <c r="CC40" s="4715"/>
      <c r="CD40" s="4715"/>
      <c r="CE40" s="4715"/>
      <c r="CF40" s="4716">
        <v>436</v>
      </c>
      <c r="CG40" s="4716">
        <v>50</v>
      </c>
      <c r="CH40" s="4716">
        <v>386</v>
      </c>
      <c r="CI40" s="4716">
        <v>356</v>
      </c>
      <c r="CJ40" s="4716">
        <v>77</v>
      </c>
      <c r="CK40" s="4716">
        <v>0</v>
      </c>
      <c r="CL40" s="4716">
        <v>0</v>
      </c>
      <c r="CM40" s="4716">
        <v>5</v>
      </c>
      <c r="CN40" s="4716">
        <v>23</v>
      </c>
      <c r="CO40" s="4716">
        <v>63</v>
      </c>
      <c r="CP40" s="4716">
        <v>192</v>
      </c>
      <c r="CQ40" s="4716">
        <v>150</v>
      </c>
      <c r="CR40" s="4716">
        <v>377</v>
      </c>
      <c r="CS40" s="4717">
        <v>8</v>
      </c>
      <c r="CT40" s="4716">
        <v>10</v>
      </c>
      <c r="CU40" s="4716">
        <v>2</v>
      </c>
      <c r="CV40" s="4716">
        <v>34</v>
      </c>
      <c r="CW40" s="4716">
        <v>0</v>
      </c>
      <c r="CX40" s="4716">
        <v>0</v>
      </c>
      <c r="CY40" s="4716">
        <v>4</v>
      </c>
      <c r="CZ40" s="4716">
        <v>425</v>
      </c>
      <c r="DA40" s="4716">
        <v>2</v>
      </c>
      <c r="DB40" s="4716">
        <v>9</v>
      </c>
      <c r="DC40" s="4716">
        <v>0</v>
      </c>
      <c r="DD40" s="4716">
        <v>0</v>
      </c>
      <c r="DE40" s="4716">
        <v>0</v>
      </c>
      <c r="DF40" s="4716" t="s">
        <v>8958</v>
      </c>
      <c r="DG40" s="4718"/>
      <c r="DH40" s="4718"/>
      <c r="DI40" s="4718"/>
      <c r="DJ40" s="4718"/>
      <c r="DK40" s="4718"/>
      <c r="DL40" s="4718"/>
      <c r="DM40" s="4718"/>
      <c r="DN40" s="4718"/>
      <c r="DO40" s="4832"/>
      <c r="DP40" s="1798"/>
      <c r="DQ40" s="3472"/>
      <c r="DR40" s="3437"/>
      <c r="DS40" s="3437"/>
      <c r="DT40" s="3437"/>
      <c r="DU40" s="3437"/>
      <c r="DV40" s="3437"/>
      <c r="DW40" s="3437"/>
      <c r="DX40" s="3437"/>
      <c r="DY40" s="3437"/>
      <c r="DZ40" s="3437"/>
      <c r="EA40" s="3437"/>
      <c r="EB40" s="3437"/>
      <c r="EC40" s="3437"/>
      <c r="ED40" s="3437"/>
      <c r="EE40" s="3437"/>
      <c r="EF40" s="3437"/>
      <c r="EG40" s="3437"/>
      <c r="EH40" s="3437"/>
      <c r="EI40" s="3437"/>
      <c r="EJ40" s="3437"/>
      <c r="EK40" s="3437"/>
      <c r="EL40" s="3437"/>
      <c r="EM40" s="3437"/>
      <c r="EN40" s="3437"/>
      <c r="EO40" s="3437"/>
      <c r="EP40" s="3437"/>
      <c r="EQ40" s="3437"/>
      <c r="ER40" s="3437"/>
      <c r="ES40" s="3437"/>
      <c r="ET40" s="3437"/>
      <c r="EU40" s="3437"/>
      <c r="EV40" s="3437"/>
      <c r="EW40" s="3437"/>
      <c r="EX40" s="3437"/>
      <c r="EY40" s="3437"/>
      <c r="EZ40" s="3437"/>
      <c r="FA40" s="3437"/>
      <c r="FB40" s="3437"/>
      <c r="FC40" s="3437"/>
      <c r="FD40" s="3437"/>
      <c r="FE40" s="3437"/>
      <c r="FF40" s="3437"/>
      <c r="FG40" s="3437"/>
      <c r="FH40" s="3437"/>
      <c r="FI40" s="3437"/>
      <c r="FJ40" s="3473"/>
    </row>
    <row r="41" spans="1:166" s="1799" customFormat="1" ht="15" customHeight="1">
      <c r="A41" s="15955"/>
      <c r="B41" s="15950"/>
      <c r="C41" s="15950" t="s">
        <v>717</v>
      </c>
      <c r="D41" s="4619" t="s">
        <v>7929</v>
      </c>
      <c r="E41" s="2739" t="s">
        <v>4956</v>
      </c>
      <c r="F41" s="2739" t="s">
        <v>718</v>
      </c>
      <c r="G41" s="2739" t="s">
        <v>719</v>
      </c>
      <c r="H41" s="4620">
        <v>0.8</v>
      </c>
      <c r="I41" s="4620">
        <v>1</v>
      </c>
      <c r="J41" s="4620">
        <v>1</v>
      </c>
      <c r="K41" s="2739" t="s">
        <v>720</v>
      </c>
      <c r="L41" s="2739" t="s">
        <v>86</v>
      </c>
      <c r="M41" s="2739" t="s">
        <v>708</v>
      </c>
      <c r="N41" s="2739"/>
      <c r="O41" s="2739"/>
      <c r="P41" s="2739"/>
      <c r="Q41" s="2739"/>
      <c r="R41" s="2739"/>
      <c r="S41" s="2739"/>
      <c r="T41" s="2739"/>
      <c r="U41" s="4719"/>
      <c r="V41" s="2739"/>
      <c r="W41" s="2739"/>
      <c r="X41" s="2739"/>
      <c r="Y41" s="2739"/>
      <c r="Z41" s="4618">
        <v>0</v>
      </c>
      <c r="AA41" s="2739" t="s">
        <v>721</v>
      </c>
      <c r="AB41" s="4621">
        <v>1</v>
      </c>
      <c r="AC41" s="4622" t="s">
        <v>3672</v>
      </c>
      <c r="AD41" s="4622" t="s">
        <v>3673</v>
      </c>
      <c r="AE41" s="4623" t="s">
        <v>3674</v>
      </c>
      <c r="AF41" s="4626">
        <v>60000000</v>
      </c>
      <c r="AG41" s="4623"/>
      <c r="AH41" s="4623"/>
      <c r="AI41" s="4623"/>
      <c r="AJ41" s="4623">
        <v>1458</v>
      </c>
      <c r="AK41" s="4623">
        <v>729</v>
      </c>
      <c r="AL41" s="4623">
        <v>729</v>
      </c>
      <c r="AM41" s="4623">
        <v>1230</v>
      </c>
      <c r="AN41" s="4623">
        <v>228</v>
      </c>
      <c r="AO41" s="4623">
        <v>14</v>
      </c>
      <c r="AP41" s="4623">
        <v>67</v>
      </c>
      <c r="AQ41" s="4623">
        <v>108</v>
      </c>
      <c r="AR41" s="4623">
        <v>173</v>
      </c>
      <c r="AS41" s="4623">
        <v>217</v>
      </c>
      <c r="AT41" s="4623">
        <v>314</v>
      </c>
      <c r="AU41" s="4623">
        <v>565</v>
      </c>
      <c r="AV41" s="4623">
        <v>0</v>
      </c>
      <c r="AW41" s="4623">
        <v>1458</v>
      </c>
      <c r="AX41" s="4623">
        <v>43</v>
      </c>
      <c r="AY41" s="4623">
        <v>11</v>
      </c>
      <c r="AZ41" s="4623">
        <v>26</v>
      </c>
      <c r="BA41" s="4623">
        <v>0</v>
      </c>
      <c r="BB41" s="4623">
        <v>0</v>
      </c>
      <c r="BC41" s="4623">
        <v>0</v>
      </c>
      <c r="BD41" s="4623">
        <v>1361</v>
      </c>
      <c r="BE41" s="4623">
        <v>71</v>
      </c>
      <c r="BF41" s="4623">
        <v>26</v>
      </c>
      <c r="BG41" s="4623">
        <v>0</v>
      </c>
      <c r="BH41" s="4623">
        <v>0</v>
      </c>
      <c r="BI41" s="4623">
        <v>0</v>
      </c>
      <c r="BJ41" s="4623"/>
      <c r="BK41" s="4623"/>
      <c r="BL41" s="4623"/>
      <c r="BM41" s="4623"/>
      <c r="BN41" s="4623"/>
      <c r="BO41" s="4623"/>
      <c r="BP41" s="4623"/>
      <c r="BQ41" s="4623"/>
      <c r="BR41" s="4623"/>
      <c r="BS41" s="4623"/>
      <c r="BT41" s="4720">
        <v>1</v>
      </c>
      <c r="BU41" s="4624">
        <v>1</v>
      </c>
      <c r="BV41" s="4620">
        <v>1</v>
      </c>
      <c r="BW41" s="2334">
        <f t="shared" ref="BW41:BW52" si="1">BV41/BU41</f>
        <v>1</v>
      </c>
      <c r="BX41" s="16011"/>
      <c r="BY41" s="4714" t="s">
        <v>8959</v>
      </c>
      <c r="BZ41" s="4714" t="s">
        <v>8960</v>
      </c>
      <c r="CA41" s="4714" t="s">
        <v>3674</v>
      </c>
      <c r="CB41" s="4715">
        <v>50000000</v>
      </c>
      <c r="CC41" s="4715"/>
      <c r="CD41" s="4715"/>
      <c r="CE41" s="4715"/>
      <c r="CF41" s="4716">
        <v>2181</v>
      </c>
      <c r="CG41" s="4716">
        <v>1190</v>
      </c>
      <c r="CH41" s="4716">
        <v>991</v>
      </c>
      <c r="CI41" s="4716">
        <v>1588</v>
      </c>
      <c r="CJ41" s="4716">
        <v>579</v>
      </c>
      <c r="CK41" s="4716">
        <v>0</v>
      </c>
      <c r="CL41" s="4716">
        <v>111</v>
      </c>
      <c r="CM41" s="4716">
        <v>169</v>
      </c>
      <c r="CN41" s="4716">
        <v>278</v>
      </c>
      <c r="CO41" s="4716">
        <v>221</v>
      </c>
      <c r="CP41" s="4716">
        <v>333</v>
      </c>
      <c r="CQ41" s="4716">
        <v>1069</v>
      </c>
      <c r="CR41" s="4716">
        <v>0</v>
      </c>
      <c r="CS41" s="4717">
        <v>2181</v>
      </c>
      <c r="CT41" s="4716">
        <v>101</v>
      </c>
      <c r="CU41" s="4716">
        <v>17</v>
      </c>
      <c r="CV41" s="4716">
        <v>21</v>
      </c>
      <c r="CW41" s="4716">
        <v>0</v>
      </c>
      <c r="CX41" s="4716">
        <v>4</v>
      </c>
      <c r="CY41" s="4716">
        <v>0</v>
      </c>
      <c r="CZ41" s="4716" t="s">
        <v>8961</v>
      </c>
      <c r="DA41" s="4716">
        <v>62</v>
      </c>
      <c r="DB41" s="4716">
        <v>16</v>
      </c>
      <c r="DC41" s="4716">
        <v>1</v>
      </c>
      <c r="DD41" s="4716">
        <v>0</v>
      </c>
      <c r="DE41" s="4716">
        <v>0</v>
      </c>
      <c r="DF41" s="4718"/>
      <c r="DG41" s="4718"/>
      <c r="DH41" s="4718"/>
      <c r="DI41" s="4718"/>
      <c r="DJ41" s="4718"/>
      <c r="DK41" s="4718"/>
      <c r="DL41" s="4718"/>
      <c r="DM41" s="4718"/>
      <c r="DN41" s="4718"/>
      <c r="DO41" s="4832"/>
      <c r="DP41" s="1798"/>
      <c r="DQ41" s="3472"/>
      <c r="DR41" s="3437"/>
      <c r="DS41" s="3437"/>
      <c r="DT41" s="3437"/>
      <c r="DU41" s="3437"/>
      <c r="DV41" s="3437"/>
      <c r="DW41" s="3437"/>
      <c r="DX41" s="3437"/>
      <c r="DY41" s="3437"/>
      <c r="DZ41" s="3437"/>
      <c r="EA41" s="3437"/>
      <c r="EB41" s="3437"/>
      <c r="EC41" s="3437"/>
      <c r="ED41" s="3437"/>
      <c r="EE41" s="3437"/>
      <c r="EF41" s="3437"/>
      <c r="EG41" s="3437"/>
      <c r="EH41" s="3437"/>
      <c r="EI41" s="3437"/>
      <c r="EJ41" s="3437"/>
      <c r="EK41" s="3437"/>
      <c r="EL41" s="3437"/>
      <c r="EM41" s="3437"/>
      <c r="EN41" s="3437"/>
      <c r="EO41" s="3437"/>
      <c r="EP41" s="3437"/>
      <c r="EQ41" s="3437"/>
      <c r="ER41" s="3437"/>
      <c r="ES41" s="3437"/>
      <c r="ET41" s="3437"/>
      <c r="EU41" s="3437"/>
      <c r="EV41" s="3437"/>
      <c r="EW41" s="3437"/>
      <c r="EX41" s="3437"/>
      <c r="EY41" s="3437"/>
      <c r="EZ41" s="3437"/>
      <c r="FA41" s="3437"/>
      <c r="FB41" s="3437"/>
      <c r="FC41" s="3437"/>
      <c r="FD41" s="3437"/>
      <c r="FE41" s="3437"/>
      <c r="FF41" s="3437"/>
      <c r="FG41" s="3437"/>
      <c r="FH41" s="3437"/>
      <c r="FI41" s="3437"/>
      <c r="FJ41" s="3473"/>
    </row>
    <row r="42" spans="1:166" s="1799" customFormat="1" ht="15" customHeight="1">
      <c r="A42" s="15955"/>
      <c r="B42" s="15950"/>
      <c r="C42" s="15950"/>
      <c r="D42" s="4619" t="s">
        <v>7930</v>
      </c>
      <c r="E42" s="2739" t="s">
        <v>4957</v>
      </c>
      <c r="F42" s="2739" t="s">
        <v>722</v>
      </c>
      <c r="G42" s="2739" t="s">
        <v>542</v>
      </c>
      <c r="H42" s="4620">
        <v>0.5</v>
      </c>
      <c r="I42" s="4620">
        <v>1</v>
      </c>
      <c r="J42" s="4620">
        <v>1</v>
      </c>
      <c r="K42" s="2739" t="s">
        <v>723</v>
      </c>
      <c r="L42" s="2739" t="s">
        <v>10063</v>
      </c>
      <c r="M42" s="2739" t="s">
        <v>724</v>
      </c>
      <c r="N42" s="2739"/>
      <c r="O42" s="2739">
        <v>10</v>
      </c>
      <c r="P42" s="2739">
        <v>10</v>
      </c>
      <c r="Q42" s="2739">
        <v>11</v>
      </c>
      <c r="R42" s="2739">
        <v>11</v>
      </c>
      <c r="S42" s="2739">
        <v>11</v>
      </c>
      <c r="T42" s="2739">
        <v>12</v>
      </c>
      <c r="U42" s="4719">
        <v>12</v>
      </c>
      <c r="V42" s="2739">
        <v>12</v>
      </c>
      <c r="W42" s="2739">
        <v>13</v>
      </c>
      <c r="X42" s="2739">
        <v>13</v>
      </c>
      <c r="Y42" s="2739">
        <v>13</v>
      </c>
      <c r="Z42" s="4618">
        <v>128</v>
      </c>
      <c r="AA42" s="2739"/>
      <c r="AB42" s="2232">
        <f>18/18</f>
        <v>1</v>
      </c>
      <c r="AC42" s="4721" t="s">
        <v>2974</v>
      </c>
      <c r="AD42" s="4622" t="s">
        <v>2975</v>
      </c>
      <c r="AE42" s="4625"/>
      <c r="AF42" s="4722">
        <f>+'[2]8. DISCAPACIDAD'!$O$15</f>
        <v>9275946.5890909079</v>
      </c>
      <c r="AG42" s="4633">
        <f>+'[2]8. DISCAPACIDAD'!$Q$15</f>
        <v>6860302.9527272712</v>
      </c>
      <c r="AH42" s="4723">
        <f>+'[2]8. DISCAPACIDAD'!$R$15</f>
        <v>2415643.6363636362</v>
      </c>
      <c r="AI42" s="4623"/>
      <c r="AJ42" s="4625">
        <v>18</v>
      </c>
      <c r="AK42" s="3437"/>
      <c r="AL42" s="3437"/>
      <c r="AM42" s="3437"/>
      <c r="AN42" s="3437"/>
      <c r="AO42" s="3437"/>
      <c r="AP42" s="3437"/>
      <c r="AQ42" s="3437"/>
      <c r="AR42" s="3437"/>
      <c r="AS42" s="3437"/>
      <c r="AT42" s="3437"/>
      <c r="AU42" s="3437"/>
      <c r="AV42" s="3437"/>
      <c r="AW42" s="3437"/>
      <c r="AX42" s="3437"/>
      <c r="AY42" s="3437"/>
      <c r="AZ42" s="3437"/>
      <c r="BA42" s="3437"/>
      <c r="BB42" s="3437"/>
      <c r="BC42" s="3437"/>
      <c r="BD42" s="3437"/>
      <c r="BE42" s="3437"/>
      <c r="BF42" s="3437"/>
      <c r="BG42" s="3437"/>
      <c r="BH42" s="3437"/>
      <c r="BI42" s="3437"/>
      <c r="BJ42" s="3437" t="s">
        <v>2977</v>
      </c>
      <c r="BK42" s="3437"/>
      <c r="BL42" s="3437">
        <v>18</v>
      </c>
      <c r="BM42" s="3437"/>
      <c r="BN42" s="3437"/>
      <c r="BO42" s="3437"/>
      <c r="BP42" s="3437"/>
      <c r="BQ42" s="3437"/>
      <c r="BR42" s="3437"/>
      <c r="BS42" s="3437"/>
      <c r="BT42" s="4724">
        <f>0.8125*100%</f>
        <v>0.8125</v>
      </c>
      <c r="BU42" s="2232">
        <v>0.81</v>
      </c>
      <c r="BV42" s="4620">
        <v>0.81</v>
      </c>
      <c r="BW42" s="2334">
        <f t="shared" si="1"/>
        <v>1</v>
      </c>
      <c r="BX42" s="16011"/>
      <c r="BY42" s="4725" t="s">
        <v>9885</v>
      </c>
      <c r="BZ42" s="4622" t="s">
        <v>8962</v>
      </c>
      <c r="CA42" s="4622" t="s">
        <v>8963</v>
      </c>
      <c r="CB42" s="4726">
        <f>CC42+CD42+CE42</f>
        <v>9617306.8854545467</v>
      </c>
      <c r="CC42" s="4727">
        <v>7120841.4309090916</v>
      </c>
      <c r="CD42" s="4727">
        <v>2496465.4545454546</v>
      </c>
      <c r="CE42" s="4727">
        <v>0</v>
      </c>
      <c r="CF42" s="4728">
        <v>65</v>
      </c>
      <c r="CG42" s="4728"/>
      <c r="CH42" s="4728"/>
      <c r="CI42" s="4728"/>
      <c r="CJ42" s="4728"/>
      <c r="CK42" s="4728"/>
      <c r="CL42" s="4728"/>
      <c r="CM42" s="4728"/>
      <c r="CN42" s="4728"/>
      <c r="CO42" s="4728"/>
      <c r="CP42" s="4728"/>
      <c r="CQ42" s="4728"/>
      <c r="CR42" s="4728"/>
      <c r="CS42" s="4729"/>
      <c r="CT42" s="4728"/>
      <c r="CU42" s="4728"/>
      <c r="CV42" s="4728"/>
      <c r="CW42" s="4728"/>
      <c r="CX42" s="4728"/>
      <c r="CY42" s="4728"/>
      <c r="CZ42" s="4728"/>
      <c r="DA42" s="4728"/>
      <c r="DB42" s="4728"/>
      <c r="DC42" s="4728"/>
      <c r="DD42" s="4728"/>
      <c r="DE42" s="4728"/>
      <c r="DF42" s="4728" t="s">
        <v>8964</v>
      </c>
      <c r="DG42" s="4728"/>
      <c r="DH42" s="4728">
        <v>65</v>
      </c>
      <c r="DI42" s="4716"/>
      <c r="DJ42" s="4716"/>
      <c r="DK42" s="4716"/>
      <c r="DL42" s="4716"/>
      <c r="DM42" s="4716"/>
      <c r="DN42" s="4716"/>
      <c r="DO42" s="4833"/>
      <c r="DQ42" s="3472"/>
      <c r="DR42" s="3437"/>
      <c r="DS42" s="3437"/>
      <c r="DT42" s="3437"/>
      <c r="DU42" s="3437"/>
      <c r="DV42" s="3437"/>
      <c r="DW42" s="3437"/>
      <c r="DX42" s="3437"/>
      <c r="DY42" s="3437"/>
      <c r="DZ42" s="3437"/>
      <c r="EA42" s="3437"/>
      <c r="EB42" s="3437"/>
      <c r="EC42" s="3437"/>
      <c r="ED42" s="3437"/>
      <c r="EE42" s="3437"/>
      <c r="EF42" s="3437"/>
      <c r="EG42" s="3437"/>
      <c r="EH42" s="3437"/>
      <c r="EI42" s="3437"/>
      <c r="EJ42" s="3437"/>
      <c r="EK42" s="3437"/>
      <c r="EL42" s="3437"/>
      <c r="EM42" s="3437"/>
      <c r="EN42" s="3437"/>
      <c r="EO42" s="3437"/>
      <c r="EP42" s="3437"/>
      <c r="EQ42" s="3437"/>
      <c r="ER42" s="3437"/>
      <c r="ES42" s="3437"/>
      <c r="ET42" s="3437"/>
      <c r="EU42" s="3437"/>
      <c r="EV42" s="3437"/>
      <c r="EW42" s="3437"/>
      <c r="EX42" s="3437"/>
      <c r="EY42" s="3437"/>
      <c r="EZ42" s="3437"/>
      <c r="FA42" s="3437"/>
      <c r="FB42" s="3437"/>
      <c r="FC42" s="3437"/>
      <c r="FD42" s="3437"/>
      <c r="FE42" s="3437"/>
      <c r="FF42" s="3437"/>
      <c r="FG42" s="3437"/>
      <c r="FH42" s="3437"/>
      <c r="FI42" s="3437"/>
      <c r="FJ42" s="3473"/>
    </row>
    <row r="43" spans="1:166" s="1799" customFormat="1" ht="15" customHeight="1">
      <c r="A43" s="15955"/>
      <c r="B43" s="15950"/>
      <c r="C43" s="4618" t="s">
        <v>725</v>
      </c>
      <c r="D43" s="15921" t="s">
        <v>7931</v>
      </c>
      <c r="E43" s="15930" t="s">
        <v>4958</v>
      </c>
      <c r="F43" s="15930" t="s">
        <v>726</v>
      </c>
      <c r="G43" s="15930" t="s">
        <v>542</v>
      </c>
      <c r="H43" s="15927">
        <v>0.2</v>
      </c>
      <c r="I43" s="15927">
        <v>0.5</v>
      </c>
      <c r="J43" s="15927">
        <v>1</v>
      </c>
      <c r="K43" s="15930" t="s">
        <v>727</v>
      </c>
      <c r="L43" s="2739" t="s">
        <v>86</v>
      </c>
      <c r="M43" s="2739" t="s">
        <v>708</v>
      </c>
      <c r="N43" s="2739"/>
      <c r="O43" s="2739">
        <v>30</v>
      </c>
      <c r="P43" s="2739">
        <v>31</v>
      </c>
      <c r="Q43" s="2739">
        <v>32</v>
      </c>
      <c r="R43" s="2739">
        <v>33</v>
      </c>
      <c r="S43" s="2739">
        <v>34</v>
      </c>
      <c r="T43" s="2739">
        <v>35</v>
      </c>
      <c r="U43" s="4719">
        <v>36</v>
      </c>
      <c r="V43" s="2739">
        <v>37</v>
      </c>
      <c r="W43" s="2739">
        <v>38</v>
      </c>
      <c r="X43" s="2739">
        <v>39</v>
      </c>
      <c r="Y43" s="2739">
        <v>40</v>
      </c>
      <c r="Z43" s="4618">
        <v>385</v>
      </c>
      <c r="AA43" s="2739"/>
      <c r="AB43" s="4621">
        <v>1</v>
      </c>
      <c r="AC43" s="4622" t="s">
        <v>3675</v>
      </c>
      <c r="AD43" s="4622" t="s">
        <v>3676</v>
      </c>
      <c r="AE43" s="4623" t="s">
        <v>3677</v>
      </c>
      <c r="AF43" s="4623"/>
      <c r="AG43" s="4623"/>
      <c r="AH43" s="4623"/>
      <c r="AI43" s="4623"/>
      <c r="AJ43" s="4623">
        <v>157</v>
      </c>
      <c r="AK43" s="4623">
        <v>44</v>
      </c>
      <c r="AL43" s="4623">
        <v>113</v>
      </c>
      <c r="AM43" s="4623">
        <v>157</v>
      </c>
      <c r="AN43" s="4623">
        <v>0</v>
      </c>
      <c r="AO43" s="4623">
        <v>0</v>
      </c>
      <c r="AP43" s="4623">
        <v>0</v>
      </c>
      <c r="AQ43" s="4623">
        <v>0</v>
      </c>
      <c r="AR43" s="4623">
        <v>16</v>
      </c>
      <c r="AS43" s="4623">
        <v>69</v>
      </c>
      <c r="AT43" s="4623">
        <v>59</v>
      </c>
      <c r="AU43" s="4623">
        <v>13</v>
      </c>
      <c r="AV43" s="4623">
        <v>142</v>
      </c>
      <c r="AW43" s="4623">
        <v>4</v>
      </c>
      <c r="AX43" s="4623">
        <v>3</v>
      </c>
      <c r="AY43" s="4623">
        <v>0</v>
      </c>
      <c r="AZ43" s="4623">
        <v>7</v>
      </c>
      <c r="BA43" s="4623">
        <v>1</v>
      </c>
      <c r="BB43" s="4623">
        <v>0</v>
      </c>
      <c r="BC43" s="4623">
        <v>0</v>
      </c>
      <c r="BD43" s="4623">
        <v>150</v>
      </c>
      <c r="BE43" s="4623">
        <v>6</v>
      </c>
      <c r="BF43" s="4623">
        <v>1</v>
      </c>
      <c r="BG43" s="4623">
        <v>0</v>
      </c>
      <c r="BH43" s="4623">
        <v>0</v>
      </c>
      <c r="BI43" s="4623">
        <v>0</v>
      </c>
      <c r="BJ43" s="4623" t="s">
        <v>3332</v>
      </c>
      <c r="BK43" s="4623" t="s">
        <v>3678</v>
      </c>
      <c r="BL43" s="4623"/>
      <c r="BM43" s="4623"/>
      <c r="BN43" s="4623"/>
      <c r="BO43" s="4623" t="s">
        <v>1732</v>
      </c>
      <c r="BP43" s="4623" t="s">
        <v>1732</v>
      </c>
      <c r="BQ43" s="4623" t="s">
        <v>1732</v>
      </c>
      <c r="BR43" s="4623" t="s">
        <v>1732</v>
      </c>
      <c r="BS43" s="4623" t="s">
        <v>1732</v>
      </c>
      <c r="BT43" s="4720">
        <v>1</v>
      </c>
      <c r="BU43" s="4624">
        <v>1</v>
      </c>
      <c r="BV43" s="4620">
        <v>1</v>
      </c>
      <c r="BW43" s="2334">
        <f t="shared" si="1"/>
        <v>1</v>
      </c>
      <c r="BX43" s="16011"/>
      <c r="BY43" s="4714" t="s">
        <v>8965</v>
      </c>
      <c r="BZ43" s="4714" t="s">
        <v>3676</v>
      </c>
      <c r="CA43" s="4714" t="s">
        <v>3677</v>
      </c>
      <c r="CB43" s="4715"/>
      <c r="CC43" s="4715"/>
      <c r="CD43" s="4715"/>
      <c r="CE43" s="4715"/>
      <c r="CF43" s="4730">
        <v>57</v>
      </c>
      <c r="CG43" s="4730">
        <v>29</v>
      </c>
      <c r="CH43" s="4730">
        <v>28</v>
      </c>
      <c r="CI43" s="4730">
        <v>57</v>
      </c>
      <c r="CJ43" s="4730">
        <v>0</v>
      </c>
      <c r="CK43" s="4730"/>
      <c r="CL43" s="4730"/>
      <c r="CM43" s="4730"/>
      <c r="CN43" s="4730">
        <v>17</v>
      </c>
      <c r="CO43" s="4730">
        <v>40</v>
      </c>
      <c r="CP43" s="4730"/>
      <c r="CQ43" s="4730"/>
      <c r="CR43" s="4730"/>
      <c r="CS43" s="4731"/>
      <c r="CT43" s="4730"/>
      <c r="CU43" s="4730"/>
      <c r="CV43" s="4730"/>
      <c r="CW43" s="4730"/>
      <c r="CX43" s="4730"/>
      <c r="CY43" s="4730"/>
      <c r="CZ43" s="4730">
        <v>57</v>
      </c>
      <c r="DA43" s="4716">
        <v>6</v>
      </c>
      <c r="DB43" s="4716">
        <v>1</v>
      </c>
      <c r="DC43" s="4716">
        <v>0</v>
      </c>
      <c r="DD43" s="4716">
        <v>0</v>
      </c>
      <c r="DE43" s="4716">
        <v>0</v>
      </c>
      <c r="DF43" s="4716" t="s">
        <v>2191</v>
      </c>
      <c r="DG43" s="4716" t="s">
        <v>8966</v>
      </c>
      <c r="DH43" s="4716"/>
      <c r="DI43" s="4716"/>
      <c r="DJ43" s="4716"/>
      <c r="DK43" s="4718"/>
      <c r="DL43" s="4718"/>
      <c r="DM43" s="4718"/>
      <c r="DN43" s="4718"/>
      <c r="DO43" s="4832"/>
      <c r="DP43" s="1798"/>
      <c r="DQ43" s="3472"/>
      <c r="DR43" s="3437"/>
      <c r="DS43" s="3437"/>
      <c r="DT43" s="3437"/>
      <c r="DU43" s="3437"/>
      <c r="DV43" s="3437"/>
      <c r="DW43" s="3437"/>
      <c r="DX43" s="3437"/>
      <c r="DY43" s="3437"/>
      <c r="DZ43" s="3437"/>
      <c r="EA43" s="3437"/>
      <c r="EB43" s="3437"/>
      <c r="EC43" s="3437"/>
      <c r="ED43" s="3437"/>
      <c r="EE43" s="3437"/>
      <c r="EF43" s="3437"/>
      <c r="EG43" s="3437"/>
      <c r="EH43" s="3437"/>
      <c r="EI43" s="3437"/>
      <c r="EJ43" s="3437"/>
      <c r="EK43" s="3437"/>
      <c r="EL43" s="3437"/>
      <c r="EM43" s="3437"/>
      <c r="EN43" s="3437"/>
      <c r="EO43" s="3437"/>
      <c r="EP43" s="3437"/>
      <c r="EQ43" s="3437"/>
      <c r="ER43" s="3437"/>
      <c r="ES43" s="3437"/>
      <c r="ET43" s="3437"/>
      <c r="EU43" s="3437"/>
      <c r="EV43" s="3437"/>
      <c r="EW43" s="3437"/>
      <c r="EX43" s="3437"/>
      <c r="EY43" s="3437"/>
      <c r="EZ43" s="3437"/>
      <c r="FA43" s="3437"/>
      <c r="FB43" s="3437"/>
      <c r="FC43" s="3437"/>
      <c r="FD43" s="3437"/>
      <c r="FE43" s="3437"/>
      <c r="FF43" s="3437"/>
      <c r="FG43" s="3437"/>
      <c r="FH43" s="3437"/>
      <c r="FI43" s="3437"/>
      <c r="FJ43" s="3473"/>
    </row>
    <row r="44" spans="1:166" s="1799" customFormat="1" ht="15" customHeight="1">
      <c r="A44" s="15955"/>
      <c r="B44" s="15950"/>
      <c r="C44" s="4618"/>
      <c r="D44" s="15921"/>
      <c r="E44" s="15930"/>
      <c r="F44" s="15930"/>
      <c r="G44" s="15930"/>
      <c r="H44" s="15927"/>
      <c r="I44" s="15927"/>
      <c r="J44" s="15927"/>
      <c r="K44" s="15930"/>
      <c r="L44" s="2739" t="s">
        <v>8644</v>
      </c>
      <c r="M44" s="2739"/>
      <c r="N44" s="2739" t="s">
        <v>10231</v>
      </c>
      <c r="O44" s="2739"/>
      <c r="P44" s="2739"/>
      <c r="Q44" s="2739"/>
      <c r="R44" s="2739"/>
      <c r="S44" s="2739"/>
      <c r="T44" s="2739"/>
      <c r="U44" s="4719"/>
      <c r="V44" s="2739"/>
      <c r="W44" s="2739"/>
      <c r="X44" s="2739"/>
      <c r="Y44" s="2739"/>
      <c r="Z44" s="4618"/>
      <c r="AA44" s="2739"/>
      <c r="AB44" s="4621"/>
      <c r="AC44" s="4622"/>
      <c r="AD44" s="4622"/>
      <c r="AE44" s="4623"/>
      <c r="AF44" s="4623"/>
      <c r="AG44" s="4623"/>
      <c r="AH44" s="4623"/>
      <c r="AI44" s="4623"/>
      <c r="AJ44" s="4623"/>
      <c r="AK44" s="4623"/>
      <c r="AL44" s="4623"/>
      <c r="AM44" s="4623"/>
      <c r="AN44" s="4623"/>
      <c r="AO44" s="4623"/>
      <c r="AP44" s="4623"/>
      <c r="AQ44" s="4623"/>
      <c r="AR44" s="4623"/>
      <c r="AS44" s="4623"/>
      <c r="AT44" s="4623"/>
      <c r="AU44" s="4623"/>
      <c r="AV44" s="4623"/>
      <c r="AW44" s="4623"/>
      <c r="AX44" s="4623"/>
      <c r="AY44" s="4623"/>
      <c r="AZ44" s="4623"/>
      <c r="BA44" s="4623"/>
      <c r="BB44" s="4623"/>
      <c r="BC44" s="4623"/>
      <c r="BD44" s="4623"/>
      <c r="BE44" s="4623"/>
      <c r="BF44" s="4623"/>
      <c r="BG44" s="4623"/>
      <c r="BH44" s="4623"/>
      <c r="BI44" s="4623"/>
      <c r="BJ44" s="4623"/>
      <c r="BK44" s="4623"/>
      <c r="BL44" s="4623"/>
      <c r="BM44" s="4623"/>
      <c r="BN44" s="4623"/>
      <c r="BO44" s="4623"/>
      <c r="BP44" s="4623"/>
      <c r="BQ44" s="4623"/>
      <c r="BR44" s="4623"/>
      <c r="BS44" s="4623"/>
      <c r="BT44" s="4720"/>
      <c r="BU44" s="4624"/>
      <c r="BV44" s="4620"/>
      <c r="BW44" s="2334"/>
      <c r="BX44" s="16011"/>
      <c r="BY44" s="4714"/>
      <c r="BZ44" s="4714"/>
      <c r="CA44" s="4714"/>
      <c r="CB44" s="4715"/>
      <c r="CC44" s="4715"/>
      <c r="CD44" s="4715"/>
      <c r="CE44" s="4715"/>
      <c r="CF44" s="4730"/>
      <c r="CG44" s="4730"/>
      <c r="CH44" s="4730"/>
      <c r="CI44" s="4730"/>
      <c r="CJ44" s="4730"/>
      <c r="CK44" s="4730"/>
      <c r="CL44" s="4730"/>
      <c r="CM44" s="4730"/>
      <c r="CN44" s="4730"/>
      <c r="CO44" s="4730"/>
      <c r="CP44" s="4730"/>
      <c r="CQ44" s="4730"/>
      <c r="CR44" s="4730"/>
      <c r="CS44" s="4731"/>
      <c r="CT44" s="4730"/>
      <c r="CU44" s="4730"/>
      <c r="CV44" s="4730"/>
      <c r="CW44" s="4730"/>
      <c r="CX44" s="4730"/>
      <c r="CY44" s="4730"/>
      <c r="CZ44" s="4730"/>
      <c r="DA44" s="4716"/>
      <c r="DB44" s="4716"/>
      <c r="DC44" s="4716"/>
      <c r="DD44" s="4716"/>
      <c r="DE44" s="4716"/>
      <c r="DF44" s="4716"/>
      <c r="DG44" s="4716"/>
      <c r="DH44" s="4716"/>
      <c r="DI44" s="4716"/>
      <c r="DJ44" s="4716"/>
      <c r="DK44" s="4718"/>
      <c r="DL44" s="4718"/>
      <c r="DM44" s="4718"/>
      <c r="DN44" s="4718"/>
      <c r="DO44" s="4832"/>
      <c r="DP44" s="1798"/>
      <c r="DQ44" s="3472"/>
      <c r="DR44" s="3437"/>
      <c r="DS44" s="3437"/>
      <c r="DT44" s="3437"/>
      <c r="DU44" s="3437"/>
      <c r="DV44" s="3437"/>
      <c r="DW44" s="3437"/>
      <c r="DX44" s="3437"/>
      <c r="DY44" s="3437"/>
      <c r="DZ44" s="3437"/>
      <c r="EA44" s="3437"/>
      <c r="EB44" s="3437"/>
      <c r="EC44" s="3437"/>
      <c r="ED44" s="3437"/>
      <c r="EE44" s="3437"/>
      <c r="EF44" s="3437"/>
      <c r="EG44" s="3437"/>
      <c r="EH44" s="3437"/>
      <c r="EI44" s="3437"/>
      <c r="EJ44" s="3437"/>
      <c r="EK44" s="3437"/>
      <c r="EL44" s="3437"/>
      <c r="EM44" s="3437"/>
      <c r="EN44" s="3437"/>
      <c r="EO44" s="3437"/>
      <c r="EP44" s="3437"/>
      <c r="EQ44" s="3437"/>
      <c r="ER44" s="3437"/>
      <c r="ES44" s="3437"/>
      <c r="ET44" s="3437"/>
      <c r="EU44" s="3437"/>
      <c r="EV44" s="3437"/>
      <c r="EW44" s="3437"/>
      <c r="EX44" s="3437"/>
      <c r="EY44" s="3437"/>
      <c r="EZ44" s="3437"/>
      <c r="FA44" s="3437"/>
      <c r="FB44" s="3437"/>
      <c r="FC44" s="3437"/>
      <c r="FD44" s="3437"/>
      <c r="FE44" s="3437"/>
      <c r="FF44" s="3437"/>
      <c r="FG44" s="3437"/>
      <c r="FH44" s="3437"/>
      <c r="FI44" s="3437"/>
      <c r="FJ44" s="3473"/>
    </row>
    <row r="45" spans="1:166" s="1799" customFormat="1" ht="15" customHeight="1">
      <c r="A45" s="15955"/>
      <c r="B45" s="15950"/>
      <c r="C45" s="4618"/>
      <c r="D45" s="15921"/>
      <c r="E45" s="15930"/>
      <c r="F45" s="15930"/>
      <c r="G45" s="15930"/>
      <c r="H45" s="15927"/>
      <c r="I45" s="15927"/>
      <c r="J45" s="15927"/>
      <c r="K45" s="15930"/>
      <c r="L45" s="2739" t="s">
        <v>10194</v>
      </c>
      <c r="M45" s="2739"/>
      <c r="N45" s="2739" t="s">
        <v>733</v>
      </c>
      <c r="O45" s="2739"/>
      <c r="P45" s="2739"/>
      <c r="Q45" s="2739"/>
      <c r="R45" s="2739"/>
      <c r="S45" s="2739"/>
      <c r="T45" s="2739"/>
      <c r="U45" s="4719"/>
      <c r="V45" s="2739"/>
      <c r="W45" s="2739"/>
      <c r="X45" s="2739"/>
      <c r="Y45" s="2739"/>
      <c r="Z45" s="4618"/>
      <c r="AA45" s="2739"/>
      <c r="AB45" s="4621"/>
      <c r="AC45" s="4622"/>
      <c r="AD45" s="4622"/>
      <c r="AE45" s="4623"/>
      <c r="AF45" s="4623"/>
      <c r="AG45" s="4623"/>
      <c r="AH45" s="4623"/>
      <c r="AI45" s="4623"/>
      <c r="AJ45" s="4623"/>
      <c r="AK45" s="4623"/>
      <c r="AL45" s="4623"/>
      <c r="AM45" s="4623"/>
      <c r="AN45" s="4623"/>
      <c r="AO45" s="4623"/>
      <c r="AP45" s="4623"/>
      <c r="AQ45" s="4623"/>
      <c r="AR45" s="4623"/>
      <c r="AS45" s="4623"/>
      <c r="AT45" s="4623"/>
      <c r="AU45" s="4623"/>
      <c r="AV45" s="4623"/>
      <c r="AW45" s="4623"/>
      <c r="AX45" s="4623"/>
      <c r="AY45" s="4623"/>
      <c r="AZ45" s="4623"/>
      <c r="BA45" s="4623"/>
      <c r="BB45" s="4623"/>
      <c r="BC45" s="4623"/>
      <c r="BD45" s="4623"/>
      <c r="BE45" s="4623"/>
      <c r="BF45" s="4623"/>
      <c r="BG45" s="4623"/>
      <c r="BH45" s="4623"/>
      <c r="BI45" s="4623"/>
      <c r="BJ45" s="4623"/>
      <c r="BK45" s="4623"/>
      <c r="BL45" s="4623"/>
      <c r="BM45" s="4623"/>
      <c r="BN45" s="4623"/>
      <c r="BO45" s="4623"/>
      <c r="BP45" s="4623"/>
      <c r="BQ45" s="4623"/>
      <c r="BR45" s="4623"/>
      <c r="BS45" s="4623"/>
      <c r="BT45" s="4720"/>
      <c r="BU45" s="4624"/>
      <c r="BV45" s="4620"/>
      <c r="BW45" s="2334"/>
      <c r="BX45" s="16011"/>
      <c r="BY45" s="4714"/>
      <c r="BZ45" s="4714"/>
      <c r="CA45" s="4714"/>
      <c r="CB45" s="4715"/>
      <c r="CC45" s="4715"/>
      <c r="CD45" s="4715"/>
      <c r="CE45" s="4715"/>
      <c r="CF45" s="4730"/>
      <c r="CG45" s="4730"/>
      <c r="CH45" s="4730"/>
      <c r="CI45" s="4730"/>
      <c r="CJ45" s="4730"/>
      <c r="CK45" s="4730"/>
      <c r="CL45" s="4730"/>
      <c r="CM45" s="4730"/>
      <c r="CN45" s="4730"/>
      <c r="CO45" s="4730"/>
      <c r="CP45" s="4730"/>
      <c r="CQ45" s="4730"/>
      <c r="CR45" s="4730"/>
      <c r="CS45" s="4731"/>
      <c r="CT45" s="4730"/>
      <c r="CU45" s="4730"/>
      <c r="CV45" s="4730"/>
      <c r="CW45" s="4730"/>
      <c r="CX45" s="4730"/>
      <c r="CY45" s="4730"/>
      <c r="CZ45" s="4730"/>
      <c r="DA45" s="4716"/>
      <c r="DB45" s="4716"/>
      <c r="DC45" s="4716"/>
      <c r="DD45" s="4716"/>
      <c r="DE45" s="4716"/>
      <c r="DF45" s="4716"/>
      <c r="DG45" s="4716"/>
      <c r="DH45" s="4716"/>
      <c r="DI45" s="4716"/>
      <c r="DJ45" s="4716"/>
      <c r="DK45" s="4718"/>
      <c r="DL45" s="4718"/>
      <c r="DM45" s="4718"/>
      <c r="DN45" s="4718"/>
      <c r="DO45" s="4832"/>
      <c r="DP45" s="1798"/>
      <c r="DQ45" s="3472"/>
      <c r="DR45" s="3437"/>
      <c r="DS45" s="3437"/>
      <c r="DT45" s="3437"/>
      <c r="DU45" s="3437"/>
      <c r="DV45" s="3437"/>
      <c r="DW45" s="3437"/>
      <c r="DX45" s="3437"/>
      <c r="DY45" s="3437"/>
      <c r="DZ45" s="3437"/>
      <c r="EA45" s="3437"/>
      <c r="EB45" s="3437"/>
      <c r="EC45" s="3437"/>
      <c r="ED45" s="3437"/>
      <c r="EE45" s="3437"/>
      <c r="EF45" s="3437"/>
      <c r="EG45" s="3437"/>
      <c r="EH45" s="3437"/>
      <c r="EI45" s="3437"/>
      <c r="EJ45" s="3437"/>
      <c r="EK45" s="3437"/>
      <c r="EL45" s="3437"/>
      <c r="EM45" s="3437"/>
      <c r="EN45" s="3437"/>
      <c r="EO45" s="3437"/>
      <c r="EP45" s="3437"/>
      <c r="EQ45" s="3437"/>
      <c r="ER45" s="3437"/>
      <c r="ES45" s="3437"/>
      <c r="ET45" s="3437"/>
      <c r="EU45" s="3437"/>
      <c r="EV45" s="3437"/>
      <c r="EW45" s="3437"/>
      <c r="EX45" s="3437"/>
      <c r="EY45" s="3437"/>
      <c r="EZ45" s="3437"/>
      <c r="FA45" s="3437"/>
      <c r="FB45" s="3437"/>
      <c r="FC45" s="3437"/>
      <c r="FD45" s="3437"/>
      <c r="FE45" s="3437"/>
      <c r="FF45" s="3437"/>
      <c r="FG45" s="3437"/>
      <c r="FH45" s="3437"/>
      <c r="FI45" s="3437"/>
      <c r="FJ45" s="3473"/>
    </row>
    <row r="46" spans="1:166" s="1799" customFormat="1" ht="15" customHeight="1">
      <c r="A46" s="15955"/>
      <c r="B46" s="15950"/>
      <c r="C46" s="15950" t="s">
        <v>728</v>
      </c>
      <c r="D46" s="15921" t="s">
        <v>7932</v>
      </c>
      <c r="E46" s="15930" t="s">
        <v>4959</v>
      </c>
      <c r="F46" s="15930" t="s">
        <v>729</v>
      </c>
      <c r="G46" s="15930" t="s">
        <v>542</v>
      </c>
      <c r="H46" s="15927">
        <v>0.5</v>
      </c>
      <c r="I46" s="15927">
        <v>1</v>
      </c>
      <c r="J46" s="15927">
        <v>1</v>
      </c>
      <c r="K46" s="15930" t="s">
        <v>730</v>
      </c>
      <c r="L46" s="2739" t="s">
        <v>86</v>
      </c>
      <c r="M46" s="2739" t="s">
        <v>708</v>
      </c>
      <c r="N46" s="2739"/>
      <c r="O46" s="2739">
        <v>35</v>
      </c>
      <c r="P46" s="2739">
        <v>36</v>
      </c>
      <c r="Q46" s="4625">
        <v>37</v>
      </c>
      <c r="R46" s="4625">
        <v>38</v>
      </c>
      <c r="S46" s="4625">
        <v>39</v>
      </c>
      <c r="T46" s="4625">
        <v>41</v>
      </c>
      <c r="U46" s="4713">
        <v>42</v>
      </c>
      <c r="V46" s="4625">
        <v>43</v>
      </c>
      <c r="W46" s="4625">
        <v>44</v>
      </c>
      <c r="X46" s="4625">
        <v>46</v>
      </c>
      <c r="Y46" s="4625">
        <v>47</v>
      </c>
      <c r="Z46" s="4618">
        <v>448</v>
      </c>
      <c r="AA46" s="2739"/>
      <c r="AB46" s="4621">
        <v>1</v>
      </c>
      <c r="AC46" s="4622" t="s">
        <v>3679</v>
      </c>
      <c r="AD46" s="4622" t="s">
        <v>3680</v>
      </c>
      <c r="AE46" s="4622" t="s">
        <v>3681</v>
      </c>
      <c r="AF46" s="4626">
        <v>140000000</v>
      </c>
      <c r="AG46" s="4626">
        <v>200000000</v>
      </c>
      <c r="AH46" s="4623"/>
      <c r="AI46" s="4623"/>
      <c r="AJ46" s="4622" t="s">
        <v>3663</v>
      </c>
      <c r="AK46" s="4623"/>
      <c r="AL46" s="4623"/>
      <c r="AM46" s="4623"/>
      <c r="AN46" s="4623"/>
      <c r="AO46" s="4623"/>
      <c r="AP46" s="4623"/>
      <c r="AQ46" s="4623"/>
      <c r="AR46" s="4623"/>
      <c r="AS46" s="4623"/>
      <c r="AT46" s="4623"/>
      <c r="AU46" s="4623"/>
      <c r="AV46" s="4623"/>
      <c r="AW46" s="4623"/>
      <c r="AX46" s="4623"/>
      <c r="AY46" s="4623"/>
      <c r="AZ46" s="4623"/>
      <c r="BA46" s="4623"/>
      <c r="BB46" s="4623"/>
      <c r="BC46" s="4623"/>
      <c r="BD46" s="4623"/>
      <c r="BE46" s="4623"/>
      <c r="BF46" s="4623"/>
      <c r="BG46" s="4623"/>
      <c r="BH46" s="4623"/>
      <c r="BI46" s="4623"/>
      <c r="BJ46" s="4623"/>
      <c r="BK46" s="4623"/>
      <c r="BL46" s="4623"/>
      <c r="BM46" s="4623"/>
      <c r="BN46" s="4623"/>
      <c r="BO46" s="4623"/>
      <c r="BP46" s="4623"/>
      <c r="BQ46" s="4623"/>
      <c r="BR46" s="4623"/>
      <c r="BS46" s="4623"/>
      <c r="BT46" s="4720">
        <v>1</v>
      </c>
      <c r="BU46" s="4624">
        <v>1</v>
      </c>
      <c r="BV46" s="4620">
        <v>1</v>
      </c>
      <c r="BW46" s="2334">
        <f t="shared" si="1"/>
        <v>1</v>
      </c>
      <c r="BX46" s="16011"/>
      <c r="BY46" s="4714" t="s">
        <v>8967</v>
      </c>
      <c r="BZ46" s="4714" t="s">
        <v>3680</v>
      </c>
      <c r="CA46" s="4714" t="s">
        <v>3681</v>
      </c>
      <c r="CB46" s="4715"/>
      <c r="CC46" s="4715"/>
      <c r="CD46" s="4715"/>
      <c r="CE46" s="4715"/>
      <c r="CF46" s="4716"/>
      <c r="CG46" s="4716"/>
      <c r="CH46" s="4716"/>
      <c r="CI46" s="4716"/>
      <c r="CJ46" s="4716"/>
      <c r="CK46" s="4716"/>
      <c r="CL46" s="4716"/>
      <c r="CM46" s="4716"/>
      <c r="CN46" s="4716"/>
      <c r="CO46" s="4716"/>
      <c r="CP46" s="4716"/>
      <c r="CQ46" s="4716"/>
      <c r="CR46" s="4716"/>
      <c r="CS46" s="4717"/>
      <c r="CT46" s="4716"/>
      <c r="CU46" s="4716"/>
      <c r="CV46" s="4716"/>
      <c r="CW46" s="4716"/>
      <c r="CX46" s="4716"/>
      <c r="CY46" s="4716"/>
      <c r="CZ46" s="4716"/>
      <c r="DA46" s="4718"/>
      <c r="DB46" s="4718"/>
      <c r="DC46" s="4718"/>
      <c r="DD46" s="4718"/>
      <c r="DE46" s="4718"/>
      <c r="DF46" s="4718"/>
      <c r="DG46" s="4718"/>
      <c r="DH46" s="4718"/>
      <c r="DI46" s="4718"/>
      <c r="DJ46" s="4718"/>
      <c r="DK46" s="4718"/>
      <c r="DL46" s="4718"/>
      <c r="DM46" s="4718"/>
      <c r="DN46" s="4718"/>
      <c r="DO46" s="4832"/>
      <c r="DP46" s="1798"/>
      <c r="DQ46" s="3472"/>
      <c r="DR46" s="3437"/>
      <c r="DS46" s="3437"/>
      <c r="DT46" s="3437"/>
      <c r="DU46" s="3437"/>
      <c r="DV46" s="3437"/>
      <c r="DW46" s="3437"/>
      <c r="DX46" s="3437"/>
      <c r="DY46" s="3437"/>
      <c r="DZ46" s="3437"/>
      <c r="EA46" s="3437"/>
      <c r="EB46" s="3437"/>
      <c r="EC46" s="3437"/>
      <c r="ED46" s="3437"/>
      <c r="EE46" s="3437"/>
      <c r="EF46" s="3437"/>
      <c r="EG46" s="3437"/>
      <c r="EH46" s="3437"/>
      <c r="EI46" s="3437"/>
      <c r="EJ46" s="3437"/>
      <c r="EK46" s="3437"/>
      <c r="EL46" s="3437"/>
      <c r="EM46" s="3437"/>
      <c r="EN46" s="3437"/>
      <c r="EO46" s="3437"/>
      <c r="EP46" s="3437"/>
      <c r="EQ46" s="3437"/>
      <c r="ER46" s="3437"/>
      <c r="ES46" s="3437"/>
      <c r="ET46" s="3437"/>
      <c r="EU46" s="3437"/>
      <c r="EV46" s="3437"/>
      <c r="EW46" s="3437"/>
      <c r="EX46" s="3437"/>
      <c r="EY46" s="3437"/>
      <c r="EZ46" s="3437"/>
      <c r="FA46" s="3437"/>
      <c r="FB46" s="3437"/>
      <c r="FC46" s="3437"/>
      <c r="FD46" s="3437"/>
      <c r="FE46" s="3437"/>
      <c r="FF46" s="3437"/>
      <c r="FG46" s="3437"/>
      <c r="FH46" s="3437"/>
      <c r="FI46" s="3437"/>
      <c r="FJ46" s="3473"/>
    </row>
    <row r="47" spans="1:166" s="1799" customFormat="1" ht="15" customHeight="1">
      <c r="A47" s="15955"/>
      <c r="B47" s="15950"/>
      <c r="C47" s="15950"/>
      <c r="D47" s="15921"/>
      <c r="E47" s="15930"/>
      <c r="F47" s="15930"/>
      <c r="G47" s="15930"/>
      <c r="H47" s="15927"/>
      <c r="I47" s="15927"/>
      <c r="J47" s="15927"/>
      <c r="K47" s="15930"/>
      <c r="L47" s="2739" t="s">
        <v>4337</v>
      </c>
      <c r="M47" s="2739"/>
      <c r="N47" s="2739" t="s">
        <v>731</v>
      </c>
      <c r="O47" s="2739"/>
      <c r="P47" s="2739"/>
      <c r="Q47" s="4625"/>
      <c r="R47" s="4625"/>
      <c r="S47" s="4625"/>
      <c r="T47" s="4625"/>
      <c r="U47" s="4713"/>
      <c r="V47" s="4625"/>
      <c r="W47" s="4625"/>
      <c r="X47" s="4625"/>
      <c r="Y47" s="4625"/>
      <c r="Z47" s="4618"/>
      <c r="AA47" s="2739"/>
      <c r="AB47" s="4621"/>
      <c r="AC47" s="4622"/>
      <c r="AD47" s="4622"/>
      <c r="AE47" s="4622"/>
      <c r="AF47" s="4626"/>
      <c r="AG47" s="4626"/>
      <c r="AH47" s="4623"/>
      <c r="AI47" s="4623"/>
      <c r="AJ47" s="4622"/>
      <c r="AK47" s="4623"/>
      <c r="AL47" s="4623"/>
      <c r="AM47" s="4623"/>
      <c r="AN47" s="4623"/>
      <c r="AO47" s="4623"/>
      <c r="AP47" s="4623"/>
      <c r="AQ47" s="4623"/>
      <c r="AR47" s="4623"/>
      <c r="AS47" s="4623"/>
      <c r="AT47" s="4623"/>
      <c r="AU47" s="4623"/>
      <c r="AV47" s="4623"/>
      <c r="AW47" s="4623"/>
      <c r="AX47" s="4623"/>
      <c r="AY47" s="4623"/>
      <c r="AZ47" s="4623"/>
      <c r="BA47" s="4623"/>
      <c r="BB47" s="4623"/>
      <c r="BC47" s="4623"/>
      <c r="BD47" s="4623"/>
      <c r="BE47" s="4623"/>
      <c r="BF47" s="4623"/>
      <c r="BG47" s="4623"/>
      <c r="BH47" s="4623"/>
      <c r="BI47" s="4623"/>
      <c r="BJ47" s="4623"/>
      <c r="BK47" s="4623"/>
      <c r="BL47" s="4623"/>
      <c r="BM47" s="4623"/>
      <c r="BN47" s="4623"/>
      <c r="BO47" s="4623"/>
      <c r="BP47" s="4623"/>
      <c r="BQ47" s="4623"/>
      <c r="BR47" s="4623"/>
      <c r="BS47" s="4623"/>
      <c r="BT47" s="4720"/>
      <c r="BU47" s="4624"/>
      <c r="BV47" s="4620"/>
      <c r="BW47" s="2334"/>
      <c r="BX47" s="16011"/>
      <c r="BY47" s="4714"/>
      <c r="BZ47" s="4714"/>
      <c r="CA47" s="4714"/>
      <c r="CB47" s="4715"/>
      <c r="CC47" s="4715"/>
      <c r="CD47" s="4715"/>
      <c r="CE47" s="4715"/>
      <c r="CF47" s="4716"/>
      <c r="CG47" s="4716"/>
      <c r="CH47" s="4716"/>
      <c r="CI47" s="4716"/>
      <c r="CJ47" s="4716"/>
      <c r="CK47" s="4716"/>
      <c r="CL47" s="4716"/>
      <c r="CM47" s="4716"/>
      <c r="CN47" s="4716"/>
      <c r="CO47" s="4716"/>
      <c r="CP47" s="4716"/>
      <c r="CQ47" s="4716"/>
      <c r="CR47" s="4716"/>
      <c r="CS47" s="4717"/>
      <c r="CT47" s="4716"/>
      <c r="CU47" s="4716"/>
      <c r="CV47" s="4716"/>
      <c r="CW47" s="4716"/>
      <c r="CX47" s="4716"/>
      <c r="CY47" s="4716"/>
      <c r="CZ47" s="4716"/>
      <c r="DA47" s="4718"/>
      <c r="DB47" s="4718"/>
      <c r="DC47" s="4718"/>
      <c r="DD47" s="4718"/>
      <c r="DE47" s="4718"/>
      <c r="DF47" s="4718"/>
      <c r="DG47" s="4718"/>
      <c r="DH47" s="4718"/>
      <c r="DI47" s="4718"/>
      <c r="DJ47" s="4718"/>
      <c r="DK47" s="4718"/>
      <c r="DL47" s="4718"/>
      <c r="DM47" s="4718"/>
      <c r="DN47" s="4718"/>
      <c r="DO47" s="4832"/>
      <c r="DP47" s="1798"/>
      <c r="DQ47" s="3472"/>
      <c r="DR47" s="3437"/>
      <c r="DS47" s="3437"/>
      <c r="DT47" s="3437"/>
      <c r="DU47" s="3437"/>
      <c r="DV47" s="3437"/>
      <c r="DW47" s="3437"/>
      <c r="DX47" s="3437"/>
      <c r="DY47" s="3437"/>
      <c r="DZ47" s="3437"/>
      <c r="EA47" s="3437"/>
      <c r="EB47" s="3437"/>
      <c r="EC47" s="3437"/>
      <c r="ED47" s="3437"/>
      <c r="EE47" s="3437"/>
      <c r="EF47" s="3437"/>
      <c r="EG47" s="3437"/>
      <c r="EH47" s="3437"/>
      <c r="EI47" s="3437"/>
      <c r="EJ47" s="3437"/>
      <c r="EK47" s="3437"/>
      <c r="EL47" s="3437"/>
      <c r="EM47" s="3437"/>
      <c r="EN47" s="3437"/>
      <c r="EO47" s="3437"/>
      <c r="EP47" s="3437"/>
      <c r="EQ47" s="3437"/>
      <c r="ER47" s="3437"/>
      <c r="ES47" s="3437"/>
      <c r="ET47" s="3437"/>
      <c r="EU47" s="3437"/>
      <c r="EV47" s="3437"/>
      <c r="EW47" s="3437"/>
      <c r="EX47" s="3437"/>
      <c r="EY47" s="3437"/>
      <c r="EZ47" s="3437"/>
      <c r="FA47" s="3437"/>
      <c r="FB47" s="3437"/>
      <c r="FC47" s="3437"/>
      <c r="FD47" s="3437"/>
      <c r="FE47" s="3437"/>
      <c r="FF47" s="3437"/>
      <c r="FG47" s="3437"/>
      <c r="FH47" s="3437"/>
      <c r="FI47" s="3437"/>
      <c r="FJ47" s="3473"/>
    </row>
    <row r="48" spans="1:166" s="1799" customFormat="1" ht="15" customHeight="1">
      <c r="A48" s="15955"/>
      <c r="B48" s="15950"/>
      <c r="C48" s="15950"/>
      <c r="D48" s="15921" t="s">
        <v>7933</v>
      </c>
      <c r="E48" s="15930" t="s">
        <v>4960</v>
      </c>
      <c r="F48" s="15930" t="s">
        <v>732</v>
      </c>
      <c r="G48" s="15930" t="s">
        <v>542</v>
      </c>
      <c r="H48" s="15927">
        <v>0.1</v>
      </c>
      <c r="I48" s="15927">
        <v>0.4</v>
      </c>
      <c r="J48" s="15927">
        <v>1</v>
      </c>
      <c r="K48" s="15930" t="s">
        <v>727</v>
      </c>
      <c r="L48" s="2739" t="s">
        <v>86</v>
      </c>
      <c r="M48" s="2739" t="s">
        <v>708</v>
      </c>
      <c r="N48" s="2739"/>
      <c r="O48" s="2739">
        <v>23</v>
      </c>
      <c r="P48" s="2739">
        <v>21</v>
      </c>
      <c r="Q48" s="2739" t="s">
        <v>690</v>
      </c>
      <c r="R48" s="2739">
        <v>22</v>
      </c>
      <c r="S48" s="2739" t="s">
        <v>690</v>
      </c>
      <c r="T48" s="2739">
        <v>23</v>
      </c>
      <c r="U48" s="4719" t="s">
        <v>690</v>
      </c>
      <c r="V48" s="2739">
        <v>25</v>
      </c>
      <c r="W48" s="2739" t="s">
        <v>690</v>
      </c>
      <c r="X48" s="2739">
        <v>26</v>
      </c>
      <c r="Y48" s="2739">
        <v>27</v>
      </c>
      <c r="Z48" s="4618">
        <v>167</v>
      </c>
      <c r="AA48" s="2739"/>
      <c r="AB48" s="4621">
        <v>1</v>
      </c>
      <c r="AC48" s="4622" t="s">
        <v>3682</v>
      </c>
      <c r="AD48" s="4622" t="s">
        <v>3683</v>
      </c>
      <c r="AE48" s="4622" t="s">
        <v>3684</v>
      </c>
      <c r="AF48" s="4626">
        <v>40000000</v>
      </c>
      <c r="AG48" s="4623"/>
      <c r="AH48" s="4623"/>
      <c r="AI48" s="4623"/>
      <c r="AJ48" s="4623">
        <v>571</v>
      </c>
      <c r="AK48" s="4623">
        <v>393</v>
      </c>
      <c r="AL48" s="4623">
        <v>178</v>
      </c>
      <c r="AM48" s="4623">
        <v>571</v>
      </c>
      <c r="AN48" s="4623">
        <v>0</v>
      </c>
      <c r="AO48" s="4623">
        <v>0</v>
      </c>
      <c r="AP48" s="4623">
        <v>0</v>
      </c>
      <c r="AQ48" s="4623">
        <v>0</v>
      </c>
      <c r="AR48" s="4623">
        <v>201</v>
      </c>
      <c r="AS48" s="4623">
        <v>240</v>
      </c>
      <c r="AT48" s="4623">
        <v>121</v>
      </c>
      <c r="AU48" s="4623">
        <v>9</v>
      </c>
      <c r="AV48" s="4623">
        <v>522</v>
      </c>
      <c r="AW48" s="4623">
        <v>8</v>
      </c>
      <c r="AX48" s="4623">
        <v>16</v>
      </c>
      <c r="AY48" s="4623">
        <v>10</v>
      </c>
      <c r="AZ48" s="4623">
        <v>13</v>
      </c>
      <c r="BA48" s="4623">
        <v>1</v>
      </c>
      <c r="BB48" s="4623">
        <v>0</v>
      </c>
      <c r="BC48" s="4623">
        <v>1</v>
      </c>
      <c r="BD48" s="4623">
        <v>553</v>
      </c>
      <c r="BE48" s="4623">
        <v>14</v>
      </c>
      <c r="BF48" s="4623">
        <v>4</v>
      </c>
      <c r="BG48" s="4623">
        <v>0</v>
      </c>
      <c r="BH48" s="4623">
        <v>0</v>
      </c>
      <c r="BI48" s="4623">
        <v>0</v>
      </c>
      <c r="BJ48" s="4623" t="s">
        <v>3685</v>
      </c>
      <c r="BK48" s="4623" t="s">
        <v>3686</v>
      </c>
      <c r="BL48" s="4623" t="s">
        <v>3687</v>
      </c>
      <c r="BM48" s="4622" t="s">
        <v>3688</v>
      </c>
      <c r="BN48" s="4623"/>
      <c r="BO48" s="4623" t="s">
        <v>1732</v>
      </c>
      <c r="BP48" s="4623" t="s">
        <v>1732</v>
      </c>
      <c r="BQ48" s="4623" t="s">
        <v>1732</v>
      </c>
      <c r="BR48" s="4623" t="s">
        <v>1732</v>
      </c>
      <c r="BS48" s="4623" t="s">
        <v>1732</v>
      </c>
      <c r="BT48" s="4627">
        <v>64</v>
      </c>
      <c r="BU48" s="4627">
        <v>64</v>
      </c>
      <c r="BV48" s="4628">
        <v>64</v>
      </c>
      <c r="BW48" s="2334">
        <f t="shared" si="1"/>
        <v>1</v>
      </c>
      <c r="BX48" s="16011"/>
      <c r="BY48" s="4714" t="s">
        <v>8968</v>
      </c>
      <c r="BZ48" s="4714" t="s">
        <v>3683</v>
      </c>
      <c r="CA48" s="4714" t="s">
        <v>3684</v>
      </c>
      <c r="CB48" s="4715">
        <v>40000000</v>
      </c>
      <c r="CC48" s="4715"/>
      <c r="CD48" s="4715"/>
      <c r="CE48" s="4715"/>
      <c r="CF48" s="4716">
        <v>64</v>
      </c>
      <c r="CG48" s="4716">
        <v>23</v>
      </c>
      <c r="CH48" s="4716">
        <v>41</v>
      </c>
      <c r="CI48" s="4716">
        <v>66</v>
      </c>
      <c r="CJ48" s="4716">
        <v>0</v>
      </c>
      <c r="CK48" s="4716">
        <v>0</v>
      </c>
      <c r="CL48" s="4716">
        <v>0</v>
      </c>
      <c r="CM48" s="4716">
        <v>0</v>
      </c>
      <c r="CN48" s="4716">
        <v>14</v>
      </c>
      <c r="CO48" s="4716">
        <v>30</v>
      </c>
      <c r="CP48" s="4716">
        <v>18</v>
      </c>
      <c r="CQ48" s="4716">
        <v>2</v>
      </c>
      <c r="CR48" s="4716"/>
      <c r="CS48" s="4717"/>
      <c r="CT48" s="4716"/>
      <c r="CU48" s="4716"/>
      <c r="CV48" s="4716"/>
      <c r="CW48" s="4716"/>
      <c r="CX48" s="4716"/>
      <c r="CY48" s="4716"/>
      <c r="CZ48" s="4716">
        <v>61</v>
      </c>
      <c r="DA48" s="4716">
        <v>3</v>
      </c>
      <c r="DB48" s="4716"/>
      <c r="DC48" s="4716"/>
      <c r="DD48" s="4716"/>
      <c r="DE48" s="4716"/>
      <c r="DF48" s="4716" t="s">
        <v>733</v>
      </c>
      <c r="DG48" s="4716" t="s">
        <v>8969</v>
      </c>
      <c r="DH48" s="4716" t="s">
        <v>8970</v>
      </c>
      <c r="DI48" s="4716" t="s">
        <v>8971</v>
      </c>
      <c r="DJ48" s="4716"/>
      <c r="DK48" s="4718"/>
      <c r="DL48" s="4718"/>
      <c r="DM48" s="4718"/>
      <c r="DN48" s="4718"/>
      <c r="DO48" s="4832"/>
      <c r="DP48" s="1798"/>
      <c r="DQ48" s="3472"/>
      <c r="DR48" s="3437"/>
      <c r="DS48" s="3437"/>
      <c r="DT48" s="3437"/>
      <c r="DU48" s="3437"/>
      <c r="DV48" s="3437"/>
      <c r="DW48" s="3437"/>
      <c r="DX48" s="3437"/>
      <c r="DY48" s="3437"/>
      <c r="DZ48" s="3437"/>
      <c r="EA48" s="3437"/>
      <c r="EB48" s="3437"/>
      <c r="EC48" s="3437"/>
      <c r="ED48" s="3437"/>
      <c r="EE48" s="3437"/>
      <c r="EF48" s="3437"/>
      <c r="EG48" s="3437"/>
      <c r="EH48" s="3437"/>
      <c r="EI48" s="3437"/>
      <c r="EJ48" s="3437"/>
      <c r="EK48" s="3437"/>
      <c r="EL48" s="3437"/>
      <c r="EM48" s="3437"/>
      <c r="EN48" s="3437"/>
      <c r="EO48" s="3437"/>
      <c r="EP48" s="3437"/>
      <c r="EQ48" s="3437"/>
      <c r="ER48" s="3437"/>
      <c r="ES48" s="3437"/>
      <c r="ET48" s="3437"/>
      <c r="EU48" s="3437"/>
      <c r="EV48" s="3437"/>
      <c r="EW48" s="3437"/>
      <c r="EX48" s="3437"/>
      <c r="EY48" s="3437"/>
      <c r="EZ48" s="3437"/>
      <c r="FA48" s="3437"/>
      <c r="FB48" s="3437"/>
      <c r="FC48" s="3437"/>
      <c r="FD48" s="3437"/>
      <c r="FE48" s="3437"/>
      <c r="FF48" s="3437"/>
      <c r="FG48" s="3437"/>
      <c r="FH48" s="3437"/>
      <c r="FI48" s="3437"/>
      <c r="FJ48" s="3473"/>
    </row>
    <row r="49" spans="1:166" s="1799" customFormat="1" ht="15" customHeight="1">
      <c r="A49" s="15955"/>
      <c r="B49" s="15950"/>
      <c r="C49" s="15950"/>
      <c r="D49" s="15921"/>
      <c r="E49" s="15930"/>
      <c r="F49" s="15930"/>
      <c r="G49" s="15930"/>
      <c r="H49" s="15927"/>
      <c r="I49" s="15927"/>
      <c r="J49" s="15927"/>
      <c r="K49" s="15930"/>
      <c r="L49" s="2739" t="s">
        <v>10194</v>
      </c>
      <c r="M49" s="2739"/>
      <c r="N49" s="2739" t="s">
        <v>733</v>
      </c>
      <c r="O49" s="2739"/>
      <c r="P49" s="2739"/>
      <c r="Q49" s="2739"/>
      <c r="R49" s="2739"/>
      <c r="S49" s="2739"/>
      <c r="T49" s="2739"/>
      <c r="U49" s="4719"/>
      <c r="V49" s="2739"/>
      <c r="W49" s="2739"/>
      <c r="X49" s="2739"/>
      <c r="Y49" s="2739"/>
      <c r="Z49" s="4618"/>
      <c r="AA49" s="2739"/>
      <c r="AB49" s="4621"/>
      <c r="AC49" s="4622"/>
      <c r="AD49" s="4622"/>
      <c r="AE49" s="4622"/>
      <c r="AF49" s="4626"/>
      <c r="AG49" s="4623"/>
      <c r="AH49" s="4623"/>
      <c r="AI49" s="4623"/>
      <c r="AJ49" s="4623"/>
      <c r="AK49" s="4623"/>
      <c r="AL49" s="4623"/>
      <c r="AM49" s="4623"/>
      <c r="AN49" s="4623"/>
      <c r="AO49" s="4623"/>
      <c r="AP49" s="4623"/>
      <c r="AQ49" s="4623"/>
      <c r="AR49" s="4623"/>
      <c r="AS49" s="4623"/>
      <c r="AT49" s="4623"/>
      <c r="AU49" s="4623"/>
      <c r="AV49" s="4623"/>
      <c r="AW49" s="4623"/>
      <c r="AX49" s="4623"/>
      <c r="AY49" s="4623"/>
      <c r="AZ49" s="4623"/>
      <c r="BA49" s="4623"/>
      <c r="BB49" s="4623"/>
      <c r="BC49" s="4623"/>
      <c r="BD49" s="4623"/>
      <c r="BE49" s="4623"/>
      <c r="BF49" s="4623"/>
      <c r="BG49" s="4623"/>
      <c r="BH49" s="4623"/>
      <c r="BI49" s="4623"/>
      <c r="BJ49" s="4623"/>
      <c r="BK49" s="4623"/>
      <c r="BL49" s="4623"/>
      <c r="BM49" s="4622"/>
      <c r="BN49" s="4623"/>
      <c r="BO49" s="4623"/>
      <c r="BP49" s="4623"/>
      <c r="BQ49" s="4623"/>
      <c r="BR49" s="4623"/>
      <c r="BS49" s="4623"/>
      <c r="BT49" s="4627"/>
      <c r="BU49" s="4627"/>
      <c r="BV49" s="4628"/>
      <c r="BW49" s="2334"/>
      <c r="BX49" s="16011"/>
      <c r="BY49" s="4714"/>
      <c r="BZ49" s="4714"/>
      <c r="CA49" s="4714"/>
      <c r="CB49" s="4715"/>
      <c r="CC49" s="4715"/>
      <c r="CD49" s="4715"/>
      <c r="CE49" s="4715"/>
      <c r="CF49" s="4716"/>
      <c r="CG49" s="4716"/>
      <c r="CH49" s="4716"/>
      <c r="CI49" s="4716"/>
      <c r="CJ49" s="4716"/>
      <c r="CK49" s="4716"/>
      <c r="CL49" s="4716"/>
      <c r="CM49" s="4716"/>
      <c r="CN49" s="4716"/>
      <c r="CO49" s="4716"/>
      <c r="CP49" s="4716"/>
      <c r="CQ49" s="4716"/>
      <c r="CR49" s="4716"/>
      <c r="CS49" s="4717"/>
      <c r="CT49" s="4716"/>
      <c r="CU49" s="4716"/>
      <c r="CV49" s="4716"/>
      <c r="CW49" s="4716"/>
      <c r="CX49" s="4716"/>
      <c r="CY49" s="4716"/>
      <c r="CZ49" s="4716"/>
      <c r="DA49" s="4716"/>
      <c r="DB49" s="4716"/>
      <c r="DC49" s="4716"/>
      <c r="DD49" s="4716"/>
      <c r="DE49" s="4716"/>
      <c r="DF49" s="4716"/>
      <c r="DG49" s="4716"/>
      <c r="DH49" s="4716"/>
      <c r="DI49" s="4716"/>
      <c r="DJ49" s="4716"/>
      <c r="DK49" s="4718"/>
      <c r="DL49" s="4718"/>
      <c r="DM49" s="4718"/>
      <c r="DN49" s="4718"/>
      <c r="DO49" s="4832"/>
      <c r="DP49" s="1798"/>
      <c r="DQ49" s="3472"/>
      <c r="DR49" s="3437"/>
      <c r="DS49" s="3437"/>
      <c r="DT49" s="3437"/>
      <c r="DU49" s="3437"/>
      <c r="DV49" s="3437"/>
      <c r="DW49" s="3437"/>
      <c r="DX49" s="3437"/>
      <c r="DY49" s="3437"/>
      <c r="DZ49" s="3437"/>
      <c r="EA49" s="3437"/>
      <c r="EB49" s="3437"/>
      <c r="EC49" s="3437"/>
      <c r="ED49" s="3437"/>
      <c r="EE49" s="3437"/>
      <c r="EF49" s="3437"/>
      <c r="EG49" s="3437"/>
      <c r="EH49" s="3437"/>
      <c r="EI49" s="3437"/>
      <c r="EJ49" s="3437"/>
      <c r="EK49" s="3437"/>
      <c r="EL49" s="3437"/>
      <c r="EM49" s="3437"/>
      <c r="EN49" s="3437"/>
      <c r="EO49" s="3437"/>
      <c r="EP49" s="3437"/>
      <c r="EQ49" s="3437"/>
      <c r="ER49" s="3437"/>
      <c r="ES49" s="3437"/>
      <c r="ET49" s="3437"/>
      <c r="EU49" s="3437"/>
      <c r="EV49" s="3437"/>
      <c r="EW49" s="3437"/>
      <c r="EX49" s="3437"/>
      <c r="EY49" s="3437"/>
      <c r="EZ49" s="3437"/>
      <c r="FA49" s="3437"/>
      <c r="FB49" s="3437"/>
      <c r="FC49" s="3437"/>
      <c r="FD49" s="3437"/>
      <c r="FE49" s="3437"/>
      <c r="FF49" s="3437"/>
      <c r="FG49" s="3437"/>
      <c r="FH49" s="3437"/>
      <c r="FI49" s="3437"/>
      <c r="FJ49" s="3473"/>
    </row>
    <row r="50" spans="1:166" s="1799" customFormat="1" ht="15" customHeight="1">
      <c r="A50" s="15955"/>
      <c r="B50" s="15950"/>
      <c r="C50" s="15950"/>
      <c r="D50" s="4619" t="s">
        <v>7934</v>
      </c>
      <c r="E50" s="2739" t="s">
        <v>4961</v>
      </c>
      <c r="F50" s="2739" t="s">
        <v>734</v>
      </c>
      <c r="G50" s="2739" t="s">
        <v>542</v>
      </c>
      <c r="H50" s="4620">
        <v>0.5</v>
      </c>
      <c r="I50" s="4620">
        <v>1</v>
      </c>
      <c r="J50" s="4620">
        <v>1</v>
      </c>
      <c r="K50" s="2739" t="s">
        <v>735</v>
      </c>
      <c r="L50" s="2739" t="s">
        <v>86</v>
      </c>
      <c r="M50" s="2739" t="s">
        <v>708</v>
      </c>
      <c r="N50" s="4732" t="s">
        <v>736</v>
      </c>
      <c r="O50" s="2739">
        <v>20</v>
      </c>
      <c r="P50" s="2739">
        <v>21</v>
      </c>
      <c r="Q50" s="4625">
        <v>22</v>
      </c>
      <c r="R50" s="4625">
        <v>22</v>
      </c>
      <c r="S50" s="4625">
        <v>23</v>
      </c>
      <c r="T50" s="4625">
        <v>24</v>
      </c>
      <c r="U50" s="4713">
        <v>24</v>
      </c>
      <c r="V50" s="4625">
        <v>25</v>
      </c>
      <c r="W50" s="4625">
        <v>26</v>
      </c>
      <c r="X50" s="4625">
        <v>27</v>
      </c>
      <c r="Y50" s="4625">
        <v>27</v>
      </c>
      <c r="Z50" s="4618">
        <v>261</v>
      </c>
      <c r="AA50" s="2739"/>
      <c r="AB50" s="4621">
        <v>1</v>
      </c>
      <c r="AC50" s="4622" t="s">
        <v>3689</v>
      </c>
      <c r="AD50" s="4622" t="s">
        <v>3690</v>
      </c>
      <c r="AE50" s="4622" t="s">
        <v>3691</v>
      </c>
      <c r="AF50" s="4626">
        <v>140000000</v>
      </c>
      <c r="AG50" s="4626">
        <v>200000000</v>
      </c>
      <c r="AH50" s="4623"/>
      <c r="AI50" s="4623"/>
      <c r="AJ50" s="4622" t="s">
        <v>3692</v>
      </c>
      <c r="AK50" s="4623"/>
      <c r="AL50" s="4623"/>
      <c r="AM50" s="4623"/>
      <c r="AN50" s="4623"/>
      <c r="AO50" s="4623"/>
      <c r="AP50" s="4623"/>
      <c r="AQ50" s="4623"/>
      <c r="AR50" s="4623"/>
      <c r="AS50" s="4623"/>
      <c r="AT50" s="4623"/>
      <c r="AU50" s="4623"/>
      <c r="AV50" s="4623"/>
      <c r="AW50" s="4623"/>
      <c r="AX50" s="4623"/>
      <c r="AY50" s="4623"/>
      <c r="AZ50" s="4623"/>
      <c r="BA50" s="4623"/>
      <c r="BB50" s="4623"/>
      <c r="BC50" s="4623"/>
      <c r="BD50" s="4623"/>
      <c r="BE50" s="4623"/>
      <c r="BF50" s="4623"/>
      <c r="BG50" s="4623"/>
      <c r="BH50" s="4623"/>
      <c r="BI50" s="4623"/>
      <c r="BJ50" s="4623"/>
      <c r="BK50" s="4623"/>
      <c r="BL50" s="4623"/>
      <c r="BM50" s="4623"/>
      <c r="BN50" s="4623"/>
      <c r="BO50" s="4623"/>
      <c r="BP50" s="4623"/>
      <c r="BQ50" s="4623"/>
      <c r="BR50" s="4623"/>
      <c r="BS50" s="4623"/>
      <c r="BT50" s="4720">
        <v>1</v>
      </c>
      <c r="BU50" s="4624">
        <v>1</v>
      </c>
      <c r="BV50" s="4620">
        <v>1</v>
      </c>
      <c r="BW50" s="2334">
        <f t="shared" si="1"/>
        <v>1</v>
      </c>
      <c r="BX50" s="16011"/>
      <c r="BY50" s="4714" t="s">
        <v>8972</v>
      </c>
      <c r="BZ50" s="4714" t="s">
        <v>3690</v>
      </c>
      <c r="CA50" s="4714" t="s">
        <v>8973</v>
      </c>
      <c r="CB50" s="4715"/>
      <c r="CC50" s="4715"/>
      <c r="CD50" s="4715"/>
      <c r="CE50" s="4715"/>
      <c r="CF50" s="4716"/>
      <c r="CG50" s="4716"/>
      <c r="CH50" s="4716"/>
      <c r="CI50" s="4716"/>
      <c r="CJ50" s="4716"/>
      <c r="CK50" s="4716"/>
      <c r="CL50" s="4716"/>
      <c r="CM50" s="4716"/>
      <c r="CN50" s="4716"/>
      <c r="CO50" s="4716"/>
      <c r="CP50" s="4716"/>
      <c r="CQ50" s="4716"/>
      <c r="CR50" s="4716"/>
      <c r="CS50" s="4717"/>
      <c r="CT50" s="4716"/>
      <c r="CU50" s="4716"/>
      <c r="CV50" s="4716"/>
      <c r="CW50" s="4716"/>
      <c r="CX50" s="4716"/>
      <c r="CY50" s="4716"/>
      <c r="CZ50" s="4716"/>
      <c r="DA50" s="4716"/>
      <c r="DB50" s="4716"/>
      <c r="DC50" s="4716"/>
      <c r="DD50" s="4716"/>
      <c r="DE50" s="4716"/>
      <c r="DF50" s="4718"/>
      <c r="DG50" s="4718"/>
      <c r="DH50" s="4718"/>
      <c r="DI50" s="4718"/>
      <c r="DJ50" s="4718"/>
      <c r="DK50" s="4718"/>
      <c r="DL50" s="4718"/>
      <c r="DM50" s="4718"/>
      <c r="DN50" s="4718"/>
      <c r="DO50" s="4832"/>
      <c r="DP50" s="1798"/>
      <c r="DQ50" s="3472"/>
      <c r="DR50" s="3437"/>
      <c r="DS50" s="3437"/>
      <c r="DT50" s="3437"/>
      <c r="DU50" s="3437"/>
      <c r="DV50" s="3437"/>
      <c r="DW50" s="3437"/>
      <c r="DX50" s="3437"/>
      <c r="DY50" s="3437"/>
      <c r="DZ50" s="3437"/>
      <c r="EA50" s="3437"/>
      <c r="EB50" s="3437"/>
      <c r="EC50" s="3437"/>
      <c r="ED50" s="3437"/>
      <c r="EE50" s="3437"/>
      <c r="EF50" s="3437"/>
      <c r="EG50" s="3437"/>
      <c r="EH50" s="3437"/>
      <c r="EI50" s="3437"/>
      <c r="EJ50" s="3437"/>
      <c r="EK50" s="3437"/>
      <c r="EL50" s="3437"/>
      <c r="EM50" s="3437"/>
      <c r="EN50" s="3437"/>
      <c r="EO50" s="3437"/>
      <c r="EP50" s="3437"/>
      <c r="EQ50" s="3437"/>
      <c r="ER50" s="3437"/>
      <c r="ES50" s="3437"/>
      <c r="ET50" s="3437"/>
      <c r="EU50" s="3437"/>
      <c r="EV50" s="3437"/>
      <c r="EW50" s="3437"/>
      <c r="EX50" s="3437"/>
      <c r="EY50" s="3437"/>
      <c r="EZ50" s="3437"/>
      <c r="FA50" s="3437"/>
      <c r="FB50" s="3437"/>
      <c r="FC50" s="3437"/>
      <c r="FD50" s="3437"/>
      <c r="FE50" s="3437"/>
      <c r="FF50" s="3437"/>
      <c r="FG50" s="3437"/>
      <c r="FH50" s="3437"/>
      <c r="FI50" s="3437"/>
      <c r="FJ50" s="3473"/>
    </row>
    <row r="51" spans="1:166" s="1799" customFormat="1" ht="15" customHeight="1">
      <c r="A51" s="15955"/>
      <c r="B51" s="15950"/>
      <c r="C51" s="15950" t="s">
        <v>737</v>
      </c>
      <c r="D51" s="4619" t="s">
        <v>7935</v>
      </c>
      <c r="E51" s="2739" t="s">
        <v>4962</v>
      </c>
      <c r="F51" s="2739" t="s">
        <v>738</v>
      </c>
      <c r="G51" s="2739" t="s">
        <v>542</v>
      </c>
      <c r="H51" s="4620">
        <v>0.2</v>
      </c>
      <c r="I51" s="4620">
        <v>0.6</v>
      </c>
      <c r="J51" s="4620">
        <v>1</v>
      </c>
      <c r="K51" s="2739" t="s">
        <v>727</v>
      </c>
      <c r="L51" s="2739" t="s">
        <v>86</v>
      </c>
      <c r="M51" s="2739" t="s">
        <v>708</v>
      </c>
      <c r="N51" s="4732" t="s">
        <v>736</v>
      </c>
      <c r="O51" s="2739">
        <v>40</v>
      </c>
      <c r="P51" s="2739">
        <v>41</v>
      </c>
      <c r="Q51" s="2739">
        <v>42</v>
      </c>
      <c r="R51" s="2739">
        <v>44</v>
      </c>
      <c r="S51" s="2739">
        <v>45</v>
      </c>
      <c r="T51" s="2739">
        <v>46</v>
      </c>
      <c r="U51" s="4719">
        <v>48</v>
      </c>
      <c r="V51" s="2739">
        <v>49</v>
      </c>
      <c r="W51" s="2739">
        <v>51</v>
      </c>
      <c r="X51" s="2739">
        <v>52</v>
      </c>
      <c r="Y51" s="2739">
        <v>54</v>
      </c>
      <c r="Z51" s="4618">
        <v>512</v>
      </c>
      <c r="AA51" s="2739"/>
      <c r="AB51" s="4621">
        <v>1</v>
      </c>
      <c r="AC51" s="4622" t="s">
        <v>3693</v>
      </c>
      <c r="AD51" s="4622" t="s">
        <v>3694</v>
      </c>
      <c r="AE51" s="4623" t="s">
        <v>3695</v>
      </c>
      <c r="AF51" s="4626">
        <v>50000000</v>
      </c>
      <c r="AG51" s="4623"/>
      <c r="AH51" s="4623"/>
      <c r="AI51" s="4623"/>
      <c r="AJ51" s="4622" t="s">
        <v>3696</v>
      </c>
      <c r="AK51" s="4622"/>
      <c r="AL51" s="4623"/>
      <c r="AM51" s="4623"/>
      <c r="AN51" s="4623"/>
      <c r="AO51" s="4623"/>
      <c r="AP51" s="4623"/>
      <c r="AQ51" s="4623"/>
      <c r="AR51" s="4623"/>
      <c r="AS51" s="4623"/>
      <c r="AT51" s="4623"/>
      <c r="AU51" s="4623"/>
      <c r="AV51" s="4623"/>
      <c r="AW51" s="4623"/>
      <c r="AX51" s="4623"/>
      <c r="AY51" s="4623"/>
      <c r="AZ51" s="4623"/>
      <c r="BA51" s="4623"/>
      <c r="BB51" s="4623"/>
      <c r="BC51" s="4623"/>
      <c r="BD51" s="4623"/>
      <c r="BE51" s="4623"/>
      <c r="BF51" s="4623"/>
      <c r="BG51" s="4623"/>
      <c r="BH51" s="4623"/>
      <c r="BI51" s="4623"/>
      <c r="BJ51" s="4623"/>
      <c r="BK51" s="4623"/>
      <c r="BL51" s="4623"/>
      <c r="BM51" s="4623"/>
      <c r="BN51" s="4623"/>
      <c r="BO51" s="4623"/>
      <c r="BP51" s="4623"/>
      <c r="BQ51" s="4623"/>
      <c r="BR51" s="4623"/>
      <c r="BS51" s="4623"/>
      <c r="BT51" s="4720">
        <v>1</v>
      </c>
      <c r="BU51" s="4624">
        <v>1</v>
      </c>
      <c r="BV51" s="4620">
        <v>1</v>
      </c>
      <c r="BW51" s="2334">
        <f t="shared" si="1"/>
        <v>1</v>
      </c>
      <c r="BX51" s="16011"/>
      <c r="BY51" s="4714" t="s">
        <v>3693</v>
      </c>
      <c r="BZ51" s="4714" t="s">
        <v>3694</v>
      </c>
      <c r="CA51" s="4714" t="s">
        <v>3695</v>
      </c>
      <c r="CB51" s="4715">
        <v>50000000</v>
      </c>
      <c r="CC51" s="4715"/>
      <c r="CD51" s="4715"/>
      <c r="CE51" s="4715"/>
      <c r="CF51" s="4716"/>
      <c r="CG51" s="4716"/>
      <c r="CH51" s="4716"/>
      <c r="CI51" s="4716"/>
      <c r="CJ51" s="4716"/>
      <c r="CK51" s="4716"/>
      <c r="CL51" s="4716"/>
      <c r="CM51" s="4716"/>
      <c r="CN51" s="4716"/>
      <c r="CO51" s="4716"/>
      <c r="CP51" s="4716"/>
      <c r="CQ51" s="4716"/>
      <c r="CR51" s="4716"/>
      <c r="CS51" s="4717"/>
      <c r="CT51" s="4716"/>
      <c r="CU51" s="4716"/>
      <c r="CV51" s="4716"/>
      <c r="CW51" s="4716"/>
      <c r="CX51" s="4716"/>
      <c r="CY51" s="4716"/>
      <c r="CZ51" s="4716"/>
      <c r="DA51" s="4716"/>
      <c r="DB51" s="4716"/>
      <c r="DC51" s="4716"/>
      <c r="DD51" s="4716"/>
      <c r="DE51" s="4716"/>
      <c r="DF51" s="4718"/>
      <c r="DG51" s="4718"/>
      <c r="DH51" s="4718"/>
      <c r="DI51" s="4718"/>
      <c r="DJ51" s="4718"/>
      <c r="DK51" s="4718"/>
      <c r="DL51" s="4718"/>
      <c r="DM51" s="4718"/>
      <c r="DN51" s="4718"/>
      <c r="DO51" s="4832"/>
      <c r="DP51" s="1798"/>
      <c r="DQ51" s="3472"/>
      <c r="DR51" s="3437"/>
      <c r="DS51" s="3437"/>
      <c r="DT51" s="3437"/>
      <c r="DU51" s="3437"/>
      <c r="DV51" s="3437"/>
      <c r="DW51" s="3437"/>
      <c r="DX51" s="3437"/>
      <c r="DY51" s="3437"/>
      <c r="DZ51" s="3437"/>
      <c r="EA51" s="3437"/>
      <c r="EB51" s="3437"/>
      <c r="EC51" s="3437"/>
      <c r="ED51" s="3437"/>
      <c r="EE51" s="3437"/>
      <c r="EF51" s="3437"/>
      <c r="EG51" s="3437"/>
      <c r="EH51" s="3437"/>
      <c r="EI51" s="3437"/>
      <c r="EJ51" s="3437"/>
      <c r="EK51" s="3437"/>
      <c r="EL51" s="3437"/>
      <c r="EM51" s="3437"/>
      <c r="EN51" s="3437"/>
      <c r="EO51" s="3437"/>
      <c r="EP51" s="3437"/>
      <c r="EQ51" s="3437"/>
      <c r="ER51" s="3437"/>
      <c r="ES51" s="3437"/>
      <c r="ET51" s="3437"/>
      <c r="EU51" s="3437"/>
      <c r="EV51" s="3437"/>
      <c r="EW51" s="3437"/>
      <c r="EX51" s="3437"/>
      <c r="EY51" s="3437"/>
      <c r="EZ51" s="3437"/>
      <c r="FA51" s="3437"/>
      <c r="FB51" s="3437"/>
      <c r="FC51" s="3437"/>
      <c r="FD51" s="3437"/>
      <c r="FE51" s="3437"/>
      <c r="FF51" s="3437"/>
      <c r="FG51" s="3437"/>
      <c r="FH51" s="3437"/>
      <c r="FI51" s="3437"/>
      <c r="FJ51" s="3473"/>
    </row>
    <row r="52" spans="1:166" s="1799" customFormat="1" ht="15" customHeight="1">
      <c r="A52" s="15955"/>
      <c r="B52" s="15950"/>
      <c r="C52" s="15950"/>
      <c r="D52" s="15921" t="s">
        <v>7936</v>
      </c>
      <c r="E52" s="15930" t="s">
        <v>4963</v>
      </c>
      <c r="F52" s="15930" t="s">
        <v>739</v>
      </c>
      <c r="G52" s="15930" t="s">
        <v>542</v>
      </c>
      <c r="H52" s="15927">
        <v>0.2</v>
      </c>
      <c r="I52" s="15927">
        <v>0.6</v>
      </c>
      <c r="J52" s="15927">
        <v>1</v>
      </c>
      <c r="K52" s="15930" t="s">
        <v>727</v>
      </c>
      <c r="L52" s="2739" t="s">
        <v>86</v>
      </c>
      <c r="M52" s="2739" t="s">
        <v>740</v>
      </c>
      <c r="N52" s="2739"/>
      <c r="O52" s="2739">
        <v>50</v>
      </c>
      <c r="P52" s="2739">
        <v>52</v>
      </c>
      <c r="Q52" s="2739">
        <v>53</v>
      </c>
      <c r="R52" s="2739">
        <v>55</v>
      </c>
      <c r="S52" s="2739">
        <v>56</v>
      </c>
      <c r="T52" s="2739">
        <v>58</v>
      </c>
      <c r="U52" s="4719">
        <v>60</v>
      </c>
      <c r="V52" s="2739">
        <v>61</v>
      </c>
      <c r="W52" s="2739">
        <v>63</v>
      </c>
      <c r="X52" s="2739">
        <v>65</v>
      </c>
      <c r="Y52" s="2739">
        <v>67</v>
      </c>
      <c r="Z52" s="4618">
        <v>640</v>
      </c>
      <c r="AA52" s="2739"/>
      <c r="AB52" s="4621">
        <v>1</v>
      </c>
      <c r="AC52" s="4622" t="s">
        <v>3697</v>
      </c>
      <c r="AD52" s="4622" t="s">
        <v>3698</v>
      </c>
      <c r="AE52" s="4622" t="s">
        <v>3699</v>
      </c>
      <c r="AF52" s="4626">
        <v>183000000</v>
      </c>
      <c r="AG52" s="4623"/>
      <c r="AH52" s="4623"/>
      <c r="AI52" s="4623"/>
      <c r="AJ52" s="4623">
        <v>535</v>
      </c>
      <c r="AK52" s="4623">
        <v>164</v>
      </c>
      <c r="AL52" s="4623">
        <v>371</v>
      </c>
      <c r="AM52" s="4623">
        <v>414</v>
      </c>
      <c r="AN52" s="4623">
        <v>121</v>
      </c>
      <c r="AO52" s="4623">
        <v>6</v>
      </c>
      <c r="AP52" s="4623">
        <v>20</v>
      </c>
      <c r="AQ52" s="4623">
        <v>35</v>
      </c>
      <c r="AR52" s="4623">
        <v>135</v>
      </c>
      <c r="AS52" s="4623">
        <v>159</v>
      </c>
      <c r="AT52" s="4623">
        <v>113</v>
      </c>
      <c r="AU52" s="4623">
        <v>67</v>
      </c>
      <c r="AV52" s="4623">
        <v>215</v>
      </c>
      <c r="AW52" s="4623">
        <v>303</v>
      </c>
      <c r="AX52" s="4623">
        <v>7</v>
      </c>
      <c r="AY52" s="4623">
        <v>4</v>
      </c>
      <c r="AZ52" s="4623">
        <v>4</v>
      </c>
      <c r="BA52" s="4623">
        <v>0</v>
      </c>
      <c r="BB52" s="4623">
        <v>0</v>
      </c>
      <c r="BC52" s="4623">
        <v>2</v>
      </c>
      <c r="BD52" s="4623">
        <v>512</v>
      </c>
      <c r="BE52" s="4623">
        <v>20</v>
      </c>
      <c r="BF52" s="4623">
        <v>3</v>
      </c>
      <c r="BG52" s="4623">
        <v>0</v>
      </c>
      <c r="BH52" s="4623">
        <v>0</v>
      </c>
      <c r="BI52" s="4623">
        <v>0</v>
      </c>
      <c r="BJ52" s="4622" t="s">
        <v>3659</v>
      </c>
      <c r="BK52" s="4623" t="s">
        <v>1732</v>
      </c>
      <c r="BL52" s="4623" t="s">
        <v>1732</v>
      </c>
      <c r="BM52" s="4623" t="s">
        <v>1732</v>
      </c>
      <c r="BN52" s="4623" t="s">
        <v>1732</v>
      </c>
      <c r="BO52" s="4623" t="s">
        <v>1732</v>
      </c>
      <c r="BP52" s="4623" t="s">
        <v>1732</v>
      </c>
      <c r="BQ52" s="4623" t="s">
        <v>1732</v>
      </c>
      <c r="BR52" s="4623" t="s">
        <v>1732</v>
      </c>
      <c r="BS52" s="4623" t="s">
        <v>1732</v>
      </c>
      <c r="BT52" s="4720">
        <v>1</v>
      </c>
      <c r="BU52" s="4624">
        <v>1</v>
      </c>
      <c r="BV52" s="4620">
        <v>1</v>
      </c>
      <c r="BW52" s="2334">
        <f t="shared" si="1"/>
        <v>1</v>
      </c>
      <c r="BX52" s="16011"/>
      <c r="BY52" s="4714" t="s">
        <v>3697</v>
      </c>
      <c r="BZ52" s="4714" t="s">
        <v>3698</v>
      </c>
      <c r="CA52" s="4714" t="s">
        <v>3699</v>
      </c>
      <c r="CB52" s="4715"/>
      <c r="CC52" s="4715"/>
      <c r="CD52" s="4715"/>
      <c r="CE52" s="4715"/>
      <c r="CF52" s="4716"/>
      <c r="CG52" s="4716"/>
      <c r="CH52" s="4716"/>
      <c r="CI52" s="4716"/>
      <c r="CJ52" s="4716"/>
      <c r="CK52" s="4716"/>
      <c r="CL52" s="4716"/>
      <c r="CM52" s="4716"/>
      <c r="CN52" s="4716"/>
      <c r="CO52" s="4716"/>
      <c r="CP52" s="4716"/>
      <c r="CQ52" s="4716"/>
      <c r="CR52" s="4716"/>
      <c r="CS52" s="4717"/>
      <c r="CT52" s="4716"/>
      <c r="CU52" s="4716"/>
      <c r="CV52" s="4716"/>
      <c r="CW52" s="4716"/>
      <c r="CX52" s="4716"/>
      <c r="CY52" s="4716"/>
      <c r="CZ52" s="4716"/>
      <c r="DA52" s="4716"/>
      <c r="DB52" s="4716"/>
      <c r="DC52" s="4716"/>
      <c r="DD52" s="4716"/>
      <c r="DE52" s="4716"/>
      <c r="DF52" s="4716"/>
      <c r="DG52" s="4718"/>
      <c r="DH52" s="4718"/>
      <c r="DI52" s="4718"/>
      <c r="DJ52" s="4718"/>
      <c r="DK52" s="4718"/>
      <c r="DL52" s="4718"/>
      <c r="DM52" s="4718"/>
      <c r="DN52" s="4718"/>
      <c r="DO52" s="4832"/>
      <c r="DP52" s="1798"/>
      <c r="DQ52" s="3472"/>
      <c r="DR52" s="3437"/>
      <c r="DS52" s="3437"/>
      <c r="DT52" s="3437"/>
      <c r="DU52" s="3437"/>
      <c r="DV52" s="3437"/>
      <c r="DW52" s="3437"/>
      <c r="DX52" s="3437"/>
      <c r="DY52" s="3437"/>
      <c r="DZ52" s="3437"/>
      <c r="EA52" s="3437"/>
      <c r="EB52" s="3437"/>
      <c r="EC52" s="3437"/>
      <c r="ED52" s="3437"/>
      <c r="EE52" s="3437"/>
      <c r="EF52" s="3437"/>
      <c r="EG52" s="3437"/>
      <c r="EH52" s="3437"/>
      <c r="EI52" s="3437"/>
      <c r="EJ52" s="3437"/>
      <c r="EK52" s="3437"/>
      <c r="EL52" s="3437"/>
      <c r="EM52" s="3437"/>
      <c r="EN52" s="3437"/>
      <c r="EO52" s="3437"/>
      <c r="EP52" s="3437"/>
      <c r="EQ52" s="3437"/>
      <c r="ER52" s="3437"/>
      <c r="ES52" s="3437"/>
      <c r="ET52" s="3437"/>
      <c r="EU52" s="3437"/>
      <c r="EV52" s="3437"/>
      <c r="EW52" s="3437"/>
      <c r="EX52" s="3437"/>
      <c r="EY52" s="3437"/>
      <c r="EZ52" s="3437"/>
      <c r="FA52" s="3437"/>
      <c r="FB52" s="3437"/>
      <c r="FC52" s="3437"/>
      <c r="FD52" s="3437"/>
      <c r="FE52" s="3437"/>
      <c r="FF52" s="3437"/>
      <c r="FG52" s="3437"/>
      <c r="FH52" s="3437"/>
      <c r="FI52" s="3437"/>
      <c r="FJ52" s="3473"/>
    </row>
    <row r="53" spans="1:166" s="1799" customFormat="1" ht="15" customHeight="1">
      <c r="A53" s="15955"/>
      <c r="B53" s="15950"/>
      <c r="C53" s="15950"/>
      <c r="D53" s="15921"/>
      <c r="E53" s="15930"/>
      <c r="F53" s="15930"/>
      <c r="G53" s="15930"/>
      <c r="H53" s="15927"/>
      <c r="I53" s="15927"/>
      <c r="J53" s="15927"/>
      <c r="K53" s="15930"/>
      <c r="L53" s="2739" t="s">
        <v>8644</v>
      </c>
      <c r="M53" s="2739"/>
      <c r="N53" s="2739" t="s">
        <v>741</v>
      </c>
      <c r="O53" s="2739"/>
      <c r="P53" s="2739"/>
      <c r="Q53" s="2739"/>
      <c r="R53" s="2739"/>
      <c r="S53" s="2739"/>
      <c r="T53" s="2739"/>
      <c r="U53" s="4719"/>
      <c r="V53" s="2739"/>
      <c r="W53" s="2739"/>
      <c r="X53" s="2739"/>
      <c r="Y53" s="2739"/>
      <c r="Z53" s="4618"/>
      <c r="AA53" s="2739"/>
      <c r="AB53" s="4621"/>
      <c r="AC53" s="4622"/>
      <c r="AD53" s="4622"/>
      <c r="AE53" s="4622"/>
      <c r="AF53" s="4626"/>
      <c r="AG53" s="4623"/>
      <c r="AH53" s="4623"/>
      <c r="AI53" s="4623"/>
      <c r="AJ53" s="4623"/>
      <c r="AK53" s="4623"/>
      <c r="AL53" s="4623"/>
      <c r="AM53" s="4623"/>
      <c r="AN53" s="4623"/>
      <c r="AO53" s="4623"/>
      <c r="AP53" s="4623"/>
      <c r="AQ53" s="4623"/>
      <c r="AR53" s="4623"/>
      <c r="AS53" s="4623"/>
      <c r="AT53" s="4623"/>
      <c r="AU53" s="4623"/>
      <c r="AV53" s="4623"/>
      <c r="AW53" s="4623"/>
      <c r="AX53" s="4623"/>
      <c r="AY53" s="4623"/>
      <c r="AZ53" s="4623"/>
      <c r="BA53" s="4623"/>
      <c r="BB53" s="4623"/>
      <c r="BC53" s="4623"/>
      <c r="BD53" s="4623"/>
      <c r="BE53" s="4623"/>
      <c r="BF53" s="4623"/>
      <c r="BG53" s="4623"/>
      <c r="BH53" s="4623"/>
      <c r="BI53" s="4623"/>
      <c r="BJ53" s="4622"/>
      <c r="BK53" s="4623"/>
      <c r="BL53" s="4623"/>
      <c r="BM53" s="4623"/>
      <c r="BN53" s="4623"/>
      <c r="BO53" s="4623"/>
      <c r="BP53" s="4623"/>
      <c r="BQ53" s="4623"/>
      <c r="BR53" s="4623"/>
      <c r="BS53" s="4623"/>
      <c r="BT53" s="4720"/>
      <c r="BU53" s="4624"/>
      <c r="BV53" s="4620"/>
      <c r="BW53" s="2334"/>
      <c r="BX53" s="16011"/>
      <c r="BY53" s="4714"/>
      <c r="BZ53" s="4714"/>
      <c r="CA53" s="4714"/>
      <c r="CB53" s="4715"/>
      <c r="CC53" s="4715"/>
      <c r="CD53" s="4715"/>
      <c r="CE53" s="4715"/>
      <c r="CF53" s="4716"/>
      <c r="CG53" s="4716"/>
      <c r="CH53" s="4716"/>
      <c r="CI53" s="4716"/>
      <c r="CJ53" s="4716"/>
      <c r="CK53" s="4716"/>
      <c r="CL53" s="4716"/>
      <c r="CM53" s="4716"/>
      <c r="CN53" s="4716"/>
      <c r="CO53" s="4716"/>
      <c r="CP53" s="4716"/>
      <c r="CQ53" s="4716"/>
      <c r="CR53" s="4716"/>
      <c r="CS53" s="4717"/>
      <c r="CT53" s="4716"/>
      <c r="CU53" s="4716"/>
      <c r="CV53" s="4716"/>
      <c r="CW53" s="4716"/>
      <c r="CX53" s="4716"/>
      <c r="CY53" s="4716"/>
      <c r="CZ53" s="4716"/>
      <c r="DA53" s="4716"/>
      <c r="DB53" s="4716"/>
      <c r="DC53" s="4716"/>
      <c r="DD53" s="4716"/>
      <c r="DE53" s="4716"/>
      <c r="DF53" s="4716"/>
      <c r="DG53" s="4718"/>
      <c r="DH53" s="4718"/>
      <c r="DI53" s="4718"/>
      <c r="DJ53" s="4718"/>
      <c r="DK53" s="4718"/>
      <c r="DL53" s="4718"/>
      <c r="DM53" s="4718"/>
      <c r="DN53" s="4718"/>
      <c r="DO53" s="4832"/>
      <c r="DP53" s="1798"/>
      <c r="DQ53" s="3472"/>
      <c r="DR53" s="3437"/>
      <c r="DS53" s="3437"/>
      <c r="DT53" s="3437"/>
      <c r="DU53" s="3437"/>
      <c r="DV53" s="3437"/>
      <c r="DW53" s="3437"/>
      <c r="DX53" s="3437"/>
      <c r="DY53" s="3437"/>
      <c r="DZ53" s="3437"/>
      <c r="EA53" s="3437"/>
      <c r="EB53" s="3437"/>
      <c r="EC53" s="3437"/>
      <c r="ED53" s="3437"/>
      <c r="EE53" s="3437"/>
      <c r="EF53" s="3437"/>
      <c r="EG53" s="3437"/>
      <c r="EH53" s="3437"/>
      <c r="EI53" s="3437"/>
      <c r="EJ53" s="3437"/>
      <c r="EK53" s="3437"/>
      <c r="EL53" s="3437"/>
      <c r="EM53" s="3437"/>
      <c r="EN53" s="3437"/>
      <c r="EO53" s="3437"/>
      <c r="EP53" s="3437"/>
      <c r="EQ53" s="3437"/>
      <c r="ER53" s="3437"/>
      <c r="ES53" s="3437"/>
      <c r="ET53" s="3437"/>
      <c r="EU53" s="3437"/>
      <c r="EV53" s="3437"/>
      <c r="EW53" s="3437"/>
      <c r="EX53" s="3437"/>
      <c r="EY53" s="3437"/>
      <c r="EZ53" s="3437"/>
      <c r="FA53" s="3437"/>
      <c r="FB53" s="3437"/>
      <c r="FC53" s="3437"/>
      <c r="FD53" s="3437"/>
      <c r="FE53" s="3437"/>
      <c r="FF53" s="3437"/>
      <c r="FG53" s="3437"/>
      <c r="FH53" s="3437"/>
      <c r="FI53" s="3437"/>
      <c r="FJ53" s="3473"/>
    </row>
    <row r="54" spans="1:166" s="1799" customFormat="1" ht="15" customHeight="1">
      <c r="A54" s="15955"/>
      <c r="B54" s="15950"/>
      <c r="C54" s="15950"/>
      <c r="D54" s="15921" t="s">
        <v>7937</v>
      </c>
      <c r="E54" s="15930" t="s">
        <v>4964</v>
      </c>
      <c r="F54" s="15930" t="s">
        <v>742</v>
      </c>
      <c r="G54" s="15930" t="s">
        <v>743</v>
      </c>
      <c r="H54" s="15930">
        <v>50</v>
      </c>
      <c r="I54" s="15930">
        <v>200</v>
      </c>
      <c r="J54" s="15930">
        <v>500</v>
      </c>
      <c r="K54" s="15930" t="s">
        <v>744</v>
      </c>
      <c r="L54" s="2739" t="s">
        <v>86</v>
      </c>
      <c r="M54" s="2739" t="s">
        <v>740</v>
      </c>
      <c r="N54" s="2739"/>
      <c r="O54" s="2739">
        <v>80</v>
      </c>
      <c r="P54" s="2739">
        <v>82</v>
      </c>
      <c r="Q54" s="2739">
        <v>85</v>
      </c>
      <c r="R54" s="2739">
        <v>87</v>
      </c>
      <c r="S54" s="2739">
        <v>90</v>
      </c>
      <c r="T54" s="2739">
        <v>93</v>
      </c>
      <c r="U54" s="4719">
        <v>96</v>
      </c>
      <c r="V54" s="2739">
        <v>98</v>
      </c>
      <c r="W54" s="2739">
        <v>101</v>
      </c>
      <c r="X54" s="2739">
        <v>104</v>
      </c>
      <c r="Y54" s="2739">
        <v>108</v>
      </c>
      <c r="Z54" s="4618">
        <v>1024</v>
      </c>
      <c r="AA54" s="2739"/>
      <c r="AB54" s="4621">
        <v>1</v>
      </c>
      <c r="AC54" s="4622" t="s">
        <v>3700</v>
      </c>
      <c r="AD54" s="4623" t="s">
        <v>3628</v>
      </c>
      <c r="AE54" s="4622" t="s">
        <v>3701</v>
      </c>
      <c r="AF54" s="4626">
        <v>20000000</v>
      </c>
      <c r="AG54" s="4623"/>
      <c r="AH54" s="4623"/>
      <c r="AI54" s="4623"/>
      <c r="AJ54" s="4623">
        <v>34</v>
      </c>
      <c r="AK54" s="4623">
        <v>9</v>
      </c>
      <c r="AL54" s="4623">
        <v>25</v>
      </c>
      <c r="AM54" s="4623">
        <v>34</v>
      </c>
      <c r="AN54" s="4623">
        <v>0</v>
      </c>
      <c r="AO54" s="4623">
        <v>0</v>
      </c>
      <c r="AP54" s="4623">
        <v>0</v>
      </c>
      <c r="AQ54" s="4623">
        <v>0</v>
      </c>
      <c r="AR54" s="4623">
        <v>9</v>
      </c>
      <c r="AS54" s="4623">
        <v>10</v>
      </c>
      <c r="AT54" s="4623">
        <v>13</v>
      </c>
      <c r="AU54" s="4623">
        <v>2</v>
      </c>
      <c r="AV54" s="4623">
        <v>21</v>
      </c>
      <c r="AW54" s="4623">
        <v>12</v>
      </c>
      <c r="AX54" s="4623">
        <v>0</v>
      </c>
      <c r="AY54" s="4623">
        <v>0</v>
      </c>
      <c r="AZ54" s="4623">
        <v>1</v>
      </c>
      <c r="BA54" s="4623">
        <v>0</v>
      </c>
      <c r="BB54" s="4623">
        <v>0</v>
      </c>
      <c r="BC54" s="4623">
        <v>0</v>
      </c>
      <c r="BD54" s="4623">
        <v>34</v>
      </c>
      <c r="BE54" s="4623">
        <v>0</v>
      </c>
      <c r="BF54" s="4623">
        <v>0</v>
      </c>
      <c r="BG54" s="4623">
        <v>0</v>
      </c>
      <c r="BH54" s="4623">
        <v>0</v>
      </c>
      <c r="BI54" s="4623">
        <v>0</v>
      </c>
      <c r="BJ54" s="4622" t="s">
        <v>3702</v>
      </c>
      <c r="BK54" s="4622" t="s">
        <v>3703</v>
      </c>
      <c r="BL54" s="4623"/>
      <c r="BM54" s="4623"/>
      <c r="BN54" s="4623"/>
      <c r="BO54" s="4623" t="s">
        <v>1732</v>
      </c>
      <c r="BP54" s="4623" t="s">
        <v>1732</v>
      </c>
      <c r="BQ54" s="4623" t="s">
        <v>1732</v>
      </c>
      <c r="BR54" s="4623" t="s">
        <v>1732</v>
      </c>
      <c r="BS54" s="4623" t="s">
        <v>1732</v>
      </c>
      <c r="BT54" s="3034">
        <v>500</v>
      </c>
      <c r="BU54" s="4627">
        <v>500</v>
      </c>
      <c r="BV54" s="4631">
        <v>500</v>
      </c>
      <c r="BW54" s="2334">
        <v>1</v>
      </c>
      <c r="BX54" s="16011"/>
      <c r="BY54" s="4714" t="s">
        <v>8974</v>
      </c>
      <c r="BZ54" s="4714" t="s">
        <v>3628</v>
      </c>
      <c r="CA54" s="4714" t="s">
        <v>8975</v>
      </c>
      <c r="CB54" s="4715">
        <v>20000000</v>
      </c>
      <c r="CC54" s="4715"/>
      <c r="CD54" s="4715"/>
      <c r="CE54" s="4715"/>
      <c r="CF54" s="4716">
        <v>32</v>
      </c>
      <c r="CG54" s="4716">
        <v>7</v>
      </c>
      <c r="CH54" s="4716">
        <v>25</v>
      </c>
      <c r="CI54" s="4716">
        <v>32</v>
      </c>
      <c r="CJ54" s="4716">
        <v>0</v>
      </c>
      <c r="CK54" s="4716">
        <v>0</v>
      </c>
      <c r="CL54" s="4716">
        <v>0</v>
      </c>
      <c r="CM54" s="4716">
        <v>0</v>
      </c>
      <c r="CN54" s="4716">
        <v>0</v>
      </c>
      <c r="CO54" s="4716">
        <v>17</v>
      </c>
      <c r="CP54" s="4716">
        <v>13</v>
      </c>
      <c r="CQ54" s="4716">
        <v>2</v>
      </c>
      <c r="CR54" s="4716">
        <v>28</v>
      </c>
      <c r="CS54" s="4717">
        <v>4</v>
      </c>
      <c r="CT54" s="4716">
        <v>0</v>
      </c>
      <c r="CU54" s="4716">
        <v>0</v>
      </c>
      <c r="CV54" s="4716">
        <v>0</v>
      </c>
      <c r="CW54" s="4716">
        <v>0</v>
      </c>
      <c r="CX54" s="4716">
        <v>0</v>
      </c>
      <c r="CY54" s="4716">
        <v>0</v>
      </c>
      <c r="CZ54" s="4716">
        <v>32</v>
      </c>
      <c r="DA54" s="4716">
        <v>0</v>
      </c>
      <c r="DB54" s="4716">
        <v>0</v>
      </c>
      <c r="DC54" s="4716">
        <v>0</v>
      </c>
      <c r="DD54" s="4716">
        <v>0</v>
      </c>
      <c r="DE54" s="4716">
        <v>0</v>
      </c>
      <c r="DF54" s="4716" t="s">
        <v>3702</v>
      </c>
      <c r="DG54" s="4716" t="s">
        <v>3703</v>
      </c>
      <c r="DH54" s="4716"/>
      <c r="DI54" s="4716"/>
      <c r="DJ54" s="4718"/>
      <c r="DK54" s="4718"/>
      <c r="DL54" s="4718"/>
      <c r="DM54" s="4718"/>
      <c r="DN54" s="4718"/>
      <c r="DO54" s="4832"/>
      <c r="DP54" s="1798"/>
      <c r="DQ54" s="3472"/>
      <c r="DR54" s="3437"/>
      <c r="DS54" s="3437"/>
      <c r="DT54" s="3437"/>
      <c r="DU54" s="3437"/>
      <c r="DV54" s="3437"/>
      <c r="DW54" s="3437"/>
      <c r="DX54" s="3437"/>
      <c r="DY54" s="3437"/>
      <c r="DZ54" s="3437"/>
      <c r="EA54" s="3437"/>
      <c r="EB54" s="3437"/>
      <c r="EC54" s="3437"/>
      <c r="ED54" s="3437"/>
      <c r="EE54" s="3437"/>
      <c r="EF54" s="3437"/>
      <c r="EG54" s="3437"/>
      <c r="EH54" s="3437"/>
      <c r="EI54" s="3437"/>
      <c r="EJ54" s="3437"/>
      <c r="EK54" s="3437"/>
      <c r="EL54" s="3437"/>
      <c r="EM54" s="3437"/>
      <c r="EN54" s="3437"/>
      <c r="EO54" s="3437"/>
      <c r="EP54" s="3437"/>
      <c r="EQ54" s="3437"/>
      <c r="ER54" s="3437"/>
      <c r="ES54" s="3437"/>
      <c r="ET54" s="3437"/>
      <c r="EU54" s="3437"/>
      <c r="EV54" s="3437"/>
      <c r="EW54" s="3437"/>
      <c r="EX54" s="3437"/>
      <c r="EY54" s="3437"/>
      <c r="EZ54" s="3437"/>
      <c r="FA54" s="3437"/>
      <c r="FB54" s="3437"/>
      <c r="FC54" s="3437"/>
      <c r="FD54" s="3437"/>
      <c r="FE54" s="3437"/>
      <c r="FF54" s="3437"/>
      <c r="FG54" s="3437"/>
      <c r="FH54" s="3437"/>
      <c r="FI54" s="3437"/>
      <c r="FJ54" s="3473"/>
    </row>
    <row r="55" spans="1:166" s="1799" customFormat="1" ht="15" customHeight="1">
      <c r="A55" s="15955"/>
      <c r="B55" s="15950"/>
      <c r="C55" s="15950"/>
      <c r="D55" s="15921"/>
      <c r="E55" s="15930"/>
      <c r="F55" s="15930"/>
      <c r="G55" s="15930"/>
      <c r="H55" s="15930"/>
      <c r="I55" s="15930"/>
      <c r="J55" s="15930"/>
      <c r="K55" s="15930"/>
      <c r="L55" s="2739" t="s">
        <v>10063</v>
      </c>
      <c r="M55" s="2739"/>
      <c r="N55" s="2739" t="s">
        <v>144</v>
      </c>
      <c r="O55" s="2739"/>
      <c r="P55" s="2739"/>
      <c r="Q55" s="2739"/>
      <c r="R55" s="2739"/>
      <c r="S55" s="2739"/>
      <c r="T55" s="2739"/>
      <c r="U55" s="4719"/>
      <c r="V55" s="2739"/>
      <c r="W55" s="2739"/>
      <c r="X55" s="2739"/>
      <c r="Y55" s="2739"/>
      <c r="Z55" s="4618"/>
      <c r="AA55" s="2739"/>
      <c r="AB55" s="4621"/>
      <c r="AC55" s="4622"/>
      <c r="AD55" s="4623"/>
      <c r="AE55" s="4622"/>
      <c r="AF55" s="4626"/>
      <c r="AG55" s="4623"/>
      <c r="AH55" s="4623"/>
      <c r="AI55" s="4623"/>
      <c r="AJ55" s="4623"/>
      <c r="AK55" s="4623"/>
      <c r="AL55" s="4623"/>
      <c r="AM55" s="4623"/>
      <c r="AN55" s="4623"/>
      <c r="AO55" s="4623"/>
      <c r="AP55" s="4623"/>
      <c r="AQ55" s="4623"/>
      <c r="AR55" s="4623"/>
      <c r="AS55" s="4623"/>
      <c r="AT55" s="4623"/>
      <c r="AU55" s="4623"/>
      <c r="AV55" s="4623"/>
      <c r="AW55" s="4623"/>
      <c r="AX55" s="4623"/>
      <c r="AY55" s="4623"/>
      <c r="AZ55" s="4623"/>
      <c r="BA55" s="4623"/>
      <c r="BB55" s="4623"/>
      <c r="BC55" s="4623"/>
      <c r="BD55" s="4623"/>
      <c r="BE55" s="4623"/>
      <c r="BF55" s="4623"/>
      <c r="BG55" s="4623"/>
      <c r="BH55" s="4623"/>
      <c r="BI55" s="4623"/>
      <c r="BJ55" s="4622"/>
      <c r="BK55" s="4622"/>
      <c r="BL55" s="4623"/>
      <c r="BM55" s="4623"/>
      <c r="BN55" s="4623"/>
      <c r="BO55" s="4623"/>
      <c r="BP55" s="4623"/>
      <c r="BQ55" s="4623"/>
      <c r="BR55" s="4623"/>
      <c r="BS55" s="4623"/>
      <c r="BT55" s="3034"/>
      <c r="BU55" s="4627"/>
      <c r="BV55" s="4631"/>
      <c r="BW55" s="2334"/>
      <c r="BX55" s="16011"/>
      <c r="BY55" s="4714"/>
      <c r="BZ55" s="4714"/>
      <c r="CA55" s="4714"/>
      <c r="CB55" s="4715"/>
      <c r="CC55" s="4715"/>
      <c r="CD55" s="4715"/>
      <c r="CE55" s="4715"/>
      <c r="CF55" s="4716"/>
      <c r="CG55" s="4716"/>
      <c r="CH55" s="4716"/>
      <c r="CI55" s="4716"/>
      <c r="CJ55" s="4716"/>
      <c r="CK55" s="4716"/>
      <c r="CL55" s="4716"/>
      <c r="CM55" s="4716"/>
      <c r="CN55" s="4716"/>
      <c r="CO55" s="4716"/>
      <c r="CP55" s="4716"/>
      <c r="CQ55" s="4716"/>
      <c r="CR55" s="4716"/>
      <c r="CS55" s="4717"/>
      <c r="CT55" s="4716"/>
      <c r="CU55" s="4716"/>
      <c r="CV55" s="4716"/>
      <c r="CW55" s="4716"/>
      <c r="CX55" s="4716"/>
      <c r="CY55" s="4716"/>
      <c r="CZ55" s="4716"/>
      <c r="DA55" s="4716"/>
      <c r="DB55" s="4716"/>
      <c r="DC55" s="4716"/>
      <c r="DD55" s="4716"/>
      <c r="DE55" s="4716"/>
      <c r="DF55" s="4716"/>
      <c r="DG55" s="4716"/>
      <c r="DH55" s="4716"/>
      <c r="DI55" s="4716"/>
      <c r="DJ55" s="4718"/>
      <c r="DK55" s="4718"/>
      <c r="DL55" s="4718"/>
      <c r="DM55" s="4718"/>
      <c r="DN55" s="4718"/>
      <c r="DO55" s="4832"/>
      <c r="DP55" s="1798"/>
      <c r="DQ55" s="3472"/>
      <c r="DR55" s="3437"/>
      <c r="DS55" s="3437"/>
      <c r="DT55" s="3437"/>
      <c r="DU55" s="3437"/>
      <c r="DV55" s="3437"/>
      <c r="DW55" s="3437"/>
      <c r="DX55" s="3437"/>
      <c r="DY55" s="3437"/>
      <c r="DZ55" s="3437"/>
      <c r="EA55" s="3437"/>
      <c r="EB55" s="3437"/>
      <c r="EC55" s="3437"/>
      <c r="ED55" s="3437"/>
      <c r="EE55" s="3437"/>
      <c r="EF55" s="3437"/>
      <c r="EG55" s="3437"/>
      <c r="EH55" s="3437"/>
      <c r="EI55" s="3437"/>
      <c r="EJ55" s="3437"/>
      <c r="EK55" s="3437"/>
      <c r="EL55" s="3437"/>
      <c r="EM55" s="3437"/>
      <c r="EN55" s="3437"/>
      <c r="EO55" s="3437"/>
      <c r="EP55" s="3437"/>
      <c r="EQ55" s="3437"/>
      <c r="ER55" s="3437"/>
      <c r="ES55" s="3437"/>
      <c r="ET55" s="3437"/>
      <c r="EU55" s="3437"/>
      <c r="EV55" s="3437"/>
      <c r="EW55" s="3437"/>
      <c r="EX55" s="3437"/>
      <c r="EY55" s="3437"/>
      <c r="EZ55" s="3437"/>
      <c r="FA55" s="3437"/>
      <c r="FB55" s="3437"/>
      <c r="FC55" s="3437"/>
      <c r="FD55" s="3437"/>
      <c r="FE55" s="3437"/>
      <c r="FF55" s="3437"/>
      <c r="FG55" s="3437"/>
      <c r="FH55" s="3437"/>
      <c r="FI55" s="3437"/>
      <c r="FJ55" s="3473"/>
    </row>
    <row r="56" spans="1:166" s="1799" customFormat="1" ht="15" customHeight="1">
      <c r="A56" s="15955"/>
      <c r="B56" s="15950"/>
      <c r="C56" s="15950"/>
      <c r="D56" s="15921" t="s">
        <v>7938</v>
      </c>
      <c r="E56" s="15930" t="s">
        <v>4965</v>
      </c>
      <c r="F56" s="15930" t="s">
        <v>682</v>
      </c>
      <c r="G56" s="15930" t="s">
        <v>542</v>
      </c>
      <c r="H56" s="15930">
        <v>1</v>
      </c>
      <c r="I56" s="15930">
        <v>1</v>
      </c>
      <c r="J56" s="15930">
        <v>1</v>
      </c>
      <c r="K56" s="15930" t="s">
        <v>744</v>
      </c>
      <c r="L56" s="2739" t="s">
        <v>86</v>
      </c>
      <c r="M56" s="2739" t="s">
        <v>740</v>
      </c>
      <c r="N56" s="2739"/>
      <c r="O56" s="2739">
        <v>60</v>
      </c>
      <c r="P56" s="2739">
        <v>62</v>
      </c>
      <c r="Q56" s="2739">
        <v>64</v>
      </c>
      <c r="R56" s="2739">
        <v>66</v>
      </c>
      <c r="S56" s="2739">
        <v>68</v>
      </c>
      <c r="T56" s="2739">
        <v>70</v>
      </c>
      <c r="U56" s="4719">
        <v>72</v>
      </c>
      <c r="V56" s="2739">
        <v>74</v>
      </c>
      <c r="W56" s="2739">
        <v>76</v>
      </c>
      <c r="X56" s="2739">
        <v>78</v>
      </c>
      <c r="Y56" s="2739">
        <v>81</v>
      </c>
      <c r="Z56" s="4618">
        <v>771</v>
      </c>
      <c r="AA56" s="2739"/>
      <c r="AB56" s="4621">
        <v>1</v>
      </c>
      <c r="AC56" s="4622" t="s">
        <v>3704</v>
      </c>
      <c r="AD56" s="4622" t="s">
        <v>3705</v>
      </c>
      <c r="AE56" s="4623"/>
      <c r="AF56" s="4623"/>
      <c r="AG56" s="4623"/>
      <c r="AH56" s="4623"/>
      <c r="AI56" s="4623"/>
      <c r="AJ56" s="4623">
        <v>1132</v>
      </c>
      <c r="AK56" s="4623">
        <v>533</v>
      </c>
      <c r="AL56" s="4623">
        <v>602</v>
      </c>
      <c r="AM56" s="4623">
        <v>820</v>
      </c>
      <c r="AN56" s="4623">
        <v>312</v>
      </c>
      <c r="AO56" s="4623">
        <v>0</v>
      </c>
      <c r="AP56" s="4623">
        <v>0</v>
      </c>
      <c r="AQ56" s="4623">
        <v>0</v>
      </c>
      <c r="AR56" s="4623">
        <v>0</v>
      </c>
      <c r="AS56" s="4623">
        <v>0</v>
      </c>
      <c r="AT56" s="4623">
        <v>314</v>
      </c>
      <c r="AU56" s="4623">
        <v>564</v>
      </c>
      <c r="AV56" s="4623">
        <v>859</v>
      </c>
      <c r="AW56" s="4623">
        <v>215</v>
      </c>
      <c r="AX56" s="4623">
        <v>58</v>
      </c>
      <c r="AY56" s="4623">
        <v>0</v>
      </c>
      <c r="AZ56" s="4623">
        <v>0</v>
      </c>
      <c r="BA56" s="4623"/>
      <c r="BB56" s="4623"/>
      <c r="BC56" s="4623"/>
      <c r="BD56" s="4623"/>
      <c r="BE56" s="4623"/>
      <c r="BF56" s="4623"/>
      <c r="BG56" s="4623"/>
      <c r="BH56" s="4623"/>
      <c r="BI56" s="4623"/>
      <c r="BJ56" s="4623"/>
      <c r="BK56" s="4623"/>
      <c r="BL56" s="4623"/>
      <c r="BM56" s="4623"/>
      <c r="BN56" s="4623"/>
      <c r="BO56" s="4623"/>
      <c r="BP56" s="4623"/>
      <c r="BQ56" s="4623"/>
      <c r="BR56" s="4623"/>
      <c r="BS56" s="4623"/>
      <c r="BT56" s="3034">
        <v>1</v>
      </c>
      <c r="BU56" s="4625">
        <v>1</v>
      </c>
      <c r="BV56" s="4625">
        <v>1</v>
      </c>
      <c r="BW56" s="2334">
        <f t="shared" ref="BW56:BW69" si="2">BV56/BU56</f>
        <v>1</v>
      </c>
      <c r="BX56" s="16011"/>
      <c r="BY56" s="4714" t="s">
        <v>8976</v>
      </c>
      <c r="BZ56" s="4714" t="s">
        <v>3705</v>
      </c>
      <c r="CA56" s="4714"/>
      <c r="CB56" s="4715"/>
      <c r="CC56" s="4715"/>
      <c r="CD56" s="4715"/>
      <c r="CE56" s="4715"/>
      <c r="CF56" s="4716">
        <v>1250</v>
      </c>
      <c r="CG56" s="4716">
        <v>750</v>
      </c>
      <c r="CH56" s="4716">
        <v>635</v>
      </c>
      <c r="CI56" s="4716">
        <v>820</v>
      </c>
      <c r="CJ56" s="4716">
        <v>312</v>
      </c>
      <c r="CK56" s="4716">
        <v>0</v>
      </c>
      <c r="CL56" s="4716">
        <v>0</v>
      </c>
      <c r="CM56" s="4716">
        <v>0</v>
      </c>
      <c r="CN56" s="4716">
        <v>0</v>
      </c>
      <c r="CO56" s="4716">
        <v>0</v>
      </c>
      <c r="CP56" s="4716">
        <v>314</v>
      </c>
      <c r="CQ56" s="4716">
        <v>564</v>
      </c>
      <c r="CR56" s="4716">
        <v>859</v>
      </c>
      <c r="CS56" s="4717">
        <v>215</v>
      </c>
      <c r="CT56" s="4716">
        <v>58</v>
      </c>
      <c r="CU56" s="4716">
        <v>0</v>
      </c>
      <c r="CV56" s="4716">
        <v>0</v>
      </c>
      <c r="CW56" s="4716">
        <v>0</v>
      </c>
      <c r="CX56" s="4716">
        <v>0</v>
      </c>
      <c r="CY56" s="4716">
        <v>0</v>
      </c>
      <c r="CZ56" s="4716">
        <v>0</v>
      </c>
      <c r="DA56" s="4716">
        <v>0</v>
      </c>
      <c r="DB56" s="4716">
        <v>0</v>
      </c>
      <c r="DC56" s="4716">
        <v>0</v>
      </c>
      <c r="DD56" s="4716">
        <v>0</v>
      </c>
      <c r="DE56" s="4716">
        <v>0</v>
      </c>
      <c r="DF56" s="4718"/>
      <c r="DG56" s="4718"/>
      <c r="DH56" s="4718"/>
      <c r="DI56" s="4718"/>
      <c r="DJ56" s="4718"/>
      <c r="DK56" s="4718"/>
      <c r="DL56" s="4718"/>
      <c r="DM56" s="4718"/>
      <c r="DN56" s="4718"/>
      <c r="DO56" s="4832"/>
      <c r="DP56" s="1798"/>
      <c r="DQ56" s="3472"/>
      <c r="DR56" s="3437"/>
      <c r="DS56" s="3437"/>
      <c r="DT56" s="3437"/>
      <c r="DU56" s="3437"/>
      <c r="DV56" s="3437"/>
      <c r="DW56" s="3437"/>
      <c r="DX56" s="3437"/>
      <c r="DY56" s="3437"/>
      <c r="DZ56" s="3437"/>
      <c r="EA56" s="3437"/>
      <c r="EB56" s="3437"/>
      <c r="EC56" s="3437"/>
      <c r="ED56" s="3437"/>
      <c r="EE56" s="3437"/>
      <c r="EF56" s="3437"/>
      <c r="EG56" s="3437"/>
      <c r="EH56" s="3437"/>
      <c r="EI56" s="3437"/>
      <c r="EJ56" s="3437"/>
      <c r="EK56" s="3437"/>
      <c r="EL56" s="3437"/>
      <c r="EM56" s="3437"/>
      <c r="EN56" s="3437"/>
      <c r="EO56" s="3437"/>
      <c r="EP56" s="3437"/>
      <c r="EQ56" s="3437"/>
      <c r="ER56" s="3437"/>
      <c r="ES56" s="3437"/>
      <c r="ET56" s="3437"/>
      <c r="EU56" s="3437"/>
      <c r="EV56" s="3437"/>
      <c r="EW56" s="3437"/>
      <c r="EX56" s="3437"/>
      <c r="EY56" s="3437"/>
      <c r="EZ56" s="3437"/>
      <c r="FA56" s="3437"/>
      <c r="FB56" s="3437"/>
      <c r="FC56" s="3437"/>
      <c r="FD56" s="3437"/>
      <c r="FE56" s="3437"/>
      <c r="FF56" s="3437"/>
      <c r="FG56" s="3437"/>
      <c r="FH56" s="3437"/>
      <c r="FI56" s="3437"/>
      <c r="FJ56" s="3473"/>
    </row>
    <row r="57" spans="1:166" s="1799" customFormat="1" ht="15" customHeight="1">
      <c r="A57" s="15955"/>
      <c r="B57" s="15950"/>
      <c r="C57" s="15950"/>
      <c r="D57" s="15921"/>
      <c r="E57" s="15930"/>
      <c r="F57" s="15930"/>
      <c r="G57" s="15930"/>
      <c r="H57" s="15930"/>
      <c r="I57" s="15930"/>
      <c r="J57" s="15930"/>
      <c r="K57" s="15930"/>
      <c r="L57" s="2739" t="s">
        <v>10063</v>
      </c>
      <c r="M57" s="2739"/>
      <c r="N57" s="2739" t="s">
        <v>144</v>
      </c>
      <c r="O57" s="2739"/>
      <c r="P57" s="2739"/>
      <c r="Q57" s="2739"/>
      <c r="R57" s="2739"/>
      <c r="S57" s="2739"/>
      <c r="T57" s="2739"/>
      <c r="U57" s="4719"/>
      <c r="V57" s="2739"/>
      <c r="W57" s="2739"/>
      <c r="X57" s="2739"/>
      <c r="Y57" s="2739"/>
      <c r="Z57" s="4618"/>
      <c r="AA57" s="2739"/>
      <c r="AB57" s="4621"/>
      <c r="AC57" s="4622"/>
      <c r="AD57" s="4622"/>
      <c r="AE57" s="4623"/>
      <c r="AF57" s="4623"/>
      <c r="AG57" s="4623"/>
      <c r="AH57" s="4623"/>
      <c r="AI57" s="4623"/>
      <c r="AJ57" s="4623"/>
      <c r="AK57" s="4623"/>
      <c r="AL57" s="4623"/>
      <c r="AM57" s="4623"/>
      <c r="AN57" s="4623"/>
      <c r="AO57" s="4623"/>
      <c r="AP57" s="4623"/>
      <c r="AQ57" s="4623"/>
      <c r="AR57" s="4623"/>
      <c r="AS57" s="4623"/>
      <c r="AT57" s="4623"/>
      <c r="AU57" s="4623"/>
      <c r="AV57" s="4623"/>
      <c r="AW57" s="4623"/>
      <c r="AX57" s="4623"/>
      <c r="AY57" s="4623"/>
      <c r="AZ57" s="4623"/>
      <c r="BA57" s="4623"/>
      <c r="BB57" s="4623"/>
      <c r="BC57" s="4623"/>
      <c r="BD57" s="4623"/>
      <c r="BE57" s="4623"/>
      <c r="BF57" s="4623"/>
      <c r="BG57" s="4623"/>
      <c r="BH57" s="4623"/>
      <c r="BI57" s="4623"/>
      <c r="BJ57" s="4623"/>
      <c r="BK57" s="4623"/>
      <c r="BL57" s="4623"/>
      <c r="BM57" s="4623"/>
      <c r="BN57" s="4623"/>
      <c r="BO57" s="4623"/>
      <c r="BP57" s="4623"/>
      <c r="BQ57" s="4623"/>
      <c r="BR57" s="4623"/>
      <c r="BS57" s="4623"/>
      <c r="BT57" s="3034"/>
      <c r="BU57" s="4625"/>
      <c r="BV57" s="4625"/>
      <c r="BW57" s="2334"/>
      <c r="BX57" s="16011"/>
      <c r="BY57" s="4714"/>
      <c r="BZ57" s="4714"/>
      <c r="CA57" s="4714"/>
      <c r="CB57" s="4715"/>
      <c r="CC57" s="4715"/>
      <c r="CD57" s="4715"/>
      <c r="CE57" s="4715"/>
      <c r="CF57" s="4716"/>
      <c r="CG57" s="4716"/>
      <c r="CH57" s="4716"/>
      <c r="CI57" s="4716"/>
      <c r="CJ57" s="4716"/>
      <c r="CK57" s="4716"/>
      <c r="CL57" s="4716"/>
      <c r="CM57" s="4716"/>
      <c r="CN57" s="4716"/>
      <c r="CO57" s="4716"/>
      <c r="CP57" s="4716"/>
      <c r="CQ57" s="4716"/>
      <c r="CR57" s="4716"/>
      <c r="CS57" s="4717"/>
      <c r="CT57" s="4716"/>
      <c r="CU57" s="4716"/>
      <c r="CV57" s="4716"/>
      <c r="CW57" s="4716"/>
      <c r="CX57" s="4716"/>
      <c r="CY57" s="4716"/>
      <c r="CZ57" s="4716"/>
      <c r="DA57" s="4716"/>
      <c r="DB57" s="4716"/>
      <c r="DC57" s="4716"/>
      <c r="DD57" s="4716"/>
      <c r="DE57" s="4716"/>
      <c r="DF57" s="4718"/>
      <c r="DG57" s="4718"/>
      <c r="DH57" s="4718"/>
      <c r="DI57" s="4718"/>
      <c r="DJ57" s="4718"/>
      <c r="DK57" s="4718"/>
      <c r="DL57" s="4718"/>
      <c r="DM57" s="4718"/>
      <c r="DN57" s="4718"/>
      <c r="DO57" s="4832"/>
      <c r="DP57" s="1798"/>
      <c r="DQ57" s="3472"/>
      <c r="DR57" s="3437"/>
      <c r="DS57" s="3437"/>
      <c r="DT57" s="3437"/>
      <c r="DU57" s="3437"/>
      <c r="DV57" s="3437"/>
      <c r="DW57" s="3437"/>
      <c r="DX57" s="3437"/>
      <c r="DY57" s="3437"/>
      <c r="DZ57" s="3437"/>
      <c r="EA57" s="3437"/>
      <c r="EB57" s="3437"/>
      <c r="EC57" s="3437"/>
      <c r="ED57" s="3437"/>
      <c r="EE57" s="3437"/>
      <c r="EF57" s="3437"/>
      <c r="EG57" s="3437"/>
      <c r="EH57" s="3437"/>
      <c r="EI57" s="3437"/>
      <c r="EJ57" s="3437"/>
      <c r="EK57" s="3437"/>
      <c r="EL57" s="3437"/>
      <c r="EM57" s="3437"/>
      <c r="EN57" s="3437"/>
      <c r="EO57" s="3437"/>
      <c r="EP57" s="3437"/>
      <c r="EQ57" s="3437"/>
      <c r="ER57" s="3437"/>
      <c r="ES57" s="3437"/>
      <c r="ET57" s="3437"/>
      <c r="EU57" s="3437"/>
      <c r="EV57" s="3437"/>
      <c r="EW57" s="3437"/>
      <c r="EX57" s="3437"/>
      <c r="EY57" s="3437"/>
      <c r="EZ57" s="3437"/>
      <c r="FA57" s="3437"/>
      <c r="FB57" s="3437"/>
      <c r="FC57" s="3437"/>
      <c r="FD57" s="3437"/>
      <c r="FE57" s="3437"/>
      <c r="FF57" s="3437"/>
      <c r="FG57" s="3437"/>
      <c r="FH57" s="3437"/>
      <c r="FI57" s="3437"/>
      <c r="FJ57" s="3473"/>
    </row>
    <row r="58" spans="1:166" s="1799" customFormat="1" ht="15" customHeight="1">
      <c r="A58" s="15955"/>
      <c r="B58" s="15950"/>
      <c r="C58" s="15950"/>
      <c r="D58" s="15921" t="s">
        <v>7939</v>
      </c>
      <c r="E58" s="15930" t="s">
        <v>4966</v>
      </c>
      <c r="F58" s="15930" t="s">
        <v>745</v>
      </c>
      <c r="G58" s="15930" t="s">
        <v>746</v>
      </c>
      <c r="H58" s="15927">
        <v>0.1</v>
      </c>
      <c r="I58" s="15927">
        <v>0.4</v>
      </c>
      <c r="J58" s="15927">
        <v>1</v>
      </c>
      <c r="K58" s="15930" t="s">
        <v>747</v>
      </c>
      <c r="L58" s="2739" t="s">
        <v>86</v>
      </c>
      <c r="M58" s="2739" t="s">
        <v>740</v>
      </c>
      <c r="N58" s="2739"/>
      <c r="O58" s="2739">
        <v>50</v>
      </c>
      <c r="P58" s="2739">
        <v>52</v>
      </c>
      <c r="Q58" s="2739">
        <v>53</v>
      </c>
      <c r="R58" s="2739">
        <v>55</v>
      </c>
      <c r="S58" s="2739">
        <v>56</v>
      </c>
      <c r="T58" s="2739">
        <v>58</v>
      </c>
      <c r="U58" s="4719">
        <v>60</v>
      </c>
      <c r="V58" s="2739">
        <v>61</v>
      </c>
      <c r="W58" s="2739">
        <v>63</v>
      </c>
      <c r="X58" s="2739">
        <v>65</v>
      </c>
      <c r="Y58" s="2739">
        <v>67</v>
      </c>
      <c r="Z58" s="4618">
        <v>640</v>
      </c>
      <c r="AA58" s="2739"/>
      <c r="AB58" s="4632">
        <f>202/369</f>
        <v>0.54742547425474253</v>
      </c>
      <c r="AC58" s="4622" t="s">
        <v>3706</v>
      </c>
      <c r="AD58" s="4623"/>
      <c r="AE58" s="4623"/>
      <c r="AF58" s="4633">
        <v>29774953.90909091</v>
      </c>
      <c r="AG58" s="4633">
        <v>24768390.272727273</v>
      </c>
      <c r="AH58" s="4633">
        <v>5006563.6363636367</v>
      </c>
      <c r="AI58" s="4623"/>
      <c r="AJ58" s="4625">
        <v>82</v>
      </c>
      <c r="AK58" s="4733">
        <v>28</v>
      </c>
      <c r="AL58" s="4733">
        <v>54</v>
      </c>
      <c r="AM58" s="4733">
        <v>55</v>
      </c>
      <c r="AN58" s="4733">
        <v>27</v>
      </c>
      <c r="AO58" s="4733">
        <v>0</v>
      </c>
      <c r="AP58" s="4733">
        <v>0</v>
      </c>
      <c r="AQ58" s="4733">
        <v>1</v>
      </c>
      <c r="AR58" s="4733">
        <v>4</v>
      </c>
      <c r="AS58" s="4733">
        <v>10</v>
      </c>
      <c r="AT58" s="4733">
        <v>19</v>
      </c>
      <c r="AU58" s="4733">
        <v>48</v>
      </c>
      <c r="AV58" s="4733">
        <v>0</v>
      </c>
      <c r="AW58" s="4733">
        <v>82</v>
      </c>
      <c r="AX58" s="4733">
        <v>0</v>
      </c>
      <c r="AY58" s="4733">
        <v>0</v>
      </c>
      <c r="AZ58" s="4733">
        <v>0</v>
      </c>
      <c r="BA58" s="4733">
        <v>0</v>
      </c>
      <c r="BB58" s="4733">
        <v>0</v>
      </c>
      <c r="BC58" s="4733">
        <v>0</v>
      </c>
      <c r="BD58" s="4733">
        <v>82</v>
      </c>
      <c r="BE58" s="4733">
        <v>0</v>
      </c>
      <c r="BF58" s="4733">
        <v>0</v>
      </c>
      <c r="BG58" s="4733">
        <v>0</v>
      </c>
      <c r="BH58" s="4733">
        <v>0</v>
      </c>
      <c r="BI58" s="4733">
        <v>0</v>
      </c>
      <c r="BJ58" s="3437"/>
      <c r="BK58" s="3437"/>
      <c r="BL58" s="3437"/>
      <c r="BM58" s="3437"/>
      <c r="BN58" s="3437"/>
      <c r="BO58" s="3437"/>
      <c r="BP58" s="3437"/>
      <c r="BQ58" s="3437"/>
      <c r="BR58" s="3437"/>
      <c r="BS58" s="3437"/>
      <c r="BT58" s="2232">
        <f>0.536489151873767*100%</f>
        <v>0.536489151873767</v>
      </c>
      <c r="BU58" s="4624">
        <v>0.73</v>
      </c>
      <c r="BV58" s="4635">
        <v>0.73</v>
      </c>
      <c r="BW58" s="2334">
        <f t="shared" si="2"/>
        <v>1</v>
      </c>
      <c r="BX58" s="16011"/>
      <c r="BY58" s="4622" t="s">
        <v>9886</v>
      </c>
      <c r="BZ58" s="4622" t="s">
        <v>8977</v>
      </c>
      <c r="CA58" s="4623"/>
      <c r="CB58" s="4727">
        <f>CC58+CD58+CE58</f>
        <v>26036884.345454544</v>
      </c>
      <c r="CC58" s="4734">
        <v>20965938.890909091</v>
      </c>
      <c r="CD58" s="4727">
        <v>5070945.4545454551</v>
      </c>
      <c r="CE58" s="4728">
        <v>0</v>
      </c>
      <c r="CF58" s="4728">
        <v>70</v>
      </c>
      <c r="CG58" s="4716"/>
      <c r="CH58" s="4716"/>
      <c r="CI58" s="4716"/>
      <c r="CJ58" s="4716"/>
      <c r="CK58" s="4716"/>
      <c r="CL58" s="4716"/>
      <c r="CM58" s="4716"/>
      <c r="CN58" s="4716"/>
      <c r="CO58" s="4716"/>
      <c r="CP58" s="4716"/>
      <c r="CQ58" s="4716"/>
      <c r="CR58" s="4716"/>
      <c r="CS58" s="4717">
        <v>70</v>
      </c>
      <c r="CT58" s="4716"/>
      <c r="CU58" s="4716"/>
      <c r="CV58" s="4716"/>
      <c r="CW58" s="4716"/>
      <c r="CX58" s="4716"/>
      <c r="CY58" s="4716"/>
      <c r="CZ58" s="4716"/>
      <c r="DA58" s="4716"/>
      <c r="DB58" s="4716"/>
      <c r="DC58" s="4716"/>
      <c r="DD58" s="4716"/>
      <c r="DE58" s="4716"/>
      <c r="DF58" s="4716"/>
      <c r="DG58" s="4716"/>
      <c r="DH58" s="4716"/>
      <c r="DI58" s="4716"/>
      <c r="DJ58" s="4716"/>
      <c r="DK58" s="4716"/>
      <c r="DL58" s="4716"/>
      <c r="DM58" s="4716"/>
      <c r="DN58" s="4716"/>
      <c r="DO58" s="4833"/>
      <c r="DP58" s="1798"/>
      <c r="DQ58" s="3472"/>
      <c r="DR58" s="3437"/>
      <c r="DS58" s="3437"/>
      <c r="DT58" s="3437"/>
      <c r="DU58" s="3437"/>
      <c r="DV58" s="3437"/>
      <c r="DW58" s="3437"/>
      <c r="DX58" s="3437"/>
      <c r="DY58" s="3437"/>
      <c r="DZ58" s="3437"/>
      <c r="EA58" s="3437"/>
      <c r="EB58" s="3437"/>
      <c r="EC58" s="3437"/>
      <c r="ED58" s="3437"/>
      <c r="EE58" s="3437"/>
      <c r="EF58" s="3437"/>
      <c r="EG58" s="3437"/>
      <c r="EH58" s="3437"/>
      <c r="EI58" s="3437"/>
      <c r="EJ58" s="3437"/>
      <c r="EK58" s="3437"/>
      <c r="EL58" s="3437"/>
      <c r="EM58" s="3437"/>
      <c r="EN58" s="3437"/>
      <c r="EO58" s="3437"/>
      <c r="EP58" s="3437"/>
      <c r="EQ58" s="3437"/>
      <c r="ER58" s="3437"/>
      <c r="ES58" s="3437"/>
      <c r="ET58" s="3437"/>
      <c r="EU58" s="3437"/>
      <c r="EV58" s="3437"/>
      <c r="EW58" s="3437"/>
      <c r="EX58" s="3437"/>
      <c r="EY58" s="3437"/>
      <c r="EZ58" s="3437"/>
      <c r="FA58" s="3437"/>
      <c r="FB58" s="3437"/>
      <c r="FC58" s="3437"/>
      <c r="FD58" s="3437"/>
      <c r="FE58" s="3437"/>
      <c r="FF58" s="3437"/>
      <c r="FG58" s="3437"/>
      <c r="FH58" s="3437"/>
      <c r="FI58" s="3437"/>
      <c r="FJ58" s="3473"/>
    </row>
    <row r="59" spans="1:166" s="1799" customFormat="1" ht="15" customHeight="1">
      <c r="A59" s="15955"/>
      <c r="B59" s="15950"/>
      <c r="C59" s="15950"/>
      <c r="D59" s="15921"/>
      <c r="E59" s="15930"/>
      <c r="F59" s="15930"/>
      <c r="G59" s="15930"/>
      <c r="H59" s="15927"/>
      <c r="I59" s="15927"/>
      <c r="J59" s="15927"/>
      <c r="K59" s="15930"/>
      <c r="L59" s="2739" t="s">
        <v>10063</v>
      </c>
      <c r="M59" s="2739"/>
      <c r="N59" s="2739" t="s">
        <v>144</v>
      </c>
      <c r="O59" s="2739"/>
      <c r="P59" s="2739"/>
      <c r="Q59" s="2739"/>
      <c r="R59" s="2739"/>
      <c r="S59" s="2739"/>
      <c r="T59" s="2739"/>
      <c r="U59" s="4719"/>
      <c r="V59" s="2739"/>
      <c r="W59" s="2739"/>
      <c r="X59" s="2739"/>
      <c r="Y59" s="2739"/>
      <c r="Z59" s="4618"/>
      <c r="AA59" s="2739"/>
      <c r="AB59" s="4632"/>
      <c r="AC59" s="4622"/>
      <c r="AD59" s="4623"/>
      <c r="AE59" s="4623"/>
      <c r="AF59" s="4633"/>
      <c r="AG59" s="4633"/>
      <c r="AH59" s="4633"/>
      <c r="AI59" s="4623"/>
      <c r="AJ59" s="4625"/>
      <c r="AK59" s="4733"/>
      <c r="AL59" s="4733"/>
      <c r="AM59" s="4733"/>
      <c r="AN59" s="4733"/>
      <c r="AO59" s="4733"/>
      <c r="AP59" s="4733"/>
      <c r="AQ59" s="4733"/>
      <c r="AR59" s="4733"/>
      <c r="AS59" s="4733"/>
      <c r="AT59" s="4733"/>
      <c r="AU59" s="4733"/>
      <c r="AV59" s="4733"/>
      <c r="AW59" s="4733"/>
      <c r="AX59" s="4733"/>
      <c r="AY59" s="4733"/>
      <c r="AZ59" s="4733"/>
      <c r="BA59" s="4733"/>
      <c r="BB59" s="4733"/>
      <c r="BC59" s="4733"/>
      <c r="BD59" s="4733"/>
      <c r="BE59" s="4733"/>
      <c r="BF59" s="4733"/>
      <c r="BG59" s="4733"/>
      <c r="BH59" s="4733"/>
      <c r="BI59" s="4733"/>
      <c r="BJ59" s="3437"/>
      <c r="BK59" s="3437"/>
      <c r="BL59" s="3437"/>
      <c r="BM59" s="3437"/>
      <c r="BN59" s="3437"/>
      <c r="BO59" s="3437"/>
      <c r="BP59" s="3437"/>
      <c r="BQ59" s="3437"/>
      <c r="BR59" s="3437"/>
      <c r="BS59" s="3437"/>
      <c r="BT59" s="2232"/>
      <c r="BU59" s="4624"/>
      <c r="BV59" s="4635"/>
      <c r="BW59" s="2334"/>
      <c r="BX59" s="16011"/>
      <c r="BY59" s="4622"/>
      <c r="BZ59" s="4622"/>
      <c r="CA59" s="4623"/>
      <c r="CB59" s="4727"/>
      <c r="CC59" s="4734"/>
      <c r="CD59" s="4727"/>
      <c r="CE59" s="4728"/>
      <c r="CF59" s="4728"/>
      <c r="CG59" s="4716"/>
      <c r="CH59" s="4716"/>
      <c r="CI59" s="4716"/>
      <c r="CJ59" s="4716"/>
      <c r="CK59" s="4716"/>
      <c r="CL59" s="4716"/>
      <c r="CM59" s="4716"/>
      <c r="CN59" s="4716"/>
      <c r="CO59" s="4716"/>
      <c r="CP59" s="4716"/>
      <c r="CQ59" s="4716"/>
      <c r="CR59" s="4716"/>
      <c r="CS59" s="4717"/>
      <c r="CT59" s="4716"/>
      <c r="CU59" s="4716"/>
      <c r="CV59" s="4716"/>
      <c r="CW59" s="4716"/>
      <c r="CX59" s="4716"/>
      <c r="CY59" s="4716"/>
      <c r="CZ59" s="4716"/>
      <c r="DA59" s="4716"/>
      <c r="DB59" s="4716"/>
      <c r="DC59" s="4716"/>
      <c r="DD59" s="4716"/>
      <c r="DE59" s="4716"/>
      <c r="DF59" s="4716"/>
      <c r="DG59" s="4716"/>
      <c r="DH59" s="4716"/>
      <c r="DI59" s="4716"/>
      <c r="DJ59" s="4716"/>
      <c r="DK59" s="4716"/>
      <c r="DL59" s="4716"/>
      <c r="DM59" s="4716"/>
      <c r="DN59" s="4716"/>
      <c r="DO59" s="4833"/>
      <c r="DP59" s="1798"/>
      <c r="DQ59" s="3472"/>
      <c r="DR59" s="3437"/>
      <c r="DS59" s="3437"/>
      <c r="DT59" s="3437"/>
      <c r="DU59" s="3437"/>
      <c r="DV59" s="3437"/>
      <c r="DW59" s="3437"/>
      <c r="DX59" s="3437"/>
      <c r="DY59" s="3437"/>
      <c r="DZ59" s="3437"/>
      <c r="EA59" s="3437"/>
      <c r="EB59" s="3437"/>
      <c r="EC59" s="3437"/>
      <c r="ED59" s="3437"/>
      <c r="EE59" s="3437"/>
      <c r="EF59" s="3437"/>
      <c r="EG59" s="3437"/>
      <c r="EH59" s="3437"/>
      <c r="EI59" s="3437"/>
      <c r="EJ59" s="3437"/>
      <c r="EK59" s="3437"/>
      <c r="EL59" s="3437"/>
      <c r="EM59" s="3437"/>
      <c r="EN59" s="3437"/>
      <c r="EO59" s="3437"/>
      <c r="EP59" s="3437"/>
      <c r="EQ59" s="3437"/>
      <c r="ER59" s="3437"/>
      <c r="ES59" s="3437"/>
      <c r="ET59" s="3437"/>
      <c r="EU59" s="3437"/>
      <c r="EV59" s="3437"/>
      <c r="EW59" s="3437"/>
      <c r="EX59" s="3437"/>
      <c r="EY59" s="3437"/>
      <c r="EZ59" s="3437"/>
      <c r="FA59" s="3437"/>
      <c r="FB59" s="3437"/>
      <c r="FC59" s="3437"/>
      <c r="FD59" s="3437"/>
      <c r="FE59" s="3437"/>
      <c r="FF59" s="3437"/>
      <c r="FG59" s="3437"/>
      <c r="FH59" s="3437"/>
      <c r="FI59" s="3437"/>
      <c r="FJ59" s="3473"/>
    </row>
    <row r="60" spans="1:166" s="1799" customFormat="1" ht="15" customHeight="1">
      <c r="A60" s="15955"/>
      <c r="B60" s="15950"/>
      <c r="C60" s="15950"/>
      <c r="D60" s="4619" t="s">
        <v>7940</v>
      </c>
      <c r="E60" s="2739" t="s">
        <v>4967</v>
      </c>
      <c r="F60" s="2739" t="s">
        <v>682</v>
      </c>
      <c r="G60" s="2739" t="s">
        <v>542</v>
      </c>
      <c r="H60" s="2739">
        <v>1</v>
      </c>
      <c r="I60" s="2739">
        <v>1</v>
      </c>
      <c r="J60" s="2739">
        <v>1</v>
      </c>
      <c r="K60" s="2739" t="s">
        <v>748</v>
      </c>
      <c r="L60" s="2739" t="s">
        <v>86</v>
      </c>
      <c r="M60" s="2739" t="s">
        <v>708</v>
      </c>
      <c r="N60" s="2739"/>
      <c r="O60" s="2739">
        <v>30</v>
      </c>
      <c r="P60" s="2739">
        <v>31</v>
      </c>
      <c r="Q60" s="2739">
        <v>32</v>
      </c>
      <c r="R60" s="2739">
        <v>33</v>
      </c>
      <c r="S60" s="2739">
        <v>34</v>
      </c>
      <c r="T60" s="2739">
        <v>35</v>
      </c>
      <c r="U60" s="4719">
        <v>36</v>
      </c>
      <c r="V60" s="2739">
        <v>37</v>
      </c>
      <c r="W60" s="2739">
        <v>38</v>
      </c>
      <c r="X60" s="2739">
        <v>39</v>
      </c>
      <c r="Y60" s="2739">
        <v>40</v>
      </c>
      <c r="Z60" s="4618">
        <v>385</v>
      </c>
      <c r="AA60" s="2739"/>
      <c r="AB60" s="4621">
        <v>1</v>
      </c>
      <c r="AC60" s="4622" t="s">
        <v>3707</v>
      </c>
      <c r="AD60" s="4622" t="s">
        <v>3708</v>
      </c>
      <c r="AE60" s="4623"/>
      <c r="AF60" s="4623"/>
      <c r="AG60" s="4623"/>
      <c r="AH60" s="4623"/>
      <c r="AI60" s="4623"/>
      <c r="AJ60" s="4623">
        <v>535</v>
      </c>
      <c r="AK60" s="4623">
        <v>164</v>
      </c>
      <c r="AL60" s="4623">
        <v>371</v>
      </c>
      <c r="AM60" s="4623">
        <v>414</v>
      </c>
      <c r="AN60" s="4623">
        <v>121</v>
      </c>
      <c r="AO60" s="4623">
        <v>6</v>
      </c>
      <c r="AP60" s="4623">
        <v>20</v>
      </c>
      <c r="AQ60" s="4623">
        <v>35</v>
      </c>
      <c r="AR60" s="4623">
        <v>135</v>
      </c>
      <c r="AS60" s="4623">
        <v>159</v>
      </c>
      <c r="AT60" s="4623">
        <v>113</v>
      </c>
      <c r="AU60" s="4623">
        <v>67</v>
      </c>
      <c r="AV60" s="4623">
        <v>215</v>
      </c>
      <c r="AW60" s="4623">
        <v>303</v>
      </c>
      <c r="AX60" s="4623">
        <v>7</v>
      </c>
      <c r="AY60" s="4623">
        <v>4</v>
      </c>
      <c r="AZ60" s="4623">
        <v>4</v>
      </c>
      <c r="BA60" s="4623">
        <v>0</v>
      </c>
      <c r="BB60" s="4623">
        <v>0</v>
      </c>
      <c r="BC60" s="4623">
        <v>2</v>
      </c>
      <c r="BD60" s="4623">
        <v>512</v>
      </c>
      <c r="BE60" s="4623">
        <v>20</v>
      </c>
      <c r="BF60" s="4623">
        <v>3</v>
      </c>
      <c r="BG60" s="4623">
        <v>0</v>
      </c>
      <c r="BH60" s="4623">
        <v>0</v>
      </c>
      <c r="BI60" s="4623">
        <v>0</v>
      </c>
      <c r="BJ60" s="4622" t="s">
        <v>3659</v>
      </c>
      <c r="BK60" s="4623" t="s">
        <v>1732</v>
      </c>
      <c r="BL60" s="4623" t="s">
        <v>1732</v>
      </c>
      <c r="BM60" s="4623" t="s">
        <v>1732</v>
      </c>
      <c r="BN60" s="4623" t="s">
        <v>1732</v>
      </c>
      <c r="BO60" s="4623" t="s">
        <v>1732</v>
      </c>
      <c r="BP60" s="4623" t="s">
        <v>1732</v>
      </c>
      <c r="BQ60" s="4623" t="s">
        <v>1732</v>
      </c>
      <c r="BR60" s="4623" t="s">
        <v>1732</v>
      </c>
      <c r="BS60" s="4623" t="s">
        <v>1732</v>
      </c>
      <c r="BT60" s="3034">
        <v>1</v>
      </c>
      <c r="BU60" s="4625">
        <v>1</v>
      </c>
      <c r="BV60" s="4625">
        <v>1</v>
      </c>
      <c r="BW60" s="2334">
        <f t="shared" si="2"/>
        <v>1</v>
      </c>
      <c r="BX60" s="16011"/>
      <c r="BY60" s="4714" t="s">
        <v>3707</v>
      </c>
      <c r="BZ60" s="4714" t="s">
        <v>3708</v>
      </c>
      <c r="CA60" s="4714" t="s">
        <v>8978</v>
      </c>
      <c r="CB60" s="4715"/>
      <c r="CC60" s="4715"/>
      <c r="CD60" s="4715"/>
      <c r="CE60" s="4715"/>
      <c r="CF60" s="4716"/>
      <c r="CG60" s="4716"/>
      <c r="CH60" s="4716"/>
      <c r="CI60" s="4716"/>
      <c r="CJ60" s="4716"/>
      <c r="CK60" s="4716"/>
      <c r="CL60" s="4716"/>
      <c r="CM60" s="4716"/>
      <c r="CN60" s="4716"/>
      <c r="CO60" s="4716"/>
      <c r="CP60" s="4716"/>
      <c r="CQ60" s="4716"/>
      <c r="CR60" s="4716"/>
      <c r="CS60" s="4717"/>
      <c r="CT60" s="4716"/>
      <c r="CU60" s="4716"/>
      <c r="CV60" s="4716"/>
      <c r="CW60" s="4716"/>
      <c r="CX60" s="4716"/>
      <c r="CY60" s="4716"/>
      <c r="CZ60" s="4716"/>
      <c r="DA60" s="4716"/>
      <c r="DB60" s="4716"/>
      <c r="DC60" s="4716"/>
      <c r="DD60" s="4716"/>
      <c r="DE60" s="4716"/>
      <c r="DF60" s="4716"/>
      <c r="DG60" s="4718"/>
      <c r="DH60" s="4718"/>
      <c r="DI60" s="4718"/>
      <c r="DJ60" s="4718"/>
      <c r="DK60" s="4718"/>
      <c r="DL60" s="4718"/>
      <c r="DM60" s="4718"/>
      <c r="DN60" s="4718"/>
      <c r="DO60" s="4832"/>
      <c r="DP60" s="1798"/>
      <c r="DQ60" s="3472"/>
      <c r="DR60" s="3437"/>
      <c r="DS60" s="3437"/>
      <c r="DT60" s="3437"/>
      <c r="DU60" s="3437"/>
      <c r="DV60" s="3437"/>
      <c r="DW60" s="3437"/>
      <c r="DX60" s="3437"/>
      <c r="DY60" s="3437"/>
      <c r="DZ60" s="3437"/>
      <c r="EA60" s="3437"/>
      <c r="EB60" s="3437"/>
      <c r="EC60" s="3437"/>
      <c r="ED60" s="3437"/>
      <c r="EE60" s="3437"/>
      <c r="EF60" s="3437"/>
      <c r="EG60" s="3437"/>
      <c r="EH60" s="3437"/>
      <c r="EI60" s="3437"/>
      <c r="EJ60" s="3437"/>
      <c r="EK60" s="3437"/>
      <c r="EL60" s="3437"/>
      <c r="EM60" s="3437"/>
      <c r="EN60" s="3437"/>
      <c r="EO60" s="3437"/>
      <c r="EP60" s="3437"/>
      <c r="EQ60" s="3437"/>
      <c r="ER60" s="3437"/>
      <c r="ES60" s="3437"/>
      <c r="ET60" s="3437"/>
      <c r="EU60" s="3437"/>
      <c r="EV60" s="3437"/>
      <c r="EW60" s="3437"/>
      <c r="EX60" s="3437"/>
      <c r="EY60" s="3437"/>
      <c r="EZ60" s="3437"/>
      <c r="FA60" s="3437"/>
      <c r="FB60" s="3437"/>
      <c r="FC60" s="3437"/>
      <c r="FD60" s="3437"/>
      <c r="FE60" s="3437"/>
      <c r="FF60" s="3437"/>
      <c r="FG60" s="3437"/>
      <c r="FH60" s="3437"/>
      <c r="FI60" s="3437"/>
      <c r="FJ60" s="3473"/>
    </row>
    <row r="61" spans="1:166" s="1799" customFormat="1" ht="15" customHeight="1">
      <c r="A61" s="15955"/>
      <c r="B61" s="15950"/>
      <c r="C61" s="15950"/>
      <c r="D61" s="15921" t="s">
        <v>7941</v>
      </c>
      <c r="E61" s="15923" t="s">
        <v>4968</v>
      </c>
      <c r="F61" s="15923" t="s">
        <v>749</v>
      </c>
      <c r="G61" s="15925">
        <v>0</v>
      </c>
      <c r="H61" s="15930">
        <v>1</v>
      </c>
      <c r="I61" s="15930">
        <v>1</v>
      </c>
      <c r="J61" s="15930">
        <v>1</v>
      </c>
      <c r="K61" s="15930" t="s">
        <v>750</v>
      </c>
      <c r="L61" s="2739" t="s">
        <v>86</v>
      </c>
      <c r="M61" s="2739" t="s">
        <v>740</v>
      </c>
      <c r="N61" s="2739"/>
      <c r="O61" s="2739">
        <v>25</v>
      </c>
      <c r="P61" s="2739">
        <v>26</v>
      </c>
      <c r="Q61" s="2739">
        <v>27</v>
      </c>
      <c r="R61" s="2739">
        <v>27</v>
      </c>
      <c r="S61" s="2739">
        <v>28</v>
      </c>
      <c r="T61" s="2739">
        <v>29</v>
      </c>
      <c r="U61" s="4719">
        <v>30</v>
      </c>
      <c r="V61" s="2739">
        <v>31</v>
      </c>
      <c r="W61" s="2739">
        <v>32</v>
      </c>
      <c r="X61" s="2739">
        <v>33</v>
      </c>
      <c r="Y61" s="2739">
        <v>34</v>
      </c>
      <c r="Z61" s="4618">
        <v>322</v>
      </c>
      <c r="AA61" s="2739"/>
      <c r="AB61" s="4621">
        <v>1</v>
      </c>
      <c r="AC61" s="4622" t="s">
        <v>3709</v>
      </c>
      <c r="AD61" s="4622" t="s">
        <v>3710</v>
      </c>
      <c r="AE61" s="4623"/>
      <c r="AF61" s="4633">
        <v>76014238.859090909</v>
      </c>
      <c r="AG61" s="4633">
        <v>40060875.222727269</v>
      </c>
      <c r="AH61" s="4633">
        <v>35953363.636363633</v>
      </c>
      <c r="AI61" s="4623"/>
      <c r="AJ61" s="4625">
        <v>1054</v>
      </c>
      <c r="AK61" s="4623">
        <v>543</v>
      </c>
      <c r="AL61" s="4623">
        <v>511</v>
      </c>
      <c r="AM61" s="4623">
        <v>912</v>
      </c>
      <c r="AN61" s="4623">
        <v>142</v>
      </c>
      <c r="AO61" s="4623">
        <v>14</v>
      </c>
      <c r="AP61" s="4623">
        <v>31</v>
      </c>
      <c r="AQ61" s="4623">
        <v>38</v>
      </c>
      <c r="AR61" s="4623">
        <v>226</v>
      </c>
      <c r="AS61" s="4623">
        <v>242</v>
      </c>
      <c r="AT61" s="4623">
        <v>274</v>
      </c>
      <c r="AU61" s="4623">
        <v>229</v>
      </c>
      <c r="AV61" s="4623">
        <v>83</v>
      </c>
      <c r="AW61" s="4623">
        <v>971</v>
      </c>
      <c r="AX61" s="4623">
        <v>0</v>
      </c>
      <c r="AY61" s="4623">
        <v>0</v>
      </c>
      <c r="AZ61" s="4623">
        <v>0</v>
      </c>
      <c r="BA61" s="4623">
        <v>0</v>
      </c>
      <c r="BB61" s="4623">
        <v>0</v>
      </c>
      <c r="BC61" s="4623">
        <v>0</v>
      </c>
      <c r="BD61" s="4623"/>
      <c r="BE61" s="4623">
        <v>19</v>
      </c>
      <c r="BF61" s="4623">
        <v>21</v>
      </c>
      <c r="BG61" s="4623">
        <v>1014</v>
      </c>
      <c r="BH61" s="4623">
        <v>0</v>
      </c>
      <c r="BI61" s="4623">
        <v>0</v>
      </c>
      <c r="BJ61" s="3437"/>
      <c r="BK61" s="3437"/>
      <c r="BL61" s="3437"/>
      <c r="BM61" s="3437"/>
      <c r="BN61" s="3437"/>
      <c r="BO61" s="3437"/>
      <c r="BP61" s="3437"/>
      <c r="BQ61" s="3437"/>
      <c r="BR61" s="3437"/>
      <c r="BS61" s="3437"/>
      <c r="BT61" s="4625">
        <v>1</v>
      </c>
      <c r="BU61" s="4625">
        <v>1</v>
      </c>
      <c r="BV61" s="4625">
        <v>1</v>
      </c>
      <c r="BW61" s="2334">
        <f t="shared" si="2"/>
        <v>1</v>
      </c>
      <c r="BX61" s="16011"/>
      <c r="BY61" s="4622" t="s">
        <v>9887</v>
      </c>
      <c r="BZ61" s="4622" t="s">
        <v>8979</v>
      </c>
      <c r="CA61" s="4623"/>
      <c r="CB61" s="4726">
        <f>CC61+CD61+CE61</f>
        <v>82218096.545454547</v>
      </c>
      <c r="CC61" s="4734">
        <v>43764351.090909094</v>
      </c>
      <c r="CD61" s="4727">
        <v>38453745.454545453</v>
      </c>
      <c r="CE61" s="4728">
        <v>0</v>
      </c>
      <c r="CF61" s="4728">
        <v>831</v>
      </c>
      <c r="CG61" s="4728">
        <f>831-CH61</f>
        <v>426</v>
      </c>
      <c r="CH61" s="4728">
        <v>405</v>
      </c>
      <c r="CI61" s="4728">
        <v>727</v>
      </c>
      <c r="CJ61" s="4728">
        <f>+CF61-727</f>
        <v>104</v>
      </c>
      <c r="CK61" s="4728">
        <v>25</v>
      </c>
      <c r="CL61" s="4728">
        <v>22</v>
      </c>
      <c r="CM61" s="4728">
        <v>19</v>
      </c>
      <c r="CN61" s="4728">
        <v>150</v>
      </c>
      <c r="CO61" s="4728">
        <v>179</v>
      </c>
      <c r="CP61" s="4728">
        <v>209</v>
      </c>
      <c r="CQ61" s="4728">
        <v>227</v>
      </c>
      <c r="CR61" s="4728">
        <f>831-749</f>
        <v>82</v>
      </c>
      <c r="CS61" s="4729">
        <v>749</v>
      </c>
      <c r="CT61" s="4716"/>
      <c r="CU61" s="4716"/>
      <c r="CV61" s="4716"/>
      <c r="CW61" s="4716"/>
      <c r="CX61" s="4716"/>
      <c r="CY61" s="4716"/>
      <c r="CZ61" s="4716"/>
      <c r="DA61" s="4716"/>
      <c r="DB61" s="4716"/>
      <c r="DC61" s="4716"/>
      <c r="DD61" s="4716"/>
      <c r="DE61" s="4716"/>
      <c r="DF61" s="4716"/>
      <c r="DG61" s="4716"/>
      <c r="DH61" s="4716"/>
      <c r="DI61" s="4716"/>
      <c r="DJ61" s="4716"/>
      <c r="DK61" s="4716"/>
      <c r="DL61" s="4716"/>
      <c r="DM61" s="4716"/>
      <c r="DN61" s="4716"/>
      <c r="DO61" s="4833"/>
      <c r="DP61" s="1798"/>
      <c r="DQ61" s="3472"/>
      <c r="DR61" s="3437"/>
      <c r="DS61" s="3437"/>
      <c r="DT61" s="3437"/>
      <c r="DU61" s="3437"/>
      <c r="DV61" s="3437"/>
      <c r="DW61" s="3437"/>
      <c r="DX61" s="3437"/>
      <c r="DY61" s="3437"/>
      <c r="DZ61" s="3437"/>
      <c r="EA61" s="3437"/>
      <c r="EB61" s="3437"/>
      <c r="EC61" s="3437"/>
      <c r="ED61" s="3437"/>
      <c r="EE61" s="3437"/>
      <c r="EF61" s="3437"/>
      <c r="EG61" s="3437"/>
      <c r="EH61" s="3437"/>
      <c r="EI61" s="3437"/>
      <c r="EJ61" s="3437"/>
      <c r="EK61" s="3437"/>
      <c r="EL61" s="3437"/>
      <c r="EM61" s="3437"/>
      <c r="EN61" s="3437"/>
      <c r="EO61" s="3437"/>
      <c r="EP61" s="3437"/>
      <c r="EQ61" s="3437"/>
      <c r="ER61" s="3437"/>
      <c r="ES61" s="3437"/>
      <c r="ET61" s="3437"/>
      <c r="EU61" s="3437"/>
      <c r="EV61" s="3437"/>
      <c r="EW61" s="3437"/>
      <c r="EX61" s="3437"/>
      <c r="EY61" s="3437"/>
      <c r="EZ61" s="3437"/>
      <c r="FA61" s="3437"/>
      <c r="FB61" s="3437"/>
      <c r="FC61" s="3437"/>
      <c r="FD61" s="3437"/>
      <c r="FE61" s="3437"/>
      <c r="FF61" s="3437"/>
      <c r="FG61" s="3437"/>
      <c r="FH61" s="3437"/>
      <c r="FI61" s="3437"/>
      <c r="FJ61" s="3473"/>
    </row>
    <row r="62" spans="1:166" s="1799" customFormat="1" ht="15" customHeight="1">
      <c r="A62" s="15955"/>
      <c r="B62" s="15950"/>
      <c r="C62" s="4618"/>
      <c r="D62" s="15921"/>
      <c r="E62" s="15923"/>
      <c r="F62" s="15923"/>
      <c r="G62" s="15925"/>
      <c r="H62" s="15930"/>
      <c r="I62" s="15930"/>
      <c r="J62" s="15930"/>
      <c r="K62" s="15930"/>
      <c r="L62" s="2739" t="s">
        <v>10063</v>
      </c>
      <c r="M62" s="2739"/>
      <c r="N62" s="2739" t="s">
        <v>144</v>
      </c>
      <c r="O62" s="2739"/>
      <c r="P62" s="2739"/>
      <c r="Q62" s="2739"/>
      <c r="R62" s="2739"/>
      <c r="S62" s="2739"/>
      <c r="T62" s="2739"/>
      <c r="U62" s="4719"/>
      <c r="V62" s="2739"/>
      <c r="W62" s="2739"/>
      <c r="X62" s="2739"/>
      <c r="Y62" s="2739"/>
      <c r="Z62" s="4618"/>
      <c r="AA62" s="2739"/>
      <c r="AB62" s="4621"/>
      <c r="AC62" s="4622"/>
      <c r="AD62" s="4622"/>
      <c r="AE62" s="4623"/>
      <c r="AF62" s="4633"/>
      <c r="AG62" s="4633"/>
      <c r="AH62" s="4633"/>
      <c r="AI62" s="4623"/>
      <c r="AJ62" s="4625"/>
      <c r="AK62" s="4623"/>
      <c r="AL62" s="4623"/>
      <c r="AM62" s="4623"/>
      <c r="AN62" s="4623"/>
      <c r="AO62" s="4623"/>
      <c r="AP62" s="4623"/>
      <c r="AQ62" s="4623"/>
      <c r="AR62" s="4623"/>
      <c r="AS62" s="4623"/>
      <c r="AT62" s="4623"/>
      <c r="AU62" s="4623"/>
      <c r="AV62" s="4623"/>
      <c r="AW62" s="4623"/>
      <c r="AX62" s="4623"/>
      <c r="AY62" s="4623"/>
      <c r="AZ62" s="4623"/>
      <c r="BA62" s="4623"/>
      <c r="BB62" s="4623"/>
      <c r="BC62" s="4623"/>
      <c r="BD62" s="4623"/>
      <c r="BE62" s="4623"/>
      <c r="BF62" s="4623"/>
      <c r="BG62" s="4623"/>
      <c r="BH62" s="4623"/>
      <c r="BI62" s="4623"/>
      <c r="BJ62" s="3437"/>
      <c r="BK62" s="3437"/>
      <c r="BL62" s="3437"/>
      <c r="BM62" s="3437"/>
      <c r="BN62" s="3437"/>
      <c r="BO62" s="3437"/>
      <c r="BP62" s="3437"/>
      <c r="BQ62" s="3437"/>
      <c r="BR62" s="3437"/>
      <c r="BS62" s="3437"/>
      <c r="BT62" s="4625"/>
      <c r="BU62" s="4625"/>
      <c r="BV62" s="4625"/>
      <c r="BW62" s="2334"/>
      <c r="BX62" s="16011"/>
      <c r="BY62" s="4622"/>
      <c r="BZ62" s="4622"/>
      <c r="CA62" s="4623"/>
      <c r="CB62" s="4726"/>
      <c r="CC62" s="4734"/>
      <c r="CD62" s="4727"/>
      <c r="CE62" s="4728"/>
      <c r="CF62" s="4728"/>
      <c r="CG62" s="4728"/>
      <c r="CH62" s="4728"/>
      <c r="CI62" s="4728"/>
      <c r="CJ62" s="4728"/>
      <c r="CK62" s="4728"/>
      <c r="CL62" s="4728"/>
      <c r="CM62" s="4728"/>
      <c r="CN62" s="4728"/>
      <c r="CO62" s="4728"/>
      <c r="CP62" s="4728"/>
      <c r="CQ62" s="4728"/>
      <c r="CR62" s="4728"/>
      <c r="CS62" s="4729"/>
      <c r="CT62" s="4716"/>
      <c r="CU62" s="4716"/>
      <c r="CV62" s="4716"/>
      <c r="CW62" s="4716"/>
      <c r="CX62" s="4716"/>
      <c r="CY62" s="4716"/>
      <c r="CZ62" s="4716"/>
      <c r="DA62" s="4716"/>
      <c r="DB62" s="4716"/>
      <c r="DC62" s="4716"/>
      <c r="DD62" s="4716"/>
      <c r="DE62" s="4716"/>
      <c r="DF62" s="4716"/>
      <c r="DG62" s="4716"/>
      <c r="DH62" s="4716"/>
      <c r="DI62" s="4716"/>
      <c r="DJ62" s="4716"/>
      <c r="DK62" s="4716"/>
      <c r="DL62" s="4716"/>
      <c r="DM62" s="4716"/>
      <c r="DN62" s="4716"/>
      <c r="DO62" s="4833"/>
      <c r="DP62" s="1798"/>
      <c r="DQ62" s="3472"/>
      <c r="DR62" s="3437"/>
      <c r="DS62" s="3437"/>
      <c r="DT62" s="3437"/>
      <c r="DU62" s="3437"/>
      <c r="DV62" s="3437"/>
      <c r="DW62" s="3437"/>
      <c r="DX62" s="3437"/>
      <c r="DY62" s="3437"/>
      <c r="DZ62" s="3437"/>
      <c r="EA62" s="3437"/>
      <c r="EB62" s="3437"/>
      <c r="EC62" s="3437"/>
      <c r="ED62" s="3437"/>
      <c r="EE62" s="3437"/>
      <c r="EF62" s="3437"/>
      <c r="EG62" s="3437"/>
      <c r="EH62" s="3437"/>
      <c r="EI62" s="3437"/>
      <c r="EJ62" s="3437"/>
      <c r="EK62" s="3437"/>
      <c r="EL62" s="3437"/>
      <c r="EM62" s="3437"/>
      <c r="EN62" s="3437"/>
      <c r="EO62" s="3437"/>
      <c r="EP62" s="3437"/>
      <c r="EQ62" s="3437"/>
      <c r="ER62" s="3437"/>
      <c r="ES62" s="3437"/>
      <c r="ET62" s="3437"/>
      <c r="EU62" s="3437"/>
      <c r="EV62" s="3437"/>
      <c r="EW62" s="3437"/>
      <c r="EX62" s="3437"/>
      <c r="EY62" s="3437"/>
      <c r="EZ62" s="3437"/>
      <c r="FA62" s="3437"/>
      <c r="FB62" s="3437"/>
      <c r="FC62" s="3437"/>
      <c r="FD62" s="3437"/>
      <c r="FE62" s="3437"/>
      <c r="FF62" s="3437"/>
      <c r="FG62" s="3437"/>
      <c r="FH62" s="3437"/>
      <c r="FI62" s="3437"/>
      <c r="FJ62" s="3473"/>
    </row>
    <row r="63" spans="1:166" s="1799" customFormat="1" ht="15" customHeight="1">
      <c r="A63" s="15955"/>
      <c r="B63" s="15950"/>
      <c r="C63" s="15950" t="s">
        <v>751</v>
      </c>
      <c r="D63" s="15921" t="s">
        <v>7942</v>
      </c>
      <c r="E63" s="15923" t="s">
        <v>4969</v>
      </c>
      <c r="F63" s="15923" t="s">
        <v>752</v>
      </c>
      <c r="G63" s="15925" t="s">
        <v>753</v>
      </c>
      <c r="H63" s="15927">
        <v>0.1</v>
      </c>
      <c r="I63" s="15927">
        <v>0.4</v>
      </c>
      <c r="J63" s="15927">
        <v>1</v>
      </c>
      <c r="K63" s="15927" t="s">
        <v>754</v>
      </c>
      <c r="L63" s="2739" t="s">
        <v>86</v>
      </c>
      <c r="M63" s="2739" t="s">
        <v>740</v>
      </c>
      <c r="N63" s="2739"/>
      <c r="O63" s="2739">
        <v>25</v>
      </c>
      <c r="P63" s="2739" t="s">
        <v>690</v>
      </c>
      <c r="Q63" s="2739">
        <v>27</v>
      </c>
      <c r="R63" s="2739" t="s">
        <v>690</v>
      </c>
      <c r="S63" s="2739">
        <v>28</v>
      </c>
      <c r="T63" s="2739" t="s">
        <v>690</v>
      </c>
      <c r="U63" s="4719">
        <v>30</v>
      </c>
      <c r="V63" s="2739" t="s">
        <v>690</v>
      </c>
      <c r="W63" s="2739">
        <v>32</v>
      </c>
      <c r="X63" s="2739" t="s">
        <v>690</v>
      </c>
      <c r="Y63" s="2739">
        <v>34</v>
      </c>
      <c r="Z63" s="4618">
        <v>176</v>
      </c>
      <c r="AA63" s="2739"/>
      <c r="AB63" s="4621">
        <v>1</v>
      </c>
      <c r="AC63" s="4622" t="s">
        <v>3711</v>
      </c>
      <c r="AD63" s="4622" t="s">
        <v>3712</v>
      </c>
      <c r="AE63" s="4623" t="s">
        <v>3713</v>
      </c>
      <c r="AF63" s="4623"/>
      <c r="AG63" s="4623"/>
      <c r="AH63" s="4623"/>
      <c r="AI63" s="4623"/>
      <c r="AJ63" s="4623">
        <v>535</v>
      </c>
      <c r="AK63" s="4623">
        <v>164</v>
      </c>
      <c r="AL63" s="4623">
        <v>371</v>
      </c>
      <c r="AM63" s="4623">
        <v>414</v>
      </c>
      <c r="AN63" s="4623">
        <v>121</v>
      </c>
      <c r="AO63" s="4623">
        <v>6</v>
      </c>
      <c r="AP63" s="4623">
        <v>20</v>
      </c>
      <c r="AQ63" s="4623">
        <v>35</v>
      </c>
      <c r="AR63" s="4623">
        <v>135</v>
      </c>
      <c r="AS63" s="4623">
        <v>159</v>
      </c>
      <c r="AT63" s="4623">
        <v>113</v>
      </c>
      <c r="AU63" s="4623">
        <v>67</v>
      </c>
      <c r="AV63" s="4623">
        <v>215</v>
      </c>
      <c r="AW63" s="4623">
        <v>303</v>
      </c>
      <c r="AX63" s="4623">
        <v>7</v>
      </c>
      <c r="AY63" s="4623">
        <v>4</v>
      </c>
      <c r="AZ63" s="4623">
        <v>4</v>
      </c>
      <c r="BA63" s="4623">
        <v>0</v>
      </c>
      <c r="BB63" s="4623">
        <v>0</v>
      </c>
      <c r="BC63" s="4623">
        <v>2</v>
      </c>
      <c r="BD63" s="4623">
        <v>512</v>
      </c>
      <c r="BE63" s="4623">
        <v>20</v>
      </c>
      <c r="BF63" s="4623">
        <v>3</v>
      </c>
      <c r="BG63" s="4623">
        <v>0</v>
      </c>
      <c r="BH63" s="4623">
        <v>0</v>
      </c>
      <c r="BI63" s="4623">
        <v>0</v>
      </c>
      <c r="BJ63" s="4622" t="s">
        <v>3659</v>
      </c>
      <c r="BK63" s="4623" t="s">
        <v>1732</v>
      </c>
      <c r="BL63" s="4623" t="s">
        <v>1732</v>
      </c>
      <c r="BM63" s="4623" t="s">
        <v>1732</v>
      </c>
      <c r="BN63" s="4623" t="s">
        <v>1732</v>
      </c>
      <c r="BO63" s="4623" t="s">
        <v>1732</v>
      </c>
      <c r="BP63" s="4623" t="s">
        <v>1732</v>
      </c>
      <c r="BQ63" s="4623" t="s">
        <v>1732</v>
      </c>
      <c r="BR63" s="4623" t="s">
        <v>1732</v>
      </c>
      <c r="BS63" s="4623" t="s">
        <v>1732</v>
      </c>
      <c r="BT63" s="3034">
        <v>10</v>
      </c>
      <c r="BU63" s="4625">
        <v>10</v>
      </c>
      <c r="BV63" s="4625">
        <v>10</v>
      </c>
      <c r="BW63" s="2334">
        <f t="shared" si="2"/>
        <v>1</v>
      </c>
      <c r="BX63" s="16011"/>
      <c r="BY63" s="4714" t="s">
        <v>8980</v>
      </c>
      <c r="BZ63" s="4714" t="s">
        <v>8981</v>
      </c>
      <c r="CA63" s="4714" t="s">
        <v>3713</v>
      </c>
      <c r="CB63" s="4715"/>
      <c r="CC63" s="4715"/>
      <c r="CD63" s="4715"/>
      <c r="CE63" s="4715"/>
      <c r="CF63" s="4716"/>
      <c r="CG63" s="4716"/>
      <c r="CH63" s="4716"/>
      <c r="CI63" s="4716"/>
      <c r="CJ63" s="4716"/>
      <c r="CK63" s="4716"/>
      <c r="CL63" s="4716"/>
      <c r="CM63" s="4716"/>
      <c r="CN63" s="4716"/>
      <c r="CO63" s="4716"/>
      <c r="CP63" s="4716"/>
      <c r="CQ63" s="4716"/>
      <c r="CR63" s="4716"/>
      <c r="CS63" s="4717"/>
      <c r="CT63" s="4716"/>
      <c r="CU63" s="4716"/>
      <c r="CV63" s="4716"/>
      <c r="CW63" s="4716"/>
      <c r="CX63" s="4716"/>
      <c r="CY63" s="4716"/>
      <c r="CZ63" s="4716"/>
      <c r="DA63" s="4716"/>
      <c r="DB63" s="4716"/>
      <c r="DC63" s="4716"/>
      <c r="DD63" s="4716"/>
      <c r="DE63" s="4716"/>
      <c r="DF63" s="4716"/>
      <c r="DG63" s="4718"/>
      <c r="DH63" s="4718"/>
      <c r="DI63" s="4718"/>
      <c r="DJ63" s="4718"/>
      <c r="DK63" s="4718"/>
      <c r="DL63" s="4718"/>
      <c r="DM63" s="4718"/>
      <c r="DN63" s="4718"/>
      <c r="DO63" s="4832"/>
      <c r="DP63" s="1798"/>
      <c r="DQ63" s="3472"/>
      <c r="DR63" s="3437"/>
      <c r="DS63" s="3437"/>
      <c r="DT63" s="3437"/>
      <c r="DU63" s="3437"/>
      <c r="DV63" s="3437"/>
      <c r="DW63" s="3437"/>
      <c r="DX63" s="3437"/>
      <c r="DY63" s="3437"/>
      <c r="DZ63" s="3437"/>
      <c r="EA63" s="3437"/>
      <c r="EB63" s="3437"/>
      <c r="EC63" s="3437"/>
      <c r="ED63" s="3437"/>
      <c r="EE63" s="3437"/>
      <c r="EF63" s="3437"/>
      <c r="EG63" s="3437"/>
      <c r="EH63" s="3437"/>
      <c r="EI63" s="3437"/>
      <c r="EJ63" s="3437"/>
      <c r="EK63" s="3437"/>
      <c r="EL63" s="3437"/>
      <c r="EM63" s="3437"/>
      <c r="EN63" s="3437"/>
      <c r="EO63" s="3437"/>
      <c r="EP63" s="3437"/>
      <c r="EQ63" s="3437"/>
      <c r="ER63" s="3437"/>
      <c r="ES63" s="3437"/>
      <c r="ET63" s="3437"/>
      <c r="EU63" s="3437"/>
      <c r="EV63" s="3437"/>
      <c r="EW63" s="3437"/>
      <c r="EX63" s="3437"/>
      <c r="EY63" s="3437"/>
      <c r="EZ63" s="3437"/>
      <c r="FA63" s="3437"/>
      <c r="FB63" s="3437"/>
      <c r="FC63" s="3437"/>
      <c r="FD63" s="3437"/>
      <c r="FE63" s="3437"/>
      <c r="FF63" s="3437"/>
      <c r="FG63" s="3437"/>
      <c r="FH63" s="3437"/>
      <c r="FI63" s="3437"/>
      <c r="FJ63" s="3473"/>
    </row>
    <row r="64" spans="1:166" s="1799" customFormat="1" ht="15" customHeight="1">
      <c r="A64" s="15955"/>
      <c r="B64" s="15950"/>
      <c r="C64" s="15950"/>
      <c r="D64" s="15921"/>
      <c r="E64" s="15923"/>
      <c r="F64" s="15923"/>
      <c r="G64" s="15925"/>
      <c r="H64" s="15927"/>
      <c r="I64" s="15927"/>
      <c r="J64" s="15927"/>
      <c r="K64" s="15927"/>
      <c r="L64" s="2739" t="s">
        <v>10063</v>
      </c>
      <c r="M64" s="2739"/>
      <c r="N64" s="2739" t="s">
        <v>144</v>
      </c>
      <c r="O64" s="2739"/>
      <c r="P64" s="2739"/>
      <c r="Q64" s="2739"/>
      <c r="R64" s="2739"/>
      <c r="S64" s="2739"/>
      <c r="T64" s="2739"/>
      <c r="U64" s="4719"/>
      <c r="V64" s="2739"/>
      <c r="W64" s="2739"/>
      <c r="X64" s="2739"/>
      <c r="Y64" s="2739"/>
      <c r="Z64" s="4618"/>
      <c r="AA64" s="2739"/>
      <c r="AB64" s="4621"/>
      <c r="AC64" s="4622"/>
      <c r="AD64" s="4622"/>
      <c r="AE64" s="4623"/>
      <c r="AF64" s="4623"/>
      <c r="AG64" s="4623"/>
      <c r="AH64" s="4623"/>
      <c r="AI64" s="4623"/>
      <c r="AJ64" s="4623"/>
      <c r="AK64" s="4623"/>
      <c r="AL64" s="4623"/>
      <c r="AM64" s="4623"/>
      <c r="AN64" s="4623"/>
      <c r="AO64" s="4623"/>
      <c r="AP64" s="4623"/>
      <c r="AQ64" s="4623"/>
      <c r="AR64" s="4623"/>
      <c r="AS64" s="4623"/>
      <c r="AT64" s="4623"/>
      <c r="AU64" s="4623"/>
      <c r="AV64" s="4623"/>
      <c r="AW64" s="4623"/>
      <c r="AX64" s="4623"/>
      <c r="AY64" s="4623"/>
      <c r="AZ64" s="4623"/>
      <c r="BA64" s="4623"/>
      <c r="BB64" s="4623"/>
      <c r="BC64" s="4623"/>
      <c r="BD64" s="4623"/>
      <c r="BE64" s="4623"/>
      <c r="BF64" s="4623"/>
      <c r="BG64" s="4623"/>
      <c r="BH64" s="4623"/>
      <c r="BI64" s="4623"/>
      <c r="BJ64" s="4622"/>
      <c r="BK64" s="4623"/>
      <c r="BL64" s="4623"/>
      <c r="BM64" s="4623"/>
      <c r="BN64" s="4623"/>
      <c r="BO64" s="4623"/>
      <c r="BP64" s="4623"/>
      <c r="BQ64" s="4623"/>
      <c r="BR64" s="4623"/>
      <c r="BS64" s="4623"/>
      <c r="BT64" s="3034"/>
      <c r="BU64" s="4625"/>
      <c r="BV64" s="4625"/>
      <c r="BW64" s="2334"/>
      <c r="BX64" s="16011"/>
      <c r="BY64" s="4714"/>
      <c r="BZ64" s="4714"/>
      <c r="CA64" s="4714"/>
      <c r="CB64" s="4715"/>
      <c r="CC64" s="4715"/>
      <c r="CD64" s="4715"/>
      <c r="CE64" s="4715"/>
      <c r="CF64" s="4716"/>
      <c r="CG64" s="4716"/>
      <c r="CH64" s="4716"/>
      <c r="CI64" s="4716"/>
      <c r="CJ64" s="4716"/>
      <c r="CK64" s="4716"/>
      <c r="CL64" s="4716"/>
      <c r="CM64" s="4716"/>
      <c r="CN64" s="4716"/>
      <c r="CO64" s="4716"/>
      <c r="CP64" s="4716"/>
      <c r="CQ64" s="4716"/>
      <c r="CR64" s="4716"/>
      <c r="CS64" s="4717"/>
      <c r="CT64" s="4716"/>
      <c r="CU64" s="4716"/>
      <c r="CV64" s="4716"/>
      <c r="CW64" s="4716"/>
      <c r="CX64" s="4716"/>
      <c r="CY64" s="4716"/>
      <c r="CZ64" s="4716"/>
      <c r="DA64" s="4716"/>
      <c r="DB64" s="4716"/>
      <c r="DC64" s="4716"/>
      <c r="DD64" s="4716"/>
      <c r="DE64" s="4716"/>
      <c r="DF64" s="4716"/>
      <c r="DG64" s="4718"/>
      <c r="DH64" s="4718"/>
      <c r="DI64" s="4718"/>
      <c r="DJ64" s="4718"/>
      <c r="DK64" s="4718"/>
      <c r="DL64" s="4718"/>
      <c r="DM64" s="4718"/>
      <c r="DN64" s="4718"/>
      <c r="DO64" s="4832"/>
      <c r="DP64" s="1798"/>
      <c r="DQ64" s="3472"/>
      <c r="DR64" s="3437"/>
      <c r="DS64" s="3437"/>
      <c r="DT64" s="3437"/>
      <c r="DU64" s="3437"/>
      <c r="DV64" s="3437"/>
      <c r="DW64" s="3437"/>
      <c r="DX64" s="3437"/>
      <c r="DY64" s="3437"/>
      <c r="DZ64" s="3437"/>
      <c r="EA64" s="3437"/>
      <c r="EB64" s="3437"/>
      <c r="EC64" s="3437"/>
      <c r="ED64" s="3437"/>
      <c r="EE64" s="3437"/>
      <c r="EF64" s="3437"/>
      <c r="EG64" s="3437"/>
      <c r="EH64" s="3437"/>
      <c r="EI64" s="3437"/>
      <c r="EJ64" s="3437"/>
      <c r="EK64" s="3437"/>
      <c r="EL64" s="3437"/>
      <c r="EM64" s="3437"/>
      <c r="EN64" s="3437"/>
      <c r="EO64" s="3437"/>
      <c r="EP64" s="3437"/>
      <c r="EQ64" s="3437"/>
      <c r="ER64" s="3437"/>
      <c r="ES64" s="3437"/>
      <c r="ET64" s="3437"/>
      <c r="EU64" s="3437"/>
      <c r="EV64" s="3437"/>
      <c r="EW64" s="3437"/>
      <c r="EX64" s="3437"/>
      <c r="EY64" s="3437"/>
      <c r="EZ64" s="3437"/>
      <c r="FA64" s="3437"/>
      <c r="FB64" s="3437"/>
      <c r="FC64" s="3437"/>
      <c r="FD64" s="3437"/>
      <c r="FE64" s="3437"/>
      <c r="FF64" s="3437"/>
      <c r="FG64" s="3437"/>
      <c r="FH64" s="3437"/>
      <c r="FI64" s="3437"/>
      <c r="FJ64" s="3473"/>
    </row>
    <row r="65" spans="1:166" s="1799" customFormat="1" ht="15" customHeight="1">
      <c r="A65" s="15955"/>
      <c r="B65" s="15950"/>
      <c r="C65" s="15950"/>
      <c r="D65" s="15921" t="s">
        <v>7943</v>
      </c>
      <c r="E65" s="15923" t="s">
        <v>4970</v>
      </c>
      <c r="F65" s="15923" t="s">
        <v>755</v>
      </c>
      <c r="G65" s="15925" t="s">
        <v>542</v>
      </c>
      <c r="H65" s="15930">
        <v>1</v>
      </c>
      <c r="I65" s="15930">
        <v>1</v>
      </c>
      <c r="J65" s="15930">
        <v>1</v>
      </c>
      <c r="K65" s="15930" t="s">
        <v>756</v>
      </c>
      <c r="L65" s="2739" t="s">
        <v>86</v>
      </c>
      <c r="M65" s="2739" t="s">
        <v>740</v>
      </c>
      <c r="N65" s="2739"/>
      <c r="O65" s="2739">
        <v>75</v>
      </c>
      <c r="P65" s="2739">
        <v>77</v>
      </c>
      <c r="Q65" s="2739">
        <v>80</v>
      </c>
      <c r="R65" s="2739">
        <v>82</v>
      </c>
      <c r="S65" s="2739">
        <v>84</v>
      </c>
      <c r="T65" s="2739">
        <v>87</v>
      </c>
      <c r="U65" s="4719">
        <v>90</v>
      </c>
      <c r="V65" s="2739">
        <v>92</v>
      </c>
      <c r="W65" s="2739">
        <v>95</v>
      </c>
      <c r="X65" s="2739">
        <v>98</v>
      </c>
      <c r="Y65" s="2739">
        <v>101</v>
      </c>
      <c r="Z65" s="4618">
        <v>961</v>
      </c>
      <c r="AA65" s="2739"/>
      <c r="AB65" s="4621">
        <v>1</v>
      </c>
      <c r="AC65" s="4622" t="s">
        <v>3714</v>
      </c>
      <c r="AD65" s="4622" t="s">
        <v>3683</v>
      </c>
      <c r="AE65" s="4623" t="s">
        <v>3715</v>
      </c>
      <c r="AF65" s="4623"/>
      <c r="AG65" s="4623"/>
      <c r="AH65" s="4623"/>
      <c r="AI65" s="4623"/>
      <c r="AJ65" s="4623"/>
      <c r="AK65" s="4623"/>
      <c r="AL65" s="4623"/>
      <c r="AM65" s="4623"/>
      <c r="AN65" s="4623"/>
      <c r="AO65" s="4623"/>
      <c r="AP65" s="4623"/>
      <c r="AQ65" s="4623"/>
      <c r="AR65" s="4623"/>
      <c r="AS65" s="4623"/>
      <c r="AT65" s="4623"/>
      <c r="AU65" s="4623"/>
      <c r="AV65" s="4623"/>
      <c r="AW65" s="4623"/>
      <c r="AX65" s="4623"/>
      <c r="AY65" s="4623"/>
      <c r="AZ65" s="4623"/>
      <c r="BA65" s="4623"/>
      <c r="BB65" s="4623"/>
      <c r="BC65" s="4623"/>
      <c r="BD65" s="4623"/>
      <c r="BE65" s="4623"/>
      <c r="BF65" s="4623"/>
      <c r="BG65" s="4623"/>
      <c r="BH65" s="4623"/>
      <c r="BI65" s="4623"/>
      <c r="BJ65" s="4623"/>
      <c r="BK65" s="4623"/>
      <c r="BL65" s="4623"/>
      <c r="BM65" s="4623"/>
      <c r="BN65" s="4623"/>
      <c r="BO65" s="4623"/>
      <c r="BP65" s="4623"/>
      <c r="BQ65" s="4623"/>
      <c r="BR65" s="4623"/>
      <c r="BS65" s="4623"/>
      <c r="BT65" s="3034">
        <v>1</v>
      </c>
      <c r="BU65" s="4625">
        <v>1</v>
      </c>
      <c r="BV65" s="4625">
        <v>1</v>
      </c>
      <c r="BW65" s="2334">
        <f t="shared" si="2"/>
        <v>1</v>
      </c>
      <c r="BX65" s="16011"/>
      <c r="BY65" s="4714" t="s">
        <v>8982</v>
      </c>
      <c r="BZ65" s="4714" t="s">
        <v>8983</v>
      </c>
      <c r="CA65" s="4714" t="s">
        <v>8984</v>
      </c>
      <c r="CB65" s="4715">
        <v>200000000</v>
      </c>
      <c r="CC65" s="4715"/>
      <c r="CD65" s="4715">
        <v>200000000</v>
      </c>
      <c r="CE65" s="4715"/>
      <c r="CF65" s="4716">
        <v>219</v>
      </c>
      <c r="CG65" s="4716">
        <v>130</v>
      </c>
      <c r="CH65" s="4716">
        <v>89</v>
      </c>
      <c r="CI65" s="4716">
        <v>170</v>
      </c>
      <c r="CJ65" s="4716">
        <v>49</v>
      </c>
      <c r="CK65" s="4716">
        <v>16</v>
      </c>
      <c r="CL65" s="4716">
        <v>37</v>
      </c>
      <c r="CM65" s="4716">
        <v>50</v>
      </c>
      <c r="CN65" s="4716">
        <v>116</v>
      </c>
      <c r="CO65" s="4716">
        <v>0</v>
      </c>
      <c r="CP65" s="4716">
        <v>0</v>
      </c>
      <c r="CQ65" s="4716">
        <v>0</v>
      </c>
      <c r="CR65" s="4716"/>
      <c r="CS65" s="4717">
        <v>219</v>
      </c>
      <c r="CT65" s="4716"/>
      <c r="CU65" s="4716"/>
      <c r="CV65" s="4716"/>
      <c r="CW65" s="4716"/>
      <c r="CX65" s="4716"/>
      <c r="CY65" s="4716"/>
      <c r="CZ65" s="4716">
        <v>200</v>
      </c>
      <c r="DA65" s="4716">
        <v>16</v>
      </c>
      <c r="DB65" s="4716">
        <v>3</v>
      </c>
      <c r="DC65" s="4716"/>
      <c r="DD65" s="4716"/>
      <c r="DE65" s="4716"/>
      <c r="DF65" s="4718"/>
      <c r="DG65" s="4718"/>
      <c r="DH65" s="4718"/>
      <c r="DI65" s="4718"/>
      <c r="DJ65" s="4718"/>
      <c r="DK65" s="4718"/>
      <c r="DL65" s="4718"/>
      <c r="DM65" s="4718"/>
      <c r="DN65" s="4718"/>
      <c r="DO65" s="4832"/>
      <c r="DP65" s="1798"/>
      <c r="DQ65" s="3472"/>
      <c r="DR65" s="3437"/>
      <c r="DS65" s="3437"/>
      <c r="DT65" s="3437"/>
      <c r="DU65" s="3437"/>
      <c r="DV65" s="3437"/>
      <c r="DW65" s="3437"/>
      <c r="DX65" s="3437"/>
      <c r="DY65" s="3437"/>
      <c r="DZ65" s="3437"/>
      <c r="EA65" s="3437"/>
      <c r="EB65" s="3437"/>
      <c r="EC65" s="3437"/>
      <c r="ED65" s="3437"/>
      <c r="EE65" s="3437"/>
      <c r="EF65" s="3437"/>
      <c r="EG65" s="3437"/>
      <c r="EH65" s="3437"/>
      <c r="EI65" s="3437"/>
      <c r="EJ65" s="3437"/>
      <c r="EK65" s="3437"/>
      <c r="EL65" s="3437"/>
      <c r="EM65" s="3437"/>
      <c r="EN65" s="3437"/>
      <c r="EO65" s="3437"/>
      <c r="EP65" s="3437"/>
      <c r="EQ65" s="3437"/>
      <c r="ER65" s="3437"/>
      <c r="ES65" s="3437"/>
      <c r="ET65" s="3437"/>
      <c r="EU65" s="3437"/>
      <c r="EV65" s="3437"/>
      <c r="EW65" s="3437"/>
      <c r="EX65" s="3437"/>
      <c r="EY65" s="3437"/>
      <c r="EZ65" s="3437"/>
      <c r="FA65" s="3437"/>
      <c r="FB65" s="3437"/>
      <c r="FC65" s="3437"/>
      <c r="FD65" s="3437"/>
      <c r="FE65" s="3437"/>
      <c r="FF65" s="3437"/>
      <c r="FG65" s="3437"/>
      <c r="FH65" s="3437"/>
      <c r="FI65" s="3437"/>
      <c r="FJ65" s="3473"/>
    </row>
    <row r="66" spans="1:166" s="1799" customFormat="1" ht="15" customHeight="1">
      <c r="A66" s="15955"/>
      <c r="B66" s="15950"/>
      <c r="C66" s="15950"/>
      <c r="D66" s="15921"/>
      <c r="E66" s="15923"/>
      <c r="F66" s="15923"/>
      <c r="G66" s="15925"/>
      <c r="H66" s="15930"/>
      <c r="I66" s="15930"/>
      <c r="J66" s="15930"/>
      <c r="K66" s="15930"/>
      <c r="L66" s="2739" t="s">
        <v>10063</v>
      </c>
      <c r="M66" s="2739"/>
      <c r="N66" s="2739" t="s">
        <v>144</v>
      </c>
      <c r="O66" s="2739"/>
      <c r="P66" s="2739"/>
      <c r="Q66" s="2739"/>
      <c r="R66" s="2739"/>
      <c r="S66" s="2739"/>
      <c r="T66" s="2739"/>
      <c r="U66" s="4719"/>
      <c r="V66" s="2739"/>
      <c r="W66" s="2739"/>
      <c r="X66" s="2739"/>
      <c r="Y66" s="2739"/>
      <c r="Z66" s="4618"/>
      <c r="AA66" s="2739"/>
      <c r="AB66" s="4621"/>
      <c r="AC66" s="4622"/>
      <c r="AD66" s="4622"/>
      <c r="AE66" s="4623"/>
      <c r="AF66" s="4623"/>
      <c r="AG66" s="4623"/>
      <c r="AH66" s="4623"/>
      <c r="AI66" s="4623"/>
      <c r="AJ66" s="4623"/>
      <c r="AK66" s="4623"/>
      <c r="AL66" s="4623"/>
      <c r="AM66" s="4623"/>
      <c r="AN66" s="4623"/>
      <c r="AO66" s="4623"/>
      <c r="AP66" s="4623"/>
      <c r="AQ66" s="4623"/>
      <c r="AR66" s="4623"/>
      <c r="AS66" s="4623"/>
      <c r="AT66" s="4623"/>
      <c r="AU66" s="4623"/>
      <c r="AV66" s="4623"/>
      <c r="AW66" s="4623"/>
      <c r="AX66" s="4623"/>
      <c r="AY66" s="4623"/>
      <c r="AZ66" s="4623"/>
      <c r="BA66" s="4623"/>
      <c r="BB66" s="4623"/>
      <c r="BC66" s="4623"/>
      <c r="BD66" s="4623"/>
      <c r="BE66" s="4623"/>
      <c r="BF66" s="4623"/>
      <c r="BG66" s="4623"/>
      <c r="BH66" s="4623"/>
      <c r="BI66" s="4623"/>
      <c r="BJ66" s="4623"/>
      <c r="BK66" s="4623"/>
      <c r="BL66" s="4623"/>
      <c r="BM66" s="4623"/>
      <c r="BN66" s="4623"/>
      <c r="BO66" s="4623"/>
      <c r="BP66" s="4623"/>
      <c r="BQ66" s="4623"/>
      <c r="BR66" s="4623"/>
      <c r="BS66" s="4623"/>
      <c r="BT66" s="3034"/>
      <c r="BU66" s="4625"/>
      <c r="BV66" s="4625"/>
      <c r="BW66" s="2334"/>
      <c r="BX66" s="16011"/>
      <c r="BY66" s="4714"/>
      <c r="BZ66" s="4714"/>
      <c r="CA66" s="4714"/>
      <c r="CB66" s="4715"/>
      <c r="CC66" s="4715"/>
      <c r="CD66" s="4715"/>
      <c r="CE66" s="4715"/>
      <c r="CF66" s="4716"/>
      <c r="CG66" s="4716"/>
      <c r="CH66" s="4716"/>
      <c r="CI66" s="4716"/>
      <c r="CJ66" s="4716"/>
      <c r="CK66" s="4716"/>
      <c r="CL66" s="4716"/>
      <c r="CM66" s="4716"/>
      <c r="CN66" s="4716"/>
      <c r="CO66" s="4716"/>
      <c r="CP66" s="4716"/>
      <c r="CQ66" s="4716"/>
      <c r="CR66" s="4716"/>
      <c r="CS66" s="4717"/>
      <c r="CT66" s="4716"/>
      <c r="CU66" s="4716"/>
      <c r="CV66" s="4716"/>
      <c r="CW66" s="4716"/>
      <c r="CX66" s="4716"/>
      <c r="CY66" s="4716"/>
      <c r="CZ66" s="4716"/>
      <c r="DA66" s="4716"/>
      <c r="DB66" s="4716"/>
      <c r="DC66" s="4716"/>
      <c r="DD66" s="4716"/>
      <c r="DE66" s="4716"/>
      <c r="DF66" s="4718"/>
      <c r="DG66" s="4718"/>
      <c r="DH66" s="4718"/>
      <c r="DI66" s="4718"/>
      <c r="DJ66" s="4718"/>
      <c r="DK66" s="4718"/>
      <c r="DL66" s="4718"/>
      <c r="DM66" s="4718"/>
      <c r="DN66" s="4718"/>
      <c r="DO66" s="4832"/>
      <c r="DP66" s="1798"/>
      <c r="DQ66" s="3472"/>
      <c r="DR66" s="3437"/>
      <c r="DS66" s="3437"/>
      <c r="DT66" s="3437"/>
      <c r="DU66" s="3437"/>
      <c r="DV66" s="3437"/>
      <c r="DW66" s="3437"/>
      <c r="DX66" s="3437"/>
      <c r="DY66" s="3437"/>
      <c r="DZ66" s="3437"/>
      <c r="EA66" s="3437"/>
      <c r="EB66" s="3437"/>
      <c r="EC66" s="3437"/>
      <c r="ED66" s="3437"/>
      <c r="EE66" s="3437"/>
      <c r="EF66" s="3437"/>
      <c r="EG66" s="3437"/>
      <c r="EH66" s="3437"/>
      <c r="EI66" s="3437"/>
      <c r="EJ66" s="3437"/>
      <c r="EK66" s="3437"/>
      <c r="EL66" s="3437"/>
      <c r="EM66" s="3437"/>
      <c r="EN66" s="3437"/>
      <c r="EO66" s="3437"/>
      <c r="EP66" s="3437"/>
      <c r="EQ66" s="3437"/>
      <c r="ER66" s="3437"/>
      <c r="ES66" s="3437"/>
      <c r="ET66" s="3437"/>
      <c r="EU66" s="3437"/>
      <c r="EV66" s="3437"/>
      <c r="EW66" s="3437"/>
      <c r="EX66" s="3437"/>
      <c r="EY66" s="3437"/>
      <c r="EZ66" s="3437"/>
      <c r="FA66" s="3437"/>
      <c r="FB66" s="3437"/>
      <c r="FC66" s="3437"/>
      <c r="FD66" s="3437"/>
      <c r="FE66" s="3437"/>
      <c r="FF66" s="3437"/>
      <c r="FG66" s="3437"/>
      <c r="FH66" s="3437"/>
      <c r="FI66" s="3437"/>
      <c r="FJ66" s="3473"/>
    </row>
    <row r="67" spans="1:166" s="1799" customFormat="1" ht="15" customHeight="1">
      <c r="A67" s="15955"/>
      <c r="B67" s="15950"/>
      <c r="C67" s="15950"/>
      <c r="D67" s="15921" t="s">
        <v>7944</v>
      </c>
      <c r="E67" s="15923" t="s">
        <v>4971</v>
      </c>
      <c r="F67" s="15923" t="s">
        <v>757</v>
      </c>
      <c r="G67" s="15925" t="s">
        <v>753</v>
      </c>
      <c r="H67" s="15930">
        <v>1</v>
      </c>
      <c r="I67" s="15930">
        <v>1</v>
      </c>
      <c r="J67" s="15930">
        <v>1</v>
      </c>
      <c r="K67" s="15930" t="s">
        <v>758</v>
      </c>
      <c r="L67" s="2739" t="s">
        <v>86</v>
      </c>
      <c r="M67" s="2739" t="s">
        <v>740</v>
      </c>
      <c r="N67" s="2739"/>
      <c r="O67" s="2739">
        <v>80</v>
      </c>
      <c r="P67" s="2739">
        <v>82</v>
      </c>
      <c r="Q67" s="2739">
        <v>85</v>
      </c>
      <c r="R67" s="2739">
        <v>87</v>
      </c>
      <c r="S67" s="2739">
        <v>90</v>
      </c>
      <c r="T67" s="2739">
        <v>93</v>
      </c>
      <c r="U67" s="4719">
        <v>96</v>
      </c>
      <c r="V67" s="2739">
        <v>98</v>
      </c>
      <c r="W67" s="2739">
        <v>101</v>
      </c>
      <c r="X67" s="2739">
        <v>104</v>
      </c>
      <c r="Y67" s="2739">
        <v>108</v>
      </c>
      <c r="Z67" s="4618">
        <v>1024</v>
      </c>
      <c r="AA67" s="2739"/>
      <c r="AB67" s="4621">
        <v>1</v>
      </c>
      <c r="AC67" s="4622" t="s">
        <v>3716</v>
      </c>
      <c r="AD67" s="4622" t="s">
        <v>3712</v>
      </c>
      <c r="AE67" s="4623" t="s">
        <v>3713</v>
      </c>
      <c r="AF67" s="4623"/>
      <c r="AG67" s="4623"/>
      <c r="AH67" s="4623"/>
      <c r="AI67" s="4623"/>
      <c r="AJ67" s="4623">
        <v>535</v>
      </c>
      <c r="AK67" s="4623">
        <v>164</v>
      </c>
      <c r="AL67" s="4623">
        <v>371</v>
      </c>
      <c r="AM67" s="4623">
        <v>414</v>
      </c>
      <c r="AN67" s="4623">
        <v>121</v>
      </c>
      <c r="AO67" s="4623">
        <v>6</v>
      </c>
      <c r="AP67" s="4623">
        <v>20</v>
      </c>
      <c r="AQ67" s="4623">
        <v>35</v>
      </c>
      <c r="AR67" s="4623">
        <v>135</v>
      </c>
      <c r="AS67" s="4623">
        <v>159</v>
      </c>
      <c r="AT67" s="4623">
        <v>113</v>
      </c>
      <c r="AU67" s="4623">
        <v>67</v>
      </c>
      <c r="AV67" s="4623">
        <v>215</v>
      </c>
      <c r="AW67" s="4623">
        <v>303</v>
      </c>
      <c r="AX67" s="4623">
        <v>7</v>
      </c>
      <c r="AY67" s="4623">
        <v>4</v>
      </c>
      <c r="AZ67" s="4623">
        <v>4</v>
      </c>
      <c r="BA67" s="4623">
        <v>0</v>
      </c>
      <c r="BB67" s="4623">
        <v>0</v>
      </c>
      <c r="BC67" s="4623">
        <v>2</v>
      </c>
      <c r="BD67" s="4623">
        <v>512</v>
      </c>
      <c r="BE67" s="4623">
        <v>20</v>
      </c>
      <c r="BF67" s="4623">
        <v>3</v>
      </c>
      <c r="BG67" s="4623">
        <v>0</v>
      </c>
      <c r="BH67" s="4623">
        <v>0</v>
      </c>
      <c r="BI67" s="4623">
        <v>0</v>
      </c>
      <c r="BJ67" s="4622" t="s">
        <v>3659</v>
      </c>
      <c r="BK67" s="4623" t="s">
        <v>1732</v>
      </c>
      <c r="BL67" s="4623" t="s">
        <v>1732</v>
      </c>
      <c r="BM67" s="4623" t="s">
        <v>1732</v>
      </c>
      <c r="BN67" s="4623" t="s">
        <v>1732</v>
      </c>
      <c r="BO67" s="4623" t="s">
        <v>1732</v>
      </c>
      <c r="BP67" s="4623" t="s">
        <v>1732</v>
      </c>
      <c r="BQ67" s="4623" t="s">
        <v>1732</v>
      </c>
      <c r="BR67" s="4623" t="s">
        <v>1732</v>
      </c>
      <c r="BS67" s="4623" t="s">
        <v>1732</v>
      </c>
      <c r="BT67" s="3034">
        <v>1</v>
      </c>
      <c r="BU67" s="4625">
        <v>1</v>
      </c>
      <c r="BV67" s="4625">
        <v>1</v>
      </c>
      <c r="BW67" s="2334">
        <f t="shared" si="2"/>
        <v>1</v>
      </c>
      <c r="BX67" s="16011"/>
      <c r="BY67" s="4714" t="s">
        <v>8985</v>
      </c>
      <c r="BZ67" s="4714" t="s">
        <v>8981</v>
      </c>
      <c r="CA67" s="4714" t="s">
        <v>3713</v>
      </c>
      <c r="CB67" s="4715"/>
      <c r="CC67" s="4715"/>
      <c r="CD67" s="4715"/>
      <c r="CE67" s="4715"/>
      <c r="CF67" s="4716"/>
      <c r="CG67" s="4716"/>
      <c r="CH67" s="4716"/>
      <c r="CI67" s="4716"/>
      <c r="CJ67" s="4716"/>
      <c r="CK67" s="4716"/>
      <c r="CL67" s="4716"/>
      <c r="CM67" s="4716"/>
      <c r="CN67" s="4716"/>
      <c r="CO67" s="4716"/>
      <c r="CP67" s="4716"/>
      <c r="CQ67" s="4716"/>
      <c r="CR67" s="4716"/>
      <c r="CS67" s="4717"/>
      <c r="CT67" s="4716"/>
      <c r="CU67" s="4716"/>
      <c r="CV67" s="4716"/>
      <c r="CW67" s="4716"/>
      <c r="CX67" s="4716"/>
      <c r="CY67" s="4716"/>
      <c r="CZ67" s="4716"/>
      <c r="DA67" s="4716"/>
      <c r="DB67" s="4716"/>
      <c r="DC67" s="4716"/>
      <c r="DD67" s="4716"/>
      <c r="DE67" s="4716"/>
      <c r="DF67" s="4716"/>
      <c r="DG67" s="4718"/>
      <c r="DH67" s="4718"/>
      <c r="DI67" s="4718"/>
      <c r="DJ67" s="4718"/>
      <c r="DK67" s="4718"/>
      <c r="DL67" s="4718"/>
      <c r="DM67" s="4718"/>
      <c r="DN67" s="4718"/>
      <c r="DO67" s="4832"/>
      <c r="DP67" s="1798"/>
      <c r="DQ67" s="3472"/>
      <c r="DR67" s="3437"/>
      <c r="DS67" s="3437"/>
      <c r="DT67" s="3437"/>
      <c r="DU67" s="3437"/>
      <c r="DV67" s="3437"/>
      <c r="DW67" s="3437"/>
      <c r="DX67" s="3437"/>
      <c r="DY67" s="3437"/>
      <c r="DZ67" s="3437"/>
      <c r="EA67" s="3437"/>
      <c r="EB67" s="3437"/>
      <c r="EC67" s="3437"/>
      <c r="ED67" s="3437"/>
      <c r="EE67" s="3437"/>
      <c r="EF67" s="3437"/>
      <c r="EG67" s="3437"/>
      <c r="EH67" s="3437"/>
      <c r="EI67" s="3437"/>
      <c r="EJ67" s="3437"/>
      <c r="EK67" s="3437"/>
      <c r="EL67" s="3437"/>
      <c r="EM67" s="3437"/>
      <c r="EN67" s="3437"/>
      <c r="EO67" s="3437"/>
      <c r="EP67" s="3437"/>
      <c r="EQ67" s="3437"/>
      <c r="ER67" s="3437"/>
      <c r="ES67" s="3437"/>
      <c r="ET67" s="3437"/>
      <c r="EU67" s="3437"/>
      <c r="EV67" s="3437"/>
      <c r="EW67" s="3437"/>
      <c r="EX67" s="3437"/>
      <c r="EY67" s="3437"/>
      <c r="EZ67" s="3437"/>
      <c r="FA67" s="3437"/>
      <c r="FB67" s="3437"/>
      <c r="FC67" s="3437"/>
      <c r="FD67" s="3437"/>
      <c r="FE67" s="3437"/>
      <c r="FF67" s="3437"/>
      <c r="FG67" s="3437"/>
      <c r="FH67" s="3437"/>
      <c r="FI67" s="3437"/>
      <c r="FJ67" s="3473"/>
    </row>
    <row r="68" spans="1:166" s="1799" customFormat="1" ht="15" customHeight="1">
      <c r="A68" s="15955"/>
      <c r="B68" s="15950"/>
      <c r="C68" s="15950"/>
      <c r="D68" s="15921"/>
      <c r="E68" s="15923"/>
      <c r="F68" s="15923"/>
      <c r="G68" s="15925"/>
      <c r="H68" s="15930"/>
      <c r="I68" s="15930"/>
      <c r="J68" s="15930"/>
      <c r="K68" s="15930"/>
      <c r="L68" s="2739" t="s">
        <v>10063</v>
      </c>
      <c r="M68" s="2739"/>
      <c r="N68" s="2739" t="s">
        <v>144</v>
      </c>
      <c r="O68" s="2739"/>
      <c r="P68" s="2739"/>
      <c r="Q68" s="2739"/>
      <c r="R68" s="2739"/>
      <c r="S68" s="2739"/>
      <c r="T68" s="2739"/>
      <c r="U68" s="4719"/>
      <c r="V68" s="2739"/>
      <c r="W68" s="2739"/>
      <c r="X68" s="2739"/>
      <c r="Y68" s="2739"/>
      <c r="Z68" s="4618"/>
      <c r="AA68" s="2739"/>
      <c r="AB68" s="4621"/>
      <c r="AC68" s="4622"/>
      <c r="AD68" s="4622"/>
      <c r="AE68" s="4623"/>
      <c r="AF68" s="4623"/>
      <c r="AG68" s="4623"/>
      <c r="AH68" s="4623"/>
      <c r="AI68" s="4623"/>
      <c r="AJ68" s="4623"/>
      <c r="AK68" s="4623"/>
      <c r="AL68" s="4623"/>
      <c r="AM68" s="4623"/>
      <c r="AN68" s="4623"/>
      <c r="AO68" s="4623"/>
      <c r="AP68" s="4623"/>
      <c r="AQ68" s="4623"/>
      <c r="AR68" s="4623"/>
      <c r="AS68" s="4623"/>
      <c r="AT68" s="4623"/>
      <c r="AU68" s="4623"/>
      <c r="AV68" s="4623"/>
      <c r="AW68" s="4623"/>
      <c r="AX68" s="4623"/>
      <c r="AY68" s="4623"/>
      <c r="AZ68" s="4623"/>
      <c r="BA68" s="4623"/>
      <c r="BB68" s="4623"/>
      <c r="BC68" s="4623"/>
      <c r="BD68" s="4623"/>
      <c r="BE68" s="4623"/>
      <c r="BF68" s="4623"/>
      <c r="BG68" s="4623"/>
      <c r="BH68" s="4623"/>
      <c r="BI68" s="4623"/>
      <c r="BJ68" s="4622"/>
      <c r="BK68" s="4623"/>
      <c r="BL68" s="4623"/>
      <c r="BM68" s="4623"/>
      <c r="BN68" s="4623"/>
      <c r="BO68" s="4623"/>
      <c r="BP68" s="4623"/>
      <c r="BQ68" s="4623"/>
      <c r="BR68" s="4623"/>
      <c r="BS68" s="4623"/>
      <c r="BT68" s="3034"/>
      <c r="BU68" s="4625"/>
      <c r="BV68" s="4625"/>
      <c r="BW68" s="2334"/>
      <c r="BX68" s="16011"/>
      <c r="BY68" s="4714"/>
      <c r="BZ68" s="4714"/>
      <c r="CA68" s="4714"/>
      <c r="CB68" s="4715"/>
      <c r="CC68" s="4715"/>
      <c r="CD68" s="4715"/>
      <c r="CE68" s="4715"/>
      <c r="CF68" s="4716"/>
      <c r="CG68" s="4716"/>
      <c r="CH68" s="4716"/>
      <c r="CI68" s="4716"/>
      <c r="CJ68" s="4716"/>
      <c r="CK68" s="4716"/>
      <c r="CL68" s="4716"/>
      <c r="CM68" s="4716"/>
      <c r="CN68" s="4716"/>
      <c r="CO68" s="4716"/>
      <c r="CP68" s="4716"/>
      <c r="CQ68" s="4716"/>
      <c r="CR68" s="4716"/>
      <c r="CS68" s="4717"/>
      <c r="CT68" s="4716"/>
      <c r="CU68" s="4716"/>
      <c r="CV68" s="4716"/>
      <c r="CW68" s="4716"/>
      <c r="CX68" s="4716"/>
      <c r="CY68" s="4716"/>
      <c r="CZ68" s="4716"/>
      <c r="DA68" s="4716"/>
      <c r="DB68" s="4716"/>
      <c r="DC68" s="4716"/>
      <c r="DD68" s="4716"/>
      <c r="DE68" s="4716"/>
      <c r="DF68" s="4716"/>
      <c r="DG68" s="4718"/>
      <c r="DH68" s="4718"/>
      <c r="DI68" s="4718"/>
      <c r="DJ68" s="4718"/>
      <c r="DK68" s="4718"/>
      <c r="DL68" s="4718"/>
      <c r="DM68" s="4718"/>
      <c r="DN68" s="4718"/>
      <c r="DO68" s="4832"/>
      <c r="DP68" s="1798"/>
      <c r="DQ68" s="3472"/>
      <c r="DR68" s="3437"/>
      <c r="DS68" s="3437"/>
      <c r="DT68" s="3437"/>
      <c r="DU68" s="3437"/>
      <c r="DV68" s="3437"/>
      <c r="DW68" s="3437"/>
      <c r="DX68" s="3437"/>
      <c r="DY68" s="3437"/>
      <c r="DZ68" s="3437"/>
      <c r="EA68" s="3437"/>
      <c r="EB68" s="3437"/>
      <c r="EC68" s="3437"/>
      <c r="ED68" s="3437"/>
      <c r="EE68" s="3437"/>
      <c r="EF68" s="3437"/>
      <c r="EG68" s="3437"/>
      <c r="EH68" s="3437"/>
      <c r="EI68" s="3437"/>
      <c r="EJ68" s="3437"/>
      <c r="EK68" s="3437"/>
      <c r="EL68" s="3437"/>
      <c r="EM68" s="3437"/>
      <c r="EN68" s="3437"/>
      <c r="EO68" s="3437"/>
      <c r="EP68" s="3437"/>
      <c r="EQ68" s="3437"/>
      <c r="ER68" s="3437"/>
      <c r="ES68" s="3437"/>
      <c r="ET68" s="3437"/>
      <c r="EU68" s="3437"/>
      <c r="EV68" s="3437"/>
      <c r="EW68" s="3437"/>
      <c r="EX68" s="3437"/>
      <c r="EY68" s="3437"/>
      <c r="EZ68" s="3437"/>
      <c r="FA68" s="3437"/>
      <c r="FB68" s="3437"/>
      <c r="FC68" s="3437"/>
      <c r="FD68" s="3437"/>
      <c r="FE68" s="3437"/>
      <c r="FF68" s="3437"/>
      <c r="FG68" s="3437"/>
      <c r="FH68" s="3437"/>
      <c r="FI68" s="3437"/>
      <c r="FJ68" s="3473"/>
    </row>
    <row r="69" spans="1:166" s="1799" customFormat="1" ht="15" customHeight="1">
      <c r="A69" s="15955"/>
      <c r="B69" s="15950"/>
      <c r="C69" s="15950"/>
      <c r="D69" s="15921" t="s">
        <v>7945</v>
      </c>
      <c r="E69" s="15923" t="s">
        <v>4972</v>
      </c>
      <c r="F69" s="15923" t="s">
        <v>759</v>
      </c>
      <c r="G69" s="15925" t="s">
        <v>753</v>
      </c>
      <c r="H69" s="15927">
        <v>0.1</v>
      </c>
      <c r="I69" s="15927">
        <v>0.4</v>
      </c>
      <c r="J69" s="15927">
        <v>1</v>
      </c>
      <c r="K69" s="15927" t="s">
        <v>760</v>
      </c>
      <c r="L69" s="2739" t="s">
        <v>86</v>
      </c>
      <c r="M69" s="2739" t="s">
        <v>740</v>
      </c>
      <c r="N69" s="2739"/>
      <c r="O69" s="2739">
        <v>30</v>
      </c>
      <c r="P69" s="2739" t="s">
        <v>690</v>
      </c>
      <c r="Q69" s="2739">
        <v>32</v>
      </c>
      <c r="R69" s="2739" t="s">
        <v>690</v>
      </c>
      <c r="S69" s="2739">
        <v>34</v>
      </c>
      <c r="T69" s="2739" t="s">
        <v>690</v>
      </c>
      <c r="U69" s="4719">
        <v>36</v>
      </c>
      <c r="V69" s="2739" t="s">
        <v>690</v>
      </c>
      <c r="W69" s="2739">
        <v>38</v>
      </c>
      <c r="X69" s="2739" t="s">
        <v>690</v>
      </c>
      <c r="Y69" s="2739">
        <v>40</v>
      </c>
      <c r="Z69" s="4618">
        <v>210</v>
      </c>
      <c r="AA69" s="2739"/>
      <c r="AB69" s="4621">
        <v>1</v>
      </c>
      <c r="AC69" s="4622" t="s">
        <v>3717</v>
      </c>
      <c r="AD69" s="4622" t="s">
        <v>3712</v>
      </c>
      <c r="AE69" s="4623" t="s">
        <v>3713</v>
      </c>
      <c r="AF69" s="4623"/>
      <c r="AG69" s="4623"/>
      <c r="AH69" s="4623"/>
      <c r="AI69" s="4623"/>
      <c r="AJ69" s="4623">
        <v>535</v>
      </c>
      <c r="AK69" s="4623">
        <v>164</v>
      </c>
      <c r="AL69" s="4623">
        <v>371</v>
      </c>
      <c r="AM69" s="4623">
        <v>414</v>
      </c>
      <c r="AN69" s="4623">
        <v>121</v>
      </c>
      <c r="AO69" s="4623">
        <v>6</v>
      </c>
      <c r="AP69" s="4623">
        <v>20</v>
      </c>
      <c r="AQ69" s="4623">
        <v>35</v>
      </c>
      <c r="AR69" s="4623">
        <v>135</v>
      </c>
      <c r="AS69" s="4623">
        <v>159</v>
      </c>
      <c r="AT69" s="4623">
        <v>113</v>
      </c>
      <c r="AU69" s="4623">
        <v>67</v>
      </c>
      <c r="AV69" s="4623">
        <v>215</v>
      </c>
      <c r="AW69" s="4623">
        <v>303</v>
      </c>
      <c r="AX69" s="4623">
        <v>7</v>
      </c>
      <c r="AY69" s="4623">
        <v>4</v>
      </c>
      <c r="AZ69" s="4623">
        <v>4</v>
      </c>
      <c r="BA69" s="4623">
        <v>0</v>
      </c>
      <c r="BB69" s="4623">
        <v>0</v>
      </c>
      <c r="BC69" s="4623">
        <v>2</v>
      </c>
      <c r="BD69" s="4623">
        <v>512</v>
      </c>
      <c r="BE69" s="4623">
        <v>20</v>
      </c>
      <c r="BF69" s="4623">
        <v>3</v>
      </c>
      <c r="BG69" s="4623">
        <v>0</v>
      </c>
      <c r="BH69" s="4623">
        <v>0</v>
      </c>
      <c r="BI69" s="4623">
        <v>0</v>
      </c>
      <c r="BJ69" s="4622" t="s">
        <v>3659</v>
      </c>
      <c r="BK69" s="4623" t="s">
        <v>1732</v>
      </c>
      <c r="BL69" s="4623" t="s">
        <v>1732</v>
      </c>
      <c r="BM69" s="4623" t="s">
        <v>1732</v>
      </c>
      <c r="BN69" s="4623" t="s">
        <v>1732</v>
      </c>
      <c r="BO69" s="4623" t="s">
        <v>1732</v>
      </c>
      <c r="BP69" s="4623" t="s">
        <v>1732</v>
      </c>
      <c r="BQ69" s="4623" t="s">
        <v>1732</v>
      </c>
      <c r="BR69" s="4623" t="s">
        <v>1732</v>
      </c>
      <c r="BS69" s="4623" t="s">
        <v>1732</v>
      </c>
      <c r="BT69" s="3034">
        <v>10</v>
      </c>
      <c r="BU69" s="4625">
        <v>10</v>
      </c>
      <c r="BV69" s="4625">
        <v>10</v>
      </c>
      <c r="BW69" s="2334">
        <f t="shared" si="2"/>
        <v>1</v>
      </c>
      <c r="BX69" s="16011"/>
      <c r="BY69" s="4714" t="s">
        <v>8986</v>
      </c>
      <c r="BZ69" s="4714" t="s">
        <v>8981</v>
      </c>
      <c r="CA69" s="4714" t="s">
        <v>3713</v>
      </c>
      <c r="CB69" s="4715"/>
      <c r="CC69" s="4715"/>
      <c r="CD69" s="4715"/>
      <c r="CE69" s="4715"/>
      <c r="CF69" s="4716"/>
      <c r="CG69" s="4716"/>
      <c r="CH69" s="4716"/>
      <c r="CI69" s="4716"/>
      <c r="CJ69" s="4716"/>
      <c r="CK69" s="4716"/>
      <c r="CL69" s="4716"/>
      <c r="CM69" s="4716"/>
      <c r="CN69" s="4716"/>
      <c r="CO69" s="4716"/>
      <c r="CP69" s="4716"/>
      <c r="CQ69" s="4716"/>
      <c r="CR69" s="4716"/>
      <c r="CS69" s="4717"/>
      <c r="CT69" s="4716"/>
      <c r="CU69" s="4716"/>
      <c r="CV69" s="4716"/>
      <c r="CW69" s="4716"/>
      <c r="CX69" s="4716"/>
      <c r="CY69" s="4716"/>
      <c r="CZ69" s="4716"/>
      <c r="DA69" s="4716"/>
      <c r="DB69" s="4716"/>
      <c r="DC69" s="4716"/>
      <c r="DD69" s="4716"/>
      <c r="DE69" s="4716"/>
      <c r="DF69" s="4716"/>
      <c r="DG69" s="4718"/>
      <c r="DH69" s="4718"/>
      <c r="DI69" s="4718"/>
      <c r="DJ69" s="4718"/>
      <c r="DK69" s="4718"/>
      <c r="DL69" s="4718"/>
      <c r="DM69" s="4718"/>
      <c r="DN69" s="4718"/>
      <c r="DO69" s="4832"/>
      <c r="DP69" s="1798"/>
      <c r="DQ69" s="3472"/>
      <c r="DR69" s="3437"/>
      <c r="DS69" s="3437"/>
      <c r="DT69" s="3437"/>
      <c r="DU69" s="3437"/>
      <c r="DV69" s="3437"/>
      <c r="DW69" s="3437"/>
      <c r="DX69" s="3437"/>
      <c r="DY69" s="3437"/>
      <c r="DZ69" s="3437"/>
      <c r="EA69" s="3437"/>
      <c r="EB69" s="3437"/>
      <c r="EC69" s="3437"/>
      <c r="ED69" s="3437"/>
      <c r="EE69" s="3437"/>
      <c r="EF69" s="3437"/>
      <c r="EG69" s="3437"/>
      <c r="EH69" s="3437"/>
      <c r="EI69" s="3437"/>
      <c r="EJ69" s="3437"/>
      <c r="EK69" s="3437"/>
      <c r="EL69" s="3437"/>
      <c r="EM69" s="3437"/>
      <c r="EN69" s="3437"/>
      <c r="EO69" s="3437"/>
      <c r="EP69" s="3437"/>
      <c r="EQ69" s="3437"/>
      <c r="ER69" s="3437"/>
      <c r="ES69" s="3437"/>
      <c r="ET69" s="3437"/>
      <c r="EU69" s="3437"/>
      <c r="EV69" s="3437"/>
      <c r="EW69" s="3437"/>
      <c r="EX69" s="3437"/>
      <c r="EY69" s="3437"/>
      <c r="EZ69" s="3437"/>
      <c r="FA69" s="3437"/>
      <c r="FB69" s="3437"/>
      <c r="FC69" s="3437"/>
      <c r="FD69" s="3437"/>
      <c r="FE69" s="3437"/>
      <c r="FF69" s="3437"/>
      <c r="FG69" s="3437"/>
      <c r="FH69" s="3437"/>
      <c r="FI69" s="3437"/>
      <c r="FJ69" s="3473"/>
    </row>
    <row r="70" spans="1:166" s="1799" customFormat="1" ht="15" customHeight="1">
      <c r="A70" s="15955"/>
      <c r="B70" s="15950"/>
      <c r="C70" s="15950"/>
      <c r="D70" s="15921"/>
      <c r="E70" s="15923"/>
      <c r="F70" s="15923"/>
      <c r="G70" s="15925"/>
      <c r="H70" s="15927"/>
      <c r="I70" s="15927"/>
      <c r="J70" s="15927"/>
      <c r="K70" s="15927"/>
      <c r="L70" s="2739" t="s">
        <v>10063</v>
      </c>
      <c r="M70" s="2739"/>
      <c r="N70" s="2739" t="s">
        <v>144</v>
      </c>
      <c r="O70" s="2739"/>
      <c r="P70" s="2739"/>
      <c r="Q70" s="2739"/>
      <c r="R70" s="2739"/>
      <c r="S70" s="2739"/>
      <c r="T70" s="2739"/>
      <c r="U70" s="4719"/>
      <c r="V70" s="2739"/>
      <c r="W70" s="2739"/>
      <c r="X70" s="2739"/>
      <c r="Y70" s="2739"/>
      <c r="Z70" s="4618"/>
      <c r="AA70" s="2739"/>
      <c r="AB70" s="4621"/>
      <c r="AC70" s="4622"/>
      <c r="AD70" s="4622"/>
      <c r="AE70" s="4623"/>
      <c r="AF70" s="4623"/>
      <c r="AG70" s="4623"/>
      <c r="AH70" s="4623"/>
      <c r="AI70" s="4623"/>
      <c r="AJ70" s="4623"/>
      <c r="AK70" s="4623"/>
      <c r="AL70" s="4623"/>
      <c r="AM70" s="4623"/>
      <c r="AN70" s="4623"/>
      <c r="AO70" s="4623"/>
      <c r="AP70" s="4623"/>
      <c r="AQ70" s="4623"/>
      <c r="AR70" s="4623"/>
      <c r="AS70" s="4623"/>
      <c r="AT70" s="4623"/>
      <c r="AU70" s="4623"/>
      <c r="AV70" s="4623"/>
      <c r="AW70" s="4623"/>
      <c r="AX70" s="4623"/>
      <c r="AY70" s="4623"/>
      <c r="AZ70" s="4623"/>
      <c r="BA70" s="4623"/>
      <c r="BB70" s="4623"/>
      <c r="BC70" s="4623"/>
      <c r="BD70" s="4623"/>
      <c r="BE70" s="4623"/>
      <c r="BF70" s="4623"/>
      <c r="BG70" s="4623"/>
      <c r="BH70" s="4623"/>
      <c r="BI70" s="4623"/>
      <c r="BJ70" s="4622"/>
      <c r="BK70" s="4623"/>
      <c r="BL70" s="4623"/>
      <c r="BM70" s="4623"/>
      <c r="BN70" s="4623"/>
      <c r="BO70" s="4623"/>
      <c r="BP70" s="4623"/>
      <c r="BQ70" s="4623"/>
      <c r="BR70" s="4623"/>
      <c r="BS70" s="4623"/>
      <c r="BT70" s="3034"/>
      <c r="BU70" s="4625"/>
      <c r="BV70" s="4625"/>
      <c r="BW70" s="2334"/>
      <c r="BX70" s="16011"/>
      <c r="BY70" s="4714"/>
      <c r="BZ70" s="4714"/>
      <c r="CA70" s="4714"/>
      <c r="CB70" s="4715"/>
      <c r="CC70" s="4715"/>
      <c r="CD70" s="4715"/>
      <c r="CE70" s="4715"/>
      <c r="CF70" s="4716"/>
      <c r="CG70" s="4716"/>
      <c r="CH70" s="4716"/>
      <c r="CI70" s="4716"/>
      <c r="CJ70" s="4716"/>
      <c r="CK70" s="4716"/>
      <c r="CL70" s="4716"/>
      <c r="CM70" s="4716"/>
      <c r="CN70" s="4716"/>
      <c r="CO70" s="4716"/>
      <c r="CP70" s="4716"/>
      <c r="CQ70" s="4716"/>
      <c r="CR70" s="4716"/>
      <c r="CS70" s="4717"/>
      <c r="CT70" s="4716"/>
      <c r="CU70" s="4716"/>
      <c r="CV70" s="4716"/>
      <c r="CW70" s="4716"/>
      <c r="CX70" s="4716"/>
      <c r="CY70" s="4716"/>
      <c r="CZ70" s="4716"/>
      <c r="DA70" s="4716"/>
      <c r="DB70" s="4716"/>
      <c r="DC70" s="4716"/>
      <c r="DD70" s="4716"/>
      <c r="DE70" s="4716"/>
      <c r="DF70" s="4716"/>
      <c r="DG70" s="4718"/>
      <c r="DH70" s="4718"/>
      <c r="DI70" s="4718"/>
      <c r="DJ70" s="4718"/>
      <c r="DK70" s="4718"/>
      <c r="DL70" s="4718"/>
      <c r="DM70" s="4718"/>
      <c r="DN70" s="4718"/>
      <c r="DO70" s="4832"/>
      <c r="DP70" s="1798"/>
      <c r="DQ70" s="3472"/>
      <c r="DR70" s="3437"/>
      <c r="DS70" s="3437"/>
      <c r="DT70" s="3437"/>
      <c r="DU70" s="3437"/>
      <c r="DV70" s="3437"/>
      <c r="DW70" s="3437"/>
      <c r="DX70" s="3437"/>
      <c r="DY70" s="3437"/>
      <c r="DZ70" s="3437"/>
      <c r="EA70" s="3437"/>
      <c r="EB70" s="3437"/>
      <c r="EC70" s="3437"/>
      <c r="ED70" s="3437"/>
      <c r="EE70" s="3437"/>
      <c r="EF70" s="3437"/>
      <c r="EG70" s="3437"/>
      <c r="EH70" s="3437"/>
      <c r="EI70" s="3437"/>
      <c r="EJ70" s="3437"/>
      <c r="EK70" s="3437"/>
      <c r="EL70" s="3437"/>
      <c r="EM70" s="3437"/>
      <c r="EN70" s="3437"/>
      <c r="EO70" s="3437"/>
      <c r="EP70" s="3437"/>
      <c r="EQ70" s="3437"/>
      <c r="ER70" s="3437"/>
      <c r="ES70" s="3437"/>
      <c r="ET70" s="3437"/>
      <c r="EU70" s="3437"/>
      <c r="EV70" s="3437"/>
      <c r="EW70" s="3437"/>
      <c r="EX70" s="3437"/>
      <c r="EY70" s="3437"/>
      <c r="EZ70" s="3437"/>
      <c r="FA70" s="3437"/>
      <c r="FB70" s="3437"/>
      <c r="FC70" s="3437"/>
      <c r="FD70" s="3437"/>
      <c r="FE70" s="3437"/>
      <c r="FF70" s="3437"/>
      <c r="FG70" s="3437"/>
      <c r="FH70" s="3437"/>
      <c r="FI70" s="3437"/>
      <c r="FJ70" s="3473"/>
    </row>
    <row r="71" spans="1:166" s="1799" customFormat="1" ht="15" customHeight="1">
      <c r="A71" s="15955"/>
      <c r="B71" s="15950"/>
      <c r="C71" s="15950"/>
      <c r="D71" s="15921" t="s">
        <v>7946</v>
      </c>
      <c r="E71" s="15923" t="s">
        <v>4973</v>
      </c>
      <c r="F71" s="15923" t="s">
        <v>761</v>
      </c>
      <c r="G71" s="15925" t="s">
        <v>753</v>
      </c>
      <c r="H71" s="15927">
        <v>0.1</v>
      </c>
      <c r="I71" s="15927">
        <v>0.4</v>
      </c>
      <c r="J71" s="15927">
        <v>1</v>
      </c>
      <c r="K71" s="15927" t="s">
        <v>758</v>
      </c>
      <c r="L71" s="2739" t="s">
        <v>86</v>
      </c>
      <c r="M71" s="2739" t="s">
        <v>740</v>
      </c>
      <c r="N71" s="2739"/>
      <c r="O71" s="2739">
        <v>35</v>
      </c>
      <c r="P71" s="2739" t="s">
        <v>690</v>
      </c>
      <c r="Q71" s="2739">
        <v>37</v>
      </c>
      <c r="R71" s="2739" t="s">
        <v>690</v>
      </c>
      <c r="S71" s="2739">
        <v>39</v>
      </c>
      <c r="T71" s="2739" t="s">
        <v>690</v>
      </c>
      <c r="U71" s="4719">
        <v>42</v>
      </c>
      <c r="V71" s="2739" t="s">
        <v>690</v>
      </c>
      <c r="W71" s="2739">
        <v>44</v>
      </c>
      <c r="X71" s="2739" t="s">
        <v>690</v>
      </c>
      <c r="Y71" s="2739">
        <v>47</v>
      </c>
      <c r="Z71" s="4618">
        <v>244</v>
      </c>
      <c r="AA71" s="2739"/>
      <c r="AB71" s="4621">
        <v>1</v>
      </c>
      <c r="AC71" s="4622" t="s">
        <v>3718</v>
      </c>
      <c r="AD71" s="4622" t="s">
        <v>3712</v>
      </c>
      <c r="AE71" s="4623" t="s">
        <v>3713</v>
      </c>
      <c r="AF71" s="4623"/>
      <c r="AG71" s="4623"/>
      <c r="AH71" s="4623"/>
      <c r="AI71" s="4623"/>
      <c r="AJ71" s="4623">
        <v>535</v>
      </c>
      <c r="AK71" s="4623">
        <v>164</v>
      </c>
      <c r="AL71" s="4623">
        <v>371</v>
      </c>
      <c r="AM71" s="4623">
        <v>414</v>
      </c>
      <c r="AN71" s="4623">
        <v>121</v>
      </c>
      <c r="AO71" s="4623">
        <v>6</v>
      </c>
      <c r="AP71" s="4623">
        <v>20</v>
      </c>
      <c r="AQ71" s="4623">
        <v>35</v>
      </c>
      <c r="AR71" s="4623">
        <v>135</v>
      </c>
      <c r="AS71" s="4623">
        <v>159</v>
      </c>
      <c r="AT71" s="4623">
        <v>113</v>
      </c>
      <c r="AU71" s="4623">
        <v>67</v>
      </c>
      <c r="AV71" s="4623">
        <v>215</v>
      </c>
      <c r="AW71" s="4623">
        <v>303</v>
      </c>
      <c r="AX71" s="4623">
        <v>7</v>
      </c>
      <c r="AY71" s="4623">
        <v>4</v>
      </c>
      <c r="AZ71" s="4623">
        <v>4</v>
      </c>
      <c r="BA71" s="4623">
        <v>0</v>
      </c>
      <c r="BB71" s="4623">
        <v>0</v>
      </c>
      <c r="BC71" s="4623">
        <v>2</v>
      </c>
      <c r="BD71" s="4623">
        <v>512</v>
      </c>
      <c r="BE71" s="4623">
        <v>20</v>
      </c>
      <c r="BF71" s="4623">
        <v>3</v>
      </c>
      <c r="BG71" s="4623">
        <v>0</v>
      </c>
      <c r="BH71" s="4623">
        <v>0</v>
      </c>
      <c r="BI71" s="4623">
        <v>0</v>
      </c>
      <c r="BJ71" s="4622" t="s">
        <v>3659</v>
      </c>
      <c r="BK71" s="4623" t="s">
        <v>1732</v>
      </c>
      <c r="BL71" s="4623" t="s">
        <v>1732</v>
      </c>
      <c r="BM71" s="4623" t="s">
        <v>1732</v>
      </c>
      <c r="BN71" s="4623" t="s">
        <v>1732</v>
      </c>
      <c r="BO71" s="4623" t="s">
        <v>1732</v>
      </c>
      <c r="BP71" s="4623" t="s">
        <v>1732</v>
      </c>
      <c r="BQ71" s="4623" t="s">
        <v>1732</v>
      </c>
      <c r="BR71" s="4623" t="s">
        <v>1732</v>
      </c>
      <c r="BS71" s="4623" t="s">
        <v>1732</v>
      </c>
      <c r="BT71" s="4720">
        <v>1</v>
      </c>
      <c r="BU71" s="4624">
        <v>1</v>
      </c>
      <c r="BV71" s="4620">
        <v>1</v>
      </c>
      <c r="BW71" s="2334">
        <f>BT71/BU71</f>
        <v>1</v>
      </c>
      <c r="BX71" s="16011"/>
      <c r="BY71" s="4714" t="s">
        <v>8987</v>
      </c>
      <c r="BZ71" s="4735" t="s">
        <v>8981</v>
      </c>
      <c r="CA71" s="4735" t="s">
        <v>3713</v>
      </c>
      <c r="CB71" s="4715"/>
      <c r="CC71" s="4715"/>
      <c r="CD71" s="4715"/>
      <c r="CE71" s="4715"/>
      <c r="CF71" s="4716"/>
      <c r="CG71" s="4716"/>
      <c r="CH71" s="4716"/>
      <c r="CI71" s="4716"/>
      <c r="CJ71" s="4716"/>
      <c r="CK71" s="4716"/>
      <c r="CL71" s="4716"/>
      <c r="CM71" s="4716"/>
      <c r="CN71" s="4716"/>
      <c r="CO71" s="4716"/>
      <c r="CP71" s="4716"/>
      <c r="CQ71" s="4716"/>
      <c r="CR71" s="4716"/>
      <c r="CS71" s="4717"/>
      <c r="CT71" s="4716"/>
      <c r="CU71" s="4716"/>
      <c r="CV71" s="4716"/>
      <c r="CW71" s="4716"/>
      <c r="CX71" s="4716"/>
      <c r="CY71" s="4716"/>
      <c r="CZ71" s="4716"/>
      <c r="DA71" s="4716"/>
      <c r="DB71" s="4716"/>
      <c r="DC71" s="4716"/>
      <c r="DD71" s="4716"/>
      <c r="DE71" s="4716"/>
      <c r="DF71" s="4716"/>
      <c r="DG71" s="4718"/>
      <c r="DH71" s="4718"/>
      <c r="DI71" s="4718"/>
      <c r="DJ71" s="4718"/>
      <c r="DK71" s="4718"/>
      <c r="DL71" s="4718"/>
      <c r="DM71" s="4718"/>
      <c r="DN71" s="4718"/>
      <c r="DO71" s="4832"/>
      <c r="DP71" s="1798"/>
      <c r="DQ71" s="3472"/>
      <c r="DR71" s="3437"/>
      <c r="DS71" s="3437"/>
      <c r="DT71" s="3437"/>
      <c r="DU71" s="3437"/>
      <c r="DV71" s="3437"/>
      <c r="DW71" s="3437"/>
      <c r="DX71" s="3437"/>
      <c r="DY71" s="3437"/>
      <c r="DZ71" s="3437"/>
      <c r="EA71" s="3437"/>
      <c r="EB71" s="3437"/>
      <c r="EC71" s="3437"/>
      <c r="ED71" s="3437"/>
      <c r="EE71" s="3437"/>
      <c r="EF71" s="3437"/>
      <c r="EG71" s="3437"/>
      <c r="EH71" s="3437"/>
      <c r="EI71" s="3437"/>
      <c r="EJ71" s="3437"/>
      <c r="EK71" s="3437"/>
      <c r="EL71" s="3437"/>
      <c r="EM71" s="3437"/>
      <c r="EN71" s="3437"/>
      <c r="EO71" s="3437"/>
      <c r="EP71" s="3437"/>
      <c r="EQ71" s="3437"/>
      <c r="ER71" s="3437"/>
      <c r="ES71" s="3437"/>
      <c r="ET71" s="3437"/>
      <c r="EU71" s="3437"/>
      <c r="EV71" s="3437"/>
      <c r="EW71" s="3437"/>
      <c r="EX71" s="3437"/>
      <c r="EY71" s="3437"/>
      <c r="EZ71" s="3437"/>
      <c r="FA71" s="3437"/>
      <c r="FB71" s="3437"/>
      <c r="FC71" s="3437"/>
      <c r="FD71" s="3437"/>
      <c r="FE71" s="3437"/>
      <c r="FF71" s="3437"/>
      <c r="FG71" s="3437"/>
      <c r="FH71" s="3437"/>
      <c r="FI71" s="3437"/>
      <c r="FJ71" s="3473"/>
    </row>
    <row r="72" spans="1:166" s="1799" customFormat="1" ht="15" customHeight="1">
      <c r="A72" s="15955"/>
      <c r="B72" s="15950"/>
      <c r="C72" s="15950"/>
      <c r="D72" s="15921"/>
      <c r="E72" s="15923"/>
      <c r="F72" s="15923"/>
      <c r="G72" s="15925"/>
      <c r="H72" s="15927"/>
      <c r="I72" s="15927"/>
      <c r="J72" s="15927"/>
      <c r="K72" s="15927"/>
      <c r="L72" s="2739" t="s">
        <v>10063</v>
      </c>
      <c r="M72" s="2739"/>
      <c r="N72" s="2739" t="s">
        <v>144</v>
      </c>
      <c r="O72" s="2739"/>
      <c r="P72" s="2739"/>
      <c r="Q72" s="2739"/>
      <c r="R72" s="2739"/>
      <c r="S72" s="2739"/>
      <c r="T72" s="2739"/>
      <c r="U72" s="4719"/>
      <c r="V72" s="2739"/>
      <c r="W72" s="2739"/>
      <c r="X72" s="2739"/>
      <c r="Y72" s="2739"/>
      <c r="Z72" s="4618"/>
      <c r="AA72" s="2739"/>
      <c r="AB72" s="4621"/>
      <c r="AC72" s="4622"/>
      <c r="AD72" s="4622"/>
      <c r="AE72" s="4623"/>
      <c r="AF72" s="4623"/>
      <c r="AG72" s="4623"/>
      <c r="AH72" s="4623"/>
      <c r="AI72" s="4623"/>
      <c r="AJ72" s="4623"/>
      <c r="AK72" s="4623"/>
      <c r="AL72" s="4623"/>
      <c r="AM72" s="4623"/>
      <c r="AN72" s="4623"/>
      <c r="AO72" s="4623"/>
      <c r="AP72" s="4623"/>
      <c r="AQ72" s="4623"/>
      <c r="AR72" s="4623"/>
      <c r="AS72" s="4623"/>
      <c r="AT72" s="4623"/>
      <c r="AU72" s="4623"/>
      <c r="AV72" s="4623"/>
      <c r="AW72" s="4623"/>
      <c r="AX72" s="4623"/>
      <c r="AY72" s="4623"/>
      <c r="AZ72" s="4623"/>
      <c r="BA72" s="4623"/>
      <c r="BB72" s="4623"/>
      <c r="BC72" s="4623"/>
      <c r="BD72" s="4623"/>
      <c r="BE72" s="4623"/>
      <c r="BF72" s="4623"/>
      <c r="BG72" s="4623"/>
      <c r="BH72" s="4623"/>
      <c r="BI72" s="4623"/>
      <c r="BJ72" s="4622"/>
      <c r="BK72" s="4623"/>
      <c r="BL72" s="4623"/>
      <c r="BM72" s="4623"/>
      <c r="BN72" s="4623"/>
      <c r="BO72" s="4623"/>
      <c r="BP72" s="4623"/>
      <c r="BQ72" s="4623"/>
      <c r="BR72" s="4623"/>
      <c r="BS72" s="4623"/>
      <c r="BT72" s="4720"/>
      <c r="BU72" s="4624"/>
      <c r="BV72" s="4620"/>
      <c r="BW72" s="2334"/>
      <c r="BX72" s="16011"/>
      <c r="BY72" s="4714"/>
      <c r="BZ72" s="4735"/>
      <c r="CA72" s="4735"/>
      <c r="CB72" s="4715"/>
      <c r="CC72" s="4715"/>
      <c r="CD72" s="4715"/>
      <c r="CE72" s="4715"/>
      <c r="CF72" s="4716"/>
      <c r="CG72" s="4716"/>
      <c r="CH72" s="4716"/>
      <c r="CI72" s="4716"/>
      <c r="CJ72" s="4716"/>
      <c r="CK72" s="4716"/>
      <c r="CL72" s="4716"/>
      <c r="CM72" s="4716"/>
      <c r="CN72" s="4716"/>
      <c r="CO72" s="4716"/>
      <c r="CP72" s="4716"/>
      <c r="CQ72" s="4716"/>
      <c r="CR72" s="4716"/>
      <c r="CS72" s="4717"/>
      <c r="CT72" s="4716"/>
      <c r="CU72" s="4716"/>
      <c r="CV72" s="4716"/>
      <c r="CW72" s="4716"/>
      <c r="CX72" s="4716"/>
      <c r="CY72" s="4716"/>
      <c r="CZ72" s="4716"/>
      <c r="DA72" s="4716"/>
      <c r="DB72" s="4716"/>
      <c r="DC72" s="4716"/>
      <c r="DD72" s="4716"/>
      <c r="DE72" s="4716"/>
      <c r="DF72" s="4716"/>
      <c r="DG72" s="4718"/>
      <c r="DH72" s="4718"/>
      <c r="DI72" s="4718"/>
      <c r="DJ72" s="4718"/>
      <c r="DK72" s="4718"/>
      <c r="DL72" s="4718"/>
      <c r="DM72" s="4718"/>
      <c r="DN72" s="4718"/>
      <c r="DO72" s="4832"/>
      <c r="DP72" s="1798"/>
      <c r="DQ72" s="3472"/>
      <c r="DR72" s="3437"/>
      <c r="DS72" s="3437"/>
      <c r="DT72" s="3437"/>
      <c r="DU72" s="3437"/>
      <c r="DV72" s="3437"/>
      <c r="DW72" s="3437"/>
      <c r="DX72" s="3437"/>
      <c r="DY72" s="3437"/>
      <c r="DZ72" s="3437"/>
      <c r="EA72" s="3437"/>
      <c r="EB72" s="3437"/>
      <c r="EC72" s="3437"/>
      <c r="ED72" s="3437"/>
      <c r="EE72" s="3437"/>
      <c r="EF72" s="3437"/>
      <c r="EG72" s="3437"/>
      <c r="EH72" s="3437"/>
      <c r="EI72" s="3437"/>
      <c r="EJ72" s="3437"/>
      <c r="EK72" s="3437"/>
      <c r="EL72" s="3437"/>
      <c r="EM72" s="3437"/>
      <c r="EN72" s="3437"/>
      <c r="EO72" s="3437"/>
      <c r="EP72" s="3437"/>
      <c r="EQ72" s="3437"/>
      <c r="ER72" s="3437"/>
      <c r="ES72" s="3437"/>
      <c r="ET72" s="3437"/>
      <c r="EU72" s="3437"/>
      <c r="EV72" s="3437"/>
      <c r="EW72" s="3437"/>
      <c r="EX72" s="3437"/>
      <c r="EY72" s="3437"/>
      <c r="EZ72" s="3437"/>
      <c r="FA72" s="3437"/>
      <c r="FB72" s="3437"/>
      <c r="FC72" s="3437"/>
      <c r="FD72" s="3437"/>
      <c r="FE72" s="3437"/>
      <c r="FF72" s="3437"/>
      <c r="FG72" s="3437"/>
      <c r="FH72" s="3437"/>
      <c r="FI72" s="3437"/>
      <c r="FJ72" s="3473"/>
    </row>
    <row r="73" spans="1:166" s="1799" customFormat="1" ht="15" customHeight="1">
      <c r="A73" s="15955"/>
      <c r="B73" s="15950"/>
      <c r="C73" s="15950"/>
      <c r="D73" s="15921" t="s">
        <v>7947</v>
      </c>
      <c r="E73" s="15923" t="s">
        <v>4974</v>
      </c>
      <c r="F73" s="15923" t="s">
        <v>762</v>
      </c>
      <c r="G73" s="15925" t="s">
        <v>753</v>
      </c>
      <c r="H73" s="15927">
        <v>1</v>
      </c>
      <c r="I73" s="15927">
        <v>1</v>
      </c>
      <c r="J73" s="15927">
        <v>1</v>
      </c>
      <c r="K73" s="15927" t="s">
        <v>763</v>
      </c>
      <c r="L73" s="2739" t="s">
        <v>86</v>
      </c>
      <c r="M73" s="2739" t="s">
        <v>740</v>
      </c>
      <c r="N73" s="2739" t="s">
        <v>144</v>
      </c>
      <c r="O73" s="2739">
        <v>25</v>
      </c>
      <c r="P73" s="2739" t="s">
        <v>690</v>
      </c>
      <c r="Q73" s="2739">
        <v>27</v>
      </c>
      <c r="R73" s="2739" t="s">
        <v>690</v>
      </c>
      <c r="S73" s="2739">
        <v>28</v>
      </c>
      <c r="T73" s="2739" t="s">
        <v>690</v>
      </c>
      <c r="U73" s="4719">
        <v>30</v>
      </c>
      <c r="V73" s="2739" t="s">
        <v>690</v>
      </c>
      <c r="W73" s="2739">
        <v>32</v>
      </c>
      <c r="X73" s="2739" t="s">
        <v>690</v>
      </c>
      <c r="Y73" s="2739">
        <v>34</v>
      </c>
      <c r="Z73" s="4618">
        <v>176</v>
      </c>
      <c r="AA73" s="2739"/>
      <c r="AB73" s="4621">
        <v>1</v>
      </c>
      <c r="AC73" s="4622" t="s">
        <v>3719</v>
      </c>
      <c r="AD73" s="4622" t="s">
        <v>3585</v>
      </c>
      <c r="AE73" s="4623" t="s">
        <v>3713</v>
      </c>
      <c r="AF73" s="4623"/>
      <c r="AG73" s="4623"/>
      <c r="AH73" s="4623"/>
      <c r="AI73" s="4623"/>
      <c r="AJ73" s="4623">
        <v>535</v>
      </c>
      <c r="AK73" s="4623">
        <v>164</v>
      </c>
      <c r="AL73" s="4623">
        <v>371</v>
      </c>
      <c r="AM73" s="4623">
        <v>414</v>
      </c>
      <c r="AN73" s="4623">
        <v>121</v>
      </c>
      <c r="AO73" s="4623">
        <v>6</v>
      </c>
      <c r="AP73" s="4623">
        <v>20</v>
      </c>
      <c r="AQ73" s="4623">
        <v>35</v>
      </c>
      <c r="AR73" s="4623">
        <v>135</v>
      </c>
      <c r="AS73" s="4623">
        <v>159</v>
      </c>
      <c r="AT73" s="4623">
        <v>113</v>
      </c>
      <c r="AU73" s="4623">
        <v>67</v>
      </c>
      <c r="AV73" s="4623">
        <v>215</v>
      </c>
      <c r="AW73" s="4623">
        <v>303</v>
      </c>
      <c r="AX73" s="4623">
        <v>7</v>
      </c>
      <c r="AY73" s="4623">
        <v>4</v>
      </c>
      <c r="AZ73" s="4623">
        <v>4</v>
      </c>
      <c r="BA73" s="4623">
        <v>0</v>
      </c>
      <c r="BB73" s="4623">
        <v>0</v>
      </c>
      <c r="BC73" s="4623">
        <v>2</v>
      </c>
      <c r="BD73" s="4623">
        <v>512</v>
      </c>
      <c r="BE73" s="4623">
        <v>20</v>
      </c>
      <c r="BF73" s="4623">
        <v>3</v>
      </c>
      <c r="BG73" s="4623">
        <v>0</v>
      </c>
      <c r="BH73" s="4623">
        <v>0</v>
      </c>
      <c r="BI73" s="4623">
        <v>0</v>
      </c>
      <c r="BJ73" s="4622" t="s">
        <v>3659</v>
      </c>
      <c r="BK73" s="4623" t="s">
        <v>1732</v>
      </c>
      <c r="BL73" s="4623" t="s">
        <v>1732</v>
      </c>
      <c r="BM73" s="4623" t="s">
        <v>1732</v>
      </c>
      <c r="BN73" s="4623" t="s">
        <v>1732</v>
      </c>
      <c r="BO73" s="4623" t="s">
        <v>1732</v>
      </c>
      <c r="BP73" s="4623" t="s">
        <v>1732</v>
      </c>
      <c r="BQ73" s="4623" t="s">
        <v>1732</v>
      </c>
      <c r="BR73" s="4623" t="s">
        <v>1732</v>
      </c>
      <c r="BS73" s="4623" t="s">
        <v>1732</v>
      </c>
      <c r="BT73" s="4720">
        <v>1</v>
      </c>
      <c r="BU73" s="4624">
        <v>1</v>
      </c>
      <c r="BV73" s="4620">
        <v>1</v>
      </c>
      <c r="BW73" s="15929">
        <v>1</v>
      </c>
      <c r="BX73" s="16011"/>
      <c r="BY73" s="4714" t="s">
        <v>3719</v>
      </c>
      <c r="BZ73" s="4735" t="s">
        <v>3585</v>
      </c>
      <c r="CA73" s="4735" t="s">
        <v>3713</v>
      </c>
      <c r="CB73" s="4715"/>
      <c r="CC73" s="4715"/>
      <c r="CD73" s="4715"/>
      <c r="CE73" s="4715"/>
      <c r="CF73" s="4716"/>
      <c r="CG73" s="4716"/>
      <c r="CH73" s="4716"/>
      <c r="CI73" s="4716"/>
      <c r="CJ73" s="4716"/>
      <c r="CK73" s="4716"/>
      <c r="CL73" s="4716"/>
      <c r="CM73" s="4716"/>
      <c r="CN73" s="4716"/>
      <c r="CO73" s="4716"/>
      <c r="CP73" s="4716"/>
      <c r="CQ73" s="4716"/>
      <c r="CR73" s="4716"/>
      <c r="CS73" s="4717"/>
      <c r="CT73" s="4716"/>
      <c r="CU73" s="4716"/>
      <c r="CV73" s="4716"/>
      <c r="CW73" s="4716"/>
      <c r="CX73" s="4716"/>
      <c r="CY73" s="4716"/>
      <c r="CZ73" s="4716"/>
      <c r="DA73" s="4716"/>
      <c r="DB73" s="4716"/>
      <c r="DC73" s="4716"/>
      <c r="DD73" s="4716"/>
      <c r="DE73" s="4716"/>
      <c r="DF73" s="4716"/>
      <c r="DG73" s="4718"/>
      <c r="DH73" s="4718"/>
      <c r="DI73" s="4718"/>
      <c r="DJ73" s="4718"/>
      <c r="DK73" s="4718"/>
      <c r="DL73" s="4718"/>
      <c r="DM73" s="4718"/>
      <c r="DN73" s="4718"/>
      <c r="DO73" s="4832"/>
      <c r="DP73" s="1798"/>
      <c r="DQ73" s="3472"/>
      <c r="DR73" s="3437"/>
      <c r="DS73" s="3437"/>
      <c r="DT73" s="3437"/>
      <c r="DU73" s="3437"/>
      <c r="DV73" s="3437"/>
      <c r="DW73" s="3437"/>
      <c r="DX73" s="3437"/>
      <c r="DY73" s="3437"/>
      <c r="DZ73" s="3437"/>
      <c r="EA73" s="3437"/>
      <c r="EB73" s="3437"/>
      <c r="EC73" s="3437"/>
      <c r="ED73" s="3437"/>
      <c r="EE73" s="3437"/>
      <c r="EF73" s="3437"/>
      <c r="EG73" s="3437"/>
      <c r="EH73" s="3437"/>
      <c r="EI73" s="3437"/>
      <c r="EJ73" s="3437"/>
      <c r="EK73" s="3437"/>
      <c r="EL73" s="3437"/>
      <c r="EM73" s="3437"/>
      <c r="EN73" s="3437"/>
      <c r="EO73" s="3437"/>
      <c r="EP73" s="3437"/>
      <c r="EQ73" s="3437"/>
      <c r="ER73" s="3437"/>
      <c r="ES73" s="3437"/>
      <c r="ET73" s="3437"/>
      <c r="EU73" s="3437"/>
      <c r="EV73" s="3437"/>
      <c r="EW73" s="3437"/>
      <c r="EX73" s="3437"/>
      <c r="EY73" s="3437"/>
      <c r="EZ73" s="3437"/>
      <c r="FA73" s="3437"/>
      <c r="FB73" s="3437"/>
      <c r="FC73" s="3437"/>
      <c r="FD73" s="3437"/>
      <c r="FE73" s="3437"/>
      <c r="FF73" s="3437"/>
      <c r="FG73" s="3437"/>
      <c r="FH73" s="3437"/>
      <c r="FI73" s="3437"/>
      <c r="FJ73" s="3473"/>
    </row>
    <row r="74" spans="1:166" s="1799" customFormat="1" ht="15" customHeight="1" thickBot="1">
      <c r="A74" s="15956"/>
      <c r="B74" s="15951"/>
      <c r="C74" s="15951"/>
      <c r="D74" s="15922"/>
      <c r="E74" s="15924"/>
      <c r="F74" s="15924"/>
      <c r="G74" s="15926"/>
      <c r="H74" s="15928"/>
      <c r="I74" s="15928"/>
      <c r="J74" s="15928"/>
      <c r="K74" s="15928"/>
      <c r="L74" s="4931" t="s">
        <v>10063</v>
      </c>
      <c r="M74" s="4931"/>
      <c r="N74" s="4931"/>
      <c r="O74" s="4931"/>
      <c r="P74" s="4931"/>
      <c r="Q74" s="4931"/>
      <c r="R74" s="4931"/>
      <c r="S74" s="4931"/>
      <c r="T74" s="4931"/>
      <c r="U74" s="4932"/>
      <c r="V74" s="4931"/>
      <c r="W74" s="4931"/>
      <c r="X74" s="4931"/>
      <c r="Y74" s="4931"/>
      <c r="Z74" s="4933"/>
      <c r="AA74" s="4931"/>
      <c r="AB74" s="4934"/>
      <c r="AC74" s="4935"/>
      <c r="AD74" s="4936"/>
      <c r="AE74" s="4936"/>
      <c r="AF74" s="4936"/>
      <c r="AG74" s="4936"/>
      <c r="AH74" s="4936"/>
      <c r="AI74" s="4936"/>
      <c r="AJ74" s="4936"/>
      <c r="AK74" s="4936"/>
      <c r="AL74" s="4936"/>
      <c r="AM74" s="4936"/>
      <c r="AN74" s="4936"/>
      <c r="AO74" s="4936"/>
      <c r="AP74" s="4936"/>
      <c r="AQ74" s="4936"/>
      <c r="AR74" s="4936"/>
      <c r="AS74" s="4936"/>
      <c r="AT74" s="4936"/>
      <c r="AU74" s="4936"/>
      <c r="AV74" s="4936"/>
      <c r="AW74" s="4936"/>
      <c r="AX74" s="4936"/>
      <c r="AY74" s="4936"/>
      <c r="AZ74" s="4936"/>
      <c r="BA74" s="4936"/>
      <c r="BB74" s="4936"/>
      <c r="BC74" s="4936"/>
      <c r="BD74" s="4936"/>
      <c r="BE74" s="4936"/>
      <c r="BF74" s="4936"/>
      <c r="BG74" s="4936"/>
      <c r="BH74" s="4936"/>
      <c r="BI74" s="4936"/>
      <c r="BJ74" s="4935"/>
      <c r="BK74" s="4936"/>
      <c r="BL74" s="4936"/>
      <c r="BM74" s="4936"/>
      <c r="BN74" s="4936"/>
      <c r="BO74" s="4936"/>
      <c r="BP74" s="4936"/>
      <c r="BQ74" s="4936"/>
      <c r="BR74" s="4936"/>
      <c r="BS74" s="4936"/>
      <c r="BT74" s="4937"/>
      <c r="BU74" s="2003"/>
      <c r="BV74" s="2003"/>
      <c r="BW74" s="14895"/>
      <c r="BX74" s="16012"/>
      <c r="BY74" s="4938"/>
      <c r="BZ74" s="4938"/>
      <c r="CA74" s="4938"/>
      <c r="CB74" s="4939"/>
      <c r="CC74" s="4939"/>
      <c r="CD74" s="4939"/>
      <c r="CE74" s="4939"/>
      <c r="CF74" s="4940"/>
      <c r="CG74" s="4940"/>
      <c r="CH74" s="4940"/>
      <c r="CI74" s="4940"/>
      <c r="CJ74" s="4940"/>
      <c r="CK74" s="4940"/>
      <c r="CL74" s="4940"/>
      <c r="CM74" s="4940"/>
      <c r="CN74" s="4940"/>
      <c r="CO74" s="4940"/>
      <c r="CP74" s="4940"/>
      <c r="CQ74" s="4940"/>
      <c r="CR74" s="4940"/>
      <c r="CS74" s="4941"/>
      <c r="CT74" s="4940"/>
      <c r="CU74" s="4940"/>
      <c r="CV74" s="4940"/>
      <c r="CW74" s="4940"/>
      <c r="CX74" s="4940"/>
      <c r="CY74" s="4940"/>
      <c r="CZ74" s="4940"/>
      <c r="DA74" s="4940"/>
      <c r="DB74" s="4940"/>
      <c r="DC74" s="4940"/>
      <c r="DD74" s="4940"/>
      <c r="DE74" s="4940"/>
      <c r="DF74" s="4940"/>
      <c r="DG74" s="4942"/>
      <c r="DH74" s="4942"/>
      <c r="DI74" s="4942"/>
      <c r="DJ74" s="4942"/>
      <c r="DK74" s="4942"/>
      <c r="DL74" s="4942"/>
      <c r="DM74" s="4942"/>
      <c r="DN74" s="4942"/>
      <c r="DO74" s="4943"/>
      <c r="DP74" s="1798"/>
      <c r="DQ74" s="3832"/>
      <c r="DR74" s="3833"/>
      <c r="DS74" s="3833"/>
      <c r="DT74" s="3833"/>
      <c r="DU74" s="3833"/>
      <c r="DV74" s="3833"/>
      <c r="DW74" s="3833"/>
      <c r="DX74" s="3833"/>
      <c r="DY74" s="3833"/>
      <c r="DZ74" s="3833"/>
      <c r="EA74" s="3833"/>
      <c r="EB74" s="3833"/>
      <c r="EC74" s="3833"/>
      <c r="ED74" s="3833"/>
      <c r="EE74" s="3833"/>
      <c r="EF74" s="3833"/>
      <c r="EG74" s="3833"/>
      <c r="EH74" s="3833"/>
      <c r="EI74" s="3833"/>
      <c r="EJ74" s="3833"/>
      <c r="EK74" s="3833"/>
      <c r="EL74" s="3833"/>
      <c r="EM74" s="3833"/>
      <c r="EN74" s="3833"/>
      <c r="EO74" s="3833"/>
      <c r="EP74" s="3833"/>
      <c r="EQ74" s="3833"/>
      <c r="ER74" s="3833"/>
      <c r="ES74" s="3833"/>
      <c r="ET74" s="3833"/>
      <c r="EU74" s="3833"/>
      <c r="EV74" s="3833"/>
      <c r="EW74" s="3833"/>
      <c r="EX74" s="3833"/>
      <c r="EY74" s="3833"/>
      <c r="EZ74" s="3833"/>
      <c r="FA74" s="3833"/>
      <c r="FB74" s="3833"/>
      <c r="FC74" s="3833"/>
      <c r="FD74" s="3833"/>
      <c r="FE74" s="3833"/>
      <c r="FF74" s="3833"/>
      <c r="FG74" s="3833"/>
      <c r="FH74" s="3833"/>
      <c r="FI74" s="3833"/>
      <c r="FJ74" s="3834"/>
    </row>
    <row r="75" spans="1:166" s="2005" customFormat="1" ht="15" customHeight="1">
      <c r="A75" s="15960" t="s">
        <v>218</v>
      </c>
      <c r="B75" s="15963" t="s">
        <v>764</v>
      </c>
      <c r="C75" s="15966" t="s">
        <v>765</v>
      </c>
      <c r="D75" s="4918" t="s">
        <v>7948</v>
      </c>
      <c r="E75" s="4133" t="s">
        <v>4975</v>
      </c>
      <c r="F75" s="4133" t="s">
        <v>766</v>
      </c>
      <c r="G75" s="4133">
        <v>0</v>
      </c>
      <c r="H75" s="4919">
        <v>0.03</v>
      </c>
      <c r="I75" s="4919">
        <v>0.15</v>
      </c>
      <c r="J75" s="4919">
        <v>0.25</v>
      </c>
      <c r="K75" s="4133" t="s">
        <v>767</v>
      </c>
      <c r="L75" s="4133" t="s">
        <v>218</v>
      </c>
      <c r="M75" s="4133" t="s">
        <v>768</v>
      </c>
      <c r="N75" s="4133"/>
      <c r="O75" s="4920">
        <v>60</v>
      </c>
      <c r="P75" s="4920">
        <v>62</v>
      </c>
      <c r="Q75" s="4920">
        <v>64</v>
      </c>
      <c r="R75" s="4920">
        <v>66</v>
      </c>
      <c r="S75" s="4920">
        <v>68</v>
      </c>
      <c r="T75" s="4920">
        <v>70</v>
      </c>
      <c r="U75" s="4921">
        <v>72</v>
      </c>
      <c r="V75" s="4920">
        <v>74</v>
      </c>
      <c r="W75" s="4920">
        <v>76</v>
      </c>
      <c r="X75" s="4920">
        <v>78</v>
      </c>
      <c r="Y75" s="4920">
        <v>81</v>
      </c>
      <c r="Z75" s="4922">
        <v>771</v>
      </c>
      <c r="AA75" s="4920"/>
      <c r="AB75" s="4133" t="s">
        <v>3804</v>
      </c>
      <c r="AC75" s="4923" t="s">
        <v>3802</v>
      </c>
      <c r="AD75" s="3798"/>
      <c r="AE75" s="3798"/>
      <c r="AF75" s="3798" t="s">
        <v>3803</v>
      </c>
      <c r="AG75" s="3798"/>
      <c r="AH75" s="3798"/>
      <c r="AI75" s="3798"/>
      <c r="AJ75" s="3798"/>
      <c r="AK75" s="3798"/>
      <c r="AL75" s="3798"/>
      <c r="AM75" s="3798"/>
      <c r="AN75" s="3798"/>
      <c r="AO75" s="3798"/>
      <c r="AP75" s="3798"/>
      <c r="AQ75" s="3798"/>
      <c r="AR75" s="3798"/>
      <c r="AS75" s="3798"/>
      <c r="AT75" s="3798"/>
      <c r="AU75" s="3798"/>
      <c r="AV75" s="3798"/>
      <c r="AW75" s="3798"/>
      <c r="AX75" s="3798"/>
      <c r="AY75" s="3798"/>
      <c r="AZ75" s="3798"/>
      <c r="BA75" s="3798"/>
      <c r="BB75" s="3798"/>
      <c r="BC75" s="3798"/>
      <c r="BD75" s="3798"/>
      <c r="BE75" s="3798"/>
      <c r="BF75" s="3798"/>
      <c r="BG75" s="3798"/>
      <c r="BH75" s="3798"/>
      <c r="BI75" s="3798"/>
      <c r="BJ75" s="3798"/>
      <c r="BK75" s="3798"/>
      <c r="BL75" s="3798"/>
      <c r="BM75" s="3798"/>
      <c r="BN75" s="3798"/>
      <c r="BO75" s="3798"/>
      <c r="BP75" s="3798"/>
      <c r="BQ75" s="3798"/>
      <c r="BR75" s="3798"/>
      <c r="BS75" s="3798"/>
      <c r="BT75" s="4919">
        <v>0.03</v>
      </c>
      <c r="BU75" s="4924">
        <v>0.16</v>
      </c>
      <c r="BV75" s="4924">
        <f>+BT75+Z75</f>
        <v>771.03</v>
      </c>
      <c r="BW75" s="4140">
        <v>0.34</v>
      </c>
      <c r="BX75" s="16013">
        <f>AVERAGE(BW75:BW96)</f>
        <v>1.4008756766675843</v>
      </c>
      <c r="BY75" s="4925" t="s">
        <v>8988</v>
      </c>
      <c r="BZ75" s="4133" t="s">
        <v>8989</v>
      </c>
      <c r="CA75" s="4920"/>
      <c r="CB75" s="4926">
        <v>159239203</v>
      </c>
      <c r="CC75" s="4927"/>
      <c r="CD75" s="4927"/>
      <c r="CE75" s="4926">
        <v>159239203</v>
      </c>
      <c r="CF75" s="4928">
        <v>247</v>
      </c>
      <c r="CG75" s="4928"/>
      <c r="CH75" s="4928"/>
      <c r="CI75" s="4928">
        <v>75</v>
      </c>
      <c r="CJ75" s="4928">
        <v>172</v>
      </c>
      <c r="CK75" s="4928"/>
      <c r="CL75" s="4928"/>
      <c r="CM75" s="4928">
        <v>136</v>
      </c>
      <c r="CN75" s="4928">
        <v>111</v>
      </c>
      <c r="CO75" s="4928"/>
      <c r="CP75" s="4928"/>
      <c r="CQ75" s="4928"/>
      <c r="CR75" s="4928"/>
      <c r="CS75" s="4929">
        <v>247</v>
      </c>
      <c r="CT75" s="4928"/>
      <c r="CU75" s="4928"/>
      <c r="CV75" s="4928"/>
      <c r="CW75" s="4928"/>
      <c r="CX75" s="4928"/>
      <c r="CY75" s="4928"/>
      <c r="CZ75" s="4928"/>
      <c r="DA75" s="4928"/>
      <c r="DB75" s="4928"/>
      <c r="DC75" s="4928"/>
      <c r="DD75" s="4928"/>
      <c r="DE75" s="4928"/>
      <c r="DF75" s="4928"/>
      <c r="DG75" s="4928"/>
      <c r="DH75" s="4928"/>
      <c r="DI75" s="4928"/>
      <c r="DJ75" s="4928"/>
      <c r="DK75" s="4928"/>
      <c r="DL75" s="4928"/>
      <c r="DM75" s="4928"/>
      <c r="DN75" s="4928"/>
      <c r="DO75" s="4930"/>
      <c r="DQ75" s="3797"/>
      <c r="DR75" s="3798"/>
      <c r="DS75" s="3798"/>
      <c r="DT75" s="3798"/>
      <c r="DU75" s="3798"/>
      <c r="DV75" s="3798"/>
      <c r="DW75" s="3798"/>
      <c r="DX75" s="3798"/>
      <c r="DY75" s="3798"/>
      <c r="DZ75" s="3798"/>
      <c r="EA75" s="3798"/>
      <c r="EB75" s="3798"/>
      <c r="EC75" s="3798"/>
      <c r="ED75" s="3798"/>
      <c r="EE75" s="3798"/>
      <c r="EF75" s="3798"/>
      <c r="EG75" s="3798"/>
      <c r="EH75" s="3798"/>
      <c r="EI75" s="3798"/>
      <c r="EJ75" s="3798"/>
      <c r="EK75" s="3798"/>
      <c r="EL75" s="3798"/>
      <c r="EM75" s="3798"/>
      <c r="EN75" s="3798"/>
      <c r="EO75" s="3798"/>
      <c r="EP75" s="3798"/>
      <c r="EQ75" s="3798"/>
      <c r="ER75" s="3798"/>
      <c r="ES75" s="3798"/>
      <c r="ET75" s="3798"/>
      <c r="EU75" s="3798"/>
      <c r="EV75" s="3798"/>
      <c r="EW75" s="3798"/>
      <c r="EX75" s="3798"/>
      <c r="EY75" s="3798"/>
      <c r="EZ75" s="3798"/>
      <c r="FA75" s="3798"/>
      <c r="FB75" s="3798"/>
      <c r="FC75" s="3798"/>
      <c r="FD75" s="3798"/>
      <c r="FE75" s="3798"/>
      <c r="FF75" s="3798"/>
      <c r="FG75" s="3798"/>
      <c r="FH75" s="3798"/>
      <c r="FI75" s="3798"/>
      <c r="FJ75" s="3799"/>
    </row>
    <row r="76" spans="1:166" s="2005" customFormat="1" ht="15" customHeight="1">
      <c r="A76" s="15961"/>
      <c r="B76" s="15964"/>
      <c r="C76" s="15598"/>
      <c r="D76" s="4126" t="s">
        <v>7949</v>
      </c>
      <c r="E76" s="4127" t="s">
        <v>4976</v>
      </c>
      <c r="F76" s="4127" t="s">
        <v>769</v>
      </c>
      <c r="G76" s="4127" t="s">
        <v>770</v>
      </c>
      <c r="H76" s="4127">
        <v>1</v>
      </c>
      <c r="I76" s="4127">
        <v>5</v>
      </c>
      <c r="J76" s="4637">
        <v>20</v>
      </c>
      <c r="K76" s="4127" t="s">
        <v>771</v>
      </c>
      <c r="L76" s="4127" t="s">
        <v>218</v>
      </c>
      <c r="M76" s="4127" t="s">
        <v>768</v>
      </c>
      <c r="N76" s="4127"/>
      <c r="O76" s="4638">
        <v>35</v>
      </c>
      <c r="P76" s="4638">
        <v>36</v>
      </c>
      <c r="Q76" s="4638">
        <v>37</v>
      </c>
      <c r="R76" s="4638">
        <v>38</v>
      </c>
      <c r="S76" s="4638">
        <v>39</v>
      </c>
      <c r="T76" s="4638">
        <v>41</v>
      </c>
      <c r="U76" s="4736">
        <v>42</v>
      </c>
      <c r="V76" s="4638">
        <v>43</v>
      </c>
      <c r="W76" s="4638">
        <v>44</v>
      </c>
      <c r="X76" s="4638">
        <v>46</v>
      </c>
      <c r="Y76" s="4638">
        <v>47</v>
      </c>
      <c r="Z76" s="4639">
        <v>448</v>
      </c>
      <c r="AA76" s="4638"/>
      <c r="AB76" s="4640">
        <v>1</v>
      </c>
      <c r="AC76" s="4737" t="s">
        <v>3785</v>
      </c>
      <c r="AD76" s="3679"/>
      <c r="AE76" s="4737" t="s">
        <v>3786</v>
      </c>
      <c r="AF76" s="4743">
        <v>53649000</v>
      </c>
      <c r="AG76" s="4641">
        <v>23149000</v>
      </c>
      <c r="AH76" s="4641">
        <v>30500000</v>
      </c>
      <c r="AI76" s="3679"/>
      <c r="AJ76" s="3679">
        <v>406</v>
      </c>
      <c r="AK76" s="3679">
        <v>232</v>
      </c>
      <c r="AL76" s="3679">
        <v>174</v>
      </c>
      <c r="AM76" s="3679">
        <v>301</v>
      </c>
      <c r="AN76" s="3679">
        <v>105</v>
      </c>
      <c r="AO76" s="3679">
        <v>7</v>
      </c>
      <c r="AP76" s="3679">
        <v>109</v>
      </c>
      <c r="AQ76" s="3679">
        <v>96</v>
      </c>
      <c r="AR76" s="3679">
        <v>128</v>
      </c>
      <c r="AS76" s="3679">
        <v>55</v>
      </c>
      <c r="AT76" s="3679">
        <v>11</v>
      </c>
      <c r="AU76" s="3679"/>
      <c r="AV76" s="3679"/>
      <c r="AW76" s="3679">
        <v>406</v>
      </c>
      <c r="AX76" s="3679">
        <v>1</v>
      </c>
      <c r="AY76" s="3679"/>
      <c r="AZ76" s="3679">
        <v>1</v>
      </c>
      <c r="BA76" s="3679"/>
      <c r="BB76" s="3679"/>
      <c r="BC76" s="3679">
        <v>2</v>
      </c>
      <c r="BD76" s="3679">
        <v>366</v>
      </c>
      <c r="BE76" s="3679">
        <v>34</v>
      </c>
      <c r="BF76" s="3679">
        <v>6</v>
      </c>
      <c r="BG76" s="3679"/>
      <c r="BH76" s="3679"/>
      <c r="BI76" s="3679"/>
      <c r="BJ76" s="3679"/>
      <c r="BK76" s="3679"/>
      <c r="BL76" s="3679"/>
      <c r="BM76" s="3679"/>
      <c r="BN76" s="3679"/>
      <c r="BO76" s="3679"/>
      <c r="BP76" s="3679"/>
      <c r="BQ76" s="3679"/>
      <c r="BR76" s="3679"/>
      <c r="BS76" s="3679"/>
      <c r="BT76" s="4127">
        <v>7</v>
      </c>
      <c r="BU76" s="4638">
        <v>20</v>
      </c>
      <c r="BV76" s="4638">
        <f>+BT76+Z76</f>
        <v>455</v>
      </c>
      <c r="BW76" s="3685">
        <v>1</v>
      </c>
      <c r="BX76" s="16014"/>
      <c r="BY76" s="4738" t="s">
        <v>8990</v>
      </c>
      <c r="BZ76" s="4744" t="s">
        <v>8991</v>
      </c>
      <c r="CA76" s="4745" t="s">
        <v>3786</v>
      </c>
      <c r="CB76" s="4739">
        <v>94860000</v>
      </c>
      <c r="CC76" s="4739"/>
      <c r="CD76" s="4739">
        <v>94860000</v>
      </c>
      <c r="CE76" s="4739"/>
      <c r="CF76" s="4741">
        <v>527</v>
      </c>
      <c r="CG76" s="4741">
        <v>289</v>
      </c>
      <c r="CH76" s="4741">
        <v>238</v>
      </c>
      <c r="CI76" s="4741">
        <v>369</v>
      </c>
      <c r="CJ76" s="4741">
        <v>158</v>
      </c>
      <c r="CK76" s="4741">
        <v>22</v>
      </c>
      <c r="CL76" s="4741">
        <v>198</v>
      </c>
      <c r="CM76" s="4741">
        <v>119</v>
      </c>
      <c r="CN76" s="4741">
        <v>154</v>
      </c>
      <c r="CO76" s="4741">
        <v>19</v>
      </c>
      <c r="CP76" s="4741">
        <v>15</v>
      </c>
      <c r="CQ76" s="4741"/>
      <c r="CR76" s="4741"/>
      <c r="CS76" s="4742">
        <v>498</v>
      </c>
      <c r="CT76" s="4741">
        <v>16</v>
      </c>
      <c r="CU76" s="4741"/>
      <c r="CV76" s="4741">
        <v>13</v>
      </c>
      <c r="CW76" s="4741"/>
      <c r="CX76" s="4741"/>
      <c r="CY76" s="4741"/>
      <c r="CZ76" s="4741" t="s">
        <v>2943</v>
      </c>
      <c r="DA76" s="4741"/>
      <c r="DB76" s="4741" t="s">
        <v>2943</v>
      </c>
      <c r="DC76" s="4741" t="s">
        <v>2943</v>
      </c>
      <c r="DD76" s="4741" t="s">
        <v>2943</v>
      </c>
      <c r="DE76" s="4741" t="s">
        <v>2943</v>
      </c>
      <c r="DF76" s="4741"/>
      <c r="DG76" s="4741"/>
      <c r="DH76" s="4741"/>
      <c r="DI76" s="4741"/>
      <c r="DJ76" s="4741"/>
      <c r="DK76" s="4741"/>
      <c r="DL76" s="4741"/>
      <c r="DM76" s="4741"/>
      <c r="DN76" s="4741"/>
      <c r="DO76" s="4834"/>
      <c r="DQ76" s="3678"/>
      <c r="DR76" s="3679"/>
      <c r="DS76" s="3679"/>
      <c r="DT76" s="3679"/>
      <c r="DU76" s="3679"/>
      <c r="DV76" s="3679"/>
      <c r="DW76" s="3679"/>
      <c r="DX76" s="3679"/>
      <c r="DY76" s="3679"/>
      <c r="DZ76" s="3679"/>
      <c r="EA76" s="3679"/>
      <c r="EB76" s="3679"/>
      <c r="EC76" s="3679"/>
      <c r="ED76" s="3679"/>
      <c r="EE76" s="3679"/>
      <c r="EF76" s="3679"/>
      <c r="EG76" s="3679"/>
      <c r="EH76" s="3679"/>
      <c r="EI76" s="3679"/>
      <c r="EJ76" s="3679"/>
      <c r="EK76" s="3679"/>
      <c r="EL76" s="3679"/>
      <c r="EM76" s="3679"/>
      <c r="EN76" s="3679"/>
      <c r="EO76" s="3679"/>
      <c r="EP76" s="3679"/>
      <c r="EQ76" s="3679"/>
      <c r="ER76" s="3679"/>
      <c r="ES76" s="3679"/>
      <c r="ET76" s="3679"/>
      <c r="EU76" s="3679"/>
      <c r="EV76" s="3679"/>
      <c r="EW76" s="3679"/>
      <c r="EX76" s="3679"/>
      <c r="EY76" s="3679"/>
      <c r="EZ76" s="3679"/>
      <c r="FA76" s="3679"/>
      <c r="FB76" s="3679"/>
      <c r="FC76" s="3679"/>
      <c r="FD76" s="3679"/>
      <c r="FE76" s="3679"/>
      <c r="FF76" s="3679"/>
      <c r="FG76" s="3679"/>
      <c r="FH76" s="3679"/>
      <c r="FI76" s="3679"/>
      <c r="FJ76" s="3680"/>
    </row>
    <row r="77" spans="1:166" s="2005" customFormat="1" ht="15" customHeight="1">
      <c r="A77" s="15961"/>
      <c r="B77" s="15964"/>
      <c r="C77" s="15598"/>
      <c r="D77" s="4126" t="s">
        <v>7950</v>
      </c>
      <c r="E77" s="4127" t="s">
        <v>4977</v>
      </c>
      <c r="F77" s="4127" t="s">
        <v>772</v>
      </c>
      <c r="G77" s="4127">
        <v>0</v>
      </c>
      <c r="H77" s="4127">
        <v>10</v>
      </c>
      <c r="I77" s="4127">
        <v>50</v>
      </c>
      <c r="J77" s="4637">
        <v>200</v>
      </c>
      <c r="K77" s="4127" t="s">
        <v>773</v>
      </c>
      <c r="L77" s="4127" t="s">
        <v>218</v>
      </c>
      <c r="M77" s="4127" t="s">
        <v>768</v>
      </c>
      <c r="N77" s="4127"/>
      <c r="O77" s="4638">
        <v>35</v>
      </c>
      <c r="P77" s="4638">
        <v>36</v>
      </c>
      <c r="Q77" s="4638">
        <v>37</v>
      </c>
      <c r="R77" s="4638">
        <v>38</v>
      </c>
      <c r="S77" s="4638">
        <v>39</v>
      </c>
      <c r="T77" s="4638">
        <v>41</v>
      </c>
      <c r="U77" s="4736">
        <v>42</v>
      </c>
      <c r="V77" s="4638">
        <v>43</v>
      </c>
      <c r="W77" s="4638">
        <v>44</v>
      </c>
      <c r="X77" s="4638">
        <v>46</v>
      </c>
      <c r="Y77" s="4638">
        <v>47</v>
      </c>
      <c r="Z77" s="4639">
        <v>448</v>
      </c>
      <c r="AA77" s="4638"/>
      <c r="AB77" s="4746">
        <v>1</v>
      </c>
      <c r="AC77" s="3683" t="s">
        <v>3787</v>
      </c>
      <c r="AD77" s="3679"/>
      <c r="AE77" s="3679"/>
      <c r="AF77" s="4641">
        <f>15144000+16399920</f>
        <v>31543920</v>
      </c>
      <c r="AG77" s="4641">
        <f>15144000+16399920</f>
        <v>31543920</v>
      </c>
      <c r="AH77" s="3679"/>
      <c r="AI77" s="3679"/>
      <c r="AJ77" s="3706">
        <v>233</v>
      </c>
      <c r="AK77" s="3679">
        <v>154</v>
      </c>
      <c r="AL77" s="3679">
        <v>79</v>
      </c>
      <c r="AM77" s="3679">
        <v>140</v>
      </c>
      <c r="AN77" s="3679">
        <v>93</v>
      </c>
      <c r="AO77" s="3679">
        <v>26</v>
      </c>
      <c r="AP77" s="3679">
        <v>68</v>
      </c>
      <c r="AQ77" s="3679">
        <v>39</v>
      </c>
      <c r="AR77" s="3679">
        <v>67</v>
      </c>
      <c r="AS77" s="3679">
        <v>19</v>
      </c>
      <c r="AT77" s="3679">
        <v>14</v>
      </c>
      <c r="AU77" s="3679"/>
      <c r="AV77" s="3679"/>
      <c r="AW77" s="3679">
        <v>233</v>
      </c>
      <c r="AX77" s="3679"/>
      <c r="AY77" s="3679">
        <v>5</v>
      </c>
      <c r="AZ77" s="3679">
        <v>2</v>
      </c>
      <c r="BA77" s="3679"/>
      <c r="BB77" s="3679"/>
      <c r="BC77" s="3679"/>
      <c r="BD77" s="3679">
        <v>189</v>
      </c>
      <c r="BE77" s="3679">
        <v>12</v>
      </c>
      <c r="BF77" s="3679">
        <v>3</v>
      </c>
      <c r="BG77" s="3679"/>
      <c r="BH77" s="3679"/>
      <c r="BI77" s="3679"/>
      <c r="BJ77" s="3679"/>
      <c r="BK77" s="3679"/>
      <c r="BL77" s="3679"/>
      <c r="BM77" s="3679"/>
      <c r="BN77" s="3679"/>
      <c r="BO77" s="3679"/>
      <c r="BP77" s="3679"/>
      <c r="BQ77" s="3679"/>
      <c r="BR77" s="3679"/>
      <c r="BS77" s="3679"/>
      <c r="BT77" s="4127">
        <v>399</v>
      </c>
      <c r="BU77" s="3706">
        <v>1038</v>
      </c>
      <c r="BV77" s="4127">
        <f>+BT77+Z77</f>
        <v>847</v>
      </c>
      <c r="BW77" s="3685">
        <f t="shared" ref="BW77:BW88" si="3">BV77/BU77</f>
        <v>0.81599229287090558</v>
      </c>
      <c r="BX77" s="16014"/>
      <c r="BY77" s="4738" t="s">
        <v>8992</v>
      </c>
      <c r="BZ77" s="4747" t="s">
        <v>8993</v>
      </c>
      <c r="CA77" s="4745"/>
      <c r="CB77" s="4739">
        <v>50000000</v>
      </c>
      <c r="CC77" s="4739">
        <v>50000000</v>
      </c>
      <c r="CD77" s="4739"/>
      <c r="CE77" s="4739"/>
      <c r="CF77" s="4741">
        <v>399</v>
      </c>
      <c r="CG77" s="4741">
        <v>219</v>
      </c>
      <c r="CH77" s="4741">
        <v>90</v>
      </c>
      <c r="CI77" s="4741">
        <v>279</v>
      </c>
      <c r="CJ77" s="4741">
        <v>120</v>
      </c>
      <c r="CK77" s="4741">
        <v>23</v>
      </c>
      <c r="CL77" s="4741">
        <v>83</v>
      </c>
      <c r="CM77" s="4741">
        <v>145</v>
      </c>
      <c r="CN77" s="4741">
        <v>59</v>
      </c>
      <c r="CO77" s="4741">
        <v>49</v>
      </c>
      <c r="CP77" s="4741">
        <v>40</v>
      </c>
      <c r="CQ77" s="4741"/>
      <c r="CR77" s="4741"/>
      <c r="CS77" s="4742">
        <v>399</v>
      </c>
      <c r="CT77" s="4741"/>
      <c r="CU77" s="4741"/>
      <c r="CV77" s="4741"/>
      <c r="CW77" s="4741"/>
      <c r="CX77" s="4741"/>
      <c r="CY77" s="4741"/>
      <c r="CZ77" s="4741">
        <v>372</v>
      </c>
      <c r="DA77" s="4741">
        <v>15</v>
      </c>
      <c r="DB77" s="4741">
        <v>12</v>
      </c>
      <c r="DC77" s="4741"/>
      <c r="DD77" s="4741"/>
      <c r="DE77" s="4741"/>
      <c r="DF77" s="4741"/>
      <c r="DG77" s="4741"/>
      <c r="DH77" s="4741"/>
      <c r="DI77" s="4741"/>
      <c r="DJ77" s="4741"/>
      <c r="DK77" s="4741"/>
      <c r="DL77" s="4741"/>
      <c r="DM77" s="4741"/>
      <c r="DN77" s="4741"/>
      <c r="DO77" s="4834"/>
      <c r="DQ77" s="3678"/>
      <c r="DR77" s="3679"/>
      <c r="DS77" s="3679"/>
      <c r="DT77" s="3679"/>
      <c r="DU77" s="3679"/>
      <c r="DV77" s="3679"/>
      <c r="DW77" s="3679"/>
      <c r="DX77" s="3679"/>
      <c r="DY77" s="3679"/>
      <c r="DZ77" s="3679"/>
      <c r="EA77" s="3679"/>
      <c r="EB77" s="3679"/>
      <c r="EC77" s="3679"/>
      <c r="ED77" s="3679"/>
      <c r="EE77" s="3679"/>
      <c r="EF77" s="3679"/>
      <c r="EG77" s="3679"/>
      <c r="EH77" s="3679"/>
      <c r="EI77" s="3679"/>
      <c r="EJ77" s="3679"/>
      <c r="EK77" s="3679"/>
      <c r="EL77" s="3679"/>
      <c r="EM77" s="3679"/>
      <c r="EN77" s="3679"/>
      <c r="EO77" s="3679"/>
      <c r="EP77" s="3679"/>
      <c r="EQ77" s="3679"/>
      <c r="ER77" s="3679"/>
      <c r="ES77" s="3679"/>
      <c r="ET77" s="3679"/>
      <c r="EU77" s="3679"/>
      <c r="EV77" s="3679"/>
      <c r="EW77" s="3679"/>
      <c r="EX77" s="3679"/>
      <c r="EY77" s="3679"/>
      <c r="EZ77" s="3679"/>
      <c r="FA77" s="3679"/>
      <c r="FB77" s="3679"/>
      <c r="FC77" s="3679"/>
      <c r="FD77" s="3679"/>
      <c r="FE77" s="3679"/>
      <c r="FF77" s="3679"/>
      <c r="FG77" s="3679"/>
      <c r="FH77" s="3679"/>
      <c r="FI77" s="3679"/>
      <c r="FJ77" s="3680"/>
    </row>
    <row r="78" spans="1:166" s="2005" customFormat="1" ht="15" customHeight="1">
      <c r="A78" s="15961"/>
      <c r="B78" s="15964"/>
      <c r="C78" s="15598"/>
      <c r="D78" s="15598" t="s">
        <v>7951</v>
      </c>
      <c r="E78" s="15600" t="s">
        <v>4978</v>
      </c>
      <c r="F78" s="15600" t="s">
        <v>774</v>
      </c>
      <c r="G78" s="15600">
        <v>0</v>
      </c>
      <c r="H78" s="15600">
        <v>0</v>
      </c>
      <c r="I78" s="15600">
        <v>2</v>
      </c>
      <c r="J78" s="15915">
        <v>4</v>
      </c>
      <c r="K78" s="15600" t="s">
        <v>775</v>
      </c>
      <c r="L78" s="4127" t="s">
        <v>218</v>
      </c>
      <c r="M78" s="4127" t="s">
        <v>768</v>
      </c>
      <c r="N78" s="4638"/>
      <c r="O78" s="4638">
        <v>40</v>
      </c>
      <c r="P78" s="4638">
        <v>41</v>
      </c>
      <c r="Q78" s="4638">
        <v>42</v>
      </c>
      <c r="R78" s="4638" t="s">
        <v>690</v>
      </c>
      <c r="S78" s="4638" t="s">
        <v>690</v>
      </c>
      <c r="T78" s="4638" t="s">
        <v>690</v>
      </c>
      <c r="U78" s="4736" t="s">
        <v>690</v>
      </c>
      <c r="V78" s="4638" t="s">
        <v>690</v>
      </c>
      <c r="W78" s="4638" t="s">
        <v>690</v>
      </c>
      <c r="X78" s="4638" t="s">
        <v>690</v>
      </c>
      <c r="Y78" s="4638" t="s">
        <v>690</v>
      </c>
      <c r="Z78" s="4639">
        <v>123</v>
      </c>
      <c r="AA78" s="4638"/>
      <c r="AB78" s="4640">
        <v>1</v>
      </c>
      <c r="AC78" s="3683" t="s">
        <v>3788</v>
      </c>
      <c r="AD78" s="3679"/>
      <c r="AE78" s="3706" t="s">
        <v>3789</v>
      </c>
      <c r="AF78" s="4641"/>
      <c r="AG78" s="3679"/>
      <c r="AH78" s="4641"/>
      <c r="AI78" s="3679"/>
      <c r="AJ78" s="3679"/>
      <c r="AK78" s="3679"/>
      <c r="AL78" s="3679"/>
      <c r="AM78" s="3679"/>
      <c r="AN78" s="3679"/>
      <c r="AO78" s="3679"/>
      <c r="AP78" s="3679"/>
      <c r="AQ78" s="3679"/>
      <c r="AR78" s="3679"/>
      <c r="AS78" s="3679"/>
      <c r="AT78" s="3679"/>
      <c r="AU78" s="3679"/>
      <c r="AV78" s="3679"/>
      <c r="AW78" s="3679"/>
      <c r="AX78" s="3679"/>
      <c r="AY78" s="3679"/>
      <c r="AZ78" s="3679"/>
      <c r="BA78" s="3679"/>
      <c r="BB78" s="3679"/>
      <c r="BC78" s="3679"/>
      <c r="BD78" s="3679"/>
      <c r="BE78" s="3679"/>
      <c r="BF78" s="3679"/>
      <c r="BG78" s="3679"/>
      <c r="BH78" s="3679"/>
      <c r="BI78" s="3679"/>
      <c r="BJ78" s="3679"/>
      <c r="BK78" s="3679"/>
      <c r="BL78" s="3679"/>
      <c r="BM78" s="3679"/>
      <c r="BN78" s="3679"/>
      <c r="BO78" s="3679"/>
      <c r="BP78" s="3679"/>
      <c r="BQ78" s="3679"/>
      <c r="BR78" s="3679"/>
      <c r="BS78" s="3679"/>
      <c r="BT78" s="4127">
        <v>1</v>
      </c>
      <c r="BU78" s="4638">
        <v>14</v>
      </c>
      <c r="BV78" s="4638">
        <f>+BT78+Z78</f>
        <v>124</v>
      </c>
      <c r="BW78" s="3685">
        <f t="shared" si="3"/>
        <v>8.8571428571428577</v>
      </c>
      <c r="BX78" s="16014"/>
      <c r="BY78" s="4738" t="s">
        <v>8994</v>
      </c>
      <c r="BZ78" s="4638"/>
      <c r="CA78" s="4638"/>
      <c r="CB78" s="4740"/>
      <c r="CC78" s="4740"/>
      <c r="CD78" s="4740"/>
      <c r="CE78" s="4740"/>
      <c r="CF78" s="4748"/>
      <c r="CG78" s="4748"/>
      <c r="CH78" s="4748"/>
      <c r="CI78" s="4748"/>
      <c r="CJ78" s="4748"/>
      <c r="CK78" s="4748"/>
      <c r="CL78" s="4748"/>
      <c r="CM78" s="4748"/>
      <c r="CN78" s="4748"/>
      <c r="CO78" s="4748"/>
      <c r="CP78" s="4748"/>
      <c r="CQ78" s="4748"/>
      <c r="CR78" s="4748"/>
      <c r="CS78" s="4749"/>
      <c r="CT78" s="4748"/>
      <c r="CU78" s="4748"/>
      <c r="CV78" s="4748"/>
      <c r="CW78" s="4748"/>
      <c r="CX78" s="4748"/>
      <c r="CY78" s="4748"/>
      <c r="CZ78" s="4748"/>
      <c r="DA78" s="4748"/>
      <c r="DB78" s="4748"/>
      <c r="DC78" s="4748"/>
      <c r="DD78" s="4748"/>
      <c r="DE78" s="4748"/>
      <c r="DF78" s="4748"/>
      <c r="DG78" s="4748"/>
      <c r="DH78" s="4748"/>
      <c r="DI78" s="4748"/>
      <c r="DJ78" s="4748"/>
      <c r="DK78" s="4748"/>
      <c r="DL78" s="4748"/>
      <c r="DM78" s="4748"/>
      <c r="DN78" s="4748"/>
      <c r="DO78" s="4835"/>
      <c r="DQ78" s="3678"/>
      <c r="DR78" s="3679"/>
      <c r="DS78" s="3679"/>
      <c r="DT78" s="3679"/>
      <c r="DU78" s="3679"/>
      <c r="DV78" s="3679"/>
      <c r="DW78" s="3679"/>
      <c r="DX78" s="3679"/>
      <c r="DY78" s="3679"/>
      <c r="DZ78" s="3679"/>
      <c r="EA78" s="3679"/>
      <c r="EB78" s="3679"/>
      <c r="EC78" s="3679"/>
      <c r="ED78" s="3679"/>
      <c r="EE78" s="3679"/>
      <c r="EF78" s="3679"/>
      <c r="EG78" s="3679"/>
      <c r="EH78" s="3679"/>
      <c r="EI78" s="3679"/>
      <c r="EJ78" s="3679"/>
      <c r="EK78" s="3679"/>
      <c r="EL78" s="3679"/>
      <c r="EM78" s="3679"/>
      <c r="EN78" s="3679"/>
      <c r="EO78" s="3679"/>
      <c r="EP78" s="3679"/>
      <c r="EQ78" s="3679"/>
      <c r="ER78" s="3679"/>
      <c r="ES78" s="3679"/>
      <c r="ET78" s="3679"/>
      <c r="EU78" s="3679"/>
      <c r="EV78" s="3679"/>
      <c r="EW78" s="3679"/>
      <c r="EX78" s="3679"/>
      <c r="EY78" s="3679"/>
      <c r="EZ78" s="3679"/>
      <c r="FA78" s="3679"/>
      <c r="FB78" s="3679"/>
      <c r="FC78" s="3679"/>
      <c r="FD78" s="3679"/>
      <c r="FE78" s="3679"/>
      <c r="FF78" s="3679"/>
      <c r="FG78" s="3679"/>
      <c r="FH78" s="3679"/>
      <c r="FI78" s="3679"/>
      <c r="FJ78" s="3680"/>
    </row>
    <row r="79" spans="1:166" s="2005" customFormat="1" ht="15" customHeight="1">
      <c r="A79" s="15961"/>
      <c r="B79" s="15964"/>
      <c r="C79" s="15598"/>
      <c r="D79" s="15598"/>
      <c r="E79" s="15600"/>
      <c r="F79" s="15600"/>
      <c r="G79" s="15600"/>
      <c r="H79" s="15600"/>
      <c r="I79" s="15600"/>
      <c r="J79" s="15915"/>
      <c r="K79" s="15600"/>
      <c r="L79" s="4127" t="s">
        <v>10063</v>
      </c>
      <c r="M79" s="4127"/>
      <c r="N79" s="4638" t="s">
        <v>144</v>
      </c>
      <c r="O79" s="4638"/>
      <c r="P79" s="4638"/>
      <c r="Q79" s="4638"/>
      <c r="R79" s="4638"/>
      <c r="S79" s="4638"/>
      <c r="T79" s="4638"/>
      <c r="U79" s="4736"/>
      <c r="V79" s="4638"/>
      <c r="W79" s="4638"/>
      <c r="X79" s="4638"/>
      <c r="Y79" s="4638"/>
      <c r="Z79" s="4639"/>
      <c r="AA79" s="4638"/>
      <c r="AB79" s="4640"/>
      <c r="AC79" s="3683"/>
      <c r="AD79" s="3679"/>
      <c r="AE79" s="3706"/>
      <c r="AF79" s="4641"/>
      <c r="AG79" s="3679"/>
      <c r="AH79" s="4641"/>
      <c r="AI79" s="3679"/>
      <c r="AJ79" s="3679"/>
      <c r="AK79" s="3679"/>
      <c r="AL79" s="3679"/>
      <c r="AM79" s="3679"/>
      <c r="AN79" s="3679"/>
      <c r="AO79" s="3679"/>
      <c r="AP79" s="3679"/>
      <c r="AQ79" s="3679"/>
      <c r="AR79" s="3679"/>
      <c r="AS79" s="3679"/>
      <c r="AT79" s="3679"/>
      <c r="AU79" s="3679"/>
      <c r="AV79" s="3679"/>
      <c r="AW79" s="3679"/>
      <c r="AX79" s="3679"/>
      <c r="AY79" s="3679"/>
      <c r="AZ79" s="3679"/>
      <c r="BA79" s="3679"/>
      <c r="BB79" s="3679"/>
      <c r="BC79" s="3679"/>
      <c r="BD79" s="3679"/>
      <c r="BE79" s="3679"/>
      <c r="BF79" s="3679"/>
      <c r="BG79" s="3679"/>
      <c r="BH79" s="3679"/>
      <c r="BI79" s="3679"/>
      <c r="BJ79" s="3679"/>
      <c r="BK79" s="3679"/>
      <c r="BL79" s="3679"/>
      <c r="BM79" s="3679"/>
      <c r="BN79" s="3679"/>
      <c r="BO79" s="3679"/>
      <c r="BP79" s="3679"/>
      <c r="BQ79" s="3679"/>
      <c r="BR79" s="3679"/>
      <c r="BS79" s="3679"/>
      <c r="BT79" s="4127"/>
      <c r="BU79" s="4638"/>
      <c r="BV79" s="4638"/>
      <c r="BW79" s="3685"/>
      <c r="BX79" s="16014"/>
      <c r="BY79" s="4738"/>
      <c r="BZ79" s="4638"/>
      <c r="CA79" s="4638"/>
      <c r="CB79" s="4740"/>
      <c r="CC79" s="4740"/>
      <c r="CD79" s="4740"/>
      <c r="CE79" s="4740"/>
      <c r="CF79" s="4748"/>
      <c r="CG79" s="4748"/>
      <c r="CH79" s="4748"/>
      <c r="CI79" s="4748"/>
      <c r="CJ79" s="4748"/>
      <c r="CK79" s="4748"/>
      <c r="CL79" s="4748"/>
      <c r="CM79" s="4748"/>
      <c r="CN79" s="4748"/>
      <c r="CO79" s="4748"/>
      <c r="CP79" s="4748"/>
      <c r="CQ79" s="4748"/>
      <c r="CR79" s="4748"/>
      <c r="CS79" s="4749"/>
      <c r="CT79" s="4748"/>
      <c r="CU79" s="4748"/>
      <c r="CV79" s="4748"/>
      <c r="CW79" s="4748"/>
      <c r="CX79" s="4748"/>
      <c r="CY79" s="4748"/>
      <c r="CZ79" s="4748"/>
      <c r="DA79" s="4748"/>
      <c r="DB79" s="4748"/>
      <c r="DC79" s="4748"/>
      <c r="DD79" s="4748"/>
      <c r="DE79" s="4748"/>
      <c r="DF79" s="4748"/>
      <c r="DG79" s="4748"/>
      <c r="DH79" s="4748"/>
      <c r="DI79" s="4748"/>
      <c r="DJ79" s="4748"/>
      <c r="DK79" s="4748"/>
      <c r="DL79" s="4748"/>
      <c r="DM79" s="4748"/>
      <c r="DN79" s="4748"/>
      <c r="DO79" s="4835"/>
      <c r="DQ79" s="3678"/>
      <c r="DR79" s="3679"/>
      <c r="DS79" s="3679"/>
      <c r="DT79" s="3679"/>
      <c r="DU79" s="3679"/>
      <c r="DV79" s="3679"/>
      <c r="DW79" s="3679"/>
      <c r="DX79" s="3679"/>
      <c r="DY79" s="3679"/>
      <c r="DZ79" s="3679"/>
      <c r="EA79" s="3679"/>
      <c r="EB79" s="3679"/>
      <c r="EC79" s="3679"/>
      <c r="ED79" s="3679"/>
      <c r="EE79" s="3679"/>
      <c r="EF79" s="3679"/>
      <c r="EG79" s="3679"/>
      <c r="EH79" s="3679"/>
      <c r="EI79" s="3679"/>
      <c r="EJ79" s="3679"/>
      <c r="EK79" s="3679"/>
      <c r="EL79" s="3679"/>
      <c r="EM79" s="3679"/>
      <c r="EN79" s="3679"/>
      <c r="EO79" s="3679"/>
      <c r="EP79" s="3679"/>
      <c r="EQ79" s="3679"/>
      <c r="ER79" s="3679"/>
      <c r="ES79" s="3679"/>
      <c r="ET79" s="3679"/>
      <c r="EU79" s="3679"/>
      <c r="EV79" s="3679"/>
      <c r="EW79" s="3679"/>
      <c r="EX79" s="3679"/>
      <c r="EY79" s="3679"/>
      <c r="EZ79" s="3679"/>
      <c r="FA79" s="3679"/>
      <c r="FB79" s="3679"/>
      <c r="FC79" s="3679"/>
      <c r="FD79" s="3679"/>
      <c r="FE79" s="3679"/>
      <c r="FF79" s="3679"/>
      <c r="FG79" s="3679"/>
      <c r="FH79" s="3679"/>
      <c r="FI79" s="3679"/>
      <c r="FJ79" s="3680"/>
    </row>
    <row r="80" spans="1:166" s="2005" customFormat="1" ht="15" customHeight="1">
      <c r="A80" s="15961"/>
      <c r="B80" s="15964"/>
      <c r="C80" s="15598"/>
      <c r="D80" s="4126" t="s">
        <v>7952</v>
      </c>
      <c r="E80" s="4127" t="s">
        <v>4979</v>
      </c>
      <c r="F80" s="4127" t="s">
        <v>132</v>
      </c>
      <c r="G80" s="4127">
        <v>0</v>
      </c>
      <c r="H80" s="4127">
        <v>5</v>
      </c>
      <c r="I80" s="4127">
        <v>25</v>
      </c>
      <c r="J80" s="4637">
        <v>50</v>
      </c>
      <c r="K80" s="4127" t="s">
        <v>773</v>
      </c>
      <c r="L80" s="4127" t="s">
        <v>218</v>
      </c>
      <c r="M80" s="4127" t="s">
        <v>768</v>
      </c>
      <c r="N80" s="4127"/>
      <c r="O80" s="4638">
        <v>25</v>
      </c>
      <c r="P80" s="4638">
        <v>26</v>
      </c>
      <c r="Q80" s="4638">
        <v>27</v>
      </c>
      <c r="R80" s="4638">
        <v>27</v>
      </c>
      <c r="S80" s="4638">
        <v>28</v>
      </c>
      <c r="T80" s="4638">
        <v>29</v>
      </c>
      <c r="U80" s="4736">
        <v>30</v>
      </c>
      <c r="V80" s="4638">
        <v>31</v>
      </c>
      <c r="W80" s="4638">
        <v>32</v>
      </c>
      <c r="X80" s="4638">
        <v>33</v>
      </c>
      <c r="Y80" s="4638">
        <v>34</v>
      </c>
      <c r="Z80" s="4639">
        <v>322</v>
      </c>
      <c r="AA80" s="4638"/>
      <c r="AB80" s="4640">
        <v>1</v>
      </c>
      <c r="AC80" s="4750" t="s">
        <v>3790</v>
      </c>
      <c r="AD80" s="3679"/>
      <c r="AE80" s="3679"/>
      <c r="AF80" s="4641">
        <v>2500000</v>
      </c>
      <c r="AG80" s="4641">
        <v>2500000</v>
      </c>
      <c r="AH80" s="3679"/>
      <c r="AI80" s="3679"/>
      <c r="AJ80" s="3679">
        <v>73</v>
      </c>
      <c r="AK80" s="3679"/>
      <c r="AL80" s="3679">
        <v>73</v>
      </c>
      <c r="AM80" s="3679">
        <v>73</v>
      </c>
      <c r="AN80" s="3679"/>
      <c r="AO80" s="3679"/>
      <c r="AP80" s="3679"/>
      <c r="AQ80" s="3679"/>
      <c r="AR80" s="3679"/>
      <c r="AS80" s="3679">
        <v>23</v>
      </c>
      <c r="AT80" s="3679">
        <v>50</v>
      </c>
      <c r="AU80" s="3679"/>
      <c r="AV80" s="3679">
        <v>73</v>
      </c>
      <c r="AW80" s="3679"/>
      <c r="AX80" s="3679"/>
      <c r="AY80" s="3679"/>
      <c r="AZ80" s="3679"/>
      <c r="BA80" s="3679"/>
      <c r="BB80" s="3679"/>
      <c r="BC80" s="3679"/>
      <c r="BD80" s="3679">
        <v>68</v>
      </c>
      <c r="BE80" s="3679">
        <v>5</v>
      </c>
      <c r="BF80" s="3679"/>
      <c r="BG80" s="3679"/>
      <c r="BH80" s="3679"/>
      <c r="BI80" s="3679"/>
      <c r="BJ80" s="3679"/>
      <c r="BK80" s="3679"/>
      <c r="BL80" s="3679"/>
      <c r="BM80" s="3679"/>
      <c r="BN80" s="3679"/>
      <c r="BO80" s="3679"/>
      <c r="BP80" s="3679"/>
      <c r="BQ80" s="3679"/>
      <c r="BR80" s="3679"/>
      <c r="BS80" s="3679"/>
      <c r="BT80" s="4127">
        <v>81</v>
      </c>
      <c r="BU80" s="4751">
        <v>81</v>
      </c>
      <c r="BV80" s="4127">
        <v>81</v>
      </c>
      <c r="BW80" s="3685">
        <f t="shared" si="3"/>
        <v>1</v>
      </c>
      <c r="BX80" s="16014"/>
      <c r="BY80" s="4752" t="s">
        <v>8995</v>
      </c>
      <c r="BZ80" s="4638"/>
      <c r="CA80" s="4638"/>
      <c r="CB80" s="4739">
        <v>3000000</v>
      </c>
      <c r="CC80" s="4739">
        <v>3000000</v>
      </c>
      <c r="CD80" s="4739"/>
      <c r="CE80" s="4739"/>
      <c r="CF80" s="4741">
        <v>81</v>
      </c>
      <c r="CG80" s="4741">
        <v>44</v>
      </c>
      <c r="CH80" s="4741">
        <v>37</v>
      </c>
      <c r="CI80" s="4741">
        <v>57</v>
      </c>
      <c r="CJ80" s="4741">
        <v>24</v>
      </c>
      <c r="CK80" s="4741"/>
      <c r="CL80" s="4741"/>
      <c r="CM80" s="4741"/>
      <c r="CN80" s="4741"/>
      <c r="CO80" s="4741">
        <v>51</v>
      </c>
      <c r="CP80" s="4741">
        <v>30</v>
      </c>
      <c r="CQ80" s="4741"/>
      <c r="CR80" s="4741">
        <v>81</v>
      </c>
      <c r="CS80" s="4742"/>
      <c r="CT80" s="4741"/>
      <c r="CU80" s="4741"/>
      <c r="CV80" s="4741"/>
      <c r="CW80" s="4741"/>
      <c r="CX80" s="4741"/>
      <c r="CY80" s="4741"/>
      <c r="CZ80" s="4741">
        <v>79</v>
      </c>
      <c r="DA80" s="4741">
        <v>2</v>
      </c>
      <c r="DB80" s="4741"/>
      <c r="DC80" s="4741"/>
      <c r="DD80" s="4741"/>
      <c r="DE80" s="4741"/>
      <c r="DF80" s="4748"/>
      <c r="DG80" s="4748"/>
      <c r="DH80" s="4748"/>
      <c r="DI80" s="4748"/>
      <c r="DJ80" s="4748"/>
      <c r="DK80" s="4748"/>
      <c r="DL80" s="4748"/>
      <c r="DM80" s="4748"/>
      <c r="DN80" s="4748"/>
      <c r="DO80" s="4835"/>
      <c r="DQ80" s="3678"/>
      <c r="DR80" s="3679"/>
      <c r="DS80" s="3679"/>
      <c r="DT80" s="3679"/>
      <c r="DU80" s="3679"/>
      <c r="DV80" s="3679"/>
      <c r="DW80" s="3679"/>
      <c r="DX80" s="3679"/>
      <c r="DY80" s="3679"/>
      <c r="DZ80" s="3679"/>
      <c r="EA80" s="3679"/>
      <c r="EB80" s="3679"/>
      <c r="EC80" s="3679"/>
      <c r="ED80" s="3679"/>
      <c r="EE80" s="3679"/>
      <c r="EF80" s="3679"/>
      <c r="EG80" s="3679"/>
      <c r="EH80" s="3679"/>
      <c r="EI80" s="3679"/>
      <c r="EJ80" s="3679"/>
      <c r="EK80" s="3679"/>
      <c r="EL80" s="3679"/>
      <c r="EM80" s="3679"/>
      <c r="EN80" s="3679"/>
      <c r="EO80" s="3679"/>
      <c r="EP80" s="3679"/>
      <c r="EQ80" s="3679"/>
      <c r="ER80" s="3679"/>
      <c r="ES80" s="3679"/>
      <c r="ET80" s="3679"/>
      <c r="EU80" s="3679"/>
      <c r="EV80" s="3679"/>
      <c r="EW80" s="3679"/>
      <c r="EX80" s="3679"/>
      <c r="EY80" s="3679"/>
      <c r="EZ80" s="3679"/>
      <c r="FA80" s="3679"/>
      <c r="FB80" s="3679"/>
      <c r="FC80" s="3679"/>
      <c r="FD80" s="3679"/>
      <c r="FE80" s="3679"/>
      <c r="FF80" s="3679"/>
      <c r="FG80" s="3679"/>
      <c r="FH80" s="3679"/>
      <c r="FI80" s="3679"/>
      <c r="FJ80" s="3680"/>
    </row>
    <row r="81" spans="1:166" s="2005" customFormat="1" ht="15" customHeight="1">
      <c r="A81" s="15961"/>
      <c r="B81" s="15964"/>
      <c r="C81" s="15598"/>
      <c r="D81" s="4126" t="s">
        <v>7953</v>
      </c>
      <c r="E81" s="4127" t="s">
        <v>4980</v>
      </c>
      <c r="F81" s="4127" t="s">
        <v>757</v>
      </c>
      <c r="G81" s="4127">
        <v>0</v>
      </c>
      <c r="H81" s="4127">
        <v>0</v>
      </c>
      <c r="I81" s="4127">
        <v>2</v>
      </c>
      <c r="J81" s="4637">
        <v>6</v>
      </c>
      <c r="K81" s="4127" t="s">
        <v>776</v>
      </c>
      <c r="L81" s="4127" t="s">
        <v>218</v>
      </c>
      <c r="M81" s="4127" t="s">
        <v>768</v>
      </c>
      <c r="N81" s="4127"/>
      <c r="O81" s="4638">
        <v>25</v>
      </c>
      <c r="P81" s="4638">
        <v>26</v>
      </c>
      <c r="Q81" s="4638">
        <v>27</v>
      </c>
      <c r="R81" s="4638">
        <v>27</v>
      </c>
      <c r="S81" s="4638">
        <v>28</v>
      </c>
      <c r="T81" s="4638">
        <v>29</v>
      </c>
      <c r="U81" s="4736">
        <v>30</v>
      </c>
      <c r="V81" s="4638">
        <v>31</v>
      </c>
      <c r="W81" s="4638">
        <v>32</v>
      </c>
      <c r="X81" s="4638">
        <v>33</v>
      </c>
      <c r="Y81" s="4638">
        <v>34</v>
      </c>
      <c r="Z81" s="4639">
        <v>322</v>
      </c>
      <c r="AA81" s="4638"/>
      <c r="AB81" s="3706">
        <v>0</v>
      </c>
      <c r="AC81" s="3679"/>
      <c r="AD81" s="3679"/>
      <c r="AE81" s="3679"/>
      <c r="AF81" s="3679"/>
      <c r="AG81" s="3679"/>
      <c r="AH81" s="3679"/>
      <c r="AI81" s="3679"/>
      <c r="AJ81" s="3679"/>
      <c r="AK81" s="3679"/>
      <c r="AL81" s="3679"/>
      <c r="AM81" s="3679"/>
      <c r="AN81" s="3679"/>
      <c r="AO81" s="3679"/>
      <c r="AP81" s="3679"/>
      <c r="AQ81" s="3679"/>
      <c r="AR81" s="3679"/>
      <c r="AS81" s="3679"/>
      <c r="AT81" s="3679"/>
      <c r="AU81" s="3679"/>
      <c r="AV81" s="3679"/>
      <c r="AW81" s="3679"/>
      <c r="AX81" s="3679"/>
      <c r="AY81" s="3679"/>
      <c r="AZ81" s="3679"/>
      <c r="BA81" s="3679"/>
      <c r="BB81" s="3679"/>
      <c r="BC81" s="3679"/>
      <c r="BD81" s="3679"/>
      <c r="BE81" s="3679"/>
      <c r="BF81" s="3679"/>
      <c r="BG81" s="3679"/>
      <c r="BH81" s="3679"/>
      <c r="BI81" s="3679"/>
      <c r="BJ81" s="3679"/>
      <c r="BK81" s="3679"/>
      <c r="BL81" s="3679"/>
      <c r="BM81" s="3679"/>
      <c r="BN81" s="3679"/>
      <c r="BO81" s="3679"/>
      <c r="BP81" s="3679"/>
      <c r="BQ81" s="3679"/>
      <c r="BR81" s="3679"/>
      <c r="BS81" s="3679"/>
      <c r="BT81" s="4127">
        <v>6</v>
      </c>
      <c r="BU81" s="3706">
        <v>6</v>
      </c>
      <c r="BV81" s="4753">
        <v>6</v>
      </c>
      <c r="BW81" s="3685">
        <f t="shared" si="3"/>
        <v>1</v>
      </c>
      <c r="BX81" s="16014"/>
      <c r="BY81" s="4738" t="s">
        <v>8996</v>
      </c>
      <c r="BZ81" s="4638"/>
      <c r="CA81" s="4638"/>
      <c r="CB81" s="4739">
        <v>76980000</v>
      </c>
      <c r="CC81" s="4739"/>
      <c r="CD81" s="4739"/>
      <c r="CE81" s="4739">
        <v>76980000</v>
      </c>
      <c r="CF81" s="4741">
        <v>399</v>
      </c>
      <c r="CG81" s="4741">
        <v>219</v>
      </c>
      <c r="CH81" s="4741">
        <v>90</v>
      </c>
      <c r="CI81" s="4741">
        <v>279</v>
      </c>
      <c r="CJ81" s="4741">
        <v>120</v>
      </c>
      <c r="CK81" s="4741">
        <v>23</v>
      </c>
      <c r="CL81" s="4741">
        <v>83</v>
      </c>
      <c r="CM81" s="4741">
        <v>145</v>
      </c>
      <c r="CN81" s="4741">
        <v>59</v>
      </c>
      <c r="CO81" s="4741">
        <v>49</v>
      </c>
      <c r="CP81" s="4741">
        <v>40</v>
      </c>
      <c r="CQ81" s="4741"/>
      <c r="CR81" s="4741"/>
      <c r="CS81" s="4742">
        <v>399</v>
      </c>
      <c r="CT81" s="4741"/>
      <c r="CU81" s="4741"/>
      <c r="CV81" s="4741"/>
      <c r="CW81" s="4741"/>
      <c r="CX81" s="4741"/>
      <c r="CY81" s="4741"/>
      <c r="CZ81" s="4741"/>
      <c r="DA81" s="4741"/>
      <c r="DB81" s="4741"/>
      <c r="DC81" s="4741"/>
      <c r="DD81" s="4741"/>
      <c r="DE81" s="4741"/>
      <c r="DF81" s="4748"/>
      <c r="DG81" s="4748"/>
      <c r="DH81" s="4748"/>
      <c r="DI81" s="4748"/>
      <c r="DJ81" s="4748"/>
      <c r="DK81" s="4748"/>
      <c r="DL81" s="4748"/>
      <c r="DM81" s="4748"/>
      <c r="DN81" s="4748"/>
      <c r="DO81" s="4835"/>
      <c r="DQ81" s="3678"/>
      <c r="DR81" s="3679"/>
      <c r="DS81" s="3679"/>
      <c r="DT81" s="3679"/>
      <c r="DU81" s="3679"/>
      <c r="DV81" s="3679"/>
      <c r="DW81" s="3679"/>
      <c r="DX81" s="3679"/>
      <c r="DY81" s="3679"/>
      <c r="DZ81" s="3679"/>
      <c r="EA81" s="3679"/>
      <c r="EB81" s="3679"/>
      <c r="EC81" s="3679"/>
      <c r="ED81" s="3679"/>
      <c r="EE81" s="3679"/>
      <c r="EF81" s="3679"/>
      <c r="EG81" s="3679"/>
      <c r="EH81" s="3679"/>
      <c r="EI81" s="3679"/>
      <c r="EJ81" s="3679"/>
      <c r="EK81" s="3679"/>
      <c r="EL81" s="3679"/>
      <c r="EM81" s="3679"/>
      <c r="EN81" s="3679"/>
      <c r="EO81" s="3679"/>
      <c r="EP81" s="3679"/>
      <c r="EQ81" s="3679"/>
      <c r="ER81" s="3679"/>
      <c r="ES81" s="3679"/>
      <c r="ET81" s="3679"/>
      <c r="EU81" s="3679"/>
      <c r="EV81" s="3679"/>
      <c r="EW81" s="3679"/>
      <c r="EX81" s="3679"/>
      <c r="EY81" s="3679"/>
      <c r="EZ81" s="3679"/>
      <c r="FA81" s="3679"/>
      <c r="FB81" s="3679"/>
      <c r="FC81" s="3679"/>
      <c r="FD81" s="3679"/>
      <c r="FE81" s="3679"/>
      <c r="FF81" s="3679"/>
      <c r="FG81" s="3679"/>
      <c r="FH81" s="3679"/>
      <c r="FI81" s="3679"/>
      <c r="FJ81" s="3680"/>
    </row>
    <row r="82" spans="1:166" s="2005" customFormat="1" ht="15" customHeight="1">
      <c r="A82" s="15961"/>
      <c r="B82" s="15964"/>
      <c r="C82" s="15598" t="s">
        <v>777</v>
      </c>
      <c r="D82" s="4126" t="s">
        <v>7954</v>
      </c>
      <c r="E82" s="4127" t="s">
        <v>4981</v>
      </c>
      <c r="F82" s="4127" t="s">
        <v>778</v>
      </c>
      <c r="G82" s="4127">
        <v>0</v>
      </c>
      <c r="H82" s="4127">
        <v>1</v>
      </c>
      <c r="I82" s="4127">
        <v>5</v>
      </c>
      <c r="J82" s="4637">
        <v>20</v>
      </c>
      <c r="K82" s="4127" t="s">
        <v>779</v>
      </c>
      <c r="L82" s="4127" t="s">
        <v>218</v>
      </c>
      <c r="M82" s="4127" t="s">
        <v>768</v>
      </c>
      <c r="N82" s="4127"/>
      <c r="O82" s="4638">
        <v>30</v>
      </c>
      <c r="P82" s="4638">
        <v>31</v>
      </c>
      <c r="Q82" s="4638">
        <v>32</v>
      </c>
      <c r="R82" s="4638">
        <v>33</v>
      </c>
      <c r="S82" s="4638">
        <v>34</v>
      </c>
      <c r="T82" s="4638">
        <v>35</v>
      </c>
      <c r="U82" s="4736">
        <v>36</v>
      </c>
      <c r="V82" s="4638">
        <v>37</v>
      </c>
      <c r="W82" s="4638">
        <v>38</v>
      </c>
      <c r="X82" s="4638">
        <v>39</v>
      </c>
      <c r="Y82" s="4638">
        <v>40</v>
      </c>
      <c r="Z82" s="4639">
        <v>385</v>
      </c>
      <c r="AA82" s="4638"/>
      <c r="AB82" s="4754">
        <v>1</v>
      </c>
      <c r="AC82" s="3683" t="s">
        <v>3791</v>
      </c>
      <c r="AD82" s="3683" t="s">
        <v>3792</v>
      </c>
      <c r="AE82" s="3679"/>
      <c r="AF82" s="4755">
        <v>8000000</v>
      </c>
      <c r="AG82" s="4755">
        <v>8000000</v>
      </c>
      <c r="AH82" s="3679"/>
      <c r="AI82" s="3679"/>
      <c r="AJ82" s="3679"/>
      <c r="AK82" s="3679"/>
      <c r="AL82" s="3679"/>
      <c r="AM82" s="3679"/>
      <c r="AN82" s="3679"/>
      <c r="AO82" s="3679"/>
      <c r="AP82" s="3679"/>
      <c r="AQ82" s="3679"/>
      <c r="AR82" s="3679"/>
      <c r="AS82" s="3679"/>
      <c r="AT82" s="3679"/>
      <c r="AU82" s="3679"/>
      <c r="AV82" s="3679"/>
      <c r="AW82" s="3679"/>
      <c r="AX82" s="3679"/>
      <c r="AY82" s="3679"/>
      <c r="AZ82" s="3679"/>
      <c r="BA82" s="3679"/>
      <c r="BB82" s="3679"/>
      <c r="BC82" s="3679"/>
      <c r="BD82" s="3679"/>
      <c r="BE82" s="3679"/>
      <c r="BF82" s="3679"/>
      <c r="BG82" s="3679"/>
      <c r="BH82" s="3679"/>
      <c r="BI82" s="3679"/>
      <c r="BJ82" s="3679"/>
      <c r="BK82" s="3679"/>
      <c r="BL82" s="3679"/>
      <c r="BM82" s="3679"/>
      <c r="BN82" s="3679"/>
      <c r="BO82" s="3679"/>
      <c r="BP82" s="3679"/>
      <c r="BQ82" s="3679"/>
      <c r="BR82" s="3679"/>
      <c r="BS82" s="3679"/>
      <c r="BT82" s="4127">
        <v>28</v>
      </c>
      <c r="BU82" s="4638">
        <v>28</v>
      </c>
      <c r="BV82" s="4127">
        <v>28</v>
      </c>
      <c r="BW82" s="3685">
        <f t="shared" si="3"/>
        <v>1</v>
      </c>
      <c r="BX82" s="16014"/>
      <c r="BY82" s="4738" t="s">
        <v>8997</v>
      </c>
      <c r="BZ82" s="4738" t="s">
        <v>3792</v>
      </c>
      <c r="CA82" s="4638"/>
      <c r="CB82" s="4739">
        <v>2800000</v>
      </c>
      <c r="CC82" s="4739">
        <v>2800000</v>
      </c>
      <c r="CD82" s="4739"/>
      <c r="CE82" s="4739"/>
      <c r="CF82" s="4741"/>
      <c r="CG82" s="4741"/>
      <c r="CH82" s="4741"/>
      <c r="CI82" s="4741"/>
      <c r="CJ82" s="4741"/>
      <c r="CK82" s="4741"/>
      <c r="CL82" s="4741"/>
      <c r="CM82" s="4741"/>
      <c r="CN82" s="4741"/>
      <c r="CO82" s="4741"/>
      <c r="CP82" s="4741"/>
      <c r="CQ82" s="4741"/>
      <c r="CR82" s="4741"/>
      <c r="CS82" s="4742"/>
      <c r="CT82" s="4741"/>
      <c r="CU82" s="4741"/>
      <c r="CV82" s="4741"/>
      <c r="CW82" s="4741"/>
      <c r="CX82" s="4741"/>
      <c r="CY82" s="4741"/>
      <c r="CZ82" s="4741"/>
      <c r="DA82" s="4741"/>
      <c r="DB82" s="4741"/>
      <c r="DC82" s="4741"/>
      <c r="DD82" s="4741"/>
      <c r="DE82" s="4741"/>
      <c r="DF82" s="4748"/>
      <c r="DG82" s="4748"/>
      <c r="DH82" s="4748"/>
      <c r="DI82" s="4748"/>
      <c r="DJ82" s="4748"/>
      <c r="DK82" s="4748"/>
      <c r="DL82" s="4748"/>
      <c r="DM82" s="4748"/>
      <c r="DN82" s="4748"/>
      <c r="DO82" s="4835"/>
      <c r="DQ82" s="3678"/>
      <c r="DR82" s="3679"/>
      <c r="DS82" s="3679"/>
      <c r="DT82" s="3679"/>
      <c r="DU82" s="3679"/>
      <c r="DV82" s="3679"/>
      <c r="DW82" s="3679"/>
      <c r="DX82" s="3679"/>
      <c r="DY82" s="3679"/>
      <c r="DZ82" s="3679"/>
      <c r="EA82" s="3679"/>
      <c r="EB82" s="3679"/>
      <c r="EC82" s="3679"/>
      <c r="ED82" s="3679"/>
      <c r="EE82" s="3679"/>
      <c r="EF82" s="3679"/>
      <c r="EG82" s="3679"/>
      <c r="EH82" s="3679"/>
      <c r="EI82" s="3679"/>
      <c r="EJ82" s="3679"/>
      <c r="EK82" s="3679"/>
      <c r="EL82" s="3679"/>
      <c r="EM82" s="3679"/>
      <c r="EN82" s="3679"/>
      <c r="EO82" s="3679"/>
      <c r="EP82" s="3679"/>
      <c r="EQ82" s="3679"/>
      <c r="ER82" s="3679"/>
      <c r="ES82" s="3679"/>
      <c r="ET82" s="3679"/>
      <c r="EU82" s="3679"/>
      <c r="EV82" s="3679"/>
      <c r="EW82" s="3679"/>
      <c r="EX82" s="3679"/>
      <c r="EY82" s="3679"/>
      <c r="EZ82" s="3679"/>
      <c r="FA82" s="3679"/>
      <c r="FB82" s="3679"/>
      <c r="FC82" s="3679"/>
      <c r="FD82" s="3679"/>
      <c r="FE82" s="3679"/>
      <c r="FF82" s="3679"/>
      <c r="FG82" s="3679"/>
      <c r="FH82" s="3679"/>
      <c r="FI82" s="3679"/>
      <c r="FJ82" s="3680"/>
    </row>
    <row r="83" spans="1:166" s="2005" customFormat="1" ht="15" customHeight="1">
      <c r="A83" s="15961"/>
      <c r="B83" s="15964"/>
      <c r="C83" s="15598"/>
      <c r="D83" s="4126" t="s">
        <v>7955</v>
      </c>
      <c r="E83" s="4127" t="s">
        <v>4982</v>
      </c>
      <c r="F83" s="4127" t="s">
        <v>780</v>
      </c>
      <c r="G83" s="4127">
        <v>0</v>
      </c>
      <c r="H83" s="4127">
        <v>1</v>
      </c>
      <c r="I83" s="4127">
        <v>1</v>
      </c>
      <c r="J83" s="4637">
        <v>1</v>
      </c>
      <c r="K83" s="4127" t="s">
        <v>781</v>
      </c>
      <c r="L83" s="4127" t="s">
        <v>218</v>
      </c>
      <c r="M83" s="4127" t="s">
        <v>768</v>
      </c>
      <c r="N83" s="4127"/>
      <c r="O83" s="4638" t="s">
        <v>690</v>
      </c>
      <c r="P83" s="4638" t="s">
        <v>690</v>
      </c>
      <c r="Q83" s="4638" t="s">
        <v>690</v>
      </c>
      <c r="R83" s="4638" t="s">
        <v>690</v>
      </c>
      <c r="S83" s="4638" t="s">
        <v>690</v>
      </c>
      <c r="T83" s="4638" t="s">
        <v>690</v>
      </c>
      <c r="U83" s="4736" t="s">
        <v>690</v>
      </c>
      <c r="V83" s="4638" t="s">
        <v>690</v>
      </c>
      <c r="W83" s="4638" t="s">
        <v>690</v>
      </c>
      <c r="X83" s="4638" t="s">
        <v>690</v>
      </c>
      <c r="Y83" s="4638" t="s">
        <v>690</v>
      </c>
      <c r="Z83" s="4639">
        <v>0</v>
      </c>
      <c r="AA83" s="4638" t="s">
        <v>782</v>
      </c>
      <c r="AB83" s="4643">
        <v>1</v>
      </c>
      <c r="AC83" s="3683" t="s">
        <v>3793</v>
      </c>
      <c r="AD83" s="4756" t="s">
        <v>3794</v>
      </c>
      <c r="AE83" s="3679"/>
      <c r="AF83" s="4638" t="s">
        <v>3795</v>
      </c>
      <c r="AG83" s="3679"/>
      <c r="AH83" s="3679"/>
      <c r="AI83" s="3679"/>
      <c r="AJ83" s="3679"/>
      <c r="AK83" s="3679"/>
      <c r="AL83" s="3679"/>
      <c r="AM83" s="3679"/>
      <c r="AN83" s="3679"/>
      <c r="AO83" s="3679"/>
      <c r="AP83" s="3679"/>
      <c r="AQ83" s="3679"/>
      <c r="AR83" s="3679"/>
      <c r="AS83" s="3679"/>
      <c r="AT83" s="3679"/>
      <c r="AU83" s="3679"/>
      <c r="AV83" s="3679"/>
      <c r="AW83" s="3679"/>
      <c r="AX83" s="3679"/>
      <c r="AY83" s="3679"/>
      <c r="AZ83" s="3679"/>
      <c r="BA83" s="3679"/>
      <c r="BB83" s="3679"/>
      <c r="BC83" s="3679"/>
      <c r="BD83" s="3679"/>
      <c r="BE83" s="3679"/>
      <c r="BF83" s="3679"/>
      <c r="BG83" s="3679"/>
      <c r="BH83" s="3679"/>
      <c r="BI83" s="3679"/>
      <c r="BJ83" s="3679"/>
      <c r="BK83" s="3679"/>
      <c r="BL83" s="3679"/>
      <c r="BM83" s="3679"/>
      <c r="BN83" s="3679"/>
      <c r="BO83" s="3679"/>
      <c r="BP83" s="3679"/>
      <c r="BQ83" s="3679"/>
      <c r="BR83" s="3679"/>
      <c r="BS83" s="3679"/>
      <c r="BT83" s="4127">
        <v>1</v>
      </c>
      <c r="BU83" s="4638">
        <v>1</v>
      </c>
      <c r="BV83" s="4638">
        <v>1</v>
      </c>
      <c r="BW83" s="3685">
        <f t="shared" si="3"/>
        <v>1</v>
      </c>
      <c r="BX83" s="16014"/>
      <c r="BY83" s="4757" t="s">
        <v>3793</v>
      </c>
      <c r="BZ83" s="4758" t="s">
        <v>3794</v>
      </c>
      <c r="CA83" s="4638"/>
      <c r="CB83" s="4740"/>
      <c r="CC83" s="4740"/>
      <c r="CD83" s="4740"/>
      <c r="CE83" s="4740"/>
      <c r="CF83" s="4748"/>
      <c r="CG83" s="4748"/>
      <c r="CH83" s="4748"/>
      <c r="CI83" s="4748"/>
      <c r="CJ83" s="4748"/>
      <c r="CK83" s="4748"/>
      <c r="CL83" s="4748"/>
      <c r="CM83" s="4748"/>
      <c r="CN83" s="4748"/>
      <c r="CO83" s="4748"/>
      <c r="CP83" s="4748"/>
      <c r="CQ83" s="4748"/>
      <c r="CR83" s="4748"/>
      <c r="CS83" s="4749"/>
      <c r="CT83" s="4748"/>
      <c r="CU83" s="4748"/>
      <c r="CV83" s="4748"/>
      <c r="CW83" s="4748"/>
      <c r="CX83" s="4748"/>
      <c r="CY83" s="4748"/>
      <c r="CZ83" s="4748"/>
      <c r="DA83" s="4748"/>
      <c r="DB83" s="4748"/>
      <c r="DC83" s="4748"/>
      <c r="DD83" s="4748"/>
      <c r="DE83" s="4748"/>
      <c r="DF83" s="4748"/>
      <c r="DG83" s="4748"/>
      <c r="DH83" s="4748"/>
      <c r="DI83" s="4748"/>
      <c r="DJ83" s="4748"/>
      <c r="DK83" s="4748"/>
      <c r="DL83" s="4748"/>
      <c r="DM83" s="4748"/>
      <c r="DN83" s="4748"/>
      <c r="DO83" s="4835"/>
      <c r="DQ83" s="3678"/>
      <c r="DR83" s="3679"/>
      <c r="DS83" s="3679"/>
      <c r="DT83" s="3679"/>
      <c r="DU83" s="3679"/>
      <c r="DV83" s="3679"/>
      <c r="DW83" s="3679"/>
      <c r="DX83" s="3679"/>
      <c r="DY83" s="3679"/>
      <c r="DZ83" s="3679"/>
      <c r="EA83" s="3679"/>
      <c r="EB83" s="3679"/>
      <c r="EC83" s="3679"/>
      <c r="ED83" s="3679"/>
      <c r="EE83" s="3679"/>
      <c r="EF83" s="3679"/>
      <c r="EG83" s="3679"/>
      <c r="EH83" s="3679"/>
      <c r="EI83" s="3679"/>
      <c r="EJ83" s="3679"/>
      <c r="EK83" s="3679"/>
      <c r="EL83" s="3679"/>
      <c r="EM83" s="3679"/>
      <c r="EN83" s="3679"/>
      <c r="EO83" s="3679"/>
      <c r="EP83" s="3679"/>
      <c r="EQ83" s="3679"/>
      <c r="ER83" s="3679"/>
      <c r="ES83" s="3679"/>
      <c r="ET83" s="3679"/>
      <c r="EU83" s="3679"/>
      <c r="EV83" s="3679"/>
      <c r="EW83" s="3679"/>
      <c r="EX83" s="3679"/>
      <c r="EY83" s="3679"/>
      <c r="EZ83" s="3679"/>
      <c r="FA83" s="3679"/>
      <c r="FB83" s="3679"/>
      <c r="FC83" s="3679"/>
      <c r="FD83" s="3679"/>
      <c r="FE83" s="3679"/>
      <c r="FF83" s="3679"/>
      <c r="FG83" s="3679"/>
      <c r="FH83" s="3679"/>
      <c r="FI83" s="3679"/>
      <c r="FJ83" s="3680"/>
    </row>
    <row r="84" spans="1:166" s="2005" customFormat="1" ht="15" customHeight="1">
      <c r="A84" s="15961"/>
      <c r="B84" s="15964"/>
      <c r="C84" s="15598"/>
      <c r="D84" s="4126" t="s">
        <v>7956</v>
      </c>
      <c r="E84" s="4127" t="s">
        <v>4983</v>
      </c>
      <c r="F84" s="4127" t="s">
        <v>783</v>
      </c>
      <c r="G84" s="4127">
        <v>0</v>
      </c>
      <c r="H84" s="4127">
        <v>1</v>
      </c>
      <c r="I84" s="4127">
        <v>1</v>
      </c>
      <c r="J84" s="4637">
        <v>1</v>
      </c>
      <c r="K84" s="4127" t="s">
        <v>784</v>
      </c>
      <c r="L84" s="4127" t="s">
        <v>218</v>
      </c>
      <c r="M84" s="4127" t="s">
        <v>768</v>
      </c>
      <c r="N84" s="4127"/>
      <c r="O84" s="4638" t="s">
        <v>690</v>
      </c>
      <c r="P84" s="4638" t="s">
        <v>690</v>
      </c>
      <c r="Q84" s="4638" t="s">
        <v>690</v>
      </c>
      <c r="R84" s="4638" t="s">
        <v>690</v>
      </c>
      <c r="S84" s="4638" t="s">
        <v>690</v>
      </c>
      <c r="T84" s="4638" t="s">
        <v>690</v>
      </c>
      <c r="U84" s="4736" t="s">
        <v>690</v>
      </c>
      <c r="V84" s="4638" t="s">
        <v>690</v>
      </c>
      <c r="W84" s="4638" t="s">
        <v>690</v>
      </c>
      <c r="X84" s="4638" t="s">
        <v>690</v>
      </c>
      <c r="Y84" s="4638" t="s">
        <v>690</v>
      </c>
      <c r="Z84" s="4639">
        <v>0</v>
      </c>
      <c r="AA84" s="4638" t="s">
        <v>782</v>
      </c>
      <c r="AB84" s="4754">
        <v>1</v>
      </c>
      <c r="AC84" s="3679"/>
      <c r="AD84" s="3679"/>
      <c r="AE84" s="3679"/>
      <c r="AF84" s="3679"/>
      <c r="AG84" s="3679"/>
      <c r="AH84" s="3679"/>
      <c r="AI84" s="3679"/>
      <c r="AJ84" s="3679"/>
      <c r="AK84" s="3679"/>
      <c r="AL84" s="3679"/>
      <c r="AM84" s="3679"/>
      <c r="AN84" s="3679"/>
      <c r="AO84" s="3679"/>
      <c r="AP84" s="3679"/>
      <c r="AQ84" s="3679"/>
      <c r="AR84" s="3679"/>
      <c r="AS84" s="3679"/>
      <c r="AT84" s="3679"/>
      <c r="AU84" s="3679"/>
      <c r="AV84" s="3679"/>
      <c r="AW84" s="3679"/>
      <c r="AX84" s="3679"/>
      <c r="AY84" s="3679"/>
      <c r="AZ84" s="3679"/>
      <c r="BA84" s="3679"/>
      <c r="BB84" s="3679"/>
      <c r="BC84" s="3679"/>
      <c r="BD84" s="3679"/>
      <c r="BE84" s="3679"/>
      <c r="BF84" s="3679"/>
      <c r="BG84" s="3679"/>
      <c r="BH84" s="3679"/>
      <c r="BI84" s="3679"/>
      <c r="BJ84" s="3679"/>
      <c r="BK84" s="3679"/>
      <c r="BL84" s="3679"/>
      <c r="BM84" s="3679"/>
      <c r="BN84" s="3679"/>
      <c r="BO84" s="3679"/>
      <c r="BP84" s="3679"/>
      <c r="BQ84" s="3679"/>
      <c r="BR84" s="3679"/>
      <c r="BS84" s="3679"/>
      <c r="BT84" s="4127">
        <v>1</v>
      </c>
      <c r="BU84" s="4638">
        <v>1</v>
      </c>
      <c r="BV84" s="4127">
        <v>1</v>
      </c>
      <c r="BW84" s="3685">
        <f t="shared" si="3"/>
        <v>1</v>
      </c>
      <c r="BX84" s="16014"/>
      <c r="BY84" s="4127"/>
      <c r="BZ84" s="4638"/>
      <c r="CA84" s="4638"/>
      <c r="CB84" s="4740"/>
      <c r="CC84" s="4740"/>
      <c r="CD84" s="4740"/>
      <c r="CE84" s="4740"/>
      <c r="CF84" s="4748"/>
      <c r="CG84" s="4748"/>
      <c r="CH84" s="4748"/>
      <c r="CI84" s="4748"/>
      <c r="CJ84" s="4748"/>
      <c r="CK84" s="4748"/>
      <c r="CL84" s="4748"/>
      <c r="CM84" s="4748"/>
      <c r="CN84" s="4748"/>
      <c r="CO84" s="4748"/>
      <c r="CP84" s="4748"/>
      <c r="CQ84" s="4748"/>
      <c r="CR84" s="4748"/>
      <c r="CS84" s="4749"/>
      <c r="CT84" s="4748"/>
      <c r="CU84" s="4748"/>
      <c r="CV84" s="4748"/>
      <c r="CW84" s="4748"/>
      <c r="CX84" s="4748"/>
      <c r="CY84" s="4748"/>
      <c r="CZ84" s="4748"/>
      <c r="DA84" s="4748"/>
      <c r="DB84" s="4748"/>
      <c r="DC84" s="4748"/>
      <c r="DD84" s="4748"/>
      <c r="DE84" s="4748"/>
      <c r="DF84" s="4748"/>
      <c r="DG84" s="4748"/>
      <c r="DH84" s="4748"/>
      <c r="DI84" s="4748"/>
      <c r="DJ84" s="4748"/>
      <c r="DK84" s="4748"/>
      <c r="DL84" s="4748"/>
      <c r="DM84" s="4748"/>
      <c r="DN84" s="4748"/>
      <c r="DO84" s="4835"/>
      <c r="DQ84" s="3678"/>
      <c r="DR84" s="3679"/>
      <c r="DS84" s="3679"/>
      <c r="DT84" s="3679"/>
      <c r="DU84" s="3679"/>
      <c r="DV84" s="3679"/>
      <c r="DW84" s="3679"/>
      <c r="DX84" s="3679"/>
      <c r="DY84" s="3679"/>
      <c r="DZ84" s="3679"/>
      <c r="EA84" s="3679"/>
      <c r="EB84" s="3679"/>
      <c r="EC84" s="3679"/>
      <c r="ED84" s="3679"/>
      <c r="EE84" s="3679"/>
      <c r="EF84" s="3679"/>
      <c r="EG84" s="3679"/>
      <c r="EH84" s="3679"/>
      <c r="EI84" s="3679"/>
      <c r="EJ84" s="3679"/>
      <c r="EK84" s="3679"/>
      <c r="EL84" s="3679"/>
      <c r="EM84" s="3679"/>
      <c r="EN84" s="3679"/>
      <c r="EO84" s="3679"/>
      <c r="EP84" s="3679"/>
      <c r="EQ84" s="3679"/>
      <c r="ER84" s="3679"/>
      <c r="ES84" s="3679"/>
      <c r="ET84" s="3679"/>
      <c r="EU84" s="3679"/>
      <c r="EV84" s="3679"/>
      <c r="EW84" s="3679"/>
      <c r="EX84" s="3679"/>
      <c r="EY84" s="3679"/>
      <c r="EZ84" s="3679"/>
      <c r="FA84" s="3679"/>
      <c r="FB84" s="3679"/>
      <c r="FC84" s="3679"/>
      <c r="FD84" s="3679"/>
      <c r="FE84" s="3679"/>
      <c r="FF84" s="3679"/>
      <c r="FG84" s="3679"/>
      <c r="FH84" s="3679"/>
      <c r="FI84" s="3679"/>
      <c r="FJ84" s="3680"/>
    </row>
    <row r="85" spans="1:166" s="2005" customFormat="1" ht="15" customHeight="1">
      <c r="A85" s="15961"/>
      <c r="B85" s="15964"/>
      <c r="C85" s="15598"/>
      <c r="D85" s="15598" t="s">
        <v>7957</v>
      </c>
      <c r="E85" s="15600" t="s">
        <v>4984</v>
      </c>
      <c r="F85" s="15600" t="s">
        <v>785</v>
      </c>
      <c r="G85" s="15600">
        <v>0</v>
      </c>
      <c r="H85" s="15919">
        <v>0.03</v>
      </c>
      <c r="I85" s="15919">
        <v>0.1</v>
      </c>
      <c r="J85" s="15920">
        <v>0.3</v>
      </c>
      <c r="K85" s="15600" t="s">
        <v>786</v>
      </c>
      <c r="L85" s="4127" t="s">
        <v>218</v>
      </c>
      <c r="M85" s="4127" t="s">
        <v>768</v>
      </c>
      <c r="N85" s="4127"/>
      <c r="O85" s="4638" t="s">
        <v>690</v>
      </c>
      <c r="P85" s="4638" t="s">
        <v>690</v>
      </c>
      <c r="Q85" s="4638" t="s">
        <v>690</v>
      </c>
      <c r="R85" s="4638" t="s">
        <v>690</v>
      </c>
      <c r="S85" s="4638" t="s">
        <v>690</v>
      </c>
      <c r="T85" s="4638" t="s">
        <v>690</v>
      </c>
      <c r="U85" s="4736" t="s">
        <v>690</v>
      </c>
      <c r="V85" s="4638" t="s">
        <v>690</v>
      </c>
      <c r="W85" s="4638" t="s">
        <v>690</v>
      </c>
      <c r="X85" s="4638" t="s">
        <v>690</v>
      </c>
      <c r="Y85" s="4638" t="s">
        <v>690</v>
      </c>
      <c r="Z85" s="4639">
        <v>0</v>
      </c>
      <c r="AA85" s="4638" t="s">
        <v>782</v>
      </c>
      <c r="AB85" s="4640">
        <v>0.8</v>
      </c>
      <c r="AC85" s="3679"/>
      <c r="AD85" s="3679"/>
      <c r="AE85" s="3679"/>
      <c r="AF85" s="3679"/>
      <c r="AG85" s="3679"/>
      <c r="AH85" s="3679"/>
      <c r="AI85" s="3679"/>
      <c r="AJ85" s="3679"/>
      <c r="AK85" s="3679"/>
      <c r="AL85" s="3679"/>
      <c r="AM85" s="3679"/>
      <c r="AN85" s="3679"/>
      <c r="AO85" s="3679"/>
      <c r="AP85" s="3679"/>
      <c r="AQ85" s="3679"/>
      <c r="AR85" s="3679"/>
      <c r="AS85" s="3679"/>
      <c r="AT85" s="3679"/>
      <c r="AU85" s="3679"/>
      <c r="AV85" s="3679"/>
      <c r="AW85" s="3679"/>
      <c r="AX85" s="3679"/>
      <c r="AY85" s="3679"/>
      <c r="AZ85" s="3679"/>
      <c r="BA85" s="3679"/>
      <c r="BB85" s="3679"/>
      <c r="BC85" s="3679"/>
      <c r="BD85" s="3679"/>
      <c r="BE85" s="3679"/>
      <c r="BF85" s="3679"/>
      <c r="BG85" s="3679"/>
      <c r="BH85" s="3679"/>
      <c r="BI85" s="3679"/>
      <c r="BJ85" s="3679"/>
      <c r="BK85" s="3679"/>
      <c r="BL85" s="3679"/>
      <c r="BM85" s="3679"/>
      <c r="BN85" s="3679"/>
      <c r="BO85" s="3679"/>
      <c r="BP85" s="3679"/>
      <c r="BQ85" s="3679"/>
      <c r="BR85" s="3679"/>
      <c r="BS85" s="3679"/>
      <c r="BT85" s="4642">
        <v>0.3</v>
      </c>
      <c r="BU85" s="4642">
        <v>0.3</v>
      </c>
      <c r="BV85" s="4642">
        <v>0.3</v>
      </c>
      <c r="BW85" s="3685">
        <f t="shared" si="3"/>
        <v>1</v>
      </c>
      <c r="BX85" s="16014"/>
      <c r="BY85" s="4642"/>
      <c r="BZ85" s="4638"/>
      <c r="CA85" s="4638"/>
      <c r="CB85" s="4740"/>
      <c r="CC85" s="4740"/>
      <c r="CD85" s="4740"/>
      <c r="CE85" s="4740"/>
      <c r="CF85" s="4748"/>
      <c r="CG85" s="4748"/>
      <c r="CH85" s="4748"/>
      <c r="CI85" s="4748"/>
      <c r="CJ85" s="4748"/>
      <c r="CK85" s="4748"/>
      <c r="CL85" s="4748"/>
      <c r="CM85" s="4748"/>
      <c r="CN85" s="4748"/>
      <c r="CO85" s="4748"/>
      <c r="CP85" s="4748"/>
      <c r="CQ85" s="4748"/>
      <c r="CR85" s="4748"/>
      <c r="CS85" s="4749"/>
      <c r="CT85" s="4748"/>
      <c r="CU85" s="4748"/>
      <c r="CV85" s="4748"/>
      <c r="CW85" s="4748"/>
      <c r="CX85" s="4748"/>
      <c r="CY85" s="4748"/>
      <c r="CZ85" s="4748"/>
      <c r="DA85" s="4748"/>
      <c r="DB85" s="4748"/>
      <c r="DC85" s="4748"/>
      <c r="DD85" s="4748"/>
      <c r="DE85" s="4748"/>
      <c r="DF85" s="4748"/>
      <c r="DG85" s="4748"/>
      <c r="DH85" s="4748"/>
      <c r="DI85" s="4748"/>
      <c r="DJ85" s="4748"/>
      <c r="DK85" s="4748"/>
      <c r="DL85" s="4748"/>
      <c r="DM85" s="4748"/>
      <c r="DN85" s="4748"/>
      <c r="DO85" s="4835"/>
      <c r="DQ85" s="3678"/>
      <c r="DR85" s="3679"/>
      <c r="DS85" s="3679"/>
      <c r="DT85" s="3679"/>
      <c r="DU85" s="3679"/>
      <c r="DV85" s="3679"/>
      <c r="DW85" s="3679"/>
      <c r="DX85" s="3679"/>
      <c r="DY85" s="3679"/>
      <c r="DZ85" s="3679"/>
      <c r="EA85" s="3679"/>
      <c r="EB85" s="3679"/>
      <c r="EC85" s="3679"/>
      <c r="ED85" s="3679"/>
      <c r="EE85" s="3679"/>
      <c r="EF85" s="3679"/>
      <c r="EG85" s="3679"/>
      <c r="EH85" s="3679"/>
      <c r="EI85" s="3679"/>
      <c r="EJ85" s="3679"/>
      <c r="EK85" s="3679"/>
      <c r="EL85" s="3679"/>
      <c r="EM85" s="3679"/>
      <c r="EN85" s="3679"/>
      <c r="EO85" s="3679"/>
      <c r="EP85" s="3679"/>
      <c r="EQ85" s="3679"/>
      <c r="ER85" s="3679"/>
      <c r="ES85" s="3679"/>
      <c r="ET85" s="3679"/>
      <c r="EU85" s="3679"/>
      <c r="EV85" s="3679"/>
      <c r="EW85" s="3679"/>
      <c r="EX85" s="3679"/>
      <c r="EY85" s="3679"/>
      <c r="EZ85" s="3679"/>
      <c r="FA85" s="3679"/>
      <c r="FB85" s="3679"/>
      <c r="FC85" s="3679"/>
      <c r="FD85" s="3679"/>
      <c r="FE85" s="3679"/>
      <c r="FF85" s="3679"/>
      <c r="FG85" s="3679"/>
      <c r="FH85" s="3679"/>
      <c r="FI85" s="3679"/>
      <c r="FJ85" s="3680"/>
    </row>
    <row r="86" spans="1:166" s="2005" customFormat="1" ht="15" customHeight="1">
      <c r="A86" s="15961"/>
      <c r="B86" s="15964"/>
      <c r="C86" s="4126"/>
      <c r="D86" s="15598"/>
      <c r="E86" s="15600"/>
      <c r="F86" s="15600"/>
      <c r="G86" s="15600"/>
      <c r="H86" s="15919"/>
      <c r="I86" s="15919"/>
      <c r="J86" s="15920"/>
      <c r="K86" s="15600"/>
      <c r="L86" s="4127" t="s">
        <v>10092</v>
      </c>
      <c r="M86" s="4127"/>
      <c r="N86" s="4127" t="s">
        <v>787</v>
      </c>
      <c r="O86" s="4638"/>
      <c r="P86" s="4638"/>
      <c r="Q86" s="4638"/>
      <c r="R86" s="4638"/>
      <c r="S86" s="4638"/>
      <c r="T86" s="4638"/>
      <c r="U86" s="4736"/>
      <c r="V86" s="4638"/>
      <c r="W86" s="4638"/>
      <c r="X86" s="4638"/>
      <c r="Y86" s="4638"/>
      <c r="Z86" s="4639"/>
      <c r="AA86" s="4638"/>
      <c r="AB86" s="4640"/>
      <c r="AC86" s="3679"/>
      <c r="AD86" s="3679"/>
      <c r="AE86" s="3679"/>
      <c r="AF86" s="3679"/>
      <c r="AG86" s="3679"/>
      <c r="AH86" s="3679"/>
      <c r="AI86" s="3679"/>
      <c r="AJ86" s="3679"/>
      <c r="AK86" s="3679"/>
      <c r="AL86" s="3679"/>
      <c r="AM86" s="3679"/>
      <c r="AN86" s="3679"/>
      <c r="AO86" s="3679"/>
      <c r="AP86" s="3679"/>
      <c r="AQ86" s="3679"/>
      <c r="AR86" s="3679"/>
      <c r="AS86" s="3679"/>
      <c r="AT86" s="3679"/>
      <c r="AU86" s="3679"/>
      <c r="AV86" s="3679"/>
      <c r="AW86" s="3679"/>
      <c r="AX86" s="3679"/>
      <c r="AY86" s="3679"/>
      <c r="AZ86" s="3679"/>
      <c r="BA86" s="3679"/>
      <c r="BB86" s="3679"/>
      <c r="BC86" s="3679"/>
      <c r="BD86" s="3679"/>
      <c r="BE86" s="3679"/>
      <c r="BF86" s="3679"/>
      <c r="BG86" s="3679"/>
      <c r="BH86" s="3679"/>
      <c r="BI86" s="3679"/>
      <c r="BJ86" s="3679"/>
      <c r="BK86" s="3679"/>
      <c r="BL86" s="3679"/>
      <c r="BM86" s="3679"/>
      <c r="BN86" s="3679"/>
      <c r="BO86" s="3679"/>
      <c r="BP86" s="3679"/>
      <c r="BQ86" s="3679"/>
      <c r="BR86" s="3679"/>
      <c r="BS86" s="3679"/>
      <c r="BT86" s="4642"/>
      <c r="BU86" s="4642"/>
      <c r="BV86" s="4642"/>
      <c r="BW86" s="3685"/>
      <c r="BX86" s="16014"/>
      <c r="BY86" s="4642"/>
      <c r="BZ86" s="4638"/>
      <c r="CA86" s="4638"/>
      <c r="CB86" s="4740"/>
      <c r="CC86" s="4740"/>
      <c r="CD86" s="4740"/>
      <c r="CE86" s="4740"/>
      <c r="CF86" s="4748"/>
      <c r="CG86" s="4748"/>
      <c r="CH86" s="4748"/>
      <c r="CI86" s="4748"/>
      <c r="CJ86" s="4748"/>
      <c r="CK86" s="4748"/>
      <c r="CL86" s="4748"/>
      <c r="CM86" s="4748"/>
      <c r="CN86" s="4748"/>
      <c r="CO86" s="4748"/>
      <c r="CP86" s="4748"/>
      <c r="CQ86" s="4748"/>
      <c r="CR86" s="4748"/>
      <c r="CS86" s="4749"/>
      <c r="CT86" s="4748"/>
      <c r="CU86" s="4748"/>
      <c r="CV86" s="4748"/>
      <c r="CW86" s="4748"/>
      <c r="CX86" s="4748"/>
      <c r="CY86" s="4748"/>
      <c r="CZ86" s="4748"/>
      <c r="DA86" s="4748"/>
      <c r="DB86" s="4748"/>
      <c r="DC86" s="4748"/>
      <c r="DD86" s="4748"/>
      <c r="DE86" s="4748"/>
      <c r="DF86" s="4748"/>
      <c r="DG86" s="4748"/>
      <c r="DH86" s="4748"/>
      <c r="DI86" s="4748"/>
      <c r="DJ86" s="4748"/>
      <c r="DK86" s="4748"/>
      <c r="DL86" s="4748"/>
      <c r="DM86" s="4748"/>
      <c r="DN86" s="4748"/>
      <c r="DO86" s="4835"/>
      <c r="DQ86" s="3678"/>
      <c r="DR86" s="3679"/>
      <c r="DS86" s="3679"/>
      <c r="DT86" s="3679"/>
      <c r="DU86" s="3679"/>
      <c r="DV86" s="3679"/>
      <c r="DW86" s="3679"/>
      <c r="DX86" s="3679"/>
      <c r="DY86" s="3679"/>
      <c r="DZ86" s="3679"/>
      <c r="EA86" s="3679"/>
      <c r="EB86" s="3679"/>
      <c r="EC86" s="3679"/>
      <c r="ED86" s="3679"/>
      <c r="EE86" s="3679"/>
      <c r="EF86" s="3679"/>
      <c r="EG86" s="3679"/>
      <c r="EH86" s="3679"/>
      <c r="EI86" s="3679"/>
      <c r="EJ86" s="3679"/>
      <c r="EK86" s="3679"/>
      <c r="EL86" s="3679"/>
      <c r="EM86" s="3679"/>
      <c r="EN86" s="3679"/>
      <c r="EO86" s="3679"/>
      <c r="EP86" s="3679"/>
      <c r="EQ86" s="3679"/>
      <c r="ER86" s="3679"/>
      <c r="ES86" s="3679"/>
      <c r="ET86" s="3679"/>
      <c r="EU86" s="3679"/>
      <c r="EV86" s="3679"/>
      <c r="EW86" s="3679"/>
      <c r="EX86" s="3679"/>
      <c r="EY86" s="3679"/>
      <c r="EZ86" s="3679"/>
      <c r="FA86" s="3679"/>
      <c r="FB86" s="3679"/>
      <c r="FC86" s="3679"/>
      <c r="FD86" s="3679"/>
      <c r="FE86" s="3679"/>
      <c r="FF86" s="3679"/>
      <c r="FG86" s="3679"/>
      <c r="FH86" s="3679"/>
      <c r="FI86" s="3679"/>
      <c r="FJ86" s="3680"/>
    </row>
    <row r="87" spans="1:166" s="2005" customFormat="1" ht="15" customHeight="1">
      <c r="A87" s="15961"/>
      <c r="B87" s="15964"/>
      <c r="C87" s="15598" t="s">
        <v>788</v>
      </c>
      <c r="D87" s="4126" t="s">
        <v>7958</v>
      </c>
      <c r="E87" s="4127" t="s">
        <v>4985</v>
      </c>
      <c r="F87" s="4127" t="s">
        <v>789</v>
      </c>
      <c r="G87" s="4127">
        <v>0</v>
      </c>
      <c r="H87" s="4127">
        <v>1</v>
      </c>
      <c r="I87" s="4127">
        <v>1</v>
      </c>
      <c r="J87" s="4637">
        <v>1</v>
      </c>
      <c r="K87" s="4127" t="s">
        <v>790</v>
      </c>
      <c r="L87" s="4127" t="s">
        <v>218</v>
      </c>
      <c r="M87" s="4127" t="s">
        <v>768</v>
      </c>
      <c r="N87" s="4127"/>
      <c r="O87" s="4638">
        <v>50</v>
      </c>
      <c r="P87" s="4638">
        <v>52</v>
      </c>
      <c r="Q87" s="4638">
        <v>53</v>
      </c>
      <c r="R87" s="4638">
        <v>55</v>
      </c>
      <c r="S87" s="4638">
        <v>56</v>
      </c>
      <c r="T87" s="4638">
        <v>58</v>
      </c>
      <c r="U87" s="4736">
        <v>60</v>
      </c>
      <c r="V87" s="4638">
        <v>61</v>
      </c>
      <c r="W87" s="4638">
        <v>63</v>
      </c>
      <c r="X87" s="4638">
        <v>65</v>
      </c>
      <c r="Y87" s="4638">
        <v>67</v>
      </c>
      <c r="Z87" s="4639">
        <v>640</v>
      </c>
      <c r="AA87" s="4638"/>
      <c r="AB87" s="4759">
        <v>1</v>
      </c>
      <c r="AC87" s="4737" t="s">
        <v>3796</v>
      </c>
      <c r="AD87" s="3683" t="s">
        <v>3797</v>
      </c>
      <c r="AE87" s="3679"/>
      <c r="AF87" s="4743">
        <v>5000000</v>
      </c>
      <c r="AG87" s="3679"/>
      <c r="AH87" s="3679">
        <v>5000000</v>
      </c>
      <c r="AI87" s="3679"/>
      <c r="AJ87" s="3679"/>
      <c r="AK87" s="3679"/>
      <c r="AL87" s="3679"/>
      <c r="AM87" s="3679"/>
      <c r="AN87" s="3679"/>
      <c r="AO87" s="3679"/>
      <c r="AP87" s="3679"/>
      <c r="AQ87" s="3679"/>
      <c r="AR87" s="3679"/>
      <c r="AS87" s="3679"/>
      <c r="AT87" s="3679"/>
      <c r="AU87" s="3679"/>
      <c r="AV87" s="3679"/>
      <c r="AW87" s="3679"/>
      <c r="AX87" s="3679"/>
      <c r="AY87" s="3679"/>
      <c r="AZ87" s="3679"/>
      <c r="BA87" s="3679"/>
      <c r="BB87" s="3679"/>
      <c r="BC87" s="3679"/>
      <c r="BD87" s="3679"/>
      <c r="BE87" s="3679"/>
      <c r="BF87" s="3679"/>
      <c r="BG87" s="3679"/>
      <c r="BH87" s="3679"/>
      <c r="BI87" s="3679"/>
      <c r="BJ87" s="3679"/>
      <c r="BK87" s="3679"/>
      <c r="BL87" s="3679"/>
      <c r="BM87" s="3679"/>
      <c r="BN87" s="3679"/>
      <c r="BO87" s="3679"/>
      <c r="BP87" s="3679"/>
      <c r="BQ87" s="3679"/>
      <c r="BR87" s="3679"/>
      <c r="BS87" s="3679"/>
      <c r="BT87" s="4127" t="s">
        <v>3781</v>
      </c>
      <c r="BU87" s="4638" t="s">
        <v>3781</v>
      </c>
      <c r="BV87" s="4127">
        <v>1</v>
      </c>
      <c r="BW87" s="3685" t="s">
        <v>3781</v>
      </c>
      <c r="BX87" s="16014"/>
      <c r="BY87" s="4638"/>
      <c r="BZ87" s="4638"/>
      <c r="CA87" s="4638"/>
      <c r="CB87" s="4740"/>
      <c r="CC87" s="4740"/>
      <c r="CD87" s="4740"/>
      <c r="CE87" s="4740"/>
      <c r="CF87" s="4748"/>
      <c r="CG87" s="4748"/>
      <c r="CH87" s="4748"/>
      <c r="CI87" s="4748"/>
      <c r="CJ87" s="4748"/>
      <c r="CK87" s="4748"/>
      <c r="CL87" s="4748"/>
      <c r="CM87" s="4748"/>
      <c r="CN87" s="4748"/>
      <c r="CO87" s="4748"/>
      <c r="CP87" s="4748"/>
      <c r="CQ87" s="4748"/>
      <c r="CR87" s="4748"/>
      <c r="CS87" s="4749"/>
      <c r="CT87" s="4748"/>
      <c r="CU87" s="4748"/>
      <c r="CV87" s="4748"/>
      <c r="CW87" s="4748"/>
      <c r="CX87" s="4748"/>
      <c r="CY87" s="4748"/>
      <c r="CZ87" s="4748"/>
      <c r="DA87" s="4748"/>
      <c r="DB87" s="4748"/>
      <c r="DC87" s="4748"/>
      <c r="DD87" s="4748"/>
      <c r="DE87" s="4748"/>
      <c r="DF87" s="4748"/>
      <c r="DG87" s="4748"/>
      <c r="DH87" s="4748"/>
      <c r="DI87" s="4748"/>
      <c r="DJ87" s="4748"/>
      <c r="DK87" s="4748"/>
      <c r="DL87" s="4748"/>
      <c r="DM87" s="4748"/>
      <c r="DN87" s="4748"/>
      <c r="DO87" s="4835"/>
      <c r="DQ87" s="3678"/>
      <c r="DR87" s="3679"/>
      <c r="DS87" s="3679"/>
      <c r="DT87" s="3679"/>
      <c r="DU87" s="3679"/>
      <c r="DV87" s="3679"/>
      <c r="DW87" s="3679"/>
      <c r="DX87" s="3679"/>
      <c r="DY87" s="3679"/>
      <c r="DZ87" s="3679"/>
      <c r="EA87" s="3679"/>
      <c r="EB87" s="3679"/>
      <c r="EC87" s="3679"/>
      <c r="ED87" s="3679"/>
      <c r="EE87" s="3679"/>
      <c r="EF87" s="3679"/>
      <c r="EG87" s="3679"/>
      <c r="EH87" s="3679"/>
      <c r="EI87" s="3679"/>
      <c r="EJ87" s="3679"/>
      <c r="EK87" s="3679"/>
      <c r="EL87" s="3679"/>
      <c r="EM87" s="3679"/>
      <c r="EN87" s="3679"/>
      <c r="EO87" s="3679"/>
      <c r="EP87" s="3679"/>
      <c r="EQ87" s="3679"/>
      <c r="ER87" s="3679"/>
      <c r="ES87" s="3679"/>
      <c r="ET87" s="3679"/>
      <c r="EU87" s="3679"/>
      <c r="EV87" s="3679"/>
      <c r="EW87" s="3679"/>
      <c r="EX87" s="3679"/>
      <c r="EY87" s="3679"/>
      <c r="EZ87" s="3679"/>
      <c r="FA87" s="3679"/>
      <c r="FB87" s="3679"/>
      <c r="FC87" s="3679"/>
      <c r="FD87" s="3679"/>
      <c r="FE87" s="3679"/>
      <c r="FF87" s="3679"/>
      <c r="FG87" s="3679"/>
      <c r="FH87" s="3679"/>
      <c r="FI87" s="3679"/>
      <c r="FJ87" s="3680"/>
    </row>
    <row r="88" spans="1:166" s="2005" customFormat="1" ht="15" customHeight="1">
      <c r="A88" s="15961"/>
      <c r="B88" s="15964"/>
      <c r="C88" s="15598"/>
      <c r="D88" s="15598" t="s">
        <v>7959</v>
      </c>
      <c r="E88" s="15600" t="s">
        <v>4986</v>
      </c>
      <c r="F88" s="15600" t="s">
        <v>791</v>
      </c>
      <c r="G88" s="15600" t="s">
        <v>542</v>
      </c>
      <c r="H88" s="15919">
        <v>0.1</v>
      </c>
      <c r="I88" s="15919">
        <v>0.5</v>
      </c>
      <c r="J88" s="15920">
        <v>1</v>
      </c>
      <c r="K88" s="15600" t="s">
        <v>792</v>
      </c>
      <c r="L88" s="4127" t="s">
        <v>10078</v>
      </c>
      <c r="M88" s="4127" t="s">
        <v>768</v>
      </c>
      <c r="N88" s="4127"/>
      <c r="O88" s="4638">
        <v>15</v>
      </c>
      <c r="P88" s="4638">
        <v>15</v>
      </c>
      <c r="Q88" s="4638">
        <v>16</v>
      </c>
      <c r="R88" s="4638">
        <v>16</v>
      </c>
      <c r="S88" s="4638">
        <v>17</v>
      </c>
      <c r="T88" s="4638">
        <v>17</v>
      </c>
      <c r="U88" s="4736">
        <v>18</v>
      </c>
      <c r="V88" s="4638">
        <v>18</v>
      </c>
      <c r="W88" s="4638">
        <v>19</v>
      </c>
      <c r="X88" s="4638">
        <v>20</v>
      </c>
      <c r="Y88" s="4638">
        <v>20</v>
      </c>
      <c r="Z88" s="4639">
        <v>191</v>
      </c>
      <c r="AA88" s="4638"/>
      <c r="AB88" s="4643">
        <v>1</v>
      </c>
      <c r="AC88" s="3683" t="s">
        <v>3798</v>
      </c>
      <c r="AD88" s="3679"/>
      <c r="AE88" s="3679"/>
      <c r="AF88" s="3679"/>
      <c r="AG88" s="3679"/>
      <c r="AH88" s="3679"/>
      <c r="AI88" s="3679"/>
      <c r="AJ88" s="3679"/>
      <c r="AK88" s="3679"/>
      <c r="AL88" s="3679"/>
      <c r="AM88" s="3679"/>
      <c r="AN88" s="3679"/>
      <c r="AO88" s="3679"/>
      <c r="AP88" s="3679"/>
      <c r="AQ88" s="3679"/>
      <c r="AR88" s="3679"/>
      <c r="AS88" s="3679"/>
      <c r="AT88" s="3679"/>
      <c r="AU88" s="3679"/>
      <c r="AV88" s="3679"/>
      <c r="AW88" s="3679"/>
      <c r="AX88" s="3679"/>
      <c r="AY88" s="3679"/>
      <c r="AZ88" s="3679"/>
      <c r="BA88" s="3679"/>
      <c r="BB88" s="3679"/>
      <c r="BC88" s="3679"/>
      <c r="BD88" s="3679"/>
      <c r="BE88" s="3679"/>
      <c r="BF88" s="3679"/>
      <c r="BG88" s="3679"/>
      <c r="BH88" s="3679"/>
      <c r="BI88" s="3679"/>
      <c r="BJ88" s="3679"/>
      <c r="BK88" s="3679"/>
      <c r="BL88" s="3679"/>
      <c r="BM88" s="3679"/>
      <c r="BN88" s="3679"/>
      <c r="BO88" s="3679"/>
      <c r="BP88" s="3679"/>
      <c r="BQ88" s="3679"/>
      <c r="BR88" s="3679"/>
      <c r="BS88" s="3679"/>
      <c r="BT88" s="4642">
        <v>1</v>
      </c>
      <c r="BU88" s="4642">
        <v>1</v>
      </c>
      <c r="BV88" s="4642">
        <v>1</v>
      </c>
      <c r="BW88" s="3685">
        <f t="shared" si="3"/>
        <v>1</v>
      </c>
      <c r="BX88" s="16014"/>
      <c r="BY88" s="4738" t="s">
        <v>8998</v>
      </c>
      <c r="BZ88" s="4638"/>
      <c r="CA88" s="4638"/>
      <c r="CB88" s="4739">
        <v>53460000</v>
      </c>
      <c r="CC88" s="4739"/>
      <c r="CD88" s="4739"/>
      <c r="CE88" s="4739">
        <v>53460000</v>
      </c>
      <c r="CF88" s="4741">
        <v>297</v>
      </c>
      <c r="CG88" s="4741">
        <v>163</v>
      </c>
      <c r="CH88" s="4741">
        <v>134</v>
      </c>
      <c r="CI88" s="4741">
        <v>297</v>
      </c>
      <c r="CJ88" s="4741"/>
      <c r="CK88" s="4741"/>
      <c r="CL88" s="4741">
        <v>90</v>
      </c>
      <c r="CM88" s="4741">
        <v>207</v>
      </c>
      <c r="CN88" s="4741"/>
      <c r="CO88" s="4741"/>
      <c r="CP88" s="4741"/>
      <c r="CQ88" s="4741"/>
      <c r="CR88" s="4741"/>
      <c r="CS88" s="4742">
        <v>297</v>
      </c>
      <c r="CT88" s="4741"/>
      <c r="CU88" s="4741"/>
      <c r="CV88" s="4741"/>
      <c r="CW88" s="4741"/>
      <c r="CX88" s="4741"/>
      <c r="CY88" s="4741"/>
      <c r="CZ88" s="4741"/>
      <c r="DA88" s="4741"/>
      <c r="DB88" s="4741"/>
      <c r="DC88" s="4741"/>
      <c r="DD88" s="4741"/>
      <c r="DE88" s="4741"/>
      <c r="DF88" s="4748"/>
      <c r="DG88" s="4748"/>
      <c r="DH88" s="4748"/>
      <c r="DI88" s="4748"/>
      <c r="DJ88" s="4748"/>
      <c r="DK88" s="4748"/>
      <c r="DL88" s="4748"/>
      <c r="DM88" s="4748"/>
      <c r="DN88" s="4748"/>
      <c r="DO88" s="4835"/>
      <c r="DQ88" s="3678"/>
      <c r="DR88" s="3679"/>
      <c r="DS88" s="3679"/>
      <c r="DT88" s="3679"/>
      <c r="DU88" s="3679"/>
      <c r="DV88" s="3679"/>
      <c r="DW88" s="3679"/>
      <c r="DX88" s="3679"/>
      <c r="DY88" s="3679"/>
      <c r="DZ88" s="3679"/>
      <c r="EA88" s="3679"/>
      <c r="EB88" s="3679"/>
      <c r="EC88" s="3679"/>
      <c r="ED88" s="3679"/>
      <c r="EE88" s="3679"/>
      <c r="EF88" s="3679"/>
      <c r="EG88" s="3679"/>
      <c r="EH88" s="3679"/>
      <c r="EI88" s="3679"/>
      <c r="EJ88" s="3679"/>
      <c r="EK88" s="3679"/>
      <c r="EL88" s="3679"/>
      <c r="EM88" s="3679"/>
      <c r="EN88" s="3679"/>
      <c r="EO88" s="3679"/>
      <c r="EP88" s="3679"/>
      <c r="EQ88" s="3679"/>
      <c r="ER88" s="3679"/>
      <c r="ES88" s="3679"/>
      <c r="ET88" s="3679"/>
      <c r="EU88" s="3679"/>
      <c r="EV88" s="3679"/>
      <c r="EW88" s="3679"/>
      <c r="EX88" s="3679"/>
      <c r="EY88" s="3679"/>
      <c r="EZ88" s="3679"/>
      <c r="FA88" s="3679"/>
      <c r="FB88" s="3679"/>
      <c r="FC88" s="3679"/>
      <c r="FD88" s="3679"/>
      <c r="FE88" s="3679"/>
      <c r="FF88" s="3679"/>
      <c r="FG88" s="3679"/>
      <c r="FH88" s="3679"/>
      <c r="FI88" s="3679"/>
      <c r="FJ88" s="3680"/>
    </row>
    <row r="89" spans="1:166" s="2005" customFormat="1" ht="15" customHeight="1">
      <c r="A89" s="15961"/>
      <c r="B89" s="15964"/>
      <c r="C89" s="4126"/>
      <c r="D89" s="15598"/>
      <c r="E89" s="15600"/>
      <c r="F89" s="15600"/>
      <c r="G89" s="15600"/>
      <c r="H89" s="15919"/>
      <c r="I89" s="15919"/>
      <c r="J89" s="15920"/>
      <c r="K89" s="15600"/>
      <c r="L89" s="4127" t="s">
        <v>10092</v>
      </c>
      <c r="M89" s="4127"/>
      <c r="N89" s="4127" t="s">
        <v>787</v>
      </c>
      <c r="O89" s="4638"/>
      <c r="P89" s="4638"/>
      <c r="Q89" s="4638"/>
      <c r="R89" s="4638"/>
      <c r="S89" s="4638"/>
      <c r="T89" s="4638"/>
      <c r="U89" s="4736"/>
      <c r="V89" s="4638"/>
      <c r="W89" s="4638"/>
      <c r="X89" s="4638"/>
      <c r="Y89" s="4638"/>
      <c r="Z89" s="4639"/>
      <c r="AA89" s="4638"/>
      <c r="AB89" s="4643"/>
      <c r="AC89" s="3683"/>
      <c r="AD89" s="3679"/>
      <c r="AE89" s="3679"/>
      <c r="AF89" s="3679"/>
      <c r="AG89" s="3679"/>
      <c r="AH89" s="3679"/>
      <c r="AI89" s="3679"/>
      <c r="AJ89" s="3679"/>
      <c r="AK89" s="3679"/>
      <c r="AL89" s="3679"/>
      <c r="AM89" s="3679"/>
      <c r="AN89" s="3679"/>
      <c r="AO89" s="3679"/>
      <c r="AP89" s="3679"/>
      <c r="AQ89" s="3679"/>
      <c r="AR89" s="3679"/>
      <c r="AS89" s="3679"/>
      <c r="AT89" s="3679"/>
      <c r="AU89" s="3679"/>
      <c r="AV89" s="3679"/>
      <c r="AW89" s="3679"/>
      <c r="AX89" s="3679"/>
      <c r="AY89" s="3679"/>
      <c r="AZ89" s="3679"/>
      <c r="BA89" s="3679"/>
      <c r="BB89" s="3679"/>
      <c r="BC89" s="3679"/>
      <c r="BD89" s="3679"/>
      <c r="BE89" s="3679"/>
      <c r="BF89" s="3679"/>
      <c r="BG89" s="3679"/>
      <c r="BH89" s="3679"/>
      <c r="BI89" s="3679"/>
      <c r="BJ89" s="3679"/>
      <c r="BK89" s="3679"/>
      <c r="BL89" s="3679"/>
      <c r="BM89" s="3679"/>
      <c r="BN89" s="3679"/>
      <c r="BO89" s="3679"/>
      <c r="BP89" s="3679"/>
      <c r="BQ89" s="3679"/>
      <c r="BR89" s="3679"/>
      <c r="BS89" s="3679"/>
      <c r="BT89" s="4642"/>
      <c r="BU89" s="4642"/>
      <c r="BV89" s="4642"/>
      <c r="BW89" s="3685"/>
      <c r="BX89" s="16014"/>
      <c r="BY89" s="4738"/>
      <c r="BZ89" s="4638"/>
      <c r="CA89" s="4638"/>
      <c r="CB89" s="4739"/>
      <c r="CC89" s="4739"/>
      <c r="CD89" s="4739"/>
      <c r="CE89" s="4739"/>
      <c r="CF89" s="4741"/>
      <c r="CG89" s="4741"/>
      <c r="CH89" s="4741"/>
      <c r="CI89" s="4741"/>
      <c r="CJ89" s="4741"/>
      <c r="CK89" s="4741"/>
      <c r="CL89" s="4741"/>
      <c r="CM89" s="4741"/>
      <c r="CN89" s="4741"/>
      <c r="CO89" s="4741"/>
      <c r="CP89" s="4741"/>
      <c r="CQ89" s="4741"/>
      <c r="CR89" s="4741"/>
      <c r="CS89" s="4742"/>
      <c r="CT89" s="4741"/>
      <c r="CU89" s="4741"/>
      <c r="CV89" s="4741"/>
      <c r="CW89" s="4741"/>
      <c r="CX89" s="4741"/>
      <c r="CY89" s="4741"/>
      <c r="CZ89" s="4741"/>
      <c r="DA89" s="4741"/>
      <c r="DB89" s="4741"/>
      <c r="DC89" s="4741"/>
      <c r="DD89" s="4741"/>
      <c r="DE89" s="4741"/>
      <c r="DF89" s="4748"/>
      <c r="DG89" s="4748"/>
      <c r="DH89" s="4748"/>
      <c r="DI89" s="4748"/>
      <c r="DJ89" s="4748"/>
      <c r="DK89" s="4748"/>
      <c r="DL89" s="4748"/>
      <c r="DM89" s="4748"/>
      <c r="DN89" s="4748"/>
      <c r="DO89" s="4835"/>
      <c r="DQ89" s="3678"/>
      <c r="DR89" s="3679"/>
      <c r="DS89" s="3679"/>
      <c r="DT89" s="3679"/>
      <c r="DU89" s="3679"/>
      <c r="DV89" s="3679"/>
      <c r="DW89" s="3679"/>
      <c r="DX89" s="3679"/>
      <c r="DY89" s="3679"/>
      <c r="DZ89" s="3679"/>
      <c r="EA89" s="3679"/>
      <c r="EB89" s="3679"/>
      <c r="EC89" s="3679"/>
      <c r="ED89" s="3679"/>
      <c r="EE89" s="3679"/>
      <c r="EF89" s="3679"/>
      <c r="EG89" s="3679"/>
      <c r="EH89" s="3679"/>
      <c r="EI89" s="3679"/>
      <c r="EJ89" s="3679"/>
      <c r="EK89" s="3679"/>
      <c r="EL89" s="3679"/>
      <c r="EM89" s="3679"/>
      <c r="EN89" s="3679"/>
      <c r="EO89" s="3679"/>
      <c r="EP89" s="3679"/>
      <c r="EQ89" s="3679"/>
      <c r="ER89" s="3679"/>
      <c r="ES89" s="3679"/>
      <c r="ET89" s="3679"/>
      <c r="EU89" s="3679"/>
      <c r="EV89" s="3679"/>
      <c r="EW89" s="3679"/>
      <c r="EX89" s="3679"/>
      <c r="EY89" s="3679"/>
      <c r="EZ89" s="3679"/>
      <c r="FA89" s="3679"/>
      <c r="FB89" s="3679"/>
      <c r="FC89" s="3679"/>
      <c r="FD89" s="3679"/>
      <c r="FE89" s="3679"/>
      <c r="FF89" s="3679"/>
      <c r="FG89" s="3679"/>
      <c r="FH89" s="3679"/>
      <c r="FI89" s="3679"/>
      <c r="FJ89" s="3680"/>
    </row>
    <row r="90" spans="1:166" s="2005" customFormat="1" ht="15" customHeight="1">
      <c r="A90" s="15961"/>
      <c r="B90" s="15964"/>
      <c r="C90" s="15598" t="s">
        <v>793</v>
      </c>
      <c r="D90" s="4126" t="s">
        <v>7960</v>
      </c>
      <c r="E90" s="4127" t="s">
        <v>4987</v>
      </c>
      <c r="F90" s="4127" t="s">
        <v>794</v>
      </c>
      <c r="G90" s="4127">
        <v>0</v>
      </c>
      <c r="H90" s="4127">
        <v>1</v>
      </c>
      <c r="I90" s="4127">
        <v>10</v>
      </c>
      <c r="J90" s="4637">
        <v>30</v>
      </c>
      <c r="K90" s="4127" t="s">
        <v>795</v>
      </c>
      <c r="L90" s="4127" t="s">
        <v>218</v>
      </c>
      <c r="M90" s="4127" t="s">
        <v>768</v>
      </c>
      <c r="N90" s="4127"/>
      <c r="O90" s="4638">
        <v>60</v>
      </c>
      <c r="P90" s="4638">
        <v>62</v>
      </c>
      <c r="Q90" s="4638">
        <v>64</v>
      </c>
      <c r="R90" s="4638">
        <v>66</v>
      </c>
      <c r="S90" s="4638">
        <v>68</v>
      </c>
      <c r="T90" s="4638">
        <v>70</v>
      </c>
      <c r="U90" s="4736">
        <v>72</v>
      </c>
      <c r="V90" s="4638">
        <v>74</v>
      </c>
      <c r="W90" s="4638">
        <v>76</v>
      </c>
      <c r="X90" s="4638">
        <v>78</v>
      </c>
      <c r="Y90" s="4638">
        <v>81</v>
      </c>
      <c r="Z90" s="4639">
        <v>771</v>
      </c>
      <c r="AA90" s="4638"/>
      <c r="AB90" s="4760">
        <v>0</v>
      </c>
      <c r="AC90" s="3679"/>
      <c r="AD90" s="3679"/>
      <c r="AE90" s="4761"/>
      <c r="AF90" s="3679"/>
      <c r="AG90" s="3679"/>
      <c r="AH90" s="3679"/>
      <c r="AI90" s="3679"/>
      <c r="AJ90" s="3679"/>
      <c r="AK90" s="3679"/>
      <c r="AL90" s="3679"/>
      <c r="AM90" s="3679"/>
      <c r="AN90" s="3679"/>
      <c r="AO90" s="3679"/>
      <c r="AP90" s="3679"/>
      <c r="AQ90" s="3679"/>
      <c r="AR90" s="3679"/>
      <c r="AS90" s="3679"/>
      <c r="AT90" s="3679"/>
      <c r="AU90" s="3679"/>
      <c r="AV90" s="3679"/>
      <c r="AW90" s="3679"/>
      <c r="AX90" s="3679"/>
      <c r="AY90" s="3679"/>
      <c r="AZ90" s="3679"/>
      <c r="BA90" s="3679"/>
      <c r="BB90" s="3679"/>
      <c r="BC90" s="3679"/>
      <c r="BD90" s="3679"/>
      <c r="BE90" s="3679"/>
      <c r="BF90" s="3679"/>
      <c r="BG90" s="3679"/>
      <c r="BH90" s="3679"/>
      <c r="BI90" s="3679"/>
      <c r="BJ90" s="3679"/>
      <c r="BK90" s="3679"/>
      <c r="BL90" s="3679"/>
      <c r="BM90" s="3679"/>
      <c r="BN90" s="3679"/>
      <c r="BO90" s="3679"/>
      <c r="BP90" s="3679"/>
      <c r="BQ90" s="3679"/>
      <c r="BR90" s="3679"/>
      <c r="BS90" s="3679"/>
      <c r="BT90" s="4127" t="s">
        <v>3781</v>
      </c>
      <c r="BU90" s="4751" t="s">
        <v>3781</v>
      </c>
      <c r="BV90" s="4127">
        <v>50</v>
      </c>
      <c r="BW90" s="3685" t="s">
        <v>3781</v>
      </c>
      <c r="BX90" s="16014"/>
      <c r="BY90" s="4638"/>
      <c r="BZ90" s="4638"/>
      <c r="CA90" s="4638"/>
      <c r="CB90" s="4740"/>
      <c r="CC90" s="4740"/>
      <c r="CD90" s="4740"/>
      <c r="CE90" s="4740"/>
      <c r="CF90" s="4748"/>
      <c r="CG90" s="4748"/>
      <c r="CH90" s="4748"/>
      <c r="CI90" s="4748"/>
      <c r="CJ90" s="4748"/>
      <c r="CK90" s="4748"/>
      <c r="CL90" s="4748"/>
      <c r="CM90" s="4748"/>
      <c r="CN90" s="4748"/>
      <c r="CO90" s="4748"/>
      <c r="CP90" s="4748"/>
      <c r="CQ90" s="4748"/>
      <c r="CR90" s="4748"/>
      <c r="CS90" s="4749"/>
      <c r="CT90" s="4748"/>
      <c r="CU90" s="4748"/>
      <c r="CV90" s="4748"/>
      <c r="CW90" s="4748"/>
      <c r="CX90" s="4748"/>
      <c r="CY90" s="4748"/>
      <c r="CZ90" s="4748"/>
      <c r="DA90" s="4748"/>
      <c r="DB90" s="4748"/>
      <c r="DC90" s="4748"/>
      <c r="DD90" s="4748"/>
      <c r="DE90" s="4748"/>
      <c r="DF90" s="4748"/>
      <c r="DG90" s="4748"/>
      <c r="DH90" s="4748"/>
      <c r="DI90" s="4748"/>
      <c r="DJ90" s="4748"/>
      <c r="DK90" s="4748"/>
      <c r="DL90" s="4748"/>
      <c r="DM90" s="4748"/>
      <c r="DN90" s="4748"/>
      <c r="DO90" s="4835"/>
      <c r="DQ90" s="3678"/>
      <c r="DR90" s="3679"/>
      <c r="DS90" s="3679"/>
      <c r="DT90" s="3679"/>
      <c r="DU90" s="3679"/>
      <c r="DV90" s="3679"/>
      <c r="DW90" s="3679"/>
      <c r="DX90" s="3679"/>
      <c r="DY90" s="3679"/>
      <c r="DZ90" s="3679"/>
      <c r="EA90" s="3679"/>
      <c r="EB90" s="3679"/>
      <c r="EC90" s="3679"/>
      <c r="ED90" s="3679"/>
      <c r="EE90" s="3679"/>
      <c r="EF90" s="3679"/>
      <c r="EG90" s="3679"/>
      <c r="EH90" s="3679"/>
      <c r="EI90" s="3679"/>
      <c r="EJ90" s="3679"/>
      <c r="EK90" s="3679"/>
      <c r="EL90" s="3679"/>
      <c r="EM90" s="3679"/>
      <c r="EN90" s="3679"/>
      <c r="EO90" s="3679"/>
      <c r="EP90" s="3679"/>
      <c r="EQ90" s="3679"/>
      <c r="ER90" s="3679"/>
      <c r="ES90" s="3679"/>
      <c r="ET90" s="3679"/>
      <c r="EU90" s="3679"/>
      <c r="EV90" s="3679"/>
      <c r="EW90" s="3679"/>
      <c r="EX90" s="3679"/>
      <c r="EY90" s="3679"/>
      <c r="EZ90" s="3679"/>
      <c r="FA90" s="3679"/>
      <c r="FB90" s="3679"/>
      <c r="FC90" s="3679"/>
      <c r="FD90" s="3679"/>
      <c r="FE90" s="3679"/>
      <c r="FF90" s="3679"/>
      <c r="FG90" s="3679"/>
      <c r="FH90" s="3679"/>
      <c r="FI90" s="3679"/>
      <c r="FJ90" s="3680"/>
    </row>
    <row r="91" spans="1:166" s="2005" customFormat="1" ht="15" customHeight="1">
      <c r="A91" s="15961"/>
      <c r="B91" s="15964"/>
      <c r="C91" s="15598"/>
      <c r="D91" s="4126" t="s">
        <v>7961</v>
      </c>
      <c r="E91" s="4127" t="s">
        <v>4988</v>
      </c>
      <c r="F91" s="4127" t="s">
        <v>796</v>
      </c>
      <c r="G91" s="4127">
        <v>0</v>
      </c>
      <c r="H91" s="4127">
        <v>1</v>
      </c>
      <c r="I91" s="4127">
        <v>3</v>
      </c>
      <c r="J91" s="4637">
        <v>3</v>
      </c>
      <c r="K91" s="4127" t="s">
        <v>797</v>
      </c>
      <c r="L91" s="4127" t="s">
        <v>218</v>
      </c>
      <c r="M91" s="4127" t="s">
        <v>768</v>
      </c>
      <c r="N91" s="4127"/>
      <c r="O91" s="4638">
        <v>45</v>
      </c>
      <c r="P91" s="4638">
        <v>46</v>
      </c>
      <c r="Q91" s="4638">
        <v>48</v>
      </c>
      <c r="R91" s="4638">
        <v>49</v>
      </c>
      <c r="S91" s="4638">
        <v>51</v>
      </c>
      <c r="T91" s="4638">
        <v>52</v>
      </c>
      <c r="U91" s="4736">
        <v>54</v>
      </c>
      <c r="V91" s="4638">
        <v>55</v>
      </c>
      <c r="W91" s="4638">
        <v>57</v>
      </c>
      <c r="X91" s="4638">
        <v>59</v>
      </c>
      <c r="Y91" s="4638">
        <v>60</v>
      </c>
      <c r="Z91" s="4639">
        <v>576</v>
      </c>
      <c r="AA91" s="4638"/>
      <c r="AB91" s="4640">
        <v>1</v>
      </c>
      <c r="AC91" s="3683" t="s">
        <v>3799</v>
      </c>
      <c r="AD91" s="4737" t="s">
        <v>3800</v>
      </c>
      <c r="AE91" s="3679"/>
      <c r="AF91" s="4641">
        <v>8000000</v>
      </c>
      <c r="AG91" s="4641">
        <v>8000000</v>
      </c>
      <c r="AH91" s="3679"/>
      <c r="AI91" s="3679"/>
      <c r="AJ91" s="3679"/>
      <c r="AK91" s="3679"/>
      <c r="AL91" s="3679"/>
      <c r="AM91" s="3679"/>
      <c r="AN91" s="3679"/>
      <c r="AO91" s="3679"/>
      <c r="AP91" s="3679"/>
      <c r="AQ91" s="3679"/>
      <c r="AR91" s="3679"/>
      <c r="AS91" s="3679"/>
      <c r="AT91" s="3679"/>
      <c r="AU91" s="3679"/>
      <c r="AV91" s="3679"/>
      <c r="AW91" s="3679"/>
      <c r="AX91" s="3679"/>
      <c r="AY91" s="3679"/>
      <c r="AZ91" s="3679"/>
      <c r="BA91" s="3679"/>
      <c r="BB91" s="3679"/>
      <c r="BC91" s="3679"/>
      <c r="BD91" s="3679"/>
      <c r="BE91" s="3679"/>
      <c r="BF91" s="3679"/>
      <c r="BG91" s="3679"/>
      <c r="BH91" s="3679"/>
      <c r="BI91" s="3679"/>
      <c r="BJ91" s="3679"/>
      <c r="BK91" s="3679"/>
      <c r="BL91" s="3679"/>
      <c r="BM91" s="3679"/>
      <c r="BN91" s="3679"/>
      <c r="BO91" s="3679"/>
      <c r="BP91" s="3679"/>
      <c r="BQ91" s="3679"/>
      <c r="BR91" s="3679"/>
      <c r="BS91" s="3679"/>
      <c r="BT91" s="4127">
        <v>1</v>
      </c>
      <c r="BU91" s="4751">
        <v>1</v>
      </c>
      <c r="BV91" s="4751">
        <v>1</v>
      </c>
      <c r="BW91" s="3685">
        <f t="shared" ref="BW91:BW98" si="4">BV91/BU91</f>
        <v>1</v>
      </c>
      <c r="BX91" s="16014"/>
      <c r="BY91" s="4738" t="s">
        <v>8999</v>
      </c>
      <c r="BZ91" s="4738" t="s">
        <v>9000</v>
      </c>
      <c r="CA91" s="4638"/>
      <c r="CB91" s="4739">
        <v>2800000</v>
      </c>
      <c r="CC91" s="4739">
        <v>2800000</v>
      </c>
      <c r="CD91" s="4740"/>
      <c r="CE91" s="4740"/>
      <c r="CF91" s="4748"/>
      <c r="CG91" s="4748"/>
      <c r="CH91" s="4748"/>
      <c r="CI91" s="4748"/>
      <c r="CJ91" s="4748"/>
      <c r="CK91" s="4748"/>
      <c r="CL91" s="4748"/>
      <c r="CM91" s="4748"/>
      <c r="CN91" s="4748"/>
      <c r="CO91" s="4748"/>
      <c r="CP91" s="4748"/>
      <c r="CQ91" s="4748"/>
      <c r="CR91" s="4748"/>
      <c r="CS91" s="4749"/>
      <c r="CT91" s="4748"/>
      <c r="CU91" s="4748"/>
      <c r="CV91" s="4748"/>
      <c r="CW91" s="4748"/>
      <c r="CX91" s="4748"/>
      <c r="CY91" s="4748"/>
      <c r="CZ91" s="4748"/>
      <c r="DA91" s="4748"/>
      <c r="DB91" s="4748"/>
      <c r="DC91" s="4748"/>
      <c r="DD91" s="4748"/>
      <c r="DE91" s="4748"/>
      <c r="DF91" s="4748"/>
      <c r="DG91" s="4748"/>
      <c r="DH91" s="4748"/>
      <c r="DI91" s="4748"/>
      <c r="DJ91" s="4748"/>
      <c r="DK91" s="4748"/>
      <c r="DL91" s="4748"/>
      <c r="DM91" s="4748"/>
      <c r="DN91" s="4748"/>
      <c r="DO91" s="4835"/>
      <c r="DQ91" s="3678"/>
      <c r="DR91" s="3679"/>
      <c r="DS91" s="3679"/>
      <c r="DT91" s="3679"/>
      <c r="DU91" s="3679"/>
      <c r="DV91" s="3679"/>
      <c r="DW91" s="3679"/>
      <c r="DX91" s="3679"/>
      <c r="DY91" s="3679"/>
      <c r="DZ91" s="3679"/>
      <c r="EA91" s="3679"/>
      <c r="EB91" s="3679"/>
      <c r="EC91" s="3679"/>
      <c r="ED91" s="3679"/>
      <c r="EE91" s="3679"/>
      <c r="EF91" s="3679"/>
      <c r="EG91" s="3679"/>
      <c r="EH91" s="3679"/>
      <c r="EI91" s="3679"/>
      <c r="EJ91" s="3679"/>
      <c r="EK91" s="3679"/>
      <c r="EL91" s="3679"/>
      <c r="EM91" s="3679"/>
      <c r="EN91" s="3679"/>
      <c r="EO91" s="3679"/>
      <c r="EP91" s="3679"/>
      <c r="EQ91" s="3679"/>
      <c r="ER91" s="3679"/>
      <c r="ES91" s="3679"/>
      <c r="ET91" s="3679"/>
      <c r="EU91" s="3679"/>
      <c r="EV91" s="3679"/>
      <c r="EW91" s="3679"/>
      <c r="EX91" s="3679"/>
      <c r="EY91" s="3679"/>
      <c r="EZ91" s="3679"/>
      <c r="FA91" s="3679"/>
      <c r="FB91" s="3679"/>
      <c r="FC91" s="3679"/>
      <c r="FD91" s="3679"/>
      <c r="FE91" s="3679"/>
      <c r="FF91" s="3679"/>
      <c r="FG91" s="3679"/>
      <c r="FH91" s="3679"/>
      <c r="FI91" s="3679"/>
      <c r="FJ91" s="3680"/>
    </row>
    <row r="92" spans="1:166" s="2005" customFormat="1" ht="15" customHeight="1">
      <c r="A92" s="15961"/>
      <c r="B92" s="15964"/>
      <c r="C92" s="15598" t="s">
        <v>798</v>
      </c>
      <c r="D92" s="4126" t="s">
        <v>7962</v>
      </c>
      <c r="E92" s="4127" t="s">
        <v>4989</v>
      </c>
      <c r="F92" s="4127" t="s">
        <v>799</v>
      </c>
      <c r="G92" s="4127">
        <v>0</v>
      </c>
      <c r="H92" s="4637">
        <v>1</v>
      </c>
      <c r="I92" s="4637">
        <v>1</v>
      </c>
      <c r="J92" s="4637">
        <v>1</v>
      </c>
      <c r="K92" s="4127" t="s">
        <v>313</v>
      </c>
      <c r="L92" s="4127" t="s">
        <v>218</v>
      </c>
      <c r="M92" s="4127" t="s">
        <v>768</v>
      </c>
      <c r="N92" s="4127"/>
      <c r="O92" s="4638">
        <v>30</v>
      </c>
      <c r="P92" s="4638" t="s">
        <v>690</v>
      </c>
      <c r="Q92" s="4638" t="s">
        <v>690</v>
      </c>
      <c r="R92" s="4638" t="s">
        <v>690</v>
      </c>
      <c r="S92" s="4638">
        <v>34</v>
      </c>
      <c r="T92" s="4638" t="s">
        <v>690</v>
      </c>
      <c r="U92" s="4736" t="s">
        <v>690</v>
      </c>
      <c r="V92" s="4638" t="s">
        <v>690</v>
      </c>
      <c r="W92" s="4638">
        <v>38</v>
      </c>
      <c r="X92" s="4638" t="s">
        <v>690</v>
      </c>
      <c r="Y92" s="4638" t="s">
        <v>690</v>
      </c>
      <c r="Z92" s="4639">
        <v>102</v>
      </c>
      <c r="AA92" s="4638"/>
      <c r="AB92" s="4762">
        <v>0</v>
      </c>
      <c r="AC92" s="3679"/>
      <c r="AD92" s="3679"/>
      <c r="AE92" s="3679"/>
      <c r="AF92" s="3679"/>
      <c r="AG92" s="3679"/>
      <c r="AH92" s="3679"/>
      <c r="AI92" s="3679"/>
      <c r="AJ92" s="3679"/>
      <c r="AK92" s="3679"/>
      <c r="AL92" s="3679"/>
      <c r="AM92" s="3679"/>
      <c r="AN92" s="3679"/>
      <c r="AO92" s="3679"/>
      <c r="AP92" s="3679"/>
      <c r="AQ92" s="3679"/>
      <c r="AR92" s="3679"/>
      <c r="AS92" s="3679"/>
      <c r="AT92" s="3679"/>
      <c r="AU92" s="3679"/>
      <c r="AV92" s="3679"/>
      <c r="AW92" s="3679"/>
      <c r="AX92" s="3679"/>
      <c r="AY92" s="3679"/>
      <c r="AZ92" s="3679"/>
      <c r="BA92" s="3679"/>
      <c r="BB92" s="3679"/>
      <c r="BC92" s="3679"/>
      <c r="BD92" s="3679"/>
      <c r="BE92" s="3679"/>
      <c r="BF92" s="3679"/>
      <c r="BG92" s="3679"/>
      <c r="BH92" s="3679"/>
      <c r="BI92" s="3679"/>
      <c r="BJ92" s="3679"/>
      <c r="BK92" s="3679"/>
      <c r="BL92" s="3679"/>
      <c r="BM92" s="3679"/>
      <c r="BN92" s="3679"/>
      <c r="BO92" s="3679"/>
      <c r="BP92" s="3679"/>
      <c r="BQ92" s="3679"/>
      <c r="BR92" s="3679"/>
      <c r="BS92" s="3679"/>
      <c r="BT92" s="4127">
        <v>1</v>
      </c>
      <c r="BU92" s="3706">
        <v>1</v>
      </c>
      <c r="BV92" s="4127">
        <v>1</v>
      </c>
      <c r="BW92" s="3685">
        <f t="shared" si="4"/>
        <v>1</v>
      </c>
      <c r="BX92" s="16014"/>
      <c r="BY92" s="4738" t="s">
        <v>9001</v>
      </c>
      <c r="BZ92" s="4638"/>
      <c r="CA92" s="4638"/>
      <c r="CB92" s="4739">
        <v>105200000</v>
      </c>
      <c r="CC92" s="4739">
        <v>20600000</v>
      </c>
      <c r="CD92" s="4739"/>
      <c r="CE92" s="4739">
        <v>84160000</v>
      </c>
      <c r="CF92" s="4741">
        <v>527</v>
      </c>
      <c r="CG92" s="4741">
        <v>289</v>
      </c>
      <c r="CH92" s="4741">
        <v>238</v>
      </c>
      <c r="CI92" s="4741">
        <v>369</v>
      </c>
      <c r="CJ92" s="4741">
        <v>158</v>
      </c>
      <c r="CK92" s="4741">
        <v>22</v>
      </c>
      <c r="CL92" s="4741">
        <v>198</v>
      </c>
      <c r="CM92" s="4741">
        <v>119</v>
      </c>
      <c r="CN92" s="4741">
        <v>154</v>
      </c>
      <c r="CO92" s="4741">
        <v>19</v>
      </c>
      <c r="CP92" s="4741">
        <v>15</v>
      </c>
      <c r="CQ92" s="4741"/>
      <c r="CR92" s="4741"/>
      <c r="CS92" s="4742">
        <v>498</v>
      </c>
      <c r="CT92" s="4741">
        <v>16</v>
      </c>
      <c r="CU92" s="4741"/>
      <c r="CV92" s="4741">
        <v>13</v>
      </c>
      <c r="CW92" s="4741"/>
      <c r="CX92" s="4741"/>
      <c r="CY92" s="4741"/>
      <c r="CZ92" s="4741" t="s">
        <v>2943</v>
      </c>
      <c r="DA92" s="4741"/>
      <c r="DB92" s="4741" t="s">
        <v>2943</v>
      </c>
      <c r="DC92" s="4741" t="s">
        <v>2943</v>
      </c>
      <c r="DD92" s="4741" t="s">
        <v>2943</v>
      </c>
      <c r="DE92" s="4741" t="s">
        <v>2943</v>
      </c>
      <c r="DF92" s="4748"/>
      <c r="DG92" s="4748"/>
      <c r="DH92" s="4748"/>
      <c r="DI92" s="4748"/>
      <c r="DJ92" s="4748"/>
      <c r="DK92" s="4748"/>
      <c r="DL92" s="4748"/>
      <c r="DM92" s="4748"/>
      <c r="DN92" s="4748"/>
      <c r="DO92" s="4835"/>
      <c r="DQ92" s="3678"/>
      <c r="DR92" s="3679"/>
      <c r="DS92" s="3679"/>
      <c r="DT92" s="3679"/>
      <c r="DU92" s="3679"/>
      <c r="DV92" s="3679"/>
      <c r="DW92" s="3679"/>
      <c r="DX92" s="3679"/>
      <c r="DY92" s="3679"/>
      <c r="DZ92" s="3679"/>
      <c r="EA92" s="3679"/>
      <c r="EB92" s="3679"/>
      <c r="EC92" s="3679"/>
      <c r="ED92" s="3679"/>
      <c r="EE92" s="3679"/>
      <c r="EF92" s="3679"/>
      <c r="EG92" s="3679"/>
      <c r="EH92" s="3679"/>
      <c r="EI92" s="3679"/>
      <c r="EJ92" s="3679"/>
      <c r="EK92" s="3679"/>
      <c r="EL92" s="3679"/>
      <c r="EM92" s="3679"/>
      <c r="EN92" s="3679"/>
      <c r="EO92" s="3679"/>
      <c r="EP92" s="3679"/>
      <c r="EQ92" s="3679"/>
      <c r="ER92" s="3679"/>
      <c r="ES92" s="3679"/>
      <c r="ET92" s="3679"/>
      <c r="EU92" s="3679"/>
      <c r="EV92" s="3679"/>
      <c r="EW92" s="3679"/>
      <c r="EX92" s="3679"/>
      <c r="EY92" s="3679"/>
      <c r="EZ92" s="3679"/>
      <c r="FA92" s="3679"/>
      <c r="FB92" s="3679"/>
      <c r="FC92" s="3679"/>
      <c r="FD92" s="3679"/>
      <c r="FE92" s="3679"/>
      <c r="FF92" s="3679"/>
      <c r="FG92" s="3679"/>
      <c r="FH92" s="3679"/>
      <c r="FI92" s="3679"/>
      <c r="FJ92" s="3680"/>
    </row>
    <row r="93" spans="1:166" s="2005" customFormat="1" ht="15" customHeight="1">
      <c r="A93" s="15961"/>
      <c r="B93" s="15964"/>
      <c r="C93" s="15598"/>
      <c r="D93" s="15598" t="s">
        <v>7963</v>
      </c>
      <c r="E93" s="15600" t="s">
        <v>4990</v>
      </c>
      <c r="F93" s="15600" t="s">
        <v>800</v>
      </c>
      <c r="G93" s="15600">
        <v>0</v>
      </c>
      <c r="H93" s="15915">
        <v>1</v>
      </c>
      <c r="I93" s="15915">
        <v>1</v>
      </c>
      <c r="J93" s="15915">
        <v>1</v>
      </c>
      <c r="K93" s="15600" t="s">
        <v>801</v>
      </c>
      <c r="L93" s="4127" t="s">
        <v>218</v>
      </c>
      <c r="M93" s="4127" t="s">
        <v>768</v>
      </c>
      <c r="N93" s="4638"/>
      <c r="O93" s="4638">
        <v>30</v>
      </c>
      <c r="P93" s="4638">
        <v>31</v>
      </c>
      <c r="Q93" s="4638">
        <v>32</v>
      </c>
      <c r="R93" s="4638">
        <v>33</v>
      </c>
      <c r="S93" s="4638">
        <v>34</v>
      </c>
      <c r="T93" s="4638">
        <v>35</v>
      </c>
      <c r="U93" s="4736">
        <v>36</v>
      </c>
      <c r="V93" s="4638">
        <v>37</v>
      </c>
      <c r="W93" s="4638">
        <v>38</v>
      </c>
      <c r="X93" s="4638">
        <v>39</v>
      </c>
      <c r="Y93" s="4638">
        <v>40</v>
      </c>
      <c r="Z93" s="4639">
        <v>385</v>
      </c>
      <c r="AA93" s="4638"/>
      <c r="AB93" s="4763">
        <v>1</v>
      </c>
      <c r="AC93" s="3683" t="s">
        <v>3801</v>
      </c>
      <c r="AD93" s="3679"/>
      <c r="AE93" s="3679"/>
      <c r="AF93" s="4641">
        <v>49200000</v>
      </c>
      <c r="AG93" s="4641">
        <v>49200000</v>
      </c>
      <c r="AH93" s="3679"/>
      <c r="AI93" s="3679"/>
      <c r="AJ93" s="3679">
        <v>461</v>
      </c>
      <c r="AK93" s="3679">
        <v>228</v>
      </c>
      <c r="AL93" s="3679">
        <v>233</v>
      </c>
      <c r="AM93" s="3679">
        <v>328</v>
      </c>
      <c r="AN93" s="3679">
        <v>103</v>
      </c>
      <c r="AO93" s="3679">
        <v>7</v>
      </c>
      <c r="AP93" s="3679">
        <v>198</v>
      </c>
      <c r="AQ93" s="3679">
        <v>140</v>
      </c>
      <c r="AR93" s="3679">
        <v>56</v>
      </c>
      <c r="AS93" s="3679">
        <v>39</v>
      </c>
      <c r="AT93" s="3679">
        <v>20</v>
      </c>
      <c r="AU93" s="3679">
        <v>8</v>
      </c>
      <c r="AV93" s="3679"/>
      <c r="AW93" s="3679">
        <v>461</v>
      </c>
      <c r="AX93" s="3679">
        <v>5</v>
      </c>
      <c r="AY93" s="3679">
        <v>3</v>
      </c>
      <c r="AZ93" s="3679">
        <v>2</v>
      </c>
      <c r="BA93" s="3679"/>
      <c r="BB93" s="3679"/>
      <c r="BC93" s="3679">
        <v>8</v>
      </c>
      <c r="BD93" s="3679">
        <v>440</v>
      </c>
      <c r="BE93" s="3679">
        <v>17</v>
      </c>
      <c r="BF93" s="3679">
        <v>4</v>
      </c>
      <c r="BG93" s="3679"/>
      <c r="BH93" s="3679"/>
      <c r="BI93" s="3679"/>
      <c r="BJ93" s="3679"/>
      <c r="BK93" s="3679"/>
      <c r="BL93" s="3679"/>
      <c r="BM93" s="3679"/>
      <c r="BN93" s="3679"/>
      <c r="BO93" s="3679"/>
      <c r="BP93" s="3679"/>
      <c r="BQ93" s="3679"/>
      <c r="BR93" s="3679"/>
      <c r="BS93" s="3679"/>
      <c r="BT93" s="4127">
        <v>1</v>
      </c>
      <c r="BU93" s="3706">
        <v>1</v>
      </c>
      <c r="BV93" s="4127">
        <v>1</v>
      </c>
      <c r="BW93" s="3685">
        <f t="shared" si="4"/>
        <v>1</v>
      </c>
      <c r="BX93" s="16014"/>
      <c r="BY93" s="4738" t="s">
        <v>9002</v>
      </c>
      <c r="BZ93" s="4638"/>
      <c r="CA93" s="4638"/>
      <c r="CB93" s="4739">
        <v>97200000</v>
      </c>
      <c r="CC93" s="4739">
        <v>97200000</v>
      </c>
      <c r="CD93" s="4739"/>
      <c r="CE93" s="4739"/>
      <c r="CF93" s="4741">
        <v>399</v>
      </c>
      <c r="CG93" s="4741">
        <v>219</v>
      </c>
      <c r="CH93" s="4741">
        <v>90</v>
      </c>
      <c r="CI93" s="4741">
        <v>279</v>
      </c>
      <c r="CJ93" s="4741">
        <v>120</v>
      </c>
      <c r="CK93" s="4741">
        <v>23</v>
      </c>
      <c r="CL93" s="4741">
        <v>83</v>
      </c>
      <c r="CM93" s="4741">
        <v>145</v>
      </c>
      <c r="CN93" s="4741">
        <v>59</v>
      </c>
      <c r="CO93" s="4741">
        <v>49</v>
      </c>
      <c r="CP93" s="4741">
        <v>40</v>
      </c>
      <c r="CQ93" s="4741"/>
      <c r="CR93" s="4741"/>
      <c r="CS93" s="4742">
        <v>399</v>
      </c>
      <c r="CT93" s="4741"/>
      <c r="CU93" s="4741"/>
      <c r="CV93" s="4741"/>
      <c r="CW93" s="4741"/>
      <c r="CX93" s="4741"/>
      <c r="CY93" s="4741"/>
      <c r="CZ93" s="4741"/>
      <c r="DA93" s="4741"/>
      <c r="DB93" s="4741"/>
      <c r="DC93" s="4741"/>
      <c r="DD93" s="4741"/>
      <c r="DE93" s="4741"/>
      <c r="DF93" s="4748"/>
      <c r="DG93" s="4748"/>
      <c r="DH93" s="4748"/>
      <c r="DI93" s="4748"/>
      <c r="DJ93" s="4748"/>
      <c r="DK93" s="4748"/>
      <c r="DL93" s="4748"/>
      <c r="DM93" s="4748"/>
      <c r="DN93" s="4748"/>
      <c r="DO93" s="4835"/>
      <c r="DQ93" s="3678"/>
      <c r="DR93" s="3679"/>
      <c r="DS93" s="3679"/>
      <c r="DT93" s="3679"/>
      <c r="DU93" s="3679"/>
      <c r="DV93" s="3679"/>
      <c r="DW93" s="3679"/>
      <c r="DX93" s="3679"/>
      <c r="DY93" s="3679"/>
      <c r="DZ93" s="3679"/>
      <c r="EA93" s="3679"/>
      <c r="EB93" s="3679"/>
      <c r="EC93" s="3679"/>
      <c r="ED93" s="3679"/>
      <c r="EE93" s="3679"/>
      <c r="EF93" s="3679"/>
      <c r="EG93" s="3679"/>
      <c r="EH93" s="3679"/>
      <c r="EI93" s="3679"/>
      <c r="EJ93" s="3679"/>
      <c r="EK93" s="3679"/>
      <c r="EL93" s="3679"/>
      <c r="EM93" s="3679"/>
      <c r="EN93" s="3679"/>
      <c r="EO93" s="3679"/>
      <c r="EP93" s="3679"/>
      <c r="EQ93" s="3679"/>
      <c r="ER93" s="3679"/>
      <c r="ES93" s="3679"/>
      <c r="ET93" s="3679"/>
      <c r="EU93" s="3679"/>
      <c r="EV93" s="3679"/>
      <c r="EW93" s="3679"/>
      <c r="EX93" s="3679"/>
      <c r="EY93" s="3679"/>
      <c r="EZ93" s="3679"/>
      <c r="FA93" s="3679"/>
      <c r="FB93" s="3679"/>
      <c r="FC93" s="3679"/>
      <c r="FD93" s="3679"/>
      <c r="FE93" s="3679"/>
      <c r="FF93" s="3679"/>
      <c r="FG93" s="3679"/>
      <c r="FH93" s="3679"/>
      <c r="FI93" s="3679"/>
      <c r="FJ93" s="3680"/>
    </row>
    <row r="94" spans="1:166" s="2005" customFormat="1" ht="15" customHeight="1">
      <c r="A94" s="15961"/>
      <c r="B94" s="15964"/>
      <c r="C94" s="15598"/>
      <c r="D94" s="15598"/>
      <c r="E94" s="15600"/>
      <c r="F94" s="15600"/>
      <c r="G94" s="15600"/>
      <c r="H94" s="15915"/>
      <c r="I94" s="15915"/>
      <c r="J94" s="15915"/>
      <c r="K94" s="15600"/>
      <c r="L94" s="4127" t="s">
        <v>10063</v>
      </c>
      <c r="M94" s="4127"/>
      <c r="N94" s="4638" t="s">
        <v>144</v>
      </c>
      <c r="O94" s="4638"/>
      <c r="P94" s="4638"/>
      <c r="Q94" s="4638"/>
      <c r="R94" s="4638"/>
      <c r="S94" s="4638"/>
      <c r="T94" s="4638"/>
      <c r="U94" s="4736"/>
      <c r="V94" s="4638"/>
      <c r="W94" s="4638"/>
      <c r="X94" s="4638"/>
      <c r="Y94" s="4638"/>
      <c r="Z94" s="4639"/>
      <c r="AA94" s="4638"/>
      <c r="AB94" s="4763"/>
      <c r="AC94" s="3683"/>
      <c r="AD94" s="3679"/>
      <c r="AE94" s="3679"/>
      <c r="AF94" s="4641"/>
      <c r="AG94" s="4641"/>
      <c r="AH94" s="3679"/>
      <c r="AI94" s="3679"/>
      <c r="AJ94" s="3679"/>
      <c r="AK94" s="3679"/>
      <c r="AL94" s="3679"/>
      <c r="AM94" s="3679"/>
      <c r="AN94" s="3679"/>
      <c r="AO94" s="3679"/>
      <c r="AP94" s="3679"/>
      <c r="AQ94" s="3679"/>
      <c r="AR94" s="3679"/>
      <c r="AS94" s="3679"/>
      <c r="AT94" s="3679"/>
      <c r="AU94" s="3679"/>
      <c r="AV94" s="3679"/>
      <c r="AW94" s="3679"/>
      <c r="AX94" s="3679"/>
      <c r="AY94" s="3679"/>
      <c r="AZ94" s="3679"/>
      <c r="BA94" s="3679"/>
      <c r="BB94" s="3679"/>
      <c r="BC94" s="3679"/>
      <c r="BD94" s="3679"/>
      <c r="BE94" s="3679"/>
      <c r="BF94" s="3679"/>
      <c r="BG94" s="3679"/>
      <c r="BH94" s="3679"/>
      <c r="BI94" s="3679"/>
      <c r="BJ94" s="3679"/>
      <c r="BK94" s="3679"/>
      <c r="BL94" s="3679"/>
      <c r="BM94" s="3679"/>
      <c r="BN94" s="3679"/>
      <c r="BO94" s="3679"/>
      <c r="BP94" s="3679"/>
      <c r="BQ94" s="3679"/>
      <c r="BR94" s="3679"/>
      <c r="BS94" s="3679"/>
      <c r="BT94" s="4127"/>
      <c r="BU94" s="3706"/>
      <c r="BV94" s="4127"/>
      <c r="BW94" s="3685"/>
      <c r="BX94" s="16014"/>
      <c r="BY94" s="4738"/>
      <c r="BZ94" s="4638"/>
      <c r="CA94" s="4638"/>
      <c r="CB94" s="4739"/>
      <c r="CC94" s="4739"/>
      <c r="CD94" s="4739"/>
      <c r="CE94" s="4739"/>
      <c r="CF94" s="4741"/>
      <c r="CG94" s="4741"/>
      <c r="CH94" s="4741"/>
      <c r="CI94" s="4741"/>
      <c r="CJ94" s="4741"/>
      <c r="CK94" s="4741"/>
      <c r="CL94" s="4741"/>
      <c r="CM94" s="4741"/>
      <c r="CN94" s="4741"/>
      <c r="CO94" s="4741"/>
      <c r="CP94" s="4741"/>
      <c r="CQ94" s="4741"/>
      <c r="CR94" s="4741"/>
      <c r="CS94" s="4742"/>
      <c r="CT94" s="4741"/>
      <c r="CU94" s="4741"/>
      <c r="CV94" s="4741"/>
      <c r="CW94" s="4741"/>
      <c r="CX94" s="4741"/>
      <c r="CY94" s="4741"/>
      <c r="CZ94" s="4741"/>
      <c r="DA94" s="4741"/>
      <c r="DB94" s="4741"/>
      <c r="DC94" s="4741"/>
      <c r="DD94" s="4741"/>
      <c r="DE94" s="4741"/>
      <c r="DF94" s="4748"/>
      <c r="DG94" s="4748"/>
      <c r="DH94" s="4748"/>
      <c r="DI94" s="4748"/>
      <c r="DJ94" s="4748"/>
      <c r="DK94" s="4748"/>
      <c r="DL94" s="4748"/>
      <c r="DM94" s="4748"/>
      <c r="DN94" s="4748"/>
      <c r="DO94" s="4835"/>
      <c r="DQ94" s="3678"/>
      <c r="DR94" s="3679"/>
      <c r="DS94" s="3679"/>
      <c r="DT94" s="3679"/>
      <c r="DU94" s="3679"/>
      <c r="DV94" s="3679"/>
      <c r="DW94" s="3679"/>
      <c r="DX94" s="3679"/>
      <c r="DY94" s="3679"/>
      <c r="DZ94" s="3679"/>
      <c r="EA94" s="3679"/>
      <c r="EB94" s="3679"/>
      <c r="EC94" s="3679"/>
      <c r="ED94" s="3679"/>
      <c r="EE94" s="3679"/>
      <c r="EF94" s="3679"/>
      <c r="EG94" s="3679"/>
      <c r="EH94" s="3679"/>
      <c r="EI94" s="3679"/>
      <c r="EJ94" s="3679"/>
      <c r="EK94" s="3679"/>
      <c r="EL94" s="3679"/>
      <c r="EM94" s="3679"/>
      <c r="EN94" s="3679"/>
      <c r="EO94" s="3679"/>
      <c r="EP94" s="3679"/>
      <c r="EQ94" s="3679"/>
      <c r="ER94" s="3679"/>
      <c r="ES94" s="3679"/>
      <c r="ET94" s="3679"/>
      <c r="EU94" s="3679"/>
      <c r="EV94" s="3679"/>
      <c r="EW94" s="3679"/>
      <c r="EX94" s="3679"/>
      <c r="EY94" s="3679"/>
      <c r="EZ94" s="3679"/>
      <c r="FA94" s="3679"/>
      <c r="FB94" s="3679"/>
      <c r="FC94" s="3679"/>
      <c r="FD94" s="3679"/>
      <c r="FE94" s="3679"/>
      <c r="FF94" s="3679"/>
      <c r="FG94" s="3679"/>
      <c r="FH94" s="3679"/>
      <c r="FI94" s="3679"/>
      <c r="FJ94" s="3680"/>
    </row>
    <row r="95" spans="1:166" s="2005" customFormat="1" ht="15" customHeight="1">
      <c r="A95" s="15961"/>
      <c r="B95" s="15964"/>
      <c r="C95" s="15598"/>
      <c r="D95" s="15598" t="s">
        <v>7964</v>
      </c>
      <c r="E95" s="15600" t="s">
        <v>4991</v>
      </c>
      <c r="F95" s="15600" t="s">
        <v>802</v>
      </c>
      <c r="G95" s="15600">
        <v>0</v>
      </c>
      <c r="H95" s="15915">
        <v>2</v>
      </c>
      <c r="I95" s="15915">
        <v>5</v>
      </c>
      <c r="J95" s="15915">
        <v>10</v>
      </c>
      <c r="K95" s="15600" t="s">
        <v>803</v>
      </c>
      <c r="L95" s="4127" t="s">
        <v>218</v>
      </c>
      <c r="M95" s="4127" t="s">
        <v>768</v>
      </c>
      <c r="N95" s="4638"/>
      <c r="O95" s="4638"/>
      <c r="P95" s="4638"/>
      <c r="Q95" s="4638"/>
      <c r="R95" s="4638"/>
      <c r="S95" s="4638"/>
      <c r="T95" s="4638"/>
      <c r="U95" s="4736"/>
      <c r="V95" s="4638"/>
      <c r="W95" s="4638"/>
      <c r="X95" s="4638"/>
      <c r="Y95" s="4638"/>
      <c r="Z95" s="4639"/>
      <c r="AA95" s="4638"/>
      <c r="AB95" s="4763"/>
      <c r="AC95" s="3683"/>
      <c r="AD95" s="3679"/>
      <c r="AE95" s="3679"/>
      <c r="AF95" s="4641"/>
      <c r="AG95" s="4641"/>
      <c r="AH95" s="3679"/>
      <c r="AI95" s="3679"/>
      <c r="AJ95" s="3679"/>
      <c r="AK95" s="3679"/>
      <c r="AL95" s="3679"/>
      <c r="AM95" s="3679"/>
      <c r="AN95" s="3679"/>
      <c r="AO95" s="3679"/>
      <c r="AP95" s="3679"/>
      <c r="AQ95" s="3679"/>
      <c r="AR95" s="3679"/>
      <c r="AS95" s="3679"/>
      <c r="AT95" s="3679"/>
      <c r="AU95" s="3679"/>
      <c r="AV95" s="3679"/>
      <c r="AW95" s="3679"/>
      <c r="AX95" s="3679"/>
      <c r="AY95" s="3679"/>
      <c r="AZ95" s="3679"/>
      <c r="BA95" s="3679"/>
      <c r="BB95" s="3679"/>
      <c r="BC95" s="3679"/>
      <c r="BD95" s="3679"/>
      <c r="BE95" s="3679"/>
      <c r="BF95" s="3679"/>
      <c r="BG95" s="3679"/>
      <c r="BH95" s="3679"/>
      <c r="BI95" s="3679"/>
      <c r="BJ95" s="3679"/>
      <c r="BK95" s="3679"/>
      <c r="BL95" s="3679"/>
      <c r="BM95" s="3679"/>
      <c r="BN95" s="3679"/>
      <c r="BO95" s="3679"/>
      <c r="BP95" s="3679"/>
      <c r="BQ95" s="3679"/>
      <c r="BR95" s="3679"/>
      <c r="BS95" s="3679"/>
      <c r="BT95" s="4127">
        <v>0</v>
      </c>
      <c r="BU95" s="3706">
        <v>7</v>
      </c>
      <c r="BV95" s="4127">
        <v>0</v>
      </c>
      <c r="BW95" s="15917">
        <v>0</v>
      </c>
      <c r="BX95" s="16014"/>
      <c r="BY95" s="4738"/>
      <c r="BZ95" s="4638"/>
      <c r="CA95" s="4638"/>
      <c r="CB95" s="4739"/>
      <c r="CC95" s="4739"/>
      <c r="CD95" s="4739"/>
      <c r="CE95" s="4739"/>
      <c r="CF95" s="4741"/>
      <c r="CG95" s="4741"/>
      <c r="CH95" s="4741"/>
      <c r="CI95" s="4741"/>
      <c r="CJ95" s="4741"/>
      <c r="CK95" s="4741"/>
      <c r="CL95" s="4741"/>
      <c r="CM95" s="4741"/>
      <c r="CN95" s="4741"/>
      <c r="CO95" s="4741"/>
      <c r="CP95" s="4741"/>
      <c r="CQ95" s="4741"/>
      <c r="CR95" s="4741"/>
      <c r="CS95" s="4742"/>
      <c r="CT95" s="4741"/>
      <c r="CU95" s="4741"/>
      <c r="CV95" s="4741"/>
      <c r="CW95" s="4741"/>
      <c r="CX95" s="4741"/>
      <c r="CY95" s="4741"/>
      <c r="CZ95" s="4741"/>
      <c r="DA95" s="4741"/>
      <c r="DB95" s="4741"/>
      <c r="DC95" s="4741"/>
      <c r="DD95" s="4741"/>
      <c r="DE95" s="4741"/>
      <c r="DF95" s="4748"/>
      <c r="DG95" s="4748"/>
      <c r="DH95" s="4748"/>
      <c r="DI95" s="4748"/>
      <c r="DJ95" s="4748"/>
      <c r="DK95" s="4748"/>
      <c r="DL95" s="4748"/>
      <c r="DM95" s="4748"/>
      <c r="DN95" s="4748"/>
      <c r="DO95" s="4835"/>
      <c r="DQ95" s="3678"/>
      <c r="DR95" s="3679"/>
      <c r="DS95" s="3679"/>
      <c r="DT95" s="3679"/>
      <c r="DU95" s="3679"/>
      <c r="DV95" s="3679"/>
      <c r="DW95" s="3679"/>
      <c r="DX95" s="3679"/>
      <c r="DY95" s="3679"/>
      <c r="DZ95" s="3679"/>
      <c r="EA95" s="3679"/>
      <c r="EB95" s="3679"/>
      <c r="EC95" s="3679"/>
      <c r="ED95" s="3679"/>
      <c r="EE95" s="3679"/>
      <c r="EF95" s="3679"/>
      <c r="EG95" s="3679"/>
      <c r="EH95" s="3679"/>
      <c r="EI95" s="3679"/>
      <c r="EJ95" s="3679"/>
      <c r="EK95" s="3679"/>
      <c r="EL95" s="3679"/>
      <c r="EM95" s="3679"/>
      <c r="EN95" s="3679"/>
      <c r="EO95" s="3679"/>
      <c r="EP95" s="3679"/>
      <c r="EQ95" s="3679"/>
      <c r="ER95" s="3679"/>
      <c r="ES95" s="3679"/>
      <c r="ET95" s="3679"/>
      <c r="EU95" s="3679"/>
      <c r="EV95" s="3679"/>
      <c r="EW95" s="3679"/>
      <c r="EX95" s="3679"/>
      <c r="EY95" s="3679"/>
      <c r="EZ95" s="3679"/>
      <c r="FA95" s="3679"/>
      <c r="FB95" s="3679"/>
      <c r="FC95" s="3679"/>
      <c r="FD95" s="3679"/>
      <c r="FE95" s="3679"/>
      <c r="FF95" s="3679"/>
      <c r="FG95" s="3679"/>
      <c r="FH95" s="3679"/>
      <c r="FI95" s="3679"/>
      <c r="FJ95" s="3680"/>
    </row>
    <row r="96" spans="1:166" s="2005" customFormat="1" ht="15" customHeight="1" thickBot="1">
      <c r="A96" s="15962"/>
      <c r="B96" s="15965"/>
      <c r="C96" s="15913"/>
      <c r="D96" s="15913"/>
      <c r="E96" s="15914"/>
      <c r="F96" s="15914"/>
      <c r="G96" s="15914"/>
      <c r="H96" s="15916"/>
      <c r="I96" s="15916"/>
      <c r="J96" s="15916"/>
      <c r="K96" s="15914"/>
      <c r="L96" s="2007" t="s">
        <v>10194</v>
      </c>
      <c r="M96" s="2007"/>
      <c r="N96" s="2007" t="s">
        <v>804</v>
      </c>
      <c r="O96" s="2006" t="s">
        <v>690</v>
      </c>
      <c r="P96" s="2006" t="s">
        <v>690</v>
      </c>
      <c r="Q96" s="2006" t="s">
        <v>690</v>
      </c>
      <c r="R96" s="2006" t="s">
        <v>690</v>
      </c>
      <c r="S96" s="2006" t="s">
        <v>690</v>
      </c>
      <c r="T96" s="2006" t="s">
        <v>690</v>
      </c>
      <c r="U96" s="4911" t="s">
        <v>690</v>
      </c>
      <c r="V96" s="2006" t="s">
        <v>690</v>
      </c>
      <c r="W96" s="2006" t="s">
        <v>690</v>
      </c>
      <c r="X96" s="2006" t="s">
        <v>690</v>
      </c>
      <c r="Y96" s="2006" t="s">
        <v>690</v>
      </c>
      <c r="Z96" s="4912">
        <v>0</v>
      </c>
      <c r="AA96" s="2006" t="s">
        <v>782</v>
      </c>
      <c r="AB96" s="4913">
        <v>0</v>
      </c>
      <c r="AC96" s="3793"/>
      <c r="AD96" s="3793"/>
      <c r="AE96" s="3793"/>
      <c r="AF96" s="3793"/>
      <c r="AG96" s="3793"/>
      <c r="AH96" s="3793"/>
      <c r="AI96" s="3793"/>
      <c r="AJ96" s="3793"/>
      <c r="AK96" s="3793"/>
      <c r="AL96" s="3793"/>
      <c r="AM96" s="3793"/>
      <c r="AN96" s="3793"/>
      <c r="AO96" s="3793"/>
      <c r="AP96" s="3793"/>
      <c r="AQ96" s="3793"/>
      <c r="AR96" s="3793"/>
      <c r="AS96" s="3793"/>
      <c r="AT96" s="3793"/>
      <c r="AU96" s="3793"/>
      <c r="AV96" s="3793"/>
      <c r="AW96" s="3793"/>
      <c r="AX96" s="3793"/>
      <c r="AY96" s="3793"/>
      <c r="AZ96" s="3793"/>
      <c r="BA96" s="3793"/>
      <c r="BB96" s="3793"/>
      <c r="BC96" s="3793"/>
      <c r="BD96" s="3793"/>
      <c r="BE96" s="3793"/>
      <c r="BF96" s="3793"/>
      <c r="BG96" s="3793"/>
      <c r="BH96" s="3793"/>
      <c r="BI96" s="3793"/>
      <c r="BJ96" s="3793"/>
      <c r="BK96" s="3793"/>
      <c r="BL96" s="3793"/>
      <c r="BM96" s="3793"/>
      <c r="BN96" s="3793"/>
      <c r="BO96" s="3793"/>
      <c r="BP96" s="3793"/>
      <c r="BQ96" s="3793"/>
      <c r="BR96" s="3793"/>
      <c r="BS96" s="3793"/>
      <c r="BT96" s="2006"/>
      <c r="BU96" s="2006"/>
      <c r="BV96" s="2007"/>
      <c r="BW96" s="15918"/>
      <c r="BX96" s="16015"/>
      <c r="BY96" s="2006"/>
      <c r="BZ96" s="2006"/>
      <c r="CA96" s="2006"/>
      <c r="CB96" s="4914"/>
      <c r="CC96" s="4914"/>
      <c r="CD96" s="4914"/>
      <c r="CE96" s="4914"/>
      <c r="CF96" s="4915"/>
      <c r="CG96" s="4915"/>
      <c r="CH96" s="4915"/>
      <c r="CI96" s="4915"/>
      <c r="CJ96" s="4915"/>
      <c r="CK96" s="4915"/>
      <c r="CL96" s="4915"/>
      <c r="CM96" s="4915"/>
      <c r="CN96" s="4915"/>
      <c r="CO96" s="4915"/>
      <c r="CP96" s="4915"/>
      <c r="CQ96" s="4915"/>
      <c r="CR96" s="4915"/>
      <c r="CS96" s="4916"/>
      <c r="CT96" s="4915"/>
      <c r="CU96" s="4915"/>
      <c r="CV96" s="4915"/>
      <c r="CW96" s="4915"/>
      <c r="CX96" s="4915"/>
      <c r="CY96" s="4915"/>
      <c r="CZ96" s="4915"/>
      <c r="DA96" s="4915"/>
      <c r="DB96" s="4915"/>
      <c r="DC96" s="4915"/>
      <c r="DD96" s="4915"/>
      <c r="DE96" s="4915"/>
      <c r="DF96" s="4915"/>
      <c r="DG96" s="4915"/>
      <c r="DH96" s="4915"/>
      <c r="DI96" s="4915"/>
      <c r="DJ96" s="4915"/>
      <c r="DK96" s="4915"/>
      <c r="DL96" s="4915"/>
      <c r="DM96" s="4915"/>
      <c r="DN96" s="4915"/>
      <c r="DO96" s="4917"/>
      <c r="DQ96" s="3792"/>
      <c r="DR96" s="3793"/>
      <c r="DS96" s="3793"/>
      <c r="DT96" s="3793"/>
      <c r="DU96" s="3793"/>
      <c r="DV96" s="3793"/>
      <c r="DW96" s="3793"/>
      <c r="DX96" s="3793"/>
      <c r="DY96" s="3793"/>
      <c r="DZ96" s="3793"/>
      <c r="EA96" s="3793"/>
      <c r="EB96" s="3793"/>
      <c r="EC96" s="3793"/>
      <c r="ED96" s="3793"/>
      <c r="EE96" s="3793"/>
      <c r="EF96" s="3793"/>
      <c r="EG96" s="3793"/>
      <c r="EH96" s="3793"/>
      <c r="EI96" s="3793"/>
      <c r="EJ96" s="3793"/>
      <c r="EK96" s="3793"/>
      <c r="EL96" s="3793"/>
      <c r="EM96" s="3793"/>
      <c r="EN96" s="3793"/>
      <c r="EO96" s="3793"/>
      <c r="EP96" s="3793"/>
      <c r="EQ96" s="3793"/>
      <c r="ER96" s="3793"/>
      <c r="ES96" s="3793"/>
      <c r="ET96" s="3793"/>
      <c r="EU96" s="3793"/>
      <c r="EV96" s="3793"/>
      <c r="EW96" s="3793"/>
      <c r="EX96" s="3793"/>
      <c r="EY96" s="3793"/>
      <c r="EZ96" s="3793"/>
      <c r="FA96" s="3793"/>
      <c r="FB96" s="3793"/>
      <c r="FC96" s="3793"/>
      <c r="FD96" s="3793"/>
      <c r="FE96" s="3793"/>
      <c r="FF96" s="3793"/>
      <c r="FG96" s="3793"/>
      <c r="FH96" s="3793"/>
      <c r="FI96" s="3793"/>
      <c r="FJ96" s="3794"/>
    </row>
    <row r="97" spans="1:166" s="1810" customFormat="1" ht="15" customHeight="1">
      <c r="A97" s="15982" t="s">
        <v>805</v>
      </c>
      <c r="B97" s="15985" t="s">
        <v>806</v>
      </c>
      <c r="C97" s="15569" t="s">
        <v>807</v>
      </c>
      <c r="D97" s="4124" t="s">
        <v>7965</v>
      </c>
      <c r="E97" s="4125" t="s">
        <v>4992</v>
      </c>
      <c r="F97" s="4125" t="s">
        <v>808</v>
      </c>
      <c r="G97" s="4125">
        <v>0</v>
      </c>
      <c r="H97" s="4902">
        <v>1</v>
      </c>
      <c r="I97" s="4902">
        <v>1</v>
      </c>
      <c r="J97" s="4902">
        <v>1</v>
      </c>
      <c r="K97" s="4125" t="s">
        <v>809</v>
      </c>
      <c r="L97" s="4125" t="s">
        <v>10070</v>
      </c>
      <c r="M97" s="4125" t="s">
        <v>810</v>
      </c>
      <c r="N97" s="4125"/>
      <c r="O97" s="4119">
        <v>70</v>
      </c>
      <c r="P97" s="4119">
        <v>72</v>
      </c>
      <c r="Q97" s="4119">
        <v>74</v>
      </c>
      <c r="R97" s="4119">
        <v>76</v>
      </c>
      <c r="S97" s="4119">
        <v>79</v>
      </c>
      <c r="T97" s="4119">
        <v>81</v>
      </c>
      <c r="U97" s="4903">
        <v>84</v>
      </c>
      <c r="V97" s="4119">
        <v>86</v>
      </c>
      <c r="W97" s="4119">
        <v>89</v>
      </c>
      <c r="X97" s="4119">
        <v>91</v>
      </c>
      <c r="Y97" s="4119">
        <v>94</v>
      </c>
      <c r="Z97" s="4904">
        <v>896</v>
      </c>
      <c r="AA97" s="4119"/>
      <c r="AB97" s="1950"/>
      <c r="AC97" s="4905" t="s">
        <v>3943</v>
      </c>
      <c r="AD97" s="1950" t="s">
        <v>1705</v>
      </c>
      <c r="AE97" s="4905" t="s">
        <v>3944</v>
      </c>
      <c r="AF97" s="4906">
        <v>118986612</v>
      </c>
      <c r="AG97" s="4906">
        <v>118986612</v>
      </c>
      <c r="AH97" s="1950"/>
      <c r="AI97" s="1950"/>
      <c r="AJ97" s="1950">
        <v>8271</v>
      </c>
      <c r="AK97" s="1951">
        <v>835</v>
      </c>
      <c r="AL97" s="1951">
        <v>1337</v>
      </c>
      <c r="AM97" s="1950" t="s">
        <v>2943</v>
      </c>
      <c r="AN97" s="1950"/>
      <c r="AO97" s="1951" t="s">
        <v>2943</v>
      </c>
      <c r="AP97" s="1951" t="s">
        <v>2943</v>
      </c>
      <c r="AQ97" s="1951" t="s">
        <v>2943</v>
      </c>
      <c r="AR97" s="1951" t="s">
        <v>2943</v>
      </c>
      <c r="AS97" s="1951" t="s">
        <v>2943</v>
      </c>
      <c r="AT97" s="1951" t="s">
        <v>2943</v>
      </c>
      <c r="AU97" s="1951" t="s">
        <v>2943</v>
      </c>
      <c r="AV97" s="1950"/>
      <c r="AW97" s="1950"/>
      <c r="AX97" s="1950"/>
      <c r="AY97" s="1950"/>
      <c r="AZ97" s="1950"/>
      <c r="BA97" s="1950"/>
      <c r="BB97" s="1950"/>
      <c r="BC97" s="1950"/>
      <c r="BD97" s="1951" t="s">
        <v>2943</v>
      </c>
      <c r="BE97" s="1950"/>
      <c r="BF97" s="1950"/>
      <c r="BG97" s="1950"/>
      <c r="BH97" s="1950"/>
      <c r="BI97" s="1950"/>
      <c r="BJ97" s="4905" t="s">
        <v>3945</v>
      </c>
      <c r="BK97" s="4905" t="s">
        <v>3946</v>
      </c>
      <c r="BL97" s="1950">
        <v>8271</v>
      </c>
      <c r="BM97" s="1950"/>
      <c r="BN97" s="4907" t="s">
        <v>3947</v>
      </c>
      <c r="BO97" s="4905" t="s">
        <v>3948</v>
      </c>
      <c r="BP97" s="1950" t="s">
        <v>2943</v>
      </c>
      <c r="BQ97" s="1950"/>
      <c r="BR97" s="1950"/>
      <c r="BS97" s="4905" t="s">
        <v>3948</v>
      </c>
      <c r="BT97" s="4119" t="s">
        <v>3781</v>
      </c>
      <c r="BU97" s="4119" t="s">
        <v>3781</v>
      </c>
      <c r="BV97" s="4125">
        <v>1</v>
      </c>
      <c r="BW97" s="4131" t="s">
        <v>3781</v>
      </c>
      <c r="BX97" s="16016">
        <f>AVERAGE(BW97:BW108)</f>
        <v>0.625</v>
      </c>
      <c r="BY97" s="4119"/>
      <c r="BZ97" s="4119"/>
      <c r="CA97" s="4119"/>
      <c r="CB97" s="4342"/>
      <c r="CC97" s="4342"/>
      <c r="CD97" s="4342"/>
      <c r="CE97" s="4342"/>
      <c r="CF97" s="4908"/>
      <c r="CG97" s="4908"/>
      <c r="CH97" s="4908"/>
      <c r="CI97" s="4908"/>
      <c r="CJ97" s="4908"/>
      <c r="CK97" s="4908"/>
      <c r="CL97" s="4908"/>
      <c r="CM97" s="4908"/>
      <c r="CN97" s="4908"/>
      <c r="CO97" s="4908"/>
      <c r="CP97" s="4908"/>
      <c r="CQ97" s="4908"/>
      <c r="CR97" s="4908"/>
      <c r="CS97" s="4909"/>
      <c r="CT97" s="4908"/>
      <c r="CU97" s="4908"/>
      <c r="CV97" s="4908"/>
      <c r="CW97" s="4908"/>
      <c r="CX97" s="4908"/>
      <c r="CY97" s="4908"/>
      <c r="CZ97" s="4908"/>
      <c r="DA97" s="4908"/>
      <c r="DB97" s="4908"/>
      <c r="DC97" s="4908"/>
      <c r="DD97" s="4908"/>
      <c r="DE97" s="4908"/>
      <c r="DF97" s="4908"/>
      <c r="DG97" s="4908"/>
      <c r="DH97" s="4908"/>
      <c r="DI97" s="4908"/>
      <c r="DJ97" s="4908"/>
      <c r="DK97" s="4908"/>
      <c r="DL97" s="4908"/>
      <c r="DM97" s="4908"/>
      <c r="DN97" s="4908"/>
      <c r="DO97" s="4910"/>
      <c r="DQ97" s="3805"/>
      <c r="DR97" s="1950"/>
      <c r="DS97" s="1950"/>
      <c r="DT97" s="1950"/>
      <c r="DU97" s="1950"/>
      <c r="DV97" s="1950"/>
      <c r="DW97" s="1950"/>
      <c r="DX97" s="1950"/>
      <c r="DY97" s="1950"/>
      <c r="DZ97" s="1950"/>
      <c r="EA97" s="1950"/>
      <c r="EB97" s="1950"/>
      <c r="EC97" s="1950"/>
      <c r="ED97" s="1950"/>
      <c r="EE97" s="1950"/>
      <c r="EF97" s="1950"/>
      <c r="EG97" s="1950"/>
      <c r="EH97" s="1950"/>
      <c r="EI97" s="1950"/>
      <c r="EJ97" s="1950"/>
      <c r="EK97" s="1950"/>
      <c r="EL97" s="1950"/>
      <c r="EM97" s="1950"/>
      <c r="EN97" s="1950"/>
      <c r="EO97" s="1950"/>
      <c r="EP97" s="1950"/>
      <c r="EQ97" s="1950"/>
      <c r="ER97" s="1950"/>
      <c r="ES97" s="1950"/>
      <c r="ET97" s="1950"/>
      <c r="EU97" s="1950"/>
      <c r="EV97" s="1950"/>
      <c r="EW97" s="1950"/>
      <c r="EX97" s="1950"/>
      <c r="EY97" s="1950"/>
      <c r="EZ97" s="1950"/>
      <c r="FA97" s="1950"/>
      <c r="FB97" s="1950"/>
      <c r="FC97" s="1950"/>
      <c r="FD97" s="1950"/>
      <c r="FE97" s="1950"/>
      <c r="FF97" s="1950"/>
      <c r="FG97" s="1950"/>
      <c r="FH97" s="1950"/>
      <c r="FI97" s="1950"/>
      <c r="FJ97" s="1952"/>
    </row>
    <row r="98" spans="1:166" s="1810" customFormat="1" ht="15" customHeight="1">
      <c r="A98" s="15983"/>
      <c r="B98" s="15986"/>
      <c r="C98" s="15908"/>
      <c r="D98" s="4644" t="s">
        <v>7966</v>
      </c>
      <c r="E98" s="4130" t="s">
        <v>4993</v>
      </c>
      <c r="F98" s="4130" t="s">
        <v>811</v>
      </c>
      <c r="G98" s="4130">
        <v>0</v>
      </c>
      <c r="H98" s="2611">
        <v>1</v>
      </c>
      <c r="I98" s="2611">
        <v>1</v>
      </c>
      <c r="J98" s="2611">
        <v>1</v>
      </c>
      <c r="K98" s="4130" t="s">
        <v>812</v>
      </c>
      <c r="L98" s="4130" t="s">
        <v>10063</v>
      </c>
      <c r="M98" s="2721" t="s">
        <v>724</v>
      </c>
      <c r="N98" s="4130"/>
      <c r="O98" s="2721">
        <v>60</v>
      </c>
      <c r="P98" s="2721">
        <v>62</v>
      </c>
      <c r="Q98" s="2721">
        <v>64</v>
      </c>
      <c r="R98" s="2721">
        <v>66</v>
      </c>
      <c r="S98" s="2721">
        <v>68</v>
      </c>
      <c r="T98" s="2721">
        <v>70</v>
      </c>
      <c r="U98" s="4764">
        <v>72</v>
      </c>
      <c r="V98" s="2721">
        <v>74</v>
      </c>
      <c r="W98" s="2721">
        <v>76</v>
      </c>
      <c r="X98" s="2721">
        <v>78</v>
      </c>
      <c r="Y98" s="2721">
        <v>81</v>
      </c>
      <c r="Z98" s="3400">
        <v>771</v>
      </c>
      <c r="AA98" s="2721"/>
      <c r="AB98" s="2720">
        <v>1</v>
      </c>
      <c r="AC98" s="4491" t="s">
        <v>2978</v>
      </c>
      <c r="AD98" s="4647" t="s">
        <v>2979</v>
      </c>
      <c r="AE98" s="4647"/>
      <c r="AF98" s="4646">
        <f>+'[2]8. DISCAPACIDAD'!$O$18</f>
        <v>9234186.5590909086</v>
      </c>
      <c r="AG98" s="4646">
        <f>+'[2]8. DISCAPACIDAD'!$Q$18</f>
        <v>8545822.9227272719</v>
      </c>
      <c r="AH98" s="4646">
        <f>+'[2]8. DISCAPACIDAD'!$R$18</f>
        <v>688363.63636363635</v>
      </c>
      <c r="AI98" s="4647"/>
      <c r="AJ98" s="4647">
        <v>55</v>
      </c>
      <c r="AK98" s="4647">
        <v>41</v>
      </c>
      <c r="AL98" s="4647">
        <f>+AJ98-AK98</f>
        <v>14</v>
      </c>
      <c r="AM98" s="4647">
        <v>48</v>
      </c>
      <c r="AN98" s="4647">
        <v>7</v>
      </c>
      <c r="AO98" s="4647">
        <v>0</v>
      </c>
      <c r="AP98" s="4647">
        <v>0</v>
      </c>
      <c r="AQ98" s="4647">
        <v>0</v>
      </c>
      <c r="AR98" s="4647">
        <v>1</v>
      </c>
      <c r="AS98" s="4647">
        <v>9</v>
      </c>
      <c r="AT98" s="4647">
        <v>35</v>
      </c>
      <c r="AU98" s="4647">
        <v>10</v>
      </c>
      <c r="AV98" s="4647">
        <v>43</v>
      </c>
      <c r="AW98" s="4647">
        <f>55-AV98</f>
        <v>12</v>
      </c>
      <c r="AX98" s="4647">
        <v>0</v>
      </c>
      <c r="AY98" s="4647">
        <v>0</v>
      </c>
      <c r="AZ98" s="4647">
        <v>0</v>
      </c>
      <c r="BA98" s="4647">
        <v>0</v>
      </c>
      <c r="BB98" s="4647">
        <v>0</v>
      </c>
      <c r="BC98" s="4647">
        <v>0</v>
      </c>
      <c r="BD98" s="4647">
        <v>55</v>
      </c>
      <c r="BE98" s="4647">
        <v>0</v>
      </c>
      <c r="BF98" s="4647">
        <v>0</v>
      </c>
      <c r="BG98" s="4647">
        <v>0</v>
      </c>
      <c r="BH98" s="4647">
        <v>0</v>
      </c>
      <c r="BI98" s="4647">
        <v>0</v>
      </c>
      <c r="BJ98" s="3470"/>
      <c r="BK98" s="3470"/>
      <c r="BL98" s="3470"/>
      <c r="BM98" s="3470"/>
      <c r="BN98" s="3470"/>
      <c r="BO98" s="3470"/>
      <c r="BP98" s="3470"/>
      <c r="BQ98" s="3470"/>
      <c r="BR98" s="3470"/>
      <c r="BS98" s="3470"/>
      <c r="BT98" s="4107">
        <v>1</v>
      </c>
      <c r="BU98" s="4107">
        <v>1</v>
      </c>
      <c r="BV98" s="4130">
        <v>1</v>
      </c>
      <c r="BW98" s="3149">
        <f t="shared" si="4"/>
        <v>1</v>
      </c>
      <c r="BX98" s="16017"/>
      <c r="BY98" s="4491" t="s">
        <v>9888</v>
      </c>
      <c r="BZ98" s="4491" t="s">
        <v>9003</v>
      </c>
      <c r="CA98" s="3470"/>
      <c r="CB98" s="3150">
        <f>CC98+CD98+CE98</f>
        <v>9503739.5454545449</v>
      </c>
      <c r="CC98" s="4767">
        <v>8723594.0909090899</v>
      </c>
      <c r="CD98" s="4767">
        <v>780145.45454545459</v>
      </c>
      <c r="CE98" s="3150">
        <v>0</v>
      </c>
      <c r="CF98" s="3150">
        <v>115</v>
      </c>
      <c r="CG98" s="3150">
        <v>69</v>
      </c>
      <c r="CH98" s="2603">
        <v>46</v>
      </c>
      <c r="CI98" s="2603">
        <v>104</v>
      </c>
      <c r="CJ98" s="2603">
        <v>11</v>
      </c>
      <c r="CK98" s="2603">
        <v>0</v>
      </c>
      <c r="CL98" s="2603">
        <v>0</v>
      </c>
      <c r="CM98" s="2603">
        <v>0</v>
      </c>
      <c r="CN98" s="2603">
        <v>65</v>
      </c>
      <c r="CO98" s="2603">
        <v>31</v>
      </c>
      <c r="CP98" s="2603">
        <v>18</v>
      </c>
      <c r="CQ98" s="2603">
        <v>1</v>
      </c>
      <c r="CR98" s="3150">
        <v>114</v>
      </c>
      <c r="CS98" s="4768">
        <v>1</v>
      </c>
      <c r="CT98" s="4277"/>
      <c r="CU98" s="4277"/>
      <c r="CV98" s="4277"/>
      <c r="CW98" s="4277"/>
      <c r="CX98" s="4277"/>
      <c r="CY98" s="4277"/>
      <c r="CZ98" s="4277"/>
      <c r="DA98" s="4277"/>
      <c r="DB98" s="4277"/>
      <c r="DC98" s="4277"/>
      <c r="DD98" s="4277"/>
      <c r="DE98" s="4277"/>
      <c r="DF98" s="4277"/>
      <c r="DG98" s="4277"/>
      <c r="DH98" s="4277"/>
      <c r="DI98" s="4277"/>
      <c r="DJ98" s="4277"/>
      <c r="DK98" s="4277"/>
      <c r="DL98" s="4277"/>
      <c r="DM98" s="4277"/>
      <c r="DN98" s="4277"/>
      <c r="DO98" s="4837"/>
      <c r="DQ98" s="3474"/>
      <c r="DR98" s="3470"/>
      <c r="DS98" s="3470"/>
      <c r="DT98" s="3470"/>
      <c r="DU98" s="3470"/>
      <c r="DV98" s="3470"/>
      <c r="DW98" s="3470"/>
      <c r="DX98" s="3470"/>
      <c r="DY98" s="3470"/>
      <c r="DZ98" s="3470"/>
      <c r="EA98" s="3470"/>
      <c r="EB98" s="3470"/>
      <c r="EC98" s="3470"/>
      <c r="ED98" s="3470"/>
      <c r="EE98" s="3470"/>
      <c r="EF98" s="3470"/>
      <c r="EG98" s="3470"/>
      <c r="EH98" s="3470"/>
      <c r="EI98" s="3470"/>
      <c r="EJ98" s="3470"/>
      <c r="EK98" s="3470"/>
      <c r="EL98" s="3470"/>
      <c r="EM98" s="3470"/>
      <c r="EN98" s="3470"/>
      <c r="EO98" s="3470"/>
      <c r="EP98" s="3470"/>
      <c r="EQ98" s="3470"/>
      <c r="ER98" s="3470"/>
      <c r="ES98" s="3470"/>
      <c r="ET98" s="3470"/>
      <c r="EU98" s="3470"/>
      <c r="EV98" s="3470"/>
      <c r="EW98" s="3470"/>
      <c r="EX98" s="3470"/>
      <c r="EY98" s="3470"/>
      <c r="EZ98" s="3470"/>
      <c r="FA98" s="3470"/>
      <c r="FB98" s="3470"/>
      <c r="FC98" s="3470"/>
      <c r="FD98" s="3470"/>
      <c r="FE98" s="3470"/>
      <c r="FF98" s="3470"/>
      <c r="FG98" s="3470"/>
      <c r="FH98" s="3470"/>
      <c r="FI98" s="3470"/>
      <c r="FJ98" s="3475"/>
    </row>
    <row r="99" spans="1:166" s="1810" customFormat="1" ht="15" customHeight="1">
      <c r="A99" s="15983"/>
      <c r="B99" s="15986"/>
      <c r="C99" s="15908"/>
      <c r="D99" s="4644" t="s">
        <v>7967</v>
      </c>
      <c r="E99" s="4130" t="s">
        <v>4994</v>
      </c>
      <c r="F99" s="4130" t="s">
        <v>813</v>
      </c>
      <c r="G99" s="4130" t="s">
        <v>814</v>
      </c>
      <c r="H99" s="4130">
        <v>10</v>
      </c>
      <c r="I99" s="4130">
        <v>50</v>
      </c>
      <c r="J99" s="4130">
        <v>200</v>
      </c>
      <c r="K99" s="4130" t="s">
        <v>773</v>
      </c>
      <c r="L99" s="4130" t="s">
        <v>10066</v>
      </c>
      <c r="M99" s="4130" t="s">
        <v>298</v>
      </c>
      <c r="N99" s="4769" t="s">
        <v>815</v>
      </c>
      <c r="O99" s="2721">
        <v>45</v>
      </c>
      <c r="P99" s="2721">
        <v>46</v>
      </c>
      <c r="Q99" s="2721">
        <v>48</v>
      </c>
      <c r="R99" s="2721">
        <v>49</v>
      </c>
      <c r="S99" s="2721">
        <v>51</v>
      </c>
      <c r="T99" s="2721">
        <v>52</v>
      </c>
      <c r="U99" s="4764">
        <v>54</v>
      </c>
      <c r="V99" s="2721">
        <v>55</v>
      </c>
      <c r="W99" s="2721">
        <v>57</v>
      </c>
      <c r="X99" s="2721">
        <v>59</v>
      </c>
      <c r="Y99" s="2721">
        <v>60</v>
      </c>
      <c r="Z99" s="3400">
        <v>576</v>
      </c>
      <c r="AA99" s="2721"/>
      <c r="AB99" s="4072">
        <v>1</v>
      </c>
      <c r="AC99" s="4491" t="s">
        <v>3918</v>
      </c>
      <c r="AD99" s="4491" t="s">
        <v>3919</v>
      </c>
      <c r="AE99" s="4491" t="s">
        <v>3920</v>
      </c>
      <c r="AF99" s="3150">
        <v>2805000</v>
      </c>
      <c r="AG99" s="3150">
        <v>2805000</v>
      </c>
      <c r="AH99" s="4106">
        <v>0</v>
      </c>
      <c r="AI99" s="4106">
        <v>0</v>
      </c>
      <c r="AJ99" s="4106">
        <v>71</v>
      </c>
      <c r="AK99" s="3470"/>
      <c r="AL99" s="3470"/>
      <c r="AM99" s="4106" t="s">
        <v>2891</v>
      </c>
      <c r="AN99" s="3470"/>
      <c r="AO99" s="3470"/>
      <c r="AP99" s="3470"/>
      <c r="AQ99" s="3470"/>
      <c r="AR99" s="3470"/>
      <c r="AS99" s="3470"/>
      <c r="AT99" s="3470"/>
      <c r="AU99" s="3470"/>
      <c r="AV99" s="3470"/>
      <c r="AW99" s="4106" t="s">
        <v>2891</v>
      </c>
      <c r="AX99" s="3470"/>
      <c r="AY99" s="3470"/>
      <c r="AZ99" s="3470"/>
      <c r="BA99" s="3470"/>
      <c r="BB99" s="3470"/>
      <c r="BC99" s="3470"/>
      <c r="BD99" s="3470"/>
      <c r="BE99" s="3470"/>
      <c r="BF99" s="3470"/>
      <c r="BG99" s="3470"/>
      <c r="BH99" s="3470"/>
      <c r="BI99" s="3470"/>
      <c r="BJ99" s="4491" t="s">
        <v>3921</v>
      </c>
      <c r="BK99" s="3470"/>
      <c r="BL99" s="3470"/>
      <c r="BM99" s="3470"/>
      <c r="BN99" s="3470"/>
      <c r="BO99" s="3470"/>
      <c r="BP99" s="3470"/>
      <c r="BQ99" s="3470"/>
      <c r="BR99" s="3470"/>
      <c r="BS99" s="3470"/>
      <c r="BT99" s="2721" t="s">
        <v>9884</v>
      </c>
      <c r="BU99" s="4107">
        <v>0</v>
      </c>
      <c r="BV99" s="4130">
        <f>44+71</f>
        <v>115</v>
      </c>
      <c r="BW99" s="3149">
        <v>0</v>
      </c>
      <c r="BX99" s="16017"/>
      <c r="BY99" s="2721"/>
      <c r="BZ99" s="2721"/>
      <c r="CA99" s="2721"/>
      <c r="CB99" s="4765"/>
      <c r="CC99" s="4765"/>
      <c r="CD99" s="4765"/>
      <c r="CE99" s="4765"/>
      <c r="CF99" s="3151"/>
      <c r="CG99" s="3151"/>
      <c r="CH99" s="3151"/>
      <c r="CI99" s="3151"/>
      <c r="CJ99" s="3151"/>
      <c r="CK99" s="3151"/>
      <c r="CL99" s="3151"/>
      <c r="CM99" s="3151"/>
      <c r="CN99" s="3151"/>
      <c r="CO99" s="3151"/>
      <c r="CP99" s="3151"/>
      <c r="CQ99" s="3151"/>
      <c r="CR99" s="3151"/>
      <c r="CS99" s="4766"/>
      <c r="CT99" s="3151"/>
      <c r="CU99" s="3151"/>
      <c r="CV99" s="3151"/>
      <c r="CW99" s="3151"/>
      <c r="CX99" s="3151"/>
      <c r="CY99" s="3151"/>
      <c r="CZ99" s="3151"/>
      <c r="DA99" s="3151"/>
      <c r="DB99" s="3151"/>
      <c r="DC99" s="3151"/>
      <c r="DD99" s="3151"/>
      <c r="DE99" s="3151"/>
      <c r="DF99" s="3151"/>
      <c r="DG99" s="3151"/>
      <c r="DH99" s="3151"/>
      <c r="DI99" s="3151"/>
      <c r="DJ99" s="3151"/>
      <c r="DK99" s="3151"/>
      <c r="DL99" s="3151"/>
      <c r="DM99" s="3151"/>
      <c r="DN99" s="3151"/>
      <c r="DO99" s="4836"/>
      <c r="DQ99" s="3474"/>
      <c r="DR99" s="3470"/>
      <c r="DS99" s="3470"/>
      <c r="DT99" s="3470"/>
      <c r="DU99" s="3470"/>
      <c r="DV99" s="3470"/>
      <c r="DW99" s="3470"/>
      <c r="DX99" s="3470"/>
      <c r="DY99" s="3470"/>
      <c r="DZ99" s="3470"/>
      <c r="EA99" s="3470"/>
      <c r="EB99" s="3470"/>
      <c r="EC99" s="3470"/>
      <c r="ED99" s="3470"/>
      <c r="EE99" s="3470"/>
      <c r="EF99" s="3470"/>
      <c r="EG99" s="3470"/>
      <c r="EH99" s="3470"/>
      <c r="EI99" s="3470"/>
      <c r="EJ99" s="3470"/>
      <c r="EK99" s="3470"/>
      <c r="EL99" s="3470"/>
      <c r="EM99" s="3470"/>
      <c r="EN99" s="3470"/>
      <c r="EO99" s="3470"/>
      <c r="EP99" s="3470"/>
      <c r="EQ99" s="3470"/>
      <c r="ER99" s="3470"/>
      <c r="ES99" s="3470"/>
      <c r="ET99" s="3470"/>
      <c r="EU99" s="3470"/>
      <c r="EV99" s="3470"/>
      <c r="EW99" s="3470"/>
      <c r="EX99" s="3470"/>
      <c r="EY99" s="3470"/>
      <c r="EZ99" s="3470"/>
      <c r="FA99" s="3470"/>
      <c r="FB99" s="3470"/>
      <c r="FC99" s="3470"/>
      <c r="FD99" s="3470"/>
      <c r="FE99" s="3470"/>
      <c r="FF99" s="3470"/>
      <c r="FG99" s="3470"/>
      <c r="FH99" s="3470"/>
      <c r="FI99" s="3470"/>
      <c r="FJ99" s="3475"/>
    </row>
    <row r="100" spans="1:166" s="1810" customFormat="1" ht="15" customHeight="1">
      <c r="A100" s="15983"/>
      <c r="B100" s="15986"/>
      <c r="C100" s="15908" t="s">
        <v>816</v>
      </c>
      <c r="D100" s="4644" t="s">
        <v>7968</v>
      </c>
      <c r="E100" s="4130" t="s">
        <v>4995</v>
      </c>
      <c r="F100" s="4130" t="s">
        <v>817</v>
      </c>
      <c r="G100" s="4130">
        <v>0</v>
      </c>
      <c r="H100" s="4130">
        <v>1</v>
      </c>
      <c r="I100" s="4130">
        <v>1</v>
      </c>
      <c r="J100" s="4130">
        <v>1</v>
      </c>
      <c r="K100" s="4130" t="s">
        <v>773</v>
      </c>
      <c r="L100" s="4130" t="s">
        <v>10063</v>
      </c>
      <c r="M100" s="2721" t="s">
        <v>724</v>
      </c>
      <c r="N100" s="4769" t="s">
        <v>818</v>
      </c>
      <c r="O100" s="2721">
        <v>15</v>
      </c>
      <c r="P100" s="2721">
        <v>15</v>
      </c>
      <c r="Q100" s="2721">
        <v>16</v>
      </c>
      <c r="R100" s="2721">
        <v>16</v>
      </c>
      <c r="S100" s="2721">
        <v>17</v>
      </c>
      <c r="T100" s="2721">
        <v>17</v>
      </c>
      <c r="U100" s="4764">
        <v>18</v>
      </c>
      <c r="V100" s="2721">
        <v>18</v>
      </c>
      <c r="W100" s="2721">
        <v>19</v>
      </c>
      <c r="X100" s="2721">
        <v>20</v>
      </c>
      <c r="Y100" s="2721">
        <v>20</v>
      </c>
      <c r="Z100" s="3400">
        <v>191</v>
      </c>
      <c r="AA100" s="2721"/>
      <c r="AB100" s="2720">
        <v>1</v>
      </c>
      <c r="AC100" s="4491" t="s">
        <v>2980</v>
      </c>
      <c r="AD100" s="4491" t="s">
        <v>2981</v>
      </c>
      <c r="AE100" s="4491" t="s">
        <v>2982</v>
      </c>
      <c r="AF100" s="4646">
        <f>+'[2]8. DISCAPACIDAD'!$O$19</f>
        <v>16021919.75</v>
      </c>
      <c r="AG100" s="4646">
        <f>+'[2]8. DISCAPACIDAD'!$Q$19</f>
        <v>7292119.75</v>
      </c>
      <c r="AH100" s="4646">
        <f>+'[2]8. DISCAPACIDAD'!$R$19</f>
        <v>8729800</v>
      </c>
      <c r="AI100" s="4647"/>
      <c r="AJ100" s="4647"/>
      <c r="AK100" s="4647"/>
      <c r="AL100" s="4647"/>
      <c r="AM100" s="4647"/>
      <c r="AN100" s="4647"/>
      <c r="AO100" s="4647"/>
      <c r="AP100" s="4647"/>
      <c r="AQ100" s="4647"/>
      <c r="AR100" s="4647"/>
      <c r="AS100" s="4647"/>
      <c r="AT100" s="4647"/>
      <c r="AU100" s="4647"/>
      <c r="AV100" s="4647"/>
      <c r="AW100" s="4647"/>
      <c r="AX100" s="4647"/>
      <c r="AY100" s="4647"/>
      <c r="AZ100" s="4647"/>
      <c r="BA100" s="4647"/>
      <c r="BB100" s="4647"/>
      <c r="BC100" s="4647"/>
      <c r="BD100" s="4647"/>
      <c r="BE100" s="4647"/>
      <c r="BF100" s="4647"/>
      <c r="BG100" s="4647"/>
      <c r="BH100" s="4647"/>
      <c r="BI100" s="4647"/>
      <c r="BJ100" s="3470"/>
      <c r="BK100" s="3470"/>
      <c r="BL100" s="3470"/>
      <c r="BM100" s="3470"/>
      <c r="BN100" s="3470"/>
      <c r="BO100" s="3470"/>
      <c r="BP100" s="3470"/>
      <c r="BQ100" s="3470"/>
      <c r="BR100" s="3470"/>
      <c r="BS100" s="3470"/>
      <c r="BT100" s="2721">
        <v>1</v>
      </c>
      <c r="BU100" s="4107">
        <v>1</v>
      </c>
      <c r="BV100" s="4107">
        <v>1</v>
      </c>
      <c r="BW100" s="3149">
        <f t="shared" ref="BW100:BW105" si="5">BV100/BU100</f>
        <v>1</v>
      </c>
      <c r="BX100" s="16017"/>
      <c r="BY100" s="2721" t="s">
        <v>9889</v>
      </c>
      <c r="BZ100" s="4107" t="s">
        <v>9004</v>
      </c>
      <c r="CA100" s="2721" t="s">
        <v>9890</v>
      </c>
      <c r="CB100" s="3150">
        <f>CC100+CD100+CE100</f>
        <v>17709283.300000001</v>
      </c>
      <c r="CC100" s="4767">
        <v>9709283.3000000007</v>
      </c>
      <c r="CD100" s="4767">
        <v>8000000</v>
      </c>
      <c r="CE100" s="4770"/>
      <c r="CF100" s="4771"/>
      <c r="CG100" s="4771"/>
      <c r="CH100" s="4771"/>
      <c r="CI100" s="4771"/>
      <c r="CJ100" s="4771"/>
      <c r="CK100" s="4771"/>
      <c r="CL100" s="4771"/>
      <c r="CM100" s="4771"/>
      <c r="CN100" s="4771"/>
      <c r="CO100" s="4771"/>
      <c r="CP100" s="4771"/>
      <c r="CQ100" s="4771"/>
      <c r="CR100" s="4771"/>
      <c r="CS100" s="4772"/>
      <c r="CT100" s="4771"/>
      <c r="CU100" s="4771"/>
      <c r="CV100" s="4771"/>
      <c r="CW100" s="4771"/>
      <c r="CX100" s="4771"/>
      <c r="CY100" s="4771"/>
      <c r="CZ100" s="4771"/>
      <c r="DA100" s="4771"/>
      <c r="DB100" s="4771"/>
      <c r="DC100" s="4771"/>
      <c r="DD100" s="4771"/>
      <c r="DE100" s="4771"/>
      <c r="DF100" s="4771"/>
      <c r="DG100" s="4771"/>
      <c r="DH100" s="4771"/>
      <c r="DI100" s="4771"/>
      <c r="DJ100" s="4771"/>
      <c r="DK100" s="4771"/>
      <c r="DL100" s="4771"/>
      <c r="DM100" s="4771"/>
      <c r="DN100" s="4771"/>
      <c r="DO100" s="4836"/>
      <c r="DQ100" s="3474"/>
      <c r="DR100" s="3470"/>
      <c r="DS100" s="3470"/>
      <c r="DT100" s="3470"/>
      <c r="DU100" s="3470"/>
      <c r="DV100" s="3470"/>
      <c r="DW100" s="3470"/>
      <c r="DX100" s="3470"/>
      <c r="DY100" s="3470"/>
      <c r="DZ100" s="3470"/>
      <c r="EA100" s="3470"/>
      <c r="EB100" s="3470"/>
      <c r="EC100" s="3470"/>
      <c r="ED100" s="3470"/>
      <c r="EE100" s="3470"/>
      <c r="EF100" s="3470"/>
      <c r="EG100" s="3470"/>
      <c r="EH100" s="3470"/>
      <c r="EI100" s="3470"/>
      <c r="EJ100" s="3470"/>
      <c r="EK100" s="3470"/>
      <c r="EL100" s="3470"/>
      <c r="EM100" s="3470"/>
      <c r="EN100" s="3470"/>
      <c r="EO100" s="3470"/>
      <c r="EP100" s="3470"/>
      <c r="EQ100" s="3470"/>
      <c r="ER100" s="3470"/>
      <c r="ES100" s="3470"/>
      <c r="ET100" s="3470"/>
      <c r="EU100" s="3470"/>
      <c r="EV100" s="3470"/>
      <c r="EW100" s="3470"/>
      <c r="EX100" s="3470"/>
      <c r="EY100" s="3470"/>
      <c r="EZ100" s="3470"/>
      <c r="FA100" s="3470"/>
      <c r="FB100" s="3470"/>
      <c r="FC100" s="3470"/>
      <c r="FD100" s="3470"/>
      <c r="FE100" s="3470"/>
      <c r="FF100" s="3470"/>
      <c r="FG100" s="3470"/>
      <c r="FH100" s="3470"/>
      <c r="FI100" s="3470"/>
      <c r="FJ100" s="3475"/>
    </row>
    <row r="101" spans="1:166" s="1810" customFormat="1" ht="15" customHeight="1">
      <c r="A101" s="15983"/>
      <c r="B101" s="15986"/>
      <c r="C101" s="15908"/>
      <c r="D101" s="4644" t="s">
        <v>7969</v>
      </c>
      <c r="E101" s="4130" t="s">
        <v>4996</v>
      </c>
      <c r="F101" s="4130" t="s">
        <v>819</v>
      </c>
      <c r="G101" s="4130">
        <v>0</v>
      </c>
      <c r="H101" s="4645">
        <v>0.05</v>
      </c>
      <c r="I101" s="4645">
        <v>0.2</v>
      </c>
      <c r="J101" s="4645">
        <v>0.5</v>
      </c>
      <c r="K101" s="4130" t="s">
        <v>820</v>
      </c>
      <c r="L101" s="4130" t="s">
        <v>10063</v>
      </c>
      <c r="M101" s="2721" t="s">
        <v>724</v>
      </c>
      <c r="N101" s="4769" t="s">
        <v>818</v>
      </c>
      <c r="O101" s="2721" t="s">
        <v>690</v>
      </c>
      <c r="P101" s="2721" t="s">
        <v>690</v>
      </c>
      <c r="Q101" s="2721" t="s">
        <v>690</v>
      </c>
      <c r="R101" s="2721" t="s">
        <v>690</v>
      </c>
      <c r="S101" s="2721" t="s">
        <v>690</v>
      </c>
      <c r="T101" s="2721" t="s">
        <v>690</v>
      </c>
      <c r="U101" s="4764" t="s">
        <v>690</v>
      </c>
      <c r="V101" s="2721" t="s">
        <v>690</v>
      </c>
      <c r="W101" s="2721" t="s">
        <v>690</v>
      </c>
      <c r="X101" s="2721" t="s">
        <v>690</v>
      </c>
      <c r="Y101" s="2721" t="s">
        <v>690</v>
      </c>
      <c r="Z101" s="3400">
        <v>0</v>
      </c>
      <c r="AA101" s="2721" t="s">
        <v>782</v>
      </c>
      <c r="AB101" s="4773">
        <f>10/17*100%</f>
        <v>0.58823529411764708</v>
      </c>
      <c r="AC101" s="4491" t="s">
        <v>2983</v>
      </c>
      <c r="AD101" s="4491" t="s">
        <v>2984</v>
      </c>
      <c r="AE101" s="4107"/>
      <c r="AF101" s="4646">
        <f>+'[2]8. DISCAPACIDAD'!$O$20</f>
        <v>9275946.5890909079</v>
      </c>
      <c r="AG101" s="4646">
        <f>+'[2]8. DISCAPACIDAD'!$Q$20</f>
        <v>6860302.9527272712</v>
      </c>
      <c r="AH101" s="4646">
        <f>+'[2]8. DISCAPACIDAD'!$R$20</f>
        <v>2415643.6363636362</v>
      </c>
      <c r="AI101" s="4647"/>
      <c r="AJ101" s="4647"/>
      <c r="AK101" s="4647"/>
      <c r="AL101" s="4647"/>
      <c r="AM101" s="4647"/>
      <c r="AN101" s="4647"/>
      <c r="AO101" s="4647"/>
      <c r="AP101" s="4647"/>
      <c r="AQ101" s="4647"/>
      <c r="AR101" s="4647"/>
      <c r="AS101" s="4647"/>
      <c r="AT101" s="4647"/>
      <c r="AU101" s="4647"/>
      <c r="AV101" s="4647"/>
      <c r="AW101" s="4647"/>
      <c r="AX101" s="4647"/>
      <c r="AY101" s="4647"/>
      <c r="AZ101" s="4647"/>
      <c r="BA101" s="4647"/>
      <c r="BB101" s="4647"/>
      <c r="BC101" s="4647"/>
      <c r="BD101" s="4647"/>
      <c r="BE101" s="4647"/>
      <c r="BF101" s="4647"/>
      <c r="BG101" s="4647"/>
      <c r="BH101" s="4647"/>
      <c r="BI101" s="4647"/>
      <c r="BJ101" s="3470"/>
      <c r="BK101" s="3470"/>
      <c r="BL101" s="3470"/>
      <c r="BM101" s="3470"/>
      <c r="BN101" s="3470"/>
      <c r="BO101" s="3470"/>
      <c r="BP101" s="3470"/>
      <c r="BQ101" s="3470"/>
      <c r="BR101" s="3470"/>
      <c r="BS101" s="3470"/>
      <c r="BT101" s="4774">
        <f>0.411764705882353*100%</f>
        <v>0.41176470588235298</v>
      </c>
      <c r="BU101" s="4774">
        <v>0.41</v>
      </c>
      <c r="BV101" s="4645">
        <v>0.41</v>
      </c>
      <c r="BW101" s="3149">
        <f t="shared" si="5"/>
        <v>1</v>
      </c>
      <c r="BX101" s="16017"/>
      <c r="BY101" s="2721" t="s">
        <v>9891</v>
      </c>
      <c r="BZ101" s="4107" t="s">
        <v>9004</v>
      </c>
      <c r="CA101" s="2721" t="s">
        <v>9892</v>
      </c>
      <c r="CB101" s="4775">
        <f>CC101+CD101+CE101</f>
        <v>9617306.8854545467</v>
      </c>
      <c r="CC101" s="4767">
        <v>7120841.4309090916</v>
      </c>
      <c r="CD101" s="4767">
        <v>2496465.4545454546</v>
      </c>
      <c r="CE101" s="4770"/>
      <c r="CF101" s="4771"/>
      <c r="CG101" s="4771"/>
      <c r="CH101" s="4771"/>
      <c r="CI101" s="4771"/>
      <c r="CJ101" s="4771"/>
      <c r="CK101" s="4771"/>
      <c r="CL101" s="4771"/>
      <c r="CM101" s="4771"/>
      <c r="CN101" s="4771"/>
      <c r="CO101" s="4771"/>
      <c r="CP101" s="4771"/>
      <c r="CQ101" s="4771"/>
      <c r="CR101" s="4771"/>
      <c r="CS101" s="4772"/>
      <c r="CT101" s="4771"/>
      <c r="CU101" s="4771"/>
      <c r="CV101" s="4771"/>
      <c r="CW101" s="4771"/>
      <c r="CX101" s="4771"/>
      <c r="CY101" s="4771"/>
      <c r="CZ101" s="4771"/>
      <c r="DA101" s="4771"/>
      <c r="DB101" s="4771"/>
      <c r="DC101" s="4771"/>
      <c r="DD101" s="4771"/>
      <c r="DE101" s="4771"/>
      <c r="DF101" s="4771"/>
      <c r="DG101" s="4771"/>
      <c r="DH101" s="4771"/>
      <c r="DI101" s="4771"/>
      <c r="DJ101" s="4771"/>
      <c r="DK101" s="3151"/>
      <c r="DL101" s="3151"/>
      <c r="DM101" s="3151"/>
      <c r="DN101" s="3151"/>
      <c r="DO101" s="4836"/>
      <c r="DQ101" s="3474"/>
      <c r="DR101" s="3470"/>
      <c r="DS101" s="3470"/>
      <c r="DT101" s="3470"/>
      <c r="DU101" s="3470"/>
      <c r="DV101" s="3470"/>
      <c r="DW101" s="3470"/>
      <c r="DX101" s="3470"/>
      <c r="DY101" s="3470"/>
      <c r="DZ101" s="3470"/>
      <c r="EA101" s="3470"/>
      <c r="EB101" s="3470"/>
      <c r="EC101" s="3470"/>
      <c r="ED101" s="3470"/>
      <c r="EE101" s="3470"/>
      <c r="EF101" s="3470"/>
      <c r="EG101" s="3470"/>
      <c r="EH101" s="3470"/>
      <c r="EI101" s="3470"/>
      <c r="EJ101" s="3470"/>
      <c r="EK101" s="3470"/>
      <c r="EL101" s="3470"/>
      <c r="EM101" s="3470"/>
      <c r="EN101" s="3470"/>
      <c r="EO101" s="3470"/>
      <c r="EP101" s="3470"/>
      <c r="EQ101" s="3470"/>
      <c r="ER101" s="3470"/>
      <c r="ES101" s="3470"/>
      <c r="ET101" s="3470"/>
      <c r="EU101" s="3470"/>
      <c r="EV101" s="3470"/>
      <c r="EW101" s="3470"/>
      <c r="EX101" s="3470"/>
      <c r="EY101" s="3470"/>
      <c r="EZ101" s="3470"/>
      <c r="FA101" s="3470"/>
      <c r="FB101" s="3470"/>
      <c r="FC101" s="3470"/>
      <c r="FD101" s="3470"/>
      <c r="FE101" s="3470"/>
      <c r="FF101" s="3470"/>
      <c r="FG101" s="3470"/>
      <c r="FH101" s="3470"/>
      <c r="FI101" s="3470"/>
      <c r="FJ101" s="3475"/>
    </row>
    <row r="102" spans="1:166" s="1810" customFormat="1" ht="15" customHeight="1">
      <c r="A102" s="15983"/>
      <c r="B102" s="15986"/>
      <c r="C102" s="15908" t="s">
        <v>821</v>
      </c>
      <c r="D102" s="15908" t="s">
        <v>7970</v>
      </c>
      <c r="E102" s="15619" t="s">
        <v>4997</v>
      </c>
      <c r="F102" s="15619" t="s">
        <v>822</v>
      </c>
      <c r="G102" s="15619" t="s">
        <v>814</v>
      </c>
      <c r="H102" s="15619">
        <v>1</v>
      </c>
      <c r="I102" s="15619">
        <v>1</v>
      </c>
      <c r="J102" s="15619">
        <v>1</v>
      </c>
      <c r="K102" s="15619" t="s">
        <v>773</v>
      </c>
      <c r="L102" s="4130" t="s">
        <v>10066</v>
      </c>
      <c r="M102" s="4130" t="s">
        <v>298</v>
      </c>
      <c r="N102" s="4130"/>
      <c r="O102" s="2721">
        <v>25</v>
      </c>
      <c r="P102" s="2721">
        <v>26</v>
      </c>
      <c r="Q102" s="2721">
        <v>27</v>
      </c>
      <c r="R102" s="2721">
        <v>27</v>
      </c>
      <c r="S102" s="2721">
        <v>28</v>
      </c>
      <c r="T102" s="2721">
        <v>29</v>
      </c>
      <c r="U102" s="4764">
        <v>30</v>
      </c>
      <c r="V102" s="2721">
        <v>31</v>
      </c>
      <c r="W102" s="2721">
        <v>32</v>
      </c>
      <c r="X102" s="2721">
        <v>33</v>
      </c>
      <c r="Y102" s="2721">
        <v>34</v>
      </c>
      <c r="Z102" s="3400">
        <v>322</v>
      </c>
      <c r="AA102" s="2721"/>
      <c r="AB102" s="4072">
        <v>1</v>
      </c>
      <c r="AC102" s="4491" t="s">
        <v>3922</v>
      </c>
      <c r="AD102" s="4491" t="s">
        <v>3919</v>
      </c>
      <c r="AE102" s="4491" t="s">
        <v>3923</v>
      </c>
      <c r="AF102" s="3150">
        <v>2805000</v>
      </c>
      <c r="AG102" s="3150">
        <v>2805000</v>
      </c>
      <c r="AH102" s="4106">
        <v>0</v>
      </c>
      <c r="AI102" s="4106">
        <v>0</v>
      </c>
      <c r="AJ102" s="4106">
        <v>29</v>
      </c>
      <c r="AK102" s="3470"/>
      <c r="AL102" s="3470"/>
      <c r="AM102" s="4106" t="s">
        <v>2891</v>
      </c>
      <c r="AN102" s="4106"/>
      <c r="AO102" s="4106"/>
      <c r="AP102" s="4106"/>
      <c r="AQ102" s="4106" t="s">
        <v>2891</v>
      </c>
      <c r="AR102" s="4106"/>
      <c r="AS102" s="4106"/>
      <c r="AT102" s="4106"/>
      <c r="AU102" s="4106"/>
      <c r="AV102" s="4106"/>
      <c r="AW102" s="4106" t="s">
        <v>2891</v>
      </c>
      <c r="AX102" s="3470"/>
      <c r="AY102" s="3470"/>
      <c r="AZ102" s="3470"/>
      <c r="BA102" s="3470"/>
      <c r="BB102" s="3470"/>
      <c r="BC102" s="3470"/>
      <c r="BD102" s="3470"/>
      <c r="BE102" s="3470"/>
      <c r="BF102" s="3470"/>
      <c r="BG102" s="3470"/>
      <c r="BH102" s="3470"/>
      <c r="BI102" s="3470"/>
      <c r="BJ102" s="4491" t="s">
        <v>3921</v>
      </c>
      <c r="BK102" s="3470"/>
      <c r="BL102" s="3470"/>
      <c r="BM102" s="3470"/>
      <c r="BN102" s="3470"/>
      <c r="BO102" s="3470"/>
      <c r="BP102" s="3470"/>
      <c r="BQ102" s="3470"/>
      <c r="BR102" s="3470"/>
      <c r="BS102" s="3470"/>
      <c r="BT102" s="2721" t="s">
        <v>9884</v>
      </c>
      <c r="BU102" s="4130">
        <v>0</v>
      </c>
      <c r="BV102" s="4130">
        <v>1</v>
      </c>
      <c r="BW102" s="3149">
        <v>0</v>
      </c>
      <c r="BX102" s="16017"/>
      <c r="BY102" s="2721"/>
      <c r="BZ102" s="2721"/>
      <c r="CA102" s="2721"/>
      <c r="CB102" s="4765"/>
      <c r="CC102" s="4765"/>
      <c r="CD102" s="4765"/>
      <c r="CE102" s="4765"/>
      <c r="CF102" s="3151"/>
      <c r="CG102" s="3151"/>
      <c r="CH102" s="3151"/>
      <c r="CI102" s="3151"/>
      <c r="CJ102" s="3151"/>
      <c r="CK102" s="3151"/>
      <c r="CL102" s="3151"/>
      <c r="CM102" s="3151"/>
      <c r="CN102" s="3151"/>
      <c r="CO102" s="3151"/>
      <c r="CP102" s="3151"/>
      <c r="CQ102" s="3151"/>
      <c r="CR102" s="3151"/>
      <c r="CS102" s="4766"/>
      <c r="CT102" s="3151"/>
      <c r="CU102" s="3151"/>
      <c r="CV102" s="3151"/>
      <c r="CW102" s="3151"/>
      <c r="CX102" s="3151"/>
      <c r="CY102" s="3151"/>
      <c r="CZ102" s="3151"/>
      <c r="DA102" s="3151"/>
      <c r="DB102" s="3151"/>
      <c r="DC102" s="3151"/>
      <c r="DD102" s="3151"/>
      <c r="DE102" s="3151"/>
      <c r="DF102" s="3151"/>
      <c r="DG102" s="3151"/>
      <c r="DH102" s="3151"/>
      <c r="DI102" s="3151"/>
      <c r="DJ102" s="3151"/>
      <c r="DK102" s="3151"/>
      <c r="DL102" s="3151"/>
      <c r="DM102" s="3151"/>
      <c r="DN102" s="3151"/>
      <c r="DO102" s="4836"/>
      <c r="DQ102" s="3474"/>
      <c r="DR102" s="3470"/>
      <c r="DS102" s="3470"/>
      <c r="DT102" s="3470"/>
      <c r="DU102" s="3470"/>
      <c r="DV102" s="3470"/>
      <c r="DW102" s="3470"/>
      <c r="DX102" s="3470"/>
      <c r="DY102" s="3470"/>
      <c r="DZ102" s="3470"/>
      <c r="EA102" s="3470"/>
      <c r="EB102" s="3470"/>
      <c r="EC102" s="3470"/>
      <c r="ED102" s="3470"/>
      <c r="EE102" s="3470"/>
      <c r="EF102" s="3470"/>
      <c r="EG102" s="3470"/>
      <c r="EH102" s="3470"/>
      <c r="EI102" s="3470"/>
      <c r="EJ102" s="3470"/>
      <c r="EK102" s="3470"/>
      <c r="EL102" s="3470"/>
      <c r="EM102" s="3470"/>
      <c r="EN102" s="3470"/>
      <c r="EO102" s="3470"/>
      <c r="EP102" s="3470"/>
      <c r="EQ102" s="3470"/>
      <c r="ER102" s="3470"/>
      <c r="ES102" s="3470"/>
      <c r="ET102" s="3470"/>
      <c r="EU102" s="3470"/>
      <c r="EV102" s="3470"/>
      <c r="EW102" s="3470"/>
      <c r="EX102" s="3470"/>
      <c r="EY102" s="3470"/>
      <c r="EZ102" s="3470"/>
      <c r="FA102" s="3470"/>
      <c r="FB102" s="3470"/>
      <c r="FC102" s="3470"/>
      <c r="FD102" s="3470"/>
      <c r="FE102" s="3470"/>
      <c r="FF102" s="3470"/>
      <c r="FG102" s="3470"/>
      <c r="FH102" s="3470"/>
      <c r="FI102" s="3470"/>
      <c r="FJ102" s="3475"/>
    </row>
    <row r="103" spans="1:166" s="1810" customFormat="1" ht="15" customHeight="1">
      <c r="A103" s="15983"/>
      <c r="B103" s="15986"/>
      <c r="C103" s="15908"/>
      <c r="D103" s="15908"/>
      <c r="E103" s="15619"/>
      <c r="F103" s="15619"/>
      <c r="G103" s="15619"/>
      <c r="H103" s="15619"/>
      <c r="I103" s="15619"/>
      <c r="J103" s="15619"/>
      <c r="K103" s="15619"/>
      <c r="L103" s="4130" t="s">
        <v>10063</v>
      </c>
      <c r="M103" s="4130"/>
      <c r="N103" s="4130" t="s">
        <v>107</v>
      </c>
      <c r="O103" s="2721"/>
      <c r="P103" s="2721"/>
      <c r="Q103" s="2721"/>
      <c r="R103" s="2721"/>
      <c r="S103" s="2721"/>
      <c r="T103" s="2721"/>
      <c r="U103" s="4764"/>
      <c r="V103" s="2721"/>
      <c r="W103" s="2721"/>
      <c r="X103" s="2721"/>
      <c r="Y103" s="2721"/>
      <c r="Z103" s="3400"/>
      <c r="AA103" s="2721"/>
      <c r="AB103" s="4072"/>
      <c r="AC103" s="4491"/>
      <c r="AD103" s="4491"/>
      <c r="AE103" s="4491"/>
      <c r="AF103" s="3150"/>
      <c r="AG103" s="3150"/>
      <c r="AH103" s="4106"/>
      <c r="AI103" s="4106"/>
      <c r="AJ103" s="4106"/>
      <c r="AK103" s="3470"/>
      <c r="AL103" s="3470"/>
      <c r="AM103" s="4106"/>
      <c r="AN103" s="4106"/>
      <c r="AO103" s="4106"/>
      <c r="AP103" s="4106"/>
      <c r="AQ103" s="4106"/>
      <c r="AR103" s="4106"/>
      <c r="AS103" s="4106"/>
      <c r="AT103" s="4106"/>
      <c r="AU103" s="4106"/>
      <c r="AV103" s="4106"/>
      <c r="AW103" s="4106"/>
      <c r="AX103" s="3470"/>
      <c r="AY103" s="3470"/>
      <c r="AZ103" s="3470"/>
      <c r="BA103" s="3470"/>
      <c r="BB103" s="3470"/>
      <c r="BC103" s="3470"/>
      <c r="BD103" s="3470"/>
      <c r="BE103" s="3470"/>
      <c r="BF103" s="3470"/>
      <c r="BG103" s="3470"/>
      <c r="BH103" s="3470"/>
      <c r="BI103" s="3470"/>
      <c r="BJ103" s="4491"/>
      <c r="BK103" s="3470"/>
      <c r="BL103" s="3470"/>
      <c r="BM103" s="3470"/>
      <c r="BN103" s="3470"/>
      <c r="BO103" s="3470"/>
      <c r="BP103" s="3470"/>
      <c r="BQ103" s="3470"/>
      <c r="BR103" s="3470"/>
      <c r="BS103" s="3470"/>
      <c r="BT103" s="2721"/>
      <c r="BU103" s="4130"/>
      <c r="BV103" s="4130"/>
      <c r="BW103" s="3149"/>
      <c r="BX103" s="16017"/>
      <c r="BY103" s="2721"/>
      <c r="BZ103" s="2721"/>
      <c r="CA103" s="2721"/>
      <c r="CB103" s="4765"/>
      <c r="CC103" s="4765"/>
      <c r="CD103" s="4765"/>
      <c r="CE103" s="4765"/>
      <c r="CF103" s="3151"/>
      <c r="CG103" s="3151"/>
      <c r="CH103" s="3151"/>
      <c r="CI103" s="3151"/>
      <c r="CJ103" s="3151"/>
      <c r="CK103" s="3151"/>
      <c r="CL103" s="3151"/>
      <c r="CM103" s="3151"/>
      <c r="CN103" s="3151"/>
      <c r="CO103" s="3151"/>
      <c r="CP103" s="3151"/>
      <c r="CQ103" s="3151"/>
      <c r="CR103" s="3151"/>
      <c r="CS103" s="4766"/>
      <c r="CT103" s="3151"/>
      <c r="CU103" s="3151"/>
      <c r="CV103" s="3151"/>
      <c r="CW103" s="3151"/>
      <c r="CX103" s="3151"/>
      <c r="CY103" s="3151"/>
      <c r="CZ103" s="3151"/>
      <c r="DA103" s="3151"/>
      <c r="DB103" s="3151"/>
      <c r="DC103" s="3151"/>
      <c r="DD103" s="3151"/>
      <c r="DE103" s="3151"/>
      <c r="DF103" s="3151"/>
      <c r="DG103" s="3151"/>
      <c r="DH103" s="3151"/>
      <c r="DI103" s="3151"/>
      <c r="DJ103" s="3151"/>
      <c r="DK103" s="3151"/>
      <c r="DL103" s="3151"/>
      <c r="DM103" s="3151"/>
      <c r="DN103" s="3151"/>
      <c r="DO103" s="4836"/>
      <c r="DQ103" s="3474"/>
      <c r="DR103" s="3470"/>
      <c r="DS103" s="3470"/>
      <c r="DT103" s="3470"/>
      <c r="DU103" s="3470"/>
      <c r="DV103" s="3470"/>
      <c r="DW103" s="3470"/>
      <c r="DX103" s="3470"/>
      <c r="DY103" s="3470"/>
      <c r="DZ103" s="3470"/>
      <c r="EA103" s="3470"/>
      <c r="EB103" s="3470"/>
      <c r="EC103" s="3470"/>
      <c r="ED103" s="3470"/>
      <c r="EE103" s="3470"/>
      <c r="EF103" s="3470"/>
      <c r="EG103" s="3470"/>
      <c r="EH103" s="3470"/>
      <c r="EI103" s="3470"/>
      <c r="EJ103" s="3470"/>
      <c r="EK103" s="3470"/>
      <c r="EL103" s="3470"/>
      <c r="EM103" s="3470"/>
      <c r="EN103" s="3470"/>
      <c r="EO103" s="3470"/>
      <c r="EP103" s="3470"/>
      <c r="EQ103" s="3470"/>
      <c r="ER103" s="3470"/>
      <c r="ES103" s="3470"/>
      <c r="ET103" s="3470"/>
      <c r="EU103" s="3470"/>
      <c r="EV103" s="3470"/>
      <c r="EW103" s="3470"/>
      <c r="EX103" s="3470"/>
      <c r="EY103" s="3470"/>
      <c r="EZ103" s="3470"/>
      <c r="FA103" s="3470"/>
      <c r="FB103" s="3470"/>
      <c r="FC103" s="3470"/>
      <c r="FD103" s="3470"/>
      <c r="FE103" s="3470"/>
      <c r="FF103" s="3470"/>
      <c r="FG103" s="3470"/>
      <c r="FH103" s="3470"/>
      <c r="FI103" s="3470"/>
      <c r="FJ103" s="3475"/>
    </row>
    <row r="104" spans="1:166" s="1810" customFormat="1" ht="15" customHeight="1">
      <c r="A104" s="15983"/>
      <c r="B104" s="15986"/>
      <c r="C104" s="15908"/>
      <c r="D104" s="4644" t="s">
        <v>7971</v>
      </c>
      <c r="E104" s="4130" t="s">
        <v>4998</v>
      </c>
      <c r="F104" s="2646" t="s">
        <v>822</v>
      </c>
      <c r="G104" s="4130"/>
      <c r="H104" s="4130">
        <v>1</v>
      </c>
      <c r="I104" s="4130">
        <v>1</v>
      </c>
      <c r="J104" s="4130">
        <v>1</v>
      </c>
      <c r="K104" s="4130" t="s">
        <v>773</v>
      </c>
      <c r="L104" s="4130" t="s">
        <v>10063</v>
      </c>
      <c r="M104" s="2721" t="s">
        <v>724</v>
      </c>
      <c r="N104" s="4130"/>
      <c r="O104" s="2721">
        <v>25</v>
      </c>
      <c r="P104" s="2721">
        <v>26</v>
      </c>
      <c r="Q104" s="2721">
        <v>27</v>
      </c>
      <c r="R104" s="2721">
        <v>27</v>
      </c>
      <c r="S104" s="2721">
        <v>28</v>
      </c>
      <c r="T104" s="2721">
        <v>29</v>
      </c>
      <c r="U104" s="4764">
        <v>30</v>
      </c>
      <c r="V104" s="2721">
        <v>31</v>
      </c>
      <c r="W104" s="2721">
        <v>32</v>
      </c>
      <c r="X104" s="2721">
        <v>33</v>
      </c>
      <c r="Y104" s="2721">
        <v>34</v>
      </c>
      <c r="Z104" s="3400">
        <v>322</v>
      </c>
      <c r="AA104" s="2721"/>
      <c r="AB104" s="2720">
        <v>1</v>
      </c>
      <c r="AC104" s="4776" t="s">
        <v>2985</v>
      </c>
      <c r="AD104" s="4491" t="s">
        <v>2986</v>
      </c>
      <c r="AE104" s="3470"/>
      <c r="AF104" s="4646">
        <f>+'[2]8. DISCAPACIDAD'!$O$21</f>
        <v>9275946.5890909079</v>
      </c>
      <c r="AG104" s="4646">
        <f>+'[2]8. DISCAPACIDAD'!$Q$21</f>
        <v>6860302.9527272712</v>
      </c>
      <c r="AH104" s="4646">
        <f>+'[2]8. DISCAPACIDAD'!$R$21</f>
        <v>2415643.6363636362</v>
      </c>
      <c r="AI104" s="3470"/>
      <c r="AJ104" s="4107">
        <v>706</v>
      </c>
      <c r="AK104" s="4647">
        <v>412</v>
      </c>
      <c r="AL104" s="4647">
        <v>294</v>
      </c>
      <c r="AM104" s="4647">
        <v>618</v>
      </c>
      <c r="AN104" s="4647">
        <f>+AJ104-AM104</f>
        <v>88</v>
      </c>
      <c r="AO104" s="4107">
        <v>0</v>
      </c>
      <c r="AP104" s="4107">
        <v>0</v>
      </c>
      <c r="AQ104" s="4107">
        <v>373</v>
      </c>
      <c r="AR104" s="4107">
        <v>98</v>
      </c>
      <c r="AS104" s="4107">
        <v>76</v>
      </c>
      <c r="AT104" s="4107">
        <v>133</v>
      </c>
      <c r="AU104" s="4107">
        <v>26</v>
      </c>
      <c r="AV104" s="4107">
        <v>663</v>
      </c>
      <c r="AW104" s="4107">
        <f>706-AV104</f>
        <v>43</v>
      </c>
      <c r="AX104" s="4107"/>
      <c r="AY104" s="4107"/>
      <c r="AZ104" s="3470"/>
      <c r="BA104" s="3470"/>
      <c r="BB104" s="3470"/>
      <c r="BC104" s="3470"/>
      <c r="BD104" s="3470"/>
      <c r="BE104" s="3470"/>
      <c r="BF104" s="3470"/>
      <c r="BG104" s="3470"/>
      <c r="BH104" s="3470"/>
      <c r="BI104" s="3470"/>
      <c r="BJ104" s="3470"/>
      <c r="BK104" s="3470"/>
      <c r="BL104" s="3470"/>
      <c r="BM104" s="3470"/>
      <c r="BN104" s="3470"/>
      <c r="BO104" s="3470"/>
      <c r="BP104" s="3470"/>
      <c r="BQ104" s="3470"/>
      <c r="BR104" s="3470"/>
      <c r="BS104" s="3470"/>
      <c r="BT104" s="4107">
        <v>1</v>
      </c>
      <c r="BU104" s="4130">
        <v>1</v>
      </c>
      <c r="BV104" s="4130">
        <v>1</v>
      </c>
      <c r="BW104" s="3149">
        <f t="shared" si="5"/>
        <v>1</v>
      </c>
      <c r="BX104" s="16017"/>
      <c r="BY104" s="2721" t="s">
        <v>9893</v>
      </c>
      <c r="BZ104" s="4491" t="s">
        <v>9005</v>
      </c>
      <c r="CA104" s="3470"/>
      <c r="CB104" s="4775">
        <f>CC104+CD104+CE104</f>
        <v>9617306.8854545467</v>
      </c>
      <c r="CC104" s="4767">
        <v>7120841.4309090916</v>
      </c>
      <c r="CD104" s="4767">
        <v>2496465.4545454546</v>
      </c>
      <c r="CE104" s="3150">
        <v>0</v>
      </c>
      <c r="CF104" s="3150">
        <v>131</v>
      </c>
      <c r="CG104" s="3150">
        <v>63</v>
      </c>
      <c r="CH104" s="3150">
        <f>131-63</f>
        <v>68</v>
      </c>
      <c r="CI104" s="3150">
        <v>125</v>
      </c>
      <c r="CJ104" s="3150">
        <v>6</v>
      </c>
      <c r="CK104" s="3150">
        <v>0</v>
      </c>
      <c r="CL104" s="3150">
        <v>4</v>
      </c>
      <c r="CM104" s="3150">
        <v>0</v>
      </c>
      <c r="CN104" s="3150">
        <v>50</v>
      </c>
      <c r="CO104" s="3150">
        <v>37</v>
      </c>
      <c r="CP104" s="3150">
        <v>38</v>
      </c>
      <c r="CQ104" s="3150">
        <v>2</v>
      </c>
      <c r="CR104" s="3150">
        <v>7</v>
      </c>
      <c r="CS104" s="4768">
        <v>124</v>
      </c>
      <c r="CT104" s="4771"/>
      <c r="CU104" s="4771"/>
      <c r="CV104" s="4771"/>
      <c r="CW104" s="4771"/>
      <c r="CX104" s="4771"/>
      <c r="CY104" s="4771"/>
      <c r="CZ104" s="4771"/>
      <c r="DA104" s="4771"/>
      <c r="DB104" s="4771"/>
      <c r="DC104" s="4771"/>
      <c r="DD104" s="4771"/>
      <c r="DE104" s="4771"/>
      <c r="DF104" s="4771"/>
      <c r="DG104" s="4771"/>
      <c r="DH104" s="4771"/>
      <c r="DI104" s="4771"/>
      <c r="DJ104" s="4771"/>
      <c r="DK104" s="4771"/>
      <c r="DL104" s="4771"/>
      <c r="DM104" s="4771"/>
      <c r="DN104" s="3151"/>
      <c r="DO104" s="4836"/>
      <c r="DQ104" s="3474"/>
      <c r="DR104" s="3470"/>
      <c r="DS104" s="3470"/>
      <c r="DT104" s="3470"/>
      <c r="DU104" s="3470"/>
      <c r="DV104" s="3470"/>
      <c r="DW104" s="3470"/>
      <c r="DX104" s="3470"/>
      <c r="DY104" s="3470"/>
      <c r="DZ104" s="3470"/>
      <c r="EA104" s="3470"/>
      <c r="EB104" s="3470"/>
      <c r="EC104" s="3470"/>
      <c r="ED104" s="3470"/>
      <c r="EE104" s="3470"/>
      <c r="EF104" s="3470"/>
      <c r="EG104" s="3470"/>
      <c r="EH104" s="3470"/>
      <c r="EI104" s="3470"/>
      <c r="EJ104" s="3470"/>
      <c r="EK104" s="3470"/>
      <c r="EL104" s="3470"/>
      <c r="EM104" s="3470"/>
      <c r="EN104" s="3470"/>
      <c r="EO104" s="3470"/>
      <c r="EP104" s="3470"/>
      <c r="EQ104" s="3470"/>
      <c r="ER104" s="3470"/>
      <c r="ES104" s="3470"/>
      <c r="ET104" s="3470"/>
      <c r="EU104" s="3470"/>
      <c r="EV104" s="3470"/>
      <c r="EW104" s="3470"/>
      <c r="EX104" s="3470"/>
      <c r="EY104" s="3470"/>
      <c r="EZ104" s="3470"/>
      <c r="FA104" s="3470"/>
      <c r="FB104" s="3470"/>
      <c r="FC104" s="3470"/>
      <c r="FD104" s="3470"/>
      <c r="FE104" s="3470"/>
      <c r="FF104" s="3470"/>
      <c r="FG104" s="3470"/>
      <c r="FH104" s="3470"/>
      <c r="FI104" s="3470"/>
      <c r="FJ104" s="3475"/>
    </row>
    <row r="105" spans="1:166" s="1810" customFormat="1" ht="15" customHeight="1">
      <c r="A105" s="15983"/>
      <c r="B105" s="15986"/>
      <c r="C105" s="15908"/>
      <c r="D105" s="4644" t="s">
        <v>7972</v>
      </c>
      <c r="E105" s="4130" t="s">
        <v>4999</v>
      </c>
      <c r="F105" s="4130" t="s">
        <v>823</v>
      </c>
      <c r="G105" s="4130" t="s">
        <v>542</v>
      </c>
      <c r="H105" s="4645">
        <v>0.1</v>
      </c>
      <c r="I105" s="4645">
        <v>0.5</v>
      </c>
      <c r="J105" s="4645">
        <v>0.8</v>
      </c>
      <c r="K105" s="4130" t="s">
        <v>824</v>
      </c>
      <c r="L105" s="4130" t="s">
        <v>10063</v>
      </c>
      <c r="M105" s="2721" t="s">
        <v>724</v>
      </c>
      <c r="N105" s="4130"/>
      <c r="O105" s="2721">
        <v>30</v>
      </c>
      <c r="P105" s="2721">
        <v>31</v>
      </c>
      <c r="Q105" s="2721">
        <v>32</v>
      </c>
      <c r="R105" s="2721">
        <v>33</v>
      </c>
      <c r="S105" s="2721">
        <v>34</v>
      </c>
      <c r="T105" s="2721">
        <v>35</v>
      </c>
      <c r="U105" s="4764">
        <v>36</v>
      </c>
      <c r="V105" s="2721">
        <v>37</v>
      </c>
      <c r="W105" s="2721">
        <v>38</v>
      </c>
      <c r="X105" s="2721">
        <v>39</v>
      </c>
      <c r="Y105" s="2721">
        <v>40</v>
      </c>
      <c r="Z105" s="3400">
        <v>385</v>
      </c>
      <c r="AA105" s="2721"/>
      <c r="AB105" s="4072">
        <v>0.8</v>
      </c>
      <c r="AC105" s="4777" t="s">
        <v>2987</v>
      </c>
      <c r="AD105" s="4491" t="s">
        <v>2988</v>
      </c>
      <c r="AE105" s="3470"/>
      <c r="AF105" s="4646">
        <f>+'[2]8. DISCAPACIDAD'!$O$22</f>
        <v>9234186.5590909086</v>
      </c>
      <c r="AG105" s="4646">
        <f>+'[2]8. DISCAPACIDAD'!$Q$22</f>
        <v>8545822.9227272719</v>
      </c>
      <c r="AH105" s="4646">
        <f>+'[2]8. DISCAPACIDAD'!$R$22</f>
        <v>688363.63636363635</v>
      </c>
      <c r="AI105" s="4646"/>
      <c r="AJ105" s="4647">
        <v>264</v>
      </c>
      <c r="AK105" s="4647">
        <f>+AJ105-AL105</f>
        <v>95</v>
      </c>
      <c r="AL105" s="4647">
        <v>169</v>
      </c>
      <c r="AM105" s="4647">
        <v>221</v>
      </c>
      <c r="AN105" s="4647">
        <f>264-AM105</f>
        <v>43</v>
      </c>
      <c r="AO105" s="4647">
        <v>0</v>
      </c>
      <c r="AP105" s="4647">
        <v>1</v>
      </c>
      <c r="AQ105" s="4647">
        <v>2</v>
      </c>
      <c r="AR105" s="4647">
        <v>54</v>
      </c>
      <c r="AS105" s="4647">
        <v>96</v>
      </c>
      <c r="AT105" s="4647">
        <v>89</v>
      </c>
      <c r="AU105" s="4647">
        <v>22</v>
      </c>
      <c r="AV105" s="4647">
        <v>164</v>
      </c>
      <c r="AW105" s="4647">
        <v>100</v>
      </c>
      <c r="AX105" s="4647">
        <v>0</v>
      </c>
      <c r="AY105" s="4647">
        <v>0</v>
      </c>
      <c r="AZ105" s="4647">
        <v>0</v>
      </c>
      <c r="BA105" s="4647">
        <v>0</v>
      </c>
      <c r="BB105" s="4647">
        <v>0</v>
      </c>
      <c r="BC105" s="4647"/>
      <c r="BD105" s="4647">
        <v>263</v>
      </c>
      <c r="BE105" s="4647">
        <v>1</v>
      </c>
      <c r="BF105" s="4647"/>
      <c r="BG105" s="4647"/>
      <c r="BH105" s="3470"/>
      <c r="BI105" s="3470"/>
      <c r="BJ105" s="3470"/>
      <c r="BK105" s="3470"/>
      <c r="BL105" s="3470"/>
      <c r="BM105" s="3470"/>
      <c r="BN105" s="3470"/>
      <c r="BO105" s="3470"/>
      <c r="BP105" s="3470"/>
      <c r="BQ105" s="3470"/>
      <c r="BR105" s="3470"/>
      <c r="BS105" s="3470"/>
      <c r="BT105" s="4647">
        <v>235</v>
      </c>
      <c r="BU105" s="4130">
        <v>235</v>
      </c>
      <c r="BV105" s="4130">
        <v>235</v>
      </c>
      <c r="BW105" s="3149">
        <f t="shared" si="5"/>
        <v>1</v>
      </c>
      <c r="BX105" s="16017"/>
      <c r="BY105" s="4491" t="s">
        <v>9894</v>
      </c>
      <c r="BZ105" s="4491" t="s">
        <v>9895</v>
      </c>
      <c r="CA105" s="4647"/>
      <c r="CB105" s="4775">
        <f>CC105+CD105+CE105</f>
        <v>9503739.5454545449</v>
      </c>
      <c r="CC105" s="4767">
        <v>8723594.0909090899</v>
      </c>
      <c r="CD105" s="4767">
        <v>780145.45454545459</v>
      </c>
      <c r="CE105" s="3150">
        <v>0</v>
      </c>
      <c r="CF105" s="3150">
        <v>235</v>
      </c>
      <c r="CG105" s="3150">
        <v>125</v>
      </c>
      <c r="CH105" s="3150">
        <f>+CF105-CG105</f>
        <v>110</v>
      </c>
      <c r="CI105" s="3150">
        <v>233</v>
      </c>
      <c r="CJ105" s="3150">
        <v>2</v>
      </c>
      <c r="CK105" s="3150">
        <v>0</v>
      </c>
      <c r="CL105" s="3150">
        <v>6</v>
      </c>
      <c r="CM105" s="3150">
        <v>16</v>
      </c>
      <c r="CN105" s="3150">
        <v>33</v>
      </c>
      <c r="CO105" s="3150">
        <v>74</v>
      </c>
      <c r="CP105" s="3150">
        <v>75</v>
      </c>
      <c r="CQ105" s="3150">
        <v>31</v>
      </c>
      <c r="CR105" s="3150">
        <v>2</v>
      </c>
      <c r="CS105" s="4768">
        <v>233</v>
      </c>
      <c r="CT105" s="4277"/>
      <c r="CU105" s="4277"/>
      <c r="CV105" s="4277"/>
      <c r="CW105" s="4277"/>
      <c r="CX105" s="4277"/>
      <c r="CY105" s="4277"/>
      <c r="CZ105" s="4277"/>
      <c r="DA105" s="4277"/>
      <c r="DB105" s="4277"/>
      <c r="DC105" s="4277"/>
      <c r="DD105" s="4277"/>
      <c r="DE105" s="4277"/>
      <c r="DF105" s="4277"/>
      <c r="DG105" s="4277"/>
      <c r="DH105" s="4277"/>
      <c r="DI105" s="4277"/>
      <c r="DJ105" s="4277"/>
      <c r="DK105" s="4277"/>
      <c r="DL105" s="3151"/>
      <c r="DM105" s="3151"/>
      <c r="DN105" s="3151"/>
      <c r="DO105" s="4836"/>
      <c r="DQ105" s="3474"/>
      <c r="DR105" s="3470"/>
      <c r="DS105" s="3470"/>
      <c r="DT105" s="3470"/>
      <c r="DU105" s="3470"/>
      <c r="DV105" s="3470"/>
      <c r="DW105" s="3470"/>
      <c r="DX105" s="3470"/>
      <c r="DY105" s="3470"/>
      <c r="DZ105" s="3470"/>
      <c r="EA105" s="3470"/>
      <c r="EB105" s="3470"/>
      <c r="EC105" s="3470"/>
      <c r="ED105" s="3470"/>
      <c r="EE105" s="3470"/>
      <c r="EF105" s="3470"/>
      <c r="EG105" s="3470"/>
      <c r="EH105" s="3470"/>
      <c r="EI105" s="3470"/>
      <c r="EJ105" s="3470"/>
      <c r="EK105" s="3470"/>
      <c r="EL105" s="3470"/>
      <c r="EM105" s="3470"/>
      <c r="EN105" s="3470"/>
      <c r="EO105" s="3470"/>
      <c r="EP105" s="3470"/>
      <c r="EQ105" s="3470"/>
      <c r="ER105" s="3470"/>
      <c r="ES105" s="3470"/>
      <c r="ET105" s="3470"/>
      <c r="EU105" s="3470"/>
      <c r="EV105" s="3470"/>
      <c r="EW105" s="3470"/>
      <c r="EX105" s="3470"/>
      <c r="EY105" s="3470"/>
      <c r="EZ105" s="3470"/>
      <c r="FA105" s="3470"/>
      <c r="FB105" s="3470"/>
      <c r="FC105" s="3470"/>
      <c r="FD105" s="3470"/>
      <c r="FE105" s="3470"/>
      <c r="FF105" s="3470"/>
      <c r="FG105" s="3470"/>
      <c r="FH105" s="3470"/>
      <c r="FI105" s="3470"/>
      <c r="FJ105" s="3475"/>
    </row>
    <row r="106" spans="1:166" s="1810" customFormat="1" ht="15" customHeight="1">
      <c r="A106" s="15983"/>
      <c r="B106" s="15986"/>
      <c r="C106" s="4644"/>
      <c r="D106" s="15908" t="s">
        <v>7973</v>
      </c>
      <c r="E106" s="15619" t="s">
        <v>5000</v>
      </c>
      <c r="F106" s="15619" t="s">
        <v>826</v>
      </c>
      <c r="G106" s="15619" t="s">
        <v>542</v>
      </c>
      <c r="H106" s="15911">
        <v>0.1</v>
      </c>
      <c r="I106" s="15911">
        <v>0.4</v>
      </c>
      <c r="J106" s="15911">
        <v>0.7</v>
      </c>
      <c r="K106" s="15619" t="s">
        <v>827</v>
      </c>
      <c r="L106" s="4130" t="s">
        <v>10066</v>
      </c>
      <c r="M106" s="2721" t="s">
        <v>298</v>
      </c>
      <c r="N106" s="4130"/>
      <c r="O106" s="2721">
        <v>20</v>
      </c>
      <c r="P106" s="2721">
        <v>21</v>
      </c>
      <c r="Q106" s="2721">
        <v>21</v>
      </c>
      <c r="R106" s="2721">
        <v>22</v>
      </c>
      <c r="S106" s="2721">
        <v>23</v>
      </c>
      <c r="T106" s="2721">
        <v>23</v>
      </c>
      <c r="U106" s="4764">
        <v>24</v>
      </c>
      <c r="V106" s="2721">
        <v>25</v>
      </c>
      <c r="W106" s="2721">
        <v>25</v>
      </c>
      <c r="X106" s="2721">
        <v>26</v>
      </c>
      <c r="Y106" s="2721">
        <v>27</v>
      </c>
      <c r="Z106" s="3400">
        <v>257</v>
      </c>
      <c r="AA106" s="2721"/>
      <c r="AB106" s="4072">
        <v>0.7</v>
      </c>
      <c r="AC106" s="4777" t="s">
        <v>3924</v>
      </c>
      <c r="AD106" s="4491" t="s">
        <v>3919</v>
      </c>
      <c r="AE106" s="3470"/>
      <c r="AF106" s="4646">
        <v>2805000</v>
      </c>
      <c r="AG106" s="4646">
        <v>2805000</v>
      </c>
      <c r="AH106" s="4646">
        <v>0</v>
      </c>
      <c r="AI106" s="4646">
        <v>0</v>
      </c>
      <c r="AJ106" s="4647">
        <v>16</v>
      </c>
      <c r="AK106" s="4647"/>
      <c r="AL106" s="4647"/>
      <c r="AM106" s="4647" t="s">
        <v>2891</v>
      </c>
      <c r="AN106" s="4647"/>
      <c r="AO106" s="4647"/>
      <c r="AP106" s="4647"/>
      <c r="AQ106" s="4647"/>
      <c r="AR106" s="4647"/>
      <c r="AS106" s="4647"/>
      <c r="AT106" s="4647"/>
      <c r="AU106" s="4647"/>
      <c r="AV106" s="4647"/>
      <c r="AW106" s="4647" t="s">
        <v>2891</v>
      </c>
      <c r="AX106" s="4647"/>
      <c r="AY106" s="4647"/>
      <c r="AZ106" s="4647"/>
      <c r="BA106" s="4647"/>
      <c r="BB106" s="4647"/>
      <c r="BC106" s="4647"/>
      <c r="BD106" s="4647"/>
      <c r="BE106" s="4647"/>
      <c r="BF106" s="4647"/>
      <c r="BG106" s="4647"/>
      <c r="BH106" s="3470"/>
      <c r="BI106" s="3470"/>
      <c r="BJ106" s="3470" t="s">
        <v>3921</v>
      </c>
      <c r="BK106" s="3470"/>
      <c r="BL106" s="3470"/>
      <c r="BM106" s="3470"/>
      <c r="BN106" s="3470"/>
      <c r="BO106" s="3470"/>
      <c r="BP106" s="3470"/>
      <c r="BQ106" s="3470"/>
      <c r="BR106" s="3470"/>
      <c r="BS106" s="3470"/>
      <c r="BT106" s="4647" t="s">
        <v>9884</v>
      </c>
      <c r="BU106" s="4130">
        <v>0</v>
      </c>
      <c r="BV106" s="4130">
        <v>0</v>
      </c>
      <c r="BW106" s="16023">
        <v>0</v>
      </c>
      <c r="BX106" s="16017"/>
      <c r="BY106" s="4491"/>
      <c r="BZ106" s="4491"/>
      <c r="CA106" s="4647"/>
      <c r="CB106" s="4775"/>
      <c r="CC106" s="4767"/>
      <c r="CD106" s="4767"/>
      <c r="CE106" s="3150"/>
      <c r="CF106" s="3150"/>
      <c r="CG106" s="3150"/>
      <c r="CH106" s="3150"/>
      <c r="CI106" s="3150"/>
      <c r="CJ106" s="3150"/>
      <c r="CK106" s="3150"/>
      <c r="CL106" s="3150"/>
      <c r="CM106" s="3150"/>
      <c r="CN106" s="3150"/>
      <c r="CO106" s="3150"/>
      <c r="CP106" s="3150"/>
      <c r="CQ106" s="3150"/>
      <c r="CR106" s="3150"/>
      <c r="CS106" s="4768"/>
      <c r="CT106" s="4277"/>
      <c r="CU106" s="4277"/>
      <c r="CV106" s="4277"/>
      <c r="CW106" s="4277"/>
      <c r="CX106" s="4277"/>
      <c r="CY106" s="4277"/>
      <c r="CZ106" s="4277"/>
      <c r="DA106" s="4277"/>
      <c r="DB106" s="4277"/>
      <c r="DC106" s="4277"/>
      <c r="DD106" s="4277"/>
      <c r="DE106" s="4277"/>
      <c r="DF106" s="4277"/>
      <c r="DG106" s="4277"/>
      <c r="DH106" s="4277"/>
      <c r="DI106" s="4277"/>
      <c r="DJ106" s="4277"/>
      <c r="DK106" s="4277"/>
      <c r="DL106" s="3151"/>
      <c r="DM106" s="3151"/>
      <c r="DN106" s="3151"/>
      <c r="DO106" s="4836"/>
      <c r="DQ106" s="3474"/>
      <c r="DR106" s="3470"/>
      <c r="DS106" s="3470"/>
      <c r="DT106" s="3470"/>
      <c r="DU106" s="3470"/>
      <c r="DV106" s="3470"/>
      <c r="DW106" s="3470"/>
      <c r="DX106" s="3470"/>
      <c r="DY106" s="3470"/>
      <c r="DZ106" s="3470"/>
      <c r="EA106" s="3470"/>
      <c r="EB106" s="3470"/>
      <c r="EC106" s="3470"/>
      <c r="ED106" s="3470"/>
      <c r="EE106" s="3470"/>
      <c r="EF106" s="3470"/>
      <c r="EG106" s="3470"/>
      <c r="EH106" s="3470"/>
      <c r="EI106" s="3470"/>
      <c r="EJ106" s="3470"/>
      <c r="EK106" s="3470"/>
      <c r="EL106" s="3470"/>
      <c r="EM106" s="3470"/>
      <c r="EN106" s="3470"/>
      <c r="EO106" s="3470"/>
      <c r="EP106" s="3470"/>
      <c r="EQ106" s="3470"/>
      <c r="ER106" s="3470"/>
      <c r="ES106" s="3470"/>
      <c r="ET106" s="3470"/>
      <c r="EU106" s="3470"/>
      <c r="EV106" s="3470"/>
      <c r="EW106" s="3470"/>
      <c r="EX106" s="3470"/>
      <c r="EY106" s="3470"/>
      <c r="EZ106" s="3470"/>
      <c r="FA106" s="3470"/>
      <c r="FB106" s="3470"/>
      <c r="FC106" s="3470"/>
      <c r="FD106" s="3470"/>
      <c r="FE106" s="3470"/>
      <c r="FF106" s="3470"/>
      <c r="FG106" s="3470"/>
      <c r="FH106" s="3470"/>
      <c r="FI106" s="3470"/>
      <c r="FJ106" s="3475"/>
    </row>
    <row r="107" spans="1:166" s="1810" customFormat="1" ht="15" customHeight="1">
      <c r="A107" s="15983"/>
      <c r="B107" s="15986"/>
      <c r="C107" s="4644"/>
      <c r="D107" s="15908"/>
      <c r="E107" s="15619"/>
      <c r="F107" s="15619"/>
      <c r="G107" s="15619"/>
      <c r="H107" s="15911"/>
      <c r="I107" s="15911"/>
      <c r="J107" s="15911"/>
      <c r="K107" s="15619"/>
      <c r="L107" s="4130" t="s">
        <v>10063</v>
      </c>
      <c r="M107" s="2721"/>
      <c r="N107" s="4130" t="s">
        <v>10232</v>
      </c>
      <c r="O107" s="2721"/>
      <c r="P107" s="2721"/>
      <c r="Q107" s="2721"/>
      <c r="R107" s="2721"/>
      <c r="S107" s="2721"/>
      <c r="T107" s="2721"/>
      <c r="U107" s="4764"/>
      <c r="V107" s="2721"/>
      <c r="W107" s="2721"/>
      <c r="X107" s="2721"/>
      <c r="Y107" s="2721"/>
      <c r="Z107" s="3400"/>
      <c r="AA107" s="2721"/>
      <c r="AB107" s="4072"/>
      <c r="AC107" s="4777"/>
      <c r="AD107" s="4491"/>
      <c r="AE107" s="3470"/>
      <c r="AF107" s="4646"/>
      <c r="AG107" s="4646"/>
      <c r="AH107" s="4646"/>
      <c r="AI107" s="4646"/>
      <c r="AJ107" s="4647"/>
      <c r="AK107" s="4647"/>
      <c r="AL107" s="4647"/>
      <c r="AM107" s="4647"/>
      <c r="AN107" s="4647"/>
      <c r="AO107" s="4647"/>
      <c r="AP107" s="4647"/>
      <c r="AQ107" s="4647"/>
      <c r="AR107" s="4647"/>
      <c r="AS107" s="4647"/>
      <c r="AT107" s="4647"/>
      <c r="AU107" s="4647"/>
      <c r="AV107" s="4647"/>
      <c r="AW107" s="4647"/>
      <c r="AX107" s="4647"/>
      <c r="AY107" s="4647"/>
      <c r="AZ107" s="4647"/>
      <c r="BA107" s="4647"/>
      <c r="BB107" s="4647"/>
      <c r="BC107" s="4647"/>
      <c r="BD107" s="4647"/>
      <c r="BE107" s="4647"/>
      <c r="BF107" s="4647"/>
      <c r="BG107" s="4647"/>
      <c r="BH107" s="3470"/>
      <c r="BI107" s="3470"/>
      <c r="BJ107" s="3470"/>
      <c r="BK107" s="3470"/>
      <c r="BL107" s="3470"/>
      <c r="BM107" s="3470"/>
      <c r="BN107" s="3470"/>
      <c r="BO107" s="3470"/>
      <c r="BP107" s="3470"/>
      <c r="BQ107" s="3470"/>
      <c r="BR107" s="3470"/>
      <c r="BS107" s="3470"/>
      <c r="BT107" s="4647"/>
      <c r="BU107" s="4130"/>
      <c r="BV107" s="4130"/>
      <c r="BW107" s="16023"/>
      <c r="BX107" s="16017"/>
      <c r="BY107" s="4491"/>
      <c r="BZ107" s="4491"/>
      <c r="CA107" s="4647"/>
      <c r="CB107" s="4775"/>
      <c r="CC107" s="4767"/>
      <c r="CD107" s="4767"/>
      <c r="CE107" s="3150"/>
      <c r="CF107" s="3150"/>
      <c r="CG107" s="3150"/>
      <c r="CH107" s="3150"/>
      <c r="CI107" s="3150"/>
      <c r="CJ107" s="3150"/>
      <c r="CK107" s="3150"/>
      <c r="CL107" s="3150"/>
      <c r="CM107" s="3150"/>
      <c r="CN107" s="3150"/>
      <c r="CO107" s="3150"/>
      <c r="CP107" s="3150"/>
      <c r="CQ107" s="3150"/>
      <c r="CR107" s="3150"/>
      <c r="CS107" s="4768"/>
      <c r="CT107" s="4277"/>
      <c r="CU107" s="4277"/>
      <c r="CV107" s="4277"/>
      <c r="CW107" s="4277"/>
      <c r="CX107" s="4277"/>
      <c r="CY107" s="4277"/>
      <c r="CZ107" s="4277"/>
      <c r="DA107" s="4277"/>
      <c r="DB107" s="4277"/>
      <c r="DC107" s="4277"/>
      <c r="DD107" s="4277"/>
      <c r="DE107" s="4277"/>
      <c r="DF107" s="4277"/>
      <c r="DG107" s="4277"/>
      <c r="DH107" s="4277"/>
      <c r="DI107" s="4277"/>
      <c r="DJ107" s="4277"/>
      <c r="DK107" s="4277"/>
      <c r="DL107" s="3151"/>
      <c r="DM107" s="3151"/>
      <c r="DN107" s="3151"/>
      <c r="DO107" s="4836"/>
      <c r="DQ107" s="3474"/>
      <c r="DR107" s="3470"/>
      <c r="DS107" s="3470"/>
      <c r="DT107" s="3470"/>
      <c r="DU107" s="3470"/>
      <c r="DV107" s="3470"/>
      <c r="DW107" s="3470"/>
      <c r="DX107" s="3470"/>
      <c r="DY107" s="3470"/>
      <c r="DZ107" s="3470"/>
      <c r="EA107" s="3470"/>
      <c r="EB107" s="3470"/>
      <c r="EC107" s="3470"/>
      <c r="ED107" s="3470"/>
      <c r="EE107" s="3470"/>
      <c r="EF107" s="3470"/>
      <c r="EG107" s="3470"/>
      <c r="EH107" s="3470"/>
      <c r="EI107" s="3470"/>
      <c r="EJ107" s="3470"/>
      <c r="EK107" s="3470"/>
      <c r="EL107" s="3470"/>
      <c r="EM107" s="3470"/>
      <c r="EN107" s="3470"/>
      <c r="EO107" s="3470"/>
      <c r="EP107" s="3470"/>
      <c r="EQ107" s="3470"/>
      <c r="ER107" s="3470"/>
      <c r="ES107" s="3470"/>
      <c r="ET107" s="3470"/>
      <c r="EU107" s="3470"/>
      <c r="EV107" s="3470"/>
      <c r="EW107" s="3470"/>
      <c r="EX107" s="3470"/>
      <c r="EY107" s="3470"/>
      <c r="EZ107" s="3470"/>
      <c r="FA107" s="3470"/>
      <c r="FB107" s="3470"/>
      <c r="FC107" s="3470"/>
      <c r="FD107" s="3470"/>
      <c r="FE107" s="3470"/>
      <c r="FF107" s="3470"/>
      <c r="FG107" s="3470"/>
      <c r="FH107" s="3470"/>
      <c r="FI107" s="3470"/>
      <c r="FJ107" s="3475"/>
    </row>
    <row r="108" spans="1:166" s="1810" customFormat="1" ht="15" customHeight="1" thickBot="1">
      <c r="A108" s="15984"/>
      <c r="B108" s="15987"/>
      <c r="C108" s="4894" t="s">
        <v>825</v>
      </c>
      <c r="D108" s="15909"/>
      <c r="E108" s="15910"/>
      <c r="F108" s="15910"/>
      <c r="G108" s="15910"/>
      <c r="H108" s="15912"/>
      <c r="I108" s="15912"/>
      <c r="J108" s="15912"/>
      <c r="K108" s="15910"/>
      <c r="L108" s="4319" t="s">
        <v>10200</v>
      </c>
      <c r="M108" s="4319"/>
      <c r="N108" s="4319" t="s">
        <v>10233</v>
      </c>
      <c r="O108" s="1634"/>
      <c r="P108" s="1634"/>
      <c r="Q108" s="1634"/>
      <c r="R108" s="1634"/>
      <c r="S108" s="1634"/>
      <c r="T108" s="1634"/>
      <c r="U108" s="4895"/>
      <c r="V108" s="1634"/>
      <c r="W108" s="1634"/>
      <c r="X108" s="1634"/>
      <c r="Y108" s="1634"/>
      <c r="Z108" s="3421"/>
      <c r="AA108" s="1634"/>
      <c r="AB108" s="4896"/>
      <c r="AC108" s="4897"/>
      <c r="AD108" s="408"/>
      <c r="AE108" s="1643"/>
      <c r="AF108" s="1646"/>
      <c r="AG108" s="1646"/>
      <c r="AH108" s="4898"/>
      <c r="AI108" s="4898"/>
      <c r="AJ108" s="4898"/>
      <c r="AK108" s="1643"/>
      <c r="AL108" s="1643"/>
      <c r="AM108" s="4898"/>
      <c r="AN108" s="1643"/>
      <c r="AO108" s="1643"/>
      <c r="AP108" s="1643"/>
      <c r="AQ108" s="1643"/>
      <c r="AR108" s="1643"/>
      <c r="AS108" s="1643"/>
      <c r="AT108" s="1643"/>
      <c r="AU108" s="1643"/>
      <c r="AV108" s="1643"/>
      <c r="AW108" s="4898"/>
      <c r="AX108" s="1643"/>
      <c r="AY108" s="1643"/>
      <c r="AZ108" s="1643"/>
      <c r="BA108" s="1643"/>
      <c r="BB108" s="1643"/>
      <c r="BC108" s="1643"/>
      <c r="BD108" s="1643"/>
      <c r="BE108" s="1643"/>
      <c r="BF108" s="1643"/>
      <c r="BG108" s="1643"/>
      <c r="BH108" s="1643"/>
      <c r="BI108" s="1643"/>
      <c r="BJ108" s="408"/>
      <c r="BK108" s="1643"/>
      <c r="BL108" s="1643"/>
      <c r="BM108" s="1643"/>
      <c r="BN108" s="1643"/>
      <c r="BO108" s="1643"/>
      <c r="BP108" s="1643"/>
      <c r="BQ108" s="1643"/>
      <c r="BR108" s="1643"/>
      <c r="BS108" s="1643"/>
      <c r="BT108" s="1634"/>
      <c r="BU108" s="1637"/>
      <c r="BV108" s="1637"/>
      <c r="BW108" s="16024"/>
      <c r="BX108" s="16018"/>
      <c r="BY108" s="1634"/>
      <c r="BZ108" s="1634"/>
      <c r="CA108" s="1634"/>
      <c r="CB108" s="4326"/>
      <c r="CC108" s="4326"/>
      <c r="CD108" s="4326"/>
      <c r="CE108" s="4326"/>
      <c r="CF108" s="4899"/>
      <c r="CG108" s="4899"/>
      <c r="CH108" s="4899"/>
      <c r="CI108" s="4899"/>
      <c r="CJ108" s="4899"/>
      <c r="CK108" s="4899"/>
      <c r="CL108" s="4899"/>
      <c r="CM108" s="4899"/>
      <c r="CN108" s="4899"/>
      <c r="CO108" s="4899"/>
      <c r="CP108" s="4899"/>
      <c r="CQ108" s="4899"/>
      <c r="CR108" s="4899"/>
      <c r="CS108" s="4900"/>
      <c r="CT108" s="4899"/>
      <c r="CU108" s="4899"/>
      <c r="CV108" s="4899"/>
      <c r="CW108" s="4899"/>
      <c r="CX108" s="4899"/>
      <c r="CY108" s="4899"/>
      <c r="CZ108" s="4899"/>
      <c r="DA108" s="4899"/>
      <c r="DB108" s="4899"/>
      <c r="DC108" s="4899"/>
      <c r="DD108" s="4899"/>
      <c r="DE108" s="4899"/>
      <c r="DF108" s="4899"/>
      <c r="DG108" s="4899"/>
      <c r="DH108" s="4899"/>
      <c r="DI108" s="4899"/>
      <c r="DJ108" s="4899"/>
      <c r="DK108" s="4899"/>
      <c r="DL108" s="4899"/>
      <c r="DM108" s="4899"/>
      <c r="DN108" s="4899"/>
      <c r="DO108" s="4901"/>
      <c r="DQ108" s="3802"/>
      <c r="DR108" s="1643"/>
      <c r="DS108" s="1643"/>
      <c r="DT108" s="1643"/>
      <c r="DU108" s="1643"/>
      <c r="DV108" s="1643"/>
      <c r="DW108" s="1643"/>
      <c r="DX108" s="1643"/>
      <c r="DY108" s="1643"/>
      <c r="DZ108" s="1643"/>
      <c r="EA108" s="1643"/>
      <c r="EB108" s="1643"/>
      <c r="EC108" s="1643"/>
      <c r="ED108" s="1643"/>
      <c r="EE108" s="1643"/>
      <c r="EF108" s="1643"/>
      <c r="EG108" s="1643"/>
      <c r="EH108" s="1643"/>
      <c r="EI108" s="1643"/>
      <c r="EJ108" s="1643"/>
      <c r="EK108" s="1643"/>
      <c r="EL108" s="1643"/>
      <c r="EM108" s="1643"/>
      <c r="EN108" s="1643"/>
      <c r="EO108" s="1643"/>
      <c r="EP108" s="1643"/>
      <c r="EQ108" s="1643"/>
      <c r="ER108" s="1643"/>
      <c r="ES108" s="1643"/>
      <c r="ET108" s="1643"/>
      <c r="EU108" s="1643"/>
      <c r="EV108" s="1643"/>
      <c r="EW108" s="1643"/>
      <c r="EX108" s="1643"/>
      <c r="EY108" s="1643"/>
      <c r="EZ108" s="1643"/>
      <c r="FA108" s="1643"/>
      <c r="FB108" s="1643"/>
      <c r="FC108" s="1643"/>
      <c r="FD108" s="1643"/>
      <c r="FE108" s="1643"/>
      <c r="FF108" s="1643"/>
      <c r="FG108" s="1643"/>
      <c r="FH108" s="1643"/>
      <c r="FI108" s="1643"/>
      <c r="FJ108" s="1958"/>
    </row>
    <row r="109" spans="1:166" s="1801" customFormat="1" ht="15" customHeight="1">
      <c r="A109" s="15973" t="s">
        <v>828</v>
      </c>
      <c r="B109" s="15993" t="s">
        <v>829</v>
      </c>
      <c r="C109" s="15907" t="s">
        <v>830</v>
      </c>
      <c r="D109" s="15907" t="s">
        <v>7974</v>
      </c>
      <c r="E109" s="15876" t="s">
        <v>5001</v>
      </c>
      <c r="F109" s="15876" t="s">
        <v>831</v>
      </c>
      <c r="G109" s="15876" t="s">
        <v>832</v>
      </c>
      <c r="H109" s="15876">
        <v>1</v>
      </c>
      <c r="I109" s="15876">
        <v>1</v>
      </c>
      <c r="J109" s="15876">
        <v>1</v>
      </c>
      <c r="K109" s="15876" t="s">
        <v>773</v>
      </c>
      <c r="L109" s="4177" t="s">
        <v>10066</v>
      </c>
      <c r="M109" s="4177" t="s">
        <v>298</v>
      </c>
      <c r="N109" s="4177"/>
      <c r="O109" s="4117">
        <v>30</v>
      </c>
      <c r="P109" s="4117">
        <v>31</v>
      </c>
      <c r="Q109" s="4117">
        <v>32</v>
      </c>
      <c r="R109" s="4117">
        <v>33</v>
      </c>
      <c r="S109" s="4117">
        <v>34</v>
      </c>
      <c r="T109" s="4117">
        <v>35</v>
      </c>
      <c r="U109" s="4890">
        <v>36</v>
      </c>
      <c r="V109" s="4117">
        <v>37</v>
      </c>
      <c r="W109" s="4117">
        <v>38</v>
      </c>
      <c r="X109" s="4117">
        <v>39</v>
      </c>
      <c r="Y109" s="4117">
        <v>40</v>
      </c>
      <c r="Z109" s="4649">
        <v>385</v>
      </c>
      <c r="AA109" s="4117"/>
      <c r="AB109" s="1971">
        <v>0.7</v>
      </c>
      <c r="AC109" s="1975" t="s">
        <v>3925</v>
      </c>
      <c r="AD109" s="1975" t="s">
        <v>3919</v>
      </c>
      <c r="AE109" s="1975" t="s">
        <v>3926</v>
      </c>
      <c r="AF109" s="4111">
        <v>2805000</v>
      </c>
      <c r="AG109" s="4111">
        <v>2805000</v>
      </c>
      <c r="AH109" s="4652">
        <v>0</v>
      </c>
      <c r="AI109" s="4652">
        <v>0</v>
      </c>
      <c r="AJ109" s="4652">
        <v>26</v>
      </c>
      <c r="AK109" s="1972"/>
      <c r="AL109" s="1972"/>
      <c r="AM109" s="4652" t="s">
        <v>2891</v>
      </c>
      <c r="AN109" s="1972"/>
      <c r="AO109" s="1972"/>
      <c r="AP109" s="1972"/>
      <c r="AQ109" s="4653" t="s">
        <v>2891</v>
      </c>
      <c r="AR109" s="1972"/>
      <c r="AS109" s="1972"/>
      <c r="AT109" s="1972"/>
      <c r="AU109" s="1972"/>
      <c r="AV109" s="1972"/>
      <c r="AW109" s="4652" t="s">
        <v>2891</v>
      </c>
      <c r="AX109" s="1972"/>
      <c r="AY109" s="1972"/>
      <c r="AZ109" s="1972"/>
      <c r="BA109" s="1972"/>
      <c r="BB109" s="1972"/>
      <c r="BC109" s="1972"/>
      <c r="BD109" s="1972"/>
      <c r="BE109" s="1972"/>
      <c r="BF109" s="1972"/>
      <c r="BG109" s="1972"/>
      <c r="BH109" s="1972"/>
      <c r="BI109" s="1972"/>
      <c r="BJ109" s="1975" t="s">
        <v>3921</v>
      </c>
      <c r="BK109" s="1972"/>
      <c r="BL109" s="1972"/>
      <c r="BM109" s="1972"/>
      <c r="BN109" s="1972"/>
      <c r="BO109" s="1972"/>
      <c r="BP109" s="1972"/>
      <c r="BQ109" s="1972"/>
      <c r="BR109" s="1972"/>
      <c r="BS109" s="1972"/>
      <c r="BT109" s="4117" t="s">
        <v>9884</v>
      </c>
      <c r="BU109" s="4177">
        <v>0</v>
      </c>
      <c r="BV109" s="4177">
        <v>1</v>
      </c>
      <c r="BW109" s="4108">
        <v>0</v>
      </c>
      <c r="BX109" s="16019">
        <f>AVERAGE(BW109:BW119)</f>
        <v>0.2</v>
      </c>
      <c r="BY109" s="4117"/>
      <c r="BZ109" s="4117"/>
      <c r="CA109" s="4117"/>
      <c r="CB109" s="4891"/>
      <c r="CC109" s="4891"/>
      <c r="CD109" s="4891"/>
      <c r="CE109" s="4891"/>
      <c r="CF109" s="4115"/>
      <c r="CG109" s="4115"/>
      <c r="CH109" s="4115"/>
      <c r="CI109" s="4115"/>
      <c r="CJ109" s="4115"/>
      <c r="CK109" s="4115"/>
      <c r="CL109" s="4115"/>
      <c r="CM109" s="4115"/>
      <c r="CN109" s="4115"/>
      <c r="CO109" s="4115"/>
      <c r="CP109" s="4115"/>
      <c r="CQ109" s="4115"/>
      <c r="CR109" s="4115"/>
      <c r="CS109" s="4892"/>
      <c r="CT109" s="4115"/>
      <c r="CU109" s="4115"/>
      <c r="CV109" s="4115"/>
      <c r="CW109" s="4115"/>
      <c r="CX109" s="4115"/>
      <c r="CY109" s="4115"/>
      <c r="CZ109" s="4115"/>
      <c r="DA109" s="4115"/>
      <c r="DB109" s="4115"/>
      <c r="DC109" s="4115"/>
      <c r="DD109" s="4115"/>
      <c r="DE109" s="4115"/>
      <c r="DF109" s="4115"/>
      <c r="DG109" s="4115"/>
      <c r="DH109" s="4115"/>
      <c r="DI109" s="4115"/>
      <c r="DJ109" s="4115"/>
      <c r="DK109" s="4115"/>
      <c r="DL109" s="4115"/>
      <c r="DM109" s="4115"/>
      <c r="DN109" s="4115"/>
      <c r="DO109" s="4893"/>
      <c r="DQ109" s="4976"/>
      <c r="DR109" s="1972"/>
      <c r="DS109" s="1972"/>
      <c r="DT109" s="1972"/>
      <c r="DU109" s="1972"/>
      <c r="DV109" s="1972"/>
      <c r="DW109" s="1972"/>
      <c r="DX109" s="1972"/>
      <c r="DY109" s="1972"/>
      <c r="DZ109" s="1972"/>
      <c r="EA109" s="1972"/>
      <c r="EB109" s="1972"/>
      <c r="EC109" s="1972"/>
      <c r="ED109" s="1972"/>
      <c r="EE109" s="1972"/>
      <c r="EF109" s="1972"/>
      <c r="EG109" s="1972"/>
      <c r="EH109" s="1972"/>
      <c r="EI109" s="1972"/>
      <c r="EJ109" s="1972"/>
      <c r="EK109" s="1972"/>
      <c r="EL109" s="1972"/>
      <c r="EM109" s="1972"/>
      <c r="EN109" s="1972"/>
      <c r="EO109" s="1972"/>
      <c r="EP109" s="1972"/>
      <c r="EQ109" s="1972"/>
      <c r="ER109" s="1972"/>
      <c r="ES109" s="1972"/>
      <c r="ET109" s="1972"/>
      <c r="EU109" s="1972"/>
      <c r="EV109" s="1972"/>
      <c r="EW109" s="1972"/>
      <c r="EX109" s="1972"/>
      <c r="EY109" s="1972"/>
      <c r="EZ109" s="1972"/>
      <c r="FA109" s="1972"/>
      <c r="FB109" s="1972"/>
      <c r="FC109" s="1972"/>
      <c r="FD109" s="1972"/>
      <c r="FE109" s="1972"/>
      <c r="FF109" s="1972"/>
      <c r="FG109" s="1972"/>
      <c r="FH109" s="1972"/>
      <c r="FI109" s="1972"/>
      <c r="FJ109" s="1974"/>
    </row>
    <row r="110" spans="1:166" s="1801" customFormat="1" ht="15" customHeight="1">
      <c r="A110" s="15974"/>
      <c r="B110" s="15994"/>
      <c r="C110" s="15904"/>
      <c r="D110" s="15904"/>
      <c r="E110" s="15155"/>
      <c r="F110" s="15155"/>
      <c r="G110" s="15155"/>
      <c r="H110" s="15155"/>
      <c r="I110" s="15155"/>
      <c r="J110" s="15155"/>
      <c r="K110" s="15155"/>
      <c r="L110" s="4112"/>
      <c r="M110" s="4112"/>
      <c r="N110" s="4112" t="s">
        <v>507</v>
      </c>
      <c r="O110" s="3104"/>
      <c r="P110" s="3104"/>
      <c r="Q110" s="3104"/>
      <c r="R110" s="3104"/>
      <c r="S110" s="3104"/>
      <c r="T110" s="3104"/>
      <c r="U110" s="4778"/>
      <c r="V110" s="3104"/>
      <c r="W110" s="3104"/>
      <c r="X110" s="3104"/>
      <c r="Y110" s="3104"/>
      <c r="Z110" s="4150"/>
      <c r="AA110" s="3104"/>
      <c r="AB110" s="4650"/>
      <c r="AC110" s="3165"/>
      <c r="AD110" s="3165"/>
      <c r="AE110" s="3165"/>
      <c r="AF110" s="3108"/>
      <c r="AG110" s="3108"/>
      <c r="AH110" s="4651"/>
      <c r="AI110" s="4651"/>
      <c r="AJ110" s="4651"/>
      <c r="AK110" s="3122"/>
      <c r="AL110" s="3122"/>
      <c r="AM110" s="4651"/>
      <c r="AN110" s="3122"/>
      <c r="AO110" s="3122"/>
      <c r="AP110" s="3122"/>
      <c r="AQ110" s="4779"/>
      <c r="AR110" s="3122"/>
      <c r="AS110" s="3122"/>
      <c r="AT110" s="3122"/>
      <c r="AU110" s="3122"/>
      <c r="AV110" s="3122"/>
      <c r="AW110" s="4651"/>
      <c r="AX110" s="3122"/>
      <c r="AY110" s="3122"/>
      <c r="AZ110" s="3122"/>
      <c r="BA110" s="3122"/>
      <c r="BB110" s="3122"/>
      <c r="BC110" s="3122"/>
      <c r="BD110" s="3122"/>
      <c r="BE110" s="3122"/>
      <c r="BF110" s="3122"/>
      <c r="BG110" s="3122"/>
      <c r="BH110" s="3122"/>
      <c r="BI110" s="3122"/>
      <c r="BJ110" s="3165"/>
      <c r="BK110" s="3122"/>
      <c r="BL110" s="3122"/>
      <c r="BM110" s="3122"/>
      <c r="BN110" s="3122"/>
      <c r="BO110" s="3122"/>
      <c r="BP110" s="3122"/>
      <c r="BQ110" s="3122"/>
      <c r="BR110" s="3122"/>
      <c r="BS110" s="3122"/>
      <c r="BT110" s="3104"/>
      <c r="BU110" s="4112"/>
      <c r="BV110" s="4112"/>
      <c r="BW110" s="3110"/>
      <c r="BX110" s="16020"/>
      <c r="BY110" s="3104"/>
      <c r="BZ110" s="3104"/>
      <c r="CA110" s="3104"/>
      <c r="CB110" s="2702"/>
      <c r="CC110" s="2702"/>
      <c r="CD110" s="2702"/>
      <c r="CE110" s="2702"/>
      <c r="CF110" s="3116"/>
      <c r="CG110" s="3116"/>
      <c r="CH110" s="3116"/>
      <c r="CI110" s="3116"/>
      <c r="CJ110" s="3116"/>
      <c r="CK110" s="3116"/>
      <c r="CL110" s="3116"/>
      <c r="CM110" s="3116"/>
      <c r="CN110" s="3116"/>
      <c r="CO110" s="3116"/>
      <c r="CP110" s="3116"/>
      <c r="CQ110" s="3116"/>
      <c r="CR110" s="3116"/>
      <c r="CS110" s="4780"/>
      <c r="CT110" s="3116"/>
      <c r="CU110" s="3116"/>
      <c r="CV110" s="3116"/>
      <c r="CW110" s="3116"/>
      <c r="CX110" s="3116"/>
      <c r="CY110" s="3116"/>
      <c r="CZ110" s="3116"/>
      <c r="DA110" s="3116"/>
      <c r="DB110" s="3116"/>
      <c r="DC110" s="3116"/>
      <c r="DD110" s="3116"/>
      <c r="DE110" s="3116"/>
      <c r="DF110" s="3116"/>
      <c r="DG110" s="3116"/>
      <c r="DH110" s="3116"/>
      <c r="DI110" s="3116"/>
      <c r="DJ110" s="3116"/>
      <c r="DK110" s="3116"/>
      <c r="DL110" s="3116"/>
      <c r="DM110" s="3116"/>
      <c r="DN110" s="3116"/>
      <c r="DO110" s="4838"/>
      <c r="DQ110" s="4971"/>
      <c r="DR110" s="3122"/>
      <c r="DS110" s="3122"/>
      <c r="DT110" s="3122"/>
      <c r="DU110" s="3122"/>
      <c r="DV110" s="3122"/>
      <c r="DW110" s="3122"/>
      <c r="DX110" s="3122"/>
      <c r="DY110" s="3122"/>
      <c r="DZ110" s="3122"/>
      <c r="EA110" s="3122"/>
      <c r="EB110" s="3122"/>
      <c r="EC110" s="3122"/>
      <c r="ED110" s="3122"/>
      <c r="EE110" s="3122"/>
      <c r="EF110" s="3122"/>
      <c r="EG110" s="3122"/>
      <c r="EH110" s="3122"/>
      <c r="EI110" s="3122"/>
      <c r="EJ110" s="3122"/>
      <c r="EK110" s="3122"/>
      <c r="EL110" s="3122"/>
      <c r="EM110" s="3122"/>
      <c r="EN110" s="3122"/>
      <c r="EO110" s="3122"/>
      <c r="EP110" s="3122"/>
      <c r="EQ110" s="3122"/>
      <c r="ER110" s="3122"/>
      <c r="ES110" s="3122"/>
      <c r="ET110" s="3122"/>
      <c r="EU110" s="3122"/>
      <c r="EV110" s="3122"/>
      <c r="EW110" s="3122"/>
      <c r="EX110" s="3122"/>
      <c r="EY110" s="3122"/>
      <c r="EZ110" s="3122"/>
      <c r="FA110" s="3122"/>
      <c r="FB110" s="3122"/>
      <c r="FC110" s="3122"/>
      <c r="FD110" s="3122"/>
      <c r="FE110" s="3122"/>
      <c r="FF110" s="3122"/>
      <c r="FG110" s="3122"/>
      <c r="FH110" s="3122"/>
      <c r="FI110" s="3122"/>
      <c r="FJ110" s="4176"/>
    </row>
    <row r="111" spans="1:166" s="1801" customFormat="1" ht="15" customHeight="1">
      <c r="A111" s="15974"/>
      <c r="B111" s="15994"/>
      <c r="C111" s="15904"/>
      <c r="D111" s="15904" t="s">
        <v>7975</v>
      </c>
      <c r="E111" s="15155" t="s">
        <v>5002</v>
      </c>
      <c r="F111" s="15155" t="s">
        <v>831</v>
      </c>
      <c r="G111" s="15155" t="s">
        <v>832</v>
      </c>
      <c r="H111" s="15155">
        <v>1</v>
      </c>
      <c r="I111" s="15155">
        <v>1</v>
      </c>
      <c r="J111" s="15155">
        <v>1</v>
      </c>
      <c r="K111" s="15155" t="s">
        <v>773</v>
      </c>
      <c r="L111" s="4112" t="s">
        <v>10066</v>
      </c>
      <c r="M111" s="4112" t="s">
        <v>298</v>
      </c>
      <c r="N111" s="4112"/>
      <c r="O111" s="3104">
        <v>30</v>
      </c>
      <c r="P111" s="3104">
        <v>31</v>
      </c>
      <c r="Q111" s="3104">
        <v>32</v>
      </c>
      <c r="R111" s="3104">
        <v>33</v>
      </c>
      <c r="S111" s="3104">
        <v>34</v>
      </c>
      <c r="T111" s="3104">
        <v>35</v>
      </c>
      <c r="U111" s="4778">
        <v>36</v>
      </c>
      <c r="V111" s="3104">
        <v>37</v>
      </c>
      <c r="W111" s="3104">
        <v>38</v>
      </c>
      <c r="X111" s="3104">
        <v>39</v>
      </c>
      <c r="Y111" s="3104">
        <v>40</v>
      </c>
      <c r="Z111" s="4150">
        <v>385</v>
      </c>
      <c r="AA111" s="3104"/>
      <c r="AB111" s="3122" t="s">
        <v>1732</v>
      </c>
      <c r="AC111" s="3122"/>
      <c r="AD111" s="3165"/>
      <c r="AE111" s="3122"/>
      <c r="AF111" s="3108">
        <v>2805000</v>
      </c>
      <c r="AG111" s="3108">
        <v>2805000</v>
      </c>
      <c r="AH111" s="4651">
        <v>0</v>
      </c>
      <c r="AI111" s="4651">
        <v>0</v>
      </c>
      <c r="AJ111" s="3122"/>
      <c r="AK111" s="3122"/>
      <c r="AL111" s="3122"/>
      <c r="AM111" s="4651" t="s">
        <v>2891</v>
      </c>
      <c r="AN111" s="3122"/>
      <c r="AO111" s="3122"/>
      <c r="AP111" s="3122"/>
      <c r="AQ111" s="3122"/>
      <c r="AR111" s="3122"/>
      <c r="AS111" s="3122"/>
      <c r="AT111" s="3122"/>
      <c r="AU111" s="3122"/>
      <c r="AV111" s="3122"/>
      <c r="AW111" s="4651" t="s">
        <v>2891</v>
      </c>
      <c r="AX111" s="3122"/>
      <c r="AY111" s="3122"/>
      <c r="AZ111" s="3122"/>
      <c r="BA111" s="3122"/>
      <c r="BB111" s="3122"/>
      <c r="BC111" s="3122"/>
      <c r="BD111" s="3122"/>
      <c r="BE111" s="3122"/>
      <c r="BF111" s="3122"/>
      <c r="BG111" s="3122"/>
      <c r="BH111" s="3122"/>
      <c r="BI111" s="3122"/>
      <c r="BJ111" s="3165" t="s">
        <v>3921</v>
      </c>
      <c r="BK111" s="3122"/>
      <c r="BL111" s="3122"/>
      <c r="BM111" s="3122"/>
      <c r="BN111" s="3122"/>
      <c r="BO111" s="3122"/>
      <c r="BP111" s="3122"/>
      <c r="BQ111" s="3122"/>
      <c r="BR111" s="3122"/>
      <c r="BS111" s="3122"/>
      <c r="BT111" s="3104" t="s">
        <v>9884</v>
      </c>
      <c r="BU111" s="3109">
        <v>0</v>
      </c>
      <c r="BV111" s="4112">
        <v>1</v>
      </c>
      <c r="BW111" s="3110">
        <v>0</v>
      </c>
      <c r="BX111" s="16020"/>
      <c r="BY111" s="3104"/>
      <c r="BZ111" s="3104"/>
      <c r="CA111" s="3104"/>
      <c r="CB111" s="2702"/>
      <c r="CC111" s="2702"/>
      <c r="CD111" s="2702"/>
      <c r="CE111" s="2702"/>
      <c r="CF111" s="3116"/>
      <c r="CG111" s="3116"/>
      <c r="CH111" s="3116"/>
      <c r="CI111" s="3116"/>
      <c r="CJ111" s="3116"/>
      <c r="CK111" s="3116"/>
      <c r="CL111" s="3116"/>
      <c r="CM111" s="3116"/>
      <c r="CN111" s="3116"/>
      <c r="CO111" s="3116"/>
      <c r="CP111" s="3116"/>
      <c r="CQ111" s="3116"/>
      <c r="CR111" s="3116"/>
      <c r="CS111" s="4780"/>
      <c r="CT111" s="3116"/>
      <c r="CU111" s="3116"/>
      <c r="CV111" s="3116"/>
      <c r="CW111" s="3116"/>
      <c r="CX111" s="3116"/>
      <c r="CY111" s="3116"/>
      <c r="CZ111" s="3116"/>
      <c r="DA111" s="3116"/>
      <c r="DB111" s="3116"/>
      <c r="DC111" s="3116"/>
      <c r="DD111" s="3116"/>
      <c r="DE111" s="3116"/>
      <c r="DF111" s="3116"/>
      <c r="DG111" s="3116"/>
      <c r="DH111" s="3116"/>
      <c r="DI111" s="3116"/>
      <c r="DJ111" s="3116"/>
      <c r="DK111" s="3116"/>
      <c r="DL111" s="3116"/>
      <c r="DM111" s="3116"/>
      <c r="DN111" s="3116"/>
      <c r="DO111" s="4838"/>
      <c r="DQ111" s="4971"/>
      <c r="DR111" s="3122"/>
      <c r="DS111" s="3122"/>
      <c r="DT111" s="3122"/>
      <c r="DU111" s="3122"/>
      <c r="DV111" s="3122"/>
      <c r="DW111" s="3122"/>
      <c r="DX111" s="3122"/>
      <c r="DY111" s="3122"/>
      <c r="DZ111" s="3122"/>
      <c r="EA111" s="3122"/>
      <c r="EB111" s="3122"/>
      <c r="EC111" s="3122"/>
      <c r="ED111" s="3122"/>
      <c r="EE111" s="3122"/>
      <c r="EF111" s="3122"/>
      <c r="EG111" s="3122"/>
      <c r="EH111" s="3122"/>
      <c r="EI111" s="3122"/>
      <c r="EJ111" s="3122"/>
      <c r="EK111" s="3122"/>
      <c r="EL111" s="3122"/>
      <c r="EM111" s="3122"/>
      <c r="EN111" s="3122"/>
      <c r="EO111" s="3122"/>
      <c r="EP111" s="3122"/>
      <c r="EQ111" s="3122"/>
      <c r="ER111" s="3122"/>
      <c r="ES111" s="3122"/>
      <c r="ET111" s="3122"/>
      <c r="EU111" s="3122"/>
      <c r="EV111" s="3122"/>
      <c r="EW111" s="3122"/>
      <c r="EX111" s="3122"/>
      <c r="EY111" s="3122"/>
      <c r="EZ111" s="3122"/>
      <c r="FA111" s="3122"/>
      <c r="FB111" s="3122"/>
      <c r="FC111" s="3122"/>
      <c r="FD111" s="3122"/>
      <c r="FE111" s="3122"/>
      <c r="FF111" s="3122"/>
      <c r="FG111" s="3122"/>
      <c r="FH111" s="3122"/>
      <c r="FI111" s="3122"/>
      <c r="FJ111" s="4176"/>
    </row>
    <row r="112" spans="1:166" s="1801" customFormat="1" ht="15" customHeight="1">
      <c r="A112" s="15974"/>
      <c r="B112" s="15994"/>
      <c r="C112" s="15904"/>
      <c r="D112" s="15904"/>
      <c r="E112" s="15155"/>
      <c r="F112" s="15155"/>
      <c r="G112" s="15155"/>
      <c r="H112" s="15155"/>
      <c r="I112" s="15155"/>
      <c r="J112" s="15155"/>
      <c r="K112" s="15155"/>
      <c r="L112" s="4112"/>
      <c r="M112" s="4112"/>
      <c r="N112" s="4112" t="s">
        <v>507</v>
      </c>
      <c r="O112" s="3104"/>
      <c r="P112" s="3104"/>
      <c r="Q112" s="3104"/>
      <c r="R112" s="3104"/>
      <c r="S112" s="3104"/>
      <c r="T112" s="3104"/>
      <c r="U112" s="4778"/>
      <c r="V112" s="3104"/>
      <c r="W112" s="3104"/>
      <c r="X112" s="3104"/>
      <c r="Y112" s="3104"/>
      <c r="Z112" s="4150"/>
      <c r="AA112" s="3104"/>
      <c r="AB112" s="3122"/>
      <c r="AC112" s="3122"/>
      <c r="AD112" s="3165"/>
      <c r="AE112" s="3122"/>
      <c r="AF112" s="3108"/>
      <c r="AG112" s="3108"/>
      <c r="AH112" s="4651"/>
      <c r="AI112" s="4651"/>
      <c r="AJ112" s="3122"/>
      <c r="AK112" s="3122"/>
      <c r="AL112" s="3122"/>
      <c r="AM112" s="4651"/>
      <c r="AN112" s="3122"/>
      <c r="AO112" s="3122"/>
      <c r="AP112" s="3122"/>
      <c r="AQ112" s="3122"/>
      <c r="AR112" s="3122"/>
      <c r="AS112" s="3122"/>
      <c r="AT112" s="3122"/>
      <c r="AU112" s="3122"/>
      <c r="AV112" s="3122"/>
      <c r="AW112" s="4651"/>
      <c r="AX112" s="3122"/>
      <c r="AY112" s="3122"/>
      <c r="AZ112" s="3122"/>
      <c r="BA112" s="3122"/>
      <c r="BB112" s="3122"/>
      <c r="BC112" s="3122"/>
      <c r="BD112" s="3122"/>
      <c r="BE112" s="3122"/>
      <c r="BF112" s="3122"/>
      <c r="BG112" s="3122"/>
      <c r="BH112" s="3122"/>
      <c r="BI112" s="3122"/>
      <c r="BJ112" s="3165"/>
      <c r="BK112" s="3122"/>
      <c r="BL112" s="3122"/>
      <c r="BM112" s="3122"/>
      <c r="BN112" s="3122"/>
      <c r="BO112" s="3122"/>
      <c r="BP112" s="3122"/>
      <c r="BQ112" s="3122"/>
      <c r="BR112" s="3122"/>
      <c r="BS112" s="3122"/>
      <c r="BT112" s="3104"/>
      <c r="BU112" s="3109"/>
      <c r="BV112" s="4112"/>
      <c r="BW112" s="3110"/>
      <c r="BX112" s="16020"/>
      <c r="BY112" s="3104"/>
      <c r="BZ112" s="3104"/>
      <c r="CA112" s="3104"/>
      <c r="CB112" s="2702"/>
      <c r="CC112" s="2702"/>
      <c r="CD112" s="2702"/>
      <c r="CE112" s="2702"/>
      <c r="CF112" s="3116"/>
      <c r="CG112" s="3116"/>
      <c r="CH112" s="3116"/>
      <c r="CI112" s="3116"/>
      <c r="CJ112" s="3116"/>
      <c r="CK112" s="3116"/>
      <c r="CL112" s="3116"/>
      <c r="CM112" s="3116"/>
      <c r="CN112" s="3116"/>
      <c r="CO112" s="3116"/>
      <c r="CP112" s="3116"/>
      <c r="CQ112" s="3116"/>
      <c r="CR112" s="3116"/>
      <c r="CS112" s="4780"/>
      <c r="CT112" s="3116"/>
      <c r="CU112" s="3116"/>
      <c r="CV112" s="3116"/>
      <c r="CW112" s="3116"/>
      <c r="CX112" s="3116"/>
      <c r="CY112" s="3116"/>
      <c r="CZ112" s="3116"/>
      <c r="DA112" s="3116"/>
      <c r="DB112" s="3116"/>
      <c r="DC112" s="3116"/>
      <c r="DD112" s="3116"/>
      <c r="DE112" s="3116"/>
      <c r="DF112" s="3116"/>
      <c r="DG112" s="3116"/>
      <c r="DH112" s="3116"/>
      <c r="DI112" s="3116"/>
      <c r="DJ112" s="3116"/>
      <c r="DK112" s="3116"/>
      <c r="DL112" s="3116"/>
      <c r="DM112" s="3116"/>
      <c r="DN112" s="3116"/>
      <c r="DO112" s="4838"/>
      <c r="DQ112" s="4971"/>
      <c r="DR112" s="3122"/>
      <c r="DS112" s="3122"/>
      <c r="DT112" s="3122"/>
      <c r="DU112" s="3122"/>
      <c r="DV112" s="3122"/>
      <c r="DW112" s="3122"/>
      <c r="DX112" s="3122"/>
      <c r="DY112" s="3122"/>
      <c r="DZ112" s="3122"/>
      <c r="EA112" s="3122"/>
      <c r="EB112" s="3122"/>
      <c r="EC112" s="3122"/>
      <c r="ED112" s="3122"/>
      <c r="EE112" s="3122"/>
      <c r="EF112" s="3122"/>
      <c r="EG112" s="3122"/>
      <c r="EH112" s="3122"/>
      <c r="EI112" s="3122"/>
      <c r="EJ112" s="3122"/>
      <c r="EK112" s="3122"/>
      <c r="EL112" s="3122"/>
      <c r="EM112" s="3122"/>
      <c r="EN112" s="3122"/>
      <c r="EO112" s="3122"/>
      <c r="EP112" s="3122"/>
      <c r="EQ112" s="3122"/>
      <c r="ER112" s="3122"/>
      <c r="ES112" s="3122"/>
      <c r="ET112" s="3122"/>
      <c r="EU112" s="3122"/>
      <c r="EV112" s="3122"/>
      <c r="EW112" s="3122"/>
      <c r="EX112" s="3122"/>
      <c r="EY112" s="3122"/>
      <c r="EZ112" s="3122"/>
      <c r="FA112" s="3122"/>
      <c r="FB112" s="3122"/>
      <c r="FC112" s="3122"/>
      <c r="FD112" s="3122"/>
      <c r="FE112" s="3122"/>
      <c r="FF112" s="3122"/>
      <c r="FG112" s="3122"/>
      <c r="FH112" s="3122"/>
      <c r="FI112" s="3122"/>
      <c r="FJ112" s="4176"/>
    </row>
    <row r="113" spans="1:166" s="1801" customFormat="1" ht="15" customHeight="1">
      <c r="A113" s="15974"/>
      <c r="B113" s="15994"/>
      <c r="C113" s="15904"/>
      <c r="D113" s="15904" t="s">
        <v>7976</v>
      </c>
      <c r="E113" s="15155" t="s">
        <v>5003</v>
      </c>
      <c r="F113" s="15155" t="s">
        <v>833</v>
      </c>
      <c r="G113" s="15155" t="s">
        <v>834</v>
      </c>
      <c r="H113" s="15155">
        <v>1</v>
      </c>
      <c r="I113" s="15155">
        <v>1</v>
      </c>
      <c r="J113" s="15155">
        <v>1</v>
      </c>
      <c r="K113" s="15155" t="s">
        <v>835</v>
      </c>
      <c r="L113" s="4112" t="s">
        <v>10066</v>
      </c>
      <c r="M113" s="4112" t="s">
        <v>298</v>
      </c>
      <c r="N113" s="4112"/>
      <c r="O113" s="3104">
        <v>40</v>
      </c>
      <c r="P113" s="3104">
        <v>41</v>
      </c>
      <c r="Q113" s="3104">
        <v>42</v>
      </c>
      <c r="R113" s="3104">
        <v>44</v>
      </c>
      <c r="S113" s="3104">
        <v>45</v>
      </c>
      <c r="T113" s="3104">
        <v>46</v>
      </c>
      <c r="U113" s="4778">
        <v>48</v>
      </c>
      <c r="V113" s="3104">
        <v>49</v>
      </c>
      <c r="W113" s="3104">
        <v>51</v>
      </c>
      <c r="X113" s="3104">
        <v>52</v>
      </c>
      <c r="Y113" s="3104">
        <v>54</v>
      </c>
      <c r="Z113" s="4150">
        <v>512</v>
      </c>
      <c r="AA113" s="3104"/>
      <c r="AB113" s="4650">
        <v>1</v>
      </c>
      <c r="AC113" s="3165" t="s">
        <v>3927</v>
      </c>
      <c r="AD113" s="3165" t="s">
        <v>3919</v>
      </c>
      <c r="AE113" s="3165" t="s">
        <v>3928</v>
      </c>
      <c r="AF113" s="3108">
        <v>2805000</v>
      </c>
      <c r="AG113" s="3108">
        <v>2805000</v>
      </c>
      <c r="AH113" s="4651">
        <v>0</v>
      </c>
      <c r="AI113" s="4651">
        <v>0</v>
      </c>
      <c r="AJ113" s="4651">
        <v>0</v>
      </c>
      <c r="AK113" s="3122"/>
      <c r="AL113" s="3122"/>
      <c r="AM113" s="4651" t="s">
        <v>2891</v>
      </c>
      <c r="AN113" s="3122"/>
      <c r="AO113" s="3122"/>
      <c r="AP113" s="3122"/>
      <c r="AQ113" s="3122"/>
      <c r="AR113" s="3122"/>
      <c r="AS113" s="3122"/>
      <c r="AT113" s="3122"/>
      <c r="AU113" s="3122"/>
      <c r="AV113" s="3122"/>
      <c r="AW113" s="4651" t="s">
        <v>2891</v>
      </c>
      <c r="AX113" s="3122"/>
      <c r="AY113" s="3122"/>
      <c r="AZ113" s="3122"/>
      <c r="BA113" s="3122"/>
      <c r="BB113" s="3122"/>
      <c r="BC113" s="3122"/>
      <c r="BD113" s="3122"/>
      <c r="BE113" s="3122"/>
      <c r="BF113" s="3122"/>
      <c r="BG113" s="3122"/>
      <c r="BH113" s="3122"/>
      <c r="BI113" s="3122"/>
      <c r="BJ113" s="3165" t="s">
        <v>3921</v>
      </c>
      <c r="BK113" s="3122"/>
      <c r="BL113" s="3122"/>
      <c r="BM113" s="3122"/>
      <c r="BN113" s="3122"/>
      <c r="BO113" s="3122"/>
      <c r="BP113" s="3122"/>
      <c r="BQ113" s="3122"/>
      <c r="BR113" s="3122"/>
      <c r="BS113" s="3122"/>
      <c r="BT113" s="3104" t="s">
        <v>9884</v>
      </c>
      <c r="BU113" s="4112">
        <v>0</v>
      </c>
      <c r="BV113" s="4112">
        <v>1</v>
      </c>
      <c r="BW113" s="3110">
        <v>0</v>
      </c>
      <c r="BX113" s="16020"/>
      <c r="BY113" s="3104"/>
      <c r="BZ113" s="3104"/>
      <c r="CA113" s="3104"/>
      <c r="CB113" s="2702"/>
      <c r="CC113" s="2702"/>
      <c r="CD113" s="2702"/>
      <c r="CE113" s="2702"/>
      <c r="CF113" s="3116"/>
      <c r="CG113" s="3116"/>
      <c r="CH113" s="3116"/>
      <c r="CI113" s="3116"/>
      <c r="CJ113" s="3116"/>
      <c r="CK113" s="3116"/>
      <c r="CL113" s="3116"/>
      <c r="CM113" s="3116"/>
      <c r="CN113" s="3116"/>
      <c r="CO113" s="3116"/>
      <c r="CP113" s="3116"/>
      <c r="CQ113" s="3116"/>
      <c r="CR113" s="3116"/>
      <c r="CS113" s="4780"/>
      <c r="CT113" s="3116"/>
      <c r="CU113" s="3116"/>
      <c r="CV113" s="3116"/>
      <c r="CW113" s="3116"/>
      <c r="CX113" s="3116"/>
      <c r="CY113" s="3116"/>
      <c r="CZ113" s="3116"/>
      <c r="DA113" s="3116"/>
      <c r="DB113" s="3116"/>
      <c r="DC113" s="3116"/>
      <c r="DD113" s="3116"/>
      <c r="DE113" s="3116"/>
      <c r="DF113" s="3116"/>
      <c r="DG113" s="3116"/>
      <c r="DH113" s="3116"/>
      <c r="DI113" s="3116"/>
      <c r="DJ113" s="3116"/>
      <c r="DK113" s="3116"/>
      <c r="DL113" s="3116"/>
      <c r="DM113" s="3116"/>
      <c r="DN113" s="3116"/>
      <c r="DO113" s="4838"/>
      <c r="DQ113" s="4971"/>
      <c r="DR113" s="3122"/>
      <c r="DS113" s="3122"/>
      <c r="DT113" s="3122"/>
      <c r="DU113" s="3122"/>
      <c r="DV113" s="3122"/>
      <c r="DW113" s="3122"/>
      <c r="DX113" s="3122"/>
      <c r="DY113" s="3122"/>
      <c r="DZ113" s="3122"/>
      <c r="EA113" s="3122"/>
      <c r="EB113" s="3122"/>
      <c r="EC113" s="3122"/>
      <c r="ED113" s="3122"/>
      <c r="EE113" s="3122"/>
      <c r="EF113" s="3122"/>
      <c r="EG113" s="3122"/>
      <c r="EH113" s="3122"/>
      <c r="EI113" s="3122"/>
      <c r="EJ113" s="3122"/>
      <c r="EK113" s="3122"/>
      <c r="EL113" s="3122"/>
      <c r="EM113" s="3122"/>
      <c r="EN113" s="3122"/>
      <c r="EO113" s="3122"/>
      <c r="EP113" s="3122"/>
      <c r="EQ113" s="3122"/>
      <c r="ER113" s="3122"/>
      <c r="ES113" s="3122"/>
      <c r="ET113" s="3122"/>
      <c r="EU113" s="3122"/>
      <c r="EV113" s="3122"/>
      <c r="EW113" s="3122"/>
      <c r="EX113" s="3122"/>
      <c r="EY113" s="3122"/>
      <c r="EZ113" s="3122"/>
      <c r="FA113" s="3122"/>
      <c r="FB113" s="3122"/>
      <c r="FC113" s="3122"/>
      <c r="FD113" s="3122"/>
      <c r="FE113" s="3122"/>
      <c r="FF113" s="3122"/>
      <c r="FG113" s="3122"/>
      <c r="FH113" s="3122"/>
      <c r="FI113" s="3122"/>
      <c r="FJ113" s="4176"/>
    </row>
    <row r="114" spans="1:166" s="1801" customFormat="1" ht="15" customHeight="1">
      <c r="A114" s="15974"/>
      <c r="B114" s="15994"/>
      <c r="C114" s="4648"/>
      <c r="D114" s="15904"/>
      <c r="E114" s="15155"/>
      <c r="F114" s="15155"/>
      <c r="G114" s="15155"/>
      <c r="H114" s="15155"/>
      <c r="I114" s="15155"/>
      <c r="J114" s="15155"/>
      <c r="K114" s="15155"/>
      <c r="L114" s="4112"/>
      <c r="M114" s="4112"/>
      <c r="N114" s="4112" t="s">
        <v>507</v>
      </c>
      <c r="O114" s="3104"/>
      <c r="P114" s="3104"/>
      <c r="Q114" s="3104"/>
      <c r="R114" s="3104"/>
      <c r="S114" s="3104"/>
      <c r="T114" s="3104"/>
      <c r="U114" s="4778"/>
      <c r="V114" s="3104"/>
      <c r="W114" s="3104"/>
      <c r="X114" s="3104"/>
      <c r="Y114" s="3104"/>
      <c r="Z114" s="4150"/>
      <c r="AA114" s="3104"/>
      <c r="AB114" s="4650"/>
      <c r="AC114" s="3165"/>
      <c r="AD114" s="3165"/>
      <c r="AE114" s="3165"/>
      <c r="AF114" s="3108"/>
      <c r="AG114" s="3108"/>
      <c r="AH114" s="4651"/>
      <c r="AI114" s="4651"/>
      <c r="AJ114" s="4651"/>
      <c r="AK114" s="3122"/>
      <c r="AL114" s="3122"/>
      <c r="AM114" s="4651"/>
      <c r="AN114" s="3122"/>
      <c r="AO114" s="3122"/>
      <c r="AP114" s="3122"/>
      <c r="AQ114" s="3122"/>
      <c r="AR114" s="3122"/>
      <c r="AS114" s="3122"/>
      <c r="AT114" s="3122"/>
      <c r="AU114" s="3122"/>
      <c r="AV114" s="3122"/>
      <c r="AW114" s="4651"/>
      <c r="AX114" s="3122"/>
      <c r="AY114" s="3122"/>
      <c r="AZ114" s="3122"/>
      <c r="BA114" s="3122"/>
      <c r="BB114" s="3122"/>
      <c r="BC114" s="3122"/>
      <c r="BD114" s="3122"/>
      <c r="BE114" s="3122"/>
      <c r="BF114" s="3122"/>
      <c r="BG114" s="3122"/>
      <c r="BH114" s="3122"/>
      <c r="BI114" s="3122"/>
      <c r="BJ114" s="3165"/>
      <c r="BK114" s="3122"/>
      <c r="BL114" s="3122"/>
      <c r="BM114" s="3122"/>
      <c r="BN114" s="3122"/>
      <c r="BO114" s="3122"/>
      <c r="BP114" s="3122"/>
      <c r="BQ114" s="3122"/>
      <c r="BR114" s="3122"/>
      <c r="BS114" s="3122"/>
      <c r="BT114" s="3104"/>
      <c r="BU114" s="4112"/>
      <c r="BV114" s="4112"/>
      <c r="BW114" s="3110"/>
      <c r="BX114" s="16020"/>
      <c r="BY114" s="3104"/>
      <c r="BZ114" s="3104"/>
      <c r="CA114" s="3104"/>
      <c r="CB114" s="2702"/>
      <c r="CC114" s="2702"/>
      <c r="CD114" s="2702"/>
      <c r="CE114" s="2702"/>
      <c r="CF114" s="3116"/>
      <c r="CG114" s="3116"/>
      <c r="CH114" s="3116"/>
      <c r="CI114" s="3116"/>
      <c r="CJ114" s="3116"/>
      <c r="CK114" s="3116"/>
      <c r="CL114" s="3116"/>
      <c r="CM114" s="3116"/>
      <c r="CN114" s="3116"/>
      <c r="CO114" s="3116"/>
      <c r="CP114" s="3116"/>
      <c r="CQ114" s="3116"/>
      <c r="CR114" s="3116"/>
      <c r="CS114" s="4780"/>
      <c r="CT114" s="3116"/>
      <c r="CU114" s="3116"/>
      <c r="CV114" s="3116"/>
      <c r="CW114" s="3116"/>
      <c r="CX114" s="3116"/>
      <c r="CY114" s="3116"/>
      <c r="CZ114" s="3116"/>
      <c r="DA114" s="3116"/>
      <c r="DB114" s="3116"/>
      <c r="DC114" s="3116"/>
      <c r="DD114" s="3116"/>
      <c r="DE114" s="3116"/>
      <c r="DF114" s="3116"/>
      <c r="DG114" s="3116"/>
      <c r="DH114" s="3116"/>
      <c r="DI114" s="3116"/>
      <c r="DJ114" s="3116"/>
      <c r="DK114" s="3116"/>
      <c r="DL114" s="3116"/>
      <c r="DM114" s="3116"/>
      <c r="DN114" s="3116"/>
      <c r="DO114" s="4838"/>
      <c r="DQ114" s="4971"/>
      <c r="DR114" s="3122"/>
      <c r="DS114" s="3122"/>
      <c r="DT114" s="3122"/>
      <c r="DU114" s="3122"/>
      <c r="DV114" s="3122"/>
      <c r="DW114" s="3122"/>
      <c r="DX114" s="3122"/>
      <c r="DY114" s="3122"/>
      <c r="DZ114" s="3122"/>
      <c r="EA114" s="3122"/>
      <c r="EB114" s="3122"/>
      <c r="EC114" s="3122"/>
      <c r="ED114" s="3122"/>
      <c r="EE114" s="3122"/>
      <c r="EF114" s="3122"/>
      <c r="EG114" s="3122"/>
      <c r="EH114" s="3122"/>
      <c r="EI114" s="3122"/>
      <c r="EJ114" s="3122"/>
      <c r="EK114" s="3122"/>
      <c r="EL114" s="3122"/>
      <c r="EM114" s="3122"/>
      <c r="EN114" s="3122"/>
      <c r="EO114" s="3122"/>
      <c r="EP114" s="3122"/>
      <c r="EQ114" s="3122"/>
      <c r="ER114" s="3122"/>
      <c r="ES114" s="3122"/>
      <c r="ET114" s="3122"/>
      <c r="EU114" s="3122"/>
      <c r="EV114" s="3122"/>
      <c r="EW114" s="3122"/>
      <c r="EX114" s="3122"/>
      <c r="EY114" s="3122"/>
      <c r="EZ114" s="3122"/>
      <c r="FA114" s="3122"/>
      <c r="FB114" s="3122"/>
      <c r="FC114" s="3122"/>
      <c r="FD114" s="3122"/>
      <c r="FE114" s="3122"/>
      <c r="FF114" s="3122"/>
      <c r="FG114" s="3122"/>
      <c r="FH114" s="3122"/>
      <c r="FI114" s="3122"/>
      <c r="FJ114" s="4176"/>
    </row>
    <row r="115" spans="1:166" s="1801" customFormat="1" ht="15" customHeight="1">
      <c r="A115" s="15974"/>
      <c r="B115" s="15994"/>
      <c r="C115" s="15904" t="s">
        <v>836</v>
      </c>
      <c r="D115" s="15904" t="s">
        <v>7977</v>
      </c>
      <c r="E115" s="15155" t="s">
        <v>5004</v>
      </c>
      <c r="F115" s="15155" t="s">
        <v>837</v>
      </c>
      <c r="G115" s="15155">
        <v>0</v>
      </c>
      <c r="H115" s="15155">
        <v>1</v>
      </c>
      <c r="I115" s="15155">
        <v>5</v>
      </c>
      <c r="J115" s="15155">
        <v>10</v>
      </c>
      <c r="K115" s="15155" t="s">
        <v>700</v>
      </c>
      <c r="L115" s="4112" t="s">
        <v>10066</v>
      </c>
      <c r="M115" s="4112" t="s">
        <v>298</v>
      </c>
      <c r="N115" s="4112"/>
      <c r="O115" s="3104">
        <v>35</v>
      </c>
      <c r="P115" s="3104">
        <v>36</v>
      </c>
      <c r="Q115" s="3104">
        <v>37</v>
      </c>
      <c r="R115" s="3104">
        <v>38</v>
      </c>
      <c r="S115" s="3104">
        <v>39</v>
      </c>
      <c r="T115" s="3104">
        <v>41</v>
      </c>
      <c r="U115" s="4778">
        <v>42</v>
      </c>
      <c r="V115" s="3104">
        <v>43</v>
      </c>
      <c r="W115" s="3104">
        <v>44</v>
      </c>
      <c r="X115" s="3104">
        <v>46</v>
      </c>
      <c r="Y115" s="3104">
        <v>47</v>
      </c>
      <c r="Z115" s="4150">
        <v>448</v>
      </c>
      <c r="AA115" s="3104"/>
      <c r="AB115" s="4650">
        <v>1</v>
      </c>
      <c r="AC115" s="3165" t="s">
        <v>3929</v>
      </c>
      <c r="AD115" s="3165" t="s">
        <v>3919</v>
      </c>
      <c r="AE115" s="4651"/>
      <c r="AF115" s="3108">
        <v>2805000</v>
      </c>
      <c r="AG115" s="3108">
        <v>2805000</v>
      </c>
      <c r="AH115" s="4651">
        <v>0</v>
      </c>
      <c r="AI115" s="4651">
        <v>0</v>
      </c>
      <c r="AJ115" s="4651">
        <v>14</v>
      </c>
      <c r="AK115" s="3122"/>
      <c r="AL115" s="3122"/>
      <c r="AM115" s="4651" t="s">
        <v>2891</v>
      </c>
      <c r="AN115" s="3122"/>
      <c r="AO115" s="3122"/>
      <c r="AP115" s="3122"/>
      <c r="AQ115" s="3122"/>
      <c r="AR115" s="3122"/>
      <c r="AS115" s="3122"/>
      <c r="AT115" s="3122"/>
      <c r="AU115" s="3122"/>
      <c r="AV115" s="3122"/>
      <c r="AW115" s="4651" t="s">
        <v>2891</v>
      </c>
      <c r="AX115" s="3122"/>
      <c r="AY115" s="3122"/>
      <c r="AZ115" s="3122"/>
      <c r="BA115" s="3122"/>
      <c r="BB115" s="3122"/>
      <c r="BC115" s="3122"/>
      <c r="BD115" s="3122"/>
      <c r="BE115" s="3122"/>
      <c r="BF115" s="3122"/>
      <c r="BG115" s="3122"/>
      <c r="BH115" s="3122"/>
      <c r="BI115" s="3122"/>
      <c r="BJ115" s="3165" t="s">
        <v>3921</v>
      </c>
      <c r="BK115" s="3122"/>
      <c r="BL115" s="3122"/>
      <c r="BM115" s="3122"/>
      <c r="BN115" s="3122"/>
      <c r="BO115" s="3122"/>
      <c r="BP115" s="3122"/>
      <c r="BQ115" s="3122"/>
      <c r="BR115" s="3122"/>
      <c r="BS115" s="3122"/>
      <c r="BT115" s="3104" t="s">
        <v>9884</v>
      </c>
      <c r="BU115" s="3109">
        <v>0</v>
      </c>
      <c r="BV115" s="3104">
        <v>7</v>
      </c>
      <c r="BW115" s="3110">
        <v>0</v>
      </c>
      <c r="BX115" s="16020"/>
      <c r="BY115" s="3104"/>
      <c r="BZ115" s="3104"/>
      <c r="CA115" s="3104"/>
      <c r="CB115" s="2702"/>
      <c r="CC115" s="2702"/>
      <c r="CD115" s="2702"/>
      <c r="CE115" s="2702"/>
      <c r="CF115" s="3116"/>
      <c r="CG115" s="3116"/>
      <c r="CH115" s="3116"/>
      <c r="CI115" s="3116"/>
      <c r="CJ115" s="3116"/>
      <c r="CK115" s="3116"/>
      <c r="CL115" s="3116"/>
      <c r="CM115" s="3116"/>
      <c r="CN115" s="3116"/>
      <c r="CO115" s="3116"/>
      <c r="CP115" s="3116"/>
      <c r="CQ115" s="3116"/>
      <c r="CR115" s="3116"/>
      <c r="CS115" s="4780"/>
      <c r="CT115" s="3116"/>
      <c r="CU115" s="3116"/>
      <c r="CV115" s="3116"/>
      <c r="CW115" s="3116"/>
      <c r="CX115" s="3116"/>
      <c r="CY115" s="3116"/>
      <c r="CZ115" s="3116"/>
      <c r="DA115" s="3116"/>
      <c r="DB115" s="3116"/>
      <c r="DC115" s="3116"/>
      <c r="DD115" s="3116"/>
      <c r="DE115" s="3116"/>
      <c r="DF115" s="3116"/>
      <c r="DG115" s="3116"/>
      <c r="DH115" s="3116"/>
      <c r="DI115" s="3116"/>
      <c r="DJ115" s="3116"/>
      <c r="DK115" s="3116"/>
      <c r="DL115" s="3116"/>
      <c r="DM115" s="3116"/>
      <c r="DN115" s="3116"/>
      <c r="DO115" s="4838"/>
      <c r="DQ115" s="4971"/>
      <c r="DR115" s="3122"/>
      <c r="DS115" s="3122"/>
      <c r="DT115" s="3122"/>
      <c r="DU115" s="3122"/>
      <c r="DV115" s="3122"/>
      <c r="DW115" s="3122"/>
      <c r="DX115" s="3122"/>
      <c r="DY115" s="3122"/>
      <c r="DZ115" s="3122"/>
      <c r="EA115" s="3122"/>
      <c r="EB115" s="3122"/>
      <c r="EC115" s="3122"/>
      <c r="ED115" s="3122"/>
      <c r="EE115" s="3122"/>
      <c r="EF115" s="3122"/>
      <c r="EG115" s="3122"/>
      <c r="EH115" s="3122"/>
      <c r="EI115" s="3122"/>
      <c r="EJ115" s="3122"/>
      <c r="EK115" s="3122"/>
      <c r="EL115" s="3122"/>
      <c r="EM115" s="3122"/>
      <c r="EN115" s="3122"/>
      <c r="EO115" s="3122"/>
      <c r="EP115" s="3122"/>
      <c r="EQ115" s="3122"/>
      <c r="ER115" s="3122"/>
      <c r="ES115" s="3122"/>
      <c r="ET115" s="3122"/>
      <c r="EU115" s="3122"/>
      <c r="EV115" s="3122"/>
      <c r="EW115" s="3122"/>
      <c r="EX115" s="3122"/>
      <c r="EY115" s="3122"/>
      <c r="EZ115" s="3122"/>
      <c r="FA115" s="3122"/>
      <c r="FB115" s="3122"/>
      <c r="FC115" s="3122"/>
      <c r="FD115" s="3122"/>
      <c r="FE115" s="3122"/>
      <c r="FF115" s="3122"/>
      <c r="FG115" s="3122"/>
      <c r="FH115" s="3122"/>
      <c r="FI115" s="3122"/>
      <c r="FJ115" s="4176"/>
    </row>
    <row r="116" spans="1:166" s="1801" customFormat="1" ht="15" customHeight="1">
      <c r="A116" s="15974"/>
      <c r="B116" s="15994"/>
      <c r="C116" s="15904"/>
      <c r="D116" s="15904"/>
      <c r="E116" s="15155"/>
      <c r="F116" s="15155"/>
      <c r="G116" s="15155"/>
      <c r="H116" s="15155"/>
      <c r="I116" s="15155"/>
      <c r="J116" s="15155"/>
      <c r="K116" s="15155"/>
      <c r="L116" s="4112"/>
      <c r="M116" s="4112"/>
      <c r="N116" s="4112" t="s">
        <v>507</v>
      </c>
      <c r="O116" s="3104"/>
      <c r="P116" s="3104"/>
      <c r="Q116" s="3104"/>
      <c r="R116" s="3104"/>
      <c r="S116" s="3104"/>
      <c r="T116" s="3104"/>
      <c r="U116" s="4778"/>
      <c r="V116" s="3104"/>
      <c r="W116" s="3104"/>
      <c r="X116" s="3104"/>
      <c r="Y116" s="3104"/>
      <c r="Z116" s="4150"/>
      <c r="AA116" s="3104"/>
      <c r="AB116" s="4650"/>
      <c r="AC116" s="3165"/>
      <c r="AD116" s="3165"/>
      <c r="AE116" s="4651"/>
      <c r="AF116" s="3108"/>
      <c r="AG116" s="3108"/>
      <c r="AH116" s="4651"/>
      <c r="AI116" s="4651"/>
      <c r="AJ116" s="4651"/>
      <c r="AK116" s="3122"/>
      <c r="AL116" s="3122"/>
      <c r="AM116" s="4651"/>
      <c r="AN116" s="3122"/>
      <c r="AO116" s="3122"/>
      <c r="AP116" s="3122"/>
      <c r="AQ116" s="3122"/>
      <c r="AR116" s="3122"/>
      <c r="AS116" s="3122"/>
      <c r="AT116" s="3122"/>
      <c r="AU116" s="3122"/>
      <c r="AV116" s="3122"/>
      <c r="AW116" s="4651"/>
      <c r="AX116" s="3122"/>
      <c r="AY116" s="3122"/>
      <c r="AZ116" s="3122"/>
      <c r="BA116" s="3122"/>
      <c r="BB116" s="3122"/>
      <c r="BC116" s="3122"/>
      <c r="BD116" s="3122"/>
      <c r="BE116" s="3122"/>
      <c r="BF116" s="3122"/>
      <c r="BG116" s="3122"/>
      <c r="BH116" s="3122"/>
      <c r="BI116" s="3122"/>
      <c r="BJ116" s="3165"/>
      <c r="BK116" s="3122"/>
      <c r="BL116" s="3122"/>
      <c r="BM116" s="3122"/>
      <c r="BN116" s="3122"/>
      <c r="BO116" s="3122"/>
      <c r="BP116" s="3122"/>
      <c r="BQ116" s="3122"/>
      <c r="BR116" s="3122"/>
      <c r="BS116" s="3122"/>
      <c r="BT116" s="3104"/>
      <c r="BU116" s="3109"/>
      <c r="BV116" s="3104"/>
      <c r="BW116" s="3110"/>
      <c r="BX116" s="16020"/>
      <c r="BY116" s="3104"/>
      <c r="BZ116" s="3104"/>
      <c r="CA116" s="3104"/>
      <c r="CB116" s="2702"/>
      <c r="CC116" s="2702"/>
      <c r="CD116" s="2702"/>
      <c r="CE116" s="2702"/>
      <c r="CF116" s="3116"/>
      <c r="CG116" s="3116"/>
      <c r="CH116" s="3116"/>
      <c r="CI116" s="3116"/>
      <c r="CJ116" s="3116"/>
      <c r="CK116" s="3116"/>
      <c r="CL116" s="3116"/>
      <c r="CM116" s="3116"/>
      <c r="CN116" s="3116"/>
      <c r="CO116" s="3116"/>
      <c r="CP116" s="3116"/>
      <c r="CQ116" s="3116"/>
      <c r="CR116" s="3116"/>
      <c r="CS116" s="4780"/>
      <c r="CT116" s="3116"/>
      <c r="CU116" s="3116"/>
      <c r="CV116" s="3116"/>
      <c r="CW116" s="3116"/>
      <c r="CX116" s="3116"/>
      <c r="CY116" s="3116"/>
      <c r="CZ116" s="3116"/>
      <c r="DA116" s="3116"/>
      <c r="DB116" s="3116"/>
      <c r="DC116" s="3116"/>
      <c r="DD116" s="3116"/>
      <c r="DE116" s="3116"/>
      <c r="DF116" s="3116"/>
      <c r="DG116" s="3116"/>
      <c r="DH116" s="3116"/>
      <c r="DI116" s="3116"/>
      <c r="DJ116" s="3116"/>
      <c r="DK116" s="3116"/>
      <c r="DL116" s="3116"/>
      <c r="DM116" s="3116"/>
      <c r="DN116" s="3116"/>
      <c r="DO116" s="4838"/>
      <c r="DQ116" s="4971"/>
      <c r="DR116" s="3122"/>
      <c r="DS116" s="3122"/>
      <c r="DT116" s="3122"/>
      <c r="DU116" s="3122"/>
      <c r="DV116" s="3122"/>
      <c r="DW116" s="3122"/>
      <c r="DX116" s="3122"/>
      <c r="DY116" s="3122"/>
      <c r="DZ116" s="3122"/>
      <c r="EA116" s="3122"/>
      <c r="EB116" s="3122"/>
      <c r="EC116" s="3122"/>
      <c r="ED116" s="3122"/>
      <c r="EE116" s="3122"/>
      <c r="EF116" s="3122"/>
      <c r="EG116" s="3122"/>
      <c r="EH116" s="3122"/>
      <c r="EI116" s="3122"/>
      <c r="EJ116" s="3122"/>
      <c r="EK116" s="3122"/>
      <c r="EL116" s="3122"/>
      <c r="EM116" s="3122"/>
      <c r="EN116" s="3122"/>
      <c r="EO116" s="3122"/>
      <c r="EP116" s="3122"/>
      <c r="EQ116" s="3122"/>
      <c r="ER116" s="3122"/>
      <c r="ES116" s="3122"/>
      <c r="ET116" s="3122"/>
      <c r="EU116" s="3122"/>
      <c r="EV116" s="3122"/>
      <c r="EW116" s="3122"/>
      <c r="EX116" s="3122"/>
      <c r="EY116" s="3122"/>
      <c r="EZ116" s="3122"/>
      <c r="FA116" s="3122"/>
      <c r="FB116" s="3122"/>
      <c r="FC116" s="3122"/>
      <c r="FD116" s="3122"/>
      <c r="FE116" s="3122"/>
      <c r="FF116" s="3122"/>
      <c r="FG116" s="3122"/>
      <c r="FH116" s="3122"/>
      <c r="FI116" s="3122"/>
      <c r="FJ116" s="4176"/>
    </row>
    <row r="117" spans="1:166" s="1801" customFormat="1" ht="15" customHeight="1">
      <c r="A117" s="15974"/>
      <c r="B117" s="15994"/>
      <c r="C117" s="15904"/>
      <c r="D117" s="15904" t="s">
        <v>7978</v>
      </c>
      <c r="E117" s="15155" t="s">
        <v>5005</v>
      </c>
      <c r="F117" s="15155" t="s">
        <v>838</v>
      </c>
      <c r="G117" s="15155">
        <v>0</v>
      </c>
      <c r="H117" s="15155">
        <v>1</v>
      </c>
      <c r="I117" s="15155">
        <v>1</v>
      </c>
      <c r="J117" s="15155">
        <v>1</v>
      </c>
      <c r="K117" s="15155" t="s">
        <v>839</v>
      </c>
      <c r="L117" s="4112" t="s">
        <v>10066</v>
      </c>
      <c r="M117" s="4112" t="s">
        <v>298</v>
      </c>
      <c r="N117" s="4112"/>
      <c r="O117" s="3104">
        <v>20</v>
      </c>
      <c r="P117" s="3104">
        <v>21</v>
      </c>
      <c r="Q117" s="3104">
        <v>21</v>
      </c>
      <c r="R117" s="3104">
        <v>22</v>
      </c>
      <c r="S117" s="3104">
        <v>23</v>
      </c>
      <c r="T117" s="3104">
        <v>23</v>
      </c>
      <c r="U117" s="4778">
        <v>24</v>
      </c>
      <c r="V117" s="3104">
        <v>25</v>
      </c>
      <c r="W117" s="3104">
        <v>25</v>
      </c>
      <c r="X117" s="3104">
        <v>26</v>
      </c>
      <c r="Y117" s="3104">
        <v>27</v>
      </c>
      <c r="Z117" s="4150">
        <v>257</v>
      </c>
      <c r="AA117" s="3104"/>
      <c r="AB117" s="4650">
        <v>1</v>
      </c>
      <c r="AC117" s="3165" t="s">
        <v>2989</v>
      </c>
      <c r="AD117" s="3165" t="s">
        <v>2990</v>
      </c>
      <c r="AE117" s="4651"/>
      <c r="AF117" s="3108">
        <v>12080946.58909091</v>
      </c>
      <c r="AG117" s="3108">
        <v>9665302.9527272694</v>
      </c>
      <c r="AH117" s="4651">
        <v>2415643.6363636362</v>
      </c>
      <c r="AI117" s="4651"/>
      <c r="AJ117" s="4651">
        <v>303</v>
      </c>
      <c r="AK117" s="3122">
        <v>98</v>
      </c>
      <c r="AL117" s="3122">
        <v>205</v>
      </c>
      <c r="AM117" s="4651">
        <v>227</v>
      </c>
      <c r="AN117" s="3122">
        <v>15</v>
      </c>
      <c r="AO117" s="3122">
        <v>0</v>
      </c>
      <c r="AP117" s="3122">
        <v>1</v>
      </c>
      <c r="AQ117" s="3122">
        <v>150</v>
      </c>
      <c r="AR117" s="3122">
        <v>20</v>
      </c>
      <c r="AS117" s="3122">
        <v>43</v>
      </c>
      <c r="AT117" s="3122">
        <v>84</v>
      </c>
      <c r="AU117" s="3122">
        <v>5</v>
      </c>
      <c r="AV117" s="3122">
        <v>241</v>
      </c>
      <c r="AW117" s="4651">
        <v>62</v>
      </c>
      <c r="AX117" s="3122">
        <v>0</v>
      </c>
      <c r="AY117" s="3122">
        <v>0</v>
      </c>
      <c r="AZ117" s="3122">
        <v>0</v>
      </c>
      <c r="BA117" s="3122">
        <v>0</v>
      </c>
      <c r="BB117" s="3122">
        <v>0</v>
      </c>
      <c r="BC117" s="3122">
        <v>0</v>
      </c>
      <c r="BD117" s="3122">
        <v>242</v>
      </c>
      <c r="BE117" s="3122">
        <v>0</v>
      </c>
      <c r="BF117" s="3122">
        <v>0</v>
      </c>
      <c r="BG117" s="3122">
        <v>0</v>
      </c>
      <c r="BH117" s="3122">
        <v>0</v>
      </c>
      <c r="BI117" s="3122">
        <v>0</v>
      </c>
      <c r="BJ117" s="3165"/>
      <c r="BK117" s="3122"/>
      <c r="BL117" s="3122"/>
      <c r="BM117" s="3122"/>
      <c r="BN117" s="3122"/>
      <c r="BO117" s="3122"/>
      <c r="BP117" s="3122"/>
      <c r="BQ117" s="3122"/>
      <c r="BR117" s="3122"/>
      <c r="BS117" s="3122"/>
      <c r="BT117" s="3104">
        <v>1</v>
      </c>
      <c r="BU117" s="3109">
        <v>1</v>
      </c>
      <c r="BV117" s="3104">
        <v>1</v>
      </c>
      <c r="BW117" s="16025">
        <v>1</v>
      </c>
      <c r="BX117" s="16020"/>
      <c r="BY117" s="3104" t="s">
        <v>9896</v>
      </c>
      <c r="BZ117" s="3104"/>
      <c r="CA117" s="3104"/>
      <c r="CB117" s="2702">
        <v>9617306.8854545467</v>
      </c>
      <c r="CC117" s="2702">
        <v>7120841.4309090916</v>
      </c>
      <c r="CD117" s="2702">
        <v>2496465.4545454546</v>
      </c>
      <c r="CE117" s="2702">
        <v>0</v>
      </c>
      <c r="CF117" s="3116">
        <v>445</v>
      </c>
      <c r="CG117" s="3116">
        <v>190</v>
      </c>
      <c r="CH117" s="3116">
        <v>255</v>
      </c>
      <c r="CI117" s="3116">
        <v>434</v>
      </c>
      <c r="CJ117" s="3116">
        <v>11</v>
      </c>
      <c r="CK117" s="3116">
        <v>1</v>
      </c>
      <c r="CL117" s="3116">
        <v>5</v>
      </c>
      <c r="CM117" s="3116">
        <v>22</v>
      </c>
      <c r="CN117" s="3116">
        <v>115</v>
      </c>
      <c r="CO117" s="3116">
        <v>121</v>
      </c>
      <c r="CP117" s="3116">
        <v>136</v>
      </c>
      <c r="CQ117" s="3116">
        <v>34</v>
      </c>
      <c r="CR117" s="3116">
        <v>410</v>
      </c>
      <c r="CS117" s="4780">
        <v>24</v>
      </c>
      <c r="CT117" s="3116"/>
      <c r="CU117" s="3116"/>
      <c r="CV117" s="3116"/>
      <c r="CW117" s="3116"/>
      <c r="CX117" s="3116"/>
      <c r="CY117" s="3116"/>
      <c r="CZ117" s="3116"/>
      <c r="DA117" s="3116"/>
      <c r="DB117" s="3116"/>
      <c r="DC117" s="3116"/>
      <c r="DD117" s="3116"/>
      <c r="DE117" s="3116"/>
      <c r="DF117" s="3116"/>
      <c r="DG117" s="3116"/>
      <c r="DH117" s="3116"/>
      <c r="DI117" s="3116"/>
      <c r="DJ117" s="3116"/>
      <c r="DK117" s="3116"/>
      <c r="DL117" s="3116"/>
      <c r="DM117" s="3116"/>
      <c r="DN117" s="3116"/>
      <c r="DO117" s="4838"/>
      <c r="DQ117" s="4971"/>
      <c r="DR117" s="3122"/>
      <c r="DS117" s="3122"/>
      <c r="DT117" s="3122"/>
      <c r="DU117" s="3122"/>
      <c r="DV117" s="3122"/>
      <c r="DW117" s="3122"/>
      <c r="DX117" s="3122"/>
      <c r="DY117" s="3122"/>
      <c r="DZ117" s="3122"/>
      <c r="EA117" s="3122"/>
      <c r="EB117" s="3122"/>
      <c r="EC117" s="3122"/>
      <c r="ED117" s="3122"/>
      <c r="EE117" s="3122"/>
      <c r="EF117" s="3122"/>
      <c r="EG117" s="3122"/>
      <c r="EH117" s="3122"/>
      <c r="EI117" s="3122"/>
      <c r="EJ117" s="3122"/>
      <c r="EK117" s="3122"/>
      <c r="EL117" s="3122"/>
      <c r="EM117" s="3122"/>
      <c r="EN117" s="3122"/>
      <c r="EO117" s="3122"/>
      <c r="EP117" s="3122"/>
      <c r="EQ117" s="3122"/>
      <c r="ER117" s="3122"/>
      <c r="ES117" s="3122"/>
      <c r="ET117" s="3122"/>
      <c r="EU117" s="3122"/>
      <c r="EV117" s="3122"/>
      <c r="EW117" s="3122"/>
      <c r="EX117" s="3122"/>
      <c r="EY117" s="3122"/>
      <c r="EZ117" s="3122"/>
      <c r="FA117" s="3122"/>
      <c r="FB117" s="3122"/>
      <c r="FC117" s="3122"/>
      <c r="FD117" s="3122"/>
      <c r="FE117" s="3122"/>
      <c r="FF117" s="3122"/>
      <c r="FG117" s="3122"/>
      <c r="FH117" s="3122"/>
      <c r="FI117" s="3122"/>
      <c r="FJ117" s="4176"/>
    </row>
    <row r="118" spans="1:166" s="1801" customFormat="1" ht="15" customHeight="1">
      <c r="A118" s="15974"/>
      <c r="B118" s="15994"/>
      <c r="C118" s="15904"/>
      <c r="D118" s="15904"/>
      <c r="E118" s="15155"/>
      <c r="F118" s="15155"/>
      <c r="G118" s="15155"/>
      <c r="H118" s="15155"/>
      <c r="I118" s="15155"/>
      <c r="J118" s="15155"/>
      <c r="K118" s="15155"/>
      <c r="L118" s="4112" t="s">
        <v>10063</v>
      </c>
      <c r="M118" s="4112"/>
      <c r="N118" s="4112" t="s">
        <v>107</v>
      </c>
      <c r="O118" s="3104"/>
      <c r="P118" s="3104"/>
      <c r="Q118" s="3104"/>
      <c r="R118" s="3104"/>
      <c r="S118" s="3104"/>
      <c r="T118" s="3104"/>
      <c r="U118" s="4778"/>
      <c r="V118" s="3104"/>
      <c r="W118" s="3104"/>
      <c r="X118" s="3104"/>
      <c r="Y118" s="3104"/>
      <c r="Z118" s="4150"/>
      <c r="AA118" s="3104"/>
      <c r="AB118" s="4650"/>
      <c r="AC118" s="3165"/>
      <c r="AD118" s="3165"/>
      <c r="AE118" s="4651"/>
      <c r="AF118" s="3108"/>
      <c r="AG118" s="3108"/>
      <c r="AH118" s="4651"/>
      <c r="AI118" s="4651"/>
      <c r="AJ118" s="4651"/>
      <c r="AK118" s="3122"/>
      <c r="AL118" s="3122"/>
      <c r="AM118" s="4651"/>
      <c r="AN118" s="3122"/>
      <c r="AO118" s="3122"/>
      <c r="AP118" s="3122"/>
      <c r="AQ118" s="3122"/>
      <c r="AR118" s="3122"/>
      <c r="AS118" s="3122"/>
      <c r="AT118" s="3122"/>
      <c r="AU118" s="3122"/>
      <c r="AV118" s="3122"/>
      <c r="AW118" s="4651"/>
      <c r="AX118" s="3122"/>
      <c r="AY118" s="3122"/>
      <c r="AZ118" s="3122"/>
      <c r="BA118" s="3122"/>
      <c r="BB118" s="3122"/>
      <c r="BC118" s="3122"/>
      <c r="BD118" s="3122"/>
      <c r="BE118" s="3122"/>
      <c r="BF118" s="3122"/>
      <c r="BG118" s="3122"/>
      <c r="BH118" s="3122"/>
      <c r="BI118" s="3122"/>
      <c r="BJ118" s="3165"/>
      <c r="BK118" s="3122"/>
      <c r="BL118" s="3122"/>
      <c r="BM118" s="3122"/>
      <c r="BN118" s="3122"/>
      <c r="BO118" s="3122"/>
      <c r="BP118" s="3122"/>
      <c r="BQ118" s="3122"/>
      <c r="BR118" s="3122"/>
      <c r="BS118" s="3122"/>
      <c r="BT118" s="3104"/>
      <c r="BU118" s="3109"/>
      <c r="BV118" s="3104"/>
      <c r="BW118" s="16025"/>
      <c r="BX118" s="16020"/>
      <c r="BY118" s="3104"/>
      <c r="BZ118" s="3104"/>
      <c r="CA118" s="3104"/>
      <c r="CB118" s="2702"/>
      <c r="CC118" s="2702"/>
      <c r="CD118" s="2702"/>
      <c r="CE118" s="2702"/>
      <c r="CF118" s="3116"/>
      <c r="CG118" s="3116"/>
      <c r="CH118" s="3116"/>
      <c r="CI118" s="3116"/>
      <c r="CJ118" s="3116"/>
      <c r="CK118" s="3116"/>
      <c r="CL118" s="3116"/>
      <c r="CM118" s="3116"/>
      <c r="CN118" s="3116"/>
      <c r="CO118" s="3116"/>
      <c r="CP118" s="3116"/>
      <c r="CQ118" s="3116"/>
      <c r="CR118" s="3116"/>
      <c r="CS118" s="4780"/>
      <c r="CT118" s="3116"/>
      <c r="CU118" s="3116"/>
      <c r="CV118" s="3116"/>
      <c r="CW118" s="3116"/>
      <c r="CX118" s="3116"/>
      <c r="CY118" s="3116"/>
      <c r="CZ118" s="3116"/>
      <c r="DA118" s="3116"/>
      <c r="DB118" s="3116"/>
      <c r="DC118" s="3116"/>
      <c r="DD118" s="3116"/>
      <c r="DE118" s="3116"/>
      <c r="DF118" s="3116"/>
      <c r="DG118" s="3116"/>
      <c r="DH118" s="3116"/>
      <c r="DI118" s="3116"/>
      <c r="DJ118" s="3116"/>
      <c r="DK118" s="3116"/>
      <c r="DL118" s="3116"/>
      <c r="DM118" s="3116"/>
      <c r="DN118" s="3116"/>
      <c r="DO118" s="4838"/>
      <c r="DQ118" s="4971"/>
      <c r="DR118" s="3122"/>
      <c r="DS118" s="3122"/>
      <c r="DT118" s="3122"/>
      <c r="DU118" s="3122"/>
      <c r="DV118" s="3122"/>
      <c r="DW118" s="3122"/>
      <c r="DX118" s="3122"/>
      <c r="DY118" s="3122"/>
      <c r="DZ118" s="3122"/>
      <c r="EA118" s="3122"/>
      <c r="EB118" s="3122"/>
      <c r="EC118" s="3122"/>
      <c r="ED118" s="3122"/>
      <c r="EE118" s="3122"/>
      <c r="EF118" s="3122"/>
      <c r="EG118" s="3122"/>
      <c r="EH118" s="3122"/>
      <c r="EI118" s="3122"/>
      <c r="EJ118" s="3122"/>
      <c r="EK118" s="3122"/>
      <c r="EL118" s="3122"/>
      <c r="EM118" s="3122"/>
      <c r="EN118" s="3122"/>
      <c r="EO118" s="3122"/>
      <c r="EP118" s="3122"/>
      <c r="EQ118" s="3122"/>
      <c r="ER118" s="3122"/>
      <c r="ES118" s="3122"/>
      <c r="ET118" s="3122"/>
      <c r="EU118" s="3122"/>
      <c r="EV118" s="3122"/>
      <c r="EW118" s="3122"/>
      <c r="EX118" s="3122"/>
      <c r="EY118" s="3122"/>
      <c r="EZ118" s="3122"/>
      <c r="FA118" s="3122"/>
      <c r="FB118" s="3122"/>
      <c r="FC118" s="3122"/>
      <c r="FD118" s="3122"/>
      <c r="FE118" s="3122"/>
      <c r="FF118" s="3122"/>
      <c r="FG118" s="3122"/>
      <c r="FH118" s="3122"/>
      <c r="FI118" s="3122"/>
      <c r="FJ118" s="4176"/>
    </row>
    <row r="119" spans="1:166" s="1801" customFormat="1" ht="15" customHeight="1" thickBot="1">
      <c r="A119" s="15975"/>
      <c r="B119" s="15995"/>
      <c r="C119" s="15905"/>
      <c r="D119" s="15905"/>
      <c r="E119" s="15906"/>
      <c r="F119" s="15906"/>
      <c r="G119" s="15906"/>
      <c r="H119" s="15906"/>
      <c r="I119" s="15906"/>
      <c r="J119" s="15906"/>
      <c r="K119" s="15906"/>
      <c r="L119" s="1983" t="s">
        <v>10199</v>
      </c>
      <c r="M119" s="1983"/>
      <c r="N119" s="1983" t="s">
        <v>507</v>
      </c>
      <c r="O119" s="3011"/>
      <c r="P119" s="3011"/>
      <c r="Q119" s="3011"/>
      <c r="R119" s="3011"/>
      <c r="S119" s="3011"/>
      <c r="T119" s="3011"/>
      <c r="U119" s="4879"/>
      <c r="V119" s="3011"/>
      <c r="W119" s="3011"/>
      <c r="X119" s="3011"/>
      <c r="Y119" s="3011"/>
      <c r="Z119" s="4151"/>
      <c r="AA119" s="3011"/>
      <c r="AB119" s="4880"/>
      <c r="AC119" s="3166"/>
      <c r="AD119" s="3166"/>
      <c r="AE119" s="1981"/>
      <c r="AF119" s="4881"/>
      <c r="AG119" s="4881"/>
      <c r="AH119" s="4881"/>
      <c r="AI119" s="4881"/>
      <c r="AJ119" s="4882"/>
      <c r="AK119" s="4882"/>
      <c r="AL119" s="4882"/>
      <c r="AM119" s="4882"/>
      <c r="AN119" s="4882"/>
      <c r="AO119" s="4882"/>
      <c r="AP119" s="4882"/>
      <c r="AQ119" s="4882"/>
      <c r="AR119" s="4882"/>
      <c r="AS119" s="4882"/>
      <c r="AT119" s="4882"/>
      <c r="AU119" s="4882"/>
      <c r="AV119" s="4882"/>
      <c r="AW119" s="4882"/>
      <c r="AX119" s="4882"/>
      <c r="AY119" s="4882"/>
      <c r="AZ119" s="4882"/>
      <c r="BA119" s="4882"/>
      <c r="BB119" s="4882"/>
      <c r="BC119" s="4882"/>
      <c r="BD119" s="4882"/>
      <c r="BE119" s="4882"/>
      <c r="BF119" s="4882"/>
      <c r="BG119" s="4882"/>
      <c r="BH119" s="4882"/>
      <c r="BI119" s="4882"/>
      <c r="BJ119" s="1981"/>
      <c r="BK119" s="1981"/>
      <c r="BL119" s="1981"/>
      <c r="BM119" s="1981"/>
      <c r="BN119" s="1981"/>
      <c r="BO119" s="1981"/>
      <c r="BP119" s="1981"/>
      <c r="BQ119" s="1981"/>
      <c r="BR119" s="1981"/>
      <c r="BS119" s="1981"/>
      <c r="BT119" s="1982"/>
      <c r="BU119" s="1982"/>
      <c r="BV119" s="1983"/>
      <c r="BW119" s="16026"/>
      <c r="BX119" s="16021"/>
      <c r="BY119" s="1527"/>
      <c r="BZ119" s="1981"/>
      <c r="CA119" s="1981"/>
      <c r="CB119" s="4883"/>
      <c r="CC119" s="4884"/>
      <c r="CD119" s="4884"/>
      <c r="CE119" s="4885"/>
      <c r="CF119" s="4885"/>
      <c r="CG119" s="4885"/>
      <c r="CH119" s="4885"/>
      <c r="CI119" s="4885"/>
      <c r="CJ119" s="4885"/>
      <c r="CK119" s="4886"/>
      <c r="CL119" s="4886"/>
      <c r="CM119" s="4886"/>
      <c r="CN119" s="4886"/>
      <c r="CO119" s="4886"/>
      <c r="CP119" s="4886"/>
      <c r="CQ119" s="4886"/>
      <c r="CR119" s="4886"/>
      <c r="CS119" s="4887"/>
      <c r="CT119" s="4888"/>
      <c r="CU119" s="4888"/>
      <c r="CV119" s="4888"/>
      <c r="CW119" s="4888"/>
      <c r="CX119" s="4888"/>
      <c r="CY119" s="4888"/>
      <c r="CZ119" s="4888"/>
      <c r="DA119" s="4888"/>
      <c r="DB119" s="4888"/>
      <c r="DC119" s="4888"/>
      <c r="DD119" s="4888"/>
      <c r="DE119" s="4888"/>
      <c r="DF119" s="4888"/>
      <c r="DG119" s="4888"/>
      <c r="DH119" s="4888"/>
      <c r="DI119" s="1528"/>
      <c r="DJ119" s="1528"/>
      <c r="DK119" s="1528"/>
      <c r="DL119" s="1528"/>
      <c r="DM119" s="1528"/>
      <c r="DN119" s="1528"/>
      <c r="DO119" s="4889"/>
      <c r="DQ119" s="4975"/>
      <c r="DR119" s="1981"/>
      <c r="DS119" s="1981"/>
      <c r="DT119" s="1981"/>
      <c r="DU119" s="1981"/>
      <c r="DV119" s="1981"/>
      <c r="DW119" s="1981"/>
      <c r="DX119" s="1981"/>
      <c r="DY119" s="1981"/>
      <c r="DZ119" s="1981"/>
      <c r="EA119" s="1981"/>
      <c r="EB119" s="1981"/>
      <c r="EC119" s="1981"/>
      <c r="ED119" s="1981"/>
      <c r="EE119" s="1981"/>
      <c r="EF119" s="1981"/>
      <c r="EG119" s="1981"/>
      <c r="EH119" s="1981"/>
      <c r="EI119" s="1981"/>
      <c r="EJ119" s="1981"/>
      <c r="EK119" s="1981"/>
      <c r="EL119" s="1981"/>
      <c r="EM119" s="1981"/>
      <c r="EN119" s="1981"/>
      <c r="EO119" s="1981"/>
      <c r="EP119" s="1981"/>
      <c r="EQ119" s="1981"/>
      <c r="ER119" s="1981"/>
      <c r="ES119" s="1981"/>
      <c r="ET119" s="1981"/>
      <c r="EU119" s="1981"/>
      <c r="EV119" s="1981"/>
      <c r="EW119" s="1981"/>
      <c r="EX119" s="1981"/>
      <c r="EY119" s="1981"/>
      <c r="EZ119" s="1981"/>
      <c r="FA119" s="1981"/>
      <c r="FB119" s="1981"/>
      <c r="FC119" s="1981"/>
      <c r="FD119" s="1981"/>
      <c r="FE119" s="1981"/>
      <c r="FF119" s="1981"/>
      <c r="FG119" s="1981"/>
      <c r="FH119" s="1981"/>
      <c r="FI119" s="1981"/>
      <c r="FJ119" s="4467"/>
    </row>
    <row r="120" spans="1:166" s="1834" customFormat="1" ht="15" customHeight="1">
      <c r="A120" s="15967" t="s">
        <v>840</v>
      </c>
      <c r="B120" s="15970" t="s">
        <v>841</v>
      </c>
      <c r="C120" s="15572" t="s">
        <v>842</v>
      </c>
      <c r="D120" s="4123" t="s">
        <v>7979</v>
      </c>
      <c r="E120" s="4134" t="s">
        <v>5006</v>
      </c>
      <c r="F120" s="4134" t="s">
        <v>843</v>
      </c>
      <c r="G120" s="4134" t="s">
        <v>542</v>
      </c>
      <c r="H120" s="4134">
        <v>100</v>
      </c>
      <c r="I120" s="4134">
        <v>150</v>
      </c>
      <c r="J120" s="4134">
        <v>200</v>
      </c>
      <c r="K120" s="4134" t="s">
        <v>760</v>
      </c>
      <c r="L120" s="4134" t="s">
        <v>10072</v>
      </c>
      <c r="M120" s="4134" t="s">
        <v>844</v>
      </c>
      <c r="N120" s="4134"/>
      <c r="O120" s="4120">
        <v>30</v>
      </c>
      <c r="P120" s="4120">
        <v>31</v>
      </c>
      <c r="Q120" s="4120">
        <v>32</v>
      </c>
      <c r="R120" s="4120">
        <v>33</v>
      </c>
      <c r="S120" s="4120">
        <v>34</v>
      </c>
      <c r="T120" s="4120">
        <v>35</v>
      </c>
      <c r="U120" s="4847">
        <v>36</v>
      </c>
      <c r="V120" s="4120">
        <v>37</v>
      </c>
      <c r="W120" s="4120">
        <v>38</v>
      </c>
      <c r="X120" s="4120">
        <v>39</v>
      </c>
      <c r="Y120" s="4120">
        <v>40</v>
      </c>
      <c r="Z120" s="2146">
        <v>384</v>
      </c>
      <c r="AA120" s="4120"/>
      <c r="AB120" s="4121">
        <v>0.8</v>
      </c>
      <c r="AC120" s="4120" t="s">
        <v>4027</v>
      </c>
      <c r="AD120" s="4670" t="s">
        <v>4028</v>
      </c>
      <c r="AE120" s="3856"/>
      <c r="AF120" s="3856"/>
      <c r="AG120" s="3856"/>
      <c r="AH120" s="3856"/>
      <c r="AI120" s="3856"/>
      <c r="AJ120" s="4876"/>
      <c r="AK120" s="3856"/>
      <c r="AL120" s="3856"/>
      <c r="AM120" s="3856"/>
      <c r="AN120" s="3856"/>
      <c r="AO120" s="3856"/>
      <c r="AP120" s="3856"/>
      <c r="AQ120" s="3856"/>
      <c r="AR120" s="3856"/>
      <c r="AS120" s="3856"/>
      <c r="AT120" s="3856"/>
      <c r="AU120" s="3856"/>
      <c r="AV120" s="3856"/>
      <c r="AW120" s="3856"/>
      <c r="AX120" s="3856"/>
      <c r="AY120" s="3856"/>
      <c r="AZ120" s="3856"/>
      <c r="BA120" s="3856"/>
      <c r="BB120" s="3856"/>
      <c r="BC120" s="3856"/>
      <c r="BD120" s="3856"/>
      <c r="BE120" s="3856"/>
      <c r="BF120" s="3856"/>
      <c r="BG120" s="3856"/>
      <c r="BH120" s="3856"/>
      <c r="BI120" s="3856"/>
      <c r="BJ120" s="3856"/>
      <c r="BK120" s="3856"/>
      <c r="BL120" s="3856"/>
      <c r="BM120" s="3856"/>
      <c r="BN120" s="3856"/>
      <c r="BO120" s="3856"/>
      <c r="BP120" s="3856"/>
      <c r="BQ120" s="3856"/>
      <c r="BR120" s="3856"/>
      <c r="BS120" s="3856"/>
      <c r="BT120" s="4168">
        <v>20</v>
      </c>
      <c r="BU120" s="3218">
        <v>305</v>
      </c>
      <c r="BV120" s="4134">
        <f>+BT120+Z120</f>
        <v>404</v>
      </c>
      <c r="BW120" s="4132">
        <v>1</v>
      </c>
      <c r="BX120" s="16003">
        <f>AVERAGE(BW120:BW138)</f>
        <v>0.80833333333333324</v>
      </c>
      <c r="BY120" s="4877" t="s">
        <v>9006</v>
      </c>
      <c r="BZ120" s="4877" t="s">
        <v>9007</v>
      </c>
      <c r="CA120" s="4877" t="s">
        <v>9008</v>
      </c>
      <c r="CB120" s="4315"/>
      <c r="CC120" s="4315"/>
      <c r="CD120" s="4315"/>
      <c r="CE120" s="4315"/>
      <c r="CF120" s="4316">
        <v>20</v>
      </c>
      <c r="CG120" s="4316">
        <v>5</v>
      </c>
      <c r="CH120" s="4316">
        <v>15</v>
      </c>
      <c r="CI120" s="4316">
        <v>20</v>
      </c>
      <c r="CJ120" s="4316"/>
      <c r="CK120" s="4316"/>
      <c r="CL120" s="4316"/>
      <c r="CM120" s="4316"/>
      <c r="CN120" s="4316"/>
      <c r="CO120" s="4316"/>
      <c r="CP120" s="4316"/>
      <c r="CQ120" s="4316"/>
      <c r="CR120" s="4316"/>
      <c r="CS120" s="4317">
        <v>20</v>
      </c>
      <c r="CT120" s="4316"/>
      <c r="CU120" s="4316"/>
      <c r="CV120" s="4316"/>
      <c r="CW120" s="4316"/>
      <c r="CX120" s="4316"/>
      <c r="CY120" s="4316"/>
      <c r="CZ120" s="4316"/>
      <c r="DA120" s="4316"/>
      <c r="DB120" s="4316"/>
      <c r="DC120" s="4316"/>
      <c r="DD120" s="4316"/>
      <c r="DE120" s="4316"/>
      <c r="DF120" s="4114"/>
      <c r="DG120" s="4114"/>
      <c r="DH120" s="4114"/>
      <c r="DI120" s="4114"/>
      <c r="DJ120" s="4114"/>
      <c r="DK120" s="4114"/>
      <c r="DL120" s="4114"/>
      <c r="DM120" s="4114"/>
      <c r="DN120" s="4114"/>
      <c r="DO120" s="4878"/>
      <c r="DQ120" s="3855"/>
      <c r="DR120" s="3856"/>
      <c r="DS120" s="3856"/>
      <c r="DT120" s="3856"/>
      <c r="DU120" s="3856"/>
      <c r="DV120" s="3856"/>
      <c r="DW120" s="3856"/>
      <c r="DX120" s="3856"/>
      <c r="DY120" s="3856"/>
      <c r="DZ120" s="3856"/>
      <c r="EA120" s="3856"/>
      <c r="EB120" s="3856"/>
      <c r="EC120" s="3856"/>
      <c r="ED120" s="3856"/>
      <c r="EE120" s="3856"/>
      <c r="EF120" s="3856"/>
      <c r="EG120" s="3856"/>
      <c r="EH120" s="3856"/>
      <c r="EI120" s="3856"/>
      <c r="EJ120" s="3856"/>
      <c r="EK120" s="3856"/>
      <c r="EL120" s="3856"/>
      <c r="EM120" s="3856"/>
      <c r="EN120" s="3856"/>
      <c r="EO120" s="3856"/>
      <c r="EP120" s="3856"/>
      <c r="EQ120" s="3856"/>
      <c r="ER120" s="3856"/>
      <c r="ES120" s="3856"/>
      <c r="ET120" s="3856"/>
      <c r="EU120" s="3856"/>
      <c r="EV120" s="3856"/>
      <c r="EW120" s="3856"/>
      <c r="EX120" s="3856"/>
      <c r="EY120" s="3856"/>
      <c r="EZ120" s="3856"/>
      <c r="FA120" s="3856"/>
      <c r="FB120" s="3856"/>
      <c r="FC120" s="3856"/>
      <c r="FD120" s="3856"/>
      <c r="FE120" s="3856"/>
      <c r="FF120" s="3856"/>
      <c r="FG120" s="3856"/>
      <c r="FH120" s="3856"/>
      <c r="FI120" s="3856"/>
      <c r="FJ120" s="3857"/>
    </row>
    <row r="121" spans="1:166" s="1834" customFormat="1" ht="15" customHeight="1">
      <c r="A121" s="15968"/>
      <c r="B121" s="15971"/>
      <c r="C121" s="15617"/>
      <c r="D121" s="4129" t="s">
        <v>7980</v>
      </c>
      <c r="E121" s="4135" t="s">
        <v>5007</v>
      </c>
      <c r="F121" s="4135" t="s">
        <v>845</v>
      </c>
      <c r="G121" s="4135" t="s">
        <v>846</v>
      </c>
      <c r="H121" s="4654">
        <v>1</v>
      </c>
      <c r="I121" s="4654">
        <v>1</v>
      </c>
      <c r="J121" s="4654">
        <v>1</v>
      </c>
      <c r="K121" s="4135" t="s">
        <v>760</v>
      </c>
      <c r="L121" s="4135" t="s">
        <v>10072</v>
      </c>
      <c r="M121" s="4135" t="s">
        <v>844</v>
      </c>
      <c r="N121" s="4135"/>
      <c r="O121" s="2725">
        <v>25</v>
      </c>
      <c r="P121" s="2725">
        <v>26</v>
      </c>
      <c r="Q121" s="2725">
        <v>27</v>
      </c>
      <c r="R121" s="2725">
        <v>27</v>
      </c>
      <c r="S121" s="2725">
        <v>28</v>
      </c>
      <c r="T121" s="2725">
        <v>29</v>
      </c>
      <c r="U121" s="4781">
        <v>30</v>
      </c>
      <c r="V121" s="2725">
        <v>31</v>
      </c>
      <c r="W121" s="2725">
        <v>32</v>
      </c>
      <c r="X121" s="2725">
        <v>33</v>
      </c>
      <c r="Y121" s="2725">
        <v>34</v>
      </c>
      <c r="Z121" s="4149">
        <v>320</v>
      </c>
      <c r="AA121" s="2725"/>
      <c r="AB121" s="2254">
        <v>0</v>
      </c>
      <c r="AC121" s="3224"/>
      <c r="AD121" s="3224"/>
      <c r="AE121" s="3439" t="s">
        <v>4029</v>
      </c>
      <c r="AF121" s="3224"/>
      <c r="AG121" s="3224"/>
      <c r="AH121" s="3224"/>
      <c r="AI121" s="3224"/>
      <c r="AJ121" s="3224"/>
      <c r="AK121" s="3224"/>
      <c r="AL121" s="3224"/>
      <c r="AM121" s="3224"/>
      <c r="AN121" s="3224"/>
      <c r="AO121" s="3224"/>
      <c r="AP121" s="3224"/>
      <c r="AQ121" s="3224"/>
      <c r="AR121" s="3224"/>
      <c r="AS121" s="3224"/>
      <c r="AT121" s="3224"/>
      <c r="AU121" s="3224"/>
      <c r="AV121" s="3224"/>
      <c r="AW121" s="3224"/>
      <c r="AX121" s="3224"/>
      <c r="AY121" s="3224"/>
      <c r="AZ121" s="3224"/>
      <c r="BA121" s="3224"/>
      <c r="BB121" s="3224"/>
      <c r="BC121" s="3224"/>
      <c r="BD121" s="3224"/>
      <c r="BE121" s="3224"/>
      <c r="BF121" s="3224"/>
      <c r="BG121" s="3224"/>
      <c r="BH121" s="3224"/>
      <c r="BI121" s="3224"/>
      <c r="BJ121" s="3224"/>
      <c r="BK121" s="3224"/>
      <c r="BL121" s="3224"/>
      <c r="BM121" s="3224"/>
      <c r="BN121" s="3224"/>
      <c r="BO121" s="3224"/>
      <c r="BP121" s="3224"/>
      <c r="BQ121" s="3224"/>
      <c r="BR121" s="3224"/>
      <c r="BS121" s="3224"/>
      <c r="BT121" s="3922">
        <v>0</v>
      </c>
      <c r="BU121" s="3152">
        <v>1</v>
      </c>
      <c r="BV121" s="4654">
        <v>0</v>
      </c>
      <c r="BW121" s="3219">
        <v>0</v>
      </c>
      <c r="BX121" s="16004"/>
      <c r="BY121" s="4784"/>
      <c r="BZ121" s="4784"/>
      <c r="CA121" s="4783" t="s">
        <v>9009</v>
      </c>
      <c r="CB121" s="3446"/>
      <c r="CC121" s="3446"/>
      <c r="CD121" s="3446"/>
      <c r="CE121" s="3446"/>
      <c r="CF121" s="3445"/>
      <c r="CG121" s="3445"/>
      <c r="CH121" s="3445"/>
      <c r="CI121" s="3445"/>
      <c r="CJ121" s="3445"/>
      <c r="CK121" s="3445"/>
      <c r="CL121" s="3445"/>
      <c r="CM121" s="3445"/>
      <c r="CN121" s="3445"/>
      <c r="CO121" s="3445"/>
      <c r="CP121" s="3445"/>
      <c r="CQ121" s="3445"/>
      <c r="CR121" s="3445"/>
      <c r="CS121" s="4673"/>
      <c r="CT121" s="3445"/>
      <c r="CU121" s="3445"/>
      <c r="CV121" s="3445"/>
      <c r="CW121" s="3445"/>
      <c r="CX121" s="3445"/>
      <c r="CY121" s="3445"/>
      <c r="CZ121" s="3445"/>
      <c r="DA121" s="3445"/>
      <c r="DB121" s="3445"/>
      <c r="DC121" s="3445"/>
      <c r="DD121" s="3445"/>
      <c r="DE121" s="3445"/>
      <c r="DF121" s="3445"/>
      <c r="DG121" s="3445"/>
      <c r="DH121" s="3445"/>
      <c r="DI121" s="3445"/>
      <c r="DJ121" s="3445"/>
      <c r="DK121" s="3445"/>
      <c r="DL121" s="3445"/>
      <c r="DM121" s="3445"/>
      <c r="DN121" s="3445"/>
      <c r="DO121" s="3527"/>
      <c r="DQ121" s="2056"/>
      <c r="DR121" s="3224"/>
      <c r="DS121" s="3224"/>
      <c r="DT121" s="3224"/>
      <c r="DU121" s="3224"/>
      <c r="DV121" s="3224"/>
      <c r="DW121" s="3224"/>
      <c r="DX121" s="3224"/>
      <c r="DY121" s="3224"/>
      <c r="DZ121" s="3224"/>
      <c r="EA121" s="3224"/>
      <c r="EB121" s="3224"/>
      <c r="EC121" s="3224"/>
      <c r="ED121" s="3224"/>
      <c r="EE121" s="3224"/>
      <c r="EF121" s="3224"/>
      <c r="EG121" s="3224"/>
      <c r="EH121" s="3224"/>
      <c r="EI121" s="3224"/>
      <c r="EJ121" s="3224"/>
      <c r="EK121" s="3224"/>
      <c r="EL121" s="3224"/>
      <c r="EM121" s="3224"/>
      <c r="EN121" s="3224"/>
      <c r="EO121" s="3224"/>
      <c r="EP121" s="3224"/>
      <c r="EQ121" s="3224"/>
      <c r="ER121" s="3224"/>
      <c r="ES121" s="3224"/>
      <c r="ET121" s="3224"/>
      <c r="EU121" s="3224"/>
      <c r="EV121" s="3224"/>
      <c r="EW121" s="3224"/>
      <c r="EX121" s="3224"/>
      <c r="EY121" s="3224"/>
      <c r="EZ121" s="3224"/>
      <c r="FA121" s="3224"/>
      <c r="FB121" s="3224"/>
      <c r="FC121" s="3224"/>
      <c r="FD121" s="3224"/>
      <c r="FE121" s="3224"/>
      <c r="FF121" s="3224"/>
      <c r="FG121" s="3224"/>
      <c r="FH121" s="3224"/>
      <c r="FI121" s="3224"/>
      <c r="FJ121" s="2057"/>
    </row>
    <row r="122" spans="1:166" s="1834" customFormat="1" ht="15" customHeight="1">
      <c r="A122" s="15968"/>
      <c r="B122" s="15971"/>
      <c r="C122" s="15617"/>
      <c r="D122" s="4129" t="s">
        <v>7981</v>
      </c>
      <c r="E122" s="4135" t="s">
        <v>5008</v>
      </c>
      <c r="F122" s="4135" t="s">
        <v>772</v>
      </c>
      <c r="G122" s="4135" t="s">
        <v>542</v>
      </c>
      <c r="H122" s="4135">
        <v>2</v>
      </c>
      <c r="I122" s="4135">
        <v>10</v>
      </c>
      <c r="J122" s="4135">
        <v>20</v>
      </c>
      <c r="K122" s="4135" t="s">
        <v>760</v>
      </c>
      <c r="L122" s="4135" t="s">
        <v>10072</v>
      </c>
      <c r="M122" s="4135" t="s">
        <v>844</v>
      </c>
      <c r="N122" s="4135"/>
      <c r="O122" s="2725">
        <v>35</v>
      </c>
      <c r="P122" s="2725">
        <v>36</v>
      </c>
      <c r="Q122" s="2725">
        <v>37</v>
      </c>
      <c r="R122" s="2725">
        <v>38</v>
      </c>
      <c r="S122" s="2725">
        <v>39</v>
      </c>
      <c r="T122" s="2725">
        <v>41</v>
      </c>
      <c r="U122" s="4781">
        <v>42</v>
      </c>
      <c r="V122" s="2725">
        <v>43</v>
      </c>
      <c r="W122" s="2725">
        <v>44</v>
      </c>
      <c r="X122" s="2725">
        <v>46</v>
      </c>
      <c r="Y122" s="2725">
        <v>47</v>
      </c>
      <c r="Z122" s="4149">
        <v>448</v>
      </c>
      <c r="AA122" s="2725"/>
      <c r="AB122" s="4785">
        <v>0</v>
      </c>
      <c r="AC122" s="3224"/>
      <c r="AD122" s="3224"/>
      <c r="AE122" s="3439" t="s">
        <v>4030</v>
      </c>
      <c r="AF122" s="3224"/>
      <c r="AG122" s="3224"/>
      <c r="AH122" s="3224"/>
      <c r="AI122" s="3224"/>
      <c r="AJ122" s="3224"/>
      <c r="AK122" s="3224"/>
      <c r="AL122" s="3224"/>
      <c r="AM122" s="3224"/>
      <c r="AN122" s="3224"/>
      <c r="AO122" s="3224"/>
      <c r="AP122" s="3224"/>
      <c r="AQ122" s="3224"/>
      <c r="AR122" s="3224"/>
      <c r="AS122" s="3224"/>
      <c r="AT122" s="3224"/>
      <c r="AU122" s="3224"/>
      <c r="AV122" s="3224"/>
      <c r="AW122" s="3224"/>
      <c r="AX122" s="3224"/>
      <c r="AY122" s="3224"/>
      <c r="AZ122" s="3224"/>
      <c r="BA122" s="3224"/>
      <c r="BB122" s="3224"/>
      <c r="BC122" s="3224"/>
      <c r="BD122" s="3224"/>
      <c r="BE122" s="3224"/>
      <c r="BF122" s="3224"/>
      <c r="BG122" s="3224"/>
      <c r="BH122" s="3224"/>
      <c r="BI122" s="3224"/>
      <c r="BJ122" s="3224"/>
      <c r="BK122" s="3224"/>
      <c r="BL122" s="3224"/>
      <c r="BM122" s="3224"/>
      <c r="BN122" s="3224"/>
      <c r="BO122" s="3224"/>
      <c r="BP122" s="3224"/>
      <c r="BQ122" s="3224"/>
      <c r="BR122" s="3224"/>
      <c r="BS122" s="3224"/>
      <c r="BT122" s="3922">
        <v>554</v>
      </c>
      <c r="BU122" s="3221">
        <v>574</v>
      </c>
      <c r="BV122" s="4135">
        <f>+Z122+BT122</f>
        <v>1002</v>
      </c>
      <c r="BW122" s="3219">
        <v>1</v>
      </c>
      <c r="BX122" s="16004"/>
      <c r="BY122" s="4784"/>
      <c r="BZ122" s="4784"/>
      <c r="CA122" s="4783"/>
      <c r="CB122" s="4087">
        <v>122021106</v>
      </c>
      <c r="CC122" s="4087">
        <v>79313719</v>
      </c>
      <c r="CD122" s="4087">
        <v>42707387</v>
      </c>
      <c r="CE122" s="4087"/>
      <c r="CF122" s="4088">
        <v>554</v>
      </c>
      <c r="CG122" s="4088">
        <v>348</v>
      </c>
      <c r="CH122" s="4088">
        <v>206</v>
      </c>
      <c r="CI122" s="4088">
        <v>441</v>
      </c>
      <c r="CJ122" s="4088">
        <v>113</v>
      </c>
      <c r="CK122" s="4088">
        <v>15</v>
      </c>
      <c r="CL122" s="4088">
        <v>121</v>
      </c>
      <c r="CM122" s="4088">
        <v>199</v>
      </c>
      <c r="CN122" s="4088">
        <v>91</v>
      </c>
      <c r="CO122" s="4088">
        <v>102</v>
      </c>
      <c r="CP122" s="4088">
        <v>0</v>
      </c>
      <c r="CQ122" s="4088">
        <v>26</v>
      </c>
      <c r="CR122" s="4088">
        <v>15</v>
      </c>
      <c r="CS122" s="4089">
        <v>554</v>
      </c>
      <c r="CT122" s="4088">
        <v>10</v>
      </c>
      <c r="CU122" s="4088">
        <v>2</v>
      </c>
      <c r="CV122" s="4088">
        <v>1</v>
      </c>
      <c r="CW122" s="4088">
        <v>1</v>
      </c>
      <c r="CX122" s="4088">
        <v>0</v>
      </c>
      <c r="CY122" s="4088">
        <v>1</v>
      </c>
      <c r="CZ122" s="4088">
        <v>516</v>
      </c>
      <c r="DA122" s="4088">
        <v>18</v>
      </c>
      <c r="DB122" s="4088">
        <v>4</v>
      </c>
      <c r="DC122" s="4088">
        <v>0</v>
      </c>
      <c r="DD122" s="4088">
        <v>0</v>
      </c>
      <c r="DE122" s="4088">
        <v>0</v>
      </c>
      <c r="DF122" s="4786" t="s">
        <v>9010</v>
      </c>
      <c r="DG122" s="3926" t="s">
        <v>9011</v>
      </c>
      <c r="DH122" s="4088"/>
      <c r="DI122" s="4088"/>
      <c r="DJ122" s="4088"/>
      <c r="DK122" s="4088"/>
      <c r="DL122" s="4088"/>
      <c r="DM122" s="4088"/>
      <c r="DN122" s="4088"/>
      <c r="DO122" s="4286"/>
      <c r="DQ122" s="2056"/>
      <c r="DR122" s="3224"/>
      <c r="DS122" s="3224"/>
      <c r="DT122" s="3224"/>
      <c r="DU122" s="3224"/>
      <c r="DV122" s="3224"/>
      <c r="DW122" s="3224"/>
      <c r="DX122" s="3224"/>
      <c r="DY122" s="3224"/>
      <c r="DZ122" s="3224"/>
      <c r="EA122" s="3224"/>
      <c r="EB122" s="3224"/>
      <c r="EC122" s="3224"/>
      <c r="ED122" s="3224"/>
      <c r="EE122" s="3224"/>
      <c r="EF122" s="3224"/>
      <c r="EG122" s="3224"/>
      <c r="EH122" s="3224"/>
      <c r="EI122" s="3224"/>
      <c r="EJ122" s="3224"/>
      <c r="EK122" s="3224"/>
      <c r="EL122" s="3224"/>
      <c r="EM122" s="3224"/>
      <c r="EN122" s="3224"/>
      <c r="EO122" s="3224"/>
      <c r="EP122" s="3224"/>
      <c r="EQ122" s="3224"/>
      <c r="ER122" s="3224"/>
      <c r="ES122" s="3224"/>
      <c r="ET122" s="3224"/>
      <c r="EU122" s="3224"/>
      <c r="EV122" s="3224"/>
      <c r="EW122" s="3224"/>
      <c r="EX122" s="3224"/>
      <c r="EY122" s="3224"/>
      <c r="EZ122" s="3224"/>
      <c r="FA122" s="3224"/>
      <c r="FB122" s="3224"/>
      <c r="FC122" s="3224"/>
      <c r="FD122" s="3224"/>
      <c r="FE122" s="3224"/>
      <c r="FF122" s="3224"/>
      <c r="FG122" s="3224"/>
      <c r="FH122" s="3224"/>
      <c r="FI122" s="3224"/>
      <c r="FJ122" s="2057"/>
    </row>
    <row r="123" spans="1:166" s="1834" customFormat="1" ht="15" customHeight="1">
      <c r="A123" s="15968"/>
      <c r="B123" s="15971"/>
      <c r="C123" s="15617"/>
      <c r="D123" s="4129" t="s">
        <v>7982</v>
      </c>
      <c r="E123" s="4135" t="s">
        <v>5009</v>
      </c>
      <c r="F123" s="4135" t="s">
        <v>847</v>
      </c>
      <c r="G123" s="4135" t="s">
        <v>542</v>
      </c>
      <c r="H123" s="4135">
        <v>8</v>
      </c>
      <c r="I123" s="4135">
        <v>16</v>
      </c>
      <c r="J123" s="4135">
        <v>30</v>
      </c>
      <c r="K123" s="4135" t="s">
        <v>848</v>
      </c>
      <c r="L123" s="4135" t="s">
        <v>10072</v>
      </c>
      <c r="M123" s="4135" t="s">
        <v>844</v>
      </c>
      <c r="N123" s="4135"/>
      <c r="O123" s="2725">
        <v>25</v>
      </c>
      <c r="P123" s="2725" t="s">
        <v>849</v>
      </c>
      <c r="Q123" s="2725">
        <v>27</v>
      </c>
      <c r="R123" s="2725" t="s">
        <v>849</v>
      </c>
      <c r="S123" s="2725">
        <v>28</v>
      </c>
      <c r="T123" s="2725" t="s">
        <v>849</v>
      </c>
      <c r="U123" s="4781">
        <v>30</v>
      </c>
      <c r="V123" s="2725" t="s">
        <v>849</v>
      </c>
      <c r="W123" s="2725">
        <v>32</v>
      </c>
      <c r="X123" s="2725" t="s">
        <v>849</v>
      </c>
      <c r="Y123" s="2725">
        <v>34</v>
      </c>
      <c r="Z123" s="4149">
        <v>175</v>
      </c>
      <c r="AA123" s="2725"/>
      <c r="AB123" s="4785">
        <v>0</v>
      </c>
      <c r="AC123" s="3224"/>
      <c r="AD123" s="3224"/>
      <c r="AE123" s="3439" t="s">
        <v>4031</v>
      </c>
      <c r="AF123" s="3224"/>
      <c r="AG123" s="3224"/>
      <c r="AH123" s="3224"/>
      <c r="AI123" s="3224"/>
      <c r="AJ123" s="3224"/>
      <c r="AK123" s="3224"/>
      <c r="AL123" s="3224"/>
      <c r="AM123" s="3224"/>
      <c r="AN123" s="3224"/>
      <c r="AO123" s="3224"/>
      <c r="AP123" s="3224"/>
      <c r="AQ123" s="3224"/>
      <c r="AR123" s="3224"/>
      <c r="AS123" s="3224"/>
      <c r="AT123" s="3224"/>
      <c r="AU123" s="3224"/>
      <c r="AV123" s="3224"/>
      <c r="AW123" s="3224"/>
      <c r="AX123" s="3224"/>
      <c r="AY123" s="3224"/>
      <c r="AZ123" s="3224"/>
      <c r="BA123" s="3224"/>
      <c r="BB123" s="3224"/>
      <c r="BC123" s="3224"/>
      <c r="BD123" s="3224"/>
      <c r="BE123" s="3224"/>
      <c r="BF123" s="3224"/>
      <c r="BG123" s="3224"/>
      <c r="BH123" s="3224"/>
      <c r="BI123" s="3224"/>
      <c r="BJ123" s="3224"/>
      <c r="BK123" s="3224"/>
      <c r="BL123" s="3224"/>
      <c r="BM123" s="3224"/>
      <c r="BN123" s="3224"/>
      <c r="BO123" s="3224"/>
      <c r="BP123" s="3224"/>
      <c r="BQ123" s="3224"/>
      <c r="BR123" s="3224"/>
      <c r="BS123" s="3224"/>
      <c r="BT123" s="3922" t="s">
        <v>3781</v>
      </c>
      <c r="BU123" s="3922" t="s">
        <v>3781</v>
      </c>
      <c r="BV123" s="3922" t="s">
        <v>3781</v>
      </c>
      <c r="BW123" s="3219" t="s">
        <v>3781</v>
      </c>
      <c r="BX123" s="16004"/>
      <c r="BY123" s="4783" t="s">
        <v>9012</v>
      </c>
      <c r="BZ123" s="4784"/>
      <c r="CA123" s="4783"/>
      <c r="CB123" s="3446"/>
      <c r="CC123" s="3446"/>
      <c r="CD123" s="3446"/>
      <c r="CE123" s="3446"/>
      <c r="CF123" s="3445"/>
      <c r="CG123" s="3445"/>
      <c r="CH123" s="3445"/>
      <c r="CI123" s="3445"/>
      <c r="CJ123" s="3445"/>
      <c r="CK123" s="3445"/>
      <c r="CL123" s="3445"/>
      <c r="CM123" s="3445"/>
      <c r="CN123" s="3445"/>
      <c r="CO123" s="3445"/>
      <c r="CP123" s="3445"/>
      <c r="CQ123" s="3445"/>
      <c r="CR123" s="3445"/>
      <c r="CS123" s="4673"/>
      <c r="CT123" s="3445"/>
      <c r="CU123" s="3445"/>
      <c r="CV123" s="3445"/>
      <c r="CW123" s="3445"/>
      <c r="CX123" s="3445"/>
      <c r="CY123" s="3445"/>
      <c r="CZ123" s="3445"/>
      <c r="DA123" s="3445"/>
      <c r="DB123" s="3445"/>
      <c r="DC123" s="3445"/>
      <c r="DD123" s="3445"/>
      <c r="DE123" s="3445"/>
      <c r="DF123" s="3445"/>
      <c r="DG123" s="3445"/>
      <c r="DH123" s="3445"/>
      <c r="DI123" s="3445"/>
      <c r="DJ123" s="3445"/>
      <c r="DK123" s="3445"/>
      <c r="DL123" s="3445"/>
      <c r="DM123" s="3445"/>
      <c r="DN123" s="3445"/>
      <c r="DO123" s="3527"/>
      <c r="DQ123" s="2056"/>
      <c r="DR123" s="3224"/>
      <c r="DS123" s="3224"/>
      <c r="DT123" s="3224"/>
      <c r="DU123" s="3224"/>
      <c r="DV123" s="3224"/>
      <c r="DW123" s="3224"/>
      <c r="DX123" s="3224"/>
      <c r="DY123" s="3224"/>
      <c r="DZ123" s="3224"/>
      <c r="EA123" s="3224"/>
      <c r="EB123" s="3224"/>
      <c r="EC123" s="3224"/>
      <c r="ED123" s="3224"/>
      <c r="EE123" s="3224"/>
      <c r="EF123" s="3224"/>
      <c r="EG123" s="3224"/>
      <c r="EH123" s="3224"/>
      <c r="EI123" s="3224"/>
      <c r="EJ123" s="3224"/>
      <c r="EK123" s="3224"/>
      <c r="EL123" s="3224"/>
      <c r="EM123" s="3224"/>
      <c r="EN123" s="3224"/>
      <c r="EO123" s="3224"/>
      <c r="EP123" s="3224"/>
      <c r="EQ123" s="3224"/>
      <c r="ER123" s="3224"/>
      <c r="ES123" s="3224"/>
      <c r="ET123" s="3224"/>
      <c r="EU123" s="3224"/>
      <c r="EV123" s="3224"/>
      <c r="EW123" s="3224"/>
      <c r="EX123" s="3224"/>
      <c r="EY123" s="3224"/>
      <c r="EZ123" s="3224"/>
      <c r="FA123" s="3224"/>
      <c r="FB123" s="3224"/>
      <c r="FC123" s="3224"/>
      <c r="FD123" s="3224"/>
      <c r="FE123" s="3224"/>
      <c r="FF123" s="3224"/>
      <c r="FG123" s="3224"/>
      <c r="FH123" s="3224"/>
      <c r="FI123" s="3224"/>
      <c r="FJ123" s="2057"/>
    </row>
    <row r="124" spans="1:166" s="1834" customFormat="1" ht="15" customHeight="1">
      <c r="A124" s="15968"/>
      <c r="B124" s="15971"/>
      <c r="C124" s="15617"/>
      <c r="D124" s="15617" t="s">
        <v>7983</v>
      </c>
      <c r="E124" s="15708" t="s">
        <v>5010</v>
      </c>
      <c r="F124" s="15708" t="s">
        <v>850</v>
      </c>
      <c r="G124" s="15708" t="s">
        <v>542</v>
      </c>
      <c r="H124" s="15708">
        <v>1</v>
      </c>
      <c r="I124" s="15708">
        <v>1</v>
      </c>
      <c r="J124" s="15708">
        <v>1</v>
      </c>
      <c r="K124" s="15708" t="s">
        <v>851</v>
      </c>
      <c r="L124" s="4135" t="s">
        <v>10072</v>
      </c>
      <c r="M124" s="4135" t="s">
        <v>844</v>
      </c>
      <c r="N124" s="4135"/>
      <c r="O124" s="2725">
        <v>20</v>
      </c>
      <c r="P124" s="2725">
        <v>21</v>
      </c>
      <c r="Q124" s="2725">
        <v>21</v>
      </c>
      <c r="R124" s="2725">
        <v>22</v>
      </c>
      <c r="S124" s="2725">
        <v>23</v>
      </c>
      <c r="T124" s="2725">
        <v>23</v>
      </c>
      <c r="U124" s="4781">
        <v>24</v>
      </c>
      <c r="V124" s="2725">
        <v>25</v>
      </c>
      <c r="W124" s="2725">
        <v>25</v>
      </c>
      <c r="X124" s="2725">
        <v>26</v>
      </c>
      <c r="Y124" s="2725">
        <v>27</v>
      </c>
      <c r="Z124" s="4149">
        <v>256</v>
      </c>
      <c r="AA124" s="2725"/>
      <c r="AB124" s="2254">
        <v>1</v>
      </c>
      <c r="AC124" s="2725" t="s">
        <v>4032</v>
      </c>
      <c r="AD124" s="3440" t="s">
        <v>4033</v>
      </c>
      <c r="AE124" s="3224"/>
      <c r="AF124" s="3224"/>
      <c r="AG124" s="3224"/>
      <c r="AH124" s="3224"/>
      <c r="AI124" s="3224"/>
      <c r="AJ124" s="4782"/>
      <c r="AK124" s="3224"/>
      <c r="AL124" s="3224"/>
      <c r="AM124" s="3224"/>
      <c r="AN124" s="3224"/>
      <c r="AO124" s="3224"/>
      <c r="AP124" s="3224"/>
      <c r="AQ124" s="3224"/>
      <c r="AR124" s="3224"/>
      <c r="AS124" s="3224"/>
      <c r="AT124" s="3224"/>
      <c r="AU124" s="3224"/>
      <c r="AV124" s="3224"/>
      <c r="AW124" s="3224"/>
      <c r="AX124" s="3224"/>
      <c r="AY124" s="3224"/>
      <c r="AZ124" s="3224"/>
      <c r="BA124" s="3224"/>
      <c r="BB124" s="3224"/>
      <c r="BC124" s="3224"/>
      <c r="BD124" s="3224"/>
      <c r="BE124" s="3224"/>
      <c r="BF124" s="3224"/>
      <c r="BG124" s="3224"/>
      <c r="BH124" s="3224"/>
      <c r="BI124" s="3224"/>
      <c r="BJ124" s="3224"/>
      <c r="BK124" s="3224"/>
      <c r="BL124" s="3224"/>
      <c r="BM124" s="3224"/>
      <c r="BN124" s="3224"/>
      <c r="BO124" s="3224"/>
      <c r="BP124" s="3224"/>
      <c r="BQ124" s="3224"/>
      <c r="BR124" s="3224"/>
      <c r="BS124" s="3224"/>
      <c r="BT124" s="3922">
        <v>1</v>
      </c>
      <c r="BU124" s="3221">
        <v>1</v>
      </c>
      <c r="BV124" s="4135">
        <v>1</v>
      </c>
      <c r="BW124" s="3219">
        <f t="shared" ref="BW124" si="6">BV124/BU124</f>
        <v>1</v>
      </c>
      <c r="BX124" s="16004"/>
      <c r="BY124" s="4783" t="s">
        <v>9013</v>
      </c>
      <c r="BZ124" s="4783" t="s">
        <v>9014</v>
      </c>
      <c r="CA124" s="3221"/>
      <c r="CB124" s="3446"/>
      <c r="CC124" s="3446"/>
      <c r="CD124" s="3446"/>
      <c r="CE124" s="3446"/>
      <c r="CF124" s="3445"/>
      <c r="CG124" s="3445"/>
      <c r="CH124" s="3445"/>
      <c r="CI124" s="3445"/>
      <c r="CJ124" s="3445"/>
      <c r="CK124" s="3445"/>
      <c r="CL124" s="3445"/>
      <c r="CM124" s="3445"/>
      <c r="CN124" s="3445"/>
      <c r="CO124" s="3445"/>
      <c r="CP124" s="3445"/>
      <c r="CQ124" s="3445"/>
      <c r="CR124" s="3445"/>
      <c r="CS124" s="4673"/>
      <c r="CT124" s="3445"/>
      <c r="CU124" s="3445"/>
      <c r="CV124" s="3445"/>
      <c r="CW124" s="3445"/>
      <c r="CX124" s="3445"/>
      <c r="CY124" s="3445"/>
      <c r="CZ124" s="3445"/>
      <c r="DA124" s="3445"/>
      <c r="DB124" s="3445"/>
      <c r="DC124" s="3445"/>
      <c r="DD124" s="3445"/>
      <c r="DE124" s="3445"/>
      <c r="DF124" s="3445"/>
      <c r="DG124" s="3445"/>
      <c r="DH124" s="3445"/>
      <c r="DI124" s="3445"/>
      <c r="DJ124" s="3445"/>
      <c r="DK124" s="3445"/>
      <c r="DL124" s="3445"/>
      <c r="DM124" s="3445"/>
      <c r="DN124" s="3445"/>
      <c r="DO124" s="3527"/>
      <c r="DQ124" s="2056"/>
      <c r="DR124" s="3224"/>
      <c r="DS124" s="3224"/>
      <c r="DT124" s="3224"/>
      <c r="DU124" s="3224"/>
      <c r="DV124" s="3224"/>
      <c r="DW124" s="3224"/>
      <c r="DX124" s="3224"/>
      <c r="DY124" s="3224"/>
      <c r="DZ124" s="3224"/>
      <c r="EA124" s="3224"/>
      <c r="EB124" s="3224"/>
      <c r="EC124" s="3224"/>
      <c r="ED124" s="3224"/>
      <c r="EE124" s="3224"/>
      <c r="EF124" s="3224"/>
      <c r="EG124" s="3224"/>
      <c r="EH124" s="3224"/>
      <c r="EI124" s="3224"/>
      <c r="EJ124" s="3224"/>
      <c r="EK124" s="3224"/>
      <c r="EL124" s="3224"/>
      <c r="EM124" s="3224"/>
      <c r="EN124" s="3224"/>
      <c r="EO124" s="3224"/>
      <c r="EP124" s="3224"/>
      <c r="EQ124" s="3224"/>
      <c r="ER124" s="3224"/>
      <c r="ES124" s="3224"/>
      <c r="ET124" s="3224"/>
      <c r="EU124" s="3224"/>
      <c r="EV124" s="3224"/>
      <c r="EW124" s="3224"/>
      <c r="EX124" s="3224"/>
      <c r="EY124" s="3224"/>
      <c r="EZ124" s="3224"/>
      <c r="FA124" s="3224"/>
      <c r="FB124" s="3224"/>
      <c r="FC124" s="3224"/>
      <c r="FD124" s="3224"/>
      <c r="FE124" s="3224"/>
      <c r="FF124" s="3224"/>
      <c r="FG124" s="3224"/>
      <c r="FH124" s="3224"/>
      <c r="FI124" s="3224"/>
      <c r="FJ124" s="2057"/>
    </row>
    <row r="125" spans="1:166" s="1834" customFormat="1" ht="15" customHeight="1">
      <c r="A125" s="15968"/>
      <c r="B125" s="15971"/>
      <c r="C125" s="4129"/>
      <c r="D125" s="15617"/>
      <c r="E125" s="15708"/>
      <c r="F125" s="15708"/>
      <c r="G125" s="15708"/>
      <c r="H125" s="15708"/>
      <c r="I125" s="15708"/>
      <c r="J125" s="15708"/>
      <c r="K125" s="15708"/>
      <c r="L125" s="4135" t="s">
        <v>2896</v>
      </c>
      <c r="M125" s="4135"/>
      <c r="N125" s="4135" t="s">
        <v>852</v>
      </c>
      <c r="O125" s="2725"/>
      <c r="P125" s="2725"/>
      <c r="Q125" s="2725"/>
      <c r="R125" s="2725"/>
      <c r="S125" s="2725"/>
      <c r="T125" s="2725"/>
      <c r="U125" s="4781"/>
      <c r="V125" s="2725"/>
      <c r="W125" s="2725"/>
      <c r="X125" s="2725"/>
      <c r="Y125" s="2725"/>
      <c r="Z125" s="4149"/>
      <c r="AA125" s="2725"/>
      <c r="AB125" s="2254"/>
      <c r="AC125" s="2725"/>
      <c r="AD125" s="3440"/>
      <c r="AE125" s="3224"/>
      <c r="AF125" s="3224"/>
      <c r="AG125" s="3224"/>
      <c r="AH125" s="3224"/>
      <c r="AI125" s="3224"/>
      <c r="AJ125" s="4782"/>
      <c r="AK125" s="3224"/>
      <c r="AL125" s="3224"/>
      <c r="AM125" s="3224"/>
      <c r="AN125" s="3224"/>
      <c r="AO125" s="3224"/>
      <c r="AP125" s="3224"/>
      <c r="AQ125" s="3224"/>
      <c r="AR125" s="3224"/>
      <c r="AS125" s="3224"/>
      <c r="AT125" s="3224"/>
      <c r="AU125" s="3224"/>
      <c r="AV125" s="3224"/>
      <c r="AW125" s="3224"/>
      <c r="AX125" s="3224"/>
      <c r="AY125" s="3224"/>
      <c r="AZ125" s="3224"/>
      <c r="BA125" s="3224"/>
      <c r="BB125" s="3224"/>
      <c r="BC125" s="3224"/>
      <c r="BD125" s="3224"/>
      <c r="BE125" s="3224"/>
      <c r="BF125" s="3224"/>
      <c r="BG125" s="3224"/>
      <c r="BH125" s="3224"/>
      <c r="BI125" s="3224"/>
      <c r="BJ125" s="3224"/>
      <c r="BK125" s="3224"/>
      <c r="BL125" s="3224"/>
      <c r="BM125" s="3224"/>
      <c r="BN125" s="3224"/>
      <c r="BO125" s="3224"/>
      <c r="BP125" s="3224"/>
      <c r="BQ125" s="3224"/>
      <c r="BR125" s="3224"/>
      <c r="BS125" s="3224"/>
      <c r="BT125" s="3922"/>
      <c r="BU125" s="3221"/>
      <c r="BV125" s="4135"/>
      <c r="BW125" s="3219"/>
      <c r="BX125" s="16004"/>
      <c r="BY125" s="4783"/>
      <c r="BZ125" s="4783"/>
      <c r="CA125" s="3221"/>
      <c r="CB125" s="3446"/>
      <c r="CC125" s="3446"/>
      <c r="CD125" s="3446"/>
      <c r="CE125" s="3446"/>
      <c r="CF125" s="3445"/>
      <c r="CG125" s="3445"/>
      <c r="CH125" s="3445"/>
      <c r="CI125" s="3445"/>
      <c r="CJ125" s="3445"/>
      <c r="CK125" s="3445"/>
      <c r="CL125" s="3445"/>
      <c r="CM125" s="3445"/>
      <c r="CN125" s="3445"/>
      <c r="CO125" s="3445"/>
      <c r="CP125" s="3445"/>
      <c r="CQ125" s="3445"/>
      <c r="CR125" s="3445"/>
      <c r="CS125" s="4673"/>
      <c r="CT125" s="3445"/>
      <c r="CU125" s="3445"/>
      <c r="CV125" s="3445"/>
      <c r="CW125" s="3445"/>
      <c r="CX125" s="3445"/>
      <c r="CY125" s="3445"/>
      <c r="CZ125" s="3445"/>
      <c r="DA125" s="3445"/>
      <c r="DB125" s="3445"/>
      <c r="DC125" s="3445"/>
      <c r="DD125" s="3445"/>
      <c r="DE125" s="3445"/>
      <c r="DF125" s="3445"/>
      <c r="DG125" s="3445"/>
      <c r="DH125" s="3445"/>
      <c r="DI125" s="3445"/>
      <c r="DJ125" s="3445"/>
      <c r="DK125" s="3445"/>
      <c r="DL125" s="3445"/>
      <c r="DM125" s="3445"/>
      <c r="DN125" s="3445"/>
      <c r="DO125" s="3527"/>
      <c r="DQ125" s="2056"/>
      <c r="DR125" s="3224"/>
      <c r="DS125" s="3224"/>
      <c r="DT125" s="3224"/>
      <c r="DU125" s="3224"/>
      <c r="DV125" s="3224"/>
      <c r="DW125" s="3224"/>
      <c r="DX125" s="3224"/>
      <c r="DY125" s="3224"/>
      <c r="DZ125" s="3224"/>
      <c r="EA125" s="3224"/>
      <c r="EB125" s="3224"/>
      <c r="EC125" s="3224"/>
      <c r="ED125" s="3224"/>
      <c r="EE125" s="3224"/>
      <c r="EF125" s="3224"/>
      <c r="EG125" s="3224"/>
      <c r="EH125" s="3224"/>
      <c r="EI125" s="3224"/>
      <c r="EJ125" s="3224"/>
      <c r="EK125" s="3224"/>
      <c r="EL125" s="3224"/>
      <c r="EM125" s="3224"/>
      <c r="EN125" s="3224"/>
      <c r="EO125" s="3224"/>
      <c r="EP125" s="3224"/>
      <c r="EQ125" s="3224"/>
      <c r="ER125" s="3224"/>
      <c r="ES125" s="3224"/>
      <c r="ET125" s="3224"/>
      <c r="EU125" s="3224"/>
      <c r="EV125" s="3224"/>
      <c r="EW125" s="3224"/>
      <c r="EX125" s="3224"/>
      <c r="EY125" s="3224"/>
      <c r="EZ125" s="3224"/>
      <c r="FA125" s="3224"/>
      <c r="FB125" s="3224"/>
      <c r="FC125" s="3224"/>
      <c r="FD125" s="3224"/>
      <c r="FE125" s="3224"/>
      <c r="FF125" s="3224"/>
      <c r="FG125" s="3224"/>
      <c r="FH125" s="3224"/>
      <c r="FI125" s="3224"/>
      <c r="FJ125" s="2057"/>
    </row>
    <row r="126" spans="1:166" s="1834" customFormat="1" ht="15" customHeight="1">
      <c r="A126" s="15968"/>
      <c r="B126" s="15971"/>
      <c r="C126" s="15617" t="s">
        <v>853</v>
      </c>
      <c r="D126" s="4129" t="s">
        <v>7984</v>
      </c>
      <c r="E126" s="4135" t="s">
        <v>5011</v>
      </c>
      <c r="F126" s="4135" t="s">
        <v>854</v>
      </c>
      <c r="G126" s="4135" t="s">
        <v>542</v>
      </c>
      <c r="H126" s="4654">
        <v>0.5</v>
      </c>
      <c r="I126" s="4654">
        <v>1</v>
      </c>
      <c r="J126" s="4654">
        <v>1</v>
      </c>
      <c r="K126" s="4135" t="s">
        <v>689</v>
      </c>
      <c r="L126" s="4135" t="s">
        <v>10072</v>
      </c>
      <c r="M126" s="4135" t="s">
        <v>844</v>
      </c>
      <c r="N126" s="4135"/>
      <c r="O126" s="2725">
        <v>35</v>
      </c>
      <c r="P126" s="2725">
        <v>36</v>
      </c>
      <c r="Q126" s="2725">
        <v>37</v>
      </c>
      <c r="R126" s="2725">
        <v>38</v>
      </c>
      <c r="S126" s="2725">
        <v>39</v>
      </c>
      <c r="T126" s="2725">
        <v>41</v>
      </c>
      <c r="U126" s="4781">
        <v>42</v>
      </c>
      <c r="V126" s="2725">
        <v>43</v>
      </c>
      <c r="W126" s="2725">
        <v>44</v>
      </c>
      <c r="X126" s="2725">
        <v>46</v>
      </c>
      <c r="Y126" s="2725">
        <v>47</v>
      </c>
      <c r="Z126" s="4149">
        <v>448</v>
      </c>
      <c r="AA126" s="2725"/>
      <c r="AB126" s="3152">
        <v>1</v>
      </c>
      <c r="AC126" s="3440" t="s">
        <v>4034</v>
      </c>
      <c r="AD126" s="3440" t="s">
        <v>4035</v>
      </c>
      <c r="AE126" s="3224"/>
      <c r="AF126" s="3224"/>
      <c r="AG126" s="3224"/>
      <c r="AH126" s="3224"/>
      <c r="AI126" s="3224"/>
      <c r="AJ126" s="3224"/>
      <c r="AK126" s="3224"/>
      <c r="AL126" s="3224"/>
      <c r="AM126" s="3224"/>
      <c r="AN126" s="3224"/>
      <c r="AO126" s="3224"/>
      <c r="AP126" s="3224"/>
      <c r="AQ126" s="3224"/>
      <c r="AR126" s="3224"/>
      <c r="AS126" s="3224"/>
      <c r="AT126" s="3224"/>
      <c r="AU126" s="3224"/>
      <c r="AV126" s="3224"/>
      <c r="AW126" s="3224"/>
      <c r="AX126" s="3224"/>
      <c r="AY126" s="3224"/>
      <c r="AZ126" s="3224"/>
      <c r="BA126" s="3224"/>
      <c r="BB126" s="3224"/>
      <c r="BC126" s="3224"/>
      <c r="BD126" s="3224"/>
      <c r="BE126" s="3224"/>
      <c r="BF126" s="3224"/>
      <c r="BG126" s="3224"/>
      <c r="BH126" s="3224"/>
      <c r="BI126" s="3224"/>
      <c r="BJ126" s="3224"/>
      <c r="BK126" s="3224"/>
      <c r="BL126" s="3224"/>
      <c r="BM126" s="3224"/>
      <c r="BN126" s="3224"/>
      <c r="BO126" s="3224"/>
      <c r="BP126" s="3224"/>
      <c r="BQ126" s="3224"/>
      <c r="BR126" s="3224"/>
      <c r="BS126" s="3224"/>
      <c r="BT126" s="4664">
        <v>0.5</v>
      </c>
      <c r="BU126" s="3152">
        <v>0.5</v>
      </c>
      <c r="BV126" s="4654">
        <v>0.5</v>
      </c>
      <c r="BW126" s="3219">
        <v>1</v>
      </c>
      <c r="BX126" s="16004"/>
      <c r="BY126" s="4783" t="s">
        <v>9015</v>
      </c>
      <c r="BZ126" s="4787"/>
      <c r="CA126" s="4783"/>
      <c r="CB126" s="3446"/>
      <c r="CC126" s="3446"/>
      <c r="CD126" s="3446"/>
      <c r="CE126" s="3446"/>
      <c r="CF126" s="3445"/>
      <c r="CG126" s="3445"/>
      <c r="CH126" s="3445"/>
      <c r="CI126" s="3445"/>
      <c r="CJ126" s="3445"/>
      <c r="CK126" s="3445"/>
      <c r="CL126" s="3445"/>
      <c r="CM126" s="3445"/>
      <c r="CN126" s="3445"/>
      <c r="CO126" s="3445"/>
      <c r="CP126" s="3445"/>
      <c r="CQ126" s="3445"/>
      <c r="CR126" s="3445"/>
      <c r="CS126" s="4673"/>
      <c r="CT126" s="3445"/>
      <c r="CU126" s="3445"/>
      <c r="CV126" s="3445"/>
      <c r="CW126" s="3445"/>
      <c r="CX126" s="3445"/>
      <c r="CY126" s="3445"/>
      <c r="CZ126" s="3445"/>
      <c r="DA126" s="3445"/>
      <c r="DB126" s="3445"/>
      <c r="DC126" s="3445"/>
      <c r="DD126" s="3445"/>
      <c r="DE126" s="3445"/>
      <c r="DF126" s="3445"/>
      <c r="DG126" s="3445"/>
      <c r="DH126" s="3445"/>
      <c r="DI126" s="3445"/>
      <c r="DJ126" s="3445"/>
      <c r="DK126" s="3445"/>
      <c r="DL126" s="3445"/>
      <c r="DM126" s="3445"/>
      <c r="DN126" s="3445"/>
      <c r="DO126" s="3527"/>
      <c r="DQ126" s="2056"/>
      <c r="DR126" s="3224"/>
      <c r="DS126" s="3224"/>
      <c r="DT126" s="3224"/>
      <c r="DU126" s="3224"/>
      <c r="DV126" s="3224"/>
      <c r="DW126" s="3224"/>
      <c r="DX126" s="3224"/>
      <c r="DY126" s="3224"/>
      <c r="DZ126" s="3224"/>
      <c r="EA126" s="3224"/>
      <c r="EB126" s="3224"/>
      <c r="EC126" s="3224"/>
      <c r="ED126" s="3224"/>
      <c r="EE126" s="3224"/>
      <c r="EF126" s="3224"/>
      <c r="EG126" s="3224"/>
      <c r="EH126" s="3224"/>
      <c r="EI126" s="3224"/>
      <c r="EJ126" s="3224"/>
      <c r="EK126" s="3224"/>
      <c r="EL126" s="3224"/>
      <c r="EM126" s="3224"/>
      <c r="EN126" s="3224"/>
      <c r="EO126" s="3224"/>
      <c r="EP126" s="3224"/>
      <c r="EQ126" s="3224"/>
      <c r="ER126" s="3224"/>
      <c r="ES126" s="3224"/>
      <c r="ET126" s="3224"/>
      <c r="EU126" s="3224"/>
      <c r="EV126" s="3224"/>
      <c r="EW126" s="3224"/>
      <c r="EX126" s="3224"/>
      <c r="EY126" s="3224"/>
      <c r="EZ126" s="3224"/>
      <c r="FA126" s="3224"/>
      <c r="FB126" s="3224"/>
      <c r="FC126" s="3224"/>
      <c r="FD126" s="3224"/>
      <c r="FE126" s="3224"/>
      <c r="FF126" s="3224"/>
      <c r="FG126" s="3224"/>
      <c r="FH126" s="3224"/>
      <c r="FI126" s="3224"/>
      <c r="FJ126" s="2057"/>
    </row>
    <row r="127" spans="1:166" s="1834" customFormat="1" ht="15" customHeight="1">
      <c r="A127" s="15968"/>
      <c r="B127" s="15971"/>
      <c r="C127" s="15617"/>
      <c r="D127" s="4129" t="s">
        <v>7985</v>
      </c>
      <c r="E127" s="4135" t="s">
        <v>5012</v>
      </c>
      <c r="F127" s="4135" t="s">
        <v>855</v>
      </c>
      <c r="G127" s="4135" t="s">
        <v>542</v>
      </c>
      <c r="H127" s="4135">
        <v>3</v>
      </c>
      <c r="I127" s="4135">
        <v>10</v>
      </c>
      <c r="J127" s="4135">
        <v>30</v>
      </c>
      <c r="K127" s="4135" t="s">
        <v>856</v>
      </c>
      <c r="L127" s="4135" t="s">
        <v>10072</v>
      </c>
      <c r="M127" s="4135" t="s">
        <v>844</v>
      </c>
      <c r="N127" s="4135" t="s">
        <v>857</v>
      </c>
      <c r="O127" s="2725">
        <v>30</v>
      </c>
      <c r="P127" s="2725">
        <v>31</v>
      </c>
      <c r="Q127" s="2725">
        <v>32</v>
      </c>
      <c r="R127" s="2725">
        <v>33</v>
      </c>
      <c r="S127" s="2725">
        <v>34</v>
      </c>
      <c r="T127" s="2725">
        <v>35</v>
      </c>
      <c r="U127" s="4781">
        <v>36</v>
      </c>
      <c r="V127" s="2725">
        <v>37</v>
      </c>
      <c r="W127" s="2725">
        <v>38</v>
      </c>
      <c r="X127" s="2725">
        <v>39</v>
      </c>
      <c r="Y127" s="2725">
        <v>40</v>
      </c>
      <c r="Z127" s="4149">
        <v>384</v>
      </c>
      <c r="AA127" s="2725"/>
      <c r="AB127" s="4785">
        <v>1</v>
      </c>
      <c r="AC127" s="2725" t="s">
        <v>4036</v>
      </c>
      <c r="AD127" s="2725" t="s">
        <v>4037</v>
      </c>
      <c r="AE127" s="3224"/>
      <c r="AF127" s="3224"/>
      <c r="AG127" s="3224"/>
      <c r="AH127" s="3224"/>
      <c r="AI127" s="3224"/>
      <c r="AJ127" s="3224"/>
      <c r="AK127" s="3224"/>
      <c r="AL127" s="3224"/>
      <c r="AM127" s="3224"/>
      <c r="AN127" s="3224"/>
      <c r="AO127" s="3224"/>
      <c r="AP127" s="3224"/>
      <c r="AQ127" s="3224"/>
      <c r="AR127" s="3224"/>
      <c r="AS127" s="3224"/>
      <c r="AT127" s="3224"/>
      <c r="AU127" s="3224"/>
      <c r="AV127" s="3224"/>
      <c r="AW127" s="3224"/>
      <c r="AX127" s="3224"/>
      <c r="AY127" s="3224"/>
      <c r="AZ127" s="3224"/>
      <c r="BA127" s="3224"/>
      <c r="BB127" s="3224"/>
      <c r="BC127" s="3224"/>
      <c r="BD127" s="3224"/>
      <c r="BE127" s="3224"/>
      <c r="BF127" s="3224"/>
      <c r="BG127" s="3224"/>
      <c r="BH127" s="3224"/>
      <c r="BI127" s="3224"/>
      <c r="BJ127" s="3224"/>
      <c r="BK127" s="3224"/>
      <c r="BL127" s="3224"/>
      <c r="BM127" s="3224"/>
      <c r="BN127" s="3224"/>
      <c r="BO127" s="3224"/>
      <c r="BP127" s="3224"/>
      <c r="BQ127" s="3224"/>
      <c r="BR127" s="3224"/>
      <c r="BS127" s="3224"/>
      <c r="BT127" s="3922">
        <v>11</v>
      </c>
      <c r="BU127" s="3221">
        <v>11</v>
      </c>
      <c r="BV127" s="4135">
        <v>11</v>
      </c>
      <c r="BW127" s="3219">
        <v>1</v>
      </c>
      <c r="BX127" s="16004"/>
      <c r="BY127" s="4783" t="s">
        <v>9016</v>
      </c>
      <c r="BZ127" s="4788" t="s">
        <v>9017</v>
      </c>
      <c r="CA127" s="3221"/>
      <c r="CB127" s="3446"/>
      <c r="CC127" s="3446"/>
      <c r="CD127" s="3446"/>
      <c r="CE127" s="3446"/>
      <c r="CF127" s="3445"/>
      <c r="CG127" s="3445"/>
      <c r="CH127" s="3445"/>
      <c r="CI127" s="3445"/>
      <c r="CJ127" s="3445"/>
      <c r="CK127" s="3445"/>
      <c r="CL127" s="3445"/>
      <c r="CM127" s="3445"/>
      <c r="CN127" s="3445"/>
      <c r="CO127" s="3445"/>
      <c r="CP127" s="3445"/>
      <c r="CQ127" s="3445"/>
      <c r="CR127" s="3445"/>
      <c r="CS127" s="4673"/>
      <c r="CT127" s="3445"/>
      <c r="CU127" s="3445"/>
      <c r="CV127" s="3445"/>
      <c r="CW127" s="3445"/>
      <c r="CX127" s="3445"/>
      <c r="CY127" s="3445"/>
      <c r="CZ127" s="3445"/>
      <c r="DA127" s="3445"/>
      <c r="DB127" s="3445"/>
      <c r="DC127" s="3445"/>
      <c r="DD127" s="3445"/>
      <c r="DE127" s="3445"/>
      <c r="DF127" s="3445"/>
      <c r="DG127" s="3445"/>
      <c r="DH127" s="3445"/>
      <c r="DI127" s="3445"/>
      <c r="DJ127" s="3445"/>
      <c r="DK127" s="3445"/>
      <c r="DL127" s="3445"/>
      <c r="DM127" s="3445"/>
      <c r="DN127" s="3445"/>
      <c r="DO127" s="3527"/>
      <c r="DQ127" s="2056"/>
      <c r="DR127" s="3224"/>
      <c r="DS127" s="3224"/>
      <c r="DT127" s="3224"/>
      <c r="DU127" s="3224"/>
      <c r="DV127" s="3224"/>
      <c r="DW127" s="3224"/>
      <c r="DX127" s="3224"/>
      <c r="DY127" s="3224"/>
      <c r="DZ127" s="3224"/>
      <c r="EA127" s="3224"/>
      <c r="EB127" s="3224"/>
      <c r="EC127" s="3224"/>
      <c r="ED127" s="3224"/>
      <c r="EE127" s="3224"/>
      <c r="EF127" s="3224"/>
      <c r="EG127" s="3224"/>
      <c r="EH127" s="3224"/>
      <c r="EI127" s="3224"/>
      <c r="EJ127" s="3224"/>
      <c r="EK127" s="3224"/>
      <c r="EL127" s="3224"/>
      <c r="EM127" s="3224"/>
      <c r="EN127" s="3224"/>
      <c r="EO127" s="3224"/>
      <c r="EP127" s="3224"/>
      <c r="EQ127" s="3224"/>
      <c r="ER127" s="3224"/>
      <c r="ES127" s="3224"/>
      <c r="ET127" s="3224"/>
      <c r="EU127" s="3224"/>
      <c r="EV127" s="3224"/>
      <c r="EW127" s="3224"/>
      <c r="EX127" s="3224"/>
      <c r="EY127" s="3224"/>
      <c r="EZ127" s="3224"/>
      <c r="FA127" s="3224"/>
      <c r="FB127" s="3224"/>
      <c r="FC127" s="3224"/>
      <c r="FD127" s="3224"/>
      <c r="FE127" s="3224"/>
      <c r="FF127" s="3224"/>
      <c r="FG127" s="3224"/>
      <c r="FH127" s="3224"/>
      <c r="FI127" s="3224"/>
      <c r="FJ127" s="2057"/>
    </row>
    <row r="128" spans="1:166" s="1834" customFormat="1" ht="15" customHeight="1">
      <c r="A128" s="15968"/>
      <c r="B128" s="15971"/>
      <c r="C128" s="15617" t="s">
        <v>858</v>
      </c>
      <c r="D128" s="4129" t="s">
        <v>7986</v>
      </c>
      <c r="E128" s="4135" t="s">
        <v>5013</v>
      </c>
      <c r="F128" s="4135" t="s">
        <v>859</v>
      </c>
      <c r="G128" s="4135" t="s">
        <v>542</v>
      </c>
      <c r="H128" s="4135">
        <v>5</v>
      </c>
      <c r="I128" s="4135">
        <v>10</v>
      </c>
      <c r="J128" s="4135">
        <v>20</v>
      </c>
      <c r="K128" s="4135" t="s">
        <v>651</v>
      </c>
      <c r="L128" s="4135" t="s">
        <v>10072</v>
      </c>
      <c r="M128" s="4135" t="s">
        <v>844</v>
      </c>
      <c r="N128" s="4135"/>
      <c r="O128" s="2725">
        <v>35</v>
      </c>
      <c r="P128" s="2725">
        <v>36</v>
      </c>
      <c r="Q128" s="2725">
        <v>37</v>
      </c>
      <c r="R128" s="2725">
        <v>38</v>
      </c>
      <c r="S128" s="2725">
        <v>39</v>
      </c>
      <c r="T128" s="2725">
        <v>41</v>
      </c>
      <c r="U128" s="4781">
        <v>42</v>
      </c>
      <c r="V128" s="2725">
        <v>43</v>
      </c>
      <c r="W128" s="2725">
        <v>44</v>
      </c>
      <c r="X128" s="2725">
        <v>46</v>
      </c>
      <c r="Y128" s="2725">
        <v>47</v>
      </c>
      <c r="Z128" s="4149">
        <v>448</v>
      </c>
      <c r="AA128" s="2725"/>
      <c r="AB128" s="4789">
        <v>0.1</v>
      </c>
      <c r="AC128" s="4790" t="s">
        <v>4038</v>
      </c>
      <c r="AD128" s="4790" t="s">
        <v>4039</v>
      </c>
      <c r="AE128" s="4791"/>
      <c r="AF128" s="4792">
        <v>110988778</v>
      </c>
      <c r="AG128" s="4793">
        <v>35000000</v>
      </c>
      <c r="AH128" s="4793">
        <v>45000000</v>
      </c>
      <c r="AI128" s="4791">
        <v>30988778</v>
      </c>
      <c r="AJ128" s="4793">
        <v>733</v>
      </c>
      <c r="AK128" s="4793">
        <v>453</v>
      </c>
      <c r="AL128" s="4793">
        <v>280</v>
      </c>
      <c r="AM128" s="4793">
        <v>659</v>
      </c>
      <c r="AN128" s="4793">
        <v>74</v>
      </c>
      <c r="AO128" s="4793">
        <v>35</v>
      </c>
      <c r="AP128" s="4793">
        <v>217</v>
      </c>
      <c r="AQ128" s="4793">
        <v>190</v>
      </c>
      <c r="AR128" s="4793">
        <v>124</v>
      </c>
      <c r="AS128" s="4793">
        <v>127</v>
      </c>
      <c r="AT128" s="4793">
        <v>40</v>
      </c>
      <c r="AU128" s="4793">
        <v>0</v>
      </c>
      <c r="AV128" s="4793">
        <v>29</v>
      </c>
      <c r="AW128" s="4793">
        <v>733</v>
      </c>
      <c r="AX128" s="4793">
        <v>20</v>
      </c>
      <c r="AY128" s="4793">
        <v>3</v>
      </c>
      <c r="AZ128" s="4793">
        <v>4</v>
      </c>
      <c r="BA128" s="4793">
        <v>2</v>
      </c>
      <c r="BB128" s="4793">
        <v>1</v>
      </c>
      <c r="BC128" s="4793">
        <v>2</v>
      </c>
      <c r="BD128" s="4793">
        <v>0</v>
      </c>
      <c r="BE128" s="4793">
        <v>0</v>
      </c>
      <c r="BF128" s="4793">
        <v>0</v>
      </c>
      <c r="BG128" s="4793">
        <v>0</v>
      </c>
      <c r="BH128" s="4793">
        <v>19</v>
      </c>
      <c r="BI128" s="4793">
        <v>9</v>
      </c>
      <c r="BJ128" s="4793">
        <v>670</v>
      </c>
      <c r="BK128" s="4793">
        <v>29</v>
      </c>
      <c r="BL128" s="4793">
        <v>11</v>
      </c>
      <c r="BM128" s="4793">
        <v>0</v>
      </c>
      <c r="BN128" s="4793">
        <v>0</v>
      </c>
      <c r="BO128" s="4793">
        <v>0</v>
      </c>
      <c r="BP128" s="4793"/>
      <c r="BQ128" s="4791"/>
      <c r="BR128" s="4791"/>
      <c r="BS128" s="4791"/>
      <c r="BT128" s="3922">
        <v>5</v>
      </c>
      <c r="BU128" s="3221">
        <v>5</v>
      </c>
      <c r="BV128" s="4135">
        <v>5</v>
      </c>
      <c r="BW128" s="3219">
        <v>1</v>
      </c>
      <c r="BX128" s="16004"/>
      <c r="BY128" s="4783" t="s">
        <v>9018</v>
      </c>
      <c r="BZ128" s="4783" t="s">
        <v>9019</v>
      </c>
      <c r="CA128" s="3221"/>
      <c r="CB128" s="3446"/>
      <c r="CC128" s="3446"/>
      <c r="CD128" s="3446"/>
      <c r="CE128" s="3446"/>
      <c r="CF128" s="3445"/>
      <c r="CG128" s="3445"/>
      <c r="CH128" s="3445"/>
      <c r="CI128" s="3445"/>
      <c r="CJ128" s="3445"/>
      <c r="CK128" s="3445"/>
      <c r="CL128" s="3445"/>
      <c r="CM128" s="3445"/>
      <c r="CN128" s="3445"/>
      <c r="CO128" s="3445"/>
      <c r="CP128" s="3445"/>
      <c r="CQ128" s="3445"/>
      <c r="CR128" s="3445"/>
      <c r="CS128" s="4673"/>
      <c r="CT128" s="3445"/>
      <c r="CU128" s="3445"/>
      <c r="CV128" s="3445"/>
      <c r="CW128" s="3445"/>
      <c r="CX128" s="3445"/>
      <c r="CY128" s="3445"/>
      <c r="CZ128" s="3445"/>
      <c r="DA128" s="3445"/>
      <c r="DB128" s="3445"/>
      <c r="DC128" s="3445"/>
      <c r="DD128" s="3445"/>
      <c r="DE128" s="3445"/>
      <c r="DF128" s="3445"/>
      <c r="DG128" s="3445"/>
      <c r="DH128" s="3445"/>
      <c r="DI128" s="3445"/>
      <c r="DJ128" s="3445"/>
      <c r="DK128" s="3445"/>
      <c r="DL128" s="3445"/>
      <c r="DM128" s="3445"/>
      <c r="DN128" s="3445"/>
      <c r="DO128" s="3527"/>
      <c r="DQ128" s="2056"/>
      <c r="DR128" s="3224"/>
      <c r="DS128" s="3224"/>
      <c r="DT128" s="3224"/>
      <c r="DU128" s="3224"/>
      <c r="DV128" s="3224"/>
      <c r="DW128" s="3224"/>
      <c r="DX128" s="3224"/>
      <c r="DY128" s="3224"/>
      <c r="DZ128" s="3224"/>
      <c r="EA128" s="3224"/>
      <c r="EB128" s="3224"/>
      <c r="EC128" s="3224"/>
      <c r="ED128" s="3224"/>
      <c r="EE128" s="3224"/>
      <c r="EF128" s="3224"/>
      <c r="EG128" s="3224"/>
      <c r="EH128" s="3224"/>
      <c r="EI128" s="3224"/>
      <c r="EJ128" s="3224"/>
      <c r="EK128" s="3224"/>
      <c r="EL128" s="3224"/>
      <c r="EM128" s="3224"/>
      <c r="EN128" s="3224"/>
      <c r="EO128" s="3224"/>
      <c r="EP128" s="3224"/>
      <c r="EQ128" s="3224"/>
      <c r="ER128" s="3224"/>
      <c r="ES128" s="3224"/>
      <c r="ET128" s="3224"/>
      <c r="EU128" s="3224"/>
      <c r="EV128" s="3224"/>
      <c r="EW128" s="3224"/>
      <c r="EX128" s="3224"/>
      <c r="EY128" s="3224"/>
      <c r="EZ128" s="3224"/>
      <c r="FA128" s="3224"/>
      <c r="FB128" s="3224"/>
      <c r="FC128" s="3224"/>
      <c r="FD128" s="3224"/>
      <c r="FE128" s="3224"/>
      <c r="FF128" s="3224"/>
      <c r="FG128" s="3224"/>
      <c r="FH128" s="3224"/>
      <c r="FI128" s="3224"/>
      <c r="FJ128" s="2057"/>
    </row>
    <row r="129" spans="1:166" s="1834" customFormat="1" ht="15" customHeight="1">
      <c r="A129" s="15968"/>
      <c r="B129" s="15971"/>
      <c r="C129" s="15617"/>
      <c r="D129" s="4129" t="s">
        <v>7987</v>
      </c>
      <c r="E129" s="4135" t="s">
        <v>5014</v>
      </c>
      <c r="F129" s="4135" t="s">
        <v>860</v>
      </c>
      <c r="G129" s="4135">
        <v>0</v>
      </c>
      <c r="H129" s="4135">
        <v>1</v>
      </c>
      <c r="I129" s="4135">
        <v>4</v>
      </c>
      <c r="J129" s="4135">
        <v>10</v>
      </c>
      <c r="K129" s="4135" t="s">
        <v>648</v>
      </c>
      <c r="L129" s="4135" t="s">
        <v>10072</v>
      </c>
      <c r="M129" s="4135" t="s">
        <v>844</v>
      </c>
      <c r="N129" s="4135" t="s">
        <v>861</v>
      </c>
      <c r="O129" s="2725">
        <v>30</v>
      </c>
      <c r="P129" s="2725">
        <v>31</v>
      </c>
      <c r="Q129" s="2725">
        <v>32</v>
      </c>
      <c r="R129" s="2725">
        <v>33</v>
      </c>
      <c r="S129" s="2725">
        <v>34</v>
      </c>
      <c r="T129" s="2725">
        <v>35</v>
      </c>
      <c r="U129" s="4781">
        <v>36</v>
      </c>
      <c r="V129" s="2725">
        <v>37</v>
      </c>
      <c r="W129" s="2725">
        <v>38</v>
      </c>
      <c r="X129" s="2725">
        <v>39</v>
      </c>
      <c r="Y129" s="2725">
        <v>40</v>
      </c>
      <c r="Z129" s="4149">
        <v>384</v>
      </c>
      <c r="AA129" s="2725"/>
      <c r="AB129" s="4160">
        <v>0.7</v>
      </c>
      <c r="AC129" s="3224"/>
      <c r="AD129" s="3224"/>
      <c r="AE129" s="3439" t="s">
        <v>4040</v>
      </c>
      <c r="AF129" s="3224"/>
      <c r="AG129" s="3224"/>
      <c r="AH129" s="3224"/>
      <c r="AI129" s="3224"/>
      <c r="AJ129" s="3224"/>
      <c r="AK129" s="3224"/>
      <c r="AL129" s="3224"/>
      <c r="AM129" s="3224"/>
      <c r="AN129" s="3224"/>
      <c r="AO129" s="3224"/>
      <c r="AP129" s="3224"/>
      <c r="AQ129" s="3224"/>
      <c r="AR129" s="3224"/>
      <c r="AS129" s="3224"/>
      <c r="AT129" s="3224"/>
      <c r="AU129" s="3224"/>
      <c r="AV129" s="3224"/>
      <c r="AW129" s="3224"/>
      <c r="AX129" s="3224"/>
      <c r="AY129" s="3224"/>
      <c r="AZ129" s="3224"/>
      <c r="BA129" s="3224"/>
      <c r="BB129" s="3224"/>
      <c r="BC129" s="3224"/>
      <c r="BD129" s="3224"/>
      <c r="BE129" s="3224"/>
      <c r="BF129" s="3224"/>
      <c r="BG129" s="3224"/>
      <c r="BH129" s="3224"/>
      <c r="BI129" s="3224"/>
      <c r="BJ129" s="3224"/>
      <c r="BK129" s="3224"/>
      <c r="BL129" s="3224"/>
      <c r="BM129" s="3224"/>
      <c r="BN129" s="3224"/>
      <c r="BO129" s="3224"/>
      <c r="BP129" s="3224"/>
      <c r="BQ129" s="3224"/>
      <c r="BR129" s="3224"/>
      <c r="BS129" s="3224"/>
      <c r="BT129" s="3922">
        <v>2</v>
      </c>
      <c r="BU129" s="3221">
        <v>2</v>
      </c>
      <c r="BV129" s="4135">
        <v>2</v>
      </c>
      <c r="BW129" s="3219">
        <v>0.7</v>
      </c>
      <c r="BX129" s="16004"/>
      <c r="BY129" s="4783" t="s">
        <v>9020</v>
      </c>
      <c r="BZ129" s="4784"/>
      <c r="CA129" s="4783" t="s">
        <v>9021</v>
      </c>
      <c r="CB129" s="3446"/>
      <c r="CC129" s="3446"/>
      <c r="CD129" s="3446"/>
      <c r="CE129" s="3446"/>
      <c r="CF129" s="3445"/>
      <c r="CG129" s="3445"/>
      <c r="CH129" s="3445"/>
      <c r="CI129" s="3445"/>
      <c r="CJ129" s="3445"/>
      <c r="CK129" s="3445"/>
      <c r="CL129" s="3445"/>
      <c r="CM129" s="3445"/>
      <c r="CN129" s="3445"/>
      <c r="CO129" s="3445"/>
      <c r="CP129" s="3445"/>
      <c r="CQ129" s="3445"/>
      <c r="CR129" s="3445"/>
      <c r="CS129" s="4673"/>
      <c r="CT129" s="3445"/>
      <c r="CU129" s="3445"/>
      <c r="CV129" s="3445"/>
      <c r="CW129" s="3445"/>
      <c r="CX129" s="3445"/>
      <c r="CY129" s="3445"/>
      <c r="CZ129" s="3445"/>
      <c r="DA129" s="3445"/>
      <c r="DB129" s="3445"/>
      <c r="DC129" s="3445"/>
      <c r="DD129" s="3445"/>
      <c r="DE129" s="3445"/>
      <c r="DF129" s="3445"/>
      <c r="DG129" s="3445"/>
      <c r="DH129" s="3445"/>
      <c r="DI129" s="3445"/>
      <c r="DJ129" s="3445"/>
      <c r="DK129" s="3445"/>
      <c r="DL129" s="3445"/>
      <c r="DM129" s="3445"/>
      <c r="DN129" s="3445"/>
      <c r="DO129" s="3527"/>
      <c r="DQ129" s="2056"/>
      <c r="DR129" s="3224"/>
      <c r="DS129" s="3224"/>
      <c r="DT129" s="3224"/>
      <c r="DU129" s="3224"/>
      <c r="DV129" s="3224"/>
      <c r="DW129" s="3224"/>
      <c r="DX129" s="3224"/>
      <c r="DY129" s="3224"/>
      <c r="DZ129" s="3224"/>
      <c r="EA129" s="3224"/>
      <c r="EB129" s="3224"/>
      <c r="EC129" s="3224"/>
      <c r="ED129" s="3224"/>
      <c r="EE129" s="3224"/>
      <c r="EF129" s="3224"/>
      <c r="EG129" s="3224"/>
      <c r="EH129" s="3224"/>
      <c r="EI129" s="3224"/>
      <c r="EJ129" s="3224"/>
      <c r="EK129" s="3224"/>
      <c r="EL129" s="3224"/>
      <c r="EM129" s="3224"/>
      <c r="EN129" s="3224"/>
      <c r="EO129" s="3224"/>
      <c r="EP129" s="3224"/>
      <c r="EQ129" s="3224"/>
      <c r="ER129" s="3224"/>
      <c r="ES129" s="3224"/>
      <c r="ET129" s="3224"/>
      <c r="EU129" s="3224"/>
      <c r="EV129" s="3224"/>
      <c r="EW129" s="3224"/>
      <c r="EX129" s="3224"/>
      <c r="EY129" s="3224"/>
      <c r="EZ129" s="3224"/>
      <c r="FA129" s="3224"/>
      <c r="FB129" s="3224"/>
      <c r="FC129" s="3224"/>
      <c r="FD129" s="3224"/>
      <c r="FE129" s="3224"/>
      <c r="FF129" s="3224"/>
      <c r="FG129" s="3224"/>
      <c r="FH129" s="3224"/>
      <c r="FI129" s="3224"/>
      <c r="FJ129" s="2057"/>
    </row>
    <row r="130" spans="1:166" s="1834" customFormat="1" ht="15" customHeight="1">
      <c r="A130" s="15968"/>
      <c r="B130" s="15971"/>
      <c r="C130" s="15617"/>
      <c r="D130" s="15617" t="s">
        <v>7988</v>
      </c>
      <c r="E130" s="15708" t="s">
        <v>5015</v>
      </c>
      <c r="F130" s="15708" t="s">
        <v>862</v>
      </c>
      <c r="G130" s="15708" t="s">
        <v>542</v>
      </c>
      <c r="H130" s="15893">
        <v>0.5</v>
      </c>
      <c r="I130" s="15893">
        <v>0.2</v>
      </c>
      <c r="J130" s="15893">
        <v>0</v>
      </c>
      <c r="K130" s="15708" t="s">
        <v>863</v>
      </c>
      <c r="L130" s="4135" t="s">
        <v>10072</v>
      </c>
      <c r="M130" s="4135" t="s">
        <v>844</v>
      </c>
      <c r="N130" s="4135"/>
      <c r="O130" s="2725">
        <v>800</v>
      </c>
      <c r="P130" s="2725" t="s">
        <v>849</v>
      </c>
      <c r="Q130" s="2725">
        <v>849</v>
      </c>
      <c r="R130" s="2725" t="s">
        <v>849</v>
      </c>
      <c r="S130" s="2725">
        <v>900</v>
      </c>
      <c r="T130" s="2725" t="s">
        <v>849</v>
      </c>
      <c r="U130" s="4781">
        <v>955</v>
      </c>
      <c r="V130" s="2725" t="s">
        <v>849</v>
      </c>
      <c r="W130" s="3226">
        <v>1013</v>
      </c>
      <c r="X130" s="2725" t="s">
        <v>849</v>
      </c>
      <c r="Y130" s="3226">
        <v>1075</v>
      </c>
      <c r="Z130" s="4149">
        <v>5593</v>
      </c>
      <c r="AA130" s="2725"/>
      <c r="AB130" s="4794">
        <v>1</v>
      </c>
      <c r="AC130" s="3439" t="s">
        <v>4041</v>
      </c>
      <c r="AD130" s="4782" t="s">
        <v>4042</v>
      </c>
      <c r="AE130" s="3224"/>
      <c r="AF130" s="3224"/>
      <c r="AG130" s="3224"/>
      <c r="AH130" s="3224"/>
      <c r="AI130" s="3224"/>
      <c r="AJ130" s="3224"/>
      <c r="AK130" s="3224"/>
      <c r="AL130" s="3224"/>
      <c r="AM130" s="3224"/>
      <c r="AN130" s="3224"/>
      <c r="AO130" s="3224"/>
      <c r="AP130" s="3224"/>
      <c r="AQ130" s="3224"/>
      <c r="AR130" s="3224"/>
      <c r="AS130" s="3224"/>
      <c r="AT130" s="3224"/>
      <c r="AU130" s="3224"/>
      <c r="AV130" s="3224"/>
      <c r="AW130" s="3224"/>
      <c r="AX130" s="3224"/>
      <c r="AY130" s="3224"/>
      <c r="AZ130" s="3224"/>
      <c r="BA130" s="3224"/>
      <c r="BB130" s="3224"/>
      <c r="BC130" s="3224"/>
      <c r="BD130" s="3224"/>
      <c r="BE130" s="3224"/>
      <c r="BF130" s="3224"/>
      <c r="BG130" s="3224"/>
      <c r="BH130" s="3224"/>
      <c r="BI130" s="3224"/>
      <c r="BJ130" s="3224"/>
      <c r="BK130" s="3224"/>
      <c r="BL130" s="3224"/>
      <c r="BM130" s="3224"/>
      <c r="BN130" s="3224"/>
      <c r="BO130" s="3224"/>
      <c r="BP130" s="3224"/>
      <c r="BQ130" s="3224"/>
      <c r="BR130" s="3224"/>
      <c r="BS130" s="3224"/>
      <c r="BT130" s="4795" t="s">
        <v>3781</v>
      </c>
      <c r="BU130" s="3152" t="s">
        <v>3781</v>
      </c>
      <c r="BV130" s="4654">
        <v>0.1</v>
      </c>
      <c r="BW130" s="3219" t="s">
        <v>3781</v>
      </c>
      <c r="BX130" s="16004"/>
      <c r="BY130" s="4784"/>
      <c r="BZ130" s="4784"/>
      <c r="CA130" s="4784"/>
      <c r="CB130" s="3446"/>
      <c r="CC130" s="3446"/>
      <c r="CD130" s="3446"/>
      <c r="CE130" s="3446"/>
      <c r="CF130" s="3445"/>
      <c r="CG130" s="3445"/>
      <c r="CH130" s="3445"/>
      <c r="CI130" s="3445"/>
      <c r="CJ130" s="3445"/>
      <c r="CK130" s="3445"/>
      <c r="CL130" s="3445"/>
      <c r="CM130" s="3445"/>
      <c r="CN130" s="3445"/>
      <c r="CO130" s="3445"/>
      <c r="CP130" s="3445"/>
      <c r="CQ130" s="3445"/>
      <c r="CR130" s="3445"/>
      <c r="CS130" s="4673"/>
      <c r="CT130" s="3445"/>
      <c r="CU130" s="3445"/>
      <c r="CV130" s="3445"/>
      <c r="CW130" s="3445"/>
      <c r="CX130" s="3445"/>
      <c r="CY130" s="3445"/>
      <c r="CZ130" s="3445"/>
      <c r="DA130" s="3445"/>
      <c r="DB130" s="3445"/>
      <c r="DC130" s="3445"/>
      <c r="DD130" s="3445"/>
      <c r="DE130" s="3445"/>
      <c r="DF130" s="3445"/>
      <c r="DG130" s="3445"/>
      <c r="DH130" s="3445"/>
      <c r="DI130" s="3445"/>
      <c r="DJ130" s="3445"/>
      <c r="DK130" s="3445"/>
      <c r="DL130" s="3445"/>
      <c r="DM130" s="3445"/>
      <c r="DN130" s="3445"/>
      <c r="DO130" s="3527"/>
      <c r="DQ130" s="2056"/>
      <c r="DR130" s="3224"/>
      <c r="DS130" s="3224"/>
      <c r="DT130" s="3224"/>
      <c r="DU130" s="3224"/>
      <c r="DV130" s="3224"/>
      <c r="DW130" s="3224"/>
      <c r="DX130" s="3224"/>
      <c r="DY130" s="3224"/>
      <c r="DZ130" s="3224"/>
      <c r="EA130" s="3224"/>
      <c r="EB130" s="3224"/>
      <c r="EC130" s="3224"/>
      <c r="ED130" s="3224"/>
      <c r="EE130" s="3224"/>
      <c r="EF130" s="3224"/>
      <c r="EG130" s="3224"/>
      <c r="EH130" s="3224"/>
      <c r="EI130" s="3224"/>
      <c r="EJ130" s="3224"/>
      <c r="EK130" s="3224"/>
      <c r="EL130" s="3224"/>
      <c r="EM130" s="3224"/>
      <c r="EN130" s="3224"/>
      <c r="EO130" s="3224"/>
      <c r="EP130" s="3224"/>
      <c r="EQ130" s="3224"/>
      <c r="ER130" s="3224"/>
      <c r="ES130" s="3224"/>
      <c r="ET130" s="3224"/>
      <c r="EU130" s="3224"/>
      <c r="EV130" s="3224"/>
      <c r="EW130" s="3224"/>
      <c r="EX130" s="3224"/>
      <c r="EY130" s="3224"/>
      <c r="EZ130" s="3224"/>
      <c r="FA130" s="3224"/>
      <c r="FB130" s="3224"/>
      <c r="FC130" s="3224"/>
      <c r="FD130" s="3224"/>
      <c r="FE130" s="3224"/>
      <c r="FF130" s="3224"/>
      <c r="FG130" s="3224"/>
      <c r="FH130" s="3224"/>
      <c r="FI130" s="3224"/>
      <c r="FJ130" s="2057"/>
    </row>
    <row r="131" spans="1:166" s="1834" customFormat="1" ht="15" customHeight="1">
      <c r="A131" s="15968"/>
      <c r="B131" s="15971"/>
      <c r="C131" s="15617"/>
      <c r="D131" s="15617"/>
      <c r="E131" s="15708"/>
      <c r="F131" s="15708"/>
      <c r="G131" s="15708"/>
      <c r="H131" s="15893"/>
      <c r="I131" s="15893"/>
      <c r="J131" s="15893"/>
      <c r="K131" s="15708"/>
      <c r="L131" s="4135" t="s">
        <v>10092</v>
      </c>
      <c r="M131" s="4135"/>
      <c r="N131" s="4135" t="s">
        <v>864</v>
      </c>
      <c r="O131" s="2725"/>
      <c r="P131" s="2725"/>
      <c r="Q131" s="2725"/>
      <c r="R131" s="2725"/>
      <c r="S131" s="2725"/>
      <c r="T131" s="2725"/>
      <c r="U131" s="4781"/>
      <c r="V131" s="2725"/>
      <c r="W131" s="3226"/>
      <c r="X131" s="2725"/>
      <c r="Y131" s="3226"/>
      <c r="Z131" s="4149"/>
      <c r="AA131" s="2725"/>
      <c r="AB131" s="4794"/>
      <c r="AC131" s="3439"/>
      <c r="AD131" s="4782"/>
      <c r="AE131" s="3224"/>
      <c r="AF131" s="3224"/>
      <c r="AG131" s="3224"/>
      <c r="AH131" s="3224"/>
      <c r="AI131" s="3224"/>
      <c r="AJ131" s="3224"/>
      <c r="AK131" s="3224"/>
      <c r="AL131" s="3224"/>
      <c r="AM131" s="3224"/>
      <c r="AN131" s="3224"/>
      <c r="AO131" s="3224"/>
      <c r="AP131" s="3224"/>
      <c r="AQ131" s="3224"/>
      <c r="AR131" s="3224"/>
      <c r="AS131" s="3224"/>
      <c r="AT131" s="3224"/>
      <c r="AU131" s="3224"/>
      <c r="AV131" s="3224"/>
      <c r="AW131" s="3224"/>
      <c r="AX131" s="3224"/>
      <c r="AY131" s="3224"/>
      <c r="AZ131" s="3224"/>
      <c r="BA131" s="3224"/>
      <c r="BB131" s="3224"/>
      <c r="BC131" s="3224"/>
      <c r="BD131" s="3224"/>
      <c r="BE131" s="3224"/>
      <c r="BF131" s="3224"/>
      <c r="BG131" s="3224"/>
      <c r="BH131" s="3224"/>
      <c r="BI131" s="3224"/>
      <c r="BJ131" s="3224"/>
      <c r="BK131" s="3224"/>
      <c r="BL131" s="3224"/>
      <c r="BM131" s="3224"/>
      <c r="BN131" s="3224"/>
      <c r="BO131" s="3224"/>
      <c r="BP131" s="3224"/>
      <c r="BQ131" s="3224"/>
      <c r="BR131" s="3224"/>
      <c r="BS131" s="3224"/>
      <c r="BT131" s="4795"/>
      <c r="BU131" s="3152"/>
      <c r="BV131" s="4654"/>
      <c r="BW131" s="3219"/>
      <c r="BX131" s="16004"/>
      <c r="BY131" s="4784"/>
      <c r="BZ131" s="4784"/>
      <c r="CA131" s="4784"/>
      <c r="CB131" s="3446"/>
      <c r="CC131" s="3446"/>
      <c r="CD131" s="3446"/>
      <c r="CE131" s="3446"/>
      <c r="CF131" s="3445"/>
      <c r="CG131" s="3445"/>
      <c r="CH131" s="3445"/>
      <c r="CI131" s="3445"/>
      <c r="CJ131" s="3445"/>
      <c r="CK131" s="3445"/>
      <c r="CL131" s="3445"/>
      <c r="CM131" s="3445"/>
      <c r="CN131" s="3445"/>
      <c r="CO131" s="3445"/>
      <c r="CP131" s="3445"/>
      <c r="CQ131" s="3445"/>
      <c r="CR131" s="3445"/>
      <c r="CS131" s="4673"/>
      <c r="CT131" s="3445"/>
      <c r="CU131" s="3445"/>
      <c r="CV131" s="3445"/>
      <c r="CW131" s="3445"/>
      <c r="CX131" s="3445"/>
      <c r="CY131" s="3445"/>
      <c r="CZ131" s="3445"/>
      <c r="DA131" s="3445"/>
      <c r="DB131" s="3445"/>
      <c r="DC131" s="3445"/>
      <c r="DD131" s="3445"/>
      <c r="DE131" s="3445"/>
      <c r="DF131" s="3445"/>
      <c r="DG131" s="3445"/>
      <c r="DH131" s="3445"/>
      <c r="DI131" s="3445"/>
      <c r="DJ131" s="3445"/>
      <c r="DK131" s="3445"/>
      <c r="DL131" s="3445"/>
      <c r="DM131" s="3445"/>
      <c r="DN131" s="3445"/>
      <c r="DO131" s="3527"/>
      <c r="DQ131" s="2056"/>
      <c r="DR131" s="3224"/>
      <c r="DS131" s="3224"/>
      <c r="DT131" s="3224"/>
      <c r="DU131" s="3224"/>
      <c r="DV131" s="3224"/>
      <c r="DW131" s="3224"/>
      <c r="DX131" s="3224"/>
      <c r="DY131" s="3224"/>
      <c r="DZ131" s="3224"/>
      <c r="EA131" s="3224"/>
      <c r="EB131" s="3224"/>
      <c r="EC131" s="3224"/>
      <c r="ED131" s="3224"/>
      <c r="EE131" s="3224"/>
      <c r="EF131" s="3224"/>
      <c r="EG131" s="3224"/>
      <c r="EH131" s="3224"/>
      <c r="EI131" s="3224"/>
      <c r="EJ131" s="3224"/>
      <c r="EK131" s="3224"/>
      <c r="EL131" s="3224"/>
      <c r="EM131" s="3224"/>
      <c r="EN131" s="3224"/>
      <c r="EO131" s="3224"/>
      <c r="EP131" s="3224"/>
      <c r="EQ131" s="3224"/>
      <c r="ER131" s="3224"/>
      <c r="ES131" s="3224"/>
      <c r="ET131" s="3224"/>
      <c r="EU131" s="3224"/>
      <c r="EV131" s="3224"/>
      <c r="EW131" s="3224"/>
      <c r="EX131" s="3224"/>
      <c r="EY131" s="3224"/>
      <c r="EZ131" s="3224"/>
      <c r="FA131" s="3224"/>
      <c r="FB131" s="3224"/>
      <c r="FC131" s="3224"/>
      <c r="FD131" s="3224"/>
      <c r="FE131" s="3224"/>
      <c r="FF131" s="3224"/>
      <c r="FG131" s="3224"/>
      <c r="FH131" s="3224"/>
      <c r="FI131" s="3224"/>
      <c r="FJ131" s="2057"/>
    </row>
    <row r="132" spans="1:166" s="1834" customFormat="1" ht="15" customHeight="1">
      <c r="A132" s="15968"/>
      <c r="B132" s="15971"/>
      <c r="C132" s="15617"/>
      <c r="D132" s="4129" t="s">
        <v>7989</v>
      </c>
      <c r="E132" s="4135" t="s">
        <v>5016</v>
      </c>
      <c r="F132" s="4135" t="s">
        <v>865</v>
      </c>
      <c r="G132" s="4135" t="s">
        <v>866</v>
      </c>
      <c r="H132" s="4135">
        <v>1</v>
      </c>
      <c r="I132" s="4135">
        <v>1</v>
      </c>
      <c r="J132" s="4135">
        <v>1</v>
      </c>
      <c r="K132" s="4135" t="s">
        <v>867</v>
      </c>
      <c r="L132" s="4135" t="s">
        <v>10072</v>
      </c>
      <c r="M132" s="4135" t="s">
        <v>844</v>
      </c>
      <c r="N132" s="4135" t="s">
        <v>868</v>
      </c>
      <c r="O132" s="2725">
        <v>50</v>
      </c>
      <c r="P132" s="2725">
        <v>52</v>
      </c>
      <c r="Q132" s="2725">
        <v>53</v>
      </c>
      <c r="R132" s="2725">
        <v>55</v>
      </c>
      <c r="S132" s="2725">
        <v>56</v>
      </c>
      <c r="T132" s="2725">
        <v>58</v>
      </c>
      <c r="U132" s="4781">
        <v>60</v>
      </c>
      <c r="V132" s="2725">
        <v>61</v>
      </c>
      <c r="W132" s="2725">
        <v>63</v>
      </c>
      <c r="X132" s="2725">
        <v>65</v>
      </c>
      <c r="Y132" s="2725">
        <v>67</v>
      </c>
      <c r="Z132" s="4149">
        <v>640</v>
      </c>
      <c r="AA132" s="2725"/>
      <c r="AB132" s="4785">
        <v>0</v>
      </c>
      <c r="AC132" s="3224"/>
      <c r="AD132" s="3224"/>
      <c r="AE132" s="3439" t="s">
        <v>4043</v>
      </c>
      <c r="AF132" s="3224"/>
      <c r="AG132" s="3224"/>
      <c r="AH132" s="3224"/>
      <c r="AI132" s="3224"/>
      <c r="AJ132" s="3224"/>
      <c r="AK132" s="3224"/>
      <c r="AL132" s="3224"/>
      <c r="AM132" s="3224"/>
      <c r="AN132" s="3224"/>
      <c r="AO132" s="3224"/>
      <c r="AP132" s="3224"/>
      <c r="AQ132" s="3224"/>
      <c r="AR132" s="3224"/>
      <c r="AS132" s="3224"/>
      <c r="AT132" s="3224"/>
      <c r="AU132" s="3224"/>
      <c r="AV132" s="3224"/>
      <c r="AW132" s="3224"/>
      <c r="AX132" s="3224"/>
      <c r="AY132" s="3224"/>
      <c r="AZ132" s="3224"/>
      <c r="BA132" s="3224"/>
      <c r="BB132" s="3224"/>
      <c r="BC132" s="3224"/>
      <c r="BD132" s="3224"/>
      <c r="BE132" s="3224"/>
      <c r="BF132" s="3224"/>
      <c r="BG132" s="3224"/>
      <c r="BH132" s="3224"/>
      <c r="BI132" s="3224"/>
      <c r="BJ132" s="3224"/>
      <c r="BK132" s="3224"/>
      <c r="BL132" s="3224"/>
      <c r="BM132" s="3224"/>
      <c r="BN132" s="3224"/>
      <c r="BO132" s="3224"/>
      <c r="BP132" s="3224"/>
      <c r="BQ132" s="3224"/>
      <c r="BR132" s="3224"/>
      <c r="BS132" s="3224"/>
      <c r="BT132" s="3922" t="s">
        <v>3781</v>
      </c>
      <c r="BU132" s="3221" t="s">
        <v>3781</v>
      </c>
      <c r="BV132" s="4135">
        <v>1</v>
      </c>
      <c r="BW132" s="3219" t="s">
        <v>3781</v>
      </c>
      <c r="BX132" s="16004"/>
      <c r="BY132" s="4796" t="s">
        <v>9022</v>
      </c>
      <c r="BZ132" s="4784"/>
      <c r="CA132" s="4796"/>
      <c r="CB132" s="3446"/>
      <c r="CC132" s="3446"/>
      <c r="CD132" s="3446"/>
      <c r="CE132" s="3446"/>
      <c r="CF132" s="3445"/>
      <c r="CG132" s="3445"/>
      <c r="CH132" s="3445"/>
      <c r="CI132" s="3445"/>
      <c r="CJ132" s="3445"/>
      <c r="CK132" s="3445"/>
      <c r="CL132" s="3445"/>
      <c r="CM132" s="3445"/>
      <c r="CN132" s="3445"/>
      <c r="CO132" s="3445"/>
      <c r="CP132" s="3445"/>
      <c r="CQ132" s="3445"/>
      <c r="CR132" s="3445"/>
      <c r="CS132" s="4673"/>
      <c r="CT132" s="3445"/>
      <c r="CU132" s="3445"/>
      <c r="CV132" s="3445"/>
      <c r="CW132" s="3445"/>
      <c r="CX132" s="3445"/>
      <c r="CY132" s="3445"/>
      <c r="CZ132" s="3445"/>
      <c r="DA132" s="3445"/>
      <c r="DB132" s="3445"/>
      <c r="DC132" s="3445"/>
      <c r="DD132" s="3445"/>
      <c r="DE132" s="3445"/>
      <c r="DF132" s="3445"/>
      <c r="DG132" s="3445"/>
      <c r="DH132" s="3445"/>
      <c r="DI132" s="3445"/>
      <c r="DJ132" s="3445"/>
      <c r="DK132" s="3445"/>
      <c r="DL132" s="3445"/>
      <c r="DM132" s="3445"/>
      <c r="DN132" s="3445"/>
      <c r="DO132" s="3527"/>
      <c r="DQ132" s="2056"/>
      <c r="DR132" s="3224"/>
      <c r="DS132" s="3224"/>
      <c r="DT132" s="3224"/>
      <c r="DU132" s="3224"/>
      <c r="DV132" s="3224"/>
      <c r="DW132" s="3224"/>
      <c r="DX132" s="3224"/>
      <c r="DY132" s="3224"/>
      <c r="DZ132" s="3224"/>
      <c r="EA132" s="3224"/>
      <c r="EB132" s="3224"/>
      <c r="EC132" s="3224"/>
      <c r="ED132" s="3224"/>
      <c r="EE132" s="3224"/>
      <c r="EF132" s="3224"/>
      <c r="EG132" s="3224"/>
      <c r="EH132" s="3224"/>
      <c r="EI132" s="3224"/>
      <c r="EJ132" s="3224"/>
      <c r="EK132" s="3224"/>
      <c r="EL132" s="3224"/>
      <c r="EM132" s="3224"/>
      <c r="EN132" s="3224"/>
      <c r="EO132" s="3224"/>
      <c r="EP132" s="3224"/>
      <c r="EQ132" s="3224"/>
      <c r="ER132" s="3224"/>
      <c r="ES132" s="3224"/>
      <c r="ET132" s="3224"/>
      <c r="EU132" s="3224"/>
      <c r="EV132" s="3224"/>
      <c r="EW132" s="3224"/>
      <c r="EX132" s="3224"/>
      <c r="EY132" s="3224"/>
      <c r="EZ132" s="3224"/>
      <c r="FA132" s="3224"/>
      <c r="FB132" s="3224"/>
      <c r="FC132" s="3224"/>
      <c r="FD132" s="3224"/>
      <c r="FE132" s="3224"/>
      <c r="FF132" s="3224"/>
      <c r="FG132" s="3224"/>
      <c r="FH132" s="3224"/>
      <c r="FI132" s="3224"/>
      <c r="FJ132" s="2057"/>
    </row>
    <row r="133" spans="1:166" s="1834" customFormat="1" ht="15" customHeight="1">
      <c r="A133" s="15968"/>
      <c r="B133" s="15971"/>
      <c r="C133" s="15617"/>
      <c r="D133" s="4129" t="s">
        <v>7990</v>
      </c>
      <c r="E133" s="4135" t="s">
        <v>5017</v>
      </c>
      <c r="F133" s="4135" t="s">
        <v>869</v>
      </c>
      <c r="G133" s="4135" t="s">
        <v>542</v>
      </c>
      <c r="H133" s="4654">
        <v>0.05</v>
      </c>
      <c r="I133" s="4654">
        <v>0.2</v>
      </c>
      <c r="J133" s="4654">
        <v>0.5</v>
      </c>
      <c r="K133" s="4135" t="s">
        <v>870</v>
      </c>
      <c r="L133" s="4135" t="s">
        <v>10072</v>
      </c>
      <c r="M133" s="4135" t="s">
        <v>844</v>
      </c>
      <c r="N133" s="4135"/>
      <c r="O133" s="2725">
        <v>25</v>
      </c>
      <c r="P133" s="2725">
        <v>26</v>
      </c>
      <c r="Q133" s="2725">
        <v>27</v>
      </c>
      <c r="R133" s="2725">
        <v>27</v>
      </c>
      <c r="S133" s="2725">
        <v>28</v>
      </c>
      <c r="T133" s="2725">
        <v>29</v>
      </c>
      <c r="U133" s="4781">
        <v>30</v>
      </c>
      <c r="V133" s="2725">
        <v>31</v>
      </c>
      <c r="W133" s="2725">
        <v>32</v>
      </c>
      <c r="X133" s="2725">
        <v>33</v>
      </c>
      <c r="Y133" s="2725">
        <v>34</v>
      </c>
      <c r="Z133" s="4149">
        <v>320</v>
      </c>
      <c r="AA133" s="2725"/>
      <c r="AB133" s="4785">
        <v>0</v>
      </c>
      <c r="AC133" s="3224"/>
      <c r="AD133" s="3224"/>
      <c r="AE133" s="3439" t="s">
        <v>4044</v>
      </c>
      <c r="AF133" s="3224"/>
      <c r="AG133" s="3224"/>
      <c r="AH133" s="3224"/>
      <c r="AI133" s="3224"/>
      <c r="AJ133" s="3224"/>
      <c r="AK133" s="3224"/>
      <c r="AL133" s="3224"/>
      <c r="AM133" s="3224"/>
      <c r="AN133" s="3224"/>
      <c r="AO133" s="3224"/>
      <c r="AP133" s="3224"/>
      <c r="AQ133" s="3224"/>
      <c r="AR133" s="3224"/>
      <c r="AS133" s="3224"/>
      <c r="AT133" s="3224"/>
      <c r="AU133" s="3224"/>
      <c r="AV133" s="3224"/>
      <c r="AW133" s="3224"/>
      <c r="AX133" s="3224"/>
      <c r="AY133" s="3224"/>
      <c r="AZ133" s="3224"/>
      <c r="BA133" s="3224"/>
      <c r="BB133" s="3224"/>
      <c r="BC133" s="3224"/>
      <c r="BD133" s="3224"/>
      <c r="BE133" s="3224"/>
      <c r="BF133" s="3224"/>
      <c r="BG133" s="3224"/>
      <c r="BH133" s="3224"/>
      <c r="BI133" s="3224"/>
      <c r="BJ133" s="3224"/>
      <c r="BK133" s="3224"/>
      <c r="BL133" s="3224"/>
      <c r="BM133" s="3224"/>
      <c r="BN133" s="3224"/>
      <c r="BO133" s="3224"/>
      <c r="BP133" s="3224"/>
      <c r="BQ133" s="3224"/>
      <c r="BR133" s="3224"/>
      <c r="BS133" s="3224"/>
      <c r="BT133" s="3922">
        <v>0</v>
      </c>
      <c r="BU133" s="3152">
        <v>0.4</v>
      </c>
      <c r="BV133" s="4135">
        <v>0</v>
      </c>
      <c r="BW133" s="3219">
        <f t="shared" ref="BW133" si="7">BV133/BU133</f>
        <v>0</v>
      </c>
      <c r="BX133" s="16004"/>
      <c r="BY133" s="4796" t="s">
        <v>9023</v>
      </c>
      <c r="BZ133" s="4784"/>
      <c r="CA133" s="4796"/>
      <c r="CB133" s="3446"/>
      <c r="CC133" s="3446"/>
      <c r="CD133" s="3446"/>
      <c r="CE133" s="3446"/>
      <c r="CF133" s="3445"/>
      <c r="CG133" s="3445"/>
      <c r="CH133" s="3445"/>
      <c r="CI133" s="3445"/>
      <c r="CJ133" s="3445"/>
      <c r="CK133" s="3445"/>
      <c r="CL133" s="3445"/>
      <c r="CM133" s="3445"/>
      <c r="CN133" s="3445"/>
      <c r="CO133" s="3445"/>
      <c r="CP133" s="3445"/>
      <c r="CQ133" s="3445"/>
      <c r="CR133" s="3445"/>
      <c r="CS133" s="4673"/>
      <c r="CT133" s="3445"/>
      <c r="CU133" s="3445"/>
      <c r="CV133" s="3445"/>
      <c r="CW133" s="3445"/>
      <c r="CX133" s="3445"/>
      <c r="CY133" s="3445"/>
      <c r="CZ133" s="3445"/>
      <c r="DA133" s="3445"/>
      <c r="DB133" s="3445"/>
      <c r="DC133" s="3445"/>
      <c r="DD133" s="3445"/>
      <c r="DE133" s="3445"/>
      <c r="DF133" s="3445"/>
      <c r="DG133" s="3445"/>
      <c r="DH133" s="3445"/>
      <c r="DI133" s="3445"/>
      <c r="DJ133" s="3445"/>
      <c r="DK133" s="3445"/>
      <c r="DL133" s="3445"/>
      <c r="DM133" s="3445"/>
      <c r="DN133" s="3445"/>
      <c r="DO133" s="3527"/>
      <c r="DQ133" s="2056"/>
      <c r="DR133" s="3224"/>
      <c r="DS133" s="3224"/>
      <c r="DT133" s="3224"/>
      <c r="DU133" s="3224"/>
      <c r="DV133" s="3224"/>
      <c r="DW133" s="3224"/>
      <c r="DX133" s="3224"/>
      <c r="DY133" s="3224"/>
      <c r="DZ133" s="3224"/>
      <c r="EA133" s="3224"/>
      <c r="EB133" s="3224"/>
      <c r="EC133" s="3224"/>
      <c r="ED133" s="3224"/>
      <c r="EE133" s="3224"/>
      <c r="EF133" s="3224"/>
      <c r="EG133" s="3224"/>
      <c r="EH133" s="3224"/>
      <c r="EI133" s="3224"/>
      <c r="EJ133" s="3224"/>
      <c r="EK133" s="3224"/>
      <c r="EL133" s="3224"/>
      <c r="EM133" s="3224"/>
      <c r="EN133" s="3224"/>
      <c r="EO133" s="3224"/>
      <c r="EP133" s="3224"/>
      <c r="EQ133" s="3224"/>
      <c r="ER133" s="3224"/>
      <c r="ES133" s="3224"/>
      <c r="ET133" s="3224"/>
      <c r="EU133" s="3224"/>
      <c r="EV133" s="3224"/>
      <c r="EW133" s="3224"/>
      <c r="EX133" s="3224"/>
      <c r="EY133" s="3224"/>
      <c r="EZ133" s="3224"/>
      <c r="FA133" s="3224"/>
      <c r="FB133" s="3224"/>
      <c r="FC133" s="3224"/>
      <c r="FD133" s="3224"/>
      <c r="FE133" s="3224"/>
      <c r="FF133" s="3224"/>
      <c r="FG133" s="3224"/>
      <c r="FH133" s="3224"/>
      <c r="FI133" s="3224"/>
      <c r="FJ133" s="2057"/>
    </row>
    <row r="134" spans="1:166" s="1834" customFormat="1" ht="15" customHeight="1">
      <c r="A134" s="15968"/>
      <c r="B134" s="15971"/>
      <c r="C134" s="15617" t="s">
        <v>871</v>
      </c>
      <c r="D134" s="4129" t="s">
        <v>7991</v>
      </c>
      <c r="E134" s="4135" t="s">
        <v>5018</v>
      </c>
      <c r="F134" s="4135" t="s">
        <v>872</v>
      </c>
      <c r="G134" s="4135">
        <v>0</v>
      </c>
      <c r="H134" s="4654">
        <v>0.05</v>
      </c>
      <c r="I134" s="4654">
        <v>0.15</v>
      </c>
      <c r="J134" s="4654">
        <v>0.4</v>
      </c>
      <c r="K134" s="4135" t="s">
        <v>873</v>
      </c>
      <c r="L134" s="4135" t="s">
        <v>10072</v>
      </c>
      <c r="M134" s="4135" t="s">
        <v>844</v>
      </c>
      <c r="N134" s="4135"/>
      <c r="O134" s="3221">
        <v>30</v>
      </c>
      <c r="P134" s="3221">
        <v>31</v>
      </c>
      <c r="Q134" s="3221">
        <v>31</v>
      </c>
      <c r="R134" s="3221">
        <v>32</v>
      </c>
      <c r="S134" s="3221">
        <v>32</v>
      </c>
      <c r="T134" s="3221">
        <v>32</v>
      </c>
      <c r="U134" s="4797">
        <v>33</v>
      </c>
      <c r="V134" s="3221">
        <v>33</v>
      </c>
      <c r="W134" s="3221">
        <v>33</v>
      </c>
      <c r="X134" s="3221">
        <v>34</v>
      </c>
      <c r="Y134" s="3221">
        <v>34</v>
      </c>
      <c r="Z134" s="4149">
        <v>355</v>
      </c>
      <c r="AA134" s="3221"/>
      <c r="AB134" s="2254">
        <v>1</v>
      </c>
      <c r="AC134" s="3440" t="s">
        <v>4045</v>
      </c>
      <c r="AD134" s="2725" t="s">
        <v>4046</v>
      </c>
      <c r="AE134" s="3224"/>
      <c r="AF134" s="3224"/>
      <c r="AG134" s="3224"/>
      <c r="AH134" s="3224"/>
      <c r="AI134" s="3224"/>
      <c r="AJ134" s="3224"/>
      <c r="AK134" s="3224"/>
      <c r="AL134" s="3224"/>
      <c r="AM134" s="3224"/>
      <c r="AN134" s="3224"/>
      <c r="AO134" s="3224"/>
      <c r="AP134" s="3224"/>
      <c r="AQ134" s="3224"/>
      <c r="AR134" s="3224"/>
      <c r="AS134" s="3224"/>
      <c r="AT134" s="3224"/>
      <c r="AU134" s="3224"/>
      <c r="AV134" s="3224"/>
      <c r="AW134" s="3224"/>
      <c r="AX134" s="3224"/>
      <c r="AY134" s="3224"/>
      <c r="AZ134" s="3224"/>
      <c r="BA134" s="3224"/>
      <c r="BB134" s="3224"/>
      <c r="BC134" s="3224"/>
      <c r="BD134" s="3224"/>
      <c r="BE134" s="3224"/>
      <c r="BF134" s="3224"/>
      <c r="BG134" s="3224"/>
      <c r="BH134" s="3224"/>
      <c r="BI134" s="3224"/>
      <c r="BJ134" s="3224"/>
      <c r="BK134" s="3224"/>
      <c r="BL134" s="3224"/>
      <c r="BM134" s="3224"/>
      <c r="BN134" s="3224"/>
      <c r="BO134" s="3224"/>
      <c r="BP134" s="3224"/>
      <c r="BQ134" s="3224"/>
      <c r="BR134" s="3224"/>
      <c r="BS134" s="3224"/>
      <c r="BT134" s="3922">
        <v>1</v>
      </c>
      <c r="BU134" s="3922">
        <v>1</v>
      </c>
      <c r="BV134" s="3922">
        <v>1</v>
      </c>
      <c r="BW134" s="3219">
        <v>1</v>
      </c>
      <c r="BX134" s="16004"/>
      <c r="BY134" s="4798" t="s">
        <v>9024</v>
      </c>
      <c r="BZ134" s="4799" t="s">
        <v>9025</v>
      </c>
      <c r="CA134" s="4784"/>
      <c r="CB134" s="3446"/>
      <c r="CC134" s="3446"/>
      <c r="CD134" s="3446"/>
      <c r="CE134" s="3446"/>
      <c r="CF134" s="3445"/>
      <c r="CG134" s="3445"/>
      <c r="CH134" s="3445"/>
      <c r="CI134" s="3445"/>
      <c r="CJ134" s="3445"/>
      <c r="CK134" s="3445"/>
      <c r="CL134" s="3445"/>
      <c r="CM134" s="3445"/>
      <c r="CN134" s="3445"/>
      <c r="CO134" s="3445"/>
      <c r="CP134" s="3445"/>
      <c r="CQ134" s="3445"/>
      <c r="CR134" s="3445"/>
      <c r="CS134" s="4673"/>
      <c r="CT134" s="3445"/>
      <c r="CU134" s="3445"/>
      <c r="CV134" s="3445"/>
      <c r="CW134" s="3445"/>
      <c r="CX134" s="3445"/>
      <c r="CY134" s="3445"/>
      <c r="CZ134" s="3445"/>
      <c r="DA134" s="3445"/>
      <c r="DB134" s="3445"/>
      <c r="DC134" s="3445"/>
      <c r="DD134" s="3445"/>
      <c r="DE134" s="3445"/>
      <c r="DF134" s="3445"/>
      <c r="DG134" s="3445"/>
      <c r="DH134" s="3445"/>
      <c r="DI134" s="3445"/>
      <c r="DJ134" s="3445"/>
      <c r="DK134" s="3445"/>
      <c r="DL134" s="3445"/>
      <c r="DM134" s="3445"/>
      <c r="DN134" s="3445"/>
      <c r="DO134" s="3527"/>
      <c r="DQ134" s="2056"/>
      <c r="DR134" s="3224"/>
      <c r="DS134" s="3224"/>
      <c r="DT134" s="3224"/>
      <c r="DU134" s="3224"/>
      <c r="DV134" s="3224"/>
      <c r="DW134" s="3224"/>
      <c r="DX134" s="3224"/>
      <c r="DY134" s="3224"/>
      <c r="DZ134" s="3224"/>
      <c r="EA134" s="3224"/>
      <c r="EB134" s="3224"/>
      <c r="EC134" s="3224"/>
      <c r="ED134" s="3224"/>
      <c r="EE134" s="3224"/>
      <c r="EF134" s="3224"/>
      <c r="EG134" s="3224"/>
      <c r="EH134" s="3224"/>
      <c r="EI134" s="3224"/>
      <c r="EJ134" s="3224"/>
      <c r="EK134" s="3224"/>
      <c r="EL134" s="3224"/>
      <c r="EM134" s="3224"/>
      <c r="EN134" s="3224"/>
      <c r="EO134" s="3224"/>
      <c r="EP134" s="3224"/>
      <c r="EQ134" s="3224"/>
      <c r="ER134" s="3224"/>
      <c r="ES134" s="3224"/>
      <c r="ET134" s="3224"/>
      <c r="EU134" s="3224"/>
      <c r="EV134" s="3224"/>
      <c r="EW134" s="3224"/>
      <c r="EX134" s="3224"/>
      <c r="EY134" s="3224"/>
      <c r="EZ134" s="3224"/>
      <c r="FA134" s="3224"/>
      <c r="FB134" s="3224"/>
      <c r="FC134" s="3224"/>
      <c r="FD134" s="3224"/>
      <c r="FE134" s="3224"/>
      <c r="FF134" s="3224"/>
      <c r="FG134" s="3224"/>
      <c r="FH134" s="3224"/>
      <c r="FI134" s="3224"/>
      <c r="FJ134" s="2057"/>
    </row>
    <row r="135" spans="1:166" s="1834" customFormat="1" ht="15" customHeight="1">
      <c r="A135" s="15968"/>
      <c r="B135" s="15971"/>
      <c r="C135" s="15617"/>
      <c r="D135" s="15617" t="s">
        <v>7992</v>
      </c>
      <c r="E135" s="15708" t="s">
        <v>5019</v>
      </c>
      <c r="F135" s="15708" t="s">
        <v>874</v>
      </c>
      <c r="G135" s="15708">
        <v>0</v>
      </c>
      <c r="H135" s="15708">
        <v>1</v>
      </c>
      <c r="I135" s="15708">
        <v>5</v>
      </c>
      <c r="J135" s="15708">
        <v>15</v>
      </c>
      <c r="K135" s="15708" t="s">
        <v>648</v>
      </c>
      <c r="L135" s="4135" t="s">
        <v>10072</v>
      </c>
      <c r="M135" s="4135" t="s">
        <v>844</v>
      </c>
      <c r="N135" s="4135"/>
      <c r="O135" s="2725">
        <v>39</v>
      </c>
      <c r="P135" s="2725">
        <v>40</v>
      </c>
      <c r="Q135" s="2725">
        <v>51</v>
      </c>
      <c r="R135" s="2725">
        <v>52.53</v>
      </c>
      <c r="S135" s="2725">
        <v>52</v>
      </c>
      <c r="T135" s="2725">
        <v>53.56</v>
      </c>
      <c r="U135" s="4781">
        <v>53</v>
      </c>
      <c r="V135" s="2725">
        <v>54.59</v>
      </c>
      <c r="W135" s="2725">
        <v>54</v>
      </c>
      <c r="X135" s="2725">
        <v>55.62</v>
      </c>
      <c r="Y135" s="2725">
        <v>55</v>
      </c>
      <c r="Z135" s="4149">
        <v>561</v>
      </c>
      <c r="AA135" s="3221"/>
      <c r="AB135" s="4160">
        <v>1</v>
      </c>
      <c r="AC135" s="3439" t="s">
        <v>4047</v>
      </c>
      <c r="AD135" s="2725" t="s">
        <v>4048</v>
      </c>
      <c r="AE135" s="3224"/>
      <c r="AF135" s="3224"/>
      <c r="AG135" s="3224"/>
      <c r="AH135" s="3224"/>
      <c r="AI135" s="3224"/>
      <c r="AJ135" s="3224"/>
      <c r="AK135" s="3224"/>
      <c r="AL135" s="3224"/>
      <c r="AM135" s="3224"/>
      <c r="AN135" s="3224"/>
      <c r="AO135" s="3224"/>
      <c r="AP135" s="3224"/>
      <c r="AQ135" s="3224"/>
      <c r="AR135" s="3224"/>
      <c r="AS135" s="3224"/>
      <c r="AT135" s="3224"/>
      <c r="AU135" s="3224"/>
      <c r="AV135" s="3224"/>
      <c r="AW135" s="3224"/>
      <c r="AX135" s="3224"/>
      <c r="AY135" s="3224"/>
      <c r="AZ135" s="3224"/>
      <c r="BA135" s="3224"/>
      <c r="BB135" s="3224"/>
      <c r="BC135" s="3224"/>
      <c r="BD135" s="3224"/>
      <c r="BE135" s="3224"/>
      <c r="BF135" s="3224"/>
      <c r="BG135" s="3224"/>
      <c r="BH135" s="3224"/>
      <c r="BI135" s="3224"/>
      <c r="BJ135" s="3224"/>
      <c r="BK135" s="3224"/>
      <c r="BL135" s="3224"/>
      <c r="BM135" s="3224"/>
      <c r="BN135" s="3224"/>
      <c r="BO135" s="3224"/>
      <c r="BP135" s="3224"/>
      <c r="BQ135" s="3224"/>
      <c r="BR135" s="3224"/>
      <c r="BS135" s="3224"/>
      <c r="BT135" s="3922">
        <v>5</v>
      </c>
      <c r="BU135" s="3221">
        <v>5</v>
      </c>
      <c r="BV135" s="4135">
        <v>18</v>
      </c>
      <c r="BW135" s="3219">
        <v>1</v>
      </c>
      <c r="BX135" s="16004"/>
      <c r="BY135" s="4798" t="s">
        <v>9026</v>
      </c>
      <c r="BZ135" s="4799" t="s">
        <v>9027</v>
      </c>
      <c r="CA135" s="4784"/>
      <c r="CB135" s="3446"/>
      <c r="CC135" s="3446"/>
      <c r="CD135" s="3446"/>
      <c r="CE135" s="3446"/>
      <c r="CF135" s="3445"/>
      <c r="CG135" s="3445"/>
      <c r="CH135" s="3445"/>
      <c r="CI135" s="3445"/>
      <c r="CJ135" s="3445"/>
      <c r="CK135" s="3445"/>
      <c r="CL135" s="3445"/>
      <c r="CM135" s="3445"/>
      <c r="CN135" s="3445"/>
      <c r="CO135" s="3445"/>
      <c r="CP135" s="3445"/>
      <c r="CQ135" s="3445"/>
      <c r="CR135" s="3445"/>
      <c r="CS135" s="4673"/>
      <c r="CT135" s="3445"/>
      <c r="CU135" s="3445"/>
      <c r="CV135" s="3445"/>
      <c r="CW135" s="3445"/>
      <c r="CX135" s="3445"/>
      <c r="CY135" s="3445"/>
      <c r="CZ135" s="3445"/>
      <c r="DA135" s="3445"/>
      <c r="DB135" s="3445"/>
      <c r="DC135" s="3445"/>
      <c r="DD135" s="3445"/>
      <c r="DE135" s="3445"/>
      <c r="DF135" s="3445"/>
      <c r="DG135" s="3445"/>
      <c r="DH135" s="3445"/>
      <c r="DI135" s="3445"/>
      <c r="DJ135" s="3445"/>
      <c r="DK135" s="3445"/>
      <c r="DL135" s="3445"/>
      <c r="DM135" s="3445"/>
      <c r="DN135" s="3445"/>
      <c r="DO135" s="3527"/>
      <c r="DQ135" s="2056"/>
      <c r="DR135" s="3224"/>
      <c r="DS135" s="3224"/>
      <c r="DT135" s="3224"/>
      <c r="DU135" s="3224"/>
      <c r="DV135" s="3224"/>
      <c r="DW135" s="3224"/>
      <c r="DX135" s="3224"/>
      <c r="DY135" s="3224"/>
      <c r="DZ135" s="3224"/>
      <c r="EA135" s="3224"/>
      <c r="EB135" s="3224"/>
      <c r="EC135" s="3224"/>
      <c r="ED135" s="3224"/>
      <c r="EE135" s="3224"/>
      <c r="EF135" s="3224"/>
      <c r="EG135" s="3224"/>
      <c r="EH135" s="3224"/>
      <c r="EI135" s="3224"/>
      <c r="EJ135" s="3224"/>
      <c r="EK135" s="3224"/>
      <c r="EL135" s="3224"/>
      <c r="EM135" s="3224"/>
      <c r="EN135" s="3224"/>
      <c r="EO135" s="3224"/>
      <c r="EP135" s="3224"/>
      <c r="EQ135" s="3224"/>
      <c r="ER135" s="3224"/>
      <c r="ES135" s="3224"/>
      <c r="ET135" s="3224"/>
      <c r="EU135" s="3224"/>
      <c r="EV135" s="3224"/>
      <c r="EW135" s="3224"/>
      <c r="EX135" s="3224"/>
      <c r="EY135" s="3224"/>
      <c r="EZ135" s="3224"/>
      <c r="FA135" s="3224"/>
      <c r="FB135" s="3224"/>
      <c r="FC135" s="3224"/>
      <c r="FD135" s="3224"/>
      <c r="FE135" s="3224"/>
      <c r="FF135" s="3224"/>
      <c r="FG135" s="3224"/>
      <c r="FH135" s="3224"/>
      <c r="FI135" s="3224"/>
      <c r="FJ135" s="2057"/>
    </row>
    <row r="136" spans="1:166" s="1834" customFormat="1" ht="15" customHeight="1">
      <c r="A136" s="15968"/>
      <c r="B136" s="15971"/>
      <c r="C136" s="15617"/>
      <c r="D136" s="15617"/>
      <c r="E136" s="15708"/>
      <c r="F136" s="15708"/>
      <c r="G136" s="15708"/>
      <c r="H136" s="15708"/>
      <c r="I136" s="15708"/>
      <c r="J136" s="15708"/>
      <c r="K136" s="15708"/>
      <c r="L136" s="4135" t="s">
        <v>2896</v>
      </c>
      <c r="M136" s="4135"/>
      <c r="N136" s="4135" t="s">
        <v>163</v>
      </c>
      <c r="O136" s="2725"/>
      <c r="P136" s="2725"/>
      <c r="Q136" s="2725"/>
      <c r="R136" s="2725"/>
      <c r="S136" s="2725"/>
      <c r="T136" s="2725"/>
      <c r="U136" s="4781"/>
      <c r="V136" s="2725"/>
      <c r="W136" s="2725"/>
      <c r="X136" s="2725"/>
      <c r="Y136" s="2725"/>
      <c r="Z136" s="4149"/>
      <c r="AA136" s="3221"/>
      <c r="AB136" s="4160"/>
      <c r="AC136" s="3439"/>
      <c r="AD136" s="2725"/>
      <c r="AE136" s="3224"/>
      <c r="AF136" s="3224"/>
      <c r="AG136" s="3224"/>
      <c r="AH136" s="3224"/>
      <c r="AI136" s="3224"/>
      <c r="AJ136" s="3224"/>
      <c r="AK136" s="3224"/>
      <c r="AL136" s="3224"/>
      <c r="AM136" s="3224"/>
      <c r="AN136" s="3224"/>
      <c r="AO136" s="3224"/>
      <c r="AP136" s="3224"/>
      <c r="AQ136" s="3224"/>
      <c r="AR136" s="3224"/>
      <c r="AS136" s="3224"/>
      <c r="AT136" s="3224"/>
      <c r="AU136" s="3224"/>
      <c r="AV136" s="3224"/>
      <c r="AW136" s="3224"/>
      <c r="AX136" s="3224"/>
      <c r="AY136" s="3224"/>
      <c r="AZ136" s="3224"/>
      <c r="BA136" s="3224"/>
      <c r="BB136" s="3224"/>
      <c r="BC136" s="3224"/>
      <c r="BD136" s="3224"/>
      <c r="BE136" s="3224"/>
      <c r="BF136" s="3224"/>
      <c r="BG136" s="3224"/>
      <c r="BH136" s="3224"/>
      <c r="BI136" s="3224"/>
      <c r="BJ136" s="3224"/>
      <c r="BK136" s="3224"/>
      <c r="BL136" s="3224"/>
      <c r="BM136" s="3224"/>
      <c r="BN136" s="3224"/>
      <c r="BO136" s="3224"/>
      <c r="BP136" s="3224"/>
      <c r="BQ136" s="3224"/>
      <c r="BR136" s="3224"/>
      <c r="BS136" s="3224"/>
      <c r="BT136" s="3922"/>
      <c r="BU136" s="3221"/>
      <c r="BV136" s="4135"/>
      <c r="BW136" s="3219"/>
      <c r="BX136" s="16004"/>
      <c r="BY136" s="4798"/>
      <c r="BZ136" s="4799"/>
      <c r="CA136" s="4784"/>
      <c r="CB136" s="3446"/>
      <c r="CC136" s="3446"/>
      <c r="CD136" s="3446"/>
      <c r="CE136" s="3446"/>
      <c r="CF136" s="3445"/>
      <c r="CG136" s="3445"/>
      <c r="CH136" s="3445"/>
      <c r="CI136" s="3445"/>
      <c r="CJ136" s="3445"/>
      <c r="CK136" s="3445"/>
      <c r="CL136" s="3445"/>
      <c r="CM136" s="3445"/>
      <c r="CN136" s="3445"/>
      <c r="CO136" s="3445"/>
      <c r="CP136" s="3445"/>
      <c r="CQ136" s="3445"/>
      <c r="CR136" s="3445"/>
      <c r="CS136" s="4673"/>
      <c r="CT136" s="3445"/>
      <c r="CU136" s="3445"/>
      <c r="CV136" s="3445"/>
      <c r="CW136" s="3445"/>
      <c r="CX136" s="3445"/>
      <c r="CY136" s="3445"/>
      <c r="CZ136" s="3445"/>
      <c r="DA136" s="3445"/>
      <c r="DB136" s="3445"/>
      <c r="DC136" s="3445"/>
      <c r="DD136" s="3445"/>
      <c r="DE136" s="3445"/>
      <c r="DF136" s="3445"/>
      <c r="DG136" s="3445"/>
      <c r="DH136" s="3445"/>
      <c r="DI136" s="3445"/>
      <c r="DJ136" s="3445"/>
      <c r="DK136" s="3445"/>
      <c r="DL136" s="3445"/>
      <c r="DM136" s="3445"/>
      <c r="DN136" s="3445"/>
      <c r="DO136" s="3527"/>
      <c r="DQ136" s="2056"/>
      <c r="DR136" s="3224"/>
      <c r="DS136" s="3224"/>
      <c r="DT136" s="3224"/>
      <c r="DU136" s="3224"/>
      <c r="DV136" s="3224"/>
      <c r="DW136" s="3224"/>
      <c r="DX136" s="3224"/>
      <c r="DY136" s="3224"/>
      <c r="DZ136" s="3224"/>
      <c r="EA136" s="3224"/>
      <c r="EB136" s="3224"/>
      <c r="EC136" s="3224"/>
      <c r="ED136" s="3224"/>
      <c r="EE136" s="3224"/>
      <c r="EF136" s="3224"/>
      <c r="EG136" s="3224"/>
      <c r="EH136" s="3224"/>
      <c r="EI136" s="3224"/>
      <c r="EJ136" s="3224"/>
      <c r="EK136" s="3224"/>
      <c r="EL136" s="3224"/>
      <c r="EM136" s="3224"/>
      <c r="EN136" s="3224"/>
      <c r="EO136" s="3224"/>
      <c r="EP136" s="3224"/>
      <c r="EQ136" s="3224"/>
      <c r="ER136" s="3224"/>
      <c r="ES136" s="3224"/>
      <c r="ET136" s="3224"/>
      <c r="EU136" s="3224"/>
      <c r="EV136" s="3224"/>
      <c r="EW136" s="3224"/>
      <c r="EX136" s="3224"/>
      <c r="EY136" s="3224"/>
      <c r="EZ136" s="3224"/>
      <c r="FA136" s="3224"/>
      <c r="FB136" s="3224"/>
      <c r="FC136" s="3224"/>
      <c r="FD136" s="3224"/>
      <c r="FE136" s="3224"/>
      <c r="FF136" s="3224"/>
      <c r="FG136" s="3224"/>
      <c r="FH136" s="3224"/>
      <c r="FI136" s="3224"/>
      <c r="FJ136" s="2057"/>
    </row>
    <row r="137" spans="1:166" s="1834" customFormat="1" ht="15" customHeight="1">
      <c r="A137" s="15968"/>
      <c r="B137" s="15971"/>
      <c r="C137" s="15617"/>
      <c r="D137" s="15617" t="s">
        <v>7993</v>
      </c>
      <c r="E137" s="15708" t="s">
        <v>5020</v>
      </c>
      <c r="F137" s="15708" t="s">
        <v>850</v>
      </c>
      <c r="G137" s="15708" t="s">
        <v>542</v>
      </c>
      <c r="H137" s="15708">
        <v>3</v>
      </c>
      <c r="I137" s="15708">
        <v>12</v>
      </c>
      <c r="J137" s="15708">
        <v>18</v>
      </c>
      <c r="K137" s="15708" t="s">
        <v>875</v>
      </c>
      <c r="L137" s="4135" t="s">
        <v>10072</v>
      </c>
      <c r="M137" s="4135" t="s">
        <v>844</v>
      </c>
      <c r="N137" s="4135"/>
      <c r="O137" s="2725"/>
      <c r="P137" s="2725"/>
      <c r="Q137" s="2725"/>
      <c r="R137" s="2725"/>
      <c r="S137" s="2725"/>
      <c r="T137" s="2725"/>
      <c r="U137" s="4781"/>
      <c r="V137" s="2725"/>
      <c r="W137" s="2725"/>
      <c r="X137" s="2725"/>
      <c r="Y137" s="2725"/>
      <c r="Z137" s="4149"/>
      <c r="AA137" s="3221"/>
      <c r="AB137" s="4160"/>
      <c r="AC137" s="3439"/>
      <c r="AD137" s="2725"/>
      <c r="AE137" s="3224"/>
      <c r="AF137" s="3224"/>
      <c r="AG137" s="3224"/>
      <c r="AH137" s="3224"/>
      <c r="AI137" s="3224"/>
      <c r="AJ137" s="3224"/>
      <c r="AK137" s="3224"/>
      <c r="AL137" s="3224"/>
      <c r="AM137" s="3224"/>
      <c r="AN137" s="3224"/>
      <c r="AO137" s="3224"/>
      <c r="AP137" s="3224"/>
      <c r="AQ137" s="3224"/>
      <c r="AR137" s="3224"/>
      <c r="AS137" s="3224"/>
      <c r="AT137" s="3224"/>
      <c r="AU137" s="3224"/>
      <c r="AV137" s="3224"/>
      <c r="AW137" s="3224"/>
      <c r="AX137" s="3224"/>
      <c r="AY137" s="3224"/>
      <c r="AZ137" s="3224"/>
      <c r="BA137" s="3224"/>
      <c r="BB137" s="3224"/>
      <c r="BC137" s="3224"/>
      <c r="BD137" s="3224"/>
      <c r="BE137" s="3224"/>
      <c r="BF137" s="3224"/>
      <c r="BG137" s="3224"/>
      <c r="BH137" s="3224"/>
      <c r="BI137" s="3224"/>
      <c r="BJ137" s="3224"/>
      <c r="BK137" s="3224"/>
      <c r="BL137" s="3224"/>
      <c r="BM137" s="3224"/>
      <c r="BN137" s="3224"/>
      <c r="BO137" s="3224"/>
      <c r="BP137" s="3224"/>
      <c r="BQ137" s="3224"/>
      <c r="BR137" s="3224"/>
      <c r="BS137" s="3224"/>
      <c r="BT137" s="3922">
        <v>5</v>
      </c>
      <c r="BU137" s="3221">
        <v>5</v>
      </c>
      <c r="BV137" s="4135">
        <v>22</v>
      </c>
      <c r="BW137" s="16027">
        <v>1</v>
      </c>
      <c r="BX137" s="16004"/>
      <c r="BY137" s="4798" t="s">
        <v>9028</v>
      </c>
      <c r="BZ137" s="4799" t="s">
        <v>9029</v>
      </c>
      <c r="CA137" s="4784"/>
      <c r="CB137" s="3446"/>
      <c r="CC137" s="3446"/>
      <c r="CD137" s="3446"/>
      <c r="CE137" s="3446"/>
      <c r="CF137" s="3445"/>
      <c r="CG137" s="3445"/>
      <c r="CH137" s="3445"/>
      <c r="CI137" s="3445"/>
      <c r="CJ137" s="3445"/>
      <c r="CK137" s="3445"/>
      <c r="CL137" s="3445"/>
      <c r="CM137" s="3445"/>
      <c r="CN137" s="3445"/>
      <c r="CO137" s="3445"/>
      <c r="CP137" s="3445"/>
      <c r="CQ137" s="3445"/>
      <c r="CR137" s="3445"/>
      <c r="CS137" s="4673"/>
      <c r="CT137" s="3445"/>
      <c r="CU137" s="3445"/>
      <c r="CV137" s="3445"/>
      <c r="CW137" s="3445"/>
      <c r="CX137" s="3445"/>
      <c r="CY137" s="3445"/>
      <c r="CZ137" s="3445"/>
      <c r="DA137" s="3445"/>
      <c r="DB137" s="3445"/>
      <c r="DC137" s="3445"/>
      <c r="DD137" s="3445"/>
      <c r="DE137" s="3445"/>
      <c r="DF137" s="3445"/>
      <c r="DG137" s="3445"/>
      <c r="DH137" s="3445"/>
      <c r="DI137" s="3445"/>
      <c r="DJ137" s="3445"/>
      <c r="DK137" s="3445"/>
      <c r="DL137" s="3445"/>
      <c r="DM137" s="3445"/>
      <c r="DN137" s="3445"/>
      <c r="DO137" s="3527"/>
      <c r="DQ137" s="2056"/>
      <c r="DR137" s="3224"/>
      <c r="DS137" s="3224"/>
      <c r="DT137" s="3224"/>
      <c r="DU137" s="3224"/>
      <c r="DV137" s="3224"/>
      <c r="DW137" s="3224"/>
      <c r="DX137" s="3224"/>
      <c r="DY137" s="3224"/>
      <c r="DZ137" s="3224"/>
      <c r="EA137" s="3224"/>
      <c r="EB137" s="3224"/>
      <c r="EC137" s="3224"/>
      <c r="ED137" s="3224"/>
      <c r="EE137" s="3224"/>
      <c r="EF137" s="3224"/>
      <c r="EG137" s="3224"/>
      <c r="EH137" s="3224"/>
      <c r="EI137" s="3224"/>
      <c r="EJ137" s="3224"/>
      <c r="EK137" s="3224"/>
      <c r="EL137" s="3224"/>
      <c r="EM137" s="3224"/>
      <c r="EN137" s="3224"/>
      <c r="EO137" s="3224"/>
      <c r="EP137" s="3224"/>
      <c r="EQ137" s="3224"/>
      <c r="ER137" s="3224"/>
      <c r="ES137" s="3224"/>
      <c r="ET137" s="3224"/>
      <c r="EU137" s="3224"/>
      <c r="EV137" s="3224"/>
      <c r="EW137" s="3224"/>
      <c r="EX137" s="3224"/>
      <c r="EY137" s="3224"/>
      <c r="EZ137" s="3224"/>
      <c r="FA137" s="3224"/>
      <c r="FB137" s="3224"/>
      <c r="FC137" s="3224"/>
      <c r="FD137" s="3224"/>
      <c r="FE137" s="3224"/>
      <c r="FF137" s="3224"/>
      <c r="FG137" s="3224"/>
      <c r="FH137" s="3224"/>
      <c r="FI137" s="3224"/>
      <c r="FJ137" s="2057"/>
    </row>
    <row r="138" spans="1:166" s="1834" customFormat="1" ht="15" customHeight="1" thickBot="1">
      <c r="A138" s="15969"/>
      <c r="B138" s="15972"/>
      <c r="C138" s="15902"/>
      <c r="D138" s="15902"/>
      <c r="E138" s="15903"/>
      <c r="F138" s="15903"/>
      <c r="G138" s="15903"/>
      <c r="H138" s="15903"/>
      <c r="I138" s="15903"/>
      <c r="J138" s="15903"/>
      <c r="K138" s="15903"/>
      <c r="L138" s="2010" t="s">
        <v>10063</v>
      </c>
      <c r="M138" s="2010"/>
      <c r="N138" s="2010" t="s">
        <v>79</v>
      </c>
      <c r="O138" s="3008">
        <v>52</v>
      </c>
      <c r="P138" s="3008">
        <v>54</v>
      </c>
      <c r="Q138" s="3008">
        <v>51</v>
      </c>
      <c r="R138" s="3008">
        <v>52.53</v>
      </c>
      <c r="S138" s="3008">
        <v>52</v>
      </c>
      <c r="T138" s="3008">
        <v>53.56</v>
      </c>
      <c r="U138" s="4842">
        <v>53</v>
      </c>
      <c r="V138" s="3008">
        <v>54.59</v>
      </c>
      <c r="W138" s="3008">
        <v>54</v>
      </c>
      <c r="X138" s="3008">
        <v>55.62</v>
      </c>
      <c r="Y138" s="3008">
        <v>55</v>
      </c>
      <c r="Z138" s="4138">
        <v>587</v>
      </c>
      <c r="AA138" s="3008"/>
      <c r="AB138" s="4867">
        <v>1</v>
      </c>
      <c r="AC138" s="4868" t="s">
        <v>4049</v>
      </c>
      <c r="AD138" s="1743" t="s">
        <v>4050</v>
      </c>
      <c r="AE138" s="1751"/>
      <c r="AF138" s="1751"/>
      <c r="AG138" s="1751"/>
      <c r="AH138" s="1751"/>
      <c r="AI138" s="1751"/>
      <c r="AJ138" s="1751"/>
      <c r="AK138" s="1751"/>
      <c r="AL138" s="1751"/>
      <c r="AM138" s="1751"/>
      <c r="AN138" s="1751"/>
      <c r="AO138" s="1751"/>
      <c r="AP138" s="1751"/>
      <c r="AQ138" s="1751"/>
      <c r="AR138" s="1751"/>
      <c r="AS138" s="1751"/>
      <c r="AT138" s="1751"/>
      <c r="AU138" s="1751"/>
      <c r="AV138" s="1751"/>
      <c r="AW138" s="1751"/>
      <c r="AX138" s="1751"/>
      <c r="AY138" s="1751"/>
      <c r="AZ138" s="1751"/>
      <c r="BA138" s="1751"/>
      <c r="BB138" s="1751"/>
      <c r="BC138" s="1751"/>
      <c r="BD138" s="1751"/>
      <c r="BE138" s="1751"/>
      <c r="BF138" s="1751"/>
      <c r="BG138" s="1751"/>
      <c r="BH138" s="1751"/>
      <c r="BI138" s="1751"/>
      <c r="BJ138" s="1751"/>
      <c r="BK138" s="1751"/>
      <c r="BL138" s="1751"/>
      <c r="BM138" s="1751"/>
      <c r="BN138" s="1751"/>
      <c r="BO138" s="1751"/>
      <c r="BP138" s="1751"/>
      <c r="BQ138" s="1751"/>
      <c r="BR138" s="1751"/>
      <c r="BS138" s="1751"/>
      <c r="BT138" s="2011"/>
      <c r="BU138" s="1749"/>
      <c r="BV138" s="2010"/>
      <c r="BW138" s="16028"/>
      <c r="BX138" s="16005"/>
      <c r="BY138" s="4869"/>
      <c r="BZ138" s="4870"/>
      <c r="CA138" s="4871"/>
      <c r="CB138" s="4872"/>
      <c r="CC138" s="4872"/>
      <c r="CD138" s="4872"/>
      <c r="CE138" s="4872"/>
      <c r="CF138" s="4873"/>
      <c r="CG138" s="4873"/>
      <c r="CH138" s="4873"/>
      <c r="CI138" s="4873"/>
      <c r="CJ138" s="4873"/>
      <c r="CK138" s="4873"/>
      <c r="CL138" s="4873"/>
      <c r="CM138" s="4873"/>
      <c r="CN138" s="4873"/>
      <c r="CO138" s="4873"/>
      <c r="CP138" s="4873"/>
      <c r="CQ138" s="4873"/>
      <c r="CR138" s="4873"/>
      <c r="CS138" s="4874"/>
      <c r="CT138" s="4873"/>
      <c r="CU138" s="4873"/>
      <c r="CV138" s="4873"/>
      <c r="CW138" s="4873"/>
      <c r="CX138" s="4873"/>
      <c r="CY138" s="4873"/>
      <c r="CZ138" s="4873"/>
      <c r="DA138" s="4873"/>
      <c r="DB138" s="4873"/>
      <c r="DC138" s="4873"/>
      <c r="DD138" s="4873"/>
      <c r="DE138" s="4873"/>
      <c r="DF138" s="4873"/>
      <c r="DG138" s="4873"/>
      <c r="DH138" s="4873"/>
      <c r="DI138" s="4873"/>
      <c r="DJ138" s="4873"/>
      <c r="DK138" s="4873"/>
      <c r="DL138" s="4873"/>
      <c r="DM138" s="4873"/>
      <c r="DN138" s="4873"/>
      <c r="DO138" s="4875"/>
      <c r="DQ138" s="3852"/>
      <c r="DR138" s="1751"/>
      <c r="DS138" s="1751"/>
      <c r="DT138" s="1751"/>
      <c r="DU138" s="1751"/>
      <c r="DV138" s="1751"/>
      <c r="DW138" s="1751"/>
      <c r="DX138" s="1751"/>
      <c r="DY138" s="1751"/>
      <c r="DZ138" s="1751"/>
      <c r="EA138" s="1751"/>
      <c r="EB138" s="1751"/>
      <c r="EC138" s="1751"/>
      <c r="ED138" s="1751"/>
      <c r="EE138" s="1751"/>
      <c r="EF138" s="1751"/>
      <c r="EG138" s="1751"/>
      <c r="EH138" s="1751"/>
      <c r="EI138" s="1751"/>
      <c r="EJ138" s="1751"/>
      <c r="EK138" s="1751"/>
      <c r="EL138" s="1751"/>
      <c r="EM138" s="1751"/>
      <c r="EN138" s="1751"/>
      <c r="EO138" s="1751"/>
      <c r="EP138" s="1751"/>
      <c r="EQ138" s="1751"/>
      <c r="ER138" s="1751"/>
      <c r="ES138" s="1751"/>
      <c r="ET138" s="1751"/>
      <c r="EU138" s="1751"/>
      <c r="EV138" s="1751"/>
      <c r="EW138" s="1751"/>
      <c r="EX138" s="1751"/>
      <c r="EY138" s="1751"/>
      <c r="EZ138" s="1751"/>
      <c r="FA138" s="1751"/>
      <c r="FB138" s="1751"/>
      <c r="FC138" s="1751"/>
      <c r="FD138" s="1751"/>
      <c r="FE138" s="1751"/>
      <c r="FF138" s="1751"/>
      <c r="FG138" s="1751"/>
      <c r="FH138" s="1751"/>
      <c r="FI138" s="1751"/>
      <c r="FJ138" s="1869"/>
    </row>
    <row r="139" spans="1:166" s="1791" customFormat="1" ht="15" customHeight="1">
      <c r="A139" s="15976" t="s">
        <v>876</v>
      </c>
      <c r="B139" s="15979" t="s">
        <v>877</v>
      </c>
      <c r="C139" s="15979" t="s">
        <v>878</v>
      </c>
      <c r="D139" s="4661" t="s">
        <v>7994</v>
      </c>
      <c r="E139" s="4141" t="s">
        <v>5021</v>
      </c>
      <c r="F139" s="4141" t="s">
        <v>879</v>
      </c>
      <c r="G139" s="4662">
        <v>0.49</v>
      </c>
      <c r="H139" s="4141">
        <v>100</v>
      </c>
      <c r="I139" s="4141">
        <v>100</v>
      </c>
      <c r="J139" s="4141">
        <v>100</v>
      </c>
      <c r="K139" s="4141" t="s">
        <v>880</v>
      </c>
      <c r="L139" s="4141" t="s">
        <v>86</v>
      </c>
      <c r="M139" s="4141" t="s">
        <v>708</v>
      </c>
      <c r="N139" s="4141"/>
      <c r="O139" s="1984">
        <v>30</v>
      </c>
      <c r="P139" s="4141">
        <v>30.9</v>
      </c>
      <c r="Q139" s="4141">
        <v>51</v>
      </c>
      <c r="R139" s="4141">
        <v>52.53</v>
      </c>
      <c r="S139" s="4141">
        <v>52</v>
      </c>
      <c r="T139" s="4141">
        <v>53.56</v>
      </c>
      <c r="U139" s="4857">
        <v>53</v>
      </c>
      <c r="V139" s="4141">
        <v>54.59</v>
      </c>
      <c r="W139" s="4141">
        <v>54</v>
      </c>
      <c r="X139" s="4141">
        <v>55.62</v>
      </c>
      <c r="Y139" s="4141">
        <v>55</v>
      </c>
      <c r="Z139" s="4858">
        <v>542</v>
      </c>
      <c r="AA139" s="1984"/>
      <c r="AB139" s="4859">
        <v>1</v>
      </c>
      <c r="AC139" s="1877" t="s">
        <v>3720</v>
      </c>
      <c r="AD139" s="1877" t="s">
        <v>3721</v>
      </c>
      <c r="AE139" s="4860" t="s">
        <v>3674</v>
      </c>
      <c r="AF139" s="4860"/>
      <c r="AG139" s="4860"/>
      <c r="AH139" s="4860"/>
      <c r="AI139" s="4860"/>
      <c r="AJ139" s="4860">
        <v>1458</v>
      </c>
      <c r="AK139" s="4860">
        <v>729</v>
      </c>
      <c r="AL139" s="4860">
        <v>729</v>
      </c>
      <c r="AM139" s="4860">
        <v>1230</v>
      </c>
      <c r="AN139" s="4860">
        <v>228</v>
      </c>
      <c r="AO139" s="4860">
        <v>14</v>
      </c>
      <c r="AP139" s="4860">
        <v>67</v>
      </c>
      <c r="AQ139" s="4860">
        <v>108</v>
      </c>
      <c r="AR139" s="4860">
        <v>173</v>
      </c>
      <c r="AS139" s="4860">
        <v>217</v>
      </c>
      <c r="AT139" s="4860">
        <v>314</v>
      </c>
      <c r="AU139" s="4860">
        <v>565</v>
      </c>
      <c r="AV139" s="4860">
        <v>0</v>
      </c>
      <c r="AW139" s="4860">
        <v>1458</v>
      </c>
      <c r="AX139" s="4860">
        <v>43</v>
      </c>
      <c r="AY139" s="4860">
        <v>11</v>
      </c>
      <c r="AZ139" s="4860">
        <v>26</v>
      </c>
      <c r="BA139" s="4860">
        <v>0</v>
      </c>
      <c r="BB139" s="4860">
        <v>0</v>
      </c>
      <c r="BC139" s="4860">
        <v>0</v>
      </c>
      <c r="BD139" s="4860">
        <v>1361</v>
      </c>
      <c r="BE139" s="4860">
        <v>71</v>
      </c>
      <c r="BF139" s="4860">
        <v>26</v>
      </c>
      <c r="BG139" s="4860">
        <v>0</v>
      </c>
      <c r="BH139" s="4860">
        <v>0</v>
      </c>
      <c r="BI139" s="4860">
        <v>0</v>
      </c>
      <c r="BJ139" s="4860"/>
      <c r="BK139" s="4860"/>
      <c r="BL139" s="4860"/>
      <c r="BM139" s="4860"/>
      <c r="BN139" s="4860"/>
      <c r="BO139" s="4860"/>
      <c r="BP139" s="4860"/>
      <c r="BQ139" s="4860"/>
      <c r="BR139" s="4860"/>
      <c r="BS139" s="4860"/>
      <c r="BT139" s="4861">
        <v>1</v>
      </c>
      <c r="BU139" s="4862">
        <v>1</v>
      </c>
      <c r="BV139" s="4662">
        <v>1</v>
      </c>
      <c r="BW139" s="4402">
        <f t="shared" ref="BW139:BW144" si="8">BV139/BU139</f>
        <v>1</v>
      </c>
      <c r="BX139" s="16006">
        <f>AVERAGE(BW139:BW164)</f>
        <v>0.6333333333333333</v>
      </c>
      <c r="BY139" s="4863" t="s">
        <v>9030</v>
      </c>
      <c r="BZ139" s="4863" t="s">
        <v>3721</v>
      </c>
      <c r="CA139" s="4863" t="s">
        <v>3674</v>
      </c>
      <c r="CB139" s="4404">
        <v>60000000</v>
      </c>
      <c r="CC139" s="4404"/>
      <c r="CD139" s="4404">
        <f>+CB139</f>
        <v>60000000</v>
      </c>
      <c r="CE139" s="4404"/>
      <c r="CF139" s="4405">
        <v>2181</v>
      </c>
      <c r="CG139" s="4405">
        <v>1190</v>
      </c>
      <c r="CH139" s="4405">
        <v>991</v>
      </c>
      <c r="CI139" s="4405">
        <v>1588</v>
      </c>
      <c r="CJ139" s="4405">
        <v>579</v>
      </c>
      <c r="CK139" s="4405">
        <v>0</v>
      </c>
      <c r="CL139" s="4405">
        <v>111</v>
      </c>
      <c r="CM139" s="4405">
        <v>169</v>
      </c>
      <c r="CN139" s="4405">
        <v>278</v>
      </c>
      <c r="CO139" s="4405">
        <v>221</v>
      </c>
      <c r="CP139" s="4405">
        <v>333</v>
      </c>
      <c r="CQ139" s="4405">
        <v>1069</v>
      </c>
      <c r="CR139" s="4405">
        <v>0</v>
      </c>
      <c r="CS139" s="4864">
        <v>2181</v>
      </c>
      <c r="CT139" s="4405">
        <v>101</v>
      </c>
      <c r="CU139" s="4405">
        <v>17</v>
      </c>
      <c r="CV139" s="4405">
        <v>21</v>
      </c>
      <c r="CW139" s="4405">
        <v>0</v>
      </c>
      <c r="CX139" s="4405">
        <v>4</v>
      </c>
      <c r="CY139" s="4405">
        <v>0</v>
      </c>
      <c r="CZ139" s="4405">
        <v>2102</v>
      </c>
      <c r="DA139" s="4405">
        <v>62</v>
      </c>
      <c r="DB139" s="4405">
        <v>16</v>
      </c>
      <c r="DC139" s="4405">
        <v>1</v>
      </c>
      <c r="DD139" s="4405">
        <v>0</v>
      </c>
      <c r="DE139" s="4405">
        <v>0</v>
      </c>
      <c r="DF139" s="4865"/>
      <c r="DG139" s="4865"/>
      <c r="DH139" s="4865"/>
      <c r="DI139" s="4865"/>
      <c r="DJ139" s="4865"/>
      <c r="DK139" s="4865"/>
      <c r="DL139" s="4865"/>
      <c r="DM139" s="4865"/>
      <c r="DN139" s="4865"/>
      <c r="DO139" s="4866"/>
      <c r="DP139" s="1790"/>
      <c r="DQ139" s="4974"/>
      <c r="DR139" s="1878"/>
      <c r="DS139" s="1878"/>
      <c r="DT139" s="1878"/>
      <c r="DU139" s="1878"/>
      <c r="DV139" s="1878"/>
      <c r="DW139" s="1878"/>
      <c r="DX139" s="1878"/>
      <c r="DY139" s="1878"/>
      <c r="DZ139" s="1878"/>
      <c r="EA139" s="1878"/>
      <c r="EB139" s="1878"/>
      <c r="EC139" s="1878"/>
      <c r="ED139" s="1878"/>
      <c r="EE139" s="1878"/>
      <c r="EF139" s="1878"/>
      <c r="EG139" s="1878"/>
      <c r="EH139" s="1878"/>
      <c r="EI139" s="1878"/>
      <c r="EJ139" s="1878"/>
      <c r="EK139" s="1878"/>
      <c r="EL139" s="1878"/>
      <c r="EM139" s="1878"/>
      <c r="EN139" s="1878"/>
      <c r="EO139" s="1878"/>
      <c r="EP139" s="1878"/>
      <c r="EQ139" s="1878"/>
      <c r="ER139" s="1878"/>
      <c r="ES139" s="1878"/>
      <c r="ET139" s="1878"/>
      <c r="EU139" s="1878"/>
      <c r="EV139" s="1878"/>
      <c r="EW139" s="1878"/>
      <c r="EX139" s="1878"/>
      <c r="EY139" s="1878"/>
      <c r="EZ139" s="1878"/>
      <c r="FA139" s="1878"/>
      <c r="FB139" s="1878"/>
      <c r="FC139" s="1878"/>
      <c r="FD139" s="1878"/>
      <c r="FE139" s="1878"/>
      <c r="FF139" s="1878"/>
      <c r="FG139" s="1878"/>
      <c r="FH139" s="1878"/>
      <c r="FI139" s="1878"/>
      <c r="FJ139" s="1879"/>
    </row>
    <row r="140" spans="1:166" s="1791" customFormat="1" ht="15" customHeight="1">
      <c r="A140" s="15977"/>
      <c r="B140" s="15980"/>
      <c r="C140" s="15980"/>
      <c r="D140" s="4655" t="s">
        <v>7995</v>
      </c>
      <c r="E140" s="2741" t="s">
        <v>5022</v>
      </c>
      <c r="F140" s="2741" t="s">
        <v>881</v>
      </c>
      <c r="G140" s="2741">
        <v>1</v>
      </c>
      <c r="H140" s="2741">
        <v>1</v>
      </c>
      <c r="I140" s="2741">
        <v>1</v>
      </c>
      <c r="J140" s="2741">
        <v>1</v>
      </c>
      <c r="K140" s="2741" t="s">
        <v>882</v>
      </c>
      <c r="L140" s="2741" t="s">
        <v>10070</v>
      </c>
      <c r="M140" s="2741" t="s">
        <v>512</v>
      </c>
      <c r="N140" s="2741"/>
      <c r="O140" s="3953">
        <v>20</v>
      </c>
      <c r="P140" s="2741">
        <v>20.6</v>
      </c>
      <c r="Q140" s="2741">
        <v>51</v>
      </c>
      <c r="R140" s="2741">
        <v>52.53</v>
      </c>
      <c r="S140" s="2741">
        <v>52</v>
      </c>
      <c r="T140" s="2741">
        <v>53.56</v>
      </c>
      <c r="U140" s="4800">
        <v>53</v>
      </c>
      <c r="V140" s="2741">
        <v>54.59</v>
      </c>
      <c r="W140" s="2741">
        <v>54</v>
      </c>
      <c r="X140" s="2741">
        <v>55.62</v>
      </c>
      <c r="Y140" s="2741">
        <v>55</v>
      </c>
      <c r="Z140" s="2412">
        <v>522</v>
      </c>
      <c r="AA140" s="3953"/>
      <c r="AB140" s="3951"/>
      <c r="AC140" s="3951"/>
      <c r="AD140" s="3951"/>
      <c r="AE140" s="3951"/>
      <c r="AF140" s="3951"/>
      <c r="AG140" s="3951"/>
      <c r="AH140" s="3951"/>
      <c r="AI140" s="3951"/>
      <c r="AJ140" s="3951"/>
      <c r="AK140" s="3951"/>
      <c r="AL140" s="3951"/>
      <c r="AM140" s="3951"/>
      <c r="AN140" s="3951"/>
      <c r="AO140" s="3951"/>
      <c r="AP140" s="3951"/>
      <c r="AQ140" s="3951"/>
      <c r="AR140" s="3951"/>
      <c r="AS140" s="3951"/>
      <c r="AT140" s="3951"/>
      <c r="AU140" s="3951"/>
      <c r="AV140" s="3951"/>
      <c r="AW140" s="3951"/>
      <c r="AX140" s="3951"/>
      <c r="AY140" s="3951"/>
      <c r="AZ140" s="3951"/>
      <c r="BA140" s="3951"/>
      <c r="BB140" s="3951"/>
      <c r="BC140" s="3951"/>
      <c r="BD140" s="3951"/>
      <c r="BE140" s="3951"/>
      <c r="BF140" s="3951"/>
      <c r="BG140" s="3951"/>
      <c r="BH140" s="3951"/>
      <c r="BI140" s="3951"/>
      <c r="BJ140" s="3951"/>
      <c r="BK140" s="3951"/>
      <c r="BL140" s="3951"/>
      <c r="BM140" s="3951"/>
      <c r="BN140" s="3951"/>
      <c r="BO140" s="3951"/>
      <c r="BP140" s="3951"/>
      <c r="BQ140" s="3951"/>
      <c r="BR140" s="3951"/>
      <c r="BS140" s="3951"/>
      <c r="BT140" s="2741">
        <v>1</v>
      </c>
      <c r="BU140" s="2741">
        <v>1</v>
      </c>
      <c r="BV140" s="2741">
        <v>1</v>
      </c>
      <c r="BW140" s="2408">
        <f t="shared" si="8"/>
        <v>1</v>
      </c>
      <c r="BX140" s="15854"/>
      <c r="BY140" s="2741" t="s">
        <v>9897</v>
      </c>
      <c r="BZ140" s="2741"/>
      <c r="CA140" s="2741"/>
      <c r="CB140" s="2683">
        <v>13000000</v>
      </c>
      <c r="CC140" s="2683">
        <v>13000000</v>
      </c>
      <c r="CD140" s="2683"/>
      <c r="CE140" s="2683"/>
      <c r="CF140" s="4217"/>
      <c r="CG140" s="4217"/>
      <c r="CH140" s="4217"/>
      <c r="CI140" s="4217"/>
      <c r="CJ140" s="4217"/>
      <c r="CK140" s="4217"/>
      <c r="CL140" s="4217"/>
      <c r="CM140" s="4217"/>
      <c r="CN140" s="4217"/>
      <c r="CO140" s="4217"/>
      <c r="CP140" s="4217"/>
      <c r="CQ140" s="4217"/>
      <c r="CR140" s="4217"/>
      <c r="CS140" s="4803"/>
      <c r="CT140" s="4217"/>
      <c r="CU140" s="4217"/>
      <c r="CV140" s="4217"/>
      <c r="CW140" s="4217"/>
      <c r="CX140" s="4217"/>
      <c r="CY140" s="4217"/>
      <c r="CZ140" s="4217"/>
      <c r="DA140" s="4217"/>
      <c r="DB140" s="4217"/>
      <c r="DC140" s="4217"/>
      <c r="DD140" s="4217"/>
      <c r="DE140" s="4217"/>
      <c r="DF140" s="4217"/>
      <c r="DG140" s="4217"/>
      <c r="DH140" s="4217"/>
      <c r="DI140" s="4217"/>
      <c r="DJ140" s="4217"/>
      <c r="DK140" s="4217"/>
      <c r="DL140" s="4217"/>
      <c r="DM140" s="4217"/>
      <c r="DN140" s="4217"/>
      <c r="DO140" s="4839"/>
      <c r="DQ140" s="4972"/>
      <c r="DR140" s="3951"/>
      <c r="DS140" s="3951"/>
      <c r="DT140" s="3951"/>
      <c r="DU140" s="3951"/>
      <c r="DV140" s="3951"/>
      <c r="DW140" s="3951"/>
      <c r="DX140" s="3951"/>
      <c r="DY140" s="3951"/>
      <c r="DZ140" s="3951"/>
      <c r="EA140" s="3951"/>
      <c r="EB140" s="3951"/>
      <c r="EC140" s="3951"/>
      <c r="ED140" s="3951"/>
      <c r="EE140" s="3951"/>
      <c r="EF140" s="3951"/>
      <c r="EG140" s="3951"/>
      <c r="EH140" s="3951"/>
      <c r="EI140" s="3951"/>
      <c r="EJ140" s="3951"/>
      <c r="EK140" s="3951"/>
      <c r="EL140" s="3951"/>
      <c r="EM140" s="3951"/>
      <c r="EN140" s="3951"/>
      <c r="EO140" s="3951"/>
      <c r="EP140" s="3951"/>
      <c r="EQ140" s="3951"/>
      <c r="ER140" s="3951"/>
      <c r="ES140" s="3951"/>
      <c r="ET140" s="3951"/>
      <c r="EU140" s="3951"/>
      <c r="EV140" s="3951"/>
      <c r="EW140" s="3951"/>
      <c r="EX140" s="3951"/>
      <c r="EY140" s="3951"/>
      <c r="EZ140" s="3951"/>
      <c r="FA140" s="3951"/>
      <c r="FB140" s="3951"/>
      <c r="FC140" s="3951"/>
      <c r="FD140" s="3951"/>
      <c r="FE140" s="3951"/>
      <c r="FF140" s="3951"/>
      <c r="FG140" s="3951"/>
      <c r="FH140" s="3951"/>
      <c r="FI140" s="3951"/>
      <c r="FJ140" s="2061"/>
    </row>
    <row r="141" spans="1:166" s="1791" customFormat="1" ht="15" customHeight="1">
      <c r="A141" s="15977"/>
      <c r="B141" s="15980"/>
      <c r="C141" s="2412" t="s">
        <v>883</v>
      </c>
      <c r="D141" s="4655" t="s">
        <v>7996</v>
      </c>
      <c r="E141" s="2741" t="s">
        <v>5023</v>
      </c>
      <c r="F141" s="2741" t="s">
        <v>95</v>
      </c>
      <c r="G141" s="2741">
        <v>0</v>
      </c>
      <c r="H141" s="2741">
        <v>1</v>
      </c>
      <c r="I141" s="2741">
        <v>1</v>
      </c>
      <c r="J141" s="2741">
        <v>1</v>
      </c>
      <c r="K141" s="2741" t="s">
        <v>884</v>
      </c>
      <c r="L141" s="2741" t="s">
        <v>4305</v>
      </c>
      <c r="M141" s="2741" t="s">
        <v>885</v>
      </c>
      <c r="N141" s="2741" t="s">
        <v>886</v>
      </c>
      <c r="O141" s="2741">
        <v>25</v>
      </c>
      <c r="P141" s="2741">
        <v>26</v>
      </c>
      <c r="Q141" s="2741">
        <v>27</v>
      </c>
      <c r="R141" s="2741">
        <v>27</v>
      </c>
      <c r="S141" s="2741">
        <v>28</v>
      </c>
      <c r="T141" s="2741">
        <v>29</v>
      </c>
      <c r="U141" s="4800">
        <v>30</v>
      </c>
      <c r="V141" s="2741">
        <v>31</v>
      </c>
      <c r="W141" s="2741">
        <v>32</v>
      </c>
      <c r="X141" s="2741">
        <v>33</v>
      </c>
      <c r="Y141" s="2741">
        <v>34</v>
      </c>
      <c r="Z141" s="2412">
        <v>322</v>
      </c>
      <c r="AA141" s="2741"/>
      <c r="AB141" s="3951"/>
      <c r="AC141" s="3951"/>
      <c r="AD141" s="3951"/>
      <c r="AE141" s="3951"/>
      <c r="AF141" s="3951"/>
      <c r="AG141" s="3951"/>
      <c r="AH141" s="3951"/>
      <c r="AI141" s="3951"/>
      <c r="AJ141" s="3951"/>
      <c r="AK141" s="3951"/>
      <c r="AL141" s="3951"/>
      <c r="AM141" s="3951"/>
      <c r="AN141" s="3951"/>
      <c r="AO141" s="3951"/>
      <c r="AP141" s="3951"/>
      <c r="AQ141" s="3951"/>
      <c r="AR141" s="3951"/>
      <c r="AS141" s="3951"/>
      <c r="AT141" s="3951"/>
      <c r="AU141" s="3951"/>
      <c r="AV141" s="3951"/>
      <c r="AW141" s="3951"/>
      <c r="AX141" s="3951"/>
      <c r="AY141" s="3951"/>
      <c r="AZ141" s="3951"/>
      <c r="BA141" s="3951"/>
      <c r="BB141" s="3951"/>
      <c r="BC141" s="3951"/>
      <c r="BD141" s="3951"/>
      <c r="BE141" s="3951"/>
      <c r="BF141" s="3951"/>
      <c r="BG141" s="3951"/>
      <c r="BH141" s="3951"/>
      <c r="BI141" s="3951"/>
      <c r="BJ141" s="3951"/>
      <c r="BK141" s="3951"/>
      <c r="BL141" s="3951"/>
      <c r="BM141" s="3951"/>
      <c r="BN141" s="3951"/>
      <c r="BO141" s="3951"/>
      <c r="BP141" s="3951"/>
      <c r="BQ141" s="3951"/>
      <c r="BR141" s="3951"/>
      <c r="BS141" s="3951"/>
      <c r="BT141" s="2741" t="s">
        <v>9884</v>
      </c>
      <c r="BU141" s="2741">
        <v>1</v>
      </c>
      <c r="BV141" s="2741">
        <v>0</v>
      </c>
      <c r="BW141" s="2408">
        <f t="shared" si="8"/>
        <v>0</v>
      </c>
      <c r="BX141" s="15854"/>
      <c r="BY141" s="2741"/>
      <c r="BZ141" s="2741"/>
      <c r="CA141" s="2741"/>
      <c r="CB141" s="2683"/>
      <c r="CC141" s="2683"/>
      <c r="CD141" s="2683"/>
      <c r="CE141" s="2683"/>
      <c r="CF141" s="4217"/>
      <c r="CG141" s="4217"/>
      <c r="CH141" s="4217"/>
      <c r="CI141" s="4217"/>
      <c r="CJ141" s="4217"/>
      <c r="CK141" s="4217"/>
      <c r="CL141" s="4217"/>
      <c r="CM141" s="4217"/>
      <c r="CN141" s="4217"/>
      <c r="CO141" s="4217"/>
      <c r="CP141" s="4217"/>
      <c r="CQ141" s="4217"/>
      <c r="CR141" s="4217"/>
      <c r="CS141" s="4803"/>
      <c r="CT141" s="4217"/>
      <c r="CU141" s="4217"/>
      <c r="CV141" s="4217"/>
      <c r="CW141" s="4217"/>
      <c r="CX141" s="4217"/>
      <c r="CY141" s="4217"/>
      <c r="CZ141" s="4217"/>
      <c r="DA141" s="4217"/>
      <c r="DB141" s="4217"/>
      <c r="DC141" s="4217"/>
      <c r="DD141" s="4217"/>
      <c r="DE141" s="4217"/>
      <c r="DF141" s="4217"/>
      <c r="DG141" s="4217"/>
      <c r="DH141" s="4217"/>
      <c r="DI141" s="4217"/>
      <c r="DJ141" s="4217"/>
      <c r="DK141" s="4217"/>
      <c r="DL141" s="4217"/>
      <c r="DM141" s="4217"/>
      <c r="DN141" s="4217"/>
      <c r="DO141" s="4839"/>
      <c r="DQ141" s="4972"/>
      <c r="DR141" s="3951"/>
      <c r="DS141" s="3951"/>
      <c r="DT141" s="3951"/>
      <c r="DU141" s="3951"/>
      <c r="DV141" s="3951"/>
      <c r="DW141" s="3951"/>
      <c r="DX141" s="3951"/>
      <c r="DY141" s="3951"/>
      <c r="DZ141" s="3951"/>
      <c r="EA141" s="3951"/>
      <c r="EB141" s="3951"/>
      <c r="EC141" s="3951"/>
      <c r="ED141" s="3951"/>
      <c r="EE141" s="3951"/>
      <c r="EF141" s="3951"/>
      <c r="EG141" s="3951"/>
      <c r="EH141" s="3951"/>
      <c r="EI141" s="3951"/>
      <c r="EJ141" s="3951"/>
      <c r="EK141" s="3951"/>
      <c r="EL141" s="3951"/>
      <c r="EM141" s="3951"/>
      <c r="EN141" s="3951"/>
      <c r="EO141" s="3951"/>
      <c r="EP141" s="3951"/>
      <c r="EQ141" s="3951"/>
      <c r="ER141" s="3951"/>
      <c r="ES141" s="3951"/>
      <c r="ET141" s="3951"/>
      <c r="EU141" s="3951"/>
      <c r="EV141" s="3951"/>
      <c r="EW141" s="3951"/>
      <c r="EX141" s="3951"/>
      <c r="EY141" s="3951"/>
      <c r="EZ141" s="3951"/>
      <c r="FA141" s="3951"/>
      <c r="FB141" s="3951"/>
      <c r="FC141" s="3951"/>
      <c r="FD141" s="3951"/>
      <c r="FE141" s="3951"/>
      <c r="FF141" s="3951"/>
      <c r="FG141" s="3951"/>
      <c r="FH141" s="3951"/>
      <c r="FI141" s="3951"/>
      <c r="FJ141" s="2061"/>
    </row>
    <row r="142" spans="1:166" s="1791" customFormat="1" ht="15" customHeight="1">
      <c r="A142" s="15977"/>
      <c r="B142" s="15980"/>
      <c r="C142" s="2412" t="s">
        <v>887</v>
      </c>
      <c r="D142" s="15895" t="s">
        <v>7997</v>
      </c>
      <c r="E142" s="15897" t="s">
        <v>5024</v>
      </c>
      <c r="F142" s="15897" t="s">
        <v>888</v>
      </c>
      <c r="G142" s="15897">
        <v>0</v>
      </c>
      <c r="H142" s="15897">
        <v>1</v>
      </c>
      <c r="I142" s="15897">
        <v>1</v>
      </c>
      <c r="J142" s="15897">
        <v>1</v>
      </c>
      <c r="K142" s="15897" t="s">
        <v>889</v>
      </c>
      <c r="L142" s="2741" t="s">
        <v>10076</v>
      </c>
      <c r="M142" s="2741" t="s">
        <v>890</v>
      </c>
      <c r="N142" s="2741"/>
      <c r="O142" s="2741">
        <v>25</v>
      </c>
      <c r="P142" s="2741">
        <v>26</v>
      </c>
      <c r="Q142" s="2741">
        <v>27</v>
      </c>
      <c r="R142" s="2741">
        <v>27</v>
      </c>
      <c r="S142" s="2741">
        <v>28</v>
      </c>
      <c r="T142" s="2741">
        <v>29</v>
      </c>
      <c r="U142" s="4800">
        <v>30</v>
      </c>
      <c r="V142" s="2741">
        <v>31</v>
      </c>
      <c r="W142" s="2741">
        <v>32</v>
      </c>
      <c r="X142" s="2741">
        <v>33</v>
      </c>
      <c r="Y142" s="2741">
        <v>34</v>
      </c>
      <c r="Z142" s="2412">
        <v>322</v>
      </c>
      <c r="AA142" s="2741"/>
      <c r="AB142" s="3951"/>
      <c r="AC142" s="3951"/>
      <c r="AD142" s="3951"/>
      <c r="AE142" s="3951"/>
      <c r="AF142" s="3951"/>
      <c r="AG142" s="3951"/>
      <c r="AH142" s="3951"/>
      <c r="AI142" s="3951"/>
      <c r="AJ142" s="3951"/>
      <c r="AK142" s="3951"/>
      <c r="AL142" s="3951"/>
      <c r="AM142" s="3951"/>
      <c r="AN142" s="3951"/>
      <c r="AO142" s="3951"/>
      <c r="AP142" s="3951"/>
      <c r="AQ142" s="3951"/>
      <c r="AR142" s="3951"/>
      <c r="AS142" s="3951"/>
      <c r="AT142" s="3951"/>
      <c r="AU142" s="3951"/>
      <c r="AV142" s="3951"/>
      <c r="AW142" s="3951"/>
      <c r="AX142" s="3951"/>
      <c r="AY142" s="3951"/>
      <c r="AZ142" s="3951"/>
      <c r="BA142" s="3951"/>
      <c r="BB142" s="3951"/>
      <c r="BC142" s="3951"/>
      <c r="BD142" s="3951"/>
      <c r="BE142" s="3951"/>
      <c r="BF142" s="3951"/>
      <c r="BG142" s="3951"/>
      <c r="BH142" s="3951"/>
      <c r="BI142" s="3951"/>
      <c r="BJ142" s="3951"/>
      <c r="BK142" s="3951"/>
      <c r="BL142" s="3951"/>
      <c r="BM142" s="3951"/>
      <c r="BN142" s="3951"/>
      <c r="BO142" s="3951"/>
      <c r="BP142" s="3951"/>
      <c r="BQ142" s="3951"/>
      <c r="BR142" s="3951"/>
      <c r="BS142" s="3951"/>
      <c r="BT142" s="2741" t="s">
        <v>9884</v>
      </c>
      <c r="BU142" s="2741">
        <v>1</v>
      </c>
      <c r="BV142" s="2741">
        <v>0</v>
      </c>
      <c r="BW142" s="2408">
        <f t="shared" si="8"/>
        <v>0</v>
      </c>
      <c r="BX142" s="15854"/>
      <c r="BY142" s="2741"/>
      <c r="BZ142" s="2741"/>
      <c r="CA142" s="2741"/>
      <c r="CB142" s="2683"/>
      <c r="CC142" s="2683"/>
      <c r="CD142" s="2683"/>
      <c r="CE142" s="2683"/>
      <c r="CF142" s="4217"/>
      <c r="CG142" s="4217"/>
      <c r="CH142" s="4217"/>
      <c r="CI142" s="4217"/>
      <c r="CJ142" s="4217"/>
      <c r="CK142" s="4217"/>
      <c r="CL142" s="4217"/>
      <c r="CM142" s="4217"/>
      <c r="CN142" s="4217"/>
      <c r="CO142" s="4217"/>
      <c r="CP142" s="4217"/>
      <c r="CQ142" s="4217"/>
      <c r="CR142" s="4217"/>
      <c r="CS142" s="4803"/>
      <c r="CT142" s="4217"/>
      <c r="CU142" s="4217"/>
      <c r="CV142" s="4217"/>
      <c r="CW142" s="4217"/>
      <c r="CX142" s="4217"/>
      <c r="CY142" s="4217"/>
      <c r="CZ142" s="4217"/>
      <c r="DA142" s="4217"/>
      <c r="DB142" s="4217"/>
      <c r="DC142" s="4217"/>
      <c r="DD142" s="4217"/>
      <c r="DE142" s="4217"/>
      <c r="DF142" s="4217"/>
      <c r="DG142" s="4217"/>
      <c r="DH142" s="4217"/>
      <c r="DI142" s="4217"/>
      <c r="DJ142" s="4217"/>
      <c r="DK142" s="4217"/>
      <c r="DL142" s="4217"/>
      <c r="DM142" s="4217"/>
      <c r="DN142" s="4217"/>
      <c r="DO142" s="4839"/>
      <c r="DQ142" s="4972"/>
      <c r="DR142" s="3951"/>
      <c r="DS142" s="3951"/>
      <c r="DT142" s="3951"/>
      <c r="DU142" s="3951"/>
      <c r="DV142" s="3951"/>
      <c r="DW142" s="3951"/>
      <c r="DX142" s="3951"/>
      <c r="DY142" s="3951"/>
      <c r="DZ142" s="3951"/>
      <c r="EA142" s="3951"/>
      <c r="EB142" s="3951"/>
      <c r="EC142" s="3951"/>
      <c r="ED142" s="3951"/>
      <c r="EE142" s="3951"/>
      <c r="EF142" s="3951"/>
      <c r="EG142" s="3951"/>
      <c r="EH142" s="3951"/>
      <c r="EI142" s="3951"/>
      <c r="EJ142" s="3951"/>
      <c r="EK142" s="3951"/>
      <c r="EL142" s="3951"/>
      <c r="EM142" s="3951"/>
      <c r="EN142" s="3951"/>
      <c r="EO142" s="3951"/>
      <c r="EP142" s="3951"/>
      <c r="EQ142" s="3951"/>
      <c r="ER142" s="3951"/>
      <c r="ES142" s="3951"/>
      <c r="ET142" s="3951"/>
      <c r="EU142" s="3951"/>
      <c r="EV142" s="3951"/>
      <c r="EW142" s="3951"/>
      <c r="EX142" s="3951"/>
      <c r="EY142" s="3951"/>
      <c r="EZ142" s="3951"/>
      <c r="FA142" s="3951"/>
      <c r="FB142" s="3951"/>
      <c r="FC142" s="3951"/>
      <c r="FD142" s="3951"/>
      <c r="FE142" s="3951"/>
      <c r="FF142" s="3951"/>
      <c r="FG142" s="3951"/>
      <c r="FH142" s="3951"/>
      <c r="FI142" s="3951"/>
      <c r="FJ142" s="2061"/>
    </row>
    <row r="143" spans="1:166" s="1791" customFormat="1" ht="15" customHeight="1">
      <c r="A143" s="15977"/>
      <c r="B143" s="15980"/>
      <c r="C143" s="2412"/>
      <c r="D143" s="15895"/>
      <c r="E143" s="15897"/>
      <c r="F143" s="15897"/>
      <c r="G143" s="15897"/>
      <c r="H143" s="15897"/>
      <c r="I143" s="15897"/>
      <c r="J143" s="15897"/>
      <c r="K143" s="15897"/>
      <c r="L143" s="2741" t="s">
        <v>10063</v>
      </c>
      <c r="M143" s="2741"/>
      <c r="N143" s="2741" t="s">
        <v>891</v>
      </c>
      <c r="O143" s="2741"/>
      <c r="P143" s="2741"/>
      <c r="Q143" s="2741"/>
      <c r="R143" s="2741"/>
      <c r="S143" s="2741"/>
      <c r="T143" s="2741"/>
      <c r="U143" s="4800"/>
      <c r="V143" s="2741"/>
      <c r="W143" s="2741"/>
      <c r="X143" s="2741"/>
      <c r="Y143" s="2741"/>
      <c r="Z143" s="2412"/>
      <c r="AA143" s="2741"/>
      <c r="AB143" s="3951"/>
      <c r="AC143" s="3951"/>
      <c r="AD143" s="3951"/>
      <c r="AE143" s="3951"/>
      <c r="AF143" s="3951"/>
      <c r="AG143" s="3951"/>
      <c r="AH143" s="3951"/>
      <c r="AI143" s="3951"/>
      <c r="AJ143" s="3951"/>
      <c r="AK143" s="3951"/>
      <c r="AL143" s="3951"/>
      <c r="AM143" s="3951"/>
      <c r="AN143" s="3951"/>
      <c r="AO143" s="3951"/>
      <c r="AP143" s="3951"/>
      <c r="AQ143" s="3951"/>
      <c r="AR143" s="3951"/>
      <c r="AS143" s="3951"/>
      <c r="AT143" s="3951"/>
      <c r="AU143" s="3951"/>
      <c r="AV143" s="3951"/>
      <c r="AW143" s="3951"/>
      <c r="AX143" s="3951"/>
      <c r="AY143" s="3951"/>
      <c r="AZ143" s="3951"/>
      <c r="BA143" s="3951"/>
      <c r="BB143" s="3951"/>
      <c r="BC143" s="3951"/>
      <c r="BD143" s="3951"/>
      <c r="BE143" s="3951"/>
      <c r="BF143" s="3951"/>
      <c r="BG143" s="3951"/>
      <c r="BH143" s="3951"/>
      <c r="BI143" s="3951"/>
      <c r="BJ143" s="3951"/>
      <c r="BK143" s="3951"/>
      <c r="BL143" s="3951"/>
      <c r="BM143" s="3951"/>
      <c r="BN143" s="3951"/>
      <c r="BO143" s="3951"/>
      <c r="BP143" s="3951"/>
      <c r="BQ143" s="3951"/>
      <c r="BR143" s="3951"/>
      <c r="BS143" s="3951"/>
      <c r="BT143" s="2741"/>
      <c r="BU143" s="2741"/>
      <c r="BV143" s="2741"/>
      <c r="BW143" s="2408"/>
      <c r="BX143" s="15854"/>
      <c r="BY143" s="2741"/>
      <c r="BZ143" s="2741"/>
      <c r="CA143" s="2741"/>
      <c r="CB143" s="2683"/>
      <c r="CC143" s="2683"/>
      <c r="CD143" s="2683"/>
      <c r="CE143" s="2683"/>
      <c r="CF143" s="4217"/>
      <c r="CG143" s="4217"/>
      <c r="CH143" s="4217"/>
      <c r="CI143" s="4217"/>
      <c r="CJ143" s="4217"/>
      <c r="CK143" s="4217"/>
      <c r="CL143" s="4217"/>
      <c r="CM143" s="4217"/>
      <c r="CN143" s="4217"/>
      <c r="CO143" s="4217"/>
      <c r="CP143" s="4217"/>
      <c r="CQ143" s="4217"/>
      <c r="CR143" s="4217"/>
      <c r="CS143" s="4803"/>
      <c r="CT143" s="4217"/>
      <c r="CU143" s="4217"/>
      <c r="CV143" s="4217"/>
      <c r="CW143" s="4217"/>
      <c r="CX143" s="4217"/>
      <c r="CY143" s="4217"/>
      <c r="CZ143" s="4217"/>
      <c r="DA143" s="4217"/>
      <c r="DB143" s="4217"/>
      <c r="DC143" s="4217"/>
      <c r="DD143" s="4217"/>
      <c r="DE143" s="4217"/>
      <c r="DF143" s="4217"/>
      <c r="DG143" s="4217"/>
      <c r="DH143" s="4217"/>
      <c r="DI143" s="4217"/>
      <c r="DJ143" s="4217"/>
      <c r="DK143" s="4217"/>
      <c r="DL143" s="4217"/>
      <c r="DM143" s="4217"/>
      <c r="DN143" s="4217"/>
      <c r="DO143" s="4839"/>
      <c r="DQ143" s="4972"/>
      <c r="DR143" s="3951"/>
      <c r="DS143" s="3951"/>
      <c r="DT143" s="3951"/>
      <c r="DU143" s="3951"/>
      <c r="DV143" s="3951"/>
      <c r="DW143" s="3951"/>
      <c r="DX143" s="3951"/>
      <c r="DY143" s="3951"/>
      <c r="DZ143" s="3951"/>
      <c r="EA143" s="3951"/>
      <c r="EB143" s="3951"/>
      <c r="EC143" s="3951"/>
      <c r="ED143" s="3951"/>
      <c r="EE143" s="3951"/>
      <c r="EF143" s="3951"/>
      <c r="EG143" s="3951"/>
      <c r="EH143" s="3951"/>
      <c r="EI143" s="3951"/>
      <c r="EJ143" s="3951"/>
      <c r="EK143" s="3951"/>
      <c r="EL143" s="3951"/>
      <c r="EM143" s="3951"/>
      <c r="EN143" s="3951"/>
      <c r="EO143" s="3951"/>
      <c r="EP143" s="3951"/>
      <c r="EQ143" s="3951"/>
      <c r="ER143" s="3951"/>
      <c r="ES143" s="3951"/>
      <c r="ET143" s="3951"/>
      <c r="EU143" s="3951"/>
      <c r="EV143" s="3951"/>
      <c r="EW143" s="3951"/>
      <c r="EX143" s="3951"/>
      <c r="EY143" s="3951"/>
      <c r="EZ143" s="3951"/>
      <c r="FA143" s="3951"/>
      <c r="FB143" s="3951"/>
      <c r="FC143" s="3951"/>
      <c r="FD143" s="3951"/>
      <c r="FE143" s="3951"/>
      <c r="FF143" s="3951"/>
      <c r="FG143" s="3951"/>
      <c r="FH143" s="3951"/>
      <c r="FI143" s="3951"/>
      <c r="FJ143" s="2061"/>
    </row>
    <row r="144" spans="1:166" s="1791" customFormat="1" ht="15" customHeight="1">
      <c r="A144" s="15977"/>
      <c r="B144" s="15980"/>
      <c r="C144" s="15980" t="s">
        <v>892</v>
      </c>
      <c r="D144" s="15895" t="s">
        <v>7998</v>
      </c>
      <c r="E144" s="15897" t="s">
        <v>5025</v>
      </c>
      <c r="F144" s="15897" t="s">
        <v>893</v>
      </c>
      <c r="G144" s="15897">
        <v>0</v>
      </c>
      <c r="H144" s="15901">
        <v>0.1</v>
      </c>
      <c r="I144" s="15901">
        <v>0.4</v>
      </c>
      <c r="J144" s="15901">
        <v>0.8</v>
      </c>
      <c r="K144" s="15897" t="s">
        <v>773</v>
      </c>
      <c r="L144" s="2741" t="s">
        <v>10063</v>
      </c>
      <c r="M144" s="2741" t="s">
        <v>724</v>
      </c>
      <c r="N144" s="2741"/>
      <c r="O144" s="2741">
        <v>30</v>
      </c>
      <c r="P144" s="2741">
        <v>31</v>
      </c>
      <c r="Q144" s="2741">
        <v>32</v>
      </c>
      <c r="R144" s="2741" t="s">
        <v>690</v>
      </c>
      <c r="S144" s="2741" t="s">
        <v>690</v>
      </c>
      <c r="T144" s="2741">
        <v>35</v>
      </c>
      <c r="U144" s="4800" t="s">
        <v>690</v>
      </c>
      <c r="V144" s="2741">
        <v>37</v>
      </c>
      <c r="W144" s="2741" t="s">
        <v>690</v>
      </c>
      <c r="X144" s="2741">
        <v>39</v>
      </c>
      <c r="Y144" s="2741" t="s">
        <v>690</v>
      </c>
      <c r="Z144" s="2412">
        <v>204</v>
      </c>
      <c r="AA144" s="2741"/>
      <c r="AB144" s="4657">
        <v>1</v>
      </c>
      <c r="AC144" s="4658" t="s">
        <v>2991</v>
      </c>
      <c r="AD144" s="3947" t="s">
        <v>2992</v>
      </c>
      <c r="AE144" s="4244" t="s">
        <v>2993</v>
      </c>
      <c r="AF144" s="4659">
        <f>+'[2]8. DISCAPACIDAD'!$O$24</f>
        <v>9275946.5890909079</v>
      </c>
      <c r="AG144" s="4659">
        <f>+'[2]8. DISCAPACIDAD'!$Q$24</f>
        <v>6860302.9527272712</v>
      </c>
      <c r="AH144" s="4659">
        <f>+'[2]8. DISCAPACIDAD'!$R$24</f>
        <v>2415643.6363636362</v>
      </c>
      <c r="AI144" s="3947"/>
      <c r="AJ144" s="3953">
        <v>141</v>
      </c>
      <c r="AK144" s="3951"/>
      <c r="AL144" s="3951"/>
      <c r="AM144" s="3951"/>
      <c r="AN144" s="3951"/>
      <c r="AO144" s="3951"/>
      <c r="AP144" s="3951"/>
      <c r="AQ144" s="3951"/>
      <c r="AR144" s="3951"/>
      <c r="AS144" s="3951"/>
      <c r="AT144" s="3951"/>
      <c r="AU144" s="3951"/>
      <c r="AV144" s="3951"/>
      <c r="AW144" s="3951"/>
      <c r="AX144" s="3951"/>
      <c r="AY144" s="3951"/>
      <c r="AZ144" s="3951"/>
      <c r="BA144" s="3951"/>
      <c r="BB144" s="3951"/>
      <c r="BC144" s="3951"/>
      <c r="BD144" s="3951"/>
      <c r="BE144" s="3951"/>
      <c r="BF144" s="3951"/>
      <c r="BG144" s="3951"/>
      <c r="BH144" s="3951"/>
      <c r="BI144" s="3951"/>
      <c r="BJ144" s="3951"/>
      <c r="BK144" s="3951"/>
      <c r="BL144" s="3951"/>
      <c r="BM144" s="3951"/>
      <c r="BN144" s="3951"/>
      <c r="BO144" s="3951"/>
      <c r="BP144" s="3951"/>
      <c r="BQ144" s="3951"/>
      <c r="BR144" s="3951"/>
      <c r="BS144" s="3951"/>
      <c r="BT144" s="3953">
        <v>498</v>
      </c>
      <c r="BU144" s="2741">
        <v>498</v>
      </c>
      <c r="BV144" s="2741">
        <v>498</v>
      </c>
      <c r="BW144" s="2408">
        <f t="shared" si="8"/>
        <v>1</v>
      </c>
      <c r="BX144" s="15854"/>
      <c r="BY144" s="3947" t="s">
        <v>9898</v>
      </c>
      <c r="BZ144" s="3948" t="s">
        <v>9031</v>
      </c>
      <c r="CA144" s="3948"/>
      <c r="CB144" s="4804">
        <f>CC144+CD144+CE144</f>
        <v>9617306.8854545467</v>
      </c>
      <c r="CC144" s="2694">
        <v>7120841.4309090916</v>
      </c>
      <c r="CD144" s="2694">
        <v>2496465.4545454546</v>
      </c>
      <c r="CE144" s="4805">
        <v>0</v>
      </c>
      <c r="CF144" s="4805">
        <v>498</v>
      </c>
      <c r="CG144" s="4805">
        <v>479</v>
      </c>
      <c r="CH144" s="4805">
        <f>+CF144-CG144</f>
        <v>19</v>
      </c>
      <c r="CI144" s="4805">
        <v>486</v>
      </c>
      <c r="CJ144" s="4805">
        <f>+CF144-486</f>
        <v>12</v>
      </c>
      <c r="CK144" s="4805">
        <v>0</v>
      </c>
      <c r="CL144" s="4805">
        <v>0</v>
      </c>
      <c r="CM144" s="4805">
        <v>0</v>
      </c>
      <c r="CN144" s="4805">
        <v>40</v>
      </c>
      <c r="CO144" s="4805">
        <v>124</v>
      </c>
      <c r="CP144" s="4805">
        <v>279</v>
      </c>
      <c r="CQ144" s="4805">
        <v>55</v>
      </c>
      <c r="CR144" s="4805"/>
      <c r="CS144" s="4806"/>
      <c r="CT144" s="4807"/>
      <c r="CU144" s="4807"/>
      <c r="CV144" s="4807"/>
      <c r="CW144" s="4807"/>
      <c r="CX144" s="4807"/>
      <c r="CY144" s="4807"/>
      <c r="CZ144" s="4807"/>
      <c r="DA144" s="4807"/>
      <c r="DB144" s="4807"/>
      <c r="DC144" s="4807"/>
      <c r="DD144" s="4807"/>
      <c r="DE144" s="4807"/>
      <c r="DF144" s="4807"/>
      <c r="DG144" s="4807"/>
      <c r="DH144" s="4807"/>
      <c r="DI144" s="4217"/>
      <c r="DJ144" s="4217"/>
      <c r="DK144" s="4217"/>
      <c r="DL144" s="4217"/>
      <c r="DM144" s="4217"/>
      <c r="DN144" s="4217"/>
      <c r="DO144" s="4839"/>
      <c r="DQ144" s="4972"/>
      <c r="DR144" s="3951"/>
      <c r="DS144" s="3951"/>
      <c r="DT144" s="3951"/>
      <c r="DU144" s="3951"/>
      <c r="DV144" s="3951"/>
      <c r="DW144" s="3951"/>
      <c r="DX144" s="3951"/>
      <c r="DY144" s="3951"/>
      <c r="DZ144" s="3951"/>
      <c r="EA144" s="3951"/>
      <c r="EB144" s="3951"/>
      <c r="EC144" s="3951"/>
      <c r="ED144" s="3951"/>
      <c r="EE144" s="3951"/>
      <c r="EF144" s="3951"/>
      <c r="EG144" s="3951"/>
      <c r="EH144" s="3951"/>
      <c r="EI144" s="3951"/>
      <c r="EJ144" s="3951"/>
      <c r="EK144" s="3951"/>
      <c r="EL144" s="3951"/>
      <c r="EM144" s="3951"/>
      <c r="EN144" s="3951"/>
      <c r="EO144" s="3951"/>
      <c r="EP144" s="3951"/>
      <c r="EQ144" s="3951"/>
      <c r="ER144" s="3951"/>
      <c r="ES144" s="3951"/>
      <c r="ET144" s="3951"/>
      <c r="EU144" s="3951"/>
      <c r="EV144" s="3951"/>
      <c r="EW144" s="3951"/>
      <c r="EX144" s="3951"/>
      <c r="EY144" s="3951"/>
      <c r="EZ144" s="3951"/>
      <c r="FA144" s="3951"/>
      <c r="FB144" s="3951"/>
      <c r="FC144" s="3951"/>
      <c r="FD144" s="3951"/>
      <c r="FE144" s="3951"/>
      <c r="FF144" s="3951"/>
      <c r="FG144" s="3951"/>
      <c r="FH144" s="3951"/>
      <c r="FI144" s="3951"/>
      <c r="FJ144" s="2061"/>
    </row>
    <row r="145" spans="1:166" s="1791" customFormat="1" ht="15" customHeight="1">
      <c r="A145" s="15977"/>
      <c r="B145" s="15980"/>
      <c r="C145" s="15980"/>
      <c r="D145" s="15895"/>
      <c r="E145" s="15897"/>
      <c r="F145" s="15897"/>
      <c r="G145" s="15897"/>
      <c r="H145" s="15901"/>
      <c r="I145" s="15901"/>
      <c r="J145" s="15901"/>
      <c r="K145" s="15897"/>
      <c r="L145" s="2741" t="s">
        <v>2859</v>
      </c>
      <c r="M145" s="2741"/>
      <c r="N145" s="2741" t="s">
        <v>10234</v>
      </c>
      <c r="O145" s="2741"/>
      <c r="P145" s="2741"/>
      <c r="Q145" s="2741"/>
      <c r="R145" s="2741"/>
      <c r="S145" s="2741"/>
      <c r="T145" s="2741"/>
      <c r="U145" s="4800"/>
      <c r="V145" s="2741"/>
      <c r="W145" s="2741"/>
      <c r="X145" s="2741"/>
      <c r="Y145" s="2741"/>
      <c r="Z145" s="2412"/>
      <c r="AA145" s="2741"/>
      <c r="AB145" s="4657"/>
      <c r="AC145" s="4658"/>
      <c r="AD145" s="3947"/>
      <c r="AE145" s="4244"/>
      <c r="AF145" s="4659"/>
      <c r="AG145" s="4659"/>
      <c r="AH145" s="4659"/>
      <c r="AI145" s="3947"/>
      <c r="AJ145" s="3953"/>
      <c r="AK145" s="3951"/>
      <c r="AL145" s="3951"/>
      <c r="AM145" s="3951"/>
      <c r="AN145" s="3951"/>
      <c r="AO145" s="3951"/>
      <c r="AP145" s="3951"/>
      <c r="AQ145" s="3951"/>
      <c r="AR145" s="3951"/>
      <c r="AS145" s="3951"/>
      <c r="AT145" s="3951"/>
      <c r="AU145" s="3951"/>
      <c r="AV145" s="3951"/>
      <c r="AW145" s="3951"/>
      <c r="AX145" s="3951"/>
      <c r="AY145" s="3951"/>
      <c r="AZ145" s="3951"/>
      <c r="BA145" s="3951"/>
      <c r="BB145" s="3951"/>
      <c r="BC145" s="3951"/>
      <c r="BD145" s="3951"/>
      <c r="BE145" s="3951"/>
      <c r="BF145" s="3951"/>
      <c r="BG145" s="3951"/>
      <c r="BH145" s="3951"/>
      <c r="BI145" s="3951"/>
      <c r="BJ145" s="3951"/>
      <c r="BK145" s="3951"/>
      <c r="BL145" s="3951"/>
      <c r="BM145" s="3951"/>
      <c r="BN145" s="3951"/>
      <c r="BO145" s="3951"/>
      <c r="BP145" s="3951"/>
      <c r="BQ145" s="3951"/>
      <c r="BR145" s="3951"/>
      <c r="BS145" s="3951"/>
      <c r="BT145" s="3953"/>
      <c r="BU145" s="2741"/>
      <c r="BV145" s="2741"/>
      <c r="BW145" s="2408"/>
      <c r="BX145" s="15854"/>
      <c r="BY145" s="3947"/>
      <c r="BZ145" s="3948"/>
      <c r="CA145" s="3948"/>
      <c r="CB145" s="4804"/>
      <c r="CC145" s="2694"/>
      <c r="CD145" s="2694"/>
      <c r="CE145" s="4805"/>
      <c r="CF145" s="4805"/>
      <c r="CG145" s="4805"/>
      <c r="CH145" s="4805"/>
      <c r="CI145" s="4805"/>
      <c r="CJ145" s="4805"/>
      <c r="CK145" s="4805"/>
      <c r="CL145" s="4805"/>
      <c r="CM145" s="4805"/>
      <c r="CN145" s="4805"/>
      <c r="CO145" s="4805"/>
      <c r="CP145" s="4805"/>
      <c r="CQ145" s="4805"/>
      <c r="CR145" s="4805"/>
      <c r="CS145" s="4806"/>
      <c r="CT145" s="4807"/>
      <c r="CU145" s="4807"/>
      <c r="CV145" s="4807"/>
      <c r="CW145" s="4807"/>
      <c r="CX145" s="4807"/>
      <c r="CY145" s="4807"/>
      <c r="CZ145" s="4807"/>
      <c r="DA145" s="4807"/>
      <c r="DB145" s="4807"/>
      <c r="DC145" s="4807"/>
      <c r="DD145" s="4807"/>
      <c r="DE145" s="4807"/>
      <c r="DF145" s="4807"/>
      <c r="DG145" s="4807"/>
      <c r="DH145" s="4807"/>
      <c r="DI145" s="4217"/>
      <c r="DJ145" s="4217"/>
      <c r="DK145" s="4217"/>
      <c r="DL145" s="4217"/>
      <c r="DM145" s="4217"/>
      <c r="DN145" s="4217"/>
      <c r="DO145" s="4839"/>
      <c r="DQ145" s="4972"/>
      <c r="DR145" s="3951"/>
      <c r="DS145" s="3951"/>
      <c r="DT145" s="3951"/>
      <c r="DU145" s="3951"/>
      <c r="DV145" s="3951"/>
      <c r="DW145" s="3951"/>
      <c r="DX145" s="3951"/>
      <c r="DY145" s="3951"/>
      <c r="DZ145" s="3951"/>
      <c r="EA145" s="3951"/>
      <c r="EB145" s="3951"/>
      <c r="EC145" s="3951"/>
      <c r="ED145" s="3951"/>
      <c r="EE145" s="3951"/>
      <c r="EF145" s="3951"/>
      <c r="EG145" s="3951"/>
      <c r="EH145" s="3951"/>
      <c r="EI145" s="3951"/>
      <c r="EJ145" s="3951"/>
      <c r="EK145" s="3951"/>
      <c r="EL145" s="3951"/>
      <c r="EM145" s="3951"/>
      <c r="EN145" s="3951"/>
      <c r="EO145" s="3951"/>
      <c r="EP145" s="3951"/>
      <c r="EQ145" s="3951"/>
      <c r="ER145" s="3951"/>
      <c r="ES145" s="3951"/>
      <c r="ET145" s="3951"/>
      <c r="EU145" s="3951"/>
      <c r="EV145" s="3951"/>
      <c r="EW145" s="3951"/>
      <c r="EX145" s="3951"/>
      <c r="EY145" s="3951"/>
      <c r="EZ145" s="3951"/>
      <c r="FA145" s="3951"/>
      <c r="FB145" s="3951"/>
      <c r="FC145" s="3951"/>
      <c r="FD145" s="3951"/>
      <c r="FE145" s="3951"/>
      <c r="FF145" s="3951"/>
      <c r="FG145" s="3951"/>
      <c r="FH145" s="3951"/>
      <c r="FI145" s="3951"/>
      <c r="FJ145" s="2061"/>
    </row>
    <row r="146" spans="1:166" s="1791" customFormat="1" ht="15" customHeight="1">
      <c r="A146" s="15977"/>
      <c r="B146" s="15980"/>
      <c r="C146" s="15980"/>
      <c r="D146" s="15895"/>
      <c r="E146" s="15897"/>
      <c r="F146" s="15897"/>
      <c r="G146" s="15897"/>
      <c r="H146" s="15901"/>
      <c r="I146" s="15901"/>
      <c r="J146" s="15901"/>
      <c r="K146" s="15897"/>
      <c r="L146" s="2741" t="s">
        <v>10187</v>
      </c>
      <c r="M146" s="2741"/>
      <c r="N146" s="2741" t="s">
        <v>10235</v>
      </c>
      <c r="O146" s="2741"/>
      <c r="P146" s="2741"/>
      <c r="Q146" s="2741"/>
      <c r="R146" s="2741"/>
      <c r="S146" s="2741"/>
      <c r="T146" s="2741"/>
      <c r="U146" s="4800"/>
      <c r="V146" s="2741"/>
      <c r="W146" s="2741"/>
      <c r="X146" s="2741"/>
      <c r="Y146" s="2741"/>
      <c r="Z146" s="2412"/>
      <c r="AA146" s="2741"/>
      <c r="AB146" s="4657"/>
      <c r="AC146" s="4658"/>
      <c r="AD146" s="3947"/>
      <c r="AE146" s="4244"/>
      <c r="AF146" s="4659"/>
      <c r="AG146" s="4659"/>
      <c r="AH146" s="4659"/>
      <c r="AI146" s="3947"/>
      <c r="AJ146" s="3953"/>
      <c r="AK146" s="3951"/>
      <c r="AL146" s="3951"/>
      <c r="AM146" s="3951"/>
      <c r="AN146" s="3951"/>
      <c r="AO146" s="3951"/>
      <c r="AP146" s="3951"/>
      <c r="AQ146" s="3951"/>
      <c r="AR146" s="3951"/>
      <c r="AS146" s="3951"/>
      <c r="AT146" s="3951"/>
      <c r="AU146" s="3951"/>
      <c r="AV146" s="3951"/>
      <c r="AW146" s="3951"/>
      <c r="AX146" s="3951"/>
      <c r="AY146" s="3951"/>
      <c r="AZ146" s="3951"/>
      <c r="BA146" s="3951"/>
      <c r="BB146" s="3951"/>
      <c r="BC146" s="3951"/>
      <c r="BD146" s="3951"/>
      <c r="BE146" s="3951"/>
      <c r="BF146" s="3951"/>
      <c r="BG146" s="3951"/>
      <c r="BH146" s="3951"/>
      <c r="BI146" s="3951"/>
      <c r="BJ146" s="3951"/>
      <c r="BK146" s="3951"/>
      <c r="BL146" s="3951"/>
      <c r="BM146" s="3951"/>
      <c r="BN146" s="3951"/>
      <c r="BO146" s="3951"/>
      <c r="BP146" s="3951"/>
      <c r="BQ146" s="3951"/>
      <c r="BR146" s="3951"/>
      <c r="BS146" s="3951"/>
      <c r="BT146" s="3953"/>
      <c r="BU146" s="2741"/>
      <c r="BV146" s="2741"/>
      <c r="BW146" s="2408"/>
      <c r="BX146" s="15854"/>
      <c r="BY146" s="3947"/>
      <c r="BZ146" s="3948"/>
      <c r="CA146" s="3948"/>
      <c r="CB146" s="4804"/>
      <c r="CC146" s="2694"/>
      <c r="CD146" s="2694"/>
      <c r="CE146" s="4805"/>
      <c r="CF146" s="4805"/>
      <c r="CG146" s="4805"/>
      <c r="CH146" s="4805"/>
      <c r="CI146" s="4805"/>
      <c r="CJ146" s="4805"/>
      <c r="CK146" s="4805"/>
      <c r="CL146" s="4805"/>
      <c r="CM146" s="4805"/>
      <c r="CN146" s="4805"/>
      <c r="CO146" s="4805"/>
      <c r="CP146" s="4805"/>
      <c r="CQ146" s="4805"/>
      <c r="CR146" s="4805"/>
      <c r="CS146" s="4806"/>
      <c r="CT146" s="4807"/>
      <c r="CU146" s="4807"/>
      <c r="CV146" s="4807"/>
      <c r="CW146" s="4807"/>
      <c r="CX146" s="4807"/>
      <c r="CY146" s="4807"/>
      <c r="CZ146" s="4807"/>
      <c r="DA146" s="4807"/>
      <c r="DB146" s="4807"/>
      <c r="DC146" s="4807"/>
      <c r="DD146" s="4807"/>
      <c r="DE146" s="4807"/>
      <c r="DF146" s="4807"/>
      <c r="DG146" s="4807"/>
      <c r="DH146" s="4807"/>
      <c r="DI146" s="4217"/>
      <c r="DJ146" s="4217"/>
      <c r="DK146" s="4217"/>
      <c r="DL146" s="4217"/>
      <c r="DM146" s="4217"/>
      <c r="DN146" s="4217"/>
      <c r="DO146" s="4839"/>
      <c r="DQ146" s="4972"/>
      <c r="DR146" s="3951"/>
      <c r="DS146" s="3951"/>
      <c r="DT146" s="3951"/>
      <c r="DU146" s="3951"/>
      <c r="DV146" s="3951"/>
      <c r="DW146" s="3951"/>
      <c r="DX146" s="3951"/>
      <c r="DY146" s="3951"/>
      <c r="DZ146" s="3951"/>
      <c r="EA146" s="3951"/>
      <c r="EB146" s="3951"/>
      <c r="EC146" s="3951"/>
      <c r="ED146" s="3951"/>
      <c r="EE146" s="3951"/>
      <c r="EF146" s="3951"/>
      <c r="EG146" s="3951"/>
      <c r="EH146" s="3951"/>
      <c r="EI146" s="3951"/>
      <c r="EJ146" s="3951"/>
      <c r="EK146" s="3951"/>
      <c r="EL146" s="3951"/>
      <c r="EM146" s="3951"/>
      <c r="EN146" s="3951"/>
      <c r="EO146" s="3951"/>
      <c r="EP146" s="3951"/>
      <c r="EQ146" s="3951"/>
      <c r="ER146" s="3951"/>
      <c r="ES146" s="3951"/>
      <c r="ET146" s="3951"/>
      <c r="EU146" s="3951"/>
      <c r="EV146" s="3951"/>
      <c r="EW146" s="3951"/>
      <c r="EX146" s="3951"/>
      <c r="EY146" s="3951"/>
      <c r="EZ146" s="3951"/>
      <c r="FA146" s="3951"/>
      <c r="FB146" s="3951"/>
      <c r="FC146" s="3951"/>
      <c r="FD146" s="3951"/>
      <c r="FE146" s="3951"/>
      <c r="FF146" s="3951"/>
      <c r="FG146" s="3951"/>
      <c r="FH146" s="3951"/>
      <c r="FI146" s="3951"/>
      <c r="FJ146" s="2061"/>
    </row>
    <row r="147" spans="1:166" s="1791" customFormat="1" ht="15" customHeight="1">
      <c r="A147" s="15977"/>
      <c r="B147" s="15980"/>
      <c r="C147" s="15980"/>
      <c r="D147" s="15895" t="s">
        <v>7999</v>
      </c>
      <c r="E147" s="15897" t="s">
        <v>5026</v>
      </c>
      <c r="F147" s="15897" t="s">
        <v>894</v>
      </c>
      <c r="G147" s="15897">
        <v>0</v>
      </c>
      <c r="H147" s="15897">
        <v>1</v>
      </c>
      <c r="I147" s="15897">
        <v>1</v>
      </c>
      <c r="J147" s="15897">
        <v>1</v>
      </c>
      <c r="K147" s="15897" t="s">
        <v>773</v>
      </c>
      <c r="L147" s="2741" t="s">
        <v>10063</v>
      </c>
      <c r="M147" s="2741" t="s">
        <v>724</v>
      </c>
      <c r="N147" s="2741"/>
      <c r="O147" s="2741">
        <v>30</v>
      </c>
      <c r="P147" s="2741">
        <v>31</v>
      </c>
      <c r="Q147" s="2741">
        <v>32</v>
      </c>
      <c r="R147" s="2741">
        <v>33</v>
      </c>
      <c r="S147" s="2741">
        <v>34</v>
      </c>
      <c r="T147" s="2741">
        <v>35</v>
      </c>
      <c r="U147" s="4800">
        <v>36</v>
      </c>
      <c r="V147" s="2741">
        <v>37</v>
      </c>
      <c r="W147" s="2741">
        <v>38</v>
      </c>
      <c r="X147" s="2741">
        <v>39</v>
      </c>
      <c r="Y147" s="2741">
        <v>40</v>
      </c>
      <c r="Z147" s="2412">
        <v>385</v>
      </c>
      <c r="AA147" s="2741"/>
      <c r="AB147" s="3951"/>
      <c r="AC147" s="4658" t="s">
        <v>2994</v>
      </c>
      <c r="AD147" s="3951"/>
      <c r="AE147" s="3951"/>
      <c r="AF147" s="3951"/>
      <c r="AG147" s="3951"/>
      <c r="AH147" s="3951"/>
      <c r="AI147" s="3951"/>
      <c r="AJ147" s="3951"/>
      <c r="AK147" s="3951"/>
      <c r="AL147" s="3951"/>
      <c r="AM147" s="3951"/>
      <c r="AN147" s="3951"/>
      <c r="AO147" s="3951"/>
      <c r="AP147" s="3951"/>
      <c r="AQ147" s="3951"/>
      <c r="AR147" s="3951"/>
      <c r="AS147" s="3951"/>
      <c r="AT147" s="3951"/>
      <c r="AU147" s="3951"/>
      <c r="AV147" s="3951"/>
      <c r="AW147" s="3951"/>
      <c r="AX147" s="3951"/>
      <c r="AY147" s="3951"/>
      <c r="AZ147" s="3951"/>
      <c r="BA147" s="3951"/>
      <c r="BB147" s="3951"/>
      <c r="BC147" s="3951"/>
      <c r="BD147" s="3951"/>
      <c r="BE147" s="3951"/>
      <c r="BF147" s="3951"/>
      <c r="BG147" s="3951"/>
      <c r="BH147" s="3951"/>
      <c r="BI147" s="3951"/>
      <c r="BJ147" s="3951"/>
      <c r="BK147" s="3951"/>
      <c r="BL147" s="3951"/>
      <c r="BM147" s="3951"/>
      <c r="BN147" s="3951"/>
      <c r="BO147" s="3951"/>
      <c r="BP147" s="3951"/>
      <c r="BQ147" s="3951"/>
      <c r="BR147" s="3951"/>
      <c r="BS147" s="3951"/>
      <c r="BT147" s="2741" t="s">
        <v>9884</v>
      </c>
      <c r="BU147" s="3953">
        <v>0</v>
      </c>
      <c r="BV147" s="2741">
        <v>1</v>
      </c>
      <c r="BW147" s="2408">
        <v>0</v>
      </c>
      <c r="BX147" s="15854"/>
      <c r="BY147" s="2741"/>
      <c r="BZ147" s="2741"/>
      <c r="CA147" s="2741"/>
      <c r="CB147" s="2683"/>
      <c r="CC147" s="2683"/>
      <c r="CD147" s="2683"/>
      <c r="CE147" s="2683"/>
      <c r="CF147" s="4217"/>
      <c r="CG147" s="4217"/>
      <c r="CH147" s="4217"/>
      <c r="CI147" s="4217"/>
      <c r="CJ147" s="4217"/>
      <c r="CK147" s="4217"/>
      <c r="CL147" s="4217"/>
      <c r="CM147" s="4217"/>
      <c r="CN147" s="4217"/>
      <c r="CO147" s="4217"/>
      <c r="CP147" s="4217"/>
      <c r="CQ147" s="4217"/>
      <c r="CR147" s="4217"/>
      <c r="CS147" s="4803"/>
      <c r="CT147" s="4217"/>
      <c r="CU147" s="4217"/>
      <c r="CV147" s="4217"/>
      <c r="CW147" s="4217"/>
      <c r="CX147" s="4217"/>
      <c r="CY147" s="4217"/>
      <c r="CZ147" s="4217"/>
      <c r="DA147" s="4217"/>
      <c r="DB147" s="4217"/>
      <c r="DC147" s="4217"/>
      <c r="DD147" s="4217"/>
      <c r="DE147" s="4217"/>
      <c r="DF147" s="4217"/>
      <c r="DG147" s="4217"/>
      <c r="DH147" s="4217"/>
      <c r="DI147" s="4217"/>
      <c r="DJ147" s="4217"/>
      <c r="DK147" s="4217"/>
      <c r="DL147" s="4217"/>
      <c r="DM147" s="4217"/>
      <c r="DN147" s="4217"/>
      <c r="DO147" s="4839"/>
      <c r="DQ147" s="4972"/>
      <c r="DR147" s="3951"/>
      <c r="DS147" s="3951"/>
      <c r="DT147" s="3951"/>
      <c r="DU147" s="3951"/>
      <c r="DV147" s="3951"/>
      <c r="DW147" s="3951"/>
      <c r="DX147" s="3951"/>
      <c r="DY147" s="3951"/>
      <c r="DZ147" s="3951"/>
      <c r="EA147" s="3951"/>
      <c r="EB147" s="3951"/>
      <c r="EC147" s="3951"/>
      <c r="ED147" s="3951"/>
      <c r="EE147" s="3951"/>
      <c r="EF147" s="3951"/>
      <c r="EG147" s="3951"/>
      <c r="EH147" s="3951"/>
      <c r="EI147" s="3951"/>
      <c r="EJ147" s="3951"/>
      <c r="EK147" s="3951"/>
      <c r="EL147" s="3951"/>
      <c r="EM147" s="3951"/>
      <c r="EN147" s="3951"/>
      <c r="EO147" s="3951"/>
      <c r="EP147" s="3951"/>
      <c r="EQ147" s="3951"/>
      <c r="ER147" s="3951"/>
      <c r="ES147" s="3951"/>
      <c r="ET147" s="3951"/>
      <c r="EU147" s="3951"/>
      <c r="EV147" s="3951"/>
      <c r="EW147" s="3951"/>
      <c r="EX147" s="3951"/>
      <c r="EY147" s="3951"/>
      <c r="EZ147" s="3951"/>
      <c r="FA147" s="3951"/>
      <c r="FB147" s="3951"/>
      <c r="FC147" s="3951"/>
      <c r="FD147" s="3951"/>
      <c r="FE147" s="3951"/>
      <c r="FF147" s="3951"/>
      <c r="FG147" s="3951"/>
      <c r="FH147" s="3951"/>
      <c r="FI147" s="3951"/>
      <c r="FJ147" s="2061"/>
    </row>
    <row r="148" spans="1:166" s="1791" customFormat="1" ht="15" customHeight="1">
      <c r="A148" s="15977"/>
      <c r="B148" s="15980"/>
      <c r="C148" s="2412"/>
      <c r="D148" s="15895"/>
      <c r="E148" s="15897"/>
      <c r="F148" s="15897"/>
      <c r="G148" s="15897"/>
      <c r="H148" s="15897"/>
      <c r="I148" s="15897"/>
      <c r="J148" s="15897"/>
      <c r="K148" s="15897"/>
      <c r="L148" s="2741" t="s">
        <v>10066</v>
      </c>
      <c r="M148" s="2741"/>
      <c r="N148" s="2741" t="s">
        <v>298</v>
      </c>
      <c r="O148" s="2741"/>
      <c r="P148" s="2741"/>
      <c r="Q148" s="2741"/>
      <c r="R148" s="2741"/>
      <c r="S148" s="2741"/>
      <c r="T148" s="2741"/>
      <c r="U148" s="4800"/>
      <c r="V148" s="2741"/>
      <c r="W148" s="2741"/>
      <c r="X148" s="2741"/>
      <c r="Y148" s="2741"/>
      <c r="Z148" s="2412"/>
      <c r="AA148" s="2741"/>
      <c r="AB148" s="3951"/>
      <c r="AC148" s="4658"/>
      <c r="AD148" s="3951"/>
      <c r="AE148" s="3951"/>
      <c r="AF148" s="3951"/>
      <c r="AG148" s="3951"/>
      <c r="AH148" s="3951"/>
      <c r="AI148" s="3951"/>
      <c r="AJ148" s="3951"/>
      <c r="AK148" s="3951"/>
      <c r="AL148" s="3951"/>
      <c r="AM148" s="3951"/>
      <c r="AN148" s="3951"/>
      <c r="AO148" s="3951"/>
      <c r="AP148" s="3951"/>
      <c r="AQ148" s="3951"/>
      <c r="AR148" s="3951"/>
      <c r="AS148" s="3951"/>
      <c r="AT148" s="3951"/>
      <c r="AU148" s="3951"/>
      <c r="AV148" s="3951"/>
      <c r="AW148" s="3951"/>
      <c r="AX148" s="3951"/>
      <c r="AY148" s="3951"/>
      <c r="AZ148" s="3951"/>
      <c r="BA148" s="3951"/>
      <c r="BB148" s="3951"/>
      <c r="BC148" s="3951"/>
      <c r="BD148" s="3951"/>
      <c r="BE148" s="3951"/>
      <c r="BF148" s="3951"/>
      <c r="BG148" s="3951"/>
      <c r="BH148" s="3951"/>
      <c r="BI148" s="3951"/>
      <c r="BJ148" s="3951"/>
      <c r="BK148" s="3951"/>
      <c r="BL148" s="3951"/>
      <c r="BM148" s="3951"/>
      <c r="BN148" s="3951"/>
      <c r="BO148" s="3951"/>
      <c r="BP148" s="3951"/>
      <c r="BQ148" s="3951"/>
      <c r="BR148" s="3951"/>
      <c r="BS148" s="3951"/>
      <c r="BT148" s="2741"/>
      <c r="BU148" s="3953"/>
      <c r="BV148" s="2741"/>
      <c r="BW148" s="2408"/>
      <c r="BX148" s="15854"/>
      <c r="BY148" s="2741"/>
      <c r="BZ148" s="2741"/>
      <c r="CA148" s="2741"/>
      <c r="CB148" s="2683"/>
      <c r="CC148" s="2683"/>
      <c r="CD148" s="2683"/>
      <c r="CE148" s="2683"/>
      <c r="CF148" s="4217"/>
      <c r="CG148" s="4217"/>
      <c r="CH148" s="4217"/>
      <c r="CI148" s="4217"/>
      <c r="CJ148" s="4217"/>
      <c r="CK148" s="4217"/>
      <c r="CL148" s="4217"/>
      <c r="CM148" s="4217"/>
      <c r="CN148" s="4217"/>
      <c r="CO148" s="4217"/>
      <c r="CP148" s="4217"/>
      <c r="CQ148" s="4217"/>
      <c r="CR148" s="4217"/>
      <c r="CS148" s="4803"/>
      <c r="CT148" s="4217"/>
      <c r="CU148" s="4217"/>
      <c r="CV148" s="4217"/>
      <c r="CW148" s="4217"/>
      <c r="CX148" s="4217"/>
      <c r="CY148" s="4217"/>
      <c r="CZ148" s="4217"/>
      <c r="DA148" s="4217"/>
      <c r="DB148" s="4217"/>
      <c r="DC148" s="4217"/>
      <c r="DD148" s="4217"/>
      <c r="DE148" s="4217"/>
      <c r="DF148" s="4217"/>
      <c r="DG148" s="4217"/>
      <c r="DH148" s="4217"/>
      <c r="DI148" s="4217"/>
      <c r="DJ148" s="4217"/>
      <c r="DK148" s="4217"/>
      <c r="DL148" s="4217"/>
      <c r="DM148" s="4217"/>
      <c r="DN148" s="4217"/>
      <c r="DO148" s="4839"/>
      <c r="DQ148" s="4972"/>
      <c r="DR148" s="3951"/>
      <c r="DS148" s="3951"/>
      <c r="DT148" s="3951"/>
      <c r="DU148" s="3951"/>
      <c r="DV148" s="3951"/>
      <c r="DW148" s="3951"/>
      <c r="DX148" s="3951"/>
      <c r="DY148" s="3951"/>
      <c r="DZ148" s="3951"/>
      <c r="EA148" s="3951"/>
      <c r="EB148" s="3951"/>
      <c r="EC148" s="3951"/>
      <c r="ED148" s="3951"/>
      <c r="EE148" s="3951"/>
      <c r="EF148" s="3951"/>
      <c r="EG148" s="3951"/>
      <c r="EH148" s="3951"/>
      <c r="EI148" s="3951"/>
      <c r="EJ148" s="3951"/>
      <c r="EK148" s="3951"/>
      <c r="EL148" s="3951"/>
      <c r="EM148" s="3951"/>
      <c r="EN148" s="3951"/>
      <c r="EO148" s="3951"/>
      <c r="EP148" s="3951"/>
      <c r="EQ148" s="3951"/>
      <c r="ER148" s="3951"/>
      <c r="ES148" s="3951"/>
      <c r="ET148" s="3951"/>
      <c r="EU148" s="3951"/>
      <c r="EV148" s="3951"/>
      <c r="EW148" s="3951"/>
      <c r="EX148" s="3951"/>
      <c r="EY148" s="3951"/>
      <c r="EZ148" s="3951"/>
      <c r="FA148" s="3951"/>
      <c r="FB148" s="3951"/>
      <c r="FC148" s="3951"/>
      <c r="FD148" s="3951"/>
      <c r="FE148" s="3951"/>
      <c r="FF148" s="3951"/>
      <c r="FG148" s="3951"/>
      <c r="FH148" s="3951"/>
      <c r="FI148" s="3951"/>
      <c r="FJ148" s="2061"/>
    </row>
    <row r="149" spans="1:166" s="1791" customFormat="1" ht="15" customHeight="1">
      <c r="A149" s="15977"/>
      <c r="B149" s="15980"/>
      <c r="C149" s="2412" t="s">
        <v>895</v>
      </c>
      <c r="D149" s="15895" t="s">
        <v>8000</v>
      </c>
      <c r="E149" s="15897" t="s">
        <v>5027</v>
      </c>
      <c r="F149" s="15897" t="s">
        <v>896</v>
      </c>
      <c r="G149" s="15897" t="s">
        <v>542</v>
      </c>
      <c r="H149" s="15901">
        <v>0.1</v>
      </c>
      <c r="I149" s="15901">
        <v>0.6</v>
      </c>
      <c r="J149" s="15901">
        <v>1</v>
      </c>
      <c r="K149" s="15897" t="s">
        <v>897</v>
      </c>
      <c r="L149" s="2741" t="s">
        <v>2859</v>
      </c>
      <c r="M149" s="2741" t="s">
        <v>898</v>
      </c>
      <c r="N149" s="2741"/>
      <c r="O149" s="2741">
        <v>700</v>
      </c>
      <c r="P149" s="2741">
        <v>721</v>
      </c>
      <c r="Q149" s="2741">
        <v>743</v>
      </c>
      <c r="R149" s="2741" t="s">
        <v>690</v>
      </c>
      <c r="S149" s="2741">
        <v>788</v>
      </c>
      <c r="T149" s="2741" t="s">
        <v>690</v>
      </c>
      <c r="U149" s="4800">
        <v>836</v>
      </c>
      <c r="V149" s="2741" t="s">
        <v>690</v>
      </c>
      <c r="W149" s="2741">
        <v>887</v>
      </c>
      <c r="X149" s="2741" t="s">
        <v>690</v>
      </c>
      <c r="Y149" s="2741">
        <v>941</v>
      </c>
      <c r="Z149" s="2412">
        <v>5616</v>
      </c>
      <c r="AA149" s="2741"/>
      <c r="AB149" s="3951"/>
      <c r="AC149" s="3951"/>
      <c r="AD149" s="3951"/>
      <c r="AE149" s="3951"/>
      <c r="AF149" s="3951"/>
      <c r="AG149" s="3951"/>
      <c r="AH149" s="3951"/>
      <c r="AI149" s="3951"/>
      <c r="AJ149" s="3951"/>
      <c r="AK149" s="3951"/>
      <c r="AL149" s="3951"/>
      <c r="AM149" s="3951"/>
      <c r="AN149" s="3951"/>
      <c r="AO149" s="3951"/>
      <c r="AP149" s="3951"/>
      <c r="AQ149" s="3951"/>
      <c r="AR149" s="3951"/>
      <c r="AS149" s="3951"/>
      <c r="AT149" s="3951"/>
      <c r="AU149" s="3951"/>
      <c r="AV149" s="3951"/>
      <c r="AW149" s="3951"/>
      <c r="AX149" s="3951"/>
      <c r="AY149" s="3951"/>
      <c r="AZ149" s="3951"/>
      <c r="BA149" s="3951"/>
      <c r="BB149" s="3951"/>
      <c r="BC149" s="3951"/>
      <c r="BD149" s="3951"/>
      <c r="BE149" s="3951"/>
      <c r="BF149" s="3951"/>
      <c r="BG149" s="3951"/>
      <c r="BH149" s="3951"/>
      <c r="BI149" s="3951"/>
      <c r="BJ149" s="3951"/>
      <c r="BK149" s="3951"/>
      <c r="BL149" s="3951"/>
      <c r="BM149" s="3951"/>
      <c r="BN149" s="3951"/>
      <c r="BO149" s="3951"/>
      <c r="BP149" s="3951"/>
      <c r="BQ149" s="3951"/>
      <c r="BR149" s="3951"/>
      <c r="BS149" s="3951"/>
      <c r="BT149" s="3953">
        <v>52</v>
      </c>
      <c r="BU149" s="3953">
        <v>52</v>
      </c>
      <c r="BV149" s="3953">
        <v>52</v>
      </c>
      <c r="BW149" s="2408">
        <f t="shared" ref="BW149" si="9">BV149/BU149</f>
        <v>1</v>
      </c>
      <c r="BX149" s="15854"/>
      <c r="BY149" s="4808" t="s">
        <v>9032</v>
      </c>
      <c r="BZ149" s="3954" t="s">
        <v>9033</v>
      </c>
      <c r="CA149" s="4808" t="s">
        <v>9034</v>
      </c>
      <c r="CB149" s="4809">
        <v>9375000</v>
      </c>
      <c r="CC149" s="4809">
        <v>9375000</v>
      </c>
      <c r="CD149" s="2683"/>
      <c r="CE149" s="2683"/>
      <c r="CF149" s="4217"/>
      <c r="CG149" s="4217"/>
      <c r="CH149" s="4217"/>
      <c r="CI149" s="4217"/>
      <c r="CJ149" s="4217"/>
      <c r="CK149" s="4217"/>
      <c r="CL149" s="4217"/>
      <c r="CM149" s="4217"/>
      <c r="CN149" s="4217"/>
      <c r="CO149" s="4217"/>
      <c r="CP149" s="4217"/>
      <c r="CQ149" s="4217"/>
      <c r="CR149" s="4217"/>
      <c r="CS149" s="4803"/>
      <c r="CT149" s="4217"/>
      <c r="CU149" s="4217"/>
      <c r="CV149" s="4217"/>
      <c r="CW149" s="4217"/>
      <c r="CX149" s="4217"/>
      <c r="CY149" s="4217"/>
      <c r="CZ149" s="4217"/>
      <c r="DA149" s="4217"/>
      <c r="DB149" s="4217"/>
      <c r="DC149" s="4217"/>
      <c r="DD149" s="4217"/>
      <c r="DE149" s="4217"/>
      <c r="DF149" s="4217"/>
      <c r="DG149" s="4217"/>
      <c r="DH149" s="4217"/>
      <c r="DI149" s="4217"/>
      <c r="DJ149" s="4217"/>
      <c r="DK149" s="4217"/>
      <c r="DL149" s="4217"/>
      <c r="DM149" s="4217"/>
      <c r="DN149" s="4217"/>
      <c r="DO149" s="4839"/>
      <c r="DQ149" s="4972"/>
      <c r="DR149" s="3951"/>
      <c r="DS149" s="3951"/>
      <c r="DT149" s="3951"/>
      <c r="DU149" s="3951"/>
      <c r="DV149" s="3951"/>
      <c r="DW149" s="3951"/>
      <c r="DX149" s="3951"/>
      <c r="DY149" s="3951"/>
      <c r="DZ149" s="3951"/>
      <c r="EA149" s="3951"/>
      <c r="EB149" s="3951"/>
      <c r="EC149" s="3951"/>
      <c r="ED149" s="3951"/>
      <c r="EE149" s="3951"/>
      <c r="EF149" s="3951"/>
      <c r="EG149" s="3951"/>
      <c r="EH149" s="3951"/>
      <c r="EI149" s="3951"/>
      <c r="EJ149" s="3951"/>
      <c r="EK149" s="3951"/>
      <c r="EL149" s="3951"/>
      <c r="EM149" s="3951"/>
      <c r="EN149" s="3951"/>
      <c r="EO149" s="3951"/>
      <c r="EP149" s="3951"/>
      <c r="EQ149" s="3951"/>
      <c r="ER149" s="3951"/>
      <c r="ES149" s="3951"/>
      <c r="ET149" s="3951"/>
      <c r="EU149" s="3951"/>
      <c r="EV149" s="3951"/>
      <c r="EW149" s="3951"/>
      <c r="EX149" s="3951"/>
      <c r="EY149" s="3951"/>
      <c r="EZ149" s="3951"/>
      <c r="FA149" s="3951"/>
      <c r="FB149" s="3951"/>
      <c r="FC149" s="3951"/>
      <c r="FD149" s="3951"/>
      <c r="FE149" s="3951"/>
      <c r="FF149" s="3951"/>
      <c r="FG149" s="3951"/>
      <c r="FH149" s="3951"/>
      <c r="FI149" s="3951"/>
      <c r="FJ149" s="2061"/>
    </row>
    <row r="150" spans="1:166" s="1791" customFormat="1" ht="15" customHeight="1">
      <c r="A150" s="15977"/>
      <c r="B150" s="15980"/>
      <c r="C150" s="2412"/>
      <c r="D150" s="15895"/>
      <c r="E150" s="15897"/>
      <c r="F150" s="15897"/>
      <c r="G150" s="15897"/>
      <c r="H150" s="15901"/>
      <c r="I150" s="15901"/>
      <c r="J150" s="15901"/>
      <c r="K150" s="15897"/>
      <c r="L150" s="2741" t="s">
        <v>10072</v>
      </c>
      <c r="M150" s="2741"/>
      <c r="N150" s="2741" t="s">
        <v>10236</v>
      </c>
      <c r="O150" s="2741"/>
      <c r="P150" s="2741"/>
      <c r="Q150" s="2741"/>
      <c r="R150" s="2741"/>
      <c r="S150" s="2741"/>
      <c r="T150" s="2741"/>
      <c r="U150" s="4800"/>
      <c r="V150" s="2741"/>
      <c r="W150" s="2741"/>
      <c r="X150" s="2741"/>
      <c r="Y150" s="2741"/>
      <c r="Z150" s="2412"/>
      <c r="AA150" s="2741"/>
      <c r="AB150" s="3951"/>
      <c r="AC150" s="3951"/>
      <c r="AD150" s="3951"/>
      <c r="AE150" s="3951"/>
      <c r="AF150" s="3951"/>
      <c r="AG150" s="3951"/>
      <c r="AH150" s="3951"/>
      <c r="AI150" s="3951"/>
      <c r="AJ150" s="3951"/>
      <c r="AK150" s="3951"/>
      <c r="AL150" s="3951"/>
      <c r="AM150" s="3951"/>
      <c r="AN150" s="3951"/>
      <c r="AO150" s="3951"/>
      <c r="AP150" s="3951"/>
      <c r="AQ150" s="3951"/>
      <c r="AR150" s="3951"/>
      <c r="AS150" s="3951"/>
      <c r="AT150" s="3951"/>
      <c r="AU150" s="3951"/>
      <c r="AV150" s="3951"/>
      <c r="AW150" s="3951"/>
      <c r="AX150" s="3951"/>
      <c r="AY150" s="3951"/>
      <c r="AZ150" s="3951"/>
      <c r="BA150" s="3951"/>
      <c r="BB150" s="3951"/>
      <c r="BC150" s="3951"/>
      <c r="BD150" s="3951"/>
      <c r="BE150" s="3951"/>
      <c r="BF150" s="3951"/>
      <c r="BG150" s="3951"/>
      <c r="BH150" s="3951"/>
      <c r="BI150" s="3951"/>
      <c r="BJ150" s="3951"/>
      <c r="BK150" s="3951"/>
      <c r="BL150" s="3951"/>
      <c r="BM150" s="3951"/>
      <c r="BN150" s="3951"/>
      <c r="BO150" s="3951"/>
      <c r="BP150" s="3951"/>
      <c r="BQ150" s="3951"/>
      <c r="BR150" s="3951"/>
      <c r="BS150" s="3951"/>
      <c r="BT150" s="3953"/>
      <c r="BU150" s="3953"/>
      <c r="BV150" s="3953"/>
      <c r="BW150" s="2408"/>
      <c r="BX150" s="15854"/>
      <c r="BY150" s="4808"/>
      <c r="BZ150" s="3954"/>
      <c r="CA150" s="4808"/>
      <c r="CB150" s="4809"/>
      <c r="CC150" s="4809"/>
      <c r="CD150" s="2683"/>
      <c r="CE150" s="2683"/>
      <c r="CF150" s="4217"/>
      <c r="CG150" s="4217"/>
      <c r="CH150" s="4217"/>
      <c r="CI150" s="4217"/>
      <c r="CJ150" s="4217"/>
      <c r="CK150" s="4217"/>
      <c r="CL150" s="4217"/>
      <c r="CM150" s="4217"/>
      <c r="CN150" s="4217"/>
      <c r="CO150" s="4217"/>
      <c r="CP150" s="4217"/>
      <c r="CQ150" s="4217"/>
      <c r="CR150" s="4217"/>
      <c r="CS150" s="4803"/>
      <c r="CT150" s="4217"/>
      <c r="CU150" s="4217"/>
      <c r="CV150" s="4217"/>
      <c r="CW150" s="4217"/>
      <c r="CX150" s="4217"/>
      <c r="CY150" s="4217"/>
      <c r="CZ150" s="4217"/>
      <c r="DA150" s="4217"/>
      <c r="DB150" s="4217"/>
      <c r="DC150" s="4217"/>
      <c r="DD150" s="4217"/>
      <c r="DE150" s="4217"/>
      <c r="DF150" s="4217"/>
      <c r="DG150" s="4217"/>
      <c r="DH150" s="4217"/>
      <c r="DI150" s="4217"/>
      <c r="DJ150" s="4217"/>
      <c r="DK150" s="4217"/>
      <c r="DL150" s="4217"/>
      <c r="DM150" s="4217"/>
      <c r="DN150" s="4217"/>
      <c r="DO150" s="4839"/>
      <c r="DQ150" s="4972"/>
      <c r="DR150" s="3951"/>
      <c r="DS150" s="3951"/>
      <c r="DT150" s="3951"/>
      <c r="DU150" s="3951"/>
      <c r="DV150" s="3951"/>
      <c r="DW150" s="3951"/>
      <c r="DX150" s="3951"/>
      <c r="DY150" s="3951"/>
      <c r="DZ150" s="3951"/>
      <c r="EA150" s="3951"/>
      <c r="EB150" s="3951"/>
      <c r="EC150" s="3951"/>
      <c r="ED150" s="3951"/>
      <c r="EE150" s="3951"/>
      <c r="EF150" s="3951"/>
      <c r="EG150" s="3951"/>
      <c r="EH150" s="3951"/>
      <c r="EI150" s="3951"/>
      <c r="EJ150" s="3951"/>
      <c r="EK150" s="3951"/>
      <c r="EL150" s="3951"/>
      <c r="EM150" s="3951"/>
      <c r="EN150" s="3951"/>
      <c r="EO150" s="3951"/>
      <c r="EP150" s="3951"/>
      <c r="EQ150" s="3951"/>
      <c r="ER150" s="3951"/>
      <c r="ES150" s="3951"/>
      <c r="ET150" s="3951"/>
      <c r="EU150" s="3951"/>
      <c r="EV150" s="3951"/>
      <c r="EW150" s="3951"/>
      <c r="EX150" s="3951"/>
      <c r="EY150" s="3951"/>
      <c r="EZ150" s="3951"/>
      <c r="FA150" s="3951"/>
      <c r="FB150" s="3951"/>
      <c r="FC150" s="3951"/>
      <c r="FD150" s="3951"/>
      <c r="FE150" s="3951"/>
      <c r="FF150" s="3951"/>
      <c r="FG150" s="3951"/>
      <c r="FH150" s="3951"/>
      <c r="FI150" s="3951"/>
      <c r="FJ150" s="2061"/>
    </row>
    <row r="151" spans="1:166" s="1791" customFormat="1" ht="15" customHeight="1">
      <c r="A151" s="15977"/>
      <c r="B151" s="15980"/>
      <c r="C151" s="2412"/>
      <c r="D151" s="15895"/>
      <c r="E151" s="15897"/>
      <c r="F151" s="15897"/>
      <c r="G151" s="15897"/>
      <c r="H151" s="15901"/>
      <c r="I151" s="15901"/>
      <c r="J151" s="15901"/>
      <c r="K151" s="15897"/>
      <c r="L151" s="2741" t="s">
        <v>10092</v>
      </c>
      <c r="M151" s="2741"/>
      <c r="N151" s="2741" t="s">
        <v>10237</v>
      </c>
      <c r="O151" s="2741"/>
      <c r="P151" s="2741"/>
      <c r="Q151" s="2741"/>
      <c r="R151" s="2741"/>
      <c r="S151" s="2741"/>
      <c r="T151" s="2741"/>
      <c r="U151" s="4800"/>
      <c r="V151" s="2741"/>
      <c r="W151" s="2741"/>
      <c r="X151" s="2741"/>
      <c r="Y151" s="2741"/>
      <c r="Z151" s="2412"/>
      <c r="AA151" s="2741"/>
      <c r="AB151" s="3951"/>
      <c r="AC151" s="3951"/>
      <c r="AD151" s="3951"/>
      <c r="AE151" s="3951"/>
      <c r="AF151" s="3951"/>
      <c r="AG151" s="3951"/>
      <c r="AH151" s="3951"/>
      <c r="AI151" s="3951"/>
      <c r="AJ151" s="3951"/>
      <c r="AK151" s="3951"/>
      <c r="AL151" s="3951"/>
      <c r="AM151" s="3951"/>
      <c r="AN151" s="3951"/>
      <c r="AO151" s="3951"/>
      <c r="AP151" s="3951"/>
      <c r="AQ151" s="3951"/>
      <c r="AR151" s="3951"/>
      <c r="AS151" s="3951"/>
      <c r="AT151" s="3951"/>
      <c r="AU151" s="3951"/>
      <c r="AV151" s="3951"/>
      <c r="AW151" s="3951"/>
      <c r="AX151" s="3951"/>
      <c r="AY151" s="3951"/>
      <c r="AZ151" s="3951"/>
      <c r="BA151" s="3951"/>
      <c r="BB151" s="3951"/>
      <c r="BC151" s="3951"/>
      <c r="BD151" s="3951"/>
      <c r="BE151" s="3951"/>
      <c r="BF151" s="3951"/>
      <c r="BG151" s="3951"/>
      <c r="BH151" s="3951"/>
      <c r="BI151" s="3951"/>
      <c r="BJ151" s="3951"/>
      <c r="BK151" s="3951"/>
      <c r="BL151" s="3951"/>
      <c r="BM151" s="3951"/>
      <c r="BN151" s="3951"/>
      <c r="BO151" s="3951"/>
      <c r="BP151" s="3951"/>
      <c r="BQ151" s="3951"/>
      <c r="BR151" s="3951"/>
      <c r="BS151" s="3951"/>
      <c r="BT151" s="3953"/>
      <c r="BU151" s="3953"/>
      <c r="BV151" s="3953"/>
      <c r="BW151" s="2408"/>
      <c r="BX151" s="15854"/>
      <c r="BY151" s="4808"/>
      <c r="BZ151" s="3954"/>
      <c r="CA151" s="4808"/>
      <c r="CB151" s="4809"/>
      <c r="CC151" s="4809"/>
      <c r="CD151" s="2683"/>
      <c r="CE151" s="2683"/>
      <c r="CF151" s="4217"/>
      <c r="CG151" s="4217"/>
      <c r="CH151" s="4217"/>
      <c r="CI151" s="4217"/>
      <c r="CJ151" s="4217"/>
      <c r="CK151" s="4217"/>
      <c r="CL151" s="4217"/>
      <c r="CM151" s="4217"/>
      <c r="CN151" s="4217"/>
      <c r="CO151" s="4217"/>
      <c r="CP151" s="4217"/>
      <c r="CQ151" s="4217"/>
      <c r="CR151" s="4217"/>
      <c r="CS151" s="4803"/>
      <c r="CT151" s="4217"/>
      <c r="CU151" s="4217"/>
      <c r="CV151" s="4217"/>
      <c r="CW151" s="4217"/>
      <c r="CX151" s="4217"/>
      <c r="CY151" s="4217"/>
      <c r="CZ151" s="4217"/>
      <c r="DA151" s="4217"/>
      <c r="DB151" s="4217"/>
      <c r="DC151" s="4217"/>
      <c r="DD151" s="4217"/>
      <c r="DE151" s="4217"/>
      <c r="DF151" s="4217"/>
      <c r="DG151" s="4217"/>
      <c r="DH151" s="4217"/>
      <c r="DI151" s="4217"/>
      <c r="DJ151" s="4217"/>
      <c r="DK151" s="4217"/>
      <c r="DL151" s="4217"/>
      <c r="DM151" s="4217"/>
      <c r="DN151" s="4217"/>
      <c r="DO151" s="4839"/>
      <c r="DQ151" s="4972"/>
      <c r="DR151" s="3951"/>
      <c r="DS151" s="3951"/>
      <c r="DT151" s="3951"/>
      <c r="DU151" s="3951"/>
      <c r="DV151" s="3951"/>
      <c r="DW151" s="3951"/>
      <c r="DX151" s="3951"/>
      <c r="DY151" s="3951"/>
      <c r="DZ151" s="3951"/>
      <c r="EA151" s="3951"/>
      <c r="EB151" s="3951"/>
      <c r="EC151" s="3951"/>
      <c r="ED151" s="3951"/>
      <c r="EE151" s="3951"/>
      <c r="EF151" s="3951"/>
      <c r="EG151" s="3951"/>
      <c r="EH151" s="3951"/>
      <c r="EI151" s="3951"/>
      <c r="EJ151" s="3951"/>
      <c r="EK151" s="3951"/>
      <c r="EL151" s="3951"/>
      <c r="EM151" s="3951"/>
      <c r="EN151" s="3951"/>
      <c r="EO151" s="3951"/>
      <c r="EP151" s="3951"/>
      <c r="EQ151" s="3951"/>
      <c r="ER151" s="3951"/>
      <c r="ES151" s="3951"/>
      <c r="ET151" s="3951"/>
      <c r="EU151" s="3951"/>
      <c r="EV151" s="3951"/>
      <c r="EW151" s="3951"/>
      <c r="EX151" s="3951"/>
      <c r="EY151" s="3951"/>
      <c r="EZ151" s="3951"/>
      <c r="FA151" s="3951"/>
      <c r="FB151" s="3951"/>
      <c r="FC151" s="3951"/>
      <c r="FD151" s="3951"/>
      <c r="FE151" s="3951"/>
      <c r="FF151" s="3951"/>
      <c r="FG151" s="3951"/>
      <c r="FH151" s="3951"/>
      <c r="FI151" s="3951"/>
      <c r="FJ151" s="2061"/>
    </row>
    <row r="152" spans="1:166" s="1791" customFormat="1" ht="15" customHeight="1">
      <c r="A152" s="15977"/>
      <c r="B152" s="15980"/>
      <c r="C152" s="2412" t="s">
        <v>899</v>
      </c>
      <c r="D152" s="4655" t="s">
        <v>8001</v>
      </c>
      <c r="E152" s="2741" t="s">
        <v>5028</v>
      </c>
      <c r="F152" s="2741" t="s">
        <v>900</v>
      </c>
      <c r="G152" s="2741" t="s">
        <v>901</v>
      </c>
      <c r="H152" s="2741">
        <v>1</v>
      </c>
      <c r="I152" s="2741">
        <v>1</v>
      </c>
      <c r="J152" s="2741">
        <v>1</v>
      </c>
      <c r="K152" s="2741" t="s">
        <v>902</v>
      </c>
      <c r="L152" s="2741" t="s">
        <v>2859</v>
      </c>
      <c r="M152" s="2741" t="s">
        <v>898</v>
      </c>
      <c r="N152" s="2741"/>
      <c r="O152" s="2741">
        <v>300</v>
      </c>
      <c r="P152" s="2741">
        <v>309</v>
      </c>
      <c r="Q152" s="2741">
        <v>318</v>
      </c>
      <c r="R152" s="2741">
        <v>328</v>
      </c>
      <c r="S152" s="2741">
        <v>338</v>
      </c>
      <c r="T152" s="2741">
        <v>348</v>
      </c>
      <c r="U152" s="4800">
        <v>358</v>
      </c>
      <c r="V152" s="2741">
        <v>369</v>
      </c>
      <c r="W152" s="2741">
        <v>380</v>
      </c>
      <c r="X152" s="2741">
        <v>391</v>
      </c>
      <c r="Y152" s="2741">
        <v>403</v>
      </c>
      <c r="Z152" s="2412">
        <v>3842</v>
      </c>
      <c r="AA152" s="2741"/>
      <c r="AB152" s="3951"/>
      <c r="AC152" s="3951"/>
      <c r="AD152" s="3951"/>
      <c r="AE152" s="3951"/>
      <c r="AF152" s="3951"/>
      <c r="AG152" s="3951"/>
      <c r="AH152" s="3951"/>
      <c r="AI152" s="3951"/>
      <c r="AJ152" s="3951"/>
      <c r="AK152" s="3951"/>
      <c r="AL152" s="3951"/>
      <c r="AM152" s="3951"/>
      <c r="AN152" s="3951"/>
      <c r="AO152" s="3951"/>
      <c r="AP152" s="3951"/>
      <c r="AQ152" s="3951"/>
      <c r="AR152" s="3951"/>
      <c r="AS152" s="3951"/>
      <c r="AT152" s="3951"/>
      <c r="AU152" s="3951"/>
      <c r="AV152" s="3951"/>
      <c r="AW152" s="3951"/>
      <c r="AX152" s="3951"/>
      <c r="AY152" s="3951"/>
      <c r="AZ152" s="3951"/>
      <c r="BA152" s="3951"/>
      <c r="BB152" s="3951"/>
      <c r="BC152" s="3951"/>
      <c r="BD152" s="3951"/>
      <c r="BE152" s="3951"/>
      <c r="BF152" s="3951"/>
      <c r="BG152" s="3951"/>
      <c r="BH152" s="3951"/>
      <c r="BI152" s="3951"/>
      <c r="BJ152" s="3951"/>
      <c r="BK152" s="3951"/>
      <c r="BL152" s="3951"/>
      <c r="BM152" s="3951"/>
      <c r="BN152" s="3951"/>
      <c r="BO152" s="3951"/>
      <c r="BP152" s="3951"/>
      <c r="BQ152" s="3951"/>
      <c r="BR152" s="3951"/>
      <c r="BS152" s="3951"/>
      <c r="BT152" s="2741">
        <v>1</v>
      </c>
      <c r="BU152" s="3953">
        <v>1</v>
      </c>
      <c r="BV152" s="2741">
        <v>1</v>
      </c>
      <c r="BW152" s="2408">
        <v>1</v>
      </c>
      <c r="BX152" s="15854"/>
      <c r="BY152" s="2741"/>
      <c r="BZ152" s="2741"/>
      <c r="CA152" s="2741"/>
      <c r="CB152" s="2683"/>
      <c r="CC152" s="2683"/>
      <c r="CD152" s="2683"/>
      <c r="CE152" s="2683"/>
      <c r="CF152" s="4217"/>
      <c r="CG152" s="4217"/>
      <c r="CH152" s="4217"/>
      <c r="CI152" s="4217"/>
      <c r="CJ152" s="4217"/>
      <c r="CK152" s="4217"/>
      <c r="CL152" s="4217"/>
      <c r="CM152" s="4217"/>
      <c r="CN152" s="4217"/>
      <c r="CO152" s="4217"/>
      <c r="CP152" s="4217"/>
      <c r="CQ152" s="4217"/>
      <c r="CR152" s="4217"/>
      <c r="CS152" s="4803"/>
      <c r="CT152" s="4217"/>
      <c r="CU152" s="4217"/>
      <c r="CV152" s="4217"/>
      <c r="CW152" s="4217"/>
      <c r="CX152" s="4217"/>
      <c r="CY152" s="4217"/>
      <c r="CZ152" s="4217"/>
      <c r="DA152" s="4217"/>
      <c r="DB152" s="4217"/>
      <c r="DC152" s="4217"/>
      <c r="DD152" s="4217"/>
      <c r="DE152" s="4217"/>
      <c r="DF152" s="4217"/>
      <c r="DG152" s="4217"/>
      <c r="DH152" s="4217"/>
      <c r="DI152" s="4217"/>
      <c r="DJ152" s="4217"/>
      <c r="DK152" s="4217"/>
      <c r="DL152" s="4217"/>
      <c r="DM152" s="4217"/>
      <c r="DN152" s="4217"/>
      <c r="DO152" s="4839"/>
      <c r="DQ152" s="4972"/>
      <c r="DR152" s="3951"/>
      <c r="DS152" s="3951"/>
      <c r="DT152" s="3951"/>
      <c r="DU152" s="3951"/>
      <c r="DV152" s="3951"/>
      <c r="DW152" s="3951"/>
      <c r="DX152" s="3951"/>
      <c r="DY152" s="3951"/>
      <c r="DZ152" s="3951"/>
      <c r="EA152" s="3951"/>
      <c r="EB152" s="3951"/>
      <c r="EC152" s="3951"/>
      <c r="ED152" s="3951"/>
      <c r="EE152" s="3951"/>
      <c r="EF152" s="3951"/>
      <c r="EG152" s="3951"/>
      <c r="EH152" s="3951"/>
      <c r="EI152" s="3951"/>
      <c r="EJ152" s="3951"/>
      <c r="EK152" s="3951"/>
      <c r="EL152" s="3951"/>
      <c r="EM152" s="3951"/>
      <c r="EN152" s="3951"/>
      <c r="EO152" s="3951"/>
      <c r="EP152" s="3951"/>
      <c r="EQ152" s="3951"/>
      <c r="ER152" s="3951"/>
      <c r="ES152" s="3951"/>
      <c r="ET152" s="3951"/>
      <c r="EU152" s="3951"/>
      <c r="EV152" s="3951"/>
      <c r="EW152" s="3951"/>
      <c r="EX152" s="3951"/>
      <c r="EY152" s="3951"/>
      <c r="EZ152" s="3951"/>
      <c r="FA152" s="3951"/>
      <c r="FB152" s="3951"/>
      <c r="FC152" s="3951"/>
      <c r="FD152" s="3951"/>
      <c r="FE152" s="3951"/>
      <c r="FF152" s="3951"/>
      <c r="FG152" s="3951"/>
      <c r="FH152" s="3951"/>
      <c r="FI152" s="3951"/>
      <c r="FJ152" s="2061"/>
    </row>
    <row r="153" spans="1:166" s="1791" customFormat="1" ht="15" customHeight="1">
      <c r="A153" s="15977"/>
      <c r="B153" s="15980"/>
      <c r="C153" s="15980" t="s">
        <v>903</v>
      </c>
      <c r="D153" s="4655" t="s">
        <v>8002</v>
      </c>
      <c r="E153" s="2741" t="s">
        <v>5029</v>
      </c>
      <c r="F153" s="2741" t="s">
        <v>904</v>
      </c>
      <c r="G153" s="2741" t="s">
        <v>542</v>
      </c>
      <c r="H153" s="4656">
        <v>0.05</v>
      </c>
      <c r="I153" s="4656">
        <v>0.1</v>
      </c>
      <c r="J153" s="4656">
        <v>0.1</v>
      </c>
      <c r="K153" s="2741" t="s">
        <v>905</v>
      </c>
      <c r="L153" s="2741" t="s">
        <v>65</v>
      </c>
      <c r="M153" s="2741" t="s">
        <v>906</v>
      </c>
      <c r="N153" s="2741"/>
      <c r="O153" s="2741" t="s">
        <v>690</v>
      </c>
      <c r="P153" s="2741" t="s">
        <v>690</v>
      </c>
      <c r="Q153" s="2741" t="s">
        <v>690</v>
      </c>
      <c r="R153" s="2741" t="s">
        <v>690</v>
      </c>
      <c r="S153" s="2741" t="s">
        <v>690</v>
      </c>
      <c r="T153" s="2741" t="s">
        <v>690</v>
      </c>
      <c r="U153" s="4800" t="s">
        <v>690</v>
      </c>
      <c r="V153" s="2741" t="s">
        <v>690</v>
      </c>
      <c r="W153" s="2741" t="s">
        <v>690</v>
      </c>
      <c r="X153" s="2741" t="s">
        <v>690</v>
      </c>
      <c r="Y153" s="2741" t="s">
        <v>690</v>
      </c>
      <c r="Z153" s="2412">
        <v>0</v>
      </c>
      <c r="AA153" s="2741" t="s">
        <v>907</v>
      </c>
      <c r="AB153" s="4656">
        <v>1</v>
      </c>
      <c r="AC153" s="4810" t="s">
        <v>3744</v>
      </c>
      <c r="AD153" s="2741"/>
      <c r="AE153" s="4810" t="s">
        <v>3744</v>
      </c>
      <c r="AF153" s="4811"/>
      <c r="AG153" s="4811"/>
      <c r="AH153" s="3951"/>
      <c r="AI153" s="3951"/>
      <c r="AJ153" s="3953">
        <v>20</v>
      </c>
      <c r="AK153" s="3953" t="s">
        <v>2943</v>
      </c>
      <c r="AL153" s="3953" t="s">
        <v>2943</v>
      </c>
      <c r="AM153" s="3953" t="s">
        <v>2943</v>
      </c>
      <c r="AN153" s="3953" t="s">
        <v>2943</v>
      </c>
      <c r="AO153" s="3951"/>
      <c r="AP153" s="3951"/>
      <c r="AQ153" s="3951"/>
      <c r="AR153" s="3951"/>
      <c r="AS153" s="3951"/>
      <c r="AT153" s="3951"/>
      <c r="AU153" s="3951"/>
      <c r="AV153" s="3951"/>
      <c r="AW153" s="3953" t="s">
        <v>2943</v>
      </c>
      <c r="AX153" s="3951"/>
      <c r="AY153" s="3951"/>
      <c r="AZ153" s="3951"/>
      <c r="BA153" s="3951"/>
      <c r="BB153" s="3951"/>
      <c r="BC153" s="3951"/>
      <c r="BD153" s="3953" t="s">
        <v>2943</v>
      </c>
      <c r="BE153" s="3951"/>
      <c r="BF153" s="3951"/>
      <c r="BG153" s="3951"/>
      <c r="BH153" s="3951"/>
      <c r="BI153" s="3951"/>
      <c r="BJ153" s="3951"/>
      <c r="BK153" s="3951"/>
      <c r="BL153" s="3951"/>
      <c r="BM153" s="3951"/>
      <c r="BN153" s="3951"/>
      <c r="BO153" s="3951"/>
      <c r="BP153" s="3951"/>
      <c r="BQ153" s="3951"/>
      <c r="BR153" s="3951"/>
      <c r="BS153" s="3951"/>
      <c r="BT153" s="4801">
        <v>0.5</v>
      </c>
      <c r="BU153" s="4656">
        <v>0.5</v>
      </c>
      <c r="BV153" s="4656">
        <v>0.5</v>
      </c>
      <c r="BW153" s="2408">
        <v>0.5</v>
      </c>
      <c r="BX153" s="15854"/>
      <c r="BY153" s="4812" t="s">
        <v>9035</v>
      </c>
      <c r="BZ153" s="4813"/>
      <c r="CA153" s="4813"/>
      <c r="CB153" s="4814"/>
      <c r="CC153" s="4814"/>
      <c r="CD153" s="3955"/>
      <c r="CE153" s="3955"/>
      <c r="CF153" s="4807">
        <v>3</v>
      </c>
      <c r="CG153" s="4807">
        <v>2</v>
      </c>
      <c r="CH153" s="4807">
        <v>1</v>
      </c>
      <c r="CI153" s="4807">
        <v>3</v>
      </c>
      <c r="CJ153" s="4807"/>
      <c r="CK153" s="4807"/>
      <c r="CL153" s="4807"/>
      <c r="CM153" s="4807"/>
      <c r="CN153" s="4807"/>
      <c r="CO153" s="4807"/>
      <c r="CP153" s="4807"/>
      <c r="CQ153" s="4807"/>
      <c r="CR153" s="4807"/>
      <c r="CS153" s="4815">
        <v>3</v>
      </c>
      <c r="CT153" s="4807"/>
      <c r="CU153" s="4807"/>
      <c r="CV153" s="4807"/>
      <c r="CW153" s="4807"/>
      <c r="CX153" s="4807"/>
      <c r="CY153" s="4807"/>
      <c r="CZ153" s="4217"/>
      <c r="DA153" s="4217"/>
      <c r="DB153" s="4217"/>
      <c r="DC153" s="4217"/>
      <c r="DD153" s="4217"/>
      <c r="DE153" s="4217"/>
      <c r="DF153" s="4217"/>
      <c r="DG153" s="4217"/>
      <c r="DH153" s="4217"/>
      <c r="DI153" s="4217"/>
      <c r="DJ153" s="4217"/>
      <c r="DK153" s="4217"/>
      <c r="DL153" s="4217"/>
      <c r="DM153" s="4217"/>
      <c r="DN153" s="4217"/>
      <c r="DO153" s="4839"/>
      <c r="DQ153" s="4972"/>
      <c r="DR153" s="3951"/>
      <c r="DS153" s="3951"/>
      <c r="DT153" s="3951"/>
      <c r="DU153" s="3951"/>
      <c r="DV153" s="3951"/>
      <c r="DW153" s="3951"/>
      <c r="DX153" s="3951"/>
      <c r="DY153" s="3951"/>
      <c r="DZ153" s="3951"/>
      <c r="EA153" s="3951"/>
      <c r="EB153" s="3951"/>
      <c r="EC153" s="3951"/>
      <c r="ED153" s="3951"/>
      <c r="EE153" s="3951"/>
      <c r="EF153" s="3951"/>
      <c r="EG153" s="3951"/>
      <c r="EH153" s="3951"/>
      <c r="EI153" s="3951"/>
      <c r="EJ153" s="3951"/>
      <c r="EK153" s="3951"/>
      <c r="EL153" s="3951"/>
      <c r="EM153" s="3951"/>
      <c r="EN153" s="3951"/>
      <c r="EO153" s="3951"/>
      <c r="EP153" s="3951"/>
      <c r="EQ153" s="3951"/>
      <c r="ER153" s="3951"/>
      <c r="ES153" s="3951"/>
      <c r="ET153" s="3951"/>
      <c r="EU153" s="3951"/>
      <c r="EV153" s="3951"/>
      <c r="EW153" s="3951"/>
      <c r="EX153" s="3951"/>
      <c r="EY153" s="3951"/>
      <c r="EZ153" s="3951"/>
      <c r="FA153" s="3951"/>
      <c r="FB153" s="3951"/>
      <c r="FC153" s="3951"/>
      <c r="FD153" s="3951"/>
      <c r="FE153" s="3951"/>
      <c r="FF153" s="3951"/>
      <c r="FG153" s="3951"/>
      <c r="FH153" s="3951"/>
      <c r="FI153" s="3951"/>
      <c r="FJ153" s="2061"/>
    </row>
    <row r="154" spans="1:166" s="1791" customFormat="1" ht="15" customHeight="1">
      <c r="A154" s="15977"/>
      <c r="B154" s="15980"/>
      <c r="C154" s="15980"/>
      <c r="D154" s="15895" t="s">
        <v>8003</v>
      </c>
      <c r="E154" s="15897" t="s">
        <v>5030</v>
      </c>
      <c r="F154" s="15897" t="s">
        <v>908</v>
      </c>
      <c r="G154" s="15897" t="s">
        <v>542</v>
      </c>
      <c r="H154" s="15901">
        <v>0.1</v>
      </c>
      <c r="I154" s="15901">
        <v>0.6</v>
      </c>
      <c r="J154" s="15901">
        <v>1</v>
      </c>
      <c r="K154" s="15897" t="s">
        <v>909</v>
      </c>
      <c r="L154" s="2741" t="s">
        <v>65</v>
      </c>
      <c r="M154" s="2741" t="s">
        <v>906</v>
      </c>
      <c r="N154" s="4212"/>
      <c r="O154" s="2741">
        <v>80</v>
      </c>
      <c r="P154" s="2741">
        <v>82</v>
      </c>
      <c r="Q154" s="2741">
        <v>85</v>
      </c>
      <c r="R154" s="2741">
        <v>87</v>
      </c>
      <c r="S154" s="2741">
        <v>90</v>
      </c>
      <c r="T154" s="2741">
        <v>93</v>
      </c>
      <c r="U154" s="4800">
        <v>96</v>
      </c>
      <c r="V154" s="2741">
        <v>98</v>
      </c>
      <c r="W154" s="2741">
        <v>101</v>
      </c>
      <c r="X154" s="2741">
        <v>104</v>
      </c>
      <c r="Y154" s="2741">
        <v>108</v>
      </c>
      <c r="Z154" s="2412">
        <v>1024</v>
      </c>
      <c r="AA154" s="2741"/>
      <c r="AB154" s="4656">
        <v>1</v>
      </c>
      <c r="AC154" s="4660" t="s">
        <v>3745</v>
      </c>
      <c r="AD154" s="2741" t="s">
        <v>3746</v>
      </c>
      <c r="AE154" s="4660" t="s">
        <v>3745</v>
      </c>
      <c r="AF154" s="4811">
        <f>AG154+AH154+AI154</f>
        <v>52440000</v>
      </c>
      <c r="AG154" s="4811">
        <v>6240000</v>
      </c>
      <c r="AH154" s="4811"/>
      <c r="AI154" s="4811">
        <v>46200000</v>
      </c>
      <c r="AJ154" s="3953">
        <v>27</v>
      </c>
      <c r="AK154" s="3953" t="s">
        <v>2943</v>
      </c>
      <c r="AL154" s="3953" t="s">
        <v>2943</v>
      </c>
      <c r="AM154" s="3953" t="s">
        <v>2943</v>
      </c>
      <c r="AN154" s="3953" t="s">
        <v>2943</v>
      </c>
      <c r="AO154" s="3951"/>
      <c r="AP154" s="3951"/>
      <c r="AQ154" s="3951"/>
      <c r="AR154" s="3951"/>
      <c r="AS154" s="3951"/>
      <c r="AT154" s="3951"/>
      <c r="AU154" s="3951"/>
      <c r="AV154" s="3951"/>
      <c r="AW154" s="3953" t="s">
        <v>2943</v>
      </c>
      <c r="AX154" s="3951"/>
      <c r="AY154" s="3951"/>
      <c r="AZ154" s="3951"/>
      <c r="BA154" s="3951"/>
      <c r="BB154" s="3951"/>
      <c r="BC154" s="3951"/>
      <c r="BD154" s="3953" t="s">
        <v>2943</v>
      </c>
      <c r="BE154" s="3951"/>
      <c r="BF154" s="3951"/>
      <c r="BG154" s="3951"/>
      <c r="BH154" s="3951"/>
      <c r="BI154" s="3951"/>
      <c r="BJ154" s="3951"/>
      <c r="BK154" s="3951"/>
      <c r="BL154" s="3951"/>
      <c r="BM154" s="3951"/>
      <c r="BN154" s="3951"/>
      <c r="BO154" s="3951"/>
      <c r="BP154" s="3951"/>
      <c r="BQ154" s="3951"/>
      <c r="BR154" s="3951"/>
      <c r="BS154" s="3951"/>
      <c r="BT154" s="4801">
        <v>1</v>
      </c>
      <c r="BU154" s="4656">
        <v>1</v>
      </c>
      <c r="BV154" s="4656">
        <v>1</v>
      </c>
      <c r="BW154" s="2408">
        <f t="shared" ref="BW154:BW160" si="10">BV154/BU154</f>
        <v>1</v>
      </c>
      <c r="BX154" s="15854"/>
      <c r="BY154" s="4813" t="s">
        <v>9036</v>
      </c>
      <c r="BZ154" s="4813" t="s">
        <v>9037</v>
      </c>
      <c r="CA154" s="4813"/>
      <c r="CB154" s="4814">
        <v>5893000</v>
      </c>
      <c r="CC154" s="4814">
        <v>5893000</v>
      </c>
      <c r="CD154" s="4814"/>
      <c r="CE154" s="4814"/>
      <c r="CF154" s="4807">
        <v>6</v>
      </c>
      <c r="CG154" s="4807">
        <v>0</v>
      </c>
      <c r="CH154" s="4807">
        <v>6</v>
      </c>
      <c r="CI154" s="4807">
        <v>6</v>
      </c>
      <c r="CJ154" s="4807"/>
      <c r="CK154" s="4807"/>
      <c r="CL154" s="4807"/>
      <c r="CM154" s="4807"/>
      <c r="CN154" s="4807"/>
      <c r="CO154" s="4807"/>
      <c r="CP154" s="4807"/>
      <c r="CQ154" s="4807"/>
      <c r="CR154" s="4807"/>
      <c r="CS154" s="4815">
        <v>6</v>
      </c>
      <c r="CT154" s="4807"/>
      <c r="CU154" s="4807"/>
      <c r="CV154" s="4807"/>
      <c r="CW154" s="4807"/>
      <c r="CX154" s="4807"/>
      <c r="CY154" s="4807"/>
      <c r="CZ154" s="4807"/>
      <c r="DA154" s="4807"/>
      <c r="DB154" s="4807"/>
      <c r="DC154" s="4807"/>
      <c r="DD154" s="4807"/>
      <c r="DE154" s="4807"/>
      <c r="DF154" s="4807"/>
      <c r="DG154" s="4807"/>
      <c r="DH154" s="4807"/>
      <c r="DI154" s="4807"/>
      <c r="DJ154" s="4807"/>
      <c r="DK154" s="4807"/>
      <c r="DL154" s="4807"/>
      <c r="DM154" s="4807"/>
      <c r="DN154" s="4807"/>
      <c r="DO154" s="4840"/>
      <c r="DQ154" s="4972"/>
      <c r="DR154" s="3951"/>
      <c r="DS154" s="3951"/>
      <c r="DT154" s="3951"/>
      <c r="DU154" s="3951"/>
      <c r="DV154" s="3951"/>
      <c r="DW154" s="3951"/>
      <c r="DX154" s="3951"/>
      <c r="DY154" s="3951"/>
      <c r="DZ154" s="3951"/>
      <c r="EA154" s="3951"/>
      <c r="EB154" s="3951"/>
      <c r="EC154" s="3951"/>
      <c r="ED154" s="3951"/>
      <c r="EE154" s="3951"/>
      <c r="EF154" s="3951"/>
      <c r="EG154" s="3951"/>
      <c r="EH154" s="3951"/>
      <c r="EI154" s="3951"/>
      <c r="EJ154" s="3951"/>
      <c r="EK154" s="3951"/>
      <c r="EL154" s="3951"/>
      <c r="EM154" s="3951"/>
      <c r="EN154" s="3951"/>
      <c r="EO154" s="3951"/>
      <c r="EP154" s="3951"/>
      <c r="EQ154" s="3951"/>
      <c r="ER154" s="3951"/>
      <c r="ES154" s="3951"/>
      <c r="ET154" s="3951"/>
      <c r="EU154" s="3951"/>
      <c r="EV154" s="3951"/>
      <c r="EW154" s="3951"/>
      <c r="EX154" s="3951"/>
      <c r="EY154" s="3951"/>
      <c r="EZ154" s="3951"/>
      <c r="FA154" s="3951"/>
      <c r="FB154" s="3951"/>
      <c r="FC154" s="3951"/>
      <c r="FD154" s="3951"/>
      <c r="FE154" s="3951"/>
      <c r="FF154" s="3951"/>
      <c r="FG154" s="3951"/>
      <c r="FH154" s="3951"/>
      <c r="FI154" s="3951"/>
      <c r="FJ154" s="2061"/>
    </row>
    <row r="155" spans="1:166" s="1791" customFormat="1" ht="15" customHeight="1">
      <c r="A155" s="15977"/>
      <c r="B155" s="15980"/>
      <c r="C155" s="2412"/>
      <c r="D155" s="15895"/>
      <c r="E155" s="15897"/>
      <c r="F155" s="15897"/>
      <c r="G155" s="15897"/>
      <c r="H155" s="15901"/>
      <c r="I155" s="15901"/>
      <c r="J155" s="15901"/>
      <c r="K155" s="15897"/>
      <c r="L155" s="2741" t="s">
        <v>10063</v>
      </c>
      <c r="M155" s="2741"/>
      <c r="N155" s="4212" t="s">
        <v>79</v>
      </c>
      <c r="O155" s="2741"/>
      <c r="P155" s="2741"/>
      <c r="Q155" s="2741"/>
      <c r="R155" s="2741"/>
      <c r="S155" s="2741"/>
      <c r="T155" s="2741"/>
      <c r="U155" s="4800"/>
      <c r="V155" s="2741"/>
      <c r="W155" s="2741"/>
      <c r="X155" s="2741"/>
      <c r="Y155" s="2741"/>
      <c r="Z155" s="2412"/>
      <c r="AA155" s="2741"/>
      <c r="AB155" s="4656"/>
      <c r="AC155" s="4660"/>
      <c r="AD155" s="2741"/>
      <c r="AE155" s="4660"/>
      <c r="AF155" s="4811"/>
      <c r="AG155" s="4811"/>
      <c r="AH155" s="4811"/>
      <c r="AI155" s="4811"/>
      <c r="AJ155" s="3953"/>
      <c r="AK155" s="3953"/>
      <c r="AL155" s="3953"/>
      <c r="AM155" s="3953"/>
      <c r="AN155" s="3953"/>
      <c r="AO155" s="3951"/>
      <c r="AP155" s="3951"/>
      <c r="AQ155" s="3951"/>
      <c r="AR155" s="3951"/>
      <c r="AS155" s="3951"/>
      <c r="AT155" s="3951"/>
      <c r="AU155" s="3951"/>
      <c r="AV155" s="3951"/>
      <c r="AW155" s="3953"/>
      <c r="AX155" s="3951"/>
      <c r="AY155" s="3951"/>
      <c r="AZ155" s="3951"/>
      <c r="BA155" s="3951"/>
      <c r="BB155" s="3951"/>
      <c r="BC155" s="3951"/>
      <c r="BD155" s="3953"/>
      <c r="BE155" s="3951"/>
      <c r="BF155" s="3951"/>
      <c r="BG155" s="3951"/>
      <c r="BH155" s="3951"/>
      <c r="BI155" s="3951"/>
      <c r="BJ155" s="3951"/>
      <c r="BK155" s="3951"/>
      <c r="BL155" s="3951"/>
      <c r="BM155" s="3951"/>
      <c r="BN155" s="3951"/>
      <c r="BO155" s="3951"/>
      <c r="BP155" s="3951"/>
      <c r="BQ155" s="3951"/>
      <c r="BR155" s="3951"/>
      <c r="BS155" s="3951"/>
      <c r="BT155" s="4801"/>
      <c r="BU155" s="4656"/>
      <c r="BV155" s="4656"/>
      <c r="BW155" s="2408"/>
      <c r="BX155" s="15854"/>
      <c r="BY155" s="4813"/>
      <c r="BZ155" s="4813"/>
      <c r="CA155" s="4813"/>
      <c r="CB155" s="4814"/>
      <c r="CC155" s="4814"/>
      <c r="CD155" s="4814"/>
      <c r="CE155" s="4814"/>
      <c r="CF155" s="4807"/>
      <c r="CG155" s="4807"/>
      <c r="CH155" s="4807"/>
      <c r="CI155" s="4807"/>
      <c r="CJ155" s="4807"/>
      <c r="CK155" s="4807"/>
      <c r="CL155" s="4807"/>
      <c r="CM155" s="4807"/>
      <c r="CN155" s="4807"/>
      <c r="CO155" s="4807"/>
      <c r="CP155" s="4807"/>
      <c r="CQ155" s="4807"/>
      <c r="CR155" s="4807"/>
      <c r="CS155" s="4815"/>
      <c r="CT155" s="4807"/>
      <c r="CU155" s="4807"/>
      <c r="CV155" s="4807"/>
      <c r="CW155" s="4807"/>
      <c r="CX155" s="4807"/>
      <c r="CY155" s="4807"/>
      <c r="CZ155" s="4807"/>
      <c r="DA155" s="4807"/>
      <c r="DB155" s="4807"/>
      <c r="DC155" s="4807"/>
      <c r="DD155" s="4807"/>
      <c r="DE155" s="4807"/>
      <c r="DF155" s="4807"/>
      <c r="DG155" s="4807"/>
      <c r="DH155" s="4807"/>
      <c r="DI155" s="4807"/>
      <c r="DJ155" s="4807"/>
      <c r="DK155" s="4807"/>
      <c r="DL155" s="4807"/>
      <c r="DM155" s="4807"/>
      <c r="DN155" s="4807"/>
      <c r="DO155" s="4840"/>
      <c r="DQ155" s="4972"/>
      <c r="DR155" s="3951"/>
      <c r="DS155" s="3951"/>
      <c r="DT155" s="3951"/>
      <c r="DU155" s="3951"/>
      <c r="DV155" s="3951"/>
      <c r="DW155" s="3951"/>
      <c r="DX155" s="3951"/>
      <c r="DY155" s="3951"/>
      <c r="DZ155" s="3951"/>
      <c r="EA155" s="3951"/>
      <c r="EB155" s="3951"/>
      <c r="EC155" s="3951"/>
      <c r="ED155" s="3951"/>
      <c r="EE155" s="3951"/>
      <c r="EF155" s="3951"/>
      <c r="EG155" s="3951"/>
      <c r="EH155" s="3951"/>
      <c r="EI155" s="3951"/>
      <c r="EJ155" s="3951"/>
      <c r="EK155" s="3951"/>
      <c r="EL155" s="3951"/>
      <c r="EM155" s="3951"/>
      <c r="EN155" s="3951"/>
      <c r="EO155" s="3951"/>
      <c r="EP155" s="3951"/>
      <c r="EQ155" s="3951"/>
      <c r="ER155" s="3951"/>
      <c r="ES155" s="3951"/>
      <c r="ET155" s="3951"/>
      <c r="EU155" s="3951"/>
      <c r="EV155" s="3951"/>
      <c r="EW155" s="3951"/>
      <c r="EX155" s="3951"/>
      <c r="EY155" s="3951"/>
      <c r="EZ155" s="3951"/>
      <c r="FA155" s="3951"/>
      <c r="FB155" s="3951"/>
      <c r="FC155" s="3951"/>
      <c r="FD155" s="3951"/>
      <c r="FE155" s="3951"/>
      <c r="FF155" s="3951"/>
      <c r="FG155" s="3951"/>
      <c r="FH155" s="3951"/>
      <c r="FI155" s="3951"/>
      <c r="FJ155" s="2061"/>
    </row>
    <row r="156" spans="1:166" s="1791" customFormat="1" ht="15" customHeight="1">
      <c r="A156" s="15977"/>
      <c r="B156" s="15980"/>
      <c r="C156" s="15980" t="s">
        <v>910</v>
      </c>
      <c r="D156" s="15895" t="s">
        <v>8004</v>
      </c>
      <c r="E156" s="15897" t="s">
        <v>5031</v>
      </c>
      <c r="F156" s="15897" t="s">
        <v>911</v>
      </c>
      <c r="G156" s="15897">
        <v>0</v>
      </c>
      <c r="H156" s="15897">
        <v>1</v>
      </c>
      <c r="I156" s="15897">
        <v>1</v>
      </c>
      <c r="J156" s="15897">
        <v>1</v>
      </c>
      <c r="K156" s="15897" t="s">
        <v>912</v>
      </c>
      <c r="L156" s="2741" t="s">
        <v>10070</v>
      </c>
      <c r="M156" s="2741" t="s">
        <v>512</v>
      </c>
      <c r="N156" s="4212"/>
      <c r="O156" s="2741">
        <v>80</v>
      </c>
      <c r="P156" s="2741">
        <v>82</v>
      </c>
      <c r="Q156" s="2741">
        <v>85</v>
      </c>
      <c r="R156" s="2741">
        <v>87</v>
      </c>
      <c r="S156" s="2741">
        <v>90</v>
      </c>
      <c r="T156" s="2741">
        <v>93</v>
      </c>
      <c r="U156" s="4800">
        <v>96</v>
      </c>
      <c r="V156" s="2741">
        <v>98</v>
      </c>
      <c r="W156" s="2741">
        <v>101</v>
      </c>
      <c r="X156" s="2741">
        <v>104</v>
      </c>
      <c r="Y156" s="2741">
        <v>108</v>
      </c>
      <c r="Z156" s="2412">
        <v>1024</v>
      </c>
      <c r="AA156" s="2741"/>
      <c r="AB156" s="3951"/>
      <c r="AC156" s="3951"/>
      <c r="AD156" s="3951"/>
      <c r="AE156" s="3951"/>
      <c r="AF156" s="3951"/>
      <c r="AG156" s="3951"/>
      <c r="AH156" s="3951"/>
      <c r="AI156" s="3951"/>
      <c r="AJ156" s="3951"/>
      <c r="AK156" s="3951"/>
      <c r="AL156" s="3951"/>
      <c r="AM156" s="3951"/>
      <c r="AN156" s="3951"/>
      <c r="AO156" s="3951"/>
      <c r="AP156" s="3951"/>
      <c r="AQ156" s="3951"/>
      <c r="AR156" s="3951"/>
      <c r="AS156" s="3951"/>
      <c r="AT156" s="3951"/>
      <c r="AU156" s="3951"/>
      <c r="AV156" s="3951"/>
      <c r="AW156" s="3951"/>
      <c r="AX156" s="3951"/>
      <c r="AY156" s="3951"/>
      <c r="AZ156" s="3951"/>
      <c r="BA156" s="3951"/>
      <c r="BB156" s="3951"/>
      <c r="BC156" s="3951"/>
      <c r="BD156" s="3951"/>
      <c r="BE156" s="3951"/>
      <c r="BF156" s="3951"/>
      <c r="BG156" s="3951"/>
      <c r="BH156" s="3951"/>
      <c r="BI156" s="3951"/>
      <c r="BJ156" s="3951"/>
      <c r="BK156" s="3951"/>
      <c r="BL156" s="3951"/>
      <c r="BM156" s="3951"/>
      <c r="BN156" s="3951"/>
      <c r="BO156" s="3951"/>
      <c r="BP156" s="3951"/>
      <c r="BQ156" s="3951"/>
      <c r="BR156" s="3951"/>
      <c r="BS156" s="3951"/>
      <c r="BT156" s="2741" t="s">
        <v>3781</v>
      </c>
      <c r="BU156" s="3953" t="s">
        <v>3781</v>
      </c>
      <c r="BV156" s="2741">
        <v>1</v>
      </c>
      <c r="BW156" s="2408" t="s">
        <v>3781</v>
      </c>
      <c r="BX156" s="15854"/>
      <c r="BY156" s="2741"/>
      <c r="BZ156" s="2741"/>
      <c r="CA156" s="2741"/>
      <c r="CB156" s="2683"/>
      <c r="CC156" s="2683"/>
      <c r="CD156" s="2683"/>
      <c r="CE156" s="2683"/>
      <c r="CF156" s="4217"/>
      <c r="CG156" s="4217"/>
      <c r="CH156" s="4217"/>
      <c r="CI156" s="4217"/>
      <c r="CJ156" s="4217"/>
      <c r="CK156" s="4217"/>
      <c r="CL156" s="4217"/>
      <c r="CM156" s="4217"/>
      <c r="CN156" s="4217"/>
      <c r="CO156" s="4217"/>
      <c r="CP156" s="4217"/>
      <c r="CQ156" s="4217"/>
      <c r="CR156" s="4217"/>
      <c r="CS156" s="4803"/>
      <c r="CT156" s="4217"/>
      <c r="CU156" s="4217"/>
      <c r="CV156" s="4217"/>
      <c r="CW156" s="4217"/>
      <c r="CX156" s="4217"/>
      <c r="CY156" s="4217"/>
      <c r="CZ156" s="4217"/>
      <c r="DA156" s="4217"/>
      <c r="DB156" s="4217"/>
      <c r="DC156" s="4217"/>
      <c r="DD156" s="4217"/>
      <c r="DE156" s="4217"/>
      <c r="DF156" s="4217"/>
      <c r="DG156" s="4217"/>
      <c r="DH156" s="4217"/>
      <c r="DI156" s="4217"/>
      <c r="DJ156" s="4217"/>
      <c r="DK156" s="4217"/>
      <c r="DL156" s="4217"/>
      <c r="DM156" s="4217"/>
      <c r="DN156" s="4217"/>
      <c r="DO156" s="4839"/>
      <c r="DQ156" s="4972"/>
      <c r="DR156" s="3951"/>
      <c r="DS156" s="3951"/>
      <c r="DT156" s="3951"/>
      <c r="DU156" s="3951"/>
      <c r="DV156" s="3951"/>
      <c r="DW156" s="3951"/>
      <c r="DX156" s="3951"/>
      <c r="DY156" s="3951"/>
      <c r="DZ156" s="3951"/>
      <c r="EA156" s="3951"/>
      <c r="EB156" s="3951"/>
      <c r="EC156" s="3951"/>
      <c r="ED156" s="3951"/>
      <c r="EE156" s="3951"/>
      <c r="EF156" s="3951"/>
      <c r="EG156" s="3951"/>
      <c r="EH156" s="3951"/>
      <c r="EI156" s="3951"/>
      <c r="EJ156" s="3951"/>
      <c r="EK156" s="3951"/>
      <c r="EL156" s="3951"/>
      <c r="EM156" s="3951"/>
      <c r="EN156" s="3951"/>
      <c r="EO156" s="3951"/>
      <c r="EP156" s="3951"/>
      <c r="EQ156" s="3951"/>
      <c r="ER156" s="3951"/>
      <c r="ES156" s="3951"/>
      <c r="ET156" s="3951"/>
      <c r="EU156" s="3951"/>
      <c r="EV156" s="3951"/>
      <c r="EW156" s="3951"/>
      <c r="EX156" s="3951"/>
      <c r="EY156" s="3951"/>
      <c r="EZ156" s="3951"/>
      <c r="FA156" s="3951"/>
      <c r="FB156" s="3951"/>
      <c r="FC156" s="3951"/>
      <c r="FD156" s="3951"/>
      <c r="FE156" s="3951"/>
      <c r="FF156" s="3951"/>
      <c r="FG156" s="3951"/>
      <c r="FH156" s="3951"/>
      <c r="FI156" s="3951"/>
      <c r="FJ156" s="2061"/>
    </row>
    <row r="157" spans="1:166" s="1791" customFormat="1" ht="15" customHeight="1">
      <c r="A157" s="15977"/>
      <c r="B157" s="15980"/>
      <c r="C157" s="15980"/>
      <c r="D157" s="15895"/>
      <c r="E157" s="15897"/>
      <c r="F157" s="15897"/>
      <c r="G157" s="15897"/>
      <c r="H157" s="15897"/>
      <c r="I157" s="15897"/>
      <c r="J157" s="15897"/>
      <c r="K157" s="15897"/>
      <c r="L157" s="2741" t="s">
        <v>2859</v>
      </c>
      <c r="M157" s="2741"/>
      <c r="N157" s="2741" t="s">
        <v>898</v>
      </c>
      <c r="O157" s="2741"/>
      <c r="P157" s="2741"/>
      <c r="Q157" s="2741"/>
      <c r="R157" s="2741"/>
      <c r="S157" s="2741"/>
      <c r="T157" s="2741"/>
      <c r="U157" s="4800"/>
      <c r="V157" s="2741"/>
      <c r="W157" s="2741"/>
      <c r="X157" s="2741"/>
      <c r="Y157" s="2741"/>
      <c r="Z157" s="2412"/>
      <c r="AA157" s="2741"/>
      <c r="AB157" s="3951"/>
      <c r="AC157" s="3951"/>
      <c r="AD157" s="3951"/>
      <c r="AE157" s="3951"/>
      <c r="AF157" s="3951"/>
      <c r="AG157" s="3951"/>
      <c r="AH157" s="3951"/>
      <c r="AI157" s="3951"/>
      <c r="AJ157" s="3951"/>
      <c r="AK157" s="3951"/>
      <c r="AL157" s="3951"/>
      <c r="AM157" s="3951"/>
      <c r="AN157" s="3951"/>
      <c r="AO157" s="3951"/>
      <c r="AP157" s="3951"/>
      <c r="AQ157" s="3951"/>
      <c r="AR157" s="3951"/>
      <c r="AS157" s="3951"/>
      <c r="AT157" s="3951"/>
      <c r="AU157" s="3951"/>
      <c r="AV157" s="3951"/>
      <c r="AW157" s="3951"/>
      <c r="AX157" s="3951"/>
      <c r="AY157" s="3951"/>
      <c r="AZ157" s="3951"/>
      <c r="BA157" s="3951"/>
      <c r="BB157" s="3951"/>
      <c r="BC157" s="3951"/>
      <c r="BD157" s="3951"/>
      <c r="BE157" s="3951"/>
      <c r="BF157" s="3951"/>
      <c r="BG157" s="3951"/>
      <c r="BH157" s="3951"/>
      <c r="BI157" s="3951"/>
      <c r="BJ157" s="3951"/>
      <c r="BK157" s="3951"/>
      <c r="BL157" s="3951"/>
      <c r="BM157" s="3951"/>
      <c r="BN157" s="3951"/>
      <c r="BO157" s="3951"/>
      <c r="BP157" s="3951"/>
      <c r="BQ157" s="3951"/>
      <c r="BR157" s="3951"/>
      <c r="BS157" s="3951"/>
      <c r="BT157" s="2741"/>
      <c r="BU157" s="3953"/>
      <c r="BV157" s="2741"/>
      <c r="BW157" s="2408"/>
      <c r="BX157" s="15854"/>
      <c r="BY157" s="2741"/>
      <c r="BZ157" s="2741"/>
      <c r="CA157" s="2741"/>
      <c r="CB157" s="2683"/>
      <c r="CC157" s="2683"/>
      <c r="CD157" s="2683"/>
      <c r="CE157" s="2683"/>
      <c r="CF157" s="4217"/>
      <c r="CG157" s="4217"/>
      <c r="CH157" s="4217"/>
      <c r="CI157" s="4217"/>
      <c r="CJ157" s="4217"/>
      <c r="CK157" s="4217"/>
      <c r="CL157" s="4217"/>
      <c r="CM157" s="4217"/>
      <c r="CN157" s="4217"/>
      <c r="CO157" s="4217"/>
      <c r="CP157" s="4217"/>
      <c r="CQ157" s="4217"/>
      <c r="CR157" s="4217"/>
      <c r="CS157" s="4803"/>
      <c r="CT157" s="4217"/>
      <c r="CU157" s="4217"/>
      <c r="CV157" s="4217"/>
      <c r="CW157" s="4217"/>
      <c r="CX157" s="4217"/>
      <c r="CY157" s="4217"/>
      <c r="CZ157" s="4217"/>
      <c r="DA157" s="4217"/>
      <c r="DB157" s="4217"/>
      <c r="DC157" s="4217"/>
      <c r="DD157" s="4217"/>
      <c r="DE157" s="4217"/>
      <c r="DF157" s="4217"/>
      <c r="DG157" s="4217"/>
      <c r="DH157" s="4217"/>
      <c r="DI157" s="4217"/>
      <c r="DJ157" s="4217"/>
      <c r="DK157" s="4217"/>
      <c r="DL157" s="4217"/>
      <c r="DM157" s="4217"/>
      <c r="DN157" s="4217"/>
      <c r="DO157" s="4839"/>
      <c r="DQ157" s="4972"/>
      <c r="DR157" s="3951"/>
      <c r="DS157" s="3951"/>
      <c r="DT157" s="3951"/>
      <c r="DU157" s="3951"/>
      <c r="DV157" s="3951"/>
      <c r="DW157" s="3951"/>
      <c r="DX157" s="3951"/>
      <c r="DY157" s="3951"/>
      <c r="DZ157" s="3951"/>
      <c r="EA157" s="3951"/>
      <c r="EB157" s="3951"/>
      <c r="EC157" s="3951"/>
      <c r="ED157" s="3951"/>
      <c r="EE157" s="3951"/>
      <c r="EF157" s="3951"/>
      <c r="EG157" s="3951"/>
      <c r="EH157" s="3951"/>
      <c r="EI157" s="3951"/>
      <c r="EJ157" s="3951"/>
      <c r="EK157" s="3951"/>
      <c r="EL157" s="3951"/>
      <c r="EM157" s="3951"/>
      <c r="EN157" s="3951"/>
      <c r="EO157" s="3951"/>
      <c r="EP157" s="3951"/>
      <c r="EQ157" s="3951"/>
      <c r="ER157" s="3951"/>
      <c r="ES157" s="3951"/>
      <c r="ET157" s="3951"/>
      <c r="EU157" s="3951"/>
      <c r="EV157" s="3951"/>
      <c r="EW157" s="3951"/>
      <c r="EX157" s="3951"/>
      <c r="EY157" s="3951"/>
      <c r="EZ157" s="3951"/>
      <c r="FA157" s="3951"/>
      <c r="FB157" s="3951"/>
      <c r="FC157" s="3951"/>
      <c r="FD157" s="3951"/>
      <c r="FE157" s="3951"/>
      <c r="FF157" s="3951"/>
      <c r="FG157" s="3951"/>
      <c r="FH157" s="3951"/>
      <c r="FI157" s="3951"/>
      <c r="FJ157" s="2061"/>
    </row>
    <row r="158" spans="1:166" s="1791" customFormat="1" ht="15" customHeight="1">
      <c r="A158" s="15977"/>
      <c r="B158" s="15980"/>
      <c r="C158" s="15980"/>
      <c r="D158" s="4655" t="s">
        <v>8005</v>
      </c>
      <c r="E158" s="2741" t="s">
        <v>5032</v>
      </c>
      <c r="F158" s="2741" t="s">
        <v>913</v>
      </c>
      <c r="G158" s="2741">
        <v>0</v>
      </c>
      <c r="H158" s="2741">
        <v>1</v>
      </c>
      <c r="I158" s="2741">
        <v>1</v>
      </c>
      <c r="J158" s="2741">
        <v>1</v>
      </c>
      <c r="K158" s="2741" t="s">
        <v>912</v>
      </c>
      <c r="L158" s="2741" t="s">
        <v>10070</v>
      </c>
      <c r="M158" s="2741" t="s">
        <v>512</v>
      </c>
      <c r="N158" s="2741"/>
      <c r="O158" s="2741">
        <v>40</v>
      </c>
      <c r="P158" s="2741">
        <v>41.2</v>
      </c>
      <c r="Q158" s="2741">
        <v>51</v>
      </c>
      <c r="R158" s="2741">
        <v>52.53</v>
      </c>
      <c r="S158" s="2741">
        <v>52</v>
      </c>
      <c r="T158" s="2741">
        <v>53.56</v>
      </c>
      <c r="U158" s="4800">
        <v>53</v>
      </c>
      <c r="V158" s="2741">
        <v>54.59</v>
      </c>
      <c r="W158" s="2741">
        <v>54</v>
      </c>
      <c r="X158" s="2741">
        <v>55.62</v>
      </c>
      <c r="Y158" s="2741">
        <v>55</v>
      </c>
      <c r="Z158" s="2412">
        <v>563</v>
      </c>
      <c r="AA158" s="2741"/>
      <c r="AB158" s="3951"/>
      <c r="AC158" s="3951"/>
      <c r="AD158" s="3951"/>
      <c r="AE158" s="3951"/>
      <c r="AF158" s="3951"/>
      <c r="AG158" s="3951"/>
      <c r="AH158" s="3951"/>
      <c r="AI158" s="3951"/>
      <c r="AJ158" s="3951"/>
      <c r="AK158" s="3951"/>
      <c r="AL158" s="3951"/>
      <c r="AM158" s="3951"/>
      <c r="AN158" s="3951"/>
      <c r="AO158" s="3951"/>
      <c r="AP158" s="3951"/>
      <c r="AQ158" s="3951"/>
      <c r="AR158" s="3951"/>
      <c r="AS158" s="3951"/>
      <c r="AT158" s="3951"/>
      <c r="AU158" s="3951"/>
      <c r="AV158" s="3951"/>
      <c r="AW158" s="3951"/>
      <c r="AX158" s="3951"/>
      <c r="AY158" s="3951"/>
      <c r="AZ158" s="3951"/>
      <c r="BA158" s="3951"/>
      <c r="BB158" s="3951"/>
      <c r="BC158" s="3951"/>
      <c r="BD158" s="3951"/>
      <c r="BE158" s="3951"/>
      <c r="BF158" s="3951"/>
      <c r="BG158" s="3951"/>
      <c r="BH158" s="3951"/>
      <c r="BI158" s="3951"/>
      <c r="BJ158" s="3951"/>
      <c r="BK158" s="3951"/>
      <c r="BL158" s="3951"/>
      <c r="BM158" s="3951"/>
      <c r="BN158" s="3951"/>
      <c r="BO158" s="3951"/>
      <c r="BP158" s="3951"/>
      <c r="BQ158" s="3951"/>
      <c r="BR158" s="3951"/>
      <c r="BS158" s="3951"/>
      <c r="BT158" s="2741" t="s">
        <v>3781</v>
      </c>
      <c r="BU158" s="3953" t="s">
        <v>3781</v>
      </c>
      <c r="BV158" s="3953">
        <v>1</v>
      </c>
      <c r="BW158" s="2408" t="s">
        <v>3781</v>
      </c>
      <c r="BX158" s="15854"/>
      <c r="BY158" s="2741"/>
      <c r="BZ158" s="2741"/>
      <c r="CA158" s="2741"/>
      <c r="CB158" s="2683"/>
      <c r="CC158" s="2683"/>
      <c r="CD158" s="2683"/>
      <c r="CE158" s="2683"/>
      <c r="CF158" s="4217"/>
      <c r="CG158" s="4217"/>
      <c r="CH158" s="4217"/>
      <c r="CI158" s="4217"/>
      <c r="CJ158" s="4217"/>
      <c r="CK158" s="4217"/>
      <c r="CL158" s="4217"/>
      <c r="CM158" s="4217"/>
      <c r="CN158" s="4217"/>
      <c r="CO158" s="4217"/>
      <c r="CP158" s="4217"/>
      <c r="CQ158" s="4217"/>
      <c r="CR158" s="4217"/>
      <c r="CS158" s="4803"/>
      <c r="CT158" s="4217"/>
      <c r="CU158" s="4217"/>
      <c r="CV158" s="4217"/>
      <c r="CW158" s="4217"/>
      <c r="CX158" s="4217"/>
      <c r="CY158" s="4217"/>
      <c r="CZ158" s="4217"/>
      <c r="DA158" s="4217"/>
      <c r="DB158" s="4217"/>
      <c r="DC158" s="4217"/>
      <c r="DD158" s="4217"/>
      <c r="DE158" s="4217"/>
      <c r="DF158" s="4217"/>
      <c r="DG158" s="4217"/>
      <c r="DH158" s="4217"/>
      <c r="DI158" s="4217"/>
      <c r="DJ158" s="4217"/>
      <c r="DK158" s="4217"/>
      <c r="DL158" s="4217"/>
      <c r="DM158" s="4217"/>
      <c r="DN158" s="4217"/>
      <c r="DO158" s="4839"/>
      <c r="DQ158" s="4972"/>
      <c r="DR158" s="3951"/>
      <c r="DS158" s="3951"/>
      <c r="DT158" s="3951"/>
      <c r="DU158" s="3951"/>
      <c r="DV158" s="3951"/>
      <c r="DW158" s="3951"/>
      <c r="DX158" s="3951"/>
      <c r="DY158" s="3951"/>
      <c r="DZ158" s="3951"/>
      <c r="EA158" s="3951"/>
      <c r="EB158" s="3951"/>
      <c r="EC158" s="3951"/>
      <c r="ED158" s="3951"/>
      <c r="EE158" s="3951"/>
      <c r="EF158" s="3951"/>
      <c r="EG158" s="3951"/>
      <c r="EH158" s="3951"/>
      <c r="EI158" s="3951"/>
      <c r="EJ158" s="3951"/>
      <c r="EK158" s="3951"/>
      <c r="EL158" s="3951"/>
      <c r="EM158" s="3951"/>
      <c r="EN158" s="3951"/>
      <c r="EO158" s="3951"/>
      <c r="EP158" s="3951"/>
      <c r="EQ158" s="3951"/>
      <c r="ER158" s="3951"/>
      <c r="ES158" s="3951"/>
      <c r="ET158" s="3951"/>
      <c r="EU158" s="3951"/>
      <c r="EV158" s="3951"/>
      <c r="EW158" s="3951"/>
      <c r="EX158" s="3951"/>
      <c r="EY158" s="3951"/>
      <c r="EZ158" s="3951"/>
      <c r="FA158" s="3951"/>
      <c r="FB158" s="3951"/>
      <c r="FC158" s="3951"/>
      <c r="FD158" s="3951"/>
      <c r="FE158" s="3951"/>
      <c r="FF158" s="3951"/>
      <c r="FG158" s="3951"/>
      <c r="FH158" s="3951"/>
      <c r="FI158" s="3951"/>
      <c r="FJ158" s="2061"/>
    </row>
    <row r="159" spans="1:166" s="1791" customFormat="1" ht="15" customHeight="1">
      <c r="A159" s="15977"/>
      <c r="B159" s="15980"/>
      <c r="C159" s="15980"/>
      <c r="D159" s="4655" t="s">
        <v>8006</v>
      </c>
      <c r="E159" s="2741" t="s">
        <v>5033</v>
      </c>
      <c r="F159" s="2741" t="s">
        <v>914</v>
      </c>
      <c r="G159" s="2741">
        <v>0</v>
      </c>
      <c r="H159" s="2741">
        <v>5</v>
      </c>
      <c r="I159" s="2741">
        <v>5</v>
      </c>
      <c r="J159" s="2741">
        <v>5</v>
      </c>
      <c r="K159" s="2741" t="s">
        <v>912</v>
      </c>
      <c r="L159" s="2741" t="s">
        <v>10070</v>
      </c>
      <c r="M159" s="2741" t="s">
        <v>512</v>
      </c>
      <c r="N159" s="2741"/>
      <c r="O159" s="2741">
        <v>40</v>
      </c>
      <c r="P159" s="2741">
        <v>41</v>
      </c>
      <c r="Q159" s="2741">
        <v>42</v>
      </c>
      <c r="R159" s="2741">
        <v>44</v>
      </c>
      <c r="S159" s="2741">
        <v>45</v>
      </c>
      <c r="T159" s="2741">
        <v>46</v>
      </c>
      <c r="U159" s="4800">
        <v>48</v>
      </c>
      <c r="V159" s="2741">
        <v>49</v>
      </c>
      <c r="W159" s="2741">
        <v>51</v>
      </c>
      <c r="X159" s="2741">
        <v>52</v>
      </c>
      <c r="Y159" s="2741">
        <v>54</v>
      </c>
      <c r="Z159" s="2412">
        <v>512</v>
      </c>
      <c r="AA159" s="2741"/>
      <c r="AB159" s="3951"/>
      <c r="AC159" s="3951"/>
      <c r="AD159" s="3951"/>
      <c r="AE159" s="3951"/>
      <c r="AF159" s="3951"/>
      <c r="AG159" s="3951"/>
      <c r="AH159" s="3951"/>
      <c r="AI159" s="3951"/>
      <c r="AJ159" s="3951"/>
      <c r="AK159" s="3951"/>
      <c r="AL159" s="3951"/>
      <c r="AM159" s="3951"/>
      <c r="AN159" s="3951"/>
      <c r="AO159" s="3951"/>
      <c r="AP159" s="3951"/>
      <c r="AQ159" s="3951"/>
      <c r="AR159" s="3951"/>
      <c r="AS159" s="3951"/>
      <c r="AT159" s="3951"/>
      <c r="AU159" s="3951"/>
      <c r="AV159" s="3951"/>
      <c r="AW159" s="3951"/>
      <c r="AX159" s="3951"/>
      <c r="AY159" s="3951"/>
      <c r="AZ159" s="3951"/>
      <c r="BA159" s="3951"/>
      <c r="BB159" s="3951"/>
      <c r="BC159" s="3951"/>
      <c r="BD159" s="3951"/>
      <c r="BE159" s="3951"/>
      <c r="BF159" s="3951"/>
      <c r="BG159" s="3951"/>
      <c r="BH159" s="3951"/>
      <c r="BI159" s="3951"/>
      <c r="BJ159" s="3951"/>
      <c r="BK159" s="3951"/>
      <c r="BL159" s="3951"/>
      <c r="BM159" s="3951"/>
      <c r="BN159" s="3951"/>
      <c r="BO159" s="3951"/>
      <c r="BP159" s="3951"/>
      <c r="BQ159" s="3951"/>
      <c r="BR159" s="3951"/>
      <c r="BS159" s="3951"/>
      <c r="BT159" s="2741">
        <v>5</v>
      </c>
      <c r="BU159" s="3953">
        <v>5</v>
      </c>
      <c r="BV159" s="2741">
        <v>5</v>
      </c>
      <c r="BW159" s="2408">
        <f t="shared" si="10"/>
        <v>1</v>
      </c>
      <c r="BX159" s="15854"/>
      <c r="BY159" s="2741"/>
      <c r="BZ159" s="2741"/>
      <c r="CA159" s="2741"/>
      <c r="CB159" s="2683"/>
      <c r="CC159" s="2683"/>
      <c r="CD159" s="2683"/>
      <c r="CE159" s="2683"/>
      <c r="CF159" s="4217"/>
      <c r="CG159" s="4217"/>
      <c r="CH159" s="4217"/>
      <c r="CI159" s="4217"/>
      <c r="CJ159" s="4217"/>
      <c r="CK159" s="4217"/>
      <c r="CL159" s="4217"/>
      <c r="CM159" s="4217"/>
      <c r="CN159" s="4217"/>
      <c r="CO159" s="4217"/>
      <c r="CP159" s="4217"/>
      <c r="CQ159" s="4217"/>
      <c r="CR159" s="4217"/>
      <c r="CS159" s="4803"/>
      <c r="CT159" s="4217"/>
      <c r="CU159" s="4217"/>
      <c r="CV159" s="4217"/>
      <c r="CW159" s="4217"/>
      <c r="CX159" s="4217"/>
      <c r="CY159" s="4217"/>
      <c r="CZ159" s="4217"/>
      <c r="DA159" s="4217"/>
      <c r="DB159" s="4217"/>
      <c r="DC159" s="4217"/>
      <c r="DD159" s="4217"/>
      <c r="DE159" s="4217"/>
      <c r="DF159" s="4217"/>
      <c r="DG159" s="4217"/>
      <c r="DH159" s="4217"/>
      <c r="DI159" s="4217"/>
      <c r="DJ159" s="4217"/>
      <c r="DK159" s="4217"/>
      <c r="DL159" s="4217"/>
      <c r="DM159" s="4217"/>
      <c r="DN159" s="4217"/>
      <c r="DO159" s="4839"/>
      <c r="DQ159" s="4972"/>
      <c r="DR159" s="3951"/>
      <c r="DS159" s="3951"/>
      <c r="DT159" s="3951"/>
      <c r="DU159" s="3951"/>
      <c r="DV159" s="3951"/>
      <c r="DW159" s="3951"/>
      <c r="DX159" s="3951"/>
      <c r="DY159" s="3951"/>
      <c r="DZ159" s="3951"/>
      <c r="EA159" s="3951"/>
      <c r="EB159" s="3951"/>
      <c r="EC159" s="3951"/>
      <c r="ED159" s="3951"/>
      <c r="EE159" s="3951"/>
      <c r="EF159" s="3951"/>
      <c r="EG159" s="3951"/>
      <c r="EH159" s="3951"/>
      <c r="EI159" s="3951"/>
      <c r="EJ159" s="3951"/>
      <c r="EK159" s="3951"/>
      <c r="EL159" s="3951"/>
      <c r="EM159" s="3951"/>
      <c r="EN159" s="3951"/>
      <c r="EO159" s="3951"/>
      <c r="EP159" s="3951"/>
      <c r="EQ159" s="3951"/>
      <c r="ER159" s="3951"/>
      <c r="ES159" s="3951"/>
      <c r="ET159" s="3951"/>
      <c r="EU159" s="3951"/>
      <c r="EV159" s="3951"/>
      <c r="EW159" s="3951"/>
      <c r="EX159" s="3951"/>
      <c r="EY159" s="3951"/>
      <c r="EZ159" s="3951"/>
      <c r="FA159" s="3951"/>
      <c r="FB159" s="3951"/>
      <c r="FC159" s="3951"/>
      <c r="FD159" s="3951"/>
      <c r="FE159" s="3951"/>
      <c r="FF159" s="3951"/>
      <c r="FG159" s="3951"/>
      <c r="FH159" s="3951"/>
      <c r="FI159" s="3951"/>
      <c r="FJ159" s="2061"/>
    </row>
    <row r="160" spans="1:166" s="1791" customFormat="1" ht="15" customHeight="1">
      <c r="A160" s="15977"/>
      <c r="B160" s="15980"/>
      <c r="C160" s="15980" t="s">
        <v>915</v>
      </c>
      <c r="D160" s="4655" t="s">
        <v>8007</v>
      </c>
      <c r="E160" s="2741" t="s">
        <v>5034</v>
      </c>
      <c r="F160" s="2741" t="s">
        <v>916</v>
      </c>
      <c r="G160" s="2741">
        <v>0</v>
      </c>
      <c r="H160" s="4656">
        <v>0.2</v>
      </c>
      <c r="I160" s="4656">
        <v>0.8</v>
      </c>
      <c r="J160" s="4656">
        <v>1</v>
      </c>
      <c r="K160" s="2741" t="s">
        <v>917</v>
      </c>
      <c r="L160" s="2741" t="s">
        <v>4337</v>
      </c>
      <c r="M160" s="2741" t="s">
        <v>918</v>
      </c>
      <c r="N160" s="2741"/>
      <c r="O160" s="2741">
        <v>20</v>
      </c>
      <c r="P160" s="2741">
        <v>21</v>
      </c>
      <c r="Q160" s="2741">
        <v>21</v>
      </c>
      <c r="R160" s="2741">
        <v>22</v>
      </c>
      <c r="S160" s="2741">
        <v>23</v>
      </c>
      <c r="T160" s="2741">
        <v>23</v>
      </c>
      <c r="U160" s="4800">
        <v>24</v>
      </c>
      <c r="V160" s="2741">
        <v>25</v>
      </c>
      <c r="W160" s="2741">
        <v>25</v>
      </c>
      <c r="X160" s="2741">
        <v>26</v>
      </c>
      <c r="Y160" s="2741">
        <v>27</v>
      </c>
      <c r="Z160" s="2412">
        <v>257</v>
      </c>
      <c r="AA160" s="2741"/>
      <c r="AB160" s="4657">
        <v>1</v>
      </c>
      <c r="AC160" s="4244" t="s">
        <v>3737</v>
      </c>
      <c r="AD160" s="4663" t="s">
        <v>3738</v>
      </c>
      <c r="AE160" s="3951"/>
      <c r="AF160" s="3951"/>
      <c r="AG160" s="3951" t="s">
        <v>2943</v>
      </c>
      <c r="AH160" s="3951"/>
      <c r="AI160" s="3951"/>
      <c r="AJ160" s="3951"/>
      <c r="AK160" s="3951"/>
      <c r="AL160" s="3951"/>
      <c r="AM160" s="3951"/>
      <c r="AN160" s="3951"/>
      <c r="AO160" s="3951"/>
      <c r="AP160" s="3951"/>
      <c r="AQ160" s="3951"/>
      <c r="AR160" s="3951"/>
      <c r="AS160" s="3951"/>
      <c r="AT160" s="3951"/>
      <c r="AU160" s="3951"/>
      <c r="AV160" s="3951"/>
      <c r="AW160" s="3951"/>
      <c r="AX160" s="3951"/>
      <c r="AY160" s="3951"/>
      <c r="AZ160" s="3951"/>
      <c r="BA160" s="3951"/>
      <c r="BB160" s="3951"/>
      <c r="BC160" s="3951"/>
      <c r="BD160" s="3951"/>
      <c r="BE160" s="3951"/>
      <c r="BF160" s="3951"/>
      <c r="BG160" s="3951"/>
      <c r="BH160" s="3951"/>
      <c r="BI160" s="3951"/>
      <c r="BJ160" s="3951"/>
      <c r="BK160" s="3951"/>
      <c r="BL160" s="3951"/>
      <c r="BM160" s="3951"/>
      <c r="BN160" s="3951"/>
      <c r="BO160" s="3951"/>
      <c r="BP160" s="3951"/>
      <c r="BQ160" s="3951"/>
      <c r="BR160" s="3951"/>
      <c r="BS160" s="3951"/>
      <c r="BT160" s="4801">
        <v>1</v>
      </c>
      <c r="BU160" s="4213">
        <v>1</v>
      </c>
      <c r="BV160" s="4656">
        <v>1</v>
      </c>
      <c r="BW160" s="2408">
        <f t="shared" si="10"/>
        <v>1</v>
      </c>
      <c r="BX160" s="15854"/>
      <c r="BY160" s="4816" t="s">
        <v>9038</v>
      </c>
      <c r="BZ160" s="4816" t="s">
        <v>9039</v>
      </c>
      <c r="CA160" s="4816" t="s">
        <v>9040</v>
      </c>
      <c r="CB160" s="3955">
        <v>0</v>
      </c>
      <c r="CC160" s="3955"/>
      <c r="CD160" s="3955"/>
      <c r="CE160" s="3955"/>
      <c r="CF160" s="3956"/>
      <c r="CG160" s="3956"/>
      <c r="CH160" s="3956"/>
      <c r="CI160" s="3956"/>
      <c r="CJ160" s="3956"/>
      <c r="CK160" s="3956"/>
      <c r="CL160" s="3956"/>
      <c r="CM160" s="3956"/>
      <c r="CN160" s="3956"/>
      <c r="CO160" s="3956"/>
      <c r="CP160" s="3956"/>
      <c r="CQ160" s="3956"/>
      <c r="CR160" s="3956"/>
      <c r="CS160" s="3974"/>
      <c r="CT160" s="3956"/>
      <c r="CU160" s="4217"/>
      <c r="CV160" s="4217"/>
      <c r="CW160" s="4217"/>
      <c r="CX160" s="4217"/>
      <c r="CY160" s="4217"/>
      <c r="CZ160" s="4217"/>
      <c r="DA160" s="4217"/>
      <c r="DB160" s="4217"/>
      <c r="DC160" s="4217"/>
      <c r="DD160" s="4217"/>
      <c r="DE160" s="4217"/>
      <c r="DF160" s="4217"/>
      <c r="DG160" s="4217"/>
      <c r="DH160" s="4217"/>
      <c r="DI160" s="4217"/>
      <c r="DJ160" s="4217"/>
      <c r="DK160" s="4217"/>
      <c r="DL160" s="4217"/>
      <c r="DM160" s="4217"/>
      <c r="DN160" s="4217"/>
      <c r="DO160" s="4839"/>
      <c r="DQ160" s="4972"/>
      <c r="DR160" s="3951"/>
      <c r="DS160" s="3951"/>
      <c r="DT160" s="3951"/>
      <c r="DU160" s="3951"/>
      <c r="DV160" s="3951"/>
      <c r="DW160" s="3951"/>
      <c r="DX160" s="3951"/>
      <c r="DY160" s="3951"/>
      <c r="DZ160" s="3951"/>
      <c r="EA160" s="3951"/>
      <c r="EB160" s="3951"/>
      <c r="EC160" s="3951"/>
      <c r="ED160" s="3951"/>
      <c r="EE160" s="3951"/>
      <c r="EF160" s="3951"/>
      <c r="EG160" s="3951"/>
      <c r="EH160" s="3951"/>
      <c r="EI160" s="3951"/>
      <c r="EJ160" s="3951"/>
      <c r="EK160" s="3951"/>
      <c r="EL160" s="3951"/>
      <c r="EM160" s="3951"/>
      <c r="EN160" s="3951"/>
      <c r="EO160" s="3951"/>
      <c r="EP160" s="3951"/>
      <c r="EQ160" s="3951"/>
      <c r="ER160" s="3951"/>
      <c r="ES160" s="3951"/>
      <c r="ET160" s="3951"/>
      <c r="EU160" s="3951"/>
      <c r="EV160" s="3951"/>
      <c r="EW160" s="3951"/>
      <c r="EX160" s="3951"/>
      <c r="EY160" s="3951"/>
      <c r="EZ160" s="3951"/>
      <c r="FA160" s="3951"/>
      <c r="FB160" s="3951"/>
      <c r="FC160" s="3951"/>
      <c r="FD160" s="3951"/>
      <c r="FE160" s="3951"/>
      <c r="FF160" s="3951"/>
      <c r="FG160" s="3951"/>
      <c r="FH160" s="3951"/>
      <c r="FI160" s="3951"/>
      <c r="FJ160" s="2061"/>
    </row>
    <row r="161" spans="1:166" s="1791" customFormat="1" ht="15" customHeight="1">
      <c r="A161" s="15977"/>
      <c r="B161" s="15980"/>
      <c r="C161" s="15980"/>
      <c r="D161" s="4655" t="s">
        <v>8008</v>
      </c>
      <c r="E161" s="2741" t="s">
        <v>5035</v>
      </c>
      <c r="F161" s="2741" t="s">
        <v>682</v>
      </c>
      <c r="G161" s="2741">
        <v>0</v>
      </c>
      <c r="H161" s="2741">
        <v>1</v>
      </c>
      <c r="I161" s="2741">
        <v>5</v>
      </c>
      <c r="J161" s="2741">
        <v>10</v>
      </c>
      <c r="K161" s="2741" t="s">
        <v>919</v>
      </c>
      <c r="L161" s="2741" t="s">
        <v>10075</v>
      </c>
      <c r="M161" s="2741" t="s">
        <v>920</v>
      </c>
      <c r="N161" s="2741"/>
      <c r="O161" s="2741">
        <v>40</v>
      </c>
      <c r="P161" s="2741">
        <v>41</v>
      </c>
      <c r="Q161" s="2741">
        <v>42</v>
      </c>
      <c r="R161" s="2741">
        <v>44</v>
      </c>
      <c r="S161" s="2741">
        <v>45</v>
      </c>
      <c r="T161" s="2741">
        <v>46</v>
      </c>
      <c r="U161" s="4800">
        <v>48</v>
      </c>
      <c r="V161" s="2741">
        <v>49</v>
      </c>
      <c r="W161" s="2741">
        <v>51</v>
      </c>
      <c r="X161" s="2741">
        <v>52</v>
      </c>
      <c r="Y161" s="2741">
        <v>54</v>
      </c>
      <c r="Z161" s="2412">
        <v>512</v>
      </c>
      <c r="AA161" s="2741"/>
      <c r="AB161" s="3951"/>
      <c r="AC161" s="3951"/>
      <c r="AD161" s="3951"/>
      <c r="AE161" s="3951"/>
      <c r="AF161" s="3951"/>
      <c r="AG161" s="3951"/>
      <c r="AH161" s="3951"/>
      <c r="AI161" s="3951"/>
      <c r="AJ161" s="3951"/>
      <c r="AK161" s="3951"/>
      <c r="AL161" s="3951"/>
      <c r="AM161" s="3951"/>
      <c r="AN161" s="3951"/>
      <c r="AO161" s="3951"/>
      <c r="AP161" s="3951"/>
      <c r="AQ161" s="3951"/>
      <c r="AR161" s="3951"/>
      <c r="AS161" s="3951"/>
      <c r="AT161" s="3951"/>
      <c r="AU161" s="3951"/>
      <c r="AV161" s="3951"/>
      <c r="AW161" s="3951"/>
      <c r="AX161" s="3951"/>
      <c r="AY161" s="3951"/>
      <c r="AZ161" s="3951"/>
      <c r="BA161" s="3951"/>
      <c r="BB161" s="3951"/>
      <c r="BC161" s="3951"/>
      <c r="BD161" s="3951"/>
      <c r="BE161" s="3951"/>
      <c r="BF161" s="3951"/>
      <c r="BG161" s="3951"/>
      <c r="BH161" s="3951"/>
      <c r="BI161" s="3951"/>
      <c r="BJ161" s="3951"/>
      <c r="BK161" s="3951"/>
      <c r="BL161" s="3951"/>
      <c r="BM161" s="3951"/>
      <c r="BN161" s="3951"/>
      <c r="BO161" s="3951"/>
      <c r="BP161" s="3951"/>
      <c r="BQ161" s="3951"/>
      <c r="BR161" s="3951"/>
      <c r="BS161" s="3951"/>
      <c r="BT161" s="2741" t="s">
        <v>9884</v>
      </c>
      <c r="BU161" s="3953">
        <v>0</v>
      </c>
      <c r="BV161" s="2741">
        <v>2</v>
      </c>
      <c r="BW161" s="2408">
        <v>0</v>
      </c>
      <c r="BX161" s="15854"/>
      <c r="BY161" s="2741"/>
      <c r="BZ161" s="2741"/>
      <c r="CA161" s="2741"/>
      <c r="CB161" s="2683"/>
      <c r="CC161" s="2683"/>
      <c r="CD161" s="2683"/>
      <c r="CE161" s="2683"/>
      <c r="CF161" s="4217"/>
      <c r="CG161" s="4217"/>
      <c r="CH161" s="4217"/>
      <c r="CI161" s="4217"/>
      <c r="CJ161" s="4217"/>
      <c r="CK161" s="4217"/>
      <c r="CL161" s="4217"/>
      <c r="CM161" s="4217"/>
      <c r="CN161" s="4217"/>
      <c r="CO161" s="4217"/>
      <c r="CP161" s="4217"/>
      <c r="CQ161" s="4217"/>
      <c r="CR161" s="4217"/>
      <c r="CS161" s="4803"/>
      <c r="CT161" s="4217"/>
      <c r="CU161" s="4217"/>
      <c r="CV161" s="4217"/>
      <c r="CW161" s="4217"/>
      <c r="CX161" s="4217"/>
      <c r="CY161" s="4217"/>
      <c r="CZ161" s="4217"/>
      <c r="DA161" s="4217"/>
      <c r="DB161" s="4217"/>
      <c r="DC161" s="4217"/>
      <c r="DD161" s="4217"/>
      <c r="DE161" s="4217"/>
      <c r="DF161" s="4217"/>
      <c r="DG161" s="4217"/>
      <c r="DH161" s="4217"/>
      <c r="DI161" s="4217"/>
      <c r="DJ161" s="4217"/>
      <c r="DK161" s="4217"/>
      <c r="DL161" s="4217"/>
      <c r="DM161" s="4217"/>
      <c r="DN161" s="4217"/>
      <c r="DO161" s="4839"/>
      <c r="DQ161" s="4972"/>
      <c r="DR161" s="3951"/>
      <c r="DS161" s="3951"/>
      <c r="DT161" s="3951"/>
      <c r="DU161" s="3951"/>
      <c r="DV161" s="3951"/>
      <c r="DW161" s="3951"/>
      <c r="DX161" s="3951"/>
      <c r="DY161" s="3951"/>
      <c r="DZ161" s="3951"/>
      <c r="EA161" s="3951"/>
      <c r="EB161" s="3951"/>
      <c r="EC161" s="3951"/>
      <c r="ED161" s="3951"/>
      <c r="EE161" s="3951"/>
      <c r="EF161" s="3951"/>
      <c r="EG161" s="3951"/>
      <c r="EH161" s="3951"/>
      <c r="EI161" s="3951"/>
      <c r="EJ161" s="3951"/>
      <c r="EK161" s="3951"/>
      <c r="EL161" s="3951"/>
      <c r="EM161" s="3951"/>
      <c r="EN161" s="3951"/>
      <c r="EO161" s="3951"/>
      <c r="EP161" s="3951"/>
      <c r="EQ161" s="3951"/>
      <c r="ER161" s="3951"/>
      <c r="ES161" s="3951"/>
      <c r="ET161" s="3951"/>
      <c r="EU161" s="3951"/>
      <c r="EV161" s="3951"/>
      <c r="EW161" s="3951"/>
      <c r="EX161" s="3951"/>
      <c r="EY161" s="3951"/>
      <c r="EZ161" s="3951"/>
      <c r="FA161" s="3951"/>
      <c r="FB161" s="3951"/>
      <c r="FC161" s="3951"/>
      <c r="FD161" s="3951"/>
      <c r="FE161" s="3951"/>
      <c r="FF161" s="3951"/>
      <c r="FG161" s="3951"/>
      <c r="FH161" s="3951"/>
      <c r="FI161" s="3951"/>
      <c r="FJ161" s="2061"/>
    </row>
    <row r="162" spans="1:166" s="1791" customFormat="1" ht="15" customHeight="1">
      <c r="A162" s="15977"/>
      <c r="B162" s="15980"/>
      <c r="C162" s="15980"/>
      <c r="D162" s="4655" t="s">
        <v>8009</v>
      </c>
      <c r="E162" s="2741" t="s">
        <v>5036</v>
      </c>
      <c r="F162" s="2741" t="s">
        <v>921</v>
      </c>
      <c r="G162" s="2741">
        <v>0</v>
      </c>
      <c r="H162" s="2741">
        <v>1</v>
      </c>
      <c r="I162" s="2741">
        <v>1</v>
      </c>
      <c r="J162" s="2741">
        <v>1</v>
      </c>
      <c r="K162" s="2741" t="s">
        <v>922</v>
      </c>
      <c r="L162" s="2741" t="s">
        <v>4337</v>
      </c>
      <c r="M162" s="2741" t="s">
        <v>918</v>
      </c>
      <c r="N162" s="2741"/>
      <c r="O162" s="2741">
        <v>35</v>
      </c>
      <c r="P162" s="2741">
        <v>36</v>
      </c>
      <c r="Q162" s="2741">
        <v>37</v>
      </c>
      <c r="R162" s="2741">
        <v>38</v>
      </c>
      <c r="S162" s="2741">
        <v>39</v>
      </c>
      <c r="T162" s="2741">
        <v>41</v>
      </c>
      <c r="U162" s="4800">
        <v>42</v>
      </c>
      <c r="V162" s="2741">
        <v>43</v>
      </c>
      <c r="W162" s="2741">
        <v>44</v>
      </c>
      <c r="X162" s="2741">
        <v>46</v>
      </c>
      <c r="Y162" s="2741">
        <v>47</v>
      </c>
      <c r="Z162" s="2412">
        <v>448</v>
      </c>
      <c r="AA162" s="2741"/>
      <c r="AB162" s="4243">
        <v>1</v>
      </c>
      <c r="AC162" s="4244" t="s">
        <v>3739</v>
      </c>
      <c r="AD162" s="4663" t="s">
        <v>3740</v>
      </c>
      <c r="AE162" s="3951"/>
      <c r="AF162" s="3951"/>
      <c r="AG162" s="3951" t="s">
        <v>2943</v>
      </c>
      <c r="AH162" s="3951"/>
      <c r="AI162" s="3951"/>
      <c r="AJ162" s="3951"/>
      <c r="AK162" s="3951"/>
      <c r="AL162" s="3951"/>
      <c r="AM162" s="3951"/>
      <c r="AN162" s="3951"/>
      <c r="AO162" s="3951"/>
      <c r="AP162" s="3951"/>
      <c r="AQ162" s="3951"/>
      <c r="AR162" s="3951"/>
      <c r="AS162" s="3951"/>
      <c r="AT162" s="3951"/>
      <c r="AU162" s="3951"/>
      <c r="AV162" s="3951"/>
      <c r="AW162" s="3951"/>
      <c r="AX162" s="3951"/>
      <c r="AY162" s="3951"/>
      <c r="AZ162" s="3951"/>
      <c r="BA162" s="3951"/>
      <c r="BB162" s="3951"/>
      <c r="BC162" s="3951"/>
      <c r="BD162" s="3951"/>
      <c r="BE162" s="3951"/>
      <c r="BF162" s="3951"/>
      <c r="BG162" s="3951"/>
      <c r="BH162" s="3951"/>
      <c r="BI162" s="3951"/>
      <c r="BJ162" s="3951"/>
      <c r="BK162" s="3951"/>
      <c r="BL162" s="3951"/>
      <c r="BM162" s="3951"/>
      <c r="BN162" s="3951"/>
      <c r="BO162" s="3951"/>
      <c r="BP162" s="3951"/>
      <c r="BQ162" s="3951"/>
      <c r="BR162" s="3951"/>
      <c r="BS162" s="3951"/>
      <c r="BT162" s="4212">
        <v>1</v>
      </c>
      <c r="BU162" s="3953">
        <v>1</v>
      </c>
      <c r="BV162" s="2741">
        <v>1</v>
      </c>
      <c r="BW162" s="2408">
        <f t="shared" ref="BW162:BW165" si="11">BV162/BU162</f>
        <v>1</v>
      </c>
      <c r="BX162" s="15854"/>
      <c r="BY162" s="4802" t="s">
        <v>9041</v>
      </c>
      <c r="BZ162" s="4802" t="s">
        <v>3537</v>
      </c>
      <c r="CA162" s="4802"/>
      <c r="CB162" s="3955">
        <v>10037126</v>
      </c>
      <c r="CC162" s="3955">
        <v>10037126</v>
      </c>
      <c r="CD162" s="3955"/>
      <c r="CE162" s="3955"/>
      <c r="CF162" s="3956">
        <v>1810</v>
      </c>
      <c r="CG162" s="3956">
        <v>815</v>
      </c>
      <c r="CH162" s="3956">
        <v>1002</v>
      </c>
      <c r="CI162" s="3956">
        <v>1072</v>
      </c>
      <c r="CJ162" s="3956">
        <v>785</v>
      </c>
      <c r="CK162" s="3956">
        <v>15</v>
      </c>
      <c r="CL162" s="3956">
        <v>122</v>
      </c>
      <c r="CM162" s="3956">
        <v>481</v>
      </c>
      <c r="CN162" s="3956">
        <v>521</v>
      </c>
      <c r="CO162" s="3956">
        <v>361</v>
      </c>
      <c r="CP162" s="3956">
        <v>253</v>
      </c>
      <c r="CQ162" s="3956">
        <v>72</v>
      </c>
      <c r="CR162" s="3956">
        <v>1532</v>
      </c>
      <c r="CS162" s="3974">
        <v>19</v>
      </c>
      <c r="CT162" s="3956">
        <v>87</v>
      </c>
      <c r="CU162" s="3956">
        <v>24</v>
      </c>
      <c r="CV162" s="3956">
        <v>147</v>
      </c>
      <c r="CW162" s="3956">
        <v>3</v>
      </c>
      <c r="CX162" s="3956">
        <v>1</v>
      </c>
      <c r="CY162" s="3956">
        <v>11</v>
      </c>
      <c r="CZ162" s="3956">
        <v>1676</v>
      </c>
      <c r="DA162" s="3956">
        <v>77</v>
      </c>
      <c r="DB162" s="3956">
        <v>17</v>
      </c>
      <c r="DC162" s="3956"/>
      <c r="DD162" s="3956"/>
      <c r="DE162" s="3956"/>
      <c r="DF162" s="3956"/>
      <c r="DG162" s="3956"/>
      <c r="DH162" s="3956"/>
      <c r="DI162" s="3956"/>
      <c r="DJ162" s="3956"/>
      <c r="DK162" s="4217"/>
      <c r="DL162" s="4217"/>
      <c r="DM162" s="4217"/>
      <c r="DN162" s="4217"/>
      <c r="DO162" s="4839"/>
      <c r="DQ162" s="4972"/>
      <c r="DR162" s="3951"/>
      <c r="DS162" s="3951"/>
      <c r="DT162" s="3951"/>
      <c r="DU162" s="3951"/>
      <c r="DV162" s="3951"/>
      <c r="DW162" s="3951"/>
      <c r="DX162" s="3951"/>
      <c r="DY162" s="3951"/>
      <c r="DZ162" s="3951"/>
      <c r="EA162" s="3951"/>
      <c r="EB162" s="3951"/>
      <c r="EC162" s="3951"/>
      <c r="ED162" s="3951"/>
      <c r="EE162" s="3951"/>
      <c r="EF162" s="3951"/>
      <c r="EG162" s="3951"/>
      <c r="EH162" s="3951"/>
      <c r="EI162" s="3951"/>
      <c r="EJ162" s="3951"/>
      <c r="EK162" s="3951"/>
      <c r="EL162" s="3951"/>
      <c r="EM162" s="3951"/>
      <c r="EN162" s="3951"/>
      <c r="EO162" s="3951"/>
      <c r="EP162" s="3951"/>
      <c r="EQ162" s="3951"/>
      <c r="ER162" s="3951"/>
      <c r="ES162" s="3951"/>
      <c r="ET162" s="3951"/>
      <c r="EU162" s="3951"/>
      <c r="EV162" s="3951"/>
      <c r="EW162" s="3951"/>
      <c r="EX162" s="3951"/>
      <c r="EY162" s="3951"/>
      <c r="EZ162" s="3951"/>
      <c r="FA162" s="3951"/>
      <c r="FB162" s="3951"/>
      <c r="FC162" s="3951"/>
      <c r="FD162" s="3951"/>
      <c r="FE162" s="3951"/>
      <c r="FF162" s="3951"/>
      <c r="FG162" s="3951"/>
      <c r="FH162" s="3951"/>
      <c r="FI162" s="3951"/>
      <c r="FJ162" s="2061"/>
    </row>
    <row r="163" spans="1:166" s="1791" customFormat="1" ht="15" customHeight="1">
      <c r="A163" s="15977"/>
      <c r="B163" s="15980"/>
      <c r="C163" s="15980"/>
      <c r="D163" s="15895" t="s">
        <v>8010</v>
      </c>
      <c r="E163" s="15897" t="s">
        <v>5037</v>
      </c>
      <c r="F163" s="15897" t="s">
        <v>923</v>
      </c>
      <c r="G163" s="15897">
        <v>0</v>
      </c>
      <c r="H163" s="15897">
        <v>1</v>
      </c>
      <c r="I163" s="15897">
        <v>5</v>
      </c>
      <c r="J163" s="15897">
        <v>20</v>
      </c>
      <c r="K163" s="15897" t="s">
        <v>924</v>
      </c>
      <c r="L163" s="2741" t="s">
        <v>2896</v>
      </c>
      <c r="M163" s="2741" t="s">
        <v>167</v>
      </c>
      <c r="N163" s="2741"/>
      <c r="O163" s="2741">
        <v>30</v>
      </c>
      <c r="P163" s="2741">
        <v>31</v>
      </c>
      <c r="Q163" s="2741">
        <v>32</v>
      </c>
      <c r="R163" s="2741">
        <v>33</v>
      </c>
      <c r="S163" s="2741">
        <v>34</v>
      </c>
      <c r="T163" s="2741">
        <v>35</v>
      </c>
      <c r="U163" s="4800">
        <v>36</v>
      </c>
      <c r="V163" s="2741">
        <v>37</v>
      </c>
      <c r="W163" s="2741">
        <v>38</v>
      </c>
      <c r="X163" s="2741">
        <v>39</v>
      </c>
      <c r="Y163" s="2741">
        <v>40</v>
      </c>
      <c r="Z163" s="2412">
        <v>385</v>
      </c>
      <c r="AA163" s="2741"/>
      <c r="AB163" s="4243"/>
      <c r="AC163" s="4244" t="s">
        <v>2940</v>
      </c>
      <c r="AD163" s="4663"/>
      <c r="AE163" s="3951"/>
      <c r="AF163" s="3951"/>
      <c r="AG163" s="3951"/>
      <c r="AH163" s="3951"/>
      <c r="AI163" s="3951"/>
      <c r="AJ163" s="3951"/>
      <c r="AK163" s="3951"/>
      <c r="AL163" s="3951"/>
      <c r="AM163" s="3951"/>
      <c r="AN163" s="3951"/>
      <c r="AO163" s="3951"/>
      <c r="AP163" s="3951"/>
      <c r="AQ163" s="3951"/>
      <c r="AR163" s="3951"/>
      <c r="AS163" s="3951"/>
      <c r="AT163" s="3951"/>
      <c r="AU163" s="3951"/>
      <c r="AV163" s="3951"/>
      <c r="AW163" s="3951"/>
      <c r="AX163" s="3951"/>
      <c r="AY163" s="3951"/>
      <c r="AZ163" s="3951"/>
      <c r="BA163" s="3951"/>
      <c r="BB163" s="3951"/>
      <c r="BC163" s="3951"/>
      <c r="BD163" s="3951"/>
      <c r="BE163" s="3951"/>
      <c r="BF163" s="3951"/>
      <c r="BG163" s="3951"/>
      <c r="BH163" s="3951"/>
      <c r="BI163" s="3951"/>
      <c r="BJ163" s="3951"/>
      <c r="BK163" s="3951"/>
      <c r="BL163" s="3951"/>
      <c r="BM163" s="3951"/>
      <c r="BN163" s="3951"/>
      <c r="BO163" s="3951"/>
      <c r="BP163" s="3951"/>
      <c r="BQ163" s="3951"/>
      <c r="BR163" s="3951"/>
      <c r="BS163" s="3951"/>
      <c r="BT163" s="4212" t="s">
        <v>9884</v>
      </c>
      <c r="BU163" s="3953">
        <v>10</v>
      </c>
      <c r="BV163" s="2741">
        <v>0</v>
      </c>
      <c r="BW163" s="15899">
        <v>0</v>
      </c>
      <c r="BX163" s="15854"/>
      <c r="BY163" s="4802"/>
      <c r="BZ163" s="4802"/>
      <c r="CA163" s="4802"/>
      <c r="CB163" s="3955"/>
      <c r="CC163" s="3955"/>
      <c r="CD163" s="3955"/>
      <c r="CE163" s="3955"/>
      <c r="CF163" s="3956"/>
      <c r="CG163" s="3956"/>
      <c r="CH163" s="3956"/>
      <c r="CI163" s="3956"/>
      <c r="CJ163" s="3956"/>
      <c r="CK163" s="3956"/>
      <c r="CL163" s="3956"/>
      <c r="CM163" s="3956"/>
      <c r="CN163" s="3956"/>
      <c r="CO163" s="3956"/>
      <c r="CP163" s="3956"/>
      <c r="CQ163" s="3956"/>
      <c r="CR163" s="3956"/>
      <c r="CS163" s="3974"/>
      <c r="CT163" s="3956"/>
      <c r="CU163" s="3956"/>
      <c r="CV163" s="3956"/>
      <c r="CW163" s="3956"/>
      <c r="CX163" s="3956"/>
      <c r="CY163" s="3956"/>
      <c r="CZ163" s="3956"/>
      <c r="DA163" s="3956"/>
      <c r="DB163" s="3956"/>
      <c r="DC163" s="3956"/>
      <c r="DD163" s="3956"/>
      <c r="DE163" s="3956"/>
      <c r="DF163" s="3956"/>
      <c r="DG163" s="3956"/>
      <c r="DH163" s="3956"/>
      <c r="DI163" s="3956"/>
      <c r="DJ163" s="3956"/>
      <c r="DK163" s="4217"/>
      <c r="DL163" s="4217"/>
      <c r="DM163" s="4217"/>
      <c r="DN163" s="4217"/>
      <c r="DO163" s="4839"/>
      <c r="DQ163" s="4972"/>
      <c r="DR163" s="3951"/>
      <c r="DS163" s="3951"/>
      <c r="DT163" s="3951"/>
      <c r="DU163" s="3951"/>
      <c r="DV163" s="3951"/>
      <c r="DW163" s="3951"/>
      <c r="DX163" s="3951"/>
      <c r="DY163" s="3951"/>
      <c r="DZ163" s="3951"/>
      <c r="EA163" s="3951"/>
      <c r="EB163" s="3951"/>
      <c r="EC163" s="3951"/>
      <c r="ED163" s="3951"/>
      <c r="EE163" s="3951"/>
      <c r="EF163" s="3951"/>
      <c r="EG163" s="3951"/>
      <c r="EH163" s="3951"/>
      <c r="EI163" s="3951"/>
      <c r="EJ163" s="3951"/>
      <c r="EK163" s="3951"/>
      <c r="EL163" s="3951"/>
      <c r="EM163" s="3951"/>
      <c r="EN163" s="3951"/>
      <c r="EO163" s="3951"/>
      <c r="EP163" s="3951"/>
      <c r="EQ163" s="3951"/>
      <c r="ER163" s="3951"/>
      <c r="ES163" s="3951"/>
      <c r="ET163" s="3951"/>
      <c r="EU163" s="3951"/>
      <c r="EV163" s="3951"/>
      <c r="EW163" s="3951"/>
      <c r="EX163" s="3951"/>
      <c r="EY163" s="3951"/>
      <c r="EZ163" s="3951"/>
      <c r="FA163" s="3951"/>
      <c r="FB163" s="3951"/>
      <c r="FC163" s="3951"/>
      <c r="FD163" s="3951"/>
      <c r="FE163" s="3951"/>
      <c r="FF163" s="3951"/>
      <c r="FG163" s="3951"/>
      <c r="FH163" s="3951"/>
      <c r="FI163" s="3951"/>
      <c r="FJ163" s="2061"/>
    </row>
    <row r="164" spans="1:166" s="1791" customFormat="1" ht="15" customHeight="1" thickBot="1">
      <c r="A164" s="15978"/>
      <c r="B164" s="15981"/>
      <c r="C164" s="15981"/>
      <c r="D164" s="15896"/>
      <c r="E164" s="15898"/>
      <c r="F164" s="15898"/>
      <c r="G164" s="15898"/>
      <c r="H164" s="15898"/>
      <c r="I164" s="15898"/>
      <c r="J164" s="15898"/>
      <c r="K164" s="15898"/>
      <c r="L164" s="381" t="s">
        <v>10194</v>
      </c>
      <c r="M164" s="4394"/>
      <c r="N164" s="381" t="s">
        <v>733</v>
      </c>
      <c r="O164" s="381"/>
      <c r="P164" s="381"/>
      <c r="Q164" s="381"/>
      <c r="R164" s="381"/>
      <c r="S164" s="381"/>
      <c r="T164" s="381"/>
      <c r="U164" s="4852"/>
      <c r="V164" s="381"/>
      <c r="W164" s="381"/>
      <c r="X164" s="381"/>
      <c r="Y164" s="381"/>
      <c r="Z164" s="1766"/>
      <c r="AA164" s="381"/>
      <c r="AB164" s="4853"/>
      <c r="AC164" s="4122"/>
      <c r="AD164" s="1888"/>
      <c r="AE164" s="1888"/>
      <c r="AF164" s="2698"/>
      <c r="AG164" s="2698"/>
      <c r="AH164" s="2698"/>
      <c r="AI164" s="1888"/>
      <c r="AJ164" s="1892"/>
      <c r="AK164" s="1892"/>
      <c r="AL164" s="1892"/>
      <c r="AM164" s="1892"/>
      <c r="AN164" s="1892"/>
      <c r="AO164" s="1892"/>
      <c r="AP164" s="1892"/>
      <c r="AQ164" s="1892"/>
      <c r="AR164" s="1892"/>
      <c r="AS164" s="1892"/>
      <c r="AT164" s="1892"/>
      <c r="AU164" s="1892"/>
      <c r="AV164" s="1892"/>
      <c r="AW164" s="1892"/>
      <c r="AX164" s="1892"/>
      <c r="AY164" s="1892"/>
      <c r="AZ164" s="1892"/>
      <c r="BA164" s="1892"/>
      <c r="BB164" s="1892"/>
      <c r="BC164" s="1892"/>
      <c r="BD164" s="1892"/>
      <c r="BE164" s="1892"/>
      <c r="BF164" s="1892"/>
      <c r="BG164" s="1892"/>
      <c r="BH164" s="1892"/>
      <c r="BI164" s="1892"/>
      <c r="BJ164" s="1892"/>
      <c r="BK164" s="1892"/>
      <c r="BL164" s="1892"/>
      <c r="BM164" s="1892"/>
      <c r="BN164" s="1892"/>
      <c r="BO164" s="1892"/>
      <c r="BP164" s="1892"/>
      <c r="BQ164" s="1892"/>
      <c r="BR164" s="1892"/>
      <c r="BS164" s="1892"/>
      <c r="BT164" s="381"/>
      <c r="BU164" s="1892"/>
      <c r="BV164" s="381"/>
      <c r="BW164" s="15900"/>
      <c r="BX164" s="15855"/>
      <c r="BY164" s="381"/>
      <c r="BZ164" s="381"/>
      <c r="CA164" s="381"/>
      <c r="CB164" s="4854"/>
      <c r="CC164" s="4854"/>
      <c r="CD164" s="4854"/>
      <c r="CE164" s="4854"/>
      <c r="CF164" s="4222"/>
      <c r="CG164" s="4222"/>
      <c r="CH164" s="4222"/>
      <c r="CI164" s="4222"/>
      <c r="CJ164" s="4222"/>
      <c r="CK164" s="4222"/>
      <c r="CL164" s="4222"/>
      <c r="CM164" s="4222"/>
      <c r="CN164" s="4222"/>
      <c r="CO164" s="4222"/>
      <c r="CP164" s="4222"/>
      <c r="CQ164" s="4222"/>
      <c r="CR164" s="4222"/>
      <c r="CS164" s="4855"/>
      <c r="CT164" s="4222"/>
      <c r="CU164" s="4222"/>
      <c r="CV164" s="4222"/>
      <c r="CW164" s="4222"/>
      <c r="CX164" s="4222"/>
      <c r="CY164" s="4222"/>
      <c r="CZ164" s="4222"/>
      <c r="DA164" s="4222"/>
      <c r="DB164" s="4222"/>
      <c r="DC164" s="4222"/>
      <c r="DD164" s="4222"/>
      <c r="DE164" s="4222"/>
      <c r="DF164" s="4222"/>
      <c r="DG164" s="4222"/>
      <c r="DH164" s="4222"/>
      <c r="DI164" s="4222"/>
      <c r="DJ164" s="4222"/>
      <c r="DK164" s="4222"/>
      <c r="DL164" s="4222"/>
      <c r="DM164" s="4222"/>
      <c r="DN164" s="4222"/>
      <c r="DO164" s="4856"/>
      <c r="DQ164" s="4973"/>
      <c r="DR164" s="1888"/>
      <c r="DS164" s="1888"/>
      <c r="DT164" s="1888"/>
      <c r="DU164" s="1888"/>
      <c r="DV164" s="1888"/>
      <c r="DW164" s="1888"/>
      <c r="DX164" s="1888"/>
      <c r="DY164" s="1888"/>
      <c r="DZ164" s="1888"/>
      <c r="EA164" s="1888"/>
      <c r="EB164" s="1888"/>
      <c r="EC164" s="1888"/>
      <c r="ED164" s="1888"/>
      <c r="EE164" s="1888"/>
      <c r="EF164" s="1888"/>
      <c r="EG164" s="1888"/>
      <c r="EH164" s="1888"/>
      <c r="EI164" s="1888"/>
      <c r="EJ164" s="1888"/>
      <c r="EK164" s="1888"/>
      <c r="EL164" s="1888"/>
      <c r="EM164" s="1888"/>
      <c r="EN164" s="1888"/>
      <c r="EO164" s="1888"/>
      <c r="EP164" s="1888"/>
      <c r="EQ164" s="1888"/>
      <c r="ER164" s="1888"/>
      <c r="ES164" s="1888"/>
      <c r="ET164" s="1888"/>
      <c r="EU164" s="1888"/>
      <c r="EV164" s="1888"/>
      <c r="EW164" s="1888"/>
      <c r="EX164" s="1888"/>
      <c r="EY164" s="1888"/>
      <c r="EZ164" s="1888"/>
      <c r="FA164" s="1888"/>
      <c r="FB164" s="1888"/>
      <c r="FC164" s="1888"/>
      <c r="FD164" s="1888"/>
      <c r="FE164" s="1888"/>
      <c r="FF164" s="1888"/>
      <c r="FG164" s="1888"/>
      <c r="FH164" s="1888"/>
      <c r="FI164" s="1888"/>
      <c r="FJ164" s="1890"/>
    </row>
    <row r="165" spans="1:166" s="1834" customFormat="1" ht="15" customHeight="1">
      <c r="A165" s="15967" t="s">
        <v>925</v>
      </c>
      <c r="B165" s="15970" t="s">
        <v>926</v>
      </c>
      <c r="C165" s="15572" t="s">
        <v>927</v>
      </c>
      <c r="D165" s="4123" t="s">
        <v>8011</v>
      </c>
      <c r="E165" s="4134" t="s">
        <v>5038</v>
      </c>
      <c r="F165" s="4134" t="s">
        <v>928</v>
      </c>
      <c r="G165" s="4134" t="s">
        <v>929</v>
      </c>
      <c r="H165" s="4134">
        <v>1</v>
      </c>
      <c r="I165" s="4134">
        <v>1</v>
      </c>
      <c r="J165" s="4168">
        <v>1</v>
      </c>
      <c r="K165" s="4134" t="s">
        <v>700</v>
      </c>
      <c r="L165" s="4134" t="s">
        <v>10063</v>
      </c>
      <c r="M165" s="4120" t="s">
        <v>724</v>
      </c>
      <c r="N165" s="4134" t="s">
        <v>10077</v>
      </c>
      <c r="O165" s="4120">
        <v>50</v>
      </c>
      <c r="P165" s="4120">
        <v>51.5</v>
      </c>
      <c r="Q165" s="4120">
        <v>51</v>
      </c>
      <c r="R165" s="4120">
        <v>52.53</v>
      </c>
      <c r="S165" s="4120">
        <v>52</v>
      </c>
      <c r="T165" s="4120">
        <v>53.56</v>
      </c>
      <c r="U165" s="4847">
        <v>53</v>
      </c>
      <c r="V165" s="4120">
        <v>54.59</v>
      </c>
      <c r="W165" s="4120">
        <v>54</v>
      </c>
      <c r="X165" s="4120">
        <v>55.62</v>
      </c>
      <c r="Y165" s="4120">
        <v>55</v>
      </c>
      <c r="Z165" s="2146">
        <v>583</v>
      </c>
      <c r="AA165" s="4120"/>
      <c r="AB165" s="4121">
        <v>1</v>
      </c>
      <c r="AC165" s="4670" t="s">
        <v>2995</v>
      </c>
      <c r="AD165" s="4670" t="s">
        <v>2996</v>
      </c>
      <c r="AE165" s="3856"/>
      <c r="AF165" s="4669">
        <f>+'[2]8. DISCAPACIDAD'!$O$26</f>
        <v>8258239.9090909082</v>
      </c>
      <c r="AG165" s="4669">
        <f>+'[2]8. DISCAPACIDAD'!$Q$27</f>
        <v>6307876.2727272725</v>
      </c>
      <c r="AH165" s="4669">
        <f>+'[2]8. DISCAPACIDAD'!$R$26</f>
        <v>1950363.6363636362</v>
      </c>
      <c r="AI165" s="3856"/>
      <c r="AJ165" s="4670" t="s">
        <v>2997</v>
      </c>
      <c r="AK165" s="3856"/>
      <c r="AL165" s="3856"/>
      <c r="AM165" s="3856"/>
      <c r="AN165" s="3856"/>
      <c r="AO165" s="3856"/>
      <c r="AP165" s="3856"/>
      <c r="AQ165" s="3856"/>
      <c r="AR165" s="3856"/>
      <c r="AS165" s="3856"/>
      <c r="AT165" s="3856"/>
      <c r="AU165" s="3856"/>
      <c r="AV165" s="3856"/>
      <c r="AW165" s="3856"/>
      <c r="AX165" s="3856"/>
      <c r="AY165" s="3856"/>
      <c r="AZ165" s="3856"/>
      <c r="BA165" s="3856"/>
      <c r="BB165" s="3856"/>
      <c r="BC165" s="3856"/>
      <c r="BD165" s="3856"/>
      <c r="BE165" s="3856"/>
      <c r="BF165" s="3856"/>
      <c r="BG165" s="3856"/>
      <c r="BH165" s="3856"/>
      <c r="BI165" s="3856"/>
      <c r="BJ165" s="3856"/>
      <c r="BK165" s="3856"/>
      <c r="BL165" s="3856"/>
      <c r="BM165" s="3856"/>
      <c r="BN165" s="3856"/>
      <c r="BO165" s="3856"/>
      <c r="BP165" s="3856"/>
      <c r="BQ165" s="3856"/>
      <c r="BR165" s="3856"/>
      <c r="BS165" s="3856"/>
      <c r="BT165" s="3218">
        <v>1</v>
      </c>
      <c r="BU165" s="3218">
        <v>1</v>
      </c>
      <c r="BV165" s="4134">
        <v>1</v>
      </c>
      <c r="BW165" s="4132">
        <f t="shared" si="11"/>
        <v>1</v>
      </c>
      <c r="BX165" s="16003">
        <f>AVERAGE(BW165:BW191)</f>
        <v>0.69090909090909092</v>
      </c>
      <c r="BY165" s="4670" t="s">
        <v>9899</v>
      </c>
      <c r="BZ165" s="4848" t="s">
        <v>9042</v>
      </c>
      <c r="CA165" s="4670" t="s">
        <v>9900</v>
      </c>
      <c r="CB165" s="4114">
        <f>CC165+CD165+CE165</f>
        <v>7211106.0954545457</v>
      </c>
      <c r="CC165" s="4849">
        <v>6430960.6409090906</v>
      </c>
      <c r="CD165" s="4849">
        <v>780145.45454545459</v>
      </c>
      <c r="CE165" s="4114">
        <v>0</v>
      </c>
      <c r="CF165" s="1717"/>
      <c r="CG165" s="1717"/>
      <c r="CH165" s="1717"/>
      <c r="CI165" s="1717"/>
      <c r="CJ165" s="1717"/>
      <c r="CK165" s="1717"/>
      <c r="CL165" s="1717"/>
      <c r="CM165" s="1717"/>
      <c r="CN165" s="1717"/>
      <c r="CO165" s="1717"/>
      <c r="CP165" s="1717"/>
      <c r="CQ165" s="1717"/>
      <c r="CR165" s="1717"/>
      <c r="CS165" s="4850"/>
      <c r="CT165" s="1717"/>
      <c r="CU165" s="1717"/>
      <c r="CV165" s="1717"/>
      <c r="CW165" s="1717"/>
      <c r="CX165" s="1717"/>
      <c r="CY165" s="1717"/>
      <c r="CZ165" s="1717"/>
      <c r="DA165" s="1717"/>
      <c r="DB165" s="1717"/>
      <c r="DC165" s="1717"/>
      <c r="DD165" s="1717"/>
      <c r="DE165" s="1717"/>
      <c r="DF165" s="1717"/>
      <c r="DG165" s="1717"/>
      <c r="DH165" s="1717"/>
      <c r="DI165" s="1717"/>
      <c r="DJ165" s="1717"/>
      <c r="DK165" s="1717"/>
      <c r="DL165" s="1717"/>
      <c r="DM165" s="1717"/>
      <c r="DN165" s="1717"/>
      <c r="DO165" s="4851"/>
      <c r="DQ165" s="3855"/>
      <c r="DR165" s="3856"/>
      <c r="DS165" s="3856"/>
      <c r="DT165" s="3856"/>
      <c r="DU165" s="3856"/>
      <c r="DV165" s="3856"/>
      <c r="DW165" s="3856"/>
      <c r="DX165" s="3856"/>
      <c r="DY165" s="3856"/>
      <c r="DZ165" s="3856"/>
      <c r="EA165" s="3856"/>
      <c r="EB165" s="3856"/>
      <c r="EC165" s="3856"/>
      <c r="ED165" s="3856"/>
      <c r="EE165" s="3856"/>
      <c r="EF165" s="3856"/>
      <c r="EG165" s="3856"/>
      <c r="EH165" s="3856"/>
      <c r="EI165" s="3856"/>
      <c r="EJ165" s="3856"/>
      <c r="EK165" s="3856"/>
      <c r="EL165" s="3856"/>
      <c r="EM165" s="3856"/>
      <c r="EN165" s="3856"/>
      <c r="EO165" s="3856"/>
      <c r="EP165" s="3856"/>
      <c r="EQ165" s="3856"/>
      <c r="ER165" s="3856"/>
      <c r="ES165" s="3856"/>
      <c r="ET165" s="3856"/>
      <c r="EU165" s="3856"/>
      <c r="EV165" s="3856"/>
      <c r="EW165" s="3856"/>
      <c r="EX165" s="3856"/>
      <c r="EY165" s="3856"/>
      <c r="EZ165" s="3856"/>
      <c r="FA165" s="3856"/>
      <c r="FB165" s="3856"/>
      <c r="FC165" s="3856"/>
      <c r="FD165" s="3856"/>
      <c r="FE165" s="3856"/>
      <c r="FF165" s="3856"/>
      <c r="FG165" s="3856"/>
      <c r="FH165" s="3856"/>
      <c r="FI165" s="3856"/>
      <c r="FJ165" s="3857"/>
    </row>
    <row r="166" spans="1:166" s="1834" customFormat="1" ht="15" customHeight="1">
      <c r="A166" s="15968"/>
      <c r="B166" s="15971"/>
      <c r="C166" s="15617"/>
      <c r="D166" s="15617" t="s">
        <v>8012</v>
      </c>
      <c r="E166" s="15708" t="s">
        <v>5039</v>
      </c>
      <c r="F166" s="15708" t="s">
        <v>930</v>
      </c>
      <c r="G166" s="15708" t="s">
        <v>542</v>
      </c>
      <c r="H166" s="15893">
        <v>0.01</v>
      </c>
      <c r="I166" s="15893">
        <v>0.1</v>
      </c>
      <c r="J166" s="15894">
        <v>0.3</v>
      </c>
      <c r="K166" s="15708" t="s">
        <v>792</v>
      </c>
      <c r="L166" s="4135" t="s">
        <v>4305</v>
      </c>
      <c r="M166" s="2725" t="s">
        <v>885</v>
      </c>
      <c r="N166" s="4135"/>
      <c r="O166" s="3221">
        <v>25</v>
      </c>
      <c r="P166" s="2725">
        <v>26</v>
      </c>
      <c r="Q166" s="2725">
        <v>51</v>
      </c>
      <c r="R166" s="2725">
        <v>53</v>
      </c>
      <c r="S166" s="2725">
        <v>52</v>
      </c>
      <c r="T166" s="2725">
        <v>54</v>
      </c>
      <c r="U166" s="4781">
        <v>53</v>
      </c>
      <c r="V166" s="2725">
        <v>55</v>
      </c>
      <c r="W166" s="2725">
        <v>54</v>
      </c>
      <c r="X166" s="2725">
        <v>56</v>
      </c>
      <c r="Y166" s="2725">
        <v>55</v>
      </c>
      <c r="Z166" s="4149">
        <v>532</v>
      </c>
      <c r="AA166" s="3221"/>
      <c r="AB166" s="4665">
        <v>0.6</v>
      </c>
      <c r="AC166" s="2725" t="s">
        <v>2950</v>
      </c>
      <c r="AD166" s="4135"/>
      <c r="AE166" s="4135"/>
      <c r="AF166" s="4135"/>
      <c r="AG166" s="3224"/>
      <c r="AH166" s="3224"/>
      <c r="AI166" s="3224"/>
      <c r="AJ166" s="3224"/>
      <c r="AK166" s="3224"/>
      <c r="AL166" s="3224"/>
      <c r="AM166" s="3224"/>
      <c r="AN166" s="3224"/>
      <c r="AO166" s="3224"/>
      <c r="AP166" s="3224"/>
      <c r="AQ166" s="3224"/>
      <c r="AR166" s="3224"/>
      <c r="AS166" s="3224"/>
      <c r="AT166" s="3224"/>
      <c r="AU166" s="3224"/>
      <c r="AV166" s="3224"/>
      <c r="AW166" s="3224"/>
      <c r="AX166" s="3224"/>
      <c r="AY166" s="3224"/>
      <c r="AZ166" s="3224"/>
      <c r="BA166" s="3224"/>
      <c r="BB166" s="3224"/>
      <c r="BC166" s="3224"/>
      <c r="BD166" s="3224"/>
      <c r="BE166" s="3224"/>
      <c r="BF166" s="3224"/>
      <c r="BG166" s="3224"/>
      <c r="BH166" s="3224"/>
      <c r="BI166" s="3224"/>
      <c r="BJ166" s="3224"/>
      <c r="BK166" s="3224"/>
      <c r="BL166" s="3224"/>
      <c r="BM166" s="3224"/>
      <c r="BN166" s="3224"/>
      <c r="BO166" s="3224"/>
      <c r="BP166" s="3224"/>
      <c r="BQ166" s="3224"/>
      <c r="BR166" s="3224"/>
      <c r="BS166" s="3224"/>
      <c r="BT166" s="4654">
        <v>0.1</v>
      </c>
      <c r="BU166" s="3152">
        <v>0.1</v>
      </c>
      <c r="BV166" s="4654">
        <v>0.1</v>
      </c>
      <c r="BW166" s="3219">
        <v>1</v>
      </c>
      <c r="BX166" s="16004"/>
      <c r="BY166" s="4783" t="s">
        <v>9043</v>
      </c>
      <c r="BZ166" s="4783" t="s">
        <v>9044</v>
      </c>
      <c r="CA166" s="4783" t="s">
        <v>9045</v>
      </c>
      <c r="CB166" s="3925">
        <v>3230307</v>
      </c>
      <c r="CC166" s="3925">
        <v>3230307</v>
      </c>
      <c r="CD166" s="2709"/>
      <c r="CE166" s="2709"/>
      <c r="CF166" s="3226"/>
      <c r="CG166" s="3226"/>
      <c r="CH166" s="3226"/>
      <c r="CI166" s="3226"/>
      <c r="CJ166" s="3226"/>
      <c r="CK166" s="3226"/>
      <c r="CL166" s="3226"/>
      <c r="CM166" s="3226"/>
      <c r="CN166" s="3226"/>
      <c r="CO166" s="3226"/>
      <c r="CP166" s="3226"/>
      <c r="CQ166" s="3226"/>
      <c r="CR166" s="3226"/>
      <c r="CS166" s="3220"/>
      <c r="CT166" s="3226"/>
      <c r="CU166" s="3226"/>
      <c r="CV166" s="3226"/>
      <c r="CW166" s="3226"/>
      <c r="CX166" s="3226"/>
      <c r="CY166" s="3226"/>
      <c r="CZ166" s="3226"/>
      <c r="DA166" s="3226"/>
      <c r="DB166" s="3226"/>
      <c r="DC166" s="3226"/>
      <c r="DD166" s="3226"/>
      <c r="DE166" s="3226"/>
      <c r="DF166" s="3226"/>
      <c r="DG166" s="3226"/>
      <c r="DH166" s="3226"/>
      <c r="DI166" s="3226"/>
      <c r="DJ166" s="3226"/>
      <c r="DK166" s="3226"/>
      <c r="DL166" s="3226"/>
      <c r="DM166" s="3226"/>
      <c r="DN166" s="3226"/>
      <c r="DO166" s="4841"/>
      <c r="DQ166" s="2056"/>
      <c r="DR166" s="3224"/>
      <c r="DS166" s="3224"/>
      <c r="DT166" s="3224"/>
      <c r="DU166" s="3224"/>
      <c r="DV166" s="3224"/>
      <c r="DW166" s="3224"/>
      <c r="DX166" s="3224"/>
      <c r="DY166" s="3224"/>
      <c r="DZ166" s="3224"/>
      <c r="EA166" s="3224"/>
      <c r="EB166" s="3224"/>
      <c r="EC166" s="3224"/>
      <c r="ED166" s="3224"/>
      <c r="EE166" s="3224"/>
      <c r="EF166" s="3224"/>
      <c r="EG166" s="3224"/>
      <c r="EH166" s="3224"/>
      <c r="EI166" s="3224"/>
      <c r="EJ166" s="3224"/>
      <c r="EK166" s="3224"/>
      <c r="EL166" s="3224"/>
      <c r="EM166" s="3224"/>
      <c r="EN166" s="3224"/>
      <c r="EO166" s="3224"/>
      <c r="EP166" s="3224"/>
      <c r="EQ166" s="3224"/>
      <c r="ER166" s="3224"/>
      <c r="ES166" s="3224"/>
      <c r="ET166" s="3224"/>
      <c r="EU166" s="3224"/>
      <c r="EV166" s="3224"/>
      <c r="EW166" s="3224"/>
      <c r="EX166" s="3224"/>
      <c r="EY166" s="3224"/>
      <c r="EZ166" s="3224"/>
      <c r="FA166" s="3224"/>
      <c r="FB166" s="3224"/>
      <c r="FC166" s="3224"/>
      <c r="FD166" s="3224"/>
      <c r="FE166" s="3224"/>
      <c r="FF166" s="3224"/>
      <c r="FG166" s="3224"/>
      <c r="FH166" s="3224"/>
      <c r="FI166" s="3224"/>
      <c r="FJ166" s="2057"/>
    </row>
    <row r="167" spans="1:166" s="1834" customFormat="1" ht="15" customHeight="1">
      <c r="A167" s="15968"/>
      <c r="B167" s="15971"/>
      <c r="C167" s="15617"/>
      <c r="D167" s="15617"/>
      <c r="E167" s="15708"/>
      <c r="F167" s="15708"/>
      <c r="G167" s="15708"/>
      <c r="H167" s="15893"/>
      <c r="I167" s="15893"/>
      <c r="J167" s="15894"/>
      <c r="K167" s="15708"/>
      <c r="L167" s="4135" t="s">
        <v>10063</v>
      </c>
      <c r="M167" s="2725"/>
      <c r="N167" s="4135" t="s">
        <v>931</v>
      </c>
      <c r="O167" s="3221"/>
      <c r="P167" s="2725"/>
      <c r="Q167" s="2725"/>
      <c r="R167" s="2725"/>
      <c r="S167" s="2725"/>
      <c r="T167" s="2725"/>
      <c r="U167" s="4781"/>
      <c r="V167" s="2725"/>
      <c r="W167" s="2725"/>
      <c r="X167" s="2725"/>
      <c r="Y167" s="2725"/>
      <c r="Z167" s="4149"/>
      <c r="AA167" s="3221"/>
      <c r="AB167" s="4665"/>
      <c r="AC167" s="2725"/>
      <c r="AD167" s="4135"/>
      <c r="AE167" s="4135"/>
      <c r="AF167" s="4135"/>
      <c r="AG167" s="3224"/>
      <c r="AH167" s="3224"/>
      <c r="AI167" s="3224"/>
      <c r="AJ167" s="3224"/>
      <c r="AK167" s="3224"/>
      <c r="AL167" s="3224"/>
      <c r="AM167" s="3224"/>
      <c r="AN167" s="3224"/>
      <c r="AO167" s="3224"/>
      <c r="AP167" s="3224"/>
      <c r="AQ167" s="3224"/>
      <c r="AR167" s="3224"/>
      <c r="AS167" s="3224"/>
      <c r="AT167" s="3224"/>
      <c r="AU167" s="3224"/>
      <c r="AV167" s="3224"/>
      <c r="AW167" s="3224"/>
      <c r="AX167" s="3224"/>
      <c r="AY167" s="3224"/>
      <c r="AZ167" s="3224"/>
      <c r="BA167" s="3224"/>
      <c r="BB167" s="3224"/>
      <c r="BC167" s="3224"/>
      <c r="BD167" s="3224"/>
      <c r="BE167" s="3224"/>
      <c r="BF167" s="3224"/>
      <c r="BG167" s="3224"/>
      <c r="BH167" s="3224"/>
      <c r="BI167" s="3224"/>
      <c r="BJ167" s="3224"/>
      <c r="BK167" s="3224"/>
      <c r="BL167" s="3224"/>
      <c r="BM167" s="3224"/>
      <c r="BN167" s="3224"/>
      <c r="BO167" s="3224"/>
      <c r="BP167" s="3224"/>
      <c r="BQ167" s="3224"/>
      <c r="BR167" s="3224"/>
      <c r="BS167" s="3224"/>
      <c r="BT167" s="4654"/>
      <c r="BU167" s="3152"/>
      <c r="BV167" s="4654"/>
      <c r="BW167" s="3219"/>
      <c r="BX167" s="16004"/>
      <c r="BY167" s="4783"/>
      <c r="BZ167" s="4783"/>
      <c r="CA167" s="4783"/>
      <c r="CB167" s="3925"/>
      <c r="CC167" s="3925"/>
      <c r="CD167" s="2709"/>
      <c r="CE167" s="2709"/>
      <c r="CF167" s="3226"/>
      <c r="CG167" s="3226"/>
      <c r="CH167" s="3226"/>
      <c r="CI167" s="3226"/>
      <c r="CJ167" s="3226"/>
      <c r="CK167" s="3226"/>
      <c r="CL167" s="3226"/>
      <c r="CM167" s="3226"/>
      <c r="CN167" s="3226"/>
      <c r="CO167" s="3226"/>
      <c r="CP167" s="3226"/>
      <c r="CQ167" s="3226"/>
      <c r="CR167" s="3226"/>
      <c r="CS167" s="3220"/>
      <c r="CT167" s="3226"/>
      <c r="CU167" s="3226"/>
      <c r="CV167" s="3226"/>
      <c r="CW167" s="3226"/>
      <c r="CX167" s="3226"/>
      <c r="CY167" s="3226"/>
      <c r="CZ167" s="3226"/>
      <c r="DA167" s="3226"/>
      <c r="DB167" s="3226"/>
      <c r="DC167" s="3226"/>
      <c r="DD167" s="3226"/>
      <c r="DE167" s="3226"/>
      <c r="DF167" s="3226"/>
      <c r="DG167" s="3226"/>
      <c r="DH167" s="3226"/>
      <c r="DI167" s="3226"/>
      <c r="DJ167" s="3226"/>
      <c r="DK167" s="3226"/>
      <c r="DL167" s="3226"/>
      <c r="DM167" s="3226"/>
      <c r="DN167" s="3226"/>
      <c r="DO167" s="4841"/>
      <c r="DQ167" s="2056"/>
      <c r="DR167" s="3224"/>
      <c r="DS167" s="3224"/>
      <c r="DT167" s="3224"/>
      <c r="DU167" s="3224"/>
      <c r="DV167" s="3224"/>
      <c r="DW167" s="3224"/>
      <c r="DX167" s="3224"/>
      <c r="DY167" s="3224"/>
      <c r="DZ167" s="3224"/>
      <c r="EA167" s="3224"/>
      <c r="EB167" s="3224"/>
      <c r="EC167" s="3224"/>
      <c r="ED167" s="3224"/>
      <c r="EE167" s="3224"/>
      <c r="EF167" s="3224"/>
      <c r="EG167" s="3224"/>
      <c r="EH167" s="3224"/>
      <c r="EI167" s="3224"/>
      <c r="EJ167" s="3224"/>
      <c r="EK167" s="3224"/>
      <c r="EL167" s="3224"/>
      <c r="EM167" s="3224"/>
      <c r="EN167" s="3224"/>
      <c r="EO167" s="3224"/>
      <c r="EP167" s="3224"/>
      <c r="EQ167" s="3224"/>
      <c r="ER167" s="3224"/>
      <c r="ES167" s="3224"/>
      <c r="ET167" s="3224"/>
      <c r="EU167" s="3224"/>
      <c r="EV167" s="3224"/>
      <c r="EW167" s="3224"/>
      <c r="EX167" s="3224"/>
      <c r="EY167" s="3224"/>
      <c r="EZ167" s="3224"/>
      <c r="FA167" s="3224"/>
      <c r="FB167" s="3224"/>
      <c r="FC167" s="3224"/>
      <c r="FD167" s="3224"/>
      <c r="FE167" s="3224"/>
      <c r="FF167" s="3224"/>
      <c r="FG167" s="3224"/>
      <c r="FH167" s="3224"/>
      <c r="FI167" s="3224"/>
      <c r="FJ167" s="2057"/>
    </row>
    <row r="168" spans="1:166" s="1834" customFormat="1" ht="15" customHeight="1">
      <c r="A168" s="15968"/>
      <c r="B168" s="15971"/>
      <c r="C168" s="15617"/>
      <c r="D168" s="15617" t="s">
        <v>8013</v>
      </c>
      <c r="E168" s="15708" t="s">
        <v>5040</v>
      </c>
      <c r="F168" s="15708" t="s">
        <v>932</v>
      </c>
      <c r="G168" s="15708" t="s">
        <v>542</v>
      </c>
      <c r="H168" s="15893">
        <v>0.01</v>
      </c>
      <c r="I168" s="15893">
        <v>0.04</v>
      </c>
      <c r="J168" s="15893">
        <v>0.08</v>
      </c>
      <c r="K168" s="15708" t="s">
        <v>933</v>
      </c>
      <c r="L168" s="4135" t="s">
        <v>10238</v>
      </c>
      <c r="M168" s="4135" t="s">
        <v>637</v>
      </c>
      <c r="N168" s="4135"/>
      <c r="O168" s="3221"/>
      <c r="P168" s="3221"/>
      <c r="Q168" s="3221"/>
      <c r="R168" s="3221"/>
      <c r="S168" s="3221"/>
      <c r="T168" s="3221"/>
      <c r="U168" s="4797"/>
      <c r="V168" s="3221"/>
      <c r="W168" s="3221"/>
      <c r="X168" s="3221"/>
      <c r="Y168" s="3221"/>
      <c r="Z168" s="4149">
        <v>0</v>
      </c>
      <c r="AA168" s="2725" t="s">
        <v>935</v>
      </c>
      <c r="AB168" s="3224"/>
      <c r="AC168" s="3224"/>
      <c r="AD168" s="3224"/>
      <c r="AE168" s="3224"/>
      <c r="AF168" s="3224"/>
      <c r="AG168" s="3224"/>
      <c r="AH168" s="3224"/>
      <c r="AI168" s="3224"/>
      <c r="AJ168" s="3224"/>
      <c r="AK168" s="3224"/>
      <c r="AL168" s="3224"/>
      <c r="AM168" s="3224"/>
      <c r="AN168" s="3224"/>
      <c r="AO168" s="3224"/>
      <c r="AP168" s="3224"/>
      <c r="AQ168" s="3224"/>
      <c r="AR168" s="3224"/>
      <c r="AS168" s="3224"/>
      <c r="AT168" s="3224"/>
      <c r="AU168" s="3224"/>
      <c r="AV168" s="3224"/>
      <c r="AW168" s="3224"/>
      <c r="AX168" s="3224"/>
      <c r="AY168" s="3224"/>
      <c r="AZ168" s="3224"/>
      <c r="BA168" s="3224"/>
      <c r="BB168" s="3224"/>
      <c r="BC168" s="3224"/>
      <c r="BD168" s="3224"/>
      <c r="BE168" s="3224"/>
      <c r="BF168" s="3224"/>
      <c r="BG168" s="3224"/>
      <c r="BH168" s="3224"/>
      <c r="BI168" s="3224"/>
      <c r="BJ168" s="3224"/>
      <c r="BK168" s="3224"/>
      <c r="BL168" s="3224"/>
      <c r="BM168" s="3224"/>
      <c r="BN168" s="3224"/>
      <c r="BO168" s="3224"/>
      <c r="BP168" s="3224"/>
      <c r="BQ168" s="3224"/>
      <c r="BR168" s="3224"/>
      <c r="BS168" s="3224"/>
      <c r="BT168" s="2725" t="s">
        <v>9884</v>
      </c>
      <c r="BU168" s="4666">
        <v>0</v>
      </c>
      <c r="BV168" s="4667">
        <v>35</v>
      </c>
      <c r="BW168" s="3219">
        <v>0</v>
      </c>
      <c r="BX168" s="16004"/>
      <c r="BY168" s="2725"/>
      <c r="BZ168" s="2725"/>
      <c r="CA168" s="2725"/>
      <c r="CB168" s="2709"/>
      <c r="CC168" s="2709"/>
      <c r="CD168" s="2709"/>
      <c r="CE168" s="2709"/>
      <c r="CF168" s="3226"/>
      <c r="CG168" s="3226"/>
      <c r="CH168" s="3226"/>
      <c r="CI168" s="3226"/>
      <c r="CJ168" s="3226"/>
      <c r="CK168" s="3226"/>
      <c r="CL168" s="3226"/>
      <c r="CM168" s="3226"/>
      <c r="CN168" s="3226"/>
      <c r="CO168" s="3226"/>
      <c r="CP168" s="3226"/>
      <c r="CQ168" s="3226"/>
      <c r="CR168" s="3226"/>
      <c r="CS168" s="3220"/>
      <c r="CT168" s="3226"/>
      <c r="CU168" s="3226"/>
      <c r="CV168" s="3226"/>
      <c r="CW168" s="3226"/>
      <c r="CX168" s="3226"/>
      <c r="CY168" s="3226"/>
      <c r="CZ168" s="3226"/>
      <c r="DA168" s="3226"/>
      <c r="DB168" s="3226"/>
      <c r="DC168" s="3226"/>
      <c r="DD168" s="3226"/>
      <c r="DE168" s="3226"/>
      <c r="DF168" s="3226"/>
      <c r="DG168" s="3226"/>
      <c r="DH168" s="3226"/>
      <c r="DI168" s="3226"/>
      <c r="DJ168" s="3226"/>
      <c r="DK168" s="3226"/>
      <c r="DL168" s="3226"/>
      <c r="DM168" s="3226"/>
      <c r="DN168" s="3226"/>
      <c r="DO168" s="4841"/>
      <c r="DQ168" s="2056"/>
      <c r="DR168" s="3224"/>
      <c r="DS168" s="3224"/>
      <c r="DT168" s="3224"/>
      <c r="DU168" s="3224"/>
      <c r="DV168" s="3224"/>
      <c r="DW168" s="3224"/>
      <c r="DX168" s="3224"/>
      <c r="DY168" s="3224"/>
      <c r="DZ168" s="3224"/>
      <c r="EA168" s="3224"/>
      <c r="EB168" s="3224"/>
      <c r="EC168" s="3224"/>
      <c r="ED168" s="3224"/>
      <c r="EE168" s="3224"/>
      <c r="EF168" s="3224"/>
      <c r="EG168" s="3224"/>
      <c r="EH168" s="3224"/>
      <c r="EI168" s="3224"/>
      <c r="EJ168" s="3224"/>
      <c r="EK168" s="3224"/>
      <c r="EL168" s="3224"/>
      <c r="EM168" s="3224"/>
      <c r="EN168" s="3224"/>
      <c r="EO168" s="3224"/>
      <c r="EP168" s="3224"/>
      <c r="EQ168" s="3224"/>
      <c r="ER168" s="3224"/>
      <c r="ES168" s="3224"/>
      <c r="ET168" s="3224"/>
      <c r="EU168" s="3224"/>
      <c r="EV168" s="3224"/>
      <c r="EW168" s="3224"/>
      <c r="EX168" s="3224"/>
      <c r="EY168" s="3224"/>
      <c r="EZ168" s="3224"/>
      <c r="FA168" s="3224"/>
      <c r="FB168" s="3224"/>
      <c r="FC168" s="3224"/>
      <c r="FD168" s="3224"/>
      <c r="FE168" s="3224"/>
      <c r="FF168" s="3224"/>
      <c r="FG168" s="3224"/>
      <c r="FH168" s="3224"/>
      <c r="FI168" s="3224"/>
      <c r="FJ168" s="2057"/>
    </row>
    <row r="169" spans="1:166" s="1834" customFormat="1" ht="15" customHeight="1">
      <c r="A169" s="15968"/>
      <c r="B169" s="15971"/>
      <c r="C169" s="15617"/>
      <c r="D169" s="15617"/>
      <c r="E169" s="15708"/>
      <c r="F169" s="15708"/>
      <c r="G169" s="15708"/>
      <c r="H169" s="15893"/>
      <c r="I169" s="15893"/>
      <c r="J169" s="15893"/>
      <c r="K169" s="15708"/>
      <c r="L169" s="4135" t="s">
        <v>10183</v>
      </c>
      <c r="M169" s="4135"/>
      <c r="N169" s="4135" t="s">
        <v>934</v>
      </c>
      <c r="O169" s="3221"/>
      <c r="P169" s="3221"/>
      <c r="Q169" s="3221"/>
      <c r="R169" s="3221"/>
      <c r="S169" s="3221"/>
      <c r="T169" s="3221"/>
      <c r="U169" s="4797"/>
      <c r="V169" s="3221"/>
      <c r="W169" s="3221"/>
      <c r="X169" s="3221"/>
      <c r="Y169" s="3221"/>
      <c r="Z169" s="4149"/>
      <c r="AA169" s="2725"/>
      <c r="AB169" s="3224"/>
      <c r="AC169" s="3224"/>
      <c r="AD169" s="3224"/>
      <c r="AE169" s="3224"/>
      <c r="AF169" s="3224"/>
      <c r="AG169" s="3224"/>
      <c r="AH169" s="3224"/>
      <c r="AI169" s="3224"/>
      <c r="AJ169" s="3224"/>
      <c r="AK169" s="3224"/>
      <c r="AL169" s="3224"/>
      <c r="AM169" s="3224"/>
      <c r="AN169" s="3224"/>
      <c r="AO169" s="3224"/>
      <c r="AP169" s="3224"/>
      <c r="AQ169" s="3224"/>
      <c r="AR169" s="3224"/>
      <c r="AS169" s="3224"/>
      <c r="AT169" s="3224"/>
      <c r="AU169" s="3224"/>
      <c r="AV169" s="3224"/>
      <c r="AW169" s="3224"/>
      <c r="AX169" s="3224"/>
      <c r="AY169" s="3224"/>
      <c r="AZ169" s="3224"/>
      <c r="BA169" s="3224"/>
      <c r="BB169" s="3224"/>
      <c r="BC169" s="3224"/>
      <c r="BD169" s="3224"/>
      <c r="BE169" s="3224"/>
      <c r="BF169" s="3224"/>
      <c r="BG169" s="3224"/>
      <c r="BH169" s="3224"/>
      <c r="BI169" s="3224"/>
      <c r="BJ169" s="3224"/>
      <c r="BK169" s="3224"/>
      <c r="BL169" s="3224"/>
      <c r="BM169" s="3224"/>
      <c r="BN169" s="3224"/>
      <c r="BO169" s="3224"/>
      <c r="BP169" s="3224"/>
      <c r="BQ169" s="3224"/>
      <c r="BR169" s="3224"/>
      <c r="BS169" s="3224"/>
      <c r="BT169" s="2725"/>
      <c r="BU169" s="4666"/>
      <c r="BV169" s="4667"/>
      <c r="BW169" s="3219"/>
      <c r="BX169" s="16004"/>
      <c r="BY169" s="2725"/>
      <c r="BZ169" s="2725"/>
      <c r="CA169" s="2725"/>
      <c r="CB169" s="2709"/>
      <c r="CC169" s="2709"/>
      <c r="CD169" s="2709"/>
      <c r="CE169" s="2709"/>
      <c r="CF169" s="3226"/>
      <c r="CG169" s="3226"/>
      <c r="CH169" s="3226"/>
      <c r="CI169" s="3226"/>
      <c r="CJ169" s="3226"/>
      <c r="CK169" s="3226"/>
      <c r="CL169" s="3226"/>
      <c r="CM169" s="3226"/>
      <c r="CN169" s="3226"/>
      <c r="CO169" s="3226"/>
      <c r="CP169" s="3226"/>
      <c r="CQ169" s="3226"/>
      <c r="CR169" s="3226"/>
      <c r="CS169" s="3220"/>
      <c r="CT169" s="3226"/>
      <c r="CU169" s="3226"/>
      <c r="CV169" s="3226"/>
      <c r="CW169" s="3226"/>
      <c r="CX169" s="3226"/>
      <c r="CY169" s="3226"/>
      <c r="CZ169" s="3226"/>
      <c r="DA169" s="3226"/>
      <c r="DB169" s="3226"/>
      <c r="DC169" s="3226"/>
      <c r="DD169" s="3226"/>
      <c r="DE169" s="3226"/>
      <c r="DF169" s="3226"/>
      <c r="DG169" s="3226"/>
      <c r="DH169" s="3226"/>
      <c r="DI169" s="3226"/>
      <c r="DJ169" s="3226"/>
      <c r="DK169" s="3226"/>
      <c r="DL169" s="3226"/>
      <c r="DM169" s="3226"/>
      <c r="DN169" s="3226"/>
      <c r="DO169" s="4841"/>
      <c r="DQ169" s="2056"/>
      <c r="DR169" s="3224"/>
      <c r="DS169" s="3224"/>
      <c r="DT169" s="3224"/>
      <c r="DU169" s="3224"/>
      <c r="DV169" s="3224"/>
      <c r="DW169" s="3224"/>
      <c r="DX169" s="3224"/>
      <c r="DY169" s="3224"/>
      <c r="DZ169" s="3224"/>
      <c r="EA169" s="3224"/>
      <c r="EB169" s="3224"/>
      <c r="EC169" s="3224"/>
      <c r="ED169" s="3224"/>
      <c r="EE169" s="3224"/>
      <c r="EF169" s="3224"/>
      <c r="EG169" s="3224"/>
      <c r="EH169" s="3224"/>
      <c r="EI169" s="3224"/>
      <c r="EJ169" s="3224"/>
      <c r="EK169" s="3224"/>
      <c r="EL169" s="3224"/>
      <c r="EM169" s="3224"/>
      <c r="EN169" s="3224"/>
      <c r="EO169" s="3224"/>
      <c r="EP169" s="3224"/>
      <c r="EQ169" s="3224"/>
      <c r="ER169" s="3224"/>
      <c r="ES169" s="3224"/>
      <c r="ET169" s="3224"/>
      <c r="EU169" s="3224"/>
      <c r="EV169" s="3224"/>
      <c r="EW169" s="3224"/>
      <c r="EX169" s="3224"/>
      <c r="EY169" s="3224"/>
      <c r="EZ169" s="3224"/>
      <c r="FA169" s="3224"/>
      <c r="FB169" s="3224"/>
      <c r="FC169" s="3224"/>
      <c r="FD169" s="3224"/>
      <c r="FE169" s="3224"/>
      <c r="FF169" s="3224"/>
      <c r="FG169" s="3224"/>
      <c r="FH169" s="3224"/>
      <c r="FI169" s="3224"/>
      <c r="FJ169" s="2057"/>
    </row>
    <row r="170" spans="1:166" s="1834" customFormat="1" ht="15" customHeight="1">
      <c r="A170" s="15968"/>
      <c r="B170" s="15971"/>
      <c r="C170" s="15617"/>
      <c r="D170" s="15617" t="s">
        <v>8014</v>
      </c>
      <c r="E170" s="15708" t="s">
        <v>5041</v>
      </c>
      <c r="F170" s="15708" t="s">
        <v>936</v>
      </c>
      <c r="G170" s="15708" t="s">
        <v>937</v>
      </c>
      <c r="H170" s="15708">
        <v>5</v>
      </c>
      <c r="I170" s="15708">
        <v>5</v>
      </c>
      <c r="J170" s="15708">
        <v>5</v>
      </c>
      <c r="K170" s="15708" t="s">
        <v>648</v>
      </c>
      <c r="L170" s="4135" t="s">
        <v>4305</v>
      </c>
      <c r="M170" s="2725" t="s">
        <v>885</v>
      </c>
      <c r="N170" s="4135"/>
      <c r="O170" s="3221">
        <v>50</v>
      </c>
      <c r="P170" s="2725">
        <v>52</v>
      </c>
      <c r="Q170" s="2725">
        <v>51</v>
      </c>
      <c r="R170" s="2725">
        <v>53</v>
      </c>
      <c r="S170" s="2725">
        <v>52</v>
      </c>
      <c r="T170" s="2725">
        <v>54</v>
      </c>
      <c r="U170" s="4781">
        <v>53</v>
      </c>
      <c r="V170" s="2725">
        <v>55</v>
      </c>
      <c r="W170" s="2725">
        <v>54</v>
      </c>
      <c r="X170" s="2725">
        <v>56</v>
      </c>
      <c r="Y170" s="2725">
        <v>55</v>
      </c>
      <c r="Z170" s="4149">
        <v>583</v>
      </c>
      <c r="AA170" s="3221"/>
      <c r="AB170" s="3152">
        <v>1</v>
      </c>
      <c r="AC170" s="2725" t="s">
        <v>2952</v>
      </c>
      <c r="AD170" s="2725" t="s">
        <v>2953</v>
      </c>
      <c r="AE170" s="3224"/>
      <c r="AF170" s="4668">
        <f>+AB170*17478</f>
        <v>17478</v>
      </c>
      <c r="AG170" s="4668" t="s">
        <v>2954</v>
      </c>
      <c r="AH170" s="3224"/>
      <c r="AI170" s="3224"/>
      <c r="AJ170" s="3221">
        <v>73</v>
      </c>
      <c r="AK170" s="3221">
        <v>52</v>
      </c>
      <c r="AL170" s="3221">
        <v>21</v>
      </c>
      <c r="AM170" s="3221">
        <v>73</v>
      </c>
      <c r="AN170" s="3221"/>
      <c r="AO170" s="3221"/>
      <c r="AP170" s="3221"/>
      <c r="AQ170" s="3221">
        <v>4</v>
      </c>
      <c r="AR170" s="3221">
        <v>16</v>
      </c>
      <c r="AS170" s="3221">
        <v>27</v>
      </c>
      <c r="AT170" s="3221">
        <v>15</v>
      </c>
      <c r="AU170" s="3221">
        <v>11</v>
      </c>
      <c r="AV170" s="3221"/>
      <c r="AW170" s="3221"/>
      <c r="AX170" s="3221"/>
      <c r="AY170" s="3221"/>
      <c r="AZ170" s="3221"/>
      <c r="BA170" s="3221"/>
      <c r="BB170" s="3221"/>
      <c r="BC170" s="3221"/>
      <c r="BD170" s="3221">
        <v>72</v>
      </c>
      <c r="BE170" s="3221">
        <v>1</v>
      </c>
      <c r="BF170" s="3221"/>
      <c r="BG170" s="3221"/>
      <c r="BH170" s="3221"/>
      <c r="BI170" s="3224"/>
      <c r="BJ170" s="3224"/>
      <c r="BK170" s="3224"/>
      <c r="BL170" s="3224"/>
      <c r="BM170" s="3224"/>
      <c r="BN170" s="3224"/>
      <c r="BO170" s="3224"/>
      <c r="BP170" s="3224"/>
      <c r="BQ170" s="3224"/>
      <c r="BR170" s="3224"/>
      <c r="BS170" s="3224"/>
      <c r="BT170" s="4135">
        <v>5</v>
      </c>
      <c r="BU170" s="3221">
        <v>5</v>
      </c>
      <c r="BV170" s="3922">
        <v>5</v>
      </c>
      <c r="BW170" s="3219">
        <f t="shared" ref="BW170:BW176" si="12">BV170/BU170</f>
        <v>1</v>
      </c>
      <c r="BX170" s="16004"/>
      <c r="BY170" s="3924" t="s">
        <v>9046</v>
      </c>
      <c r="BZ170" s="3924" t="s">
        <v>9047</v>
      </c>
      <c r="CA170" s="3924" t="s">
        <v>9048</v>
      </c>
      <c r="CB170" s="3925">
        <v>981585</v>
      </c>
      <c r="CC170" s="3925">
        <v>981585</v>
      </c>
      <c r="CD170" s="2709"/>
      <c r="CE170" s="2709"/>
      <c r="CF170" s="3226"/>
      <c r="CG170" s="3226"/>
      <c r="CH170" s="3226"/>
      <c r="CI170" s="3226"/>
      <c r="CJ170" s="3226"/>
      <c r="CK170" s="3226"/>
      <c r="CL170" s="3226"/>
      <c r="CM170" s="3226"/>
      <c r="CN170" s="3226"/>
      <c r="CO170" s="3226"/>
      <c r="CP170" s="3226"/>
      <c r="CQ170" s="3226"/>
      <c r="CR170" s="3226"/>
      <c r="CS170" s="3220"/>
      <c r="CT170" s="3226"/>
      <c r="CU170" s="3226"/>
      <c r="CV170" s="3226"/>
      <c r="CW170" s="3226"/>
      <c r="CX170" s="3226"/>
      <c r="CY170" s="3226"/>
      <c r="CZ170" s="3226"/>
      <c r="DA170" s="3226"/>
      <c r="DB170" s="3226"/>
      <c r="DC170" s="3226"/>
      <c r="DD170" s="3226"/>
      <c r="DE170" s="3226"/>
      <c r="DF170" s="3226"/>
      <c r="DG170" s="3226"/>
      <c r="DH170" s="3226"/>
      <c r="DI170" s="3226"/>
      <c r="DJ170" s="3226"/>
      <c r="DK170" s="3226"/>
      <c r="DL170" s="3226"/>
      <c r="DM170" s="3226"/>
      <c r="DN170" s="3226"/>
      <c r="DO170" s="4841"/>
      <c r="DQ170" s="2056"/>
      <c r="DR170" s="3224"/>
      <c r="DS170" s="3224"/>
      <c r="DT170" s="3224"/>
      <c r="DU170" s="3224"/>
      <c r="DV170" s="3224"/>
      <c r="DW170" s="3224"/>
      <c r="DX170" s="3224"/>
      <c r="DY170" s="3224"/>
      <c r="DZ170" s="3224"/>
      <c r="EA170" s="3224"/>
      <c r="EB170" s="3224"/>
      <c r="EC170" s="3224"/>
      <c r="ED170" s="3224"/>
      <c r="EE170" s="3224"/>
      <c r="EF170" s="3224"/>
      <c r="EG170" s="3224"/>
      <c r="EH170" s="3224"/>
      <c r="EI170" s="3224"/>
      <c r="EJ170" s="3224"/>
      <c r="EK170" s="3224"/>
      <c r="EL170" s="3224"/>
      <c r="EM170" s="3224"/>
      <c r="EN170" s="3224"/>
      <c r="EO170" s="3224"/>
      <c r="EP170" s="3224"/>
      <c r="EQ170" s="3224"/>
      <c r="ER170" s="3224"/>
      <c r="ES170" s="3224"/>
      <c r="ET170" s="3224"/>
      <c r="EU170" s="3224"/>
      <c r="EV170" s="3224"/>
      <c r="EW170" s="3224"/>
      <c r="EX170" s="3224"/>
      <c r="EY170" s="3224"/>
      <c r="EZ170" s="3224"/>
      <c r="FA170" s="3224"/>
      <c r="FB170" s="3224"/>
      <c r="FC170" s="3224"/>
      <c r="FD170" s="3224"/>
      <c r="FE170" s="3224"/>
      <c r="FF170" s="3224"/>
      <c r="FG170" s="3224"/>
      <c r="FH170" s="3224"/>
      <c r="FI170" s="3224"/>
      <c r="FJ170" s="2057"/>
    </row>
    <row r="171" spans="1:166" s="1834" customFormat="1" ht="15" customHeight="1">
      <c r="A171" s="15968"/>
      <c r="B171" s="15971"/>
      <c r="C171" s="15617"/>
      <c r="D171" s="15617"/>
      <c r="E171" s="15708"/>
      <c r="F171" s="15708"/>
      <c r="G171" s="15708"/>
      <c r="H171" s="15708"/>
      <c r="I171" s="15708"/>
      <c r="J171" s="15708"/>
      <c r="K171" s="15708"/>
      <c r="L171" s="4135" t="s">
        <v>2896</v>
      </c>
      <c r="M171" s="2725"/>
      <c r="N171" s="4135" t="s">
        <v>684</v>
      </c>
      <c r="O171" s="3221"/>
      <c r="P171" s="2725"/>
      <c r="Q171" s="2725"/>
      <c r="R171" s="2725"/>
      <c r="S171" s="2725"/>
      <c r="T171" s="2725"/>
      <c r="U171" s="4781"/>
      <c r="V171" s="2725"/>
      <c r="W171" s="2725"/>
      <c r="X171" s="2725"/>
      <c r="Y171" s="2725"/>
      <c r="Z171" s="4149"/>
      <c r="AA171" s="3221"/>
      <c r="AB171" s="3152"/>
      <c r="AC171" s="2725"/>
      <c r="AD171" s="2725"/>
      <c r="AE171" s="3224"/>
      <c r="AF171" s="4668"/>
      <c r="AG171" s="4668"/>
      <c r="AH171" s="3224"/>
      <c r="AI171" s="3224"/>
      <c r="AJ171" s="3221"/>
      <c r="AK171" s="3221"/>
      <c r="AL171" s="3221"/>
      <c r="AM171" s="3221"/>
      <c r="AN171" s="3221"/>
      <c r="AO171" s="3221"/>
      <c r="AP171" s="3221"/>
      <c r="AQ171" s="3221"/>
      <c r="AR171" s="3221"/>
      <c r="AS171" s="3221"/>
      <c r="AT171" s="3221"/>
      <c r="AU171" s="3221"/>
      <c r="AV171" s="3221"/>
      <c r="AW171" s="3221"/>
      <c r="AX171" s="3221"/>
      <c r="AY171" s="3221"/>
      <c r="AZ171" s="3221"/>
      <c r="BA171" s="3221"/>
      <c r="BB171" s="3221"/>
      <c r="BC171" s="3221"/>
      <c r="BD171" s="3221"/>
      <c r="BE171" s="3221"/>
      <c r="BF171" s="3221"/>
      <c r="BG171" s="3221"/>
      <c r="BH171" s="3221"/>
      <c r="BI171" s="3224"/>
      <c r="BJ171" s="3224"/>
      <c r="BK171" s="3224"/>
      <c r="BL171" s="3224"/>
      <c r="BM171" s="3224"/>
      <c r="BN171" s="3224"/>
      <c r="BO171" s="3224"/>
      <c r="BP171" s="3224"/>
      <c r="BQ171" s="3224"/>
      <c r="BR171" s="3224"/>
      <c r="BS171" s="3224"/>
      <c r="BT171" s="4135"/>
      <c r="BU171" s="3221"/>
      <c r="BV171" s="3922"/>
      <c r="BW171" s="3219"/>
      <c r="BX171" s="16004"/>
      <c r="BY171" s="3924"/>
      <c r="BZ171" s="3924"/>
      <c r="CA171" s="3924"/>
      <c r="CB171" s="3925"/>
      <c r="CC171" s="3925"/>
      <c r="CD171" s="2709"/>
      <c r="CE171" s="2709"/>
      <c r="CF171" s="3226"/>
      <c r="CG171" s="3226"/>
      <c r="CH171" s="3226"/>
      <c r="CI171" s="3226"/>
      <c r="CJ171" s="3226"/>
      <c r="CK171" s="3226"/>
      <c r="CL171" s="3226"/>
      <c r="CM171" s="3226"/>
      <c r="CN171" s="3226"/>
      <c r="CO171" s="3226"/>
      <c r="CP171" s="3226"/>
      <c r="CQ171" s="3226"/>
      <c r="CR171" s="3226"/>
      <c r="CS171" s="3220"/>
      <c r="CT171" s="3226"/>
      <c r="CU171" s="3226"/>
      <c r="CV171" s="3226"/>
      <c r="CW171" s="3226"/>
      <c r="CX171" s="3226"/>
      <c r="CY171" s="3226"/>
      <c r="CZ171" s="3226"/>
      <c r="DA171" s="3226"/>
      <c r="DB171" s="3226"/>
      <c r="DC171" s="3226"/>
      <c r="DD171" s="3226"/>
      <c r="DE171" s="3226"/>
      <c r="DF171" s="3226"/>
      <c r="DG171" s="3226"/>
      <c r="DH171" s="3226"/>
      <c r="DI171" s="3226"/>
      <c r="DJ171" s="3226"/>
      <c r="DK171" s="3226"/>
      <c r="DL171" s="3226"/>
      <c r="DM171" s="3226"/>
      <c r="DN171" s="3226"/>
      <c r="DO171" s="4841"/>
      <c r="DQ171" s="2056"/>
      <c r="DR171" s="3224"/>
      <c r="DS171" s="3224"/>
      <c r="DT171" s="3224"/>
      <c r="DU171" s="3224"/>
      <c r="DV171" s="3224"/>
      <c r="DW171" s="3224"/>
      <c r="DX171" s="3224"/>
      <c r="DY171" s="3224"/>
      <c r="DZ171" s="3224"/>
      <c r="EA171" s="3224"/>
      <c r="EB171" s="3224"/>
      <c r="EC171" s="3224"/>
      <c r="ED171" s="3224"/>
      <c r="EE171" s="3224"/>
      <c r="EF171" s="3224"/>
      <c r="EG171" s="3224"/>
      <c r="EH171" s="3224"/>
      <c r="EI171" s="3224"/>
      <c r="EJ171" s="3224"/>
      <c r="EK171" s="3224"/>
      <c r="EL171" s="3224"/>
      <c r="EM171" s="3224"/>
      <c r="EN171" s="3224"/>
      <c r="EO171" s="3224"/>
      <c r="EP171" s="3224"/>
      <c r="EQ171" s="3224"/>
      <c r="ER171" s="3224"/>
      <c r="ES171" s="3224"/>
      <c r="ET171" s="3224"/>
      <c r="EU171" s="3224"/>
      <c r="EV171" s="3224"/>
      <c r="EW171" s="3224"/>
      <c r="EX171" s="3224"/>
      <c r="EY171" s="3224"/>
      <c r="EZ171" s="3224"/>
      <c r="FA171" s="3224"/>
      <c r="FB171" s="3224"/>
      <c r="FC171" s="3224"/>
      <c r="FD171" s="3224"/>
      <c r="FE171" s="3224"/>
      <c r="FF171" s="3224"/>
      <c r="FG171" s="3224"/>
      <c r="FH171" s="3224"/>
      <c r="FI171" s="3224"/>
      <c r="FJ171" s="2057"/>
    </row>
    <row r="172" spans="1:166" s="1834" customFormat="1" ht="15" customHeight="1">
      <c r="A172" s="15968"/>
      <c r="B172" s="15971"/>
      <c r="C172" s="15617"/>
      <c r="D172" s="15617"/>
      <c r="E172" s="15708"/>
      <c r="F172" s="15708"/>
      <c r="G172" s="15708"/>
      <c r="H172" s="15708"/>
      <c r="I172" s="15708"/>
      <c r="J172" s="15708"/>
      <c r="K172" s="15708"/>
      <c r="L172" s="4135" t="s">
        <v>10063</v>
      </c>
      <c r="M172" s="2725"/>
      <c r="N172" s="4135" t="s">
        <v>10239</v>
      </c>
      <c r="O172" s="3221"/>
      <c r="P172" s="2725"/>
      <c r="Q172" s="2725"/>
      <c r="R172" s="2725"/>
      <c r="S172" s="2725"/>
      <c r="T172" s="2725"/>
      <c r="U172" s="4781"/>
      <c r="V172" s="2725"/>
      <c r="W172" s="2725"/>
      <c r="X172" s="2725"/>
      <c r="Y172" s="2725"/>
      <c r="Z172" s="4149"/>
      <c r="AA172" s="3221"/>
      <c r="AB172" s="3152"/>
      <c r="AC172" s="2725"/>
      <c r="AD172" s="2725"/>
      <c r="AE172" s="3224"/>
      <c r="AF172" s="4668"/>
      <c r="AG172" s="4668"/>
      <c r="AH172" s="3224"/>
      <c r="AI172" s="3224"/>
      <c r="AJ172" s="3221"/>
      <c r="AK172" s="3221"/>
      <c r="AL172" s="3221"/>
      <c r="AM172" s="3221"/>
      <c r="AN172" s="3221"/>
      <c r="AO172" s="3221"/>
      <c r="AP172" s="3221"/>
      <c r="AQ172" s="3221"/>
      <c r="AR172" s="3221"/>
      <c r="AS172" s="3221"/>
      <c r="AT172" s="3221"/>
      <c r="AU172" s="3221"/>
      <c r="AV172" s="3221"/>
      <c r="AW172" s="3221"/>
      <c r="AX172" s="3221"/>
      <c r="AY172" s="3221"/>
      <c r="AZ172" s="3221"/>
      <c r="BA172" s="3221"/>
      <c r="BB172" s="3221"/>
      <c r="BC172" s="3221"/>
      <c r="BD172" s="3221"/>
      <c r="BE172" s="3221"/>
      <c r="BF172" s="3221"/>
      <c r="BG172" s="3221"/>
      <c r="BH172" s="3221"/>
      <c r="BI172" s="3224"/>
      <c r="BJ172" s="3224"/>
      <c r="BK172" s="3224"/>
      <c r="BL172" s="3224"/>
      <c r="BM172" s="3224"/>
      <c r="BN172" s="3224"/>
      <c r="BO172" s="3224"/>
      <c r="BP172" s="3224"/>
      <c r="BQ172" s="3224"/>
      <c r="BR172" s="3224"/>
      <c r="BS172" s="3224"/>
      <c r="BT172" s="4135"/>
      <c r="BU172" s="3221"/>
      <c r="BV172" s="3922"/>
      <c r="BW172" s="3219"/>
      <c r="BX172" s="16004"/>
      <c r="BY172" s="3924"/>
      <c r="BZ172" s="3924"/>
      <c r="CA172" s="3924"/>
      <c r="CB172" s="3925"/>
      <c r="CC172" s="3925"/>
      <c r="CD172" s="2709"/>
      <c r="CE172" s="2709"/>
      <c r="CF172" s="3226"/>
      <c r="CG172" s="3226"/>
      <c r="CH172" s="3226"/>
      <c r="CI172" s="3226"/>
      <c r="CJ172" s="3226"/>
      <c r="CK172" s="3226"/>
      <c r="CL172" s="3226"/>
      <c r="CM172" s="3226"/>
      <c r="CN172" s="3226"/>
      <c r="CO172" s="3226"/>
      <c r="CP172" s="3226"/>
      <c r="CQ172" s="3226"/>
      <c r="CR172" s="3226"/>
      <c r="CS172" s="3220"/>
      <c r="CT172" s="3226"/>
      <c r="CU172" s="3226"/>
      <c r="CV172" s="3226"/>
      <c r="CW172" s="3226"/>
      <c r="CX172" s="3226"/>
      <c r="CY172" s="3226"/>
      <c r="CZ172" s="3226"/>
      <c r="DA172" s="3226"/>
      <c r="DB172" s="3226"/>
      <c r="DC172" s="3226"/>
      <c r="DD172" s="3226"/>
      <c r="DE172" s="3226"/>
      <c r="DF172" s="3226"/>
      <c r="DG172" s="3226"/>
      <c r="DH172" s="3226"/>
      <c r="DI172" s="3226"/>
      <c r="DJ172" s="3226"/>
      <c r="DK172" s="3226"/>
      <c r="DL172" s="3226"/>
      <c r="DM172" s="3226"/>
      <c r="DN172" s="3226"/>
      <c r="DO172" s="4841"/>
      <c r="DQ172" s="2056"/>
      <c r="DR172" s="3224"/>
      <c r="DS172" s="3224"/>
      <c r="DT172" s="3224"/>
      <c r="DU172" s="3224"/>
      <c r="DV172" s="3224"/>
      <c r="DW172" s="3224"/>
      <c r="DX172" s="3224"/>
      <c r="DY172" s="3224"/>
      <c r="DZ172" s="3224"/>
      <c r="EA172" s="3224"/>
      <c r="EB172" s="3224"/>
      <c r="EC172" s="3224"/>
      <c r="ED172" s="3224"/>
      <c r="EE172" s="3224"/>
      <c r="EF172" s="3224"/>
      <c r="EG172" s="3224"/>
      <c r="EH172" s="3224"/>
      <c r="EI172" s="3224"/>
      <c r="EJ172" s="3224"/>
      <c r="EK172" s="3224"/>
      <c r="EL172" s="3224"/>
      <c r="EM172" s="3224"/>
      <c r="EN172" s="3224"/>
      <c r="EO172" s="3224"/>
      <c r="EP172" s="3224"/>
      <c r="EQ172" s="3224"/>
      <c r="ER172" s="3224"/>
      <c r="ES172" s="3224"/>
      <c r="ET172" s="3224"/>
      <c r="EU172" s="3224"/>
      <c r="EV172" s="3224"/>
      <c r="EW172" s="3224"/>
      <c r="EX172" s="3224"/>
      <c r="EY172" s="3224"/>
      <c r="EZ172" s="3224"/>
      <c r="FA172" s="3224"/>
      <c r="FB172" s="3224"/>
      <c r="FC172" s="3224"/>
      <c r="FD172" s="3224"/>
      <c r="FE172" s="3224"/>
      <c r="FF172" s="3224"/>
      <c r="FG172" s="3224"/>
      <c r="FH172" s="3224"/>
      <c r="FI172" s="3224"/>
      <c r="FJ172" s="2057"/>
    </row>
    <row r="173" spans="1:166" s="1834" customFormat="1" ht="15" customHeight="1">
      <c r="A173" s="15968"/>
      <c r="B173" s="15971"/>
      <c r="C173" s="15617"/>
      <c r="D173" s="15617"/>
      <c r="E173" s="15708"/>
      <c r="F173" s="15708"/>
      <c r="G173" s="15708"/>
      <c r="H173" s="15708"/>
      <c r="I173" s="15708"/>
      <c r="J173" s="15708"/>
      <c r="K173" s="15708"/>
      <c r="L173" s="4135" t="s">
        <v>329</v>
      </c>
      <c r="M173" s="2725"/>
      <c r="N173" s="4135" t="s">
        <v>329</v>
      </c>
      <c r="O173" s="3221"/>
      <c r="P173" s="2725"/>
      <c r="Q173" s="2725"/>
      <c r="R173" s="2725"/>
      <c r="S173" s="2725"/>
      <c r="T173" s="2725"/>
      <c r="U173" s="4781"/>
      <c r="V173" s="2725"/>
      <c r="W173" s="2725"/>
      <c r="X173" s="2725"/>
      <c r="Y173" s="2725"/>
      <c r="Z173" s="4149"/>
      <c r="AA173" s="3221"/>
      <c r="AB173" s="3152"/>
      <c r="AC173" s="2725"/>
      <c r="AD173" s="2725"/>
      <c r="AE173" s="3224"/>
      <c r="AF173" s="4668"/>
      <c r="AG173" s="4668"/>
      <c r="AH173" s="3224"/>
      <c r="AI173" s="3224"/>
      <c r="AJ173" s="3221"/>
      <c r="AK173" s="3221"/>
      <c r="AL173" s="3221"/>
      <c r="AM173" s="3221"/>
      <c r="AN173" s="3221"/>
      <c r="AO173" s="3221"/>
      <c r="AP173" s="3221"/>
      <c r="AQ173" s="3221"/>
      <c r="AR173" s="3221"/>
      <c r="AS173" s="3221"/>
      <c r="AT173" s="3221"/>
      <c r="AU173" s="3221"/>
      <c r="AV173" s="3221"/>
      <c r="AW173" s="3221"/>
      <c r="AX173" s="3221"/>
      <c r="AY173" s="3221"/>
      <c r="AZ173" s="3221"/>
      <c r="BA173" s="3221"/>
      <c r="BB173" s="3221"/>
      <c r="BC173" s="3221"/>
      <c r="BD173" s="3221"/>
      <c r="BE173" s="3221"/>
      <c r="BF173" s="3221"/>
      <c r="BG173" s="3221"/>
      <c r="BH173" s="3221"/>
      <c r="BI173" s="3224"/>
      <c r="BJ173" s="3224"/>
      <c r="BK173" s="3224"/>
      <c r="BL173" s="3224"/>
      <c r="BM173" s="3224"/>
      <c r="BN173" s="3224"/>
      <c r="BO173" s="3224"/>
      <c r="BP173" s="3224"/>
      <c r="BQ173" s="3224"/>
      <c r="BR173" s="3224"/>
      <c r="BS173" s="3224"/>
      <c r="BT173" s="4135"/>
      <c r="BU173" s="3221"/>
      <c r="BV173" s="3922"/>
      <c r="BW173" s="3219"/>
      <c r="BX173" s="16004"/>
      <c r="BY173" s="3924"/>
      <c r="BZ173" s="3924"/>
      <c r="CA173" s="3924"/>
      <c r="CB173" s="3925"/>
      <c r="CC173" s="3925"/>
      <c r="CD173" s="2709"/>
      <c r="CE173" s="2709"/>
      <c r="CF173" s="3226"/>
      <c r="CG173" s="3226"/>
      <c r="CH173" s="3226"/>
      <c r="CI173" s="3226"/>
      <c r="CJ173" s="3226"/>
      <c r="CK173" s="3226"/>
      <c r="CL173" s="3226"/>
      <c r="CM173" s="3226"/>
      <c r="CN173" s="3226"/>
      <c r="CO173" s="3226"/>
      <c r="CP173" s="3226"/>
      <c r="CQ173" s="3226"/>
      <c r="CR173" s="3226"/>
      <c r="CS173" s="3220"/>
      <c r="CT173" s="3226"/>
      <c r="CU173" s="3226"/>
      <c r="CV173" s="3226"/>
      <c r="CW173" s="3226"/>
      <c r="CX173" s="3226"/>
      <c r="CY173" s="3226"/>
      <c r="CZ173" s="3226"/>
      <c r="DA173" s="3226"/>
      <c r="DB173" s="3226"/>
      <c r="DC173" s="3226"/>
      <c r="DD173" s="3226"/>
      <c r="DE173" s="3226"/>
      <c r="DF173" s="3226"/>
      <c r="DG173" s="3226"/>
      <c r="DH173" s="3226"/>
      <c r="DI173" s="3226"/>
      <c r="DJ173" s="3226"/>
      <c r="DK173" s="3226"/>
      <c r="DL173" s="3226"/>
      <c r="DM173" s="3226"/>
      <c r="DN173" s="3226"/>
      <c r="DO173" s="4841"/>
      <c r="DQ173" s="2056"/>
      <c r="DR173" s="3224"/>
      <c r="DS173" s="3224"/>
      <c r="DT173" s="3224"/>
      <c r="DU173" s="3224"/>
      <c r="DV173" s="3224"/>
      <c r="DW173" s="3224"/>
      <c r="DX173" s="3224"/>
      <c r="DY173" s="3224"/>
      <c r="DZ173" s="3224"/>
      <c r="EA173" s="3224"/>
      <c r="EB173" s="3224"/>
      <c r="EC173" s="3224"/>
      <c r="ED173" s="3224"/>
      <c r="EE173" s="3224"/>
      <c r="EF173" s="3224"/>
      <c r="EG173" s="3224"/>
      <c r="EH173" s="3224"/>
      <c r="EI173" s="3224"/>
      <c r="EJ173" s="3224"/>
      <c r="EK173" s="3224"/>
      <c r="EL173" s="3224"/>
      <c r="EM173" s="3224"/>
      <c r="EN173" s="3224"/>
      <c r="EO173" s="3224"/>
      <c r="EP173" s="3224"/>
      <c r="EQ173" s="3224"/>
      <c r="ER173" s="3224"/>
      <c r="ES173" s="3224"/>
      <c r="ET173" s="3224"/>
      <c r="EU173" s="3224"/>
      <c r="EV173" s="3224"/>
      <c r="EW173" s="3224"/>
      <c r="EX173" s="3224"/>
      <c r="EY173" s="3224"/>
      <c r="EZ173" s="3224"/>
      <c r="FA173" s="3224"/>
      <c r="FB173" s="3224"/>
      <c r="FC173" s="3224"/>
      <c r="FD173" s="3224"/>
      <c r="FE173" s="3224"/>
      <c r="FF173" s="3224"/>
      <c r="FG173" s="3224"/>
      <c r="FH173" s="3224"/>
      <c r="FI173" s="3224"/>
      <c r="FJ173" s="2057"/>
    </row>
    <row r="174" spans="1:166" s="1834" customFormat="1" ht="15" customHeight="1">
      <c r="A174" s="15968"/>
      <c r="B174" s="15971"/>
      <c r="C174" s="15617"/>
      <c r="D174" s="15617" t="s">
        <v>8015</v>
      </c>
      <c r="E174" s="15708" t="s">
        <v>5042</v>
      </c>
      <c r="F174" s="15708" t="s">
        <v>938</v>
      </c>
      <c r="G174" s="15708">
        <v>0</v>
      </c>
      <c r="H174" s="15708">
        <v>1</v>
      </c>
      <c r="I174" s="15708">
        <v>2</v>
      </c>
      <c r="J174" s="15708">
        <v>5</v>
      </c>
      <c r="K174" s="15708" t="s">
        <v>939</v>
      </c>
      <c r="L174" s="4135" t="s">
        <v>4305</v>
      </c>
      <c r="M174" s="2725" t="s">
        <v>885</v>
      </c>
      <c r="N174" s="4135"/>
      <c r="O174" s="3221"/>
      <c r="P174" s="3221"/>
      <c r="Q174" s="3221"/>
      <c r="R174" s="3221"/>
      <c r="S174" s="3221"/>
      <c r="T174" s="3221"/>
      <c r="U174" s="4797"/>
      <c r="V174" s="3221"/>
      <c r="W174" s="3221"/>
      <c r="X174" s="3221"/>
      <c r="Y174" s="3221"/>
      <c r="Z174" s="4149">
        <v>0</v>
      </c>
      <c r="AA174" s="2725" t="s">
        <v>935</v>
      </c>
      <c r="AB174" s="4782"/>
      <c r="AC174" s="15350" t="s">
        <v>2950</v>
      </c>
      <c r="AD174" s="15350" t="s">
        <v>2955</v>
      </c>
      <c r="AE174" s="15350" t="s">
        <v>2956</v>
      </c>
      <c r="AF174" s="4782"/>
      <c r="AG174" s="3224"/>
      <c r="AH174" s="3224"/>
      <c r="AI174" s="3224"/>
      <c r="AJ174" s="3443"/>
      <c r="AK174" s="3224"/>
      <c r="AL174" s="3224"/>
      <c r="AM174" s="3224"/>
      <c r="AN174" s="3224"/>
      <c r="AO174" s="3224"/>
      <c r="AP174" s="3224"/>
      <c r="AQ174" s="3224"/>
      <c r="AR174" s="3224"/>
      <c r="AS174" s="3224"/>
      <c r="AT174" s="3224"/>
      <c r="AU174" s="3224"/>
      <c r="AV174" s="3224"/>
      <c r="AW174" s="3224"/>
      <c r="AX174" s="3224"/>
      <c r="AY174" s="3224"/>
      <c r="AZ174" s="3224"/>
      <c r="BA174" s="3224"/>
      <c r="BB174" s="3224"/>
      <c r="BC174" s="3224"/>
      <c r="BD174" s="3224"/>
      <c r="BE174" s="3224"/>
      <c r="BF174" s="3224"/>
      <c r="BG174" s="3224"/>
      <c r="BH174" s="3224"/>
      <c r="BI174" s="3224"/>
      <c r="BJ174" s="3224"/>
      <c r="BK174" s="3224"/>
      <c r="BL174" s="3224"/>
      <c r="BM174" s="3224"/>
      <c r="BN174" s="3224"/>
      <c r="BO174" s="3224"/>
      <c r="BP174" s="3224"/>
      <c r="BQ174" s="3224"/>
      <c r="BR174" s="3224"/>
      <c r="BS174" s="3224"/>
      <c r="BT174" s="2725" t="s">
        <v>3781</v>
      </c>
      <c r="BU174" s="3221" t="s">
        <v>3781</v>
      </c>
      <c r="BV174" s="3221" t="s">
        <v>3781</v>
      </c>
      <c r="BW174" s="3219" t="s">
        <v>3781</v>
      </c>
      <c r="BX174" s="16004"/>
      <c r="BY174" s="2725"/>
      <c r="BZ174" s="2725"/>
      <c r="CA174" s="2725"/>
      <c r="CB174" s="2709"/>
      <c r="CC174" s="2709"/>
      <c r="CD174" s="2709"/>
      <c r="CE174" s="2709"/>
      <c r="CF174" s="3226"/>
      <c r="CG174" s="3226"/>
      <c r="CH174" s="3226"/>
      <c r="CI174" s="3226"/>
      <c r="CJ174" s="3226"/>
      <c r="CK174" s="3226"/>
      <c r="CL174" s="3226"/>
      <c r="CM174" s="3226"/>
      <c r="CN174" s="3226"/>
      <c r="CO174" s="3226"/>
      <c r="CP174" s="3226"/>
      <c r="CQ174" s="3226"/>
      <c r="CR174" s="3226"/>
      <c r="CS174" s="3220"/>
      <c r="CT174" s="3226"/>
      <c r="CU174" s="3226"/>
      <c r="CV174" s="3226"/>
      <c r="CW174" s="3226"/>
      <c r="CX174" s="3226"/>
      <c r="CY174" s="3226"/>
      <c r="CZ174" s="3226"/>
      <c r="DA174" s="3226"/>
      <c r="DB174" s="3226"/>
      <c r="DC174" s="3226"/>
      <c r="DD174" s="3226"/>
      <c r="DE174" s="3226"/>
      <c r="DF174" s="3226"/>
      <c r="DG174" s="3226"/>
      <c r="DH174" s="3226"/>
      <c r="DI174" s="3226"/>
      <c r="DJ174" s="3226"/>
      <c r="DK174" s="3226"/>
      <c r="DL174" s="3226"/>
      <c r="DM174" s="3226"/>
      <c r="DN174" s="3226"/>
      <c r="DO174" s="4841"/>
      <c r="DQ174" s="2056"/>
      <c r="DR174" s="3224"/>
      <c r="DS174" s="3224"/>
      <c r="DT174" s="3224"/>
      <c r="DU174" s="3224"/>
      <c r="DV174" s="3224"/>
      <c r="DW174" s="3224"/>
      <c r="DX174" s="3224"/>
      <c r="DY174" s="3224"/>
      <c r="DZ174" s="3224"/>
      <c r="EA174" s="3224"/>
      <c r="EB174" s="3224"/>
      <c r="EC174" s="3224"/>
      <c r="ED174" s="3224"/>
      <c r="EE174" s="3224"/>
      <c r="EF174" s="3224"/>
      <c r="EG174" s="3224"/>
      <c r="EH174" s="3224"/>
      <c r="EI174" s="3224"/>
      <c r="EJ174" s="3224"/>
      <c r="EK174" s="3224"/>
      <c r="EL174" s="3224"/>
      <c r="EM174" s="3224"/>
      <c r="EN174" s="3224"/>
      <c r="EO174" s="3224"/>
      <c r="EP174" s="3224"/>
      <c r="EQ174" s="3224"/>
      <c r="ER174" s="3224"/>
      <c r="ES174" s="3224"/>
      <c r="ET174" s="3224"/>
      <c r="EU174" s="3224"/>
      <c r="EV174" s="3224"/>
      <c r="EW174" s="3224"/>
      <c r="EX174" s="3224"/>
      <c r="EY174" s="3224"/>
      <c r="EZ174" s="3224"/>
      <c r="FA174" s="3224"/>
      <c r="FB174" s="3224"/>
      <c r="FC174" s="3224"/>
      <c r="FD174" s="3224"/>
      <c r="FE174" s="3224"/>
      <c r="FF174" s="3224"/>
      <c r="FG174" s="3224"/>
      <c r="FH174" s="3224"/>
      <c r="FI174" s="3224"/>
      <c r="FJ174" s="2057"/>
    </row>
    <row r="175" spans="1:166" s="1834" customFormat="1" ht="15" customHeight="1">
      <c r="A175" s="15968"/>
      <c r="B175" s="15971"/>
      <c r="C175" s="15617"/>
      <c r="D175" s="15617"/>
      <c r="E175" s="15708"/>
      <c r="F175" s="15708"/>
      <c r="G175" s="15708"/>
      <c r="H175" s="15708"/>
      <c r="I175" s="15708"/>
      <c r="J175" s="15708"/>
      <c r="K175" s="15708"/>
      <c r="L175" s="4135" t="s">
        <v>8575</v>
      </c>
      <c r="M175" s="2725"/>
      <c r="N175" s="4135" t="s">
        <v>940</v>
      </c>
      <c r="O175" s="3221"/>
      <c r="P175" s="3221"/>
      <c r="Q175" s="3221"/>
      <c r="R175" s="3221"/>
      <c r="S175" s="3221"/>
      <c r="T175" s="3221"/>
      <c r="U175" s="4797"/>
      <c r="V175" s="3221"/>
      <c r="W175" s="3221"/>
      <c r="X175" s="3221"/>
      <c r="Y175" s="3221"/>
      <c r="Z175" s="4149"/>
      <c r="AA175" s="2725"/>
      <c r="AB175" s="4782"/>
      <c r="AC175" s="15350"/>
      <c r="AD175" s="15350"/>
      <c r="AE175" s="15350"/>
      <c r="AF175" s="4782"/>
      <c r="AG175" s="3224"/>
      <c r="AH175" s="3224"/>
      <c r="AI175" s="3224"/>
      <c r="AJ175" s="3443"/>
      <c r="AK175" s="3224"/>
      <c r="AL175" s="3224"/>
      <c r="AM175" s="3224"/>
      <c r="AN175" s="3224"/>
      <c r="AO175" s="3224"/>
      <c r="AP175" s="3224"/>
      <c r="AQ175" s="3224"/>
      <c r="AR175" s="3224"/>
      <c r="AS175" s="3224"/>
      <c r="AT175" s="3224"/>
      <c r="AU175" s="3224"/>
      <c r="AV175" s="3224"/>
      <c r="AW175" s="3224"/>
      <c r="AX175" s="3224"/>
      <c r="AY175" s="3224"/>
      <c r="AZ175" s="3224"/>
      <c r="BA175" s="3224"/>
      <c r="BB175" s="3224"/>
      <c r="BC175" s="3224"/>
      <c r="BD175" s="3224"/>
      <c r="BE175" s="3224"/>
      <c r="BF175" s="3224"/>
      <c r="BG175" s="3224"/>
      <c r="BH175" s="3224"/>
      <c r="BI175" s="3224"/>
      <c r="BJ175" s="3224"/>
      <c r="BK175" s="3224"/>
      <c r="BL175" s="3224"/>
      <c r="BM175" s="3224"/>
      <c r="BN175" s="3224"/>
      <c r="BO175" s="3224"/>
      <c r="BP175" s="3224"/>
      <c r="BQ175" s="3224"/>
      <c r="BR175" s="3224"/>
      <c r="BS175" s="3224"/>
      <c r="BT175" s="2725"/>
      <c r="BU175" s="3221"/>
      <c r="BV175" s="3221"/>
      <c r="BW175" s="3219"/>
      <c r="BX175" s="16004"/>
      <c r="BY175" s="2725"/>
      <c r="BZ175" s="2725"/>
      <c r="CA175" s="2725"/>
      <c r="CB175" s="2709"/>
      <c r="CC175" s="2709"/>
      <c r="CD175" s="2709"/>
      <c r="CE175" s="2709"/>
      <c r="CF175" s="3226"/>
      <c r="CG175" s="3226"/>
      <c r="CH175" s="3226"/>
      <c r="CI175" s="3226"/>
      <c r="CJ175" s="3226"/>
      <c r="CK175" s="3226"/>
      <c r="CL175" s="3226"/>
      <c r="CM175" s="3226"/>
      <c r="CN175" s="3226"/>
      <c r="CO175" s="3226"/>
      <c r="CP175" s="3226"/>
      <c r="CQ175" s="3226"/>
      <c r="CR175" s="3226"/>
      <c r="CS175" s="3220"/>
      <c r="CT175" s="3226"/>
      <c r="CU175" s="3226"/>
      <c r="CV175" s="3226"/>
      <c r="CW175" s="3226"/>
      <c r="CX175" s="3226"/>
      <c r="CY175" s="3226"/>
      <c r="CZ175" s="3226"/>
      <c r="DA175" s="3226"/>
      <c r="DB175" s="3226"/>
      <c r="DC175" s="3226"/>
      <c r="DD175" s="3226"/>
      <c r="DE175" s="3226"/>
      <c r="DF175" s="3226"/>
      <c r="DG175" s="3226"/>
      <c r="DH175" s="3226"/>
      <c r="DI175" s="3226"/>
      <c r="DJ175" s="3226"/>
      <c r="DK175" s="3226"/>
      <c r="DL175" s="3226"/>
      <c r="DM175" s="3226"/>
      <c r="DN175" s="3226"/>
      <c r="DO175" s="4841"/>
      <c r="DQ175" s="2056"/>
      <c r="DR175" s="3224"/>
      <c r="DS175" s="3224"/>
      <c r="DT175" s="3224"/>
      <c r="DU175" s="3224"/>
      <c r="DV175" s="3224"/>
      <c r="DW175" s="3224"/>
      <c r="DX175" s="3224"/>
      <c r="DY175" s="3224"/>
      <c r="DZ175" s="3224"/>
      <c r="EA175" s="3224"/>
      <c r="EB175" s="3224"/>
      <c r="EC175" s="3224"/>
      <c r="ED175" s="3224"/>
      <c r="EE175" s="3224"/>
      <c r="EF175" s="3224"/>
      <c r="EG175" s="3224"/>
      <c r="EH175" s="3224"/>
      <c r="EI175" s="3224"/>
      <c r="EJ175" s="3224"/>
      <c r="EK175" s="3224"/>
      <c r="EL175" s="3224"/>
      <c r="EM175" s="3224"/>
      <c r="EN175" s="3224"/>
      <c r="EO175" s="3224"/>
      <c r="EP175" s="3224"/>
      <c r="EQ175" s="3224"/>
      <c r="ER175" s="3224"/>
      <c r="ES175" s="3224"/>
      <c r="ET175" s="3224"/>
      <c r="EU175" s="3224"/>
      <c r="EV175" s="3224"/>
      <c r="EW175" s="3224"/>
      <c r="EX175" s="3224"/>
      <c r="EY175" s="3224"/>
      <c r="EZ175" s="3224"/>
      <c r="FA175" s="3224"/>
      <c r="FB175" s="3224"/>
      <c r="FC175" s="3224"/>
      <c r="FD175" s="3224"/>
      <c r="FE175" s="3224"/>
      <c r="FF175" s="3224"/>
      <c r="FG175" s="3224"/>
      <c r="FH175" s="3224"/>
      <c r="FI175" s="3224"/>
      <c r="FJ175" s="2057"/>
    </row>
    <row r="176" spans="1:166" s="1834" customFormat="1" ht="15" customHeight="1">
      <c r="A176" s="15968"/>
      <c r="B176" s="15971"/>
      <c r="C176" s="15617"/>
      <c r="D176" s="15617" t="s">
        <v>8016</v>
      </c>
      <c r="E176" s="15708" t="s">
        <v>5043</v>
      </c>
      <c r="F176" s="15708" t="s">
        <v>941</v>
      </c>
      <c r="G176" s="15708">
        <v>0</v>
      </c>
      <c r="H176" s="15708">
        <v>1</v>
      </c>
      <c r="I176" s="15708">
        <v>1</v>
      </c>
      <c r="J176" s="15708">
        <v>1</v>
      </c>
      <c r="K176" s="15708" t="s">
        <v>792</v>
      </c>
      <c r="L176" s="4135" t="s">
        <v>4305</v>
      </c>
      <c r="M176" s="2725" t="s">
        <v>885</v>
      </c>
      <c r="N176" s="4135"/>
      <c r="O176" s="3221">
        <v>20</v>
      </c>
      <c r="P176" s="2725">
        <v>21</v>
      </c>
      <c r="Q176" s="2725">
        <v>21</v>
      </c>
      <c r="R176" s="2725">
        <v>22</v>
      </c>
      <c r="S176" s="2725">
        <v>23</v>
      </c>
      <c r="T176" s="2725">
        <v>23</v>
      </c>
      <c r="U176" s="4781">
        <v>24</v>
      </c>
      <c r="V176" s="2725">
        <v>25</v>
      </c>
      <c r="W176" s="2725">
        <v>25</v>
      </c>
      <c r="X176" s="2725">
        <v>26</v>
      </c>
      <c r="Y176" s="2725">
        <v>27</v>
      </c>
      <c r="Z176" s="4149">
        <v>256</v>
      </c>
      <c r="AA176" s="3221"/>
      <c r="AB176" s="4818">
        <v>1</v>
      </c>
      <c r="AC176" s="15350"/>
      <c r="AD176" s="15350"/>
      <c r="AE176" s="15350"/>
      <c r="AF176" s="4817">
        <v>8258239.9090909082</v>
      </c>
      <c r="AG176" s="4817">
        <v>6307876.2727272725</v>
      </c>
      <c r="AH176" s="4817">
        <v>1950363.6363636362</v>
      </c>
      <c r="AI176" s="3224"/>
      <c r="AJ176" s="3440" t="s">
        <v>2997</v>
      </c>
      <c r="AK176" s="3224"/>
      <c r="AL176" s="3224"/>
      <c r="AM176" s="3224"/>
      <c r="AN176" s="3224"/>
      <c r="AO176" s="3224"/>
      <c r="AP176" s="3224"/>
      <c r="AQ176" s="3224"/>
      <c r="AR176" s="3224"/>
      <c r="AS176" s="3224"/>
      <c r="AT176" s="3224"/>
      <c r="AU176" s="3224"/>
      <c r="AV176" s="3224"/>
      <c r="AW176" s="3224"/>
      <c r="AX176" s="3224"/>
      <c r="AY176" s="3224"/>
      <c r="AZ176" s="3224"/>
      <c r="BA176" s="3224"/>
      <c r="BB176" s="3224"/>
      <c r="BC176" s="3224"/>
      <c r="BD176" s="3224"/>
      <c r="BE176" s="3224"/>
      <c r="BF176" s="3224"/>
      <c r="BG176" s="3224"/>
      <c r="BH176" s="3224"/>
      <c r="BI176" s="3224"/>
      <c r="BJ176" s="3224"/>
      <c r="BK176" s="3224"/>
      <c r="BL176" s="3224"/>
      <c r="BM176" s="3224"/>
      <c r="BN176" s="3224"/>
      <c r="BO176" s="3224"/>
      <c r="BP176" s="3224"/>
      <c r="BQ176" s="3224"/>
      <c r="BR176" s="3224"/>
      <c r="BS176" s="3224"/>
      <c r="BT176" s="4135">
        <v>1</v>
      </c>
      <c r="BU176" s="3221">
        <v>1</v>
      </c>
      <c r="BV176" s="3221">
        <v>1</v>
      </c>
      <c r="BW176" s="3219">
        <f t="shared" si="12"/>
        <v>1</v>
      </c>
      <c r="BX176" s="16004"/>
      <c r="BY176" s="4783" t="s">
        <v>9901</v>
      </c>
      <c r="BZ176" s="4783" t="s">
        <v>9049</v>
      </c>
      <c r="CA176" s="4783" t="s">
        <v>9050</v>
      </c>
      <c r="CB176" s="3925">
        <v>41257106.095454544</v>
      </c>
      <c r="CC176" s="3445">
        <v>40476960.640909091</v>
      </c>
      <c r="CD176" s="3240">
        <v>780145.45454545459</v>
      </c>
      <c r="CE176" s="3240">
        <v>0</v>
      </c>
      <c r="CF176" s="3445"/>
      <c r="CG176" s="3226"/>
      <c r="CH176" s="3226"/>
      <c r="CI176" s="3226"/>
      <c r="CJ176" s="3226"/>
      <c r="CK176" s="3226"/>
      <c r="CL176" s="3226"/>
      <c r="CM176" s="3226"/>
      <c r="CN176" s="3226"/>
      <c r="CO176" s="3226"/>
      <c r="CP176" s="3226"/>
      <c r="CQ176" s="3226"/>
      <c r="CR176" s="3226"/>
      <c r="CS176" s="3220"/>
      <c r="CT176" s="3226"/>
      <c r="CU176" s="3226"/>
      <c r="CV176" s="3226"/>
      <c r="CW176" s="3226"/>
      <c r="CX176" s="3226"/>
      <c r="CY176" s="3226"/>
      <c r="CZ176" s="3226"/>
      <c r="DA176" s="3226"/>
      <c r="DB176" s="3226"/>
      <c r="DC176" s="3226"/>
      <c r="DD176" s="3226"/>
      <c r="DE176" s="3226"/>
      <c r="DF176" s="3226"/>
      <c r="DG176" s="3226"/>
      <c r="DH176" s="3226"/>
      <c r="DI176" s="3226"/>
      <c r="DJ176" s="3226"/>
      <c r="DK176" s="3226"/>
      <c r="DL176" s="3226"/>
      <c r="DM176" s="3226"/>
      <c r="DN176" s="3226"/>
      <c r="DO176" s="4841"/>
      <c r="DQ176" s="2056"/>
      <c r="DR176" s="3224"/>
      <c r="DS176" s="3224"/>
      <c r="DT176" s="3224"/>
      <c r="DU176" s="3224"/>
      <c r="DV176" s="3224"/>
      <c r="DW176" s="3224"/>
      <c r="DX176" s="3224"/>
      <c r="DY176" s="3224"/>
      <c r="DZ176" s="3224"/>
      <c r="EA176" s="3224"/>
      <c r="EB176" s="3224"/>
      <c r="EC176" s="3224"/>
      <c r="ED176" s="3224"/>
      <c r="EE176" s="3224"/>
      <c r="EF176" s="3224"/>
      <c r="EG176" s="3224"/>
      <c r="EH176" s="3224"/>
      <c r="EI176" s="3224"/>
      <c r="EJ176" s="3224"/>
      <c r="EK176" s="3224"/>
      <c r="EL176" s="3224"/>
      <c r="EM176" s="3224"/>
      <c r="EN176" s="3224"/>
      <c r="EO176" s="3224"/>
      <c r="EP176" s="3224"/>
      <c r="EQ176" s="3224"/>
      <c r="ER176" s="3224"/>
      <c r="ES176" s="3224"/>
      <c r="ET176" s="3224"/>
      <c r="EU176" s="3224"/>
      <c r="EV176" s="3224"/>
      <c r="EW176" s="3224"/>
      <c r="EX176" s="3224"/>
      <c r="EY176" s="3224"/>
      <c r="EZ176" s="3224"/>
      <c r="FA176" s="3224"/>
      <c r="FB176" s="3224"/>
      <c r="FC176" s="3224"/>
      <c r="FD176" s="3224"/>
      <c r="FE176" s="3224"/>
      <c r="FF176" s="3224"/>
      <c r="FG176" s="3224"/>
      <c r="FH176" s="3224"/>
      <c r="FI176" s="3224"/>
      <c r="FJ176" s="2057"/>
    </row>
    <row r="177" spans="1:166" s="1834" customFormat="1" ht="15" customHeight="1">
      <c r="A177" s="15968"/>
      <c r="B177" s="15971"/>
      <c r="C177" s="4129"/>
      <c r="D177" s="15617"/>
      <c r="E177" s="15708"/>
      <c r="F177" s="15708"/>
      <c r="G177" s="15708"/>
      <c r="H177" s="15708"/>
      <c r="I177" s="15708"/>
      <c r="J177" s="15708"/>
      <c r="K177" s="15708"/>
      <c r="L177" s="4135" t="s">
        <v>10063</v>
      </c>
      <c r="M177" s="2725"/>
      <c r="N177" s="4135" t="s">
        <v>942</v>
      </c>
      <c r="O177" s="3221"/>
      <c r="P177" s="2725"/>
      <c r="Q177" s="2725"/>
      <c r="R177" s="2725"/>
      <c r="S177" s="2725"/>
      <c r="T177" s="2725"/>
      <c r="U177" s="4781"/>
      <c r="V177" s="2725"/>
      <c r="W177" s="2725"/>
      <c r="X177" s="2725"/>
      <c r="Y177" s="2725"/>
      <c r="Z177" s="4149"/>
      <c r="AA177" s="3221"/>
      <c r="AB177" s="4818"/>
      <c r="AC177" s="2725"/>
      <c r="AD177" s="2725"/>
      <c r="AE177" s="2725"/>
      <c r="AF177" s="4817"/>
      <c r="AG177" s="4817"/>
      <c r="AH177" s="4817"/>
      <c r="AI177" s="3224"/>
      <c r="AJ177" s="3440"/>
      <c r="AK177" s="3224"/>
      <c r="AL177" s="3224"/>
      <c r="AM177" s="3224"/>
      <c r="AN177" s="3224"/>
      <c r="AO177" s="3224"/>
      <c r="AP177" s="3224"/>
      <c r="AQ177" s="3224"/>
      <c r="AR177" s="3224"/>
      <c r="AS177" s="3224"/>
      <c r="AT177" s="3224"/>
      <c r="AU177" s="3224"/>
      <c r="AV177" s="3224"/>
      <c r="AW177" s="3224"/>
      <c r="AX177" s="3224"/>
      <c r="AY177" s="3224"/>
      <c r="AZ177" s="3224"/>
      <c r="BA177" s="3224"/>
      <c r="BB177" s="3224"/>
      <c r="BC177" s="3224"/>
      <c r="BD177" s="3224"/>
      <c r="BE177" s="3224"/>
      <c r="BF177" s="3224"/>
      <c r="BG177" s="3224"/>
      <c r="BH177" s="3224"/>
      <c r="BI177" s="3224"/>
      <c r="BJ177" s="3224"/>
      <c r="BK177" s="3224"/>
      <c r="BL177" s="3224"/>
      <c r="BM177" s="3224"/>
      <c r="BN177" s="3224"/>
      <c r="BO177" s="3224"/>
      <c r="BP177" s="3224"/>
      <c r="BQ177" s="3224"/>
      <c r="BR177" s="3224"/>
      <c r="BS177" s="3224"/>
      <c r="BT177" s="4135"/>
      <c r="BU177" s="3221"/>
      <c r="BV177" s="3221"/>
      <c r="BW177" s="3219"/>
      <c r="BX177" s="16004"/>
      <c r="BY177" s="4783"/>
      <c r="BZ177" s="4783"/>
      <c r="CA177" s="4783"/>
      <c r="CB177" s="3925"/>
      <c r="CC177" s="3445"/>
      <c r="CD177" s="3240"/>
      <c r="CE177" s="3240"/>
      <c r="CF177" s="3445"/>
      <c r="CG177" s="3226"/>
      <c r="CH177" s="3226"/>
      <c r="CI177" s="3226"/>
      <c r="CJ177" s="3226"/>
      <c r="CK177" s="3226"/>
      <c r="CL177" s="3226"/>
      <c r="CM177" s="3226"/>
      <c r="CN177" s="3226"/>
      <c r="CO177" s="3226"/>
      <c r="CP177" s="3226"/>
      <c r="CQ177" s="3226"/>
      <c r="CR177" s="3226"/>
      <c r="CS177" s="3220"/>
      <c r="CT177" s="3226"/>
      <c r="CU177" s="3226"/>
      <c r="CV177" s="3226"/>
      <c r="CW177" s="3226"/>
      <c r="CX177" s="3226"/>
      <c r="CY177" s="3226"/>
      <c r="CZ177" s="3226"/>
      <c r="DA177" s="3226"/>
      <c r="DB177" s="3226"/>
      <c r="DC177" s="3226"/>
      <c r="DD177" s="3226"/>
      <c r="DE177" s="3226"/>
      <c r="DF177" s="3226"/>
      <c r="DG177" s="3226"/>
      <c r="DH177" s="3226"/>
      <c r="DI177" s="3226"/>
      <c r="DJ177" s="3226"/>
      <c r="DK177" s="3226"/>
      <c r="DL177" s="3226"/>
      <c r="DM177" s="3226"/>
      <c r="DN177" s="3226"/>
      <c r="DO177" s="4841"/>
      <c r="DQ177" s="2056"/>
      <c r="DR177" s="3224"/>
      <c r="DS177" s="3224"/>
      <c r="DT177" s="3224"/>
      <c r="DU177" s="3224"/>
      <c r="DV177" s="3224"/>
      <c r="DW177" s="3224"/>
      <c r="DX177" s="3224"/>
      <c r="DY177" s="3224"/>
      <c r="DZ177" s="3224"/>
      <c r="EA177" s="3224"/>
      <c r="EB177" s="3224"/>
      <c r="EC177" s="3224"/>
      <c r="ED177" s="3224"/>
      <c r="EE177" s="3224"/>
      <c r="EF177" s="3224"/>
      <c r="EG177" s="3224"/>
      <c r="EH177" s="3224"/>
      <c r="EI177" s="3224"/>
      <c r="EJ177" s="3224"/>
      <c r="EK177" s="3224"/>
      <c r="EL177" s="3224"/>
      <c r="EM177" s="3224"/>
      <c r="EN177" s="3224"/>
      <c r="EO177" s="3224"/>
      <c r="EP177" s="3224"/>
      <c r="EQ177" s="3224"/>
      <c r="ER177" s="3224"/>
      <c r="ES177" s="3224"/>
      <c r="ET177" s="3224"/>
      <c r="EU177" s="3224"/>
      <c r="EV177" s="3224"/>
      <c r="EW177" s="3224"/>
      <c r="EX177" s="3224"/>
      <c r="EY177" s="3224"/>
      <c r="EZ177" s="3224"/>
      <c r="FA177" s="3224"/>
      <c r="FB177" s="3224"/>
      <c r="FC177" s="3224"/>
      <c r="FD177" s="3224"/>
      <c r="FE177" s="3224"/>
      <c r="FF177" s="3224"/>
      <c r="FG177" s="3224"/>
      <c r="FH177" s="3224"/>
      <c r="FI177" s="3224"/>
      <c r="FJ177" s="2057"/>
    </row>
    <row r="178" spans="1:166" s="1834" customFormat="1" ht="15" customHeight="1">
      <c r="A178" s="15968"/>
      <c r="B178" s="15971"/>
      <c r="C178" s="15617" t="s">
        <v>943</v>
      </c>
      <c r="D178" s="15617" t="s">
        <v>8017</v>
      </c>
      <c r="E178" s="15708" t="s">
        <v>5044</v>
      </c>
      <c r="F178" s="15708" t="s">
        <v>944</v>
      </c>
      <c r="G178" s="15708" t="s">
        <v>753</v>
      </c>
      <c r="H178" s="15708">
        <v>1</v>
      </c>
      <c r="I178" s="15708">
        <v>2</v>
      </c>
      <c r="J178" s="15708">
        <v>2</v>
      </c>
      <c r="K178" s="15708" t="s">
        <v>700</v>
      </c>
      <c r="L178" s="4135" t="s">
        <v>4305</v>
      </c>
      <c r="M178" s="2725" t="s">
        <v>885</v>
      </c>
      <c r="N178" s="4135"/>
      <c r="O178" s="3221">
        <v>25</v>
      </c>
      <c r="P178" s="2725">
        <v>26</v>
      </c>
      <c r="Q178" s="2725">
        <v>27</v>
      </c>
      <c r="R178" s="2725">
        <v>27</v>
      </c>
      <c r="S178" s="2725">
        <v>28</v>
      </c>
      <c r="T178" s="2725">
        <v>29</v>
      </c>
      <c r="U178" s="4781">
        <v>30</v>
      </c>
      <c r="V178" s="2725">
        <v>31</v>
      </c>
      <c r="W178" s="2725">
        <v>32</v>
      </c>
      <c r="X178" s="2725">
        <v>33</v>
      </c>
      <c r="Y178" s="2725">
        <v>34</v>
      </c>
      <c r="Z178" s="4149">
        <v>320</v>
      </c>
      <c r="AA178" s="3221"/>
      <c r="AB178" s="3152">
        <v>1</v>
      </c>
      <c r="AC178" s="2725" t="s">
        <v>2957</v>
      </c>
      <c r="AD178" s="2725" t="s">
        <v>2958</v>
      </c>
      <c r="AE178" s="3221"/>
      <c r="AF178" s="4671">
        <f>17847*42</f>
        <v>749574</v>
      </c>
      <c r="AG178" s="3221" t="s">
        <v>2954</v>
      </c>
      <c r="AH178" s="3221"/>
      <c r="AI178" s="3221"/>
      <c r="AJ178" s="3221">
        <v>42</v>
      </c>
      <c r="AK178" s="3221">
        <v>30</v>
      </c>
      <c r="AL178" s="3221">
        <v>12</v>
      </c>
      <c r="AM178" s="3221"/>
      <c r="AN178" s="3221"/>
      <c r="AO178" s="3221"/>
      <c r="AP178" s="3221"/>
      <c r="AQ178" s="3221"/>
      <c r="AR178" s="3221">
        <v>15</v>
      </c>
      <c r="AS178" s="3221">
        <v>19</v>
      </c>
      <c r="AT178" s="3221">
        <v>8</v>
      </c>
      <c r="AU178" s="3221"/>
      <c r="AV178" s="3221"/>
      <c r="AW178" s="3221">
        <v>42</v>
      </c>
      <c r="AX178" s="3221">
        <v>4</v>
      </c>
      <c r="AY178" s="3221"/>
      <c r="AZ178" s="3221">
        <v>1</v>
      </c>
      <c r="BA178" s="3221"/>
      <c r="BB178" s="3221"/>
      <c r="BC178" s="3221"/>
      <c r="BD178" s="3221">
        <v>41</v>
      </c>
      <c r="BE178" s="3221">
        <v>1</v>
      </c>
      <c r="BF178" s="3221"/>
      <c r="BG178" s="3221"/>
      <c r="BH178" s="3221"/>
      <c r="BI178" s="3221"/>
      <c r="BJ178" s="3221"/>
      <c r="BK178" s="3221"/>
      <c r="BL178" s="3221"/>
      <c r="BM178" s="3221"/>
      <c r="BN178" s="3221"/>
      <c r="BO178" s="3221"/>
      <c r="BP178" s="3221"/>
      <c r="BQ178" s="3221"/>
      <c r="BR178" s="3221"/>
      <c r="BS178" s="3221"/>
      <c r="BT178" s="4135">
        <v>2</v>
      </c>
      <c r="BU178" s="3221">
        <v>2</v>
      </c>
      <c r="BV178" s="4144">
        <v>2</v>
      </c>
      <c r="BW178" s="3219">
        <v>1</v>
      </c>
      <c r="BX178" s="16004"/>
      <c r="BY178" s="4783" t="s">
        <v>9051</v>
      </c>
      <c r="BZ178" s="4783" t="s">
        <v>9052</v>
      </c>
      <c r="CA178" s="4783" t="s">
        <v>9053</v>
      </c>
      <c r="CB178" s="3925">
        <v>3230307</v>
      </c>
      <c r="CC178" s="3925">
        <v>3230307</v>
      </c>
      <c r="CD178" s="2709"/>
      <c r="CE178" s="2709"/>
      <c r="CF178" s="3226"/>
      <c r="CG178" s="3226"/>
      <c r="CH178" s="3226"/>
      <c r="CI178" s="3226"/>
      <c r="CJ178" s="3226"/>
      <c r="CK178" s="3226"/>
      <c r="CL178" s="3226"/>
      <c r="CM178" s="3226"/>
      <c r="CN178" s="3226"/>
      <c r="CO178" s="3226"/>
      <c r="CP178" s="3226"/>
      <c r="CQ178" s="3226"/>
      <c r="CR178" s="3226"/>
      <c r="CS178" s="3220"/>
      <c r="CT178" s="3226"/>
      <c r="CU178" s="3226"/>
      <c r="CV178" s="3226"/>
      <c r="CW178" s="3226"/>
      <c r="CX178" s="3226"/>
      <c r="CY178" s="3226"/>
      <c r="CZ178" s="3226"/>
      <c r="DA178" s="3226"/>
      <c r="DB178" s="3226"/>
      <c r="DC178" s="3226"/>
      <c r="DD178" s="3226"/>
      <c r="DE178" s="3226"/>
      <c r="DF178" s="3226"/>
      <c r="DG178" s="3226"/>
      <c r="DH178" s="3226"/>
      <c r="DI178" s="3226"/>
      <c r="DJ178" s="3226"/>
      <c r="DK178" s="3226"/>
      <c r="DL178" s="3226"/>
      <c r="DM178" s="3226"/>
      <c r="DN178" s="3226"/>
      <c r="DO178" s="4841"/>
      <c r="DQ178" s="2056"/>
      <c r="DR178" s="3224"/>
      <c r="DS178" s="3224"/>
      <c r="DT178" s="3224"/>
      <c r="DU178" s="3224"/>
      <c r="DV178" s="3224"/>
      <c r="DW178" s="3224"/>
      <c r="DX178" s="3224"/>
      <c r="DY178" s="3224"/>
      <c r="DZ178" s="3224"/>
      <c r="EA178" s="3224"/>
      <c r="EB178" s="3224"/>
      <c r="EC178" s="3224"/>
      <c r="ED178" s="3224"/>
      <c r="EE178" s="3224"/>
      <c r="EF178" s="3224"/>
      <c r="EG178" s="3224"/>
      <c r="EH178" s="3224"/>
      <c r="EI178" s="3224"/>
      <c r="EJ178" s="3224"/>
      <c r="EK178" s="3224"/>
      <c r="EL178" s="3224"/>
      <c r="EM178" s="3224"/>
      <c r="EN178" s="3224"/>
      <c r="EO178" s="3224"/>
      <c r="EP178" s="3224"/>
      <c r="EQ178" s="3224"/>
      <c r="ER178" s="3224"/>
      <c r="ES178" s="3224"/>
      <c r="ET178" s="3224"/>
      <c r="EU178" s="3224"/>
      <c r="EV178" s="3224"/>
      <c r="EW178" s="3224"/>
      <c r="EX178" s="3224"/>
      <c r="EY178" s="3224"/>
      <c r="EZ178" s="3224"/>
      <c r="FA178" s="3224"/>
      <c r="FB178" s="3224"/>
      <c r="FC178" s="3224"/>
      <c r="FD178" s="3224"/>
      <c r="FE178" s="3224"/>
      <c r="FF178" s="3224"/>
      <c r="FG178" s="3224"/>
      <c r="FH178" s="3224"/>
      <c r="FI178" s="3224"/>
      <c r="FJ178" s="2057"/>
    </row>
    <row r="179" spans="1:166" s="1834" customFormat="1" ht="15" customHeight="1">
      <c r="A179" s="15968"/>
      <c r="B179" s="15971"/>
      <c r="C179" s="15617"/>
      <c r="D179" s="15617"/>
      <c r="E179" s="15708"/>
      <c r="F179" s="15708"/>
      <c r="G179" s="15708"/>
      <c r="H179" s="15708"/>
      <c r="I179" s="15708"/>
      <c r="J179" s="15708"/>
      <c r="K179" s="15708"/>
      <c r="L179" s="4135" t="s">
        <v>10063</v>
      </c>
      <c r="M179" s="2725"/>
      <c r="N179" s="4135" t="s">
        <v>10240</v>
      </c>
      <c r="O179" s="3221"/>
      <c r="P179" s="2725"/>
      <c r="Q179" s="2725"/>
      <c r="R179" s="2725"/>
      <c r="S179" s="2725"/>
      <c r="T179" s="2725"/>
      <c r="U179" s="4781"/>
      <c r="V179" s="2725"/>
      <c r="W179" s="2725"/>
      <c r="X179" s="2725"/>
      <c r="Y179" s="2725"/>
      <c r="Z179" s="4149"/>
      <c r="AA179" s="3221"/>
      <c r="AB179" s="3152"/>
      <c r="AC179" s="2725"/>
      <c r="AD179" s="2725"/>
      <c r="AE179" s="3221"/>
      <c r="AF179" s="4671"/>
      <c r="AG179" s="3221"/>
      <c r="AH179" s="3221"/>
      <c r="AI179" s="3221"/>
      <c r="AJ179" s="3221"/>
      <c r="AK179" s="3221"/>
      <c r="AL179" s="3221"/>
      <c r="AM179" s="3221"/>
      <c r="AN179" s="3221"/>
      <c r="AO179" s="3221"/>
      <c r="AP179" s="3221"/>
      <c r="AQ179" s="3221"/>
      <c r="AR179" s="3221"/>
      <c r="AS179" s="3221"/>
      <c r="AT179" s="3221"/>
      <c r="AU179" s="3221"/>
      <c r="AV179" s="3221"/>
      <c r="AW179" s="3221"/>
      <c r="AX179" s="3221"/>
      <c r="AY179" s="3221"/>
      <c r="AZ179" s="3221"/>
      <c r="BA179" s="3221"/>
      <c r="BB179" s="3221"/>
      <c r="BC179" s="3221"/>
      <c r="BD179" s="3221"/>
      <c r="BE179" s="3221"/>
      <c r="BF179" s="3221"/>
      <c r="BG179" s="3221"/>
      <c r="BH179" s="3221"/>
      <c r="BI179" s="3221"/>
      <c r="BJ179" s="3221"/>
      <c r="BK179" s="3221"/>
      <c r="BL179" s="3221"/>
      <c r="BM179" s="3221"/>
      <c r="BN179" s="3221"/>
      <c r="BO179" s="3221"/>
      <c r="BP179" s="3221"/>
      <c r="BQ179" s="3221"/>
      <c r="BR179" s="3221"/>
      <c r="BS179" s="3221"/>
      <c r="BT179" s="4135"/>
      <c r="BU179" s="3221"/>
      <c r="BV179" s="4144"/>
      <c r="BW179" s="3219"/>
      <c r="BX179" s="16004"/>
      <c r="BY179" s="4783"/>
      <c r="BZ179" s="4783"/>
      <c r="CA179" s="4783"/>
      <c r="CB179" s="3925"/>
      <c r="CC179" s="3925"/>
      <c r="CD179" s="2709"/>
      <c r="CE179" s="2709"/>
      <c r="CF179" s="3226"/>
      <c r="CG179" s="3226"/>
      <c r="CH179" s="3226"/>
      <c r="CI179" s="3226"/>
      <c r="CJ179" s="3226"/>
      <c r="CK179" s="3226"/>
      <c r="CL179" s="3226"/>
      <c r="CM179" s="3226"/>
      <c r="CN179" s="3226"/>
      <c r="CO179" s="3226"/>
      <c r="CP179" s="3226"/>
      <c r="CQ179" s="3226"/>
      <c r="CR179" s="3226"/>
      <c r="CS179" s="3220"/>
      <c r="CT179" s="3226"/>
      <c r="CU179" s="3226"/>
      <c r="CV179" s="3226"/>
      <c r="CW179" s="3226"/>
      <c r="CX179" s="3226"/>
      <c r="CY179" s="3226"/>
      <c r="CZ179" s="3226"/>
      <c r="DA179" s="3226"/>
      <c r="DB179" s="3226"/>
      <c r="DC179" s="3226"/>
      <c r="DD179" s="3226"/>
      <c r="DE179" s="3226"/>
      <c r="DF179" s="3226"/>
      <c r="DG179" s="3226"/>
      <c r="DH179" s="3226"/>
      <c r="DI179" s="3226"/>
      <c r="DJ179" s="3226"/>
      <c r="DK179" s="3226"/>
      <c r="DL179" s="3226"/>
      <c r="DM179" s="3226"/>
      <c r="DN179" s="3226"/>
      <c r="DO179" s="4841"/>
      <c r="DQ179" s="2056"/>
      <c r="DR179" s="3224"/>
      <c r="DS179" s="3224"/>
      <c r="DT179" s="3224"/>
      <c r="DU179" s="3224"/>
      <c r="DV179" s="3224"/>
      <c r="DW179" s="3224"/>
      <c r="DX179" s="3224"/>
      <c r="DY179" s="3224"/>
      <c r="DZ179" s="3224"/>
      <c r="EA179" s="3224"/>
      <c r="EB179" s="3224"/>
      <c r="EC179" s="3224"/>
      <c r="ED179" s="3224"/>
      <c r="EE179" s="3224"/>
      <c r="EF179" s="3224"/>
      <c r="EG179" s="3224"/>
      <c r="EH179" s="3224"/>
      <c r="EI179" s="3224"/>
      <c r="EJ179" s="3224"/>
      <c r="EK179" s="3224"/>
      <c r="EL179" s="3224"/>
      <c r="EM179" s="3224"/>
      <c r="EN179" s="3224"/>
      <c r="EO179" s="3224"/>
      <c r="EP179" s="3224"/>
      <c r="EQ179" s="3224"/>
      <c r="ER179" s="3224"/>
      <c r="ES179" s="3224"/>
      <c r="ET179" s="3224"/>
      <c r="EU179" s="3224"/>
      <c r="EV179" s="3224"/>
      <c r="EW179" s="3224"/>
      <c r="EX179" s="3224"/>
      <c r="EY179" s="3224"/>
      <c r="EZ179" s="3224"/>
      <c r="FA179" s="3224"/>
      <c r="FB179" s="3224"/>
      <c r="FC179" s="3224"/>
      <c r="FD179" s="3224"/>
      <c r="FE179" s="3224"/>
      <c r="FF179" s="3224"/>
      <c r="FG179" s="3224"/>
      <c r="FH179" s="3224"/>
      <c r="FI179" s="3224"/>
      <c r="FJ179" s="2057"/>
    </row>
    <row r="180" spans="1:166" s="1834" customFormat="1" ht="15" customHeight="1">
      <c r="A180" s="15968"/>
      <c r="B180" s="15971"/>
      <c r="C180" s="15617"/>
      <c r="D180" s="15617"/>
      <c r="E180" s="15708"/>
      <c r="F180" s="15708"/>
      <c r="G180" s="15708"/>
      <c r="H180" s="15708"/>
      <c r="I180" s="15708"/>
      <c r="J180" s="15708"/>
      <c r="K180" s="15708"/>
      <c r="L180" s="4135" t="s">
        <v>329</v>
      </c>
      <c r="M180" s="2725"/>
      <c r="N180" s="4135" t="s">
        <v>350</v>
      </c>
      <c r="O180" s="3221"/>
      <c r="P180" s="2725"/>
      <c r="Q180" s="2725"/>
      <c r="R180" s="2725"/>
      <c r="S180" s="2725"/>
      <c r="T180" s="2725"/>
      <c r="U180" s="4781"/>
      <c r="V180" s="2725"/>
      <c r="W180" s="2725"/>
      <c r="X180" s="2725"/>
      <c r="Y180" s="2725"/>
      <c r="Z180" s="4149"/>
      <c r="AA180" s="3221"/>
      <c r="AB180" s="3152"/>
      <c r="AC180" s="2725"/>
      <c r="AD180" s="2725"/>
      <c r="AE180" s="3221"/>
      <c r="AF180" s="4671"/>
      <c r="AG180" s="3221"/>
      <c r="AH180" s="3221"/>
      <c r="AI180" s="3221"/>
      <c r="AJ180" s="3221"/>
      <c r="AK180" s="3221"/>
      <c r="AL180" s="3221"/>
      <c r="AM180" s="3221"/>
      <c r="AN180" s="3221"/>
      <c r="AO180" s="3221"/>
      <c r="AP180" s="3221"/>
      <c r="AQ180" s="3221"/>
      <c r="AR180" s="3221"/>
      <c r="AS180" s="3221"/>
      <c r="AT180" s="3221"/>
      <c r="AU180" s="3221"/>
      <c r="AV180" s="3221"/>
      <c r="AW180" s="3221"/>
      <c r="AX180" s="3221"/>
      <c r="AY180" s="3221"/>
      <c r="AZ180" s="3221"/>
      <c r="BA180" s="3221"/>
      <c r="BB180" s="3221"/>
      <c r="BC180" s="3221"/>
      <c r="BD180" s="3221"/>
      <c r="BE180" s="3221"/>
      <c r="BF180" s="3221"/>
      <c r="BG180" s="3221"/>
      <c r="BH180" s="3221"/>
      <c r="BI180" s="3221"/>
      <c r="BJ180" s="3221"/>
      <c r="BK180" s="3221"/>
      <c r="BL180" s="3221"/>
      <c r="BM180" s="3221"/>
      <c r="BN180" s="3221"/>
      <c r="BO180" s="3221"/>
      <c r="BP180" s="3221"/>
      <c r="BQ180" s="3221"/>
      <c r="BR180" s="3221"/>
      <c r="BS180" s="3221"/>
      <c r="BT180" s="4135"/>
      <c r="BU180" s="3221"/>
      <c r="BV180" s="4144"/>
      <c r="BW180" s="3219"/>
      <c r="BX180" s="16004"/>
      <c r="BY180" s="4783"/>
      <c r="BZ180" s="4783"/>
      <c r="CA180" s="4783"/>
      <c r="CB180" s="3925"/>
      <c r="CC180" s="3925"/>
      <c r="CD180" s="2709"/>
      <c r="CE180" s="2709"/>
      <c r="CF180" s="3226"/>
      <c r="CG180" s="3226"/>
      <c r="CH180" s="3226"/>
      <c r="CI180" s="3226"/>
      <c r="CJ180" s="3226"/>
      <c r="CK180" s="3226"/>
      <c r="CL180" s="3226"/>
      <c r="CM180" s="3226"/>
      <c r="CN180" s="3226"/>
      <c r="CO180" s="3226"/>
      <c r="CP180" s="3226"/>
      <c r="CQ180" s="3226"/>
      <c r="CR180" s="3226"/>
      <c r="CS180" s="3220"/>
      <c r="CT180" s="3226"/>
      <c r="CU180" s="3226"/>
      <c r="CV180" s="3226"/>
      <c r="CW180" s="3226"/>
      <c r="CX180" s="3226"/>
      <c r="CY180" s="3226"/>
      <c r="CZ180" s="3226"/>
      <c r="DA180" s="3226"/>
      <c r="DB180" s="3226"/>
      <c r="DC180" s="3226"/>
      <c r="DD180" s="3226"/>
      <c r="DE180" s="3226"/>
      <c r="DF180" s="3226"/>
      <c r="DG180" s="3226"/>
      <c r="DH180" s="3226"/>
      <c r="DI180" s="3226"/>
      <c r="DJ180" s="3226"/>
      <c r="DK180" s="3226"/>
      <c r="DL180" s="3226"/>
      <c r="DM180" s="3226"/>
      <c r="DN180" s="3226"/>
      <c r="DO180" s="4841"/>
      <c r="DQ180" s="2056"/>
      <c r="DR180" s="3224"/>
      <c r="DS180" s="3224"/>
      <c r="DT180" s="3224"/>
      <c r="DU180" s="3224"/>
      <c r="DV180" s="3224"/>
      <c r="DW180" s="3224"/>
      <c r="DX180" s="3224"/>
      <c r="DY180" s="3224"/>
      <c r="DZ180" s="3224"/>
      <c r="EA180" s="3224"/>
      <c r="EB180" s="3224"/>
      <c r="EC180" s="3224"/>
      <c r="ED180" s="3224"/>
      <c r="EE180" s="3224"/>
      <c r="EF180" s="3224"/>
      <c r="EG180" s="3224"/>
      <c r="EH180" s="3224"/>
      <c r="EI180" s="3224"/>
      <c r="EJ180" s="3224"/>
      <c r="EK180" s="3224"/>
      <c r="EL180" s="3224"/>
      <c r="EM180" s="3224"/>
      <c r="EN180" s="3224"/>
      <c r="EO180" s="3224"/>
      <c r="EP180" s="3224"/>
      <c r="EQ180" s="3224"/>
      <c r="ER180" s="3224"/>
      <c r="ES180" s="3224"/>
      <c r="ET180" s="3224"/>
      <c r="EU180" s="3224"/>
      <c r="EV180" s="3224"/>
      <c r="EW180" s="3224"/>
      <c r="EX180" s="3224"/>
      <c r="EY180" s="3224"/>
      <c r="EZ180" s="3224"/>
      <c r="FA180" s="3224"/>
      <c r="FB180" s="3224"/>
      <c r="FC180" s="3224"/>
      <c r="FD180" s="3224"/>
      <c r="FE180" s="3224"/>
      <c r="FF180" s="3224"/>
      <c r="FG180" s="3224"/>
      <c r="FH180" s="3224"/>
      <c r="FI180" s="3224"/>
      <c r="FJ180" s="2057"/>
    </row>
    <row r="181" spans="1:166" s="1834" customFormat="1" ht="15" customHeight="1">
      <c r="A181" s="15968"/>
      <c r="B181" s="15971"/>
      <c r="C181" s="15617"/>
      <c r="D181" s="15617" t="s">
        <v>8018</v>
      </c>
      <c r="E181" s="15708" t="s">
        <v>5045</v>
      </c>
      <c r="F181" s="15708" t="s">
        <v>945</v>
      </c>
      <c r="G181" s="15708">
        <v>0</v>
      </c>
      <c r="H181" s="15708">
        <v>1</v>
      </c>
      <c r="I181" s="15708">
        <v>1</v>
      </c>
      <c r="J181" s="15708">
        <v>1</v>
      </c>
      <c r="K181" s="15708" t="s">
        <v>730</v>
      </c>
      <c r="L181" s="4135" t="s">
        <v>4305</v>
      </c>
      <c r="M181" s="2725" t="s">
        <v>885</v>
      </c>
      <c r="N181" s="4135"/>
      <c r="O181" s="3221">
        <v>30</v>
      </c>
      <c r="P181" s="2725">
        <v>31</v>
      </c>
      <c r="Q181" s="2725">
        <v>32</v>
      </c>
      <c r="R181" s="2725">
        <v>33</v>
      </c>
      <c r="S181" s="2725">
        <v>34</v>
      </c>
      <c r="T181" s="2725">
        <v>35</v>
      </c>
      <c r="U181" s="4781">
        <v>36</v>
      </c>
      <c r="V181" s="2725">
        <v>37</v>
      </c>
      <c r="W181" s="2725">
        <v>38</v>
      </c>
      <c r="X181" s="2725">
        <v>39</v>
      </c>
      <c r="Y181" s="2725">
        <v>40</v>
      </c>
      <c r="Z181" s="4149">
        <v>384</v>
      </c>
      <c r="AA181" s="3221"/>
      <c r="AB181" s="3152">
        <v>1</v>
      </c>
      <c r="AC181" s="2725" t="s">
        <v>2998</v>
      </c>
      <c r="AD181" s="4672" t="s">
        <v>2999</v>
      </c>
      <c r="AE181" s="2725" t="s">
        <v>2960</v>
      </c>
      <c r="AF181" s="4671">
        <v>15880811</v>
      </c>
      <c r="AG181" s="4671">
        <v>2926211</v>
      </c>
      <c r="AH181" s="4671">
        <v>12954600</v>
      </c>
      <c r="AI181" s="3224"/>
      <c r="AJ181" s="3221">
        <f>13+44</f>
        <v>57</v>
      </c>
      <c r="AK181" s="3221">
        <f>10+26</f>
        <v>36</v>
      </c>
      <c r="AL181" s="3221">
        <f>3+18</f>
        <v>21</v>
      </c>
      <c r="AM181" s="3221">
        <f>13+42</f>
        <v>55</v>
      </c>
      <c r="AN181" s="3221">
        <v>2</v>
      </c>
      <c r="AO181" s="3224"/>
      <c r="AP181" s="3224"/>
      <c r="AQ181" s="3224">
        <v>1</v>
      </c>
      <c r="AR181" s="3221">
        <f>8+23</f>
        <v>31</v>
      </c>
      <c r="AS181" s="3221">
        <f>5+16</f>
        <v>21</v>
      </c>
      <c r="AT181" s="3224">
        <v>5</v>
      </c>
      <c r="AU181" s="3224"/>
      <c r="AV181" s="3221">
        <v>13</v>
      </c>
      <c r="AW181" s="3224">
        <v>44</v>
      </c>
      <c r="AX181" s="3224"/>
      <c r="AY181" s="3224"/>
      <c r="AZ181" s="3224"/>
      <c r="BA181" s="3224"/>
      <c r="BB181" s="3224"/>
      <c r="BC181" s="3224"/>
      <c r="BD181" s="3221">
        <v>57</v>
      </c>
      <c r="BE181" s="3224"/>
      <c r="BF181" s="3224"/>
      <c r="BG181" s="3224"/>
      <c r="BH181" s="3224"/>
      <c r="BI181" s="3224"/>
      <c r="BJ181" s="3224"/>
      <c r="BK181" s="3224"/>
      <c r="BL181" s="3224"/>
      <c r="BM181" s="3224"/>
      <c r="BN181" s="3224"/>
      <c r="BO181" s="3224"/>
      <c r="BP181" s="3224"/>
      <c r="BQ181" s="3224"/>
      <c r="BR181" s="3224"/>
      <c r="BS181" s="3224"/>
      <c r="BT181" s="4135">
        <v>1</v>
      </c>
      <c r="BU181" s="3221">
        <v>1</v>
      </c>
      <c r="BV181" s="4135">
        <v>1</v>
      </c>
      <c r="BW181" s="3219">
        <f t="shared" ref="BW181" si="13">BV181/BU181</f>
        <v>1</v>
      </c>
      <c r="BX181" s="16004"/>
      <c r="BY181" s="4783" t="s">
        <v>9902</v>
      </c>
      <c r="BZ181" s="4783" t="s">
        <v>9903</v>
      </c>
      <c r="CA181" s="2725"/>
      <c r="CB181" s="3226">
        <f>CC181+CD181+CE181</f>
        <v>19382280.899999999</v>
      </c>
      <c r="CC181" s="3240">
        <v>6509880.9000000004</v>
      </c>
      <c r="CD181" s="3240">
        <v>12872400</v>
      </c>
      <c r="CE181" s="3445">
        <v>0</v>
      </c>
      <c r="CF181" s="3445">
        <v>46</v>
      </c>
      <c r="CG181" s="3445">
        <v>28</v>
      </c>
      <c r="CH181" s="3445">
        <v>18</v>
      </c>
      <c r="CI181" s="3445">
        <v>41</v>
      </c>
      <c r="CJ181" s="3445">
        <v>5</v>
      </c>
      <c r="CK181" s="3445">
        <v>0</v>
      </c>
      <c r="CL181" s="3445">
        <v>0</v>
      </c>
      <c r="CM181" s="3445">
        <v>1</v>
      </c>
      <c r="CN181" s="3445">
        <v>23</v>
      </c>
      <c r="CO181" s="3445">
        <v>18</v>
      </c>
      <c r="CP181" s="3445">
        <v>4</v>
      </c>
      <c r="CQ181" s="3445"/>
      <c r="CR181" s="3445"/>
      <c r="CS181" s="4673">
        <v>46</v>
      </c>
      <c r="CT181" s="3226"/>
      <c r="CU181" s="3226"/>
      <c r="CV181" s="3226"/>
      <c r="CW181" s="3226"/>
      <c r="CX181" s="3226"/>
      <c r="CY181" s="3226"/>
      <c r="CZ181" s="3226"/>
      <c r="DA181" s="3226"/>
      <c r="DB181" s="3226"/>
      <c r="DC181" s="3226"/>
      <c r="DD181" s="3226"/>
      <c r="DE181" s="3226"/>
      <c r="DF181" s="3226"/>
      <c r="DG181" s="3226"/>
      <c r="DH181" s="3226"/>
      <c r="DI181" s="3226"/>
      <c r="DJ181" s="3226"/>
      <c r="DK181" s="3226"/>
      <c r="DL181" s="3226"/>
      <c r="DM181" s="3226"/>
      <c r="DN181" s="3226"/>
      <c r="DO181" s="4841"/>
      <c r="DQ181" s="2056"/>
      <c r="DR181" s="3224"/>
      <c r="DS181" s="3224"/>
      <c r="DT181" s="3224"/>
      <c r="DU181" s="3224"/>
      <c r="DV181" s="3224"/>
      <c r="DW181" s="3224"/>
      <c r="DX181" s="3224"/>
      <c r="DY181" s="3224"/>
      <c r="DZ181" s="3224"/>
      <c r="EA181" s="3224"/>
      <c r="EB181" s="3224"/>
      <c r="EC181" s="3224"/>
      <c r="ED181" s="3224"/>
      <c r="EE181" s="3224"/>
      <c r="EF181" s="3224"/>
      <c r="EG181" s="3224"/>
      <c r="EH181" s="3224"/>
      <c r="EI181" s="3224"/>
      <c r="EJ181" s="3224"/>
      <c r="EK181" s="3224"/>
      <c r="EL181" s="3224"/>
      <c r="EM181" s="3224"/>
      <c r="EN181" s="3224"/>
      <c r="EO181" s="3224"/>
      <c r="EP181" s="3224"/>
      <c r="EQ181" s="3224"/>
      <c r="ER181" s="3224"/>
      <c r="ES181" s="3224"/>
      <c r="ET181" s="3224"/>
      <c r="EU181" s="3224"/>
      <c r="EV181" s="3224"/>
      <c r="EW181" s="3224"/>
      <c r="EX181" s="3224"/>
      <c r="EY181" s="3224"/>
      <c r="EZ181" s="3224"/>
      <c r="FA181" s="3224"/>
      <c r="FB181" s="3224"/>
      <c r="FC181" s="3224"/>
      <c r="FD181" s="3224"/>
      <c r="FE181" s="3224"/>
      <c r="FF181" s="3224"/>
      <c r="FG181" s="3224"/>
      <c r="FH181" s="3224"/>
      <c r="FI181" s="3224"/>
      <c r="FJ181" s="2057"/>
    </row>
    <row r="182" spans="1:166" s="1834" customFormat="1" ht="15" customHeight="1">
      <c r="A182" s="15968"/>
      <c r="B182" s="15971"/>
      <c r="C182" s="15617"/>
      <c r="D182" s="15617"/>
      <c r="E182" s="15708"/>
      <c r="F182" s="15708"/>
      <c r="G182" s="15708"/>
      <c r="H182" s="15708"/>
      <c r="I182" s="15708"/>
      <c r="J182" s="15708"/>
      <c r="K182" s="15708"/>
      <c r="L182" s="4135" t="s">
        <v>10063</v>
      </c>
      <c r="M182" s="2725"/>
      <c r="N182" s="4135" t="s">
        <v>10240</v>
      </c>
      <c r="O182" s="3221"/>
      <c r="P182" s="2725"/>
      <c r="Q182" s="2725"/>
      <c r="R182" s="2725"/>
      <c r="S182" s="2725"/>
      <c r="T182" s="2725"/>
      <c r="U182" s="4781"/>
      <c r="V182" s="2725"/>
      <c r="W182" s="2725"/>
      <c r="X182" s="2725"/>
      <c r="Y182" s="2725"/>
      <c r="Z182" s="4149"/>
      <c r="AA182" s="3221"/>
      <c r="AB182" s="3152"/>
      <c r="AC182" s="2725"/>
      <c r="AD182" s="4672"/>
      <c r="AE182" s="2725"/>
      <c r="AF182" s="4671"/>
      <c r="AG182" s="4671"/>
      <c r="AH182" s="4671"/>
      <c r="AI182" s="3224"/>
      <c r="AJ182" s="3221"/>
      <c r="AK182" s="3221"/>
      <c r="AL182" s="3221"/>
      <c r="AM182" s="3221"/>
      <c r="AN182" s="3221"/>
      <c r="AO182" s="3224"/>
      <c r="AP182" s="3224"/>
      <c r="AQ182" s="3224"/>
      <c r="AR182" s="3221"/>
      <c r="AS182" s="3221"/>
      <c r="AT182" s="3224"/>
      <c r="AU182" s="3224"/>
      <c r="AV182" s="3221"/>
      <c r="AW182" s="3224"/>
      <c r="AX182" s="3224"/>
      <c r="AY182" s="3224"/>
      <c r="AZ182" s="3224"/>
      <c r="BA182" s="3224"/>
      <c r="BB182" s="3224"/>
      <c r="BC182" s="3224"/>
      <c r="BD182" s="3221"/>
      <c r="BE182" s="3224"/>
      <c r="BF182" s="3224"/>
      <c r="BG182" s="3224"/>
      <c r="BH182" s="3224"/>
      <c r="BI182" s="3224"/>
      <c r="BJ182" s="3224"/>
      <c r="BK182" s="3224"/>
      <c r="BL182" s="3224"/>
      <c r="BM182" s="3224"/>
      <c r="BN182" s="3224"/>
      <c r="BO182" s="3224"/>
      <c r="BP182" s="3224"/>
      <c r="BQ182" s="3224"/>
      <c r="BR182" s="3224"/>
      <c r="BS182" s="3224"/>
      <c r="BT182" s="4135"/>
      <c r="BU182" s="3221"/>
      <c r="BV182" s="4135"/>
      <c r="BW182" s="3219"/>
      <c r="BX182" s="16004"/>
      <c r="BY182" s="4783"/>
      <c r="BZ182" s="4783"/>
      <c r="CA182" s="2725"/>
      <c r="CB182" s="3226"/>
      <c r="CC182" s="3240"/>
      <c r="CD182" s="3240"/>
      <c r="CE182" s="3445"/>
      <c r="CF182" s="3445"/>
      <c r="CG182" s="3445"/>
      <c r="CH182" s="3445"/>
      <c r="CI182" s="3445"/>
      <c r="CJ182" s="3445"/>
      <c r="CK182" s="3445"/>
      <c r="CL182" s="3445"/>
      <c r="CM182" s="3445"/>
      <c r="CN182" s="3445"/>
      <c r="CO182" s="3445"/>
      <c r="CP182" s="3445"/>
      <c r="CQ182" s="3445"/>
      <c r="CR182" s="3445"/>
      <c r="CS182" s="4673"/>
      <c r="CT182" s="3226"/>
      <c r="CU182" s="3226"/>
      <c r="CV182" s="3226"/>
      <c r="CW182" s="3226"/>
      <c r="CX182" s="3226"/>
      <c r="CY182" s="3226"/>
      <c r="CZ182" s="3226"/>
      <c r="DA182" s="3226"/>
      <c r="DB182" s="3226"/>
      <c r="DC182" s="3226"/>
      <c r="DD182" s="3226"/>
      <c r="DE182" s="3226"/>
      <c r="DF182" s="3226"/>
      <c r="DG182" s="3226"/>
      <c r="DH182" s="3226"/>
      <c r="DI182" s="3226"/>
      <c r="DJ182" s="3226"/>
      <c r="DK182" s="3226"/>
      <c r="DL182" s="3226"/>
      <c r="DM182" s="3226"/>
      <c r="DN182" s="3226"/>
      <c r="DO182" s="4841"/>
      <c r="DQ182" s="2056"/>
      <c r="DR182" s="3224"/>
      <c r="DS182" s="3224"/>
      <c r="DT182" s="3224"/>
      <c r="DU182" s="3224"/>
      <c r="DV182" s="3224"/>
      <c r="DW182" s="3224"/>
      <c r="DX182" s="3224"/>
      <c r="DY182" s="3224"/>
      <c r="DZ182" s="3224"/>
      <c r="EA182" s="3224"/>
      <c r="EB182" s="3224"/>
      <c r="EC182" s="3224"/>
      <c r="ED182" s="3224"/>
      <c r="EE182" s="3224"/>
      <c r="EF182" s="3224"/>
      <c r="EG182" s="3224"/>
      <c r="EH182" s="3224"/>
      <c r="EI182" s="3224"/>
      <c r="EJ182" s="3224"/>
      <c r="EK182" s="3224"/>
      <c r="EL182" s="3224"/>
      <c r="EM182" s="3224"/>
      <c r="EN182" s="3224"/>
      <c r="EO182" s="3224"/>
      <c r="EP182" s="3224"/>
      <c r="EQ182" s="3224"/>
      <c r="ER182" s="3224"/>
      <c r="ES182" s="3224"/>
      <c r="ET182" s="3224"/>
      <c r="EU182" s="3224"/>
      <c r="EV182" s="3224"/>
      <c r="EW182" s="3224"/>
      <c r="EX182" s="3224"/>
      <c r="EY182" s="3224"/>
      <c r="EZ182" s="3224"/>
      <c r="FA182" s="3224"/>
      <c r="FB182" s="3224"/>
      <c r="FC182" s="3224"/>
      <c r="FD182" s="3224"/>
      <c r="FE182" s="3224"/>
      <c r="FF182" s="3224"/>
      <c r="FG182" s="3224"/>
      <c r="FH182" s="3224"/>
      <c r="FI182" s="3224"/>
      <c r="FJ182" s="2057"/>
    </row>
    <row r="183" spans="1:166" s="1834" customFormat="1" ht="15" customHeight="1">
      <c r="A183" s="15968"/>
      <c r="B183" s="15971"/>
      <c r="C183" s="15617"/>
      <c r="D183" s="15617"/>
      <c r="E183" s="15708"/>
      <c r="F183" s="15708"/>
      <c r="G183" s="15708"/>
      <c r="H183" s="15708"/>
      <c r="I183" s="15708"/>
      <c r="J183" s="15708"/>
      <c r="K183" s="15708"/>
      <c r="L183" s="4135" t="s">
        <v>329</v>
      </c>
      <c r="M183" s="2725"/>
      <c r="N183" s="4135" t="s">
        <v>329</v>
      </c>
      <c r="O183" s="3221"/>
      <c r="P183" s="2725"/>
      <c r="Q183" s="2725"/>
      <c r="R183" s="2725"/>
      <c r="S183" s="2725"/>
      <c r="T183" s="2725"/>
      <c r="U183" s="4781"/>
      <c r="V183" s="2725"/>
      <c r="W183" s="2725"/>
      <c r="X183" s="2725"/>
      <c r="Y183" s="2725"/>
      <c r="Z183" s="4149"/>
      <c r="AA183" s="3221"/>
      <c r="AB183" s="3152"/>
      <c r="AC183" s="2725"/>
      <c r="AD183" s="4672"/>
      <c r="AE183" s="2725"/>
      <c r="AF183" s="4671"/>
      <c r="AG183" s="4671"/>
      <c r="AH183" s="4671"/>
      <c r="AI183" s="3224"/>
      <c r="AJ183" s="3221"/>
      <c r="AK183" s="3221"/>
      <c r="AL183" s="3221"/>
      <c r="AM183" s="3221"/>
      <c r="AN183" s="3221"/>
      <c r="AO183" s="3224"/>
      <c r="AP183" s="3224"/>
      <c r="AQ183" s="3224"/>
      <c r="AR183" s="3221"/>
      <c r="AS183" s="3221"/>
      <c r="AT183" s="3224"/>
      <c r="AU183" s="3224"/>
      <c r="AV183" s="3221"/>
      <c r="AW183" s="3224"/>
      <c r="AX183" s="3224"/>
      <c r="AY183" s="3224"/>
      <c r="AZ183" s="3224"/>
      <c r="BA183" s="3224"/>
      <c r="BB183" s="3224"/>
      <c r="BC183" s="3224"/>
      <c r="BD183" s="3221"/>
      <c r="BE183" s="3224"/>
      <c r="BF183" s="3224"/>
      <c r="BG183" s="3224"/>
      <c r="BH183" s="3224"/>
      <c r="BI183" s="3224"/>
      <c r="BJ183" s="3224"/>
      <c r="BK183" s="3224"/>
      <c r="BL183" s="3224"/>
      <c r="BM183" s="3224"/>
      <c r="BN183" s="3224"/>
      <c r="BO183" s="3224"/>
      <c r="BP183" s="3224"/>
      <c r="BQ183" s="3224"/>
      <c r="BR183" s="3224"/>
      <c r="BS183" s="3224"/>
      <c r="BT183" s="4135"/>
      <c r="BU183" s="3221"/>
      <c r="BV183" s="4135"/>
      <c r="BW183" s="3219"/>
      <c r="BX183" s="16004"/>
      <c r="BY183" s="4783"/>
      <c r="BZ183" s="4783"/>
      <c r="CA183" s="2725"/>
      <c r="CB183" s="3226"/>
      <c r="CC183" s="3240"/>
      <c r="CD183" s="3240"/>
      <c r="CE183" s="3445"/>
      <c r="CF183" s="3445"/>
      <c r="CG183" s="3445"/>
      <c r="CH183" s="3445"/>
      <c r="CI183" s="3445"/>
      <c r="CJ183" s="3445"/>
      <c r="CK183" s="3445"/>
      <c r="CL183" s="3445"/>
      <c r="CM183" s="3445"/>
      <c r="CN183" s="3445"/>
      <c r="CO183" s="3445"/>
      <c r="CP183" s="3445"/>
      <c r="CQ183" s="3445"/>
      <c r="CR183" s="3445"/>
      <c r="CS183" s="4673"/>
      <c r="CT183" s="3226"/>
      <c r="CU183" s="3226"/>
      <c r="CV183" s="3226"/>
      <c r="CW183" s="3226"/>
      <c r="CX183" s="3226"/>
      <c r="CY183" s="3226"/>
      <c r="CZ183" s="3226"/>
      <c r="DA183" s="3226"/>
      <c r="DB183" s="3226"/>
      <c r="DC183" s="3226"/>
      <c r="DD183" s="3226"/>
      <c r="DE183" s="3226"/>
      <c r="DF183" s="3226"/>
      <c r="DG183" s="3226"/>
      <c r="DH183" s="3226"/>
      <c r="DI183" s="3226"/>
      <c r="DJ183" s="3226"/>
      <c r="DK183" s="3226"/>
      <c r="DL183" s="3226"/>
      <c r="DM183" s="3226"/>
      <c r="DN183" s="3226"/>
      <c r="DO183" s="4841"/>
      <c r="DQ183" s="2056"/>
      <c r="DR183" s="3224"/>
      <c r="DS183" s="3224"/>
      <c r="DT183" s="3224"/>
      <c r="DU183" s="3224"/>
      <c r="DV183" s="3224"/>
      <c r="DW183" s="3224"/>
      <c r="DX183" s="3224"/>
      <c r="DY183" s="3224"/>
      <c r="DZ183" s="3224"/>
      <c r="EA183" s="3224"/>
      <c r="EB183" s="3224"/>
      <c r="EC183" s="3224"/>
      <c r="ED183" s="3224"/>
      <c r="EE183" s="3224"/>
      <c r="EF183" s="3224"/>
      <c r="EG183" s="3224"/>
      <c r="EH183" s="3224"/>
      <c r="EI183" s="3224"/>
      <c r="EJ183" s="3224"/>
      <c r="EK183" s="3224"/>
      <c r="EL183" s="3224"/>
      <c r="EM183" s="3224"/>
      <c r="EN183" s="3224"/>
      <c r="EO183" s="3224"/>
      <c r="EP183" s="3224"/>
      <c r="EQ183" s="3224"/>
      <c r="ER183" s="3224"/>
      <c r="ES183" s="3224"/>
      <c r="ET183" s="3224"/>
      <c r="EU183" s="3224"/>
      <c r="EV183" s="3224"/>
      <c r="EW183" s="3224"/>
      <c r="EX183" s="3224"/>
      <c r="EY183" s="3224"/>
      <c r="EZ183" s="3224"/>
      <c r="FA183" s="3224"/>
      <c r="FB183" s="3224"/>
      <c r="FC183" s="3224"/>
      <c r="FD183" s="3224"/>
      <c r="FE183" s="3224"/>
      <c r="FF183" s="3224"/>
      <c r="FG183" s="3224"/>
      <c r="FH183" s="3224"/>
      <c r="FI183" s="3224"/>
      <c r="FJ183" s="2057"/>
    </row>
    <row r="184" spans="1:166" s="1834" customFormat="1" ht="15" customHeight="1">
      <c r="A184" s="15968"/>
      <c r="B184" s="15971"/>
      <c r="C184" s="15617"/>
      <c r="D184" s="15617" t="s">
        <v>8019</v>
      </c>
      <c r="E184" s="15708" t="s">
        <v>5046</v>
      </c>
      <c r="F184" s="15708" t="s">
        <v>946</v>
      </c>
      <c r="G184" s="15708">
        <v>0</v>
      </c>
      <c r="H184" s="15708">
        <v>5</v>
      </c>
      <c r="I184" s="15708">
        <v>25</v>
      </c>
      <c r="J184" s="15708">
        <v>50</v>
      </c>
      <c r="K184" s="15708" t="s">
        <v>700</v>
      </c>
      <c r="L184" s="4135" t="s">
        <v>4305</v>
      </c>
      <c r="M184" s="2725" t="s">
        <v>885</v>
      </c>
      <c r="N184" s="4135"/>
      <c r="O184" s="3221">
        <v>40</v>
      </c>
      <c r="P184" s="2725">
        <v>41</v>
      </c>
      <c r="Q184" s="2725">
        <v>42</v>
      </c>
      <c r="R184" s="2725">
        <v>44</v>
      </c>
      <c r="S184" s="2725">
        <v>45</v>
      </c>
      <c r="T184" s="2725">
        <v>46</v>
      </c>
      <c r="U184" s="4781">
        <v>48</v>
      </c>
      <c r="V184" s="2725">
        <v>49</v>
      </c>
      <c r="W184" s="2725">
        <v>51</v>
      </c>
      <c r="X184" s="2725">
        <v>52</v>
      </c>
      <c r="Y184" s="2725">
        <v>54</v>
      </c>
      <c r="Z184" s="4149">
        <v>512</v>
      </c>
      <c r="AA184" s="3221"/>
      <c r="AB184" s="4674">
        <v>1</v>
      </c>
      <c r="AC184" s="3439" t="s">
        <v>3000</v>
      </c>
      <c r="AD184" s="2725" t="s">
        <v>3001</v>
      </c>
      <c r="AE184" s="3224"/>
      <c r="AF184" s="4671">
        <f>660339+14134400</f>
        <v>14794739</v>
      </c>
      <c r="AG184" s="4671">
        <f>660339+14134400</f>
        <v>14794739</v>
      </c>
      <c r="AH184" s="3224"/>
      <c r="AI184" s="3224"/>
      <c r="AJ184" s="3221">
        <v>37</v>
      </c>
      <c r="AK184" s="3221">
        <v>22</v>
      </c>
      <c r="AL184" s="3221">
        <v>15</v>
      </c>
      <c r="AM184" s="3221">
        <v>37</v>
      </c>
      <c r="AN184" s="3221"/>
      <c r="AO184" s="3221"/>
      <c r="AP184" s="3221"/>
      <c r="AQ184" s="3221">
        <v>4</v>
      </c>
      <c r="AR184" s="3221">
        <v>6</v>
      </c>
      <c r="AS184" s="3221">
        <v>14</v>
      </c>
      <c r="AT184" s="3221">
        <v>8</v>
      </c>
      <c r="AU184" s="3221">
        <v>5</v>
      </c>
      <c r="AV184" s="3224"/>
      <c r="AW184" s="3221">
        <v>37</v>
      </c>
      <c r="AX184" s="3221">
        <v>1</v>
      </c>
      <c r="AY184" s="3221"/>
      <c r="AZ184" s="3221"/>
      <c r="BA184" s="3221"/>
      <c r="BB184" s="3221"/>
      <c r="BC184" s="3221"/>
      <c r="BD184" s="3221">
        <v>37</v>
      </c>
      <c r="BE184" s="3221"/>
      <c r="BF184" s="3224"/>
      <c r="BG184" s="3224"/>
      <c r="BH184" s="3224"/>
      <c r="BI184" s="3224"/>
      <c r="BJ184" s="3224"/>
      <c r="BK184" s="3224"/>
      <c r="BL184" s="3224"/>
      <c r="BM184" s="3224"/>
      <c r="BN184" s="3224"/>
      <c r="BO184" s="3224"/>
      <c r="BP184" s="3224"/>
      <c r="BQ184" s="3224"/>
      <c r="BR184" s="3224"/>
      <c r="BS184" s="3224"/>
      <c r="BT184" s="4135">
        <v>11</v>
      </c>
      <c r="BU184" s="3221">
        <v>11</v>
      </c>
      <c r="BV184" s="3922">
        <v>11</v>
      </c>
      <c r="BW184" s="3219">
        <v>1</v>
      </c>
      <c r="BX184" s="16004"/>
      <c r="BY184" s="4783" t="s">
        <v>9904</v>
      </c>
      <c r="BZ184" s="4783"/>
      <c r="CA184" s="4783" t="s">
        <v>9905</v>
      </c>
      <c r="CB184" s="3445">
        <v>14639200</v>
      </c>
      <c r="CC184" s="3240">
        <v>14639200.199999999</v>
      </c>
      <c r="CD184" s="3240">
        <v>0</v>
      </c>
      <c r="CE184" s="3445">
        <v>0</v>
      </c>
      <c r="CF184" s="3445">
        <v>118</v>
      </c>
      <c r="CG184" s="3445">
        <v>43</v>
      </c>
      <c r="CH184" s="3445">
        <v>75</v>
      </c>
      <c r="CI184" s="3445">
        <v>113</v>
      </c>
      <c r="CJ184" s="3445">
        <v>5</v>
      </c>
      <c r="CK184" s="3445">
        <v>1</v>
      </c>
      <c r="CL184" s="3445">
        <v>6</v>
      </c>
      <c r="CM184" s="3445">
        <v>3</v>
      </c>
      <c r="CN184" s="3445">
        <v>17</v>
      </c>
      <c r="CO184" s="3445">
        <v>48</v>
      </c>
      <c r="CP184" s="3445">
        <v>39</v>
      </c>
      <c r="CQ184" s="3445">
        <v>4</v>
      </c>
      <c r="CR184" s="3445">
        <v>48</v>
      </c>
      <c r="CS184" s="4673">
        <f>118-48</f>
        <v>70</v>
      </c>
      <c r="CT184" s="3226"/>
      <c r="CU184" s="3226"/>
      <c r="CV184" s="3226"/>
      <c r="CW184" s="3226"/>
      <c r="CX184" s="3226"/>
      <c r="CY184" s="3226"/>
      <c r="CZ184" s="3226"/>
      <c r="DA184" s="3226"/>
      <c r="DB184" s="3226"/>
      <c r="DC184" s="3226"/>
      <c r="DD184" s="3226"/>
      <c r="DE184" s="3226"/>
      <c r="DF184" s="3226"/>
      <c r="DG184" s="3226"/>
      <c r="DH184" s="3226"/>
      <c r="DI184" s="3226"/>
      <c r="DJ184" s="3226"/>
      <c r="DK184" s="3226"/>
      <c r="DL184" s="3226"/>
      <c r="DM184" s="3226"/>
      <c r="DN184" s="3226"/>
      <c r="DO184" s="4841"/>
      <c r="DQ184" s="2056"/>
      <c r="DR184" s="3224"/>
      <c r="DS184" s="3224"/>
      <c r="DT184" s="3224"/>
      <c r="DU184" s="3224"/>
      <c r="DV184" s="3224"/>
      <c r="DW184" s="3224"/>
      <c r="DX184" s="3224"/>
      <c r="DY184" s="3224"/>
      <c r="DZ184" s="3224"/>
      <c r="EA184" s="3224"/>
      <c r="EB184" s="3224"/>
      <c r="EC184" s="3224"/>
      <c r="ED184" s="3224"/>
      <c r="EE184" s="3224"/>
      <c r="EF184" s="3224"/>
      <c r="EG184" s="3224"/>
      <c r="EH184" s="3224"/>
      <c r="EI184" s="3224"/>
      <c r="EJ184" s="3224"/>
      <c r="EK184" s="3224"/>
      <c r="EL184" s="3224"/>
      <c r="EM184" s="3224"/>
      <c r="EN184" s="3224"/>
      <c r="EO184" s="3224"/>
      <c r="EP184" s="3224"/>
      <c r="EQ184" s="3224"/>
      <c r="ER184" s="3224"/>
      <c r="ES184" s="3224"/>
      <c r="ET184" s="3224"/>
      <c r="EU184" s="3224"/>
      <c r="EV184" s="3224"/>
      <c r="EW184" s="3224"/>
      <c r="EX184" s="3224"/>
      <c r="EY184" s="3224"/>
      <c r="EZ184" s="3224"/>
      <c r="FA184" s="3224"/>
      <c r="FB184" s="3224"/>
      <c r="FC184" s="3224"/>
      <c r="FD184" s="3224"/>
      <c r="FE184" s="3224"/>
      <c r="FF184" s="3224"/>
      <c r="FG184" s="3224"/>
      <c r="FH184" s="3224"/>
      <c r="FI184" s="3224"/>
      <c r="FJ184" s="2057"/>
    </row>
    <row r="185" spans="1:166" s="1834" customFormat="1" ht="15" customHeight="1">
      <c r="A185" s="15968"/>
      <c r="B185" s="15971"/>
      <c r="C185" s="15617"/>
      <c r="D185" s="15617"/>
      <c r="E185" s="15708"/>
      <c r="F185" s="15708"/>
      <c r="G185" s="15708"/>
      <c r="H185" s="15708"/>
      <c r="I185" s="15708"/>
      <c r="J185" s="15708"/>
      <c r="K185" s="15708"/>
      <c r="L185" s="4135" t="s">
        <v>10063</v>
      </c>
      <c r="M185" s="2725"/>
      <c r="N185" s="4135" t="s">
        <v>10228</v>
      </c>
      <c r="O185" s="3221"/>
      <c r="P185" s="2725"/>
      <c r="Q185" s="2725"/>
      <c r="R185" s="2725"/>
      <c r="S185" s="2725"/>
      <c r="T185" s="2725"/>
      <c r="U185" s="4781"/>
      <c r="V185" s="2725"/>
      <c r="W185" s="2725"/>
      <c r="X185" s="2725"/>
      <c r="Y185" s="2725"/>
      <c r="Z185" s="4149"/>
      <c r="AA185" s="3221"/>
      <c r="AB185" s="4674"/>
      <c r="AC185" s="3439"/>
      <c r="AD185" s="2725"/>
      <c r="AE185" s="3224"/>
      <c r="AF185" s="4671"/>
      <c r="AG185" s="4671"/>
      <c r="AH185" s="3224"/>
      <c r="AI185" s="3224"/>
      <c r="AJ185" s="3221"/>
      <c r="AK185" s="3221"/>
      <c r="AL185" s="3221"/>
      <c r="AM185" s="3221"/>
      <c r="AN185" s="3221"/>
      <c r="AO185" s="3221"/>
      <c r="AP185" s="3221"/>
      <c r="AQ185" s="3221"/>
      <c r="AR185" s="3221"/>
      <c r="AS185" s="3221"/>
      <c r="AT185" s="3221"/>
      <c r="AU185" s="3221"/>
      <c r="AV185" s="3224"/>
      <c r="AW185" s="3221"/>
      <c r="AX185" s="3221"/>
      <c r="AY185" s="3221"/>
      <c r="AZ185" s="3221"/>
      <c r="BA185" s="3221"/>
      <c r="BB185" s="3221"/>
      <c r="BC185" s="3221"/>
      <c r="BD185" s="3221"/>
      <c r="BE185" s="3221"/>
      <c r="BF185" s="3224"/>
      <c r="BG185" s="3224"/>
      <c r="BH185" s="3224"/>
      <c r="BI185" s="3224"/>
      <c r="BJ185" s="3224"/>
      <c r="BK185" s="3224"/>
      <c r="BL185" s="3224"/>
      <c r="BM185" s="3224"/>
      <c r="BN185" s="3224"/>
      <c r="BO185" s="3224"/>
      <c r="BP185" s="3224"/>
      <c r="BQ185" s="3224"/>
      <c r="BR185" s="3224"/>
      <c r="BS185" s="3224"/>
      <c r="BT185" s="4135"/>
      <c r="BU185" s="3221"/>
      <c r="BV185" s="3922"/>
      <c r="BW185" s="3219"/>
      <c r="BX185" s="16004"/>
      <c r="BY185" s="4783"/>
      <c r="BZ185" s="4783"/>
      <c r="CA185" s="4783"/>
      <c r="CB185" s="3445"/>
      <c r="CC185" s="3240"/>
      <c r="CD185" s="3240"/>
      <c r="CE185" s="3445"/>
      <c r="CF185" s="3445"/>
      <c r="CG185" s="3445"/>
      <c r="CH185" s="3445"/>
      <c r="CI185" s="3445"/>
      <c r="CJ185" s="3445"/>
      <c r="CK185" s="3445"/>
      <c r="CL185" s="3445"/>
      <c r="CM185" s="3445"/>
      <c r="CN185" s="3445"/>
      <c r="CO185" s="3445"/>
      <c r="CP185" s="3445"/>
      <c r="CQ185" s="3445"/>
      <c r="CR185" s="3445"/>
      <c r="CS185" s="4673"/>
      <c r="CT185" s="3226"/>
      <c r="CU185" s="3226"/>
      <c r="CV185" s="3226"/>
      <c r="CW185" s="3226"/>
      <c r="CX185" s="3226"/>
      <c r="CY185" s="3226"/>
      <c r="CZ185" s="3226"/>
      <c r="DA185" s="3226"/>
      <c r="DB185" s="3226"/>
      <c r="DC185" s="3226"/>
      <c r="DD185" s="3226"/>
      <c r="DE185" s="3226"/>
      <c r="DF185" s="3226"/>
      <c r="DG185" s="3226"/>
      <c r="DH185" s="3226"/>
      <c r="DI185" s="3226"/>
      <c r="DJ185" s="3226"/>
      <c r="DK185" s="3226"/>
      <c r="DL185" s="3226"/>
      <c r="DM185" s="3226"/>
      <c r="DN185" s="3226"/>
      <c r="DO185" s="4841"/>
      <c r="DQ185" s="2056"/>
      <c r="DR185" s="3224"/>
      <c r="DS185" s="3224"/>
      <c r="DT185" s="3224"/>
      <c r="DU185" s="3224"/>
      <c r="DV185" s="3224"/>
      <c r="DW185" s="3224"/>
      <c r="DX185" s="3224"/>
      <c r="DY185" s="3224"/>
      <c r="DZ185" s="3224"/>
      <c r="EA185" s="3224"/>
      <c r="EB185" s="3224"/>
      <c r="EC185" s="3224"/>
      <c r="ED185" s="3224"/>
      <c r="EE185" s="3224"/>
      <c r="EF185" s="3224"/>
      <c r="EG185" s="3224"/>
      <c r="EH185" s="3224"/>
      <c r="EI185" s="3224"/>
      <c r="EJ185" s="3224"/>
      <c r="EK185" s="3224"/>
      <c r="EL185" s="3224"/>
      <c r="EM185" s="3224"/>
      <c r="EN185" s="3224"/>
      <c r="EO185" s="3224"/>
      <c r="EP185" s="3224"/>
      <c r="EQ185" s="3224"/>
      <c r="ER185" s="3224"/>
      <c r="ES185" s="3224"/>
      <c r="ET185" s="3224"/>
      <c r="EU185" s="3224"/>
      <c r="EV185" s="3224"/>
      <c r="EW185" s="3224"/>
      <c r="EX185" s="3224"/>
      <c r="EY185" s="3224"/>
      <c r="EZ185" s="3224"/>
      <c r="FA185" s="3224"/>
      <c r="FB185" s="3224"/>
      <c r="FC185" s="3224"/>
      <c r="FD185" s="3224"/>
      <c r="FE185" s="3224"/>
      <c r="FF185" s="3224"/>
      <c r="FG185" s="3224"/>
      <c r="FH185" s="3224"/>
      <c r="FI185" s="3224"/>
      <c r="FJ185" s="2057"/>
    </row>
    <row r="186" spans="1:166" s="1834" customFormat="1" ht="15" customHeight="1">
      <c r="A186" s="15968"/>
      <c r="B186" s="15971"/>
      <c r="C186" s="15617"/>
      <c r="D186" s="15617"/>
      <c r="E186" s="15708"/>
      <c r="F186" s="15708"/>
      <c r="G186" s="15708"/>
      <c r="H186" s="15708"/>
      <c r="I186" s="15708"/>
      <c r="J186" s="15708"/>
      <c r="K186" s="15708"/>
      <c r="L186" s="4135" t="s">
        <v>10185</v>
      </c>
      <c r="M186" s="2725"/>
      <c r="N186" s="4135" t="s">
        <v>10241</v>
      </c>
      <c r="O186" s="3221"/>
      <c r="P186" s="2725"/>
      <c r="Q186" s="2725"/>
      <c r="R186" s="2725"/>
      <c r="S186" s="2725"/>
      <c r="T186" s="2725"/>
      <c r="U186" s="4781"/>
      <c r="V186" s="2725"/>
      <c r="W186" s="2725"/>
      <c r="X186" s="2725"/>
      <c r="Y186" s="2725"/>
      <c r="Z186" s="4149"/>
      <c r="AA186" s="3221"/>
      <c r="AB186" s="4674"/>
      <c r="AC186" s="3439"/>
      <c r="AD186" s="2725"/>
      <c r="AE186" s="3224"/>
      <c r="AF186" s="4671"/>
      <c r="AG186" s="4671"/>
      <c r="AH186" s="3224"/>
      <c r="AI186" s="3224"/>
      <c r="AJ186" s="3221"/>
      <c r="AK186" s="3221"/>
      <c r="AL186" s="3221"/>
      <c r="AM186" s="3221"/>
      <c r="AN186" s="3221"/>
      <c r="AO186" s="3221"/>
      <c r="AP186" s="3221"/>
      <c r="AQ186" s="3221"/>
      <c r="AR186" s="3221"/>
      <c r="AS186" s="3221"/>
      <c r="AT186" s="3221"/>
      <c r="AU186" s="3221"/>
      <c r="AV186" s="3224"/>
      <c r="AW186" s="3221"/>
      <c r="AX186" s="3221"/>
      <c r="AY186" s="3221"/>
      <c r="AZ186" s="3221"/>
      <c r="BA186" s="3221"/>
      <c r="BB186" s="3221"/>
      <c r="BC186" s="3221"/>
      <c r="BD186" s="3221"/>
      <c r="BE186" s="3221"/>
      <c r="BF186" s="3224"/>
      <c r="BG186" s="3224"/>
      <c r="BH186" s="3224"/>
      <c r="BI186" s="3224"/>
      <c r="BJ186" s="3224"/>
      <c r="BK186" s="3224"/>
      <c r="BL186" s="3224"/>
      <c r="BM186" s="3224"/>
      <c r="BN186" s="3224"/>
      <c r="BO186" s="3224"/>
      <c r="BP186" s="3224"/>
      <c r="BQ186" s="3224"/>
      <c r="BR186" s="3224"/>
      <c r="BS186" s="3224"/>
      <c r="BT186" s="4135"/>
      <c r="BU186" s="3221"/>
      <c r="BV186" s="3922"/>
      <c r="BW186" s="3219"/>
      <c r="BX186" s="16004"/>
      <c r="BY186" s="4783"/>
      <c r="BZ186" s="4783"/>
      <c r="CA186" s="4783"/>
      <c r="CB186" s="3445"/>
      <c r="CC186" s="3240"/>
      <c r="CD186" s="3240"/>
      <c r="CE186" s="3445"/>
      <c r="CF186" s="3445"/>
      <c r="CG186" s="3445"/>
      <c r="CH186" s="3445"/>
      <c r="CI186" s="3445"/>
      <c r="CJ186" s="3445"/>
      <c r="CK186" s="3445"/>
      <c r="CL186" s="3445"/>
      <c r="CM186" s="3445"/>
      <c r="CN186" s="3445"/>
      <c r="CO186" s="3445"/>
      <c r="CP186" s="3445"/>
      <c r="CQ186" s="3445"/>
      <c r="CR186" s="3445"/>
      <c r="CS186" s="4673"/>
      <c r="CT186" s="3226"/>
      <c r="CU186" s="3226"/>
      <c r="CV186" s="3226"/>
      <c r="CW186" s="3226"/>
      <c r="CX186" s="3226"/>
      <c r="CY186" s="3226"/>
      <c r="CZ186" s="3226"/>
      <c r="DA186" s="3226"/>
      <c r="DB186" s="3226"/>
      <c r="DC186" s="3226"/>
      <c r="DD186" s="3226"/>
      <c r="DE186" s="3226"/>
      <c r="DF186" s="3226"/>
      <c r="DG186" s="3226"/>
      <c r="DH186" s="3226"/>
      <c r="DI186" s="3226"/>
      <c r="DJ186" s="3226"/>
      <c r="DK186" s="3226"/>
      <c r="DL186" s="3226"/>
      <c r="DM186" s="3226"/>
      <c r="DN186" s="3226"/>
      <c r="DO186" s="4841"/>
      <c r="DQ186" s="2056"/>
      <c r="DR186" s="3224"/>
      <c r="DS186" s="3224"/>
      <c r="DT186" s="3224"/>
      <c r="DU186" s="3224"/>
      <c r="DV186" s="3224"/>
      <c r="DW186" s="3224"/>
      <c r="DX186" s="3224"/>
      <c r="DY186" s="3224"/>
      <c r="DZ186" s="3224"/>
      <c r="EA186" s="3224"/>
      <c r="EB186" s="3224"/>
      <c r="EC186" s="3224"/>
      <c r="ED186" s="3224"/>
      <c r="EE186" s="3224"/>
      <c r="EF186" s="3224"/>
      <c r="EG186" s="3224"/>
      <c r="EH186" s="3224"/>
      <c r="EI186" s="3224"/>
      <c r="EJ186" s="3224"/>
      <c r="EK186" s="3224"/>
      <c r="EL186" s="3224"/>
      <c r="EM186" s="3224"/>
      <c r="EN186" s="3224"/>
      <c r="EO186" s="3224"/>
      <c r="EP186" s="3224"/>
      <c r="EQ186" s="3224"/>
      <c r="ER186" s="3224"/>
      <c r="ES186" s="3224"/>
      <c r="ET186" s="3224"/>
      <c r="EU186" s="3224"/>
      <c r="EV186" s="3224"/>
      <c r="EW186" s="3224"/>
      <c r="EX186" s="3224"/>
      <c r="EY186" s="3224"/>
      <c r="EZ186" s="3224"/>
      <c r="FA186" s="3224"/>
      <c r="FB186" s="3224"/>
      <c r="FC186" s="3224"/>
      <c r="FD186" s="3224"/>
      <c r="FE186" s="3224"/>
      <c r="FF186" s="3224"/>
      <c r="FG186" s="3224"/>
      <c r="FH186" s="3224"/>
      <c r="FI186" s="3224"/>
      <c r="FJ186" s="2057"/>
    </row>
    <row r="187" spans="1:166" s="1834" customFormat="1" ht="15" customHeight="1">
      <c r="A187" s="15968"/>
      <c r="B187" s="15971"/>
      <c r="C187" s="15617"/>
      <c r="D187" s="15617"/>
      <c r="E187" s="15708"/>
      <c r="F187" s="15708"/>
      <c r="G187" s="15708"/>
      <c r="H187" s="15708"/>
      <c r="I187" s="15708"/>
      <c r="J187" s="15708"/>
      <c r="K187" s="15708"/>
      <c r="L187" s="4135" t="s">
        <v>329</v>
      </c>
      <c r="M187" s="2725"/>
      <c r="N187" s="4135" t="s">
        <v>329</v>
      </c>
      <c r="O187" s="3221"/>
      <c r="P187" s="2725"/>
      <c r="Q187" s="2725"/>
      <c r="R187" s="2725"/>
      <c r="S187" s="2725"/>
      <c r="T187" s="2725"/>
      <c r="U187" s="4781"/>
      <c r="V187" s="2725"/>
      <c r="W187" s="2725"/>
      <c r="X187" s="2725"/>
      <c r="Y187" s="2725"/>
      <c r="Z187" s="4149"/>
      <c r="AA187" s="3221"/>
      <c r="AB187" s="4674"/>
      <c r="AC187" s="3439"/>
      <c r="AD187" s="2725"/>
      <c r="AE187" s="3224"/>
      <c r="AF187" s="4671"/>
      <c r="AG187" s="4671"/>
      <c r="AH187" s="3224"/>
      <c r="AI187" s="3224"/>
      <c r="AJ187" s="3221"/>
      <c r="AK187" s="3221"/>
      <c r="AL187" s="3221"/>
      <c r="AM187" s="3221"/>
      <c r="AN187" s="3221"/>
      <c r="AO187" s="3221"/>
      <c r="AP187" s="3221"/>
      <c r="AQ187" s="3221"/>
      <c r="AR187" s="3221"/>
      <c r="AS187" s="3221"/>
      <c r="AT187" s="3221"/>
      <c r="AU187" s="3221"/>
      <c r="AV187" s="3224"/>
      <c r="AW187" s="3221"/>
      <c r="AX187" s="3221"/>
      <c r="AY187" s="3221"/>
      <c r="AZ187" s="3221"/>
      <c r="BA187" s="3221"/>
      <c r="BB187" s="3221"/>
      <c r="BC187" s="3221"/>
      <c r="BD187" s="3221"/>
      <c r="BE187" s="3221"/>
      <c r="BF187" s="3224"/>
      <c r="BG187" s="3224"/>
      <c r="BH187" s="3224"/>
      <c r="BI187" s="3224"/>
      <c r="BJ187" s="3224"/>
      <c r="BK187" s="3224"/>
      <c r="BL187" s="3224"/>
      <c r="BM187" s="3224"/>
      <c r="BN187" s="3224"/>
      <c r="BO187" s="3224"/>
      <c r="BP187" s="3224"/>
      <c r="BQ187" s="3224"/>
      <c r="BR187" s="3224"/>
      <c r="BS187" s="3224"/>
      <c r="BT187" s="4135"/>
      <c r="BU187" s="3221"/>
      <c r="BV187" s="3922"/>
      <c r="BW187" s="3219"/>
      <c r="BX187" s="16004"/>
      <c r="BY187" s="4783"/>
      <c r="BZ187" s="4783"/>
      <c r="CA187" s="4783"/>
      <c r="CB187" s="3445"/>
      <c r="CC187" s="3240"/>
      <c r="CD187" s="3240"/>
      <c r="CE187" s="3445"/>
      <c r="CF187" s="3445"/>
      <c r="CG187" s="3445"/>
      <c r="CH187" s="3445"/>
      <c r="CI187" s="3445"/>
      <c r="CJ187" s="3445"/>
      <c r="CK187" s="3445"/>
      <c r="CL187" s="3445"/>
      <c r="CM187" s="3445"/>
      <c r="CN187" s="3445"/>
      <c r="CO187" s="3445"/>
      <c r="CP187" s="3445"/>
      <c r="CQ187" s="3445"/>
      <c r="CR187" s="3445"/>
      <c r="CS187" s="4673"/>
      <c r="CT187" s="3226"/>
      <c r="CU187" s="3226"/>
      <c r="CV187" s="3226"/>
      <c r="CW187" s="3226"/>
      <c r="CX187" s="3226"/>
      <c r="CY187" s="3226"/>
      <c r="CZ187" s="3226"/>
      <c r="DA187" s="3226"/>
      <c r="DB187" s="3226"/>
      <c r="DC187" s="3226"/>
      <c r="DD187" s="3226"/>
      <c r="DE187" s="3226"/>
      <c r="DF187" s="3226"/>
      <c r="DG187" s="3226"/>
      <c r="DH187" s="3226"/>
      <c r="DI187" s="3226"/>
      <c r="DJ187" s="3226"/>
      <c r="DK187" s="3226"/>
      <c r="DL187" s="3226"/>
      <c r="DM187" s="3226"/>
      <c r="DN187" s="3226"/>
      <c r="DO187" s="4841"/>
      <c r="DQ187" s="2056"/>
      <c r="DR187" s="3224"/>
      <c r="DS187" s="3224"/>
      <c r="DT187" s="3224"/>
      <c r="DU187" s="3224"/>
      <c r="DV187" s="3224"/>
      <c r="DW187" s="3224"/>
      <c r="DX187" s="3224"/>
      <c r="DY187" s="3224"/>
      <c r="DZ187" s="3224"/>
      <c r="EA187" s="3224"/>
      <c r="EB187" s="3224"/>
      <c r="EC187" s="3224"/>
      <c r="ED187" s="3224"/>
      <c r="EE187" s="3224"/>
      <c r="EF187" s="3224"/>
      <c r="EG187" s="3224"/>
      <c r="EH187" s="3224"/>
      <c r="EI187" s="3224"/>
      <c r="EJ187" s="3224"/>
      <c r="EK187" s="3224"/>
      <c r="EL187" s="3224"/>
      <c r="EM187" s="3224"/>
      <c r="EN187" s="3224"/>
      <c r="EO187" s="3224"/>
      <c r="EP187" s="3224"/>
      <c r="EQ187" s="3224"/>
      <c r="ER187" s="3224"/>
      <c r="ES187" s="3224"/>
      <c r="ET187" s="3224"/>
      <c r="EU187" s="3224"/>
      <c r="EV187" s="3224"/>
      <c r="EW187" s="3224"/>
      <c r="EX187" s="3224"/>
      <c r="EY187" s="3224"/>
      <c r="EZ187" s="3224"/>
      <c r="FA187" s="3224"/>
      <c r="FB187" s="3224"/>
      <c r="FC187" s="3224"/>
      <c r="FD187" s="3224"/>
      <c r="FE187" s="3224"/>
      <c r="FF187" s="3224"/>
      <c r="FG187" s="3224"/>
      <c r="FH187" s="3224"/>
      <c r="FI187" s="3224"/>
      <c r="FJ187" s="2057"/>
    </row>
    <row r="188" spans="1:166" s="1834" customFormat="1" ht="15" customHeight="1">
      <c r="A188" s="15968"/>
      <c r="B188" s="15971"/>
      <c r="C188" s="15617"/>
      <c r="D188" s="4129" t="s">
        <v>8020</v>
      </c>
      <c r="E188" s="4135" t="s">
        <v>5047</v>
      </c>
      <c r="F188" s="4135" t="s">
        <v>947</v>
      </c>
      <c r="G188" s="4135">
        <v>0</v>
      </c>
      <c r="H188" s="4135">
        <v>5</v>
      </c>
      <c r="I188" s="4135">
        <v>25</v>
      </c>
      <c r="J188" s="4135">
        <v>50</v>
      </c>
      <c r="K188" s="4135" t="s">
        <v>809</v>
      </c>
      <c r="L188" s="4135" t="s">
        <v>4305</v>
      </c>
      <c r="M188" s="2725" t="s">
        <v>885</v>
      </c>
      <c r="N188" s="4135"/>
      <c r="O188" s="3221">
        <v>40</v>
      </c>
      <c r="P188" s="2725">
        <v>41</v>
      </c>
      <c r="Q188" s="2725">
        <v>42</v>
      </c>
      <c r="R188" s="2725">
        <v>44</v>
      </c>
      <c r="S188" s="2725">
        <v>45</v>
      </c>
      <c r="T188" s="2725">
        <v>46</v>
      </c>
      <c r="U188" s="4781">
        <v>48</v>
      </c>
      <c r="V188" s="2725">
        <v>49</v>
      </c>
      <c r="W188" s="2725">
        <v>51</v>
      </c>
      <c r="X188" s="2725">
        <v>52</v>
      </c>
      <c r="Y188" s="2725">
        <v>54</v>
      </c>
      <c r="Z188" s="4149">
        <v>512</v>
      </c>
      <c r="AA188" s="3221"/>
      <c r="AB188" s="4819">
        <v>0</v>
      </c>
      <c r="AC188" s="3221" t="s">
        <v>2961</v>
      </c>
      <c r="AD188" s="3221"/>
      <c r="AE188" s="3221"/>
      <c r="AF188" s="3221"/>
      <c r="AG188" s="3224"/>
      <c r="AH188" s="3224"/>
      <c r="AI188" s="3224"/>
      <c r="AJ188" s="3224"/>
      <c r="AK188" s="3224"/>
      <c r="AL188" s="3224"/>
      <c r="AM188" s="3224"/>
      <c r="AN188" s="3224"/>
      <c r="AO188" s="3224"/>
      <c r="AP188" s="3224"/>
      <c r="AQ188" s="3224"/>
      <c r="AR188" s="3224"/>
      <c r="AS188" s="3224"/>
      <c r="AT188" s="3224"/>
      <c r="AU188" s="3224"/>
      <c r="AV188" s="3224"/>
      <c r="AW188" s="3224"/>
      <c r="AX188" s="3224"/>
      <c r="AY188" s="3224"/>
      <c r="AZ188" s="3224"/>
      <c r="BA188" s="3224"/>
      <c r="BB188" s="3224"/>
      <c r="BC188" s="3224"/>
      <c r="BD188" s="3224"/>
      <c r="BE188" s="3224"/>
      <c r="BF188" s="3224"/>
      <c r="BG188" s="3224"/>
      <c r="BH188" s="3224"/>
      <c r="BI188" s="3224"/>
      <c r="BJ188" s="3224"/>
      <c r="BK188" s="3224"/>
      <c r="BL188" s="3224"/>
      <c r="BM188" s="3224"/>
      <c r="BN188" s="3224"/>
      <c r="BO188" s="3224"/>
      <c r="BP188" s="3224"/>
      <c r="BQ188" s="3224"/>
      <c r="BR188" s="3224"/>
      <c r="BS188" s="3224"/>
      <c r="BT188" s="4135">
        <v>4</v>
      </c>
      <c r="BU188" s="3221">
        <v>40</v>
      </c>
      <c r="BV188" s="4135">
        <v>24</v>
      </c>
      <c r="BW188" s="3219">
        <f>BV188/BU188</f>
        <v>0.6</v>
      </c>
      <c r="BX188" s="16004"/>
      <c r="BY188" s="4783" t="s">
        <v>9054</v>
      </c>
      <c r="BZ188" s="4783"/>
      <c r="CA188" s="4783" t="s">
        <v>9055</v>
      </c>
      <c r="CB188" s="3925">
        <v>13471000</v>
      </c>
      <c r="CC188" s="3925">
        <v>13471000</v>
      </c>
      <c r="CD188" s="2709"/>
      <c r="CE188" s="2709"/>
      <c r="CF188" s="3226"/>
      <c r="CG188" s="3226"/>
      <c r="CH188" s="3226"/>
      <c r="CI188" s="3226"/>
      <c r="CJ188" s="3226"/>
      <c r="CK188" s="3226"/>
      <c r="CL188" s="3226"/>
      <c r="CM188" s="3226"/>
      <c r="CN188" s="3226"/>
      <c r="CO188" s="3226"/>
      <c r="CP188" s="3226"/>
      <c r="CQ188" s="3226"/>
      <c r="CR188" s="3226"/>
      <c r="CS188" s="3220"/>
      <c r="CT188" s="3226"/>
      <c r="CU188" s="3226"/>
      <c r="CV188" s="3226"/>
      <c r="CW188" s="3226"/>
      <c r="CX188" s="3226"/>
      <c r="CY188" s="3226"/>
      <c r="CZ188" s="3226"/>
      <c r="DA188" s="3226"/>
      <c r="DB188" s="3226"/>
      <c r="DC188" s="3226"/>
      <c r="DD188" s="3226"/>
      <c r="DE188" s="3226"/>
      <c r="DF188" s="3226"/>
      <c r="DG188" s="3226"/>
      <c r="DH188" s="3226"/>
      <c r="DI188" s="3226"/>
      <c r="DJ188" s="3226"/>
      <c r="DK188" s="3226"/>
      <c r="DL188" s="3226"/>
      <c r="DM188" s="3226"/>
      <c r="DN188" s="3226"/>
      <c r="DO188" s="4841"/>
      <c r="DQ188" s="2056"/>
      <c r="DR188" s="3224"/>
      <c r="DS188" s="3224"/>
      <c r="DT188" s="3224"/>
      <c r="DU188" s="3224"/>
      <c r="DV188" s="3224"/>
      <c r="DW188" s="3224"/>
      <c r="DX188" s="3224"/>
      <c r="DY188" s="3224"/>
      <c r="DZ188" s="3224"/>
      <c r="EA188" s="3224"/>
      <c r="EB188" s="3224"/>
      <c r="EC188" s="3224"/>
      <c r="ED188" s="3224"/>
      <c r="EE188" s="3224"/>
      <c r="EF188" s="3224"/>
      <c r="EG188" s="3224"/>
      <c r="EH188" s="3224"/>
      <c r="EI188" s="3224"/>
      <c r="EJ188" s="3224"/>
      <c r="EK188" s="3224"/>
      <c r="EL188" s="3224"/>
      <c r="EM188" s="3224"/>
      <c r="EN188" s="3224"/>
      <c r="EO188" s="3224"/>
      <c r="EP188" s="3224"/>
      <c r="EQ188" s="3224"/>
      <c r="ER188" s="3224"/>
      <c r="ES188" s="3224"/>
      <c r="ET188" s="3224"/>
      <c r="EU188" s="3224"/>
      <c r="EV188" s="3224"/>
      <c r="EW188" s="3224"/>
      <c r="EX188" s="3224"/>
      <c r="EY188" s="3224"/>
      <c r="EZ188" s="3224"/>
      <c r="FA188" s="3224"/>
      <c r="FB188" s="3224"/>
      <c r="FC188" s="3224"/>
      <c r="FD188" s="3224"/>
      <c r="FE188" s="3224"/>
      <c r="FF188" s="3224"/>
      <c r="FG188" s="3224"/>
      <c r="FH188" s="3224"/>
      <c r="FI188" s="3224"/>
      <c r="FJ188" s="2057"/>
    </row>
    <row r="189" spans="1:166" s="1834" customFormat="1" ht="15" customHeight="1">
      <c r="A189" s="15968"/>
      <c r="B189" s="15971"/>
      <c r="C189" s="15617"/>
      <c r="D189" s="15617" t="s">
        <v>8021</v>
      </c>
      <c r="E189" s="15708" t="s">
        <v>5048</v>
      </c>
      <c r="F189" s="15708" t="s">
        <v>888</v>
      </c>
      <c r="G189" s="15708">
        <v>0</v>
      </c>
      <c r="H189" s="15708">
        <v>1</v>
      </c>
      <c r="I189" s="15708">
        <v>1</v>
      </c>
      <c r="J189" s="15708">
        <v>1</v>
      </c>
      <c r="K189" s="15708" t="s">
        <v>827</v>
      </c>
      <c r="L189" s="4135" t="s">
        <v>4305</v>
      </c>
      <c r="M189" s="2725" t="s">
        <v>885</v>
      </c>
      <c r="N189" s="4135"/>
      <c r="O189" s="3221">
        <v>15</v>
      </c>
      <c r="P189" s="2725">
        <v>15</v>
      </c>
      <c r="Q189" s="2725">
        <v>16</v>
      </c>
      <c r="R189" s="2725">
        <v>16</v>
      </c>
      <c r="S189" s="2725">
        <v>17</v>
      </c>
      <c r="T189" s="2725">
        <v>17</v>
      </c>
      <c r="U189" s="4781">
        <v>18</v>
      </c>
      <c r="V189" s="2725">
        <v>18</v>
      </c>
      <c r="W189" s="2725">
        <v>19</v>
      </c>
      <c r="X189" s="2725">
        <v>20</v>
      </c>
      <c r="Y189" s="2725">
        <v>20</v>
      </c>
      <c r="Z189" s="4149">
        <v>192</v>
      </c>
      <c r="AA189" s="3221"/>
      <c r="AB189" s="3224"/>
      <c r="AC189" s="3221"/>
      <c r="AD189" s="3221"/>
      <c r="AE189" s="2725" t="s">
        <v>2962</v>
      </c>
      <c r="AF189" s="3221"/>
      <c r="AG189" s="3224"/>
      <c r="AH189" s="3224"/>
      <c r="AI189" s="3224"/>
      <c r="AJ189" s="3224"/>
      <c r="AK189" s="3224"/>
      <c r="AL189" s="3224"/>
      <c r="AM189" s="3224"/>
      <c r="AN189" s="3224"/>
      <c r="AO189" s="3224"/>
      <c r="AP189" s="3224"/>
      <c r="AQ189" s="3224"/>
      <c r="AR189" s="3224"/>
      <c r="AS189" s="3224"/>
      <c r="AT189" s="3224"/>
      <c r="AU189" s="3224"/>
      <c r="AV189" s="3224"/>
      <c r="AW189" s="3224"/>
      <c r="AX189" s="3224"/>
      <c r="AY189" s="3224"/>
      <c r="AZ189" s="3224"/>
      <c r="BA189" s="3224"/>
      <c r="BB189" s="3224"/>
      <c r="BC189" s="3224"/>
      <c r="BD189" s="3224"/>
      <c r="BE189" s="3224"/>
      <c r="BF189" s="3224"/>
      <c r="BG189" s="3224"/>
      <c r="BH189" s="3224"/>
      <c r="BI189" s="3224"/>
      <c r="BJ189" s="3224"/>
      <c r="BK189" s="3224"/>
      <c r="BL189" s="3224"/>
      <c r="BM189" s="3224"/>
      <c r="BN189" s="3224"/>
      <c r="BO189" s="3224"/>
      <c r="BP189" s="3224"/>
      <c r="BQ189" s="3224"/>
      <c r="BR189" s="3224"/>
      <c r="BS189" s="3224"/>
      <c r="BT189" s="2725" t="s">
        <v>9884</v>
      </c>
      <c r="BU189" s="3221">
        <v>1</v>
      </c>
      <c r="BV189" s="4135">
        <v>0</v>
      </c>
      <c r="BW189" s="3219">
        <f t="shared" ref="BW189:BW191" si="14">BV189/BU189</f>
        <v>0</v>
      </c>
      <c r="BX189" s="16004"/>
      <c r="BY189" s="2725"/>
      <c r="BZ189" s="2725"/>
      <c r="CA189" s="2725"/>
      <c r="CB189" s="2709"/>
      <c r="CC189" s="2709"/>
      <c r="CD189" s="2709"/>
      <c r="CE189" s="2709"/>
      <c r="CF189" s="3226"/>
      <c r="CG189" s="3226"/>
      <c r="CH189" s="3226"/>
      <c r="CI189" s="3226"/>
      <c r="CJ189" s="3226"/>
      <c r="CK189" s="3226"/>
      <c r="CL189" s="3226"/>
      <c r="CM189" s="3226"/>
      <c r="CN189" s="3226"/>
      <c r="CO189" s="3226"/>
      <c r="CP189" s="3226"/>
      <c r="CQ189" s="3226"/>
      <c r="CR189" s="3226"/>
      <c r="CS189" s="3220"/>
      <c r="CT189" s="3226"/>
      <c r="CU189" s="3226"/>
      <c r="CV189" s="3226"/>
      <c r="CW189" s="3226"/>
      <c r="CX189" s="3226"/>
      <c r="CY189" s="3226"/>
      <c r="CZ189" s="3226"/>
      <c r="DA189" s="3226"/>
      <c r="DB189" s="3226"/>
      <c r="DC189" s="3226"/>
      <c r="DD189" s="3226"/>
      <c r="DE189" s="3226"/>
      <c r="DF189" s="3226"/>
      <c r="DG189" s="3226"/>
      <c r="DH189" s="3226"/>
      <c r="DI189" s="3226"/>
      <c r="DJ189" s="3226"/>
      <c r="DK189" s="3226"/>
      <c r="DL189" s="3226"/>
      <c r="DM189" s="3226"/>
      <c r="DN189" s="3226"/>
      <c r="DO189" s="4841"/>
      <c r="DQ189" s="2056"/>
      <c r="DR189" s="3224"/>
      <c r="DS189" s="3224"/>
      <c r="DT189" s="3224"/>
      <c r="DU189" s="3224"/>
      <c r="DV189" s="3224"/>
      <c r="DW189" s="3224"/>
      <c r="DX189" s="3224"/>
      <c r="DY189" s="3224"/>
      <c r="DZ189" s="3224"/>
      <c r="EA189" s="3224"/>
      <c r="EB189" s="3224"/>
      <c r="EC189" s="3224"/>
      <c r="ED189" s="3224"/>
      <c r="EE189" s="3224"/>
      <c r="EF189" s="3224"/>
      <c r="EG189" s="3224"/>
      <c r="EH189" s="3224"/>
      <c r="EI189" s="3224"/>
      <c r="EJ189" s="3224"/>
      <c r="EK189" s="3224"/>
      <c r="EL189" s="3224"/>
      <c r="EM189" s="3224"/>
      <c r="EN189" s="3224"/>
      <c r="EO189" s="3224"/>
      <c r="EP189" s="3224"/>
      <c r="EQ189" s="3224"/>
      <c r="ER189" s="3224"/>
      <c r="ES189" s="3224"/>
      <c r="ET189" s="3224"/>
      <c r="EU189" s="3224"/>
      <c r="EV189" s="3224"/>
      <c r="EW189" s="3224"/>
      <c r="EX189" s="3224"/>
      <c r="EY189" s="3224"/>
      <c r="EZ189" s="3224"/>
      <c r="FA189" s="3224"/>
      <c r="FB189" s="3224"/>
      <c r="FC189" s="3224"/>
      <c r="FD189" s="3224"/>
      <c r="FE189" s="3224"/>
      <c r="FF189" s="3224"/>
      <c r="FG189" s="3224"/>
      <c r="FH189" s="3224"/>
      <c r="FI189" s="3224"/>
      <c r="FJ189" s="2057"/>
    </row>
    <row r="190" spans="1:166" s="1834" customFormat="1" ht="15" customHeight="1">
      <c r="A190" s="15968"/>
      <c r="B190" s="15971"/>
      <c r="C190" s="15617"/>
      <c r="D190" s="15617"/>
      <c r="E190" s="15708"/>
      <c r="F190" s="15708"/>
      <c r="G190" s="15708"/>
      <c r="H190" s="15708"/>
      <c r="I190" s="15708"/>
      <c r="J190" s="15708"/>
      <c r="K190" s="15708"/>
      <c r="L190" s="4135" t="s">
        <v>10063</v>
      </c>
      <c r="M190" s="2725"/>
      <c r="N190" s="4135" t="s">
        <v>948</v>
      </c>
      <c r="O190" s="3221"/>
      <c r="P190" s="2725"/>
      <c r="Q190" s="2725"/>
      <c r="R190" s="2725"/>
      <c r="S190" s="2725"/>
      <c r="T190" s="2725"/>
      <c r="U190" s="4781"/>
      <c r="V190" s="2725"/>
      <c r="W190" s="2725"/>
      <c r="X190" s="2725"/>
      <c r="Y190" s="2725"/>
      <c r="Z190" s="4149"/>
      <c r="AA190" s="3221"/>
      <c r="AB190" s="3224"/>
      <c r="AC190" s="3221"/>
      <c r="AD190" s="3221"/>
      <c r="AE190" s="2725"/>
      <c r="AF190" s="3221"/>
      <c r="AG190" s="3224"/>
      <c r="AH190" s="3224"/>
      <c r="AI190" s="3224"/>
      <c r="AJ190" s="3224"/>
      <c r="AK190" s="3224"/>
      <c r="AL190" s="3224"/>
      <c r="AM190" s="3224"/>
      <c r="AN190" s="3224"/>
      <c r="AO190" s="3224"/>
      <c r="AP190" s="3224"/>
      <c r="AQ190" s="3224"/>
      <c r="AR190" s="3224"/>
      <c r="AS190" s="3224"/>
      <c r="AT190" s="3224"/>
      <c r="AU190" s="3224"/>
      <c r="AV190" s="3224"/>
      <c r="AW190" s="3224"/>
      <c r="AX190" s="3224"/>
      <c r="AY190" s="3224"/>
      <c r="AZ190" s="3224"/>
      <c r="BA190" s="3224"/>
      <c r="BB190" s="3224"/>
      <c r="BC190" s="3224"/>
      <c r="BD190" s="3224"/>
      <c r="BE190" s="3224"/>
      <c r="BF190" s="3224"/>
      <c r="BG190" s="3224"/>
      <c r="BH190" s="3224"/>
      <c r="BI190" s="3224"/>
      <c r="BJ190" s="3224"/>
      <c r="BK190" s="3224"/>
      <c r="BL190" s="3224"/>
      <c r="BM190" s="3224"/>
      <c r="BN190" s="3224"/>
      <c r="BO190" s="3224"/>
      <c r="BP190" s="3224"/>
      <c r="BQ190" s="3224"/>
      <c r="BR190" s="3224"/>
      <c r="BS190" s="3224"/>
      <c r="BT190" s="2725"/>
      <c r="BU190" s="3221"/>
      <c r="BV190" s="4135"/>
      <c r="BW190" s="3219"/>
      <c r="BX190" s="16004"/>
      <c r="BY190" s="2725"/>
      <c r="BZ190" s="2725"/>
      <c r="CA190" s="2725"/>
      <c r="CB190" s="2709"/>
      <c r="CC190" s="2709"/>
      <c r="CD190" s="2709"/>
      <c r="CE190" s="2709"/>
      <c r="CF190" s="3226"/>
      <c r="CG190" s="3226"/>
      <c r="CH190" s="3226"/>
      <c r="CI190" s="3226"/>
      <c r="CJ190" s="3226"/>
      <c r="CK190" s="3226"/>
      <c r="CL190" s="3226"/>
      <c r="CM190" s="3226"/>
      <c r="CN190" s="3226"/>
      <c r="CO190" s="3226"/>
      <c r="CP190" s="3226"/>
      <c r="CQ190" s="3226"/>
      <c r="CR190" s="3226"/>
      <c r="CS190" s="3220"/>
      <c r="CT190" s="3226"/>
      <c r="CU190" s="3226"/>
      <c r="CV190" s="3226"/>
      <c r="CW190" s="3226"/>
      <c r="CX190" s="3226"/>
      <c r="CY190" s="3226"/>
      <c r="CZ190" s="3226"/>
      <c r="DA190" s="3226"/>
      <c r="DB190" s="3226"/>
      <c r="DC190" s="3226"/>
      <c r="DD190" s="3226"/>
      <c r="DE190" s="3226"/>
      <c r="DF190" s="3226"/>
      <c r="DG190" s="3226"/>
      <c r="DH190" s="3226"/>
      <c r="DI190" s="3226"/>
      <c r="DJ190" s="3226"/>
      <c r="DK190" s="3226"/>
      <c r="DL190" s="3226"/>
      <c r="DM190" s="3226"/>
      <c r="DN190" s="3226"/>
      <c r="DO190" s="4841"/>
      <c r="DQ190" s="2056"/>
      <c r="DR190" s="3224"/>
      <c r="DS190" s="3224"/>
      <c r="DT190" s="3224"/>
      <c r="DU190" s="3224"/>
      <c r="DV190" s="3224"/>
      <c r="DW190" s="3224"/>
      <c r="DX190" s="3224"/>
      <c r="DY190" s="3224"/>
      <c r="DZ190" s="3224"/>
      <c r="EA190" s="3224"/>
      <c r="EB190" s="3224"/>
      <c r="EC190" s="3224"/>
      <c r="ED190" s="3224"/>
      <c r="EE190" s="3224"/>
      <c r="EF190" s="3224"/>
      <c r="EG190" s="3224"/>
      <c r="EH190" s="3224"/>
      <c r="EI190" s="3224"/>
      <c r="EJ190" s="3224"/>
      <c r="EK190" s="3224"/>
      <c r="EL190" s="3224"/>
      <c r="EM190" s="3224"/>
      <c r="EN190" s="3224"/>
      <c r="EO190" s="3224"/>
      <c r="EP190" s="3224"/>
      <c r="EQ190" s="3224"/>
      <c r="ER190" s="3224"/>
      <c r="ES190" s="3224"/>
      <c r="ET190" s="3224"/>
      <c r="EU190" s="3224"/>
      <c r="EV190" s="3224"/>
      <c r="EW190" s="3224"/>
      <c r="EX190" s="3224"/>
      <c r="EY190" s="3224"/>
      <c r="EZ190" s="3224"/>
      <c r="FA190" s="3224"/>
      <c r="FB190" s="3224"/>
      <c r="FC190" s="3224"/>
      <c r="FD190" s="3224"/>
      <c r="FE190" s="3224"/>
      <c r="FF190" s="3224"/>
      <c r="FG190" s="3224"/>
      <c r="FH190" s="3224"/>
      <c r="FI190" s="3224"/>
      <c r="FJ190" s="2057"/>
    </row>
    <row r="191" spans="1:166" s="1834" customFormat="1" ht="15" customHeight="1" thickBot="1">
      <c r="A191" s="15969"/>
      <c r="B191" s="15972"/>
      <c r="C191" s="15902"/>
      <c r="D191" s="4139" t="s">
        <v>8022</v>
      </c>
      <c r="E191" s="2010" t="s">
        <v>5049</v>
      </c>
      <c r="F191" s="2010" t="s">
        <v>949</v>
      </c>
      <c r="G191" s="2010">
        <v>0</v>
      </c>
      <c r="H191" s="2011">
        <v>5</v>
      </c>
      <c r="I191" s="2011">
        <v>25</v>
      </c>
      <c r="J191" s="2011">
        <v>50</v>
      </c>
      <c r="K191" s="2010" t="s">
        <v>950</v>
      </c>
      <c r="L191" s="2010" t="s">
        <v>4305</v>
      </c>
      <c r="M191" s="3008" t="s">
        <v>885</v>
      </c>
      <c r="N191" s="2010"/>
      <c r="O191" s="1749">
        <v>100</v>
      </c>
      <c r="P191" s="3008">
        <v>103</v>
      </c>
      <c r="Q191" s="3008">
        <v>106</v>
      </c>
      <c r="R191" s="3008">
        <v>109</v>
      </c>
      <c r="S191" s="3008">
        <v>113</v>
      </c>
      <c r="T191" s="3008">
        <v>116</v>
      </c>
      <c r="U191" s="4842">
        <v>119</v>
      </c>
      <c r="V191" s="3008">
        <v>123</v>
      </c>
      <c r="W191" s="3008">
        <v>127</v>
      </c>
      <c r="X191" s="3008">
        <v>130</v>
      </c>
      <c r="Y191" s="3008">
        <v>134</v>
      </c>
      <c r="Z191" s="4138">
        <v>1281</v>
      </c>
      <c r="AA191" s="1749"/>
      <c r="AB191" s="4843">
        <v>0</v>
      </c>
      <c r="AC191" s="1749" t="s">
        <v>2961</v>
      </c>
      <c r="AD191" s="1749"/>
      <c r="AE191" s="1749"/>
      <c r="AF191" s="1749"/>
      <c r="AG191" s="1751"/>
      <c r="AH191" s="1751"/>
      <c r="AI191" s="1751"/>
      <c r="AJ191" s="1751"/>
      <c r="AK191" s="1751"/>
      <c r="AL191" s="1751"/>
      <c r="AM191" s="1751"/>
      <c r="AN191" s="1751"/>
      <c r="AO191" s="1751"/>
      <c r="AP191" s="1751"/>
      <c r="AQ191" s="1751"/>
      <c r="AR191" s="1751"/>
      <c r="AS191" s="1751"/>
      <c r="AT191" s="1751"/>
      <c r="AU191" s="1751"/>
      <c r="AV191" s="1751"/>
      <c r="AW191" s="1751"/>
      <c r="AX191" s="1751"/>
      <c r="AY191" s="1751"/>
      <c r="AZ191" s="1751"/>
      <c r="BA191" s="1751"/>
      <c r="BB191" s="1751"/>
      <c r="BC191" s="1751"/>
      <c r="BD191" s="1751"/>
      <c r="BE191" s="1751"/>
      <c r="BF191" s="1751"/>
      <c r="BG191" s="1751"/>
      <c r="BH191" s="1751"/>
      <c r="BI191" s="1751"/>
      <c r="BJ191" s="1751"/>
      <c r="BK191" s="1751"/>
      <c r="BL191" s="1751"/>
      <c r="BM191" s="1751"/>
      <c r="BN191" s="1751"/>
      <c r="BO191" s="1751"/>
      <c r="BP191" s="1751"/>
      <c r="BQ191" s="1751"/>
      <c r="BR191" s="1751"/>
      <c r="BS191" s="1751"/>
      <c r="BT191" s="3008" t="s">
        <v>9884</v>
      </c>
      <c r="BU191" s="1749">
        <v>40</v>
      </c>
      <c r="BV191" s="4145">
        <v>0</v>
      </c>
      <c r="BW191" s="4307">
        <f t="shared" si="14"/>
        <v>0</v>
      </c>
      <c r="BX191" s="16005"/>
      <c r="BY191" s="2010" t="s">
        <v>9056</v>
      </c>
      <c r="BZ191" s="3008"/>
      <c r="CA191" s="2010"/>
      <c r="CB191" s="4410"/>
      <c r="CC191" s="4844"/>
      <c r="CD191" s="4844"/>
      <c r="CE191" s="4410"/>
      <c r="CF191" s="1753"/>
      <c r="CG191" s="1753"/>
      <c r="CH191" s="1753"/>
      <c r="CI191" s="1753"/>
      <c r="CJ191" s="1753"/>
      <c r="CK191" s="1753"/>
      <c r="CL191" s="1753"/>
      <c r="CM191" s="1753"/>
      <c r="CN191" s="1753"/>
      <c r="CO191" s="1753"/>
      <c r="CP191" s="1753"/>
      <c r="CQ191" s="1753"/>
      <c r="CR191" s="1753"/>
      <c r="CS191" s="4845"/>
      <c r="CT191" s="1753"/>
      <c r="CU191" s="1753"/>
      <c r="CV191" s="1753"/>
      <c r="CW191" s="1753"/>
      <c r="CX191" s="1753"/>
      <c r="CY191" s="1753"/>
      <c r="CZ191" s="1753"/>
      <c r="DA191" s="1753"/>
      <c r="DB191" s="1753"/>
      <c r="DC191" s="1753"/>
      <c r="DD191" s="1753"/>
      <c r="DE191" s="1753"/>
      <c r="DF191" s="1753"/>
      <c r="DG191" s="1753"/>
      <c r="DH191" s="1753"/>
      <c r="DI191" s="1753"/>
      <c r="DJ191" s="1753"/>
      <c r="DK191" s="1753"/>
      <c r="DL191" s="1753"/>
      <c r="DM191" s="1753"/>
      <c r="DN191" s="1753"/>
      <c r="DO191" s="4846"/>
      <c r="DQ191" s="3852"/>
      <c r="DR191" s="1751"/>
      <c r="DS191" s="1751"/>
      <c r="DT191" s="1751"/>
      <c r="DU191" s="1751"/>
      <c r="DV191" s="1751"/>
      <c r="DW191" s="1751"/>
      <c r="DX191" s="1751"/>
      <c r="DY191" s="1751"/>
      <c r="DZ191" s="1751"/>
      <c r="EA191" s="1751"/>
      <c r="EB191" s="1751"/>
      <c r="EC191" s="1751"/>
      <c r="ED191" s="1751"/>
      <c r="EE191" s="1751"/>
      <c r="EF191" s="1751"/>
      <c r="EG191" s="1751"/>
      <c r="EH191" s="1751"/>
      <c r="EI191" s="1751"/>
      <c r="EJ191" s="1751"/>
      <c r="EK191" s="1751"/>
      <c r="EL191" s="1751"/>
      <c r="EM191" s="1751"/>
      <c r="EN191" s="1751"/>
      <c r="EO191" s="1751"/>
      <c r="EP191" s="1751"/>
      <c r="EQ191" s="1751"/>
      <c r="ER191" s="1751"/>
      <c r="ES191" s="1751"/>
      <c r="ET191" s="1751"/>
      <c r="EU191" s="1751"/>
      <c r="EV191" s="1751"/>
      <c r="EW191" s="1751"/>
      <c r="EX191" s="1751"/>
      <c r="EY191" s="1751"/>
      <c r="EZ191" s="1751"/>
      <c r="FA191" s="1751"/>
      <c r="FB191" s="1751"/>
      <c r="FC191" s="1751"/>
      <c r="FD191" s="1751"/>
      <c r="FE191" s="1751"/>
      <c r="FF191" s="1751"/>
      <c r="FG191" s="1751"/>
      <c r="FH191" s="1751"/>
      <c r="FI191" s="1751"/>
      <c r="FJ191" s="1869"/>
    </row>
    <row r="192" spans="1:166" ht="15" customHeight="1">
      <c r="D192" s="32"/>
      <c r="E192" s="32"/>
      <c r="BY192" s="32"/>
      <c r="BZ192" s="32"/>
      <c r="CA192" s="32"/>
      <c r="CB192" s="929"/>
      <c r="CC192" s="929"/>
      <c r="CD192" s="929"/>
      <c r="CE192" s="929"/>
      <c r="CF192" s="929"/>
      <c r="CG192" s="929"/>
      <c r="CH192" s="929"/>
      <c r="CI192" s="929"/>
      <c r="CJ192" s="929"/>
      <c r="CK192" s="929"/>
      <c r="CL192" s="929"/>
      <c r="CM192" s="929"/>
      <c r="CN192" s="929"/>
      <c r="CO192" s="929"/>
      <c r="CP192" s="929"/>
      <c r="CQ192" s="929"/>
      <c r="CR192" s="929"/>
      <c r="CS192" s="929"/>
      <c r="CT192" s="929"/>
      <c r="CU192" s="929"/>
      <c r="CV192" s="929"/>
      <c r="CW192" s="929"/>
      <c r="CX192" s="929"/>
      <c r="CY192" s="929"/>
      <c r="CZ192" s="929"/>
      <c r="DA192" s="929"/>
      <c r="DB192" s="929"/>
      <c r="DC192" s="929"/>
      <c r="DD192" s="929"/>
      <c r="DE192" s="929"/>
      <c r="DF192" s="929"/>
      <c r="DG192" s="929"/>
      <c r="DH192" s="929"/>
      <c r="DI192" s="929"/>
      <c r="DJ192" s="929"/>
      <c r="DK192" s="929"/>
      <c r="DL192" s="929"/>
      <c r="DM192" s="929"/>
      <c r="DN192" s="929"/>
      <c r="DO192" s="929"/>
    </row>
    <row r="193" spans="4:119" ht="15" customHeight="1">
      <c r="D193" s="32"/>
      <c r="E193" s="32"/>
      <c r="BY193" s="32"/>
      <c r="BZ193" s="32"/>
      <c r="CA193" s="32"/>
      <c r="CB193" s="2955">
        <f t="shared" ref="CB193:DE193" si="15">SUM(CB5:CB191)</f>
        <v>5138385207.7999983</v>
      </c>
      <c r="CC193" s="930">
        <f t="shared" si="15"/>
        <v>710480014.99999988</v>
      </c>
      <c r="CD193" s="930">
        <f t="shared" si="15"/>
        <v>3586625990.0000005</v>
      </c>
      <c r="CE193" s="930">
        <f t="shared" si="15"/>
        <v>373839203</v>
      </c>
      <c r="CF193" s="2955">
        <f t="shared" si="15"/>
        <v>25876</v>
      </c>
      <c r="CG193" s="930">
        <f t="shared" si="15"/>
        <v>8785</v>
      </c>
      <c r="CH193" s="930">
        <f t="shared" si="15"/>
        <v>9182</v>
      </c>
      <c r="CI193" s="930">
        <f t="shared" si="15"/>
        <v>14308</v>
      </c>
      <c r="CJ193" s="930">
        <f t="shared" si="15"/>
        <v>3720</v>
      </c>
      <c r="CK193" s="930">
        <f t="shared" si="15"/>
        <v>252</v>
      </c>
      <c r="CL193" s="930">
        <f t="shared" si="15"/>
        <v>4743</v>
      </c>
      <c r="CM193" s="930">
        <f t="shared" si="15"/>
        <v>13548</v>
      </c>
      <c r="CN193" s="930">
        <f t="shared" si="15"/>
        <v>2612</v>
      </c>
      <c r="CO193" s="930">
        <f t="shared" si="15"/>
        <v>2182</v>
      </c>
      <c r="CP193" s="930">
        <f t="shared" si="15"/>
        <v>2772</v>
      </c>
      <c r="CQ193" s="930">
        <f t="shared" si="15"/>
        <v>3602</v>
      </c>
      <c r="CR193" s="930">
        <f t="shared" si="15"/>
        <v>4259</v>
      </c>
      <c r="CS193" s="930">
        <f t="shared" si="15"/>
        <v>14546</v>
      </c>
      <c r="CT193" s="930">
        <f t="shared" si="15"/>
        <v>417</v>
      </c>
      <c r="CU193" s="930">
        <f t="shared" si="15"/>
        <v>68</v>
      </c>
      <c r="CV193" s="930">
        <f t="shared" si="15"/>
        <v>293</v>
      </c>
      <c r="CW193" s="930">
        <f t="shared" si="15"/>
        <v>5</v>
      </c>
      <c r="CX193" s="930">
        <f t="shared" si="15"/>
        <v>9</v>
      </c>
      <c r="CY193" s="930">
        <f t="shared" si="15"/>
        <v>23</v>
      </c>
      <c r="CZ193" s="930">
        <f t="shared" si="15"/>
        <v>6639</v>
      </c>
      <c r="DA193" s="930">
        <f t="shared" si="15"/>
        <v>288</v>
      </c>
      <c r="DB193" s="930">
        <f t="shared" si="15"/>
        <v>92</v>
      </c>
      <c r="DC193" s="930">
        <f t="shared" si="15"/>
        <v>2</v>
      </c>
      <c r="DD193" s="930">
        <f t="shared" si="15"/>
        <v>0</v>
      </c>
      <c r="DE193" s="930">
        <f t="shared" si="15"/>
        <v>0</v>
      </c>
      <c r="DF193" s="929"/>
      <c r="DG193" s="929"/>
      <c r="DH193" s="929"/>
      <c r="DI193" s="929"/>
      <c r="DJ193" s="929"/>
      <c r="DK193" s="929"/>
      <c r="DL193" s="929"/>
      <c r="DM193" s="929"/>
      <c r="DN193" s="929"/>
      <c r="DO193" s="929"/>
    </row>
    <row r="194" spans="4:119" ht="15" customHeight="1">
      <c r="D194" s="32"/>
      <c r="E194" s="32"/>
    </row>
    <row r="195" spans="4:119" ht="15" customHeight="1">
      <c r="D195" s="32"/>
      <c r="E195" s="32"/>
      <c r="CF195" s="929">
        <f>CF193-CS193</f>
        <v>11330</v>
      </c>
    </row>
    <row r="196" spans="4:119" ht="15" customHeight="1">
      <c r="D196" s="32"/>
      <c r="E196" s="32"/>
    </row>
    <row r="197" spans="4:119" ht="15" customHeight="1">
      <c r="D197" s="32"/>
      <c r="E197" s="32"/>
    </row>
    <row r="198" spans="4:119" ht="15" customHeight="1">
      <c r="D198" s="32"/>
      <c r="E198" s="32"/>
    </row>
    <row r="199" spans="4:119" ht="15" customHeight="1">
      <c r="D199" s="32"/>
      <c r="E199" s="32"/>
    </row>
    <row r="200" spans="4:119" ht="15" customHeight="1">
      <c r="D200" s="32"/>
      <c r="E200" s="32"/>
    </row>
    <row r="201" spans="4:119" ht="15" customHeight="1">
      <c r="D201" s="32"/>
      <c r="E201" s="32"/>
    </row>
    <row r="202" spans="4:119" ht="15" customHeight="1">
      <c r="D202" s="32"/>
      <c r="E202" s="32"/>
    </row>
    <row r="203" spans="4:119" ht="15" customHeight="1">
      <c r="D203" s="32"/>
      <c r="E203" s="32"/>
    </row>
    <row r="204" spans="4:119" ht="15" customHeight="1">
      <c r="D204" s="32"/>
      <c r="E204" s="32"/>
    </row>
    <row r="205" spans="4:119" ht="15" customHeight="1">
      <c r="D205" s="32"/>
      <c r="E205" s="32"/>
    </row>
    <row r="206" spans="4:119" ht="15" customHeight="1">
      <c r="D206" s="32"/>
      <c r="E206" s="32"/>
    </row>
    <row r="207" spans="4:119" ht="15" customHeight="1">
      <c r="D207" s="32"/>
      <c r="E207" s="32"/>
    </row>
    <row r="208" spans="4:119" ht="15" customHeight="1">
      <c r="D208" s="32"/>
      <c r="E208" s="32"/>
    </row>
    <row r="209" spans="4:5" ht="15" customHeight="1">
      <c r="D209" s="32"/>
      <c r="E209" s="32"/>
    </row>
    <row r="210" spans="4:5" ht="15" customHeight="1">
      <c r="D210" s="32"/>
      <c r="E210" s="32"/>
    </row>
    <row r="211" spans="4:5" ht="15" customHeight="1">
      <c r="D211" s="32"/>
      <c r="E211" s="32"/>
    </row>
    <row r="212" spans="4:5" ht="15" customHeight="1">
      <c r="D212" s="32"/>
      <c r="E212" s="32"/>
    </row>
    <row r="213" spans="4:5" ht="15" customHeight="1">
      <c r="D213" s="32"/>
      <c r="E213" s="32"/>
    </row>
    <row r="214" spans="4:5" ht="15" customHeight="1">
      <c r="D214" s="32"/>
      <c r="E214" s="32"/>
    </row>
    <row r="215" spans="4:5" ht="15" customHeight="1">
      <c r="D215" s="32"/>
      <c r="E215" s="32"/>
    </row>
    <row r="216" spans="4:5" ht="15" customHeight="1">
      <c r="D216" s="32"/>
      <c r="E216" s="32"/>
    </row>
    <row r="217" spans="4:5" ht="15" customHeight="1">
      <c r="D217" s="32"/>
      <c r="E217" s="32"/>
    </row>
    <row r="218" spans="4:5" ht="15" customHeight="1">
      <c r="D218" s="32"/>
      <c r="E218" s="32"/>
    </row>
    <row r="219" spans="4:5" ht="15" customHeight="1">
      <c r="D219" s="32"/>
      <c r="E219" s="32"/>
    </row>
    <row r="220" spans="4:5" ht="15" customHeight="1">
      <c r="D220" s="32"/>
      <c r="E220" s="32"/>
    </row>
    <row r="221" spans="4:5" ht="15" customHeight="1">
      <c r="D221" s="32"/>
      <c r="E221" s="32"/>
    </row>
    <row r="222" spans="4:5" ht="15" customHeight="1">
      <c r="D222" s="32"/>
      <c r="E222" s="32"/>
    </row>
    <row r="223" spans="4:5" ht="15" customHeight="1">
      <c r="D223" s="32"/>
      <c r="E223" s="32"/>
    </row>
    <row r="224" spans="4:5" ht="15" customHeight="1">
      <c r="D224" s="32"/>
      <c r="E224" s="32"/>
    </row>
    <row r="225" spans="4:5" ht="15" customHeight="1">
      <c r="D225" s="32"/>
      <c r="E225" s="32"/>
    </row>
    <row r="226" spans="4:5" ht="15" customHeight="1">
      <c r="D226" s="32"/>
      <c r="E226" s="32"/>
    </row>
    <row r="227" spans="4:5" ht="15" customHeight="1">
      <c r="D227" s="32"/>
      <c r="E227" s="32"/>
    </row>
    <row r="228" spans="4:5" ht="15" customHeight="1">
      <c r="D228" s="32"/>
      <c r="E228" s="32"/>
    </row>
    <row r="229" spans="4:5" ht="15" customHeight="1">
      <c r="D229" s="32"/>
      <c r="E229" s="32"/>
    </row>
    <row r="230" spans="4:5" ht="15" customHeight="1">
      <c r="D230" s="32"/>
      <c r="E230" s="32"/>
    </row>
    <row r="231" spans="4:5" ht="15" customHeight="1">
      <c r="D231" s="32"/>
      <c r="E231" s="32"/>
    </row>
    <row r="232" spans="4:5" ht="15" customHeight="1">
      <c r="D232" s="32"/>
      <c r="E232" s="32"/>
    </row>
    <row r="233" spans="4:5" ht="15" customHeight="1">
      <c r="D233" s="32"/>
      <c r="E233" s="32"/>
    </row>
    <row r="234" spans="4:5" ht="15" customHeight="1">
      <c r="D234" s="32"/>
      <c r="E234" s="32"/>
    </row>
    <row r="235" spans="4:5" ht="15" customHeight="1">
      <c r="D235" s="32"/>
      <c r="E235" s="32"/>
    </row>
    <row r="236" spans="4:5" ht="15" customHeight="1">
      <c r="D236" s="32"/>
      <c r="E236" s="32"/>
    </row>
    <row r="237" spans="4:5" ht="15" customHeight="1">
      <c r="D237" s="32"/>
      <c r="E237" s="32"/>
    </row>
    <row r="238" spans="4:5" ht="15" customHeight="1">
      <c r="D238" s="32"/>
      <c r="E238" s="32"/>
    </row>
    <row r="239" spans="4:5" ht="15" customHeight="1">
      <c r="D239" s="32"/>
      <c r="E239" s="32"/>
    </row>
    <row r="240" spans="4:5" ht="15" customHeight="1">
      <c r="D240" s="32"/>
      <c r="E240" s="32"/>
    </row>
    <row r="241" spans="4:5" ht="15" customHeight="1">
      <c r="D241" s="32"/>
      <c r="E241" s="32"/>
    </row>
    <row r="242" spans="4:5" ht="15" customHeight="1">
      <c r="D242" s="32"/>
      <c r="E242" s="32"/>
    </row>
    <row r="243" spans="4:5" ht="15" customHeight="1">
      <c r="D243" s="32"/>
      <c r="E243" s="32"/>
    </row>
    <row r="244" spans="4:5" ht="15" customHeight="1">
      <c r="D244" s="32"/>
      <c r="E244" s="32"/>
    </row>
  </sheetData>
  <autoFilter ref="A4:DP191" xr:uid="{00000000-0009-0000-0000-000010000000}"/>
  <mergeCells count="588">
    <mergeCell ref="BX120:BX138"/>
    <mergeCell ref="BX139:BX164"/>
    <mergeCell ref="BX165:BX191"/>
    <mergeCell ref="BU2:BU4"/>
    <mergeCell ref="BV2:BV4"/>
    <mergeCell ref="BW2:BW4"/>
    <mergeCell ref="BX2:BX4"/>
    <mergeCell ref="BX5:BX35"/>
    <mergeCell ref="BX36:BX74"/>
    <mergeCell ref="BX75:BX96"/>
    <mergeCell ref="BX97:BX108"/>
    <mergeCell ref="BX109:BX119"/>
    <mergeCell ref="BW33:BW35"/>
    <mergeCell ref="BW106:BW108"/>
    <mergeCell ref="BW117:BW119"/>
    <mergeCell ref="BW137:BW138"/>
    <mergeCell ref="CR3:CY3"/>
    <mergeCell ref="CZ3:DE3"/>
    <mergeCell ref="DF3:DF4"/>
    <mergeCell ref="DG3:DG4"/>
    <mergeCell ref="DH3:DH4"/>
    <mergeCell ref="DK3:DK4"/>
    <mergeCell ref="DL3:DN3"/>
    <mergeCell ref="B109:B119"/>
    <mergeCell ref="C109:C113"/>
    <mergeCell ref="C115:C119"/>
    <mergeCell ref="Y15:Y20"/>
    <mergeCell ref="Z15:Z20"/>
    <mergeCell ref="AA15:AA20"/>
    <mergeCell ref="C29:C35"/>
    <mergeCell ref="V15:V20"/>
    <mergeCell ref="W15:W20"/>
    <mergeCell ref="C5:C7"/>
    <mergeCell ref="C8:C28"/>
    <mergeCell ref="D3:D4"/>
    <mergeCell ref="E3:E4"/>
    <mergeCell ref="C3:C4"/>
    <mergeCell ref="L3:L4"/>
    <mergeCell ref="B5:B35"/>
    <mergeCell ref="Q15:Q20"/>
    <mergeCell ref="A97:A108"/>
    <mergeCell ref="B97:B108"/>
    <mergeCell ref="C97:C99"/>
    <mergeCell ref="BT1:DO1"/>
    <mergeCell ref="BT2:BT4"/>
    <mergeCell ref="BY2:BY4"/>
    <mergeCell ref="BZ2:BZ4"/>
    <mergeCell ref="CA2:CA4"/>
    <mergeCell ref="CB2:CE2"/>
    <mergeCell ref="CF2:DE2"/>
    <mergeCell ref="DF2:DJ2"/>
    <mergeCell ref="DK2:DO2"/>
    <mergeCell ref="CB3:CB4"/>
    <mergeCell ref="CC3:CC4"/>
    <mergeCell ref="CD3:CD4"/>
    <mergeCell ref="CE3:CE4"/>
    <mergeCell ref="CF3:CF4"/>
    <mergeCell ref="CG3:CH3"/>
    <mergeCell ref="CI3:CJ3"/>
    <mergeCell ref="CK3:CQ3"/>
    <mergeCell ref="BJ2:BN2"/>
    <mergeCell ref="A5:A35"/>
    <mergeCell ref="B3:B4"/>
    <mergeCell ref="X15:X20"/>
    <mergeCell ref="A120:A138"/>
    <mergeCell ref="B120:B138"/>
    <mergeCell ref="C120:C124"/>
    <mergeCell ref="C126:C127"/>
    <mergeCell ref="A109:A119"/>
    <mergeCell ref="AC174:AC176"/>
    <mergeCell ref="AD174:AD176"/>
    <mergeCell ref="AE174:AE176"/>
    <mergeCell ref="C128:C133"/>
    <mergeCell ref="C134:C138"/>
    <mergeCell ref="A165:A191"/>
    <mergeCell ref="B165:B191"/>
    <mergeCell ref="C165:C176"/>
    <mergeCell ref="C178:C191"/>
    <mergeCell ref="A139:A164"/>
    <mergeCell ref="B139:B164"/>
    <mergeCell ref="C139:C140"/>
    <mergeCell ref="C144:C147"/>
    <mergeCell ref="C153:C154"/>
    <mergeCell ref="C156:C159"/>
    <mergeCell ref="C160:C164"/>
    <mergeCell ref="J113:J114"/>
    <mergeCell ref="H115:H116"/>
    <mergeCell ref="I115:I116"/>
    <mergeCell ref="R15:R20"/>
    <mergeCell ref="S15:S20"/>
    <mergeCell ref="T15:T20"/>
    <mergeCell ref="O15:O20"/>
    <mergeCell ref="P15:P20"/>
    <mergeCell ref="G10:G11"/>
    <mergeCell ref="H10:H11"/>
    <mergeCell ref="I10:I11"/>
    <mergeCell ref="J10:J11"/>
    <mergeCell ref="K10:K11"/>
    <mergeCell ref="D12:D14"/>
    <mergeCell ref="E12:E14"/>
    <mergeCell ref="F12:F14"/>
    <mergeCell ref="G12:G14"/>
    <mergeCell ref="H12:H14"/>
    <mergeCell ref="I12:I14"/>
    <mergeCell ref="J12:J14"/>
    <mergeCell ref="K12:K14"/>
    <mergeCell ref="J20:J21"/>
    <mergeCell ref="A36:A74"/>
    <mergeCell ref="B36:B74"/>
    <mergeCell ref="C36:C38"/>
    <mergeCell ref="C39:C40"/>
    <mergeCell ref="A75:A96"/>
    <mergeCell ref="B75:B96"/>
    <mergeCell ref="C75:C81"/>
    <mergeCell ref="C82:C85"/>
    <mergeCell ref="C87:C88"/>
    <mergeCell ref="C90:C91"/>
    <mergeCell ref="C92:C96"/>
    <mergeCell ref="C41:C42"/>
    <mergeCell ref="AF3:AF4"/>
    <mergeCell ref="BJ3:BJ4"/>
    <mergeCell ref="U3:U4"/>
    <mergeCell ref="BD3:BI3"/>
    <mergeCell ref="C100:C101"/>
    <mergeCell ref="C102:C105"/>
    <mergeCell ref="C46:C50"/>
    <mergeCell ref="C51:C61"/>
    <mergeCell ref="C63:C74"/>
    <mergeCell ref="AG3:AG4"/>
    <mergeCell ref="AH3:AH4"/>
    <mergeCell ref="AI3:AI4"/>
    <mergeCell ref="AJ3:AJ4"/>
    <mergeCell ref="F3:F4"/>
    <mergeCell ref="D10:D11"/>
    <mergeCell ref="E10:E11"/>
    <mergeCell ref="F10:F11"/>
    <mergeCell ref="D15:D21"/>
    <mergeCell ref="K26:K27"/>
    <mergeCell ref="J26:J27"/>
    <mergeCell ref="I26:I27"/>
    <mergeCell ref="H26:H27"/>
    <mergeCell ref="G26:G27"/>
    <mergeCell ref="F26:F27"/>
    <mergeCell ref="AB1:BS1"/>
    <mergeCell ref="AB2:AB4"/>
    <mergeCell ref="AC2:AC4"/>
    <mergeCell ref="AD2:AD4"/>
    <mergeCell ref="AE2:AE4"/>
    <mergeCell ref="I3:I4"/>
    <mergeCell ref="J3:J4"/>
    <mergeCell ref="K3:K4"/>
    <mergeCell ref="M3:M4"/>
    <mergeCell ref="BK3:BK4"/>
    <mergeCell ref="BL3:BL4"/>
    <mergeCell ref="BO3:BO4"/>
    <mergeCell ref="BP3:BR3"/>
    <mergeCell ref="BO2:BS2"/>
    <mergeCell ref="AK3:AL3"/>
    <mergeCell ref="AM3:AN3"/>
    <mergeCell ref="AO3:AU3"/>
    <mergeCell ref="AV3:BC3"/>
    <mergeCell ref="N3:N4"/>
    <mergeCell ref="A2:U2"/>
    <mergeCell ref="A1:U1"/>
    <mergeCell ref="A3:A4"/>
    <mergeCell ref="AF2:AI2"/>
    <mergeCell ref="AJ2:BI2"/>
    <mergeCell ref="E26:E27"/>
    <mergeCell ref="D26:D27"/>
    <mergeCell ref="I20:I21"/>
    <mergeCell ref="H20:H21"/>
    <mergeCell ref="H18:H19"/>
    <mergeCell ref="I18:I19"/>
    <mergeCell ref="J18:J19"/>
    <mergeCell ref="K15:K21"/>
    <mergeCell ref="G15:G21"/>
    <mergeCell ref="F15:F21"/>
    <mergeCell ref="E15:E21"/>
    <mergeCell ref="D30:D32"/>
    <mergeCell ref="E30:E32"/>
    <mergeCell ref="F30:F32"/>
    <mergeCell ref="G30:G32"/>
    <mergeCell ref="H30:H32"/>
    <mergeCell ref="I30:I32"/>
    <mergeCell ref="J30:J32"/>
    <mergeCell ref="K30:K32"/>
    <mergeCell ref="D33:D35"/>
    <mergeCell ref="E33:E35"/>
    <mergeCell ref="F33:F35"/>
    <mergeCell ref="G33:G35"/>
    <mergeCell ref="H33:H35"/>
    <mergeCell ref="I33:I35"/>
    <mergeCell ref="J33:J35"/>
    <mergeCell ref="K33:K35"/>
    <mergeCell ref="I43:I45"/>
    <mergeCell ref="J43:J45"/>
    <mergeCell ref="K43:K45"/>
    <mergeCell ref="H46:H47"/>
    <mergeCell ref="I46:I47"/>
    <mergeCell ref="J46:J47"/>
    <mergeCell ref="K46:K47"/>
    <mergeCell ref="D48:D49"/>
    <mergeCell ref="E48:E49"/>
    <mergeCell ref="F48:F49"/>
    <mergeCell ref="G48:G49"/>
    <mergeCell ref="H48:H49"/>
    <mergeCell ref="I48:I49"/>
    <mergeCell ref="J48:J49"/>
    <mergeCell ref="K48:K49"/>
    <mergeCell ref="D43:D45"/>
    <mergeCell ref="D46:D47"/>
    <mergeCell ref="E43:E45"/>
    <mergeCell ref="E46:E47"/>
    <mergeCell ref="F43:F45"/>
    <mergeCell ref="G43:G45"/>
    <mergeCell ref="F46:F47"/>
    <mergeCell ref="G46:G47"/>
    <mergeCell ref="H43:H45"/>
    <mergeCell ref="I54:I55"/>
    <mergeCell ref="I52:I53"/>
    <mergeCell ref="J52:J53"/>
    <mergeCell ref="J54:J55"/>
    <mergeCell ref="K54:K55"/>
    <mergeCell ref="K52:K53"/>
    <mergeCell ref="D56:D57"/>
    <mergeCell ref="E56:E57"/>
    <mergeCell ref="F56:F57"/>
    <mergeCell ref="G56:G57"/>
    <mergeCell ref="H56:H57"/>
    <mergeCell ref="I56:I57"/>
    <mergeCell ref="J56:J57"/>
    <mergeCell ref="K56:K57"/>
    <mergeCell ref="D52:D53"/>
    <mergeCell ref="D54:D55"/>
    <mergeCell ref="E52:E53"/>
    <mergeCell ref="E54:E55"/>
    <mergeCell ref="F52:F53"/>
    <mergeCell ref="F54:F55"/>
    <mergeCell ref="G54:G55"/>
    <mergeCell ref="G52:G53"/>
    <mergeCell ref="H52:H53"/>
    <mergeCell ref="H54:H55"/>
    <mergeCell ref="D58:D59"/>
    <mergeCell ref="E58:E59"/>
    <mergeCell ref="F58:F59"/>
    <mergeCell ref="G58:G59"/>
    <mergeCell ref="H58:H59"/>
    <mergeCell ref="I58:I59"/>
    <mergeCell ref="J58:J59"/>
    <mergeCell ref="K58:K59"/>
    <mergeCell ref="D61:D62"/>
    <mergeCell ref="F61:F62"/>
    <mergeCell ref="H61:H62"/>
    <mergeCell ref="J61:J62"/>
    <mergeCell ref="D63:D64"/>
    <mergeCell ref="D65:D66"/>
    <mergeCell ref="D67:D68"/>
    <mergeCell ref="D69:D70"/>
    <mergeCell ref="D71:D72"/>
    <mergeCell ref="E61:E62"/>
    <mergeCell ref="E63:E64"/>
    <mergeCell ref="E65:E66"/>
    <mergeCell ref="E67:E68"/>
    <mergeCell ref="E69:E70"/>
    <mergeCell ref="E71:E72"/>
    <mergeCell ref="F63:F64"/>
    <mergeCell ref="F65:F66"/>
    <mergeCell ref="F67:F68"/>
    <mergeCell ref="F69:F70"/>
    <mergeCell ref="F71:F72"/>
    <mergeCell ref="G61:G62"/>
    <mergeCell ref="G63:G64"/>
    <mergeCell ref="G65:G66"/>
    <mergeCell ref="G67:G68"/>
    <mergeCell ref="G69:G70"/>
    <mergeCell ref="G71:G72"/>
    <mergeCell ref="H63:H64"/>
    <mergeCell ref="H65:H66"/>
    <mergeCell ref="H67:H68"/>
    <mergeCell ref="H69:H70"/>
    <mergeCell ref="H71:H72"/>
    <mergeCell ref="I61:I62"/>
    <mergeCell ref="I63:I64"/>
    <mergeCell ref="I65:I66"/>
    <mergeCell ref="I67:I68"/>
    <mergeCell ref="I69:I70"/>
    <mergeCell ref="I71:I72"/>
    <mergeCell ref="J63:J64"/>
    <mergeCell ref="J65:J66"/>
    <mergeCell ref="J67:J68"/>
    <mergeCell ref="J69:J70"/>
    <mergeCell ref="J71:J72"/>
    <mergeCell ref="K61:K62"/>
    <mergeCell ref="K63:K64"/>
    <mergeCell ref="K65:K66"/>
    <mergeCell ref="K67:K68"/>
    <mergeCell ref="K69:K70"/>
    <mergeCell ref="K71:K72"/>
    <mergeCell ref="D73:D74"/>
    <mergeCell ref="E73:E74"/>
    <mergeCell ref="F73:F74"/>
    <mergeCell ref="G73:G74"/>
    <mergeCell ref="H73:H74"/>
    <mergeCell ref="I73:I74"/>
    <mergeCell ref="J73:J74"/>
    <mergeCell ref="K73:K74"/>
    <mergeCell ref="BW73:BW74"/>
    <mergeCell ref="D78:D79"/>
    <mergeCell ref="E78:E79"/>
    <mergeCell ref="F78:F79"/>
    <mergeCell ref="G78:G79"/>
    <mergeCell ref="H78:H79"/>
    <mergeCell ref="I78:I79"/>
    <mergeCell ref="J78:J79"/>
    <mergeCell ref="K78:K79"/>
    <mergeCell ref="D85:D86"/>
    <mergeCell ref="E85:E86"/>
    <mergeCell ref="F85:F86"/>
    <mergeCell ref="G85:G86"/>
    <mergeCell ref="H85:H86"/>
    <mergeCell ref="I85:I86"/>
    <mergeCell ref="J85:J86"/>
    <mergeCell ref="K85:K86"/>
    <mergeCell ref="D88:D89"/>
    <mergeCell ref="E88:E89"/>
    <mergeCell ref="F88:F89"/>
    <mergeCell ref="G88:G89"/>
    <mergeCell ref="H88:H89"/>
    <mergeCell ref="I88:I89"/>
    <mergeCell ref="J88:J89"/>
    <mergeCell ref="K88:K89"/>
    <mergeCell ref="D93:D94"/>
    <mergeCell ref="E93:E94"/>
    <mergeCell ref="F93:F94"/>
    <mergeCell ref="G93:G94"/>
    <mergeCell ref="H93:H94"/>
    <mergeCell ref="I93:I94"/>
    <mergeCell ref="J93:J94"/>
    <mergeCell ref="K93:K94"/>
    <mergeCell ref="D95:D96"/>
    <mergeCell ref="E95:E96"/>
    <mergeCell ref="F95:F96"/>
    <mergeCell ref="G95:G96"/>
    <mergeCell ref="H95:H96"/>
    <mergeCell ref="I95:I96"/>
    <mergeCell ref="J95:J96"/>
    <mergeCell ref="K95:K96"/>
    <mergeCell ref="BW95:BW96"/>
    <mergeCell ref="D102:D103"/>
    <mergeCell ref="E102:E103"/>
    <mergeCell ref="G102:G103"/>
    <mergeCell ref="H102:H103"/>
    <mergeCell ref="I102:I103"/>
    <mergeCell ref="J102:J103"/>
    <mergeCell ref="K102:K103"/>
    <mergeCell ref="F102:F103"/>
    <mergeCell ref="D106:D108"/>
    <mergeCell ref="E106:E108"/>
    <mergeCell ref="F106:F108"/>
    <mergeCell ref="G106:G108"/>
    <mergeCell ref="H106:H108"/>
    <mergeCell ref="I106:I108"/>
    <mergeCell ref="J106:J108"/>
    <mergeCell ref="K106:K108"/>
    <mergeCell ref="J115:J116"/>
    <mergeCell ref="D109:D110"/>
    <mergeCell ref="D111:D112"/>
    <mergeCell ref="D113:D114"/>
    <mergeCell ref="D115:D116"/>
    <mergeCell ref="E109:E110"/>
    <mergeCell ref="E111:E112"/>
    <mergeCell ref="E113:E114"/>
    <mergeCell ref="E115:E116"/>
    <mergeCell ref="F109:F110"/>
    <mergeCell ref="F111:F112"/>
    <mergeCell ref="F113:F114"/>
    <mergeCell ref="F115:F116"/>
    <mergeCell ref="K109:K110"/>
    <mergeCell ref="K111:K112"/>
    <mergeCell ref="K113:K114"/>
    <mergeCell ref="K115:K116"/>
    <mergeCell ref="D117:D119"/>
    <mergeCell ref="E117:E119"/>
    <mergeCell ref="F117:F119"/>
    <mergeCell ref="G117:G119"/>
    <mergeCell ref="H117:H119"/>
    <mergeCell ref="I117:I119"/>
    <mergeCell ref="J117:J119"/>
    <mergeCell ref="K117:K119"/>
    <mergeCell ref="G109:G110"/>
    <mergeCell ref="G111:G112"/>
    <mergeCell ref="G113:G114"/>
    <mergeCell ref="G115:G116"/>
    <mergeCell ref="H109:H110"/>
    <mergeCell ref="I109:I110"/>
    <mergeCell ref="J109:J110"/>
    <mergeCell ref="H111:H112"/>
    <mergeCell ref="I111:I112"/>
    <mergeCell ref="J111:J112"/>
    <mergeCell ref="H113:H114"/>
    <mergeCell ref="I113:I114"/>
    <mergeCell ref="D124:D125"/>
    <mergeCell ref="E124:E125"/>
    <mergeCell ref="F124:F125"/>
    <mergeCell ref="G124:G125"/>
    <mergeCell ref="H124:H125"/>
    <mergeCell ref="I124:I125"/>
    <mergeCell ref="J124:J125"/>
    <mergeCell ref="K124:K125"/>
    <mergeCell ref="D130:D131"/>
    <mergeCell ref="E130:E131"/>
    <mergeCell ref="F130:F131"/>
    <mergeCell ref="G130:G131"/>
    <mergeCell ref="H130:H131"/>
    <mergeCell ref="I130:I131"/>
    <mergeCell ref="J130:J131"/>
    <mergeCell ref="K130:K131"/>
    <mergeCell ref="D135:D136"/>
    <mergeCell ref="E135:E136"/>
    <mergeCell ref="F135:F136"/>
    <mergeCell ref="G135:G136"/>
    <mergeCell ref="H135:H136"/>
    <mergeCell ref="I135:I136"/>
    <mergeCell ref="J135:J136"/>
    <mergeCell ref="K135:K136"/>
    <mergeCell ref="D137:D138"/>
    <mergeCell ref="E137:E138"/>
    <mergeCell ref="F137:F138"/>
    <mergeCell ref="G137:G138"/>
    <mergeCell ref="H137:H138"/>
    <mergeCell ref="I137:I138"/>
    <mergeCell ref="J137:J138"/>
    <mergeCell ref="K137:K138"/>
    <mergeCell ref="I142:I143"/>
    <mergeCell ref="J142:J143"/>
    <mergeCell ref="K142:K143"/>
    <mergeCell ref="D144:D146"/>
    <mergeCell ref="E144:E146"/>
    <mergeCell ref="F144:F146"/>
    <mergeCell ref="G144:G146"/>
    <mergeCell ref="H144:H146"/>
    <mergeCell ref="I144:I146"/>
    <mergeCell ref="J144:J146"/>
    <mergeCell ref="K144:K146"/>
    <mergeCell ref="E147:E148"/>
    <mergeCell ref="E149:E151"/>
    <mergeCell ref="F147:F148"/>
    <mergeCell ref="F149:F151"/>
    <mergeCell ref="G147:G148"/>
    <mergeCell ref="G149:G151"/>
    <mergeCell ref="H147:H148"/>
    <mergeCell ref="H149:H151"/>
    <mergeCell ref="D142:D143"/>
    <mergeCell ref="E142:E143"/>
    <mergeCell ref="F142:F143"/>
    <mergeCell ref="G142:G143"/>
    <mergeCell ref="H142:H143"/>
    <mergeCell ref="I149:I151"/>
    <mergeCell ref="I147:I148"/>
    <mergeCell ref="J147:J148"/>
    <mergeCell ref="J149:J151"/>
    <mergeCell ref="K149:K151"/>
    <mergeCell ref="K147:K148"/>
    <mergeCell ref="D154:D155"/>
    <mergeCell ref="D156:D157"/>
    <mergeCell ref="E154:E155"/>
    <mergeCell ref="E156:E157"/>
    <mergeCell ref="F154:F155"/>
    <mergeCell ref="F156:F157"/>
    <mergeCell ref="G154:G155"/>
    <mergeCell ref="H154:H155"/>
    <mergeCell ref="I154:I155"/>
    <mergeCell ref="J154:J155"/>
    <mergeCell ref="K154:K155"/>
    <mergeCell ref="G156:G157"/>
    <mergeCell ref="H156:H157"/>
    <mergeCell ref="I156:I157"/>
    <mergeCell ref="J156:J157"/>
    <mergeCell ref="K156:K157"/>
    <mergeCell ref="D147:D148"/>
    <mergeCell ref="D149:D151"/>
    <mergeCell ref="D163:D164"/>
    <mergeCell ref="E163:E164"/>
    <mergeCell ref="F163:F164"/>
    <mergeCell ref="G163:G164"/>
    <mergeCell ref="H163:H164"/>
    <mergeCell ref="I163:I164"/>
    <mergeCell ref="J163:J164"/>
    <mergeCell ref="K163:K164"/>
    <mergeCell ref="BW163:BW164"/>
    <mergeCell ref="D166:D167"/>
    <mergeCell ref="E166:E167"/>
    <mergeCell ref="F166:F167"/>
    <mergeCell ref="G166:G167"/>
    <mergeCell ref="H166:H167"/>
    <mergeCell ref="I166:I167"/>
    <mergeCell ref="J166:J167"/>
    <mergeCell ref="K166:K167"/>
    <mergeCell ref="D168:D169"/>
    <mergeCell ref="F168:F169"/>
    <mergeCell ref="G168:G169"/>
    <mergeCell ref="I168:I169"/>
    <mergeCell ref="J168:J169"/>
    <mergeCell ref="D170:D173"/>
    <mergeCell ref="D174:D175"/>
    <mergeCell ref="D176:D177"/>
    <mergeCell ref="D178:D180"/>
    <mergeCell ref="D181:D183"/>
    <mergeCell ref="D184:D187"/>
    <mergeCell ref="D189:D190"/>
    <mergeCell ref="E168:E169"/>
    <mergeCell ref="E170:E173"/>
    <mergeCell ref="E174:E175"/>
    <mergeCell ref="E176:E177"/>
    <mergeCell ref="E178:E180"/>
    <mergeCell ref="E181:E183"/>
    <mergeCell ref="E184:E187"/>
    <mergeCell ref="E189:E190"/>
    <mergeCell ref="F184:F187"/>
    <mergeCell ref="G184:G187"/>
    <mergeCell ref="F189:F190"/>
    <mergeCell ref="G189:G190"/>
    <mergeCell ref="H168:H169"/>
    <mergeCell ref="H170:H173"/>
    <mergeCell ref="H174:H175"/>
    <mergeCell ref="H176:H177"/>
    <mergeCell ref="H178:H180"/>
    <mergeCell ref="H181:H183"/>
    <mergeCell ref="H184:H187"/>
    <mergeCell ref="H189:H190"/>
    <mergeCell ref="F170:F173"/>
    <mergeCell ref="G170:G173"/>
    <mergeCell ref="F174:F175"/>
    <mergeCell ref="G174:G175"/>
    <mergeCell ref="F176:F177"/>
    <mergeCell ref="G176:G177"/>
    <mergeCell ref="F178:F180"/>
    <mergeCell ref="G178:G180"/>
    <mergeCell ref="F181:F183"/>
    <mergeCell ref="G181:G183"/>
    <mergeCell ref="FB3:FB4"/>
    <mergeCell ref="FC3:FC4"/>
    <mergeCell ref="I184:I187"/>
    <mergeCell ref="J184:J187"/>
    <mergeCell ref="I189:I190"/>
    <mergeCell ref="J189:J190"/>
    <mergeCell ref="K168:K169"/>
    <mergeCell ref="K170:K173"/>
    <mergeCell ref="K174:K175"/>
    <mergeCell ref="K176:K177"/>
    <mergeCell ref="K178:K180"/>
    <mergeCell ref="K181:K183"/>
    <mergeCell ref="K184:K187"/>
    <mergeCell ref="K189:K190"/>
    <mergeCell ref="I170:I173"/>
    <mergeCell ref="J170:J173"/>
    <mergeCell ref="I174:I175"/>
    <mergeCell ref="J174:J175"/>
    <mergeCell ref="I176:I177"/>
    <mergeCell ref="J176:J177"/>
    <mergeCell ref="I178:I180"/>
    <mergeCell ref="J178:J180"/>
    <mergeCell ref="I181:I183"/>
    <mergeCell ref="J181:J183"/>
    <mergeCell ref="FF3:FF4"/>
    <mergeCell ref="FG3:FI3"/>
    <mergeCell ref="DQ1:FJ1"/>
    <mergeCell ref="DQ2:DQ4"/>
    <mergeCell ref="DR2:DR4"/>
    <mergeCell ref="DS2:DS4"/>
    <mergeCell ref="DT2:DT4"/>
    <mergeCell ref="DU2:DU4"/>
    <mergeCell ref="DV2:DV4"/>
    <mergeCell ref="DW2:DZ2"/>
    <mergeCell ref="EA2:EZ2"/>
    <mergeCell ref="FA2:FE2"/>
    <mergeCell ref="FF2:FJ2"/>
    <mergeCell ref="DW3:DW4"/>
    <mergeCell ref="DX3:DX4"/>
    <mergeCell ref="DY3:DY4"/>
    <mergeCell ref="DZ3:DZ4"/>
    <mergeCell ref="EA3:EA4"/>
    <mergeCell ref="EB3:EC3"/>
    <mergeCell ref="ED3:EE3"/>
    <mergeCell ref="EF3:EL3"/>
    <mergeCell ref="EM3:ET3"/>
    <mergeCell ref="EU3:EZ3"/>
    <mergeCell ref="FA3:FA4"/>
  </mergeCells>
  <conditionalFormatting sqref="BX120">
    <cfRule type="cellIs" dxfId="135" priority="41" operator="between">
      <formula>0.81</formula>
      <formula>9999.99</formula>
    </cfRule>
    <cfRule type="cellIs" dxfId="134" priority="42" operator="between">
      <formula>0.61</formula>
      <formula>0.8</formula>
    </cfRule>
    <cfRule type="cellIs" dxfId="133" priority="43" operator="between">
      <formula>0.31</formula>
      <formula>0.6</formula>
    </cfRule>
    <cfRule type="cellIs" dxfId="132" priority="44" operator="between">
      <formula>-9999.99</formula>
      <formula>0.3</formula>
    </cfRule>
  </conditionalFormatting>
  <conditionalFormatting sqref="BX5">
    <cfRule type="cellIs" dxfId="131" priority="37" operator="between">
      <formula>0.81</formula>
      <formula>9999.99</formula>
    </cfRule>
    <cfRule type="cellIs" dxfId="130" priority="38" operator="between">
      <formula>0.61</formula>
      <formula>0.8</formula>
    </cfRule>
    <cfRule type="cellIs" dxfId="129" priority="39" operator="between">
      <formula>0.31</formula>
      <formula>0.6</formula>
    </cfRule>
    <cfRule type="cellIs" dxfId="128" priority="40" operator="between">
      <formula>-9999.99</formula>
      <formula>0.3</formula>
    </cfRule>
  </conditionalFormatting>
  <conditionalFormatting sqref="BX36">
    <cfRule type="cellIs" dxfId="127" priority="33" operator="between">
      <formula>0.81</formula>
      <formula>9999.99</formula>
    </cfRule>
    <cfRule type="cellIs" dxfId="126" priority="34" operator="between">
      <formula>0.61</formula>
      <formula>0.8</formula>
    </cfRule>
    <cfRule type="cellIs" dxfId="125" priority="35" operator="between">
      <formula>0.31</formula>
      <formula>0.6</formula>
    </cfRule>
    <cfRule type="cellIs" dxfId="124" priority="36" operator="between">
      <formula>-9999.99</formula>
      <formula>0.3</formula>
    </cfRule>
  </conditionalFormatting>
  <conditionalFormatting sqref="BX75">
    <cfRule type="cellIs" dxfId="123" priority="29" operator="between">
      <formula>0.81</formula>
      <formula>9999.99</formula>
    </cfRule>
    <cfRule type="cellIs" dxfId="122" priority="30" operator="between">
      <formula>0.61</formula>
      <formula>0.8</formula>
    </cfRule>
    <cfRule type="cellIs" dxfId="121" priority="31" operator="between">
      <formula>0.31</formula>
      <formula>0.6</formula>
    </cfRule>
    <cfRule type="cellIs" dxfId="120" priority="32" operator="between">
      <formula>-9999.99</formula>
      <formula>0.3</formula>
    </cfRule>
  </conditionalFormatting>
  <conditionalFormatting sqref="BX97">
    <cfRule type="cellIs" dxfId="119" priority="25" operator="between">
      <formula>0.81</formula>
      <formula>9999.99</formula>
    </cfRule>
    <cfRule type="cellIs" dxfId="118" priority="26" operator="between">
      <formula>0.61</formula>
      <formula>0.8</formula>
    </cfRule>
    <cfRule type="cellIs" dxfId="117" priority="27" operator="between">
      <formula>0.31</formula>
      <formula>0.6</formula>
    </cfRule>
    <cfRule type="cellIs" dxfId="116" priority="28" operator="between">
      <formula>-9999.99</formula>
      <formula>0.3</formula>
    </cfRule>
  </conditionalFormatting>
  <conditionalFormatting sqref="BX109:BX110">
    <cfRule type="cellIs" dxfId="115" priority="21" operator="between">
      <formula>0.81</formula>
      <formula>9999.99</formula>
    </cfRule>
    <cfRule type="cellIs" dxfId="114" priority="22" operator="between">
      <formula>0.61</formula>
      <formula>0.8</formula>
    </cfRule>
    <cfRule type="cellIs" dxfId="113" priority="23" operator="between">
      <formula>0.31</formula>
      <formula>0.6</formula>
    </cfRule>
    <cfRule type="cellIs" dxfId="112" priority="24" operator="between">
      <formula>-9999.99</formula>
      <formula>0.3</formula>
    </cfRule>
  </conditionalFormatting>
  <conditionalFormatting sqref="BX139">
    <cfRule type="cellIs" dxfId="111" priority="17" operator="between">
      <formula>0.81</formula>
      <formula>9999.99</formula>
    </cfRule>
    <cfRule type="cellIs" dxfId="110" priority="18" operator="between">
      <formula>0.61</formula>
      <formula>0.8</formula>
    </cfRule>
    <cfRule type="cellIs" dxfId="109" priority="19" operator="between">
      <formula>0.31</formula>
      <formula>0.6</formula>
    </cfRule>
    <cfRule type="cellIs" dxfId="108" priority="20" operator="between">
      <formula>-9999.99</formula>
      <formula>0.3</formula>
    </cfRule>
  </conditionalFormatting>
  <conditionalFormatting sqref="BX165">
    <cfRule type="cellIs" dxfId="107" priority="13" operator="between">
      <formula>0.81</formula>
      <formula>9999.99</formula>
    </cfRule>
    <cfRule type="cellIs" dxfId="106" priority="14" operator="between">
      <formula>0.61</formula>
      <formula>0.8</formula>
    </cfRule>
    <cfRule type="cellIs" dxfId="105" priority="15" operator="between">
      <formula>0.31</formula>
      <formula>0.6</formula>
    </cfRule>
    <cfRule type="cellIs" dxfId="104" priority="16" operator="between">
      <formula>-9999.99</formula>
      <formula>0.3</formula>
    </cfRule>
  </conditionalFormatting>
  <conditionalFormatting sqref="BW5">
    <cfRule type="cellIs" dxfId="103" priority="9" operator="between">
      <formula>0.81</formula>
      <formula>1</formula>
    </cfRule>
    <cfRule type="cellIs" dxfId="102" priority="10" operator="between">
      <formula>0.61</formula>
      <formula>0.8</formula>
    </cfRule>
    <cfRule type="cellIs" dxfId="101" priority="11" operator="between">
      <formula>0.31</formula>
      <formula>0.6</formula>
    </cfRule>
    <cfRule type="cellIs" dxfId="100" priority="12" operator="between">
      <formula>0</formula>
      <formula>0.3</formula>
    </cfRule>
  </conditionalFormatting>
  <conditionalFormatting sqref="BW6:BW34 BW76:BW95 BW36:BW73 BW97:BW106 BW109:BW117 BW120:BW137 BW139:BW163 BW165:BW191">
    <cfRule type="cellIs" dxfId="99" priority="5" operator="between">
      <formula>0.81</formula>
      <formula>1</formula>
    </cfRule>
    <cfRule type="cellIs" dxfId="98" priority="6" operator="between">
      <formula>0.61</formula>
      <formula>0.8</formula>
    </cfRule>
    <cfRule type="cellIs" dxfId="97" priority="7" operator="between">
      <formula>0.31</formula>
      <formula>0.6</formula>
    </cfRule>
    <cfRule type="cellIs" dxfId="96" priority="8" operator="between">
      <formula>0</formula>
      <formula>0.3</formula>
    </cfRule>
  </conditionalFormatting>
  <conditionalFormatting sqref="BW75">
    <cfRule type="cellIs" dxfId="95" priority="1" operator="between">
      <formula>0.805</formula>
      <formula>1</formula>
    </cfRule>
    <cfRule type="cellIs" dxfId="94" priority="2" operator="between">
      <formula>0.605</formula>
      <formula>0.8049</formula>
    </cfRule>
    <cfRule type="cellIs" dxfId="93" priority="3" operator="between">
      <formula>0.305</formula>
      <formula>0.6049</formula>
    </cfRule>
    <cfRule type="cellIs" dxfId="92" priority="4" operator="between">
      <formula>0</formula>
      <formula>0.3049</formula>
    </cfRule>
  </conditionalFormatting>
  <hyperlinks>
    <hyperlink ref="AD160" r:id="rId1" display="http://www.pereira.gov.co/Paginas/default.aspx" xr:uid="{00000000-0004-0000-1000-000000000000}"/>
    <hyperlink ref="AD162" r:id="rId2" xr:uid="{00000000-0004-0000-1000-000001000000}"/>
    <hyperlink ref="AD83" r:id="rId3" xr:uid="{00000000-0004-0000-1000-000002000000}"/>
    <hyperlink ref="BZ83" r:id="rId4" xr:uid="{00000000-0004-0000-1000-000003000000}"/>
  </hyperlinks>
  <pageMargins left="0.7" right="0.7" top="0.75" bottom="0.75" header="0.3" footer="0.3"/>
  <pageSetup paperSize="9" orientation="portrait" horizontalDpi="300" verticalDpi="300" r:id="rId5"/>
  <legacyDrawing r:id="rId6"/>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tabColor theme="2" tint="-0.89999084444715716"/>
  </sheetPr>
  <dimension ref="A1:FA197"/>
  <sheetViews>
    <sheetView topLeftCell="A176" zoomScale="80" zoomScaleNormal="80" workbookViewId="0">
      <selection sqref="A1:FP181"/>
    </sheetView>
  </sheetViews>
  <sheetFormatPr baseColWidth="10" defaultColWidth="11.42578125" defaultRowHeight="15" customHeight="1"/>
  <cols>
    <col min="1" max="2" width="20.28515625" style="816" customWidth="1"/>
    <col min="3" max="3" width="15.140625" style="816" bestFit="1" customWidth="1"/>
    <col min="4" max="4" width="40.5703125" style="816" customWidth="1"/>
    <col min="5" max="5" width="18.140625" style="816" customWidth="1"/>
    <col min="6" max="7" width="5.85546875" style="816" customWidth="1"/>
    <col min="8" max="15" width="1.140625" style="816" customWidth="1"/>
    <col min="16" max="16" width="11" style="816" customWidth="1"/>
    <col min="17" max="17" width="3.85546875" style="816" customWidth="1"/>
    <col min="18" max="18" width="22.42578125" style="5436" customWidth="1"/>
    <col min="19" max="19" width="33.28515625" style="816" customWidth="1"/>
    <col min="20" max="20" width="39.28515625" style="816" customWidth="1"/>
    <col min="21" max="21" width="55.85546875" style="816" customWidth="1"/>
    <col min="22" max="22" width="16.28515625" style="816" customWidth="1"/>
    <col min="23" max="23" width="17.85546875" style="816" customWidth="1"/>
    <col min="24" max="24" width="19.85546875" style="816" customWidth="1"/>
    <col min="25" max="25" width="11.7109375" style="816" customWidth="1"/>
    <col min="26" max="26" width="20.42578125" style="816" customWidth="1"/>
    <col min="27" max="27" width="19.42578125" style="816" customWidth="1"/>
    <col min="28" max="28" width="21.42578125" style="816" customWidth="1"/>
    <col min="29" max="30" width="18.5703125" style="816" customWidth="1"/>
    <col min="31" max="31" width="14.7109375" style="816" customWidth="1"/>
    <col min="32" max="33" width="11.85546875" style="816" customWidth="1"/>
    <col min="34" max="56" width="11.5703125" style="816" customWidth="1"/>
    <col min="57" max="58" width="11.42578125" style="816" customWidth="1"/>
    <col min="59" max="59" width="11.5703125" style="816" customWidth="1"/>
    <col min="60" max="65" width="11.42578125" style="816" customWidth="1"/>
    <col min="66" max="66" width="19" style="816" customWidth="1"/>
    <col min="67" max="67" width="19.85546875" style="816" customWidth="1"/>
    <col min="68" max="68" width="24.85546875" style="816" customWidth="1"/>
    <col min="69" max="69" width="24.42578125" style="816" customWidth="1"/>
    <col min="70" max="70" width="22.7109375" style="816" customWidth="1"/>
    <col min="71" max="72" width="14.140625" style="910" customWidth="1"/>
    <col min="73" max="74" width="13.7109375" style="910" customWidth="1"/>
    <col min="75" max="100" width="11.5703125" style="910" customWidth="1"/>
    <col min="101" max="102" width="11.42578125" style="910" customWidth="1"/>
    <col min="103" max="103" width="11.5703125" style="910" customWidth="1"/>
    <col min="104" max="110" width="11.42578125" style="910" customWidth="1"/>
    <col min="111" max="111" width="1.42578125" style="816" customWidth="1"/>
    <col min="112" max="16384" width="11.42578125" style="816"/>
  </cols>
  <sheetData>
    <row r="1" spans="1:157" ht="15" customHeight="1" thickBot="1">
      <c r="A1" s="16095" t="s">
        <v>1282</v>
      </c>
      <c r="B1" s="16096"/>
      <c r="C1" s="16096"/>
      <c r="D1" s="16096"/>
      <c r="E1" s="16096"/>
      <c r="F1" s="16096"/>
      <c r="G1" s="16096"/>
      <c r="H1" s="16096"/>
      <c r="I1" s="16096"/>
      <c r="J1" s="16096"/>
      <c r="K1" s="16096"/>
      <c r="L1" s="16096"/>
      <c r="M1" s="16096"/>
      <c r="N1" s="16096"/>
      <c r="O1" s="16096"/>
      <c r="P1" s="16096"/>
      <c r="Q1" s="16096"/>
      <c r="R1" s="16096"/>
      <c r="S1" s="16096"/>
      <c r="T1" s="16096"/>
      <c r="U1" s="16099" t="s">
        <v>9810</v>
      </c>
      <c r="V1" s="16099"/>
      <c r="W1" s="16099"/>
      <c r="X1" s="16099"/>
      <c r="Y1" s="16099"/>
      <c r="Z1" s="16099"/>
      <c r="AA1" s="16099"/>
      <c r="AB1" s="16099"/>
      <c r="AC1" s="16099"/>
      <c r="AD1" s="16099"/>
      <c r="AE1" s="16099"/>
      <c r="AF1" s="16099"/>
      <c r="AG1" s="16099"/>
      <c r="AH1" s="16099"/>
      <c r="AI1" s="16099"/>
      <c r="AJ1" s="16099"/>
      <c r="AK1" s="16099"/>
      <c r="AL1" s="16099"/>
      <c r="AM1" s="16099"/>
      <c r="AN1" s="16099"/>
      <c r="AO1" s="16099"/>
      <c r="AP1" s="16099"/>
      <c r="AQ1" s="16099"/>
      <c r="AR1" s="16099"/>
      <c r="AS1" s="16099"/>
      <c r="AT1" s="16099"/>
      <c r="AU1" s="16099"/>
      <c r="AV1" s="16099"/>
      <c r="AW1" s="16099"/>
      <c r="AX1" s="16099"/>
      <c r="AY1" s="16099"/>
      <c r="AZ1" s="16099"/>
      <c r="BA1" s="16099"/>
      <c r="BB1" s="16099"/>
      <c r="BC1" s="16099"/>
      <c r="BD1" s="16099"/>
      <c r="BE1" s="16099"/>
      <c r="BF1" s="16099"/>
      <c r="BG1" s="16099"/>
      <c r="BH1" s="16099"/>
      <c r="BI1" s="16099"/>
      <c r="BJ1" s="16099"/>
      <c r="BK1" s="16099"/>
      <c r="BL1" s="16099"/>
      <c r="BM1" s="16100"/>
      <c r="BN1" s="16099" t="s">
        <v>9809</v>
      </c>
      <c r="BO1" s="16099"/>
      <c r="BP1" s="16099"/>
      <c r="BQ1" s="16099"/>
      <c r="BR1" s="16099"/>
      <c r="BS1" s="16099"/>
      <c r="BT1" s="16099"/>
      <c r="BU1" s="16099"/>
      <c r="BV1" s="16099"/>
      <c r="BW1" s="16099"/>
      <c r="BX1" s="16099"/>
      <c r="BY1" s="16099"/>
      <c r="BZ1" s="16099"/>
      <c r="CA1" s="16099"/>
      <c r="CB1" s="16099"/>
      <c r="CC1" s="16099"/>
      <c r="CD1" s="16099"/>
      <c r="CE1" s="16099"/>
      <c r="CF1" s="16099"/>
      <c r="CG1" s="16099"/>
      <c r="CH1" s="16099"/>
      <c r="CI1" s="16099"/>
      <c r="CJ1" s="16099"/>
      <c r="CK1" s="16099"/>
      <c r="CL1" s="16099"/>
      <c r="CM1" s="16099"/>
      <c r="CN1" s="16099"/>
      <c r="CO1" s="16099"/>
      <c r="CP1" s="16099"/>
      <c r="CQ1" s="16099"/>
      <c r="CR1" s="16099"/>
      <c r="CS1" s="16099"/>
      <c r="CT1" s="16099"/>
      <c r="CU1" s="16099"/>
      <c r="CV1" s="16099"/>
      <c r="CW1" s="16099"/>
      <c r="CX1" s="16099"/>
      <c r="CY1" s="16099"/>
      <c r="CZ1" s="16099"/>
      <c r="DA1" s="16099"/>
      <c r="DB1" s="16099"/>
      <c r="DC1" s="16099"/>
      <c r="DD1" s="16099"/>
      <c r="DE1" s="16099"/>
      <c r="DF1" s="16100"/>
      <c r="DG1" s="5576"/>
      <c r="DH1" s="13291" t="s">
        <v>8497</v>
      </c>
      <c r="DI1" s="13291"/>
      <c r="DJ1" s="13291"/>
      <c r="DK1" s="13291"/>
      <c r="DL1" s="13291"/>
      <c r="DM1" s="13291"/>
      <c r="DN1" s="13618"/>
      <c r="DO1" s="13618"/>
      <c r="DP1" s="13618"/>
      <c r="DQ1" s="13618"/>
      <c r="DR1" s="13291"/>
      <c r="DS1" s="13291"/>
      <c r="DT1" s="13291"/>
      <c r="DU1" s="13291"/>
      <c r="DV1" s="13291"/>
      <c r="DW1" s="13291"/>
      <c r="DX1" s="13291"/>
      <c r="DY1" s="13291"/>
      <c r="DZ1" s="13291"/>
      <c r="EA1" s="13291"/>
      <c r="EB1" s="13291"/>
      <c r="EC1" s="13291"/>
      <c r="ED1" s="13291"/>
      <c r="EE1" s="13291"/>
      <c r="EF1" s="13291"/>
      <c r="EG1" s="13291"/>
      <c r="EH1" s="13291"/>
      <c r="EI1" s="13291"/>
      <c r="EJ1" s="13291"/>
      <c r="EK1" s="13291"/>
      <c r="EL1" s="13291"/>
      <c r="EM1" s="13291"/>
      <c r="EN1" s="13291"/>
      <c r="EO1" s="13291"/>
      <c r="EP1" s="13291"/>
      <c r="EQ1" s="13291"/>
      <c r="ER1" s="13291"/>
      <c r="ES1" s="13291"/>
      <c r="ET1" s="13291"/>
      <c r="EU1" s="13291"/>
      <c r="EV1" s="13291"/>
      <c r="EW1" s="13291"/>
      <c r="EX1" s="13291"/>
      <c r="EY1" s="13291"/>
      <c r="EZ1" s="13291"/>
      <c r="FA1" s="13292"/>
    </row>
    <row r="2" spans="1:157" ht="15" customHeight="1" thickBot="1">
      <c r="A2" s="16097"/>
      <c r="B2" s="16098"/>
      <c r="C2" s="16098"/>
      <c r="D2" s="16098"/>
      <c r="E2" s="16098"/>
      <c r="F2" s="16098"/>
      <c r="G2" s="16098"/>
      <c r="H2" s="16098"/>
      <c r="I2" s="16098"/>
      <c r="J2" s="16098"/>
      <c r="K2" s="16098"/>
      <c r="L2" s="16098"/>
      <c r="M2" s="16098"/>
      <c r="N2" s="16098"/>
      <c r="O2" s="16098"/>
      <c r="P2" s="16098"/>
      <c r="Q2" s="16098"/>
      <c r="R2" s="16098"/>
      <c r="S2" s="16098"/>
      <c r="T2" s="16098"/>
      <c r="U2" s="14842" t="s">
        <v>1</v>
      </c>
      <c r="V2" s="14825" t="s">
        <v>9802</v>
      </c>
      <c r="W2" s="14825" t="s">
        <v>2</v>
      </c>
      <c r="X2" s="14825" t="s">
        <v>3</v>
      </c>
      <c r="Y2" s="14791" t="s">
        <v>4</v>
      </c>
      <c r="Z2" s="14822" t="s">
        <v>355</v>
      </c>
      <c r="AA2" s="14823"/>
      <c r="AB2" s="14823"/>
      <c r="AC2" s="14824"/>
      <c r="AD2" s="14822" t="s">
        <v>356</v>
      </c>
      <c r="AE2" s="14823"/>
      <c r="AF2" s="14823"/>
      <c r="AG2" s="14823"/>
      <c r="AH2" s="14823"/>
      <c r="AI2" s="14823"/>
      <c r="AJ2" s="14823"/>
      <c r="AK2" s="14823"/>
      <c r="AL2" s="14823"/>
      <c r="AM2" s="14823"/>
      <c r="AN2" s="14823"/>
      <c r="AO2" s="14823"/>
      <c r="AP2" s="14823"/>
      <c r="AQ2" s="14823"/>
      <c r="AR2" s="14823"/>
      <c r="AS2" s="14823"/>
      <c r="AT2" s="14823"/>
      <c r="AU2" s="14823"/>
      <c r="AV2" s="14823"/>
      <c r="AW2" s="14823"/>
      <c r="AX2" s="14823"/>
      <c r="AY2" s="14823"/>
      <c r="AZ2" s="14823"/>
      <c r="BA2" s="14823"/>
      <c r="BB2" s="14823"/>
      <c r="BC2" s="14824"/>
      <c r="BD2" s="14903" t="s">
        <v>357</v>
      </c>
      <c r="BE2" s="14904"/>
      <c r="BF2" s="14904"/>
      <c r="BG2" s="14904"/>
      <c r="BH2" s="14905"/>
      <c r="BI2" s="14830" t="s">
        <v>5</v>
      </c>
      <c r="BJ2" s="14831"/>
      <c r="BK2" s="14831"/>
      <c r="BL2" s="14831"/>
      <c r="BM2" s="14832"/>
      <c r="BN2" s="14842" t="s">
        <v>8490</v>
      </c>
      <c r="BO2" s="14825" t="s">
        <v>9802</v>
      </c>
      <c r="BP2" s="14825" t="s">
        <v>8491</v>
      </c>
      <c r="BQ2" s="14825" t="s">
        <v>8492</v>
      </c>
      <c r="BR2" s="14791" t="s">
        <v>4</v>
      </c>
      <c r="BS2" s="14850" t="s">
        <v>355</v>
      </c>
      <c r="BT2" s="14851"/>
      <c r="BU2" s="14851"/>
      <c r="BV2" s="14852"/>
      <c r="BW2" s="14850" t="s">
        <v>356</v>
      </c>
      <c r="BX2" s="14851"/>
      <c r="BY2" s="14851"/>
      <c r="BZ2" s="14851"/>
      <c r="CA2" s="14851"/>
      <c r="CB2" s="14851"/>
      <c r="CC2" s="14851"/>
      <c r="CD2" s="14851"/>
      <c r="CE2" s="14851"/>
      <c r="CF2" s="14851"/>
      <c r="CG2" s="14851"/>
      <c r="CH2" s="14851"/>
      <c r="CI2" s="14851"/>
      <c r="CJ2" s="14851"/>
      <c r="CK2" s="14851"/>
      <c r="CL2" s="14851"/>
      <c r="CM2" s="14851"/>
      <c r="CN2" s="14851"/>
      <c r="CO2" s="14851"/>
      <c r="CP2" s="14851"/>
      <c r="CQ2" s="14851"/>
      <c r="CR2" s="14851"/>
      <c r="CS2" s="14851"/>
      <c r="CT2" s="14851"/>
      <c r="CU2" s="14851"/>
      <c r="CV2" s="14852"/>
      <c r="CW2" s="14853" t="s">
        <v>357</v>
      </c>
      <c r="CX2" s="14854"/>
      <c r="CY2" s="14854"/>
      <c r="CZ2" s="14854"/>
      <c r="DA2" s="14855"/>
      <c r="DB2" s="14856" t="s">
        <v>5</v>
      </c>
      <c r="DC2" s="14857"/>
      <c r="DD2" s="14857"/>
      <c r="DE2" s="14857"/>
      <c r="DF2" s="14858"/>
      <c r="DG2" s="815"/>
      <c r="DH2" s="14600" t="s">
        <v>8498</v>
      </c>
      <c r="DI2" s="16032" t="s">
        <v>10189</v>
      </c>
      <c r="DJ2" s="16032" t="s">
        <v>10190</v>
      </c>
      <c r="DK2" s="13295" t="s">
        <v>8499</v>
      </c>
      <c r="DL2" s="13295" t="s">
        <v>8500</v>
      </c>
      <c r="DM2" s="13297" t="s">
        <v>4</v>
      </c>
      <c r="DN2" s="14602" t="s">
        <v>355</v>
      </c>
      <c r="DO2" s="14603"/>
      <c r="DP2" s="14603"/>
      <c r="DQ2" s="14604"/>
      <c r="DR2" s="13299" t="s">
        <v>356</v>
      </c>
      <c r="DS2" s="13300"/>
      <c r="DT2" s="13300"/>
      <c r="DU2" s="13300"/>
      <c r="DV2" s="13300"/>
      <c r="DW2" s="13300"/>
      <c r="DX2" s="13300"/>
      <c r="DY2" s="13300"/>
      <c r="DZ2" s="13300"/>
      <c r="EA2" s="13300"/>
      <c r="EB2" s="13300"/>
      <c r="EC2" s="13300"/>
      <c r="ED2" s="15138"/>
      <c r="EE2" s="15138"/>
      <c r="EF2" s="15138"/>
      <c r="EG2" s="15138"/>
      <c r="EH2" s="15138"/>
      <c r="EI2" s="15138"/>
      <c r="EJ2" s="15138"/>
      <c r="EK2" s="15138"/>
      <c r="EL2" s="15138"/>
      <c r="EM2" s="15138"/>
      <c r="EN2" s="15138"/>
      <c r="EO2" s="15138"/>
      <c r="EP2" s="15138"/>
      <c r="EQ2" s="15139"/>
      <c r="ER2" s="15140" t="s">
        <v>357</v>
      </c>
      <c r="ES2" s="15141"/>
      <c r="ET2" s="15141"/>
      <c r="EU2" s="15141"/>
      <c r="EV2" s="15142"/>
      <c r="EW2" s="13305" t="s">
        <v>5</v>
      </c>
      <c r="EX2" s="13306"/>
      <c r="EY2" s="13306"/>
      <c r="EZ2" s="13306"/>
      <c r="FA2" s="13307"/>
    </row>
    <row r="3" spans="1:157" ht="15" customHeight="1" thickBot="1">
      <c r="A3" s="16086" t="s">
        <v>952</v>
      </c>
      <c r="B3" s="16088" t="s">
        <v>55</v>
      </c>
      <c r="C3" s="16089" t="s">
        <v>4635</v>
      </c>
      <c r="D3" s="16088" t="s">
        <v>56</v>
      </c>
      <c r="E3" s="16091" t="s">
        <v>57</v>
      </c>
      <c r="F3" s="16092" t="s">
        <v>364</v>
      </c>
      <c r="G3" s="16092" t="s">
        <v>58</v>
      </c>
      <c r="H3" s="16113" t="s">
        <v>9806</v>
      </c>
      <c r="I3" s="16113" t="s">
        <v>9805</v>
      </c>
      <c r="J3" s="16113" t="s">
        <v>9807</v>
      </c>
      <c r="K3" s="16113" t="s">
        <v>2279</v>
      </c>
      <c r="L3" s="16113" t="s">
        <v>9808</v>
      </c>
      <c r="M3" s="16113" t="s">
        <v>524</v>
      </c>
      <c r="N3" s="16113" t="s">
        <v>9289</v>
      </c>
      <c r="O3" s="16113" t="s">
        <v>2104</v>
      </c>
      <c r="P3" s="16113" t="s">
        <v>9290</v>
      </c>
      <c r="Q3" s="16113" t="s">
        <v>3279</v>
      </c>
      <c r="R3" s="15999" t="s">
        <v>10056</v>
      </c>
      <c r="S3" s="16093" t="s">
        <v>368</v>
      </c>
      <c r="T3" s="16093" t="s">
        <v>953</v>
      </c>
      <c r="U3" s="14843"/>
      <c r="V3" s="14826"/>
      <c r="W3" s="14826"/>
      <c r="X3" s="14826"/>
      <c r="Y3" s="14792"/>
      <c r="Z3" s="14779" t="s">
        <v>6</v>
      </c>
      <c r="AA3" s="14840" t="s">
        <v>7</v>
      </c>
      <c r="AB3" s="14781" t="s">
        <v>8</v>
      </c>
      <c r="AC3" s="14783" t="s">
        <v>9</v>
      </c>
      <c r="AD3" s="14779" t="s">
        <v>10</v>
      </c>
      <c r="AE3" s="14785" t="s">
        <v>11</v>
      </c>
      <c r="AF3" s="14786"/>
      <c r="AG3" s="14785" t="s">
        <v>12</v>
      </c>
      <c r="AH3" s="14786"/>
      <c r="AI3" s="14785" t="s">
        <v>13</v>
      </c>
      <c r="AJ3" s="14787"/>
      <c r="AK3" s="14787"/>
      <c r="AL3" s="14787"/>
      <c r="AM3" s="14787"/>
      <c r="AN3" s="14787"/>
      <c r="AO3" s="14786"/>
      <c r="AP3" s="14788" t="s">
        <v>14</v>
      </c>
      <c r="AQ3" s="14789"/>
      <c r="AR3" s="14789"/>
      <c r="AS3" s="14789"/>
      <c r="AT3" s="14789"/>
      <c r="AU3" s="14789"/>
      <c r="AV3" s="14789"/>
      <c r="AW3" s="14790"/>
      <c r="AX3" s="14788" t="s">
        <v>15</v>
      </c>
      <c r="AY3" s="14789"/>
      <c r="AZ3" s="14789"/>
      <c r="BA3" s="14789"/>
      <c r="BB3" s="14789"/>
      <c r="BC3" s="14790"/>
      <c r="BD3" s="14833" t="s">
        <v>16</v>
      </c>
      <c r="BE3" s="14833" t="s">
        <v>17</v>
      </c>
      <c r="BF3" s="14901" t="s">
        <v>18</v>
      </c>
      <c r="BG3" s="788" t="s">
        <v>19</v>
      </c>
      <c r="BH3" s="789" t="s">
        <v>20</v>
      </c>
      <c r="BI3" s="14835" t="s">
        <v>21</v>
      </c>
      <c r="BJ3" s="16208" t="s">
        <v>22</v>
      </c>
      <c r="BK3" s="14789"/>
      <c r="BL3" s="16209"/>
      <c r="BM3" s="907" t="s">
        <v>20</v>
      </c>
      <c r="BN3" s="14843"/>
      <c r="BO3" s="14826"/>
      <c r="BP3" s="14826"/>
      <c r="BQ3" s="14826"/>
      <c r="BR3" s="14792"/>
      <c r="BS3" s="14859" t="s">
        <v>6</v>
      </c>
      <c r="BT3" s="14861" t="s">
        <v>7</v>
      </c>
      <c r="BU3" s="14863" t="s">
        <v>8</v>
      </c>
      <c r="BV3" s="14865" t="s">
        <v>9</v>
      </c>
      <c r="BW3" s="14859" t="s">
        <v>10</v>
      </c>
      <c r="BX3" s="14867" t="s">
        <v>11</v>
      </c>
      <c r="BY3" s="14868"/>
      <c r="BZ3" s="14867" t="s">
        <v>12</v>
      </c>
      <c r="CA3" s="14868"/>
      <c r="CB3" s="14867" t="s">
        <v>13</v>
      </c>
      <c r="CC3" s="14876"/>
      <c r="CD3" s="14876"/>
      <c r="CE3" s="14876"/>
      <c r="CF3" s="14876"/>
      <c r="CG3" s="14876"/>
      <c r="CH3" s="14868"/>
      <c r="CI3" s="14877" t="s">
        <v>14</v>
      </c>
      <c r="CJ3" s="14878"/>
      <c r="CK3" s="14878"/>
      <c r="CL3" s="14878"/>
      <c r="CM3" s="14878"/>
      <c r="CN3" s="14878"/>
      <c r="CO3" s="14878"/>
      <c r="CP3" s="14879"/>
      <c r="CQ3" s="14877" t="s">
        <v>15</v>
      </c>
      <c r="CR3" s="14878"/>
      <c r="CS3" s="14878"/>
      <c r="CT3" s="14878"/>
      <c r="CU3" s="14878"/>
      <c r="CV3" s="14879"/>
      <c r="CW3" s="14880" t="s">
        <v>16</v>
      </c>
      <c r="CX3" s="14880" t="s">
        <v>17</v>
      </c>
      <c r="CY3" s="14869" t="s">
        <v>18</v>
      </c>
      <c r="CZ3" s="848" t="s">
        <v>19</v>
      </c>
      <c r="DA3" s="849" t="s">
        <v>20</v>
      </c>
      <c r="DB3" s="14871" t="s">
        <v>21</v>
      </c>
      <c r="DC3" s="16101" t="s">
        <v>22</v>
      </c>
      <c r="DD3" s="14878"/>
      <c r="DE3" s="16102"/>
      <c r="DF3" s="908" t="s">
        <v>20</v>
      </c>
      <c r="DG3" s="815"/>
      <c r="DH3" s="14601"/>
      <c r="DI3" s="16032"/>
      <c r="DJ3" s="16032"/>
      <c r="DK3" s="13296"/>
      <c r="DL3" s="13296"/>
      <c r="DM3" s="13298"/>
      <c r="DN3" s="14605" t="s">
        <v>6</v>
      </c>
      <c r="DO3" s="14611" t="s">
        <v>7</v>
      </c>
      <c r="DP3" s="14577" t="s">
        <v>8</v>
      </c>
      <c r="DQ3" s="14579" t="s">
        <v>9</v>
      </c>
      <c r="DR3" s="13308" t="s">
        <v>10</v>
      </c>
      <c r="DS3" s="13282" t="s">
        <v>11</v>
      </c>
      <c r="DT3" s="13284"/>
      <c r="DU3" s="13282" t="s">
        <v>12</v>
      </c>
      <c r="DV3" s="13284"/>
      <c r="DW3" s="13282" t="s">
        <v>13</v>
      </c>
      <c r="DX3" s="13283"/>
      <c r="DY3" s="13283"/>
      <c r="DZ3" s="13283"/>
      <c r="EA3" s="13283"/>
      <c r="EB3" s="13283"/>
      <c r="EC3" s="13283"/>
      <c r="ED3" s="15143" t="s">
        <v>14</v>
      </c>
      <c r="EE3" s="15144"/>
      <c r="EF3" s="15144"/>
      <c r="EG3" s="15144"/>
      <c r="EH3" s="15144"/>
      <c r="EI3" s="15144"/>
      <c r="EJ3" s="15144"/>
      <c r="EK3" s="15144"/>
      <c r="EL3" s="15144" t="s">
        <v>15</v>
      </c>
      <c r="EM3" s="15144"/>
      <c r="EN3" s="15144"/>
      <c r="EO3" s="15144"/>
      <c r="EP3" s="15144"/>
      <c r="EQ3" s="15198"/>
      <c r="ER3" s="15199" t="s">
        <v>16</v>
      </c>
      <c r="ES3" s="15183" t="s">
        <v>17</v>
      </c>
      <c r="ET3" s="15145" t="s">
        <v>18</v>
      </c>
      <c r="EU3" s="3375" t="s">
        <v>19</v>
      </c>
      <c r="EV3" s="3376" t="s">
        <v>20</v>
      </c>
      <c r="EW3" s="15135" t="s">
        <v>21</v>
      </c>
      <c r="EX3" s="13279" t="s">
        <v>22</v>
      </c>
      <c r="EY3" s="13280"/>
      <c r="EZ3" s="13281"/>
      <c r="FA3" s="12" t="s">
        <v>20</v>
      </c>
    </row>
    <row r="4" spans="1:157" ht="15" customHeight="1" thickBot="1">
      <c r="A4" s="16087"/>
      <c r="B4" s="16089"/>
      <c r="C4" s="16090"/>
      <c r="D4" s="16089"/>
      <c r="E4" s="16092"/>
      <c r="F4" s="16205"/>
      <c r="G4" s="16205"/>
      <c r="H4" s="16114"/>
      <c r="I4" s="16114"/>
      <c r="J4" s="16114"/>
      <c r="K4" s="16114"/>
      <c r="L4" s="16114"/>
      <c r="M4" s="16114"/>
      <c r="N4" s="16114"/>
      <c r="O4" s="16114"/>
      <c r="P4" s="16114"/>
      <c r="Q4" s="16114"/>
      <c r="R4" s="16115"/>
      <c r="S4" s="16094"/>
      <c r="T4" s="16094"/>
      <c r="U4" s="14843"/>
      <c r="V4" s="14826"/>
      <c r="W4" s="14826"/>
      <c r="X4" s="14826"/>
      <c r="Y4" s="14792"/>
      <c r="Z4" s="14780"/>
      <c r="AA4" s="14841"/>
      <c r="AB4" s="14782"/>
      <c r="AC4" s="14784"/>
      <c r="AD4" s="14780"/>
      <c r="AE4" s="5254" t="s">
        <v>23</v>
      </c>
      <c r="AF4" s="5255" t="s">
        <v>24</v>
      </c>
      <c r="AG4" s="5254" t="s">
        <v>25</v>
      </c>
      <c r="AH4" s="5255" t="s">
        <v>26</v>
      </c>
      <c r="AI4" s="5256" t="s">
        <v>27</v>
      </c>
      <c r="AJ4" s="5257" t="s">
        <v>28</v>
      </c>
      <c r="AK4" s="5258" t="s">
        <v>29</v>
      </c>
      <c r="AL4" s="5258" t="s">
        <v>30</v>
      </c>
      <c r="AM4" s="5258" t="s">
        <v>31</v>
      </c>
      <c r="AN4" s="5258" t="s">
        <v>32</v>
      </c>
      <c r="AO4" s="5259" t="s">
        <v>33</v>
      </c>
      <c r="AP4" s="5256" t="s">
        <v>34</v>
      </c>
      <c r="AQ4" s="5258" t="s">
        <v>35</v>
      </c>
      <c r="AR4" s="5258" t="s">
        <v>36</v>
      </c>
      <c r="AS4" s="5258" t="s">
        <v>37</v>
      </c>
      <c r="AT4" s="5258" t="s">
        <v>38</v>
      </c>
      <c r="AU4" s="5258" t="s">
        <v>39</v>
      </c>
      <c r="AV4" s="5258" t="s">
        <v>40</v>
      </c>
      <c r="AW4" s="5259" t="s">
        <v>41</v>
      </c>
      <c r="AX4" s="5260" t="s">
        <v>42</v>
      </c>
      <c r="AY4" s="5258" t="s">
        <v>43</v>
      </c>
      <c r="AZ4" s="5258" t="s">
        <v>44</v>
      </c>
      <c r="BA4" s="5258" t="s">
        <v>45</v>
      </c>
      <c r="BB4" s="5258" t="s">
        <v>46</v>
      </c>
      <c r="BC4" s="5261" t="s">
        <v>47</v>
      </c>
      <c r="BD4" s="14834"/>
      <c r="BE4" s="14834"/>
      <c r="BF4" s="14902"/>
      <c r="BG4" s="5019" t="s">
        <v>48</v>
      </c>
      <c r="BH4" s="802" t="s">
        <v>49</v>
      </c>
      <c r="BI4" s="14836"/>
      <c r="BJ4" s="5262" t="s">
        <v>50</v>
      </c>
      <c r="BK4" s="5262" t="s">
        <v>51</v>
      </c>
      <c r="BL4" s="5262" t="s">
        <v>52</v>
      </c>
      <c r="BM4" s="5263" t="s">
        <v>49</v>
      </c>
      <c r="BN4" s="14843"/>
      <c r="BO4" s="14826"/>
      <c r="BP4" s="14826"/>
      <c r="BQ4" s="14826"/>
      <c r="BR4" s="14792"/>
      <c r="BS4" s="14860"/>
      <c r="BT4" s="14862"/>
      <c r="BU4" s="14864"/>
      <c r="BV4" s="14866"/>
      <c r="BW4" s="14860"/>
      <c r="BX4" s="5264" t="s">
        <v>23</v>
      </c>
      <c r="BY4" s="5265" t="s">
        <v>24</v>
      </c>
      <c r="BZ4" s="5264" t="s">
        <v>25</v>
      </c>
      <c r="CA4" s="5265" t="s">
        <v>26</v>
      </c>
      <c r="CB4" s="5266" t="s">
        <v>27</v>
      </c>
      <c r="CC4" s="5267" t="s">
        <v>28</v>
      </c>
      <c r="CD4" s="5267" t="s">
        <v>29</v>
      </c>
      <c r="CE4" s="5267" t="s">
        <v>30</v>
      </c>
      <c r="CF4" s="5267" t="s">
        <v>31</v>
      </c>
      <c r="CG4" s="5267" t="s">
        <v>32</v>
      </c>
      <c r="CH4" s="5268" t="s">
        <v>33</v>
      </c>
      <c r="CI4" s="5266" t="s">
        <v>34</v>
      </c>
      <c r="CJ4" s="5267" t="s">
        <v>35</v>
      </c>
      <c r="CK4" s="5267" t="s">
        <v>36</v>
      </c>
      <c r="CL4" s="5267" t="s">
        <v>37</v>
      </c>
      <c r="CM4" s="5267" t="s">
        <v>38</v>
      </c>
      <c r="CN4" s="5267" t="s">
        <v>39</v>
      </c>
      <c r="CO4" s="5267" t="s">
        <v>40</v>
      </c>
      <c r="CP4" s="5268" t="s">
        <v>41</v>
      </c>
      <c r="CQ4" s="5269" t="s">
        <v>42</v>
      </c>
      <c r="CR4" s="5267" t="s">
        <v>43</v>
      </c>
      <c r="CS4" s="5267" t="s">
        <v>44</v>
      </c>
      <c r="CT4" s="5267" t="s">
        <v>45</v>
      </c>
      <c r="CU4" s="5267" t="s">
        <v>46</v>
      </c>
      <c r="CV4" s="5270" t="s">
        <v>47</v>
      </c>
      <c r="CW4" s="14881"/>
      <c r="CX4" s="14881"/>
      <c r="CY4" s="14870"/>
      <c r="CZ4" s="5022" t="s">
        <v>48</v>
      </c>
      <c r="DA4" s="863" t="s">
        <v>49</v>
      </c>
      <c r="DB4" s="14872"/>
      <c r="DC4" s="5271" t="s">
        <v>50</v>
      </c>
      <c r="DD4" s="5271" t="s">
        <v>51</v>
      </c>
      <c r="DE4" s="5271" t="s">
        <v>52</v>
      </c>
      <c r="DF4" s="5272" t="s">
        <v>49</v>
      </c>
      <c r="DG4" s="815"/>
      <c r="DH4" s="14601"/>
      <c r="DI4" s="15137"/>
      <c r="DJ4" s="15137"/>
      <c r="DK4" s="13296"/>
      <c r="DL4" s="13296"/>
      <c r="DM4" s="13298"/>
      <c r="DN4" s="14606"/>
      <c r="DO4" s="14612"/>
      <c r="DP4" s="14578"/>
      <c r="DQ4" s="14580"/>
      <c r="DR4" s="13309"/>
      <c r="DS4" s="3462" t="s">
        <v>23</v>
      </c>
      <c r="DT4" s="3463" t="s">
        <v>24</v>
      </c>
      <c r="DU4" s="3462" t="s">
        <v>25</v>
      </c>
      <c r="DV4" s="3463" t="s">
        <v>26</v>
      </c>
      <c r="DW4" s="3464" t="s">
        <v>27</v>
      </c>
      <c r="DX4" s="3465" t="s">
        <v>28</v>
      </c>
      <c r="DY4" s="3466" t="s">
        <v>29</v>
      </c>
      <c r="DZ4" s="3466" t="s">
        <v>30</v>
      </c>
      <c r="EA4" s="3466" t="s">
        <v>31</v>
      </c>
      <c r="EB4" s="3466" t="s">
        <v>32</v>
      </c>
      <c r="EC4" s="3373" t="s">
        <v>33</v>
      </c>
      <c r="ED4" s="3464" t="s">
        <v>34</v>
      </c>
      <c r="EE4" s="3466" t="s">
        <v>35</v>
      </c>
      <c r="EF4" s="3466" t="s">
        <v>36</v>
      </c>
      <c r="EG4" s="3466" t="s">
        <v>37</v>
      </c>
      <c r="EH4" s="3466" t="s">
        <v>38</v>
      </c>
      <c r="EI4" s="3466" t="s">
        <v>39</v>
      </c>
      <c r="EJ4" s="3466" t="s">
        <v>40</v>
      </c>
      <c r="EK4" s="3466" t="s">
        <v>41</v>
      </c>
      <c r="EL4" s="3466" t="s">
        <v>42</v>
      </c>
      <c r="EM4" s="3466" t="s">
        <v>43</v>
      </c>
      <c r="EN4" s="3466" t="s">
        <v>44</v>
      </c>
      <c r="EO4" s="3466" t="s">
        <v>45</v>
      </c>
      <c r="EP4" s="3466" t="s">
        <v>46</v>
      </c>
      <c r="EQ4" s="3467" t="s">
        <v>47</v>
      </c>
      <c r="ER4" s="15200"/>
      <c r="ES4" s="15184"/>
      <c r="ET4" s="15146"/>
      <c r="EU4" s="5043" t="s">
        <v>48</v>
      </c>
      <c r="EV4" s="3469" t="s">
        <v>49</v>
      </c>
      <c r="EW4" s="15136"/>
      <c r="EX4" s="5041" t="s">
        <v>50</v>
      </c>
      <c r="EY4" s="5041" t="s">
        <v>51</v>
      </c>
      <c r="EZ4" s="5041" t="s">
        <v>52</v>
      </c>
      <c r="FA4" s="2217" t="s">
        <v>49</v>
      </c>
    </row>
    <row r="5" spans="1:157" s="2012" customFormat="1" ht="15" customHeight="1">
      <c r="A5" s="16103" t="s">
        <v>954</v>
      </c>
      <c r="B5" s="16106" t="s">
        <v>955</v>
      </c>
      <c r="C5" s="16106" t="s">
        <v>8023</v>
      </c>
      <c r="D5" s="16106" t="s">
        <v>956</v>
      </c>
      <c r="E5" s="16106" t="s">
        <v>957</v>
      </c>
      <c r="F5" s="16109" t="s">
        <v>958</v>
      </c>
      <c r="G5" s="16111">
        <v>0</v>
      </c>
      <c r="H5" s="16116">
        <v>6</v>
      </c>
      <c r="I5" s="16116">
        <v>6</v>
      </c>
      <c r="J5" s="16116">
        <v>6</v>
      </c>
      <c r="K5" s="16116">
        <v>6</v>
      </c>
      <c r="L5" s="16116">
        <v>6</v>
      </c>
      <c r="M5" s="16116">
        <v>6</v>
      </c>
      <c r="N5" s="16116">
        <v>6</v>
      </c>
      <c r="O5" s="16116">
        <v>6</v>
      </c>
      <c r="P5" s="16116">
        <v>6</v>
      </c>
      <c r="Q5" s="16116">
        <v>6</v>
      </c>
      <c r="R5" s="5424" t="s">
        <v>10072</v>
      </c>
      <c r="S5" s="5402" t="s">
        <v>968</v>
      </c>
      <c r="T5" s="5403"/>
      <c r="U5" s="16118"/>
      <c r="V5" s="16120"/>
      <c r="W5" s="5404"/>
      <c r="X5" s="5404"/>
      <c r="Y5" s="5404"/>
      <c r="Z5" s="5405"/>
      <c r="AA5" s="5405"/>
      <c r="AB5" s="5405"/>
      <c r="AC5" s="5405"/>
      <c r="AD5" s="5404"/>
      <c r="AE5" s="5404"/>
      <c r="AF5" s="5404"/>
      <c r="AG5" s="5404"/>
      <c r="AH5" s="5404"/>
      <c r="AI5" s="5404"/>
      <c r="AJ5" s="5404"/>
      <c r="AK5" s="5404"/>
      <c r="AL5" s="5404"/>
      <c r="AM5" s="5404"/>
      <c r="AN5" s="5404"/>
      <c r="AO5" s="5404"/>
      <c r="AP5" s="5404"/>
      <c r="AQ5" s="5404"/>
      <c r="AR5" s="5404"/>
      <c r="AS5" s="5404"/>
      <c r="AT5" s="5404"/>
      <c r="AU5" s="5404"/>
      <c r="AV5" s="5404"/>
      <c r="AW5" s="5404"/>
      <c r="AX5" s="5404"/>
      <c r="AY5" s="5404"/>
      <c r="AZ5" s="5404"/>
      <c r="BA5" s="5404"/>
      <c r="BB5" s="5404"/>
      <c r="BC5" s="5404"/>
      <c r="BD5" s="5404"/>
      <c r="BE5" s="5404"/>
      <c r="BF5" s="5404"/>
      <c r="BG5" s="5404"/>
      <c r="BH5" s="5404"/>
      <c r="BI5" s="5404"/>
      <c r="BJ5" s="5404"/>
      <c r="BK5" s="5404"/>
      <c r="BL5" s="5404"/>
      <c r="BM5" s="5404"/>
      <c r="BN5" s="16118">
        <v>1</v>
      </c>
      <c r="BO5" s="16120">
        <f>AVERAGE(BN5:BN11)</f>
        <v>1</v>
      </c>
      <c r="BP5" s="5404"/>
      <c r="BQ5" s="5404"/>
      <c r="BR5" s="5404"/>
      <c r="BS5" s="5406">
        <v>0</v>
      </c>
      <c r="BT5" s="5406">
        <v>0</v>
      </c>
      <c r="BU5" s="5406">
        <v>0</v>
      </c>
      <c r="BV5" s="5406">
        <v>0</v>
      </c>
      <c r="BW5" s="5406"/>
      <c r="BX5" s="5406"/>
      <c r="BY5" s="5406"/>
      <c r="BZ5" s="5406"/>
      <c r="CA5" s="5406"/>
      <c r="CB5" s="5406"/>
      <c r="CC5" s="5406"/>
      <c r="CD5" s="5406"/>
      <c r="CE5" s="5406"/>
      <c r="CF5" s="5406"/>
      <c r="CG5" s="5406"/>
      <c r="CH5" s="5406"/>
      <c r="CI5" s="5406"/>
      <c r="CJ5" s="5406"/>
      <c r="CK5" s="5406"/>
      <c r="CL5" s="5406"/>
      <c r="CM5" s="5406"/>
      <c r="CN5" s="5406"/>
      <c r="CO5" s="5406"/>
      <c r="CP5" s="5406"/>
      <c r="CQ5" s="5406"/>
      <c r="CR5" s="5406"/>
      <c r="CS5" s="5406"/>
      <c r="CT5" s="5406"/>
      <c r="CU5" s="5406"/>
      <c r="CV5" s="5406"/>
      <c r="CW5" s="5406"/>
      <c r="CX5" s="5406"/>
      <c r="CY5" s="5406"/>
      <c r="CZ5" s="5406"/>
      <c r="DA5" s="5406"/>
      <c r="DB5" s="5406"/>
      <c r="DC5" s="5406"/>
      <c r="DD5" s="5406"/>
      <c r="DE5" s="5406"/>
      <c r="DF5" s="5406"/>
      <c r="DG5" s="5460"/>
      <c r="DH5" s="5460"/>
      <c r="DI5" s="5460"/>
      <c r="DJ5" s="5460"/>
      <c r="DK5" s="5460"/>
      <c r="DL5" s="5460"/>
      <c r="DM5" s="5460"/>
      <c r="DN5" s="5460"/>
      <c r="DO5" s="5460"/>
      <c r="DP5" s="5460"/>
      <c r="DQ5" s="5460"/>
      <c r="DR5" s="5460"/>
      <c r="DS5" s="5460"/>
      <c r="DT5" s="5460"/>
      <c r="DU5" s="5460"/>
      <c r="DV5" s="5460"/>
      <c r="DW5" s="5460"/>
      <c r="DX5" s="5460"/>
      <c r="DY5" s="5460"/>
      <c r="DZ5" s="5460"/>
      <c r="EA5" s="5460"/>
      <c r="EB5" s="5460"/>
      <c r="EC5" s="5460"/>
      <c r="ED5" s="5460"/>
      <c r="EE5" s="5460"/>
      <c r="EF5" s="5460"/>
      <c r="EG5" s="5460"/>
      <c r="EH5" s="5460"/>
      <c r="EI5" s="5460"/>
      <c r="EJ5" s="5460"/>
      <c r="EK5" s="5460"/>
      <c r="EL5" s="5460"/>
      <c r="EM5" s="5460"/>
      <c r="EN5" s="5460"/>
      <c r="EO5" s="5460"/>
      <c r="EP5" s="5460"/>
      <c r="EQ5" s="5460"/>
      <c r="ER5" s="5460"/>
      <c r="ES5" s="5460"/>
      <c r="ET5" s="5460"/>
      <c r="EU5" s="5460"/>
      <c r="EV5" s="5460"/>
      <c r="EW5" s="5460"/>
      <c r="EX5" s="5460"/>
      <c r="EY5" s="5460"/>
      <c r="EZ5" s="5460"/>
      <c r="FA5" s="5461"/>
    </row>
    <row r="6" spans="1:157" s="2012" customFormat="1" ht="15" customHeight="1">
      <c r="A6" s="16104"/>
      <c r="B6" s="16107"/>
      <c r="C6" s="16107"/>
      <c r="D6" s="16107"/>
      <c r="E6" s="16107"/>
      <c r="F6" s="16110"/>
      <c r="G6" s="16112"/>
      <c r="H6" s="16117"/>
      <c r="I6" s="16117"/>
      <c r="J6" s="16117"/>
      <c r="K6" s="16117"/>
      <c r="L6" s="16117"/>
      <c r="M6" s="16117"/>
      <c r="N6" s="16117"/>
      <c r="O6" s="16117"/>
      <c r="P6" s="16117"/>
      <c r="Q6" s="16117"/>
      <c r="R6" s="5425" t="s">
        <v>86</v>
      </c>
      <c r="S6" s="5273"/>
      <c r="T6" s="5274" t="s">
        <v>10242</v>
      </c>
      <c r="U6" s="16119"/>
      <c r="V6" s="16121"/>
      <c r="W6" s="5178"/>
      <c r="X6" s="5178"/>
      <c r="Y6" s="5178"/>
      <c r="Z6" s="5179"/>
      <c r="AA6" s="5179"/>
      <c r="AB6" s="5179"/>
      <c r="AC6" s="5179"/>
      <c r="AD6" s="5178"/>
      <c r="AE6" s="5178"/>
      <c r="AF6" s="5178"/>
      <c r="AG6" s="5178"/>
      <c r="AH6" s="5178"/>
      <c r="AI6" s="5178"/>
      <c r="AJ6" s="5178"/>
      <c r="AK6" s="5178"/>
      <c r="AL6" s="5178"/>
      <c r="AM6" s="5178"/>
      <c r="AN6" s="5178"/>
      <c r="AO6" s="5178"/>
      <c r="AP6" s="5178"/>
      <c r="AQ6" s="5178"/>
      <c r="AR6" s="5178"/>
      <c r="AS6" s="5178"/>
      <c r="AT6" s="5178"/>
      <c r="AU6" s="5178"/>
      <c r="AV6" s="5178"/>
      <c r="AW6" s="5178"/>
      <c r="AX6" s="5178"/>
      <c r="AY6" s="5178"/>
      <c r="AZ6" s="5178"/>
      <c r="BA6" s="5178"/>
      <c r="BB6" s="5178"/>
      <c r="BC6" s="5178"/>
      <c r="BD6" s="5178"/>
      <c r="BE6" s="5178"/>
      <c r="BF6" s="5178"/>
      <c r="BG6" s="5178"/>
      <c r="BH6" s="5178"/>
      <c r="BI6" s="5178"/>
      <c r="BJ6" s="5178"/>
      <c r="BK6" s="5178"/>
      <c r="BL6" s="5178"/>
      <c r="BM6" s="5178"/>
      <c r="BN6" s="16119"/>
      <c r="BO6" s="16121"/>
      <c r="BP6" s="5178"/>
      <c r="BQ6" s="5178"/>
      <c r="BR6" s="5178"/>
      <c r="BS6" s="5180"/>
      <c r="BT6" s="5180"/>
      <c r="BU6" s="5180"/>
      <c r="BV6" s="5180"/>
      <c r="BW6" s="5180"/>
      <c r="BX6" s="5180"/>
      <c r="BY6" s="5180"/>
      <c r="BZ6" s="5180"/>
      <c r="CA6" s="5180"/>
      <c r="CB6" s="5180"/>
      <c r="CC6" s="5180"/>
      <c r="CD6" s="5180"/>
      <c r="CE6" s="5180"/>
      <c r="CF6" s="5180"/>
      <c r="CG6" s="5180"/>
      <c r="CH6" s="5180"/>
      <c r="CI6" s="5180"/>
      <c r="CJ6" s="5180"/>
      <c r="CK6" s="5180"/>
      <c r="CL6" s="5180"/>
      <c r="CM6" s="5180"/>
      <c r="CN6" s="5180"/>
      <c r="CO6" s="5180"/>
      <c r="CP6" s="5180"/>
      <c r="CQ6" s="5180"/>
      <c r="CR6" s="5180"/>
      <c r="CS6" s="5180"/>
      <c r="CT6" s="5180"/>
      <c r="CU6" s="5180"/>
      <c r="CV6" s="5180"/>
      <c r="CW6" s="5180"/>
      <c r="CX6" s="5180"/>
      <c r="CY6" s="5180"/>
      <c r="CZ6" s="5180"/>
      <c r="DA6" s="5180"/>
      <c r="DB6" s="5180"/>
      <c r="DC6" s="5180"/>
      <c r="DD6" s="5180"/>
      <c r="DE6" s="5180"/>
      <c r="DF6" s="5180"/>
      <c r="DG6" s="5450"/>
      <c r="DH6" s="5450"/>
      <c r="DI6" s="5450"/>
      <c r="DJ6" s="5450"/>
      <c r="DK6" s="5450"/>
      <c r="DL6" s="5450"/>
      <c r="DM6" s="5450"/>
      <c r="DN6" s="5450"/>
      <c r="DO6" s="5450"/>
      <c r="DP6" s="5450"/>
      <c r="DQ6" s="5450"/>
      <c r="DR6" s="5450"/>
      <c r="DS6" s="5450"/>
      <c r="DT6" s="5450"/>
      <c r="DU6" s="5450"/>
      <c r="DV6" s="5450"/>
      <c r="DW6" s="5450"/>
      <c r="DX6" s="5450"/>
      <c r="DY6" s="5450"/>
      <c r="DZ6" s="5450"/>
      <c r="EA6" s="5450"/>
      <c r="EB6" s="5450"/>
      <c r="EC6" s="5450"/>
      <c r="ED6" s="5450"/>
      <c r="EE6" s="5450"/>
      <c r="EF6" s="5450"/>
      <c r="EG6" s="5450"/>
      <c r="EH6" s="5450"/>
      <c r="EI6" s="5450"/>
      <c r="EJ6" s="5450"/>
      <c r="EK6" s="5450"/>
      <c r="EL6" s="5450"/>
      <c r="EM6" s="5450"/>
      <c r="EN6" s="5450"/>
      <c r="EO6" s="5450"/>
      <c r="EP6" s="5450"/>
      <c r="EQ6" s="5450"/>
      <c r="ER6" s="5450"/>
      <c r="ES6" s="5450"/>
      <c r="ET6" s="5450"/>
      <c r="EU6" s="5450"/>
      <c r="EV6" s="5450"/>
      <c r="EW6" s="5450"/>
      <c r="EX6" s="5450"/>
      <c r="EY6" s="5450"/>
      <c r="EZ6" s="5450"/>
      <c r="FA6" s="5462"/>
    </row>
    <row r="7" spans="1:157" s="2012" customFormat="1" ht="15" customHeight="1">
      <c r="A7" s="16104"/>
      <c r="B7" s="16107"/>
      <c r="C7" s="16107"/>
      <c r="D7" s="16107"/>
      <c r="E7" s="16107"/>
      <c r="F7" s="16110"/>
      <c r="G7" s="16112"/>
      <c r="H7" s="16117"/>
      <c r="I7" s="16117"/>
      <c r="J7" s="16117"/>
      <c r="K7" s="16117"/>
      <c r="L7" s="16117"/>
      <c r="M7" s="16117"/>
      <c r="N7" s="16117"/>
      <c r="O7" s="16117"/>
      <c r="P7" s="16117"/>
      <c r="Q7" s="16117"/>
      <c r="R7" s="5425" t="s">
        <v>2896</v>
      </c>
      <c r="S7" s="5273"/>
      <c r="T7" s="5274" t="s">
        <v>10243</v>
      </c>
      <c r="U7" s="16119"/>
      <c r="V7" s="16121"/>
      <c r="W7" s="5178"/>
      <c r="X7" s="5178"/>
      <c r="Y7" s="5178"/>
      <c r="Z7" s="5179"/>
      <c r="AA7" s="5179"/>
      <c r="AB7" s="5179"/>
      <c r="AC7" s="5179"/>
      <c r="AD7" s="5178"/>
      <c r="AE7" s="5178"/>
      <c r="AF7" s="5178"/>
      <c r="AG7" s="5178"/>
      <c r="AH7" s="5178"/>
      <c r="AI7" s="5178"/>
      <c r="AJ7" s="5178"/>
      <c r="AK7" s="5178"/>
      <c r="AL7" s="5178"/>
      <c r="AM7" s="5178"/>
      <c r="AN7" s="5178"/>
      <c r="AO7" s="5178"/>
      <c r="AP7" s="5178"/>
      <c r="AQ7" s="5178"/>
      <c r="AR7" s="5178"/>
      <c r="AS7" s="5178"/>
      <c r="AT7" s="5178"/>
      <c r="AU7" s="5178"/>
      <c r="AV7" s="5178"/>
      <c r="AW7" s="5178"/>
      <c r="AX7" s="5178"/>
      <c r="AY7" s="5178"/>
      <c r="AZ7" s="5178"/>
      <c r="BA7" s="5178"/>
      <c r="BB7" s="5178"/>
      <c r="BC7" s="5178"/>
      <c r="BD7" s="5178"/>
      <c r="BE7" s="5178"/>
      <c r="BF7" s="5178"/>
      <c r="BG7" s="5178"/>
      <c r="BH7" s="5178"/>
      <c r="BI7" s="5178"/>
      <c r="BJ7" s="5178"/>
      <c r="BK7" s="5178"/>
      <c r="BL7" s="5178"/>
      <c r="BM7" s="5178"/>
      <c r="BN7" s="16119"/>
      <c r="BO7" s="16121"/>
      <c r="BP7" s="5178"/>
      <c r="BQ7" s="5178"/>
      <c r="BR7" s="5178"/>
      <c r="BS7" s="5180"/>
      <c r="BT7" s="5180"/>
      <c r="BU7" s="5180"/>
      <c r="BV7" s="5180"/>
      <c r="BW7" s="5180"/>
      <c r="BX7" s="5180"/>
      <c r="BY7" s="5180"/>
      <c r="BZ7" s="5180"/>
      <c r="CA7" s="5180"/>
      <c r="CB7" s="5180"/>
      <c r="CC7" s="5180"/>
      <c r="CD7" s="5180"/>
      <c r="CE7" s="5180"/>
      <c r="CF7" s="5180"/>
      <c r="CG7" s="5180"/>
      <c r="CH7" s="5180"/>
      <c r="CI7" s="5180"/>
      <c r="CJ7" s="5180"/>
      <c r="CK7" s="5180"/>
      <c r="CL7" s="5180"/>
      <c r="CM7" s="5180"/>
      <c r="CN7" s="5180"/>
      <c r="CO7" s="5180"/>
      <c r="CP7" s="5180"/>
      <c r="CQ7" s="5180"/>
      <c r="CR7" s="5180"/>
      <c r="CS7" s="5180"/>
      <c r="CT7" s="5180"/>
      <c r="CU7" s="5180"/>
      <c r="CV7" s="5180"/>
      <c r="CW7" s="5180"/>
      <c r="CX7" s="5180"/>
      <c r="CY7" s="5180"/>
      <c r="CZ7" s="5180"/>
      <c r="DA7" s="5180"/>
      <c r="DB7" s="5180"/>
      <c r="DC7" s="5180"/>
      <c r="DD7" s="5180"/>
      <c r="DE7" s="5180"/>
      <c r="DF7" s="5180"/>
      <c r="DG7" s="5450"/>
      <c r="DH7" s="5450"/>
      <c r="DI7" s="5450"/>
      <c r="DJ7" s="5450"/>
      <c r="DK7" s="5450"/>
      <c r="DL7" s="5450"/>
      <c r="DM7" s="5450"/>
      <c r="DN7" s="5450"/>
      <c r="DO7" s="5450"/>
      <c r="DP7" s="5450"/>
      <c r="DQ7" s="5450"/>
      <c r="DR7" s="5450"/>
      <c r="DS7" s="5450"/>
      <c r="DT7" s="5450"/>
      <c r="DU7" s="5450"/>
      <c r="DV7" s="5450"/>
      <c r="DW7" s="5450"/>
      <c r="DX7" s="5450"/>
      <c r="DY7" s="5450"/>
      <c r="DZ7" s="5450"/>
      <c r="EA7" s="5450"/>
      <c r="EB7" s="5450"/>
      <c r="EC7" s="5450"/>
      <c r="ED7" s="5450"/>
      <c r="EE7" s="5450"/>
      <c r="EF7" s="5450"/>
      <c r="EG7" s="5450"/>
      <c r="EH7" s="5450"/>
      <c r="EI7" s="5450"/>
      <c r="EJ7" s="5450"/>
      <c r="EK7" s="5450"/>
      <c r="EL7" s="5450"/>
      <c r="EM7" s="5450"/>
      <c r="EN7" s="5450"/>
      <c r="EO7" s="5450"/>
      <c r="EP7" s="5450"/>
      <c r="EQ7" s="5450"/>
      <c r="ER7" s="5450"/>
      <c r="ES7" s="5450"/>
      <c r="ET7" s="5450"/>
      <c r="EU7" s="5450"/>
      <c r="EV7" s="5450"/>
      <c r="EW7" s="5450"/>
      <c r="EX7" s="5450"/>
      <c r="EY7" s="5450"/>
      <c r="EZ7" s="5450"/>
      <c r="FA7" s="5462"/>
    </row>
    <row r="8" spans="1:157" s="2012" customFormat="1" ht="15" customHeight="1">
      <c r="A8" s="16104"/>
      <c r="B8" s="16107"/>
      <c r="C8" s="16107"/>
      <c r="D8" s="16107"/>
      <c r="E8" s="16107"/>
      <c r="F8" s="16110"/>
      <c r="G8" s="16112"/>
      <c r="H8" s="16117"/>
      <c r="I8" s="16117"/>
      <c r="J8" s="16117"/>
      <c r="K8" s="16117"/>
      <c r="L8" s="16117"/>
      <c r="M8" s="16117"/>
      <c r="N8" s="16117"/>
      <c r="O8" s="16117"/>
      <c r="P8" s="16117"/>
      <c r="Q8" s="16117"/>
      <c r="R8" s="5425" t="s">
        <v>10063</v>
      </c>
      <c r="S8" s="5273"/>
      <c r="T8" s="5274" t="s">
        <v>10244</v>
      </c>
      <c r="U8" s="16119"/>
      <c r="V8" s="16121"/>
      <c r="W8" s="5178"/>
      <c r="X8" s="5178"/>
      <c r="Y8" s="5178"/>
      <c r="Z8" s="5179"/>
      <c r="AA8" s="5179"/>
      <c r="AB8" s="5179"/>
      <c r="AC8" s="5179"/>
      <c r="AD8" s="5178"/>
      <c r="AE8" s="5178"/>
      <c r="AF8" s="5178"/>
      <c r="AG8" s="5178"/>
      <c r="AH8" s="5178"/>
      <c r="AI8" s="5178"/>
      <c r="AJ8" s="5178"/>
      <c r="AK8" s="5178"/>
      <c r="AL8" s="5178"/>
      <c r="AM8" s="5178"/>
      <c r="AN8" s="5178"/>
      <c r="AO8" s="5178"/>
      <c r="AP8" s="5178"/>
      <c r="AQ8" s="5178"/>
      <c r="AR8" s="5178"/>
      <c r="AS8" s="5178"/>
      <c r="AT8" s="5178"/>
      <c r="AU8" s="5178"/>
      <c r="AV8" s="5178"/>
      <c r="AW8" s="5178"/>
      <c r="AX8" s="5178"/>
      <c r="AY8" s="5178"/>
      <c r="AZ8" s="5178"/>
      <c r="BA8" s="5178"/>
      <c r="BB8" s="5178"/>
      <c r="BC8" s="5178"/>
      <c r="BD8" s="5178"/>
      <c r="BE8" s="5178"/>
      <c r="BF8" s="5178"/>
      <c r="BG8" s="5178"/>
      <c r="BH8" s="5178"/>
      <c r="BI8" s="5178"/>
      <c r="BJ8" s="5178"/>
      <c r="BK8" s="5178"/>
      <c r="BL8" s="5178"/>
      <c r="BM8" s="5178"/>
      <c r="BN8" s="16119"/>
      <c r="BO8" s="16121"/>
      <c r="BP8" s="5178"/>
      <c r="BQ8" s="5178"/>
      <c r="BR8" s="5178"/>
      <c r="BS8" s="5180"/>
      <c r="BT8" s="5180"/>
      <c r="BU8" s="5180"/>
      <c r="BV8" s="5180"/>
      <c r="BW8" s="5180"/>
      <c r="BX8" s="5180"/>
      <c r="BY8" s="5180"/>
      <c r="BZ8" s="5180"/>
      <c r="CA8" s="5180"/>
      <c r="CB8" s="5180"/>
      <c r="CC8" s="5180"/>
      <c r="CD8" s="5180"/>
      <c r="CE8" s="5180"/>
      <c r="CF8" s="5180"/>
      <c r="CG8" s="5180"/>
      <c r="CH8" s="5180"/>
      <c r="CI8" s="5180"/>
      <c r="CJ8" s="5180"/>
      <c r="CK8" s="5180"/>
      <c r="CL8" s="5180"/>
      <c r="CM8" s="5180"/>
      <c r="CN8" s="5180"/>
      <c r="CO8" s="5180"/>
      <c r="CP8" s="5180"/>
      <c r="CQ8" s="5180"/>
      <c r="CR8" s="5180"/>
      <c r="CS8" s="5180"/>
      <c r="CT8" s="5180"/>
      <c r="CU8" s="5180"/>
      <c r="CV8" s="5180"/>
      <c r="CW8" s="5180"/>
      <c r="CX8" s="5180"/>
      <c r="CY8" s="5180"/>
      <c r="CZ8" s="5180"/>
      <c r="DA8" s="5180"/>
      <c r="DB8" s="5180"/>
      <c r="DC8" s="5180"/>
      <c r="DD8" s="5180"/>
      <c r="DE8" s="5180"/>
      <c r="DF8" s="5180"/>
      <c r="DG8" s="5450"/>
      <c r="DH8" s="5450"/>
      <c r="DI8" s="5450"/>
      <c r="DJ8" s="5450"/>
      <c r="DK8" s="5450"/>
      <c r="DL8" s="5450"/>
      <c r="DM8" s="5450"/>
      <c r="DN8" s="5450"/>
      <c r="DO8" s="5450"/>
      <c r="DP8" s="5450"/>
      <c r="DQ8" s="5450"/>
      <c r="DR8" s="5450"/>
      <c r="DS8" s="5450"/>
      <c r="DT8" s="5450"/>
      <c r="DU8" s="5450"/>
      <c r="DV8" s="5450"/>
      <c r="DW8" s="5450"/>
      <c r="DX8" s="5450"/>
      <c r="DY8" s="5450"/>
      <c r="DZ8" s="5450"/>
      <c r="EA8" s="5450"/>
      <c r="EB8" s="5450"/>
      <c r="EC8" s="5450"/>
      <c r="ED8" s="5450"/>
      <c r="EE8" s="5450"/>
      <c r="EF8" s="5450"/>
      <c r="EG8" s="5450"/>
      <c r="EH8" s="5450"/>
      <c r="EI8" s="5450"/>
      <c r="EJ8" s="5450"/>
      <c r="EK8" s="5450"/>
      <c r="EL8" s="5450"/>
      <c r="EM8" s="5450"/>
      <c r="EN8" s="5450"/>
      <c r="EO8" s="5450"/>
      <c r="EP8" s="5450"/>
      <c r="EQ8" s="5450"/>
      <c r="ER8" s="5450"/>
      <c r="ES8" s="5450"/>
      <c r="ET8" s="5450"/>
      <c r="EU8" s="5450"/>
      <c r="EV8" s="5450"/>
      <c r="EW8" s="5450"/>
      <c r="EX8" s="5450"/>
      <c r="EY8" s="5450"/>
      <c r="EZ8" s="5450"/>
      <c r="FA8" s="5462"/>
    </row>
    <row r="9" spans="1:157" s="2012" customFormat="1" ht="15" customHeight="1">
      <c r="A9" s="16104"/>
      <c r="B9" s="16107"/>
      <c r="C9" s="16107"/>
      <c r="D9" s="16107"/>
      <c r="E9" s="16107"/>
      <c r="F9" s="16110"/>
      <c r="G9" s="16112"/>
      <c r="H9" s="16117"/>
      <c r="I9" s="16117"/>
      <c r="J9" s="16117"/>
      <c r="K9" s="16117"/>
      <c r="L9" s="16117"/>
      <c r="M9" s="16117"/>
      <c r="N9" s="16117"/>
      <c r="O9" s="16117"/>
      <c r="P9" s="16117"/>
      <c r="Q9" s="16117"/>
      <c r="R9" s="5425" t="s">
        <v>10070</v>
      </c>
      <c r="S9" s="5273"/>
      <c r="T9" s="5274" t="s">
        <v>10245</v>
      </c>
      <c r="U9" s="16119"/>
      <c r="V9" s="16121"/>
      <c r="W9" s="5178"/>
      <c r="X9" s="5178"/>
      <c r="Y9" s="5178"/>
      <c r="Z9" s="5179"/>
      <c r="AA9" s="5179"/>
      <c r="AB9" s="5179"/>
      <c r="AC9" s="5179"/>
      <c r="AD9" s="5178"/>
      <c r="AE9" s="5178"/>
      <c r="AF9" s="5178"/>
      <c r="AG9" s="5178"/>
      <c r="AH9" s="5178"/>
      <c r="AI9" s="5178"/>
      <c r="AJ9" s="5178"/>
      <c r="AK9" s="5178"/>
      <c r="AL9" s="5178"/>
      <c r="AM9" s="5178"/>
      <c r="AN9" s="5178"/>
      <c r="AO9" s="5178"/>
      <c r="AP9" s="5178"/>
      <c r="AQ9" s="5178"/>
      <c r="AR9" s="5178"/>
      <c r="AS9" s="5178"/>
      <c r="AT9" s="5178"/>
      <c r="AU9" s="5178"/>
      <c r="AV9" s="5178"/>
      <c r="AW9" s="5178"/>
      <c r="AX9" s="5178"/>
      <c r="AY9" s="5178"/>
      <c r="AZ9" s="5178"/>
      <c r="BA9" s="5178"/>
      <c r="BB9" s="5178"/>
      <c r="BC9" s="5178"/>
      <c r="BD9" s="5178"/>
      <c r="BE9" s="5178"/>
      <c r="BF9" s="5178"/>
      <c r="BG9" s="5178"/>
      <c r="BH9" s="5178"/>
      <c r="BI9" s="5178"/>
      <c r="BJ9" s="5178"/>
      <c r="BK9" s="5178"/>
      <c r="BL9" s="5178"/>
      <c r="BM9" s="5178"/>
      <c r="BN9" s="16119"/>
      <c r="BO9" s="16121"/>
      <c r="BP9" s="5178"/>
      <c r="BQ9" s="5178"/>
      <c r="BR9" s="5178"/>
      <c r="BS9" s="5180"/>
      <c r="BT9" s="5180"/>
      <c r="BU9" s="5180"/>
      <c r="BV9" s="5180"/>
      <c r="BW9" s="5180"/>
      <c r="BX9" s="5180"/>
      <c r="BY9" s="5180"/>
      <c r="BZ9" s="5180"/>
      <c r="CA9" s="5180"/>
      <c r="CB9" s="5180"/>
      <c r="CC9" s="5180"/>
      <c r="CD9" s="5180"/>
      <c r="CE9" s="5180"/>
      <c r="CF9" s="5180"/>
      <c r="CG9" s="5180"/>
      <c r="CH9" s="5180"/>
      <c r="CI9" s="5180"/>
      <c r="CJ9" s="5180"/>
      <c r="CK9" s="5180"/>
      <c r="CL9" s="5180"/>
      <c r="CM9" s="5180"/>
      <c r="CN9" s="5180"/>
      <c r="CO9" s="5180"/>
      <c r="CP9" s="5180"/>
      <c r="CQ9" s="5180"/>
      <c r="CR9" s="5180"/>
      <c r="CS9" s="5180"/>
      <c r="CT9" s="5180"/>
      <c r="CU9" s="5180"/>
      <c r="CV9" s="5180"/>
      <c r="CW9" s="5180"/>
      <c r="CX9" s="5180"/>
      <c r="CY9" s="5180"/>
      <c r="CZ9" s="5180"/>
      <c r="DA9" s="5180"/>
      <c r="DB9" s="5180"/>
      <c r="DC9" s="5180"/>
      <c r="DD9" s="5180"/>
      <c r="DE9" s="5180"/>
      <c r="DF9" s="5180"/>
      <c r="DG9" s="5450"/>
      <c r="DH9" s="5450"/>
      <c r="DI9" s="5450"/>
      <c r="DJ9" s="5450"/>
      <c r="DK9" s="5450"/>
      <c r="DL9" s="5450"/>
      <c r="DM9" s="5450"/>
      <c r="DN9" s="5450"/>
      <c r="DO9" s="5450"/>
      <c r="DP9" s="5450"/>
      <c r="DQ9" s="5450"/>
      <c r="DR9" s="5450"/>
      <c r="DS9" s="5450"/>
      <c r="DT9" s="5450"/>
      <c r="DU9" s="5450"/>
      <c r="DV9" s="5450"/>
      <c r="DW9" s="5450"/>
      <c r="DX9" s="5450"/>
      <c r="DY9" s="5450"/>
      <c r="DZ9" s="5450"/>
      <c r="EA9" s="5450"/>
      <c r="EB9" s="5450"/>
      <c r="EC9" s="5450"/>
      <c r="ED9" s="5450"/>
      <c r="EE9" s="5450"/>
      <c r="EF9" s="5450"/>
      <c r="EG9" s="5450"/>
      <c r="EH9" s="5450"/>
      <c r="EI9" s="5450"/>
      <c r="EJ9" s="5450"/>
      <c r="EK9" s="5450"/>
      <c r="EL9" s="5450"/>
      <c r="EM9" s="5450"/>
      <c r="EN9" s="5450"/>
      <c r="EO9" s="5450"/>
      <c r="EP9" s="5450"/>
      <c r="EQ9" s="5450"/>
      <c r="ER9" s="5450"/>
      <c r="ES9" s="5450"/>
      <c r="ET9" s="5450"/>
      <c r="EU9" s="5450"/>
      <c r="EV9" s="5450"/>
      <c r="EW9" s="5450"/>
      <c r="EX9" s="5450"/>
      <c r="EY9" s="5450"/>
      <c r="EZ9" s="5450"/>
      <c r="FA9" s="5462"/>
    </row>
    <row r="10" spans="1:157" s="2012" customFormat="1" ht="15" customHeight="1">
      <c r="A10" s="16104"/>
      <c r="B10" s="16107"/>
      <c r="C10" s="16107"/>
      <c r="D10" s="16107"/>
      <c r="E10" s="16107"/>
      <c r="F10" s="16110"/>
      <c r="G10" s="16112"/>
      <c r="H10" s="16117"/>
      <c r="I10" s="16117"/>
      <c r="J10" s="16117"/>
      <c r="K10" s="16117"/>
      <c r="L10" s="16117"/>
      <c r="M10" s="16117"/>
      <c r="N10" s="16117"/>
      <c r="O10" s="16117"/>
      <c r="P10" s="16117"/>
      <c r="Q10" s="16117"/>
      <c r="R10" s="5425" t="s">
        <v>10092</v>
      </c>
      <c r="S10" s="5273"/>
      <c r="T10" s="5274" t="s">
        <v>10246</v>
      </c>
      <c r="U10" s="16119"/>
      <c r="V10" s="16121"/>
      <c r="W10" s="5178"/>
      <c r="X10" s="5178"/>
      <c r="Y10" s="5178"/>
      <c r="Z10" s="5179"/>
      <c r="AA10" s="5179"/>
      <c r="AB10" s="5179"/>
      <c r="AC10" s="5179"/>
      <c r="AD10" s="5178"/>
      <c r="AE10" s="5178"/>
      <c r="AF10" s="5178"/>
      <c r="AG10" s="5178"/>
      <c r="AH10" s="5178"/>
      <c r="AI10" s="5178"/>
      <c r="AJ10" s="5178"/>
      <c r="AK10" s="5178"/>
      <c r="AL10" s="5178"/>
      <c r="AM10" s="5178"/>
      <c r="AN10" s="5178"/>
      <c r="AO10" s="5178"/>
      <c r="AP10" s="5178"/>
      <c r="AQ10" s="5178"/>
      <c r="AR10" s="5178"/>
      <c r="AS10" s="5178"/>
      <c r="AT10" s="5178"/>
      <c r="AU10" s="5178"/>
      <c r="AV10" s="5178"/>
      <c r="AW10" s="5178"/>
      <c r="AX10" s="5178"/>
      <c r="AY10" s="5178"/>
      <c r="AZ10" s="5178"/>
      <c r="BA10" s="5178"/>
      <c r="BB10" s="5178"/>
      <c r="BC10" s="5178"/>
      <c r="BD10" s="5178"/>
      <c r="BE10" s="5178"/>
      <c r="BF10" s="5178"/>
      <c r="BG10" s="5178"/>
      <c r="BH10" s="5178"/>
      <c r="BI10" s="5178"/>
      <c r="BJ10" s="5178"/>
      <c r="BK10" s="5178"/>
      <c r="BL10" s="5178"/>
      <c r="BM10" s="5178"/>
      <c r="BN10" s="16119"/>
      <c r="BO10" s="16121"/>
      <c r="BP10" s="5178"/>
      <c r="BQ10" s="5178"/>
      <c r="BR10" s="5178"/>
      <c r="BS10" s="5180"/>
      <c r="BT10" s="5180"/>
      <c r="BU10" s="5180"/>
      <c r="BV10" s="5180"/>
      <c r="BW10" s="5180"/>
      <c r="BX10" s="5180"/>
      <c r="BY10" s="5180"/>
      <c r="BZ10" s="5180"/>
      <c r="CA10" s="5180"/>
      <c r="CB10" s="5180"/>
      <c r="CC10" s="5180"/>
      <c r="CD10" s="5180"/>
      <c r="CE10" s="5180"/>
      <c r="CF10" s="5180"/>
      <c r="CG10" s="5180"/>
      <c r="CH10" s="5180"/>
      <c r="CI10" s="5180"/>
      <c r="CJ10" s="5180"/>
      <c r="CK10" s="5180"/>
      <c r="CL10" s="5180"/>
      <c r="CM10" s="5180"/>
      <c r="CN10" s="5180"/>
      <c r="CO10" s="5180"/>
      <c r="CP10" s="5180"/>
      <c r="CQ10" s="5180"/>
      <c r="CR10" s="5180"/>
      <c r="CS10" s="5180"/>
      <c r="CT10" s="5180"/>
      <c r="CU10" s="5180"/>
      <c r="CV10" s="5180"/>
      <c r="CW10" s="5180"/>
      <c r="CX10" s="5180"/>
      <c r="CY10" s="5180"/>
      <c r="CZ10" s="5180"/>
      <c r="DA10" s="5180"/>
      <c r="DB10" s="5180"/>
      <c r="DC10" s="5180"/>
      <c r="DD10" s="5180"/>
      <c r="DE10" s="5180"/>
      <c r="DF10" s="5180"/>
      <c r="DG10" s="5450"/>
      <c r="DH10" s="5450"/>
      <c r="DI10" s="5450"/>
      <c r="DJ10" s="5450"/>
      <c r="DK10" s="5450"/>
      <c r="DL10" s="5450"/>
      <c r="DM10" s="5450"/>
      <c r="DN10" s="5450"/>
      <c r="DO10" s="5450"/>
      <c r="DP10" s="5450"/>
      <c r="DQ10" s="5450"/>
      <c r="DR10" s="5450"/>
      <c r="DS10" s="5450"/>
      <c r="DT10" s="5450"/>
      <c r="DU10" s="5450"/>
      <c r="DV10" s="5450"/>
      <c r="DW10" s="5450"/>
      <c r="DX10" s="5450"/>
      <c r="DY10" s="5450"/>
      <c r="DZ10" s="5450"/>
      <c r="EA10" s="5450"/>
      <c r="EB10" s="5450"/>
      <c r="EC10" s="5450"/>
      <c r="ED10" s="5450"/>
      <c r="EE10" s="5450"/>
      <c r="EF10" s="5450"/>
      <c r="EG10" s="5450"/>
      <c r="EH10" s="5450"/>
      <c r="EI10" s="5450"/>
      <c r="EJ10" s="5450"/>
      <c r="EK10" s="5450"/>
      <c r="EL10" s="5450"/>
      <c r="EM10" s="5450"/>
      <c r="EN10" s="5450"/>
      <c r="EO10" s="5450"/>
      <c r="EP10" s="5450"/>
      <c r="EQ10" s="5450"/>
      <c r="ER10" s="5450"/>
      <c r="ES10" s="5450"/>
      <c r="ET10" s="5450"/>
      <c r="EU10" s="5450"/>
      <c r="EV10" s="5450"/>
      <c r="EW10" s="5450"/>
      <c r="EX10" s="5450"/>
      <c r="EY10" s="5450"/>
      <c r="EZ10" s="5450"/>
      <c r="FA10" s="5462"/>
    </row>
    <row r="11" spans="1:157" s="2012" customFormat="1" ht="15" customHeight="1" thickBot="1">
      <c r="A11" s="16105"/>
      <c r="B11" s="16108"/>
      <c r="C11" s="5114" t="s">
        <v>8024</v>
      </c>
      <c r="D11" s="5114" t="s">
        <v>959</v>
      </c>
      <c r="E11" s="5114" t="s">
        <v>960</v>
      </c>
      <c r="F11" s="5566" t="s">
        <v>958</v>
      </c>
      <c r="G11" s="5567">
        <v>0</v>
      </c>
      <c r="H11" s="5568">
        <v>5</v>
      </c>
      <c r="I11" s="5568">
        <v>5</v>
      </c>
      <c r="J11" s="5568">
        <v>5</v>
      </c>
      <c r="K11" s="5568">
        <v>5</v>
      </c>
      <c r="L11" s="5568">
        <v>5</v>
      </c>
      <c r="M11" s="5568">
        <v>5</v>
      </c>
      <c r="N11" s="5568">
        <v>5</v>
      </c>
      <c r="O11" s="5568">
        <v>5</v>
      </c>
      <c r="P11" s="5568">
        <v>5</v>
      </c>
      <c r="Q11" s="5568">
        <v>5</v>
      </c>
      <c r="R11" s="5569" t="s">
        <v>10072</v>
      </c>
      <c r="S11" s="5568" t="s">
        <v>968</v>
      </c>
      <c r="T11" s="5570"/>
      <c r="U11" s="5571"/>
      <c r="V11" s="16122"/>
      <c r="W11" s="5570"/>
      <c r="X11" s="5570"/>
      <c r="Y11" s="5570"/>
      <c r="Z11" s="5572"/>
      <c r="AA11" s="5572"/>
      <c r="AB11" s="5572"/>
      <c r="AC11" s="5572"/>
      <c r="AD11" s="5570"/>
      <c r="AE11" s="5570"/>
      <c r="AF11" s="5570"/>
      <c r="AG11" s="5570"/>
      <c r="AH11" s="5570"/>
      <c r="AI11" s="5570"/>
      <c r="AJ11" s="5570"/>
      <c r="AK11" s="5570"/>
      <c r="AL11" s="5570"/>
      <c r="AM11" s="5570"/>
      <c r="AN11" s="5570"/>
      <c r="AO11" s="5570"/>
      <c r="AP11" s="5570"/>
      <c r="AQ11" s="5570"/>
      <c r="AR11" s="5570"/>
      <c r="AS11" s="5570"/>
      <c r="AT11" s="5570"/>
      <c r="AU11" s="5570"/>
      <c r="AV11" s="5570"/>
      <c r="AW11" s="5570"/>
      <c r="AX11" s="5570"/>
      <c r="AY11" s="5570"/>
      <c r="AZ11" s="5570"/>
      <c r="BA11" s="5570"/>
      <c r="BB11" s="5570"/>
      <c r="BC11" s="5570"/>
      <c r="BD11" s="5570"/>
      <c r="BE11" s="5570"/>
      <c r="BF11" s="5570"/>
      <c r="BG11" s="5570"/>
      <c r="BH11" s="5570"/>
      <c r="BI11" s="5570"/>
      <c r="BJ11" s="5570"/>
      <c r="BK11" s="5570"/>
      <c r="BL11" s="5570"/>
      <c r="BM11" s="5570"/>
      <c r="BN11" s="5571">
        <v>1</v>
      </c>
      <c r="BO11" s="16122"/>
      <c r="BP11" s="5570" t="s">
        <v>9416</v>
      </c>
      <c r="BQ11" s="5570" t="s">
        <v>9415</v>
      </c>
      <c r="BR11" s="5570" t="s">
        <v>9417</v>
      </c>
      <c r="BS11" s="5573">
        <v>0</v>
      </c>
      <c r="BT11" s="5573">
        <v>0</v>
      </c>
      <c r="BU11" s="5573">
        <v>0</v>
      </c>
      <c r="BV11" s="5573">
        <v>0</v>
      </c>
      <c r="BW11" s="5573"/>
      <c r="BX11" s="5573"/>
      <c r="BY11" s="5573"/>
      <c r="BZ11" s="5573"/>
      <c r="CA11" s="5573"/>
      <c r="CB11" s="5573"/>
      <c r="CC11" s="5573"/>
      <c r="CD11" s="5573"/>
      <c r="CE11" s="5573"/>
      <c r="CF11" s="5573"/>
      <c r="CG11" s="5573"/>
      <c r="CH11" s="5573"/>
      <c r="CI11" s="5573"/>
      <c r="CJ11" s="5573"/>
      <c r="CK11" s="5573"/>
      <c r="CL11" s="5573"/>
      <c r="CM11" s="5573"/>
      <c r="CN11" s="5573"/>
      <c r="CO11" s="5573"/>
      <c r="CP11" s="5573"/>
      <c r="CQ11" s="5573"/>
      <c r="CR11" s="5573"/>
      <c r="CS11" s="5573"/>
      <c r="CT11" s="5573"/>
      <c r="CU11" s="5573"/>
      <c r="CV11" s="5573"/>
      <c r="CW11" s="5573"/>
      <c r="CX11" s="5573"/>
      <c r="CY11" s="5573"/>
      <c r="CZ11" s="5573"/>
      <c r="DA11" s="5573"/>
      <c r="DB11" s="5573"/>
      <c r="DC11" s="5573"/>
      <c r="DD11" s="5573"/>
      <c r="DE11" s="5573"/>
      <c r="DF11" s="5573"/>
      <c r="DG11" s="5574"/>
      <c r="DH11" s="5574"/>
      <c r="DI11" s="5574"/>
      <c r="DJ11" s="5574"/>
      <c r="DK11" s="5574"/>
      <c r="DL11" s="5574"/>
      <c r="DM11" s="5574"/>
      <c r="DN11" s="5574"/>
      <c r="DO11" s="5574"/>
      <c r="DP11" s="5574"/>
      <c r="DQ11" s="5574"/>
      <c r="DR11" s="5574"/>
      <c r="DS11" s="5574"/>
      <c r="DT11" s="5574"/>
      <c r="DU11" s="5574"/>
      <c r="DV11" s="5574"/>
      <c r="DW11" s="5574"/>
      <c r="DX11" s="5574"/>
      <c r="DY11" s="5574"/>
      <c r="DZ11" s="5574"/>
      <c r="EA11" s="5574"/>
      <c r="EB11" s="5574"/>
      <c r="EC11" s="5574"/>
      <c r="ED11" s="5574"/>
      <c r="EE11" s="5574"/>
      <c r="EF11" s="5574"/>
      <c r="EG11" s="5574"/>
      <c r="EH11" s="5574"/>
      <c r="EI11" s="5574"/>
      <c r="EJ11" s="5574"/>
      <c r="EK11" s="5574"/>
      <c r="EL11" s="5574"/>
      <c r="EM11" s="5574"/>
      <c r="EN11" s="5574"/>
      <c r="EO11" s="5574"/>
      <c r="EP11" s="5574"/>
      <c r="EQ11" s="5574"/>
      <c r="ER11" s="5574"/>
      <c r="ES11" s="5574"/>
      <c r="ET11" s="5574"/>
      <c r="EU11" s="5574"/>
      <c r="EV11" s="5574"/>
      <c r="EW11" s="5574"/>
      <c r="EX11" s="5574"/>
      <c r="EY11" s="5574"/>
      <c r="EZ11" s="5574"/>
      <c r="FA11" s="5575"/>
    </row>
    <row r="12" spans="1:157" s="2021" customFormat="1" ht="15" customHeight="1">
      <c r="A12" s="16059" t="s">
        <v>961</v>
      </c>
      <c r="B12" s="16067" t="s">
        <v>962</v>
      </c>
      <c r="C12" s="5121" t="s">
        <v>8025</v>
      </c>
      <c r="D12" s="5121" t="s">
        <v>963</v>
      </c>
      <c r="E12" s="5121" t="s">
        <v>964</v>
      </c>
      <c r="F12" s="5122" t="s">
        <v>958</v>
      </c>
      <c r="G12" s="5537">
        <v>0.66</v>
      </c>
      <c r="H12" s="5111" t="s">
        <v>965</v>
      </c>
      <c r="I12" s="5111" t="s">
        <v>966</v>
      </c>
      <c r="J12" s="5111" t="s">
        <v>967</v>
      </c>
      <c r="K12" s="5111" t="s">
        <v>967</v>
      </c>
      <c r="L12" s="5111" t="s">
        <v>967</v>
      </c>
      <c r="M12" s="5111" t="s">
        <v>967</v>
      </c>
      <c r="N12" s="5111" t="s">
        <v>967</v>
      </c>
      <c r="O12" s="5111" t="s">
        <v>967</v>
      </c>
      <c r="P12" s="5111" t="s">
        <v>967</v>
      </c>
      <c r="Q12" s="5111" t="s">
        <v>967</v>
      </c>
      <c r="R12" s="5538" t="s">
        <v>10072</v>
      </c>
      <c r="S12" s="5111" t="s">
        <v>968</v>
      </c>
      <c r="T12" s="5541"/>
      <c r="U12" s="5123"/>
      <c r="V12" s="16123"/>
      <c r="W12" s="5541"/>
      <c r="X12" s="5541"/>
      <c r="Y12" s="5541"/>
      <c r="Z12" s="5577"/>
      <c r="AA12" s="5577"/>
      <c r="AB12" s="5577"/>
      <c r="AC12" s="5577"/>
      <c r="AD12" s="5544"/>
      <c r="AE12" s="5544"/>
      <c r="AF12" s="5544"/>
      <c r="AG12" s="5544"/>
      <c r="AH12" s="5544"/>
      <c r="AI12" s="5544"/>
      <c r="AJ12" s="5544"/>
      <c r="AK12" s="5544"/>
      <c r="AL12" s="5544"/>
      <c r="AM12" s="5544"/>
      <c r="AN12" s="5544"/>
      <c r="AO12" s="5544"/>
      <c r="AP12" s="5544"/>
      <c r="AQ12" s="5544"/>
      <c r="AR12" s="5544"/>
      <c r="AS12" s="5544"/>
      <c r="AT12" s="5544"/>
      <c r="AU12" s="5544"/>
      <c r="AV12" s="5544"/>
      <c r="AW12" s="5544"/>
      <c r="AX12" s="5544"/>
      <c r="AY12" s="5544"/>
      <c r="AZ12" s="5544"/>
      <c r="BA12" s="5544"/>
      <c r="BB12" s="5544"/>
      <c r="BC12" s="5544"/>
      <c r="BD12" s="5544"/>
      <c r="BE12" s="5544"/>
      <c r="BF12" s="5544"/>
      <c r="BG12" s="5544"/>
      <c r="BH12" s="5544"/>
      <c r="BI12" s="5544"/>
      <c r="BJ12" s="5544"/>
      <c r="BK12" s="5544"/>
      <c r="BL12" s="5544"/>
      <c r="BM12" s="5544"/>
      <c r="BN12" s="5123">
        <v>0.33</v>
      </c>
      <c r="BO12" s="16123">
        <f>AVERAGE(BN12:BN18)</f>
        <v>6.6000000000000003E-2</v>
      </c>
      <c r="BP12" s="5541" t="s">
        <v>9418</v>
      </c>
      <c r="BQ12" s="5541" t="s">
        <v>9419</v>
      </c>
      <c r="BR12" s="5541" t="s">
        <v>9420</v>
      </c>
      <c r="BS12" s="5578">
        <f>+SUM(BT12:BV12)</f>
        <v>19431718</v>
      </c>
      <c r="BT12" s="5578">
        <v>19431718</v>
      </c>
      <c r="BU12" s="5578">
        <v>0</v>
      </c>
      <c r="BV12" s="5578">
        <v>0</v>
      </c>
      <c r="BW12" s="5546"/>
      <c r="BX12" s="5546"/>
      <c r="BY12" s="5546"/>
      <c r="BZ12" s="5546"/>
      <c r="CA12" s="5546"/>
      <c r="CB12" s="5546"/>
      <c r="CC12" s="5546"/>
      <c r="CD12" s="5546"/>
      <c r="CE12" s="5546"/>
      <c r="CF12" s="5546"/>
      <c r="CG12" s="5546"/>
      <c r="CH12" s="5546"/>
      <c r="CI12" s="5546"/>
      <c r="CJ12" s="5546"/>
      <c r="CK12" s="5546"/>
      <c r="CL12" s="5546"/>
      <c r="CM12" s="5546"/>
      <c r="CN12" s="5546"/>
      <c r="CO12" s="5546"/>
      <c r="CP12" s="5546"/>
      <c r="CQ12" s="5546"/>
      <c r="CR12" s="5546"/>
      <c r="CS12" s="5546"/>
      <c r="CT12" s="5546"/>
      <c r="CU12" s="5546"/>
      <c r="CV12" s="5546"/>
      <c r="CW12" s="5546"/>
      <c r="CX12" s="5546"/>
      <c r="CY12" s="5546"/>
      <c r="CZ12" s="5546"/>
      <c r="DA12" s="5546"/>
      <c r="DB12" s="5546"/>
      <c r="DC12" s="5546"/>
      <c r="DD12" s="5546"/>
      <c r="DE12" s="5546"/>
      <c r="DF12" s="5546"/>
      <c r="DG12" s="5547"/>
      <c r="DH12" s="5547"/>
      <c r="DI12" s="5547"/>
      <c r="DJ12" s="5547"/>
      <c r="DK12" s="5547"/>
      <c r="DL12" s="5547"/>
      <c r="DM12" s="5547"/>
      <c r="DN12" s="5547"/>
      <c r="DO12" s="5547"/>
      <c r="DP12" s="5547"/>
      <c r="DQ12" s="5547"/>
      <c r="DR12" s="5547"/>
      <c r="DS12" s="5547"/>
      <c r="DT12" s="5547"/>
      <c r="DU12" s="5547"/>
      <c r="DV12" s="5547"/>
      <c r="DW12" s="5547"/>
      <c r="DX12" s="5547"/>
      <c r="DY12" s="5547"/>
      <c r="DZ12" s="5547"/>
      <c r="EA12" s="5547"/>
      <c r="EB12" s="5547"/>
      <c r="EC12" s="5547"/>
      <c r="ED12" s="5547"/>
      <c r="EE12" s="5547"/>
      <c r="EF12" s="5547"/>
      <c r="EG12" s="5547"/>
      <c r="EH12" s="5547"/>
      <c r="EI12" s="5547"/>
      <c r="EJ12" s="5547"/>
      <c r="EK12" s="5547"/>
      <c r="EL12" s="5547"/>
      <c r="EM12" s="5547"/>
      <c r="EN12" s="5547"/>
      <c r="EO12" s="5547"/>
      <c r="EP12" s="5547"/>
      <c r="EQ12" s="5547"/>
      <c r="ER12" s="5547"/>
      <c r="ES12" s="5547"/>
      <c r="ET12" s="5547"/>
      <c r="EU12" s="5547"/>
      <c r="EV12" s="5547"/>
      <c r="EW12" s="5547"/>
      <c r="EX12" s="5547"/>
      <c r="EY12" s="5547"/>
      <c r="EZ12" s="5547"/>
      <c r="FA12" s="5548"/>
    </row>
    <row r="13" spans="1:157" s="2021" customFormat="1" ht="15" customHeight="1">
      <c r="A13" s="16060"/>
      <c r="B13" s="16068"/>
      <c r="C13" s="16068" t="s">
        <v>8026</v>
      </c>
      <c r="D13" s="16068" t="s">
        <v>969</v>
      </c>
      <c r="E13" s="16068" t="s">
        <v>970</v>
      </c>
      <c r="F13" s="16130" t="s">
        <v>958</v>
      </c>
      <c r="G13" s="16131">
        <v>0</v>
      </c>
      <c r="H13" s="16034">
        <v>0</v>
      </c>
      <c r="I13" s="16034">
        <v>1</v>
      </c>
      <c r="J13" s="16034">
        <v>1</v>
      </c>
      <c r="K13" s="16034">
        <v>1</v>
      </c>
      <c r="L13" s="16034">
        <v>1</v>
      </c>
      <c r="M13" s="16034">
        <v>1</v>
      </c>
      <c r="N13" s="16034">
        <v>1</v>
      </c>
      <c r="O13" s="16034">
        <v>1</v>
      </c>
      <c r="P13" s="16216">
        <v>1</v>
      </c>
      <c r="Q13" s="16216">
        <v>1</v>
      </c>
      <c r="R13" s="5579" t="s">
        <v>10072</v>
      </c>
      <c r="S13" s="5439" t="s">
        <v>968</v>
      </c>
      <c r="T13" s="5353"/>
      <c r="U13" s="5359"/>
      <c r="V13" s="16124"/>
      <c r="W13" s="5356"/>
      <c r="X13" s="5356"/>
      <c r="Y13" s="5356"/>
      <c r="Z13" s="5355"/>
      <c r="AA13" s="5355"/>
      <c r="AB13" s="5355"/>
      <c r="AC13" s="5355"/>
      <c r="AD13" s="5356"/>
      <c r="AE13" s="5356"/>
      <c r="AF13" s="5356"/>
      <c r="AG13" s="5356"/>
      <c r="AH13" s="5356"/>
      <c r="AI13" s="5356"/>
      <c r="AJ13" s="5356"/>
      <c r="AK13" s="5356"/>
      <c r="AL13" s="5356"/>
      <c r="AM13" s="5356"/>
      <c r="AN13" s="5356"/>
      <c r="AO13" s="5356"/>
      <c r="AP13" s="5356"/>
      <c r="AQ13" s="5356"/>
      <c r="AR13" s="5356"/>
      <c r="AS13" s="5356"/>
      <c r="AT13" s="5356"/>
      <c r="AU13" s="5356"/>
      <c r="AV13" s="5356"/>
      <c r="AW13" s="5356"/>
      <c r="AX13" s="5356"/>
      <c r="AY13" s="5356"/>
      <c r="AZ13" s="5356"/>
      <c r="BA13" s="5356"/>
      <c r="BB13" s="5356"/>
      <c r="BC13" s="5356"/>
      <c r="BD13" s="5356"/>
      <c r="BE13" s="5356"/>
      <c r="BF13" s="5356"/>
      <c r="BG13" s="5356"/>
      <c r="BH13" s="5356"/>
      <c r="BI13" s="5356"/>
      <c r="BJ13" s="5356"/>
      <c r="BK13" s="5356"/>
      <c r="BL13" s="5356"/>
      <c r="BM13" s="5356"/>
      <c r="BN13" s="5359">
        <v>0</v>
      </c>
      <c r="BO13" s="16124"/>
      <c r="BP13" s="5356"/>
      <c r="BQ13" s="5356"/>
      <c r="BR13" s="5356"/>
      <c r="BS13" s="5358">
        <v>0</v>
      </c>
      <c r="BT13" s="5358">
        <v>0</v>
      </c>
      <c r="BU13" s="5358">
        <v>0</v>
      </c>
      <c r="BV13" s="5358">
        <v>0</v>
      </c>
      <c r="BW13" s="5358"/>
      <c r="BX13" s="5358"/>
      <c r="BY13" s="5358"/>
      <c r="BZ13" s="5358"/>
      <c r="CA13" s="5358"/>
      <c r="CB13" s="5358"/>
      <c r="CC13" s="5358"/>
      <c r="CD13" s="5358"/>
      <c r="CE13" s="5358"/>
      <c r="CF13" s="5358"/>
      <c r="CG13" s="5358"/>
      <c r="CH13" s="5358"/>
      <c r="CI13" s="5358"/>
      <c r="CJ13" s="5358"/>
      <c r="CK13" s="5358"/>
      <c r="CL13" s="5358"/>
      <c r="CM13" s="5358"/>
      <c r="CN13" s="5358"/>
      <c r="CO13" s="5358"/>
      <c r="CP13" s="5358"/>
      <c r="CQ13" s="5358"/>
      <c r="CR13" s="5358"/>
      <c r="CS13" s="5358"/>
      <c r="CT13" s="5358"/>
      <c r="CU13" s="5358"/>
      <c r="CV13" s="5358"/>
      <c r="CW13" s="5358"/>
      <c r="CX13" s="5358"/>
      <c r="CY13" s="5358"/>
      <c r="CZ13" s="5358"/>
      <c r="DA13" s="5358"/>
      <c r="DB13" s="5358"/>
      <c r="DC13" s="5358"/>
      <c r="DD13" s="5358"/>
      <c r="DE13" s="5358"/>
      <c r="DF13" s="5358"/>
      <c r="DG13" s="5457"/>
      <c r="DH13" s="5457"/>
      <c r="DI13" s="5457"/>
      <c r="DJ13" s="5457"/>
      <c r="DK13" s="5457"/>
      <c r="DL13" s="5457"/>
      <c r="DM13" s="5457"/>
      <c r="DN13" s="5457"/>
      <c r="DO13" s="5457"/>
      <c r="DP13" s="5457"/>
      <c r="DQ13" s="5457"/>
      <c r="DR13" s="5457"/>
      <c r="DS13" s="5457"/>
      <c r="DT13" s="5457"/>
      <c r="DU13" s="5457"/>
      <c r="DV13" s="5457"/>
      <c r="DW13" s="5457"/>
      <c r="DX13" s="5457"/>
      <c r="DY13" s="5457"/>
      <c r="DZ13" s="5457"/>
      <c r="EA13" s="5457"/>
      <c r="EB13" s="5457"/>
      <c r="EC13" s="5457"/>
      <c r="ED13" s="5457"/>
      <c r="EE13" s="5457"/>
      <c r="EF13" s="5457"/>
      <c r="EG13" s="5457"/>
      <c r="EH13" s="5457"/>
      <c r="EI13" s="5457"/>
      <c r="EJ13" s="5457"/>
      <c r="EK13" s="5457"/>
      <c r="EL13" s="5457"/>
      <c r="EM13" s="5457"/>
      <c r="EN13" s="5457"/>
      <c r="EO13" s="5457"/>
      <c r="EP13" s="5457"/>
      <c r="EQ13" s="5457"/>
      <c r="ER13" s="5457"/>
      <c r="ES13" s="5457"/>
      <c r="ET13" s="5457"/>
      <c r="EU13" s="5457"/>
      <c r="EV13" s="5457"/>
      <c r="EW13" s="5457"/>
      <c r="EX13" s="5457"/>
      <c r="EY13" s="5457"/>
      <c r="EZ13" s="5457"/>
      <c r="FA13" s="5468"/>
    </row>
    <row r="14" spans="1:157" s="2021" customFormat="1" ht="15" customHeight="1">
      <c r="A14" s="16060"/>
      <c r="B14" s="16068"/>
      <c r="C14" s="16068"/>
      <c r="D14" s="16068"/>
      <c r="E14" s="16068"/>
      <c r="F14" s="16130"/>
      <c r="G14" s="16131"/>
      <c r="H14" s="16034"/>
      <c r="I14" s="16034"/>
      <c r="J14" s="16034"/>
      <c r="K14" s="16034"/>
      <c r="L14" s="16034"/>
      <c r="M14" s="16034"/>
      <c r="N14" s="16034"/>
      <c r="O14" s="16034"/>
      <c r="P14" s="16216"/>
      <c r="Q14" s="16216"/>
      <c r="R14" s="5579" t="s">
        <v>10070</v>
      </c>
      <c r="S14" s="5439"/>
      <c r="T14" s="5353" t="s">
        <v>1098</v>
      </c>
      <c r="U14" s="5359"/>
      <c r="V14" s="16124"/>
      <c r="W14" s="5356"/>
      <c r="X14" s="5356"/>
      <c r="Y14" s="5356"/>
      <c r="Z14" s="5355"/>
      <c r="AA14" s="5355"/>
      <c r="AB14" s="5355"/>
      <c r="AC14" s="5355"/>
      <c r="AD14" s="5356"/>
      <c r="AE14" s="5356"/>
      <c r="AF14" s="5356"/>
      <c r="AG14" s="5356"/>
      <c r="AH14" s="5356"/>
      <c r="AI14" s="5356"/>
      <c r="AJ14" s="5356"/>
      <c r="AK14" s="5356"/>
      <c r="AL14" s="5356"/>
      <c r="AM14" s="5356"/>
      <c r="AN14" s="5356"/>
      <c r="AO14" s="5356"/>
      <c r="AP14" s="5356"/>
      <c r="AQ14" s="5356"/>
      <c r="AR14" s="5356"/>
      <c r="AS14" s="5356"/>
      <c r="AT14" s="5356"/>
      <c r="AU14" s="5356"/>
      <c r="AV14" s="5356"/>
      <c r="AW14" s="5356"/>
      <c r="AX14" s="5356"/>
      <c r="AY14" s="5356"/>
      <c r="AZ14" s="5356"/>
      <c r="BA14" s="5356"/>
      <c r="BB14" s="5356"/>
      <c r="BC14" s="5356"/>
      <c r="BD14" s="5356"/>
      <c r="BE14" s="5356"/>
      <c r="BF14" s="5356"/>
      <c r="BG14" s="5356"/>
      <c r="BH14" s="5356"/>
      <c r="BI14" s="5356"/>
      <c r="BJ14" s="5356"/>
      <c r="BK14" s="5356"/>
      <c r="BL14" s="5356"/>
      <c r="BM14" s="5356"/>
      <c r="BN14" s="5359"/>
      <c r="BO14" s="16124"/>
      <c r="BP14" s="5356"/>
      <c r="BQ14" s="5356"/>
      <c r="BR14" s="5356"/>
      <c r="BS14" s="5358"/>
      <c r="BT14" s="5358"/>
      <c r="BU14" s="5358"/>
      <c r="BV14" s="5358"/>
      <c r="BW14" s="5358"/>
      <c r="BX14" s="5358"/>
      <c r="BY14" s="5358"/>
      <c r="BZ14" s="5358"/>
      <c r="CA14" s="5358"/>
      <c r="CB14" s="5358"/>
      <c r="CC14" s="5358"/>
      <c r="CD14" s="5358"/>
      <c r="CE14" s="5358"/>
      <c r="CF14" s="5358"/>
      <c r="CG14" s="5358"/>
      <c r="CH14" s="5358"/>
      <c r="CI14" s="5358"/>
      <c r="CJ14" s="5358"/>
      <c r="CK14" s="5358"/>
      <c r="CL14" s="5358"/>
      <c r="CM14" s="5358"/>
      <c r="CN14" s="5358"/>
      <c r="CO14" s="5358"/>
      <c r="CP14" s="5358"/>
      <c r="CQ14" s="5358"/>
      <c r="CR14" s="5358"/>
      <c r="CS14" s="5358"/>
      <c r="CT14" s="5358"/>
      <c r="CU14" s="5358"/>
      <c r="CV14" s="5358"/>
      <c r="CW14" s="5358"/>
      <c r="CX14" s="5358"/>
      <c r="CY14" s="5358"/>
      <c r="CZ14" s="5358"/>
      <c r="DA14" s="5358"/>
      <c r="DB14" s="5358"/>
      <c r="DC14" s="5358"/>
      <c r="DD14" s="5358"/>
      <c r="DE14" s="5358"/>
      <c r="DF14" s="5358"/>
      <c r="DG14" s="5457"/>
      <c r="DH14" s="5457"/>
      <c r="DI14" s="5457"/>
      <c r="DJ14" s="5457"/>
      <c r="DK14" s="5457"/>
      <c r="DL14" s="5457"/>
      <c r="DM14" s="5457"/>
      <c r="DN14" s="5457"/>
      <c r="DO14" s="5457"/>
      <c r="DP14" s="5457"/>
      <c r="DQ14" s="5457"/>
      <c r="DR14" s="5457"/>
      <c r="DS14" s="5457"/>
      <c r="DT14" s="5457"/>
      <c r="DU14" s="5457"/>
      <c r="DV14" s="5457"/>
      <c r="DW14" s="5457"/>
      <c r="DX14" s="5457"/>
      <c r="DY14" s="5457"/>
      <c r="DZ14" s="5457"/>
      <c r="EA14" s="5457"/>
      <c r="EB14" s="5457"/>
      <c r="EC14" s="5457"/>
      <c r="ED14" s="5457"/>
      <c r="EE14" s="5457"/>
      <c r="EF14" s="5457"/>
      <c r="EG14" s="5457"/>
      <c r="EH14" s="5457"/>
      <c r="EI14" s="5457"/>
      <c r="EJ14" s="5457"/>
      <c r="EK14" s="5457"/>
      <c r="EL14" s="5457"/>
      <c r="EM14" s="5457"/>
      <c r="EN14" s="5457"/>
      <c r="EO14" s="5457"/>
      <c r="EP14" s="5457"/>
      <c r="EQ14" s="5457"/>
      <c r="ER14" s="5457"/>
      <c r="ES14" s="5457"/>
      <c r="ET14" s="5457"/>
      <c r="EU14" s="5457"/>
      <c r="EV14" s="5457"/>
      <c r="EW14" s="5457"/>
      <c r="EX14" s="5457"/>
      <c r="EY14" s="5457"/>
      <c r="EZ14" s="5457"/>
      <c r="FA14" s="5468"/>
    </row>
    <row r="15" spans="1:157" s="2021" customFormat="1" ht="15" customHeight="1">
      <c r="A15" s="16060"/>
      <c r="B15" s="16068"/>
      <c r="C15" s="16068"/>
      <c r="D15" s="16068"/>
      <c r="E15" s="16068"/>
      <c r="F15" s="16130"/>
      <c r="G15" s="16131"/>
      <c r="H15" s="16034"/>
      <c r="I15" s="16034"/>
      <c r="J15" s="16034"/>
      <c r="K15" s="16034"/>
      <c r="L15" s="16034"/>
      <c r="M15" s="16034"/>
      <c r="N15" s="16034"/>
      <c r="O15" s="16034"/>
      <c r="P15" s="16216"/>
      <c r="Q15" s="16216"/>
      <c r="R15" s="5579" t="s">
        <v>10063</v>
      </c>
      <c r="S15" s="5439"/>
      <c r="T15" s="5353" t="s">
        <v>973</v>
      </c>
      <c r="U15" s="5359"/>
      <c r="V15" s="16124"/>
      <c r="W15" s="5356"/>
      <c r="X15" s="5356"/>
      <c r="Y15" s="5356"/>
      <c r="Z15" s="5355"/>
      <c r="AA15" s="5355"/>
      <c r="AB15" s="5355"/>
      <c r="AC15" s="5355"/>
      <c r="AD15" s="5356"/>
      <c r="AE15" s="5356"/>
      <c r="AF15" s="5356"/>
      <c r="AG15" s="5356"/>
      <c r="AH15" s="5356"/>
      <c r="AI15" s="5356"/>
      <c r="AJ15" s="5356"/>
      <c r="AK15" s="5356"/>
      <c r="AL15" s="5356"/>
      <c r="AM15" s="5356"/>
      <c r="AN15" s="5356"/>
      <c r="AO15" s="5356"/>
      <c r="AP15" s="5356"/>
      <c r="AQ15" s="5356"/>
      <c r="AR15" s="5356"/>
      <c r="AS15" s="5356"/>
      <c r="AT15" s="5356"/>
      <c r="AU15" s="5356"/>
      <c r="AV15" s="5356"/>
      <c r="AW15" s="5356"/>
      <c r="AX15" s="5356"/>
      <c r="AY15" s="5356"/>
      <c r="AZ15" s="5356"/>
      <c r="BA15" s="5356"/>
      <c r="BB15" s="5356"/>
      <c r="BC15" s="5356"/>
      <c r="BD15" s="5356"/>
      <c r="BE15" s="5356"/>
      <c r="BF15" s="5356"/>
      <c r="BG15" s="5356"/>
      <c r="BH15" s="5356"/>
      <c r="BI15" s="5356"/>
      <c r="BJ15" s="5356"/>
      <c r="BK15" s="5356"/>
      <c r="BL15" s="5356"/>
      <c r="BM15" s="5356"/>
      <c r="BN15" s="5359"/>
      <c r="BO15" s="16124"/>
      <c r="BP15" s="5356"/>
      <c r="BQ15" s="5356"/>
      <c r="BR15" s="5356"/>
      <c r="BS15" s="5358"/>
      <c r="BT15" s="5358"/>
      <c r="BU15" s="5358"/>
      <c r="BV15" s="5358"/>
      <c r="BW15" s="5358"/>
      <c r="BX15" s="5358"/>
      <c r="BY15" s="5358"/>
      <c r="BZ15" s="5358"/>
      <c r="CA15" s="5358"/>
      <c r="CB15" s="5358"/>
      <c r="CC15" s="5358"/>
      <c r="CD15" s="5358"/>
      <c r="CE15" s="5358"/>
      <c r="CF15" s="5358"/>
      <c r="CG15" s="5358"/>
      <c r="CH15" s="5358"/>
      <c r="CI15" s="5358"/>
      <c r="CJ15" s="5358"/>
      <c r="CK15" s="5358"/>
      <c r="CL15" s="5358"/>
      <c r="CM15" s="5358"/>
      <c r="CN15" s="5358"/>
      <c r="CO15" s="5358"/>
      <c r="CP15" s="5358"/>
      <c r="CQ15" s="5358"/>
      <c r="CR15" s="5358"/>
      <c r="CS15" s="5358"/>
      <c r="CT15" s="5358"/>
      <c r="CU15" s="5358"/>
      <c r="CV15" s="5358"/>
      <c r="CW15" s="5358"/>
      <c r="CX15" s="5358"/>
      <c r="CY15" s="5358"/>
      <c r="CZ15" s="5358"/>
      <c r="DA15" s="5358"/>
      <c r="DB15" s="5358"/>
      <c r="DC15" s="5358"/>
      <c r="DD15" s="5358"/>
      <c r="DE15" s="5358"/>
      <c r="DF15" s="5358"/>
      <c r="DG15" s="5457"/>
      <c r="DH15" s="5457"/>
      <c r="DI15" s="5457"/>
      <c r="DJ15" s="5457"/>
      <c r="DK15" s="5457"/>
      <c r="DL15" s="5457"/>
      <c r="DM15" s="5457"/>
      <c r="DN15" s="5457"/>
      <c r="DO15" s="5457"/>
      <c r="DP15" s="5457"/>
      <c r="DQ15" s="5457"/>
      <c r="DR15" s="5457"/>
      <c r="DS15" s="5457"/>
      <c r="DT15" s="5457"/>
      <c r="DU15" s="5457"/>
      <c r="DV15" s="5457"/>
      <c r="DW15" s="5457"/>
      <c r="DX15" s="5457"/>
      <c r="DY15" s="5457"/>
      <c r="DZ15" s="5457"/>
      <c r="EA15" s="5457"/>
      <c r="EB15" s="5457"/>
      <c r="EC15" s="5457"/>
      <c r="ED15" s="5457"/>
      <c r="EE15" s="5457"/>
      <c r="EF15" s="5457"/>
      <c r="EG15" s="5457"/>
      <c r="EH15" s="5457"/>
      <c r="EI15" s="5457"/>
      <c r="EJ15" s="5457"/>
      <c r="EK15" s="5457"/>
      <c r="EL15" s="5457"/>
      <c r="EM15" s="5457"/>
      <c r="EN15" s="5457"/>
      <c r="EO15" s="5457"/>
      <c r="EP15" s="5457"/>
      <c r="EQ15" s="5457"/>
      <c r="ER15" s="5457"/>
      <c r="ES15" s="5457"/>
      <c r="ET15" s="5457"/>
      <c r="EU15" s="5457"/>
      <c r="EV15" s="5457"/>
      <c r="EW15" s="5457"/>
      <c r="EX15" s="5457"/>
      <c r="EY15" s="5457"/>
      <c r="EZ15" s="5457"/>
      <c r="FA15" s="5468"/>
    </row>
    <row r="16" spans="1:157" s="2021" customFormat="1" ht="15" customHeight="1">
      <c r="A16" s="16060"/>
      <c r="B16" s="16068"/>
      <c r="C16" s="16068" t="s">
        <v>8027</v>
      </c>
      <c r="D16" s="16068" t="s">
        <v>971</v>
      </c>
      <c r="E16" s="16068" t="s">
        <v>972</v>
      </c>
      <c r="F16" s="16130" t="s">
        <v>958</v>
      </c>
      <c r="G16" s="16131">
        <v>0</v>
      </c>
      <c r="H16" s="16034">
        <v>0</v>
      </c>
      <c r="I16" s="16034">
        <v>1</v>
      </c>
      <c r="J16" s="16034">
        <v>1</v>
      </c>
      <c r="K16" s="16034">
        <v>1</v>
      </c>
      <c r="L16" s="16034">
        <v>1</v>
      </c>
      <c r="M16" s="16034">
        <v>1</v>
      </c>
      <c r="N16" s="16034">
        <v>1</v>
      </c>
      <c r="O16" s="16034">
        <v>1</v>
      </c>
      <c r="P16" s="16034">
        <v>1</v>
      </c>
      <c r="Q16" s="16034">
        <v>1</v>
      </c>
      <c r="R16" s="5431" t="s">
        <v>10072</v>
      </c>
      <c r="S16" s="5439" t="s">
        <v>968</v>
      </c>
      <c r="T16" s="5353"/>
      <c r="U16" s="5359"/>
      <c r="V16" s="16124"/>
      <c r="W16" s="5356"/>
      <c r="X16" s="5356"/>
      <c r="Y16" s="5356"/>
      <c r="Z16" s="5355"/>
      <c r="AA16" s="5355"/>
      <c r="AB16" s="5355"/>
      <c r="AC16" s="5355"/>
      <c r="AD16" s="5356"/>
      <c r="AE16" s="5356"/>
      <c r="AF16" s="5356"/>
      <c r="AG16" s="5356"/>
      <c r="AH16" s="5356"/>
      <c r="AI16" s="5356"/>
      <c r="AJ16" s="5356"/>
      <c r="AK16" s="5356"/>
      <c r="AL16" s="5356"/>
      <c r="AM16" s="5356"/>
      <c r="AN16" s="5356"/>
      <c r="AO16" s="5356"/>
      <c r="AP16" s="5356"/>
      <c r="AQ16" s="5356"/>
      <c r="AR16" s="5356"/>
      <c r="AS16" s="5356"/>
      <c r="AT16" s="5356"/>
      <c r="AU16" s="5356"/>
      <c r="AV16" s="5356"/>
      <c r="AW16" s="5356"/>
      <c r="AX16" s="5356"/>
      <c r="AY16" s="5356"/>
      <c r="AZ16" s="5356"/>
      <c r="BA16" s="5356"/>
      <c r="BB16" s="5356"/>
      <c r="BC16" s="5356"/>
      <c r="BD16" s="5356"/>
      <c r="BE16" s="5356"/>
      <c r="BF16" s="5356"/>
      <c r="BG16" s="5356"/>
      <c r="BH16" s="5356"/>
      <c r="BI16" s="5356"/>
      <c r="BJ16" s="5356"/>
      <c r="BK16" s="5356"/>
      <c r="BL16" s="5356"/>
      <c r="BM16" s="5356"/>
      <c r="BN16" s="5359">
        <v>0</v>
      </c>
      <c r="BO16" s="16124"/>
      <c r="BP16" s="5356"/>
      <c r="BQ16" s="5356"/>
      <c r="BR16" s="5356"/>
      <c r="BS16" s="5358">
        <v>0</v>
      </c>
      <c r="BT16" s="5358">
        <v>0</v>
      </c>
      <c r="BU16" s="5358">
        <v>0</v>
      </c>
      <c r="BV16" s="5358">
        <v>0</v>
      </c>
      <c r="BW16" s="5358"/>
      <c r="BX16" s="5358"/>
      <c r="BY16" s="5358"/>
      <c r="BZ16" s="5358"/>
      <c r="CA16" s="5358"/>
      <c r="CB16" s="5358"/>
      <c r="CC16" s="5358"/>
      <c r="CD16" s="5358"/>
      <c r="CE16" s="5358"/>
      <c r="CF16" s="5358"/>
      <c r="CG16" s="5358"/>
      <c r="CH16" s="5358"/>
      <c r="CI16" s="5358"/>
      <c r="CJ16" s="5358"/>
      <c r="CK16" s="5358"/>
      <c r="CL16" s="5358"/>
      <c r="CM16" s="5358"/>
      <c r="CN16" s="5358"/>
      <c r="CO16" s="5358"/>
      <c r="CP16" s="5358"/>
      <c r="CQ16" s="5358"/>
      <c r="CR16" s="5358"/>
      <c r="CS16" s="5358"/>
      <c r="CT16" s="5358"/>
      <c r="CU16" s="5358"/>
      <c r="CV16" s="5358"/>
      <c r="CW16" s="5358"/>
      <c r="CX16" s="5358"/>
      <c r="CY16" s="5358"/>
      <c r="CZ16" s="5358"/>
      <c r="DA16" s="5358"/>
      <c r="DB16" s="5358"/>
      <c r="DC16" s="5358"/>
      <c r="DD16" s="5358"/>
      <c r="DE16" s="5358"/>
      <c r="DF16" s="5358"/>
      <c r="DG16" s="5457"/>
      <c r="DH16" s="5457"/>
      <c r="DI16" s="5457"/>
      <c r="DJ16" s="5457"/>
      <c r="DK16" s="5457"/>
      <c r="DL16" s="5457"/>
      <c r="DM16" s="5457"/>
      <c r="DN16" s="5457"/>
      <c r="DO16" s="5457"/>
      <c r="DP16" s="5457"/>
      <c r="DQ16" s="5457"/>
      <c r="DR16" s="5457"/>
      <c r="DS16" s="5457"/>
      <c r="DT16" s="5457"/>
      <c r="DU16" s="5457"/>
      <c r="DV16" s="5457"/>
      <c r="DW16" s="5457"/>
      <c r="DX16" s="5457"/>
      <c r="DY16" s="5457"/>
      <c r="DZ16" s="5457"/>
      <c r="EA16" s="5457"/>
      <c r="EB16" s="5457"/>
      <c r="EC16" s="5457"/>
      <c r="ED16" s="5457"/>
      <c r="EE16" s="5457"/>
      <c r="EF16" s="5457"/>
      <c r="EG16" s="5457"/>
      <c r="EH16" s="5457"/>
      <c r="EI16" s="5457"/>
      <c r="EJ16" s="5457"/>
      <c r="EK16" s="5457"/>
      <c r="EL16" s="5457"/>
      <c r="EM16" s="5457"/>
      <c r="EN16" s="5457"/>
      <c r="EO16" s="5457"/>
      <c r="EP16" s="5457"/>
      <c r="EQ16" s="5457"/>
      <c r="ER16" s="5457"/>
      <c r="ES16" s="5457"/>
      <c r="ET16" s="5457"/>
      <c r="EU16" s="5457"/>
      <c r="EV16" s="5457"/>
      <c r="EW16" s="5457"/>
      <c r="EX16" s="5457"/>
      <c r="EY16" s="5457"/>
      <c r="EZ16" s="5457"/>
      <c r="FA16" s="5468"/>
    </row>
    <row r="17" spans="1:157" s="2021" customFormat="1" ht="15" customHeight="1">
      <c r="A17" s="16060"/>
      <c r="B17" s="16068"/>
      <c r="C17" s="16068"/>
      <c r="D17" s="16068"/>
      <c r="E17" s="16068"/>
      <c r="F17" s="16130"/>
      <c r="G17" s="16131"/>
      <c r="H17" s="16034"/>
      <c r="I17" s="16034"/>
      <c r="J17" s="16034"/>
      <c r="K17" s="16034"/>
      <c r="L17" s="16034"/>
      <c r="M17" s="16034"/>
      <c r="N17" s="16034"/>
      <c r="O17" s="16034"/>
      <c r="P17" s="16034"/>
      <c r="Q17" s="16034"/>
      <c r="R17" s="5431" t="s">
        <v>10238</v>
      </c>
      <c r="S17" s="5439"/>
      <c r="T17" s="5353" t="s">
        <v>973</v>
      </c>
      <c r="U17" s="5580"/>
      <c r="V17" s="16124"/>
      <c r="W17" s="5353"/>
      <c r="X17" s="5353"/>
      <c r="Y17" s="5353"/>
      <c r="Z17" s="5355"/>
      <c r="AA17" s="5355"/>
      <c r="AB17" s="5355"/>
      <c r="AC17" s="5355"/>
      <c r="AD17" s="5356"/>
      <c r="AE17" s="5356"/>
      <c r="AF17" s="5356"/>
      <c r="AG17" s="5356"/>
      <c r="AH17" s="5356"/>
      <c r="AI17" s="5356"/>
      <c r="AJ17" s="5356"/>
      <c r="AK17" s="5356"/>
      <c r="AL17" s="5356"/>
      <c r="AM17" s="5356"/>
      <c r="AN17" s="5356"/>
      <c r="AO17" s="5356"/>
      <c r="AP17" s="5356"/>
      <c r="AQ17" s="5356"/>
      <c r="AR17" s="5356"/>
      <c r="AS17" s="5356"/>
      <c r="AT17" s="5356"/>
      <c r="AU17" s="5356"/>
      <c r="AV17" s="5356"/>
      <c r="AW17" s="5356"/>
      <c r="AX17" s="5356"/>
      <c r="AY17" s="5356"/>
      <c r="AZ17" s="5356"/>
      <c r="BA17" s="5356"/>
      <c r="BB17" s="5356"/>
      <c r="BC17" s="5356"/>
      <c r="BD17" s="5356"/>
      <c r="BE17" s="5356"/>
      <c r="BF17" s="5356"/>
      <c r="BG17" s="5356"/>
      <c r="BH17" s="5356"/>
      <c r="BI17" s="5356"/>
      <c r="BJ17" s="5356"/>
      <c r="BK17" s="5356"/>
      <c r="BL17" s="5356"/>
      <c r="BM17" s="5356"/>
      <c r="BN17" s="5580">
        <v>0</v>
      </c>
      <c r="BO17" s="16124"/>
      <c r="BP17" s="5353" t="s">
        <v>9421</v>
      </c>
      <c r="BQ17" s="5353" t="s">
        <v>9253</v>
      </c>
      <c r="BR17" s="5353" t="s">
        <v>9422</v>
      </c>
      <c r="BS17" s="5358">
        <v>0</v>
      </c>
      <c r="BT17" s="5358">
        <v>0</v>
      </c>
      <c r="BU17" s="5358">
        <v>0</v>
      </c>
      <c r="BV17" s="5358">
        <v>0</v>
      </c>
      <c r="BW17" s="5358"/>
      <c r="BX17" s="5358"/>
      <c r="BY17" s="5358"/>
      <c r="BZ17" s="5358"/>
      <c r="CA17" s="5358"/>
      <c r="CB17" s="5358"/>
      <c r="CC17" s="5358"/>
      <c r="CD17" s="5358"/>
      <c r="CE17" s="5358"/>
      <c r="CF17" s="5358"/>
      <c r="CG17" s="5358"/>
      <c r="CH17" s="5358"/>
      <c r="CI17" s="5358"/>
      <c r="CJ17" s="5358"/>
      <c r="CK17" s="5358"/>
      <c r="CL17" s="5358"/>
      <c r="CM17" s="5358"/>
      <c r="CN17" s="5358"/>
      <c r="CO17" s="5358"/>
      <c r="CP17" s="5358"/>
      <c r="CQ17" s="5358"/>
      <c r="CR17" s="5358"/>
      <c r="CS17" s="5358"/>
      <c r="CT17" s="5358"/>
      <c r="CU17" s="5358"/>
      <c r="CV17" s="5358"/>
      <c r="CW17" s="5358"/>
      <c r="CX17" s="5358"/>
      <c r="CY17" s="5358"/>
      <c r="CZ17" s="5358"/>
      <c r="DA17" s="5358"/>
      <c r="DB17" s="5358"/>
      <c r="DC17" s="5358"/>
      <c r="DD17" s="5358"/>
      <c r="DE17" s="5358"/>
      <c r="DF17" s="5358"/>
      <c r="DG17" s="5457"/>
      <c r="DH17" s="5457"/>
      <c r="DI17" s="5457"/>
      <c r="DJ17" s="5457"/>
      <c r="DK17" s="5457"/>
      <c r="DL17" s="5457"/>
      <c r="DM17" s="5457"/>
      <c r="DN17" s="5457"/>
      <c r="DO17" s="5457"/>
      <c r="DP17" s="5457"/>
      <c r="DQ17" s="5457"/>
      <c r="DR17" s="5457"/>
      <c r="DS17" s="5457"/>
      <c r="DT17" s="5457"/>
      <c r="DU17" s="5457"/>
      <c r="DV17" s="5457"/>
      <c r="DW17" s="5457"/>
      <c r="DX17" s="5457"/>
      <c r="DY17" s="5457"/>
      <c r="DZ17" s="5457"/>
      <c r="EA17" s="5457"/>
      <c r="EB17" s="5457"/>
      <c r="EC17" s="5457"/>
      <c r="ED17" s="5457"/>
      <c r="EE17" s="5457"/>
      <c r="EF17" s="5457"/>
      <c r="EG17" s="5457"/>
      <c r="EH17" s="5457"/>
      <c r="EI17" s="5457"/>
      <c r="EJ17" s="5457"/>
      <c r="EK17" s="5457"/>
      <c r="EL17" s="5457"/>
      <c r="EM17" s="5457"/>
      <c r="EN17" s="5457"/>
      <c r="EO17" s="5457"/>
      <c r="EP17" s="5457"/>
      <c r="EQ17" s="5457"/>
      <c r="ER17" s="5457"/>
      <c r="ES17" s="5457"/>
      <c r="ET17" s="5457"/>
      <c r="EU17" s="5457"/>
      <c r="EV17" s="5457"/>
      <c r="EW17" s="5457"/>
      <c r="EX17" s="5457"/>
      <c r="EY17" s="5457"/>
      <c r="EZ17" s="5457"/>
      <c r="FA17" s="5468"/>
    </row>
    <row r="18" spans="1:157" s="2021" customFormat="1" ht="15" customHeight="1">
      <c r="A18" s="16060"/>
      <c r="B18" s="16068"/>
      <c r="C18" s="16068" t="s">
        <v>8028</v>
      </c>
      <c r="D18" s="16068" t="s">
        <v>974</v>
      </c>
      <c r="E18" s="16068" t="s">
        <v>975</v>
      </c>
      <c r="F18" s="16130" t="s">
        <v>958</v>
      </c>
      <c r="G18" s="16131">
        <v>0</v>
      </c>
      <c r="H18" s="16034">
        <v>1</v>
      </c>
      <c r="I18" s="16034">
        <v>1</v>
      </c>
      <c r="J18" s="16034">
        <v>1</v>
      </c>
      <c r="K18" s="16034">
        <v>1</v>
      </c>
      <c r="L18" s="16034">
        <v>1</v>
      </c>
      <c r="M18" s="16034">
        <v>1</v>
      </c>
      <c r="N18" s="16034">
        <v>1</v>
      </c>
      <c r="O18" s="16034">
        <v>1</v>
      </c>
      <c r="P18" s="16034">
        <v>1</v>
      </c>
      <c r="Q18" s="16034">
        <v>1</v>
      </c>
      <c r="R18" s="5431" t="s">
        <v>10072</v>
      </c>
      <c r="S18" s="5439" t="s">
        <v>968</v>
      </c>
      <c r="T18" s="5353"/>
      <c r="U18" s="5352"/>
      <c r="V18" s="16124"/>
      <c r="W18" s="5353"/>
      <c r="X18" s="5353"/>
      <c r="Y18" s="5353"/>
      <c r="Z18" s="5354"/>
      <c r="AA18" s="5354"/>
      <c r="AB18" s="5354"/>
      <c r="AC18" s="5355"/>
      <c r="AD18" s="5353"/>
      <c r="AE18" s="5353"/>
      <c r="AF18" s="5353"/>
      <c r="AG18" s="5353"/>
      <c r="AH18" s="5353"/>
      <c r="AI18" s="5353"/>
      <c r="AJ18" s="5353"/>
      <c r="AK18" s="5353"/>
      <c r="AL18" s="5353"/>
      <c r="AM18" s="5353"/>
      <c r="AN18" s="5353"/>
      <c r="AO18" s="5353"/>
      <c r="AP18" s="5353"/>
      <c r="AQ18" s="5353"/>
      <c r="AR18" s="5353"/>
      <c r="AS18" s="5353"/>
      <c r="AT18" s="5353"/>
      <c r="AU18" s="5353"/>
      <c r="AV18" s="5353"/>
      <c r="AW18" s="5353"/>
      <c r="AX18" s="5353"/>
      <c r="AY18" s="5353"/>
      <c r="AZ18" s="5353"/>
      <c r="BA18" s="5353"/>
      <c r="BB18" s="5353"/>
      <c r="BC18" s="5353"/>
      <c r="BD18" s="5353"/>
      <c r="BE18" s="5353"/>
      <c r="BF18" s="5353"/>
      <c r="BG18" s="5353"/>
      <c r="BH18" s="5353"/>
      <c r="BI18" s="5353"/>
      <c r="BJ18" s="5353"/>
      <c r="BK18" s="5353"/>
      <c r="BL18" s="5353"/>
      <c r="BM18" s="5353"/>
      <c r="BN18" s="5352">
        <v>0</v>
      </c>
      <c r="BO18" s="16124"/>
      <c r="BP18" s="5353"/>
      <c r="BQ18" s="5353"/>
      <c r="BR18" s="5353"/>
      <c r="BS18" s="5357">
        <v>0</v>
      </c>
      <c r="BT18" s="5357">
        <v>0</v>
      </c>
      <c r="BU18" s="5357">
        <v>0</v>
      </c>
      <c r="BV18" s="5358">
        <v>0</v>
      </c>
      <c r="BW18" s="5357"/>
      <c r="BX18" s="5357"/>
      <c r="BY18" s="5357"/>
      <c r="BZ18" s="5357"/>
      <c r="CA18" s="5357"/>
      <c r="CB18" s="5357"/>
      <c r="CC18" s="5357"/>
      <c r="CD18" s="5357"/>
      <c r="CE18" s="5357"/>
      <c r="CF18" s="5357"/>
      <c r="CG18" s="5357"/>
      <c r="CH18" s="5357"/>
      <c r="CI18" s="5357"/>
      <c r="CJ18" s="5357"/>
      <c r="CK18" s="5357"/>
      <c r="CL18" s="5357"/>
      <c r="CM18" s="5357"/>
      <c r="CN18" s="5357"/>
      <c r="CO18" s="5357"/>
      <c r="CP18" s="5357"/>
      <c r="CQ18" s="5357"/>
      <c r="CR18" s="5357"/>
      <c r="CS18" s="5357"/>
      <c r="CT18" s="5357"/>
      <c r="CU18" s="5357"/>
      <c r="CV18" s="5357"/>
      <c r="CW18" s="5357"/>
      <c r="CX18" s="5357"/>
      <c r="CY18" s="5357"/>
      <c r="CZ18" s="5357"/>
      <c r="DA18" s="5357"/>
      <c r="DB18" s="5357"/>
      <c r="DC18" s="5357"/>
      <c r="DD18" s="5357"/>
      <c r="DE18" s="5357"/>
      <c r="DF18" s="5357"/>
      <c r="DG18" s="5457"/>
      <c r="DH18" s="5457"/>
      <c r="DI18" s="5457"/>
      <c r="DJ18" s="5457"/>
      <c r="DK18" s="5457"/>
      <c r="DL18" s="5457"/>
      <c r="DM18" s="5457"/>
      <c r="DN18" s="5457"/>
      <c r="DO18" s="5457"/>
      <c r="DP18" s="5457"/>
      <c r="DQ18" s="5457"/>
      <c r="DR18" s="5457"/>
      <c r="DS18" s="5457"/>
      <c r="DT18" s="5457"/>
      <c r="DU18" s="5457"/>
      <c r="DV18" s="5457"/>
      <c r="DW18" s="5457"/>
      <c r="DX18" s="5457"/>
      <c r="DY18" s="5457"/>
      <c r="DZ18" s="5457"/>
      <c r="EA18" s="5457"/>
      <c r="EB18" s="5457"/>
      <c r="EC18" s="5457"/>
      <c r="ED18" s="5457"/>
      <c r="EE18" s="5457"/>
      <c r="EF18" s="5457"/>
      <c r="EG18" s="5457"/>
      <c r="EH18" s="5457"/>
      <c r="EI18" s="5457"/>
      <c r="EJ18" s="5457"/>
      <c r="EK18" s="5457"/>
      <c r="EL18" s="5457"/>
      <c r="EM18" s="5457"/>
      <c r="EN18" s="5457"/>
      <c r="EO18" s="5457"/>
      <c r="EP18" s="5457"/>
      <c r="EQ18" s="5457"/>
      <c r="ER18" s="5457"/>
      <c r="ES18" s="5457"/>
      <c r="ET18" s="5457"/>
      <c r="EU18" s="5457"/>
      <c r="EV18" s="5457"/>
      <c r="EW18" s="5457"/>
      <c r="EX18" s="5457"/>
      <c r="EY18" s="5457"/>
      <c r="EZ18" s="5457"/>
      <c r="FA18" s="5468"/>
    </row>
    <row r="19" spans="1:157" s="2021" customFormat="1" ht="15" customHeight="1">
      <c r="A19" s="16060"/>
      <c r="B19" s="16068"/>
      <c r="C19" s="16068"/>
      <c r="D19" s="16068"/>
      <c r="E19" s="16068"/>
      <c r="F19" s="16130"/>
      <c r="G19" s="16131"/>
      <c r="H19" s="16034"/>
      <c r="I19" s="16034"/>
      <c r="J19" s="16034"/>
      <c r="K19" s="16034"/>
      <c r="L19" s="16034"/>
      <c r="M19" s="16034"/>
      <c r="N19" s="16034"/>
      <c r="O19" s="16034"/>
      <c r="P19" s="16034"/>
      <c r="Q19" s="16034"/>
      <c r="R19" s="5431" t="s">
        <v>10238</v>
      </c>
      <c r="S19" s="5439"/>
      <c r="T19" s="5353" t="s">
        <v>973</v>
      </c>
      <c r="U19" s="5352"/>
      <c r="V19" s="16125"/>
      <c r="W19" s="5353"/>
      <c r="X19" s="5353"/>
      <c r="Y19" s="5353"/>
      <c r="Z19" s="5354"/>
      <c r="AA19" s="5354"/>
      <c r="AB19" s="5354"/>
      <c r="AC19" s="5355"/>
      <c r="AD19" s="5353"/>
      <c r="AE19" s="5353"/>
      <c r="AF19" s="5353"/>
      <c r="AG19" s="5353"/>
      <c r="AH19" s="5353"/>
      <c r="AI19" s="5353"/>
      <c r="AJ19" s="5353"/>
      <c r="AK19" s="5353"/>
      <c r="AL19" s="5353"/>
      <c r="AM19" s="5353"/>
      <c r="AN19" s="5353"/>
      <c r="AO19" s="5353"/>
      <c r="AP19" s="5353"/>
      <c r="AQ19" s="5353"/>
      <c r="AR19" s="5353"/>
      <c r="AS19" s="5353"/>
      <c r="AT19" s="5353"/>
      <c r="AU19" s="5353"/>
      <c r="AV19" s="5353"/>
      <c r="AW19" s="5353"/>
      <c r="AX19" s="5353"/>
      <c r="AY19" s="5353"/>
      <c r="AZ19" s="5353"/>
      <c r="BA19" s="5353"/>
      <c r="BB19" s="5353"/>
      <c r="BC19" s="5353"/>
      <c r="BD19" s="5353"/>
      <c r="BE19" s="5353"/>
      <c r="BF19" s="5353"/>
      <c r="BG19" s="5353"/>
      <c r="BH19" s="5353"/>
      <c r="BI19" s="5353"/>
      <c r="BJ19" s="5353"/>
      <c r="BK19" s="5353"/>
      <c r="BL19" s="5353"/>
      <c r="BM19" s="5353"/>
      <c r="BN19" s="5352">
        <v>0</v>
      </c>
      <c r="BO19" s="16125">
        <f>AVERAGE(BN19:BN23)</f>
        <v>0.6</v>
      </c>
      <c r="BP19" s="5353" t="s">
        <v>9421</v>
      </c>
      <c r="BQ19" s="5353" t="s">
        <v>9253</v>
      </c>
      <c r="BR19" s="5353" t="s">
        <v>9423</v>
      </c>
      <c r="BS19" s="5357">
        <v>0</v>
      </c>
      <c r="BT19" s="5357">
        <v>0</v>
      </c>
      <c r="BU19" s="5357">
        <v>0</v>
      </c>
      <c r="BV19" s="5358">
        <v>0</v>
      </c>
      <c r="BW19" s="5357"/>
      <c r="BX19" s="5357"/>
      <c r="BY19" s="5357"/>
      <c r="BZ19" s="5357"/>
      <c r="CA19" s="5357"/>
      <c r="CB19" s="5357"/>
      <c r="CC19" s="5357"/>
      <c r="CD19" s="5357"/>
      <c r="CE19" s="5357"/>
      <c r="CF19" s="5357"/>
      <c r="CG19" s="5357"/>
      <c r="CH19" s="5357"/>
      <c r="CI19" s="5357"/>
      <c r="CJ19" s="5357"/>
      <c r="CK19" s="5357"/>
      <c r="CL19" s="5357"/>
      <c r="CM19" s="5357"/>
      <c r="CN19" s="5357"/>
      <c r="CO19" s="5357"/>
      <c r="CP19" s="5357"/>
      <c r="CQ19" s="5357"/>
      <c r="CR19" s="5357"/>
      <c r="CS19" s="5357"/>
      <c r="CT19" s="5357"/>
      <c r="CU19" s="5357"/>
      <c r="CV19" s="5357"/>
      <c r="CW19" s="5357"/>
      <c r="CX19" s="5357"/>
      <c r="CY19" s="5357"/>
      <c r="CZ19" s="5357"/>
      <c r="DA19" s="5357"/>
      <c r="DB19" s="5357"/>
      <c r="DC19" s="5357"/>
      <c r="DD19" s="5357"/>
      <c r="DE19" s="5357"/>
      <c r="DF19" s="5357"/>
      <c r="DG19" s="5457"/>
      <c r="DH19" s="5457"/>
      <c r="DI19" s="5457"/>
      <c r="DJ19" s="5457"/>
      <c r="DK19" s="5457"/>
      <c r="DL19" s="5457"/>
      <c r="DM19" s="5457"/>
      <c r="DN19" s="5457"/>
      <c r="DO19" s="5457"/>
      <c r="DP19" s="5457"/>
      <c r="DQ19" s="5457"/>
      <c r="DR19" s="5457"/>
      <c r="DS19" s="5457"/>
      <c r="DT19" s="5457"/>
      <c r="DU19" s="5457"/>
      <c r="DV19" s="5457"/>
      <c r="DW19" s="5457"/>
      <c r="DX19" s="5457"/>
      <c r="DY19" s="5457"/>
      <c r="DZ19" s="5457"/>
      <c r="EA19" s="5457"/>
      <c r="EB19" s="5457"/>
      <c r="EC19" s="5457"/>
      <c r="ED19" s="5457"/>
      <c r="EE19" s="5457"/>
      <c r="EF19" s="5457"/>
      <c r="EG19" s="5457"/>
      <c r="EH19" s="5457"/>
      <c r="EI19" s="5457"/>
      <c r="EJ19" s="5457"/>
      <c r="EK19" s="5457"/>
      <c r="EL19" s="5457"/>
      <c r="EM19" s="5457"/>
      <c r="EN19" s="5457"/>
      <c r="EO19" s="5457"/>
      <c r="EP19" s="5457"/>
      <c r="EQ19" s="5457"/>
      <c r="ER19" s="5457"/>
      <c r="ES19" s="5457"/>
      <c r="ET19" s="5457"/>
      <c r="EU19" s="5457"/>
      <c r="EV19" s="5457"/>
      <c r="EW19" s="5457"/>
      <c r="EX19" s="5457"/>
      <c r="EY19" s="5457"/>
      <c r="EZ19" s="5457"/>
      <c r="FA19" s="5468"/>
    </row>
    <row r="20" spans="1:157" s="2024" customFormat="1" ht="15" customHeight="1">
      <c r="A20" s="16078" t="s">
        <v>977</v>
      </c>
      <c r="B20" s="16053" t="s">
        <v>978</v>
      </c>
      <c r="C20" s="16136" t="s">
        <v>8029</v>
      </c>
      <c r="D20" s="16136" t="s">
        <v>979</v>
      </c>
      <c r="E20" s="5373" t="s">
        <v>980</v>
      </c>
      <c r="F20" s="5374" t="s">
        <v>958</v>
      </c>
      <c r="G20" s="5375">
        <v>0</v>
      </c>
      <c r="H20" s="2751" t="s">
        <v>981</v>
      </c>
      <c r="I20" s="2751" t="s">
        <v>982</v>
      </c>
      <c r="J20" s="2751" t="s">
        <v>981</v>
      </c>
      <c r="K20" s="2751" t="s">
        <v>982</v>
      </c>
      <c r="L20" s="2751" t="s">
        <v>983</v>
      </c>
      <c r="M20" s="2751" t="s">
        <v>983</v>
      </c>
      <c r="N20" s="2751" t="s">
        <v>983</v>
      </c>
      <c r="O20" s="2751" t="s">
        <v>983</v>
      </c>
      <c r="P20" s="2751" t="s">
        <v>983</v>
      </c>
      <c r="Q20" s="2751" t="s">
        <v>983</v>
      </c>
      <c r="R20" s="5432" t="s">
        <v>10072</v>
      </c>
      <c r="S20" s="5376" t="s">
        <v>968</v>
      </c>
      <c r="T20" s="5368"/>
      <c r="U20" s="5369"/>
      <c r="V20" s="16125"/>
      <c r="W20" s="2751"/>
      <c r="X20" s="2751"/>
      <c r="Y20" s="5368"/>
      <c r="Z20" s="5581"/>
      <c r="AA20" s="5581"/>
      <c r="AB20" s="5371"/>
      <c r="AC20" s="5371"/>
      <c r="AD20" s="5370"/>
      <c r="AE20" s="5370"/>
      <c r="AF20" s="5370"/>
      <c r="AG20" s="5370"/>
      <c r="AH20" s="5370"/>
      <c r="AI20" s="5370"/>
      <c r="AJ20" s="5370"/>
      <c r="AK20" s="5370"/>
      <c r="AL20" s="5370"/>
      <c r="AM20" s="5370"/>
      <c r="AN20" s="5370"/>
      <c r="AO20" s="5370"/>
      <c r="AP20" s="5370"/>
      <c r="AQ20" s="5370"/>
      <c r="AR20" s="5370"/>
      <c r="AS20" s="5370"/>
      <c r="AT20" s="5370"/>
      <c r="AU20" s="5370"/>
      <c r="AV20" s="5370"/>
      <c r="AW20" s="5370"/>
      <c r="AX20" s="5370"/>
      <c r="AY20" s="5370"/>
      <c r="AZ20" s="5370"/>
      <c r="BA20" s="5370"/>
      <c r="BB20" s="5370"/>
      <c r="BC20" s="5370"/>
      <c r="BD20" s="5370"/>
      <c r="BE20" s="5370"/>
      <c r="BF20" s="5370"/>
      <c r="BG20" s="5370"/>
      <c r="BH20" s="5370"/>
      <c r="BI20" s="5370"/>
      <c r="BJ20" s="5370"/>
      <c r="BK20" s="5370"/>
      <c r="BL20" s="5370"/>
      <c r="BM20" s="5370"/>
      <c r="BN20" s="5369">
        <v>1</v>
      </c>
      <c r="BO20" s="16125"/>
      <c r="BP20" s="2751" t="s">
        <v>9424</v>
      </c>
      <c r="BQ20" s="2751" t="s">
        <v>9425</v>
      </c>
      <c r="BR20" s="5368" t="s">
        <v>9426</v>
      </c>
      <c r="BS20" s="5582">
        <f t="shared" ref="BS20:BS21" si="0">+SUM(BT20:BV20)</f>
        <v>19431717</v>
      </c>
      <c r="BT20" s="5582">
        <v>19431717</v>
      </c>
      <c r="BU20" s="5372">
        <v>0</v>
      </c>
      <c r="BV20" s="5372">
        <v>0</v>
      </c>
      <c r="BW20" s="5372"/>
      <c r="BX20" s="5372"/>
      <c r="BY20" s="5372"/>
      <c r="BZ20" s="5372"/>
      <c r="CA20" s="5372"/>
      <c r="CB20" s="5372"/>
      <c r="CC20" s="5372"/>
      <c r="CD20" s="5372"/>
      <c r="CE20" s="5372"/>
      <c r="CF20" s="5372"/>
      <c r="CG20" s="5372"/>
      <c r="CH20" s="5372"/>
      <c r="CI20" s="5372"/>
      <c r="CJ20" s="5372"/>
      <c r="CK20" s="5372"/>
      <c r="CL20" s="5372"/>
      <c r="CM20" s="5372"/>
      <c r="CN20" s="5372"/>
      <c r="CO20" s="5372"/>
      <c r="CP20" s="5372"/>
      <c r="CQ20" s="5372"/>
      <c r="CR20" s="5372"/>
      <c r="CS20" s="5372"/>
      <c r="CT20" s="5372"/>
      <c r="CU20" s="5372"/>
      <c r="CV20" s="5372"/>
      <c r="CW20" s="5372"/>
      <c r="CX20" s="5372"/>
      <c r="CY20" s="5372"/>
      <c r="CZ20" s="5372"/>
      <c r="DA20" s="5372"/>
      <c r="DB20" s="5372"/>
      <c r="DC20" s="5372"/>
      <c r="DD20" s="5372"/>
      <c r="DE20" s="5372"/>
      <c r="DF20" s="5372"/>
      <c r="DG20" s="5459"/>
      <c r="DH20" s="5459"/>
      <c r="DI20" s="5459"/>
      <c r="DJ20" s="5459"/>
      <c r="DK20" s="5459"/>
      <c r="DL20" s="5459"/>
      <c r="DM20" s="5459"/>
      <c r="DN20" s="5459"/>
      <c r="DO20" s="5459"/>
      <c r="DP20" s="5459"/>
      <c r="DQ20" s="5459"/>
      <c r="DR20" s="5459"/>
      <c r="DS20" s="5459"/>
      <c r="DT20" s="5459"/>
      <c r="DU20" s="5459"/>
      <c r="DV20" s="5459"/>
      <c r="DW20" s="5459"/>
      <c r="DX20" s="5459"/>
      <c r="DY20" s="5459"/>
      <c r="DZ20" s="5459"/>
      <c r="EA20" s="5459"/>
      <c r="EB20" s="5459"/>
      <c r="EC20" s="5459"/>
      <c r="ED20" s="5459"/>
      <c r="EE20" s="5459"/>
      <c r="EF20" s="5459"/>
      <c r="EG20" s="5459"/>
      <c r="EH20" s="5459"/>
      <c r="EI20" s="5459"/>
      <c r="EJ20" s="5459"/>
      <c r="EK20" s="5459"/>
      <c r="EL20" s="5459"/>
      <c r="EM20" s="5459"/>
      <c r="EN20" s="5459"/>
      <c r="EO20" s="5459"/>
      <c r="EP20" s="5459"/>
      <c r="EQ20" s="5459"/>
      <c r="ER20" s="5459"/>
      <c r="ES20" s="5459"/>
      <c r="ET20" s="5459"/>
      <c r="EU20" s="5459"/>
      <c r="EV20" s="5459"/>
      <c r="EW20" s="5459"/>
      <c r="EX20" s="5459"/>
      <c r="EY20" s="5459"/>
      <c r="EZ20" s="5459"/>
      <c r="FA20" s="5470"/>
    </row>
    <row r="21" spans="1:157" s="2024" customFormat="1" ht="15" customHeight="1">
      <c r="A21" s="16078"/>
      <c r="B21" s="16053"/>
      <c r="C21" s="16137"/>
      <c r="D21" s="16137"/>
      <c r="E21" s="5373" t="s">
        <v>984</v>
      </c>
      <c r="F21" s="5374" t="s">
        <v>958</v>
      </c>
      <c r="G21" s="5375">
        <v>1</v>
      </c>
      <c r="H21" s="5583">
        <v>0.75</v>
      </c>
      <c r="I21" s="5583">
        <v>0.75</v>
      </c>
      <c r="J21" s="5583">
        <v>0.75</v>
      </c>
      <c r="K21" s="5583">
        <v>0.75</v>
      </c>
      <c r="L21" s="5583">
        <v>1</v>
      </c>
      <c r="M21" s="5583">
        <v>1</v>
      </c>
      <c r="N21" s="5583">
        <v>1</v>
      </c>
      <c r="O21" s="5583">
        <v>1</v>
      </c>
      <c r="P21" s="5583">
        <v>1</v>
      </c>
      <c r="Q21" s="5583">
        <v>1</v>
      </c>
      <c r="R21" s="5584" t="s">
        <v>10072</v>
      </c>
      <c r="S21" s="5376" t="s">
        <v>968</v>
      </c>
      <c r="T21" s="5368"/>
      <c r="U21" s="5369"/>
      <c r="V21" s="16125"/>
      <c r="W21" s="2751"/>
      <c r="X21" s="2751"/>
      <c r="Y21" s="2751"/>
      <c r="Z21" s="5581"/>
      <c r="AA21" s="5581"/>
      <c r="AB21" s="5371"/>
      <c r="AC21" s="5371"/>
      <c r="AD21" s="5370"/>
      <c r="AE21" s="5370"/>
      <c r="AF21" s="5370"/>
      <c r="AG21" s="5370"/>
      <c r="AH21" s="5370"/>
      <c r="AI21" s="5370"/>
      <c r="AJ21" s="5370"/>
      <c r="AK21" s="5370"/>
      <c r="AL21" s="5370"/>
      <c r="AM21" s="5370"/>
      <c r="AN21" s="5370"/>
      <c r="AO21" s="5370"/>
      <c r="AP21" s="5370"/>
      <c r="AQ21" s="5370"/>
      <c r="AR21" s="5370"/>
      <c r="AS21" s="5370"/>
      <c r="AT21" s="5370"/>
      <c r="AU21" s="5370"/>
      <c r="AV21" s="5370"/>
      <c r="AW21" s="5370"/>
      <c r="AX21" s="5370"/>
      <c r="AY21" s="5370"/>
      <c r="AZ21" s="5370"/>
      <c r="BA21" s="5370"/>
      <c r="BB21" s="5370"/>
      <c r="BC21" s="5370"/>
      <c r="BD21" s="5370"/>
      <c r="BE21" s="5370"/>
      <c r="BF21" s="5370"/>
      <c r="BG21" s="5370"/>
      <c r="BH21" s="5370"/>
      <c r="BI21" s="5370"/>
      <c r="BJ21" s="5370"/>
      <c r="BK21" s="5370"/>
      <c r="BL21" s="5370"/>
      <c r="BM21" s="5370"/>
      <c r="BN21" s="5369">
        <v>1</v>
      </c>
      <c r="BO21" s="16125"/>
      <c r="BP21" s="2751" t="s">
        <v>9424</v>
      </c>
      <c r="BQ21" s="2751" t="s">
        <v>9425</v>
      </c>
      <c r="BR21" s="2751"/>
      <c r="BS21" s="5582">
        <f t="shared" si="0"/>
        <v>19431717</v>
      </c>
      <c r="BT21" s="5582">
        <v>19431717</v>
      </c>
      <c r="BU21" s="5372">
        <v>0</v>
      </c>
      <c r="BV21" s="5372">
        <v>0</v>
      </c>
      <c r="BW21" s="5372"/>
      <c r="BX21" s="5372"/>
      <c r="BY21" s="5372"/>
      <c r="BZ21" s="5372"/>
      <c r="CA21" s="5372"/>
      <c r="CB21" s="5372"/>
      <c r="CC21" s="5372"/>
      <c r="CD21" s="5372"/>
      <c r="CE21" s="5372"/>
      <c r="CF21" s="5372"/>
      <c r="CG21" s="5372"/>
      <c r="CH21" s="5372"/>
      <c r="CI21" s="5372"/>
      <c r="CJ21" s="5372"/>
      <c r="CK21" s="5372"/>
      <c r="CL21" s="5372"/>
      <c r="CM21" s="5372"/>
      <c r="CN21" s="5372"/>
      <c r="CO21" s="5372"/>
      <c r="CP21" s="5372"/>
      <c r="CQ21" s="5372"/>
      <c r="CR21" s="5372"/>
      <c r="CS21" s="5372"/>
      <c r="CT21" s="5372"/>
      <c r="CU21" s="5372"/>
      <c r="CV21" s="5372"/>
      <c r="CW21" s="5372"/>
      <c r="CX21" s="5372"/>
      <c r="CY21" s="5372"/>
      <c r="CZ21" s="5372"/>
      <c r="DA21" s="5372"/>
      <c r="DB21" s="5372"/>
      <c r="DC21" s="5372"/>
      <c r="DD21" s="5372"/>
      <c r="DE21" s="5372"/>
      <c r="DF21" s="5372"/>
      <c r="DG21" s="5459"/>
      <c r="DH21" s="5459"/>
      <c r="DI21" s="5459"/>
      <c r="DJ21" s="5459"/>
      <c r="DK21" s="5459"/>
      <c r="DL21" s="5459"/>
      <c r="DM21" s="5459"/>
      <c r="DN21" s="5459"/>
      <c r="DO21" s="5459"/>
      <c r="DP21" s="5459"/>
      <c r="DQ21" s="5459"/>
      <c r="DR21" s="5459"/>
      <c r="DS21" s="5459"/>
      <c r="DT21" s="5459"/>
      <c r="DU21" s="5459"/>
      <c r="DV21" s="5459"/>
      <c r="DW21" s="5459"/>
      <c r="DX21" s="5459"/>
      <c r="DY21" s="5459"/>
      <c r="DZ21" s="5459"/>
      <c r="EA21" s="5459"/>
      <c r="EB21" s="5459"/>
      <c r="EC21" s="5459"/>
      <c r="ED21" s="5459"/>
      <c r="EE21" s="5459"/>
      <c r="EF21" s="5459"/>
      <c r="EG21" s="5459"/>
      <c r="EH21" s="5459"/>
      <c r="EI21" s="5459"/>
      <c r="EJ21" s="5459"/>
      <c r="EK21" s="5459"/>
      <c r="EL21" s="5459"/>
      <c r="EM21" s="5459"/>
      <c r="EN21" s="5459"/>
      <c r="EO21" s="5459"/>
      <c r="EP21" s="5459"/>
      <c r="EQ21" s="5459"/>
      <c r="ER21" s="5459"/>
      <c r="ES21" s="5459"/>
      <c r="ET21" s="5459"/>
      <c r="EU21" s="5459"/>
      <c r="EV21" s="5459"/>
      <c r="EW21" s="5459"/>
      <c r="EX21" s="5459"/>
      <c r="EY21" s="5459"/>
      <c r="EZ21" s="5459"/>
      <c r="FA21" s="5470"/>
    </row>
    <row r="22" spans="1:157" s="2024" customFormat="1" ht="15" customHeight="1">
      <c r="A22" s="16078"/>
      <c r="B22" s="16053" t="s">
        <v>985</v>
      </c>
      <c r="C22" s="5373" t="s">
        <v>8030</v>
      </c>
      <c r="D22" s="5373" t="s">
        <v>986</v>
      </c>
      <c r="E22" s="5373" t="s">
        <v>987</v>
      </c>
      <c r="F22" s="5374" t="s">
        <v>958</v>
      </c>
      <c r="G22" s="5375">
        <v>10</v>
      </c>
      <c r="H22" s="2751">
        <v>2</v>
      </c>
      <c r="I22" s="2751">
        <v>2</v>
      </c>
      <c r="J22" s="2751">
        <v>2</v>
      </c>
      <c r="K22" s="2751">
        <v>2</v>
      </c>
      <c r="L22" s="2751">
        <v>2</v>
      </c>
      <c r="M22" s="2751">
        <v>2</v>
      </c>
      <c r="N22" s="2751">
        <v>2</v>
      </c>
      <c r="O22" s="2751">
        <v>2</v>
      </c>
      <c r="P22" s="2751">
        <v>2</v>
      </c>
      <c r="Q22" s="2751">
        <v>2</v>
      </c>
      <c r="R22" s="5432" t="s">
        <v>10072</v>
      </c>
      <c r="S22" s="5376" t="s">
        <v>988</v>
      </c>
      <c r="T22" s="5368"/>
      <c r="U22" s="5369"/>
      <c r="V22" s="16125"/>
      <c r="W22" s="5585"/>
      <c r="X22" s="2751"/>
      <c r="Y22" s="5370"/>
      <c r="Z22" s="5371"/>
      <c r="AA22" s="5371"/>
      <c r="AB22" s="5371"/>
      <c r="AC22" s="5371"/>
      <c r="AD22" s="5370"/>
      <c r="AE22" s="5370"/>
      <c r="AF22" s="5370"/>
      <c r="AG22" s="5370"/>
      <c r="AH22" s="5370"/>
      <c r="AI22" s="5370"/>
      <c r="AJ22" s="5370"/>
      <c r="AK22" s="5370"/>
      <c r="AL22" s="5370"/>
      <c r="AM22" s="5370"/>
      <c r="AN22" s="5370"/>
      <c r="AO22" s="5370"/>
      <c r="AP22" s="5370"/>
      <c r="AQ22" s="5370"/>
      <c r="AR22" s="5370"/>
      <c r="AS22" s="5370"/>
      <c r="AT22" s="5370"/>
      <c r="AU22" s="5370"/>
      <c r="AV22" s="5370"/>
      <c r="AW22" s="5370"/>
      <c r="AX22" s="5370"/>
      <c r="AY22" s="5370"/>
      <c r="AZ22" s="5370"/>
      <c r="BA22" s="5370"/>
      <c r="BB22" s="5370"/>
      <c r="BC22" s="5370"/>
      <c r="BD22" s="5370"/>
      <c r="BE22" s="5370"/>
      <c r="BF22" s="5370"/>
      <c r="BG22" s="5370"/>
      <c r="BH22" s="5370"/>
      <c r="BI22" s="5370"/>
      <c r="BJ22" s="5370"/>
      <c r="BK22" s="5370"/>
      <c r="BL22" s="5370"/>
      <c r="BM22" s="5370"/>
      <c r="BN22" s="5369">
        <v>0</v>
      </c>
      <c r="BO22" s="16125"/>
      <c r="BP22" s="5585" t="s">
        <v>9427</v>
      </c>
      <c r="BQ22" s="2751" t="s">
        <v>1732</v>
      </c>
      <c r="BR22" s="5370"/>
      <c r="BS22" s="5372">
        <v>0</v>
      </c>
      <c r="BT22" s="5372">
        <v>0</v>
      </c>
      <c r="BU22" s="5372">
        <v>0</v>
      </c>
      <c r="BV22" s="5372">
        <v>0</v>
      </c>
      <c r="BW22" s="5372"/>
      <c r="BX22" s="5372"/>
      <c r="BY22" s="5372"/>
      <c r="BZ22" s="5372"/>
      <c r="CA22" s="5372"/>
      <c r="CB22" s="5372"/>
      <c r="CC22" s="5372"/>
      <c r="CD22" s="5372"/>
      <c r="CE22" s="5372"/>
      <c r="CF22" s="5372"/>
      <c r="CG22" s="5372"/>
      <c r="CH22" s="5372"/>
      <c r="CI22" s="5372"/>
      <c r="CJ22" s="5372"/>
      <c r="CK22" s="5372"/>
      <c r="CL22" s="5372"/>
      <c r="CM22" s="5372"/>
      <c r="CN22" s="5372"/>
      <c r="CO22" s="5372"/>
      <c r="CP22" s="5372"/>
      <c r="CQ22" s="5372"/>
      <c r="CR22" s="5372"/>
      <c r="CS22" s="5372"/>
      <c r="CT22" s="5372"/>
      <c r="CU22" s="5372"/>
      <c r="CV22" s="5372"/>
      <c r="CW22" s="5372"/>
      <c r="CX22" s="5372"/>
      <c r="CY22" s="5372"/>
      <c r="CZ22" s="5372"/>
      <c r="DA22" s="5372"/>
      <c r="DB22" s="5372"/>
      <c r="DC22" s="5372"/>
      <c r="DD22" s="5372"/>
      <c r="DE22" s="5372"/>
      <c r="DF22" s="5372"/>
      <c r="DG22" s="5459"/>
      <c r="DH22" s="5459"/>
      <c r="DI22" s="5459"/>
      <c r="DJ22" s="5459"/>
      <c r="DK22" s="5459"/>
      <c r="DL22" s="5459"/>
      <c r="DM22" s="5459"/>
      <c r="DN22" s="5459"/>
      <c r="DO22" s="5459"/>
      <c r="DP22" s="5459"/>
      <c r="DQ22" s="5459"/>
      <c r="DR22" s="5459"/>
      <c r="DS22" s="5459"/>
      <c r="DT22" s="5459"/>
      <c r="DU22" s="5459"/>
      <c r="DV22" s="5459"/>
      <c r="DW22" s="5459"/>
      <c r="DX22" s="5459"/>
      <c r="DY22" s="5459"/>
      <c r="DZ22" s="5459"/>
      <c r="EA22" s="5459"/>
      <c r="EB22" s="5459"/>
      <c r="EC22" s="5459"/>
      <c r="ED22" s="5459"/>
      <c r="EE22" s="5459"/>
      <c r="EF22" s="5459"/>
      <c r="EG22" s="5459"/>
      <c r="EH22" s="5459"/>
      <c r="EI22" s="5459"/>
      <c r="EJ22" s="5459"/>
      <c r="EK22" s="5459"/>
      <c r="EL22" s="5459"/>
      <c r="EM22" s="5459"/>
      <c r="EN22" s="5459"/>
      <c r="EO22" s="5459"/>
      <c r="EP22" s="5459"/>
      <c r="EQ22" s="5459"/>
      <c r="ER22" s="5459"/>
      <c r="ES22" s="5459"/>
      <c r="ET22" s="5459"/>
      <c r="EU22" s="5459"/>
      <c r="EV22" s="5459"/>
      <c r="EW22" s="5459"/>
      <c r="EX22" s="5459"/>
      <c r="EY22" s="5459"/>
      <c r="EZ22" s="5459"/>
      <c r="FA22" s="5470"/>
    </row>
    <row r="23" spans="1:157" s="2024" customFormat="1" ht="15" customHeight="1" thickBot="1">
      <c r="A23" s="16079"/>
      <c r="B23" s="16054"/>
      <c r="C23" s="5498" t="s">
        <v>8031</v>
      </c>
      <c r="D23" s="5498" t="s">
        <v>989</v>
      </c>
      <c r="E23" s="5498" t="s">
        <v>990</v>
      </c>
      <c r="F23" s="5499" t="s">
        <v>958</v>
      </c>
      <c r="G23" s="5500">
        <v>1</v>
      </c>
      <c r="H23" s="5501">
        <v>31</v>
      </c>
      <c r="I23" s="5501">
        <v>45</v>
      </c>
      <c r="J23" s="5501">
        <v>45</v>
      </c>
      <c r="K23" s="5501">
        <v>45</v>
      </c>
      <c r="L23" s="5501">
        <v>45</v>
      </c>
      <c r="M23" s="5501">
        <v>45</v>
      </c>
      <c r="N23" s="5501">
        <v>45</v>
      </c>
      <c r="O23" s="5501">
        <v>45</v>
      </c>
      <c r="P23" s="5501">
        <v>45</v>
      </c>
      <c r="Q23" s="5501">
        <v>45</v>
      </c>
      <c r="R23" s="5586" t="s">
        <v>10072</v>
      </c>
      <c r="S23" s="5587" t="s">
        <v>991</v>
      </c>
      <c r="T23" s="5506"/>
      <c r="U23" s="5505"/>
      <c r="V23" s="16126"/>
      <c r="W23" s="5506"/>
      <c r="X23" s="5506"/>
      <c r="Y23" s="5506"/>
      <c r="Z23" s="5588"/>
      <c r="AA23" s="5588"/>
      <c r="AB23" s="5588"/>
      <c r="AC23" s="5508"/>
      <c r="AD23" s="5506"/>
      <c r="AE23" s="5506"/>
      <c r="AF23" s="5506"/>
      <c r="AG23" s="5506"/>
      <c r="AH23" s="5506"/>
      <c r="AI23" s="5506"/>
      <c r="AJ23" s="5506"/>
      <c r="AK23" s="5506"/>
      <c r="AL23" s="5506"/>
      <c r="AM23" s="5506"/>
      <c r="AN23" s="5506"/>
      <c r="AO23" s="5506"/>
      <c r="AP23" s="5506"/>
      <c r="AQ23" s="5506"/>
      <c r="AR23" s="5506"/>
      <c r="AS23" s="5506"/>
      <c r="AT23" s="5506"/>
      <c r="AU23" s="5506"/>
      <c r="AV23" s="5506"/>
      <c r="AW23" s="5506"/>
      <c r="AX23" s="5506"/>
      <c r="AY23" s="5506"/>
      <c r="AZ23" s="5506"/>
      <c r="BA23" s="5506"/>
      <c r="BB23" s="5506"/>
      <c r="BC23" s="5506"/>
      <c r="BD23" s="5506"/>
      <c r="BE23" s="5506"/>
      <c r="BF23" s="5506"/>
      <c r="BG23" s="5506"/>
      <c r="BH23" s="5506"/>
      <c r="BI23" s="5506"/>
      <c r="BJ23" s="5506"/>
      <c r="BK23" s="5506"/>
      <c r="BL23" s="5506"/>
      <c r="BM23" s="5506"/>
      <c r="BN23" s="5505">
        <v>1</v>
      </c>
      <c r="BO23" s="16126"/>
      <c r="BP23" s="5506" t="s">
        <v>9428</v>
      </c>
      <c r="BQ23" s="5506" t="s">
        <v>9429</v>
      </c>
      <c r="BR23" s="5506" t="s">
        <v>9430</v>
      </c>
      <c r="BS23" s="5589">
        <f t="shared" ref="BS23" si="1">+SUM(BT23:BV23)</f>
        <v>428854307.19376564</v>
      </c>
      <c r="BT23" s="5589">
        <v>300198015.03563595</v>
      </c>
      <c r="BU23" s="5589">
        <v>128656292.15812969</v>
      </c>
      <c r="BV23" s="5510">
        <v>0</v>
      </c>
      <c r="BW23" s="5509"/>
      <c r="BX23" s="5509"/>
      <c r="BY23" s="5509"/>
      <c r="BZ23" s="5509"/>
      <c r="CA23" s="5509"/>
      <c r="CB23" s="5509"/>
      <c r="CC23" s="5509"/>
      <c r="CD23" s="5509"/>
      <c r="CE23" s="5509"/>
      <c r="CF23" s="5509"/>
      <c r="CG23" s="5509"/>
      <c r="CH23" s="5509"/>
      <c r="CI23" s="5509"/>
      <c r="CJ23" s="5509"/>
      <c r="CK23" s="5509"/>
      <c r="CL23" s="5509"/>
      <c r="CM23" s="5509"/>
      <c r="CN23" s="5509"/>
      <c r="CO23" s="5509"/>
      <c r="CP23" s="5509"/>
      <c r="CQ23" s="5509"/>
      <c r="CR23" s="5509"/>
      <c r="CS23" s="5509"/>
      <c r="CT23" s="5509"/>
      <c r="CU23" s="5509"/>
      <c r="CV23" s="5509"/>
      <c r="CW23" s="5509"/>
      <c r="CX23" s="5509"/>
      <c r="CY23" s="5509"/>
      <c r="CZ23" s="5509"/>
      <c r="DA23" s="5509"/>
      <c r="DB23" s="5509"/>
      <c r="DC23" s="5509"/>
      <c r="DD23" s="5509"/>
      <c r="DE23" s="5509"/>
      <c r="DF23" s="5509"/>
      <c r="DG23" s="5511"/>
      <c r="DH23" s="5511"/>
      <c r="DI23" s="5511"/>
      <c r="DJ23" s="5511"/>
      <c r="DK23" s="5511"/>
      <c r="DL23" s="5511"/>
      <c r="DM23" s="5511"/>
      <c r="DN23" s="5511"/>
      <c r="DO23" s="5511"/>
      <c r="DP23" s="5511"/>
      <c r="DQ23" s="5511"/>
      <c r="DR23" s="5511"/>
      <c r="DS23" s="5511"/>
      <c r="DT23" s="5511"/>
      <c r="DU23" s="5511"/>
      <c r="DV23" s="5511"/>
      <c r="DW23" s="5511"/>
      <c r="DX23" s="5511"/>
      <c r="DY23" s="5511"/>
      <c r="DZ23" s="5511"/>
      <c r="EA23" s="5511"/>
      <c r="EB23" s="5511"/>
      <c r="EC23" s="5511"/>
      <c r="ED23" s="5511"/>
      <c r="EE23" s="5511"/>
      <c r="EF23" s="5511"/>
      <c r="EG23" s="5511"/>
      <c r="EH23" s="5511"/>
      <c r="EI23" s="5511"/>
      <c r="EJ23" s="5511"/>
      <c r="EK23" s="5511"/>
      <c r="EL23" s="5511"/>
      <c r="EM23" s="5511"/>
      <c r="EN23" s="5511"/>
      <c r="EO23" s="5511"/>
      <c r="EP23" s="5511"/>
      <c r="EQ23" s="5511"/>
      <c r="ER23" s="5511"/>
      <c r="ES23" s="5511"/>
      <c r="ET23" s="5511"/>
      <c r="EU23" s="5511"/>
      <c r="EV23" s="5511"/>
      <c r="EW23" s="5511"/>
      <c r="EX23" s="5511"/>
      <c r="EY23" s="5511"/>
      <c r="EZ23" s="5511"/>
      <c r="FA23" s="5512"/>
    </row>
    <row r="24" spans="1:157" s="2018" customFormat="1" ht="15" customHeight="1">
      <c r="A24" s="16132" t="s">
        <v>992</v>
      </c>
      <c r="B24" s="16135" t="s">
        <v>993</v>
      </c>
      <c r="C24" s="16135" t="s">
        <v>8033</v>
      </c>
      <c r="D24" s="16135" t="s">
        <v>994</v>
      </c>
      <c r="E24" s="16135" t="s">
        <v>995</v>
      </c>
      <c r="F24" s="16206" t="s">
        <v>958</v>
      </c>
      <c r="G24" s="16207">
        <v>0</v>
      </c>
      <c r="H24" s="16217">
        <v>1</v>
      </c>
      <c r="I24" s="16217">
        <v>0</v>
      </c>
      <c r="J24" s="16217">
        <v>0</v>
      </c>
      <c r="K24" s="16217">
        <v>0</v>
      </c>
      <c r="L24" s="16217">
        <v>0</v>
      </c>
      <c r="M24" s="16217">
        <v>0</v>
      </c>
      <c r="N24" s="16217">
        <v>0</v>
      </c>
      <c r="O24" s="16217">
        <v>0</v>
      </c>
      <c r="P24" s="16217">
        <v>0</v>
      </c>
      <c r="Q24" s="16217">
        <v>0</v>
      </c>
      <c r="R24" s="5590" t="s">
        <v>10072</v>
      </c>
      <c r="S24" s="5591" t="s">
        <v>968</v>
      </c>
      <c r="T24" s="5026"/>
      <c r="U24" s="5592"/>
      <c r="V24" s="16127"/>
      <c r="W24" s="5593"/>
      <c r="X24" s="5593"/>
      <c r="Y24" s="5593"/>
      <c r="Z24" s="5594"/>
      <c r="AA24" s="5594"/>
      <c r="AB24" s="5594"/>
      <c r="AC24" s="5594"/>
      <c r="AD24" s="5593"/>
      <c r="AE24" s="5593"/>
      <c r="AF24" s="5593"/>
      <c r="AG24" s="5593"/>
      <c r="AH24" s="5593"/>
      <c r="AI24" s="5593"/>
      <c r="AJ24" s="5593"/>
      <c r="AK24" s="5593"/>
      <c r="AL24" s="5593"/>
      <c r="AM24" s="5593"/>
      <c r="AN24" s="5593"/>
      <c r="AO24" s="5593"/>
      <c r="AP24" s="5593"/>
      <c r="AQ24" s="5593"/>
      <c r="AR24" s="5593"/>
      <c r="AS24" s="5593"/>
      <c r="AT24" s="5593"/>
      <c r="AU24" s="5593"/>
      <c r="AV24" s="5593"/>
      <c r="AW24" s="5593"/>
      <c r="AX24" s="5593"/>
      <c r="AY24" s="5593"/>
      <c r="AZ24" s="5593"/>
      <c r="BA24" s="5593"/>
      <c r="BB24" s="5593"/>
      <c r="BC24" s="5593"/>
      <c r="BD24" s="5593"/>
      <c r="BE24" s="5593"/>
      <c r="BF24" s="5593"/>
      <c r="BG24" s="5593"/>
      <c r="BH24" s="5593"/>
      <c r="BI24" s="5593"/>
      <c r="BJ24" s="5593"/>
      <c r="BK24" s="5593"/>
      <c r="BL24" s="5593"/>
      <c r="BM24" s="5593"/>
      <c r="BN24" s="5592">
        <v>0</v>
      </c>
      <c r="BO24" s="16127">
        <f>AVERAGE(BN24:BN30)</f>
        <v>0.5</v>
      </c>
      <c r="BP24" s="5593"/>
      <c r="BQ24" s="5593"/>
      <c r="BR24" s="5593"/>
      <c r="BS24" s="5595">
        <v>0</v>
      </c>
      <c r="BT24" s="5595">
        <v>0</v>
      </c>
      <c r="BU24" s="5595">
        <v>0</v>
      </c>
      <c r="BV24" s="5595">
        <v>0</v>
      </c>
      <c r="BW24" s="5595"/>
      <c r="BX24" s="5595"/>
      <c r="BY24" s="5595"/>
      <c r="BZ24" s="5595"/>
      <c r="CA24" s="5595"/>
      <c r="CB24" s="5595"/>
      <c r="CC24" s="5595"/>
      <c r="CD24" s="5595"/>
      <c r="CE24" s="5595"/>
      <c r="CF24" s="5595"/>
      <c r="CG24" s="5595"/>
      <c r="CH24" s="5595"/>
      <c r="CI24" s="5595"/>
      <c r="CJ24" s="5595"/>
      <c r="CK24" s="5595"/>
      <c r="CL24" s="5595"/>
      <c r="CM24" s="5595"/>
      <c r="CN24" s="5595"/>
      <c r="CO24" s="5595"/>
      <c r="CP24" s="5595"/>
      <c r="CQ24" s="5595"/>
      <c r="CR24" s="5595"/>
      <c r="CS24" s="5595"/>
      <c r="CT24" s="5595"/>
      <c r="CU24" s="5595"/>
      <c r="CV24" s="5595"/>
      <c r="CW24" s="5595"/>
      <c r="CX24" s="5595"/>
      <c r="CY24" s="5595"/>
      <c r="CZ24" s="5595"/>
      <c r="DA24" s="5595"/>
      <c r="DB24" s="5595"/>
      <c r="DC24" s="5595"/>
      <c r="DD24" s="5595"/>
      <c r="DE24" s="5595"/>
      <c r="DF24" s="5595"/>
      <c r="DG24" s="5596"/>
      <c r="DH24" s="5596"/>
      <c r="DI24" s="5596"/>
      <c r="DJ24" s="5596"/>
      <c r="DK24" s="5596"/>
      <c r="DL24" s="5596"/>
      <c r="DM24" s="5596"/>
      <c r="DN24" s="5596"/>
      <c r="DO24" s="5596"/>
      <c r="DP24" s="5596"/>
      <c r="DQ24" s="5596"/>
      <c r="DR24" s="5596"/>
      <c r="DS24" s="5596"/>
      <c r="DT24" s="5596"/>
      <c r="DU24" s="5596"/>
      <c r="DV24" s="5596"/>
      <c r="DW24" s="5596"/>
      <c r="DX24" s="5596"/>
      <c r="DY24" s="5596"/>
      <c r="DZ24" s="5596"/>
      <c r="EA24" s="5596"/>
      <c r="EB24" s="5596"/>
      <c r="EC24" s="5596"/>
      <c r="ED24" s="5596"/>
      <c r="EE24" s="5596"/>
      <c r="EF24" s="5596"/>
      <c r="EG24" s="5596"/>
      <c r="EH24" s="5596"/>
      <c r="EI24" s="5596"/>
      <c r="EJ24" s="5596"/>
      <c r="EK24" s="5596"/>
      <c r="EL24" s="5596"/>
      <c r="EM24" s="5596"/>
      <c r="EN24" s="5596"/>
      <c r="EO24" s="5596"/>
      <c r="EP24" s="5596"/>
      <c r="EQ24" s="5596"/>
      <c r="ER24" s="5596"/>
      <c r="ES24" s="5596"/>
      <c r="ET24" s="5596"/>
      <c r="EU24" s="5596"/>
      <c r="EV24" s="5596"/>
      <c r="EW24" s="5596"/>
      <c r="EX24" s="5596"/>
      <c r="EY24" s="5596"/>
      <c r="EZ24" s="5596"/>
      <c r="FA24" s="5597"/>
    </row>
    <row r="25" spans="1:157" s="2018" customFormat="1" ht="15" customHeight="1">
      <c r="A25" s="16133"/>
      <c r="B25" s="16030"/>
      <c r="C25" s="16030"/>
      <c r="D25" s="16030"/>
      <c r="E25" s="16030"/>
      <c r="F25" s="16147"/>
      <c r="G25" s="16148"/>
      <c r="H25" s="16029"/>
      <c r="I25" s="16029"/>
      <c r="J25" s="16029"/>
      <c r="K25" s="16029"/>
      <c r="L25" s="16029"/>
      <c r="M25" s="16029"/>
      <c r="N25" s="16029"/>
      <c r="O25" s="16029"/>
      <c r="P25" s="16029"/>
      <c r="Q25" s="16029"/>
      <c r="R25" s="5429" t="s">
        <v>4332</v>
      </c>
      <c r="S25" s="5311"/>
      <c r="T25" s="5316" t="s">
        <v>10247</v>
      </c>
      <c r="U25" s="5312"/>
      <c r="V25" s="16128"/>
      <c r="W25" s="5313"/>
      <c r="X25" s="5313"/>
      <c r="Y25" s="5313"/>
      <c r="Z25" s="5314"/>
      <c r="AA25" s="5314"/>
      <c r="AB25" s="5314"/>
      <c r="AC25" s="5314"/>
      <c r="AD25" s="5313"/>
      <c r="AE25" s="5313"/>
      <c r="AF25" s="5313"/>
      <c r="AG25" s="5313"/>
      <c r="AH25" s="5313"/>
      <c r="AI25" s="5313"/>
      <c r="AJ25" s="5313"/>
      <c r="AK25" s="5313"/>
      <c r="AL25" s="5313"/>
      <c r="AM25" s="5313"/>
      <c r="AN25" s="5313"/>
      <c r="AO25" s="5313"/>
      <c r="AP25" s="5313"/>
      <c r="AQ25" s="5313"/>
      <c r="AR25" s="5313"/>
      <c r="AS25" s="5313"/>
      <c r="AT25" s="5313"/>
      <c r="AU25" s="5313"/>
      <c r="AV25" s="5313"/>
      <c r="AW25" s="5313"/>
      <c r="AX25" s="5313"/>
      <c r="AY25" s="5313"/>
      <c r="AZ25" s="5313"/>
      <c r="BA25" s="5313"/>
      <c r="BB25" s="5313"/>
      <c r="BC25" s="5313"/>
      <c r="BD25" s="5313"/>
      <c r="BE25" s="5313"/>
      <c r="BF25" s="5313"/>
      <c r="BG25" s="5313"/>
      <c r="BH25" s="5313"/>
      <c r="BI25" s="5313"/>
      <c r="BJ25" s="5313"/>
      <c r="BK25" s="5313"/>
      <c r="BL25" s="5313"/>
      <c r="BM25" s="5313"/>
      <c r="BN25" s="5312"/>
      <c r="BO25" s="16128"/>
      <c r="BP25" s="5313"/>
      <c r="BQ25" s="5313"/>
      <c r="BR25" s="5313"/>
      <c r="BS25" s="5315"/>
      <c r="BT25" s="5315"/>
      <c r="BU25" s="5315"/>
      <c r="BV25" s="5315"/>
      <c r="BW25" s="5315"/>
      <c r="BX25" s="5315"/>
      <c r="BY25" s="5315"/>
      <c r="BZ25" s="5315"/>
      <c r="CA25" s="5315"/>
      <c r="CB25" s="5315"/>
      <c r="CC25" s="5315"/>
      <c r="CD25" s="5315"/>
      <c r="CE25" s="5315"/>
      <c r="CF25" s="5315"/>
      <c r="CG25" s="5315"/>
      <c r="CH25" s="5315"/>
      <c r="CI25" s="5315"/>
      <c r="CJ25" s="5315"/>
      <c r="CK25" s="5315"/>
      <c r="CL25" s="5315"/>
      <c r="CM25" s="5315"/>
      <c r="CN25" s="5315"/>
      <c r="CO25" s="5315"/>
      <c r="CP25" s="5315"/>
      <c r="CQ25" s="5315"/>
      <c r="CR25" s="5315"/>
      <c r="CS25" s="5315"/>
      <c r="CT25" s="5315"/>
      <c r="CU25" s="5315"/>
      <c r="CV25" s="5315"/>
      <c r="CW25" s="5315"/>
      <c r="CX25" s="5315"/>
      <c r="CY25" s="5315"/>
      <c r="CZ25" s="5315"/>
      <c r="DA25" s="5315"/>
      <c r="DB25" s="5315"/>
      <c r="DC25" s="5315"/>
      <c r="DD25" s="5315"/>
      <c r="DE25" s="5315"/>
      <c r="DF25" s="5315"/>
      <c r="DG25" s="5455"/>
      <c r="DH25" s="5455"/>
      <c r="DI25" s="5455"/>
      <c r="DJ25" s="5455"/>
      <c r="DK25" s="5455"/>
      <c r="DL25" s="5455"/>
      <c r="DM25" s="5455"/>
      <c r="DN25" s="5455"/>
      <c r="DO25" s="5455"/>
      <c r="DP25" s="5455"/>
      <c r="DQ25" s="5455"/>
      <c r="DR25" s="5455"/>
      <c r="DS25" s="5455"/>
      <c r="DT25" s="5455"/>
      <c r="DU25" s="5455"/>
      <c r="DV25" s="5455"/>
      <c r="DW25" s="5455"/>
      <c r="DX25" s="5455"/>
      <c r="DY25" s="5455"/>
      <c r="DZ25" s="5455"/>
      <c r="EA25" s="5455"/>
      <c r="EB25" s="5455"/>
      <c r="EC25" s="5455"/>
      <c r="ED25" s="5455"/>
      <c r="EE25" s="5455"/>
      <c r="EF25" s="5455"/>
      <c r="EG25" s="5455"/>
      <c r="EH25" s="5455"/>
      <c r="EI25" s="5455"/>
      <c r="EJ25" s="5455"/>
      <c r="EK25" s="5455"/>
      <c r="EL25" s="5455"/>
      <c r="EM25" s="5455"/>
      <c r="EN25" s="5455"/>
      <c r="EO25" s="5455"/>
      <c r="EP25" s="5455"/>
      <c r="EQ25" s="5455"/>
      <c r="ER25" s="5455"/>
      <c r="ES25" s="5455"/>
      <c r="ET25" s="5455"/>
      <c r="EU25" s="5455"/>
      <c r="EV25" s="5455"/>
      <c r="EW25" s="5455"/>
      <c r="EX25" s="5455"/>
      <c r="EY25" s="5455"/>
      <c r="EZ25" s="5455"/>
      <c r="FA25" s="5466"/>
    </row>
    <row r="26" spans="1:157" s="2018" customFormat="1" ht="15" customHeight="1">
      <c r="A26" s="16133"/>
      <c r="B26" s="16030"/>
      <c r="C26" s="16030"/>
      <c r="D26" s="16030"/>
      <c r="E26" s="16030"/>
      <c r="F26" s="16147"/>
      <c r="G26" s="16148"/>
      <c r="H26" s="16029"/>
      <c r="I26" s="16029"/>
      <c r="J26" s="16029"/>
      <c r="K26" s="16029"/>
      <c r="L26" s="16029"/>
      <c r="M26" s="16029"/>
      <c r="N26" s="16029"/>
      <c r="O26" s="16029"/>
      <c r="P26" s="16029"/>
      <c r="Q26" s="16029"/>
      <c r="R26" s="5429" t="s">
        <v>10238</v>
      </c>
      <c r="S26" s="5311"/>
      <c r="T26" s="5316" t="s">
        <v>973</v>
      </c>
      <c r="U26" s="5598"/>
      <c r="V26" s="16128"/>
      <c r="W26" s="5316"/>
      <c r="X26" s="2747"/>
      <c r="Y26" s="5316"/>
      <c r="Z26" s="5314"/>
      <c r="AA26" s="5314"/>
      <c r="AB26" s="5314"/>
      <c r="AC26" s="5314"/>
      <c r="AD26" s="5313"/>
      <c r="AE26" s="5313"/>
      <c r="AF26" s="5313"/>
      <c r="AG26" s="5313"/>
      <c r="AH26" s="5313"/>
      <c r="AI26" s="5313"/>
      <c r="AJ26" s="5313"/>
      <c r="AK26" s="5313"/>
      <c r="AL26" s="5313"/>
      <c r="AM26" s="5313"/>
      <c r="AN26" s="5313"/>
      <c r="AO26" s="5313"/>
      <c r="AP26" s="5313"/>
      <c r="AQ26" s="5313"/>
      <c r="AR26" s="5313"/>
      <c r="AS26" s="5313"/>
      <c r="AT26" s="5313"/>
      <c r="AU26" s="5313"/>
      <c r="AV26" s="5313"/>
      <c r="AW26" s="5313"/>
      <c r="AX26" s="5313"/>
      <c r="AY26" s="5313"/>
      <c r="AZ26" s="5313"/>
      <c r="BA26" s="5313"/>
      <c r="BB26" s="5313"/>
      <c r="BC26" s="5313"/>
      <c r="BD26" s="5313"/>
      <c r="BE26" s="5313"/>
      <c r="BF26" s="5313"/>
      <c r="BG26" s="5313"/>
      <c r="BH26" s="5313"/>
      <c r="BI26" s="5313"/>
      <c r="BJ26" s="5313"/>
      <c r="BK26" s="5313"/>
      <c r="BL26" s="5313"/>
      <c r="BM26" s="5313"/>
      <c r="BN26" s="5598">
        <v>0</v>
      </c>
      <c r="BO26" s="16128"/>
      <c r="BP26" s="5316" t="s">
        <v>9431</v>
      </c>
      <c r="BQ26" s="2747" t="s">
        <v>9432</v>
      </c>
      <c r="BR26" s="5316" t="s">
        <v>9433</v>
      </c>
      <c r="BS26" s="5315">
        <v>0</v>
      </c>
      <c r="BT26" s="5315">
        <v>0</v>
      </c>
      <c r="BU26" s="5315">
        <v>0</v>
      </c>
      <c r="BV26" s="5315">
        <v>0</v>
      </c>
      <c r="BW26" s="5315"/>
      <c r="BX26" s="5315"/>
      <c r="BY26" s="5315"/>
      <c r="BZ26" s="5315"/>
      <c r="CA26" s="5315"/>
      <c r="CB26" s="5315"/>
      <c r="CC26" s="5315"/>
      <c r="CD26" s="5315"/>
      <c r="CE26" s="5315"/>
      <c r="CF26" s="5315"/>
      <c r="CG26" s="5315"/>
      <c r="CH26" s="5315"/>
      <c r="CI26" s="5315"/>
      <c r="CJ26" s="5315"/>
      <c r="CK26" s="5315"/>
      <c r="CL26" s="5315"/>
      <c r="CM26" s="5315"/>
      <c r="CN26" s="5315"/>
      <c r="CO26" s="5315"/>
      <c r="CP26" s="5315"/>
      <c r="CQ26" s="5315"/>
      <c r="CR26" s="5315"/>
      <c r="CS26" s="5315"/>
      <c r="CT26" s="5315"/>
      <c r="CU26" s="5315"/>
      <c r="CV26" s="5315"/>
      <c r="CW26" s="5315"/>
      <c r="CX26" s="5315"/>
      <c r="CY26" s="5315"/>
      <c r="CZ26" s="5315"/>
      <c r="DA26" s="5315"/>
      <c r="DB26" s="5315"/>
      <c r="DC26" s="5315"/>
      <c r="DD26" s="5315"/>
      <c r="DE26" s="5315"/>
      <c r="DF26" s="5315"/>
      <c r="DG26" s="5455"/>
      <c r="DH26" s="5455"/>
      <c r="DI26" s="5455"/>
      <c r="DJ26" s="5455"/>
      <c r="DK26" s="5455"/>
      <c r="DL26" s="5455"/>
      <c r="DM26" s="5455"/>
      <c r="DN26" s="5455"/>
      <c r="DO26" s="5455"/>
      <c r="DP26" s="5455"/>
      <c r="DQ26" s="5455"/>
      <c r="DR26" s="5455"/>
      <c r="DS26" s="5455"/>
      <c r="DT26" s="5455"/>
      <c r="DU26" s="5455"/>
      <c r="DV26" s="5455"/>
      <c r="DW26" s="5455"/>
      <c r="DX26" s="5455"/>
      <c r="DY26" s="5455"/>
      <c r="DZ26" s="5455"/>
      <c r="EA26" s="5455"/>
      <c r="EB26" s="5455"/>
      <c r="EC26" s="5455"/>
      <c r="ED26" s="5455"/>
      <c r="EE26" s="5455"/>
      <c r="EF26" s="5455"/>
      <c r="EG26" s="5455"/>
      <c r="EH26" s="5455"/>
      <c r="EI26" s="5455"/>
      <c r="EJ26" s="5455"/>
      <c r="EK26" s="5455"/>
      <c r="EL26" s="5455"/>
      <c r="EM26" s="5455"/>
      <c r="EN26" s="5455"/>
      <c r="EO26" s="5455"/>
      <c r="EP26" s="5455"/>
      <c r="EQ26" s="5455"/>
      <c r="ER26" s="5455"/>
      <c r="ES26" s="5455"/>
      <c r="ET26" s="5455"/>
      <c r="EU26" s="5455"/>
      <c r="EV26" s="5455"/>
      <c r="EW26" s="5455"/>
      <c r="EX26" s="5455"/>
      <c r="EY26" s="5455"/>
      <c r="EZ26" s="5455"/>
      <c r="FA26" s="5466"/>
    </row>
    <row r="27" spans="1:157" s="2018" customFormat="1" ht="15" customHeight="1">
      <c r="A27" s="16133"/>
      <c r="B27" s="16030"/>
      <c r="C27" s="5319" t="s">
        <v>8034</v>
      </c>
      <c r="D27" s="5319" t="s">
        <v>996</v>
      </c>
      <c r="E27" s="5319" t="s">
        <v>997</v>
      </c>
      <c r="F27" s="5321" t="s">
        <v>958</v>
      </c>
      <c r="G27" s="5322">
        <v>0</v>
      </c>
      <c r="H27" s="2747">
        <v>1</v>
      </c>
      <c r="I27" s="2747">
        <v>1</v>
      </c>
      <c r="J27" s="2747">
        <v>1</v>
      </c>
      <c r="K27" s="2747">
        <v>1</v>
      </c>
      <c r="L27" s="2747">
        <v>1</v>
      </c>
      <c r="M27" s="2747">
        <v>1</v>
      </c>
      <c r="N27" s="2747">
        <v>1</v>
      </c>
      <c r="O27" s="2747">
        <v>1</v>
      </c>
      <c r="P27" s="2747">
        <v>1</v>
      </c>
      <c r="Q27" s="2747">
        <v>1</v>
      </c>
      <c r="R27" s="5429" t="s">
        <v>10072</v>
      </c>
      <c r="S27" s="5323" t="s">
        <v>998</v>
      </c>
      <c r="T27" s="5316"/>
      <c r="U27" s="5598"/>
      <c r="V27" s="16128"/>
      <c r="W27" s="5316"/>
      <c r="X27" s="5316"/>
      <c r="Y27" s="5316"/>
      <c r="Z27" s="5314"/>
      <c r="AA27" s="5314"/>
      <c r="AB27" s="5314"/>
      <c r="AC27" s="5314"/>
      <c r="AD27" s="5313"/>
      <c r="AE27" s="5313"/>
      <c r="AF27" s="5313"/>
      <c r="AG27" s="5313"/>
      <c r="AH27" s="5313"/>
      <c r="AI27" s="5313"/>
      <c r="AJ27" s="5313"/>
      <c r="AK27" s="5313"/>
      <c r="AL27" s="5313"/>
      <c r="AM27" s="5313"/>
      <c r="AN27" s="5313"/>
      <c r="AO27" s="5313"/>
      <c r="AP27" s="5313"/>
      <c r="AQ27" s="5313"/>
      <c r="AR27" s="5313"/>
      <c r="AS27" s="5313"/>
      <c r="AT27" s="5313"/>
      <c r="AU27" s="5313"/>
      <c r="AV27" s="5313"/>
      <c r="AW27" s="5313"/>
      <c r="AX27" s="5313"/>
      <c r="AY27" s="5313"/>
      <c r="AZ27" s="5313"/>
      <c r="BA27" s="5313"/>
      <c r="BB27" s="5313"/>
      <c r="BC27" s="5313"/>
      <c r="BD27" s="5313"/>
      <c r="BE27" s="5313"/>
      <c r="BF27" s="5313"/>
      <c r="BG27" s="5313"/>
      <c r="BH27" s="5313"/>
      <c r="BI27" s="5313"/>
      <c r="BJ27" s="5313"/>
      <c r="BK27" s="5313"/>
      <c r="BL27" s="5313"/>
      <c r="BM27" s="5313"/>
      <c r="BN27" s="5598">
        <v>0</v>
      </c>
      <c r="BO27" s="16128"/>
      <c r="BP27" s="5316" t="s">
        <v>9431</v>
      </c>
      <c r="BQ27" s="5316" t="s">
        <v>9253</v>
      </c>
      <c r="BR27" s="5316" t="s">
        <v>9434</v>
      </c>
      <c r="BS27" s="5315">
        <v>0</v>
      </c>
      <c r="BT27" s="5315">
        <v>0</v>
      </c>
      <c r="BU27" s="5315">
        <v>0</v>
      </c>
      <c r="BV27" s="5315">
        <v>0</v>
      </c>
      <c r="BW27" s="5315"/>
      <c r="BX27" s="5315"/>
      <c r="BY27" s="5315"/>
      <c r="BZ27" s="5315"/>
      <c r="CA27" s="5315"/>
      <c r="CB27" s="5315"/>
      <c r="CC27" s="5315"/>
      <c r="CD27" s="5315"/>
      <c r="CE27" s="5315"/>
      <c r="CF27" s="5315"/>
      <c r="CG27" s="5315"/>
      <c r="CH27" s="5315"/>
      <c r="CI27" s="5315"/>
      <c r="CJ27" s="5315"/>
      <c r="CK27" s="5315"/>
      <c r="CL27" s="5315"/>
      <c r="CM27" s="5315"/>
      <c r="CN27" s="5315"/>
      <c r="CO27" s="5315"/>
      <c r="CP27" s="5315"/>
      <c r="CQ27" s="5315"/>
      <c r="CR27" s="5315"/>
      <c r="CS27" s="5315"/>
      <c r="CT27" s="5315"/>
      <c r="CU27" s="5315"/>
      <c r="CV27" s="5315"/>
      <c r="CW27" s="5315"/>
      <c r="CX27" s="5315"/>
      <c r="CY27" s="5315"/>
      <c r="CZ27" s="5315"/>
      <c r="DA27" s="5315"/>
      <c r="DB27" s="5315"/>
      <c r="DC27" s="5315"/>
      <c r="DD27" s="5315"/>
      <c r="DE27" s="5315"/>
      <c r="DF27" s="5315"/>
      <c r="DG27" s="5455"/>
      <c r="DH27" s="5455"/>
      <c r="DI27" s="5455"/>
      <c r="DJ27" s="5455"/>
      <c r="DK27" s="5455"/>
      <c r="DL27" s="5455"/>
      <c r="DM27" s="5455"/>
      <c r="DN27" s="5455"/>
      <c r="DO27" s="5455"/>
      <c r="DP27" s="5455"/>
      <c r="DQ27" s="5455"/>
      <c r="DR27" s="5455"/>
      <c r="DS27" s="5455"/>
      <c r="DT27" s="5455"/>
      <c r="DU27" s="5455"/>
      <c r="DV27" s="5455"/>
      <c r="DW27" s="5455"/>
      <c r="DX27" s="5455"/>
      <c r="DY27" s="5455"/>
      <c r="DZ27" s="5455"/>
      <c r="EA27" s="5455"/>
      <c r="EB27" s="5455"/>
      <c r="EC27" s="5455"/>
      <c r="ED27" s="5455"/>
      <c r="EE27" s="5455"/>
      <c r="EF27" s="5455"/>
      <c r="EG27" s="5455"/>
      <c r="EH27" s="5455"/>
      <c r="EI27" s="5455"/>
      <c r="EJ27" s="5455"/>
      <c r="EK27" s="5455"/>
      <c r="EL27" s="5455"/>
      <c r="EM27" s="5455"/>
      <c r="EN27" s="5455"/>
      <c r="EO27" s="5455"/>
      <c r="EP27" s="5455"/>
      <c r="EQ27" s="5455"/>
      <c r="ER27" s="5455"/>
      <c r="ES27" s="5455"/>
      <c r="ET27" s="5455"/>
      <c r="EU27" s="5455"/>
      <c r="EV27" s="5455"/>
      <c r="EW27" s="5455"/>
      <c r="EX27" s="5455"/>
      <c r="EY27" s="5455"/>
      <c r="EZ27" s="5455"/>
      <c r="FA27" s="5466"/>
    </row>
    <row r="28" spans="1:157" s="2018" customFormat="1" ht="15" customHeight="1">
      <c r="A28" s="16133"/>
      <c r="B28" s="16030"/>
      <c r="C28" s="5319" t="s">
        <v>8035</v>
      </c>
      <c r="D28" s="5319" t="s">
        <v>999</v>
      </c>
      <c r="E28" s="5319" t="s">
        <v>1000</v>
      </c>
      <c r="F28" s="5321" t="s">
        <v>958</v>
      </c>
      <c r="G28" s="5322">
        <v>2</v>
      </c>
      <c r="H28" s="2747">
        <v>1</v>
      </c>
      <c r="I28" s="2747">
        <v>0</v>
      </c>
      <c r="J28" s="2747">
        <v>0</v>
      </c>
      <c r="K28" s="2747">
        <v>0</v>
      </c>
      <c r="L28" s="2747">
        <v>0</v>
      </c>
      <c r="M28" s="2747">
        <v>0</v>
      </c>
      <c r="N28" s="2747">
        <v>0</v>
      </c>
      <c r="O28" s="2747">
        <v>0</v>
      </c>
      <c r="P28" s="2747">
        <v>0</v>
      </c>
      <c r="Q28" s="2747">
        <v>0</v>
      </c>
      <c r="R28" s="5429" t="s">
        <v>10072</v>
      </c>
      <c r="S28" s="5323" t="s">
        <v>10079</v>
      </c>
      <c r="T28" s="5316"/>
      <c r="U28" s="5598"/>
      <c r="V28" s="16128"/>
      <c r="W28" s="5401"/>
      <c r="X28" s="5316"/>
      <c r="Y28" s="2747"/>
      <c r="Z28" s="5314"/>
      <c r="AA28" s="5314"/>
      <c r="AB28" s="5314"/>
      <c r="AC28" s="5314"/>
      <c r="AD28" s="5313"/>
      <c r="AE28" s="5313"/>
      <c r="AF28" s="5313"/>
      <c r="AG28" s="5313"/>
      <c r="AH28" s="5313"/>
      <c r="AI28" s="5313"/>
      <c r="AJ28" s="5313"/>
      <c r="AK28" s="5313"/>
      <c r="AL28" s="5313"/>
      <c r="AM28" s="5313"/>
      <c r="AN28" s="5313"/>
      <c r="AO28" s="5313"/>
      <c r="AP28" s="5313"/>
      <c r="AQ28" s="5313"/>
      <c r="AR28" s="5313"/>
      <c r="AS28" s="5313"/>
      <c r="AT28" s="5313"/>
      <c r="AU28" s="5313"/>
      <c r="AV28" s="5313"/>
      <c r="AW28" s="5313"/>
      <c r="AX28" s="5313"/>
      <c r="AY28" s="5313"/>
      <c r="AZ28" s="5313"/>
      <c r="BA28" s="5313"/>
      <c r="BB28" s="5313"/>
      <c r="BC28" s="5313"/>
      <c r="BD28" s="5313"/>
      <c r="BE28" s="5313"/>
      <c r="BF28" s="5313"/>
      <c r="BG28" s="5313"/>
      <c r="BH28" s="5313"/>
      <c r="BI28" s="5313"/>
      <c r="BJ28" s="5313"/>
      <c r="BK28" s="5313"/>
      <c r="BL28" s="5313"/>
      <c r="BM28" s="5313"/>
      <c r="BN28" s="5598">
        <v>1</v>
      </c>
      <c r="BO28" s="16128"/>
      <c r="BP28" s="5401" t="s">
        <v>9435</v>
      </c>
      <c r="BQ28" s="5316" t="s">
        <v>9436</v>
      </c>
      <c r="BR28" s="2747"/>
      <c r="BS28" s="5315">
        <v>0</v>
      </c>
      <c r="BT28" s="5315">
        <v>0</v>
      </c>
      <c r="BU28" s="5315">
        <v>0</v>
      </c>
      <c r="BV28" s="5315">
        <v>0</v>
      </c>
      <c r="BW28" s="5315"/>
      <c r="BX28" s="5315"/>
      <c r="BY28" s="5315"/>
      <c r="BZ28" s="5315"/>
      <c r="CA28" s="5315"/>
      <c r="CB28" s="5315"/>
      <c r="CC28" s="5315"/>
      <c r="CD28" s="5315"/>
      <c r="CE28" s="5315"/>
      <c r="CF28" s="5315"/>
      <c r="CG28" s="5315"/>
      <c r="CH28" s="5315"/>
      <c r="CI28" s="5315"/>
      <c r="CJ28" s="5315"/>
      <c r="CK28" s="5315"/>
      <c r="CL28" s="5315"/>
      <c r="CM28" s="5315"/>
      <c r="CN28" s="5315"/>
      <c r="CO28" s="5315"/>
      <c r="CP28" s="5315"/>
      <c r="CQ28" s="5315"/>
      <c r="CR28" s="5315"/>
      <c r="CS28" s="5315"/>
      <c r="CT28" s="5315"/>
      <c r="CU28" s="5315"/>
      <c r="CV28" s="5315"/>
      <c r="CW28" s="5315"/>
      <c r="CX28" s="5315"/>
      <c r="CY28" s="5315"/>
      <c r="CZ28" s="5315"/>
      <c r="DA28" s="5315"/>
      <c r="DB28" s="5315"/>
      <c r="DC28" s="5315"/>
      <c r="DD28" s="5315"/>
      <c r="DE28" s="5315"/>
      <c r="DF28" s="5315"/>
      <c r="DG28" s="5455"/>
      <c r="DH28" s="5455"/>
      <c r="DI28" s="5455"/>
      <c r="DJ28" s="5455"/>
      <c r="DK28" s="5455"/>
      <c r="DL28" s="5455"/>
      <c r="DM28" s="5455"/>
      <c r="DN28" s="5455"/>
      <c r="DO28" s="5455"/>
      <c r="DP28" s="5455"/>
      <c r="DQ28" s="5455"/>
      <c r="DR28" s="5455"/>
      <c r="DS28" s="5455"/>
      <c r="DT28" s="5455"/>
      <c r="DU28" s="5455"/>
      <c r="DV28" s="5455"/>
      <c r="DW28" s="5455"/>
      <c r="DX28" s="5455"/>
      <c r="DY28" s="5455"/>
      <c r="DZ28" s="5455"/>
      <c r="EA28" s="5455"/>
      <c r="EB28" s="5455"/>
      <c r="EC28" s="5455"/>
      <c r="ED28" s="5455"/>
      <c r="EE28" s="5455"/>
      <c r="EF28" s="5455"/>
      <c r="EG28" s="5455"/>
      <c r="EH28" s="5455"/>
      <c r="EI28" s="5455"/>
      <c r="EJ28" s="5455"/>
      <c r="EK28" s="5455"/>
      <c r="EL28" s="5455"/>
      <c r="EM28" s="5455"/>
      <c r="EN28" s="5455"/>
      <c r="EO28" s="5455"/>
      <c r="EP28" s="5455"/>
      <c r="EQ28" s="5455"/>
      <c r="ER28" s="5455"/>
      <c r="ES28" s="5455"/>
      <c r="ET28" s="5455"/>
      <c r="EU28" s="5455"/>
      <c r="EV28" s="5455"/>
      <c r="EW28" s="5455"/>
      <c r="EX28" s="5455"/>
      <c r="EY28" s="5455"/>
      <c r="EZ28" s="5455"/>
      <c r="FA28" s="5466"/>
    </row>
    <row r="29" spans="1:157" s="2018" customFormat="1" ht="15" customHeight="1">
      <c r="A29" s="16133"/>
      <c r="B29" s="16030"/>
      <c r="C29" s="5319" t="s">
        <v>8036</v>
      </c>
      <c r="D29" s="5319" t="s">
        <v>1001</v>
      </c>
      <c r="E29" s="5319" t="s">
        <v>1002</v>
      </c>
      <c r="F29" s="5321" t="s">
        <v>958</v>
      </c>
      <c r="G29" s="5322">
        <v>3</v>
      </c>
      <c r="H29" s="2747">
        <v>3</v>
      </c>
      <c r="I29" s="2747">
        <v>3</v>
      </c>
      <c r="J29" s="2747">
        <v>3</v>
      </c>
      <c r="K29" s="2747">
        <v>3</v>
      </c>
      <c r="L29" s="2747">
        <v>3</v>
      </c>
      <c r="M29" s="2747">
        <v>3</v>
      </c>
      <c r="N29" s="2747">
        <v>3</v>
      </c>
      <c r="O29" s="2747">
        <v>3</v>
      </c>
      <c r="P29" s="2747">
        <v>3</v>
      </c>
      <c r="Q29" s="2747">
        <v>3</v>
      </c>
      <c r="R29" s="5429" t="s">
        <v>10072</v>
      </c>
      <c r="S29" s="5323" t="s">
        <v>10080</v>
      </c>
      <c r="T29" s="5316"/>
      <c r="U29" s="5397"/>
      <c r="V29" s="16128"/>
      <c r="W29" s="5316"/>
      <c r="X29" s="5316"/>
      <c r="Y29" s="2747"/>
      <c r="Z29" s="5314"/>
      <c r="AA29" s="5599"/>
      <c r="AB29" s="5599"/>
      <c r="AC29" s="5314"/>
      <c r="AD29" s="5313"/>
      <c r="AE29" s="5313"/>
      <c r="AF29" s="5313"/>
      <c r="AG29" s="5313"/>
      <c r="AH29" s="5313"/>
      <c r="AI29" s="5313"/>
      <c r="AJ29" s="5313"/>
      <c r="AK29" s="5313"/>
      <c r="AL29" s="5313"/>
      <c r="AM29" s="5313"/>
      <c r="AN29" s="5313"/>
      <c r="AO29" s="5313"/>
      <c r="AP29" s="5313"/>
      <c r="AQ29" s="5313"/>
      <c r="AR29" s="5313"/>
      <c r="AS29" s="5313"/>
      <c r="AT29" s="5313"/>
      <c r="AU29" s="5313"/>
      <c r="AV29" s="5313"/>
      <c r="AW29" s="5313"/>
      <c r="AX29" s="5313"/>
      <c r="AY29" s="5313"/>
      <c r="AZ29" s="5313"/>
      <c r="BA29" s="5313"/>
      <c r="BB29" s="5313"/>
      <c r="BC29" s="5313"/>
      <c r="BD29" s="5313"/>
      <c r="BE29" s="5313"/>
      <c r="BF29" s="5313"/>
      <c r="BG29" s="5313"/>
      <c r="BH29" s="5313"/>
      <c r="BI29" s="5313"/>
      <c r="BJ29" s="5313"/>
      <c r="BK29" s="5313"/>
      <c r="BL29" s="5313"/>
      <c r="BM29" s="5313"/>
      <c r="BN29" s="5397">
        <v>1</v>
      </c>
      <c r="BO29" s="16128"/>
      <c r="BP29" s="5316" t="s">
        <v>9437</v>
      </c>
      <c r="BQ29" s="5316" t="s">
        <v>9438</v>
      </c>
      <c r="BR29" s="2747"/>
      <c r="BS29" s="5315">
        <v>0</v>
      </c>
      <c r="BT29" s="5600">
        <v>0</v>
      </c>
      <c r="BU29" s="5600">
        <v>0</v>
      </c>
      <c r="BV29" s="5315">
        <v>0</v>
      </c>
      <c r="BW29" s="5315"/>
      <c r="BX29" s="5315"/>
      <c r="BY29" s="5315"/>
      <c r="BZ29" s="5315"/>
      <c r="CA29" s="5315"/>
      <c r="CB29" s="5315"/>
      <c r="CC29" s="5315"/>
      <c r="CD29" s="5315"/>
      <c r="CE29" s="5315"/>
      <c r="CF29" s="5315"/>
      <c r="CG29" s="5315"/>
      <c r="CH29" s="5315"/>
      <c r="CI29" s="5315"/>
      <c r="CJ29" s="5315"/>
      <c r="CK29" s="5315"/>
      <c r="CL29" s="5315"/>
      <c r="CM29" s="5315"/>
      <c r="CN29" s="5315"/>
      <c r="CO29" s="5315"/>
      <c r="CP29" s="5315"/>
      <c r="CQ29" s="5315"/>
      <c r="CR29" s="5315"/>
      <c r="CS29" s="5315"/>
      <c r="CT29" s="5315"/>
      <c r="CU29" s="5315"/>
      <c r="CV29" s="5315"/>
      <c r="CW29" s="5315"/>
      <c r="CX29" s="5315"/>
      <c r="CY29" s="5315"/>
      <c r="CZ29" s="5315"/>
      <c r="DA29" s="5315"/>
      <c r="DB29" s="5315"/>
      <c r="DC29" s="5315"/>
      <c r="DD29" s="5315"/>
      <c r="DE29" s="5315"/>
      <c r="DF29" s="5315"/>
      <c r="DG29" s="5455"/>
      <c r="DH29" s="5455"/>
      <c r="DI29" s="5455"/>
      <c r="DJ29" s="5455"/>
      <c r="DK29" s="5455"/>
      <c r="DL29" s="5455"/>
      <c r="DM29" s="5455"/>
      <c r="DN29" s="5455"/>
      <c r="DO29" s="5455"/>
      <c r="DP29" s="5455"/>
      <c r="DQ29" s="5455"/>
      <c r="DR29" s="5455"/>
      <c r="DS29" s="5455"/>
      <c r="DT29" s="5455"/>
      <c r="DU29" s="5455"/>
      <c r="DV29" s="5455"/>
      <c r="DW29" s="5455"/>
      <c r="DX29" s="5455"/>
      <c r="DY29" s="5455"/>
      <c r="DZ29" s="5455"/>
      <c r="EA29" s="5455"/>
      <c r="EB29" s="5455"/>
      <c r="EC29" s="5455"/>
      <c r="ED29" s="5455"/>
      <c r="EE29" s="5455"/>
      <c r="EF29" s="5455"/>
      <c r="EG29" s="5455"/>
      <c r="EH29" s="5455"/>
      <c r="EI29" s="5455"/>
      <c r="EJ29" s="5455"/>
      <c r="EK29" s="5455"/>
      <c r="EL29" s="5455"/>
      <c r="EM29" s="5455"/>
      <c r="EN29" s="5455"/>
      <c r="EO29" s="5455"/>
      <c r="EP29" s="5455"/>
      <c r="EQ29" s="5455"/>
      <c r="ER29" s="5455"/>
      <c r="ES29" s="5455"/>
      <c r="ET29" s="5455"/>
      <c r="EU29" s="5455"/>
      <c r="EV29" s="5455"/>
      <c r="EW29" s="5455"/>
      <c r="EX29" s="5455"/>
      <c r="EY29" s="5455"/>
      <c r="EZ29" s="5455"/>
      <c r="FA29" s="5466"/>
    </row>
    <row r="30" spans="1:157" s="2018" customFormat="1" ht="15" customHeight="1" thickBot="1">
      <c r="A30" s="16134"/>
      <c r="B30" s="16031"/>
      <c r="C30" s="5407" t="s">
        <v>8037</v>
      </c>
      <c r="D30" s="5407" t="s">
        <v>1003</v>
      </c>
      <c r="E30" s="5407" t="s">
        <v>1004</v>
      </c>
      <c r="F30" s="5601" t="s">
        <v>958</v>
      </c>
      <c r="G30" s="5602">
        <v>1</v>
      </c>
      <c r="H30" s="1340">
        <v>1</v>
      </c>
      <c r="I30" s="1340">
        <v>1</v>
      </c>
      <c r="J30" s="1340">
        <v>1</v>
      </c>
      <c r="K30" s="1340">
        <v>1</v>
      </c>
      <c r="L30" s="1340">
        <v>1</v>
      </c>
      <c r="M30" s="1340">
        <v>1</v>
      </c>
      <c r="N30" s="1340">
        <v>1</v>
      </c>
      <c r="O30" s="1340">
        <v>1</v>
      </c>
      <c r="P30" s="1340">
        <v>1</v>
      </c>
      <c r="Q30" s="1340">
        <v>1</v>
      </c>
      <c r="R30" s="1349" t="s">
        <v>10072</v>
      </c>
      <c r="S30" s="2030" t="s">
        <v>10081</v>
      </c>
      <c r="T30" s="2031"/>
      <c r="U30" s="5603"/>
      <c r="V30" s="16129"/>
      <c r="W30" s="2031"/>
      <c r="X30" s="2031"/>
      <c r="Y30" s="1340"/>
      <c r="Z30" s="5604"/>
      <c r="AA30" s="5604"/>
      <c r="AB30" s="5604"/>
      <c r="AC30" s="5605"/>
      <c r="AD30" s="2031"/>
      <c r="AE30" s="2031"/>
      <c r="AF30" s="2031"/>
      <c r="AG30" s="2031"/>
      <c r="AH30" s="2031"/>
      <c r="AI30" s="2031"/>
      <c r="AJ30" s="2031"/>
      <c r="AK30" s="2031"/>
      <c r="AL30" s="2031"/>
      <c r="AM30" s="2031"/>
      <c r="AN30" s="2031"/>
      <c r="AO30" s="2031"/>
      <c r="AP30" s="2031"/>
      <c r="AQ30" s="2031"/>
      <c r="AR30" s="2031"/>
      <c r="AS30" s="2031"/>
      <c r="AT30" s="2031"/>
      <c r="AU30" s="2031"/>
      <c r="AV30" s="2031"/>
      <c r="AW30" s="2031"/>
      <c r="AX30" s="2031"/>
      <c r="AY30" s="2031"/>
      <c r="AZ30" s="2031"/>
      <c r="BA30" s="2031"/>
      <c r="BB30" s="2031"/>
      <c r="BC30" s="2031"/>
      <c r="BD30" s="2031"/>
      <c r="BE30" s="2031"/>
      <c r="BF30" s="2031"/>
      <c r="BG30" s="2031"/>
      <c r="BH30" s="2031"/>
      <c r="BI30" s="2031"/>
      <c r="BJ30" s="2031"/>
      <c r="BK30" s="2031"/>
      <c r="BL30" s="2031"/>
      <c r="BM30" s="2031"/>
      <c r="BN30" s="5603">
        <v>1</v>
      </c>
      <c r="BO30" s="16129"/>
      <c r="BP30" s="2031" t="s">
        <v>9439</v>
      </c>
      <c r="BQ30" s="2031" t="s">
        <v>9440</v>
      </c>
      <c r="BR30" s="1340" t="s">
        <v>9441</v>
      </c>
      <c r="BS30" s="5606">
        <f t="shared" ref="BS30" si="2">+SUM(BT30:BV30)</f>
        <v>127010218.07769422</v>
      </c>
      <c r="BT30" s="5606">
        <v>88907152.654385954</v>
      </c>
      <c r="BU30" s="5606">
        <v>38103065.423308268</v>
      </c>
      <c r="BV30" s="5607">
        <v>0</v>
      </c>
      <c r="BW30" s="5414"/>
      <c r="BX30" s="5414"/>
      <c r="BY30" s="5414"/>
      <c r="BZ30" s="5414"/>
      <c r="CA30" s="5414"/>
      <c r="CB30" s="5414"/>
      <c r="CC30" s="5414"/>
      <c r="CD30" s="5414"/>
      <c r="CE30" s="5414"/>
      <c r="CF30" s="5414"/>
      <c r="CG30" s="5414"/>
      <c r="CH30" s="5414"/>
      <c r="CI30" s="5414"/>
      <c r="CJ30" s="5414"/>
      <c r="CK30" s="5414"/>
      <c r="CL30" s="5414"/>
      <c r="CM30" s="5414"/>
      <c r="CN30" s="5414"/>
      <c r="CO30" s="5414"/>
      <c r="CP30" s="5414"/>
      <c r="CQ30" s="5414"/>
      <c r="CR30" s="5414"/>
      <c r="CS30" s="5414"/>
      <c r="CT30" s="5414"/>
      <c r="CU30" s="5414"/>
      <c r="CV30" s="5414"/>
      <c r="CW30" s="5414"/>
      <c r="CX30" s="5414"/>
      <c r="CY30" s="5414"/>
      <c r="CZ30" s="5414"/>
      <c r="DA30" s="5414"/>
      <c r="DB30" s="5414"/>
      <c r="DC30" s="5414"/>
      <c r="DD30" s="5414"/>
      <c r="DE30" s="5414"/>
      <c r="DF30" s="5414"/>
      <c r="DG30" s="5471"/>
      <c r="DH30" s="5471"/>
      <c r="DI30" s="5471"/>
      <c r="DJ30" s="5471"/>
      <c r="DK30" s="5471"/>
      <c r="DL30" s="5471"/>
      <c r="DM30" s="5471"/>
      <c r="DN30" s="5471"/>
      <c r="DO30" s="5471"/>
      <c r="DP30" s="5471"/>
      <c r="DQ30" s="5471"/>
      <c r="DR30" s="5471"/>
      <c r="DS30" s="5471"/>
      <c r="DT30" s="5471"/>
      <c r="DU30" s="5471"/>
      <c r="DV30" s="5471"/>
      <c r="DW30" s="5471"/>
      <c r="DX30" s="5471"/>
      <c r="DY30" s="5471"/>
      <c r="DZ30" s="5471"/>
      <c r="EA30" s="5471"/>
      <c r="EB30" s="5471"/>
      <c r="EC30" s="5471"/>
      <c r="ED30" s="5471"/>
      <c r="EE30" s="5471"/>
      <c r="EF30" s="5471"/>
      <c r="EG30" s="5471"/>
      <c r="EH30" s="5471"/>
      <c r="EI30" s="5471"/>
      <c r="EJ30" s="5471"/>
      <c r="EK30" s="5471"/>
      <c r="EL30" s="5471"/>
      <c r="EM30" s="5471"/>
      <c r="EN30" s="5471"/>
      <c r="EO30" s="5471"/>
      <c r="EP30" s="5471"/>
      <c r="EQ30" s="5471"/>
      <c r="ER30" s="5471"/>
      <c r="ES30" s="5471"/>
      <c r="ET30" s="5471"/>
      <c r="EU30" s="5471"/>
      <c r="EV30" s="5471"/>
      <c r="EW30" s="5471"/>
      <c r="EX30" s="5471"/>
      <c r="EY30" s="5471"/>
      <c r="EZ30" s="5471"/>
      <c r="FA30" s="5472"/>
    </row>
    <row r="31" spans="1:157" s="2019" customFormat="1" ht="15" customHeight="1">
      <c r="A31" s="16138" t="s">
        <v>1005</v>
      </c>
      <c r="B31" s="16139" t="s">
        <v>1006</v>
      </c>
      <c r="C31" s="5119" t="s">
        <v>8038</v>
      </c>
      <c r="D31" s="5119" t="s">
        <v>1007</v>
      </c>
      <c r="E31" s="5119" t="s">
        <v>1008</v>
      </c>
      <c r="F31" s="5120" t="s">
        <v>958</v>
      </c>
      <c r="G31" s="5608">
        <v>0</v>
      </c>
      <c r="H31" s="5112">
        <v>4</v>
      </c>
      <c r="I31" s="5112">
        <v>4</v>
      </c>
      <c r="J31" s="5112">
        <v>5</v>
      </c>
      <c r="K31" s="5112">
        <v>5</v>
      </c>
      <c r="L31" s="5112">
        <v>5</v>
      </c>
      <c r="M31" s="5112">
        <v>7</v>
      </c>
      <c r="N31" s="5112">
        <v>7</v>
      </c>
      <c r="O31" s="5112">
        <v>7</v>
      </c>
      <c r="P31" s="5112">
        <v>7</v>
      </c>
      <c r="Q31" s="5112">
        <v>7</v>
      </c>
      <c r="R31" s="5609" t="s">
        <v>10072</v>
      </c>
      <c r="S31" s="5610" t="s">
        <v>968</v>
      </c>
      <c r="T31" s="5611"/>
      <c r="U31" s="5612"/>
      <c r="V31" s="16140"/>
      <c r="W31" s="5112"/>
      <c r="X31" s="5112"/>
      <c r="Y31" s="5112"/>
      <c r="Z31" s="5613"/>
      <c r="AA31" s="5613"/>
      <c r="AB31" s="5613"/>
      <c r="AC31" s="5614"/>
      <c r="AD31" s="5615"/>
      <c r="AE31" s="5615"/>
      <c r="AF31" s="5615"/>
      <c r="AG31" s="5615"/>
      <c r="AH31" s="5615"/>
      <c r="AI31" s="5615"/>
      <c r="AJ31" s="5615"/>
      <c r="AK31" s="5615"/>
      <c r="AL31" s="5615"/>
      <c r="AM31" s="5615"/>
      <c r="AN31" s="5615"/>
      <c r="AO31" s="5615"/>
      <c r="AP31" s="5615"/>
      <c r="AQ31" s="5615"/>
      <c r="AR31" s="5615"/>
      <c r="AS31" s="5615"/>
      <c r="AT31" s="5615"/>
      <c r="AU31" s="5615"/>
      <c r="AV31" s="5615"/>
      <c r="AW31" s="5615"/>
      <c r="AX31" s="5615"/>
      <c r="AY31" s="5615"/>
      <c r="AZ31" s="5615"/>
      <c r="BA31" s="5615"/>
      <c r="BB31" s="5615"/>
      <c r="BC31" s="5615"/>
      <c r="BD31" s="5615"/>
      <c r="BE31" s="5615"/>
      <c r="BF31" s="5615"/>
      <c r="BG31" s="5615"/>
      <c r="BH31" s="5615"/>
      <c r="BI31" s="5615"/>
      <c r="BJ31" s="5615"/>
      <c r="BK31" s="5615"/>
      <c r="BL31" s="5615"/>
      <c r="BM31" s="5615"/>
      <c r="BN31" s="5612">
        <v>0</v>
      </c>
      <c r="BO31" s="16140">
        <f>AVERAGE(BN31:BN32)</f>
        <v>0.5</v>
      </c>
      <c r="BP31" s="5112" t="s">
        <v>9432</v>
      </c>
      <c r="BQ31" s="5112"/>
      <c r="BR31" s="5112"/>
      <c r="BS31" s="5616">
        <v>0</v>
      </c>
      <c r="BT31" s="5616">
        <v>0</v>
      </c>
      <c r="BU31" s="5616">
        <v>0</v>
      </c>
      <c r="BV31" s="5023">
        <v>0</v>
      </c>
      <c r="BW31" s="5023"/>
      <c r="BX31" s="5023"/>
      <c r="BY31" s="5023"/>
      <c r="BZ31" s="5023"/>
      <c r="CA31" s="5023"/>
      <c r="CB31" s="5023"/>
      <c r="CC31" s="5023"/>
      <c r="CD31" s="5023"/>
      <c r="CE31" s="5023"/>
      <c r="CF31" s="5023"/>
      <c r="CG31" s="5023"/>
      <c r="CH31" s="5023"/>
      <c r="CI31" s="5023"/>
      <c r="CJ31" s="5023"/>
      <c r="CK31" s="5023"/>
      <c r="CL31" s="5023"/>
      <c r="CM31" s="5023"/>
      <c r="CN31" s="5023"/>
      <c r="CO31" s="5023"/>
      <c r="CP31" s="5023"/>
      <c r="CQ31" s="5023"/>
      <c r="CR31" s="5023"/>
      <c r="CS31" s="5023"/>
      <c r="CT31" s="5023"/>
      <c r="CU31" s="5023"/>
      <c r="CV31" s="5023"/>
      <c r="CW31" s="5023"/>
      <c r="CX31" s="5023"/>
      <c r="CY31" s="5023"/>
      <c r="CZ31" s="5023"/>
      <c r="DA31" s="5023"/>
      <c r="DB31" s="5023"/>
      <c r="DC31" s="5023"/>
      <c r="DD31" s="5023"/>
      <c r="DE31" s="5023"/>
      <c r="DF31" s="5023"/>
      <c r="DG31" s="5617"/>
      <c r="DH31" s="5617"/>
      <c r="DI31" s="5617"/>
      <c r="DJ31" s="5617"/>
      <c r="DK31" s="5617"/>
      <c r="DL31" s="5617"/>
      <c r="DM31" s="5617"/>
      <c r="DN31" s="5617"/>
      <c r="DO31" s="5617"/>
      <c r="DP31" s="5617"/>
      <c r="DQ31" s="5617"/>
      <c r="DR31" s="5617"/>
      <c r="DS31" s="5617"/>
      <c r="DT31" s="5617"/>
      <c r="DU31" s="5617"/>
      <c r="DV31" s="5617"/>
      <c r="DW31" s="5617"/>
      <c r="DX31" s="5617"/>
      <c r="DY31" s="5617"/>
      <c r="DZ31" s="5617"/>
      <c r="EA31" s="5617"/>
      <c r="EB31" s="5617"/>
      <c r="EC31" s="5617"/>
      <c r="ED31" s="5617"/>
      <c r="EE31" s="5617"/>
      <c r="EF31" s="5617"/>
      <c r="EG31" s="5617"/>
      <c r="EH31" s="5617"/>
      <c r="EI31" s="5617"/>
      <c r="EJ31" s="5617"/>
      <c r="EK31" s="5617"/>
      <c r="EL31" s="5617"/>
      <c r="EM31" s="5617"/>
      <c r="EN31" s="5617"/>
      <c r="EO31" s="5617"/>
      <c r="EP31" s="5617"/>
      <c r="EQ31" s="5617"/>
      <c r="ER31" s="5617"/>
      <c r="ES31" s="5617"/>
      <c r="ET31" s="5617"/>
      <c r="EU31" s="5617"/>
      <c r="EV31" s="5617"/>
      <c r="EW31" s="5617"/>
      <c r="EX31" s="5617"/>
      <c r="EY31" s="5617"/>
      <c r="EZ31" s="5617"/>
      <c r="FA31" s="5618"/>
    </row>
    <row r="32" spans="1:157" s="2019" customFormat="1" ht="15" customHeight="1" thickBot="1">
      <c r="A32" s="16083"/>
      <c r="B32" s="16085"/>
      <c r="C32" s="5483" t="s">
        <v>8039</v>
      </c>
      <c r="D32" s="5483" t="s">
        <v>1009</v>
      </c>
      <c r="E32" s="5483" t="s">
        <v>1010</v>
      </c>
      <c r="F32" s="2025" t="s">
        <v>958</v>
      </c>
      <c r="G32" s="5619">
        <v>0</v>
      </c>
      <c r="H32" s="1407">
        <v>1</v>
      </c>
      <c r="I32" s="1407">
        <v>1</v>
      </c>
      <c r="J32" s="1407">
        <v>0</v>
      </c>
      <c r="K32" s="1407"/>
      <c r="L32" s="1407">
        <v>0</v>
      </c>
      <c r="M32" s="1407">
        <v>0</v>
      </c>
      <c r="N32" s="1407">
        <v>0</v>
      </c>
      <c r="O32" s="1407">
        <v>0</v>
      </c>
      <c r="P32" s="1407">
        <v>0</v>
      </c>
      <c r="Q32" s="1407">
        <v>0</v>
      </c>
      <c r="R32" s="5484" t="s">
        <v>10072</v>
      </c>
      <c r="S32" s="2026" t="s">
        <v>1011</v>
      </c>
      <c r="T32" s="2027"/>
      <c r="U32" s="5485"/>
      <c r="V32" s="16141"/>
      <c r="W32" s="5620"/>
      <c r="X32" s="1407"/>
      <c r="Y32" s="5620"/>
      <c r="Z32" s="5621"/>
      <c r="AA32" s="5621"/>
      <c r="AB32" s="5621"/>
      <c r="AC32" s="5487"/>
      <c r="AD32" s="2027"/>
      <c r="AE32" s="2027"/>
      <c r="AF32" s="2027"/>
      <c r="AG32" s="2027"/>
      <c r="AH32" s="2027"/>
      <c r="AI32" s="2027"/>
      <c r="AJ32" s="2027"/>
      <c r="AK32" s="2027"/>
      <c r="AL32" s="2027"/>
      <c r="AM32" s="2027"/>
      <c r="AN32" s="2027"/>
      <c r="AO32" s="2027"/>
      <c r="AP32" s="2027"/>
      <c r="AQ32" s="2027"/>
      <c r="AR32" s="2027"/>
      <c r="AS32" s="2027"/>
      <c r="AT32" s="2027"/>
      <c r="AU32" s="2027"/>
      <c r="AV32" s="2027"/>
      <c r="AW32" s="2027"/>
      <c r="AX32" s="2027"/>
      <c r="AY32" s="2027"/>
      <c r="AZ32" s="2027"/>
      <c r="BA32" s="2027"/>
      <c r="BB32" s="2027"/>
      <c r="BC32" s="2027"/>
      <c r="BD32" s="2027"/>
      <c r="BE32" s="2027"/>
      <c r="BF32" s="2027"/>
      <c r="BG32" s="2027"/>
      <c r="BH32" s="2027"/>
      <c r="BI32" s="2027"/>
      <c r="BJ32" s="2027"/>
      <c r="BK32" s="2027"/>
      <c r="BL32" s="2027"/>
      <c r="BM32" s="2027"/>
      <c r="BN32" s="5485">
        <v>1</v>
      </c>
      <c r="BO32" s="16141"/>
      <c r="BP32" s="5620" t="s">
        <v>9666</v>
      </c>
      <c r="BQ32" s="1407" t="s">
        <v>9432</v>
      </c>
      <c r="BR32" s="5620">
        <v>0</v>
      </c>
      <c r="BS32" s="5622">
        <v>0</v>
      </c>
      <c r="BT32" s="5622">
        <v>0</v>
      </c>
      <c r="BU32" s="5622">
        <v>0</v>
      </c>
      <c r="BV32" s="1427">
        <v>0</v>
      </c>
      <c r="BW32" s="5622"/>
      <c r="BX32" s="5622"/>
      <c r="BY32" s="5622"/>
      <c r="BZ32" s="5622"/>
      <c r="CA32" s="5622"/>
      <c r="CB32" s="5622"/>
      <c r="CC32" s="5622"/>
      <c r="CD32" s="5622"/>
      <c r="CE32" s="5622"/>
      <c r="CF32" s="5622"/>
      <c r="CG32" s="5622"/>
      <c r="CH32" s="5622"/>
      <c r="CI32" s="5622"/>
      <c r="CJ32" s="5622"/>
      <c r="CK32" s="5622"/>
      <c r="CL32" s="5622"/>
      <c r="CM32" s="5622"/>
      <c r="CN32" s="5622"/>
      <c r="CO32" s="5622"/>
      <c r="CP32" s="5622"/>
      <c r="CQ32" s="5622"/>
      <c r="CR32" s="5622"/>
      <c r="CS32" s="5622"/>
      <c r="CT32" s="5622"/>
      <c r="CU32" s="5622"/>
      <c r="CV32" s="5622"/>
      <c r="CW32" s="5622"/>
      <c r="CX32" s="5622"/>
      <c r="CY32" s="5622"/>
      <c r="CZ32" s="5622"/>
      <c r="DA32" s="5622"/>
      <c r="DB32" s="5622"/>
      <c r="DC32" s="5622"/>
      <c r="DD32" s="5622"/>
      <c r="DE32" s="5622"/>
      <c r="DF32" s="5622"/>
      <c r="DG32" s="5488"/>
      <c r="DH32" s="5488"/>
      <c r="DI32" s="5488"/>
      <c r="DJ32" s="5488"/>
      <c r="DK32" s="5488"/>
      <c r="DL32" s="5488"/>
      <c r="DM32" s="5488"/>
      <c r="DN32" s="5488"/>
      <c r="DO32" s="5488"/>
      <c r="DP32" s="5488"/>
      <c r="DQ32" s="5488"/>
      <c r="DR32" s="5488"/>
      <c r="DS32" s="5488"/>
      <c r="DT32" s="5488"/>
      <c r="DU32" s="5488"/>
      <c r="DV32" s="5488"/>
      <c r="DW32" s="5488"/>
      <c r="DX32" s="5488"/>
      <c r="DY32" s="5488"/>
      <c r="DZ32" s="5488"/>
      <c r="EA32" s="5488"/>
      <c r="EB32" s="5488"/>
      <c r="EC32" s="5488"/>
      <c r="ED32" s="5488"/>
      <c r="EE32" s="5488"/>
      <c r="EF32" s="5488"/>
      <c r="EG32" s="5488"/>
      <c r="EH32" s="5488"/>
      <c r="EI32" s="5488"/>
      <c r="EJ32" s="5488"/>
      <c r="EK32" s="5488"/>
      <c r="EL32" s="5488"/>
      <c r="EM32" s="5488"/>
      <c r="EN32" s="5488"/>
      <c r="EO32" s="5488"/>
      <c r="EP32" s="5488"/>
      <c r="EQ32" s="5488"/>
      <c r="ER32" s="5488"/>
      <c r="ES32" s="5488"/>
      <c r="ET32" s="5488"/>
      <c r="EU32" s="5488"/>
      <c r="EV32" s="5488"/>
      <c r="EW32" s="5488"/>
      <c r="EX32" s="5488"/>
      <c r="EY32" s="5488"/>
      <c r="EZ32" s="5488"/>
      <c r="FA32" s="5489"/>
    </row>
    <row r="33" spans="1:157" s="2021" customFormat="1" ht="15" customHeight="1">
      <c r="A33" s="16059" t="s">
        <v>1012</v>
      </c>
      <c r="B33" s="5623" t="s">
        <v>1013</v>
      </c>
      <c r="C33" s="5121" t="s">
        <v>8040</v>
      </c>
      <c r="D33" s="5121" t="s">
        <v>1014</v>
      </c>
      <c r="E33" s="5121" t="s">
        <v>1015</v>
      </c>
      <c r="F33" s="5122" t="s">
        <v>958</v>
      </c>
      <c r="G33" s="5537">
        <v>0</v>
      </c>
      <c r="H33" s="5111">
        <v>0</v>
      </c>
      <c r="I33" s="5111">
        <v>1</v>
      </c>
      <c r="J33" s="5111">
        <v>1</v>
      </c>
      <c r="K33" s="5111">
        <v>1</v>
      </c>
      <c r="L33" s="5111">
        <v>1</v>
      </c>
      <c r="M33" s="5111">
        <v>1</v>
      </c>
      <c r="N33" s="5111">
        <v>1</v>
      </c>
      <c r="O33" s="5111">
        <v>1</v>
      </c>
      <c r="P33" s="5111">
        <v>1</v>
      </c>
      <c r="Q33" s="5111">
        <v>1</v>
      </c>
      <c r="R33" s="5538" t="s">
        <v>10072</v>
      </c>
      <c r="S33" s="5539" t="s">
        <v>968</v>
      </c>
      <c r="T33" s="5541"/>
      <c r="U33" s="5124"/>
      <c r="V33" s="16142"/>
      <c r="W33" s="5111"/>
      <c r="X33" s="5111"/>
      <c r="Y33" s="5541"/>
      <c r="Z33" s="5542"/>
      <c r="AA33" s="5542"/>
      <c r="AB33" s="5542"/>
      <c r="AC33" s="5543"/>
      <c r="AD33" s="5544"/>
      <c r="AE33" s="5544"/>
      <c r="AF33" s="5544"/>
      <c r="AG33" s="5544"/>
      <c r="AH33" s="5544"/>
      <c r="AI33" s="5544"/>
      <c r="AJ33" s="5544"/>
      <c r="AK33" s="5544"/>
      <c r="AL33" s="5544"/>
      <c r="AM33" s="5544"/>
      <c r="AN33" s="5544"/>
      <c r="AO33" s="5544"/>
      <c r="AP33" s="5544"/>
      <c r="AQ33" s="5544"/>
      <c r="AR33" s="5544"/>
      <c r="AS33" s="5544"/>
      <c r="AT33" s="5544"/>
      <c r="AU33" s="5544"/>
      <c r="AV33" s="5544"/>
      <c r="AW33" s="5544"/>
      <c r="AX33" s="5544"/>
      <c r="AY33" s="5544"/>
      <c r="AZ33" s="5544"/>
      <c r="BA33" s="5544"/>
      <c r="BB33" s="5544"/>
      <c r="BC33" s="5544"/>
      <c r="BD33" s="5544"/>
      <c r="BE33" s="5544"/>
      <c r="BF33" s="5544"/>
      <c r="BG33" s="5544"/>
      <c r="BH33" s="5544"/>
      <c r="BI33" s="5544"/>
      <c r="BJ33" s="5544"/>
      <c r="BK33" s="5544"/>
      <c r="BL33" s="5544"/>
      <c r="BM33" s="5544"/>
      <c r="BN33" s="5124">
        <v>0</v>
      </c>
      <c r="BO33" s="16142">
        <f>AVERAGE(BN33:BN35)</f>
        <v>0.33333333333333331</v>
      </c>
      <c r="BP33" s="5111">
        <v>0</v>
      </c>
      <c r="BQ33" s="5111" t="s">
        <v>9432</v>
      </c>
      <c r="BR33" s="5541" t="s">
        <v>9442</v>
      </c>
      <c r="BS33" s="5545">
        <v>0</v>
      </c>
      <c r="BT33" s="5545">
        <v>0</v>
      </c>
      <c r="BU33" s="5545">
        <v>0</v>
      </c>
      <c r="BV33" s="5546">
        <v>0</v>
      </c>
      <c r="BW33" s="5546"/>
      <c r="BX33" s="5546"/>
      <c r="BY33" s="5546"/>
      <c r="BZ33" s="5546"/>
      <c r="CA33" s="5546"/>
      <c r="CB33" s="5546"/>
      <c r="CC33" s="5546"/>
      <c r="CD33" s="5546"/>
      <c r="CE33" s="5546"/>
      <c r="CF33" s="5546"/>
      <c r="CG33" s="5546"/>
      <c r="CH33" s="5546"/>
      <c r="CI33" s="5546"/>
      <c r="CJ33" s="5546"/>
      <c r="CK33" s="5546"/>
      <c r="CL33" s="5546"/>
      <c r="CM33" s="5546"/>
      <c r="CN33" s="5546"/>
      <c r="CO33" s="5546"/>
      <c r="CP33" s="5546"/>
      <c r="CQ33" s="5546"/>
      <c r="CR33" s="5546"/>
      <c r="CS33" s="5546"/>
      <c r="CT33" s="5546"/>
      <c r="CU33" s="5546"/>
      <c r="CV33" s="5546"/>
      <c r="CW33" s="5546"/>
      <c r="CX33" s="5546"/>
      <c r="CY33" s="5546"/>
      <c r="CZ33" s="5546"/>
      <c r="DA33" s="5546"/>
      <c r="DB33" s="5546"/>
      <c r="DC33" s="5546"/>
      <c r="DD33" s="5546"/>
      <c r="DE33" s="5546"/>
      <c r="DF33" s="5546"/>
      <c r="DG33" s="5547"/>
      <c r="DH33" s="5547"/>
      <c r="DI33" s="5547"/>
      <c r="DJ33" s="5547"/>
      <c r="DK33" s="5547"/>
      <c r="DL33" s="5547"/>
      <c r="DM33" s="5547"/>
      <c r="DN33" s="5547"/>
      <c r="DO33" s="5547"/>
      <c r="DP33" s="5547"/>
      <c r="DQ33" s="5547"/>
      <c r="DR33" s="5547"/>
      <c r="DS33" s="5547"/>
      <c r="DT33" s="5547"/>
      <c r="DU33" s="5547"/>
      <c r="DV33" s="5547"/>
      <c r="DW33" s="5547"/>
      <c r="DX33" s="5547"/>
      <c r="DY33" s="5547"/>
      <c r="DZ33" s="5547"/>
      <c r="EA33" s="5547"/>
      <c r="EB33" s="5547"/>
      <c r="EC33" s="5547"/>
      <c r="ED33" s="5547"/>
      <c r="EE33" s="5547"/>
      <c r="EF33" s="5547"/>
      <c r="EG33" s="5547"/>
      <c r="EH33" s="5547"/>
      <c r="EI33" s="5547"/>
      <c r="EJ33" s="5547"/>
      <c r="EK33" s="5547"/>
      <c r="EL33" s="5547"/>
      <c r="EM33" s="5547"/>
      <c r="EN33" s="5547"/>
      <c r="EO33" s="5547"/>
      <c r="EP33" s="5547"/>
      <c r="EQ33" s="5547"/>
      <c r="ER33" s="5547"/>
      <c r="ES33" s="5547"/>
      <c r="ET33" s="5547"/>
      <c r="EU33" s="5547"/>
      <c r="EV33" s="5547"/>
      <c r="EW33" s="5547"/>
      <c r="EX33" s="5547"/>
      <c r="EY33" s="5547"/>
      <c r="EZ33" s="5547"/>
      <c r="FA33" s="5548"/>
    </row>
    <row r="34" spans="1:157" s="2021" customFormat="1" ht="15" customHeight="1">
      <c r="A34" s="16060"/>
      <c r="B34" s="16068" t="s">
        <v>1016</v>
      </c>
      <c r="C34" s="5348" t="s">
        <v>8041</v>
      </c>
      <c r="D34" s="5348" t="s">
        <v>1017</v>
      </c>
      <c r="E34" s="5348" t="s">
        <v>1018</v>
      </c>
      <c r="F34" s="5349" t="s">
        <v>958</v>
      </c>
      <c r="G34" s="5350">
        <v>0</v>
      </c>
      <c r="H34" s="2749">
        <v>1</v>
      </c>
      <c r="I34" s="2749">
        <v>0</v>
      </c>
      <c r="J34" s="2749">
        <v>0</v>
      </c>
      <c r="K34" s="2749">
        <v>0</v>
      </c>
      <c r="L34" s="2749">
        <v>0</v>
      </c>
      <c r="M34" s="2749">
        <v>0</v>
      </c>
      <c r="N34" s="2749">
        <v>0</v>
      </c>
      <c r="O34" s="2749">
        <v>0</v>
      </c>
      <c r="P34" s="2749">
        <v>0</v>
      </c>
      <c r="Q34" s="2749">
        <v>0</v>
      </c>
      <c r="R34" s="5431" t="s">
        <v>10072</v>
      </c>
      <c r="S34" s="5351" t="s">
        <v>1020</v>
      </c>
      <c r="T34" s="5353"/>
      <c r="U34" s="5359"/>
      <c r="V34" s="16143"/>
      <c r="W34" s="2749"/>
      <c r="X34" s="2749"/>
      <c r="Y34" s="2749"/>
      <c r="Z34" s="5354"/>
      <c r="AA34" s="5354"/>
      <c r="AB34" s="5354"/>
      <c r="AC34" s="5355"/>
      <c r="AD34" s="5356"/>
      <c r="AE34" s="5356"/>
      <c r="AF34" s="5356"/>
      <c r="AG34" s="5356"/>
      <c r="AH34" s="5356"/>
      <c r="AI34" s="5356"/>
      <c r="AJ34" s="5356"/>
      <c r="AK34" s="5356"/>
      <c r="AL34" s="5356"/>
      <c r="AM34" s="5356"/>
      <c r="AN34" s="5356"/>
      <c r="AO34" s="5356"/>
      <c r="AP34" s="5356"/>
      <c r="AQ34" s="5356"/>
      <c r="AR34" s="5356"/>
      <c r="AS34" s="5356"/>
      <c r="AT34" s="5356"/>
      <c r="AU34" s="5356"/>
      <c r="AV34" s="5356"/>
      <c r="AW34" s="5356"/>
      <c r="AX34" s="5356"/>
      <c r="AY34" s="5356"/>
      <c r="AZ34" s="5356"/>
      <c r="BA34" s="5356"/>
      <c r="BB34" s="5356"/>
      <c r="BC34" s="5356"/>
      <c r="BD34" s="5356"/>
      <c r="BE34" s="5356"/>
      <c r="BF34" s="5356"/>
      <c r="BG34" s="5356"/>
      <c r="BH34" s="5356"/>
      <c r="BI34" s="5356"/>
      <c r="BJ34" s="5356"/>
      <c r="BK34" s="5356"/>
      <c r="BL34" s="5356"/>
      <c r="BM34" s="5356"/>
      <c r="BN34" s="5359">
        <v>0</v>
      </c>
      <c r="BO34" s="16143"/>
      <c r="BP34" s="2749">
        <v>0</v>
      </c>
      <c r="BQ34" s="2749" t="s">
        <v>9432</v>
      </c>
      <c r="BR34" s="2749"/>
      <c r="BS34" s="5357">
        <v>0</v>
      </c>
      <c r="BT34" s="5357">
        <v>0</v>
      </c>
      <c r="BU34" s="5357">
        <v>0</v>
      </c>
      <c r="BV34" s="5358">
        <v>0</v>
      </c>
      <c r="BW34" s="5358"/>
      <c r="BX34" s="5358"/>
      <c r="BY34" s="5358"/>
      <c r="BZ34" s="5358"/>
      <c r="CA34" s="5358"/>
      <c r="CB34" s="5358"/>
      <c r="CC34" s="5358"/>
      <c r="CD34" s="5358"/>
      <c r="CE34" s="5358"/>
      <c r="CF34" s="5358"/>
      <c r="CG34" s="5358"/>
      <c r="CH34" s="5358"/>
      <c r="CI34" s="5358"/>
      <c r="CJ34" s="5358"/>
      <c r="CK34" s="5358"/>
      <c r="CL34" s="5358"/>
      <c r="CM34" s="5358"/>
      <c r="CN34" s="5358"/>
      <c r="CO34" s="5358"/>
      <c r="CP34" s="5358"/>
      <c r="CQ34" s="5358"/>
      <c r="CR34" s="5358"/>
      <c r="CS34" s="5358"/>
      <c r="CT34" s="5358"/>
      <c r="CU34" s="5358"/>
      <c r="CV34" s="5358"/>
      <c r="CW34" s="5358"/>
      <c r="CX34" s="5358"/>
      <c r="CY34" s="5358"/>
      <c r="CZ34" s="5358"/>
      <c r="DA34" s="5358"/>
      <c r="DB34" s="5358"/>
      <c r="DC34" s="5358"/>
      <c r="DD34" s="5358"/>
      <c r="DE34" s="5358"/>
      <c r="DF34" s="5358"/>
      <c r="DG34" s="5457"/>
      <c r="DH34" s="5457"/>
      <c r="DI34" s="5457"/>
      <c r="DJ34" s="5457"/>
      <c r="DK34" s="5457"/>
      <c r="DL34" s="5457"/>
      <c r="DM34" s="5457"/>
      <c r="DN34" s="5457"/>
      <c r="DO34" s="5457"/>
      <c r="DP34" s="5457"/>
      <c r="DQ34" s="5457"/>
      <c r="DR34" s="5457"/>
      <c r="DS34" s="5457"/>
      <c r="DT34" s="5457"/>
      <c r="DU34" s="5457"/>
      <c r="DV34" s="5457"/>
      <c r="DW34" s="5457"/>
      <c r="DX34" s="5457"/>
      <c r="DY34" s="5457"/>
      <c r="DZ34" s="5457"/>
      <c r="EA34" s="5457"/>
      <c r="EB34" s="5457"/>
      <c r="EC34" s="5457"/>
      <c r="ED34" s="5457"/>
      <c r="EE34" s="5457"/>
      <c r="EF34" s="5457"/>
      <c r="EG34" s="5457"/>
      <c r="EH34" s="5457"/>
      <c r="EI34" s="5457"/>
      <c r="EJ34" s="5457"/>
      <c r="EK34" s="5457"/>
      <c r="EL34" s="5457"/>
      <c r="EM34" s="5457"/>
      <c r="EN34" s="5457"/>
      <c r="EO34" s="5457"/>
      <c r="EP34" s="5457"/>
      <c r="EQ34" s="5457"/>
      <c r="ER34" s="5457"/>
      <c r="ES34" s="5457"/>
      <c r="ET34" s="5457"/>
      <c r="EU34" s="5457"/>
      <c r="EV34" s="5457"/>
      <c r="EW34" s="5457"/>
      <c r="EX34" s="5457"/>
      <c r="EY34" s="5457"/>
      <c r="EZ34" s="5457"/>
      <c r="FA34" s="5468"/>
    </row>
    <row r="35" spans="1:157" s="2021" customFormat="1" ht="15" customHeight="1">
      <c r="A35" s="16060"/>
      <c r="B35" s="16068"/>
      <c r="C35" s="16068" t="s">
        <v>8042</v>
      </c>
      <c r="D35" s="16068" t="s">
        <v>1021</v>
      </c>
      <c r="E35" s="16068" t="s">
        <v>1022</v>
      </c>
      <c r="F35" s="16130" t="s">
        <v>958</v>
      </c>
      <c r="G35" s="16131">
        <v>1</v>
      </c>
      <c r="H35" s="16034">
        <v>0</v>
      </c>
      <c r="I35" s="16034">
        <v>1</v>
      </c>
      <c r="J35" s="16034">
        <v>1</v>
      </c>
      <c r="K35" s="16034">
        <v>1</v>
      </c>
      <c r="L35" s="16034">
        <v>1</v>
      </c>
      <c r="M35" s="16034">
        <v>1</v>
      </c>
      <c r="N35" s="16034">
        <v>1</v>
      </c>
      <c r="O35" s="16034">
        <v>1</v>
      </c>
      <c r="P35" s="16034">
        <v>1</v>
      </c>
      <c r="Q35" s="16034">
        <v>1</v>
      </c>
      <c r="R35" s="5431" t="s">
        <v>10072</v>
      </c>
      <c r="S35" s="5440" t="s">
        <v>968</v>
      </c>
      <c r="T35" s="5353"/>
      <c r="U35" s="5359"/>
      <c r="V35" s="16143"/>
      <c r="W35" s="2749"/>
      <c r="X35" s="5356"/>
      <c r="Y35" s="5348"/>
      <c r="Z35" s="5624"/>
      <c r="AA35" s="5625"/>
      <c r="AB35" s="5626"/>
      <c r="AC35" s="5355"/>
      <c r="AD35" s="5627"/>
      <c r="AE35" s="5628"/>
      <c r="AF35" s="5627"/>
      <c r="AG35" s="5629"/>
      <c r="AH35" s="5349"/>
      <c r="AI35" s="5627"/>
      <c r="AJ35" s="5349"/>
      <c r="AK35" s="5349"/>
      <c r="AL35" s="5349"/>
      <c r="AM35" s="5349"/>
      <c r="AN35" s="5349"/>
      <c r="AO35" s="5349"/>
      <c r="AP35" s="5349"/>
      <c r="AQ35" s="5349"/>
      <c r="AR35" s="5349"/>
      <c r="AS35" s="5349"/>
      <c r="AT35" s="5349"/>
      <c r="AU35" s="5349"/>
      <c r="AV35" s="5349"/>
      <c r="AW35" s="5349"/>
      <c r="AX35" s="5349"/>
      <c r="AY35" s="5349"/>
      <c r="AZ35" s="5349"/>
      <c r="BA35" s="5349"/>
      <c r="BB35" s="5349"/>
      <c r="BC35" s="5349"/>
      <c r="BD35" s="5349"/>
      <c r="BE35" s="5349"/>
      <c r="BF35" s="5349"/>
      <c r="BG35" s="2749"/>
      <c r="BH35" s="5356"/>
      <c r="BI35" s="5356"/>
      <c r="BJ35" s="5356"/>
      <c r="BK35" s="5356"/>
      <c r="BL35" s="5356"/>
      <c r="BM35" s="5356"/>
      <c r="BN35" s="5359">
        <v>1</v>
      </c>
      <c r="BO35" s="16143"/>
      <c r="BP35" s="2749">
        <v>0</v>
      </c>
      <c r="BQ35" s="5356"/>
      <c r="BR35" s="5348" t="s">
        <v>9804</v>
      </c>
      <c r="BS35" s="5630">
        <f>BU35+52372667</f>
        <v>52373713</v>
      </c>
      <c r="BT35" s="5631">
        <v>0</v>
      </c>
      <c r="BU35" s="5632">
        <f>BV35+BW35+BX35</f>
        <v>1046</v>
      </c>
      <c r="BV35" s="5358">
        <v>0</v>
      </c>
      <c r="BW35" s="5627">
        <v>1046</v>
      </c>
      <c r="BX35" s="5632"/>
      <c r="BY35" s="5627">
        <v>1046</v>
      </c>
      <c r="BZ35" s="5627"/>
      <c r="CA35" s="5627"/>
      <c r="CB35" s="5627"/>
      <c r="CC35" s="5627"/>
      <c r="CD35" s="5627"/>
      <c r="CE35" s="5627"/>
      <c r="CF35" s="5627"/>
      <c r="CG35" s="5627"/>
      <c r="CH35" s="5627"/>
      <c r="CI35" s="5627"/>
      <c r="CJ35" s="5627"/>
      <c r="CK35" s="5627"/>
      <c r="CL35" s="5627"/>
      <c r="CM35" s="5627"/>
      <c r="CN35" s="5627"/>
      <c r="CO35" s="5627"/>
      <c r="CP35" s="5627"/>
      <c r="CQ35" s="5627"/>
      <c r="CR35" s="5627"/>
      <c r="CS35" s="5627"/>
      <c r="CT35" s="5627"/>
      <c r="CU35" s="5627"/>
      <c r="CV35" s="5627"/>
      <c r="CW35" s="5627"/>
      <c r="CX35" s="5627"/>
      <c r="CY35" s="5627"/>
      <c r="CZ35" s="5633" t="s">
        <v>9443</v>
      </c>
      <c r="DA35" s="5358"/>
      <c r="DB35" s="5358"/>
      <c r="DC35" s="5358"/>
      <c r="DD35" s="5358"/>
      <c r="DE35" s="5358"/>
      <c r="DF35" s="5358"/>
      <c r="DG35" s="5457"/>
      <c r="DH35" s="5457"/>
      <c r="DI35" s="5457"/>
      <c r="DJ35" s="5457"/>
      <c r="DK35" s="5457"/>
      <c r="DL35" s="5457"/>
      <c r="DM35" s="5457"/>
      <c r="DN35" s="5457"/>
      <c r="DO35" s="5457"/>
      <c r="DP35" s="5457"/>
      <c r="DQ35" s="5457"/>
      <c r="DR35" s="5457"/>
      <c r="DS35" s="5457"/>
      <c r="DT35" s="5457"/>
      <c r="DU35" s="5457"/>
      <c r="DV35" s="5457"/>
      <c r="DW35" s="5457"/>
      <c r="DX35" s="5457"/>
      <c r="DY35" s="5457"/>
      <c r="DZ35" s="5457"/>
      <c r="EA35" s="5457"/>
      <c r="EB35" s="5457"/>
      <c r="EC35" s="5457"/>
      <c r="ED35" s="5457"/>
      <c r="EE35" s="5457"/>
      <c r="EF35" s="5457"/>
      <c r="EG35" s="5457"/>
      <c r="EH35" s="5457"/>
      <c r="EI35" s="5457"/>
      <c r="EJ35" s="5457"/>
      <c r="EK35" s="5457"/>
      <c r="EL35" s="5457"/>
      <c r="EM35" s="5457"/>
      <c r="EN35" s="5457"/>
      <c r="EO35" s="5457"/>
      <c r="EP35" s="5457"/>
      <c r="EQ35" s="5457"/>
      <c r="ER35" s="5457"/>
      <c r="ES35" s="5457"/>
      <c r="ET35" s="5457"/>
      <c r="EU35" s="5457"/>
      <c r="EV35" s="5457"/>
      <c r="EW35" s="5457"/>
      <c r="EX35" s="5457"/>
      <c r="EY35" s="5457"/>
      <c r="EZ35" s="5457"/>
      <c r="FA35" s="5468"/>
    </row>
    <row r="36" spans="1:157" s="2021" customFormat="1" ht="15" customHeight="1">
      <c r="A36" s="16060"/>
      <c r="B36" s="16068"/>
      <c r="C36" s="16068"/>
      <c r="D36" s="16068"/>
      <c r="E36" s="16068"/>
      <c r="F36" s="16130"/>
      <c r="G36" s="16131"/>
      <c r="H36" s="16034"/>
      <c r="I36" s="16034"/>
      <c r="J36" s="16034"/>
      <c r="K36" s="16034"/>
      <c r="L36" s="16034"/>
      <c r="M36" s="16034"/>
      <c r="N36" s="16034"/>
      <c r="O36" s="16034"/>
      <c r="P36" s="16034"/>
      <c r="Q36" s="16034"/>
      <c r="R36" s="5431" t="s">
        <v>10063</v>
      </c>
      <c r="S36" s="5440"/>
      <c r="T36" s="5353" t="s">
        <v>9566</v>
      </c>
      <c r="U36" s="5359"/>
      <c r="V36" s="16179"/>
      <c r="W36" s="5353"/>
      <c r="X36" s="5353"/>
      <c r="Y36" s="5353"/>
      <c r="Z36" s="5354"/>
      <c r="AA36" s="5354"/>
      <c r="AB36" s="5354"/>
      <c r="AC36" s="5355"/>
      <c r="AD36" s="5628"/>
      <c r="AE36" s="5628"/>
      <c r="AF36" s="5627"/>
      <c r="AG36" s="5629"/>
      <c r="AH36" s="5349"/>
      <c r="AI36" s="5627"/>
      <c r="AJ36" s="5349"/>
      <c r="AK36" s="5349"/>
      <c r="AL36" s="5349"/>
      <c r="AM36" s="5349"/>
      <c r="AN36" s="5349"/>
      <c r="AO36" s="5349"/>
      <c r="AP36" s="5349"/>
      <c r="AQ36" s="5349"/>
      <c r="AR36" s="5349"/>
      <c r="AS36" s="5349"/>
      <c r="AT36" s="5349"/>
      <c r="AU36" s="5349"/>
      <c r="AV36" s="5349"/>
      <c r="AW36" s="5349"/>
      <c r="AX36" s="5349"/>
      <c r="AY36" s="5349"/>
      <c r="AZ36" s="5349"/>
      <c r="BA36" s="5349"/>
      <c r="BB36" s="5349"/>
      <c r="BC36" s="5349"/>
      <c r="BD36" s="5349"/>
      <c r="BE36" s="5349"/>
      <c r="BF36" s="5349"/>
      <c r="BG36" s="2749"/>
      <c r="BH36" s="5356"/>
      <c r="BI36" s="5356"/>
      <c r="BJ36" s="5356"/>
      <c r="BK36" s="5356"/>
      <c r="BL36" s="5356"/>
      <c r="BM36" s="5356"/>
      <c r="BN36" s="5359">
        <v>1</v>
      </c>
      <c r="BO36" s="16144">
        <f>AVERAGE(BN36:BN40)</f>
        <v>0.875</v>
      </c>
      <c r="BP36" s="5353" t="s">
        <v>9444</v>
      </c>
      <c r="BQ36" s="5353" t="s">
        <v>9445</v>
      </c>
      <c r="BR36" s="5353" t="s">
        <v>9446</v>
      </c>
      <c r="BS36" s="5357">
        <v>0</v>
      </c>
      <c r="BT36" s="5357">
        <v>0</v>
      </c>
      <c r="BU36" s="5357">
        <v>0</v>
      </c>
      <c r="BV36" s="5358">
        <v>0</v>
      </c>
      <c r="BW36" s="5632"/>
      <c r="BX36" s="5632"/>
      <c r="BY36" s="5627"/>
      <c r="BZ36" s="5627"/>
      <c r="CA36" s="5627"/>
      <c r="CB36" s="5627"/>
      <c r="CC36" s="5627"/>
      <c r="CD36" s="5627"/>
      <c r="CE36" s="5627"/>
      <c r="CF36" s="5627"/>
      <c r="CG36" s="5627"/>
      <c r="CH36" s="5627"/>
      <c r="CI36" s="5627"/>
      <c r="CJ36" s="5627"/>
      <c r="CK36" s="5627"/>
      <c r="CL36" s="5627"/>
      <c r="CM36" s="5627"/>
      <c r="CN36" s="5627"/>
      <c r="CO36" s="5627"/>
      <c r="CP36" s="5627"/>
      <c r="CQ36" s="5627"/>
      <c r="CR36" s="5627"/>
      <c r="CS36" s="5627"/>
      <c r="CT36" s="5627"/>
      <c r="CU36" s="5627"/>
      <c r="CV36" s="5627"/>
      <c r="CW36" s="5627"/>
      <c r="CX36" s="5627"/>
      <c r="CY36" s="5627"/>
      <c r="CZ36" s="5633"/>
      <c r="DA36" s="5358"/>
      <c r="DB36" s="5358"/>
      <c r="DC36" s="5358"/>
      <c r="DD36" s="5358"/>
      <c r="DE36" s="5358"/>
      <c r="DF36" s="5358"/>
      <c r="DG36" s="5457"/>
      <c r="DH36" s="5457"/>
      <c r="DI36" s="5457"/>
      <c r="DJ36" s="5457"/>
      <c r="DK36" s="5457"/>
      <c r="DL36" s="5457"/>
      <c r="DM36" s="5457"/>
      <c r="DN36" s="5457"/>
      <c r="DO36" s="5457"/>
      <c r="DP36" s="5457"/>
      <c r="DQ36" s="5457"/>
      <c r="DR36" s="5457"/>
      <c r="DS36" s="5457"/>
      <c r="DT36" s="5457"/>
      <c r="DU36" s="5457"/>
      <c r="DV36" s="5457"/>
      <c r="DW36" s="5457"/>
      <c r="DX36" s="5457"/>
      <c r="DY36" s="5457"/>
      <c r="DZ36" s="5457"/>
      <c r="EA36" s="5457"/>
      <c r="EB36" s="5457"/>
      <c r="EC36" s="5457"/>
      <c r="ED36" s="5457"/>
      <c r="EE36" s="5457"/>
      <c r="EF36" s="5457"/>
      <c r="EG36" s="5457"/>
      <c r="EH36" s="5457"/>
      <c r="EI36" s="5457"/>
      <c r="EJ36" s="5457"/>
      <c r="EK36" s="5457"/>
      <c r="EL36" s="5457"/>
      <c r="EM36" s="5457"/>
      <c r="EN36" s="5457"/>
      <c r="EO36" s="5457"/>
      <c r="EP36" s="5457"/>
      <c r="EQ36" s="5457"/>
      <c r="ER36" s="5457"/>
      <c r="ES36" s="5457"/>
      <c r="ET36" s="5457"/>
      <c r="EU36" s="5457"/>
      <c r="EV36" s="5457"/>
      <c r="EW36" s="5457"/>
      <c r="EX36" s="5457"/>
      <c r="EY36" s="5457"/>
      <c r="EZ36" s="5457"/>
      <c r="FA36" s="5468"/>
    </row>
    <row r="37" spans="1:157" s="5647" customFormat="1" ht="15" customHeight="1">
      <c r="A37" s="16152" t="s">
        <v>1023</v>
      </c>
      <c r="B37" s="16145" t="s">
        <v>1024</v>
      </c>
      <c r="C37" s="5634" t="s">
        <v>8043</v>
      </c>
      <c r="D37" s="5634" t="s">
        <v>1025</v>
      </c>
      <c r="E37" s="5634" t="s">
        <v>1026</v>
      </c>
      <c r="F37" s="5635" t="s">
        <v>958</v>
      </c>
      <c r="G37" s="5636">
        <v>1</v>
      </c>
      <c r="H37" s="5637">
        <v>5</v>
      </c>
      <c r="I37" s="5637">
        <v>8</v>
      </c>
      <c r="J37" s="5637">
        <v>8</v>
      </c>
      <c r="K37" s="5637">
        <v>8</v>
      </c>
      <c r="L37" s="5637">
        <v>10</v>
      </c>
      <c r="M37" s="5637">
        <v>10</v>
      </c>
      <c r="N37" s="5637">
        <v>10</v>
      </c>
      <c r="O37" s="5637">
        <v>10</v>
      </c>
      <c r="P37" s="5637">
        <v>10</v>
      </c>
      <c r="Q37" s="5637">
        <v>10</v>
      </c>
      <c r="R37" s="5638" t="s">
        <v>10072</v>
      </c>
      <c r="S37" s="5639" t="s">
        <v>968</v>
      </c>
      <c r="T37" s="5640"/>
      <c r="U37" s="5641"/>
      <c r="V37" s="16179"/>
      <c r="W37" s="5640"/>
      <c r="X37" s="5640"/>
      <c r="Y37" s="5637"/>
      <c r="Z37" s="5642"/>
      <c r="AA37" s="5642"/>
      <c r="AB37" s="5642"/>
      <c r="AC37" s="5642"/>
      <c r="AD37" s="5643"/>
      <c r="AE37" s="5643"/>
      <c r="AF37" s="5643"/>
      <c r="AG37" s="5643"/>
      <c r="AH37" s="5643"/>
      <c r="AI37" s="5643"/>
      <c r="AJ37" s="5643"/>
      <c r="AK37" s="5643"/>
      <c r="AL37" s="5643"/>
      <c r="AM37" s="5643"/>
      <c r="AN37" s="5643"/>
      <c r="AO37" s="5643"/>
      <c r="AP37" s="5643"/>
      <c r="AQ37" s="5643"/>
      <c r="AR37" s="5643"/>
      <c r="AS37" s="5643"/>
      <c r="AT37" s="5643"/>
      <c r="AU37" s="5643"/>
      <c r="AV37" s="5643"/>
      <c r="AW37" s="5643"/>
      <c r="AX37" s="5643"/>
      <c r="AY37" s="5643"/>
      <c r="AZ37" s="5643"/>
      <c r="BA37" s="5643"/>
      <c r="BB37" s="5643"/>
      <c r="BC37" s="5643"/>
      <c r="BD37" s="5643"/>
      <c r="BE37" s="5643"/>
      <c r="BF37" s="5643"/>
      <c r="BG37" s="5643"/>
      <c r="BH37" s="5643"/>
      <c r="BI37" s="5643"/>
      <c r="BJ37" s="5643"/>
      <c r="BK37" s="5643"/>
      <c r="BL37" s="5643"/>
      <c r="BM37" s="5643"/>
      <c r="BN37" s="5641">
        <v>1</v>
      </c>
      <c r="BO37" s="16144"/>
      <c r="BP37" s="5640" t="s">
        <v>9447</v>
      </c>
      <c r="BQ37" s="5640" t="s">
        <v>9448</v>
      </c>
      <c r="BR37" s="5637"/>
      <c r="BS37" s="5644">
        <v>0</v>
      </c>
      <c r="BT37" s="5644">
        <v>0</v>
      </c>
      <c r="BU37" s="5644">
        <v>0</v>
      </c>
      <c r="BV37" s="5644">
        <v>0</v>
      </c>
      <c r="BW37" s="5644"/>
      <c r="BX37" s="5644"/>
      <c r="BY37" s="5644"/>
      <c r="BZ37" s="5644"/>
      <c r="CA37" s="5644"/>
      <c r="CB37" s="5644"/>
      <c r="CC37" s="5644"/>
      <c r="CD37" s="5644"/>
      <c r="CE37" s="5644"/>
      <c r="CF37" s="5644"/>
      <c r="CG37" s="5644"/>
      <c r="CH37" s="5644"/>
      <c r="CI37" s="5644"/>
      <c r="CJ37" s="5644"/>
      <c r="CK37" s="5644"/>
      <c r="CL37" s="5644"/>
      <c r="CM37" s="5644"/>
      <c r="CN37" s="5644"/>
      <c r="CO37" s="5644"/>
      <c r="CP37" s="5644"/>
      <c r="CQ37" s="5644"/>
      <c r="CR37" s="5644"/>
      <c r="CS37" s="5644"/>
      <c r="CT37" s="5644"/>
      <c r="CU37" s="5644"/>
      <c r="CV37" s="5644"/>
      <c r="CW37" s="5644"/>
      <c r="CX37" s="5644"/>
      <c r="CY37" s="5644"/>
      <c r="CZ37" s="5644"/>
      <c r="DA37" s="5644"/>
      <c r="DB37" s="5644"/>
      <c r="DC37" s="5644"/>
      <c r="DD37" s="5644"/>
      <c r="DE37" s="5644"/>
      <c r="DF37" s="5644"/>
      <c r="DG37" s="5645"/>
      <c r="DH37" s="5645"/>
      <c r="DI37" s="5645"/>
      <c r="DJ37" s="5645"/>
      <c r="DK37" s="5645"/>
      <c r="DL37" s="5645"/>
      <c r="DM37" s="5645"/>
      <c r="DN37" s="5645"/>
      <c r="DO37" s="5645"/>
      <c r="DP37" s="5645"/>
      <c r="DQ37" s="5645"/>
      <c r="DR37" s="5645"/>
      <c r="DS37" s="5645"/>
      <c r="DT37" s="5645"/>
      <c r="DU37" s="5645"/>
      <c r="DV37" s="5645"/>
      <c r="DW37" s="5645"/>
      <c r="DX37" s="5645"/>
      <c r="DY37" s="5645"/>
      <c r="DZ37" s="5645"/>
      <c r="EA37" s="5645"/>
      <c r="EB37" s="5645"/>
      <c r="EC37" s="5645"/>
      <c r="ED37" s="5645"/>
      <c r="EE37" s="5645"/>
      <c r="EF37" s="5645"/>
      <c r="EG37" s="5645"/>
      <c r="EH37" s="5645"/>
      <c r="EI37" s="5645"/>
      <c r="EJ37" s="5645"/>
      <c r="EK37" s="5645"/>
      <c r="EL37" s="5645"/>
      <c r="EM37" s="5645"/>
      <c r="EN37" s="5645"/>
      <c r="EO37" s="5645"/>
      <c r="EP37" s="5645"/>
      <c r="EQ37" s="5645"/>
      <c r="ER37" s="5645"/>
      <c r="ES37" s="5645"/>
      <c r="ET37" s="5645"/>
      <c r="EU37" s="5645"/>
      <c r="EV37" s="5645"/>
      <c r="EW37" s="5645"/>
      <c r="EX37" s="5645"/>
      <c r="EY37" s="5645"/>
      <c r="EZ37" s="5645"/>
      <c r="FA37" s="5646"/>
    </row>
    <row r="38" spans="1:157" s="5647" customFormat="1" ht="15" customHeight="1">
      <c r="A38" s="16152"/>
      <c r="B38" s="16145"/>
      <c r="C38" s="16145" t="s">
        <v>8044</v>
      </c>
      <c r="D38" s="16145" t="s">
        <v>1027</v>
      </c>
      <c r="E38" s="16145" t="s">
        <v>1028</v>
      </c>
      <c r="F38" s="16149" t="s">
        <v>958</v>
      </c>
      <c r="G38" s="16150">
        <v>1</v>
      </c>
      <c r="H38" s="16151">
        <v>1</v>
      </c>
      <c r="I38" s="16151">
        <v>1</v>
      </c>
      <c r="J38" s="16151">
        <v>1</v>
      </c>
      <c r="K38" s="16151">
        <v>1</v>
      </c>
      <c r="L38" s="16151">
        <v>1</v>
      </c>
      <c r="M38" s="16151">
        <v>1</v>
      </c>
      <c r="N38" s="16151">
        <v>1</v>
      </c>
      <c r="O38" s="16151">
        <v>1</v>
      </c>
      <c r="P38" s="16151">
        <v>1</v>
      </c>
      <c r="Q38" s="16151">
        <v>1</v>
      </c>
      <c r="R38" s="5638" t="s">
        <v>10072</v>
      </c>
      <c r="S38" s="5648" t="s">
        <v>1029</v>
      </c>
      <c r="T38" s="5637"/>
      <c r="U38" s="16155"/>
      <c r="V38" s="16179"/>
      <c r="W38" s="5643"/>
      <c r="X38" s="5643"/>
      <c r="Y38" s="5643"/>
      <c r="Z38" s="5642"/>
      <c r="AA38" s="5642"/>
      <c r="AB38" s="5642"/>
      <c r="AC38" s="5642"/>
      <c r="AD38" s="5643"/>
      <c r="AE38" s="5643"/>
      <c r="AF38" s="5643"/>
      <c r="AG38" s="5643"/>
      <c r="AH38" s="5643"/>
      <c r="AI38" s="5643"/>
      <c r="AJ38" s="5643"/>
      <c r="AK38" s="5643"/>
      <c r="AL38" s="5643"/>
      <c r="AM38" s="5643"/>
      <c r="AN38" s="5643"/>
      <c r="AO38" s="5643"/>
      <c r="AP38" s="5643"/>
      <c r="AQ38" s="5643"/>
      <c r="AR38" s="5643"/>
      <c r="AS38" s="5643"/>
      <c r="AT38" s="5643"/>
      <c r="AU38" s="5643"/>
      <c r="AV38" s="5643"/>
      <c r="AW38" s="5643"/>
      <c r="AX38" s="5643"/>
      <c r="AY38" s="5643"/>
      <c r="AZ38" s="5643"/>
      <c r="BA38" s="5643"/>
      <c r="BB38" s="5643"/>
      <c r="BC38" s="5643"/>
      <c r="BD38" s="5643"/>
      <c r="BE38" s="5643"/>
      <c r="BF38" s="5643"/>
      <c r="BG38" s="5643"/>
      <c r="BH38" s="5643"/>
      <c r="BI38" s="5643"/>
      <c r="BJ38" s="5643"/>
      <c r="BK38" s="5643"/>
      <c r="BL38" s="5643"/>
      <c r="BM38" s="5643"/>
      <c r="BN38" s="16155">
        <v>0.5</v>
      </c>
      <c r="BO38" s="16144"/>
      <c r="BP38" s="5643"/>
      <c r="BQ38" s="5643"/>
      <c r="BR38" s="5643"/>
      <c r="BS38" s="5644">
        <v>0</v>
      </c>
      <c r="BT38" s="5644">
        <v>0</v>
      </c>
      <c r="BU38" s="5644">
        <v>0</v>
      </c>
      <c r="BV38" s="5644">
        <v>0</v>
      </c>
      <c r="BW38" s="5644"/>
      <c r="BX38" s="5644"/>
      <c r="BY38" s="5644"/>
      <c r="BZ38" s="5644"/>
      <c r="CA38" s="5644"/>
      <c r="CB38" s="5644"/>
      <c r="CC38" s="5644"/>
      <c r="CD38" s="5644"/>
      <c r="CE38" s="5644"/>
      <c r="CF38" s="5644"/>
      <c r="CG38" s="5644"/>
      <c r="CH38" s="5644"/>
      <c r="CI38" s="5644"/>
      <c r="CJ38" s="5644"/>
      <c r="CK38" s="5644"/>
      <c r="CL38" s="5644"/>
      <c r="CM38" s="5644"/>
      <c r="CN38" s="5644"/>
      <c r="CO38" s="5644"/>
      <c r="CP38" s="5644"/>
      <c r="CQ38" s="5644"/>
      <c r="CR38" s="5644"/>
      <c r="CS38" s="5644"/>
      <c r="CT38" s="5644"/>
      <c r="CU38" s="5644"/>
      <c r="CV38" s="5644"/>
      <c r="CW38" s="5644"/>
      <c r="CX38" s="5644"/>
      <c r="CY38" s="5644"/>
      <c r="CZ38" s="5644"/>
      <c r="DA38" s="5644"/>
      <c r="DB38" s="5644"/>
      <c r="DC38" s="5644"/>
      <c r="DD38" s="5644"/>
      <c r="DE38" s="5644"/>
      <c r="DF38" s="5644"/>
      <c r="DG38" s="5645"/>
      <c r="DH38" s="5645"/>
      <c r="DI38" s="5645"/>
      <c r="DJ38" s="5645"/>
      <c r="DK38" s="5645"/>
      <c r="DL38" s="5645"/>
      <c r="DM38" s="5645"/>
      <c r="DN38" s="5645"/>
      <c r="DO38" s="5645"/>
      <c r="DP38" s="5645"/>
      <c r="DQ38" s="5645"/>
      <c r="DR38" s="5645"/>
      <c r="DS38" s="5645"/>
      <c r="DT38" s="5645"/>
      <c r="DU38" s="5645"/>
      <c r="DV38" s="5645"/>
      <c r="DW38" s="5645"/>
      <c r="DX38" s="5645"/>
      <c r="DY38" s="5645"/>
      <c r="DZ38" s="5645"/>
      <c r="EA38" s="5645"/>
      <c r="EB38" s="5645"/>
      <c r="EC38" s="5645"/>
      <c r="ED38" s="5645"/>
      <c r="EE38" s="5645"/>
      <c r="EF38" s="5645"/>
      <c r="EG38" s="5645"/>
      <c r="EH38" s="5645"/>
      <c r="EI38" s="5645"/>
      <c r="EJ38" s="5645"/>
      <c r="EK38" s="5645"/>
      <c r="EL38" s="5645"/>
      <c r="EM38" s="5645"/>
      <c r="EN38" s="5645"/>
      <c r="EO38" s="5645"/>
      <c r="EP38" s="5645"/>
      <c r="EQ38" s="5645"/>
      <c r="ER38" s="5645"/>
      <c r="ES38" s="5645"/>
      <c r="ET38" s="5645"/>
      <c r="EU38" s="5645"/>
      <c r="EV38" s="5645"/>
      <c r="EW38" s="5645"/>
      <c r="EX38" s="5645"/>
      <c r="EY38" s="5645"/>
      <c r="EZ38" s="5645"/>
      <c r="FA38" s="5646"/>
    </row>
    <row r="39" spans="1:157" s="5647" customFormat="1" ht="15" customHeight="1">
      <c r="A39" s="16152"/>
      <c r="B39" s="16145"/>
      <c r="C39" s="16145"/>
      <c r="D39" s="16145"/>
      <c r="E39" s="16145"/>
      <c r="F39" s="16149"/>
      <c r="G39" s="16150"/>
      <c r="H39" s="16151"/>
      <c r="I39" s="16151"/>
      <c r="J39" s="16151"/>
      <c r="K39" s="16151"/>
      <c r="L39" s="16151"/>
      <c r="M39" s="16151"/>
      <c r="N39" s="16151"/>
      <c r="O39" s="16151"/>
      <c r="P39" s="16151"/>
      <c r="Q39" s="16151"/>
      <c r="R39" s="5638" t="s">
        <v>10238</v>
      </c>
      <c r="S39" s="5648"/>
      <c r="T39" s="5637" t="s">
        <v>973</v>
      </c>
      <c r="U39" s="16155"/>
      <c r="V39" s="16179"/>
      <c r="W39" s="5640"/>
      <c r="X39" s="5637"/>
      <c r="Y39" s="5637"/>
      <c r="Z39" s="5649"/>
      <c r="AA39" s="5649"/>
      <c r="AB39" s="5649"/>
      <c r="AC39" s="5642"/>
      <c r="AD39" s="5643"/>
      <c r="AE39" s="5643"/>
      <c r="AF39" s="5643"/>
      <c r="AG39" s="5643"/>
      <c r="AH39" s="5643"/>
      <c r="AI39" s="5643"/>
      <c r="AJ39" s="5643"/>
      <c r="AK39" s="5643"/>
      <c r="AL39" s="5643"/>
      <c r="AM39" s="5643"/>
      <c r="AN39" s="5643"/>
      <c r="AO39" s="5643"/>
      <c r="AP39" s="5643"/>
      <c r="AQ39" s="5643"/>
      <c r="AR39" s="5643"/>
      <c r="AS39" s="5643"/>
      <c r="AT39" s="5643"/>
      <c r="AU39" s="5643"/>
      <c r="AV39" s="5643"/>
      <c r="AW39" s="5643"/>
      <c r="AX39" s="5643"/>
      <c r="AY39" s="5643"/>
      <c r="AZ39" s="5643"/>
      <c r="BA39" s="5643"/>
      <c r="BB39" s="5643"/>
      <c r="BC39" s="5643"/>
      <c r="BD39" s="5643"/>
      <c r="BE39" s="5643"/>
      <c r="BF39" s="5643"/>
      <c r="BG39" s="5643"/>
      <c r="BH39" s="5643"/>
      <c r="BI39" s="5643"/>
      <c r="BJ39" s="5643"/>
      <c r="BK39" s="5643"/>
      <c r="BL39" s="5643"/>
      <c r="BM39" s="5643"/>
      <c r="BN39" s="16155"/>
      <c r="BO39" s="16144"/>
      <c r="BP39" s="5640" t="s">
        <v>9449</v>
      </c>
      <c r="BQ39" s="5637" t="s">
        <v>9432</v>
      </c>
      <c r="BR39" s="5637"/>
      <c r="BS39" s="5650">
        <v>0</v>
      </c>
      <c r="BT39" s="5650">
        <v>0</v>
      </c>
      <c r="BU39" s="5650">
        <v>0</v>
      </c>
      <c r="BV39" s="5644">
        <v>0</v>
      </c>
      <c r="BW39" s="5644"/>
      <c r="BX39" s="5644"/>
      <c r="BY39" s="5644"/>
      <c r="BZ39" s="5644"/>
      <c r="CA39" s="5644"/>
      <c r="CB39" s="5644"/>
      <c r="CC39" s="5644"/>
      <c r="CD39" s="5644"/>
      <c r="CE39" s="5644"/>
      <c r="CF39" s="5644"/>
      <c r="CG39" s="5644"/>
      <c r="CH39" s="5644"/>
      <c r="CI39" s="5644"/>
      <c r="CJ39" s="5644"/>
      <c r="CK39" s="5644"/>
      <c r="CL39" s="5644"/>
      <c r="CM39" s="5644"/>
      <c r="CN39" s="5644"/>
      <c r="CO39" s="5644"/>
      <c r="CP39" s="5644"/>
      <c r="CQ39" s="5644"/>
      <c r="CR39" s="5644"/>
      <c r="CS39" s="5644"/>
      <c r="CT39" s="5644"/>
      <c r="CU39" s="5644"/>
      <c r="CV39" s="5644"/>
      <c r="CW39" s="5644"/>
      <c r="CX39" s="5644"/>
      <c r="CY39" s="5644"/>
      <c r="CZ39" s="5644"/>
      <c r="DA39" s="5644"/>
      <c r="DB39" s="5644"/>
      <c r="DC39" s="5644"/>
      <c r="DD39" s="5644"/>
      <c r="DE39" s="5644"/>
      <c r="DF39" s="5644"/>
      <c r="DG39" s="5645"/>
      <c r="DH39" s="5645"/>
      <c r="DI39" s="5645"/>
      <c r="DJ39" s="5645"/>
      <c r="DK39" s="5645"/>
      <c r="DL39" s="5645"/>
      <c r="DM39" s="5645"/>
      <c r="DN39" s="5645"/>
      <c r="DO39" s="5645"/>
      <c r="DP39" s="5645"/>
      <c r="DQ39" s="5645"/>
      <c r="DR39" s="5645"/>
      <c r="DS39" s="5645"/>
      <c r="DT39" s="5645"/>
      <c r="DU39" s="5645"/>
      <c r="DV39" s="5645"/>
      <c r="DW39" s="5645"/>
      <c r="DX39" s="5645"/>
      <c r="DY39" s="5645"/>
      <c r="DZ39" s="5645"/>
      <c r="EA39" s="5645"/>
      <c r="EB39" s="5645"/>
      <c r="EC39" s="5645"/>
      <c r="ED39" s="5645"/>
      <c r="EE39" s="5645"/>
      <c r="EF39" s="5645"/>
      <c r="EG39" s="5645"/>
      <c r="EH39" s="5645"/>
      <c r="EI39" s="5645"/>
      <c r="EJ39" s="5645"/>
      <c r="EK39" s="5645"/>
      <c r="EL39" s="5645"/>
      <c r="EM39" s="5645"/>
      <c r="EN39" s="5645"/>
      <c r="EO39" s="5645"/>
      <c r="EP39" s="5645"/>
      <c r="EQ39" s="5645"/>
      <c r="ER39" s="5645"/>
      <c r="ES39" s="5645"/>
      <c r="ET39" s="5645"/>
      <c r="EU39" s="5645"/>
      <c r="EV39" s="5645"/>
      <c r="EW39" s="5645"/>
      <c r="EX39" s="5645"/>
      <c r="EY39" s="5645"/>
      <c r="EZ39" s="5645"/>
      <c r="FA39" s="5646"/>
    </row>
    <row r="40" spans="1:157" s="5647" customFormat="1" ht="15" customHeight="1">
      <c r="A40" s="16152"/>
      <c r="B40" s="16145"/>
      <c r="C40" s="16145" t="s">
        <v>8045</v>
      </c>
      <c r="D40" s="16145" t="s">
        <v>1030</v>
      </c>
      <c r="E40" s="16145" t="s">
        <v>1031</v>
      </c>
      <c r="F40" s="16149" t="s">
        <v>958</v>
      </c>
      <c r="G40" s="16150">
        <v>1</v>
      </c>
      <c r="H40" s="16151">
        <v>3</v>
      </c>
      <c r="I40" s="16151">
        <v>3</v>
      </c>
      <c r="J40" s="16151">
        <v>3</v>
      </c>
      <c r="K40" s="16151">
        <v>5</v>
      </c>
      <c r="L40" s="16151">
        <v>5</v>
      </c>
      <c r="M40" s="16151">
        <v>5</v>
      </c>
      <c r="N40" s="16151">
        <v>5</v>
      </c>
      <c r="O40" s="16151">
        <v>5</v>
      </c>
      <c r="P40" s="16151">
        <v>5</v>
      </c>
      <c r="Q40" s="16151">
        <v>5</v>
      </c>
      <c r="R40" s="5651" t="s">
        <v>10072</v>
      </c>
      <c r="S40" s="5648" t="s">
        <v>1032</v>
      </c>
      <c r="T40" s="5637"/>
      <c r="U40" s="5652"/>
      <c r="V40" s="16179"/>
      <c r="W40" s="5640"/>
      <c r="X40" s="5640"/>
      <c r="Y40" s="5637"/>
      <c r="Z40" s="5653"/>
      <c r="AA40" s="5653"/>
      <c r="AB40" s="5653"/>
      <c r="AC40" s="5642"/>
      <c r="AD40" s="5637"/>
      <c r="AE40" s="5637"/>
      <c r="AF40" s="5637"/>
      <c r="AG40" s="5637"/>
      <c r="AH40" s="5637"/>
      <c r="AI40" s="5637"/>
      <c r="AJ40" s="5637"/>
      <c r="AK40" s="5637"/>
      <c r="AL40" s="5637"/>
      <c r="AM40" s="5637"/>
      <c r="AN40" s="5637"/>
      <c r="AO40" s="5637"/>
      <c r="AP40" s="5637"/>
      <c r="AQ40" s="5637"/>
      <c r="AR40" s="5637"/>
      <c r="AS40" s="5637"/>
      <c r="AT40" s="5637"/>
      <c r="AU40" s="5637"/>
      <c r="AV40" s="5637"/>
      <c r="AW40" s="5637"/>
      <c r="AX40" s="5637"/>
      <c r="AY40" s="5637"/>
      <c r="AZ40" s="5637"/>
      <c r="BA40" s="5637"/>
      <c r="BB40" s="5637"/>
      <c r="BC40" s="5637"/>
      <c r="BD40" s="5637"/>
      <c r="BE40" s="5637"/>
      <c r="BF40" s="5637"/>
      <c r="BG40" s="5637"/>
      <c r="BH40" s="5637"/>
      <c r="BI40" s="5637"/>
      <c r="BJ40" s="5637"/>
      <c r="BK40" s="5637"/>
      <c r="BL40" s="5637"/>
      <c r="BM40" s="5637"/>
      <c r="BN40" s="5652">
        <v>1</v>
      </c>
      <c r="BO40" s="16144"/>
      <c r="BP40" s="5640" t="s">
        <v>9450</v>
      </c>
      <c r="BQ40" s="5640" t="s">
        <v>9451</v>
      </c>
      <c r="BR40" s="5637"/>
      <c r="BS40" s="5654">
        <f t="shared" ref="BS40" si="3">+SUM(BT40:BV40)</f>
        <v>41000000</v>
      </c>
      <c r="BT40" s="5654">
        <v>30000000</v>
      </c>
      <c r="BU40" s="5654">
        <v>11000000</v>
      </c>
      <c r="BV40" s="5644">
        <v>0</v>
      </c>
      <c r="BW40" s="5655"/>
      <c r="BX40" s="5655"/>
      <c r="BY40" s="5655"/>
      <c r="BZ40" s="5655"/>
      <c r="CA40" s="5655"/>
      <c r="CB40" s="5655"/>
      <c r="CC40" s="5655"/>
      <c r="CD40" s="5655"/>
      <c r="CE40" s="5655"/>
      <c r="CF40" s="5655"/>
      <c r="CG40" s="5655"/>
      <c r="CH40" s="5655"/>
      <c r="CI40" s="5655"/>
      <c r="CJ40" s="5655"/>
      <c r="CK40" s="5655"/>
      <c r="CL40" s="5655"/>
      <c r="CM40" s="5655"/>
      <c r="CN40" s="5655"/>
      <c r="CO40" s="5655"/>
      <c r="CP40" s="5655"/>
      <c r="CQ40" s="5655"/>
      <c r="CR40" s="5655"/>
      <c r="CS40" s="5655"/>
      <c r="CT40" s="5655"/>
      <c r="CU40" s="5655"/>
      <c r="CV40" s="5655"/>
      <c r="CW40" s="5655"/>
      <c r="CX40" s="5655"/>
      <c r="CY40" s="5655"/>
      <c r="CZ40" s="5655"/>
      <c r="DA40" s="5655"/>
      <c r="DB40" s="5655"/>
      <c r="DC40" s="5655"/>
      <c r="DD40" s="5655"/>
      <c r="DE40" s="5655"/>
      <c r="DF40" s="5655"/>
      <c r="DG40" s="5645"/>
      <c r="DH40" s="5645"/>
      <c r="DI40" s="5645"/>
      <c r="DJ40" s="5645"/>
      <c r="DK40" s="5645"/>
      <c r="DL40" s="5645"/>
      <c r="DM40" s="5645"/>
      <c r="DN40" s="5645"/>
      <c r="DO40" s="5645"/>
      <c r="DP40" s="5645"/>
      <c r="DQ40" s="5645"/>
      <c r="DR40" s="5645"/>
      <c r="DS40" s="5645"/>
      <c r="DT40" s="5645"/>
      <c r="DU40" s="5645"/>
      <c r="DV40" s="5645"/>
      <c r="DW40" s="5645"/>
      <c r="DX40" s="5645"/>
      <c r="DY40" s="5645"/>
      <c r="DZ40" s="5645"/>
      <c r="EA40" s="5645"/>
      <c r="EB40" s="5645"/>
      <c r="EC40" s="5645"/>
      <c r="ED40" s="5645"/>
      <c r="EE40" s="5645"/>
      <c r="EF40" s="5645"/>
      <c r="EG40" s="5645"/>
      <c r="EH40" s="5645"/>
      <c r="EI40" s="5645"/>
      <c r="EJ40" s="5645"/>
      <c r="EK40" s="5645"/>
      <c r="EL40" s="5645"/>
      <c r="EM40" s="5645"/>
      <c r="EN40" s="5645"/>
      <c r="EO40" s="5645"/>
      <c r="EP40" s="5645"/>
      <c r="EQ40" s="5645"/>
      <c r="ER40" s="5645"/>
      <c r="ES40" s="5645"/>
      <c r="ET40" s="5645"/>
      <c r="EU40" s="5645"/>
      <c r="EV40" s="5645"/>
      <c r="EW40" s="5645"/>
      <c r="EX40" s="5645"/>
      <c r="EY40" s="5645"/>
      <c r="EZ40" s="5645"/>
      <c r="FA40" s="5646"/>
    </row>
    <row r="41" spans="1:157" s="5647" customFormat="1" ht="15" customHeight="1">
      <c r="A41" s="16152"/>
      <c r="B41" s="16145"/>
      <c r="C41" s="16145"/>
      <c r="D41" s="16145"/>
      <c r="E41" s="16145"/>
      <c r="F41" s="16149"/>
      <c r="G41" s="16150"/>
      <c r="H41" s="16151"/>
      <c r="I41" s="16151"/>
      <c r="J41" s="16151"/>
      <c r="K41" s="16151"/>
      <c r="L41" s="16151"/>
      <c r="M41" s="16151"/>
      <c r="N41" s="16151"/>
      <c r="O41" s="16151"/>
      <c r="P41" s="16151"/>
      <c r="Q41" s="16151"/>
      <c r="R41" s="5651" t="s">
        <v>218</v>
      </c>
      <c r="S41" s="5648"/>
      <c r="T41" s="5637" t="s">
        <v>7130</v>
      </c>
      <c r="U41" s="5652"/>
      <c r="V41" s="16211"/>
      <c r="W41" s="5656"/>
      <c r="X41" s="5640"/>
      <c r="Y41" s="5637"/>
      <c r="Z41" s="5653"/>
      <c r="AA41" s="5653"/>
      <c r="AB41" s="5653"/>
      <c r="AC41" s="5642"/>
      <c r="AD41" s="5637"/>
      <c r="AE41" s="5637"/>
      <c r="AF41" s="5637"/>
      <c r="AG41" s="5637"/>
      <c r="AH41" s="5637"/>
      <c r="AI41" s="5637"/>
      <c r="AJ41" s="5637"/>
      <c r="AK41" s="5637"/>
      <c r="AL41" s="5637"/>
      <c r="AM41" s="5637"/>
      <c r="AN41" s="5637"/>
      <c r="AO41" s="5637"/>
      <c r="AP41" s="5637"/>
      <c r="AQ41" s="5637"/>
      <c r="AR41" s="5637"/>
      <c r="AS41" s="5637"/>
      <c r="AT41" s="5637"/>
      <c r="AU41" s="5637"/>
      <c r="AV41" s="5637"/>
      <c r="AW41" s="5637"/>
      <c r="AX41" s="5637"/>
      <c r="AY41" s="5637"/>
      <c r="AZ41" s="5637"/>
      <c r="BA41" s="5637"/>
      <c r="BB41" s="5637"/>
      <c r="BC41" s="5637"/>
      <c r="BD41" s="5637"/>
      <c r="BE41" s="5637"/>
      <c r="BF41" s="5637"/>
      <c r="BG41" s="5637"/>
      <c r="BH41" s="5637"/>
      <c r="BI41" s="5637"/>
      <c r="BJ41" s="5637"/>
      <c r="BK41" s="5637"/>
      <c r="BL41" s="5637"/>
      <c r="BM41" s="5637"/>
      <c r="BN41" s="5652">
        <v>1</v>
      </c>
      <c r="BO41" s="16146">
        <f>AVERAGE(BN41:BN45)</f>
        <v>0.4</v>
      </c>
      <c r="BP41" s="5656" t="s">
        <v>9452</v>
      </c>
      <c r="BQ41" s="5640"/>
      <c r="BR41" s="5637"/>
      <c r="BS41" s="5654">
        <v>0</v>
      </c>
      <c r="BT41" s="5654">
        <v>0</v>
      </c>
      <c r="BU41" s="5654">
        <v>0</v>
      </c>
      <c r="BV41" s="5644">
        <v>0</v>
      </c>
      <c r="BW41" s="5655"/>
      <c r="BX41" s="5655"/>
      <c r="BY41" s="5655"/>
      <c r="BZ41" s="5655"/>
      <c r="CA41" s="5655"/>
      <c r="CB41" s="5655"/>
      <c r="CC41" s="5655"/>
      <c r="CD41" s="5655"/>
      <c r="CE41" s="5655"/>
      <c r="CF41" s="5655"/>
      <c r="CG41" s="5655"/>
      <c r="CH41" s="5655"/>
      <c r="CI41" s="5655"/>
      <c r="CJ41" s="5655"/>
      <c r="CK41" s="5655"/>
      <c r="CL41" s="5655"/>
      <c r="CM41" s="5655"/>
      <c r="CN41" s="5655"/>
      <c r="CO41" s="5655"/>
      <c r="CP41" s="5655"/>
      <c r="CQ41" s="5655"/>
      <c r="CR41" s="5655"/>
      <c r="CS41" s="5655"/>
      <c r="CT41" s="5655"/>
      <c r="CU41" s="5655"/>
      <c r="CV41" s="5655"/>
      <c r="CW41" s="5655"/>
      <c r="CX41" s="5655"/>
      <c r="CY41" s="5655"/>
      <c r="CZ41" s="5655"/>
      <c r="DA41" s="5655"/>
      <c r="DB41" s="5655"/>
      <c r="DC41" s="5655"/>
      <c r="DD41" s="5655"/>
      <c r="DE41" s="5655"/>
      <c r="DF41" s="5655"/>
      <c r="DG41" s="5645"/>
      <c r="DH41" s="5645"/>
      <c r="DI41" s="5645"/>
      <c r="DJ41" s="5645"/>
      <c r="DK41" s="5645"/>
      <c r="DL41" s="5645"/>
      <c r="DM41" s="5645"/>
      <c r="DN41" s="5645"/>
      <c r="DO41" s="5645"/>
      <c r="DP41" s="5645"/>
      <c r="DQ41" s="5645"/>
      <c r="DR41" s="5645"/>
      <c r="DS41" s="5645"/>
      <c r="DT41" s="5645"/>
      <c r="DU41" s="5645"/>
      <c r="DV41" s="5645"/>
      <c r="DW41" s="5645"/>
      <c r="DX41" s="5645"/>
      <c r="DY41" s="5645"/>
      <c r="DZ41" s="5645"/>
      <c r="EA41" s="5645"/>
      <c r="EB41" s="5645"/>
      <c r="EC41" s="5645"/>
      <c r="ED41" s="5645"/>
      <c r="EE41" s="5645"/>
      <c r="EF41" s="5645"/>
      <c r="EG41" s="5645"/>
      <c r="EH41" s="5645"/>
      <c r="EI41" s="5645"/>
      <c r="EJ41" s="5645"/>
      <c r="EK41" s="5645"/>
      <c r="EL41" s="5645"/>
      <c r="EM41" s="5645"/>
      <c r="EN41" s="5645"/>
      <c r="EO41" s="5645"/>
      <c r="EP41" s="5645"/>
      <c r="EQ41" s="5645"/>
      <c r="ER41" s="5645"/>
      <c r="ES41" s="5645"/>
      <c r="ET41" s="5645"/>
      <c r="EU41" s="5645"/>
      <c r="EV41" s="5645"/>
      <c r="EW41" s="5645"/>
      <c r="EX41" s="5645"/>
      <c r="EY41" s="5645"/>
      <c r="EZ41" s="5645"/>
      <c r="FA41" s="5646"/>
    </row>
    <row r="42" spans="1:157" s="2018" customFormat="1" ht="15" customHeight="1">
      <c r="A42" s="16133" t="s">
        <v>1033</v>
      </c>
      <c r="B42" s="16030" t="s">
        <v>1034</v>
      </c>
      <c r="C42" s="16030" t="s">
        <v>8046</v>
      </c>
      <c r="D42" s="16030" t="s">
        <v>1035</v>
      </c>
      <c r="E42" s="16030" t="s">
        <v>1036</v>
      </c>
      <c r="F42" s="16147" t="s">
        <v>958</v>
      </c>
      <c r="G42" s="16148">
        <v>1</v>
      </c>
      <c r="H42" s="16029">
        <v>1</v>
      </c>
      <c r="I42" s="16029">
        <v>1</v>
      </c>
      <c r="J42" s="16029">
        <v>1</v>
      </c>
      <c r="K42" s="16029">
        <v>1</v>
      </c>
      <c r="L42" s="16029">
        <v>1</v>
      </c>
      <c r="M42" s="16029">
        <v>1</v>
      </c>
      <c r="N42" s="16029">
        <v>1</v>
      </c>
      <c r="O42" s="16029">
        <v>1</v>
      </c>
      <c r="P42" s="16029">
        <v>1</v>
      </c>
      <c r="Q42" s="16029">
        <v>1</v>
      </c>
      <c r="R42" s="5429" t="s">
        <v>10072</v>
      </c>
      <c r="S42" s="5311" t="s">
        <v>968</v>
      </c>
      <c r="T42" s="2747"/>
      <c r="U42" s="5312"/>
      <c r="V42" s="16211"/>
      <c r="W42" s="5313"/>
      <c r="X42" s="5313"/>
      <c r="Y42" s="5313"/>
      <c r="Z42" s="5314"/>
      <c r="AA42" s="5314"/>
      <c r="AB42" s="5314"/>
      <c r="AC42" s="5314"/>
      <c r="AD42" s="5313"/>
      <c r="AE42" s="5313"/>
      <c r="AF42" s="5313"/>
      <c r="AG42" s="5313"/>
      <c r="AH42" s="5313"/>
      <c r="AI42" s="5313"/>
      <c r="AJ42" s="5313"/>
      <c r="AK42" s="5313"/>
      <c r="AL42" s="5313"/>
      <c r="AM42" s="5313"/>
      <c r="AN42" s="5313"/>
      <c r="AO42" s="5313"/>
      <c r="AP42" s="5313"/>
      <c r="AQ42" s="5313"/>
      <c r="AR42" s="5313"/>
      <c r="AS42" s="5313"/>
      <c r="AT42" s="5313"/>
      <c r="AU42" s="5313"/>
      <c r="AV42" s="5313"/>
      <c r="AW42" s="5313"/>
      <c r="AX42" s="5313"/>
      <c r="AY42" s="5313"/>
      <c r="AZ42" s="5313"/>
      <c r="BA42" s="5313"/>
      <c r="BB42" s="5313"/>
      <c r="BC42" s="5313"/>
      <c r="BD42" s="5313"/>
      <c r="BE42" s="5313"/>
      <c r="BF42" s="5313"/>
      <c r="BG42" s="5313"/>
      <c r="BH42" s="5313"/>
      <c r="BI42" s="5313"/>
      <c r="BJ42" s="5313"/>
      <c r="BK42" s="5313"/>
      <c r="BL42" s="5313"/>
      <c r="BM42" s="5313"/>
      <c r="BN42" s="5312">
        <v>0</v>
      </c>
      <c r="BO42" s="16146"/>
      <c r="BP42" s="5313"/>
      <c r="BQ42" s="5313"/>
      <c r="BR42" s="5313"/>
      <c r="BS42" s="5315">
        <v>0</v>
      </c>
      <c r="BT42" s="5315">
        <v>0</v>
      </c>
      <c r="BU42" s="5315">
        <v>0</v>
      </c>
      <c r="BV42" s="5315">
        <v>0</v>
      </c>
      <c r="BW42" s="5315"/>
      <c r="BX42" s="5315"/>
      <c r="BY42" s="5315"/>
      <c r="BZ42" s="5315"/>
      <c r="CA42" s="5315"/>
      <c r="CB42" s="5315"/>
      <c r="CC42" s="5315"/>
      <c r="CD42" s="5315"/>
      <c r="CE42" s="5315"/>
      <c r="CF42" s="5315"/>
      <c r="CG42" s="5315"/>
      <c r="CH42" s="5315"/>
      <c r="CI42" s="5315"/>
      <c r="CJ42" s="5315"/>
      <c r="CK42" s="5315"/>
      <c r="CL42" s="5315"/>
      <c r="CM42" s="5315"/>
      <c r="CN42" s="5315"/>
      <c r="CO42" s="5315"/>
      <c r="CP42" s="5315"/>
      <c r="CQ42" s="5315"/>
      <c r="CR42" s="5315"/>
      <c r="CS42" s="5315"/>
      <c r="CT42" s="5315"/>
      <c r="CU42" s="5315"/>
      <c r="CV42" s="5315"/>
      <c r="CW42" s="5315"/>
      <c r="CX42" s="5315"/>
      <c r="CY42" s="5315"/>
      <c r="CZ42" s="5315"/>
      <c r="DA42" s="5315"/>
      <c r="DB42" s="5315"/>
      <c r="DC42" s="5315"/>
      <c r="DD42" s="5315"/>
      <c r="DE42" s="5315"/>
      <c r="DF42" s="5315"/>
      <c r="DG42" s="5455"/>
      <c r="DH42" s="5455"/>
      <c r="DI42" s="5455"/>
      <c r="DJ42" s="5455"/>
      <c r="DK42" s="5455"/>
      <c r="DL42" s="5455"/>
      <c r="DM42" s="5455"/>
      <c r="DN42" s="5455"/>
      <c r="DO42" s="5455"/>
      <c r="DP42" s="5455"/>
      <c r="DQ42" s="5455"/>
      <c r="DR42" s="5455"/>
      <c r="DS42" s="5455"/>
      <c r="DT42" s="5455"/>
      <c r="DU42" s="5455"/>
      <c r="DV42" s="5455"/>
      <c r="DW42" s="5455"/>
      <c r="DX42" s="5455"/>
      <c r="DY42" s="5455"/>
      <c r="DZ42" s="5455"/>
      <c r="EA42" s="5455"/>
      <c r="EB42" s="5455"/>
      <c r="EC42" s="5455"/>
      <c r="ED42" s="5455"/>
      <c r="EE42" s="5455"/>
      <c r="EF42" s="5455"/>
      <c r="EG42" s="5455"/>
      <c r="EH42" s="5455"/>
      <c r="EI42" s="5455"/>
      <c r="EJ42" s="5455"/>
      <c r="EK42" s="5455"/>
      <c r="EL42" s="5455"/>
      <c r="EM42" s="5455"/>
      <c r="EN42" s="5455"/>
      <c r="EO42" s="5455"/>
      <c r="EP42" s="5455"/>
      <c r="EQ42" s="5455"/>
      <c r="ER42" s="5455"/>
      <c r="ES42" s="5455"/>
      <c r="ET42" s="5455"/>
      <c r="EU42" s="5455"/>
      <c r="EV42" s="5455"/>
      <c r="EW42" s="5455"/>
      <c r="EX42" s="5455"/>
      <c r="EY42" s="5455"/>
      <c r="EZ42" s="5455"/>
      <c r="FA42" s="5466"/>
    </row>
    <row r="43" spans="1:157" s="2018" customFormat="1" ht="15" customHeight="1">
      <c r="A43" s="16133"/>
      <c r="B43" s="16030"/>
      <c r="C43" s="16030"/>
      <c r="D43" s="16030"/>
      <c r="E43" s="16030"/>
      <c r="F43" s="16147"/>
      <c r="G43" s="16148"/>
      <c r="H43" s="16029"/>
      <c r="I43" s="16029"/>
      <c r="J43" s="16029"/>
      <c r="K43" s="16029"/>
      <c r="L43" s="16029"/>
      <c r="M43" s="16029"/>
      <c r="N43" s="16029"/>
      <c r="O43" s="16029"/>
      <c r="P43" s="16029"/>
      <c r="Q43" s="16029"/>
      <c r="R43" s="5429" t="s">
        <v>86</v>
      </c>
      <c r="S43" s="5311"/>
      <c r="T43" s="2747" t="s">
        <v>1037</v>
      </c>
      <c r="U43" s="5312"/>
      <c r="V43" s="16211"/>
      <c r="W43" s="5316"/>
      <c r="X43" s="2747"/>
      <c r="Y43" s="5316"/>
      <c r="Z43" s="5317"/>
      <c r="AA43" s="5317"/>
      <c r="AB43" s="5317"/>
      <c r="AC43" s="5314"/>
      <c r="AD43" s="5313"/>
      <c r="AE43" s="5313"/>
      <c r="AF43" s="5313"/>
      <c r="AG43" s="5313"/>
      <c r="AH43" s="5313"/>
      <c r="AI43" s="5313"/>
      <c r="AJ43" s="5313"/>
      <c r="AK43" s="5313"/>
      <c r="AL43" s="5313"/>
      <c r="AM43" s="5313"/>
      <c r="AN43" s="5313"/>
      <c r="AO43" s="5313"/>
      <c r="AP43" s="5313"/>
      <c r="AQ43" s="5313"/>
      <c r="AR43" s="5313"/>
      <c r="AS43" s="5313"/>
      <c r="AT43" s="5313"/>
      <c r="AU43" s="5313"/>
      <c r="AV43" s="5313"/>
      <c r="AW43" s="5313"/>
      <c r="AX43" s="5313"/>
      <c r="AY43" s="5313"/>
      <c r="AZ43" s="5313"/>
      <c r="BA43" s="5313"/>
      <c r="BB43" s="5313"/>
      <c r="BC43" s="5313"/>
      <c r="BD43" s="5313"/>
      <c r="BE43" s="5313"/>
      <c r="BF43" s="5313"/>
      <c r="BG43" s="5313"/>
      <c r="BH43" s="5313"/>
      <c r="BI43" s="5313"/>
      <c r="BJ43" s="5313"/>
      <c r="BK43" s="5313"/>
      <c r="BL43" s="5313"/>
      <c r="BM43" s="5313"/>
      <c r="BN43" s="5312">
        <v>0</v>
      </c>
      <c r="BO43" s="16146"/>
      <c r="BP43" s="5316" t="s">
        <v>9453</v>
      </c>
      <c r="BQ43" s="2747" t="s">
        <v>9454</v>
      </c>
      <c r="BR43" s="5316" t="s">
        <v>9455</v>
      </c>
      <c r="BS43" s="5318">
        <v>0</v>
      </c>
      <c r="BT43" s="5318">
        <v>0</v>
      </c>
      <c r="BU43" s="5318">
        <v>0</v>
      </c>
      <c r="BV43" s="5315">
        <v>0</v>
      </c>
      <c r="BW43" s="5315"/>
      <c r="BX43" s="5315"/>
      <c r="BY43" s="5315"/>
      <c r="BZ43" s="5315"/>
      <c r="CA43" s="5315"/>
      <c r="CB43" s="5315"/>
      <c r="CC43" s="5315"/>
      <c r="CD43" s="5315"/>
      <c r="CE43" s="5315"/>
      <c r="CF43" s="5315"/>
      <c r="CG43" s="5315"/>
      <c r="CH43" s="5315"/>
      <c r="CI43" s="5315"/>
      <c r="CJ43" s="5315"/>
      <c r="CK43" s="5315"/>
      <c r="CL43" s="5315"/>
      <c r="CM43" s="5315"/>
      <c r="CN43" s="5315"/>
      <c r="CO43" s="5315"/>
      <c r="CP43" s="5315"/>
      <c r="CQ43" s="5315"/>
      <c r="CR43" s="5315"/>
      <c r="CS43" s="5315"/>
      <c r="CT43" s="5315"/>
      <c r="CU43" s="5315"/>
      <c r="CV43" s="5315"/>
      <c r="CW43" s="5315"/>
      <c r="CX43" s="5315"/>
      <c r="CY43" s="5315"/>
      <c r="CZ43" s="5315"/>
      <c r="DA43" s="5315"/>
      <c r="DB43" s="5315"/>
      <c r="DC43" s="5315"/>
      <c r="DD43" s="5315"/>
      <c r="DE43" s="5315"/>
      <c r="DF43" s="5315"/>
      <c r="DG43" s="5455"/>
      <c r="DH43" s="5455"/>
      <c r="DI43" s="5455"/>
      <c r="DJ43" s="5455"/>
      <c r="DK43" s="5455"/>
      <c r="DL43" s="5455"/>
      <c r="DM43" s="5455"/>
      <c r="DN43" s="5455"/>
      <c r="DO43" s="5455"/>
      <c r="DP43" s="5455"/>
      <c r="DQ43" s="5455"/>
      <c r="DR43" s="5455"/>
      <c r="DS43" s="5455"/>
      <c r="DT43" s="5455"/>
      <c r="DU43" s="5455"/>
      <c r="DV43" s="5455"/>
      <c r="DW43" s="5455"/>
      <c r="DX43" s="5455"/>
      <c r="DY43" s="5455"/>
      <c r="DZ43" s="5455"/>
      <c r="EA43" s="5455"/>
      <c r="EB43" s="5455"/>
      <c r="EC43" s="5455"/>
      <c r="ED43" s="5455"/>
      <c r="EE43" s="5455"/>
      <c r="EF43" s="5455"/>
      <c r="EG43" s="5455"/>
      <c r="EH43" s="5455"/>
      <c r="EI43" s="5455"/>
      <c r="EJ43" s="5455"/>
      <c r="EK43" s="5455"/>
      <c r="EL43" s="5455"/>
      <c r="EM43" s="5455"/>
      <c r="EN43" s="5455"/>
      <c r="EO43" s="5455"/>
      <c r="EP43" s="5455"/>
      <c r="EQ43" s="5455"/>
      <c r="ER43" s="5455"/>
      <c r="ES43" s="5455"/>
      <c r="ET43" s="5455"/>
      <c r="EU43" s="5455"/>
      <c r="EV43" s="5455"/>
      <c r="EW43" s="5455"/>
      <c r="EX43" s="5455"/>
      <c r="EY43" s="5455"/>
      <c r="EZ43" s="5455"/>
      <c r="FA43" s="5466"/>
    </row>
    <row r="44" spans="1:157" s="2018" customFormat="1" ht="15" customHeight="1">
      <c r="A44" s="16133"/>
      <c r="B44" s="16030" t="s">
        <v>1039</v>
      </c>
      <c r="C44" s="5319" t="s">
        <v>8047</v>
      </c>
      <c r="D44" s="5320" t="s">
        <v>1038</v>
      </c>
      <c r="E44" s="5319"/>
      <c r="F44" s="5321"/>
      <c r="G44" s="5322"/>
      <c r="H44" s="2747"/>
      <c r="I44" s="2747"/>
      <c r="J44" s="2747"/>
      <c r="K44" s="2747"/>
      <c r="L44" s="2747"/>
      <c r="M44" s="2747"/>
      <c r="N44" s="2747"/>
      <c r="O44" s="2747"/>
      <c r="P44" s="2747"/>
      <c r="Q44" s="2747"/>
      <c r="R44" s="5429" t="s">
        <v>10072</v>
      </c>
      <c r="S44" s="5323" t="s">
        <v>968</v>
      </c>
      <c r="T44" s="2747"/>
      <c r="U44" s="5312"/>
      <c r="V44" s="16211"/>
      <c r="W44" s="5316"/>
      <c r="X44" s="2747"/>
      <c r="Y44" s="2747"/>
      <c r="Z44" s="5317"/>
      <c r="AA44" s="5317"/>
      <c r="AB44" s="5317"/>
      <c r="AC44" s="5314"/>
      <c r="AD44" s="5313"/>
      <c r="AE44" s="5313"/>
      <c r="AF44" s="5313"/>
      <c r="AG44" s="5313"/>
      <c r="AH44" s="5313"/>
      <c r="AI44" s="5313"/>
      <c r="AJ44" s="5313"/>
      <c r="AK44" s="5313"/>
      <c r="AL44" s="5313"/>
      <c r="AM44" s="5313"/>
      <c r="AN44" s="5313"/>
      <c r="AO44" s="5313"/>
      <c r="AP44" s="5313"/>
      <c r="AQ44" s="5313"/>
      <c r="AR44" s="5313"/>
      <c r="AS44" s="5313"/>
      <c r="AT44" s="5313"/>
      <c r="AU44" s="5313"/>
      <c r="AV44" s="5313"/>
      <c r="AW44" s="5313"/>
      <c r="AX44" s="5313"/>
      <c r="AY44" s="5313"/>
      <c r="AZ44" s="5313"/>
      <c r="BA44" s="5313"/>
      <c r="BB44" s="5313"/>
      <c r="BC44" s="5313"/>
      <c r="BD44" s="5313"/>
      <c r="BE44" s="5313"/>
      <c r="BF44" s="5313"/>
      <c r="BG44" s="5313"/>
      <c r="BH44" s="5313"/>
      <c r="BI44" s="5313"/>
      <c r="BJ44" s="5313"/>
      <c r="BK44" s="5313"/>
      <c r="BL44" s="5313"/>
      <c r="BM44" s="5313"/>
      <c r="BN44" s="5312">
        <v>1</v>
      </c>
      <c r="BO44" s="16146"/>
      <c r="BP44" s="5316" t="s">
        <v>9456</v>
      </c>
      <c r="BQ44" s="2747" t="s">
        <v>9457</v>
      </c>
      <c r="BR44" s="2747" t="s">
        <v>9458</v>
      </c>
      <c r="BS44" s="5318">
        <v>0</v>
      </c>
      <c r="BT44" s="5318">
        <v>0</v>
      </c>
      <c r="BU44" s="5318">
        <v>0</v>
      </c>
      <c r="BV44" s="5315">
        <v>0</v>
      </c>
      <c r="BW44" s="5315"/>
      <c r="BX44" s="5315"/>
      <c r="BY44" s="5315"/>
      <c r="BZ44" s="5315"/>
      <c r="CA44" s="5315"/>
      <c r="CB44" s="5315"/>
      <c r="CC44" s="5315"/>
      <c r="CD44" s="5315"/>
      <c r="CE44" s="5315"/>
      <c r="CF44" s="5315"/>
      <c r="CG44" s="5315"/>
      <c r="CH44" s="5315"/>
      <c r="CI44" s="5315"/>
      <c r="CJ44" s="5315"/>
      <c r="CK44" s="5315"/>
      <c r="CL44" s="5315"/>
      <c r="CM44" s="5315"/>
      <c r="CN44" s="5315"/>
      <c r="CO44" s="5315"/>
      <c r="CP44" s="5315"/>
      <c r="CQ44" s="5315"/>
      <c r="CR44" s="5315"/>
      <c r="CS44" s="5315"/>
      <c r="CT44" s="5315"/>
      <c r="CU44" s="5315"/>
      <c r="CV44" s="5315"/>
      <c r="CW44" s="5315"/>
      <c r="CX44" s="5315"/>
      <c r="CY44" s="5315"/>
      <c r="CZ44" s="5315"/>
      <c r="DA44" s="5315"/>
      <c r="DB44" s="5315"/>
      <c r="DC44" s="5315"/>
      <c r="DD44" s="5315"/>
      <c r="DE44" s="5315"/>
      <c r="DF44" s="5315"/>
      <c r="DG44" s="5455"/>
      <c r="DH44" s="5455"/>
      <c r="DI44" s="5455"/>
      <c r="DJ44" s="5455"/>
      <c r="DK44" s="5455"/>
      <c r="DL44" s="5455"/>
      <c r="DM44" s="5455"/>
      <c r="DN44" s="5455"/>
      <c r="DO44" s="5455"/>
      <c r="DP44" s="5455"/>
      <c r="DQ44" s="5455"/>
      <c r="DR44" s="5455"/>
      <c r="DS44" s="5455"/>
      <c r="DT44" s="5455"/>
      <c r="DU44" s="5455"/>
      <c r="DV44" s="5455"/>
      <c r="DW44" s="5455"/>
      <c r="DX44" s="5455"/>
      <c r="DY44" s="5455"/>
      <c r="DZ44" s="5455"/>
      <c r="EA44" s="5455"/>
      <c r="EB44" s="5455"/>
      <c r="EC44" s="5455"/>
      <c r="ED44" s="5455"/>
      <c r="EE44" s="5455"/>
      <c r="EF44" s="5455"/>
      <c r="EG44" s="5455"/>
      <c r="EH44" s="5455"/>
      <c r="EI44" s="5455"/>
      <c r="EJ44" s="5455"/>
      <c r="EK44" s="5455"/>
      <c r="EL44" s="5455"/>
      <c r="EM44" s="5455"/>
      <c r="EN44" s="5455"/>
      <c r="EO44" s="5455"/>
      <c r="EP44" s="5455"/>
      <c r="EQ44" s="5455"/>
      <c r="ER44" s="5455"/>
      <c r="ES44" s="5455"/>
      <c r="ET44" s="5455"/>
      <c r="EU44" s="5455"/>
      <c r="EV44" s="5455"/>
      <c r="EW44" s="5455"/>
      <c r="EX44" s="5455"/>
      <c r="EY44" s="5455"/>
      <c r="EZ44" s="5455"/>
      <c r="FA44" s="5466"/>
    </row>
    <row r="45" spans="1:157" s="2018" customFormat="1" ht="15" customHeight="1">
      <c r="A45" s="16133"/>
      <c r="B45" s="16030"/>
      <c r="C45" s="16030" t="s">
        <v>8048</v>
      </c>
      <c r="D45" s="16030" t="s">
        <v>1040</v>
      </c>
      <c r="E45" s="16030" t="s">
        <v>1041</v>
      </c>
      <c r="F45" s="16147" t="s">
        <v>958</v>
      </c>
      <c r="G45" s="16148">
        <v>0</v>
      </c>
      <c r="H45" s="16029">
        <v>2</v>
      </c>
      <c r="I45" s="2747">
        <v>2</v>
      </c>
      <c r="J45" s="16029">
        <v>2</v>
      </c>
      <c r="K45" s="16029">
        <v>2</v>
      </c>
      <c r="L45" s="16029">
        <v>2</v>
      </c>
      <c r="M45" s="16029">
        <v>2</v>
      </c>
      <c r="N45" s="16029">
        <v>2</v>
      </c>
      <c r="O45" s="16029">
        <v>2</v>
      </c>
      <c r="P45" s="16029">
        <v>2</v>
      </c>
      <c r="Q45" s="16029">
        <v>2</v>
      </c>
      <c r="R45" s="5310" t="s">
        <v>10072</v>
      </c>
      <c r="S45" s="5311" t="s">
        <v>968</v>
      </c>
      <c r="T45" s="2747"/>
      <c r="U45" s="5324"/>
      <c r="V45" s="16211"/>
      <c r="W45" s="2747"/>
      <c r="X45" s="2747"/>
      <c r="Y45" s="2747"/>
      <c r="Z45" s="5325"/>
      <c r="AA45" s="5325"/>
      <c r="AB45" s="5325"/>
      <c r="AC45" s="5314"/>
      <c r="AD45" s="2747"/>
      <c r="AE45" s="2747"/>
      <c r="AF45" s="2747"/>
      <c r="AG45" s="2747"/>
      <c r="AH45" s="2747"/>
      <c r="AI45" s="2747"/>
      <c r="AJ45" s="2747"/>
      <c r="AK45" s="2747"/>
      <c r="AL45" s="2747"/>
      <c r="AM45" s="2747"/>
      <c r="AN45" s="2747"/>
      <c r="AO45" s="2747"/>
      <c r="AP45" s="2747"/>
      <c r="AQ45" s="2747"/>
      <c r="AR45" s="2747"/>
      <c r="AS45" s="2747"/>
      <c r="AT45" s="2747"/>
      <c r="AU45" s="2747"/>
      <c r="AV45" s="2747"/>
      <c r="AW45" s="2747"/>
      <c r="AX45" s="2747"/>
      <c r="AY45" s="2747"/>
      <c r="AZ45" s="2747"/>
      <c r="BA45" s="2747"/>
      <c r="BB45" s="2747"/>
      <c r="BC45" s="2747"/>
      <c r="BD45" s="2747"/>
      <c r="BE45" s="2747"/>
      <c r="BF45" s="2747"/>
      <c r="BG45" s="2747"/>
      <c r="BH45" s="2747"/>
      <c r="BI45" s="2747"/>
      <c r="BJ45" s="2747"/>
      <c r="BK45" s="2747"/>
      <c r="BL45" s="2747"/>
      <c r="BM45" s="2747"/>
      <c r="BN45" s="5324">
        <v>0</v>
      </c>
      <c r="BO45" s="16146"/>
      <c r="BP45" s="2747"/>
      <c r="BQ45" s="2747"/>
      <c r="BR45" s="2747"/>
      <c r="BS45" s="5326">
        <v>0</v>
      </c>
      <c r="BT45" s="5326">
        <v>0</v>
      </c>
      <c r="BU45" s="5326">
        <v>0</v>
      </c>
      <c r="BV45" s="5315">
        <v>0</v>
      </c>
      <c r="BW45" s="5326"/>
      <c r="BX45" s="5326"/>
      <c r="BY45" s="5326"/>
      <c r="BZ45" s="5326"/>
      <c r="CA45" s="5326"/>
      <c r="CB45" s="5326"/>
      <c r="CC45" s="5326"/>
      <c r="CD45" s="5326"/>
      <c r="CE45" s="5326"/>
      <c r="CF45" s="5326"/>
      <c r="CG45" s="5326"/>
      <c r="CH45" s="5326"/>
      <c r="CI45" s="5326"/>
      <c r="CJ45" s="5326"/>
      <c r="CK45" s="5326"/>
      <c r="CL45" s="5326"/>
      <c r="CM45" s="5326"/>
      <c r="CN45" s="5326"/>
      <c r="CO45" s="5326"/>
      <c r="CP45" s="5326"/>
      <c r="CQ45" s="5326"/>
      <c r="CR45" s="5326"/>
      <c r="CS45" s="5326"/>
      <c r="CT45" s="5326"/>
      <c r="CU45" s="5326"/>
      <c r="CV45" s="5326"/>
      <c r="CW45" s="5326"/>
      <c r="CX45" s="5326"/>
      <c r="CY45" s="5326"/>
      <c r="CZ45" s="5326"/>
      <c r="DA45" s="5326"/>
      <c r="DB45" s="5326"/>
      <c r="DC45" s="5326"/>
      <c r="DD45" s="5326"/>
      <c r="DE45" s="5326"/>
      <c r="DF45" s="5326"/>
      <c r="DG45" s="5455"/>
      <c r="DH45" s="5455"/>
      <c r="DI45" s="5455"/>
      <c r="DJ45" s="5455"/>
      <c r="DK45" s="5455"/>
      <c r="DL45" s="5455"/>
      <c r="DM45" s="5455"/>
      <c r="DN45" s="5455"/>
      <c r="DO45" s="5455"/>
      <c r="DP45" s="5455"/>
      <c r="DQ45" s="5455"/>
      <c r="DR45" s="5455"/>
      <c r="DS45" s="5455"/>
      <c r="DT45" s="5455"/>
      <c r="DU45" s="5455"/>
      <c r="DV45" s="5455"/>
      <c r="DW45" s="5455"/>
      <c r="DX45" s="5455"/>
      <c r="DY45" s="5455"/>
      <c r="DZ45" s="5455"/>
      <c r="EA45" s="5455"/>
      <c r="EB45" s="5455"/>
      <c r="EC45" s="5455"/>
      <c r="ED45" s="5455"/>
      <c r="EE45" s="5455"/>
      <c r="EF45" s="5455"/>
      <c r="EG45" s="5455"/>
      <c r="EH45" s="5455"/>
      <c r="EI45" s="5455"/>
      <c r="EJ45" s="5455"/>
      <c r="EK45" s="5455"/>
      <c r="EL45" s="5455"/>
      <c r="EM45" s="5455"/>
      <c r="EN45" s="5455"/>
      <c r="EO45" s="5455"/>
      <c r="EP45" s="5455"/>
      <c r="EQ45" s="5455"/>
      <c r="ER45" s="5455"/>
      <c r="ES45" s="5455"/>
      <c r="ET45" s="5455"/>
      <c r="EU45" s="5455"/>
      <c r="EV45" s="5455"/>
      <c r="EW45" s="5455"/>
      <c r="EX45" s="5455"/>
      <c r="EY45" s="5455"/>
      <c r="EZ45" s="5455"/>
      <c r="FA45" s="5466"/>
    </row>
    <row r="46" spans="1:157" s="2018" customFormat="1" ht="15" customHeight="1">
      <c r="A46" s="16133"/>
      <c r="B46" s="16030"/>
      <c r="C46" s="16030"/>
      <c r="D46" s="16030"/>
      <c r="E46" s="16030"/>
      <c r="F46" s="16147"/>
      <c r="G46" s="16148"/>
      <c r="H46" s="16029"/>
      <c r="I46" s="2747"/>
      <c r="J46" s="16029"/>
      <c r="K46" s="16029"/>
      <c r="L46" s="16029"/>
      <c r="M46" s="16029"/>
      <c r="N46" s="16029"/>
      <c r="O46" s="16029"/>
      <c r="P46" s="16029"/>
      <c r="Q46" s="16029"/>
      <c r="R46" s="5310" t="s">
        <v>10238</v>
      </c>
      <c r="S46" s="5311"/>
      <c r="T46" s="2747" t="s">
        <v>973</v>
      </c>
      <c r="U46" s="5324"/>
      <c r="V46" s="16211"/>
      <c r="W46" s="2747"/>
      <c r="X46" s="5327"/>
      <c r="Y46" s="2747"/>
      <c r="Z46" s="5317"/>
      <c r="AA46" s="5317"/>
      <c r="AB46" s="5317"/>
      <c r="AC46" s="5314"/>
      <c r="AD46" s="2747"/>
      <c r="AE46" s="2747"/>
      <c r="AF46" s="2747"/>
      <c r="AG46" s="2747"/>
      <c r="AH46" s="2747"/>
      <c r="AI46" s="2747"/>
      <c r="AJ46" s="2747"/>
      <c r="AK46" s="2747"/>
      <c r="AL46" s="2747"/>
      <c r="AM46" s="2747"/>
      <c r="AN46" s="2747"/>
      <c r="AO46" s="2747"/>
      <c r="AP46" s="2747"/>
      <c r="AQ46" s="2747"/>
      <c r="AR46" s="2747"/>
      <c r="AS46" s="2747"/>
      <c r="AT46" s="2747"/>
      <c r="AU46" s="2747"/>
      <c r="AV46" s="2747"/>
      <c r="AW46" s="2747"/>
      <c r="AX46" s="2747"/>
      <c r="AY46" s="2747"/>
      <c r="AZ46" s="2747"/>
      <c r="BA46" s="2747"/>
      <c r="BB46" s="2747"/>
      <c r="BC46" s="2747"/>
      <c r="BD46" s="2747"/>
      <c r="BE46" s="2747"/>
      <c r="BF46" s="2747"/>
      <c r="BG46" s="2747"/>
      <c r="BH46" s="2747"/>
      <c r="BI46" s="2747"/>
      <c r="BJ46" s="2747"/>
      <c r="BK46" s="2747"/>
      <c r="BL46" s="2747"/>
      <c r="BM46" s="2747"/>
      <c r="BN46" s="5324">
        <v>0</v>
      </c>
      <c r="BO46" s="16146">
        <f>AVERAGE(BN46:BN57)</f>
        <v>0.5</v>
      </c>
      <c r="BP46" s="2747" t="s">
        <v>9459</v>
      </c>
      <c r="BQ46" s="5327" t="s">
        <v>2951</v>
      </c>
      <c r="BR46" s="2747"/>
      <c r="BS46" s="5318">
        <v>0</v>
      </c>
      <c r="BT46" s="5318">
        <v>0</v>
      </c>
      <c r="BU46" s="5318">
        <v>0</v>
      </c>
      <c r="BV46" s="5315">
        <v>0</v>
      </c>
      <c r="BW46" s="5326"/>
      <c r="BX46" s="5326"/>
      <c r="BY46" s="5326"/>
      <c r="BZ46" s="5326"/>
      <c r="CA46" s="5326"/>
      <c r="CB46" s="5326"/>
      <c r="CC46" s="5326"/>
      <c r="CD46" s="5326"/>
      <c r="CE46" s="5326"/>
      <c r="CF46" s="5326"/>
      <c r="CG46" s="5326"/>
      <c r="CH46" s="5326"/>
      <c r="CI46" s="5326"/>
      <c r="CJ46" s="5326"/>
      <c r="CK46" s="5326"/>
      <c r="CL46" s="5326"/>
      <c r="CM46" s="5326"/>
      <c r="CN46" s="5326"/>
      <c r="CO46" s="5326"/>
      <c r="CP46" s="5326"/>
      <c r="CQ46" s="5326"/>
      <c r="CR46" s="5326"/>
      <c r="CS46" s="5326"/>
      <c r="CT46" s="5326"/>
      <c r="CU46" s="5326"/>
      <c r="CV46" s="5326"/>
      <c r="CW46" s="5326"/>
      <c r="CX46" s="5326"/>
      <c r="CY46" s="5326"/>
      <c r="CZ46" s="5326"/>
      <c r="DA46" s="5326"/>
      <c r="DB46" s="5326"/>
      <c r="DC46" s="5326"/>
      <c r="DD46" s="5326"/>
      <c r="DE46" s="5326"/>
      <c r="DF46" s="5326"/>
      <c r="DG46" s="5455"/>
      <c r="DH46" s="5455"/>
      <c r="DI46" s="5455"/>
      <c r="DJ46" s="5455"/>
      <c r="DK46" s="5455"/>
      <c r="DL46" s="5455"/>
      <c r="DM46" s="5455"/>
      <c r="DN46" s="5455"/>
      <c r="DO46" s="5455"/>
      <c r="DP46" s="5455"/>
      <c r="DQ46" s="5455"/>
      <c r="DR46" s="5455"/>
      <c r="DS46" s="5455"/>
      <c r="DT46" s="5455"/>
      <c r="DU46" s="5455"/>
      <c r="DV46" s="5455"/>
      <c r="DW46" s="5455"/>
      <c r="DX46" s="5455"/>
      <c r="DY46" s="5455"/>
      <c r="DZ46" s="5455"/>
      <c r="EA46" s="5455"/>
      <c r="EB46" s="5455"/>
      <c r="EC46" s="5455"/>
      <c r="ED46" s="5455"/>
      <c r="EE46" s="5455"/>
      <c r="EF46" s="5455"/>
      <c r="EG46" s="5455"/>
      <c r="EH46" s="5455"/>
      <c r="EI46" s="5455"/>
      <c r="EJ46" s="5455"/>
      <c r="EK46" s="5455"/>
      <c r="EL46" s="5455"/>
      <c r="EM46" s="5455"/>
      <c r="EN46" s="5455"/>
      <c r="EO46" s="5455"/>
      <c r="EP46" s="5455"/>
      <c r="EQ46" s="5455"/>
      <c r="ER46" s="5455"/>
      <c r="ES46" s="5455"/>
      <c r="ET46" s="5455"/>
      <c r="EU46" s="5455"/>
      <c r="EV46" s="5455"/>
      <c r="EW46" s="5455"/>
      <c r="EX46" s="5455"/>
      <c r="EY46" s="5455"/>
      <c r="EZ46" s="5455"/>
      <c r="FA46" s="5466"/>
    </row>
    <row r="47" spans="1:157" s="2019" customFormat="1" ht="15" customHeight="1">
      <c r="A47" s="16082" t="s">
        <v>10261</v>
      </c>
      <c r="B47" s="16084"/>
      <c r="C47" s="5328" t="s">
        <v>8049</v>
      </c>
      <c r="D47" s="5329" t="s">
        <v>1042</v>
      </c>
      <c r="E47" s="5328"/>
      <c r="F47" s="5330"/>
      <c r="G47" s="5331"/>
      <c r="H47" s="2748"/>
      <c r="I47" s="2748"/>
      <c r="J47" s="2748"/>
      <c r="K47" s="2748"/>
      <c r="L47" s="2748"/>
      <c r="M47" s="2748"/>
      <c r="N47" s="2748"/>
      <c r="O47" s="2748"/>
      <c r="P47" s="2748"/>
      <c r="Q47" s="2748"/>
      <c r="R47" s="5430" t="s">
        <v>10072</v>
      </c>
      <c r="S47" s="5332" t="s">
        <v>968</v>
      </c>
      <c r="T47" s="2748"/>
      <c r="U47" s="5333"/>
      <c r="V47" s="16211"/>
      <c r="W47" s="5334"/>
      <c r="X47" s="5334"/>
      <c r="Y47" s="2748"/>
      <c r="Z47" s="5335"/>
      <c r="AA47" s="5335"/>
      <c r="AB47" s="5335"/>
      <c r="AC47" s="5336"/>
      <c r="AD47" s="5337"/>
      <c r="AE47" s="5337"/>
      <c r="AF47" s="5337"/>
      <c r="AG47" s="5337"/>
      <c r="AH47" s="5337"/>
      <c r="AI47" s="5337"/>
      <c r="AJ47" s="5337"/>
      <c r="AK47" s="5337"/>
      <c r="AL47" s="5337"/>
      <c r="AM47" s="5337"/>
      <c r="AN47" s="5337"/>
      <c r="AO47" s="5337"/>
      <c r="AP47" s="5337"/>
      <c r="AQ47" s="5337"/>
      <c r="AR47" s="5337"/>
      <c r="AS47" s="5337"/>
      <c r="AT47" s="5337"/>
      <c r="AU47" s="5337"/>
      <c r="AV47" s="5337"/>
      <c r="AW47" s="5337"/>
      <c r="AX47" s="5337"/>
      <c r="AY47" s="5337"/>
      <c r="AZ47" s="5337"/>
      <c r="BA47" s="5337"/>
      <c r="BB47" s="5337"/>
      <c r="BC47" s="5337"/>
      <c r="BD47" s="5337"/>
      <c r="BE47" s="5337"/>
      <c r="BF47" s="5337"/>
      <c r="BG47" s="5337"/>
      <c r="BH47" s="5337"/>
      <c r="BI47" s="5337"/>
      <c r="BJ47" s="5337"/>
      <c r="BK47" s="5337"/>
      <c r="BL47" s="5337"/>
      <c r="BM47" s="5337"/>
      <c r="BN47" s="5333">
        <v>1</v>
      </c>
      <c r="BO47" s="16146"/>
      <c r="BP47" s="5334" t="s">
        <v>9460</v>
      </c>
      <c r="BQ47" s="5334" t="s">
        <v>9461</v>
      </c>
      <c r="BR47" s="2748"/>
      <c r="BS47" s="5338">
        <v>0</v>
      </c>
      <c r="BT47" s="5338">
        <v>0</v>
      </c>
      <c r="BU47" s="5338">
        <v>0</v>
      </c>
      <c r="BV47" s="5339">
        <v>0</v>
      </c>
      <c r="BW47" s="5339"/>
      <c r="BX47" s="5339"/>
      <c r="BY47" s="5339"/>
      <c r="BZ47" s="5339"/>
      <c r="CA47" s="5339"/>
      <c r="CB47" s="5339"/>
      <c r="CC47" s="5339"/>
      <c r="CD47" s="5339"/>
      <c r="CE47" s="5339"/>
      <c r="CF47" s="5339"/>
      <c r="CG47" s="5339"/>
      <c r="CH47" s="5339"/>
      <c r="CI47" s="5339"/>
      <c r="CJ47" s="5339"/>
      <c r="CK47" s="5339"/>
      <c r="CL47" s="5339"/>
      <c r="CM47" s="5339"/>
      <c r="CN47" s="5339"/>
      <c r="CO47" s="5339"/>
      <c r="CP47" s="5339"/>
      <c r="CQ47" s="5339"/>
      <c r="CR47" s="5339"/>
      <c r="CS47" s="5339"/>
      <c r="CT47" s="5339"/>
      <c r="CU47" s="5339"/>
      <c r="CV47" s="5339"/>
      <c r="CW47" s="5339"/>
      <c r="CX47" s="5339"/>
      <c r="CY47" s="5339"/>
      <c r="CZ47" s="5339"/>
      <c r="DA47" s="5339"/>
      <c r="DB47" s="5339"/>
      <c r="DC47" s="5339"/>
      <c r="DD47" s="5339"/>
      <c r="DE47" s="5339"/>
      <c r="DF47" s="5339"/>
      <c r="DG47" s="5456"/>
      <c r="DH47" s="5456"/>
      <c r="DI47" s="5456"/>
      <c r="DJ47" s="5456"/>
      <c r="DK47" s="5456"/>
      <c r="DL47" s="5456"/>
      <c r="DM47" s="5456"/>
      <c r="DN47" s="5456"/>
      <c r="DO47" s="5456"/>
      <c r="DP47" s="5456"/>
      <c r="DQ47" s="5456"/>
      <c r="DR47" s="5456"/>
      <c r="DS47" s="5456"/>
      <c r="DT47" s="5456"/>
      <c r="DU47" s="5456"/>
      <c r="DV47" s="5456"/>
      <c r="DW47" s="5456"/>
      <c r="DX47" s="5456"/>
      <c r="DY47" s="5456"/>
      <c r="DZ47" s="5456"/>
      <c r="EA47" s="5456"/>
      <c r="EB47" s="5456"/>
      <c r="EC47" s="5456"/>
      <c r="ED47" s="5456"/>
      <c r="EE47" s="5456"/>
      <c r="EF47" s="5456"/>
      <c r="EG47" s="5456"/>
      <c r="EH47" s="5456"/>
      <c r="EI47" s="5456"/>
      <c r="EJ47" s="5456"/>
      <c r="EK47" s="5456"/>
      <c r="EL47" s="5456"/>
      <c r="EM47" s="5456"/>
      <c r="EN47" s="5456"/>
      <c r="EO47" s="5456"/>
      <c r="EP47" s="5456"/>
      <c r="EQ47" s="5456"/>
      <c r="ER47" s="5456"/>
      <c r="ES47" s="5456"/>
      <c r="ET47" s="5456"/>
      <c r="EU47" s="5456"/>
      <c r="EV47" s="5456"/>
      <c r="EW47" s="5456"/>
      <c r="EX47" s="5456"/>
      <c r="EY47" s="5456"/>
      <c r="EZ47" s="5456"/>
      <c r="FA47" s="5467"/>
    </row>
    <row r="48" spans="1:157" s="2019" customFormat="1" ht="15" customHeight="1">
      <c r="A48" s="16082"/>
      <c r="B48" s="16084"/>
      <c r="C48" s="5328" t="s">
        <v>8050</v>
      </c>
      <c r="D48" s="5328" t="s">
        <v>1044</v>
      </c>
      <c r="E48" s="5328" t="s">
        <v>1045</v>
      </c>
      <c r="F48" s="5330" t="s">
        <v>1046</v>
      </c>
      <c r="G48" s="5331">
        <v>1</v>
      </c>
      <c r="H48" s="2748">
        <v>1</v>
      </c>
      <c r="I48" s="2748">
        <v>1</v>
      </c>
      <c r="J48" s="2748">
        <v>0</v>
      </c>
      <c r="K48" s="2748">
        <v>0</v>
      </c>
      <c r="L48" s="2748">
        <v>0</v>
      </c>
      <c r="M48" s="2748">
        <v>0</v>
      </c>
      <c r="N48" s="2748">
        <v>0</v>
      </c>
      <c r="O48" s="2748">
        <v>0</v>
      </c>
      <c r="P48" s="2748">
        <v>0</v>
      </c>
      <c r="Q48" s="2748">
        <v>0</v>
      </c>
      <c r="R48" s="5430" t="s">
        <v>10072</v>
      </c>
      <c r="S48" s="5332" t="s">
        <v>1047</v>
      </c>
      <c r="T48" s="2748"/>
      <c r="U48" s="5333"/>
      <c r="V48" s="16211"/>
      <c r="W48" s="5334"/>
      <c r="X48" s="5334"/>
      <c r="Y48" s="2748"/>
      <c r="Z48" s="5336"/>
      <c r="AA48" s="5336"/>
      <c r="AB48" s="5336"/>
      <c r="AC48" s="5336"/>
      <c r="AD48" s="5337"/>
      <c r="AE48" s="5337"/>
      <c r="AF48" s="5337"/>
      <c r="AG48" s="5337"/>
      <c r="AH48" s="5337"/>
      <c r="AI48" s="5337"/>
      <c r="AJ48" s="5337"/>
      <c r="AK48" s="5337"/>
      <c r="AL48" s="5337"/>
      <c r="AM48" s="5337"/>
      <c r="AN48" s="5337"/>
      <c r="AO48" s="5337"/>
      <c r="AP48" s="5337"/>
      <c r="AQ48" s="5337"/>
      <c r="AR48" s="5337"/>
      <c r="AS48" s="5337"/>
      <c r="AT48" s="5337"/>
      <c r="AU48" s="5337"/>
      <c r="AV48" s="5337"/>
      <c r="AW48" s="5337"/>
      <c r="AX48" s="5337"/>
      <c r="AY48" s="5337"/>
      <c r="AZ48" s="5337"/>
      <c r="BA48" s="5337"/>
      <c r="BB48" s="5337"/>
      <c r="BC48" s="5337"/>
      <c r="BD48" s="5337"/>
      <c r="BE48" s="5337"/>
      <c r="BF48" s="5337"/>
      <c r="BG48" s="5337"/>
      <c r="BH48" s="5337"/>
      <c r="BI48" s="5337"/>
      <c r="BJ48" s="5337"/>
      <c r="BK48" s="5337"/>
      <c r="BL48" s="5337"/>
      <c r="BM48" s="5337"/>
      <c r="BN48" s="5333">
        <v>1</v>
      </c>
      <c r="BO48" s="16146"/>
      <c r="BP48" s="5334" t="s">
        <v>9462</v>
      </c>
      <c r="BQ48" s="5334" t="s">
        <v>9463</v>
      </c>
      <c r="BR48" s="2748"/>
      <c r="BS48" s="5339">
        <v>0</v>
      </c>
      <c r="BT48" s="5339">
        <v>0</v>
      </c>
      <c r="BU48" s="5339">
        <v>0</v>
      </c>
      <c r="BV48" s="5339">
        <v>0</v>
      </c>
      <c r="BW48" s="5339"/>
      <c r="BX48" s="5339"/>
      <c r="BY48" s="5339"/>
      <c r="BZ48" s="5339"/>
      <c r="CA48" s="5339"/>
      <c r="CB48" s="5339"/>
      <c r="CC48" s="5339"/>
      <c r="CD48" s="5339"/>
      <c r="CE48" s="5339"/>
      <c r="CF48" s="5339"/>
      <c r="CG48" s="5339"/>
      <c r="CH48" s="5339"/>
      <c r="CI48" s="5339"/>
      <c r="CJ48" s="5339"/>
      <c r="CK48" s="5339"/>
      <c r="CL48" s="5339"/>
      <c r="CM48" s="5339"/>
      <c r="CN48" s="5339"/>
      <c r="CO48" s="5339"/>
      <c r="CP48" s="5339"/>
      <c r="CQ48" s="5339"/>
      <c r="CR48" s="5339"/>
      <c r="CS48" s="5339"/>
      <c r="CT48" s="5339"/>
      <c r="CU48" s="5339"/>
      <c r="CV48" s="5339"/>
      <c r="CW48" s="5339"/>
      <c r="CX48" s="5339"/>
      <c r="CY48" s="5339"/>
      <c r="CZ48" s="5339"/>
      <c r="DA48" s="5339"/>
      <c r="DB48" s="5339"/>
      <c r="DC48" s="5339"/>
      <c r="DD48" s="5339"/>
      <c r="DE48" s="5339"/>
      <c r="DF48" s="5339"/>
      <c r="DG48" s="5456"/>
      <c r="DH48" s="5456"/>
      <c r="DI48" s="5456"/>
      <c r="DJ48" s="5456"/>
      <c r="DK48" s="5456"/>
      <c r="DL48" s="5456"/>
      <c r="DM48" s="5456"/>
      <c r="DN48" s="5456"/>
      <c r="DO48" s="5456"/>
      <c r="DP48" s="5456"/>
      <c r="DQ48" s="5456"/>
      <c r="DR48" s="5456"/>
      <c r="DS48" s="5456"/>
      <c r="DT48" s="5456"/>
      <c r="DU48" s="5456"/>
      <c r="DV48" s="5456"/>
      <c r="DW48" s="5456"/>
      <c r="DX48" s="5456"/>
      <c r="DY48" s="5456"/>
      <c r="DZ48" s="5456"/>
      <c r="EA48" s="5456"/>
      <c r="EB48" s="5456"/>
      <c r="EC48" s="5456"/>
      <c r="ED48" s="5456"/>
      <c r="EE48" s="5456"/>
      <c r="EF48" s="5456"/>
      <c r="EG48" s="5456"/>
      <c r="EH48" s="5456"/>
      <c r="EI48" s="5456"/>
      <c r="EJ48" s="5456"/>
      <c r="EK48" s="5456"/>
      <c r="EL48" s="5456"/>
      <c r="EM48" s="5456"/>
      <c r="EN48" s="5456"/>
      <c r="EO48" s="5456"/>
      <c r="EP48" s="5456"/>
      <c r="EQ48" s="5456"/>
      <c r="ER48" s="5456"/>
      <c r="ES48" s="5456"/>
      <c r="ET48" s="5456"/>
      <c r="EU48" s="5456"/>
      <c r="EV48" s="5456"/>
      <c r="EW48" s="5456"/>
      <c r="EX48" s="5456"/>
      <c r="EY48" s="5456"/>
      <c r="EZ48" s="5456"/>
      <c r="FA48" s="5467"/>
    </row>
    <row r="49" spans="1:157" s="2019" customFormat="1" ht="15" customHeight="1">
      <c r="A49" s="16082"/>
      <c r="B49" s="16084"/>
      <c r="C49" s="5328" t="s">
        <v>8051</v>
      </c>
      <c r="D49" s="5328" t="s">
        <v>1048</v>
      </c>
      <c r="E49" s="5328" t="s">
        <v>1049</v>
      </c>
      <c r="F49" s="5330" t="s">
        <v>1046</v>
      </c>
      <c r="G49" s="5331">
        <v>0</v>
      </c>
      <c r="H49" s="2748">
        <v>4</v>
      </c>
      <c r="I49" s="2748">
        <v>4</v>
      </c>
      <c r="J49" s="2748">
        <v>4</v>
      </c>
      <c r="K49" s="2748">
        <v>6</v>
      </c>
      <c r="L49" s="2748">
        <v>6</v>
      </c>
      <c r="M49" s="2748">
        <v>6</v>
      </c>
      <c r="N49" s="2748">
        <v>6</v>
      </c>
      <c r="O49" s="2748">
        <v>6</v>
      </c>
      <c r="P49" s="2748">
        <v>6</v>
      </c>
      <c r="Q49" s="2748">
        <v>6</v>
      </c>
      <c r="R49" s="5430" t="s">
        <v>10072</v>
      </c>
      <c r="S49" s="5332" t="s">
        <v>1050</v>
      </c>
      <c r="T49" s="2748"/>
      <c r="U49" s="5333"/>
      <c r="V49" s="16211"/>
      <c r="W49" s="5334"/>
      <c r="X49" s="5334"/>
      <c r="Y49" s="2748"/>
      <c r="Z49" s="5335"/>
      <c r="AA49" s="5335"/>
      <c r="AB49" s="5335"/>
      <c r="AC49" s="5336"/>
      <c r="AD49" s="5337"/>
      <c r="AE49" s="5337"/>
      <c r="AF49" s="5337"/>
      <c r="AG49" s="5337"/>
      <c r="AH49" s="5337"/>
      <c r="AI49" s="5337"/>
      <c r="AJ49" s="5337"/>
      <c r="AK49" s="5337"/>
      <c r="AL49" s="5337"/>
      <c r="AM49" s="5337"/>
      <c r="AN49" s="5337"/>
      <c r="AO49" s="5337"/>
      <c r="AP49" s="5337"/>
      <c r="AQ49" s="5337"/>
      <c r="AR49" s="5337"/>
      <c r="AS49" s="5337"/>
      <c r="AT49" s="5337"/>
      <c r="AU49" s="5337"/>
      <c r="AV49" s="5337"/>
      <c r="AW49" s="5337"/>
      <c r="AX49" s="5337"/>
      <c r="AY49" s="5337"/>
      <c r="AZ49" s="5337"/>
      <c r="BA49" s="5337"/>
      <c r="BB49" s="5337"/>
      <c r="BC49" s="5337"/>
      <c r="BD49" s="5337"/>
      <c r="BE49" s="5337"/>
      <c r="BF49" s="5337"/>
      <c r="BG49" s="5337"/>
      <c r="BH49" s="5337"/>
      <c r="BI49" s="5337"/>
      <c r="BJ49" s="5337"/>
      <c r="BK49" s="5337"/>
      <c r="BL49" s="5337"/>
      <c r="BM49" s="5337"/>
      <c r="BN49" s="5333">
        <v>1</v>
      </c>
      <c r="BO49" s="16146"/>
      <c r="BP49" s="5334" t="s">
        <v>9464</v>
      </c>
      <c r="BQ49" s="5334" t="s">
        <v>9465</v>
      </c>
      <c r="BR49" s="2748"/>
      <c r="BS49" s="5338">
        <v>0</v>
      </c>
      <c r="BT49" s="5338">
        <v>0</v>
      </c>
      <c r="BU49" s="5338">
        <v>0</v>
      </c>
      <c r="BV49" s="5339">
        <v>0</v>
      </c>
      <c r="BW49" s="5339"/>
      <c r="BX49" s="5339"/>
      <c r="BY49" s="5339"/>
      <c r="BZ49" s="5339"/>
      <c r="CA49" s="5339"/>
      <c r="CB49" s="5339"/>
      <c r="CC49" s="5339"/>
      <c r="CD49" s="5339"/>
      <c r="CE49" s="5339"/>
      <c r="CF49" s="5339"/>
      <c r="CG49" s="5339"/>
      <c r="CH49" s="5339"/>
      <c r="CI49" s="5339"/>
      <c r="CJ49" s="5339"/>
      <c r="CK49" s="5339"/>
      <c r="CL49" s="5339"/>
      <c r="CM49" s="5339"/>
      <c r="CN49" s="5339"/>
      <c r="CO49" s="5339"/>
      <c r="CP49" s="5339"/>
      <c r="CQ49" s="5339"/>
      <c r="CR49" s="5339"/>
      <c r="CS49" s="5339"/>
      <c r="CT49" s="5339"/>
      <c r="CU49" s="5339"/>
      <c r="CV49" s="5339"/>
      <c r="CW49" s="5339"/>
      <c r="CX49" s="5339"/>
      <c r="CY49" s="5339"/>
      <c r="CZ49" s="5339"/>
      <c r="DA49" s="5339"/>
      <c r="DB49" s="5339"/>
      <c r="DC49" s="5339"/>
      <c r="DD49" s="5339"/>
      <c r="DE49" s="5339"/>
      <c r="DF49" s="5339"/>
      <c r="DG49" s="5456"/>
      <c r="DH49" s="5456"/>
      <c r="DI49" s="5456"/>
      <c r="DJ49" s="5456"/>
      <c r="DK49" s="5456"/>
      <c r="DL49" s="5456"/>
      <c r="DM49" s="5456"/>
      <c r="DN49" s="5456"/>
      <c r="DO49" s="5456"/>
      <c r="DP49" s="5456"/>
      <c r="DQ49" s="5456"/>
      <c r="DR49" s="5456"/>
      <c r="DS49" s="5456"/>
      <c r="DT49" s="5456"/>
      <c r="DU49" s="5456"/>
      <c r="DV49" s="5456"/>
      <c r="DW49" s="5456"/>
      <c r="DX49" s="5456"/>
      <c r="DY49" s="5456"/>
      <c r="DZ49" s="5456"/>
      <c r="EA49" s="5456"/>
      <c r="EB49" s="5456"/>
      <c r="EC49" s="5456"/>
      <c r="ED49" s="5456"/>
      <c r="EE49" s="5456"/>
      <c r="EF49" s="5456"/>
      <c r="EG49" s="5456"/>
      <c r="EH49" s="5456"/>
      <c r="EI49" s="5456"/>
      <c r="EJ49" s="5456"/>
      <c r="EK49" s="5456"/>
      <c r="EL49" s="5456"/>
      <c r="EM49" s="5456"/>
      <c r="EN49" s="5456"/>
      <c r="EO49" s="5456"/>
      <c r="EP49" s="5456"/>
      <c r="EQ49" s="5456"/>
      <c r="ER49" s="5456"/>
      <c r="ES49" s="5456"/>
      <c r="ET49" s="5456"/>
      <c r="EU49" s="5456"/>
      <c r="EV49" s="5456"/>
      <c r="EW49" s="5456"/>
      <c r="EX49" s="5456"/>
      <c r="EY49" s="5456"/>
      <c r="EZ49" s="5456"/>
      <c r="FA49" s="5467"/>
    </row>
    <row r="50" spans="1:157" s="2019" customFormat="1" ht="15" customHeight="1">
      <c r="A50" s="16082"/>
      <c r="B50" s="16084"/>
      <c r="C50" s="5328" t="s">
        <v>8052</v>
      </c>
      <c r="D50" s="5328" t="s">
        <v>1051</v>
      </c>
      <c r="E50" s="5328" t="s">
        <v>1052</v>
      </c>
      <c r="F50" s="5330" t="s">
        <v>1046</v>
      </c>
      <c r="G50" s="5331">
        <v>1</v>
      </c>
      <c r="H50" s="2748">
        <v>0</v>
      </c>
      <c r="I50" s="2748">
        <v>1</v>
      </c>
      <c r="J50" s="2748">
        <v>1</v>
      </c>
      <c r="K50" s="2748">
        <v>0</v>
      </c>
      <c r="L50" s="2748">
        <v>0</v>
      </c>
      <c r="M50" s="2748">
        <v>0</v>
      </c>
      <c r="N50" s="2748">
        <v>0</v>
      </c>
      <c r="O50" s="2748">
        <v>0</v>
      </c>
      <c r="P50" s="2748">
        <v>0</v>
      </c>
      <c r="Q50" s="2748">
        <v>0</v>
      </c>
      <c r="R50" s="5430" t="s">
        <v>10072</v>
      </c>
      <c r="S50" s="5332" t="s">
        <v>1053</v>
      </c>
      <c r="T50" s="2748"/>
      <c r="U50" s="5333"/>
      <c r="V50" s="16211"/>
      <c r="W50" s="5334"/>
      <c r="X50" s="5334"/>
      <c r="Y50" s="2748"/>
      <c r="Z50" s="5335"/>
      <c r="AA50" s="5335"/>
      <c r="AB50" s="5335"/>
      <c r="AC50" s="5336"/>
      <c r="AD50" s="5337"/>
      <c r="AE50" s="5337"/>
      <c r="AF50" s="5337"/>
      <c r="AG50" s="5337"/>
      <c r="AH50" s="5337"/>
      <c r="AI50" s="5337"/>
      <c r="AJ50" s="5337"/>
      <c r="AK50" s="5337"/>
      <c r="AL50" s="5337"/>
      <c r="AM50" s="5337"/>
      <c r="AN50" s="5337"/>
      <c r="AO50" s="5337"/>
      <c r="AP50" s="5337"/>
      <c r="AQ50" s="5337"/>
      <c r="AR50" s="5337"/>
      <c r="AS50" s="5337"/>
      <c r="AT50" s="5337"/>
      <c r="AU50" s="5337"/>
      <c r="AV50" s="5337"/>
      <c r="AW50" s="5337"/>
      <c r="AX50" s="5337"/>
      <c r="AY50" s="5337"/>
      <c r="AZ50" s="5337"/>
      <c r="BA50" s="5337"/>
      <c r="BB50" s="5337"/>
      <c r="BC50" s="5337"/>
      <c r="BD50" s="5337"/>
      <c r="BE50" s="5337"/>
      <c r="BF50" s="5337"/>
      <c r="BG50" s="5337"/>
      <c r="BH50" s="5337"/>
      <c r="BI50" s="5337"/>
      <c r="BJ50" s="5337"/>
      <c r="BK50" s="5337"/>
      <c r="BL50" s="5337"/>
      <c r="BM50" s="5337"/>
      <c r="BN50" s="5333">
        <v>1</v>
      </c>
      <c r="BO50" s="16146"/>
      <c r="BP50" s="5334" t="s">
        <v>9466</v>
      </c>
      <c r="BQ50" s="5334" t="s">
        <v>9451</v>
      </c>
      <c r="BR50" s="2748"/>
      <c r="BS50" s="5338">
        <v>0</v>
      </c>
      <c r="BT50" s="5338">
        <v>0</v>
      </c>
      <c r="BU50" s="5338">
        <v>0</v>
      </c>
      <c r="BV50" s="5339">
        <v>0</v>
      </c>
      <c r="BW50" s="5339"/>
      <c r="BX50" s="5339"/>
      <c r="BY50" s="5339"/>
      <c r="BZ50" s="5339"/>
      <c r="CA50" s="5339"/>
      <c r="CB50" s="5339"/>
      <c r="CC50" s="5339"/>
      <c r="CD50" s="5339"/>
      <c r="CE50" s="5339"/>
      <c r="CF50" s="5339"/>
      <c r="CG50" s="5339"/>
      <c r="CH50" s="5339"/>
      <c r="CI50" s="5339"/>
      <c r="CJ50" s="5339"/>
      <c r="CK50" s="5339"/>
      <c r="CL50" s="5339"/>
      <c r="CM50" s="5339"/>
      <c r="CN50" s="5339"/>
      <c r="CO50" s="5339"/>
      <c r="CP50" s="5339"/>
      <c r="CQ50" s="5339"/>
      <c r="CR50" s="5339"/>
      <c r="CS50" s="5339"/>
      <c r="CT50" s="5339"/>
      <c r="CU50" s="5339"/>
      <c r="CV50" s="5339"/>
      <c r="CW50" s="5339"/>
      <c r="CX50" s="5339"/>
      <c r="CY50" s="5339"/>
      <c r="CZ50" s="5339"/>
      <c r="DA50" s="5339"/>
      <c r="DB50" s="5339"/>
      <c r="DC50" s="5339"/>
      <c r="DD50" s="5339"/>
      <c r="DE50" s="5339"/>
      <c r="DF50" s="5339"/>
      <c r="DG50" s="5456"/>
      <c r="DH50" s="5456"/>
      <c r="DI50" s="5456"/>
      <c r="DJ50" s="5456"/>
      <c r="DK50" s="5456"/>
      <c r="DL50" s="5456"/>
      <c r="DM50" s="5456"/>
      <c r="DN50" s="5456"/>
      <c r="DO50" s="5456"/>
      <c r="DP50" s="5456"/>
      <c r="DQ50" s="5456"/>
      <c r="DR50" s="5456"/>
      <c r="DS50" s="5456"/>
      <c r="DT50" s="5456"/>
      <c r="DU50" s="5456"/>
      <c r="DV50" s="5456"/>
      <c r="DW50" s="5456"/>
      <c r="DX50" s="5456"/>
      <c r="DY50" s="5456"/>
      <c r="DZ50" s="5456"/>
      <c r="EA50" s="5456"/>
      <c r="EB50" s="5456"/>
      <c r="EC50" s="5456"/>
      <c r="ED50" s="5456"/>
      <c r="EE50" s="5456"/>
      <c r="EF50" s="5456"/>
      <c r="EG50" s="5456"/>
      <c r="EH50" s="5456"/>
      <c r="EI50" s="5456"/>
      <c r="EJ50" s="5456"/>
      <c r="EK50" s="5456"/>
      <c r="EL50" s="5456"/>
      <c r="EM50" s="5456"/>
      <c r="EN50" s="5456"/>
      <c r="EO50" s="5456"/>
      <c r="EP50" s="5456"/>
      <c r="EQ50" s="5456"/>
      <c r="ER50" s="5456"/>
      <c r="ES50" s="5456"/>
      <c r="ET50" s="5456"/>
      <c r="EU50" s="5456"/>
      <c r="EV50" s="5456"/>
      <c r="EW50" s="5456"/>
      <c r="EX50" s="5456"/>
      <c r="EY50" s="5456"/>
      <c r="EZ50" s="5456"/>
      <c r="FA50" s="5467"/>
    </row>
    <row r="51" spans="1:157" s="2019" customFormat="1" ht="15" customHeight="1">
      <c r="A51" s="16082"/>
      <c r="B51" s="16084"/>
      <c r="C51" s="5328" t="s">
        <v>8053</v>
      </c>
      <c r="D51" s="5328" t="s">
        <v>1054</v>
      </c>
      <c r="E51" s="5328" t="s">
        <v>1055</v>
      </c>
      <c r="F51" s="5330" t="s">
        <v>1046</v>
      </c>
      <c r="G51" s="5331">
        <v>0</v>
      </c>
      <c r="H51" s="2748">
        <v>0</v>
      </c>
      <c r="I51" s="2748">
        <v>1</v>
      </c>
      <c r="J51" s="2748">
        <v>1</v>
      </c>
      <c r="K51" s="2748">
        <v>0</v>
      </c>
      <c r="L51" s="2748">
        <v>0</v>
      </c>
      <c r="M51" s="2748">
        <v>0</v>
      </c>
      <c r="N51" s="2748">
        <v>0</v>
      </c>
      <c r="O51" s="2748">
        <v>0</v>
      </c>
      <c r="P51" s="2748">
        <v>0</v>
      </c>
      <c r="Q51" s="2748">
        <v>0</v>
      </c>
      <c r="R51" s="5430" t="s">
        <v>10072</v>
      </c>
      <c r="S51" s="5332" t="s">
        <v>1053</v>
      </c>
      <c r="T51" s="2748"/>
      <c r="U51" s="5333"/>
      <c r="V51" s="16211"/>
      <c r="W51" s="5334"/>
      <c r="X51" s="5334"/>
      <c r="Y51" s="5334"/>
      <c r="Z51" s="5335"/>
      <c r="AA51" s="5335"/>
      <c r="AB51" s="5335"/>
      <c r="AC51" s="5336"/>
      <c r="AD51" s="5337"/>
      <c r="AE51" s="5337"/>
      <c r="AF51" s="5337"/>
      <c r="AG51" s="5337"/>
      <c r="AH51" s="5337"/>
      <c r="AI51" s="5337"/>
      <c r="AJ51" s="5337"/>
      <c r="AK51" s="5337"/>
      <c r="AL51" s="5337"/>
      <c r="AM51" s="5337"/>
      <c r="AN51" s="5337"/>
      <c r="AO51" s="5337"/>
      <c r="AP51" s="5337"/>
      <c r="AQ51" s="5337"/>
      <c r="AR51" s="5337"/>
      <c r="AS51" s="5337"/>
      <c r="AT51" s="5337"/>
      <c r="AU51" s="5337"/>
      <c r="AV51" s="5337"/>
      <c r="AW51" s="5337"/>
      <c r="AX51" s="5337"/>
      <c r="AY51" s="5337"/>
      <c r="AZ51" s="5337"/>
      <c r="BA51" s="5337"/>
      <c r="BB51" s="5337"/>
      <c r="BC51" s="5337"/>
      <c r="BD51" s="5337"/>
      <c r="BE51" s="5337"/>
      <c r="BF51" s="5337"/>
      <c r="BG51" s="5337"/>
      <c r="BH51" s="5337"/>
      <c r="BI51" s="5337"/>
      <c r="BJ51" s="5337"/>
      <c r="BK51" s="5337"/>
      <c r="BL51" s="5337"/>
      <c r="BM51" s="5337"/>
      <c r="BN51" s="5333">
        <v>0</v>
      </c>
      <c r="BO51" s="16146"/>
      <c r="BP51" s="5334" t="s">
        <v>9453</v>
      </c>
      <c r="BQ51" s="5334" t="s">
        <v>9467</v>
      </c>
      <c r="BR51" s="5334" t="s">
        <v>9468</v>
      </c>
      <c r="BS51" s="5338">
        <v>0</v>
      </c>
      <c r="BT51" s="5338">
        <v>0</v>
      </c>
      <c r="BU51" s="5338">
        <v>0</v>
      </c>
      <c r="BV51" s="5339">
        <v>0</v>
      </c>
      <c r="BW51" s="5339"/>
      <c r="BX51" s="5339"/>
      <c r="BY51" s="5339"/>
      <c r="BZ51" s="5339"/>
      <c r="CA51" s="5339"/>
      <c r="CB51" s="5339"/>
      <c r="CC51" s="5339"/>
      <c r="CD51" s="5339"/>
      <c r="CE51" s="5339"/>
      <c r="CF51" s="5339"/>
      <c r="CG51" s="5339"/>
      <c r="CH51" s="5339"/>
      <c r="CI51" s="5339"/>
      <c r="CJ51" s="5339"/>
      <c r="CK51" s="5339"/>
      <c r="CL51" s="5339"/>
      <c r="CM51" s="5339"/>
      <c r="CN51" s="5339"/>
      <c r="CO51" s="5339"/>
      <c r="CP51" s="5339"/>
      <c r="CQ51" s="5339"/>
      <c r="CR51" s="5339"/>
      <c r="CS51" s="5339"/>
      <c r="CT51" s="5339"/>
      <c r="CU51" s="5339"/>
      <c r="CV51" s="5339"/>
      <c r="CW51" s="5339"/>
      <c r="CX51" s="5339"/>
      <c r="CY51" s="5339"/>
      <c r="CZ51" s="5339"/>
      <c r="DA51" s="5339"/>
      <c r="DB51" s="5339"/>
      <c r="DC51" s="5339"/>
      <c r="DD51" s="5339"/>
      <c r="DE51" s="5339"/>
      <c r="DF51" s="5339"/>
      <c r="DG51" s="5456"/>
      <c r="DH51" s="5456"/>
      <c r="DI51" s="5456"/>
      <c r="DJ51" s="5456"/>
      <c r="DK51" s="5456"/>
      <c r="DL51" s="5456"/>
      <c r="DM51" s="5456"/>
      <c r="DN51" s="5456"/>
      <c r="DO51" s="5456"/>
      <c r="DP51" s="5456"/>
      <c r="DQ51" s="5456"/>
      <c r="DR51" s="5456"/>
      <c r="DS51" s="5456"/>
      <c r="DT51" s="5456"/>
      <c r="DU51" s="5456"/>
      <c r="DV51" s="5456"/>
      <c r="DW51" s="5456"/>
      <c r="DX51" s="5456"/>
      <c r="DY51" s="5456"/>
      <c r="DZ51" s="5456"/>
      <c r="EA51" s="5456"/>
      <c r="EB51" s="5456"/>
      <c r="EC51" s="5456"/>
      <c r="ED51" s="5456"/>
      <c r="EE51" s="5456"/>
      <c r="EF51" s="5456"/>
      <c r="EG51" s="5456"/>
      <c r="EH51" s="5456"/>
      <c r="EI51" s="5456"/>
      <c r="EJ51" s="5456"/>
      <c r="EK51" s="5456"/>
      <c r="EL51" s="5456"/>
      <c r="EM51" s="5456"/>
      <c r="EN51" s="5456"/>
      <c r="EO51" s="5456"/>
      <c r="EP51" s="5456"/>
      <c r="EQ51" s="5456"/>
      <c r="ER51" s="5456"/>
      <c r="ES51" s="5456"/>
      <c r="ET51" s="5456"/>
      <c r="EU51" s="5456"/>
      <c r="EV51" s="5456"/>
      <c r="EW51" s="5456"/>
      <c r="EX51" s="5456"/>
      <c r="EY51" s="5456"/>
      <c r="EZ51" s="5456"/>
      <c r="FA51" s="5467"/>
    </row>
    <row r="52" spans="1:157" s="2019" customFormat="1" ht="15" customHeight="1">
      <c r="A52" s="16082"/>
      <c r="B52" s="16084" t="s">
        <v>1056</v>
      </c>
      <c r="C52" s="5328" t="s">
        <v>8054</v>
      </c>
      <c r="D52" s="5328" t="s">
        <v>1057</v>
      </c>
      <c r="E52" s="5328" t="s">
        <v>1058</v>
      </c>
      <c r="F52" s="5330" t="s">
        <v>1046</v>
      </c>
      <c r="G52" s="5331">
        <v>0</v>
      </c>
      <c r="H52" s="2748">
        <v>0</v>
      </c>
      <c r="I52" s="2748">
        <v>1</v>
      </c>
      <c r="J52" s="2748">
        <v>0</v>
      </c>
      <c r="K52" s="2748">
        <v>1</v>
      </c>
      <c r="L52" s="2748">
        <v>0</v>
      </c>
      <c r="M52" s="2748">
        <v>1</v>
      </c>
      <c r="N52" s="2748">
        <v>1</v>
      </c>
      <c r="O52" s="2748">
        <v>1</v>
      </c>
      <c r="P52" s="2748">
        <v>1</v>
      </c>
      <c r="Q52" s="2748">
        <v>1</v>
      </c>
      <c r="R52" s="5430" t="s">
        <v>10072</v>
      </c>
      <c r="S52" s="5332" t="s">
        <v>1053</v>
      </c>
      <c r="T52" s="2748"/>
      <c r="U52" s="5340"/>
      <c r="V52" s="16211"/>
      <c r="W52" s="5334"/>
      <c r="X52" s="5334"/>
      <c r="Y52" s="2748"/>
      <c r="Z52" s="5341"/>
      <c r="AA52" s="5341"/>
      <c r="AB52" s="5341"/>
      <c r="AC52" s="5336"/>
      <c r="AD52" s="5337"/>
      <c r="AE52" s="5337"/>
      <c r="AF52" s="5337"/>
      <c r="AG52" s="5337"/>
      <c r="AH52" s="5337"/>
      <c r="AI52" s="5337"/>
      <c r="AJ52" s="5337"/>
      <c r="AK52" s="5337"/>
      <c r="AL52" s="5337"/>
      <c r="AM52" s="5337"/>
      <c r="AN52" s="5337"/>
      <c r="AO52" s="5337"/>
      <c r="AP52" s="5337"/>
      <c r="AQ52" s="5337"/>
      <c r="AR52" s="5337"/>
      <c r="AS52" s="5337"/>
      <c r="AT52" s="5337"/>
      <c r="AU52" s="5337"/>
      <c r="AV52" s="5337"/>
      <c r="AW52" s="5337"/>
      <c r="AX52" s="5337"/>
      <c r="AY52" s="5337"/>
      <c r="AZ52" s="5337"/>
      <c r="BA52" s="5337"/>
      <c r="BB52" s="5337"/>
      <c r="BC52" s="5337"/>
      <c r="BD52" s="5337"/>
      <c r="BE52" s="5337"/>
      <c r="BF52" s="5337"/>
      <c r="BG52" s="5337"/>
      <c r="BH52" s="5337"/>
      <c r="BI52" s="5337"/>
      <c r="BJ52" s="5337"/>
      <c r="BK52" s="5337"/>
      <c r="BL52" s="5337"/>
      <c r="BM52" s="5337"/>
      <c r="BN52" s="5340">
        <v>1</v>
      </c>
      <c r="BO52" s="16146"/>
      <c r="BP52" s="5334" t="s">
        <v>9469</v>
      </c>
      <c r="BQ52" s="5334" t="s">
        <v>9463</v>
      </c>
      <c r="BR52" s="2748"/>
      <c r="BS52" s="5342">
        <f t="shared" ref="BS52" si="4">+SUM(BT52:BV52)</f>
        <v>103802952.07769424</v>
      </c>
      <c r="BT52" s="5342">
        <v>103802952.07769424</v>
      </c>
      <c r="BU52" s="5342">
        <v>0</v>
      </c>
      <c r="BV52" s="5339">
        <v>0</v>
      </c>
      <c r="BW52" s="5339"/>
      <c r="BX52" s="5339"/>
      <c r="BY52" s="5339"/>
      <c r="BZ52" s="5339"/>
      <c r="CA52" s="5339"/>
      <c r="CB52" s="5339"/>
      <c r="CC52" s="5339"/>
      <c r="CD52" s="5339"/>
      <c r="CE52" s="5339"/>
      <c r="CF52" s="5339"/>
      <c r="CG52" s="5339"/>
      <c r="CH52" s="5339"/>
      <c r="CI52" s="5339"/>
      <c r="CJ52" s="5339"/>
      <c r="CK52" s="5339"/>
      <c r="CL52" s="5339"/>
      <c r="CM52" s="5339"/>
      <c r="CN52" s="5339"/>
      <c r="CO52" s="5339"/>
      <c r="CP52" s="5339"/>
      <c r="CQ52" s="5339"/>
      <c r="CR52" s="5339"/>
      <c r="CS52" s="5339"/>
      <c r="CT52" s="5339"/>
      <c r="CU52" s="5339"/>
      <c r="CV52" s="5339"/>
      <c r="CW52" s="5339"/>
      <c r="CX52" s="5339"/>
      <c r="CY52" s="5339"/>
      <c r="CZ52" s="5339"/>
      <c r="DA52" s="5339"/>
      <c r="DB52" s="5339"/>
      <c r="DC52" s="5339"/>
      <c r="DD52" s="5339"/>
      <c r="DE52" s="5339"/>
      <c r="DF52" s="5339"/>
      <c r="DG52" s="5456"/>
      <c r="DH52" s="5456"/>
      <c r="DI52" s="5456"/>
      <c r="DJ52" s="5456"/>
      <c r="DK52" s="5456"/>
      <c r="DL52" s="5456"/>
      <c r="DM52" s="5456"/>
      <c r="DN52" s="5456"/>
      <c r="DO52" s="5456"/>
      <c r="DP52" s="5456"/>
      <c r="DQ52" s="5456"/>
      <c r="DR52" s="5456"/>
      <c r="DS52" s="5456"/>
      <c r="DT52" s="5456"/>
      <c r="DU52" s="5456"/>
      <c r="DV52" s="5456"/>
      <c r="DW52" s="5456"/>
      <c r="DX52" s="5456"/>
      <c r="DY52" s="5456"/>
      <c r="DZ52" s="5456"/>
      <c r="EA52" s="5456"/>
      <c r="EB52" s="5456"/>
      <c r="EC52" s="5456"/>
      <c r="ED52" s="5456"/>
      <c r="EE52" s="5456"/>
      <c r="EF52" s="5456"/>
      <c r="EG52" s="5456"/>
      <c r="EH52" s="5456"/>
      <c r="EI52" s="5456"/>
      <c r="EJ52" s="5456"/>
      <c r="EK52" s="5456"/>
      <c r="EL52" s="5456"/>
      <c r="EM52" s="5456"/>
      <c r="EN52" s="5456"/>
      <c r="EO52" s="5456"/>
      <c r="EP52" s="5456"/>
      <c r="EQ52" s="5456"/>
      <c r="ER52" s="5456"/>
      <c r="ES52" s="5456"/>
      <c r="ET52" s="5456"/>
      <c r="EU52" s="5456"/>
      <c r="EV52" s="5456"/>
      <c r="EW52" s="5456"/>
      <c r="EX52" s="5456"/>
      <c r="EY52" s="5456"/>
      <c r="EZ52" s="5456"/>
      <c r="FA52" s="5467"/>
    </row>
    <row r="53" spans="1:157" s="2019" customFormat="1" ht="15" customHeight="1">
      <c r="A53" s="16082"/>
      <c r="B53" s="16084"/>
      <c r="C53" s="5328" t="s">
        <v>8055</v>
      </c>
      <c r="D53" s="5328" t="s">
        <v>1059</v>
      </c>
      <c r="E53" s="5328" t="s">
        <v>1060</v>
      </c>
      <c r="F53" s="5330" t="s">
        <v>958</v>
      </c>
      <c r="G53" s="5331">
        <v>0</v>
      </c>
      <c r="H53" s="2748">
        <v>2</v>
      </c>
      <c r="I53" s="2748">
        <v>2</v>
      </c>
      <c r="J53" s="2748">
        <v>2</v>
      </c>
      <c r="K53" s="2748">
        <v>2</v>
      </c>
      <c r="L53" s="2748">
        <v>2</v>
      </c>
      <c r="M53" s="2748">
        <v>2</v>
      </c>
      <c r="N53" s="2748">
        <v>2</v>
      </c>
      <c r="O53" s="2748">
        <v>2</v>
      </c>
      <c r="P53" s="2748">
        <v>2</v>
      </c>
      <c r="Q53" s="2748">
        <v>2</v>
      </c>
      <c r="R53" s="5430" t="s">
        <v>10072</v>
      </c>
      <c r="S53" s="5332" t="s">
        <v>1053</v>
      </c>
      <c r="T53" s="2748"/>
      <c r="U53" s="5340"/>
      <c r="V53" s="16211"/>
      <c r="W53" s="5334"/>
      <c r="X53" s="5334"/>
      <c r="Y53" s="2748"/>
      <c r="Z53" s="5336"/>
      <c r="AA53" s="5336"/>
      <c r="AB53" s="5336"/>
      <c r="AC53" s="5336"/>
      <c r="AD53" s="5337"/>
      <c r="AE53" s="5337"/>
      <c r="AF53" s="5337"/>
      <c r="AG53" s="5337"/>
      <c r="AH53" s="5337"/>
      <c r="AI53" s="5337"/>
      <c r="AJ53" s="5337"/>
      <c r="AK53" s="5337"/>
      <c r="AL53" s="5337"/>
      <c r="AM53" s="5337"/>
      <c r="AN53" s="5337"/>
      <c r="AO53" s="5337"/>
      <c r="AP53" s="5337"/>
      <c r="AQ53" s="5337"/>
      <c r="AR53" s="5337"/>
      <c r="AS53" s="5337"/>
      <c r="AT53" s="5337"/>
      <c r="AU53" s="5337"/>
      <c r="AV53" s="5337"/>
      <c r="AW53" s="5337"/>
      <c r="AX53" s="5337"/>
      <c r="AY53" s="5337"/>
      <c r="AZ53" s="5337"/>
      <c r="BA53" s="5337"/>
      <c r="BB53" s="5337"/>
      <c r="BC53" s="5337"/>
      <c r="BD53" s="5337"/>
      <c r="BE53" s="5337"/>
      <c r="BF53" s="5337"/>
      <c r="BG53" s="5337"/>
      <c r="BH53" s="5337"/>
      <c r="BI53" s="5337"/>
      <c r="BJ53" s="5337"/>
      <c r="BK53" s="5337"/>
      <c r="BL53" s="5337"/>
      <c r="BM53" s="5337"/>
      <c r="BN53" s="5340">
        <v>1</v>
      </c>
      <c r="BO53" s="16146"/>
      <c r="BP53" s="5334" t="s">
        <v>9470</v>
      </c>
      <c r="BQ53" s="5334" t="s">
        <v>9471</v>
      </c>
      <c r="BR53" s="2748"/>
      <c r="BS53" s="5339">
        <v>0</v>
      </c>
      <c r="BT53" s="5339">
        <v>0</v>
      </c>
      <c r="BU53" s="5339">
        <v>0</v>
      </c>
      <c r="BV53" s="5339">
        <v>0</v>
      </c>
      <c r="BW53" s="5339"/>
      <c r="BX53" s="5339"/>
      <c r="BY53" s="5339"/>
      <c r="BZ53" s="5339"/>
      <c r="CA53" s="5339"/>
      <c r="CB53" s="5339"/>
      <c r="CC53" s="5339"/>
      <c r="CD53" s="5339"/>
      <c r="CE53" s="5339"/>
      <c r="CF53" s="5339"/>
      <c r="CG53" s="5339"/>
      <c r="CH53" s="5339"/>
      <c r="CI53" s="5339"/>
      <c r="CJ53" s="5339"/>
      <c r="CK53" s="5339"/>
      <c r="CL53" s="5339"/>
      <c r="CM53" s="5339"/>
      <c r="CN53" s="5339"/>
      <c r="CO53" s="5339"/>
      <c r="CP53" s="5339"/>
      <c r="CQ53" s="5339"/>
      <c r="CR53" s="5339"/>
      <c r="CS53" s="5339"/>
      <c r="CT53" s="5339"/>
      <c r="CU53" s="5339"/>
      <c r="CV53" s="5339"/>
      <c r="CW53" s="5339"/>
      <c r="CX53" s="5339"/>
      <c r="CY53" s="5339"/>
      <c r="CZ53" s="5339"/>
      <c r="DA53" s="5339"/>
      <c r="DB53" s="5339"/>
      <c r="DC53" s="5339"/>
      <c r="DD53" s="5339"/>
      <c r="DE53" s="5339"/>
      <c r="DF53" s="5339"/>
      <c r="DG53" s="5456"/>
      <c r="DH53" s="5456"/>
      <c r="DI53" s="5456"/>
      <c r="DJ53" s="5456"/>
      <c r="DK53" s="5456"/>
      <c r="DL53" s="5456"/>
      <c r="DM53" s="5456"/>
      <c r="DN53" s="5456"/>
      <c r="DO53" s="5456"/>
      <c r="DP53" s="5456"/>
      <c r="DQ53" s="5456"/>
      <c r="DR53" s="5456"/>
      <c r="DS53" s="5456"/>
      <c r="DT53" s="5456"/>
      <c r="DU53" s="5456"/>
      <c r="DV53" s="5456"/>
      <c r="DW53" s="5456"/>
      <c r="DX53" s="5456"/>
      <c r="DY53" s="5456"/>
      <c r="DZ53" s="5456"/>
      <c r="EA53" s="5456"/>
      <c r="EB53" s="5456"/>
      <c r="EC53" s="5456"/>
      <c r="ED53" s="5456"/>
      <c r="EE53" s="5456"/>
      <c r="EF53" s="5456"/>
      <c r="EG53" s="5456"/>
      <c r="EH53" s="5456"/>
      <c r="EI53" s="5456"/>
      <c r="EJ53" s="5456"/>
      <c r="EK53" s="5456"/>
      <c r="EL53" s="5456"/>
      <c r="EM53" s="5456"/>
      <c r="EN53" s="5456"/>
      <c r="EO53" s="5456"/>
      <c r="EP53" s="5456"/>
      <c r="EQ53" s="5456"/>
      <c r="ER53" s="5456"/>
      <c r="ES53" s="5456"/>
      <c r="ET53" s="5456"/>
      <c r="EU53" s="5456"/>
      <c r="EV53" s="5456"/>
      <c r="EW53" s="5456"/>
      <c r="EX53" s="5456"/>
      <c r="EY53" s="5456"/>
      <c r="EZ53" s="5456"/>
      <c r="FA53" s="5467"/>
    </row>
    <row r="54" spans="1:157" s="2019" customFormat="1" ht="15" customHeight="1">
      <c r="A54" s="16082"/>
      <c r="B54" s="16084"/>
      <c r="C54" s="5328" t="s">
        <v>8056</v>
      </c>
      <c r="D54" s="5328" t="s">
        <v>1061</v>
      </c>
      <c r="E54" s="5328" t="s">
        <v>1062</v>
      </c>
      <c r="F54" s="5330" t="s">
        <v>1046</v>
      </c>
      <c r="G54" s="5331">
        <v>0</v>
      </c>
      <c r="H54" s="2748">
        <v>4</v>
      </c>
      <c r="I54" s="2748">
        <v>4</v>
      </c>
      <c r="J54" s="2748">
        <v>4</v>
      </c>
      <c r="K54" s="2748">
        <v>4</v>
      </c>
      <c r="L54" s="2748">
        <v>4</v>
      </c>
      <c r="M54" s="2748">
        <v>4</v>
      </c>
      <c r="N54" s="2748">
        <v>4</v>
      </c>
      <c r="O54" s="2748">
        <v>4</v>
      </c>
      <c r="P54" s="2748">
        <v>4</v>
      </c>
      <c r="Q54" s="2748">
        <v>4</v>
      </c>
      <c r="R54" s="5430" t="s">
        <v>10072</v>
      </c>
      <c r="S54" s="5332" t="s">
        <v>1053</v>
      </c>
      <c r="T54" s="2748"/>
      <c r="U54" s="5340"/>
      <c r="V54" s="16211"/>
      <c r="W54" s="5343"/>
      <c r="X54" s="5334"/>
      <c r="Y54" s="2748"/>
      <c r="Z54" s="5335"/>
      <c r="AA54" s="5335"/>
      <c r="AB54" s="5335"/>
      <c r="AC54" s="5336"/>
      <c r="AD54" s="5337"/>
      <c r="AE54" s="5337"/>
      <c r="AF54" s="5337"/>
      <c r="AG54" s="5337"/>
      <c r="AH54" s="5337"/>
      <c r="AI54" s="5337"/>
      <c r="AJ54" s="5337"/>
      <c r="AK54" s="5337"/>
      <c r="AL54" s="5337"/>
      <c r="AM54" s="5337"/>
      <c r="AN54" s="5337"/>
      <c r="AO54" s="5337"/>
      <c r="AP54" s="5337"/>
      <c r="AQ54" s="5337"/>
      <c r="AR54" s="5337"/>
      <c r="AS54" s="5337"/>
      <c r="AT54" s="5337"/>
      <c r="AU54" s="5337"/>
      <c r="AV54" s="5337"/>
      <c r="AW54" s="5337"/>
      <c r="AX54" s="5337"/>
      <c r="AY54" s="5337"/>
      <c r="AZ54" s="5337"/>
      <c r="BA54" s="5337"/>
      <c r="BB54" s="5337"/>
      <c r="BC54" s="5337"/>
      <c r="BD54" s="5337"/>
      <c r="BE54" s="5337"/>
      <c r="BF54" s="5337"/>
      <c r="BG54" s="5337"/>
      <c r="BH54" s="5337"/>
      <c r="BI54" s="5337"/>
      <c r="BJ54" s="5337"/>
      <c r="BK54" s="5337"/>
      <c r="BL54" s="5337"/>
      <c r="BM54" s="5337"/>
      <c r="BN54" s="5340">
        <v>0</v>
      </c>
      <c r="BO54" s="16146"/>
      <c r="BP54" s="5343" t="s">
        <v>9472</v>
      </c>
      <c r="BQ54" s="5334" t="s">
        <v>9467</v>
      </c>
      <c r="BR54" s="2748"/>
      <c r="BS54" s="5338">
        <v>0</v>
      </c>
      <c r="BT54" s="5338">
        <v>0</v>
      </c>
      <c r="BU54" s="5338">
        <v>0</v>
      </c>
      <c r="BV54" s="5339">
        <v>0</v>
      </c>
      <c r="BW54" s="5339"/>
      <c r="BX54" s="5339"/>
      <c r="BY54" s="5339"/>
      <c r="BZ54" s="5339"/>
      <c r="CA54" s="5339"/>
      <c r="CB54" s="5339"/>
      <c r="CC54" s="5339"/>
      <c r="CD54" s="5339"/>
      <c r="CE54" s="5339"/>
      <c r="CF54" s="5339"/>
      <c r="CG54" s="5339"/>
      <c r="CH54" s="5339"/>
      <c r="CI54" s="5339"/>
      <c r="CJ54" s="5339"/>
      <c r="CK54" s="5339"/>
      <c r="CL54" s="5339"/>
      <c r="CM54" s="5339"/>
      <c r="CN54" s="5339"/>
      <c r="CO54" s="5339"/>
      <c r="CP54" s="5339"/>
      <c r="CQ54" s="5339"/>
      <c r="CR54" s="5339"/>
      <c r="CS54" s="5339"/>
      <c r="CT54" s="5339"/>
      <c r="CU54" s="5339"/>
      <c r="CV54" s="5339"/>
      <c r="CW54" s="5339"/>
      <c r="CX54" s="5339"/>
      <c r="CY54" s="5339"/>
      <c r="CZ54" s="5339"/>
      <c r="DA54" s="5339"/>
      <c r="DB54" s="5339"/>
      <c r="DC54" s="5339"/>
      <c r="DD54" s="5339"/>
      <c r="DE54" s="5339"/>
      <c r="DF54" s="5339"/>
      <c r="DG54" s="5456"/>
      <c r="DH54" s="5456"/>
      <c r="DI54" s="5456"/>
      <c r="DJ54" s="5456"/>
      <c r="DK54" s="5456"/>
      <c r="DL54" s="5456"/>
      <c r="DM54" s="5456"/>
      <c r="DN54" s="5456"/>
      <c r="DO54" s="5456"/>
      <c r="DP54" s="5456"/>
      <c r="DQ54" s="5456"/>
      <c r="DR54" s="5456"/>
      <c r="DS54" s="5456"/>
      <c r="DT54" s="5456"/>
      <c r="DU54" s="5456"/>
      <c r="DV54" s="5456"/>
      <c r="DW54" s="5456"/>
      <c r="DX54" s="5456"/>
      <c r="DY54" s="5456"/>
      <c r="DZ54" s="5456"/>
      <c r="EA54" s="5456"/>
      <c r="EB54" s="5456"/>
      <c r="EC54" s="5456"/>
      <c r="ED54" s="5456"/>
      <c r="EE54" s="5456"/>
      <c r="EF54" s="5456"/>
      <c r="EG54" s="5456"/>
      <c r="EH54" s="5456"/>
      <c r="EI54" s="5456"/>
      <c r="EJ54" s="5456"/>
      <c r="EK54" s="5456"/>
      <c r="EL54" s="5456"/>
      <c r="EM54" s="5456"/>
      <c r="EN54" s="5456"/>
      <c r="EO54" s="5456"/>
      <c r="EP54" s="5456"/>
      <c r="EQ54" s="5456"/>
      <c r="ER54" s="5456"/>
      <c r="ES54" s="5456"/>
      <c r="ET54" s="5456"/>
      <c r="EU54" s="5456"/>
      <c r="EV54" s="5456"/>
      <c r="EW54" s="5456"/>
      <c r="EX54" s="5456"/>
      <c r="EY54" s="5456"/>
      <c r="EZ54" s="5456"/>
      <c r="FA54" s="5467"/>
    </row>
    <row r="55" spans="1:157" s="2019" customFormat="1" ht="15" customHeight="1">
      <c r="A55" s="16082"/>
      <c r="B55" s="16084"/>
      <c r="C55" s="16084" t="s">
        <v>8057</v>
      </c>
      <c r="D55" s="16084" t="s">
        <v>1063</v>
      </c>
      <c r="E55" s="16084" t="s">
        <v>1064</v>
      </c>
      <c r="F55" s="16153" t="s">
        <v>1046</v>
      </c>
      <c r="G55" s="16154">
        <v>0</v>
      </c>
      <c r="H55" s="16044">
        <v>1</v>
      </c>
      <c r="I55" s="16044">
        <v>1</v>
      </c>
      <c r="J55" s="16044">
        <v>1</v>
      </c>
      <c r="K55" s="16044">
        <v>1</v>
      </c>
      <c r="L55" s="16044">
        <v>1</v>
      </c>
      <c r="M55" s="16044">
        <v>1</v>
      </c>
      <c r="N55" s="16044">
        <v>1</v>
      </c>
      <c r="O55" s="16044">
        <v>1</v>
      </c>
      <c r="P55" s="16044">
        <v>1</v>
      </c>
      <c r="Q55" s="16044">
        <v>1</v>
      </c>
      <c r="R55" s="5437" t="s">
        <v>10072</v>
      </c>
      <c r="S55" s="5445" t="s">
        <v>1065</v>
      </c>
      <c r="T55" s="2748"/>
      <c r="U55" s="5340"/>
      <c r="V55" s="16211"/>
      <c r="W55" s="2748"/>
      <c r="X55" s="5337"/>
      <c r="Y55" s="5337"/>
      <c r="Z55" s="5336"/>
      <c r="AA55" s="5336"/>
      <c r="AB55" s="5336"/>
      <c r="AC55" s="5336"/>
      <c r="AD55" s="5337"/>
      <c r="AE55" s="5337"/>
      <c r="AF55" s="5337"/>
      <c r="AG55" s="5337"/>
      <c r="AH55" s="5337"/>
      <c r="AI55" s="5337"/>
      <c r="AJ55" s="5337"/>
      <c r="AK55" s="5337"/>
      <c r="AL55" s="5337"/>
      <c r="AM55" s="5337"/>
      <c r="AN55" s="5337"/>
      <c r="AO55" s="5337"/>
      <c r="AP55" s="5337"/>
      <c r="AQ55" s="5337"/>
      <c r="AR55" s="5337"/>
      <c r="AS55" s="5337"/>
      <c r="AT55" s="5337"/>
      <c r="AU55" s="5337"/>
      <c r="AV55" s="5337"/>
      <c r="AW55" s="5337"/>
      <c r="AX55" s="5337"/>
      <c r="AY55" s="5337"/>
      <c r="AZ55" s="5337"/>
      <c r="BA55" s="5337"/>
      <c r="BB55" s="5337"/>
      <c r="BC55" s="5337"/>
      <c r="BD55" s="5337"/>
      <c r="BE55" s="5337"/>
      <c r="BF55" s="5337"/>
      <c r="BG55" s="5337"/>
      <c r="BH55" s="5337"/>
      <c r="BI55" s="5337"/>
      <c r="BJ55" s="5337"/>
      <c r="BK55" s="5337"/>
      <c r="BL55" s="5337"/>
      <c r="BM55" s="5337"/>
      <c r="BN55" s="5340">
        <v>0</v>
      </c>
      <c r="BO55" s="16146"/>
      <c r="BP55" s="2748" t="s">
        <v>9473</v>
      </c>
      <c r="BQ55" s="5337"/>
      <c r="BR55" s="5337"/>
      <c r="BS55" s="5339">
        <v>0</v>
      </c>
      <c r="BT55" s="5339">
        <v>0</v>
      </c>
      <c r="BU55" s="5339">
        <v>0</v>
      </c>
      <c r="BV55" s="5339">
        <v>0</v>
      </c>
      <c r="BW55" s="5339"/>
      <c r="BX55" s="5339"/>
      <c r="BY55" s="5339"/>
      <c r="BZ55" s="5339"/>
      <c r="CA55" s="5339"/>
      <c r="CB55" s="5339"/>
      <c r="CC55" s="5339"/>
      <c r="CD55" s="5339"/>
      <c r="CE55" s="5339"/>
      <c r="CF55" s="5339"/>
      <c r="CG55" s="5339"/>
      <c r="CH55" s="5339"/>
      <c r="CI55" s="5339"/>
      <c r="CJ55" s="5339"/>
      <c r="CK55" s="5339"/>
      <c r="CL55" s="5339"/>
      <c r="CM55" s="5339"/>
      <c r="CN55" s="5339"/>
      <c r="CO55" s="5339"/>
      <c r="CP55" s="5339"/>
      <c r="CQ55" s="5339"/>
      <c r="CR55" s="5339"/>
      <c r="CS55" s="5339"/>
      <c r="CT55" s="5339"/>
      <c r="CU55" s="5339"/>
      <c r="CV55" s="5339"/>
      <c r="CW55" s="5339"/>
      <c r="CX55" s="5339"/>
      <c r="CY55" s="5339"/>
      <c r="CZ55" s="5339"/>
      <c r="DA55" s="5339"/>
      <c r="DB55" s="5339"/>
      <c r="DC55" s="5339"/>
      <c r="DD55" s="5339"/>
      <c r="DE55" s="5339"/>
      <c r="DF55" s="5339"/>
      <c r="DG55" s="5456"/>
      <c r="DH55" s="5456"/>
      <c r="DI55" s="5456"/>
      <c r="DJ55" s="5456"/>
      <c r="DK55" s="5456"/>
      <c r="DL55" s="5456"/>
      <c r="DM55" s="5456"/>
      <c r="DN55" s="5456"/>
      <c r="DO55" s="5456"/>
      <c r="DP55" s="5456"/>
      <c r="DQ55" s="5456"/>
      <c r="DR55" s="5456"/>
      <c r="DS55" s="5456"/>
      <c r="DT55" s="5456"/>
      <c r="DU55" s="5456"/>
      <c r="DV55" s="5456"/>
      <c r="DW55" s="5456"/>
      <c r="DX55" s="5456"/>
      <c r="DY55" s="5456"/>
      <c r="DZ55" s="5456"/>
      <c r="EA55" s="5456"/>
      <c r="EB55" s="5456"/>
      <c r="EC55" s="5456"/>
      <c r="ED55" s="5456"/>
      <c r="EE55" s="5456"/>
      <c r="EF55" s="5456"/>
      <c r="EG55" s="5456"/>
      <c r="EH55" s="5456"/>
      <c r="EI55" s="5456"/>
      <c r="EJ55" s="5456"/>
      <c r="EK55" s="5456"/>
      <c r="EL55" s="5456"/>
      <c r="EM55" s="5456"/>
      <c r="EN55" s="5456"/>
      <c r="EO55" s="5456"/>
      <c r="EP55" s="5456"/>
      <c r="EQ55" s="5456"/>
      <c r="ER55" s="5456"/>
      <c r="ES55" s="5456"/>
      <c r="ET55" s="5456"/>
      <c r="EU55" s="5456"/>
      <c r="EV55" s="5456"/>
      <c r="EW55" s="5456"/>
      <c r="EX55" s="5456"/>
      <c r="EY55" s="5456"/>
      <c r="EZ55" s="5456"/>
      <c r="FA55" s="5467"/>
    </row>
    <row r="56" spans="1:157" s="2019" customFormat="1" ht="15" customHeight="1">
      <c r="A56" s="16082"/>
      <c r="B56" s="16084"/>
      <c r="C56" s="16084"/>
      <c r="D56" s="16084"/>
      <c r="E56" s="16084"/>
      <c r="F56" s="16153"/>
      <c r="G56" s="16154"/>
      <c r="H56" s="16044"/>
      <c r="I56" s="16044"/>
      <c r="J56" s="16044"/>
      <c r="K56" s="16044"/>
      <c r="L56" s="16044"/>
      <c r="M56" s="16044"/>
      <c r="N56" s="16044"/>
      <c r="O56" s="16044"/>
      <c r="P56" s="16044"/>
      <c r="Q56" s="16044"/>
      <c r="R56" s="5437" t="s">
        <v>10063</v>
      </c>
      <c r="S56" s="5445"/>
      <c r="T56" s="2748" t="s">
        <v>9799</v>
      </c>
      <c r="U56" s="5340"/>
      <c r="V56" s="16211"/>
      <c r="W56" s="5343"/>
      <c r="X56" s="5334"/>
      <c r="Y56" s="2748"/>
      <c r="Z56" s="5335"/>
      <c r="AA56" s="5335"/>
      <c r="AB56" s="5335"/>
      <c r="AC56" s="5336"/>
      <c r="AD56" s="5337"/>
      <c r="AE56" s="5337"/>
      <c r="AF56" s="5337"/>
      <c r="AG56" s="5337"/>
      <c r="AH56" s="5337"/>
      <c r="AI56" s="5337"/>
      <c r="AJ56" s="5337"/>
      <c r="AK56" s="5337"/>
      <c r="AL56" s="5337"/>
      <c r="AM56" s="5337"/>
      <c r="AN56" s="5337"/>
      <c r="AO56" s="5337"/>
      <c r="AP56" s="5337"/>
      <c r="AQ56" s="5337"/>
      <c r="AR56" s="5337"/>
      <c r="AS56" s="5337"/>
      <c r="AT56" s="5337"/>
      <c r="AU56" s="5337"/>
      <c r="AV56" s="5337"/>
      <c r="AW56" s="5337"/>
      <c r="AX56" s="5337"/>
      <c r="AY56" s="5337"/>
      <c r="AZ56" s="5337"/>
      <c r="BA56" s="5337"/>
      <c r="BB56" s="5337"/>
      <c r="BC56" s="5337"/>
      <c r="BD56" s="5337"/>
      <c r="BE56" s="5337"/>
      <c r="BF56" s="5337"/>
      <c r="BG56" s="5337"/>
      <c r="BH56" s="5337"/>
      <c r="BI56" s="5337"/>
      <c r="BJ56" s="5337"/>
      <c r="BK56" s="5337"/>
      <c r="BL56" s="5337"/>
      <c r="BM56" s="5337"/>
      <c r="BN56" s="5340">
        <v>0</v>
      </c>
      <c r="BO56" s="16146"/>
      <c r="BP56" s="5343" t="s">
        <v>9472</v>
      </c>
      <c r="BQ56" s="5334" t="s">
        <v>9467</v>
      </c>
      <c r="BR56" s="2748"/>
      <c r="BS56" s="5338">
        <v>0</v>
      </c>
      <c r="BT56" s="5338">
        <v>0</v>
      </c>
      <c r="BU56" s="5338">
        <v>0</v>
      </c>
      <c r="BV56" s="5339">
        <v>0</v>
      </c>
      <c r="BW56" s="5339"/>
      <c r="BX56" s="5339"/>
      <c r="BY56" s="5339"/>
      <c r="BZ56" s="5339"/>
      <c r="CA56" s="5339"/>
      <c r="CB56" s="5339"/>
      <c r="CC56" s="5339"/>
      <c r="CD56" s="5339"/>
      <c r="CE56" s="5339"/>
      <c r="CF56" s="5339"/>
      <c r="CG56" s="5339"/>
      <c r="CH56" s="5339"/>
      <c r="CI56" s="5339"/>
      <c r="CJ56" s="5339"/>
      <c r="CK56" s="5339"/>
      <c r="CL56" s="5339"/>
      <c r="CM56" s="5339"/>
      <c r="CN56" s="5339"/>
      <c r="CO56" s="5339"/>
      <c r="CP56" s="5339"/>
      <c r="CQ56" s="5339"/>
      <c r="CR56" s="5339"/>
      <c r="CS56" s="5339"/>
      <c r="CT56" s="5339"/>
      <c r="CU56" s="5339"/>
      <c r="CV56" s="5339"/>
      <c r="CW56" s="5339"/>
      <c r="CX56" s="5339"/>
      <c r="CY56" s="5339"/>
      <c r="CZ56" s="5339"/>
      <c r="DA56" s="5339"/>
      <c r="DB56" s="5339"/>
      <c r="DC56" s="5339"/>
      <c r="DD56" s="5339"/>
      <c r="DE56" s="5339"/>
      <c r="DF56" s="5339"/>
      <c r="DG56" s="5456"/>
      <c r="DH56" s="5456"/>
      <c r="DI56" s="5456"/>
      <c r="DJ56" s="5456"/>
      <c r="DK56" s="5456"/>
      <c r="DL56" s="5456"/>
      <c r="DM56" s="5456"/>
      <c r="DN56" s="5456"/>
      <c r="DO56" s="5456"/>
      <c r="DP56" s="5456"/>
      <c r="DQ56" s="5456"/>
      <c r="DR56" s="5456"/>
      <c r="DS56" s="5456"/>
      <c r="DT56" s="5456"/>
      <c r="DU56" s="5456"/>
      <c r="DV56" s="5456"/>
      <c r="DW56" s="5456"/>
      <c r="DX56" s="5456"/>
      <c r="DY56" s="5456"/>
      <c r="DZ56" s="5456"/>
      <c r="EA56" s="5456"/>
      <c r="EB56" s="5456"/>
      <c r="EC56" s="5456"/>
      <c r="ED56" s="5456"/>
      <c r="EE56" s="5456"/>
      <c r="EF56" s="5456"/>
      <c r="EG56" s="5456"/>
      <c r="EH56" s="5456"/>
      <c r="EI56" s="5456"/>
      <c r="EJ56" s="5456"/>
      <c r="EK56" s="5456"/>
      <c r="EL56" s="5456"/>
      <c r="EM56" s="5456"/>
      <c r="EN56" s="5456"/>
      <c r="EO56" s="5456"/>
      <c r="EP56" s="5456"/>
      <c r="EQ56" s="5456"/>
      <c r="ER56" s="5456"/>
      <c r="ES56" s="5456"/>
      <c r="ET56" s="5456"/>
      <c r="EU56" s="5456"/>
      <c r="EV56" s="5456"/>
      <c r="EW56" s="5456"/>
      <c r="EX56" s="5456"/>
      <c r="EY56" s="5456"/>
      <c r="EZ56" s="5456"/>
      <c r="FA56" s="5467"/>
    </row>
    <row r="57" spans="1:157" s="2019" customFormat="1" ht="15" customHeight="1">
      <c r="A57" s="16082"/>
      <c r="B57" s="16084"/>
      <c r="C57" s="16084" t="s">
        <v>8058</v>
      </c>
      <c r="D57" s="16084" t="s">
        <v>1067</v>
      </c>
      <c r="E57" s="16084" t="s">
        <v>1068</v>
      </c>
      <c r="F57" s="16153" t="s">
        <v>1046</v>
      </c>
      <c r="G57" s="16154">
        <v>0</v>
      </c>
      <c r="H57" s="16044">
        <v>10</v>
      </c>
      <c r="I57" s="16044">
        <v>10</v>
      </c>
      <c r="J57" s="16044">
        <v>10</v>
      </c>
      <c r="K57" s="16044">
        <v>10</v>
      </c>
      <c r="L57" s="16044">
        <v>15</v>
      </c>
      <c r="M57" s="16044">
        <v>15</v>
      </c>
      <c r="N57" s="16044">
        <v>15</v>
      </c>
      <c r="O57" s="16044">
        <v>15</v>
      </c>
      <c r="P57" s="16044">
        <v>15</v>
      </c>
      <c r="Q57" s="16044">
        <v>15</v>
      </c>
      <c r="R57" s="5437" t="s">
        <v>10072</v>
      </c>
      <c r="S57" s="5445" t="s">
        <v>976</v>
      </c>
      <c r="T57" s="2748"/>
      <c r="U57" s="5344"/>
      <c r="V57" s="16211"/>
      <c r="W57" s="2748"/>
      <c r="X57" s="2748"/>
      <c r="Y57" s="2748"/>
      <c r="Z57" s="5345"/>
      <c r="AA57" s="5345"/>
      <c r="AB57" s="5345"/>
      <c r="AC57" s="5336"/>
      <c r="AD57" s="2748"/>
      <c r="AE57" s="2748"/>
      <c r="AF57" s="2748"/>
      <c r="AG57" s="2748"/>
      <c r="AH57" s="2748"/>
      <c r="AI57" s="2748"/>
      <c r="AJ57" s="2748"/>
      <c r="AK57" s="2748"/>
      <c r="AL57" s="2748"/>
      <c r="AM57" s="2748"/>
      <c r="AN57" s="2748"/>
      <c r="AO57" s="2748"/>
      <c r="AP57" s="2748"/>
      <c r="AQ57" s="2748"/>
      <c r="AR57" s="2748"/>
      <c r="AS57" s="2748"/>
      <c r="AT57" s="2748"/>
      <c r="AU57" s="2748"/>
      <c r="AV57" s="2748"/>
      <c r="AW57" s="2748"/>
      <c r="AX57" s="2748"/>
      <c r="AY57" s="2748"/>
      <c r="AZ57" s="2748"/>
      <c r="BA57" s="2748"/>
      <c r="BB57" s="2748"/>
      <c r="BC57" s="2748"/>
      <c r="BD57" s="2748"/>
      <c r="BE57" s="2748"/>
      <c r="BF57" s="2748"/>
      <c r="BG57" s="2748"/>
      <c r="BH57" s="2748"/>
      <c r="BI57" s="2748"/>
      <c r="BJ57" s="2748"/>
      <c r="BK57" s="2748"/>
      <c r="BL57" s="2748"/>
      <c r="BM57" s="2748"/>
      <c r="BN57" s="5344">
        <v>0</v>
      </c>
      <c r="BO57" s="16146"/>
      <c r="BP57" s="2748" t="s">
        <v>9474</v>
      </c>
      <c r="BQ57" s="2748"/>
      <c r="BR57" s="2748"/>
      <c r="BS57" s="5346">
        <v>0</v>
      </c>
      <c r="BT57" s="5346">
        <v>0</v>
      </c>
      <c r="BU57" s="5346">
        <v>0</v>
      </c>
      <c r="BV57" s="5339">
        <v>0</v>
      </c>
      <c r="BW57" s="5346"/>
      <c r="BX57" s="5346"/>
      <c r="BY57" s="5346"/>
      <c r="BZ57" s="5346"/>
      <c r="CA57" s="5346"/>
      <c r="CB57" s="5346"/>
      <c r="CC57" s="5346"/>
      <c r="CD57" s="5346"/>
      <c r="CE57" s="5346"/>
      <c r="CF57" s="5346"/>
      <c r="CG57" s="5346"/>
      <c r="CH57" s="5346"/>
      <c r="CI57" s="5346"/>
      <c r="CJ57" s="5346"/>
      <c r="CK57" s="5346"/>
      <c r="CL57" s="5346"/>
      <c r="CM57" s="5346"/>
      <c r="CN57" s="5346"/>
      <c r="CO57" s="5346"/>
      <c r="CP57" s="5346"/>
      <c r="CQ57" s="5346"/>
      <c r="CR57" s="5346"/>
      <c r="CS57" s="5346"/>
      <c r="CT57" s="5346"/>
      <c r="CU57" s="5346"/>
      <c r="CV57" s="5346"/>
      <c r="CW57" s="5346"/>
      <c r="CX57" s="5346"/>
      <c r="CY57" s="5346"/>
      <c r="CZ57" s="5346"/>
      <c r="DA57" s="5346"/>
      <c r="DB57" s="5346"/>
      <c r="DC57" s="5346"/>
      <c r="DD57" s="5346"/>
      <c r="DE57" s="5346"/>
      <c r="DF57" s="5346"/>
      <c r="DG57" s="5456"/>
      <c r="DH57" s="5456"/>
      <c r="DI57" s="5456"/>
      <c r="DJ57" s="5456"/>
      <c r="DK57" s="5456"/>
      <c r="DL57" s="5456"/>
      <c r="DM57" s="5456"/>
      <c r="DN57" s="5456"/>
      <c r="DO57" s="5456"/>
      <c r="DP57" s="5456"/>
      <c r="DQ57" s="5456"/>
      <c r="DR57" s="5456"/>
      <c r="DS57" s="5456"/>
      <c r="DT57" s="5456"/>
      <c r="DU57" s="5456"/>
      <c r="DV57" s="5456"/>
      <c r="DW57" s="5456"/>
      <c r="DX57" s="5456"/>
      <c r="DY57" s="5456"/>
      <c r="DZ57" s="5456"/>
      <c r="EA57" s="5456"/>
      <c r="EB57" s="5456"/>
      <c r="EC57" s="5456"/>
      <c r="ED57" s="5456"/>
      <c r="EE57" s="5456"/>
      <c r="EF57" s="5456"/>
      <c r="EG57" s="5456"/>
      <c r="EH57" s="5456"/>
      <c r="EI57" s="5456"/>
      <c r="EJ57" s="5456"/>
      <c r="EK57" s="5456"/>
      <c r="EL57" s="5456"/>
      <c r="EM57" s="5456"/>
      <c r="EN57" s="5456"/>
      <c r="EO57" s="5456"/>
      <c r="EP57" s="5456"/>
      <c r="EQ57" s="5456"/>
      <c r="ER57" s="5456"/>
      <c r="ES57" s="5456"/>
      <c r="ET57" s="5456"/>
      <c r="EU57" s="5456"/>
      <c r="EV57" s="5456"/>
      <c r="EW57" s="5456"/>
      <c r="EX57" s="5456"/>
      <c r="EY57" s="5456"/>
      <c r="EZ57" s="5456"/>
      <c r="FA57" s="5467"/>
    </row>
    <row r="58" spans="1:157" s="2019" customFormat="1" ht="15" customHeight="1">
      <c r="A58" s="16082"/>
      <c r="B58" s="16084"/>
      <c r="C58" s="16084"/>
      <c r="D58" s="16084"/>
      <c r="E58" s="16084"/>
      <c r="F58" s="16153"/>
      <c r="G58" s="16154"/>
      <c r="H58" s="16044"/>
      <c r="I58" s="16044"/>
      <c r="J58" s="16044"/>
      <c r="K58" s="16044"/>
      <c r="L58" s="16044"/>
      <c r="M58" s="16044"/>
      <c r="N58" s="16044"/>
      <c r="O58" s="16044"/>
      <c r="P58" s="16044"/>
      <c r="Q58" s="16044"/>
      <c r="R58" s="5437" t="s">
        <v>2896</v>
      </c>
      <c r="S58" s="5445"/>
      <c r="T58" s="2748" t="s">
        <v>1066</v>
      </c>
      <c r="U58" s="5657"/>
      <c r="V58" s="16213"/>
      <c r="W58" s="5343"/>
      <c r="X58" s="5334"/>
      <c r="Y58" s="5334"/>
      <c r="Z58" s="5335"/>
      <c r="AA58" s="5335"/>
      <c r="AB58" s="5335"/>
      <c r="AC58" s="5336"/>
      <c r="AD58" s="2748"/>
      <c r="AE58" s="2748"/>
      <c r="AF58" s="2748"/>
      <c r="AG58" s="2748"/>
      <c r="AH58" s="2748"/>
      <c r="AI58" s="2748"/>
      <c r="AJ58" s="2748"/>
      <c r="AK58" s="2748"/>
      <c r="AL58" s="2748"/>
      <c r="AM58" s="2748"/>
      <c r="AN58" s="2748"/>
      <c r="AO58" s="2748"/>
      <c r="AP58" s="2748"/>
      <c r="AQ58" s="2748"/>
      <c r="AR58" s="2748"/>
      <c r="AS58" s="2748"/>
      <c r="AT58" s="2748"/>
      <c r="AU58" s="2748"/>
      <c r="AV58" s="2748"/>
      <c r="AW58" s="2748"/>
      <c r="AX58" s="2748"/>
      <c r="AY58" s="2748"/>
      <c r="AZ58" s="2748"/>
      <c r="BA58" s="2748"/>
      <c r="BB58" s="2748"/>
      <c r="BC58" s="2748"/>
      <c r="BD58" s="2748"/>
      <c r="BE58" s="2748"/>
      <c r="BF58" s="2748"/>
      <c r="BG58" s="2748"/>
      <c r="BH58" s="2748"/>
      <c r="BI58" s="2748"/>
      <c r="BJ58" s="2748"/>
      <c r="BK58" s="2748"/>
      <c r="BL58" s="2748"/>
      <c r="BM58" s="2748"/>
      <c r="BN58" s="5657">
        <v>1</v>
      </c>
      <c r="BO58" s="16159">
        <f>AVERAGE(BN58:BN62)</f>
        <v>0.875</v>
      </c>
      <c r="BP58" s="5343" t="s">
        <v>9475</v>
      </c>
      <c r="BQ58" s="5334" t="s">
        <v>9476</v>
      </c>
      <c r="BR58" s="5334" t="s">
        <v>9477</v>
      </c>
      <c r="BS58" s="5338">
        <v>0</v>
      </c>
      <c r="BT58" s="5338">
        <v>0</v>
      </c>
      <c r="BU58" s="5338">
        <v>0</v>
      </c>
      <c r="BV58" s="5339">
        <v>0</v>
      </c>
      <c r="BW58" s="5346"/>
      <c r="BX58" s="5346"/>
      <c r="BY58" s="5346"/>
      <c r="BZ58" s="5346"/>
      <c r="CA58" s="5346"/>
      <c r="CB58" s="5346"/>
      <c r="CC58" s="5346"/>
      <c r="CD58" s="5346"/>
      <c r="CE58" s="5346"/>
      <c r="CF58" s="5346"/>
      <c r="CG58" s="5346"/>
      <c r="CH58" s="5346"/>
      <c r="CI58" s="5346"/>
      <c r="CJ58" s="5346"/>
      <c r="CK58" s="5346"/>
      <c r="CL58" s="5346"/>
      <c r="CM58" s="5346"/>
      <c r="CN58" s="5346"/>
      <c r="CO58" s="5346"/>
      <c r="CP58" s="5346"/>
      <c r="CQ58" s="5346"/>
      <c r="CR58" s="5346"/>
      <c r="CS58" s="5346"/>
      <c r="CT58" s="5346"/>
      <c r="CU58" s="5346"/>
      <c r="CV58" s="5346"/>
      <c r="CW58" s="5346"/>
      <c r="CX58" s="5346"/>
      <c r="CY58" s="5346"/>
      <c r="CZ58" s="5346"/>
      <c r="DA58" s="5346"/>
      <c r="DB58" s="5346"/>
      <c r="DC58" s="5346"/>
      <c r="DD58" s="5346"/>
      <c r="DE58" s="5346"/>
      <c r="DF58" s="5346"/>
      <c r="DG58" s="5456"/>
      <c r="DH58" s="5456"/>
      <c r="DI58" s="5456"/>
      <c r="DJ58" s="5456"/>
      <c r="DK58" s="5456"/>
      <c r="DL58" s="5456"/>
      <c r="DM58" s="5456"/>
      <c r="DN58" s="5456"/>
      <c r="DO58" s="5456"/>
      <c r="DP58" s="5456"/>
      <c r="DQ58" s="5456"/>
      <c r="DR58" s="5456"/>
      <c r="DS58" s="5456"/>
      <c r="DT58" s="5456"/>
      <c r="DU58" s="5456"/>
      <c r="DV58" s="5456"/>
      <c r="DW58" s="5456"/>
      <c r="DX58" s="5456"/>
      <c r="DY58" s="5456"/>
      <c r="DZ58" s="5456"/>
      <c r="EA58" s="5456"/>
      <c r="EB58" s="5456"/>
      <c r="EC58" s="5456"/>
      <c r="ED58" s="5456"/>
      <c r="EE58" s="5456"/>
      <c r="EF58" s="5456"/>
      <c r="EG58" s="5456"/>
      <c r="EH58" s="5456"/>
      <c r="EI58" s="5456"/>
      <c r="EJ58" s="5456"/>
      <c r="EK58" s="5456"/>
      <c r="EL58" s="5456"/>
      <c r="EM58" s="5456"/>
      <c r="EN58" s="5456"/>
      <c r="EO58" s="5456"/>
      <c r="EP58" s="5456"/>
      <c r="EQ58" s="5456"/>
      <c r="ER58" s="5456"/>
      <c r="ES58" s="5456"/>
      <c r="ET58" s="5456"/>
      <c r="EU58" s="5456"/>
      <c r="EV58" s="5456"/>
      <c r="EW58" s="5456"/>
      <c r="EX58" s="5456"/>
      <c r="EY58" s="5456"/>
      <c r="EZ58" s="5456"/>
      <c r="FA58" s="5467"/>
    </row>
    <row r="59" spans="1:157" s="2013" customFormat="1" ht="15" customHeight="1">
      <c r="A59" s="16062" t="s">
        <v>1069</v>
      </c>
      <c r="B59" s="16161" t="s">
        <v>1070</v>
      </c>
      <c r="C59" s="16161" t="s">
        <v>8059</v>
      </c>
      <c r="D59" s="16161" t="s">
        <v>1071</v>
      </c>
      <c r="E59" s="16161" t="s">
        <v>1072</v>
      </c>
      <c r="F59" s="16163" t="s">
        <v>1073</v>
      </c>
      <c r="G59" s="16164">
        <v>0</v>
      </c>
      <c r="H59" s="2743">
        <v>4</v>
      </c>
      <c r="I59" s="2743">
        <v>4</v>
      </c>
      <c r="J59" s="2743">
        <v>4</v>
      </c>
      <c r="K59" s="2743">
        <v>4</v>
      </c>
      <c r="L59" s="2743">
        <v>4</v>
      </c>
      <c r="M59" s="2743">
        <v>4</v>
      </c>
      <c r="N59" s="2743">
        <v>4</v>
      </c>
      <c r="O59" s="2743">
        <v>4</v>
      </c>
      <c r="P59" s="2743">
        <v>4</v>
      </c>
      <c r="Q59" s="2743">
        <v>4</v>
      </c>
      <c r="R59" s="2772" t="s">
        <v>10072</v>
      </c>
      <c r="S59" s="5438" t="s">
        <v>968</v>
      </c>
      <c r="T59" s="2743"/>
      <c r="U59" s="5347"/>
      <c r="V59" s="16213"/>
      <c r="W59" s="2743"/>
      <c r="X59" s="5287"/>
      <c r="Y59" s="5287"/>
      <c r="Z59" s="5280"/>
      <c r="AA59" s="5280"/>
      <c r="AB59" s="5280"/>
      <c r="AC59" s="5280"/>
      <c r="AD59" s="5287"/>
      <c r="AE59" s="5287"/>
      <c r="AF59" s="5287"/>
      <c r="AG59" s="5287"/>
      <c r="AH59" s="5287"/>
      <c r="AI59" s="5287"/>
      <c r="AJ59" s="5287"/>
      <c r="AK59" s="5287"/>
      <c r="AL59" s="5287"/>
      <c r="AM59" s="5287"/>
      <c r="AN59" s="5287"/>
      <c r="AO59" s="5287"/>
      <c r="AP59" s="5287"/>
      <c r="AQ59" s="5287"/>
      <c r="AR59" s="5287"/>
      <c r="AS59" s="5287"/>
      <c r="AT59" s="5287"/>
      <c r="AU59" s="5287"/>
      <c r="AV59" s="5287"/>
      <c r="AW59" s="5287"/>
      <c r="AX59" s="5287"/>
      <c r="AY59" s="5287"/>
      <c r="AZ59" s="5287"/>
      <c r="BA59" s="5287"/>
      <c r="BB59" s="5287"/>
      <c r="BC59" s="5287"/>
      <c r="BD59" s="5287"/>
      <c r="BE59" s="5287"/>
      <c r="BF59" s="5287"/>
      <c r="BG59" s="5287"/>
      <c r="BH59" s="5287"/>
      <c r="BI59" s="5287"/>
      <c r="BJ59" s="5287"/>
      <c r="BK59" s="5287"/>
      <c r="BL59" s="5287"/>
      <c r="BM59" s="5287"/>
      <c r="BN59" s="5347">
        <v>0.5</v>
      </c>
      <c r="BO59" s="16159"/>
      <c r="BP59" s="2743" t="s">
        <v>9478</v>
      </c>
      <c r="BQ59" s="5287"/>
      <c r="BR59" s="5287"/>
      <c r="BS59" s="5282">
        <v>0</v>
      </c>
      <c r="BT59" s="5282">
        <v>0</v>
      </c>
      <c r="BU59" s="5282">
        <v>0</v>
      </c>
      <c r="BV59" s="5282">
        <v>0</v>
      </c>
      <c r="BW59" s="5282"/>
      <c r="BX59" s="5282"/>
      <c r="BY59" s="5282"/>
      <c r="BZ59" s="5282"/>
      <c r="CA59" s="5282"/>
      <c r="CB59" s="5282"/>
      <c r="CC59" s="5282"/>
      <c r="CD59" s="5282"/>
      <c r="CE59" s="5282"/>
      <c r="CF59" s="5282"/>
      <c r="CG59" s="5282"/>
      <c r="CH59" s="5282"/>
      <c r="CI59" s="5282"/>
      <c r="CJ59" s="5282"/>
      <c r="CK59" s="5282"/>
      <c r="CL59" s="5282"/>
      <c r="CM59" s="5282"/>
      <c r="CN59" s="5282"/>
      <c r="CO59" s="5282"/>
      <c r="CP59" s="5282"/>
      <c r="CQ59" s="5282"/>
      <c r="CR59" s="5282"/>
      <c r="CS59" s="5282"/>
      <c r="CT59" s="5282"/>
      <c r="CU59" s="5282"/>
      <c r="CV59" s="5282"/>
      <c r="CW59" s="5282"/>
      <c r="CX59" s="5282"/>
      <c r="CY59" s="5282"/>
      <c r="CZ59" s="5282"/>
      <c r="DA59" s="5282"/>
      <c r="DB59" s="5282"/>
      <c r="DC59" s="5282"/>
      <c r="DD59" s="5282"/>
      <c r="DE59" s="5282"/>
      <c r="DF59" s="5282"/>
      <c r="DG59" s="5452"/>
      <c r="DH59" s="5452"/>
      <c r="DI59" s="5452"/>
      <c r="DJ59" s="5452"/>
      <c r="DK59" s="5452"/>
      <c r="DL59" s="5452"/>
      <c r="DM59" s="5452"/>
      <c r="DN59" s="5452"/>
      <c r="DO59" s="5452"/>
      <c r="DP59" s="5452"/>
      <c r="DQ59" s="5452"/>
      <c r="DR59" s="5452"/>
      <c r="DS59" s="5452"/>
      <c r="DT59" s="5452"/>
      <c r="DU59" s="5452"/>
      <c r="DV59" s="5452"/>
      <c r="DW59" s="5452"/>
      <c r="DX59" s="5452"/>
      <c r="DY59" s="5452"/>
      <c r="DZ59" s="5452"/>
      <c r="EA59" s="5452"/>
      <c r="EB59" s="5452"/>
      <c r="EC59" s="5452"/>
      <c r="ED59" s="5452"/>
      <c r="EE59" s="5452"/>
      <c r="EF59" s="5452"/>
      <c r="EG59" s="5452"/>
      <c r="EH59" s="5452"/>
      <c r="EI59" s="5452"/>
      <c r="EJ59" s="5452"/>
      <c r="EK59" s="5452"/>
      <c r="EL59" s="5452"/>
      <c r="EM59" s="5452"/>
      <c r="EN59" s="5452"/>
      <c r="EO59" s="5452"/>
      <c r="EP59" s="5452"/>
      <c r="EQ59" s="5452"/>
      <c r="ER59" s="5452"/>
      <c r="ES59" s="5452"/>
      <c r="ET59" s="5452"/>
      <c r="EU59" s="5452"/>
      <c r="EV59" s="5452"/>
      <c r="EW59" s="5452"/>
      <c r="EX59" s="5452"/>
      <c r="EY59" s="5452"/>
      <c r="EZ59" s="5452"/>
      <c r="FA59" s="5463"/>
    </row>
    <row r="60" spans="1:157" s="2013" customFormat="1" ht="15" customHeight="1">
      <c r="A60" s="16062"/>
      <c r="B60" s="16161"/>
      <c r="C60" s="16161"/>
      <c r="D60" s="16161"/>
      <c r="E60" s="16161"/>
      <c r="F60" s="16163"/>
      <c r="G60" s="16164"/>
      <c r="H60" s="2743"/>
      <c r="I60" s="2743"/>
      <c r="J60" s="2743"/>
      <c r="K60" s="2743"/>
      <c r="L60" s="2743"/>
      <c r="M60" s="2743"/>
      <c r="N60" s="2743"/>
      <c r="O60" s="2743"/>
      <c r="P60" s="2743"/>
      <c r="Q60" s="2743"/>
      <c r="R60" s="2772" t="s">
        <v>2896</v>
      </c>
      <c r="S60" s="5438"/>
      <c r="T60" s="2743" t="s">
        <v>1066</v>
      </c>
      <c r="U60" s="5347"/>
      <c r="V60" s="16213"/>
      <c r="W60" s="5289"/>
      <c r="X60" s="5278"/>
      <c r="Y60" s="2743"/>
      <c r="Z60" s="5286"/>
      <c r="AA60" s="5286"/>
      <c r="AB60" s="5286"/>
      <c r="AC60" s="5280"/>
      <c r="AD60" s="5287"/>
      <c r="AE60" s="5287"/>
      <c r="AF60" s="5287"/>
      <c r="AG60" s="5287"/>
      <c r="AH60" s="5287"/>
      <c r="AI60" s="5287"/>
      <c r="AJ60" s="5287"/>
      <c r="AK60" s="5287"/>
      <c r="AL60" s="5287"/>
      <c r="AM60" s="5287"/>
      <c r="AN60" s="5287"/>
      <c r="AO60" s="5287"/>
      <c r="AP60" s="5287"/>
      <c r="AQ60" s="5287"/>
      <c r="AR60" s="5287"/>
      <c r="AS60" s="5287"/>
      <c r="AT60" s="5287"/>
      <c r="AU60" s="5287"/>
      <c r="AV60" s="5287"/>
      <c r="AW60" s="5287"/>
      <c r="AX60" s="5287"/>
      <c r="AY60" s="5287"/>
      <c r="AZ60" s="5287"/>
      <c r="BA60" s="5287"/>
      <c r="BB60" s="5287"/>
      <c r="BC60" s="5287"/>
      <c r="BD60" s="5287"/>
      <c r="BE60" s="5287"/>
      <c r="BF60" s="5287"/>
      <c r="BG60" s="5287"/>
      <c r="BH60" s="5287"/>
      <c r="BI60" s="5287"/>
      <c r="BJ60" s="5287"/>
      <c r="BK60" s="5287"/>
      <c r="BL60" s="5287"/>
      <c r="BM60" s="5287"/>
      <c r="BN60" s="5347"/>
      <c r="BO60" s="16159"/>
      <c r="BP60" s="5289" t="s">
        <v>9479</v>
      </c>
      <c r="BQ60" s="5278" t="s">
        <v>9480</v>
      </c>
      <c r="BR60" s="2743"/>
      <c r="BS60" s="5288">
        <v>39716019.077694237</v>
      </c>
      <c r="BT60" s="5288">
        <v>39716019.077694237</v>
      </c>
      <c r="BU60" s="5288">
        <v>0</v>
      </c>
      <c r="BV60" s="5282">
        <v>0</v>
      </c>
      <c r="BW60" s="5282"/>
      <c r="BX60" s="5282"/>
      <c r="BY60" s="5282"/>
      <c r="BZ60" s="5282"/>
      <c r="CA60" s="5282"/>
      <c r="CB60" s="5282"/>
      <c r="CC60" s="5282"/>
      <c r="CD60" s="5282"/>
      <c r="CE60" s="5282"/>
      <c r="CF60" s="5282"/>
      <c r="CG60" s="5282"/>
      <c r="CH60" s="5282"/>
      <c r="CI60" s="5282"/>
      <c r="CJ60" s="5282"/>
      <c r="CK60" s="5282"/>
      <c r="CL60" s="5282"/>
      <c r="CM60" s="5282"/>
      <c r="CN60" s="5282"/>
      <c r="CO60" s="5282"/>
      <c r="CP60" s="5282"/>
      <c r="CQ60" s="5282"/>
      <c r="CR60" s="5282"/>
      <c r="CS60" s="5282"/>
      <c r="CT60" s="5282"/>
      <c r="CU60" s="5282"/>
      <c r="CV60" s="5282"/>
      <c r="CW60" s="5282"/>
      <c r="CX60" s="5282"/>
      <c r="CY60" s="5282"/>
      <c r="CZ60" s="5282"/>
      <c r="DA60" s="5282"/>
      <c r="DB60" s="5282"/>
      <c r="DC60" s="5282"/>
      <c r="DD60" s="5282"/>
      <c r="DE60" s="5282"/>
      <c r="DF60" s="5282"/>
      <c r="DG60" s="5452"/>
      <c r="DH60" s="5452"/>
      <c r="DI60" s="5452"/>
      <c r="DJ60" s="5452"/>
      <c r="DK60" s="5452"/>
      <c r="DL60" s="5452"/>
      <c r="DM60" s="5452"/>
      <c r="DN60" s="5452"/>
      <c r="DO60" s="5452"/>
      <c r="DP60" s="5452"/>
      <c r="DQ60" s="5452"/>
      <c r="DR60" s="5452"/>
      <c r="DS60" s="5452"/>
      <c r="DT60" s="5452"/>
      <c r="DU60" s="5452"/>
      <c r="DV60" s="5452"/>
      <c r="DW60" s="5452"/>
      <c r="DX60" s="5452"/>
      <c r="DY60" s="5452"/>
      <c r="DZ60" s="5452"/>
      <c r="EA60" s="5452"/>
      <c r="EB60" s="5452"/>
      <c r="EC60" s="5452"/>
      <c r="ED60" s="5452"/>
      <c r="EE60" s="5452"/>
      <c r="EF60" s="5452"/>
      <c r="EG60" s="5452"/>
      <c r="EH60" s="5452"/>
      <c r="EI60" s="5452"/>
      <c r="EJ60" s="5452"/>
      <c r="EK60" s="5452"/>
      <c r="EL60" s="5452"/>
      <c r="EM60" s="5452"/>
      <c r="EN60" s="5452"/>
      <c r="EO60" s="5452"/>
      <c r="EP60" s="5452"/>
      <c r="EQ60" s="5452"/>
      <c r="ER60" s="5452"/>
      <c r="ES60" s="5452"/>
      <c r="ET60" s="5452"/>
      <c r="EU60" s="5452"/>
      <c r="EV60" s="5452"/>
      <c r="EW60" s="5452"/>
      <c r="EX60" s="5452"/>
      <c r="EY60" s="5452"/>
      <c r="EZ60" s="5452"/>
      <c r="FA60" s="5463"/>
    </row>
    <row r="61" spans="1:157" s="2013" customFormat="1" ht="15" customHeight="1">
      <c r="A61" s="16062"/>
      <c r="B61" s="16161"/>
      <c r="C61" s="5276" t="s">
        <v>8060</v>
      </c>
      <c r="D61" s="5276" t="s">
        <v>1074</v>
      </c>
      <c r="E61" s="5276"/>
      <c r="F61" s="5283"/>
      <c r="G61" s="5284"/>
      <c r="H61" s="2743"/>
      <c r="I61" s="2743"/>
      <c r="J61" s="2743"/>
      <c r="K61" s="2743"/>
      <c r="L61" s="2743"/>
      <c r="M61" s="2743"/>
      <c r="N61" s="2743"/>
      <c r="O61" s="2743"/>
      <c r="P61" s="2743"/>
      <c r="Q61" s="2743"/>
      <c r="R61" s="5426" t="s">
        <v>10072</v>
      </c>
      <c r="S61" s="5285" t="s">
        <v>968</v>
      </c>
      <c r="T61" s="2743"/>
      <c r="U61" s="5347"/>
      <c r="V61" s="16213"/>
      <c r="W61" s="5278"/>
      <c r="X61" s="5289"/>
      <c r="Y61" s="2743"/>
      <c r="Z61" s="5279"/>
      <c r="AA61" s="5279"/>
      <c r="AB61" s="5279"/>
      <c r="AC61" s="5280"/>
      <c r="AD61" s="5287"/>
      <c r="AE61" s="5287"/>
      <c r="AF61" s="5287"/>
      <c r="AG61" s="5287"/>
      <c r="AH61" s="5287"/>
      <c r="AI61" s="5287"/>
      <c r="AJ61" s="5287"/>
      <c r="AK61" s="5287"/>
      <c r="AL61" s="5287"/>
      <c r="AM61" s="5287"/>
      <c r="AN61" s="5287"/>
      <c r="AO61" s="5287"/>
      <c r="AP61" s="5287"/>
      <c r="AQ61" s="5287"/>
      <c r="AR61" s="5287"/>
      <c r="AS61" s="5287"/>
      <c r="AT61" s="5287"/>
      <c r="AU61" s="5287"/>
      <c r="AV61" s="5287"/>
      <c r="AW61" s="5287"/>
      <c r="AX61" s="5287"/>
      <c r="AY61" s="5287"/>
      <c r="AZ61" s="5287"/>
      <c r="BA61" s="5287"/>
      <c r="BB61" s="5287"/>
      <c r="BC61" s="5287"/>
      <c r="BD61" s="5287"/>
      <c r="BE61" s="5287"/>
      <c r="BF61" s="5287"/>
      <c r="BG61" s="5287"/>
      <c r="BH61" s="5287"/>
      <c r="BI61" s="5287"/>
      <c r="BJ61" s="5287"/>
      <c r="BK61" s="5287"/>
      <c r="BL61" s="5287"/>
      <c r="BM61" s="5287"/>
      <c r="BN61" s="5347">
        <v>1</v>
      </c>
      <c r="BO61" s="16159"/>
      <c r="BP61" s="5278" t="s">
        <v>9481</v>
      </c>
      <c r="BQ61" s="5289" t="s">
        <v>9482</v>
      </c>
      <c r="BR61" s="2743"/>
      <c r="BS61" s="5281">
        <v>0</v>
      </c>
      <c r="BT61" s="5281">
        <v>0</v>
      </c>
      <c r="BU61" s="5281">
        <v>0</v>
      </c>
      <c r="BV61" s="5282">
        <v>0</v>
      </c>
      <c r="BW61" s="5282"/>
      <c r="BX61" s="5282"/>
      <c r="BY61" s="5282"/>
      <c r="BZ61" s="5282"/>
      <c r="CA61" s="5282"/>
      <c r="CB61" s="5282"/>
      <c r="CC61" s="5282"/>
      <c r="CD61" s="5282"/>
      <c r="CE61" s="5282"/>
      <c r="CF61" s="5282"/>
      <c r="CG61" s="5282"/>
      <c r="CH61" s="5282"/>
      <c r="CI61" s="5282"/>
      <c r="CJ61" s="5282"/>
      <c r="CK61" s="5282"/>
      <c r="CL61" s="5282"/>
      <c r="CM61" s="5282"/>
      <c r="CN61" s="5282"/>
      <c r="CO61" s="5282"/>
      <c r="CP61" s="5282"/>
      <c r="CQ61" s="5282"/>
      <c r="CR61" s="5282"/>
      <c r="CS61" s="5282"/>
      <c r="CT61" s="5282"/>
      <c r="CU61" s="5282"/>
      <c r="CV61" s="5282"/>
      <c r="CW61" s="5282"/>
      <c r="CX61" s="5282"/>
      <c r="CY61" s="5282"/>
      <c r="CZ61" s="5282"/>
      <c r="DA61" s="5282"/>
      <c r="DB61" s="5282"/>
      <c r="DC61" s="5282"/>
      <c r="DD61" s="5282"/>
      <c r="DE61" s="5282"/>
      <c r="DF61" s="5282"/>
      <c r="DG61" s="5452"/>
      <c r="DH61" s="5452"/>
      <c r="DI61" s="5452"/>
      <c r="DJ61" s="5452"/>
      <c r="DK61" s="5452"/>
      <c r="DL61" s="5452"/>
      <c r="DM61" s="5452"/>
      <c r="DN61" s="5452"/>
      <c r="DO61" s="5452"/>
      <c r="DP61" s="5452"/>
      <c r="DQ61" s="5452"/>
      <c r="DR61" s="5452"/>
      <c r="DS61" s="5452"/>
      <c r="DT61" s="5452"/>
      <c r="DU61" s="5452"/>
      <c r="DV61" s="5452"/>
      <c r="DW61" s="5452"/>
      <c r="DX61" s="5452"/>
      <c r="DY61" s="5452"/>
      <c r="DZ61" s="5452"/>
      <c r="EA61" s="5452"/>
      <c r="EB61" s="5452"/>
      <c r="EC61" s="5452"/>
      <c r="ED61" s="5452"/>
      <c r="EE61" s="5452"/>
      <c r="EF61" s="5452"/>
      <c r="EG61" s="5452"/>
      <c r="EH61" s="5452"/>
      <c r="EI61" s="5452"/>
      <c r="EJ61" s="5452"/>
      <c r="EK61" s="5452"/>
      <c r="EL61" s="5452"/>
      <c r="EM61" s="5452"/>
      <c r="EN61" s="5452"/>
      <c r="EO61" s="5452"/>
      <c r="EP61" s="5452"/>
      <c r="EQ61" s="5452"/>
      <c r="ER61" s="5452"/>
      <c r="ES61" s="5452"/>
      <c r="ET61" s="5452"/>
      <c r="EU61" s="5452"/>
      <c r="EV61" s="5452"/>
      <c r="EW61" s="5452"/>
      <c r="EX61" s="5452"/>
      <c r="EY61" s="5452"/>
      <c r="EZ61" s="5452"/>
      <c r="FA61" s="5463"/>
    </row>
    <row r="62" spans="1:157" s="2013" customFormat="1" ht="15" customHeight="1" thickBot="1">
      <c r="A62" s="16063"/>
      <c r="B62" s="16162"/>
      <c r="C62" s="5115" t="s">
        <v>8061</v>
      </c>
      <c r="D62" s="5115" t="s">
        <v>1075</v>
      </c>
      <c r="E62" s="5115" t="s">
        <v>1076</v>
      </c>
      <c r="F62" s="5549" t="s">
        <v>1073</v>
      </c>
      <c r="G62" s="5550">
        <v>0</v>
      </c>
      <c r="H62" s="5551">
        <v>31</v>
      </c>
      <c r="I62" s="5551">
        <v>31</v>
      </c>
      <c r="J62" s="5551">
        <v>31</v>
      </c>
      <c r="K62" s="5551">
        <v>31</v>
      </c>
      <c r="L62" s="5551">
        <v>31</v>
      </c>
      <c r="M62" s="5551">
        <v>31</v>
      </c>
      <c r="N62" s="5551">
        <v>31</v>
      </c>
      <c r="O62" s="5551">
        <v>31</v>
      </c>
      <c r="P62" s="5551">
        <v>31</v>
      </c>
      <c r="Q62" s="5551">
        <v>31</v>
      </c>
      <c r="R62" s="5552" t="s">
        <v>10072</v>
      </c>
      <c r="S62" s="5553" t="s">
        <v>968</v>
      </c>
      <c r="T62" s="5551"/>
      <c r="U62" s="5554"/>
      <c r="V62" s="16214"/>
      <c r="W62" s="5555"/>
      <c r="X62" s="5556"/>
      <c r="Y62" s="5551"/>
      <c r="Z62" s="5557"/>
      <c r="AA62" s="5557"/>
      <c r="AB62" s="5557"/>
      <c r="AC62" s="5558"/>
      <c r="AD62" s="5551"/>
      <c r="AE62" s="5551"/>
      <c r="AF62" s="5551"/>
      <c r="AG62" s="5551"/>
      <c r="AH62" s="5551"/>
      <c r="AI62" s="5551"/>
      <c r="AJ62" s="5551"/>
      <c r="AK62" s="5551"/>
      <c r="AL62" s="5551"/>
      <c r="AM62" s="5551"/>
      <c r="AN62" s="5551"/>
      <c r="AO62" s="5551"/>
      <c r="AP62" s="5551"/>
      <c r="AQ62" s="5551"/>
      <c r="AR62" s="5551"/>
      <c r="AS62" s="5551"/>
      <c r="AT62" s="5551"/>
      <c r="AU62" s="5551"/>
      <c r="AV62" s="5551"/>
      <c r="AW62" s="5551"/>
      <c r="AX62" s="5551"/>
      <c r="AY62" s="5551"/>
      <c r="AZ62" s="5551"/>
      <c r="BA62" s="5551"/>
      <c r="BB62" s="5551"/>
      <c r="BC62" s="5551"/>
      <c r="BD62" s="5551"/>
      <c r="BE62" s="5551"/>
      <c r="BF62" s="5551"/>
      <c r="BG62" s="5551"/>
      <c r="BH62" s="5551"/>
      <c r="BI62" s="5551"/>
      <c r="BJ62" s="5551"/>
      <c r="BK62" s="5551"/>
      <c r="BL62" s="5551"/>
      <c r="BM62" s="5551"/>
      <c r="BN62" s="5554">
        <v>1</v>
      </c>
      <c r="BO62" s="16160"/>
      <c r="BP62" s="5555" t="s">
        <v>9481</v>
      </c>
      <c r="BQ62" s="5556" t="s">
        <v>9482</v>
      </c>
      <c r="BR62" s="5551"/>
      <c r="BS62" s="5559">
        <v>0</v>
      </c>
      <c r="BT62" s="5559">
        <v>0</v>
      </c>
      <c r="BU62" s="5559">
        <v>0</v>
      </c>
      <c r="BV62" s="5560">
        <v>0</v>
      </c>
      <c r="BW62" s="5561"/>
      <c r="BX62" s="5561"/>
      <c r="BY62" s="5561"/>
      <c r="BZ62" s="5561"/>
      <c r="CA62" s="5561"/>
      <c r="CB62" s="5561"/>
      <c r="CC62" s="5561"/>
      <c r="CD62" s="5561"/>
      <c r="CE62" s="5561"/>
      <c r="CF62" s="5561"/>
      <c r="CG62" s="5561"/>
      <c r="CH62" s="5561"/>
      <c r="CI62" s="5561"/>
      <c r="CJ62" s="5561"/>
      <c r="CK62" s="5561"/>
      <c r="CL62" s="5561"/>
      <c r="CM62" s="5561"/>
      <c r="CN62" s="5561"/>
      <c r="CO62" s="5561"/>
      <c r="CP62" s="5561"/>
      <c r="CQ62" s="5561"/>
      <c r="CR62" s="5561"/>
      <c r="CS62" s="5561"/>
      <c r="CT62" s="5561"/>
      <c r="CU62" s="5561"/>
      <c r="CV62" s="5561"/>
      <c r="CW62" s="5561"/>
      <c r="CX62" s="5561"/>
      <c r="CY62" s="5561"/>
      <c r="CZ62" s="5561"/>
      <c r="DA62" s="5561"/>
      <c r="DB62" s="5561"/>
      <c r="DC62" s="5561"/>
      <c r="DD62" s="5561"/>
      <c r="DE62" s="5561"/>
      <c r="DF62" s="5561"/>
      <c r="DG62" s="5562"/>
      <c r="DH62" s="5562"/>
      <c r="DI62" s="5562"/>
      <c r="DJ62" s="5562"/>
      <c r="DK62" s="5562"/>
      <c r="DL62" s="5562"/>
      <c r="DM62" s="5562"/>
      <c r="DN62" s="5562"/>
      <c r="DO62" s="5562"/>
      <c r="DP62" s="5562"/>
      <c r="DQ62" s="5562"/>
      <c r="DR62" s="5562"/>
      <c r="DS62" s="5562"/>
      <c r="DT62" s="5562"/>
      <c r="DU62" s="5562"/>
      <c r="DV62" s="5562"/>
      <c r="DW62" s="5562"/>
      <c r="DX62" s="5562"/>
      <c r="DY62" s="5562"/>
      <c r="DZ62" s="5562"/>
      <c r="EA62" s="5562"/>
      <c r="EB62" s="5562"/>
      <c r="EC62" s="5562"/>
      <c r="ED62" s="5562"/>
      <c r="EE62" s="5562"/>
      <c r="EF62" s="5562"/>
      <c r="EG62" s="5562"/>
      <c r="EH62" s="5562"/>
      <c r="EI62" s="5562"/>
      <c r="EJ62" s="5562"/>
      <c r="EK62" s="5562"/>
      <c r="EL62" s="5562"/>
      <c r="EM62" s="5562"/>
      <c r="EN62" s="5562"/>
      <c r="EO62" s="5562"/>
      <c r="EP62" s="5562"/>
      <c r="EQ62" s="5562"/>
      <c r="ER62" s="5562"/>
      <c r="ES62" s="5562"/>
      <c r="ET62" s="5562"/>
      <c r="EU62" s="5562"/>
      <c r="EV62" s="5562"/>
      <c r="EW62" s="5562"/>
      <c r="EX62" s="5562"/>
      <c r="EY62" s="5562"/>
      <c r="EZ62" s="5562"/>
      <c r="FA62" s="5563"/>
    </row>
    <row r="63" spans="1:157" s="2021" customFormat="1" ht="15" customHeight="1">
      <c r="A63" s="16059" t="s">
        <v>1077</v>
      </c>
      <c r="B63" s="5121" t="s">
        <v>1078</v>
      </c>
      <c r="C63" s="5121" t="s">
        <v>8062</v>
      </c>
      <c r="D63" s="5121" t="s">
        <v>1079</v>
      </c>
      <c r="E63" s="5121" t="s">
        <v>1080</v>
      </c>
      <c r="F63" s="5122" t="s">
        <v>1073</v>
      </c>
      <c r="G63" s="5537">
        <v>1</v>
      </c>
      <c r="H63" s="5111">
        <v>1</v>
      </c>
      <c r="I63" s="5111">
        <v>1</v>
      </c>
      <c r="J63" s="5111">
        <v>1</v>
      </c>
      <c r="K63" s="5111">
        <v>1</v>
      </c>
      <c r="L63" s="5111">
        <v>1</v>
      </c>
      <c r="M63" s="5111">
        <v>1</v>
      </c>
      <c r="N63" s="5111">
        <v>1</v>
      </c>
      <c r="O63" s="5111">
        <v>1</v>
      </c>
      <c r="P63" s="5111">
        <v>1</v>
      </c>
      <c r="Q63" s="5111">
        <v>1</v>
      </c>
      <c r="R63" s="5538" t="s">
        <v>10072</v>
      </c>
      <c r="S63" s="5539" t="s">
        <v>968</v>
      </c>
      <c r="T63" s="5111"/>
      <c r="U63" s="5540"/>
      <c r="V63" s="16156"/>
      <c r="W63" s="5541"/>
      <c r="X63" s="5541"/>
      <c r="Y63" s="5111"/>
      <c r="Z63" s="5542"/>
      <c r="AA63" s="5542"/>
      <c r="AB63" s="5542"/>
      <c r="AC63" s="5543"/>
      <c r="AD63" s="5544"/>
      <c r="AE63" s="5544"/>
      <c r="AF63" s="5544"/>
      <c r="AG63" s="5544"/>
      <c r="AH63" s="5544"/>
      <c r="AI63" s="5544"/>
      <c r="AJ63" s="5544"/>
      <c r="AK63" s="5544"/>
      <c r="AL63" s="5544"/>
      <c r="AM63" s="5544"/>
      <c r="AN63" s="5544"/>
      <c r="AO63" s="5544"/>
      <c r="AP63" s="5544"/>
      <c r="AQ63" s="5544"/>
      <c r="AR63" s="5544"/>
      <c r="AS63" s="5544"/>
      <c r="AT63" s="5544"/>
      <c r="AU63" s="5544"/>
      <c r="AV63" s="5544"/>
      <c r="AW63" s="5544"/>
      <c r="AX63" s="5544"/>
      <c r="AY63" s="5544"/>
      <c r="AZ63" s="5544"/>
      <c r="BA63" s="5544"/>
      <c r="BB63" s="5544"/>
      <c r="BC63" s="5544"/>
      <c r="BD63" s="5544"/>
      <c r="BE63" s="5544"/>
      <c r="BF63" s="5544"/>
      <c r="BG63" s="5544"/>
      <c r="BH63" s="5544"/>
      <c r="BI63" s="5544"/>
      <c r="BJ63" s="5544"/>
      <c r="BK63" s="5544"/>
      <c r="BL63" s="5544"/>
      <c r="BM63" s="5544"/>
      <c r="BN63" s="5540">
        <v>1</v>
      </c>
      <c r="BO63" s="16156">
        <f>AVERAGE(BN63:BN73)</f>
        <v>0.5</v>
      </c>
      <c r="BP63" s="5541" t="s">
        <v>9483</v>
      </c>
      <c r="BQ63" s="5541" t="s">
        <v>9484</v>
      </c>
      <c r="BR63" s="5111"/>
      <c r="BS63" s="5545">
        <v>0</v>
      </c>
      <c r="BT63" s="5545">
        <v>0</v>
      </c>
      <c r="BU63" s="5545">
        <v>0</v>
      </c>
      <c r="BV63" s="5546">
        <v>0</v>
      </c>
      <c r="BW63" s="5546"/>
      <c r="BX63" s="5546"/>
      <c r="BY63" s="5546"/>
      <c r="BZ63" s="5546"/>
      <c r="CA63" s="5546"/>
      <c r="CB63" s="5546"/>
      <c r="CC63" s="5546"/>
      <c r="CD63" s="5546"/>
      <c r="CE63" s="5546"/>
      <c r="CF63" s="5546"/>
      <c r="CG63" s="5546"/>
      <c r="CH63" s="5546"/>
      <c r="CI63" s="5546"/>
      <c r="CJ63" s="5546"/>
      <c r="CK63" s="5546"/>
      <c r="CL63" s="5546"/>
      <c r="CM63" s="5546"/>
      <c r="CN63" s="5546"/>
      <c r="CO63" s="5546"/>
      <c r="CP63" s="5546"/>
      <c r="CQ63" s="5546"/>
      <c r="CR63" s="5546"/>
      <c r="CS63" s="5546"/>
      <c r="CT63" s="5546"/>
      <c r="CU63" s="5546"/>
      <c r="CV63" s="5546"/>
      <c r="CW63" s="5546"/>
      <c r="CX63" s="5546"/>
      <c r="CY63" s="5546"/>
      <c r="CZ63" s="5546"/>
      <c r="DA63" s="5546"/>
      <c r="DB63" s="5546"/>
      <c r="DC63" s="5546"/>
      <c r="DD63" s="5546"/>
      <c r="DE63" s="5546"/>
      <c r="DF63" s="5546"/>
      <c r="DG63" s="5547"/>
      <c r="DH63" s="5547"/>
      <c r="DI63" s="5547"/>
      <c r="DJ63" s="5547"/>
      <c r="DK63" s="5547"/>
      <c r="DL63" s="5547"/>
      <c r="DM63" s="5547"/>
      <c r="DN63" s="5547"/>
      <c r="DO63" s="5547"/>
      <c r="DP63" s="5547"/>
      <c r="DQ63" s="5547"/>
      <c r="DR63" s="5547"/>
      <c r="DS63" s="5547"/>
      <c r="DT63" s="5547"/>
      <c r="DU63" s="5547"/>
      <c r="DV63" s="5547"/>
      <c r="DW63" s="5547"/>
      <c r="DX63" s="5547"/>
      <c r="DY63" s="5547"/>
      <c r="DZ63" s="5547"/>
      <c r="EA63" s="5547"/>
      <c r="EB63" s="5547"/>
      <c r="EC63" s="5547"/>
      <c r="ED63" s="5547"/>
      <c r="EE63" s="5547"/>
      <c r="EF63" s="5547"/>
      <c r="EG63" s="5547"/>
      <c r="EH63" s="5547"/>
      <c r="EI63" s="5547"/>
      <c r="EJ63" s="5547"/>
      <c r="EK63" s="5547"/>
      <c r="EL63" s="5547"/>
      <c r="EM63" s="5547"/>
      <c r="EN63" s="5547"/>
      <c r="EO63" s="5547"/>
      <c r="EP63" s="5547"/>
      <c r="EQ63" s="5547"/>
      <c r="ER63" s="5547"/>
      <c r="ES63" s="5547"/>
      <c r="ET63" s="5547"/>
      <c r="EU63" s="5547"/>
      <c r="EV63" s="5547"/>
      <c r="EW63" s="5547"/>
      <c r="EX63" s="5547"/>
      <c r="EY63" s="5547"/>
      <c r="EZ63" s="5547"/>
      <c r="FA63" s="5548"/>
    </row>
    <row r="64" spans="1:157" s="2021" customFormat="1" ht="15" customHeight="1">
      <c r="A64" s="16060"/>
      <c r="B64" s="5348" t="s">
        <v>1081</v>
      </c>
      <c r="C64" s="5348" t="s">
        <v>8063</v>
      </c>
      <c r="D64" s="5348" t="s">
        <v>1082</v>
      </c>
      <c r="E64" s="5348" t="s">
        <v>1083</v>
      </c>
      <c r="F64" s="5349" t="s">
        <v>1073</v>
      </c>
      <c r="G64" s="5350">
        <v>0</v>
      </c>
      <c r="H64" s="2749">
        <v>15</v>
      </c>
      <c r="I64" s="2749">
        <v>17</v>
      </c>
      <c r="J64" s="2749">
        <v>19</v>
      </c>
      <c r="K64" s="2749">
        <v>21</v>
      </c>
      <c r="L64" s="2749">
        <v>25</v>
      </c>
      <c r="M64" s="2749">
        <v>25</v>
      </c>
      <c r="N64" s="2749">
        <v>25</v>
      </c>
      <c r="O64" s="2749">
        <v>25</v>
      </c>
      <c r="P64" s="2749">
        <v>25</v>
      </c>
      <c r="Q64" s="2749">
        <v>25</v>
      </c>
      <c r="R64" s="5431" t="s">
        <v>10072</v>
      </c>
      <c r="S64" s="5351" t="s">
        <v>10082</v>
      </c>
      <c r="T64" s="2749"/>
      <c r="U64" s="5359"/>
      <c r="V64" s="16157"/>
      <c r="W64" s="5353"/>
      <c r="X64" s="5353"/>
      <c r="Y64" s="2749"/>
      <c r="Z64" s="5354"/>
      <c r="AA64" s="5354"/>
      <c r="AB64" s="5354"/>
      <c r="AC64" s="5355"/>
      <c r="AD64" s="5356"/>
      <c r="AE64" s="5356"/>
      <c r="AF64" s="5356"/>
      <c r="AG64" s="5356"/>
      <c r="AH64" s="5356"/>
      <c r="AI64" s="5356"/>
      <c r="AJ64" s="5356"/>
      <c r="AK64" s="5356"/>
      <c r="AL64" s="5356"/>
      <c r="AM64" s="5356"/>
      <c r="AN64" s="5356"/>
      <c r="AO64" s="5356"/>
      <c r="AP64" s="5356"/>
      <c r="AQ64" s="5356"/>
      <c r="AR64" s="5356"/>
      <c r="AS64" s="5356"/>
      <c r="AT64" s="5356"/>
      <c r="AU64" s="5356"/>
      <c r="AV64" s="5356"/>
      <c r="AW64" s="5356"/>
      <c r="AX64" s="5356"/>
      <c r="AY64" s="5356"/>
      <c r="AZ64" s="5356"/>
      <c r="BA64" s="5356"/>
      <c r="BB64" s="5356"/>
      <c r="BC64" s="5356"/>
      <c r="BD64" s="5356"/>
      <c r="BE64" s="5356"/>
      <c r="BF64" s="5356"/>
      <c r="BG64" s="5356"/>
      <c r="BH64" s="5356"/>
      <c r="BI64" s="5356"/>
      <c r="BJ64" s="5356"/>
      <c r="BK64" s="5356"/>
      <c r="BL64" s="5356"/>
      <c r="BM64" s="5356"/>
      <c r="BN64" s="5359">
        <v>1</v>
      </c>
      <c r="BO64" s="16157"/>
      <c r="BP64" s="5353" t="s">
        <v>9485</v>
      </c>
      <c r="BQ64" s="5353" t="s">
        <v>9467</v>
      </c>
      <c r="BR64" s="2749"/>
      <c r="BS64" s="5357">
        <v>0</v>
      </c>
      <c r="BT64" s="5357">
        <v>0</v>
      </c>
      <c r="BU64" s="5357">
        <v>0</v>
      </c>
      <c r="BV64" s="5358">
        <v>0</v>
      </c>
      <c r="BW64" s="5358"/>
      <c r="BX64" s="5358"/>
      <c r="BY64" s="5358"/>
      <c r="BZ64" s="5358"/>
      <c r="CA64" s="5358"/>
      <c r="CB64" s="5358"/>
      <c r="CC64" s="5358"/>
      <c r="CD64" s="5358"/>
      <c r="CE64" s="5358"/>
      <c r="CF64" s="5358"/>
      <c r="CG64" s="5358"/>
      <c r="CH64" s="5358"/>
      <c r="CI64" s="5358"/>
      <c r="CJ64" s="5358"/>
      <c r="CK64" s="5358"/>
      <c r="CL64" s="5358"/>
      <c r="CM64" s="5358"/>
      <c r="CN64" s="5358"/>
      <c r="CO64" s="5358"/>
      <c r="CP64" s="5358"/>
      <c r="CQ64" s="5358"/>
      <c r="CR64" s="5358"/>
      <c r="CS64" s="5358"/>
      <c r="CT64" s="5358"/>
      <c r="CU64" s="5358"/>
      <c r="CV64" s="5358"/>
      <c r="CW64" s="5358"/>
      <c r="CX64" s="5358"/>
      <c r="CY64" s="5358"/>
      <c r="CZ64" s="5358"/>
      <c r="DA64" s="5358"/>
      <c r="DB64" s="5358"/>
      <c r="DC64" s="5358"/>
      <c r="DD64" s="5358"/>
      <c r="DE64" s="5358"/>
      <c r="DF64" s="5358"/>
      <c r="DG64" s="5457"/>
      <c r="DH64" s="5457"/>
      <c r="DI64" s="5457"/>
      <c r="DJ64" s="5457"/>
      <c r="DK64" s="5457"/>
      <c r="DL64" s="5457"/>
      <c r="DM64" s="5457"/>
      <c r="DN64" s="5457"/>
      <c r="DO64" s="5457"/>
      <c r="DP64" s="5457"/>
      <c r="DQ64" s="5457"/>
      <c r="DR64" s="5457"/>
      <c r="DS64" s="5457"/>
      <c r="DT64" s="5457"/>
      <c r="DU64" s="5457"/>
      <c r="DV64" s="5457"/>
      <c r="DW64" s="5457"/>
      <c r="DX64" s="5457"/>
      <c r="DY64" s="5457"/>
      <c r="DZ64" s="5457"/>
      <c r="EA64" s="5457"/>
      <c r="EB64" s="5457"/>
      <c r="EC64" s="5457"/>
      <c r="ED64" s="5457"/>
      <c r="EE64" s="5457"/>
      <c r="EF64" s="5457"/>
      <c r="EG64" s="5457"/>
      <c r="EH64" s="5457"/>
      <c r="EI64" s="5457"/>
      <c r="EJ64" s="5457"/>
      <c r="EK64" s="5457"/>
      <c r="EL64" s="5457"/>
      <c r="EM64" s="5457"/>
      <c r="EN64" s="5457"/>
      <c r="EO64" s="5457"/>
      <c r="EP64" s="5457"/>
      <c r="EQ64" s="5457"/>
      <c r="ER64" s="5457"/>
      <c r="ES64" s="5457"/>
      <c r="ET64" s="5457"/>
      <c r="EU64" s="5457"/>
      <c r="EV64" s="5457"/>
      <c r="EW64" s="5457"/>
      <c r="EX64" s="5457"/>
      <c r="EY64" s="5457"/>
      <c r="EZ64" s="5457"/>
      <c r="FA64" s="5468"/>
    </row>
    <row r="65" spans="1:157" s="2021" customFormat="1" ht="15" customHeight="1">
      <c r="A65" s="16060"/>
      <c r="B65" s="16068" t="s">
        <v>1084</v>
      </c>
      <c r="C65" s="16068" t="s">
        <v>8064</v>
      </c>
      <c r="D65" s="16068" t="s">
        <v>1085</v>
      </c>
      <c r="E65" s="16068" t="s">
        <v>1086</v>
      </c>
      <c r="F65" s="16130" t="s">
        <v>1073</v>
      </c>
      <c r="G65" s="16131">
        <v>0</v>
      </c>
      <c r="H65" s="16034">
        <v>1</v>
      </c>
      <c r="I65" s="16034">
        <v>1</v>
      </c>
      <c r="J65" s="16034">
        <v>1</v>
      </c>
      <c r="K65" s="16034">
        <v>1</v>
      </c>
      <c r="L65" s="16034">
        <v>1</v>
      </c>
      <c r="M65" s="16034">
        <v>1</v>
      </c>
      <c r="N65" s="16034">
        <v>1</v>
      </c>
      <c r="O65" s="16034">
        <v>1</v>
      </c>
      <c r="P65" s="16034">
        <v>1</v>
      </c>
      <c r="Q65" s="16034">
        <v>1</v>
      </c>
      <c r="R65" s="5439" t="s">
        <v>10072</v>
      </c>
      <c r="S65" s="5440" t="s">
        <v>1109</v>
      </c>
      <c r="T65" s="2749"/>
      <c r="U65" s="16165"/>
      <c r="V65" s="16157"/>
      <c r="W65" s="5356"/>
      <c r="X65" s="5356"/>
      <c r="Y65" s="5356"/>
      <c r="Z65" s="5355"/>
      <c r="AA65" s="5355"/>
      <c r="AB65" s="5355"/>
      <c r="AC65" s="5355"/>
      <c r="AD65" s="5356"/>
      <c r="AE65" s="5356"/>
      <c r="AF65" s="5356"/>
      <c r="AG65" s="5356"/>
      <c r="AH65" s="5356"/>
      <c r="AI65" s="5356"/>
      <c r="AJ65" s="5356"/>
      <c r="AK65" s="5356"/>
      <c r="AL65" s="5356"/>
      <c r="AM65" s="5356"/>
      <c r="AN65" s="5356"/>
      <c r="AO65" s="5356"/>
      <c r="AP65" s="5356"/>
      <c r="AQ65" s="5356"/>
      <c r="AR65" s="5356"/>
      <c r="AS65" s="5356"/>
      <c r="AT65" s="5356"/>
      <c r="AU65" s="5356"/>
      <c r="AV65" s="5356"/>
      <c r="AW65" s="5356"/>
      <c r="AX65" s="5356"/>
      <c r="AY65" s="5356"/>
      <c r="AZ65" s="5356"/>
      <c r="BA65" s="5356"/>
      <c r="BB65" s="5356"/>
      <c r="BC65" s="5356"/>
      <c r="BD65" s="5356"/>
      <c r="BE65" s="5356"/>
      <c r="BF65" s="5356"/>
      <c r="BG65" s="5356"/>
      <c r="BH65" s="5356"/>
      <c r="BI65" s="5356"/>
      <c r="BJ65" s="5356"/>
      <c r="BK65" s="5356"/>
      <c r="BL65" s="5356"/>
      <c r="BM65" s="5356"/>
      <c r="BN65" s="16165">
        <v>0.5</v>
      </c>
      <c r="BO65" s="16157"/>
      <c r="BP65" s="5356"/>
      <c r="BQ65" s="5356"/>
      <c r="BR65" s="5356"/>
      <c r="BS65" s="5358">
        <v>0</v>
      </c>
      <c r="BT65" s="5358">
        <v>0</v>
      </c>
      <c r="BU65" s="5358">
        <v>0</v>
      </c>
      <c r="BV65" s="5358">
        <v>0</v>
      </c>
      <c r="BW65" s="5358"/>
      <c r="BX65" s="5358"/>
      <c r="BY65" s="5358"/>
      <c r="BZ65" s="5358"/>
      <c r="CA65" s="5358"/>
      <c r="CB65" s="5358"/>
      <c r="CC65" s="5358"/>
      <c r="CD65" s="5358"/>
      <c r="CE65" s="5358"/>
      <c r="CF65" s="5358"/>
      <c r="CG65" s="5358"/>
      <c r="CH65" s="5358"/>
      <c r="CI65" s="5358"/>
      <c r="CJ65" s="5358"/>
      <c r="CK65" s="5358"/>
      <c r="CL65" s="5358"/>
      <c r="CM65" s="5358"/>
      <c r="CN65" s="5358"/>
      <c r="CO65" s="5358"/>
      <c r="CP65" s="5358"/>
      <c r="CQ65" s="5358"/>
      <c r="CR65" s="5358"/>
      <c r="CS65" s="5358"/>
      <c r="CT65" s="5358"/>
      <c r="CU65" s="5358"/>
      <c r="CV65" s="5358"/>
      <c r="CW65" s="5358"/>
      <c r="CX65" s="5358"/>
      <c r="CY65" s="5358"/>
      <c r="CZ65" s="5358"/>
      <c r="DA65" s="5358"/>
      <c r="DB65" s="5358"/>
      <c r="DC65" s="5358"/>
      <c r="DD65" s="5358"/>
      <c r="DE65" s="5358"/>
      <c r="DF65" s="5358"/>
      <c r="DG65" s="5457"/>
      <c r="DH65" s="5457"/>
      <c r="DI65" s="5457"/>
      <c r="DJ65" s="5457"/>
      <c r="DK65" s="5457"/>
      <c r="DL65" s="5457"/>
      <c r="DM65" s="5457"/>
      <c r="DN65" s="5457"/>
      <c r="DO65" s="5457"/>
      <c r="DP65" s="5457"/>
      <c r="DQ65" s="5457"/>
      <c r="DR65" s="5457"/>
      <c r="DS65" s="5457"/>
      <c r="DT65" s="5457"/>
      <c r="DU65" s="5457"/>
      <c r="DV65" s="5457"/>
      <c r="DW65" s="5457"/>
      <c r="DX65" s="5457"/>
      <c r="DY65" s="5457"/>
      <c r="DZ65" s="5457"/>
      <c r="EA65" s="5457"/>
      <c r="EB65" s="5457"/>
      <c r="EC65" s="5457"/>
      <c r="ED65" s="5457"/>
      <c r="EE65" s="5457"/>
      <c r="EF65" s="5457"/>
      <c r="EG65" s="5457"/>
      <c r="EH65" s="5457"/>
      <c r="EI65" s="5457"/>
      <c r="EJ65" s="5457"/>
      <c r="EK65" s="5457"/>
      <c r="EL65" s="5457"/>
      <c r="EM65" s="5457"/>
      <c r="EN65" s="5457"/>
      <c r="EO65" s="5457"/>
      <c r="EP65" s="5457"/>
      <c r="EQ65" s="5457"/>
      <c r="ER65" s="5457"/>
      <c r="ES65" s="5457"/>
      <c r="ET65" s="5457"/>
      <c r="EU65" s="5457"/>
      <c r="EV65" s="5457"/>
      <c r="EW65" s="5457"/>
      <c r="EX65" s="5457"/>
      <c r="EY65" s="5457"/>
      <c r="EZ65" s="5457"/>
      <c r="FA65" s="5468"/>
    </row>
    <row r="66" spans="1:157" s="2021" customFormat="1" ht="15" customHeight="1">
      <c r="A66" s="16060"/>
      <c r="B66" s="16068"/>
      <c r="C66" s="16068"/>
      <c r="D66" s="16068"/>
      <c r="E66" s="16068"/>
      <c r="F66" s="16130"/>
      <c r="G66" s="16131"/>
      <c r="H66" s="16034"/>
      <c r="I66" s="16034"/>
      <c r="J66" s="16034"/>
      <c r="K66" s="16034"/>
      <c r="L66" s="16034"/>
      <c r="M66" s="16034"/>
      <c r="N66" s="16034"/>
      <c r="O66" s="16034"/>
      <c r="P66" s="16034"/>
      <c r="Q66" s="16034"/>
      <c r="R66" s="5439" t="s">
        <v>10070</v>
      </c>
      <c r="S66" s="5440"/>
      <c r="T66" s="2749" t="s">
        <v>1098</v>
      </c>
      <c r="U66" s="16165"/>
      <c r="V66" s="16157"/>
      <c r="W66" s="5356"/>
      <c r="X66" s="5356"/>
      <c r="Y66" s="5356"/>
      <c r="Z66" s="5355"/>
      <c r="AA66" s="5355"/>
      <c r="AB66" s="5355"/>
      <c r="AC66" s="5355"/>
      <c r="AD66" s="5356"/>
      <c r="AE66" s="5356"/>
      <c r="AF66" s="5356"/>
      <c r="AG66" s="5356"/>
      <c r="AH66" s="5356"/>
      <c r="AI66" s="5356"/>
      <c r="AJ66" s="5356"/>
      <c r="AK66" s="5356"/>
      <c r="AL66" s="5356"/>
      <c r="AM66" s="5356"/>
      <c r="AN66" s="5356"/>
      <c r="AO66" s="5356"/>
      <c r="AP66" s="5356"/>
      <c r="AQ66" s="5356"/>
      <c r="AR66" s="5356"/>
      <c r="AS66" s="5356"/>
      <c r="AT66" s="5356"/>
      <c r="AU66" s="5356"/>
      <c r="AV66" s="5356"/>
      <c r="AW66" s="5356"/>
      <c r="AX66" s="5356"/>
      <c r="AY66" s="5356"/>
      <c r="AZ66" s="5356"/>
      <c r="BA66" s="5356"/>
      <c r="BB66" s="5356"/>
      <c r="BC66" s="5356"/>
      <c r="BD66" s="5356"/>
      <c r="BE66" s="5356"/>
      <c r="BF66" s="5356"/>
      <c r="BG66" s="5356"/>
      <c r="BH66" s="5356"/>
      <c r="BI66" s="5356"/>
      <c r="BJ66" s="5356"/>
      <c r="BK66" s="5356"/>
      <c r="BL66" s="5356"/>
      <c r="BM66" s="5356"/>
      <c r="BN66" s="16165"/>
      <c r="BO66" s="16157"/>
      <c r="BP66" s="5356"/>
      <c r="BQ66" s="5356"/>
      <c r="BR66" s="5356"/>
      <c r="BS66" s="5358"/>
      <c r="BT66" s="5358"/>
      <c r="BU66" s="5358"/>
      <c r="BV66" s="5358"/>
      <c r="BW66" s="5358"/>
      <c r="BX66" s="5358"/>
      <c r="BY66" s="5358"/>
      <c r="BZ66" s="5358"/>
      <c r="CA66" s="5358"/>
      <c r="CB66" s="5358"/>
      <c r="CC66" s="5358"/>
      <c r="CD66" s="5358"/>
      <c r="CE66" s="5358"/>
      <c r="CF66" s="5358"/>
      <c r="CG66" s="5358"/>
      <c r="CH66" s="5358"/>
      <c r="CI66" s="5358"/>
      <c r="CJ66" s="5358"/>
      <c r="CK66" s="5358"/>
      <c r="CL66" s="5358"/>
      <c r="CM66" s="5358"/>
      <c r="CN66" s="5358"/>
      <c r="CO66" s="5358"/>
      <c r="CP66" s="5358"/>
      <c r="CQ66" s="5358"/>
      <c r="CR66" s="5358"/>
      <c r="CS66" s="5358"/>
      <c r="CT66" s="5358"/>
      <c r="CU66" s="5358"/>
      <c r="CV66" s="5358"/>
      <c r="CW66" s="5358"/>
      <c r="CX66" s="5358"/>
      <c r="CY66" s="5358"/>
      <c r="CZ66" s="5358"/>
      <c r="DA66" s="5358"/>
      <c r="DB66" s="5358"/>
      <c r="DC66" s="5358"/>
      <c r="DD66" s="5358"/>
      <c r="DE66" s="5358"/>
      <c r="DF66" s="5358"/>
      <c r="DG66" s="5457"/>
      <c r="DH66" s="5457"/>
      <c r="DI66" s="5457"/>
      <c r="DJ66" s="5457"/>
      <c r="DK66" s="5457"/>
      <c r="DL66" s="5457"/>
      <c r="DM66" s="5457"/>
      <c r="DN66" s="5457"/>
      <c r="DO66" s="5457"/>
      <c r="DP66" s="5457"/>
      <c r="DQ66" s="5457"/>
      <c r="DR66" s="5457"/>
      <c r="DS66" s="5457"/>
      <c r="DT66" s="5457"/>
      <c r="DU66" s="5457"/>
      <c r="DV66" s="5457"/>
      <c r="DW66" s="5457"/>
      <c r="DX66" s="5457"/>
      <c r="DY66" s="5457"/>
      <c r="DZ66" s="5457"/>
      <c r="EA66" s="5457"/>
      <c r="EB66" s="5457"/>
      <c r="EC66" s="5457"/>
      <c r="ED66" s="5457"/>
      <c r="EE66" s="5457"/>
      <c r="EF66" s="5457"/>
      <c r="EG66" s="5457"/>
      <c r="EH66" s="5457"/>
      <c r="EI66" s="5457"/>
      <c r="EJ66" s="5457"/>
      <c r="EK66" s="5457"/>
      <c r="EL66" s="5457"/>
      <c r="EM66" s="5457"/>
      <c r="EN66" s="5457"/>
      <c r="EO66" s="5457"/>
      <c r="EP66" s="5457"/>
      <c r="EQ66" s="5457"/>
      <c r="ER66" s="5457"/>
      <c r="ES66" s="5457"/>
      <c r="ET66" s="5457"/>
      <c r="EU66" s="5457"/>
      <c r="EV66" s="5457"/>
      <c r="EW66" s="5457"/>
      <c r="EX66" s="5457"/>
      <c r="EY66" s="5457"/>
      <c r="EZ66" s="5457"/>
      <c r="FA66" s="5468"/>
    </row>
    <row r="67" spans="1:157" s="2021" customFormat="1" ht="15" customHeight="1">
      <c r="A67" s="16060"/>
      <c r="B67" s="16068"/>
      <c r="C67" s="16068"/>
      <c r="D67" s="16068"/>
      <c r="E67" s="16068"/>
      <c r="F67" s="16130"/>
      <c r="G67" s="16131"/>
      <c r="H67" s="16034"/>
      <c r="I67" s="16034"/>
      <c r="J67" s="16034"/>
      <c r="K67" s="16034"/>
      <c r="L67" s="16034"/>
      <c r="M67" s="16034"/>
      <c r="N67" s="16034"/>
      <c r="O67" s="16034"/>
      <c r="P67" s="16034"/>
      <c r="Q67" s="16034"/>
      <c r="R67" s="5439" t="s">
        <v>10092</v>
      </c>
      <c r="S67" s="5440"/>
      <c r="T67" s="2749" t="s">
        <v>10248</v>
      </c>
      <c r="U67" s="16165"/>
      <c r="V67" s="16157"/>
      <c r="W67" s="5353"/>
      <c r="X67" s="5353"/>
      <c r="Y67" s="2749"/>
      <c r="Z67" s="5355"/>
      <c r="AA67" s="5355"/>
      <c r="AB67" s="5355"/>
      <c r="AC67" s="5355"/>
      <c r="AD67" s="5356"/>
      <c r="AE67" s="5356"/>
      <c r="AF67" s="5356"/>
      <c r="AG67" s="5356"/>
      <c r="AH67" s="5356"/>
      <c r="AI67" s="5356"/>
      <c r="AJ67" s="5356"/>
      <c r="AK67" s="5356"/>
      <c r="AL67" s="5356"/>
      <c r="AM67" s="5356"/>
      <c r="AN67" s="5356"/>
      <c r="AO67" s="5356"/>
      <c r="AP67" s="5356"/>
      <c r="AQ67" s="5356"/>
      <c r="AR67" s="5356"/>
      <c r="AS67" s="5356"/>
      <c r="AT67" s="5356"/>
      <c r="AU67" s="5356"/>
      <c r="AV67" s="5356"/>
      <c r="AW67" s="5356"/>
      <c r="AX67" s="5356"/>
      <c r="AY67" s="5356"/>
      <c r="AZ67" s="5356"/>
      <c r="BA67" s="5356"/>
      <c r="BB67" s="5356"/>
      <c r="BC67" s="5356"/>
      <c r="BD67" s="5356"/>
      <c r="BE67" s="5356"/>
      <c r="BF67" s="5356"/>
      <c r="BG67" s="5356"/>
      <c r="BH67" s="5356"/>
      <c r="BI67" s="5356"/>
      <c r="BJ67" s="5356"/>
      <c r="BK67" s="5356"/>
      <c r="BL67" s="5356"/>
      <c r="BM67" s="5356"/>
      <c r="BN67" s="16165"/>
      <c r="BO67" s="16157"/>
      <c r="BP67" s="5353" t="s">
        <v>9486</v>
      </c>
      <c r="BQ67" s="5353" t="s">
        <v>9451</v>
      </c>
      <c r="BR67" s="2749"/>
      <c r="BS67" s="5358">
        <v>0</v>
      </c>
      <c r="BT67" s="5358">
        <v>0</v>
      </c>
      <c r="BU67" s="5358">
        <v>0</v>
      </c>
      <c r="BV67" s="5358">
        <v>0</v>
      </c>
      <c r="BW67" s="5358"/>
      <c r="BX67" s="5358"/>
      <c r="BY67" s="5358"/>
      <c r="BZ67" s="5358"/>
      <c r="CA67" s="5358"/>
      <c r="CB67" s="5358"/>
      <c r="CC67" s="5358"/>
      <c r="CD67" s="5358"/>
      <c r="CE67" s="5358"/>
      <c r="CF67" s="5358"/>
      <c r="CG67" s="5358"/>
      <c r="CH67" s="5358"/>
      <c r="CI67" s="5358"/>
      <c r="CJ67" s="5358"/>
      <c r="CK67" s="5358"/>
      <c r="CL67" s="5358"/>
      <c r="CM67" s="5358"/>
      <c r="CN67" s="5358"/>
      <c r="CO67" s="5358"/>
      <c r="CP67" s="5358"/>
      <c r="CQ67" s="5358"/>
      <c r="CR67" s="5358"/>
      <c r="CS67" s="5358"/>
      <c r="CT67" s="5358"/>
      <c r="CU67" s="5358"/>
      <c r="CV67" s="5358"/>
      <c r="CW67" s="5358"/>
      <c r="CX67" s="5358"/>
      <c r="CY67" s="5358"/>
      <c r="CZ67" s="5358"/>
      <c r="DA67" s="5358"/>
      <c r="DB67" s="5358"/>
      <c r="DC67" s="5358"/>
      <c r="DD67" s="5358"/>
      <c r="DE67" s="5358"/>
      <c r="DF67" s="5358"/>
      <c r="DG67" s="5457"/>
      <c r="DH67" s="5457"/>
      <c r="DI67" s="5457"/>
      <c r="DJ67" s="5457"/>
      <c r="DK67" s="5457"/>
      <c r="DL67" s="5457"/>
      <c r="DM67" s="5457"/>
      <c r="DN67" s="5457"/>
      <c r="DO67" s="5457"/>
      <c r="DP67" s="5457"/>
      <c r="DQ67" s="5457"/>
      <c r="DR67" s="5457"/>
      <c r="DS67" s="5457"/>
      <c r="DT67" s="5457"/>
      <c r="DU67" s="5457"/>
      <c r="DV67" s="5457"/>
      <c r="DW67" s="5457"/>
      <c r="DX67" s="5457"/>
      <c r="DY67" s="5457"/>
      <c r="DZ67" s="5457"/>
      <c r="EA67" s="5457"/>
      <c r="EB67" s="5457"/>
      <c r="EC67" s="5457"/>
      <c r="ED67" s="5457"/>
      <c r="EE67" s="5457"/>
      <c r="EF67" s="5457"/>
      <c r="EG67" s="5457"/>
      <c r="EH67" s="5457"/>
      <c r="EI67" s="5457"/>
      <c r="EJ67" s="5457"/>
      <c r="EK67" s="5457"/>
      <c r="EL67" s="5457"/>
      <c r="EM67" s="5457"/>
      <c r="EN67" s="5457"/>
      <c r="EO67" s="5457"/>
      <c r="EP67" s="5457"/>
      <c r="EQ67" s="5457"/>
      <c r="ER67" s="5457"/>
      <c r="ES67" s="5457"/>
      <c r="ET67" s="5457"/>
      <c r="EU67" s="5457"/>
      <c r="EV67" s="5457"/>
      <c r="EW67" s="5457"/>
      <c r="EX67" s="5457"/>
      <c r="EY67" s="5457"/>
      <c r="EZ67" s="5457"/>
      <c r="FA67" s="5468"/>
    </row>
    <row r="68" spans="1:157" s="2021" customFormat="1" ht="15" customHeight="1">
      <c r="A68" s="16060"/>
      <c r="B68" s="16068" t="s">
        <v>1087</v>
      </c>
      <c r="C68" s="16068" t="s">
        <v>8065</v>
      </c>
      <c r="D68" s="16068" t="s">
        <v>9803</v>
      </c>
      <c r="E68" s="16068" t="s">
        <v>1089</v>
      </c>
      <c r="F68" s="16130" t="s">
        <v>1073</v>
      </c>
      <c r="G68" s="16131">
        <v>0</v>
      </c>
      <c r="H68" s="16034">
        <v>1</v>
      </c>
      <c r="I68" s="16034">
        <v>1</v>
      </c>
      <c r="J68" s="16034">
        <v>1</v>
      </c>
      <c r="K68" s="16034">
        <v>1</v>
      </c>
      <c r="L68" s="16034">
        <v>1</v>
      </c>
      <c r="M68" s="16034">
        <v>1</v>
      </c>
      <c r="N68" s="16034">
        <v>1</v>
      </c>
      <c r="O68" s="16034">
        <v>1</v>
      </c>
      <c r="P68" s="16034">
        <v>1</v>
      </c>
      <c r="Q68" s="16034">
        <v>1</v>
      </c>
      <c r="R68" s="5439" t="s">
        <v>10072</v>
      </c>
      <c r="S68" s="5440" t="s">
        <v>1109</v>
      </c>
      <c r="T68" s="2749"/>
      <c r="U68" s="16166"/>
      <c r="V68" s="16157"/>
      <c r="W68" s="5356"/>
      <c r="X68" s="5356"/>
      <c r="Y68" s="5356"/>
      <c r="Z68" s="5355"/>
      <c r="AA68" s="5355"/>
      <c r="AB68" s="5355"/>
      <c r="AC68" s="5355"/>
      <c r="AD68" s="5356"/>
      <c r="AE68" s="5356"/>
      <c r="AF68" s="5356"/>
      <c r="AG68" s="5356"/>
      <c r="AH68" s="5356"/>
      <c r="AI68" s="5356"/>
      <c r="AJ68" s="5356"/>
      <c r="AK68" s="5356"/>
      <c r="AL68" s="5356"/>
      <c r="AM68" s="5356"/>
      <c r="AN68" s="5356"/>
      <c r="AO68" s="5356"/>
      <c r="AP68" s="5356"/>
      <c r="AQ68" s="5356"/>
      <c r="AR68" s="5356"/>
      <c r="AS68" s="5356"/>
      <c r="AT68" s="5356"/>
      <c r="AU68" s="5356"/>
      <c r="AV68" s="5356"/>
      <c r="AW68" s="5356"/>
      <c r="AX68" s="5356"/>
      <c r="AY68" s="5356"/>
      <c r="AZ68" s="5356"/>
      <c r="BA68" s="5356"/>
      <c r="BB68" s="5356"/>
      <c r="BC68" s="5356"/>
      <c r="BD68" s="5356"/>
      <c r="BE68" s="5356"/>
      <c r="BF68" s="5356"/>
      <c r="BG68" s="5356"/>
      <c r="BH68" s="5356"/>
      <c r="BI68" s="5356"/>
      <c r="BJ68" s="5356"/>
      <c r="BK68" s="5356"/>
      <c r="BL68" s="5356"/>
      <c r="BM68" s="5356"/>
      <c r="BN68" s="16166">
        <v>0.5</v>
      </c>
      <c r="BO68" s="16157"/>
      <c r="BP68" s="5356"/>
      <c r="BQ68" s="5356"/>
      <c r="BR68" s="5356"/>
      <c r="BS68" s="5358">
        <v>0</v>
      </c>
      <c r="BT68" s="5358">
        <v>0</v>
      </c>
      <c r="BU68" s="5358">
        <v>0</v>
      </c>
      <c r="BV68" s="5358">
        <v>0</v>
      </c>
      <c r="BW68" s="5358"/>
      <c r="BX68" s="5358"/>
      <c r="BY68" s="5358"/>
      <c r="BZ68" s="5358"/>
      <c r="CA68" s="5358"/>
      <c r="CB68" s="5358"/>
      <c r="CC68" s="5358"/>
      <c r="CD68" s="5358"/>
      <c r="CE68" s="5358"/>
      <c r="CF68" s="5358"/>
      <c r="CG68" s="5358"/>
      <c r="CH68" s="5358"/>
      <c r="CI68" s="5358"/>
      <c r="CJ68" s="5358"/>
      <c r="CK68" s="5358"/>
      <c r="CL68" s="5358"/>
      <c r="CM68" s="5358"/>
      <c r="CN68" s="5358"/>
      <c r="CO68" s="5358"/>
      <c r="CP68" s="5358"/>
      <c r="CQ68" s="5358"/>
      <c r="CR68" s="5358"/>
      <c r="CS68" s="5358"/>
      <c r="CT68" s="5358"/>
      <c r="CU68" s="5358"/>
      <c r="CV68" s="5358"/>
      <c r="CW68" s="5358"/>
      <c r="CX68" s="5358"/>
      <c r="CY68" s="5358"/>
      <c r="CZ68" s="5358"/>
      <c r="DA68" s="5358"/>
      <c r="DB68" s="5358"/>
      <c r="DC68" s="5358"/>
      <c r="DD68" s="5358"/>
      <c r="DE68" s="5358"/>
      <c r="DF68" s="5358"/>
      <c r="DG68" s="5457"/>
      <c r="DH68" s="5457"/>
      <c r="DI68" s="5457"/>
      <c r="DJ68" s="5457"/>
      <c r="DK68" s="5457"/>
      <c r="DL68" s="5457"/>
      <c r="DM68" s="5457"/>
      <c r="DN68" s="5457"/>
      <c r="DO68" s="5457"/>
      <c r="DP68" s="5457"/>
      <c r="DQ68" s="5457"/>
      <c r="DR68" s="5457"/>
      <c r="DS68" s="5457"/>
      <c r="DT68" s="5457"/>
      <c r="DU68" s="5457"/>
      <c r="DV68" s="5457"/>
      <c r="DW68" s="5457"/>
      <c r="DX68" s="5457"/>
      <c r="DY68" s="5457"/>
      <c r="DZ68" s="5457"/>
      <c r="EA68" s="5457"/>
      <c r="EB68" s="5457"/>
      <c r="EC68" s="5457"/>
      <c r="ED68" s="5457"/>
      <c r="EE68" s="5457"/>
      <c r="EF68" s="5457"/>
      <c r="EG68" s="5457"/>
      <c r="EH68" s="5457"/>
      <c r="EI68" s="5457"/>
      <c r="EJ68" s="5457"/>
      <c r="EK68" s="5457"/>
      <c r="EL68" s="5457"/>
      <c r="EM68" s="5457"/>
      <c r="EN68" s="5457"/>
      <c r="EO68" s="5457"/>
      <c r="EP68" s="5457"/>
      <c r="EQ68" s="5457"/>
      <c r="ER68" s="5457"/>
      <c r="ES68" s="5457"/>
      <c r="ET68" s="5457"/>
      <c r="EU68" s="5457"/>
      <c r="EV68" s="5457"/>
      <c r="EW68" s="5457"/>
      <c r="EX68" s="5457"/>
      <c r="EY68" s="5457"/>
      <c r="EZ68" s="5457"/>
      <c r="FA68" s="5468"/>
    </row>
    <row r="69" spans="1:157" s="2021" customFormat="1" ht="15" customHeight="1">
      <c r="A69" s="16060"/>
      <c r="B69" s="16068"/>
      <c r="C69" s="16068"/>
      <c r="D69" s="16068"/>
      <c r="E69" s="16068"/>
      <c r="F69" s="16130"/>
      <c r="G69" s="16131"/>
      <c r="H69" s="16034"/>
      <c r="I69" s="16034"/>
      <c r="J69" s="16034"/>
      <c r="K69" s="16034"/>
      <c r="L69" s="16034"/>
      <c r="M69" s="16034"/>
      <c r="N69" s="16034"/>
      <c r="O69" s="16034"/>
      <c r="P69" s="16034"/>
      <c r="Q69" s="16034"/>
      <c r="R69" s="5439" t="s">
        <v>10070</v>
      </c>
      <c r="S69" s="5440"/>
      <c r="T69" s="2749" t="s">
        <v>1098</v>
      </c>
      <c r="U69" s="16166"/>
      <c r="V69" s="16157"/>
      <c r="W69" s="5356"/>
      <c r="X69" s="5356"/>
      <c r="Y69" s="5356"/>
      <c r="Z69" s="5355"/>
      <c r="AA69" s="5355"/>
      <c r="AB69" s="5355"/>
      <c r="AC69" s="5355"/>
      <c r="AD69" s="5356"/>
      <c r="AE69" s="5356"/>
      <c r="AF69" s="5356"/>
      <c r="AG69" s="5356"/>
      <c r="AH69" s="5356"/>
      <c r="AI69" s="5356"/>
      <c r="AJ69" s="5356"/>
      <c r="AK69" s="5356"/>
      <c r="AL69" s="5356"/>
      <c r="AM69" s="5356"/>
      <c r="AN69" s="5356"/>
      <c r="AO69" s="5356"/>
      <c r="AP69" s="5356"/>
      <c r="AQ69" s="5356"/>
      <c r="AR69" s="5356"/>
      <c r="AS69" s="5356"/>
      <c r="AT69" s="5356"/>
      <c r="AU69" s="5356"/>
      <c r="AV69" s="5356"/>
      <c r="AW69" s="5356"/>
      <c r="AX69" s="5356"/>
      <c r="AY69" s="5356"/>
      <c r="AZ69" s="5356"/>
      <c r="BA69" s="5356"/>
      <c r="BB69" s="5356"/>
      <c r="BC69" s="5356"/>
      <c r="BD69" s="5356"/>
      <c r="BE69" s="5356"/>
      <c r="BF69" s="5356"/>
      <c r="BG69" s="5356"/>
      <c r="BH69" s="5356"/>
      <c r="BI69" s="5356"/>
      <c r="BJ69" s="5356"/>
      <c r="BK69" s="5356"/>
      <c r="BL69" s="5356"/>
      <c r="BM69" s="5356"/>
      <c r="BN69" s="16166"/>
      <c r="BO69" s="16157"/>
      <c r="BP69" s="5356"/>
      <c r="BQ69" s="5356"/>
      <c r="BR69" s="5356"/>
      <c r="BS69" s="5358"/>
      <c r="BT69" s="5358"/>
      <c r="BU69" s="5358"/>
      <c r="BV69" s="5358"/>
      <c r="BW69" s="5358"/>
      <c r="BX69" s="5358"/>
      <c r="BY69" s="5358"/>
      <c r="BZ69" s="5358"/>
      <c r="CA69" s="5358"/>
      <c r="CB69" s="5358"/>
      <c r="CC69" s="5358"/>
      <c r="CD69" s="5358"/>
      <c r="CE69" s="5358"/>
      <c r="CF69" s="5358"/>
      <c r="CG69" s="5358"/>
      <c r="CH69" s="5358"/>
      <c r="CI69" s="5358"/>
      <c r="CJ69" s="5358"/>
      <c r="CK69" s="5358"/>
      <c r="CL69" s="5358"/>
      <c r="CM69" s="5358"/>
      <c r="CN69" s="5358"/>
      <c r="CO69" s="5358"/>
      <c r="CP69" s="5358"/>
      <c r="CQ69" s="5358"/>
      <c r="CR69" s="5358"/>
      <c r="CS69" s="5358"/>
      <c r="CT69" s="5358"/>
      <c r="CU69" s="5358"/>
      <c r="CV69" s="5358"/>
      <c r="CW69" s="5358"/>
      <c r="CX69" s="5358"/>
      <c r="CY69" s="5358"/>
      <c r="CZ69" s="5358"/>
      <c r="DA69" s="5358"/>
      <c r="DB69" s="5358"/>
      <c r="DC69" s="5358"/>
      <c r="DD69" s="5358"/>
      <c r="DE69" s="5358"/>
      <c r="DF69" s="5358"/>
      <c r="DG69" s="5457"/>
      <c r="DH69" s="5457"/>
      <c r="DI69" s="5457"/>
      <c r="DJ69" s="5457"/>
      <c r="DK69" s="5457"/>
      <c r="DL69" s="5457"/>
      <c r="DM69" s="5457"/>
      <c r="DN69" s="5457"/>
      <c r="DO69" s="5457"/>
      <c r="DP69" s="5457"/>
      <c r="DQ69" s="5457"/>
      <c r="DR69" s="5457"/>
      <c r="DS69" s="5457"/>
      <c r="DT69" s="5457"/>
      <c r="DU69" s="5457"/>
      <c r="DV69" s="5457"/>
      <c r="DW69" s="5457"/>
      <c r="DX69" s="5457"/>
      <c r="DY69" s="5457"/>
      <c r="DZ69" s="5457"/>
      <c r="EA69" s="5457"/>
      <c r="EB69" s="5457"/>
      <c r="EC69" s="5457"/>
      <c r="ED69" s="5457"/>
      <c r="EE69" s="5457"/>
      <c r="EF69" s="5457"/>
      <c r="EG69" s="5457"/>
      <c r="EH69" s="5457"/>
      <c r="EI69" s="5457"/>
      <c r="EJ69" s="5457"/>
      <c r="EK69" s="5457"/>
      <c r="EL69" s="5457"/>
      <c r="EM69" s="5457"/>
      <c r="EN69" s="5457"/>
      <c r="EO69" s="5457"/>
      <c r="EP69" s="5457"/>
      <c r="EQ69" s="5457"/>
      <c r="ER69" s="5457"/>
      <c r="ES69" s="5457"/>
      <c r="ET69" s="5457"/>
      <c r="EU69" s="5457"/>
      <c r="EV69" s="5457"/>
      <c r="EW69" s="5457"/>
      <c r="EX69" s="5457"/>
      <c r="EY69" s="5457"/>
      <c r="EZ69" s="5457"/>
      <c r="FA69" s="5468"/>
    </row>
    <row r="70" spans="1:157" s="2021" customFormat="1" ht="15" customHeight="1">
      <c r="A70" s="16060"/>
      <c r="B70" s="16068"/>
      <c r="C70" s="16068"/>
      <c r="D70" s="16068"/>
      <c r="E70" s="16068"/>
      <c r="F70" s="16130"/>
      <c r="G70" s="16131"/>
      <c r="H70" s="16034"/>
      <c r="I70" s="16034"/>
      <c r="J70" s="16034"/>
      <c r="K70" s="16034"/>
      <c r="L70" s="16034"/>
      <c r="M70" s="16034"/>
      <c r="N70" s="16034"/>
      <c r="O70" s="16034"/>
      <c r="P70" s="16034"/>
      <c r="Q70" s="16034"/>
      <c r="R70" s="5439" t="s">
        <v>10092</v>
      </c>
      <c r="S70" s="5440"/>
      <c r="T70" s="2749" t="s">
        <v>10248</v>
      </c>
      <c r="U70" s="16166"/>
      <c r="V70" s="16157"/>
      <c r="W70" s="5353"/>
      <c r="X70" s="5356"/>
      <c r="Y70" s="5356"/>
      <c r="Z70" s="5355"/>
      <c r="AA70" s="5355"/>
      <c r="AB70" s="5355"/>
      <c r="AC70" s="5355"/>
      <c r="AD70" s="5356"/>
      <c r="AE70" s="5356"/>
      <c r="AF70" s="5356"/>
      <c r="AG70" s="5356"/>
      <c r="AH70" s="5356"/>
      <c r="AI70" s="5356"/>
      <c r="AJ70" s="5356"/>
      <c r="AK70" s="5356"/>
      <c r="AL70" s="5356"/>
      <c r="AM70" s="5356"/>
      <c r="AN70" s="5356"/>
      <c r="AO70" s="5356"/>
      <c r="AP70" s="5356"/>
      <c r="AQ70" s="5356"/>
      <c r="AR70" s="5356"/>
      <c r="AS70" s="5356"/>
      <c r="AT70" s="5356"/>
      <c r="AU70" s="5356"/>
      <c r="AV70" s="5356"/>
      <c r="AW70" s="5356"/>
      <c r="AX70" s="5356"/>
      <c r="AY70" s="5356"/>
      <c r="AZ70" s="5356"/>
      <c r="BA70" s="5356"/>
      <c r="BB70" s="5356"/>
      <c r="BC70" s="5356"/>
      <c r="BD70" s="5356"/>
      <c r="BE70" s="5356"/>
      <c r="BF70" s="5356"/>
      <c r="BG70" s="5356"/>
      <c r="BH70" s="5356"/>
      <c r="BI70" s="5356"/>
      <c r="BJ70" s="5356"/>
      <c r="BK70" s="5356"/>
      <c r="BL70" s="5356"/>
      <c r="BM70" s="5356"/>
      <c r="BN70" s="16166"/>
      <c r="BO70" s="16157"/>
      <c r="BP70" s="5353" t="s">
        <v>9487</v>
      </c>
      <c r="BQ70" s="5356"/>
      <c r="BR70" s="5356"/>
      <c r="BS70" s="5358">
        <v>0</v>
      </c>
      <c r="BT70" s="5358">
        <v>0</v>
      </c>
      <c r="BU70" s="5358">
        <v>0</v>
      </c>
      <c r="BV70" s="5358">
        <v>0</v>
      </c>
      <c r="BW70" s="5358"/>
      <c r="BX70" s="5358"/>
      <c r="BY70" s="5358"/>
      <c r="BZ70" s="5358"/>
      <c r="CA70" s="5358"/>
      <c r="CB70" s="5358"/>
      <c r="CC70" s="5358"/>
      <c r="CD70" s="5358"/>
      <c r="CE70" s="5358"/>
      <c r="CF70" s="5358"/>
      <c r="CG70" s="5358"/>
      <c r="CH70" s="5358"/>
      <c r="CI70" s="5358"/>
      <c r="CJ70" s="5358"/>
      <c r="CK70" s="5358"/>
      <c r="CL70" s="5358"/>
      <c r="CM70" s="5358"/>
      <c r="CN70" s="5358"/>
      <c r="CO70" s="5358"/>
      <c r="CP70" s="5358"/>
      <c r="CQ70" s="5358"/>
      <c r="CR70" s="5358"/>
      <c r="CS70" s="5358"/>
      <c r="CT70" s="5358"/>
      <c r="CU70" s="5358"/>
      <c r="CV70" s="5358"/>
      <c r="CW70" s="5358"/>
      <c r="CX70" s="5358"/>
      <c r="CY70" s="5358"/>
      <c r="CZ70" s="5358"/>
      <c r="DA70" s="5358"/>
      <c r="DB70" s="5358"/>
      <c r="DC70" s="5358"/>
      <c r="DD70" s="5358"/>
      <c r="DE70" s="5358"/>
      <c r="DF70" s="5358"/>
      <c r="DG70" s="5457"/>
      <c r="DH70" s="5457"/>
      <c r="DI70" s="5457"/>
      <c r="DJ70" s="5457"/>
      <c r="DK70" s="5457"/>
      <c r="DL70" s="5457"/>
      <c r="DM70" s="5457"/>
      <c r="DN70" s="5457"/>
      <c r="DO70" s="5457"/>
      <c r="DP70" s="5457"/>
      <c r="DQ70" s="5457"/>
      <c r="DR70" s="5457"/>
      <c r="DS70" s="5457"/>
      <c r="DT70" s="5457"/>
      <c r="DU70" s="5457"/>
      <c r="DV70" s="5457"/>
      <c r="DW70" s="5457"/>
      <c r="DX70" s="5457"/>
      <c r="DY70" s="5457"/>
      <c r="DZ70" s="5457"/>
      <c r="EA70" s="5457"/>
      <c r="EB70" s="5457"/>
      <c r="EC70" s="5457"/>
      <c r="ED70" s="5457"/>
      <c r="EE70" s="5457"/>
      <c r="EF70" s="5457"/>
      <c r="EG70" s="5457"/>
      <c r="EH70" s="5457"/>
      <c r="EI70" s="5457"/>
      <c r="EJ70" s="5457"/>
      <c r="EK70" s="5457"/>
      <c r="EL70" s="5457"/>
      <c r="EM70" s="5457"/>
      <c r="EN70" s="5457"/>
      <c r="EO70" s="5457"/>
      <c r="EP70" s="5457"/>
      <c r="EQ70" s="5457"/>
      <c r="ER70" s="5457"/>
      <c r="ES70" s="5457"/>
      <c r="ET70" s="5457"/>
      <c r="EU70" s="5457"/>
      <c r="EV70" s="5457"/>
      <c r="EW70" s="5457"/>
      <c r="EX70" s="5457"/>
      <c r="EY70" s="5457"/>
      <c r="EZ70" s="5457"/>
      <c r="FA70" s="5468"/>
    </row>
    <row r="71" spans="1:157" s="2021" customFormat="1" ht="15" customHeight="1">
      <c r="A71" s="16060"/>
      <c r="B71" s="16068" t="s">
        <v>1090</v>
      </c>
      <c r="C71" s="16068" t="s">
        <v>8066</v>
      </c>
      <c r="D71" s="16068" t="s">
        <v>1091</v>
      </c>
      <c r="E71" s="16068" t="s">
        <v>1092</v>
      </c>
      <c r="F71" s="16130" t="s">
        <v>1073</v>
      </c>
      <c r="G71" s="16131">
        <v>0</v>
      </c>
      <c r="H71" s="16034">
        <v>1</v>
      </c>
      <c r="I71" s="16034">
        <v>1</v>
      </c>
      <c r="J71" s="16034">
        <v>1</v>
      </c>
      <c r="K71" s="16034">
        <v>1</v>
      </c>
      <c r="L71" s="16034">
        <v>1</v>
      </c>
      <c r="M71" s="16034">
        <v>1</v>
      </c>
      <c r="N71" s="16034">
        <v>1</v>
      </c>
      <c r="O71" s="16034">
        <v>1</v>
      </c>
      <c r="P71" s="16034">
        <v>1</v>
      </c>
      <c r="Q71" s="16034">
        <v>1</v>
      </c>
      <c r="R71" s="5439" t="s">
        <v>10072</v>
      </c>
      <c r="S71" s="5440" t="s">
        <v>968</v>
      </c>
      <c r="T71" s="2749"/>
      <c r="U71" s="5359"/>
      <c r="V71" s="16157"/>
      <c r="W71" s="5356"/>
      <c r="X71" s="5356"/>
      <c r="Y71" s="5356"/>
      <c r="Z71" s="5355"/>
      <c r="AA71" s="5355"/>
      <c r="AB71" s="5355"/>
      <c r="AC71" s="5355"/>
      <c r="AD71" s="5356"/>
      <c r="AE71" s="5356"/>
      <c r="AF71" s="5356"/>
      <c r="AG71" s="5356"/>
      <c r="AH71" s="5356"/>
      <c r="AI71" s="5356"/>
      <c r="AJ71" s="5356"/>
      <c r="AK71" s="5356"/>
      <c r="AL71" s="5356"/>
      <c r="AM71" s="5356"/>
      <c r="AN71" s="5356"/>
      <c r="AO71" s="5356"/>
      <c r="AP71" s="5356"/>
      <c r="AQ71" s="5356"/>
      <c r="AR71" s="5356"/>
      <c r="AS71" s="5356"/>
      <c r="AT71" s="5356"/>
      <c r="AU71" s="5356"/>
      <c r="AV71" s="5356"/>
      <c r="AW71" s="5356"/>
      <c r="AX71" s="5356"/>
      <c r="AY71" s="5356"/>
      <c r="AZ71" s="5356"/>
      <c r="BA71" s="5356"/>
      <c r="BB71" s="5356"/>
      <c r="BC71" s="5356"/>
      <c r="BD71" s="5356"/>
      <c r="BE71" s="5356"/>
      <c r="BF71" s="5356"/>
      <c r="BG71" s="5356"/>
      <c r="BH71" s="5356"/>
      <c r="BI71" s="5356"/>
      <c r="BJ71" s="5356"/>
      <c r="BK71" s="5356"/>
      <c r="BL71" s="5356"/>
      <c r="BM71" s="5356"/>
      <c r="BN71" s="5359">
        <v>0</v>
      </c>
      <c r="BO71" s="16157"/>
      <c r="BP71" s="5356"/>
      <c r="BQ71" s="5356"/>
      <c r="BR71" s="5356"/>
      <c r="BS71" s="5358">
        <v>0</v>
      </c>
      <c r="BT71" s="5358">
        <v>0</v>
      </c>
      <c r="BU71" s="5358">
        <v>0</v>
      </c>
      <c r="BV71" s="5358">
        <v>0</v>
      </c>
      <c r="BW71" s="5358"/>
      <c r="BX71" s="5358"/>
      <c r="BY71" s="5358"/>
      <c r="BZ71" s="5358"/>
      <c r="CA71" s="5358"/>
      <c r="CB71" s="5358"/>
      <c r="CC71" s="5358"/>
      <c r="CD71" s="5358"/>
      <c r="CE71" s="5358"/>
      <c r="CF71" s="5358"/>
      <c r="CG71" s="5358"/>
      <c r="CH71" s="5358"/>
      <c r="CI71" s="5358"/>
      <c r="CJ71" s="5358"/>
      <c r="CK71" s="5358"/>
      <c r="CL71" s="5358"/>
      <c r="CM71" s="5358"/>
      <c r="CN71" s="5358"/>
      <c r="CO71" s="5358"/>
      <c r="CP71" s="5358"/>
      <c r="CQ71" s="5358"/>
      <c r="CR71" s="5358"/>
      <c r="CS71" s="5358"/>
      <c r="CT71" s="5358"/>
      <c r="CU71" s="5358"/>
      <c r="CV71" s="5358"/>
      <c r="CW71" s="5358"/>
      <c r="CX71" s="5358"/>
      <c r="CY71" s="5358"/>
      <c r="CZ71" s="5358"/>
      <c r="DA71" s="5358"/>
      <c r="DB71" s="5358"/>
      <c r="DC71" s="5358"/>
      <c r="DD71" s="5358"/>
      <c r="DE71" s="5358"/>
      <c r="DF71" s="5358"/>
      <c r="DG71" s="5457"/>
      <c r="DH71" s="5457"/>
      <c r="DI71" s="5457"/>
      <c r="DJ71" s="5457"/>
      <c r="DK71" s="5457"/>
      <c r="DL71" s="5457"/>
      <c r="DM71" s="5457"/>
      <c r="DN71" s="5457"/>
      <c r="DO71" s="5457"/>
      <c r="DP71" s="5457"/>
      <c r="DQ71" s="5457"/>
      <c r="DR71" s="5457"/>
      <c r="DS71" s="5457"/>
      <c r="DT71" s="5457"/>
      <c r="DU71" s="5457"/>
      <c r="DV71" s="5457"/>
      <c r="DW71" s="5457"/>
      <c r="DX71" s="5457"/>
      <c r="DY71" s="5457"/>
      <c r="DZ71" s="5457"/>
      <c r="EA71" s="5457"/>
      <c r="EB71" s="5457"/>
      <c r="EC71" s="5457"/>
      <c r="ED71" s="5457"/>
      <c r="EE71" s="5457"/>
      <c r="EF71" s="5457"/>
      <c r="EG71" s="5457"/>
      <c r="EH71" s="5457"/>
      <c r="EI71" s="5457"/>
      <c r="EJ71" s="5457"/>
      <c r="EK71" s="5457"/>
      <c r="EL71" s="5457"/>
      <c r="EM71" s="5457"/>
      <c r="EN71" s="5457"/>
      <c r="EO71" s="5457"/>
      <c r="EP71" s="5457"/>
      <c r="EQ71" s="5457"/>
      <c r="ER71" s="5457"/>
      <c r="ES71" s="5457"/>
      <c r="ET71" s="5457"/>
      <c r="EU71" s="5457"/>
      <c r="EV71" s="5457"/>
      <c r="EW71" s="5457"/>
      <c r="EX71" s="5457"/>
      <c r="EY71" s="5457"/>
      <c r="EZ71" s="5457"/>
      <c r="FA71" s="5468"/>
    </row>
    <row r="72" spans="1:157" s="2021" customFormat="1" ht="15" customHeight="1">
      <c r="A72" s="16060"/>
      <c r="B72" s="16068"/>
      <c r="C72" s="16068"/>
      <c r="D72" s="16068"/>
      <c r="E72" s="16068"/>
      <c r="F72" s="16130"/>
      <c r="G72" s="16131"/>
      <c r="H72" s="16034"/>
      <c r="I72" s="16034"/>
      <c r="J72" s="16034"/>
      <c r="K72" s="16034"/>
      <c r="L72" s="16034"/>
      <c r="M72" s="16034"/>
      <c r="N72" s="16034"/>
      <c r="O72" s="16034"/>
      <c r="P72" s="16034"/>
      <c r="Q72" s="16034"/>
      <c r="R72" s="5439" t="s">
        <v>10092</v>
      </c>
      <c r="S72" s="5440"/>
      <c r="T72" s="2749" t="s">
        <v>1093</v>
      </c>
      <c r="U72" s="5359"/>
      <c r="V72" s="16157"/>
      <c r="W72" s="5353"/>
      <c r="X72" s="5353"/>
      <c r="Y72" s="5356"/>
      <c r="Z72" s="5355"/>
      <c r="AA72" s="5355"/>
      <c r="AB72" s="5355"/>
      <c r="AC72" s="5355"/>
      <c r="AD72" s="5356"/>
      <c r="AE72" s="5356"/>
      <c r="AF72" s="5356"/>
      <c r="AG72" s="5356"/>
      <c r="AH72" s="5356"/>
      <c r="AI72" s="5356"/>
      <c r="AJ72" s="5356"/>
      <c r="AK72" s="5356"/>
      <c r="AL72" s="5356"/>
      <c r="AM72" s="5356"/>
      <c r="AN72" s="5356"/>
      <c r="AO72" s="5356"/>
      <c r="AP72" s="5356"/>
      <c r="AQ72" s="5356"/>
      <c r="AR72" s="5356"/>
      <c r="AS72" s="5356"/>
      <c r="AT72" s="5356"/>
      <c r="AU72" s="5356"/>
      <c r="AV72" s="5356"/>
      <c r="AW72" s="5356"/>
      <c r="AX72" s="5356"/>
      <c r="AY72" s="5356"/>
      <c r="AZ72" s="5356"/>
      <c r="BA72" s="5356"/>
      <c r="BB72" s="5356"/>
      <c r="BC72" s="5356"/>
      <c r="BD72" s="5356"/>
      <c r="BE72" s="5356"/>
      <c r="BF72" s="5356"/>
      <c r="BG72" s="5356"/>
      <c r="BH72" s="5356"/>
      <c r="BI72" s="5356"/>
      <c r="BJ72" s="5356"/>
      <c r="BK72" s="5356"/>
      <c r="BL72" s="5356"/>
      <c r="BM72" s="5356"/>
      <c r="BN72" s="5359">
        <v>0</v>
      </c>
      <c r="BO72" s="16157"/>
      <c r="BP72" s="5353" t="s">
        <v>9488</v>
      </c>
      <c r="BQ72" s="5353" t="s">
        <v>9467</v>
      </c>
      <c r="BR72" s="5356"/>
      <c r="BS72" s="5358">
        <v>0</v>
      </c>
      <c r="BT72" s="5358">
        <v>0</v>
      </c>
      <c r="BU72" s="5358">
        <v>0</v>
      </c>
      <c r="BV72" s="5358">
        <v>0</v>
      </c>
      <c r="BW72" s="5358"/>
      <c r="BX72" s="5358"/>
      <c r="BY72" s="5358"/>
      <c r="BZ72" s="5358"/>
      <c r="CA72" s="5358"/>
      <c r="CB72" s="5358"/>
      <c r="CC72" s="5358"/>
      <c r="CD72" s="5358"/>
      <c r="CE72" s="5358"/>
      <c r="CF72" s="5358"/>
      <c r="CG72" s="5358"/>
      <c r="CH72" s="5358"/>
      <c r="CI72" s="5358"/>
      <c r="CJ72" s="5358"/>
      <c r="CK72" s="5358"/>
      <c r="CL72" s="5358"/>
      <c r="CM72" s="5358"/>
      <c r="CN72" s="5358"/>
      <c r="CO72" s="5358"/>
      <c r="CP72" s="5358"/>
      <c r="CQ72" s="5358"/>
      <c r="CR72" s="5358"/>
      <c r="CS72" s="5358"/>
      <c r="CT72" s="5358"/>
      <c r="CU72" s="5358"/>
      <c r="CV72" s="5358"/>
      <c r="CW72" s="5358"/>
      <c r="CX72" s="5358"/>
      <c r="CY72" s="5358"/>
      <c r="CZ72" s="5358"/>
      <c r="DA72" s="5358"/>
      <c r="DB72" s="5358"/>
      <c r="DC72" s="5358"/>
      <c r="DD72" s="5358"/>
      <c r="DE72" s="5358"/>
      <c r="DF72" s="5358"/>
      <c r="DG72" s="5457"/>
      <c r="DH72" s="5457"/>
      <c r="DI72" s="5457"/>
      <c r="DJ72" s="5457"/>
      <c r="DK72" s="5457"/>
      <c r="DL72" s="5457"/>
      <c r="DM72" s="5457"/>
      <c r="DN72" s="5457"/>
      <c r="DO72" s="5457"/>
      <c r="DP72" s="5457"/>
      <c r="DQ72" s="5457"/>
      <c r="DR72" s="5457"/>
      <c r="DS72" s="5457"/>
      <c r="DT72" s="5457"/>
      <c r="DU72" s="5457"/>
      <c r="DV72" s="5457"/>
      <c r="DW72" s="5457"/>
      <c r="DX72" s="5457"/>
      <c r="DY72" s="5457"/>
      <c r="DZ72" s="5457"/>
      <c r="EA72" s="5457"/>
      <c r="EB72" s="5457"/>
      <c r="EC72" s="5457"/>
      <c r="ED72" s="5457"/>
      <c r="EE72" s="5457"/>
      <c r="EF72" s="5457"/>
      <c r="EG72" s="5457"/>
      <c r="EH72" s="5457"/>
      <c r="EI72" s="5457"/>
      <c r="EJ72" s="5457"/>
      <c r="EK72" s="5457"/>
      <c r="EL72" s="5457"/>
      <c r="EM72" s="5457"/>
      <c r="EN72" s="5457"/>
      <c r="EO72" s="5457"/>
      <c r="EP72" s="5457"/>
      <c r="EQ72" s="5457"/>
      <c r="ER72" s="5457"/>
      <c r="ES72" s="5457"/>
      <c r="ET72" s="5457"/>
      <c r="EU72" s="5457"/>
      <c r="EV72" s="5457"/>
      <c r="EW72" s="5457"/>
      <c r="EX72" s="5457"/>
      <c r="EY72" s="5457"/>
      <c r="EZ72" s="5457"/>
      <c r="FA72" s="5468"/>
    </row>
    <row r="73" spans="1:157" s="2021" customFormat="1" ht="15" customHeight="1">
      <c r="A73" s="16060"/>
      <c r="B73" s="16068" t="s">
        <v>1094</v>
      </c>
      <c r="C73" s="16068" t="s">
        <v>8067</v>
      </c>
      <c r="D73" s="16068" t="s">
        <v>1095</v>
      </c>
      <c r="E73" s="16068" t="s">
        <v>1096</v>
      </c>
      <c r="F73" s="16130" t="s">
        <v>1073</v>
      </c>
      <c r="G73" s="16131">
        <v>1</v>
      </c>
      <c r="H73" s="16034">
        <v>0</v>
      </c>
      <c r="I73" s="16034">
        <v>1</v>
      </c>
      <c r="J73" s="16034">
        <v>1</v>
      </c>
      <c r="K73" s="16034">
        <v>1</v>
      </c>
      <c r="L73" s="16034">
        <v>1</v>
      </c>
      <c r="M73" s="16034">
        <v>1</v>
      </c>
      <c r="N73" s="16034">
        <v>1</v>
      </c>
      <c r="O73" s="16034">
        <v>1</v>
      </c>
      <c r="P73" s="16034">
        <v>1</v>
      </c>
      <c r="Q73" s="16034">
        <v>1</v>
      </c>
      <c r="R73" s="5439" t="s">
        <v>10072</v>
      </c>
      <c r="S73" s="5440" t="s">
        <v>1097</v>
      </c>
      <c r="T73" s="2749"/>
      <c r="U73" s="16166"/>
      <c r="V73" s="16157"/>
      <c r="W73" s="5356"/>
      <c r="X73" s="5356"/>
      <c r="Y73" s="5356"/>
      <c r="Z73" s="5355"/>
      <c r="AA73" s="5355"/>
      <c r="AB73" s="5355"/>
      <c r="AC73" s="5355"/>
      <c r="AD73" s="5356"/>
      <c r="AE73" s="5356"/>
      <c r="AF73" s="5356"/>
      <c r="AG73" s="5356"/>
      <c r="AH73" s="5356"/>
      <c r="AI73" s="5356"/>
      <c r="AJ73" s="5356"/>
      <c r="AK73" s="5356"/>
      <c r="AL73" s="5356"/>
      <c r="AM73" s="5356"/>
      <c r="AN73" s="5356"/>
      <c r="AO73" s="5356"/>
      <c r="AP73" s="5356"/>
      <c r="AQ73" s="5356"/>
      <c r="AR73" s="5356"/>
      <c r="AS73" s="5356"/>
      <c r="AT73" s="5356"/>
      <c r="AU73" s="5356"/>
      <c r="AV73" s="5356"/>
      <c r="AW73" s="5356"/>
      <c r="AX73" s="5356"/>
      <c r="AY73" s="5356"/>
      <c r="AZ73" s="5356"/>
      <c r="BA73" s="5356"/>
      <c r="BB73" s="5356"/>
      <c r="BC73" s="5356"/>
      <c r="BD73" s="5356"/>
      <c r="BE73" s="5356"/>
      <c r="BF73" s="5356"/>
      <c r="BG73" s="5356"/>
      <c r="BH73" s="5356"/>
      <c r="BI73" s="5356"/>
      <c r="BJ73" s="5356"/>
      <c r="BK73" s="5356"/>
      <c r="BL73" s="5356"/>
      <c r="BM73" s="5356"/>
      <c r="BN73" s="16166">
        <v>0.5</v>
      </c>
      <c r="BO73" s="16157"/>
      <c r="BP73" s="5356"/>
      <c r="BQ73" s="5356"/>
      <c r="BR73" s="5356"/>
      <c r="BS73" s="5358">
        <v>0</v>
      </c>
      <c r="BT73" s="5358">
        <v>0</v>
      </c>
      <c r="BU73" s="5358">
        <v>0</v>
      </c>
      <c r="BV73" s="5358">
        <v>0</v>
      </c>
      <c r="BW73" s="5358"/>
      <c r="BX73" s="5358"/>
      <c r="BY73" s="5358"/>
      <c r="BZ73" s="5358"/>
      <c r="CA73" s="5358"/>
      <c r="CB73" s="5358"/>
      <c r="CC73" s="5358"/>
      <c r="CD73" s="5358"/>
      <c r="CE73" s="5358"/>
      <c r="CF73" s="5358"/>
      <c r="CG73" s="5358"/>
      <c r="CH73" s="5358"/>
      <c r="CI73" s="5358"/>
      <c r="CJ73" s="5358"/>
      <c r="CK73" s="5358"/>
      <c r="CL73" s="5358"/>
      <c r="CM73" s="5358"/>
      <c r="CN73" s="5358"/>
      <c r="CO73" s="5358"/>
      <c r="CP73" s="5358"/>
      <c r="CQ73" s="5358"/>
      <c r="CR73" s="5358"/>
      <c r="CS73" s="5358"/>
      <c r="CT73" s="5358"/>
      <c r="CU73" s="5358"/>
      <c r="CV73" s="5358"/>
      <c r="CW73" s="5358"/>
      <c r="CX73" s="5358"/>
      <c r="CY73" s="5358"/>
      <c r="CZ73" s="5358"/>
      <c r="DA73" s="5358"/>
      <c r="DB73" s="5358"/>
      <c r="DC73" s="5358"/>
      <c r="DD73" s="5358"/>
      <c r="DE73" s="5358"/>
      <c r="DF73" s="5358"/>
      <c r="DG73" s="5457"/>
      <c r="DH73" s="5457"/>
      <c r="DI73" s="5457"/>
      <c r="DJ73" s="5457"/>
      <c r="DK73" s="5457"/>
      <c r="DL73" s="5457"/>
      <c r="DM73" s="5457"/>
      <c r="DN73" s="5457"/>
      <c r="DO73" s="5457"/>
      <c r="DP73" s="5457"/>
      <c r="DQ73" s="5457"/>
      <c r="DR73" s="5457"/>
      <c r="DS73" s="5457"/>
      <c r="DT73" s="5457"/>
      <c r="DU73" s="5457"/>
      <c r="DV73" s="5457"/>
      <c r="DW73" s="5457"/>
      <c r="DX73" s="5457"/>
      <c r="DY73" s="5457"/>
      <c r="DZ73" s="5457"/>
      <c r="EA73" s="5457"/>
      <c r="EB73" s="5457"/>
      <c r="EC73" s="5457"/>
      <c r="ED73" s="5457"/>
      <c r="EE73" s="5457"/>
      <c r="EF73" s="5457"/>
      <c r="EG73" s="5457"/>
      <c r="EH73" s="5457"/>
      <c r="EI73" s="5457"/>
      <c r="EJ73" s="5457"/>
      <c r="EK73" s="5457"/>
      <c r="EL73" s="5457"/>
      <c r="EM73" s="5457"/>
      <c r="EN73" s="5457"/>
      <c r="EO73" s="5457"/>
      <c r="EP73" s="5457"/>
      <c r="EQ73" s="5457"/>
      <c r="ER73" s="5457"/>
      <c r="ES73" s="5457"/>
      <c r="ET73" s="5457"/>
      <c r="EU73" s="5457"/>
      <c r="EV73" s="5457"/>
      <c r="EW73" s="5457"/>
      <c r="EX73" s="5457"/>
      <c r="EY73" s="5457"/>
      <c r="EZ73" s="5457"/>
      <c r="FA73" s="5468"/>
    </row>
    <row r="74" spans="1:157" s="2021" customFormat="1" ht="15" customHeight="1" thickBot="1">
      <c r="A74" s="16061"/>
      <c r="B74" s="16081"/>
      <c r="C74" s="16081"/>
      <c r="D74" s="16081"/>
      <c r="E74" s="16081"/>
      <c r="F74" s="16171"/>
      <c r="G74" s="16172"/>
      <c r="H74" s="16040"/>
      <c r="I74" s="16040"/>
      <c r="J74" s="16040"/>
      <c r="K74" s="16040"/>
      <c r="L74" s="16040"/>
      <c r="M74" s="16040"/>
      <c r="N74" s="16040"/>
      <c r="O74" s="16040"/>
      <c r="P74" s="16040"/>
      <c r="Q74" s="16040"/>
      <c r="R74" s="5526" t="s">
        <v>10070</v>
      </c>
      <c r="S74" s="5527"/>
      <c r="T74" s="5528" t="s">
        <v>1098</v>
      </c>
      <c r="U74" s="16167"/>
      <c r="V74" s="16158"/>
      <c r="W74" s="5529"/>
      <c r="X74" s="5529"/>
      <c r="Y74" s="5528"/>
      <c r="Z74" s="5530"/>
      <c r="AA74" s="5530"/>
      <c r="AB74" s="5530"/>
      <c r="AC74" s="5531"/>
      <c r="AD74" s="5532"/>
      <c r="AE74" s="5532"/>
      <c r="AF74" s="5532"/>
      <c r="AG74" s="5532"/>
      <c r="AH74" s="5532"/>
      <c r="AI74" s="5532"/>
      <c r="AJ74" s="5532"/>
      <c r="AK74" s="5532"/>
      <c r="AL74" s="5532"/>
      <c r="AM74" s="5532"/>
      <c r="AN74" s="5532"/>
      <c r="AO74" s="5532"/>
      <c r="AP74" s="5532"/>
      <c r="AQ74" s="5532"/>
      <c r="AR74" s="5532"/>
      <c r="AS74" s="5532"/>
      <c r="AT74" s="5532"/>
      <c r="AU74" s="5532"/>
      <c r="AV74" s="5532"/>
      <c r="AW74" s="5532"/>
      <c r="AX74" s="5532"/>
      <c r="AY74" s="5532"/>
      <c r="AZ74" s="5532"/>
      <c r="BA74" s="5532"/>
      <c r="BB74" s="5532"/>
      <c r="BC74" s="5532"/>
      <c r="BD74" s="5532"/>
      <c r="BE74" s="5532"/>
      <c r="BF74" s="5532"/>
      <c r="BG74" s="5532"/>
      <c r="BH74" s="5532"/>
      <c r="BI74" s="5532"/>
      <c r="BJ74" s="5532"/>
      <c r="BK74" s="5532"/>
      <c r="BL74" s="5532"/>
      <c r="BM74" s="5532"/>
      <c r="BN74" s="16167"/>
      <c r="BO74" s="16158"/>
      <c r="BP74" s="5529" t="s">
        <v>9489</v>
      </c>
      <c r="BQ74" s="5529" t="s">
        <v>9451</v>
      </c>
      <c r="BR74" s="5528"/>
      <c r="BS74" s="5533">
        <f t="shared" ref="BS74" si="5">+SUM(BT74:BV74)</f>
        <v>233196906</v>
      </c>
      <c r="BT74" s="5533">
        <v>163237834</v>
      </c>
      <c r="BU74" s="5533">
        <v>69959072</v>
      </c>
      <c r="BV74" s="5534">
        <v>0</v>
      </c>
      <c r="BW74" s="5534"/>
      <c r="BX74" s="5534"/>
      <c r="BY74" s="5534"/>
      <c r="BZ74" s="5534"/>
      <c r="CA74" s="5534"/>
      <c r="CB74" s="5534"/>
      <c r="CC74" s="5534"/>
      <c r="CD74" s="5534"/>
      <c r="CE74" s="5534"/>
      <c r="CF74" s="5534"/>
      <c r="CG74" s="5534"/>
      <c r="CH74" s="5534"/>
      <c r="CI74" s="5534"/>
      <c r="CJ74" s="5534"/>
      <c r="CK74" s="5534"/>
      <c r="CL74" s="5534"/>
      <c r="CM74" s="5534"/>
      <c r="CN74" s="5534"/>
      <c r="CO74" s="5534"/>
      <c r="CP74" s="5534"/>
      <c r="CQ74" s="5534"/>
      <c r="CR74" s="5534"/>
      <c r="CS74" s="5534"/>
      <c r="CT74" s="5534"/>
      <c r="CU74" s="5534"/>
      <c r="CV74" s="5534"/>
      <c r="CW74" s="5534"/>
      <c r="CX74" s="5534"/>
      <c r="CY74" s="5534"/>
      <c r="CZ74" s="5534"/>
      <c r="DA74" s="5534"/>
      <c r="DB74" s="5534"/>
      <c r="DC74" s="5534"/>
      <c r="DD74" s="5534"/>
      <c r="DE74" s="5534"/>
      <c r="DF74" s="5534"/>
      <c r="DG74" s="5535"/>
      <c r="DH74" s="5535"/>
      <c r="DI74" s="5535"/>
      <c r="DJ74" s="5535"/>
      <c r="DK74" s="5535"/>
      <c r="DL74" s="5535"/>
      <c r="DM74" s="5535"/>
      <c r="DN74" s="5535"/>
      <c r="DO74" s="5535"/>
      <c r="DP74" s="5535"/>
      <c r="DQ74" s="5535"/>
      <c r="DR74" s="5535"/>
      <c r="DS74" s="5535"/>
      <c r="DT74" s="5535"/>
      <c r="DU74" s="5535"/>
      <c r="DV74" s="5535"/>
      <c r="DW74" s="5535"/>
      <c r="DX74" s="5535"/>
      <c r="DY74" s="5535"/>
      <c r="DZ74" s="5535"/>
      <c r="EA74" s="5535"/>
      <c r="EB74" s="5535"/>
      <c r="EC74" s="5535"/>
      <c r="ED74" s="5535"/>
      <c r="EE74" s="5535"/>
      <c r="EF74" s="5535"/>
      <c r="EG74" s="5535"/>
      <c r="EH74" s="5535"/>
      <c r="EI74" s="5535"/>
      <c r="EJ74" s="5535"/>
      <c r="EK74" s="5535"/>
      <c r="EL74" s="5535"/>
      <c r="EM74" s="5535"/>
      <c r="EN74" s="5535"/>
      <c r="EO74" s="5535"/>
      <c r="EP74" s="5535"/>
      <c r="EQ74" s="5535"/>
      <c r="ER74" s="5535"/>
      <c r="ES74" s="5535"/>
      <c r="ET74" s="5535"/>
      <c r="EU74" s="5535"/>
      <c r="EV74" s="5535"/>
      <c r="EW74" s="5535"/>
      <c r="EX74" s="5535"/>
      <c r="EY74" s="5535"/>
      <c r="EZ74" s="5535"/>
      <c r="FA74" s="5536"/>
    </row>
    <row r="75" spans="1:157" s="2014" customFormat="1" ht="15" customHeight="1">
      <c r="A75" s="16057" t="s">
        <v>1099</v>
      </c>
      <c r="B75" s="16072" t="s">
        <v>1100</v>
      </c>
      <c r="C75" s="5113" t="s">
        <v>8068</v>
      </c>
      <c r="D75" s="5113" t="s">
        <v>1101</v>
      </c>
      <c r="E75" s="5113" t="s">
        <v>1043</v>
      </c>
      <c r="F75" s="5128" t="s">
        <v>1073</v>
      </c>
      <c r="G75" s="2022">
        <v>0</v>
      </c>
      <c r="H75" s="5109">
        <v>5</v>
      </c>
      <c r="I75" s="5109">
        <v>5</v>
      </c>
      <c r="J75" s="5109">
        <v>5</v>
      </c>
      <c r="K75" s="5109">
        <v>5</v>
      </c>
      <c r="L75" s="5109">
        <v>5</v>
      </c>
      <c r="M75" s="5109">
        <v>5</v>
      </c>
      <c r="N75" s="5109">
        <v>5</v>
      </c>
      <c r="O75" s="5109">
        <v>5</v>
      </c>
      <c r="P75" s="5109">
        <v>5</v>
      </c>
      <c r="Q75" s="5109">
        <v>5</v>
      </c>
      <c r="R75" s="5434" t="s">
        <v>10072</v>
      </c>
      <c r="S75" s="5416" t="s">
        <v>1029</v>
      </c>
      <c r="T75" s="5522" t="s">
        <v>10083</v>
      </c>
      <c r="U75" s="5117"/>
      <c r="V75" s="16168"/>
      <c r="W75" s="5137"/>
      <c r="X75" s="5137"/>
      <c r="Y75" s="5523"/>
      <c r="Z75" s="5524"/>
      <c r="AA75" s="5524"/>
      <c r="AB75" s="5524"/>
      <c r="AC75" s="5524"/>
      <c r="AD75" s="5523"/>
      <c r="AE75" s="5523"/>
      <c r="AF75" s="5523"/>
      <c r="AG75" s="5523"/>
      <c r="AH75" s="5523"/>
      <c r="AI75" s="5523"/>
      <c r="AJ75" s="5523"/>
      <c r="AK75" s="5523"/>
      <c r="AL75" s="5523"/>
      <c r="AM75" s="5523"/>
      <c r="AN75" s="5523"/>
      <c r="AO75" s="5523"/>
      <c r="AP75" s="5523"/>
      <c r="AQ75" s="5523"/>
      <c r="AR75" s="5523"/>
      <c r="AS75" s="5523"/>
      <c r="AT75" s="5523"/>
      <c r="AU75" s="5523"/>
      <c r="AV75" s="5523"/>
      <c r="AW75" s="5523"/>
      <c r="AX75" s="5523"/>
      <c r="AY75" s="5523"/>
      <c r="AZ75" s="5523"/>
      <c r="BA75" s="5523"/>
      <c r="BB75" s="5523"/>
      <c r="BC75" s="5523"/>
      <c r="BD75" s="5523"/>
      <c r="BE75" s="5523"/>
      <c r="BF75" s="5523"/>
      <c r="BG75" s="5523"/>
      <c r="BH75" s="5523"/>
      <c r="BI75" s="5523"/>
      <c r="BJ75" s="5523"/>
      <c r="BK75" s="5523"/>
      <c r="BL75" s="5523"/>
      <c r="BM75" s="5523"/>
      <c r="BN75" s="5117">
        <v>0</v>
      </c>
      <c r="BO75" s="16168">
        <v>0</v>
      </c>
      <c r="BP75" s="5137" t="s">
        <v>9490</v>
      </c>
      <c r="BQ75" s="5137" t="s">
        <v>9467</v>
      </c>
      <c r="BR75" s="5523"/>
      <c r="BS75" s="5525">
        <v>0</v>
      </c>
      <c r="BT75" s="5525">
        <v>0</v>
      </c>
      <c r="BU75" s="5525">
        <v>0</v>
      </c>
      <c r="BV75" s="5525">
        <v>0</v>
      </c>
      <c r="BW75" s="5525"/>
      <c r="BX75" s="5525"/>
      <c r="BY75" s="5525"/>
      <c r="BZ75" s="5525"/>
      <c r="CA75" s="5525"/>
      <c r="CB75" s="5525"/>
      <c r="CC75" s="5525"/>
      <c r="CD75" s="5525"/>
      <c r="CE75" s="5525"/>
      <c r="CF75" s="5525"/>
      <c r="CG75" s="5525"/>
      <c r="CH75" s="5525"/>
      <c r="CI75" s="5525"/>
      <c r="CJ75" s="5525"/>
      <c r="CK75" s="5525"/>
      <c r="CL75" s="5525"/>
      <c r="CM75" s="5525"/>
      <c r="CN75" s="5525"/>
      <c r="CO75" s="5525"/>
      <c r="CP75" s="5525"/>
      <c r="CQ75" s="5525"/>
      <c r="CR75" s="5525"/>
      <c r="CS75" s="5525"/>
      <c r="CT75" s="5525"/>
      <c r="CU75" s="5525"/>
      <c r="CV75" s="5525"/>
      <c r="CW75" s="5525"/>
      <c r="CX75" s="5525"/>
      <c r="CY75" s="5525"/>
      <c r="CZ75" s="5525"/>
      <c r="DA75" s="5525"/>
      <c r="DB75" s="5525"/>
      <c r="DC75" s="5525"/>
      <c r="DD75" s="5525"/>
      <c r="DE75" s="5525"/>
      <c r="DF75" s="5525"/>
      <c r="DG75" s="5473"/>
      <c r="DH75" s="5473"/>
      <c r="DI75" s="5473"/>
      <c r="DJ75" s="5473"/>
      <c r="DK75" s="5473"/>
      <c r="DL75" s="5473"/>
      <c r="DM75" s="5473"/>
      <c r="DN75" s="5473"/>
      <c r="DO75" s="5473"/>
      <c r="DP75" s="5473"/>
      <c r="DQ75" s="5473"/>
      <c r="DR75" s="5473"/>
      <c r="DS75" s="5473"/>
      <c r="DT75" s="5473"/>
      <c r="DU75" s="5473"/>
      <c r="DV75" s="5473"/>
      <c r="DW75" s="5473"/>
      <c r="DX75" s="5473"/>
      <c r="DY75" s="5473"/>
      <c r="DZ75" s="5473"/>
      <c r="EA75" s="5473"/>
      <c r="EB75" s="5473"/>
      <c r="EC75" s="5473"/>
      <c r="ED75" s="5473"/>
      <c r="EE75" s="5473"/>
      <c r="EF75" s="5473"/>
      <c r="EG75" s="5473"/>
      <c r="EH75" s="5473"/>
      <c r="EI75" s="5473"/>
      <c r="EJ75" s="5473"/>
      <c r="EK75" s="5473"/>
      <c r="EL75" s="5473"/>
      <c r="EM75" s="5473"/>
      <c r="EN75" s="5473"/>
      <c r="EO75" s="5473"/>
      <c r="EP75" s="5473"/>
      <c r="EQ75" s="5473"/>
      <c r="ER75" s="5473"/>
      <c r="ES75" s="5473"/>
      <c r="ET75" s="5473"/>
      <c r="EU75" s="5473"/>
      <c r="EV75" s="5473"/>
      <c r="EW75" s="5473"/>
      <c r="EX75" s="5473"/>
      <c r="EY75" s="5473"/>
      <c r="EZ75" s="5473"/>
      <c r="FA75" s="5474"/>
    </row>
    <row r="76" spans="1:157" s="2014" customFormat="1" ht="15" customHeight="1">
      <c r="A76" s="16058"/>
      <c r="B76" s="16073"/>
      <c r="C76" s="5184" t="s">
        <v>8069</v>
      </c>
      <c r="D76" s="5184" t="s">
        <v>1102</v>
      </c>
      <c r="E76" s="5184" t="s">
        <v>1103</v>
      </c>
      <c r="F76" s="5290" t="s">
        <v>1073</v>
      </c>
      <c r="G76" s="5185">
        <v>0</v>
      </c>
      <c r="H76" s="2744">
        <v>1</v>
      </c>
      <c r="I76" s="2744">
        <v>1</v>
      </c>
      <c r="J76" s="2744">
        <v>1</v>
      </c>
      <c r="K76" s="2744">
        <v>1</v>
      </c>
      <c r="L76" s="2744">
        <v>1</v>
      </c>
      <c r="M76" s="2744">
        <v>1</v>
      </c>
      <c r="N76" s="2744">
        <v>1</v>
      </c>
      <c r="O76" s="2744">
        <v>1</v>
      </c>
      <c r="P76" s="2744">
        <v>1</v>
      </c>
      <c r="Q76" s="2744">
        <v>1</v>
      </c>
      <c r="R76" s="5427" t="s">
        <v>10072</v>
      </c>
      <c r="S76" s="5291" t="s">
        <v>1029</v>
      </c>
      <c r="T76" s="5388" t="s">
        <v>10084</v>
      </c>
      <c r="U76" s="5188"/>
      <c r="V76" s="16169"/>
      <c r="W76" s="5187"/>
      <c r="X76" s="2744"/>
      <c r="Y76" s="5189"/>
      <c r="Z76" s="5190"/>
      <c r="AA76" s="5190"/>
      <c r="AB76" s="5190"/>
      <c r="AC76" s="5190"/>
      <c r="AD76" s="5189"/>
      <c r="AE76" s="5189"/>
      <c r="AF76" s="5189"/>
      <c r="AG76" s="5189"/>
      <c r="AH76" s="5189"/>
      <c r="AI76" s="5189"/>
      <c r="AJ76" s="5189"/>
      <c r="AK76" s="5189"/>
      <c r="AL76" s="5189"/>
      <c r="AM76" s="5189"/>
      <c r="AN76" s="5189"/>
      <c r="AO76" s="5189"/>
      <c r="AP76" s="5189"/>
      <c r="AQ76" s="5189"/>
      <c r="AR76" s="5189"/>
      <c r="AS76" s="5189"/>
      <c r="AT76" s="5189"/>
      <c r="AU76" s="5189"/>
      <c r="AV76" s="5189"/>
      <c r="AW76" s="5189"/>
      <c r="AX76" s="5189"/>
      <c r="AY76" s="5189"/>
      <c r="AZ76" s="5189"/>
      <c r="BA76" s="5189"/>
      <c r="BB76" s="5189"/>
      <c r="BC76" s="5189"/>
      <c r="BD76" s="5189"/>
      <c r="BE76" s="5189"/>
      <c r="BF76" s="5189"/>
      <c r="BG76" s="5189"/>
      <c r="BH76" s="5189"/>
      <c r="BI76" s="5189"/>
      <c r="BJ76" s="5189"/>
      <c r="BK76" s="5189"/>
      <c r="BL76" s="5189"/>
      <c r="BM76" s="5189"/>
      <c r="BN76" s="5188">
        <v>0</v>
      </c>
      <c r="BO76" s="16169"/>
      <c r="BP76" s="5187" t="s">
        <v>9491</v>
      </c>
      <c r="BQ76" s="2744" t="s">
        <v>2951</v>
      </c>
      <c r="BR76" s="5189"/>
      <c r="BS76" s="5191">
        <v>0</v>
      </c>
      <c r="BT76" s="5191">
        <v>0</v>
      </c>
      <c r="BU76" s="5191">
        <v>0</v>
      </c>
      <c r="BV76" s="5191">
        <v>0</v>
      </c>
      <c r="BW76" s="5191"/>
      <c r="BX76" s="5191"/>
      <c r="BY76" s="5191"/>
      <c r="BZ76" s="5191"/>
      <c r="CA76" s="5191"/>
      <c r="CB76" s="5191"/>
      <c r="CC76" s="5191"/>
      <c r="CD76" s="5191"/>
      <c r="CE76" s="5191"/>
      <c r="CF76" s="5191"/>
      <c r="CG76" s="5191"/>
      <c r="CH76" s="5191"/>
      <c r="CI76" s="5191"/>
      <c r="CJ76" s="5191"/>
      <c r="CK76" s="5191"/>
      <c r="CL76" s="5191"/>
      <c r="CM76" s="5191"/>
      <c r="CN76" s="5191"/>
      <c r="CO76" s="5191"/>
      <c r="CP76" s="5191"/>
      <c r="CQ76" s="5191"/>
      <c r="CR76" s="5191"/>
      <c r="CS76" s="5191"/>
      <c r="CT76" s="5191"/>
      <c r="CU76" s="5191"/>
      <c r="CV76" s="5191"/>
      <c r="CW76" s="5191"/>
      <c r="CX76" s="5191"/>
      <c r="CY76" s="5191"/>
      <c r="CZ76" s="5191"/>
      <c r="DA76" s="5191"/>
      <c r="DB76" s="5191"/>
      <c r="DC76" s="5191"/>
      <c r="DD76" s="5191"/>
      <c r="DE76" s="5191"/>
      <c r="DF76" s="5191"/>
      <c r="DG76" s="5453"/>
      <c r="DH76" s="5453"/>
      <c r="DI76" s="5453"/>
      <c r="DJ76" s="5453"/>
      <c r="DK76" s="5453"/>
      <c r="DL76" s="5453"/>
      <c r="DM76" s="5453"/>
      <c r="DN76" s="5453"/>
      <c r="DO76" s="5453"/>
      <c r="DP76" s="5453"/>
      <c r="DQ76" s="5453"/>
      <c r="DR76" s="5453"/>
      <c r="DS76" s="5453"/>
      <c r="DT76" s="5453"/>
      <c r="DU76" s="5453"/>
      <c r="DV76" s="5453"/>
      <c r="DW76" s="5453"/>
      <c r="DX76" s="5453"/>
      <c r="DY76" s="5453"/>
      <c r="DZ76" s="5453"/>
      <c r="EA76" s="5453"/>
      <c r="EB76" s="5453"/>
      <c r="EC76" s="5453"/>
      <c r="ED76" s="5453"/>
      <c r="EE76" s="5453"/>
      <c r="EF76" s="5453"/>
      <c r="EG76" s="5453"/>
      <c r="EH76" s="5453"/>
      <c r="EI76" s="5453"/>
      <c r="EJ76" s="5453"/>
      <c r="EK76" s="5453"/>
      <c r="EL76" s="5453"/>
      <c r="EM76" s="5453"/>
      <c r="EN76" s="5453"/>
      <c r="EO76" s="5453"/>
      <c r="EP76" s="5453"/>
      <c r="EQ76" s="5453"/>
      <c r="ER76" s="5453"/>
      <c r="ES76" s="5453"/>
      <c r="ET76" s="5453"/>
      <c r="EU76" s="5453"/>
      <c r="EV76" s="5453"/>
      <c r="EW76" s="5453"/>
      <c r="EX76" s="5453"/>
      <c r="EY76" s="5453"/>
      <c r="EZ76" s="5453"/>
      <c r="FA76" s="5464"/>
    </row>
    <row r="77" spans="1:157" s="2014" customFormat="1" ht="15" customHeight="1">
      <c r="A77" s="16058"/>
      <c r="B77" s="16073"/>
      <c r="C77" s="16073" t="s">
        <v>8070</v>
      </c>
      <c r="D77" s="16073" t="s">
        <v>1104</v>
      </c>
      <c r="E77" s="16073"/>
      <c r="F77" s="16042"/>
      <c r="G77" s="16042"/>
      <c r="H77" s="16042"/>
      <c r="I77" s="16042"/>
      <c r="J77" s="16042"/>
      <c r="K77" s="16042"/>
      <c r="L77" s="16042"/>
      <c r="M77" s="16042"/>
      <c r="N77" s="16042"/>
      <c r="O77" s="16042"/>
      <c r="P77" s="16042"/>
      <c r="Q77" s="16042"/>
      <c r="R77" s="5427" t="s">
        <v>10072</v>
      </c>
      <c r="S77" s="5291" t="s">
        <v>1029</v>
      </c>
      <c r="T77" s="5388"/>
      <c r="U77" s="5188"/>
      <c r="V77" s="16169"/>
      <c r="W77" s="5187"/>
      <c r="X77" s="2744"/>
      <c r="Y77" s="5189"/>
      <c r="Z77" s="5190"/>
      <c r="AA77" s="5190"/>
      <c r="AB77" s="5190"/>
      <c r="AC77" s="5190"/>
      <c r="AD77" s="5189"/>
      <c r="AE77" s="5189"/>
      <c r="AF77" s="5189"/>
      <c r="AG77" s="5189"/>
      <c r="AH77" s="5189"/>
      <c r="AI77" s="5189"/>
      <c r="AJ77" s="5189"/>
      <c r="AK77" s="5189"/>
      <c r="AL77" s="5189"/>
      <c r="AM77" s="5189"/>
      <c r="AN77" s="5189"/>
      <c r="AO77" s="5189"/>
      <c r="AP77" s="5189"/>
      <c r="AQ77" s="5189"/>
      <c r="AR77" s="5189"/>
      <c r="AS77" s="5189"/>
      <c r="AT77" s="5189"/>
      <c r="AU77" s="5189"/>
      <c r="AV77" s="5189"/>
      <c r="AW77" s="5189"/>
      <c r="AX77" s="5189"/>
      <c r="AY77" s="5189"/>
      <c r="AZ77" s="5189"/>
      <c r="BA77" s="5189"/>
      <c r="BB77" s="5189"/>
      <c r="BC77" s="5189"/>
      <c r="BD77" s="5189"/>
      <c r="BE77" s="5189"/>
      <c r="BF77" s="5189"/>
      <c r="BG77" s="5189"/>
      <c r="BH77" s="5189"/>
      <c r="BI77" s="5189"/>
      <c r="BJ77" s="5189"/>
      <c r="BK77" s="5189"/>
      <c r="BL77" s="5189"/>
      <c r="BM77" s="5189"/>
      <c r="BN77" s="16047">
        <v>0</v>
      </c>
      <c r="BO77" s="16169"/>
      <c r="BP77" s="5187" t="s">
        <v>9492</v>
      </c>
      <c r="BQ77" s="5189"/>
      <c r="BR77" s="5189"/>
      <c r="BS77" s="5191">
        <v>0</v>
      </c>
      <c r="BT77" s="5191">
        <v>0</v>
      </c>
      <c r="BU77" s="5191">
        <v>0</v>
      </c>
      <c r="BV77" s="5191">
        <v>0</v>
      </c>
      <c r="BW77" s="5191"/>
      <c r="BX77" s="5191"/>
      <c r="BY77" s="5191"/>
      <c r="BZ77" s="5191"/>
      <c r="CA77" s="5191"/>
      <c r="CB77" s="5191"/>
      <c r="CC77" s="5191"/>
      <c r="CD77" s="5191"/>
      <c r="CE77" s="5191"/>
      <c r="CF77" s="5191"/>
      <c r="CG77" s="5191"/>
      <c r="CH77" s="5191"/>
      <c r="CI77" s="5191"/>
      <c r="CJ77" s="5191"/>
      <c r="CK77" s="5191"/>
      <c r="CL77" s="5191"/>
      <c r="CM77" s="5191"/>
      <c r="CN77" s="5191"/>
      <c r="CO77" s="5191"/>
      <c r="CP77" s="5191"/>
      <c r="CQ77" s="5191"/>
      <c r="CR77" s="5191"/>
      <c r="CS77" s="5191"/>
      <c r="CT77" s="5191"/>
      <c r="CU77" s="5191"/>
      <c r="CV77" s="5191"/>
      <c r="CW77" s="5191"/>
      <c r="CX77" s="5191"/>
      <c r="CY77" s="5191"/>
      <c r="CZ77" s="5191"/>
      <c r="DA77" s="5191"/>
      <c r="DB77" s="5191"/>
      <c r="DC77" s="5191"/>
      <c r="DD77" s="5191"/>
      <c r="DE77" s="5191"/>
      <c r="DF77" s="5191"/>
      <c r="DG77" s="5453"/>
      <c r="DH77" s="5453"/>
      <c r="DI77" s="5453"/>
      <c r="DJ77" s="5453"/>
      <c r="DK77" s="5453"/>
      <c r="DL77" s="5453"/>
      <c r="DM77" s="5453"/>
      <c r="DN77" s="5453"/>
      <c r="DO77" s="5453"/>
      <c r="DP77" s="5453"/>
      <c r="DQ77" s="5453"/>
      <c r="DR77" s="5453"/>
      <c r="DS77" s="5453"/>
      <c r="DT77" s="5453"/>
      <c r="DU77" s="5453"/>
      <c r="DV77" s="5453"/>
      <c r="DW77" s="5453"/>
      <c r="DX77" s="5453"/>
      <c r="DY77" s="5453"/>
      <c r="DZ77" s="5453"/>
      <c r="EA77" s="5453"/>
      <c r="EB77" s="5453"/>
      <c r="EC77" s="5453"/>
      <c r="ED77" s="5453"/>
      <c r="EE77" s="5453"/>
      <c r="EF77" s="5453"/>
      <c r="EG77" s="5453"/>
      <c r="EH77" s="5453"/>
      <c r="EI77" s="5453"/>
      <c r="EJ77" s="5453"/>
      <c r="EK77" s="5453"/>
      <c r="EL77" s="5453"/>
      <c r="EM77" s="5453"/>
      <c r="EN77" s="5453"/>
      <c r="EO77" s="5453"/>
      <c r="EP77" s="5453"/>
      <c r="EQ77" s="5453"/>
      <c r="ER77" s="5453"/>
      <c r="ES77" s="5453"/>
      <c r="ET77" s="5453"/>
      <c r="EU77" s="5453"/>
      <c r="EV77" s="5453"/>
      <c r="EW77" s="5453"/>
      <c r="EX77" s="5453"/>
      <c r="EY77" s="5453"/>
      <c r="EZ77" s="5453"/>
      <c r="FA77" s="5464"/>
    </row>
    <row r="78" spans="1:157" s="2014" customFormat="1" ht="15" customHeight="1">
      <c r="A78" s="16058"/>
      <c r="B78" s="16073"/>
      <c r="C78" s="16073"/>
      <c r="D78" s="16073"/>
      <c r="E78" s="16073"/>
      <c r="F78" s="16042"/>
      <c r="G78" s="16042"/>
      <c r="H78" s="16042"/>
      <c r="I78" s="16042"/>
      <c r="J78" s="16042"/>
      <c r="K78" s="16042"/>
      <c r="L78" s="16042"/>
      <c r="M78" s="16042"/>
      <c r="N78" s="16042"/>
      <c r="O78" s="16042"/>
      <c r="P78" s="16042"/>
      <c r="Q78" s="16042"/>
      <c r="R78" s="5427" t="s">
        <v>8575</v>
      </c>
      <c r="S78" s="5291"/>
      <c r="T78" s="5388" t="s">
        <v>1114</v>
      </c>
      <c r="U78" s="5188"/>
      <c r="V78" s="16169"/>
      <c r="W78" s="5187"/>
      <c r="X78" s="2744"/>
      <c r="Y78" s="5189"/>
      <c r="Z78" s="5190"/>
      <c r="AA78" s="5190"/>
      <c r="AB78" s="5190"/>
      <c r="AC78" s="5190"/>
      <c r="AD78" s="5189"/>
      <c r="AE78" s="5189"/>
      <c r="AF78" s="5189"/>
      <c r="AG78" s="5189"/>
      <c r="AH78" s="5189"/>
      <c r="AI78" s="5189"/>
      <c r="AJ78" s="5189"/>
      <c r="AK78" s="5189"/>
      <c r="AL78" s="5189"/>
      <c r="AM78" s="5189"/>
      <c r="AN78" s="5189"/>
      <c r="AO78" s="5189"/>
      <c r="AP78" s="5189"/>
      <c r="AQ78" s="5189"/>
      <c r="AR78" s="5189"/>
      <c r="AS78" s="5189"/>
      <c r="AT78" s="5189"/>
      <c r="AU78" s="5189"/>
      <c r="AV78" s="5189"/>
      <c r="AW78" s="5189"/>
      <c r="AX78" s="5189"/>
      <c r="AY78" s="5189"/>
      <c r="AZ78" s="5189"/>
      <c r="BA78" s="5189"/>
      <c r="BB78" s="5189"/>
      <c r="BC78" s="5189"/>
      <c r="BD78" s="5189"/>
      <c r="BE78" s="5189"/>
      <c r="BF78" s="5189"/>
      <c r="BG78" s="5189"/>
      <c r="BH78" s="5189"/>
      <c r="BI78" s="5189"/>
      <c r="BJ78" s="5189"/>
      <c r="BK78" s="5189"/>
      <c r="BL78" s="5189"/>
      <c r="BM78" s="5189"/>
      <c r="BN78" s="16047"/>
      <c r="BO78" s="16169"/>
      <c r="BP78" s="5187"/>
      <c r="BQ78" s="2744"/>
      <c r="BR78" s="5189"/>
      <c r="BS78" s="5191"/>
      <c r="BT78" s="5191"/>
      <c r="BU78" s="5191"/>
      <c r="BV78" s="5191"/>
      <c r="BW78" s="5191"/>
      <c r="BX78" s="5191"/>
      <c r="BY78" s="5191"/>
      <c r="BZ78" s="5191"/>
      <c r="CA78" s="5191"/>
      <c r="CB78" s="5191"/>
      <c r="CC78" s="5191"/>
      <c r="CD78" s="5191"/>
      <c r="CE78" s="5191"/>
      <c r="CF78" s="5191"/>
      <c r="CG78" s="5191"/>
      <c r="CH78" s="5191"/>
      <c r="CI78" s="5191"/>
      <c r="CJ78" s="5191"/>
      <c r="CK78" s="5191"/>
      <c r="CL78" s="5191"/>
      <c r="CM78" s="5191"/>
      <c r="CN78" s="5191"/>
      <c r="CO78" s="5191"/>
      <c r="CP78" s="5191"/>
      <c r="CQ78" s="5191"/>
      <c r="CR78" s="5191"/>
      <c r="CS78" s="5191"/>
      <c r="CT78" s="5191"/>
      <c r="CU78" s="5191"/>
      <c r="CV78" s="5191"/>
      <c r="CW78" s="5191"/>
      <c r="CX78" s="5191"/>
      <c r="CY78" s="5191"/>
      <c r="CZ78" s="5191"/>
      <c r="DA78" s="5191"/>
      <c r="DB78" s="5191"/>
      <c r="DC78" s="5191"/>
      <c r="DD78" s="5191"/>
      <c r="DE78" s="5191"/>
      <c r="DF78" s="5191"/>
      <c r="DG78" s="5453"/>
      <c r="DH78" s="5453"/>
      <c r="DI78" s="5453"/>
      <c r="DJ78" s="5453"/>
      <c r="DK78" s="5453"/>
      <c r="DL78" s="5453"/>
      <c r="DM78" s="5453"/>
      <c r="DN78" s="5453"/>
      <c r="DO78" s="5453"/>
      <c r="DP78" s="5453"/>
      <c r="DQ78" s="5453"/>
      <c r="DR78" s="5453"/>
      <c r="DS78" s="5453"/>
      <c r="DT78" s="5453"/>
      <c r="DU78" s="5453"/>
      <c r="DV78" s="5453"/>
      <c r="DW78" s="5453"/>
      <c r="DX78" s="5453"/>
      <c r="DY78" s="5453"/>
      <c r="DZ78" s="5453"/>
      <c r="EA78" s="5453"/>
      <c r="EB78" s="5453"/>
      <c r="EC78" s="5453"/>
      <c r="ED78" s="5453"/>
      <c r="EE78" s="5453"/>
      <c r="EF78" s="5453"/>
      <c r="EG78" s="5453"/>
      <c r="EH78" s="5453"/>
      <c r="EI78" s="5453"/>
      <c r="EJ78" s="5453"/>
      <c r="EK78" s="5453"/>
      <c r="EL78" s="5453"/>
      <c r="EM78" s="5453"/>
      <c r="EN78" s="5453"/>
      <c r="EO78" s="5453"/>
      <c r="EP78" s="5453"/>
      <c r="EQ78" s="5453"/>
      <c r="ER78" s="5453"/>
      <c r="ES78" s="5453"/>
      <c r="ET78" s="5453"/>
      <c r="EU78" s="5453"/>
      <c r="EV78" s="5453"/>
      <c r="EW78" s="5453"/>
      <c r="EX78" s="5453"/>
      <c r="EY78" s="5453"/>
      <c r="EZ78" s="5453"/>
      <c r="FA78" s="5464"/>
    </row>
    <row r="79" spans="1:157" s="2014" customFormat="1" ht="15" customHeight="1">
      <c r="A79" s="16058"/>
      <c r="B79" s="16073"/>
      <c r="C79" s="16073"/>
      <c r="D79" s="16073"/>
      <c r="E79" s="16073"/>
      <c r="F79" s="16042"/>
      <c r="G79" s="16042"/>
      <c r="H79" s="16042"/>
      <c r="I79" s="16042"/>
      <c r="J79" s="16042"/>
      <c r="K79" s="16042"/>
      <c r="L79" s="16042"/>
      <c r="M79" s="16042"/>
      <c r="N79" s="16042"/>
      <c r="O79" s="16042"/>
      <c r="P79" s="16042"/>
      <c r="Q79" s="16042"/>
      <c r="R79" s="5427" t="s">
        <v>10194</v>
      </c>
      <c r="S79" s="5291"/>
      <c r="T79" s="5388" t="s">
        <v>10250</v>
      </c>
      <c r="U79" s="5188"/>
      <c r="V79" s="16169"/>
      <c r="W79" s="5187"/>
      <c r="X79" s="2744"/>
      <c r="Y79" s="5189"/>
      <c r="Z79" s="5190"/>
      <c r="AA79" s="5190"/>
      <c r="AB79" s="5190"/>
      <c r="AC79" s="5190"/>
      <c r="AD79" s="5189"/>
      <c r="AE79" s="5189"/>
      <c r="AF79" s="5189"/>
      <c r="AG79" s="5189"/>
      <c r="AH79" s="5189"/>
      <c r="AI79" s="5189"/>
      <c r="AJ79" s="5189"/>
      <c r="AK79" s="5189"/>
      <c r="AL79" s="5189"/>
      <c r="AM79" s="5189"/>
      <c r="AN79" s="5189"/>
      <c r="AO79" s="5189"/>
      <c r="AP79" s="5189"/>
      <c r="AQ79" s="5189"/>
      <c r="AR79" s="5189"/>
      <c r="AS79" s="5189"/>
      <c r="AT79" s="5189"/>
      <c r="AU79" s="5189"/>
      <c r="AV79" s="5189"/>
      <c r="AW79" s="5189"/>
      <c r="AX79" s="5189"/>
      <c r="AY79" s="5189"/>
      <c r="AZ79" s="5189"/>
      <c r="BA79" s="5189"/>
      <c r="BB79" s="5189"/>
      <c r="BC79" s="5189"/>
      <c r="BD79" s="5189"/>
      <c r="BE79" s="5189"/>
      <c r="BF79" s="5189"/>
      <c r="BG79" s="5189"/>
      <c r="BH79" s="5189"/>
      <c r="BI79" s="5189"/>
      <c r="BJ79" s="5189"/>
      <c r="BK79" s="5189"/>
      <c r="BL79" s="5189"/>
      <c r="BM79" s="5189"/>
      <c r="BN79" s="16047"/>
      <c r="BO79" s="16169"/>
      <c r="BP79" s="5187"/>
      <c r="BQ79" s="2744"/>
      <c r="BR79" s="5189"/>
      <c r="BS79" s="5191"/>
      <c r="BT79" s="5191"/>
      <c r="BU79" s="5191"/>
      <c r="BV79" s="5191"/>
      <c r="BW79" s="5191"/>
      <c r="BX79" s="5191"/>
      <c r="BY79" s="5191"/>
      <c r="BZ79" s="5191"/>
      <c r="CA79" s="5191"/>
      <c r="CB79" s="5191"/>
      <c r="CC79" s="5191"/>
      <c r="CD79" s="5191"/>
      <c r="CE79" s="5191"/>
      <c r="CF79" s="5191"/>
      <c r="CG79" s="5191"/>
      <c r="CH79" s="5191"/>
      <c r="CI79" s="5191"/>
      <c r="CJ79" s="5191"/>
      <c r="CK79" s="5191"/>
      <c r="CL79" s="5191"/>
      <c r="CM79" s="5191"/>
      <c r="CN79" s="5191"/>
      <c r="CO79" s="5191"/>
      <c r="CP79" s="5191"/>
      <c r="CQ79" s="5191"/>
      <c r="CR79" s="5191"/>
      <c r="CS79" s="5191"/>
      <c r="CT79" s="5191"/>
      <c r="CU79" s="5191"/>
      <c r="CV79" s="5191"/>
      <c r="CW79" s="5191"/>
      <c r="CX79" s="5191"/>
      <c r="CY79" s="5191"/>
      <c r="CZ79" s="5191"/>
      <c r="DA79" s="5191"/>
      <c r="DB79" s="5191"/>
      <c r="DC79" s="5191"/>
      <c r="DD79" s="5191"/>
      <c r="DE79" s="5191"/>
      <c r="DF79" s="5191"/>
      <c r="DG79" s="5453"/>
      <c r="DH79" s="5453"/>
      <c r="DI79" s="5453"/>
      <c r="DJ79" s="5453"/>
      <c r="DK79" s="5453"/>
      <c r="DL79" s="5453"/>
      <c r="DM79" s="5453"/>
      <c r="DN79" s="5453"/>
      <c r="DO79" s="5453"/>
      <c r="DP79" s="5453"/>
      <c r="DQ79" s="5453"/>
      <c r="DR79" s="5453"/>
      <c r="DS79" s="5453"/>
      <c r="DT79" s="5453"/>
      <c r="DU79" s="5453"/>
      <c r="DV79" s="5453"/>
      <c r="DW79" s="5453"/>
      <c r="DX79" s="5453"/>
      <c r="DY79" s="5453"/>
      <c r="DZ79" s="5453"/>
      <c r="EA79" s="5453"/>
      <c r="EB79" s="5453"/>
      <c r="EC79" s="5453"/>
      <c r="ED79" s="5453"/>
      <c r="EE79" s="5453"/>
      <c r="EF79" s="5453"/>
      <c r="EG79" s="5453"/>
      <c r="EH79" s="5453"/>
      <c r="EI79" s="5453"/>
      <c r="EJ79" s="5453"/>
      <c r="EK79" s="5453"/>
      <c r="EL79" s="5453"/>
      <c r="EM79" s="5453"/>
      <c r="EN79" s="5453"/>
      <c r="EO79" s="5453"/>
      <c r="EP79" s="5453"/>
      <c r="EQ79" s="5453"/>
      <c r="ER79" s="5453"/>
      <c r="ES79" s="5453"/>
      <c r="ET79" s="5453"/>
      <c r="EU79" s="5453"/>
      <c r="EV79" s="5453"/>
      <c r="EW79" s="5453"/>
      <c r="EX79" s="5453"/>
      <c r="EY79" s="5453"/>
      <c r="EZ79" s="5453"/>
      <c r="FA79" s="5464"/>
    </row>
    <row r="80" spans="1:157" s="2014" customFormat="1" ht="15" customHeight="1" thickBot="1">
      <c r="A80" s="16080"/>
      <c r="B80" s="16077"/>
      <c r="C80" s="16077"/>
      <c r="D80" s="16077"/>
      <c r="E80" s="16077"/>
      <c r="F80" s="16043"/>
      <c r="G80" s="16043"/>
      <c r="H80" s="16043"/>
      <c r="I80" s="16043"/>
      <c r="J80" s="16043"/>
      <c r="K80" s="16043"/>
      <c r="L80" s="16043"/>
      <c r="M80" s="16043"/>
      <c r="N80" s="16043"/>
      <c r="O80" s="16043"/>
      <c r="P80" s="16043"/>
      <c r="Q80" s="16043"/>
      <c r="R80" s="5513" t="s">
        <v>10251</v>
      </c>
      <c r="S80" s="5514"/>
      <c r="T80" s="5515" t="s">
        <v>10249</v>
      </c>
      <c r="U80" s="5516"/>
      <c r="V80" s="16170"/>
      <c r="W80" s="5515"/>
      <c r="X80" s="5517"/>
      <c r="Y80" s="5517"/>
      <c r="Z80" s="5518"/>
      <c r="AA80" s="5518"/>
      <c r="AB80" s="5518"/>
      <c r="AC80" s="5518"/>
      <c r="AD80" s="5517"/>
      <c r="AE80" s="5517"/>
      <c r="AF80" s="5517"/>
      <c r="AG80" s="5517"/>
      <c r="AH80" s="5517"/>
      <c r="AI80" s="5517"/>
      <c r="AJ80" s="5517"/>
      <c r="AK80" s="5517"/>
      <c r="AL80" s="5517"/>
      <c r="AM80" s="5517"/>
      <c r="AN80" s="5517"/>
      <c r="AO80" s="5517"/>
      <c r="AP80" s="5517"/>
      <c r="AQ80" s="5517"/>
      <c r="AR80" s="5517"/>
      <c r="AS80" s="5517"/>
      <c r="AT80" s="5517"/>
      <c r="AU80" s="5517"/>
      <c r="AV80" s="5517"/>
      <c r="AW80" s="5517"/>
      <c r="AX80" s="5517"/>
      <c r="AY80" s="5517"/>
      <c r="AZ80" s="5517"/>
      <c r="BA80" s="5517"/>
      <c r="BB80" s="5517"/>
      <c r="BC80" s="5517"/>
      <c r="BD80" s="5517"/>
      <c r="BE80" s="5517"/>
      <c r="BF80" s="5517"/>
      <c r="BG80" s="5517"/>
      <c r="BH80" s="5517"/>
      <c r="BI80" s="5517"/>
      <c r="BJ80" s="5517"/>
      <c r="BK80" s="5517"/>
      <c r="BL80" s="5517"/>
      <c r="BM80" s="5517"/>
      <c r="BN80" s="16048"/>
      <c r="BO80" s="16170"/>
      <c r="BP80" s="5515"/>
      <c r="BQ80" s="5517"/>
      <c r="BR80" s="5517"/>
      <c r="BS80" s="5519"/>
      <c r="BT80" s="5519"/>
      <c r="BU80" s="5519"/>
      <c r="BV80" s="5519"/>
      <c r="BW80" s="5519"/>
      <c r="BX80" s="5519"/>
      <c r="BY80" s="5519"/>
      <c r="BZ80" s="5519"/>
      <c r="CA80" s="5519"/>
      <c r="CB80" s="5519"/>
      <c r="CC80" s="5519"/>
      <c r="CD80" s="5519"/>
      <c r="CE80" s="5519"/>
      <c r="CF80" s="5519"/>
      <c r="CG80" s="5519"/>
      <c r="CH80" s="5519"/>
      <c r="CI80" s="5519"/>
      <c r="CJ80" s="5519"/>
      <c r="CK80" s="5519"/>
      <c r="CL80" s="5519"/>
      <c r="CM80" s="5519"/>
      <c r="CN80" s="5519"/>
      <c r="CO80" s="5519"/>
      <c r="CP80" s="5519"/>
      <c r="CQ80" s="5519"/>
      <c r="CR80" s="5519"/>
      <c r="CS80" s="5519"/>
      <c r="CT80" s="5519"/>
      <c r="CU80" s="5519"/>
      <c r="CV80" s="5519"/>
      <c r="CW80" s="5519"/>
      <c r="CX80" s="5519"/>
      <c r="CY80" s="5519"/>
      <c r="CZ80" s="5519"/>
      <c r="DA80" s="5519"/>
      <c r="DB80" s="5519"/>
      <c r="DC80" s="5519"/>
      <c r="DD80" s="5519"/>
      <c r="DE80" s="5519"/>
      <c r="DF80" s="5519"/>
      <c r="DG80" s="5520"/>
      <c r="DH80" s="5520"/>
      <c r="DI80" s="5520"/>
      <c r="DJ80" s="5520"/>
      <c r="DK80" s="5520"/>
      <c r="DL80" s="5520"/>
      <c r="DM80" s="5520"/>
      <c r="DN80" s="5520"/>
      <c r="DO80" s="5520"/>
      <c r="DP80" s="5520"/>
      <c r="DQ80" s="5520"/>
      <c r="DR80" s="5520"/>
      <c r="DS80" s="5520"/>
      <c r="DT80" s="5520"/>
      <c r="DU80" s="5520"/>
      <c r="DV80" s="5520"/>
      <c r="DW80" s="5520"/>
      <c r="DX80" s="5520"/>
      <c r="DY80" s="5520"/>
      <c r="DZ80" s="5520"/>
      <c r="EA80" s="5520"/>
      <c r="EB80" s="5520"/>
      <c r="EC80" s="5520"/>
      <c r="ED80" s="5520"/>
      <c r="EE80" s="5520"/>
      <c r="EF80" s="5520"/>
      <c r="EG80" s="5520"/>
      <c r="EH80" s="5520"/>
      <c r="EI80" s="5520"/>
      <c r="EJ80" s="5520"/>
      <c r="EK80" s="5520"/>
      <c r="EL80" s="5520"/>
      <c r="EM80" s="5520"/>
      <c r="EN80" s="5520"/>
      <c r="EO80" s="5520"/>
      <c r="EP80" s="5520"/>
      <c r="EQ80" s="5520"/>
      <c r="ER80" s="5520"/>
      <c r="ES80" s="5520"/>
      <c r="ET80" s="5520"/>
      <c r="EU80" s="5520"/>
      <c r="EV80" s="5520"/>
      <c r="EW80" s="5520"/>
      <c r="EX80" s="5520"/>
      <c r="EY80" s="5520"/>
      <c r="EZ80" s="5520"/>
      <c r="FA80" s="5521"/>
    </row>
    <row r="81" spans="1:157" s="2023" customFormat="1" ht="15" customHeight="1">
      <c r="A81" s="16051" t="s">
        <v>1105</v>
      </c>
      <c r="B81" s="16064" t="s">
        <v>1106</v>
      </c>
      <c r="C81" s="16064" t="s">
        <v>8071</v>
      </c>
      <c r="D81" s="16064" t="s">
        <v>1107</v>
      </c>
      <c r="E81" s="16064" t="s">
        <v>1108</v>
      </c>
      <c r="F81" s="16175" t="s">
        <v>1073</v>
      </c>
      <c r="G81" s="16177">
        <v>0</v>
      </c>
      <c r="H81" s="16049">
        <v>1</v>
      </c>
      <c r="I81" s="16049">
        <v>0</v>
      </c>
      <c r="J81" s="16049">
        <v>0</v>
      </c>
      <c r="K81" s="16049">
        <v>0</v>
      </c>
      <c r="L81" s="16049">
        <v>0</v>
      </c>
      <c r="M81" s="16049">
        <v>0</v>
      </c>
      <c r="N81" s="16049">
        <v>0</v>
      </c>
      <c r="O81" s="16049">
        <v>0</v>
      </c>
      <c r="P81" s="16049">
        <v>0</v>
      </c>
      <c r="Q81" s="16049">
        <v>0</v>
      </c>
      <c r="R81" s="5475" t="s">
        <v>10072</v>
      </c>
      <c r="S81" s="5476" t="s">
        <v>1109</v>
      </c>
      <c r="T81" s="5129"/>
      <c r="U81" s="5126"/>
      <c r="V81" s="5125"/>
      <c r="W81" s="5110"/>
      <c r="X81" s="5141"/>
      <c r="Y81" s="5141"/>
      <c r="Z81" s="5477"/>
      <c r="AA81" s="5477"/>
      <c r="AB81" s="5477"/>
      <c r="AC81" s="5477"/>
      <c r="AD81" s="5141"/>
      <c r="AE81" s="5141"/>
      <c r="AF81" s="5141"/>
      <c r="AG81" s="5141"/>
      <c r="AH81" s="5141"/>
      <c r="AI81" s="5141"/>
      <c r="AJ81" s="5141"/>
      <c r="AK81" s="5141"/>
      <c r="AL81" s="5141"/>
      <c r="AM81" s="5141"/>
      <c r="AN81" s="5141"/>
      <c r="AO81" s="5141"/>
      <c r="AP81" s="5141"/>
      <c r="AQ81" s="5141"/>
      <c r="AR81" s="5141"/>
      <c r="AS81" s="5141"/>
      <c r="AT81" s="5141"/>
      <c r="AU81" s="5141"/>
      <c r="AV81" s="5141"/>
      <c r="AW81" s="5141"/>
      <c r="AX81" s="5141"/>
      <c r="AY81" s="5141"/>
      <c r="AZ81" s="5141"/>
      <c r="BA81" s="5141"/>
      <c r="BB81" s="5141"/>
      <c r="BC81" s="5141"/>
      <c r="BD81" s="5141"/>
      <c r="BE81" s="5141"/>
      <c r="BF81" s="5141"/>
      <c r="BG81" s="5141"/>
      <c r="BH81" s="5141"/>
      <c r="BI81" s="5141"/>
      <c r="BJ81" s="5141"/>
      <c r="BK81" s="5141"/>
      <c r="BL81" s="5141"/>
      <c r="BM81" s="5141"/>
      <c r="BN81" s="5126">
        <v>1</v>
      </c>
      <c r="BO81" s="5125">
        <f>AVERAGE(BN81)</f>
        <v>1</v>
      </c>
      <c r="BP81" s="5110" t="s">
        <v>9667</v>
      </c>
      <c r="BQ81" s="5141"/>
      <c r="BR81" s="5141"/>
      <c r="BS81" s="5478">
        <v>0</v>
      </c>
      <c r="BT81" s="5478">
        <v>0</v>
      </c>
      <c r="BU81" s="5478">
        <v>0</v>
      </c>
      <c r="BV81" s="5478">
        <v>0</v>
      </c>
      <c r="BW81" s="5478"/>
      <c r="BX81" s="5478"/>
      <c r="BY81" s="5478"/>
      <c r="BZ81" s="5478"/>
      <c r="CA81" s="5478"/>
      <c r="CB81" s="5478"/>
      <c r="CC81" s="5478"/>
      <c r="CD81" s="5478"/>
      <c r="CE81" s="5478"/>
      <c r="CF81" s="5478"/>
      <c r="CG81" s="5478"/>
      <c r="CH81" s="5478"/>
      <c r="CI81" s="5478"/>
      <c r="CJ81" s="5478"/>
      <c r="CK81" s="5478"/>
      <c r="CL81" s="5478"/>
      <c r="CM81" s="5478"/>
      <c r="CN81" s="5478"/>
      <c r="CO81" s="5478"/>
      <c r="CP81" s="5478"/>
      <c r="CQ81" s="5478"/>
      <c r="CR81" s="5478"/>
      <c r="CS81" s="5478"/>
      <c r="CT81" s="5478"/>
      <c r="CU81" s="5478"/>
      <c r="CV81" s="5478"/>
      <c r="CW81" s="5478"/>
      <c r="CX81" s="5478"/>
      <c r="CY81" s="5478"/>
      <c r="CZ81" s="5478"/>
      <c r="DA81" s="5478"/>
      <c r="DB81" s="5478"/>
      <c r="DC81" s="5478"/>
      <c r="DD81" s="5478"/>
      <c r="DE81" s="5478"/>
      <c r="DF81" s="5478"/>
      <c r="DG81" s="5479"/>
      <c r="DH81" s="5479"/>
      <c r="DI81" s="5479"/>
      <c r="DJ81" s="5479"/>
      <c r="DK81" s="5479"/>
      <c r="DL81" s="5479"/>
      <c r="DM81" s="5479"/>
      <c r="DN81" s="5479"/>
      <c r="DO81" s="5479"/>
      <c r="DP81" s="5479"/>
      <c r="DQ81" s="5479"/>
      <c r="DR81" s="5479"/>
      <c r="DS81" s="5479"/>
      <c r="DT81" s="5479"/>
      <c r="DU81" s="5479"/>
      <c r="DV81" s="5479"/>
      <c r="DW81" s="5479"/>
      <c r="DX81" s="5479"/>
      <c r="DY81" s="5479"/>
      <c r="DZ81" s="5479"/>
      <c r="EA81" s="5479"/>
      <c r="EB81" s="5479"/>
      <c r="EC81" s="5479"/>
      <c r="ED81" s="5479"/>
      <c r="EE81" s="5479"/>
      <c r="EF81" s="5479"/>
      <c r="EG81" s="5479"/>
      <c r="EH81" s="5479"/>
      <c r="EI81" s="5479"/>
      <c r="EJ81" s="5479"/>
      <c r="EK81" s="5479"/>
      <c r="EL81" s="5479"/>
      <c r="EM81" s="5479"/>
      <c r="EN81" s="5479"/>
      <c r="EO81" s="5479"/>
      <c r="EP81" s="5479"/>
      <c r="EQ81" s="5479"/>
      <c r="ER81" s="5479"/>
      <c r="ES81" s="5479"/>
      <c r="ET81" s="5479"/>
      <c r="EU81" s="5479"/>
      <c r="EV81" s="5479"/>
      <c r="EW81" s="5479"/>
      <c r="EX81" s="5479"/>
      <c r="EY81" s="5479"/>
      <c r="EZ81" s="5479"/>
      <c r="FA81" s="5480"/>
    </row>
    <row r="82" spans="1:157" s="2023" customFormat="1" ht="15" customHeight="1">
      <c r="A82" s="16052"/>
      <c r="B82" s="16065"/>
      <c r="C82" s="16065"/>
      <c r="D82" s="16065"/>
      <c r="E82" s="16065"/>
      <c r="F82" s="16176"/>
      <c r="G82" s="16178"/>
      <c r="H82" s="16050"/>
      <c r="I82" s="16050"/>
      <c r="J82" s="16050"/>
      <c r="K82" s="16050"/>
      <c r="L82" s="16050"/>
      <c r="M82" s="16050"/>
      <c r="N82" s="16050"/>
      <c r="O82" s="16050"/>
      <c r="P82" s="16050"/>
      <c r="Q82" s="16050"/>
      <c r="R82" s="2762" t="s">
        <v>8575</v>
      </c>
      <c r="S82" s="5443"/>
      <c r="T82" s="5362" t="s">
        <v>1114</v>
      </c>
      <c r="U82" s="5363"/>
      <c r="V82" s="5364"/>
      <c r="W82" s="2750"/>
      <c r="X82" s="5365"/>
      <c r="Y82" s="5365"/>
      <c r="Z82" s="5366"/>
      <c r="AA82" s="5366"/>
      <c r="AB82" s="5366"/>
      <c r="AC82" s="5366"/>
      <c r="AD82" s="5365"/>
      <c r="AE82" s="5365"/>
      <c r="AF82" s="5365"/>
      <c r="AG82" s="5365"/>
      <c r="AH82" s="5365"/>
      <c r="AI82" s="5365"/>
      <c r="AJ82" s="5365"/>
      <c r="AK82" s="5365"/>
      <c r="AL82" s="5365"/>
      <c r="AM82" s="5365"/>
      <c r="AN82" s="5365"/>
      <c r="AO82" s="5365"/>
      <c r="AP82" s="5365"/>
      <c r="AQ82" s="5365"/>
      <c r="AR82" s="5365"/>
      <c r="AS82" s="5365"/>
      <c r="AT82" s="5365"/>
      <c r="AU82" s="5365"/>
      <c r="AV82" s="5365"/>
      <c r="AW82" s="5365"/>
      <c r="AX82" s="5365"/>
      <c r="AY82" s="5365"/>
      <c r="AZ82" s="5365"/>
      <c r="BA82" s="5365"/>
      <c r="BB82" s="5365"/>
      <c r="BC82" s="5365"/>
      <c r="BD82" s="5365"/>
      <c r="BE82" s="5365"/>
      <c r="BF82" s="5365"/>
      <c r="BG82" s="5365"/>
      <c r="BH82" s="5365"/>
      <c r="BI82" s="5365"/>
      <c r="BJ82" s="5365"/>
      <c r="BK82" s="5365"/>
      <c r="BL82" s="5365"/>
      <c r="BM82" s="5365"/>
      <c r="BN82" s="5363"/>
      <c r="BO82" s="5364"/>
      <c r="BP82" s="2750"/>
      <c r="BQ82" s="5365"/>
      <c r="BR82" s="5365"/>
      <c r="BS82" s="5367"/>
      <c r="BT82" s="5367"/>
      <c r="BU82" s="5367"/>
      <c r="BV82" s="5367"/>
      <c r="BW82" s="5367"/>
      <c r="BX82" s="5367"/>
      <c r="BY82" s="5367"/>
      <c r="BZ82" s="5367"/>
      <c r="CA82" s="5367"/>
      <c r="CB82" s="5367"/>
      <c r="CC82" s="5367"/>
      <c r="CD82" s="5367"/>
      <c r="CE82" s="5367"/>
      <c r="CF82" s="5367"/>
      <c r="CG82" s="5367"/>
      <c r="CH82" s="5367"/>
      <c r="CI82" s="5367"/>
      <c r="CJ82" s="5367"/>
      <c r="CK82" s="5367"/>
      <c r="CL82" s="5367"/>
      <c r="CM82" s="5367"/>
      <c r="CN82" s="5367"/>
      <c r="CO82" s="5367"/>
      <c r="CP82" s="5367"/>
      <c r="CQ82" s="5367"/>
      <c r="CR82" s="5367"/>
      <c r="CS82" s="5367"/>
      <c r="CT82" s="5367"/>
      <c r="CU82" s="5367"/>
      <c r="CV82" s="5367"/>
      <c r="CW82" s="5367"/>
      <c r="CX82" s="5367"/>
      <c r="CY82" s="5367"/>
      <c r="CZ82" s="5367"/>
      <c r="DA82" s="5367"/>
      <c r="DB82" s="5367"/>
      <c r="DC82" s="5367"/>
      <c r="DD82" s="5367"/>
      <c r="DE82" s="5367"/>
      <c r="DF82" s="5367"/>
      <c r="DG82" s="5458"/>
      <c r="DH82" s="5458"/>
      <c r="DI82" s="5458"/>
      <c r="DJ82" s="5458"/>
      <c r="DK82" s="5458"/>
      <c r="DL82" s="5458"/>
      <c r="DM82" s="5458"/>
      <c r="DN82" s="5458"/>
      <c r="DO82" s="5458"/>
      <c r="DP82" s="5458"/>
      <c r="DQ82" s="5458"/>
      <c r="DR82" s="5458"/>
      <c r="DS82" s="5458"/>
      <c r="DT82" s="5458"/>
      <c r="DU82" s="5458"/>
      <c r="DV82" s="5458"/>
      <c r="DW82" s="5458"/>
      <c r="DX82" s="5458"/>
      <c r="DY82" s="5458"/>
      <c r="DZ82" s="5458"/>
      <c r="EA82" s="5458"/>
      <c r="EB82" s="5458"/>
      <c r="EC82" s="5458"/>
      <c r="ED82" s="5458"/>
      <c r="EE82" s="5458"/>
      <c r="EF82" s="5458"/>
      <c r="EG82" s="5458"/>
      <c r="EH82" s="5458"/>
      <c r="EI82" s="5458"/>
      <c r="EJ82" s="5458"/>
      <c r="EK82" s="5458"/>
      <c r="EL82" s="5458"/>
      <c r="EM82" s="5458"/>
      <c r="EN82" s="5458"/>
      <c r="EO82" s="5458"/>
      <c r="EP82" s="5458"/>
      <c r="EQ82" s="5458"/>
      <c r="ER82" s="5458"/>
      <c r="ES82" s="5458"/>
      <c r="ET82" s="5458"/>
      <c r="EU82" s="5458"/>
      <c r="EV82" s="5458"/>
      <c r="EW82" s="5458"/>
      <c r="EX82" s="5458"/>
      <c r="EY82" s="5458"/>
      <c r="EZ82" s="5458"/>
      <c r="FA82" s="5469"/>
    </row>
    <row r="83" spans="1:157" s="2023" customFormat="1" ht="15" customHeight="1">
      <c r="A83" s="16052"/>
      <c r="B83" s="16065"/>
      <c r="C83" s="16065"/>
      <c r="D83" s="16065"/>
      <c r="E83" s="16065"/>
      <c r="F83" s="16176"/>
      <c r="G83" s="16178"/>
      <c r="H83" s="16050"/>
      <c r="I83" s="16050"/>
      <c r="J83" s="16050"/>
      <c r="K83" s="16050"/>
      <c r="L83" s="16050"/>
      <c r="M83" s="16050"/>
      <c r="N83" s="16050"/>
      <c r="O83" s="16050"/>
      <c r="P83" s="16050"/>
      <c r="Q83" s="16050"/>
      <c r="R83" s="2762" t="s">
        <v>10194</v>
      </c>
      <c r="S83" s="5443"/>
      <c r="T83" s="5362" t="s">
        <v>10253</v>
      </c>
      <c r="U83" s="5363"/>
      <c r="V83" s="5364"/>
      <c r="W83" s="2750"/>
      <c r="X83" s="5365"/>
      <c r="Y83" s="5365"/>
      <c r="Z83" s="5366"/>
      <c r="AA83" s="5366"/>
      <c r="AB83" s="5366"/>
      <c r="AC83" s="5366"/>
      <c r="AD83" s="5365"/>
      <c r="AE83" s="5365"/>
      <c r="AF83" s="5365"/>
      <c r="AG83" s="5365"/>
      <c r="AH83" s="5365"/>
      <c r="AI83" s="5365"/>
      <c r="AJ83" s="5365"/>
      <c r="AK83" s="5365"/>
      <c r="AL83" s="5365"/>
      <c r="AM83" s="5365"/>
      <c r="AN83" s="5365"/>
      <c r="AO83" s="5365"/>
      <c r="AP83" s="5365"/>
      <c r="AQ83" s="5365"/>
      <c r="AR83" s="5365"/>
      <c r="AS83" s="5365"/>
      <c r="AT83" s="5365"/>
      <c r="AU83" s="5365"/>
      <c r="AV83" s="5365"/>
      <c r="AW83" s="5365"/>
      <c r="AX83" s="5365"/>
      <c r="AY83" s="5365"/>
      <c r="AZ83" s="5365"/>
      <c r="BA83" s="5365"/>
      <c r="BB83" s="5365"/>
      <c r="BC83" s="5365"/>
      <c r="BD83" s="5365"/>
      <c r="BE83" s="5365"/>
      <c r="BF83" s="5365"/>
      <c r="BG83" s="5365"/>
      <c r="BH83" s="5365"/>
      <c r="BI83" s="5365"/>
      <c r="BJ83" s="5365"/>
      <c r="BK83" s="5365"/>
      <c r="BL83" s="5365"/>
      <c r="BM83" s="5365"/>
      <c r="BN83" s="5363"/>
      <c r="BO83" s="5364"/>
      <c r="BP83" s="2750"/>
      <c r="BQ83" s="5365"/>
      <c r="BR83" s="5365"/>
      <c r="BS83" s="5367"/>
      <c r="BT83" s="5367"/>
      <c r="BU83" s="5367"/>
      <c r="BV83" s="5367"/>
      <c r="BW83" s="5367"/>
      <c r="BX83" s="5367"/>
      <c r="BY83" s="5367"/>
      <c r="BZ83" s="5367"/>
      <c r="CA83" s="5367"/>
      <c r="CB83" s="5367"/>
      <c r="CC83" s="5367"/>
      <c r="CD83" s="5367"/>
      <c r="CE83" s="5367"/>
      <c r="CF83" s="5367"/>
      <c r="CG83" s="5367"/>
      <c r="CH83" s="5367"/>
      <c r="CI83" s="5367"/>
      <c r="CJ83" s="5367"/>
      <c r="CK83" s="5367"/>
      <c r="CL83" s="5367"/>
      <c r="CM83" s="5367"/>
      <c r="CN83" s="5367"/>
      <c r="CO83" s="5367"/>
      <c r="CP83" s="5367"/>
      <c r="CQ83" s="5367"/>
      <c r="CR83" s="5367"/>
      <c r="CS83" s="5367"/>
      <c r="CT83" s="5367"/>
      <c r="CU83" s="5367"/>
      <c r="CV83" s="5367"/>
      <c r="CW83" s="5367"/>
      <c r="CX83" s="5367"/>
      <c r="CY83" s="5367"/>
      <c r="CZ83" s="5367"/>
      <c r="DA83" s="5367"/>
      <c r="DB83" s="5367"/>
      <c r="DC83" s="5367"/>
      <c r="DD83" s="5367"/>
      <c r="DE83" s="5367"/>
      <c r="DF83" s="5367"/>
      <c r="DG83" s="5458"/>
      <c r="DH83" s="5458"/>
      <c r="DI83" s="5458"/>
      <c r="DJ83" s="5458"/>
      <c r="DK83" s="5458"/>
      <c r="DL83" s="5458"/>
      <c r="DM83" s="5458"/>
      <c r="DN83" s="5458"/>
      <c r="DO83" s="5458"/>
      <c r="DP83" s="5458"/>
      <c r="DQ83" s="5458"/>
      <c r="DR83" s="5458"/>
      <c r="DS83" s="5458"/>
      <c r="DT83" s="5458"/>
      <c r="DU83" s="5458"/>
      <c r="DV83" s="5458"/>
      <c r="DW83" s="5458"/>
      <c r="DX83" s="5458"/>
      <c r="DY83" s="5458"/>
      <c r="DZ83" s="5458"/>
      <c r="EA83" s="5458"/>
      <c r="EB83" s="5458"/>
      <c r="EC83" s="5458"/>
      <c r="ED83" s="5458"/>
      <c r="EE83" s="5458"/>
      <c r="EF83" s="5458"/>
      <c r="EG83" s="5458"/>
      <c r="EH83" s="5458"/>
      <c r="EI83" s="5458"/>
      <c r="EJ83" s="5458"/>
      <c r="EK83" s="5458"/>
      <c r="EL83" s="5458"/>
      <c r="EM83" s="5458"/>
      <c r="EN83" s="5458"/>
      <c r="EO83" s="5458"/>
      <c r="EP83" s="5458"/>
      <c r="EQ83" s="5458"/>
      <c r="ER83" s="5458"/>
      <c r="ES83" s="5458"/>
      <c r="ET83" s="5458"/>
      <c r="EU83" s="5458"/>
      <c r="EV83" s="5458"/>
      <c r="EW83" s="5458"/>
      <c r="EX83" s="5458"/>
      <c r="EY83" s="5458"/>
      <c r="EZ83" s="5458"/>
      <c r="FA83" s="5469"/>
    </row>
    <row r="84" spans="1:157" s="2023" customFormat="1" ht="15" customHeight="1">
      <c r="A84" s="16052"/>
      <c r="B84" s="16065"/>
      <c r="C84" s="16065"/>
      <c r="D84" s="16065"/>
      <c r="E84" s="16065"/>
      <c r="F84" s="16176"/>
      <c r="G84" s="16178"/>
      <c r="H84" s="16050"/>
      <c r="I84" s="16050"/>
      <c r="J84" s="16050"/>
      <c r="K84" s="16050"/>
      <c r="L84" s="16050"/>
      <c r="M84" s="16050"/>
      <c r="N84" s="16050"/>
      <c r="O84" s="16050"/>
      <c r="P84" s="16050"/>
      <c r="Q84" s="16050"/>
      <c r="R84" s="2762" t="s">
        <v>10251</v>
      </c>
      <c r="S84" s="5443"/>
      <c r="T84" s="5362" t="s">
        <v>10252</v>
      </c>
      <c r="U84" s="5363"/>
      <c r="V84" s="16179"/>
      <c r="W84" s="5362"/>
      <c r="X84" s="5365"/>
      <c r="Y84" s="5365"/>
      <c r="Z84" s="5366"/>
      <c r="AA84" s="5366"/>
      <c r="AB84" s="5366"/>
      <c r="AC84" s="5366"/>
      <c r="AD84" s="5365"/>
      <c r="AE84" s="5365"/>
      <c r="AF84" s="5365"/>
      <c r="AG84" s="5365"/>
      <c r="AH84" s="5365"/>
      <c r="AI84" s="5365"/>
      <c r="AJ84" s="5365"/>
      <c r="AK84" s="5365"/>
      <c r="AL84" s="5365"/>
      <c r="AM84" s="5365"/>
      <c r="AN84" s="5365"/>
      <c r="AO84" s="5365"/>
      <c r="AP84" s="5365"/>
      <c r="AQ84" s="5365"/>
      <c r="AR84" s="5365"/>
      <c r="AS84" s="5365"/>
      <c r="AT84" s="5365"/>
      <c r="AU84" s="5365"/>
      <c r="AV84" s="5365"/>
      <c r="AW84" s="5365"/>
      <c r="AX84" s="5365"/>
      <c r="AY84" s="5365"/>
      <c r="AZ84" s="5365"/>
      <c r="BA84" s="5365"/>
      <c r="BB84" s="5365"/>
      <c r="BC84" s="5365"/>
      <c r="BD84" s="5365"/>
      <c r="BE84" s="5365"/>
      <c r="BF84" s="5365"/>
      <c r="BG84" s="5365"/>
      <c r="BH84" s="5365"/>
      <c r="BI84" s="5365"/>
      <c r="BJ84" s="5365"/>
      <c r="BK84" s="5365"/>
      <c r="BL84" s="5365"/>
      <c r="BM84" s="5365"/>
      <c r="BN84" s="5363">
        <v>0</v>
      </c>
      <c r="BO84" s="16144">
        <f>AVERAGE(BN84:BN92)</f>
        <v>0</v>
      </c>
      <c r="BP84" s="5362" t="s">
        <v>9492</v>
      </c>
      <c r="BQ84" s="5365"/>
      <c r="BR84" s="5365"/>
      <c r="BS84" s="5367">
        <v>0</v>
      </c>
      <c r="BT84" s="5367">
        <v>0</v>
      </c>
      <c r="BU84" s="5367">
        <v>0</v>
      </c>
      <c r="BV84" s="5367">
        <v>0</v>
      </c>
      <c r="BW84" s="5367"/>
      <c r="BX84" s="5367"/>
      <c r="BY84" s="5367"/>
      <c r="BZ84" s="5367"/>
      <c r="CA84" s="5367"/>
      <c r="CB84" s="5367"/>
      <c r="CC84" s="5367"/>
      <c r="CD84" s="5367"/>
      <c r="CE84" s="5367"/>
      <c r="CF84" s="5367"/>
      <c r="CG84" s="5367"/>
      <c r="CH84" s="5367"/>
      <c r="CI84" s="5367"/>
      <c r="CJ84" s="5367"/>
      <c r="CK84" s="5367"/>
      <c r="CL84" s="5367"/>
      <c r="CM84" s="5367"/>
      <c r="CN84" s="5367"/>
      <c r="CO84" s="5367"/>
      <c r="CP84" s="5367"/>
      <c r="CQ84" s="5367"/>
      <c r="CR84" s="5367"/>
      <c r="CS84" s="5367"/>
      <c r="CT84" s="5367"/>
      <c r="CU84" s="5367"/>
      <c r="CV84" s="5367"/>
      <c r="CW84" s="5367"/>
      <c r="CX84" s="5367"/>
      <c r="CY84" s="5367"/>
      <c r="CZ84" s="5367"/>
      <c r="DA84" s="5367"/>
      <c r="DB84" s="5367"/>
      <c r="DC84" s="5367"/>
      <c r="DD84" s="5367"/>
      <c r="DE84" s="5367"/>
      <c r="DF84" s="5367"/>
      <c r="DG84" s="5458"/>
      <c r="DH84" s="5458"/>
      <c r="DI84" s="5458"/>
      <c r="DJ84" s="5458"/>
      <c r="DK84" s="5458"/>
      <c r="DL84" s="5458"/>
      <c r="DM84" s="5458"/>
      <c r="DN84" s="5458"/>
      <c r="DO84" s="5458"/>
      <c r="DP84" s="5458"/>
      <c r="DQ84" s="5458"/>
      <c r="DR84" s="5458"/>
      <c r="DS84" s="5458"/>
      <c r="DT84" s="5458"/>
      <c r="DU84" s="5458"/>
      <c r="DV84" s="5458"/>
      <c r="DW84" s="5458"/>
      <c r="DX84" s="5458"/>
      <c r="DY84" s="5458"/>
      <c r="DZ84" s="5458"/>
      <c r="EA84" s="5458"/>
      <c r="EB84" s="5458"/>
      <c r="EC84" s="5458"/>
      <c r="ED84" s="5458"/>
      <c r="EE84" s="5458"/>
      <c r="EF84" s="5458"/>
      <c r="EG84" s="5458"/>
      <c r="EH84" s="5458"/>
      <c r="EI84" s="5458"/>
      <c r="EJ84" s="5458"/>
      <c r="EK84" s="5458"/>
      <c r="EL84" s="5458"/>
      <c r="EM84" s="5458"/>
      <c r="EN84" s="5458"/>
      <c r="EO84" s="5458"/>
      <c r="EP84" s="5458"/>
      <c r="EQ84" s="5458"/>
      <c r="ER84" s="5458"/>
      <c r="ES84" s="5458"/>
      <c r="ET84" s="5458"/>
      <c r="EU84" s="5458"/>
      <c r="EV84" s="5458"/>
      <c r="EW84" s="5458"/>
      <c r="EX84" s="5458"/>
      <c r="EY84" s="5458"/>
      <c r="EZ84" s="5458"/>
      <c r="FA84" s="5469"/>
    </row>
    <row r="85" spans="1:157" s="2024" customFormat="1" ht="15" customHeight="1">
      <c r="A85" s="16078" t="s">
        <v>1110</v>
      </c>
      <c r="B85" s="16053" t="s">
        <v>1111</v>
      </c>
      <c r="C85" s="16053" t="s">
        <v>8072</v>
      </c>
      <c r="D85" s="16053" t="s">
        <v>1112</v>
      </c>
      <c r="E85" s="16053" t="s">
        <v>1113</v>
      </c>
      <c r="F85" s="16173" t="s">
        <v>1073</v>
      </c>
      <c r="G85" s="16174">
        <v>0</v>
      </c>
      <c r="H85" s="16041">
        <v>1</v>
      </c>
      <c r="I85" s="16041">
        <v>0</v>
      </c>
      <c r="J85" s="16041">
        <v>0</v>
      </c>
      <c r="K85" s="16041">
        <v>0</v>
      </c>
      <c r="L85" s="16041">
        <v>0</v>
      </c>
      <c r="M85" s="16041">
        <v>0</v>
      </c>
      <c r="N85" s="16041">
        <v>0</v>
      </c>
      <c r="O85" s="16041">
        <v>0</v>
      </c>
      <c r="P85" s="16041">
        <v>0</v>
      </c>
      <c r="Q85" s="16041">
        <v>0</v>
      </c>
      <c r="R85" s="5441" t="s">
        <v>10072</v>
      </c>
      <c r="S85" s="5442" t="s">
        <v>968</v>
      </c>
      <c r="T85" s="5368"/>
      <c r="U85" s="5369"/>
      <c r="V85" s="16179"/>
      <c r="W85" s="5370"/>
      <c r="X85" s="5370"/>
      <c r="Y85" s="5370"/>
      <c r="Z85" s="5371"/>
      <c r="AA85" s="5371"/>
      <c r="AB85" s="5371"/>
      <c r="AC85" s="5371"/>
      <c r="AD85" s="5370"/>
      <c r="AE85" s="5370"/>
      <c r="AF85" s="5370"/>
      <c r="AG85" s="5370"/>
      <c r="AH85" s="5370"/>
      <c r="AI85" s="5370"/>
      <c r="AJ85" s="5370"/>
      <c r="AK85" s="5370"/>
      <c r="AL85" s="5370"/>
      <c r="AM85" s="5370"/>
      <c r="AN85" s="5370"/>
      <c r="AO85" s="5370"/>
      <c r="AP85" s="5370"/>
      <c r="AQ85" s="5370"/>
      <c r="AR85" s="5370"/>
      <c r="AS85" s="5370"/>
      <c r="AT85" s="5370"/>
      <c r="AU85" s="5370"/>
      <c r="AV85" s="5370"/>
      <c r="AW85" s="5370"/>
      <c r="AX85" s="5370"/>
      <c r="AY85" s="5370"/>
      <c r="AZ85" s="5370"/>
      <c r="BA85" s="5370"/>
      <c r="BB85" s="5370"/>
      <c r="BC85" s="5370"/>
      <c r="BD85" s="5370"/>
      <c r="BE85" s="5370"/>
      <c r="BF85" s="5370"/>
      <c r="BG85" s="5370"/>
      <c r="BH85" s="5370"/>
      <c r="BI85" s="5370"/>
      <c r="BJ85" s="5370"/>
      <c r="BK85" s="5370"/>
      <c r="BL85" s="5370"/>
      <c r="BM85" s="5370"/>
      <c r="BN85" s="5369">
        <v>0</v>
      </c>
      <c r="BO85" s="16144"/>
      <c r="BP85" s="5370"/>
      <c r="BQ85" s="5370"/>
      <c r="BR85" s="5370"/>
      <c r="BS85" s="5372">
        <v>0</v>
      </c>
      <c r="BT85" s="5372">
        <v>0</v>
      </c>
      <c r="BU85" s="5372">
        <v>0</v>
      </c>
      <c r="BV85" s="5372">
        <v>0</v>
      </c>
      <c r="BW85" s="5372"/>
      <c r="BX85" s="5372"/>
      <c r="BY85" s="5372"/>
      <c r="BZ85" s="5372"/>
      <c r="CA85" s="5372"/>
      <c r="CB85" s="5372"/>
      <c r="CC85" s="5372"/>
      <c r="CD85" s="5372"/>
      <c r="CE85" s="5372"/>
      <c r="CF85" s="5372"/>
      <c r="CG85" s="5372"/>
      <c r="CH85" s="5372"/>
      <c r="CI85" s="5372"/>
      <c r="CJ85" s="5372"/>
      <c r="CK85" s="5372"/>
      <c r="CL85" s="5372"/>
      <c r="CM85" s="5372"/>
      <c r="CN85" s="5372"/>
      <c r="CO85" s="5372"/>
      <c r="CP85" s="5372"/>
      <c r="CQ85" s="5372"/>
      <c r="CR85" s="5372"/>
      <c r="CS85" s="5372"/>
      <c r="CT85" s="5372"/>
      <c r="CU85" s="5372"/>
      <c r="CV85" s="5372"/>
      <c r="CW85" s="5372"/>
      <c r="CX85" s="5372"/>
      <c r="CY85" s="5372"/>
      <c r="CZ85" s="5372"/>
      <c r="DA85" s="5372"/>
      <c r="DB85" s="5372"/>
      <c r="DC85" s="5372"/>
      <c r="DD85" s="5372"/>
      <c r="DE85" s="5372"/>
      <c r="DF85" s="5372"/>
      <c r="DG85" s="5459"/>
      <c r="DH85" s="5459"/>
      <c r="DI85" s="5459"/>
      <c r="DJ85" s="5459"/>
      <c r="DK85" s="5459"/>
      <c r="DL85" s="5459"/>
      <c r="DM85" s="5459"/>
      <c r="DN85" s="5459"/>
      <c r="DO85" s="5459"/>
      <c r="DP85" s="5459"/>
      <c r="DQ85" s="5459"/>
      <c r="DR85" s="5459"/>
      <c r="DS85" s="5459"/>
      <c r="DT85" s="5459"/>
      <c r="DU85" s="5459"/>
      <c r="DV85" s="5459"/>
      <c r="DW85" s="5459"/>
      <c r="DX85" s="5459"/>
      <c r="DY85" s="5459"/>
      <c r="DZ85" s="5459"/>
      <c r="EA85" s="5459"/>
      <c r="EB85" s="5459"/>
      <c r="EC85" s="5459"/>
      <c r="ED85" s="5459"/>
      <c r="EE85" s="5459"/>
      <c r="EF85" s="5459"/>
      <c r="EG85" s="5459"/>
      <c r="EH85" s="5459"/>
      <c r="EI85" s="5459"/>
      <c r="EJ85" s="5459"/>
      <c r="EK85" s="5459"/>
      <c r="EL85" s="5459"/>
      <c r="EM85" s="5459"/>
      <c r="EN85" s="5459"/>
      <c r="EO85" s="5459"/>
      <c r="EP85" s="5459"/>
      <c r="EQ85" s="5459"/>
      <c r="ER85" s="5459"/>
      <c r="ES85" s="5459"/>
      <c r="ET85" s="5459"/>
      <c r="EU85" s="5459"/>
      <c r="EV85" s="5459"/>
      <c r="EW85" s="5459"/>
      <c r="EX85" s="5459"/>
      <c r="EY85" s="5459"/>
      <c r="EZ85" s="5459"/>
      <c r="FA85" s="5470"/>
    </row>
    <row r="86" spans="1:157" s="2024" customFormat="1" ht="15" customHeight="1">
      <c r="A86" s="16078"/>
      <c r="B86" s="16053"/>
      <c r="C86" s="16053"/>
      <c r="D86" s="16053"/>
      <c r="E86" s="16053"/>
      <c r="F86" s="16173"/>
      <c r="G86" s="16174"/>
      <c r="H86" s="16041"/>
      <c r="I86" s="16041"/>
      <c r="J86" s="16041"/>
      <c r="K86" s="16041"/>
      <c r="L86" s="16041"/>
      <c r="M86" s="16041"/>
      <c r="N86" s="16041"/>
      <c r="O86" s="16041"/>
      <c r="P86" s="16041"/>
      <c r="Q86" s="16041"/>
      <c r="R86" s="5441" t="s">
        <v>8575</v>
      </c>
      <c r="S86" s="5442"/>
      <c r="T86" s="5368" t="s">
        <v>1114</v>
      </c>
      <c r="U86" s="5369"/>
      <c r="V86" s="16179"/>
      <c r="W86" s="5368"/>
      <c r="X86" s="5370"/>
      <c r="Y86" s="5370"/>
      <c r="Z86" s="5371"/>
      <c r="AA86" s="5371"/>
      <c r="AB86" s="5371"/>
      <c r="AC86" s="5371"/>
      <c r="AD86" s="5370"/>
      <c r="AE86" s="5370"/>
      <c r="AF86" s="5370"/>
      <c r="AG86" s="5370"/>
      <c r="AH86" s="5370"/>
      <c r="AI86" s="5370"/>
      <c r="AJ86" s="5370"/>
      <c r="AK86" s="5370"/>
      <c r="AL86" s="5370"/>
      <c r="AM86" s="5370"/>
      <c r="AN86" s="5370"/>
      <c r="AO86" s="5370"/>
      <c r="AP86" s="5370"/>
      <c r="AQ86" s="5370"/>
      <c r="AR86" s="5370"/>
      <c r="AS86" s="5370"/>
      <c r="AT86" s="5370"/>
      <c r="AU86" s="5370"/>
      <c r="AV86" s="5370"/>
      <c r="AW86" s="5370"/>
      <c r="AX86" s="5370"/>
      <c r="AY86" s="5370"/>
      <c r="AZ86" s="5370"/>
      <c r="BA86" s="5370"/>
      <c r="BB86" s="5370"/>
      <c r="BC86" s="5370"/>
      <c r="BD86" s="5370"/>
      <c r="BE86" s="5370"/>
      <c r="BF86" s="5370"/>
      <c r="BG86" s="5370"/>
      <c r="BH86" s="5370"/>
      <c r="BI86" s="5370"/>
      <c r="BJ86" s="5370"/>
      <c r="BK86" s="5370"/>
      <c r="BL86" s="5370"/>
      <c r="BM86" s="5370"/>
      <c r="BN86" s="5369">
        <v>0</v>
      </c>
      <c r="BO86" s="16144"/>
      <c r="BP86" s="5368" t="s">
        <v>9492</v>
      </c>
      <c r="BQ86" s="5370"/>
      <c r="BR86" s="5370"/>
      <c r="BS86" s="5372">
        <v>0</v>
      </c>
      <c r="BT86" s="5372">
        <v>0</v>
      </c>
      <c r="BU86" s="5372">
        <v>0</v>
      </c>
      <c r="BV86" s="5372">
        <v>0</v>
      </c>
      <c r="BW86" s="5372"/>
      <c r="BX86" s="5372"/>
      <c r="BY86" s="5372"/>
      <c r="BZ86" s="5372"/>
      <c r="CA86" s="5372"/>
      <c r="CB86" s="5372"/>
      <c r="CC86" s="5372"/>
      <c r="CD86" s="5372"/>
      <c r="CE86" s="5372"/>
      <c r="CF86" s="5372"/>
      <c r="CG86" s="5372"/>
      <c r="CH86" s="5372"/>
      <c r="CI86" s="5372"/>
      <c r="CJ86" s="5372"/>
      <c r="CK86" s="5372"/>
      <c r="CL86" s="5372"/>
      <c r="CM86" s="5372"/>
      <c r="CN86" s="5372"/>
      <c r="CO86" s="5372"/>
      <c r="CP86" s="5372"/>
      <c r="CQ86" s="5372"/>
      <c r="CR86" s="5372"/>
      <c r="CS86" s="5372"/>
      <c r="CT86" s="5372"/>
      <c r="CU86" s="5372"/>
      <c r="CV86" s="5372"/>
      <c r="CW86" s="5372"/>
      <c r="CX86" s="5372"/>
      <c r="CY86" s="5372"/>
      <c r="CZ86" s="5372"/>
      <c r="DA86" s="5372"/>
      <c r="DB86" s="5372"/>
      <c r="DC86" s="5372"/>
      <c r="DD86" s="5372"/>
      <c r="DE86" s="5372"/>
      <c r="DF86" s="5372"/>
      <c r="DG86" s="5459"/>
      <c r="DH86" s="5459"/>
      <c r="DI86" s="5459"/>
      <c r="DJ86" s="5459"/>
      <c r="DK86" s="5459"/>
      <c r="DL86" s="5459"/>
      <c r="DM86" s="5459"/>
      <c r="DN86" s="5459"/>
      <c r="DO86" s="5459"/>
      <c r="DP86" s="5459"/>
      <c r="DQ86" s="5459"/>
      <c r="DR86" s="5459"/>
      <c r="DS86" s="5459"/>
      <c r="DT86" s="5459"/>
      <c r="DU86" s="5459"/>
      <c r="DV86" s="5459"/>
      <c r="DW86" s="5459"/>
      <c r="DX86" s="5459"/>
      <c r="DY86" s="5459"/>
      <c r="DZ86" s="5459"/>
      <c r="EA86" s="5459"/>
      <c r="EB86" s="5459"/>
      <c r="EC86" s="5459"/>
      <c r="ED86" s="5459"/>
      <c r="EE86" s="5459"/>
      <c r="EF86" s="5459"/>
      <c r="EG86" s="5459"/>
      <c r="EH86" s="5459"/>
      <c r="EI86" s="5459"/>
      <c r="EJ86" s="5459"/>
      <c r="EK86" s="5459"/>
      <c r="EL86" s="5459"/>
      <c r="EM86" s="5459"/>
      <c r="EN86" s="5459"/>
      <c r="EO86" s="5459"/>
      <c r="EP86" s="5459"/>
      <c r="EQ86" s="5459"/>
      <c r="ER86" s="5459"/>
      <c r="ES86" s="5459"/>
      <c r="ET86" s="5459"/>
      <c r="EU86" s="5459"/>
      <c r="EV86" s="5459"/>
      <c r="EW86" s="5459"/>
      <c r="EX86" s="5459"/>
      <c r="EY86" s="5459"/>
      <c r="EZ86" s="5459"/>
      <c r="FA86" s="5470"/>
    </row>
    <row r="87" spans="1:157" s="2024" customFormat="1" ht="15" customHeight="1">
      <c r="A87" s="16078"/>
      <c r="B87" s="16053"/>
      <c r="C87" s="16053" t="s">
        <v>8073</v>
      </c>
      <c r="D87" s="16053" t="s">
        <v>1115</v>
      </c>
      <c r="E87" s="16053" t="s">
        <v>1116</v>
      </c>
      <c r="F87" s="16173" t="s">
        <v>1073</v>
      </c>
      <c r="G87" s="16174">
        <v>0</v>
      </c>
      <c r="H87" s="16041">
        <v>1</v>
      </c>
      <c r="I87" s="16041">
        <v>1</v>
      </c>
      <c r="J87" s="16041">
        <v>1</v>
      </c>
      <c r="K87" s="16041">
        <v>1</v>
      </c>
      <c r="L87" s="16041">
        <v>1</v>
      </c>
      <c r="M87" s="16041">
        <v>1</v>
      </c>
      <c r="N87" s="16041">
        <v>1</v>
      </c>
      <c r="O87" s="16041">
        <v>1</v>
      </c>
      <c r="P87" s="16041">
        <v>1</v>
      </c>
      <c r="Q87" s="16041">
        <v>1</v>
      </c>
      <c r="R87" s="5441" t="s">
        <v>10072</v>
      </c>
      <c r="S87" s="5442" t="s">
        <v>1117</v>
      </c>
      <c r="T87" s="5368"/>
      <c r="U87" s="5369"/>
      <c r="V87" s="16179"/>
      <c r="W87" s="5370"/>
      <c r="X87" s="5370"/>
      <c r="Y87" s="5370"/>
      <c r="Z87" s="5371"/>
      <c r="AA87" s="5371"/>
      <c r="AB87" s="5371"/>
      <c r="AC87" s="5371"/>
      <c r="AD87" s="5370"/>
      <c r="AE87" s="5370"/>
      <c r="AF87" s="5370"/>
      <c r="AG87" s="5370"/>
      <c r="AH87" s="5370"/>
      <c r="AI87" s="5370"/>
      <c r="AJ87" s="5370"/>
      <c r="AK87" s="5370"/>
      <c r="AL87" s="5370"/>
      <c r="AM87" s="5370"/>
      <c r="AN87" s="5370"/>
      <c r="AO87" s="5370"/>
      <c r="AP87" s="5370"/>
      <c r="AQ87" s="5370"/>
      <c r="AR87" s="5370"/>
      <c r="AS87" s="5370"/>
      <c r="AT87" s="5370"/>
      <c r="AU87" s="5370"/>
      <c r="AV87" s="5370"/>
      <c r="AW87" s="5370"/>
      <c r="AX87" s="5370"/>
      <c r="AY87" s="5370"/>
      <c r="AZ87" s="5370"/>
      <c r="BA87" s="5370"/>
      <c r="BB87" s="5370"/>
      <c r="BC87" s="5370"/>
      <c r="BD87" s="5370"/>
      <c r="BE87" s="5370"/>
      <c r="BF87" s="5370"/>
      <c r="BG87" s="5370"/>
      <c r="BH87" s="5370"/>
      <c r="BI87" s="5370"/>
      <c r="BJ87" s="5370"/>
      <c r="BK87" s="5370"/>
      <c r="BL87" s="5370"/>
      <c r="BM87" s="5370"/>
      <c r="BN87" s="5369">
        <v>0</v>
      </c>
      <c r="BO87" s="16144"/>
      <c r="BP87" s="5370"/>
      <c r="BQ87" s="5370"/>
      <c r="BR87" s="5370"/>
      <c r="BS87" s="5372">
        <v>0</v>
      </c>
      <c r="BT87" s="5372">
        <v>0</v>
      </c>
      <c r="BU87" s="5372">
        <v>0</v>
      </c>
      <c r="BV87" s="5372">
        <v>0</v>
      </c>
      <c r="BW87" s="5372"/>
      <c r="BX87" s="5372"/>
      <c r="BY87" s="5372"/>
      <c r="BZ87" s="5372"/>
      <c r="CA87" s="5372"/>
      <c r="CB87" s="5372"/>
      <c r="CC87" s="5372"/>
      <c r="CD87" s="5372"/>
      <c r="CE87" s="5372"/>
      <c r="CF87" s="5372"/>
      <c r="CG87" s="5372"/>
      <c r="CH87" s="5372"/>
      <c r="CI87" s="5372"/>
      <c r="CJ87" s="5372"/>
      <c r="CK87" s="5372"/>
      <c r="CL87" s="5372"/>
      <c r="CM87" s="5372"/>
      <c r="CN87" s="5372"/>
      <c r="CO87" s="5372"/>
      <c r="CP87" s="5372"/>
      <c r="CQ87" s="5372"/>
      <c r="CR87" s="5372"/>
      <c r="CS87" s="5372"/>
      <c r="CT87" s="5372"/>
      <c r="CU87" s="5372"/>
      <c r="CV87" s="5372"/>
      <c r="CW87" s="5372"/>
      <c r="CX87" s="5372"/>
      <c r="CY87" s="5372"/>
      <c r="CZ87" s="5372"/>
      <c r="DA87" s="5372"/>
      <c r="DB87" s="5372"/>
      <c r="DC87" s="5372"/>
      <c r="DD87" s="5372"/>
      <c r="DE87" s="5372"/>
      <c r="DF87" s="5372"/>
      <c r="DG87" s="5459"/>
      <c r="DH87" s="5459"/>
      <c r="DI87" s="5459"/>
      <c r="DJ87" s="5459"/>
      <c r="DK87" s="5459"/>
      <c r="DL87" s="5459"/>
      <c r="DM87" s="5459"/>
      <c r="DN87" s="5459"/>
      <c r="DO87" s="5459"/>
      <c r="DP87" s="5459"/>
      <c r="DQ87" s="5459"/>
      <c r="DR87" s="5459"/>
      <c r="DS87" s="5459"/>
      <c r="DT87" s="5459"/>
      <c r="DU87" s="5459"/>
      <c r="DV87" s="5459"/>
      <c r="DW87" s="5459"/>
      <c r="DX87" s="5459"/>
      <c r="DY87" s="5459"/>
      <c r="DZ87" s="5459"/>
      <c r="EA87" s="5459"/>
      <c r="EB87" s="5459"/>
      <c r="EC87" s="5459"/>
      <c r="ED87" s="5459"/>
      <c r="EE87" s="5459"/>
      <c r="EF87" s="5459"/>
      <c r="EG87" s="5459"/>
      <c r="EH87" s="5459"/>
      <c r="EI87" s="5459"/>
      <c r="EJ87" s="5459"/>
      <c r="EK87" s="5459"/>
      <c r="EL87" s="5459"/>
      <c r="EM87" s="5459"/>
      <c r="EN87" s="5459"/>
      <c r="EO87" s="5459"/>
      <c r="EP87" s="5459"/>
      <c r="EQ87" s="5459"/>
      <c r="ER87" s="5459"/>
      <c r="ES87" s="5459"/>
      <c r="ET87" s="5459"/>
      <c r="EU87" s="5459"/>
      <c r="EV87" s="5459"/>
      <c r="EW87" s="5459"/>
      <c r="EX87" s="5459"/>
      <c r="EY87" s="5459"/>
      <c r="EZ87" s="5459"/>
      <c r="FA87" s="5470"/>
    </row>
    <row r="88" spans="1:157" s="2024" customFormat="1" ht="15" customHeight="1">
      <c r="A88" s="16078"/>
      <c r="B88" s="16053"/>
      <c r="C88" s="16053"/>
      <c r="D88" s="16053"/>
      <c r="E88" s="16053"/>
      <c r="F88" s="16173"/>
      <c r="G88" s="16174"/>
      <c r="H88" s="16041"/>
      <c r="I88" s="16041"/>
      <c r="J88" s="16041"/>
      <c r="K88" s="16041"/>
      <c r="L88" s="16041"/>
      <c r="M88" s="16041"/>
      <c r="N88" s="16041"/>
      <c r="O88" s="16041"/>
      <c r="P88" s="16041"/>
      <c r="Q88" s="16041"/>
      <c r="R88" s="5441" t="s">
        <v>8575</v>
      </c>
      <c r="S88" s="5442"/>
      <c r="T88" s="5368" t="s">
        <v>10254</v>
      </c>
      <c r="U88" s="5369"/>
      <c r="V88" s="16179"/>
      <c r="W88" s="5370"/>
      <c r="X88" s="5370"/>
      <c r="Y88" s="5370"/>
      <c r="Z88" s="5371"/>
      <c r="AA88" s="5371"/>
      <c r="AB88" s="5371"/>
      <c r="AC88" s="5371"/>
      <c r="AD88" s="5370"/>
      <c r="AE88" s="5370"/>
      <c r="AF88" s="5370"/>
      <c r="AG88" s="5370"/>
      <c r="AH88" s="5370"/>
      <c r="AI88" s="5370"/>
      <c r="AJ88" s="5370"/>
      <c r="AK88" s="5370"/>
      <c r="AL88" s="5370"/>
      <c r="AM88" s="5370"/>
      <c r="AN88" s="5370"/>
      <c r="AO88" s="5370"/>
      <c r="AP88" s="5370"/>
      <c r="AQ88" s="5370"/>
      <c r="AR88" s="5370"/>
      <c r="AS88" s="5370"/>
      <c r="AT88" s="5370"/>
      <c r="AU88" s="5370"/>
      <c r="AV88" s="5370"/>
      <c r="AW88" s="5370"/>
      <c r="AX88" s="5370"/>
      <c r="AY88" s="5370"/>
      <c r="AZ88" s="5370"/>
      <c r="BA88" s="5370"/>
      <c r="BB88" s="5370"/>
      <c r="BC88" s="5370"/>
      <c r="BD88" s="5370"/>
      <c r="BE88" s="5370"/>
      <c r="BF88" s="5370"/>
      <c r="BG88" s="5370"/>
      <c r="BH88" s="5370"/>
      <c r="BI88" s="5370"/>
      <c r="BJ88" s="5370"/>
      <c r="BK88" s="5370"/>
      <c r="BL88" s="5370"/>
      <c r="BM88" s="5370"/>
      <c r="BN88" s="5369"/>
      <c r="BO88" s="16144"/>
      <c r="BP88" s="5370"/>
      <c r="BQ88" s="5370"/>
      <c r="BR88" s="5370"/>
      <c r="BS88" s="5372"/>
      <c r="BT88" s="5372"/>
      <c r="BU88" s="5372"/>
      <c r="BV88" s="5372"/>
      <c r="BW88" s="5372"/>
      <c r="BX88" s="5372"/>
      <c r="BY88" s="5372"/>
      <c r="BZ88" s="5372"/>
      <c r="CA88" s="5372"/>
      <c r="CB88" s="5372"/>
      <c r="CC88" s="5372"/>
      <c r="CD88" s="5372"/>
      <c r="CE88" s="5372"/>
      <c r="CF88" s="5372"/>
      <c r="CG88" s="5372"/>
      <c r="CH88" s="5372"/>
      <c r="CI88" s="5372"/>
      <c r="CJ88" s="5372"/>
      <c r="CK88" s="5372"/>
      <c r="CL88" s="5372"/>
      <c r="CM88" s="5372"/>
      <c r="CN88" s="5372"/>
      <c r="CO88" s="5372"/>
      <c r="CP88" s="5372"/>
      <c r="CQ88" s="5372"/>
      <c r="CR88" s="5372"/>
      <c r="CS88" s="5372"/>
      <c r="CT88" s="5372"/>
      <c r="CU88" s="5372"/>
      <c r="CV88" s="5372"/>
      <c r="CW88" s="5372"/>
      <c r="CX88" s="5372"/>
      <c r="CY88" s="5372"/>
      <c r="CZ88" s="5372"/>
      <c r="DA88" s="5372"/>
      <c r="DB88" s="5372"/>
      <c r="DC88" s="5372"/>
      <c r="DD88" s="5372"/>
      <c r="DE88" s="5372"/>
      <c r="DF88" s="5372"/>
      <c r="DG88" s="5459"/>
      <c r="DH88" s="5459"/>
      <c r="DI88" s="5459"/>
      <c r="DJ88" s="5459"/>
      <c r="DK88" s="5459"/>
      <c r="DL88" s="5459"/>
      <c r="DM88" s="5459"/>
      <c r="DN88" s="5459"/>
      <c r="DO88" s="5459"/>
      <c r="DP88" s="5459"/>
      <c r="DQ88" s="5459"/>
      <c r="DR88" s="5459"/>
      <c r="DS88" s="5459"/>
      <c r="DT88" s="5459"/>
      <c r="DU88" s="5459"/>
      <c r="DV88" s="5459"/>
      <c r="DW88" s="5459"/>
      <c r="DX88" s="5459"/>
      <c r="DY88" s="5459"/>
      <c r="DZ88" s="5459"/>
      <c r="EA88" s="5459"/>
      <c r="EB88" s="5459"/>
      <c r="EC88" s="5459"/>
      <c r="ED88" s="5459"/>
      <c r="EE88" s="5459"/>
      <c r="EF88" s="5459"/>
      <c r="EG88" s="5459"/>
      <c r="EH88" s="5459"/>
      <c r="EI88" s="5459"/>
      <c r="EJ88" s="5459"/>
      <c r="EK88" s="5459"/>
      <c r="EL88" s="5459"/>
      <c r="EM88" s="5459"/>
      <c r="EN88" s="5459"/>
      <c r="EO88" s="5459"/>
      <c r="EP88" s="5459"/>
      <c r="EQ88" s="5459"/>
      <c r="ER88" s="5459"/>
      <c r="ES88" s="5459"/>
      <c r="ET88" s="5459"/>
      <c r="EU88" s="5459"/>
      <c r="EV88" s="5459"/>
      <c r="EW88" s="5459"/>
      <c r="EX88" s="5459"/>
      <c r="EY88" s="5459"/>
      <c r="EZ88" s="5459"/>
      <c r="FA88" s="5470"/>
    </row>
    <row r="89" spans="1:157" s="2024" customFormat="1" ht="15" customHeight="1">
      <c r="A89" s="16078"/>
      <c r="B89" s="16053"/>
      <c r="C89" s="16053"/>
      <c r="D89" s="16053"/>
      <c r="E89" s="16053"/>
      <c r="F89" s="16173"/>
      <c r="G89" s="16174"/>
      <c r="H89" s="16041"/>
      <c r="I89" s="16041"/>
      <c r="J89" s="16041"/>
      <c r="K89" s="16041"/>
      <c r="L89" s="16041"/>
      <c r="M89" s="16041"/>
      <c r="N89" s="16041"/>
      <c r="O89" s="16041"/>
      <c r="P89" s="16041"/>
      <c r="Q89" s="16041"/>
      <c r="R89" s="5441" t="s">
        <v>2896</v>
      </c>
      <c r="S89" s="5442"/>
      <c r="T89" s="5368" t="s">
        <v>10255</v>
      </c>
      <c r="U89" s="5369"/>
      <c r="V89" s="16179"/>
      <c r="W89" s="5370"/>
      <c r="X89" s="5370"/>
      <c r="Y89" s="5370"/>
      <c r="Z89" s="5371"/>
      <c r="AA89" s="5371"/>
      <c r="AB89" s="5371"/>
      <c r="AC89" s="5371"/>
      <c r="AD89" s="5370"/>
      <c r="AE89" s="5370"/>
      <c r="AF89" s="5370"/>
      <c r="AG89" s="5370"/>
      <c r="AH89" s="5370"/>
      <c r="AI89" s="5370"/>
      <c r="AJ89" s="5370"/>
      <c r="AK89" s="5370"/>
      <c r="AL89" s="5370"/>
      <c r="AM89" s="5370"/>
      <c r="AN89" s="5370"/>
      <c r="AO89" s="5370"/>
      <c r="AP89" s="5370"/>
      <c r="AQ89" s="5370"/>
      <c r="AR89" s="5370"/>
      <c r="AS89" s="5370"/>
      <c r="AT89" s="5370"/>
      <c r="AU89" s="5370"/>
      <c r="AV89" s="5370"/>
      <c r="AW89" s="5370"/>
      <c r="AX89" s="5370"/>
      <c r="AY89" s="5370"/>
      <c r="AZ89" s="5370"/>
      <c r="BA89" s="5370"/>
      <c r="BB89" s="5370"/>
      <c r="BC89" s="5370"/>
      <c r="BD89" s="5370"/>
      <c r="BE89" s="5370"/>
      <c r="BF89" s="5370"/>
      <c r="BG89" s="5370"/>
      <c r="BH89" s="5370"/>
      <c r="BI89" s="5370"/>
      <c r="BJ89" s="5370"/>
      <c r="BK89" s="5370"/>
      <c r="BL89" s="5370"/>
      <c r="BM89" s="5370"/>
      <c r="BN89" s="5369"/>
      <c r="BO89" s="16144"/>
      <c r="BP89" s="5370"/>
      <c r="BQ89" s="5370"/>
      <c r="BR89" s="5370"/>
      <c r="BS89" s="5372"/>
      <c r="BT89" s="5372"/>
      <c r="BU89" s="5372"/>
      <c r="BV89" s="5372"/>
      <c r="BW89" s="5372"/>
      <c r="BX89" s="5372"/>
      <c r="BY89" s="5372"/>
      <c r="BZ89" s="5372"/>
      <c r="CA89" s="5372"/>
      <c r="CB89" s="5372"/>
      <c r="CC89" s="5372"/>
      <c r="CD89" s="5372"/>
      <c r="CE89" s="5372"/>
      <c r="CF89" s="5372"/>
      <c r="CG89" s="5372"/>
      <c r="CH89" s="5372"/>
      <c r="CI89" s="5372"/>
      <c r="CJ89" s="5372"/>
      <c r="CK89" s="5372"/>
      <c r="CL89" s="5372"/>
      <c r="CM89" s="5372"/>
      <c r="CN89" s="5372"/>
      <c r="CO89" s="5372"/>
      <c r="CP89" s="5372"/>
      <c r="CQ89" s="5372"/>
      <c r="CR89" s="5372"/>
      <c r="CS89" s="5372"/>
      <c r="CT89" s="5372"/>
      <c r="CU89" s="5372"/>
      <c r="CV89" s="5372"/>
      <c r="CW89" s="5372"/>
      <c r="CX89" s="5372"/>
      <c r="CY89" s="5372"/>
      <c r="CZ89" s="5372"/>
      <c r="DA89" s="5372"/>
      <c r="DB89" s="5372"/>
      <c r="DC89" s="5372"/>
      <c r="DD89" s="5372"/>
      <c r="DE89" s="5372"/>
      <c r="DF89" s="5372"/>
      <c r="DG89" s="5459"/>
      <c r="DH89" s="5459"/>
      <c r="DI89" s="5459"/>
      <c r="DJ89" s="5459"/>
      <c r="DK89" s="5459"/>
      <c r="DL89" s="5459"/>
      <c r="DM89" s="5459"/>
      <c r="DN89" s="5459"/>
      <c r="DO89" s="5459"/>
      <c r="DP89" s="5459"/>
      <c r="DQ89" s="5459"/>
      <c r="DR89" s="5459"/>
      <c r="DS89" s="5459"/>
      <c r="DT89" s="5459"/>
      <c r="DU89" s="5459"/>
      <c r="DV89" s="5459"/>
      <c r="DW89" s="5459"/>
      <c r="DX89" s="5459"/>
      <c r="DY89" s="5459"/>
      <c r="DZ89" s="5459"/>
      <c r="EA89" s="5459"/>
      <c r="EB89" s="5459"/>
      <c r="EC89" s="5459"/>
      <c r="ED89" s="5459"/>
      <c r="EE89" s="5459"/>
      <c r="EF89" s="5459"/>
      <c r="EG89" s="5459"/>
      <c r="EH89" s="5459"/>
      <c r="EI89" s="5459"/>
      <c r="EJ89" s="5459"/>
      <c r="EK89" s="5459"/>
      <c r="EL89" s="5459"/>
      <c r="EM89" s="5459"/>
      <c r="EN89" s="5459"/>
      <c r="EO89" s="5459"/>
      <c r="EP89" s="5459"/>
      <c r="EQ89" s="5459"/>
      <c r="ER89" s="5459"/>
      <c r="ES89" s="5459"/>
      <c r="ET89" s="5459"/>
      <c r="EU89" s="5459"/>
      <c r="EV89" s="5459"/>
      <c r="EW89" s="5459"/>
      <c r="EX89" s="5459"/>
      <c r="EY89" s="5459"/>
      <c r="EZ89" s="5459"/>
      <c r="FA89" s="5470"/>
    </row>
    <row r="90" spans="1:157" s="2024" customFormat="1" ht="15" customHeight="1">
      <c r="A90" s="16078"/>
      <c r="B90" s="16053"/>
      <c r="C90" s="16053"/>
      <c r="D90" s="16053"/>
      <c r="E90" s="16053"/>
      <c r="F90" s="16173"/>
      <c r="G90" s="16174"/>
      <c r="H90" s="16041"/>
      <c r="I90" s="16041"/>
      <c r="J90" s="16041"/>
      <c r="K90" s="16041"/>
      <c r="L90" s="16041"/>
      <c r="M90" s="16041"/>
      <c r="N90" s="16041"/>
      <c r="O90" s="16041"/>
      <c r="P90" s="16041"/>
      <c r="Q90" s="16041"/>
      <c r="R90" s="5441" t="s">
        <v>10251</v>
      </c>
      <c r="S90" s="5442"/>
      <c r="T90" s="5368" t="s">
        <v>10252</v>
      </c>
      <c r="U90" s="5369"/>
      <c r="V90" s="16179"/>
      <c r="W90" s="5368"/>
      <c r="X90" s="5370"/>
      <c r="Y90" s="5370"/>
      <c r="Z90" s="5371"/>
      <c r="AA90" s="5371"/>
      <c r="AB90" s="5371"/>
      <c r="AC90" s="5371"/>
      <c r="AD90" s="5370"/>
      <c r="AE90" s="5370"/>
      <c r="AF90" s="5370"/>
      <c r="AG90" s="5370"/>
      <c r="AH90" s="5370"/>
      <c r="AI90" s="5370"/>
      <c r="AJ90" s="5370"/>
      <c r="AK90" s="5370"/>
      <c r="AL90" s="5370"/>
      <c r="AM90" s="5370"/>
      <c r="AN90" s="5370"/>
      <c r="AO90" s="5370"/>
      <c r="AP90" s="5370"/>
      <c r="AQ90" s="5370"/>
      <c r="AR90" s="5370"/>
      <c r="AS90" s="5370"/>
      <c r="AT90" s="5370"/>
      <c r="AU90" s="5370"/>
      <c r="AV90" s="5370"/>
      <c r="AW90" s="5370"/>
      <c r="AX90" s="5370"/>
      <c r="AY90" s="5370"/>
      <c r="AZ90" s="5370"/>
      <c r="BA90" s="5370"/>
      <c r="BB90" s="5370"/>
      <c r="BC90" s="5370"/>
      <c r="BD90" s="5370"/>
      <c r="BE90" s="5370"/>
      <c r="BF90" s="5370"/>
      <c r="BG90" s="5370"/>
      <c r="BH90" s="5370"/>
      <c r="BI90" s="5370"/>
      <c r="BJ90" s="5370"/>
      <c r="BK90" s="5370"/>
      <c r="BL90" s="5370"/>
      <c r="BM90" s="5370"/>
      <c r="BN90" s="5369">
        <v>0</v>
      </c>
      <c r="BO90" s="16144"/>
      <c r="BP90" s="5368" t="s">
        <v>9492</v>
      </c>
      <c r="BQ90" s="5370"/>
      <c r="BR90" s="5370"/>
      <c r="BS90" s="5372">
        <v>0</v>
      </c>
      <c r="BT90" s="5372">
        <v>0</v>
      </c>
      <c r="BU90" s="5372">
        <v>0</v>
      </c>
      <c r="BV90" s="5372">
        <v>0</v>
      </c>
      <c r="BW90" s="5372"/>
      <c r="BX90" s="5372"/>
      <c r="BY90" s="5372"/>
      <c r="BZ90" s="5372"/>
      <c r="CA90" s="5372"/>
      <c r="CB90" s="5372"/>
      <c r="CC90" s="5372"/>
      <c r="CD90" s="5372"/>
      <c r="CE90" s="5372"/>
      <c r="CF90" s="5372"/>
      <c r="CG90" s="5372"/>
      <c r="CH90" s="5372"/>
      <c r="CI90" s="5372"/>
      <c r="CJ90" s="5372"/>
      <c r="CK90" s="5372"/>
      <c r="CL90" s="5372"/>
      <c r="CM90" s="5372"/>
      <c r="CN90" s="5372"/>
      <c r="CO90" s="5372"/>
      <c r="CP90" s="5372"/>
      <c r="CQ90" s="5372"/>
      <c r="CR90" s="5372"/>
      <c r="CS90" s="5372"/>
      <c r="CT90" s="5372"/>
      <c r="CU90" s="5372"/>
      <c r="CV90" s="5372"/>
      <c r="CW90" s="5372"/>
      <c r="CX90" s="5372"/>
      <c r="CY90" s="5372"/>
      <c r="CZ90" s="5372"/>
      <c r="DA90" s="5372"/>
      <c r="DB90" s="5372"/>
      <c r="DC90" s="5372"/>
      <c r="DD90" s="5372"/>
      <c r="DE90" s="5372"/>
      <c r="DF90" s="5372"/>
      <c r="DG90" s="5459"/>
      <c r="DH90" s="5459"/>
      <c r="DI90" s="5459"/>
      <c r="DJ90" s="5459"/>
      <c r="DK90" s="5459"/>
      <c r="DL90" s="5459"/>
      <c r="DM90" s="5459"/>
      <c r="DN90" s="5459"/>
      <c r="DO90" s="5459"/>
      <c r="DP90" s="5459"/>
      <c r="DQ90" s="5459"/>
      <c r="DR90" s="5459"/>
      <c r="DS90" s="5459"/>
      <c r="DT90" s="5459"/>
      <c r="DU90" s="5459"/>
      <c r="DV90" s="5459"/>
      <c r="DW90" s="5459"/>
      <c r="DX90" s="5459"/>
      <c r="DY90" s="5459"/>
      <c r="DZ90" s="5459"/>
      <c r="EA90" s="5459"/>
      <c r="EB90" s="5459"/>
      <c r="EC90" s="5459"/>
      <c r="ED90" s="5459"/>
      <c r="EE90" s="5459"/>
      <c r="EF90" s="5459"/>
      <c r="EG90" s="5459"/>
      <c r="EH90" s="5459"/>
      <c r="EI90" s="5459"/>
      <c r="EJ90" s="5459"/>
      <c r="EK90" s="5459"/>
      <c r="EL90" s="5459"/>
      <c r="EM90" s="5459"/>
      <c r="EN90" s="5459"/>
      <c r="EO90" s="5459"/>
      <c r="EP90" s="5459"/>
      <c r="EQ90" s="5459"/>
      <c r="ER90" s="5459"/>
      <c r="ES90" s="5459"/>
      <c r="ET90" s="5459"/>
      <c r="EU90" s="5459"/>
      <c r="EV90" s="5459"/>
      <c r="EW90" s="5459"/>
      <c r="EX90" s="5459"/>
      <c r="EY90" s="5459"/>
      <c r="EZ90" s="5459"/>
      <c r="FA90" s="5470"/>
    </row>
    <row r="91" spans="1:157" s="2024" customFormat="1" ht="15" customHeight="1">
      <c r="A91" s="16078"/>
      <c r="B91" s="16053"/>
      <c r="C91" s="5373" t="s">
        <v>8074</v>
      </c>
      <c r="D91" s="5373" t="s">
        <v>1118</v>
      </c>
      <c r="E91" s="5373" t="s">
        <v>1119</v>
      </c>
      <c r="F91" s="5374" t="s">
        <v>1073</v>
      </c>
      <c r="G91" s="5375">
        <v>0</v>
      </c>
      <c r="H91" s="2751">
        <v>0</v>
      </c>
      <c r="I91" s="2751">
        <v>2</v>
      </c>
      <c r="J91" s="2751">
        <v>2</v>
      </c>
      <c r="K91" s="2751">
        <v>2</v>
      </c>
      <c r="L91" s="2751">
        <v>2</v>
      </c>
      <c r="M91" s="2751">
        <v>2</v>
      </c>
      <c r="N91" s="2751">
        <v>2</v>
      </c>
      <c r="O91" s="2751">
        <v>2</v>
      </c>
      <c r="P91" s="2751">
        <v>2</v>
      </c>
      <c r="Q91" s="2751">
        <v>2</v>
      </c>
      <c r="R91" s="5432" t="s">
        <v>10072</v>
      </c>
      <c r="S91" s="5376" t="s">
        <v>1120</v>
      </c>
      <c r="T91" s="5368"/>
      <c r="U91" s="5369"/>
      <c r="V91" s="16179"/>
      <c r="W91" s="5368"/>
      <c r="X91" s="5370"/>
      <c r="Y91" s="5370"/>
      <c r="Z91" s="5371"/>
      <c r="AA91" s="5371"/>
      <c r="AB91" s="5371"/>
      <c r="AC91" s="5371"/>
      <c r="AD91" s="5370"/>
      <c r="AE91" s="5370"/>
      <c r="AF91" s="5370"/>
      <c r="AG91" s="5370"/>
      <c r="AH91" s="5370"/>
      <c r="AI91" s="5370"/>
      <c r="AJ91" s="5370"/>
      <c r="AK91" s="5370"/>
      <c r="AL91" s="5370"/>
      <c r="AM91" s="5370"/>
      <c r="AN91" s="5370"/>
      <c r="AO91" s="5370"/>
      <c r="AP91" s="5370"/>
      <c r="AQ91" s="5370"/>
      <c r="AR91" s="5370"/>
      <c r="AS91" s="5370"/>
      <c r="AT91" s="5370"/>
      <c r="AU91" s="5370"/>
      <c r="AV91" s="5370"/>
      <c r="AW91" s="5370"/>
      <c r="AX91" s="5370"/>
      <c r="AY91" s="5370"/>
      <c r="AZ91" s="5370"/>
      <c r="BA91" s="5370"/>
      <c r="BB91" s="5370"/>
      <c r="BC91" s="5370"/>
      <c r="BD91" s="5370"/>
      <c r="BE91" s="5370"/>
      <c r="BF91" s="5370"/>
      <c r="BG91" s="5370"/>
      <c r="BH91" s="5370"/>
      <c r="BI91" s="5370"/>
      <c r="BJ91" s="5370"/>
      <c r="BK91" s="5370"/>
      <c r="BL91" s="5370"/>
      <c r="BM91" s="5370"/>
      <c r="BN91" s="5369">
        <v>0</v>
      </c>
      <c r="BO91" s="16144"/>
      <c r="BP91" s="5368" t="s">
        <v>9493</v>
      </c>
      <c r="BQ91" s="5370"/>
      <c r="BR91" s="5370"/>
      <c r="BS91" s="5372">
        <v>0</v>
      </c>
      <c r="BT91" s="5372">
        <v>0</v>
      </c>
      <c r="BU91" s="5372">
        <v>0</v>
      </c>
      <c r="BV91" s="5372">
        <v>0</v>
      </c>
      <c r="BW91" s="5372"/>
      <c r="BX91" s="5372"/>
      <c r="BY91" s="5372"/>
      <c r="BZ91" s="5372"/>
      <c r="CA91" s="5372"/>
      <c r="CB91" s="5372"/>
      <c r="CC91" s="5372"/>
      <c r="CD91" s="5372"/>
      <c r="CE91" s="5372"/>
      <c r="CF91" s="5372"/>
      <c r="CG91" s="5372"/>
      <c r="CH91" s="5372"/>
      <c r="CI91" s="5372"/>
      <c r="CJ91" s="5372"/>
      <c r="CK91" s="5372"/>
      <c r="CL91" s="5372"/>
      <c r="CM91" s="5372"/>
      <c r="CN91" s="5372"/>
      <c r="CO91" s="5372"/>
      <c r="CP91" s="5372"/>
      <c r="CQ91" s="5372"/>
      <c r="CR91" s="5372"/>
      <c r="CS91" s="5372"/>
      <c r="CT91" s="5372"/>
      <c r="CU91" s="5372"/>
      <c r="CV91" s="5372"/>
      <c r="CW91" s="5372"/>
      <c r="CX91" s="5372"/>
      <c r="CY91" s="5372"/>
      <c r="CZ91" s="5372"/>
      <c r="DA91" s="5372"/>
      <c r="DB91" s="5372"/>
      <c r="DC91" s="5372"/>
      <c r="DD91" s="5372"/>
      <c r="DE91" s="5372"/>
      <c r="DF91" s="5372"/>
      <c r="DG91" s="5459"/>
      <c r="DH91" s="5459"/>
      <c r="DI91" s="5459"/>
      <c r="DJ91" s="5459"/>
      <c r="DK91" s="5459"/>
      <c r="DL91" s="5459"/>
      <c r="DM91" s="5459"/>
      <c r="DN91" s="5459"/>
      <c r="DO91" s="5459"/>
      <c r="DP91" s="5459"/>
      <c r="DQ91" s="5459"/>
      <c r="DR91" s="5459"/>
      <c r="DS91" s="5459"/>
      <c r="DT91" s="5459"/>
      <c r="DU91" s="5459"/>
      <c r="DV91" s="5459"/>
      <c r="DW91" s="5459"/>
      <c r="DX91" s="5459"/>
      <c r="DY91" s="5459"/>
      <c r="DZ91" s="5459"/>
      <c r="EA91" s="5459"/>
      <c r="EB91" s="5459"/>
      <c r="EC91" s="5459"/>
      <c r="ED91" s="5459"/>
      <c r="EE91" s="5459"/>
      <c r="EF91" s="5459"/>
      <c r="EG91" s="5459"/>
      <c r="EH91" s="5459"/>
      <c r="EI91" s="5459"/>
      <c r="EJ91" s="5459"/>
      <c r="EK91" s="5459"/>
      <c r="EL91" s="5459"/>
      <c r="EM91" s="5459"/>
      <c r="EN91" s="5459"/>
      <c r="EO91" s="5459"/>
      <c r="EP91" s="5459"/>
      <c r="EQ91" s="5459"/>
      <c r="ER91" s="5459"/>
      <c r="ES91" s="5459"/>
      <c r="ET91" s="5459"/>
      <c r="EU91" s="5459"/>
      <c r="EV91" s="5459"/>
      <c r="EW91" s="5459"/>
      <c r="EX91" s="5459"/>
      <c r="EY91" s="5459"/>
      <c r="EZ91" s="5459"/>
      <c r="FA91" s="5470"/>
    </row>
    <row r="92" spans="1:157" s="2024" customFormat="1" ht="15" customHeight="1">
      <c r="A92" s="16078"/>
      <c r="B92" s="16053"/>
      <c r="C92" s="5373" t="s">
        <v>8075</v>
      </c>
      <c r="D92" s="5373" t="s">
        <v>1121</v>
      </c>
      <c r="E92" s="5373" t="s">
        <v>1122</v>
      </c>
      <c r="F92" s="5374" t="s">
        <v>1073</v>
      </c>
      <c r="G92" s="5375">
        <v>0</v>
      </c>
      <c r="H92" s="2751">
        <v>0</v>
      </c>
      <c r="I92" s="2751">
        <v>1</v>
      </c>
      <c r="J92" s="2751">
        <v>1</v>
      </c>
      <c r="K92" s="2751">
        <v>1</v>
      </c>
      <c r="L92" s="2751">
        <v>1</v>
      </c>
      <c r="M92" s="2751">
        <v>1</v>
      </c>
      <c r="N92" s="2751">
        <v>1</v>
      </c>
      <c r="O92" s="2751">
        <v>1</v>
      </c>
      <c r="P92" s="2751">
        <v>1</v>
      </c>
      <c r="Q92" s="2751">
        <v>1</v>
      </c>
      <c r="R92" s="5432" t="s">
        <v>10072</v>
      </c>
      <c r="S92" s="5376" t="s">
        <v>1123</v>
      </c>
      <c r="T92" s="5368"/>
      <c r="U92" s="5369"/>
      <c r="V92" s="16179"/>
      <c r="W92" s="5368"/>
      <c r="X92" s="5370"/>
      <c r="Y92" s="5370"/>
      <c r="Z92" s="5371"/>
      <c r="AA92" s="5371"/>
      <c r="AB92" s="5371"/>
      <c r="AC92" s="5371"/>
      <c r="AD92" s="5370"/>
      <c r="AE92" s="5370"/>
      <c r="AF92" s="5370"/>
      <c r="AG92" s="5370"/>
      <c r="AH92" s="5370"/>
      <c r="AI92" s="5370"/>
      <c r="AJ92" s="5370"/>
      <c r="AK92" s="5370"/>
      <c r="AL92" s="5370"/>
      <c r="AM92" s="5370"/>
      <c r="AN92" s="5370"/>
      <c r="AO92" s="5370"/>
      <c r="AP92" s="5370"/>
      <c r="AQ92" s="5370"/>
      <c r="AR92" s="5370"/>
      <c r="AS92" s="5370"/>
      <c r="AT92" s="5370"/>
      <c r="AU92" s="5370"/>
      <c r="AV92" s="5370"/>
      <c r="AW92" s="5370"/>
      <c r="AX92" s="5370"/>
      <c r="AY92" s="5370"/>
      <c r="AZ92" s="5370"/>
      <c r="BA92" s="5370"/>
      <c r="BB92" s="5370"/>
      <c r="BC92" s="5370"/>
      <c r="BD92" s="5370"/>
      <c r="BE92" s="5370"/>
      <c r="BF92" s="5370"/>
      <c r="BG92" s="5370"/>
      <c r="BH92" s="5370"/>
      <c r="BI92" s="5370"/>
      <c r="BJ92" s="5370"/>
      <c r="BK92" s="5370"/>
      <c r="BL92" s="5370"/>
      <c r="BM92" s="5370"/>
      <c r="BN92" s="5369">
        <v>0</v>
      </c>
      <c r="BO92" s="16144"/>
      <c r="BP92" s="5368" t="s">
        <v>9493</v>
      </c>
      <c r="BQ92" s="5370"/>
      <c r="BR92" s="5370"/>
      <c r="BS92" s="5372">
        <v>0</v>
      </c>
      <c r="BT92" s="5372">
        <v>0</v>
      </c>
      <c r="BU92" s="5372">
        <v>0</v>
      </c>
      <c r="BV92" s="5372">
        <v>0</v>
      </c>
      <c r="BW92" s="5372"/>
      <c r="BX92" s="5372"/>
      <c r="BY92" s="5372"/>
      <c r="BZ92" s="5372"/>
      <c r="CA92" s="5372"/>
      <c r="CB92" s="5372"/>
      <c r="CC92" s="5372"/>
      <c r="CD92" s="5372"/>
      <c r="CE92" s="5372"/>
      <c r="CF92" s="5372"/>
      <c r="CG92" s="5372"/>
      <c r="CH92" s="5372"/>
      <c r="CI92" s="5372"/>
      <c r="CJ92" s="5372"/>
      <c r="CK92" s="5372"/>
      <c r="CL92" s="5372"/>
      <c r="CM92" s="5372"/>
      <c r="CN92" s="5372"/>
      <c r="CO92" s="5372"/>
      <c r="CP92" s="5372"/>
      <c r="CQ92" s="5372"/>
      <c r="CR92" s="5372"/>
      <c r="CS92" s="5372"/>
      <c r="CT92" s="5372"/>
      <c r="CU92" s="5372"/>
      <c r="CV92" s="5372"/>
      <c r="CW92" s="5372"/>
      <c r="CX92" s="5372"/>
      <c r="CY92" s="5372"/>
      <c r="CZ92" s="5372"/>
      <c r="DA92" s="5372"/>
      <c r="DB92" s="5372"/>
      <c r="DC92" s="5372"/>
      <c r="DD92" s="5372"/>
      <c r="DE92" s="5372"/>
      <c r="DF92" s="5372"/>
      <c r="DG92" s="5459"/>
      <c r="DH92" s="5459"/>
      <c r="DI92" s="5459"/>
      <c r="DJ92" s="5459"/>
      <c r="DK92" s="5459"/>
      <c r="DL92" s="5459"/>
      <c r="DM92" s="5459"/>
      <c r="DN92" s="5459"/>
      <c r="DO92" s="5459"/>
      <c r="DP92" s="5459"/>
      <c r="DQ92" s="5459"/>
      <c r="DR92" s="5459"/>
      <c r="DS92" s="5459"/>
      <c r="DT92" s="5459"/>
      <c r="DU92" s="5459"/>
      <c r="DV92" s="5459"/>
      <c r="DW92" s="5459"/>
      <c r="DX92" s="5459"/>
      <c r="DY92" s="5459"/>
      <c r="DZ92" s="5459"/>
      <c r="EA92" s="5459"/>
      <c r="EB92" s="5459"/>
      <c r="EC92" s="5459"/>
      <c r="ED92" s="5459"/>
      <c r="EE92" s="5459"/>
      <c r="EF92" s="5459"/>
      <c r="EG92" s="5459"/>
      <c r="EH92" s="5459"/>
      <c r="EI92" s="5459"/>
      <c r="EJ92" s="5459"/>
      <c r="EK92" s="5459"/>
      <c r="EL92" s="5459"/>
      <c r="EM92" s="5459"/>
      <c r="EN92" s="5459"/>
      <c r="EO92" s="5459"/>
      <c r="EP92" s="5459"/>
      <c r="EQ92" s="5459"/>
      <c r="ER92" s="5459"/>
      <c r="ES92" s="5459"/>
      <c r="ET92" s="5459"/>
      <c r="EU92" s="5459"/>
      <c r="EV92" s="5459"/>
      <c r="EW92" s="5459"/>
      <c r="EX92" s="5459"/>
      <c r="EY92" s="5459"/>
      <c r="EZ92" s="5459"/>
      <c r="FA92" s="5470"/>
    </row>
    <row r="93" spans="1:157" s="2024" customFormat="1" ht="15" customHeight="1">
      <c r="A93" s="16078" t="s">
        <v>10262</v>
      </c>
      <c r="B93" s="16053"/>
      <c r="C93" s="5373" t="s">
        <v>8076</v>
      </c>
      <c r="D93" s="5373" t="s">
        <v>1124</v>
      </c>
      <c r="E93" s="5373"/>
      <c r="F93" s="5374"/>
      <c r="G93" s="5375"/>
      <c r="H93" s="2751"/>
      <c r="I93" s="2751"/>
      <c r="J93" s="2751"/>
      <c r="K93" s="2751"/>
      <c r="L93" s="2751"/>
      <c r="M93" s="2751"/>
      <c r="N93" s="2751"/>
      <c r="O93" s="2751"/>
      <c r="P93" s="2751"/>
      <c r="Q93" s="2751"/>
      <c r="R93" s="5432" t="s">
        <v>10072</v>
      </c>
      <c r="S93" s="5376" t="s">
        <v>968</v>
      </c>
      <c r="T93" s="5444" t="s">
        <v>10085</v>
      </c>
      <c r="U93" s="5369"/>
      <c r="V93" s="16180"/>
      <c r="W93" s="5368"/>
      <c r="X93" s="5370"/>
      <c r="Y93" s="5370"/>
      <c r="Z93" s="5371"/>
      <c r="AA93" s="5371"/>
      <c r="AB93" s="5371"/>
      <c r="AC93" s="5371"/>
      <c r="AD93" s="5370"/>
      <c r="AE93" s="5370"/>
      <c r="AF93" s="5370"/>
      <c r="AG93" s="5370"/>
      <c r="AH93" s="5370"/>
      <c r="AI93" s="5370"/>
      <c r="AJ93" s="5370"/>
      <c r="AK93" s="5370"/>
      <c r="AL93" s="5370"/>
      <c r="AM93" s="5370"/>
      <c r="AN93" s="5370"/>
      <c r="AO93" s="5370"/>
      <c r="AP93" s="5370"/>
      <c r="AQ93" s="5370"/>
      <c r="AR93" s="5370"/>
      <c r="AS93" s="5370"/>
      <c r="AT93" s="5370"/>
      <c r="AU93" s="5370"/>
      <c r="AV93" s="5370"/>
      <c r="AW93" s="5370"/>
      <c r="AX93" s="5370"/>
      <c r="AY93" s="5370"/>
      <c r="AZ93" s="5370"/>
      <c r="BA93" s="5370"/>
      <c r="BB93" s="5370"/>
      <c r="BC93" s="5370"/>
      <c r="BD93" s="5370"/>
      <c r="BE93" s="5370"/>
      <c r="BF93" s="5370"/>
      <c r="BG93" s="5370"/>
      <c r="BH93" s="5370"/>
      <c r="BI93" s="5370"/>
      <c r="BJ93" s="5370"/>
      <c r="BK93" s="5370"/>
      <c r="BL93" s="5370"/>
      <c r="BM93" s="5370"/>
      <c r="BN93" s="5369">
        <v>0</v>
      </c>
      <c r="BO93" s="16180">
        <f>AVERAGE(BN93:BN95)</f>
        <v>0.33333333333333331</v>
      </c>
      <c r="BP93" s="5368" t="s">
        <v>9493</v>
      </c>
      <c r="BQ93" s="5370"/>
      <c r="BR93" s="5370"/>
      <c r="BS93" s="5372">
        <v>0</v>
      </c>
      <c r="BT93" s="5372">
        <v>0</v>
      </c>
      <c r="BU93" s="5372">
        <v>0</v>
      </c>
      <c r="BV93" s="5372">
        <v>0</v>
      </c>
      <c r="BW93" s="5372"/>
      <c r="BX93" s="5372"/>
      <c r="BY93" s="5372"/>
      <c r="BZ93" s="5372"/>
      <c r="CA93" s="5372"/>
      <c r="CB93" s="5372"/>
      <c r="CC93" s="5372"/>
      <c r="CD93" s="5372"/>
      <c r="CE93" s="5372"/>
      <c r="CF93" s="5372"/>
      <c r="CG93" s="5372"/>
      <c r="CH93" s="5372"/>
      <c r="CI93" s="5372"/>
      <c r="CJ93" s="5372"/>
      <c r="CK93" s="5372"/>
      <c r="CL93" s="5372"/>
      <c r="CM93" s="5372"/>
      <c r="CN93" s="5372"/>
      <c r="CO93" s="5372"/>
      <c r="CP93" s="5372"/>
      <c r="CQ93" s="5372"/>
      <c r="CR93" s="5372"/>
      <c r="CS93" s="5372"/>
      <c r="CT93" s="5372"/>
      <c r="CU93" s="5372"/>
      <c r="CV93" s="5372"/>
      <c r="CW93" s="5372"/>
      <c r="CX93" s="5372"/>
      <c r="CY93" s="5372"/>
      <c r="CZ93" s="5372"/>
      <c r="DA93" s="5372"/>
      <c r="DB93" s="5372"/>
      <c r="DC93" s="5372"/>
      <c r="DD93" s="5372"/>
      <c r="DE93" s="5372"/>
      <c r="DF93" s="5372"/>
      <c r="DG93" s="5459"/>
      <c r="DH93" s="5459"/>
      <c r="DI93" s="5459"/>
      <c r="DJ93" s="5459"/>
      <c r="DK93" s="5459"/>
      <c r="DL93" s="5459"/>
      <c r="DM93" s="5459"/>
      <c r="DN93" s="5459"/>
      <c r="DO93" s="5459"/>
      <c r="DP93" s="5459"/>
      <c r="DQ93" s="5459"/>
      <c r="DR93" s="5459"/>
      <c r="DS93" s="5459"/>
      <c r="DT93" s="5459"/>
      <c r="DU93" s="5459"/>
      <c r="DV93" s="5459"/>
      <c r="DW93" s="5459"/>
      <c r="DX93" s="5459"/>
      <c r="DY93" s="5459"/>
      <c r="DZ93" s="5459"/>
      <c r="EA93" s="5459"/>
      <c r="EB93" s="5459"/>
      <c r="EC93" s="5459"/>
      <c r="ED93" s="5459"/>
      <c r="EE93" s="5459"/>
      <c r="EF93" s="5459"/>
      <c r="EG93" s="5459"/>
      <c r="EH93" s="5459"/>
      <c r="EI93" s="5459"/>
      <c r="EJ93" s="5459"/>
      <c r="EK93" s="5459"/>
      <c r="EL93" s="5459"/>
      <c r="EM93" s="5459"/>
      <c r="EN93" s="5459"/>
      <c r="EO93" s="5459"/>
      <c r="EP93" s="5459"/>
      <c r="EQ93" s="5459"/>
      <c r="ER93" s="5459"/>
      <c r="ES93" s="5459"/>
      <c r="ET93" s="5459"/>
      <c r="EU93" s="5459"/>
      <c r="EV93" s="5459"/>
      <c r="EW93" s="5459"/>
      <c r="EX93" s="5459"/>
      <c r="EY93" s="5459"/>
      <c r="EZ93" s="5459"/>
      <c r="FA93" s="5470"/>
    </row>
    <row r="94" spans="1:157" s="2024" customFormat="1" ht="15" customHeight="1">
      <c r="A94" s="16078"/>
      <c r="B94" s="16053"/>
      <c r="C94" s="5373" t="s">
        <v>8077</v>
      </c>
      <c r="D94" s="5373" t="s">
        <v>1125</v>
      </c>
      <c r="E94" s="5373"/>
      <c r="F94" s="5374"/>
      <c r="G94" s="5375"/>
      <c r="H94" s="2751"/>
      <c r="I94" s="2751"/>
      <c r="J94" s="2751"/>
      <c r="K94" s="2751"/>
      <c r="L94" s="2751"/>
      <c r="M94" s="2751"/>
      <c r="N94" s="2751"/>
      <c r="O94" s="2751"/>
      <c r="P94" s="2751"/>
      <c r="Q94" s="2751"/>
      <c r="R94" s="5432" t="s">
        <v>10072</v>
      </c>
      <c r="S94" s="5376" t="s">
        <v>10086</v>
      </c>
      <c r="T94" s="5444" t="s">
        <v>10087</v>
      </c>
      <c r="U94" s="5369"/>
      <c r="V94" s="16180"/>
      <c r="W94" s="5368"/>
      <c r="X94" s="2751"/>
      <c r="Y94" s="5370"/>
      <c r="Z94" s="5371"/>
      <c r="AA94" s="5371"/>
      <c r="AB94" s="5371"/>
      <c r="AC94" s="5371"/>
      <c r="AD94" s="5370"/>
      <c r="AE94" s="5370"/>
      <c r="AF94" s="5370"/>
      <c r="AG94" s="5370"/>
      <c r="AH94" s="5370"/>
      <c r="AI94" s="5370"/>
      <c r="AJ94" s="5370"/>
      <c r="AK94" s="5370"/>
      <c r="AL94" s="5370"/>
      <c r="AM94" s="5370"/>
      <c r="AN94" s="5370"/>
      <c r="AO94" s="5370"/>
      <c r="AP94" s="5370"/>
      <c r="AQ94" s="5370"/>
      <c r="AR94" s="5370"/>
      <c r="AS94" s="5370"/>
      <c r="AT94" s="5370"/>
      <c r="AU94" s="5370"/>
      <c r="AV94" s="5370"/>
      <c r="AW94" s="5370"/>
      <c r="AX94" s="5370"/>
      <c r="AY94" s="5370"/>
      <c r="AZ94" s="5370"/>
      <c r="BA94" s="5370"/>
      <c r="BB94" s="5370"/>
      <c r="BC94" s="5370"/>
      <c r="BD94" s="5370"/>
      <c r="BE94" s="5370"/>
      <c r="BF94" s="5370"/>
      <c r="BG94" s="5370"/>
      <c r="BH94" s="5370"/>
      <c r="BI94" s="5370"/>
      <c r="BJ94" s="5370"/>
      <c r="BK94" s="5370"/>
      <c r="BL94" s="5370"/>
      <c r="BM94" s="5370"/>
      <c r="BN94" s="5369">
        <v>1</v>
      </c>
      <c r="BO94" s="16180"/>
      <c r="BP94" s="5368" t="s">
        <v>9494</v>
      </c>
      <c r="BQ94" s="2751" t="s">
        <v>9495</v>
      </c>
      <c r="BR94" s="5370"/>
      <c r="BS94" s="5372">
        <v>0</v>
      </c>
      <c r="BT94" s="5372">
        <v>0</v>
      </c>
      <c r="BU94" s="5372">
        <v>0</v>
      </c>
      <c r="BV94" s="5372">
        <v>0</v>
      </c>
      <c r="BW94" s="5372"/>
      <c r="BX94" s="5372"/>
      <c r="BY94" s="5372"/>
      <c r="BZ94" s="5372"/>
      <c r="CA94" s="5372"/>
      <c r="CB94" s="5372"/>
      <c r="CC94" s="5372"/>
      <c r="CD94" s="5372"/>
      <c r="CE94" s="5372"/>
      <c r="CF94" s="5372"/>
      <c r="CG94" s="5372"/>
      <c r="CH94" s="5372"/>
      <c r="CI94" s="5372"/>
      <c r="CJ94" s="5372"/>
      <c r="CK94" s="5372"/>
      <c r="CL94" s="5372"/>
      <c r="CM94" s="5372"/>
      <c r="CN94" s="5372"/>
      <c r="CO94" s="5372"/>
      <c r="CP94" s="5372"/>
      <c r="CQ94" s="5372"/>
      <c r="CR94" s="5372"/>
      <c r="CS94" s="5372"/>
      <c r="CT94" s="5372"/>
      <c r="CU94" s="5372"/>
      <c r="CV94" s="5372"/>
      <c r="CW94" s="5372"/>
      <c r="CX94" s="5372"/>
      <c r="CY94" s="5372"/>
      <c r="CZ94" s="5372"/>
      <c r="DA94" s="5372"/>
      <c r="DB94" s="5372"/>
      <c r="DC94" s="5372"/>
      <c r="DD94" s="5372"/>
      <c r="DE94" s="5372"/>
      <c r="DF94" s="5372"/>
      <c r="DG94" s="5459"/>
      <c r="DH94" s="5459"/>
      <c r="DI94" s="5459"/>
      <c r="DJ94" s="5459"/>
      <c r="DK94" s="5459"/>
      <c r="DL94" s="5459"/>
      <c r="DM94" s="5459"/>
      <c r="DN94" s="5459"/>
      <c r="DO94" s="5459"/>
      <c r="DP94" s="5459"/>
      <c r="DQ94" s="5459"/>
      <c r="DR94" s="5459"/>
      <c r="DS94" s="5459"/>
      <c r="DT94" s="5459"/>
      <c r="DU94" s="5459"/>
      <c r="DV94" s="5459"/>
      <c r="DW94" s="5459"/>
      <c r="DX94" s="5459"/>
      <c r="DY94" s="5459"/>
      <c r="DZ94" s="5459"/>
      <c r="EA94" s="5459"/>
      <c r="EB94" s="5459"/>
      <c r="EC94" s="5459"/>
      <c r="ED94" s="5459"/>
      <c r="EE94" s="5459"/>
      <c r="EF94" s="5459"/>
      <c r="EG94" s="5459"/>
      <c r="EH94" s="5459"/>
      <c r="EI94" s="5459"/>
      <c r="EJ94" s="5459"/>
      <c r="EK94" s="5459"/>
      <c r="EL94" s="5459"/>
      <c r="EM94" s="5459"/>
      <c r="EN94" s="5459"/>
      <c r="EO94" s="5459"/>
      <c r="EP94" s="5459"/>
      <c r="EQ94" s="5459"/>
      <c r="ER94" s="5459"/>
      <c r="ES94" s="5459"/>
      <c r="ET94" s="5459"/>
      <c r="EU94" s="5459"/>
      <c r="EV94" s="5459"/>
      <c r="EW94" s="5459"/>
      <c r="EX94" s="5459"/>
      <c r="EY94" s="5459"/>
      <c r="EZ94" s="5459"/>
      <c r="FA94" s="5470"/>
    </row>
    <row r="95" spans="1:157" s="2024" customFormat="1" ht="15" customHeight="1" thickBot="1">
      <c r="A95" s="16079"/>
      <c r="B95" s="16054"/>
      <c r="C95" s="5498" t="s">
        <v>8078</v>
      </c>
      <c r="D95" s="5498" t="s">
        <v>1126</v>
      </c>
      <c r="E95" s="5498" t="s">
        <v>1127</v>
      </c>
      <c r="F95" s="5499" t="s">
        <v>1073</v>
      </c>
      <c r="G95" s="5500">
        <v>0</v>
      </c>
      <c r="H95" s="5501">
        <v>2</v>
      </c>
      <c r="I95" s="5501">
        <v>2</v>
      </c>
      <c r="J95" s="5501">
        <v>4</v>
      </c>
      <c r="K95" s="5501">
        <v>4</v>
      </c>
      <c r="L95" s="5501">
        <v>4</v>
      </c>
      <c r="M95" s="5501">
        <v>6</v>
      </c>
      <c r="N95" s="5501">
        <v>6</v>
      </c>
      <c r="O95" s="5501">
        <v>6</v>
      </c>
      <c r="P95" s="5501">
        <v>6</v>
      </c>
      <c r="Q95" s="5501">
        <v>6</v>
      </c>
      <c r="R95" s="5502" t="s">
        <v>10072</v>
      </c>
      <c r="S95" s="5503" t="s">
        <v>976</v>
      </c>
      <c r="T95" s="5504" t="s">
        <v>1128</v>
      </c>
      <c r="U95" s="5505"/>
      <c r="V95" s="16181"/>
      <c r="W95" s="5506"/>
      <c r="X95" s="5506"/>
      <c r="Y95" s="5506"/>
      <c r="Z95" s="5507"/>
      <c r="AA95" s="5507"/>
      <c r="AB95" s="5507"/>
      <c r="AC95" s="5508"/>
      <c r="AD95" s="5506"/>
      <c r="AE95" s="5506"/>
      <c r="AF95" s="5506"/>
      <c r="AG95" s="5506"/>
      <c r="AH95" s="5506"/>
      <c r="AI95" s="5506"/>
      <c r="AJ95" s="5506"/>
      <c r="AK95" s="5506"/>
      <c r="AL95" s="5506"/>
      <c r="AM95" s="5506"/>
      <c r="AN95" s="5506"/>
      <c r="AO95" s="5506"/>
      <c r="AP95" s="5506"/>
      <c r="AQ95" s="5506"/>
      <c r="AR95" s="5506"/>
      <c r="AS95" s="5506"/>
      <c r="AT95" s="5506"/>
      <c r="AU95" s="5506"/>
      <c r="AV95" s="5506"/>
      <c r="AW95" s="5506"/>
      <c r="AX95" s="5506"/>
      <c r="AY95" s="5506"/>
      <c r="AZ95" s="5506"/>
      <c r="BA95" s="5506"/>
      <c r="BB95" s="5506"/>
      <c r="BC95" s="5506"/>
      <c r="BD95" s="5506"/>
      <c r="BE95" s="5506"/>
      <c r="BF95" s="5506"/>
      <c r="BG95" s="5506"/>
      <c r="BH95" s="5506"/>
      <c r="BI95" s="5506"/>
      <c r="BJ95" s="5506"/>
      <c r="BK95" s="5506"/>
      <c r="BL95" s="5506"/>
      <c r="BM95" s="5506"/>
      <c r="BN95" s="5505">
        <v>0</v>
      </c>
      <c r="BO95" s="16181"/>
      <c r="BP95" s="5506"/>
      <c r="BQ95" s="5506"/>
      <c r="BR95" s="5506"/>
      <c r="BS95" s="5509">
        <v>0</v>
      </c>
      <c r="BT95" s="5509">
        <v>0</v>
      </c>
      <c r="BU95" s="5509">
        <v>0</v>
      </c>
      <c r="BV95" s="5510">
        <v>0</v>
      </c>
      <c r="BW95" s="5509"/>
      <c r="BX95" s="5509"/>
      <c r="BY95" s="5509"/>
      <c r="BZ95" s="5509"/>
      <c r="CA95" s="5509"/>
      <c r="CB95" s="5509"/>
      <c r="CC95" s="5509"/>
      <c r="CD95" s="5509"/>
      <c r="CE95" s="5509"/>
      <c r="CF95" s="5509"/>
      <c r="CG95" s="5509"/>
      <c r="CH95" s="5509"/>
      <c r="CI95" s="5509"/>
      <c r="CJ95" s="5509"/>
      <c r="CK95" s="5509"/>
      <c r="CL95" s="5509"/>
      <c r="CM95" s="5509"/>
      <c r="CN95" s="5509"/>
      <c r="CO95" s="5509"/>
      <c r="CP95" s="5509"/>
      <c r="CQ95" s="5509"/>
      <c r="CR95" s="5509"/>
      <c r="CS95" s="5509"/>
      <c r="CT95" s="5509"/>
      <c r="CU95" s="5509"/>
      <c r="CV95" s="5509"/>
      <c r="CW95" s="5509"/>
      <c r="CX95" s="5509"/>
      <c r="CY95" s="5509"/>
      <c r="CZ95" s="5509"/>
      <c r="DA95" s="5509"/>
      <c r="DB95" s="5509"/>
      <c r="DC95" s="5509"/>
      <c r="DD95" s="5509"/>
      <c r="DE95" s="5509"/>
      <c r="DF95" s="5509"/>
      <c r="DG95" s="5511"/>
      <c r="DH95" s="5511"/>
      <c r="DI95" s="5511"/>
      <c r="DJ95" s="5511"/>
      <c r="DK95" s="5511"/>
      <c r="DL95" s="5511"/>
      <c r="DM95" s="5511"/>
      <c r="DN95" s="5511"/>
      <c r="DO95" s="5511"/>
      <c r="DP95" s="5511"/>
      <c r="DQ95" s="5511"/>
      <c r="DR95" s="5511"/>
      <c r="DS95" s="5511"/>
      <c r="DT95" s="5511"/>
      <c r="DU95" s="5511"/>
      <c r="DV95" s="5511"/>
      <c r="DW95" s="5511"/>
      <c r="DX95" s="5511"/>
      <c r="DY95" s="5511"/>
      <c r="DZ95" s="5511"/>
      <c r="EA95" s="5511"/>
      <c r="EB95" s="5511"/>
      <c r="EC95" s="5511"/>
      <c r="ED95" s="5511"/>
      <c r="EE95" s="5511"/>
      <c r="EF95" s="5511"/>
      <c r="EG95" s="5511"/>
      <c r="EH95" s="5511"/>
      <c r="EI95" s="5511"/>
      <c r="EJ95" s="5511"/>
      <c r="EK95" s="5511"/>
      <c r="EL95" s="5511"/>
      <c r="EM95" s="5511"/>
      <c r="EN95" s="5511"/>
      <c r="EO95" s="5511"/>
      <c r="EP95" s="5511"/>
      <c r="EQ95" s="5511"/>
      <c r="ER95" s="5511"/>
      <c r="ES95" s="5511"/>
      <c r="ET95" s="5511"/>
      <c r="EU95" s="5511"/>
      <c r="EV95" s="5511"/>
      <c r="EW95" s="5511"/>
      <c r="EX95" s="5511"/>
      <c r="EY95" s="5511"/>
      <c r="EZ95" s="5511"/>
      <c r="FA95" s="5512"/>
    </row>
    <row r="96" spans="1:157" s="2016" customFormat="1" ht="15" customHeight="1">
      <c r="A96" s="16055" t="s">
        <v>1129</v>
      </c>
      <c r="B96" s="2015" t="s">
        <v>1130</v>
      </c>
      <c r="C96" s="5020" t="s">
        <v>8079</v>
      </c>
      <c r="D96" s="5020" t="s">
        <v>1131</v>
      </c>
      <c r="E96" s="5020" t="s">
        <v>1132</v>
      </c>
      <c r="F96" s="5116" t="s">
        <v>1073</v>
      </c>
      <c r="G96" s="5118">
        <v>0.5</v>
      </c>
      <c r="H96" s="5018">
        <v>2</v>
      </c>
      <c r="I96" s="5018">
        <v>2</v>
      </c>
      <c r="J96" s="5018">
        <v>4</v>
      </c>
      <c r="K96" s="5018">
        <v>4</v>
      </c>
      <c r="L96" s="5018">
        <v>4</v>
      </c>
      <c r="M96" s="5018">
        <v>6</v>
      </c>
      <c r="N96" s="5018">
        <v>6</v>
      </c>
      <c r="O96" s="5018">
        <v>6</v>
      </c>
      <c r="P96" s="5018">
        <v>6</v>
      </c>
      <c r="Q96" s="5018">
        <v>6</v>
      </c>
      <c r="R96" s="5017" t="s">
        <v>10072</v>
      </c>
      <c r="S96" s="5490" t="s">
        <v>1133</v>
      </c>
      <c r="T96" s="5016"/>
      <c r="U96" s="5491"/>
      <c r="V96" s="16210"/>
      <c r="W96" s="5016"/>
      <c r="X96" s="5016"/>
      <c r="Y96" s="5018"/>
      <c r="Z96" s="5492"/>
      <c r="AA96" s="5492"/>
      <c r="AB96" s="5493"/>
      <c r="AC96" s="5493"/>
      <c r="AD96" s="5494"/>
      <c r="AE96" s="5494"/>
      <c r="AF96" s="5494"/>
      <c r="AG96" s="5494"/>
      <c r="AH96" s="5494"/>
      <c r="AI96" s="5494"/>
      <c r="AJ96" s="5494"/>
      <c r="AK96" s="5494"/>
      <c r="AL96" s="5494"/>
      <c r="AM96" s="5494"/>
      <c r="AN96" s="5494"/>
      <c r="AO96" s="5494"/>
      <c r="AP96" s="5494"/>
      <c r="AQ96" s="5494"/>
      <c r="AR96" s="5494"/>
      <c r="AS96" s="5494"/>
      <c r="AT96" s="5494"/>
      <c r="AU96" s="5494"/>
      <c r="AV96" s="5494"/>
      <c r="AW96" s="5494"/>
      <c r="AX96" s="5494"/>
      <c r="AY96" s="5494"/>
      <c r="AZ96" s="5494"/>
      <c r="BA96" s="5494"/>
      <c r="BB96" s="5494"/>
      <c r="BC96" s="5494"/>
      <c r="BD96" s="5494"/>
      <c r="BE96" s="5494"/>
      <c r="BF96" s="5494"/>
      <c r="BG96" s="5494"/>
      <c r="BH96" s="5494"/>
      <c r="BI96" s="5494"/>
      <c r="BJ96" s="5494"/>
      <c r="BK96" s="5494"/>
      <c r="BL96" s="5494"/>
      <c r="BM96" s="5494"/>
      <c r="BN96" s="5491">
        <v>1</v>
      </c>
      <c r="BO96" s="16184"/>
      <c r="BP96" s="5016" t="s">
        <v>9496</v>
      </c>
      <c r="BQ96" s="5016" t="s">
        <v>9497</v>
      </c>
      <c r="BR96" s="5018"/>
      <c r="BS96" s="5495">
        <f>+SUM(BT96:BV96)</f>
        <v>117130202.30000001</v>
      </c>
      <c r="BT96" s="5495">
        <v>117130202.30000001</v>
      </c>
      <c r="BU96" s="5015">
        <v>0</v>
      </c>
      <c r="BV96" s="5015">
        <v>0</v>
      </c>
      <c r="BW96" s="5015"/>
      <c r="BX96" s="5015"/>
      <c r="BY96" s="5015"/>
      <c r="BZ96" s="5015"/>
      <c r="CA96" s="5015"/>
      <c r="CB96" s="5015"/>
      <c r="CC96" s="5015"/>
      <c r="CD96" s="5015"/>
      <c r="CE96" s="5015"/>
      <c r="CF96" s="5015"/>
      <c r="CG96" s="5015"/>
      <c r="CH96" s="5015"/>
      <c r="CI96" s="5015"/>
      <c r="CJ96" s="5015"/>
      <c r="CK96" s="5015"/>
      <c r="CL96" s="5015"/>
      <c r="CM96" s="5015"/>
      <c r="CN96" s="5015"/>
      <c r="CO96" s="5015"/>
      <c r="CP96" s="5015"/>
      <c r="CQ96" s="5015"/>
      <c r="CR96" s="5015"/>
      <c r="CS96" s="5015"/>
      <c r="CT96" s="5015"/>
      <c r="CU96" s="5015"/>
      <c r="CV96" s="5015"/>
      <c r="CW96" s="5015"/>
      <c r="CX96" s="5015"/>
      <c r="CY96" s="5015"/>
      <c r="CZ96" s="5015"/>
      <c r="DA96" s="5015"/>
      <c r="DB96" s="5015"/>
      <c r="DC96" s="5015"/>
      <c r="DD96" s="5015"/>
      <c r="DE96" s="5015"/>
      <c r="DF96" s="5015"/>
      <c r="DG96" s="5496"/>
      <c r="DH96" s="5496"/>
      <c r="DI96" s="5496"/>
      <c r="DJ96" s="5496"/>
      <c r="DK96" s="5496"/>
      <c r="DL96" s="5496"/>
      <c r="DM96" s="5496"/>
      <c r="DN96" s="5496"/>
      <c r="DO96" s="5496"/>
      <c r="DP96" s="5496"/>
      <c r="DQ96" s="5496"/>
      <c r="DR96" s="5496"/>
      <c r="DS96" s="5496"/>
      <c r="DT96" s="5496"/>
      <c r="DU96" s="5496"/>
      <c r="DV96" s="5496"/>
      <c r="DW96" s="5496"/>
      <c r="DX96" s="5496"/>
      <c r="DY96" s="5496"/>
      <c r="DZ96" s="5496"/>
      <c r="EA96" s="5496"/>
      <c r="EB96" s="5496"/>
      <c r="EC96" s="5496"/>
      <c r="ED96" s="5496"/>
      <c r="EE96" s="5496"/>
      <c r="EF96" s="5496"/>
      <c r="EG96" s="5496"/>
      <c r="EH96" s="5496"/>
      <c r="EI96" s="5496"/>
      <c r="EJ96" s="5496"/>
      <c r="EK96" s="5496"/>
      <c r="EL96" s="5496"/>
      <c r="EM96" s="5496"/>
      <c r="EN96" s="5496"/>
      <c r="EO96" s="5496"/>
      <c r="EP96" s="5496"/>
      <c r="EQ96" s="5496"/>
      <c r="ER96" s="5496"/>
      <c r="ES96" s="5496"/>
      <c r="ET96" s="5496"/>
      <c r="EU96" s="5496"/>
      <c r="EV96" s="5496"/>
      <c r="EW96" s="5496"/>
      <c r="EX96" s="5496"/>
      <c r="EY96" s="5496"/>
      <c r="EZ96" s="5496"/>
      <c r="FA96" s="5497"/>
    </row>
    <row r="97" spans="1:157" s="2016" customFormat="1" ht="15" customHeight="1">
      <c r="A97" s="16056"/>
      <c r="B97" s="16066" t="s">
        <v>1134</v>
      </c>
      <c r="C97" s="16066" t="s">
        <v>8080</v>
      </c>
      <c r="D97" s="16066" t="s">
        <v>1135</v>
      </c>
      <c r="E97" s="16066" t="s">
        <v>1136</v>
      </c>
      <c r="F97" s="16182" t="s">
        <v>1073</v>
      </c>
      <c r="G97" s="16183">
        <v>1</v>
      </c>
      <c r="H97" s="16037">
        <v>0</v>
      </c>
      <c r="I97" s="16037">
        <v>1</v>
      </c>
      <c r="J97" s="16037">
        <v>1</v>
      </c>
      <c r="K97" s="16037">
        <v>1</v>
      </c>
      <c r="L97" s="16037">
        <v>1</v>
      </c>
      <c r="M97" s="16037">
        <v>1</v>
      </c>
      <c r="N97" s="16037">
        <v>1</v>
      </c>
      <c r="O97" s="16037">
        <v>1</v>
      </c>
      <c r="P97" s="16037">
        <v>1</v>
      </c>
      <c r="Q97" s="16037">
        <v>1</v>
      </c>
      <c r="R97" s="5305" t="s">
        <v>10072</v>
      </c>
      <c r="S97" s="5306" t="s">
        <v>1137</v>
      </c>
      <c r="T97" s="5300"/>
      <c r="U97" s="5301"/>
      <c r="V97" s="16211"/>
      <c r="W97" s="5303"/>
      <c r="X97" s="5303"/>
      <c r="Y97" s="5303"/>
      <c r="Z97" s="5302"/>
      <c r="AA97" s="5302"/>
      <c r="AB97" s="5302"/>
      <c r="AC97" s="5302"/>
      <c r="AD97" s="5303"/>
      <c r="AE97" s="5303"/>
      <c r="AF97" s="5303"/>
      <c r="AG97" s="5303"/>
      <c r="AH97" s="5303"/>
      <c r="AI97" s="5303"/>
      <c r="AJ97" s="5303"/>
      <c r="AK97" s="5303"/>
      <c r="AL97" s="5303"/>
      <c r="AM97" s="5303"/>
      <c r="AN97" s="5303"/>
      <c r="AO97" s="5303"/>
      <c r="AP97" s="5303"/>
      <c r="AQ97" s="5303"/>
      <c r="AR97" s="5303"/>
      <c r="AS97" s="5303"/>
      <c r="AT97" s="5303"/>
      <c r="AU97" s="5303"/>
      <c r="AV97" s="5303"/>
      <c r="AW97" s="5303"/>
      <c r="AX97" s="5303"/>
      <c r="AY97" s="5303"/>
      <c r="AZ97" s="5303"/>
      <c r="BA97" s="5303"/>
      <c r="BB97" s="5303"/>
      <c r="BC97" s="5303"/>
      <c r="BD97" s="5303"/>
      <c r="BE97" s="5303"/>
      <c r="BF97" s="5303"/>
      <c r="BG97" s="5303"/>
      <c r="BH97" s="5303"/>
      <c r="BI97" s="5303"/>
      <c r="BJ97" s="5303"/>
      <c r="BK97" s="5303"/>
      <c r="BL97" s="5303"/>
      <c r="BM97" s="5303"/>
      <c r="BN97" s="5301">
        <v>0</v>
      </c>
      <c r="BO97" s="16146"/>
      <c r="BP97" s="5303"/>
      <c r="BQ97" s="5303"/>
      <c r="BR97" s="5303"/>
      <c r="BS97" s="5304">
        <v>0</v>
      </c>
      <c r="BT97" s="5304">
        <v>0</v>
      </c>
      <c r="BU97" s="5304">
        <v>0</v>
      </c>
      <c r="BV97" s="5304">
        <v>0</v>
      </c>
      <c r="BW97" s="5304"/>
      <c r="BX97" s="5304"/>
      <c r="BY97" s="5304"/>
      <c r="BZ97" s="5304"/>
      <c r="CA97" s="5304"/>
      <c r="CB97" s="5304"/>
      <c r="CC97" s="5304"/>
      <c r="CD97" s="5304"/>
      <c r="CE97" s="5304"/>
      <c r="CF97" s="5304"/>
      <c r="CG97" s="5304"/>
      <c r="CH97" s="5304"/>
      <c r="CI97" s="5304"/>
      <c r="CJ97" s="5304"/>
      <c r="CK97" s="5304"/>
      <c r="CL97" s="5304"/>
      <c r="CM97" s="5304"/>
      <c r="CN97" s="5304"/>
      <c r="CO97" s="5304"/>
      <c r="CP97" s="5304"/>
      <c r="CQ97" s="5304"/>
      <c r="CR97" s="5304"/>
      <c r="CS97" s="5304"/>
      <c r="CT97" s="5304"/>
      <c r="CU97" s="5304"/>
      <c r="CV97" s="5304"/>
      <c r="CW97" s="5304"/>
      <c r="CX97" s="5304"/>
      <c r="CY97" s="5304"/>
      <c r="CZ97" s="5304"/>
      <c r="DA97" s="5304"/>
      <c r="DB97" s="5304"/>
      <c r="DC97" s="5304"/>
      <c r="DD97" s="5304"/>
      <c r="DE97" s="5304"/>
      <c r="DF97" s="5304"/>
      <c r="DG97" s="5454"/>
      <c r="DH97" s="5454"/>
      <c r="DI97" s="5454"/>
      <c r="DJ97" s="5454"/>
      <c r="DK97" s="5454"/>
      <c r="DL97" s="5454"/>
      <c r="DM97" s="5454"/>
      <c r="DN97" s="5454"/>
      <c r="DO97" s="5454"/>
      <c r="DP97" s="5454"/>
      <c r="DQ97" s="5454"/>
      <c r="DR97" s="5454"/>
      <c r="DS97" s="5454"/>
      <c r="DT97" s="5454"/>
      <c r="DU97" s="5454"/>
      <c r="DV97" s="5454"/>
      <c r="DW97" s="5454"/>
      <c r="DX97" s="5454"/>
      <c r="DY97" s="5454"/>
      <c r="DZ97" s="5454"/>
      <c r="EA97" s="5454"/>
      <c r="EB97" s="5454"/>
      <c r="EC97" s="5454"/>
      <c r="ED97" s="5454"/>
      <c r="EE97" s="5454"/>
      <c r="EF97" s="5454"/>
      <c r="EG97" s="5454"/>
      <c r="EH97" s="5454"/>
      <c r="EI97" s="5454"/>
      <c r="EJ97" s="5454"/>
      <c r="EK97" s="5454"/>
      <c r="EL97" s="5454"/>
      <c r="EM97" s="5454"/>
      <c r="EN97" s="5454"/>
      <c r="EO97" s="5454"/>
      <c r="EP97" s="5454"/>
      <c r="EQ97" s="5454"/>
      <c r="ER97" s="5454"/>
      <c r="ES97" s="5454"/>
      <c r="ET97" s="5454"/>
      <c r="EU97" s="5454"/>
      <c r="EV97" s="5454"/>
      <c r="EW97" s="5454"/>
      <c r="EX97" s="5454"/>
      <c r="EY97" s="5454"/>
      <c r="EZ97" s="5454"/>
      <c r="FA97" s="5465"/>
    </row>
    <row r="98" spans="1:157" s="2016" customFormat="1" ht="15" customHeight="1">
      <c r="A98" s="16056"/>
      <c r="B98" s="16066"/>
      <c r="C98" s="16066"/>
      <c r="D98" s="16066"/>
      <c r="E98" s="16066"/>
      <c r="F98" s="16182"/>
      <c r="G98" s="16183"/>
      <c r="H98" s="16037"/>
      <c r="I98" s="16037"/>
      <c r="J98" s="16037"/>
      <c r="K98" s="16037"/>
      <c r="L98" s="16037"/>
      <c r="M98" s="16037"/>
      <c r="N98" s="16037"/>
      <c r="O98" s="16037"/>
      <c r="P98" s="16037"/>
      <c r="Q98" s="16037"/>
      <c r="R98" s="5305" t="s">
        <v>10194</v>
      </c>
      <c r="S98" s="5306"/>
      <c r="T98" s="5300" t="s">
        <v>1138</v>
      </c>
      <c r="U98" s="5301"/>
      <c r="V98" s="16211"/>
      <c r="W98" s="5300"/>
      <c r="X98" s="5300"/>
      <c r="Y98" s="2746"/>
      <c r="Z98" s="5378"/>
      <c r="AA98" s="5378"/>
      <c r="AB98" s="5378"/>
      <c r="AC98" s="5302"/>
      <c r="AD98" s="5303"/>
      <c r="AE98" s="5303"/>
      <c r="AF98" s="5303"/>
      <c r="AG98" s="5303"/>
      <c r="AH98" s="5303"/>
      <c r="AI98" s="5303"/>
      <c r="AJ98" s="5303"/>
      <c r="AK98" s="5303"/>
      <c r="AL98" s="5303"/>
      <c r="AM98" s="5303"/>
      <c r="AN98" s="5303"/>
      <c r="AO98" s="5303"/>
      <c r="AP98" s="5303"/>
      <c r="AQ98" s="5303"/>
      <c r="AR98" s="5303"/>
      <c r="AS98" s="5303"/>
      <c r="AT98" s="5303"/>
      <c r="AU98" s="5303"/>
      <c r="AV98" s="5303"/>
      <c r="AW98" s="5303"/>
      <c r="AX98" s="5303"/>
      <c r="AY98" s="5303"/>
      <c r="AZ98" s="5303"/>
      <c r="BA98" s="5303"/>
      <c r="BB98" s="5303"/>
      <c r="BC98" s="5303"/>
      <c r="BD98" s="5303"/>
      <c r="BE98" s="5303"/>
      <c r="BF98" s="5303"/>
      <c r="BG98" s="5303"/>
      <c r="BH98" s="5303"/>
      <c r="BI98" s="5303"/>
      <c r="BJ98" s="5303"/>
      <c r="BK98" s="5303"/>
      <c r="BL98" s="5303"/>
      <c r="BM98" s="5303"/>
      <c r="BN98" s="5301">
        <v>1</v>
      </c>
      <c r="BO98" s="16146"/>
      <c r="BP98" s="5300" t="s">
        <v>9498</v>
      </c>
      <c r="BQ98" s="5300" t="s">
        <v>9499</v>
      </c>
      <c r="BR98" s="2746"/>
      <c r="BS98" s="5379">
        <f t="shared" ref="BS98" si="6">+SUM(BT98:BV98)</f>
        <v>1054171820.7</v>
      </c>
      <c r="BT98" s="5379">
        <v>1054171820.7</v>
      </c>
      <c r="BU98" s="5379">
        <v>0</v>
      </c>
      <c r="BV98" s="5304">
        <v>0</v>
      </c>
      <c r="BW98" s="5304"/>
      <c r="BX98" s="5304"/>
      <c r="BY98" s="5304"/>
      <c r="BZ98" s="5304"/>
      <c r="CA98" s="5304"/>
      <c r="CB98" s="5304"/>
      <c r="CC98" s="5304"/>
      <c r="CD98" s="5304"/>
      <c r="CE98" s="5304"/>
      <c r="CF98" s="5304"/>
      <c r="CG98" s="5304"/>
      <c r="CH98" s="5304"/>
      <c r="CI98" s="5304"/>
      <c r="CJ98" s="5304"/>
      <c r="CK98" s="5304"/>
      <c r="CL98" s="5304"/>
      <c r="CM98" s="5304"/>
      <c r="CN98" s="5304"/>
      <c r="CO98" s="5304"/>
      <c r="CP98" s="5304"/>
      <c r="CQ98" s="5304"/>
      <c r="CR98" s="5304"/>
      <c r="CS98" s="5304"/>
      <c r="CT98" s="5304"/>
      <c r="CU98" s="5304"/>
      <c r="CV98" s="5304"/>
      <c r="CW98" s="5304"/>
      <c r="CX98" s="5304"/>
      <c r="CY98" s="5304"/>
      <c r="CZ98" s="5304"/>
      <c r="DA98" s="5304"/>
      <c r="DB98" s="5304"/>
      <c r="DC98" s="5304"/>
      <c r="DD98" s="5304"/>
      <c r="DE98" s="5304"/>
      <c r="DF98" s="5304"/>
      <c r="DG98" s="5454"/>
      <c r="DH98" s="5454"/>
      <c r="DI98" s="5454"/>
      <c r="DJ98" s="5454"/>
      <c r="DK98" s="5454"/>
      <c r="DL98" s="5454"/>
      <c r="DM98" s="5454"/>
      <c r="DN98" s="5454"/>
      <c r="DO98" s="5454"/>
      <c r="DP98" s="5454"/>
      <c r="DQ98" s="5454"/>
      <c r="DR98" s="5454"/>
      <c r="DS98" s="5454"/>
      <c r="DT98" s="5454"/>
      <c r="DU98" s="5454"/>
      <c r="DV98" s="5454"/>
      <c r="DW98" s="5454"/>
      <c r="DX98" s="5454"/>
      <c r="DY98" s="5454"/>
      <c r="DZ98" s="5454"/>
      <c r="EA98" s="5454"/>
      <c r="EB98" s="5454"/>
      <c r="EC98" s="5454"/>
      <c r="ED98" s="5454"/>
      <c r="EE98" s="5454"/>
      <c r="EF98" s="5454"/>
      <c r="EG98" s="5454"/>
      <c r="EH98" s="5454"/>
      <c r="EI98" s="5454"/>
      <c r="EJ98" s="5454"/>
      <c r="EK98" s="5454"/>
      <c r="EL98" s="5454"/>
      <c r="EM98" s="5454"/>
      <c r="EN98" s="5454"/>
      <c r="EO98" s="5454"/>
      <c r="EP98" s="5454"/>
      <c r="EQ98" s="5454"/>
      <c r="ER98" s="5454"/>
      <c r="ES98" s="5454"/>
      <c r="ET98" s="5454"/>
      <c r="EU98" s="5454"/>
      <c r="EV98" s="5454"/>
      <c r="EW98" s="5454"/>
      <c r="EX98" s="5454"/>
      <c r="EY98" s="5454"/>
      <c r="EZ98" s="5454"/>
      <c r="FA98" s="5465"/>
    </row>
    <row r="99" spans="1:157" s="2016" customFormat="1" ht="15" customHeight="1">
      <c r="A99" s="16056"/>
      <c r="B99" s="16066"/>
      <c r="C99" s="16066" t="s">
        <v>8081</v>
      </c>
      <c r="D99" s="16066" t="s">
        <v>1139</v>
      </c>
      <c r="E99" s="16066" t="s">
        <v>1140</v>
      </c>
      <c r="F99" s="16182" t="s">
        <v>1073</v>
      </c>
      <c r="G99" s="16183">
        <v>1</v>
      </c>
      <c r="H99" s="16038">
        <v>1</v>
      </c>
      <c r="I99" s="16038">
        <v>1</v>
      </c>
      <c r="J99" s="16038">
        <v>1</v>
      </c>
      <c r="K99" s="16038">
        <v>1</v>
      </c>
      <c r="L99" s="16038">
        <v>1</v>
      </c>
      <c r="M99" s="16038">
        <v>1</v>
      </c>
      <c r="N99" s="16038">
        <v>1</v>
      </c>
      <c r="O99" s="16038">
        <v>1</v>
      </c>
      <c r="P99" s="16038">
        <v>1</v>
      </c>
      <c r="Q99" s="16038">
        <v>1</v>
      </c>
      <c r="R99" s="5305" t="s">
        <v>10072</v>
      </c>
      <c r="S99" s="5306" t="s">
        <v>1141</v>
      </c>
      <c r="T99" s="5300"/>
      <c r="U99" s="5301"/>
      <c r="V99" s="16211"/>
      <c r="W99" s="5303"/>
      <c r="X99" s="5303"/>
      <c r="Y99" s="5303"/>
      <c r="Z99" s="5302"/>
      <c r="AA99" s="5302"/>
      <c r="AB99" s="5302"/>
      <c r="AC99" s="5302"/>
      <c r="AD99" s="5303"/>
      <c r="AE99" s="5303"/>
      <c r="AF99" s="5303"/>
      <c r="AG99" s="5303"/>
      <c r="AH99" s="5303"/>
      <c r="AI99" s="5303"/>
      <c r="AJ99" s="5303"/>
      <c r="AK99" s="5303"/>
      <c r="AL99" s="5303"/>
      <c r="AM99" s="5303"/>
      <c r="AN99" s="5303"/>
      <c r="AO99" s="5303"/>
      <c r="AP99" s="5303"/>
      <c r="AQ99" s="5303"/>
      <c r="AR99" s="5303"/>
      <c r="AS99" s="5303"/>
      <c r="AT99" s="5303"/>
      <c r="AU99" s="5303"/>
      <c r="AV99" s="5303"/>
      <c r="AW99" s="5303"/>
      <c r="AX99" s="5303"/>
      <c r="AY99" s="5303"/>
      <c r="AZ99" s="5303"/>
      <c r="BA99" s="5303"/>
      <c r="BB99" s="5303"/>
      <c r="BC99" s="5303"/>
      <c r="BD99" s="5303"/>
      <c r="BE99" s="5303"/>
      <c r="BF99" s="5303"/>
      <c r="BG99" s="5303"/>
      <c r="BH99" s="5303"/>
      <c r="BI99" s="5303"/>
      <c r="BJ99" s="5303"/>
      <c r="BK99" s="5303"/>
      <c r="BL99" s="5303"/>
      <c r="BM99" s="5303"/>
      <c r="BN99" s="5301">
        <v>0</v>
      </c>
      <c r="BO99" s="16146"/>
      <c r="BP99" s="5303"/>
      <c r="BQ99" s="5303"/>
      <c r="BR99" s="5303"/>
      <c r="BS99" s="5304">
        <v>0</v>
      </c>
      <c r="BT99" s="5304">
        <v>0</v>
      </c>
      <c r="BU99" s="5304">
        <v>0</v>
      </c>
      <c r="BV99" s="5304">
        <v>0</v>
      </c>
      <c r="BW99" s="5304"/>
      <c r="BX99" s="5304"/>
      <c r="BY99" s="5304"/>
      <c r="BZ99" s="5304"/>
      <c r="CA99" s="5304"/>
      <c r="CB99" s="5304"/>
      <c r="CC99" s="5304"/>
      <c r="CD99" s="5304"/>
      <c r="CE99" s="5304"/>
      <c r="CF99" s="5304"/>
      <c r="CG99" s="5304"/>
      <c r="CH99" s="5304"/>
      <c r="CI99" s="5304"/>
      <c r="CJ99" s="5304"/>
      <c r="CK99" s="5304"/>
      <c r="CL99" s="5304"/>
      <c r="CM99" s="5304"/>
      <c r="CN99" s="5304"/>
      <c r="CO99" s="5304"/>
      <c r="CP99" s="5304"/>
      <c r="CQ99" s="5304"/>
      <c r="CR99" s="5304"/>
      <c r="CS99" s="5304"/>
      <c r="CT99" s="5304"/>
      <c r="CU99" s="5304"/>
      <c r="CV99" s="5304"/>
      <c r="CW99" s="5304"/>
      <c r="CX99" s="5304"/>
      <c r="CY99" s="5304"/>
      <c r="CZ99" s="5304"/>
      <c r="DA99" s="5304"/>
      <c r="DB99" s="5304"/>
      <c r="DC99" s="5304"/>
      <c r="DD99" s="5304"/>
      <c r="DE99" s="5304"/>
      <c r="DF99" s="5304"/>
      <c r="DG99" s="5454"/>
      <c r="DH99" s="5454"/>
      <c r="DI99" s="5454"/>
      <c r="DJ99" s="5454"/>
      <c r="DK99" s="5454"/>
      <c r="DL99" s="5454"/>
      <c r="DM99" s="5454"/>
      <c r="DN99" s="5454"/>
      <c r="DO99" s="5454"/>
      <c r="DP99" s="5454"/>
      <c r="DQ99" s="5454"/>
      <c r="DR99" s="5454"/>
      <c r="DS99" s="5454"/>
      <c r="DT99" s="5454"/>
      <c r="DU99" s="5454"/>
      <c r="DV99" s="5454"/>
      <c r="DW99" s="5454"/>
      <c r="DX99" s="5454"/>
      <c r="DY99" s="5454"/>
      <c r="DZ99" s="5454"/>
      <c r="EA99" s="5454"/>
      <c r="EB99" s="5454"/>
      <c r="EC99" s="5454"/>
      <c r="ED99" s="5454"/>
      <c r="EE99" s="5454"/>
      <c r="EF99" s="5454"/>
      <c r="EG99" s="5454"/>
      <c r="EH99" s="5454"/>
      <c r="EI99" s="5454"/>
      <c r="EJ99" s="5454"/>
      <c r="EK99" s="5454"/>
      <c r="EL99" s="5454"/>
      <c r="EM99" s="5454"/>
      <c r="EN99" s="5454"/>
      <c r="EO99" s="5454"/>
      <c r="EP99" s="5454"/>
      <c r="EQ99" s="5454"/>
      <c r="ER99" s="5454"/>
      <c r="ES99" s="5454"/>
      <c r="ET99" s="5454"/>
      <c r="EU99" s="5454"/>
      <c r="EV99" s="5454"/>
      <c r="EW99" s="5454"/>
      <c r="EX99" s="5454"/>
      <c r="EY99" s="5454"/>
      <c r="EZ99" s="5454"/>
      <c r="FA99" s="5465"/>
    </row>
    <row r="100" spans="1:157" s="2016" customFormat="1" ht="15" customHeight="1">
      <c r="A100" s="16056"/>
      <c r="B100" s="16066"/>
      <c r="C100" s="16066"/>
      <c r="D100" s="16066"/>
      <c r="E100" s="16066"/>
      <c r="F100" s="16182"/>
      <c r="G100" s="16183"/>
      <c r="H100" s="16038"/>
      <c r="I100" s="16038"/>
      <c r="J100" s="16038"/>
      <c r="K100" s="16038"/>
      <c r="L100" s="16038"/>
      <c r="M100" s="16038"/>
      <c r="N100" s="16038"/>
      <c r="O100" s="16038"/>
      <c r="P100" s="16038"/>
      <c r="Q100" s="16038"/>
      <c r="R100" s="5305" t="s">
        <v>10092</v>
      </c>
      <c r="S100" s="5306"/>
      <c r="T100" s="5300" t="s">
        <v>10256</v>
      </c>
      <c r="U100" s="5301"/>
      <c r="V100" s="16211"/>
      <c r="W100" s="5300"/>
      <c r="X100" s="5300"/>
      <c r="Y100" s="5303"/>
      <c r="Z100" s="5302"/>
      <c r="AA100" s="5302"/>
      <c r="AB100" s="5302"/>
      <c r="AC100" s="5302"/>
      <c r="AD100" s="5303"/>
      <c r="AE100" s="5303"/>
      <c r="AF100" s="5303"/>
      <c r="AG100" s="5303"/>
      <c r="AH100" s="5303"/>
      <c r="AI100" s="5303"/>
      <c r="AJ100" s="5303"/>
      <c r="AK100" s="5303"/>
      <c r="AL100" s="5303"/>
      <c r="AM100" s="5303"/>
      <c r="AN100" s="5303"/>
      <c r="AO100" s="5303"/>
      <c r="AP100" s="5303"/>
      <c r="AQ100" s="5303"/>
      <c r="AR100" s="5303"/>
      <c r="AS100" s="5303"/>
      <c r="AT100" s="5303"/>
      <c r="AU100" s="5303"/>
      <c r="AV100" s="5303"/>
      <c r="AW100" s="5303"/>
      <c r="AX100" s="5303"/>
      <c r="AY100" s="5303"/>
      <c r="AZ100" s="5303"/>
      <c r="BA100" s="5303"/>
      <c r="BB100" s="5303"/>
      <c r="BC100" s="5303"/>
      <c r="BD100" s="5303"/>
      <c r="BE100" s="5303"/>
      <c r="BF100" s="5303"/>
      <c r="BG100" s="5303"/>
      <c r="BH100" s="5303"/>
      <c r="BI100" s="5303"/>
      <c r="BJ100" s="5303"/>
      <c r="BK100" s="5303"/>
      <c r="BL100" s="5303"/>
      <c r="BM100" s="5303"/>
      <c r="BN100" s="5301">
        <v>1</v>
      </c>
      <c r="BO100" s="16146"/>
      <c r="BP100" s="5300" t="s">
        <v>9500</v>
      </c>
      <c r="BQ100" s="5300" t="s">
        <v>9501</v>
      </c>
      <c r="BR100" s="5303"/>
      <c r="BS100" s="5304">
        <v>0</v>
      </c>
      <c r="BT100" s="5304">
        <v>0</v>
      </c>
      <c r="BU100" s="5304">
        <v>0</v>
      </c>
      <c r="BV100" s="5304">
        <v>0</v>
      </c>
      <c r="BW100" s="5304"/>
      <c r="BX100" s="5304"/>
      <c r="BY100" s="5304"/>
      <c r="BZ100" s="5304"/>
      <c r="CA100" s="5304"/>
      <c r="CB100" s="5304"/>
      <c r="CC100" s="5304"/>
      <c r="CD100" s="5304"/>
      <c r="CE100" s="5304"/>
      <c r="CF100" s="5304"/>
      <c r="CG100" s="5304"/>
      <c r="CH100" s="5304"/>
      <c r="CI100" s="5304"/>
      <c r="CJ100" s="5304"/>
      <c r="CK100" s="5304"/>
      <c r="CL100" s="5304"/>
      <c r="CM100" s="5304"/>
      <c r="CN100" s="5304"/>
      <c r="CO100" s="5304"/>
      <c r="CP100" s="5304"/>
      <c r="CQ100" s="5304"/>
      <c r="CR100" s="5304"/>
      <c r="CS100" s="5304"/>
      <c r="CT100" s="5304"/>
      <c r="CU100" s="5304"/>
      <c r="CV100" s="5304"/>
      <c r="CW100" s="5304"/>
      <c r="CX100" s="5304"/>
      <c r="CY100" s="5304"/>
      <c r="CZ100" s="5304"/>
      <c r="DA100" s="5304"/>
      <c r="DB100" s="5304"/>
      <c r="DC100" s="5304"/>
      <c r="DD100" s="5304"/>
      <c r="DE100" s="5304"/>
      <c r="DF100" s="5304"/>
      <c r="DG100" s="5454"/>
      <c r="DH100" s="5454"/>
      <c r="DI100" s="5454"/>
      <c r="DJ100" s="5454"/>
      <c r="DK100" s="5454"/>
      <c r="DL100" s="5454"/>
      <c r="DM100" s="5454"/>
      <c r="DN100" s="5454"/>
      <c r="DO100" s="5454"/>
      <c r="DP100" s="5454"/>
      <c r="DQ100" s="5454"/>
      <c r="DR100" s="5454"/>
      <c r="DS100" s="5454"/>
      <c r="DT100" s="5454"/>
      <c r="DU100" s="5454"/>
      <c r="DV100" s="5454"/>
      <c r="DW100" s="5454"/>
      <c r="DX100" s="5454"/>
      <c r="DY100" s="5454"/>
      <c r="DZ100" s="5454"/>
      <c r="EA100" s="5454"/>
      <c r="EB100" s="5454"/>
      <c r="EC100" s="5454"/>
      <c r="ED100" s="5454"/>
      <c r="EE100" s="5454"/>
      <c r="EF100" s="5454"/>
      <c r="EG100" s="5454"/>
      <c r="EH100" s="5454"/>
      <c r="EI100" s="5454"/>
      <c r="EJ100" s="5454"/>
      <c r="EK100" s="5454"/>
      <c r="EL100" s="5454"/>
      <c r="EM100" s="5454"/>
      <c r="EN100" s="5454"/>
      <c r="EO100" s="5454"/>
      <c r="EP100" s="5454"/>
      <c r="EQ100" s="5454"/>
      <c r="ER100" s="5454"/>
      <c r="ES100" s="5454"/>
      <c r="ET100" s="5454"/>
      <c r="EU100" s="5454"/>
      <c r="EV100" s="5454"/>
      <c r="EW100" s="5454"/>
      <c r="EX100" s="5454"/>
      <c r="EY100" s="5454"/>
      <c r="EZ100" s="5454"/>
      <c r="FA100" s="5465"/>
    </row>
    <row r="101" spans="1:157" s="2016" customFormat="1" ht="15" customHeight="1">
      <c r="A101" s="16056"/>
      <c r="B101" s="16066" t="s">
        <v>1142</v>
      </c>
      <c r="C101" s="5296" t="s">
        <v>8082</v>
      </c>
      <c r="D101" s="5296" t="s">
        <v>1143</v>
      </c>
      <c r="E101" s="5296" t="s">
        <v>1144</v>
      </c>
      <c r="F101" s="5297" t="s">
        <v>1073</v>
      </c>
      <c r="G101" s="5298">
        <v>1</v>
      </c>
      <c r="H101" s="5380">
        <v>5</v>
      </c>
      <c r="I101" s="5380">
        <v>5</v>
      </c>
      <c r="J101" s="5380">
        <v>5</v>
      </c>
      <c r="K101" s="5380">
        <v>5</v>
      </c>
      <c r="L101" s="5380">
        <v>0</v>
      </c>
      <c r="M101" s="5380">
        <v>0</v>
      </c>
      <c r="N101" s="5380">
        <v>0</v>
      </c>
      <c r="O101" s="5380">
        <v>0</v>
      </c>
      <c r="P101" s="5380">
        <v>0</v>
      </c>
      <c r="Q101" s="5380">
        <v>0</v>
      </c>
      <c r="R101" s="5428" t="s">
        <v>10072</v>
      </c>
      <c r="S101" s="5299" t="s">
        <v>1145</v>
      </c>
      <c r="T101" s="5300"/>
      <c r="U101" s="5301"/>
      <c r="V101" s="16211"/>
      <c r="W101" s="5300"/>
      <c r="X101" s="5300"/>
      <c r="Y101" s="2746"/>
      <c r="Z101" s="5378"/>
      <c r="AA101" s="5378"/>
      <c r="AB101" s="5378"/>
      <c r="AC101" s="5302"/>
      <c r="AD101" s="5303"/>
      <c r="AE101" s="5303"/>
      <c r="AF101" s="5303"/>
      <c r="AG101" s="5303"/>
      <c r="AH101" s="5303"/>
      <c r="AI101" s="5303"/>
      <c r="AJ101" s="5303"/>
      <c r="AK101" s="5303"/>
      <c r="AL101" s="5303"/>
      <c r="AM101" s="5303"/>
      <c r="AN101" s="5303"/>
      <c r="AO101" s="5303"/>
      <c r="AP101" s="5303"/>
      <c r="AQ101" s="5303"/>
      <c r="AR101" s="5303"/>
      <c r="AS101" s="5303"/>
      <c r="AT101" s="5303"/>
      <c r="AU101" s="5303"/>
      <c r="AV101" s="5303"/>
      <c r="AW101" s="5303"/>
      <c r="AX101" s="5303"/>
      <c r="AY101" s="5303"/>
      <c r="AZ101" s="5303"/>
      <c r="BA101" s="5303"/>
      <c r="BB101" s="5303"/>
      <c r="BC101" s="5303"/>
      <c r="BD101" s="5303"/>
      <c r="BE101" s="5303"/>
      <c r="BF101" s="5303"/>
      <c r="BG101" s="5303"/>
      <c r="BH101" s="5303"/>
      <c r="BI101" s="5303"/>
      <c r="BJ101" s="5303"/>
      <c r="BK101" s="5303"/>
      <c r="BL101" s="5303"/>
      <c r="BM101" s="5303"/>
      <c r="BN101" s="5301">
        <v>1</v>
      </c>
      <c r="BO101" s="16146"/>
      <c r="BP101" s="5300" t="s">
        <v>9502</v>
      </c>
      <c r="BQ101" s="5300" t="s">
        <v>4102</v>
      </c>
      <c r="BR101" s="2746"/>
      <c r="BS101" s="5379">
        <f t="shared" ref="BS101:BS102" si="7">+SUM(BT101:BV101)</f>
        <v>760308517</v>
      </c>
      <c r="BT101" s="5379">
        <v>456185110.19999999</v>
      </c>
      <c r="BU101" s="5379">
        <v>304123406.80000001</v>
      </c>
      <c r="BV101" s="5304">
        <v>0</v>
      </c>
      <c r="BW101" s="5304"/>
      <c r="BX101" s="5304"/>
      <c r="BY101" s="5304"/>
      <c r="BZ101" s="5304"/>
      <c r="CA101" s="5304"/>
      <c r="CB101" s="5304"/>
      <c r="CC101" s="5304"/>
      <c r="CD101" s="5304"/>
      <c r="CE101" s="5304"/>
      <c r="CF101" s="5304"/>
      <c r="CG101" s="5304"/>
      <c r="CH101" s="5304"/>
      <c r="CI101" s="5304"/>
      <c r="CJ101" s="5304"/>
      <c r="CK101" s="5304"/>
      <c r="CL101" s="5304"/>
      <c r="CM101" s="5304"/>
      <c r="CN101" s="5304"/>
      <c r="CO101" s="5304"/>
      <c r="CP101" s="5304"/>
      <c r="CQ101" s="5304"/>
      <c r="CR101" s="5304"/>
      <c r="CS101" s="5304"/>
      <c r="CT101" s="5304"/>
      <c r="CU101" s="5304"/>
      <c r="CV101" s="5304"/>
      <c r="CW101" s="5304"/>
      <c r="CX101" s="5304"/>
      <c r="CY101" s="5304"/>
      <c r="CZ101" s="5304"/>
      <c r="DA101" s="5304"/>
      <c r="DB101" s="5304"/>
      <c r="DC101" s="5304"/>
      <c r="DD101" s="5304"/>
      <c r="DE101" s="5304"/>
      <c r="DF101" s="5304"/>
      <c r="DG101" s="5454"/>
      <c r="DH101" s="5454"/>
      <c r="DI101" s="5454"/>
      <c r="DJ101" s="5454"/>
      <c r="DK101" s="5454"/>
      <c r="DL101" s="5454"/>
      <c r="DM101" s="5454"/>
      <c r="DN101" s="5454"/>
      <c r="DO101" s="5454"/>
      <c r="DP101" s="5454"/>
      <c r="DQ101" s="5454"/>
      <c r="DR101" s="5454"/>
      <c r="DS101" s="5454"/>
      <c r="DT101" s="5454"/>
      <c r="DU101" s="5454"/>
      <c r="DV101" s="5454"/>
      <c r="DW101" s="5454"/>
      <c r="DX101" s="5454"/>
      <c r="DY101" s="5454"/>
      <c r="DZ101" s="5454"/>
      <c r="EA101" s="5454"/>
      <c r="EB101" s="5454"/>
      <c r="EC101" s="5454"/>
      <c r="ED101" s="5454"/>
      <c r="EE101" s="5454"/>
      <c r="EF101" s="5454"/>
      <c r="EG101" s="5454"/>
      <c r="EH101" s="5454"/>
      <c r="EI101" s="5454"/>
      <c r="EJ101" s="5454"/>
      <c r="EK101" s="5454"/>
      <c r="EL101" s="5454"/>
      <c r="EM101" s="5454"/>
      <c r="EN101" s="5454"/>
      <c r="EO101" s="5454"/>
      <c r="EP101" s="5454"/>
      <c r="EQ101" s="5454"/>
      <c r="ER101" s="5454"/>
      <c r="ES101" s="5454"/>
      <c r="ET101" s="5454"/>
      <c r="EU101" s="5454"/>
      <c r="EV101" s="5454"/>
      <c r="EW101" s="5454"/>
      <c r="EX101" s="5454"/>
      <c r="EY101" s="5454"/>
      <c r="EZ101" s="5454"/>
      <c r="FA101" s="5465"/>
    </row>
    <row r="102" spans="1:157" s="2016" customFormat="1" ht="15" customHeight="1">
      <c r="A102" s="16056"/>
      <c r="B102" s="16066"/>
      <c r="C102" s="5296" t="s">
        <v>8083</v>
      </c>
      <c r="D102" s="5296" t="s">
        <v>1146</v>
      </c>
      <c r="E102" s="5296" t="s">
        <v>1147</v>
      </c>
      <c r="F102" s="5297" t="s">
        <v>1073</v>
      </c>
      <c r="G102" s="5298">
        <v>0</v>
      </c>
      <c r="H102" s="2746">
        <v>0</v>
      </c>
      <c r="I102" s="2746">
        <v>1</v>
      </c>
      <c r="J102" s="2746">
        <v>1</v>
      </c>
      <c r="K102" s="2746">
        <v>1</v>
      </c>
      <c r="L102" s="2746">
        <v>1</v>
      </c>
      <c r="M102" s="2746">
        <v>1</v>
      </c>
      <c r="N102" s="2746">
        <v>1</v>
      </c>
      <c r="O102" s="2746">
        <v>1</v>
      </c>
      <c r="P102" s="2746">
        <v>1</v>
      </c>
      <c r="Q102" s="2746">
        <v>1</v>
      </c>
      <c r="R102" s="5428" t="s">
        <v>10072</v>
      </c>
      <c r="S102" s="5299" t="s">
        <v>1148</v>
      </c>
      <c r="T102" s="5300"/>
      <c r="U102" s="5301"/>
      <c r="V102" s="16211"/>
      <c r="W102" s="5300"/>
      <c r="X102" s="5300"/>
      <c r="Y102" s="2746"/>
      <c r="Z102" s="5378"/>
      <c r="AA102" s="5378"/>
      <c r="AB102" s="5378"/>
      <c r="AC102" s="5302"/>
      <c r="AD102" s="5303"/>
      <c r="AE102" s="5303"/>
      <c r="AF102" s="5303"/>
      <c r="AG102" s="5303"/>
      <c r="AH102" s="5303"/>
      <c r="AI102" s="5303"/>
      <c r="AJ102" s="5303"/>
      <c r="AK102" s="5303"/>
      <c r="AL102" s="5303"/>
      <c r="AM102" s="5303"/>
      <c r="AN102" s="5303"/>
      <c r="AO102" s="5303"/>
      <c r="AP102" s="5303"/>
      <c r="AQ102" s="5303"/>
      <c r="AR102" s="5303"/>
      <c r="AS102" s="5303"/>
      <c r="AT102" s="5303"/>
      <c r="AU102" s="5303"/>
      <c r="AV102" s="5303"/>
      <c r="AW102" s="5303"/>
      <c r="AX102" s="5303"/>
      <c r="AY102" s="5303"/>
      <c r="AZ102" s="5303"/>
      <c r="BA102" s="5303"/>
      <c r="BB102" s="5303"/>
      <c r="BC102" s="5303"/>
      <c r="BD102" s="5303"/>
      <c r="BE102" s="5303"/>
      <c r="BF102" s="5303"/>
      <c r="BG102" s="5303"/>
      <c r="BH102" s="5303"/>
      <c r="BI102" s="5303"/>
      <c r="BJ102" s="5303"/>
      <c r="BK102" s="5303"/>
      <c r="BL102" s="5303"/>
      <c r="BM102" s="5303"/>
      <c r="BN102" s="5301">
        <v>1</v>
      </c>
      <c r="BO102" s="16146"/>
      <c r="BP102" s="5300" t="s">
        <v>9503</v>
      </c>
      <c r="BQ102" s="5300" t="s">
        <v>9504</v>
      </c>
      <c r="BR102" s="2746"/>
      <c r="BS102" s="5379">
        <f t="shared" si="7"/>
        <v>456185110.20000005</v>
      </c>
      <c r="BT102" s="5379">
        <v>273711066.12</v>
      </c>
      <c r="BU102" s="5379">
        <v>182474044.08000001</v>
      </c>
      <c r="BV102" s="5304">
        <v>0</v>
      </c>
      <c r="BW102" s="5304"/>
      <c r="BX102" s="5304"/>
      <c r="BY102" s="5304"/>
      <c r="BZ102" s="5304"/>
      <c r="CA102" s="5304"/>
      <c r="CB102" s="5304"/>
      <c r="CC102" s="5304"/>
      <c r="CD102" s="5304"/>
      <c r="CE102" s="5304"/>
      <c r="CF102" s="5304"/>
      <c r="CG102" s="5304"/>
      <c r="CH102" s="5304"/>
      <c r="CI102" s="5304"/>
      <c r="CJ102" s="5304"/>
      <c r="CK102" s="5304"/>
      <c r="CL102" s="5304"/>
      <c r="CM102" s="5304"/>
      <c r="CN102" s="5304"/>
      <c r="CO102" s="5304"/>
      <c r="CP102" s="5304"/>
      <c r="CQ102" s="5304"/>
      <c r="CR102" s="5304"/>
      <c r="CS102" s="5304"/>
      <c r="CT102" s="5304"/>
      <c r="CU102" s="5304"/>
      <c r="CV102" s="5304"/>
      <c r="CW102" s="5304"/>
      <c r="CX102" s="5304"/>
      <c r="CY102" s="5304"/>
      <c r="CZ102" s="5304"/>
      <c r="DA102" s="5304"/>
      <c r="DB102" s="5304"/>
      <c r="DC102" s="5304"/>
      <c r="DD102" s="5304"/>
      <c r="DE102" s="5304"/>
      <c r="DF102" s="5304"/>
      <c r="DG102" s="5454"/>
      <c r="DH102" s="5454"/>
      <c r="DI102" s="5454"/>
      <c r="DJ102" s="5454"/>
      <c r="DK102" s="5454"/>
      <c r="DL102" s="5454"/>
      <c r="DM102" s="5454"/>
      <c r="DN102" s="5454"/>
      <c r="DO102" s="5454"/>
      <c r="DP102" s="5454"/>
      <c r="DQ102" s="5454"/>
      <c r="DR102" s="5454"/>
      <c r="DS102" s="5454"/>
      <c r="DT102" s="5454"/>
      <c r="DU102" s="5454"/>
      <c r="DV102" s="5454"/>
      <c r="DW102" s="5454"/>
      <c r="DX102" s="5454"/>
      <c r="DY102" s="5454"/>
      <c r="DZ102" s="5454"/>
      <c r="EA102" s="5454"/>
      <c r="EB102" s="5454"/>
      <c r="EC102" s="5454"/>
      <c r="ED102" s="5454"/>
      <c r="EE102" s="5454"/>
      <c r="EF102" s="5454"/>
      <c r="EG102" s="5454"/>
      <c r="EH102" s="5454"/>
      <c r="EI102" s="5454"/>
      <c r="EJ102" s="5454"/>
      <c r="EK102" s="5454"/>
      <c r="EL102" s="5454"/>
      <c r="EM102" s="5454"/>
      <c r="EN102" s="5454"/>
      <c r="EO102" s="5454"/>
      <c r="EP102" s="5454"/>
      <c r="EQ102" s="5454"/>
      <c r="ER102" s="5454"/>
      <c r="ES102" s="5454"/>
      <c r="ET102" s="5454"/>
      <c r="EU102" s="5454"/>
      <c r="EV102" s="5454"/>
      <c r="EW102" s="5454"/>
      <c r="EX102" s="5454"/>
      <c r="EY102" s="5454"/>
      <c r="EZ102" s="5454"/>
      <c r="FA102" s="5465"/>
    </row>
    <row r="103" spans="1:157" s="2016" customFormat="1" ht="15" customHeight="1">
      <c r="A103" s="16056"/>
      <c r="B103" s="16066" t="s">
        <v>1149</v>
      </c>
      <c r="C103" s="16066" t="s">
        <v>8084</v>
      </c>
      <c r="D103" s="16066" t="s">
        <v>1150</v>
      </c>
      <c r="E103" s="16066" t="s">
        <v>1151</v>
      </c>
      <c r="F103" s="16182" t="s">
        <v>1073</v>
      </c>
      <c r="G103" s="16183">
        <v>0</v>
      </c>
      <c r="H103" s="16037">
        <v>50</v>
      </c>
      <c r="I103" s="16037">
        <v>50</v>
      </c>
      <c r="J103" s="16037">
        <v>50</v>
      </c>
      <c r="K103" s="16037">
        <v>60</v>
      </c>
      <c r="L103" s="16037">
        <v>60</v>
      </c>
      <c r="M103" s="16037">
        <v>60</v>
      </c>
      <c r="N103" s="16037">
        <v>60</v>
      </c>
      <c r="O103" s="16037">
        <v>60</v>
      </c>
      <c r="P103" s="16037">
        <v>60</v>
      </c>
      <c r="Q103" s="16037">
        <v>60</v>
      </c>
      <c r="R103" s="5305" t="s">
        <v>10072</v>
      </c>
      <c r="S103" s="5306" t="s">
        <v>1152</v>
      </c>
      <c r="T103" s="5300"/>
      <c r="U103" s="5301"/>
      <c r="V103" s="16211"/>
      <c r="W103" s="5303"/>
      <c r="X103" s="5303"/>
      <c r="Y103" s="5303"/>
      <c r="Z103" s="5302"/>
      <c r="AA103" s="5302"/>
      <c r="AB103" s="5302"/>
      <c r="AC103" s="5302"/>
      <c r="AD103" s="5303"/>
      <c r="AE103" s="5303"/>
      <c r="AF103" s="5303"/>
      <c r="AG103" s="5303"/>
      <c r="AH103" s="5303"/>
      <c r="AI103" s="5303"/>
      <c r="AJ103" s="5303"/>
      <c r="AK103" s="5303"/>
      <c r="AL103" s="5303"/>
      <c r="AM103" s="5303"/>
      <c r="AN103" s="5303"/>
      <c r="AO103" s="5303"/>
      <c r="AP103" s="5303"/>
      <c r="AQ103" s="5303"/>
      <c r="AR103" s="5303"/>
      <c r="AS103" s="5303"/>
      <c r="AT103" s="5303"/>
      <c r="AU103" s="5303"/>
      <c r="AV103" s="5303"/>
      <c r="AW103" s="5303"/>
      <c r="AX103" s="5303"/>
      <c r="AY103" s="5303"/>
      <c r="AZ103" s="5303"/>
      <c r="BA103" s="5303"/>
      <c r="BB103" s="5303"/>
      <c r="BC103" s="5303"/>
      <c r="BD103" s="5303"/>
      <c r="BE103" s="5303"/>
      <c r="BF103" s="5303"/>
      <c r="BG103" s="5303"/>
      <c r="BH103" s="5303"/>
      <c r="BI103" s="5303"/>
      <c r="BJ103" s="5303"/>
      <c r="BK103" s="5303"/>
      <c r="BL103" s="5303"/>
      <c r="BM103" s="5303"/>
      <c r="BN103" s="5301"/>
      <c r="BO103" s="16146"/>
      <c r="BP103" s="5303"/>
      <c r="BQ103" s="5303"/>
      <c r="BR103" s="5303"/>
      <c r="BS103" s="5304">
        <v>0</v>
      </c>
      <c r="BT103" s="5304">
        <v>0</v>
      </c>
      <c r="BU103" s="5304">
        <v>0</v>
      </c>
      <c r="BV103" s="5304">
        <v>0</v>
      </c>
      <c r="BW103" s="5304"/>
      <c r="BX103" s="5304"/>
      <c r="BY103" s="5304"/>
      <c r="BZ103" s="5304"/>
      <c r="CA103" s="5304"/>
      <c r="CB103" s="5304"/>
      <c r="CC103" s="5304"/>
      <c r="CD103" s="5304"/>
      <c r="CE103" s="5304"/>
      <c r="CF103" s="5304"/>
      <c r="CG103" s="5304"/>
      <c r="CH103" s="5304"/>
      <c r="CI103" s="5304"/>
      <c r="CJ103" s="5304"/>
      <c r="CK103" s="5304"/>
      <c r="CL103" s="5304"/>
      <c r="CM103" s="5304"/>
      <c r="CN103" s="5304"/>
      <c r="CO103" s="5304"/>
      <c r="CP103" s="5304"/>
      <c r="CQ103" s="5304"/>
      <c r="CR103" s="5304"/>
      <c r="CS103" s="5304"/>
      <c r="CT103" s="5304"/>
      <c r="CU103" s="5304"/>
      <c r="CV103" s="5304"/>
      <c r="CW103" s="5304"/>
      <c r="CX103" s="5304"/>
      <c r="CY103" s="5304"/>
      <c r="CZ103" s="5304"/>
      <c r="DA103" s="5304"/>
      <c r="DB103" s="5304"/>
      <c r="DC103" s="5304"/>
      <c r="DD103" s="5304"/>
      <c r="DE103" s="5304"/>
      <c r="DF103" s="5304"/>
      <c r="DG103" s="5454"/>
      <c r="DH103" s="5454"/>
      <c r="DI103" s="5454"/>
      <c r="DJ103" s="5454"/>
      <c r="DK103" s="5454"/>
      <c r="DL103" s="5454"/>
      <c r="DM103" s="5454"/>
      <c r="DN103" s="5454"/>
      <c r="DO103" s="5454"/>
      <c r="DP103" s="5454"/>
      <c r="DQ103" s="5454"/>
      <c r="DR103" s="5454"/>
      <c r="DS103" s="5454"/>
      <c r="DT103" s="5454"/>
      <c r="DU103" s="5454"/>
      <c r="DV103" s="5454"/>
      <c r="DW103" s="5454"/>
      <c r="DX103" s="5454"/>
      <c r="DY103" s="5454"/>
      <c r="DZ103" s="5454"/>
      <c r="EA103" s="5454"/>
      <c r="EB103" s="5454"/>
      <c r="EC103" s="5454"/>
      <c r="ED103" s="5454"/>
      <c r="EE103" s="5454"/>
      <c r="EF103" s="5454"/>
      <c r="EG103" s="5454"/>
      <c r="EH103" s="5454"/>
      <c r="EI103" s="5454"/>
      <c r="EJ103" s="5454"/>
      <c r="EK103" s="5454"/>
      <c r="EL103" s="5454"/>
      <c r="EM103" s="5454"/>
      <c r="EN103" s="5454"/>
      <c r="EO103" s="5454"/>
      <c r="EP103" s="5454"/>
      <c r="EQ103" s="5454"/>
      <c r="ER103" s="5454"/>
      <c r="ES103" s="5454"/>
      <c r="ET103" s="5454"/>
      <c r="EU103" s="5454"/>
      <c r="EV103" s="5454"/>
      <c r="EW103" s="5454"/>
      <c r="EX103" s="5454"/>
      <c r="EY103" s="5454"/>
      <c r="EZ103" s="5454"/>
      <c r="FA103" s="5465"/>
    </row>
    <row r="104" spans="1:157" s="2016" customFormat="1" ht="15" customHeight="1">
      <c r="A104" s="16056"/>
      <c r="B104" s="16066"/>
      <c r="C104" s="16066"/>
      <c r="D104" s="16066"/>
      <c r="E104" s="16066"/>
      <c r="F104" s="16182"/>
      <c r="G104" s="16183"/>
      <c r="H104" s="16037"/>
      <c r="I104" s="16037"/>
      <c r="J104" s="16037"/>
      <c r="K104" s="16037"/>
      <c r="L104" s="16037"/>
      <c r="M104" s="16037"/>
      <c r="N104" s="16037"/>
      <c r="O104" s="16037"/>
      <c r="P104" s="16037"/>
      <c r="Q104" s="16037"/>
      <c r="R104" s="5305" t="s">
        <v>10092</v>
      </c>
      <c r="S104" s="5306"/>
      <c r="T104" s="5300" t="s">
        <v>1153</v>
      </c>
      <c r="U104" s="5301"/>
      <c r="V104" s="16211"/>
      <c r="W104" s="5300"/>
      <c r="X104" s="5300"/>
      <c r="Y104" s="5303"/>
      <c r="Z104" s="5302"/>
      <c r="AA104" s="5302"/>
      <c r="AB104" s="5302"/>
      <c r="AC104" s="5302"/>
      <c r="AD104" s="5303"/>
      <c r="AE104" s="5303"/>
      <c r="AF104" s="5303"/>
      <c r="AG104" s="5303"/>
      <c r="AH104" s="5303"/>
      <c r="AI104" s="5303"/>
      <c r="AJ104" s="5303"/>
      <c r="AK104" s="5303"/>
      <c r="AL104" s="5303"/>
      <c r="AM104" s="5303"/>
      <c r="AN104" s="5303"/>
      <c r="AO104" s="5303"/>
      <c r="AP104" s="5303"/>
      <c r="AQ104" s="5303"/>
      <c r="AR104" s="5303"/>
      <c r="AS104" s="5303"/>
      <c r="AT104" s="5303"/>
      <c r="AU104" s="5303"/>
      <c r="AV104" s="5303"/>
      <c r="AW104" s="5303"/>
      <c r="AX104" s="5303"/>
      <c r="AY104" s="5303"/>
      <c r="AZ104" s="5303"/>
      <c r="BA104" s="5303"/>
      <c r="BB104" s="5303"/>
      <c r="BC104" s="5303"/>
      <c r="BD104" s="5303"/>
      <c r="BE104" s="5303"/>
      <c r="BF104" s="5303"/>
      <c r="BG104" s="5303"/>
      <c r="BH104" s="5303"/>
      <c r="BI104" s="5303"/>
      <c r="BJ104" s="5303"/>
      <c r="BK104" s="5303"/>
      <c r="BL104" s="5303"/>
      <c r="BM104" s="5303"/>
      <c r="BN104" s="5301">
        <v>1</v>
      </c>
      <c r="BO104" s="16146"/>
      <c r="BP104" s="5300" t="s">
        <v>9505</v>
      </c>
      <c r="BQ104" s="5300" t="s">
        <v>4102</v>
      </c>
      <c r="BR104" s="5303"/>
      <c r="BS104" s="5304">
        <v>0</v>
      </c>
      <c r="BT104" s="5304">
        <v>0</v>
      </c>
      <c r="BU104" s="5304">
        <v>0</v>
      </c>
      <c r="BV104" s="5304">
        <v>0</v>
      </c>
      <c r="BW104" s="5304"/>
      <c r="BX104" s="5304"/>
      <c r="BY104" s="5304"/>
      <c r="BZ104" s="5304"/>
      <c r="CA104" s="5304"/>
      <c r="CB104" s="5304"/>
      <c r="CC104" s="5304"/>
      <c r="CD104" s="5304"/>
      <c r="CE104" s="5304"/>
      <c r="CF104" s="5304"/>
      <c r="CG104" s="5304"/>
      <c r="CH104" s="5304"/>
      <c r="CI104" s="5304"/>
      <c r="CJ104" s="5304"/>
      <c r="CK104" s="5304"/>
      <c r="CL104" s="5304"/>
      <c r="CM104" s="5304"/>
      <c r="CN104" s="5304"/>
      <c r="CO104" s="5304"/>
      <c r="CP104" s="5304"/>
      <c r="CQ104" s="5304"/>
      <c r="CR104" s="5304"/>
      <c r="CS104" s="5304"/>
      <c r="CT104" s="5304"/>
      <c r="CU104" s="5304"/>
      <c r="CV104" s="5304"/>
      <c r="CW104" s="5304"/>
      <c r="CX104" s="5304"/>
      <c r="CY104" s="5304"/>
      <c r="CZ104" s="5304"/>
      <c r="DA104" s="5304"/>
      <c r="DB104" s="5304"/>
      <c r="DC104" s="5304"/>
      <c r="DD104" s="5304"/>
      <c r="DE104" s="5304"/>
      <c r="DF104" s="5304"/>
      <c r="DG104" s="5454"/>
      <c r="DH104" s="5454"/>
      <c r="DI104" s="5454"/>
      <c r="DJ104" s="5454"/>
      <c r="DK104" s="5454"/>
      <c r="DL104" s="5454"/>
      <c r="DM104" s="5454"/>
      <c r="DN104" s="5454"/>
      <c r="DO104" s="5454"/>
      <c r="DP104" s="5454"/>
      <c r="DQ104" s="5454"/>
      <c r="DR104" s="5454"/>
      <c r="DS104" s="5454"/>
      <c r="DT104" s="5454"/>
      <c r="DU104" s="5454"/>
      <c r="DV104" s="5454"/>
      <c r="DW104" s="5454"/>
      <c r="DX104" s="5454"/>
      <c r="DY104" s="5454"/>
      <c r="DZ104" s="5454"/>
      <c r="EA104" s="5454"/>
      <c r="EB104" s="5454"/>
      <c r="EC104" s="5454"/>
      <c r="ED104" s="5454"/>
      <c r="EE104" s="5454"/>
      <c r="EF104" s="5454"/>
      <c r="EG104" s="5454"/>
      <c r="EH104" s="5454"/>
      <c r="EI104" s="5454"/>
      <c r="EJ104" s="5454"/>
      <c r="EK104" s="5454"/>
      <c r="EL104" s="5454"/>
      <c r="EM104" s="5454"/>
      <c r="EN104" s="5454"/>
      <c r="EO104" s="5454"/>
      <c r="EP104" s="5454"/>
      <c r="EQ104" s="5454"/>
      <c r="ER104" s="5454"/>
      <c r="ES104" s="5454"/>
      <c r="ET104" s="5454"/>
      <c r="EU104" s="5454"/>
      <c r="EV104" s="5454"/>
      <c r="EW104" s="5454"/>
      <c r="EX104" s="5454"/>
      <c r="EY104" s="5454"/>
      <c r="EZ104" s="5454"/>
      <c r="FA104" s="5465"/>
    </row>
    <row r="105" spans="1:157" s="2016" customFormat="1" ht="15" customHeight="1">
      <c r="A105" s="16056"/>
      <c r="B105" s="16066" t="s">
        <v>1154</v>
      </c>
      <c r="C105" s="16066" t="s">
        <v>8085</v>
      </c>
      <c r="D105" s="16066" t="s">
        <v>1155</v>
      </c>
      <c r="E105" s="16066" t="s">
        <v>1156</v>
      </c>
      <c r="F105" s="16182" t="s">
        <v>1046</v>
      </c>
      <c r="G105" s="16183">
        <v>0</v>
      </c>
      <c r="H105" s="16037">
        <v>1</v>
      </c>
      <c r="I105" s="16037">
        <v>1</v>
      </c>
      <c r="J105" s="16037">
        <v>1</v>
      </c>
      <c r="K105" s="16037">
        <v>1</v>
      </c>
      <c r="L105" s="16037">
        <v>1</v>
      </c>
      <c r="M105" s="16037">
        <v>1</v>
      </c>
      <c r="N105" s="16037">
        <v>1</v>
      </c>
      <c r="O105" s="16037">
        <v>1</v>
      </c>
      <c r="P105" s="16037">
        <v>1</v>
      </c>
      <c r="Q105" s="16037">
        <v>1</v>
      </c>
      <c r="R105" s="5305" t="s">
        <v>10072</v>
      </c>
      <c r="S105" s="5306" t="s">
        <v>1141</v>
      </c>
      <c r="T105" s="5300"/>
      <c r="U105" s="5301"/>
      <c r="V105" s="16211"/>
      <c r="W105" s="5303"/>
      <c r="X105" s="5303"/>
      <c r="Y105" s="5303"/>
      <c r="Z105" s="5302"/>
      <c r="AA105" s="5302"/>
      <c r="AB105" s="5302"/>
      <c r="AC105" s="5302"/>
      <c r="AD105" s="5303"/>
      <c r="AE105" s="5303"/>
      <c r="AF105" s="5303"/>
      <c r="AG105" s="5303"/>
      <c r="AH105" s="5303"/>
      <c r="AI105" s="5303"/>
      <c r="AJ105" s="5303"/>
      <c r="AK105" s="5303"/>
      <c r="AL105" s="5303"/>
      <c r="AM105" s="5303"/>
      <c r="AN105" s="5303"/>
      <c r="AO105" s="5303"/>
      <c r="AP105" s="5303"/>
      <c r="AQ105" s="5303"/>
      <c r="AR105" s="5303"/>
      <c r="AS105" s="5303"/>
      <c r="AT105" s="5303"/>
      <c r="AU105" s="5303"/>
      <c r="AV105" s="5303"/>
      <c r="AW105" s="5303"/>
      <c r="AX105" s="5303"/>
      <c r="AY105" s="5303"/>
      <c r="AZ105" s="5303"/>
      <c r="BA105" s="5303"/>
      <c r="BB105" s="5303"/>
      <c r="BC105" s="5303"/>
      <c r="BD105" s="5303"/>
      <c r="BE105" s="5303"/>
      <c r="BF105" s="5303"/>
      <c r="BG105" s="5303"/>
      <c r="BH105" s="5303"/>
      <c r="BI105" s="5303"/>
      <c r="BJ105" s="5303"/>
      <c r="BK105" s="5303"/>
      <c r="BL105" s="5303"/>
      <c r="BM105" s="5303"/>
      <c r="BN105" s="5301">
        <v>0</v>
      </c>
      <c r="BO105" s="16146"/>
      <c r="BP105" s="5303"/>
      <c r="BQ105" s="5303"/>
      <c r="BR105" s="5303"/>
      <c r="BS105" s="5304">
        <v>0</v>
      </c>
      <c r="BT105" s="5304">
        <v>0</v>
      </c>
      <c r="BU105" s="5304">
        <v>0</v>
      </c>
      <c r="BV105" s="5304">
        <v>0</v>
      </c>
      <c r="BW105" s="5304"/>
      <c r="BX105" s="5304"/>
      <c r="BY105" s="5304"/>
      <c r="BZ105" s="5304"/>
      <c r="CA105" s="5304"/>
      <c r="CB105" s="5304"/>
      <c r="CC105" s="5304"/>
      <c r="CD105" s="5304"/>
      <c r="CE105" s="5304"/>
      <c r="CF105" s="5304"/>
      <c r="CG105" s="5304"/>
      <c r="CH105" s="5304"/>
      <c r="CI105" s="5304"/>
      <c r="CJ105" s="5304"/>
      <c r="CK105" s="5304"/>
      <c r="CL105" s="5304"/>
      <c r="CM105" s="5304"/>
      <c r="CN105" s="5304"/>
      <c r="CO105" s="5304"/>
      <c r="CP105" s="5304"/>
      <c r="CQ105" s="5304"/>
      <c r="CR105" s="5304"/>
      <c r="CS105" s="5304"/>
      <c r="CT105" s="5304"/>
      <c r="CU105" s="5304"/>
      <c r="CV105" s="5304"/>
      <c r="CW105" s="5304"/>
      <c r="CX105" s="5304"/>
      <c r="CY105" s="5304"/>
      <c r="CZ105" s="5304"/>
      <c r="DA105" s="5304"/>
      <c r="DB105" s="5304"/>
      <c r="DC105" s="5304"/>
      <c r="DD105" s="5304"/>
      <c r="DE105" s="5304"/>
      <c r="DF105" s="5304"/>
      <c r="DG105" s="5454"/>
      <c r="DH105" s="5454"/>
      <c r="DI105" s="5454"/>
      <c r="DJ105" s="5454"/>
      <c r="DK105" s="5454"/>
      <c r="DL105" s="5454"/>
      <c r="DM105" s="5454"/>
      <c r="DN105" s="5454"/>
      <c r="DO105" s="5454"/>
      <c r="DP105" s="5454"/>
      <c r="DQ105" s="5454"/>
      <c r="DR105" s="5454"/>
      <c r="DS105" s="5454"/>
      <c r="DT105" s="5454"/>
      <c r="DU105" s="5454"/>
      <c r="DV105" s="5454"/>
      <c r="DW105" s="5454"/>
      <c r="DX105" s="5454"/>
      <c r="DY105" s="5454"/>
      <c r="DZ105" s="5454"/>
      <c r="EA105" s="5454"/>
      <c r="EB105" s="5454"/>
      <c r="EC105" s="5454"/>
      <c r="ED105" s="5454"/>
      <c r="EE105" s="5454"/>
      <c r="EF105" s="5454"/>
      <c r="EG105" s="5454"/>
      <c r="EH105" s="5454"/>
      <c r="EI105" s="5454"/>
      <c r="EJ105" s="5454"/>
      <c r="EK105" s="5454"/>
      <c r="EL105" s="5454"/>
      <c r="EM105" s="5454"/>
      <c r="EN105" s="5454"/>
      <c r="EO105" s="5454"/>
      <c r="EP105" s="5454"/>
      <c r="EQ105" s="5454"/>
      <c r="ER105" s="5454"/>
      <c r="ES105" s="5454"/>
      <c r="ET105" s="5454"/>
      <c r="EU105" s="5454"/>
      <c r="EV105" s="5454"/>
      <c r="EW105" s="5454"/>
      <c r="EX105" s="5454"/>
      <c r="EY105" s="5454"/>
      <c r="EZ105" s="5454"/>
      <c r="FA105" s="5465"/>
    </row>
    <row r="106" spans="1:157" s="2016" customFormat="1" ht="15" customHeight="1">
      <c r="A106" s="16056"/>
      <c r="B106" s="16066"/>
      <c r="C106" s="16066"/>
      <c r="D106" s="16066"/>
      <c r="E106" s="16066"/>
      <c r="F106" s="16182"/>
      <c r="G106" s="16183"/>
      <c r="H106" s="16037"/>
      <c r="I106" s="16037"/>
      <c r="J106" s="16037"/>
      <c r="K106" s="16037"/>
      <c r="L106" s="16037"/>
      <c r="M106" s="16037"/>
      <c r="N106" s="16037"/>
      <c r="O106" s="16037"/>
      <c r="P106" s="16037"/>
      <c r="Q106" s="16037"/>
      <c r="R106" s="5305" t="s">
        <v>10092</v>
      </c>
      <c r="S106" s="5306"/>
      <c r="T106" s="5300" t="s">
        <v>1157</v>
      </c>
      <c r="U106" s="5301"/>
      <c r="V106" s="16179"/>
      <c r="W106" s="5300"/>
      <c r="X106" s="5300"/>
      <c r="Y106" s="2746"/>
      <c r="Z106" s="5378"/>
      <c r="AA106" s="5378"/>
      <c r="AB106" s="5378"/>
      <c r="AC106" s="5302"/>
      <c r="AD106" s="5303"/>
      <c r="AE106" s="5303"/>
      <c r="AF106" s="5303"/>
      <c r="AG106" s="5303"/>
      <c r="AH106" s="5303"/>
      <c r="AI106" s="5303"/>
      <c r="AJ106" s="5303"/>
      <c r="AK106" s="5303"/>
      <c r="AL106" s="5303"/>
      <c r="AM106" s="5303"/>
      <c r="AN106" s="5303"/>
      <c r="AO106" s="5303"/>
      <c r="AP106" s="5303"/>
      <c r="AQ106" s="5303"/>
      <c r="AR106" s="5303"/>
      <c r="AS106" s="5303"/>
      <c r="AT106" s="5303"/>
      <c r="AU106" s="5303"/>
      <c r="AV106" s="5303"/>
      <c r="AW106" s="5303"/>
      <c r="AX106" s="5303"/>
      <c r="AY106" s="5303"/>
      <c r="AZ106" s="5303"/>
      <c r="BA106" s="5303"/>
      <c r="BB106" s="5303"/>
      <c r="BC106" s="5303"/>
      <c r="BD106" s="5303"/>
      <c r="BE106" s="5303"/>
      <c r="BF106" s="5303"/>
      <c r="BG106" s="5303"/>
      <c r="BH106" s="5303"/>
      <c r="BI106" s="5303"/>
      <c r="BJ106" s="5303"/>
      <c r="BK106" s="5303"/>
      <c r="BL106" s="5303"/>
      <c r="BM106" s="5303"/>
      <c r="BN106" s="5301">
        <v>1</v>
      </c>
      <c r="BO106" s="16144">
        <f>AVERAGE(BN106:BN111)</f>
        <v>0.4</v>
      </c>
      <c r="BP106" s="5300" t="s">
        <v>9506</v>
      </c>
      <c r="BQ106" s="5300" t="s">
        <v>9507</v>
      </c>
      <c r="BR106" s="2746"/>
      <c r="BS106" s="5379">
        <f t="shared" ref="BS106" si="8">+SUM(BT106:BV106)</f>
        <v>304123406.80000001</v>
      </c>
      <c r="BT106" s="5379">
        <v>182474044.08000001</v>
      </c>
      <c r="BU106" s="5379">
        <v>121649362.72000001</v>
      </c>
      <c r="BV106" s="5304">
        <v>0</v>
      </c>
      <c r="BW106" s="5304"/>
      <c r="BX106" s="5304"/>
      <c r="BY106" s="5304"/>
      <c r="BZ106" s="5304"/>
      <c r="CA106" s="5304"/>
      <c r="CB106" s="5304"/>
      <c r="CC106" s="5304"/>
      <c r="CD106" s="5304"/>
      <c r="CE106" s="5304"/>
      <c r="CF106" s="5304"/>
      <c r="CG106" s="5304"/>
      <c r="CH106" s="5304"/>
      <c r="CI106" s="5304"/>
      <c r="CJ106" s="5304"/>
      <c r="CK106" s="5304"/>
      <c r="CL106" s="5304"/>
      <c r="CM106" s="5304"/>
      <c r="CN106" s="5304"/>
      <c r="CO106" s="5304"/>
      <c r="CP106" s="5304"/>
      <c r="CQ106" s="5304"/>
      <c r="CR106" s="5304"/>
      <c r="CS106" s="5304"/>
      <c r="CT106" s="5304"/>
      <c r="CU106" s="5304"/>
      <c r="CV106" s="5304"/>
      <c r="CW106" s="5304"/>
      <c r="CX106" s="5304"/>
      <c r="CY106" s="5304"/>
      <c r="CZ106" s="5304"/>
      <c r="DA106" s="5304"/>
      <c r="DB106" s="5304"/>
      <c r="DC106" s="5304"/>
      <c r="DD106" s="5304"/>
      <c r="DE106" s="5304"/>
      <c r="DF106" s="5304"/>
      <c r="DG106" s="5454"/>
      <c r="DH106" s="5454"/>
      <c r="DI106" s="5454"/>
      <c r="DJ106" s="5454"/>
      <c r="DK106" s="5454"/>
      <c r="DL106" s="5454"/>
      <c r="DM106" s="5454"/>
      <c r="DN106" s="5454"/>
      <c r="DO106" s="5454"/>
      <c r="DP106" s="5454"/>
      <c r="DQ106" s="5454"/>
      <c r="DR106" s="5454"/>
      <c r="DS106" s="5454"/>
      <c r="DT106" s="5454"/>
      <c r="DU106" s="5454"/>
      <c r="DV106" s="5454"/>
      <c r="DW106" s="5454"/>
      <c r="DX106" s="5454"/>
      <c r="DY106" s="5454"/>
      <c r="DZ106" s="5454"/>
      <c r="EA106" s="5454"/>
      <c r="EB106" s="5454"/>
      <c r="EC106" s="5454"/>
      <c r="ED106" s="5454"/>
      <c r="EE106" s="5454"/>
      <c r="EF106" s="5454"/>
      <c r="EG106" s="5454"/>
      <c r="EH106" s="5454"/>
      <c r="EI106" s="5454"/>
      <c r="EJ106" s="5454"/>
      <c r="EK106" s="5454"/>
      <c r="EL106" s="5454"/>
      <c r="EM106" s="5454"/>
      <c r="EN106" s="5454"/>
      <c r="EO106" s="5454"/>
      <c r="EP106" s="5454"/>
      <c r="EQ106" s="5454"/>
      <c r="ER106" s="5454"/>
      <c r="ES106" s="5454"/>
      <c r="ET106" s="5454"/>
      <c r="EU106" s="5454"/>
      <c r="EV106" s="5454"/>
      <c r="EW106" s="5454"/>
      <c r="EX106" s="5454"/>
      <c r="EY106" s="5454"/>
      <c r="EZ106" s="5454"/>
      <c r="FA106" s="5465"/>
    </row>
    <row r="107" spans="1:157" s="2019" customFormat="1" ht="15" customHeight="1">
      <c r="A107" s="16082" t="s">
        <v>1158</v>
      </c>
      <c r="B107" s="16084" t="s">
        <v>1159</v>
      </c>
      <c r="C107" s="16084" t="s">
        <v>8086</v>
      </c>
      <c r="D107" s="16084" t="s">
        <v>1160</v>
      </c>
      <c r="E107" s="16084" t="s">
        <v>1161</v>
      </c>
      <c r="F107" s="16153" t="s">
        <v>958</v>
      </c>
      <c r="G107" s="16154">
        <v>0.71</v>
      </c>
      <c r="H107" s="16044">
        <v>7</v>
      </c>
      <c r="I107" s="16044">
        <v>7</v>
      </c>
      <c r="J107" s="16044">
        <v>7</v>
      </c>
      <c r="K107" s="16044">
        <v>7</v>
      </c>
      <c r="L107" s="16044">
        <v>7</v>
      </c>
      <c r="M107" s="16044">
        <v>7</v>
      </c>
      <c r="N107" s="16044">
        <v>7</v>
      </c>
      <c r="O107" s="16044">
        <v>7</v>
      </c>
      <c r="P107" s="16044">
        <v>7</v>
      </c>
      <c r="Q107" s="16044">
        <v>7</v>
      </c>
      <c r="R107" s="5437" t="s">
        <v>10072</v>
      </c>
      <c r="S107" s="5445" t="s">
        <v>1162</v>
      </c>
      <c r="T107" s="5334"/>
      <c r="U107" s="5340"/>
      <c r="V107" s="16179"/>
      <c r="W107" s="5337"/>
      <c r="X107" s="5337"/>
      <c r="Y107" s="5337"/>
      <c r="Z107" s="5336"/>
      <c r="AA107" s="5336"/>
      <c r="AB107" s="5336"/>
      <c r="AC107" s="5336"/>
      <c r="AD107" s="5337"/>
      <c r="AE107" s="5337"/>
      <c r="AF107" s="5337"/>
      <c r="AG107" s="5337"/>
      <c r="AH107" s="5337"/>
      <c r="AI107" s="5337"/>
      <c r="AJ107" s="5337"/>
      <c r="AK107" s="5337"/>
      <c r="AL107" s="5337"/>
      <c r="AM107" s="5337"/>
      <c r="AN107" s="5337"/>
      <c r="AO107" s="5337"/>
      <c r="AP107" s="5337"/>
      <c r="AQ107" s="5337"/>
      <c r="AR107" s="5337"/>
      <c r="AS107" s="5337"/>
      <c r="AT107" s="5337"/>
      <c r="AU107" s="5337"/>
      <c r="AV107" s="5337"/>
      <c r="AW107" s="5337"/>
      <c r="AX107" s="5337"/>
      <c r="AY107" s="5337"/>
      <c r="AZ107" s="5337"/>
      <c r="BA107" s="5337"/>
      <c r="BB107" s="5337"/>
      <c r="BC107" s="5337"/>
      <c r="BD107" s="5337"/>
      <c r="BE107" s="5337"/>
      <c r="BF107" s="5337"/>
      <c r="BG107" s="5337"/>
      <c r="BH107" s="5337"/>
      <c r="BI107" s="5337"/>
      <c r="BJ107" s="5337"/>
      <c r="BK107" s="5337"/>
      <c r="BL107" s="5337"/>
      <c r="BM107" s="5337"/>
      <c r="BN107" s="5340">
        <v>0</v>
      </c>
      <c r="BO107" s="16144"/>
      <c r="BP107" s="5337"/>
      <c r="BQ107" s="5337"/>
      <c r="BR107" s="5337"/>
      <c r="BS107" s="5339">
        <v>0</v>
      </c>
      <c r="BT107" s="5339">
        <v>0</v>
      </c>
      <c r="BU107" s="5339">
        <v>0</v>
      </c>
      <c r="BV107" s="5339">
        <v>0</v>
      </c>
      <c r="BW107" s="5339"/>
      <c r="BX107" s="5339"/>
      <c r="BY107" s="5339"/>
      <c r="BZ107" s="5339"/>
      <c r="CA107" s="5339"/>
      <c r="CB107" s="5339"/>
      <c r="CC107" s="5339"/>
      <c r="CD107" s="5339"/>
      <c r="CE107" s="5339"/>
      <c r="CF107" s="5339"/>
      <c r="CG107" s="5339"/>
      <c r="CH107" s="5339"/>
      <c r="CI107" s="5339"/>
      <c r="CJ107" s="5339"/>
      <c r="CK107" s="5339"/>
      <c r="CL107" s="5339"/>
      <c r="CM107" s="5339"/>
      <c r="CN107" s="5339"/>
      <c r="CO107" s="5339"/>
      <c r="CP107" s="5339"/>
      <c r="CQ107" s="5339"/>
      <c r="CR107" s="5339"/>
      <c r="CS107" s="5339"/>
      <c r="CT107" s="5339"/>
      <c r="CU107" s="5339"/>
      <c r="CV107" s="5339"/>
      <c r="CW107" s="5339"/>
      <c r="CX107" s="5339"/>
      <c r="CY107" s="5339"/>
      <c r="CZ107" s="5339"/>
      <c r="DA107" s="5339"/>
      <c r="DB107" s="5339"/>
      <c r="DC107" s="5339"/>
      <c r="DD107" s="5339"/>
      <c r="DE107" s="5339"/>
      <c r="DF107" s="5339"/>
      <c r="DG107" s="5456"/>
      <c r="DH107" s="5456"/>
      <c r="DI107" s="5456"/>
      <c r="DJ107" s="5456"/>
      <c r="DK107" s="5456"/>
      <c r="DL107" s="5456"/>
      <c r="DM107" s="5456"/>
      <c r="DN107" s="5456"/>
      <c r="DO107" s="5456"/>
      <c r="DP107" s="5456"/>
      <c r="DQ107" s="5456"/>
      <c r="DR107" s="5456"/>
      <c r="DS107" s="5456"/>
      <c r="DT107" s="5456"/>
      <c r="DU107" s="5456"/>
      <c r="DV107" s="5456"/>
      <c r="DW107" s="5456"/>
      <c r="DX107" s="5456"/>
      <c r="DY107" s="5456"/>
      <c r="DZ107" s="5456"/>
      <c r="EA107" s="5456"/>
      <c r="EB107" s="5456"/>
      <c r="EC107" s="5456"/>
      <c r="ED107" s="5456"/>
      <c r="EE107" s="5456"/>
      <c r="EF107" s="5456"/>
      <c r="EG107" s="5456"/>
      <c r="EH107" s="5456"/>
      <c r="EI107" s="5456"/>
      <c r="EJ107" s="5456"/>
      <c r="EK107" s="5456"/>
      <c r="EL107" s="5456"/>
      <c r="EM107" s="5456"/>
      <c r="EN107" s="5456"/>
      <c r="EO107" s="5456"/>
      <c r="EP107" s="5456"/>
      <c r="EQ107" s="5456"/>
      <c r="ER107" s="5456"/>
      <c r="ES107" s="5456"/>
      <c r="ET107" s="5456"/>
      <c r="EU107" s="5456"/>
      <c r="EV107" s="5456"/>
      <c r="EW107" s="5456"/>
      <c r="EX107" s="5456"/>
      <c r="EY107" s="5456"/>
      <c r="EZ107" s="5456"/>
      <c r="FA107" s="5467"/>
    </row>
    <row r="108" spans="1:157" s="2019" customFormat="1" ht="15" customHeight="1">
      <c r="A108" s="16082"/>
      <c r="B108" s="16084"/>
      <c r="C108" s="16084"/>
      <c r="D108" s="16084"/>
      <c r="E108" s="16084"/>
      <c r="F108" s="16153"/>
      <c r="G108" s="16154"/>
      <c r="H108" s="16044"/>
      <c r="I108" s="16044"/>
      <c r="J108" s="16044"/>
      <c r="K108" s="16044"/>
      <c r="L108" s="16044"/>
      <c r="M108" s="16044"/>
      <c r="N108" s="16044"/>
      <c r="O108" s="16044"/>
      <c r="P108" s="16044"/>
      <c r="Q108" s="16044"/>
      <c r="R108" s="5437" t="s">
        <v>10092</v>
      </c>
      <c r="S108" s="5445"/>
      <c r="T108" s="5334" t="s">
        <v>10257</v>
      </c>
      <c r="U108" s="5340"/>
      <c r="V108" s="16179"/>
      <c r="W108" s="5337"/>
      <c r="X108" s="5337"/>
      <c r="Y108" s="5337"/>
      <c r="Z108" s="5336"/>
      <c r="AA108" s="5336"/>
      <c r="AB108" s="5336"/>
      <c r="AC108" s="5336"/>
      <c r="AD108" s="5337"/>
      <c r="AE108" s="5337"/>
      <c r="AF108" s="5337"/>
      <c r="AG108" s="5337"/>
      <c r="AH108" s="5337"/>
      <c r="AI108" s="5337"/>
      <c r="AJ108" s="5337"/>
      <c r="AK108" s="5337"/>
      <c r="AL108" s="5337"/>
      <c r="AM108" s="5337"/>
      <c r="AN108" s="5337"/>
      <c r="AO108" s="5337"/>
      <c r="AP108" s="5337"/>
      <c r="AQ108" s="5337"/>
      <c r="AR108" s="5337"/>
      <c r="AS108" s="5337"/>
      <c r="AT108" s="5337"/>
      <c r="AU108" s="5337"/>
      <c r="AV108" s="5337"/>
      <c r="AW108" s="5337"/>
      <c r="AX108" s="5337"/>
      <c r="AY108" s="5337"/>
      <c r="AZ108" s="5337"/>
      <c r="BA108" s="5337"/>
      <c r="BB108" s="5337"/>
      <c r="BC108" s="5337"/>
      <c r="BD108" s="5337"/>
      <c r="BE108" s="5337"/>
      <c r="BF108" s="5337"/>
      <c r="BG108" s="5337"/>
      <c r="BH108" s="5337"/>
      <c r="BI108" s="5337"/>
      <c r="BJ108" s="5337"/>
      <c r="BK108" s="5337"/>
      <c r="BL108" s="5337"/>
      <c r="BM108" s="5337"/>
      <c r="BN108" s="5340"/>
      <c r="BO108" s="16144"/>
      <c r="BP108" s="5337"/>
      <c r="BQ108" s="5337"/>
      <c r="BR108" s="5337"/>
      <c r="BS108" s="5339"/>
      <c r="BT108" s="5339"/>
      <c r="BU108" s="5339"/>
      <c r="BV108" s="5339"/>
      <c r="BW108" s="5339"/>
      <c r="BX108" s="5339"/>
      <c r="BY108" s="5339"/>
      <c r="BZ108" s="5339"/>
      <c r="CA108" s="5339"/>
      <c r="CB108" s="5339"/>
      <c r="CC108" s="5339"/>
      <c r="CD108" s="5339"/>
      <c r="CE108" s="5339"/>
      <c r="CF108" s="5339"/>
      <c r="CG108" s="5339"/>
      <c r="CH108" s="5339"/>
      <c r="CI108" s="5339"/>
      <c r="CJ108" s="5339"/>
      <c r="CK108" s="5339"/>
      <c r="CL108" s="5339"/>
      <c r="CM108" s="5339"/>
      <c r="CN108" s="5339"/>
      <c r="CO108" s="5339"/>
      <c r="CP108" s="5339"/>
      <c r="CQ108" s="5339"/>
      <c r="CR108" s="5339"/>
      <c r="CS108" s="5339"/>
      <c r="CT108" s="5339"/>
      <c r="CU108" s="5339"/>
      <c r="CV108" s="5339"/>
      <c r="CW108" s="5339"/>
      <c r="CX108" s="5339"/>
      <c r="CY108" s="5339"/>
      <c r="CZ108" s="5339"/>
      <c r="DA108" s="5339"/>
      <c r="DB108" s="5339"/>
      <c r="DC108" s="5339"/>
      <c r="DD108" s="5339"/>
      <c r="DE108" s="5339"/>
      <c r="DF108" s="5339"/>
      <c r="DG108" s="5456"/>
      <c r="DH108" s="5456"/>
      <c r="DI108" s="5456"/>
      <c r="DJ108" s="5456"/>
      <c r="DK108" s="5456"/>
      <c r="DL108" s="5456"/>
      <c r="DM108" s="5456"/>
      <c r="DN108" s="5456"/>
      <c r="DO108" s="5456"/>
      <c r="DP108" s="5456"/>
      <c r="DQ108" s="5456"/>
      <c r="DR108" s="5456"/>
      <c r="DS108" s="5456"/>
      <c r="DT108" s="5456"/>
      <c r="DU108" s="5456"/>
      <c r="DV108" s="5456"/>
      <c r="DW108" s="5456"/>
      <c r="DX108" s="5456"/>
      <c r="DY108" s="5456"/>
      <c r="DZ108" s="5456"/>
      <c r="EA108" s="5456"/>
      <c r="EB108" s="5456"/>
      <c r="EC108" s="5456"/>
      <c r="ED108" s="5456"/>
      <c r="EE108" s="5456"/>
      <c r="EF108" s="5456"/>
      <c r="EG108" s="5456"/>
      <c r="EH108" s="5456"/>
      <c r="EI108" s="5456"/>
      <c r="EJ108" s="5456"/>
      <c r="EK108" s="5456"/>
      <c r="EL108" s="5456"/>
      <c r="EM108" s="5456"/>
      <c r="EN108" s="5456"/>
      <c r="EO108" s="5456"/>
      <c r="EP108" s="5456"/>
      <c r="EQ108" s="5456"/>
      <c r="ER108" s="5456"/>
      <c r="ES108" s="5456"/>
      <c r="ET108" s="5456"/>
      <c r="EU108" s="5456"/>
      <c r="EV108" s="5456"/>
      <c r="EW108" s="5456"/>
      <c r="EX108" s="5456"/>
      <c r="EY108" s="5456"/>
      <c r="EZ108" s="5456"/>
      <c r="FA108" s="5467"/>
    </row>
    <row r="109" spans="1:157" s="2019" customFormat="1" ht="15" customHeight="1">
      <c r="A109" s="16082"/>
      <c r="B109" s="16084"/>
      <c r="C109" s="16084"/>
      <c r="D109" s="16084"/>
      <c r="E109" s="16084"/>
      <c r="F109" s="16153"/>
      <c r="G109" s="16154"/>
      <c r="H109" s="16044"/>
      <c r="I109" s="16044"/>
      <c r="J109" s="16044"/>
      <c r="K109" s="16044"/>
      <c r="L109" s="16044"/>
      <c r="M109" s="16044"/>
      <c r="N109" s="16044"/>
      <c r="O109" s="16044"/>
      <c r="P109" s="16044"/>
      <c r="Q109" s="16044"/>
      <c r="R109" s="5437" t="s">
        <v>10070</v>
      </c>
      <c r="S109" s="5445"/>
      <c r="T109" s="5334" t="s">
        <v>10245</v>
      </c>
      <c r="U109" s="5340"/>
      <c r="V109" s="16179"/>
      <c r="W109" s="5334"/>
      <c r="X109" s="5334"/>
      <c r="Y109" s="2748"/>
      <c r="Z109" s="5341"/>
      <c r="AA109" s="5341"/>
      <c r="AB109" s="5341"/>
      <c r="AC109" s="5336"/>
      <c r="AD109" s="5337"/>
      <c r="AE109" s="5337"/>
      <c r="AF109" s="5337"/>
      <c r="AG109" s="5337"/>
      <c r="AH109" s="5337"/>
      <c r="AI109" s="5337"/>
      <c r="AJ109" s="5337"/>
      <c r="AK109" s="5337"/>
      <c r="AL109" s="5337"/>
      <c r="AM109" s="5337"/>
      <c r="AN109" s="5337"/>
      <c r="AO109" s="5337"/>
      <c r="AP109" s="5337"/>
      <c r="AQ109" s="5337"/>
      <c r="AR109" s="5337"/>
      <c r="AS109" s="5337"/>
      <c r="AT109" s="5337"/>
      <c r="AU109" s="5337"/>
      <c r="AV109" s="5337"/>
      <c r="AW109" s="5337"/>
      <c r="AX109" s="5337"/>
      <c r="AY109" s="5337"/>
      <c r="AZ109" s="5337"/>
      <c r="BA109" s="5337"/>
      <c r="BB109" s="5337"/>
      <c r="BC109" s="5337"/>
      <c r="BD109" s="5337"/>
      <c r="BE109" s="5337"/>
      <c r="BF109" s="5337"/>
      <c r="BG109" s="5337"/>
      <c r="BH109" s="5337"/>
      <c r="BI109" s="5337"/>
      <c r="BJ109" s="5337"/>
      <c r="BK109" s="5337"/>
      <c r="BL109" s="5337"/>
      <c r="BM109" s="5337"/>
      <c r="BN109" s="5340">
        <v>1</v>
      </c>
      <c r="BO109" s="16144"/>
      <c r="BP109" s="5334" t="s">
        <v>9508</v>
      </c>
      <c r="BQ109" s="5334" t="s">
        <v>9451</v>
      </c>
      <c r="BR109" s="2748"/>
      <c r="BS109" s="5342">
        <f t="shared" ref="BS109" si="9">+SUM(BT109:BV109)</f>
        <v>77732301.965977475</v>
      </c>
      <c r="BT109" s="5342">
        <v>54412611.376184233</v>
      </c>
      <c r="BU109" s="5342">
        <v>23319690.589793243</v>
      </c>
      <c r="BV109" s="5339">
        <v>0</v>
      </c>
      <c r="BW109" s="5339"/>
      <c r="BX109" s="5339"/>
      <c r="BY109" s="5339"/>
      <c r="BZ109" s="5339"/>
      <c r="CA109" s="5339"/>
      <c r="CB109" s="5339"/>
      <c r="CC109" s="5339"/>
      <c r="CD109" s="5339"/>
      <c r="CE109" s="5339"/>
      <c r="CF109" s="5339"/>
      <c r="CG109" s="5339"/>
      <c r="CH109" s="5339"/>
      <c r="CI109" s="5339"/>
      <c r="CJ109" s="5339"/>
      <c r="CK109" s="5339"/>
      <c r="CL109" s="5339"/>
      <c r="CM109" s="5339"/>
      <c r="CN109" s="5339"/>
      <c r="CO109" s="5339"/>
      <c r="CP109" s="5339"/>
      <c r="CQ109" s="5339"/>
      <c r="CR109" s="5339"/>
      <c r="CS109" s="5339"/>
      <c r="CT109" s="5339"/>
      <c r="CU109" s="5339"/>
      <c r="CV109" s="5339"/>
      <c r="CW109" s="5339"/>
      <c r="CX109" s="5339"/>
      <c r="CY109" s="5339"/>
      <c r="CZ109" s="5339"/>
      <c r="DA109" s="5339"/>
      <c r="DB109" s="5339"/>
      <c r="DC109" s="5339"/>
      <c r="DD109" s="5339"/>
      <c r="DE109" s="5339"/>
      <c r="DF109" s="5339"/>
      <c r="DG109" s="5456"/>
      <c r="DH109" s="5456"/>
      <c r="DI109" s="5456"/>
      <c r="DJ109" s="5456"/>
      <c r="DK109" s="5456"/>
      <c r="DL109" s="5456"/>
      <c r="DM109" s="5456"/>
      <c r="DN109" s="5456"/>
      <c r="DO109" s="5456"/>
      <c r="DP109" s="5456"/>
      <c r="DQ109" s="5456"/>
      <c r="DR109" s="5456"/>
      <c r="DS109" s="5456"/>
      <c r="DT109" s="5456"/>
      <c r="DU109" s="5456"/>
      <c r="DV109" s="5456"/>
      <c r="DW109" s="5456"/>
      <c r="DX109" s="5456"/>
      <c r="DY109" s="5456"/>
      <c r="DZ109" s="5456"/>
      <c r="EA109" s="5456"/>
      <c r="EB109" s="5456"/>
      <c r="EC109" s="5456"/>
      <c r="ED109" s="5456"/>
      <c r="EE109" s="5456"/>
      <c r="EF109" s="5456"/>
      <c r="EG109" s="5456"/>
      <c r="EH109" s="5456"/>
      <c r="EI109" s="5456"/>
      <c r="EJ109" s="5456"/>
      <c r="EK109" s="5456"/>
      <c r="EL109" s="5456"/>
      <c r="EM109" s="5456"/>
      <c r="EN109" s="5456"/>
      <c r="EO109" s="5456"/>
      <c r="EP109" s="5456"/>
      <c r="EQ109" s="5456"/>
      <c r="ER109" s="5456"/>
      <c r="ES109" s="5456"/>
      <c r="ET109" s="5456"/>
      <c r="EU109" s="5456"/>
      <c r="EV109" s="5456"/>
      <c r="EW109" s="5456"/>
      <c r="EX109" s="5456"/>
      <c r="EY109" s="5456"/>
      <c r="EZ109" s="5456"/>
      <c r="FA109" s="5467"/>
    </row>
    <row r="110" spans="1:157" s="2019" customFormat="1" ht="15" customHeight="1">
      <c r="A110" s="16082"/>
      <c r="B110" s="16084"/>
      <c r="C110" s="5328" t="s">
        <v>9797</v>
      </c>
      <c r="D110" s="5381" t="s">
        <v>1163</v>
      </c>
      <c r="E110" s="5330">
        <v>1</v>
      </c>
      <c r="F110" s="2752">
        <v>0.5</v>
      </c>
      <c r="G110" s="2752">
        <v>0.5</v>
      </c>
      <c r="H110" s="2752">
        <v>0.5</v>
      </c>
      <c r="I110" s="2752">
        <v>0.5</v>
      </c>
      <c r="J110" s="2752">
        <v>0.75</v>
      </c>
      <c r="K110" s="2752">
        <v>0.75</v>
      </c>
      <c r="L110" s="2752">
        <v>0.75</v>
      </c>
      <c r="M110" s="2752">
        <v>0.75</v>
      </c>
      <c r="N110" s="2752">
        <v>0.75</v>
      </c>
      <c r="O110" s="2752">
        <v>0.75</v>
      </c>
      <c r="P110" s="2752">
        <v>0.75</v>
      </c>
      <c r="Q110" s="2752">
        <v>0.75</v>
      </c>
      <c r="R110" s="5433" t="s">
        <v>10072</v>
      </c>
      <c r="S110" s="5332" t="s">
        <v>1164</v>
      </c>
      <c r="T110" s="5446" t="s">
        <v>1165</v>
      </c>
      <c r="U110" s="5340"/>
      <c r="V110" s="16179"/>
      <c r="W110" s="5334"/>
      <c r="X110" s="5334"/>
      <c r="Y110" s="2748"/>
      <c r="Z110" s="5341"/>
      <c r="AA110" s="5341"/>
      <c r="AB110" s="5341"/>
      <c r="AC110" s="5336"/>
      <c r="AD110" s="5337"/>
      <c r="AE110" s="5337"/>
      <c r="AF110" s="5337"/>
      <c r="AG110" s="5337"/>
      <c r="AH110" s="5337"/>
      <c r="AI110" s="5337"/>
      <c r="AJ110" s="5337"/>
      <c r="AK110" s="5337"/>
      <c r="AL110" s="5337"/>
      <c r="AM110" s="5337"/>
      <c r="AN110" s="5337"/>
      <c r="AO110" s="5337"/>
      <c r="AP110" s="5337"/>
      <c r="AQ110" s="5337"/>
      <c r="AR110" s="5337"/>
      <c r="AS110" s="5337"/>
      <c r="AT110" s="5337"/>
      <c r="AU110" s="5337"/>
      <c r="AV110" s="5337"/>
      <c r="AW110" s="5337"/>
      <c r="AX110" s="5337"/>
      <c r="AY110" s="5337"/>
      <c r="AZ110" s="5337"/>
      <c r="BA110" s="5337"/>
      <c r="BB110" s="5337"/>
      <c r="BC110" s="5337"/>
      <c r="BD110" s="5337"/>
      <c r="BE110" s="5337"/>
      <c r="BF110" s="5337"/>
      <c r="BG110" s="5337"/>
      <c r="BH110" s="5337"/>
      <c r="BI110" s="5337"/>
      <c r="BJ110" s="5337"/>
      <c r="BK110" s="5337"/>
      <c r="BL110" s="5337"/>
      <c r="BM110" s="5337"/>
      <c r="BN110" s="5340">
        <v>0</v>
      </c>
      <c r="BO110" s="16144"/>
      <c r="BP110" s="5334" t="s">
        <v>9488</v>
      </c>
      <c r="BQ110" s="5334"/>
      <c r="BR110" s="2748"/>
      <c r="BS110" s="5342"/>
      <c r="BT110" s="5342"/>
      <c r="BU110" s="5342"/>
      <c r="BV110" s="5339"/>
      <c r="BW110" s="5339"/>
      <c r="BX110" s="5339"/>
      <c r="BY110" s="5339"/>
      <c r="BZ110" s="5339"/>
      <c r="CA110" s="5339"/>
      <c r="CB110" s="5339"/>
      <c r="CC110" s="5339"/>
      <c r="CD110" s="5339"/>
      <c r="CE110" s="5339"/>
      <c r="CF110" s="5339"/>
      <c r="CG110" s="5339"/>
      <c r="CH110" s="5339"/>
      <c r="CI110" s="5339"/>
      <c r="CJ110" s="5339"/>
      <c r="CK110" s="5339"/>
      <c r="CL110" s="5339"/>
      <c r="CM110" s="5339"/>
      <c r="CN110" s="5339"/>
      <c r="CO110" s="5339"/>
      <c r="CP110" s="5339"/>
      <c r="CQ110" s="5339"/>
      <c r="CR110" s="5339"/>
      <c r="CS110" s="5339"/>
      <c r="CT110" s="5339"/>
      <c r="CU110" s="5339"/>
      <c r="CV110" s="5339"/>
      <c r="CW110" s="5339"/>
      <c r="CX110" s="5339"/>
      <c r="CY110" s="5339"/>
      <c r="CZ110" s="5339"/>
      <c r="DA110" s="5339"/>
      <c r="DB110" s="5339"/>
      <c r="DC110" s="5339"/>
      <c r="DD110" s="5339"/>
      <c r="DE110" s="5339"/>
      <c r="DF110" s="5339"/>
      <c r="DG110" s="5456"/>
      <c r="DH110" s="5456"/>
      <c r="DI110" s="5456"/>
      <c r="DJ110" s="5456"/>
      <c r="DK110" s="5456"/>
      <c r="DL110" s="5456"/>
      <c r="DM110" s="5456"/>
      <c r="DN110" s="5456"/>
      <c r="DO110" s="5456"/>
      <c r="DP110" s="5456"/>
      <c r="DQ110" s="5456"/>
      <c r="DR110" s="5456"/>
      <c r="DS110" s="5456"/>
      <c r="DT110" s="5456"/>
      <c r="DU110" s="5456"/>
      <c r="DV110" s="5456"/>
      <c r="DW110" s="5456"/>
      <c r="DX110" s="5456"/>
      <c r="DY110" s="5456"/>
      <c r="DZ110" s="5456"/>
      <c r="EA110" s="5456"/>
      <c r="EB110" s="5456"/>
      <c r="EC110" s="5456"/>
      <c r="ED110" s="5456"/>
      <c r="EE110" s="5456"/>
      <c r="EF110" s="5456"/>
      <c r="EG110" s="5456"/>
      <c r="EH110" s="5456"/>
      <c r="EI110" s="5456"/>
      <c r="EJ110" s="5456"/>
      <c r="EK110" s="5456"/>
      <c r="EL110" s="5456"/>
      <c r="EM110" s="5456"/>
      <c r="EN110" s="5456"/>
      <c r="EO110" s="5456"/>
      <c r="EP110" s="5456"/>
      <c r="EQ110" s="5456"/>
      <c r="ER110" s="5456"/>
      <c r="ES110" s="5456"/>
      <c r="ET110" s="5456"/>
      <c r="EU110" s="5456"/>
      <c r="EV110" s="5456"/>
      <c r="EW110" s="5456"/>
      <c r="EX110" s="5456"/>
      <c r="EY110" s="5456"/>
      <c r="EZ110" s="5456"/>
      <c r="FA110" s="5467"/>
    </row>
    <row r="111" spans="1:157" s="2019" customFormat="1" ht="15" customHeight="1" thickBot="1">
      <c r="A111" s="16083"/>
      <c r="B111" s="16085"/>
      <c r="C111" s="5483" t="s">
        <v>8088</v>
      </c>
      <c r="D111" s="2020" t="s">
        <v>1166</v>
      </c>
      <c r="E111" s="2025">
        <v>15</v>
      </c>
      <c r="F111" s="1407">
        <v>1</v>
      </c>
      <c r="G111" s="1407">
        <v>1</v>
      </c>
      <c r="H111" s="1407">
        <v>1</v>
      </c>
      <c r="I111" s="1407">
        <v>1</v>
      </c>
      <c r="J111" s="1407">
        <v>1</v>
      </c>
      <c r="K111" s="1407">
        <v>1</v>
      </c>
      <c r="L111" s="1407">
        <v>1</v>
      </c>
      <c r="M111" s="1407">
        <v>1</v>
      </c>
      <c r="N111" s="1407">
        <v>1</v>
      </c>
      <c r="O111" s="1407">
        <v>1</v>
      </c>
      <c r="P111" s="1407">
        <v>1</v>
      </c>
      <c r="Q111" s="1407">
        <v>1</v>
      </c>
      <c r="R111" s="5484" t="s">
        <v>10072</v>
      </c>
      <c r="S111" s="2026" t="s">
        <v>1164</v>
      </c>
      <c r="T111" s="2027"/>
      <c r="U111" s="5485"/>
      <c r="V111" s="16212"/>
      <c r="W111" s="2027"/>
      <c r="X111" s="5486"/>
      <c r="Y111" s="1406"/>
      <c r="Z111" s="5487"/>
      <c r="AA111" s="5487"/>
      <c r="AB111" s="5487"/>
      <c r="AC111" s="5487"/>
      <c r="AD111" s="1406"/>
      <c r="AE111" s="1406"/>
      <c r="AF111" s="1406"/>
      <c r="AG111" s="1406"/>
      <c r="AH111" s="1406"/>
      <c r="AI111" s="1406"/>
      <c r="AJ111" s="1406"/>
      <c r="AK111" s="1406"/>
      <c r="AL111" s="1406"/>
      <c r="AM111" s="1406"/>
      <c r="AN111" s="1406"/>
      <c r="AO111" s="1406"/>
      <c r="AP111" s="1406"/>
      <c r="AQ111" s="1406"/>
      <c r="AR111" s="1406"/>
      <c r="AS111" s="1406"/>
      <c r="AT111" s="1406"/>
      <c r="AU111" s="1406"/>
      <c r="AV111" s="1406"/>
      <c r="AW111" s="1406"/>
      <c r="AX111" s="1406"/>
      <c r="AY111" s="1406"/>
      <c r="AZ111" s="1406"/>
      <c r="BA111" s="1406"/>
      <c r="BB111" s="1406"/>
      <c r="BC111" s="1406"/>
      <c r="BD111" s="1406"/>
      <c r="BE111" s="1406"/>
      <c r="BF111" s="1406"/>
      <c r="BG111" s="1406"/>
      <c r="BH111" s="1406"/>
      <c r="BI111" s="1406"/>
      <c r="BJ111" s="1406"/>
      <c r="BK111" s="1406"/>
      <c r="BL111" s="1406"/>
      <c r="BM111" s="1406"/>
      <c r="BN111" s="5485">
        <v>0</v>
      </c>
      <c r="BO111" s="16186"/>
      <c r="BP111" s="2027" t="s">
        <v>9488</v>
      </c>
      <c r="BQ111" s="5486" t="s">
        <v>2951</v>
      </c>
      <c r="BR111" s="1406"/>
      <c r="BS111" s="1427">
        <v>0</v>
      </c>
      <c r="BT111" s="1427">
        <v>0</v>
      </c>
      <c r="BU111" s="1427">
        <v>0</v>
      </c>
      <c r="BV111" s="1427">
        <v>0</v>
      </c>
      <c r="BW111" s="1427"/>
      <c r="BX111" s="1427"/>
      <c r="BY111" s="1427"/>
      <c r="BZ111" s="1427"/>
      <c r="CA111" s="1427"/>
      <c r="CB111" s="1427"/>
      <c r="CC111" s="1427"/>
      <c r="CD111" s="1427"/>
      <c r="CE111" s="1427"/>
      <c r="CF111" s="1427"/>
      <c r="CG111" s="1427"/>
      <c r="CH111" s="1427"/>
      <c r="CI111" s="1427"/>
      <c r="CJ111" s="1427"/>
      <c r="CK111" s="1427"/>
      <c r="CL111" s="1427"/>
      <c r="CM111" s="1427"/>
      <c r="CN111" s="1427"/>
      <c r="CO111" s="1427"/>
      <c r="CP111" s="1427"/>
      <c r="CQ111" s="1427"/>
      <c r="CR111" s="1427"/>
      <c r="CS111" s="1427"/>
      <c r="CT111" s="1427"/>
      <c r="CU111" s="1427"/>
      <c r="CV111" s="1427"/>
      <c r="CW111" s="1427"/>
      <c r="CX111" s="1427"/>
      <c r="CY111" s="1427"/>
      <c r="CZ111" s="1427"/>
      <c r="DA111" s="1427"/>
      <c r="DB111" s="1427"/>
      <c r="DC111" s="1427"/>
      <c r="DD111" s="1427"/>
      <c r="DE111" s="1427"/>
      <c r="DF111" s="1427"/>
      <c r="DG111" s="5488"/>
      <c r="DH111" s="5488"/>
      <c r="DI111" s="5488"/>
      <c r="DJ111" s="5488"/>
      <c r="DK111" s="5488"/>
      <c r="DL111" s="5488"/>
      <c r="DM111" s="5488"/>
      <c r="DN111" s="5488"/>
      <c r="DO111" s="5488"/>
      <c r="DP111" s="5488"/>
      <c r="DQ111" s="5488"/>
      <c r="DR111" s="5488"/>
      <c r="DS111" s="5488"/>
      <c r="DT111" s="5488"/>
      <c r="DU111" s="5488"/>
      <c r="DV111" s="5488"/>
      <c r="DW111" s="5488"/>
      <c r="DX111" s="5488"/>
      <c r="DY111" s="5488"/>
      <c r="DZ111" s="5488"/>
      <c r="EA111" s="5488"/>
      <c r="EB111" s="5488"/>
      <c r="EC111" s="5488"/>
      <c r="ED111" s="5488"/>
      <c r="EE111" s="5488"/>
      <c r="EF111" s="5488"/>
      <c r="EG111" s="5488"/>
      <c r="EH111" s="5488"/>
      <c r="EI111" s="5488"/>
      <c r="EJ111" s="5488"/>
      <c r="EK111" s="5488"/>
      <c r="EL111" s="5488"/>
      <c r="EM111" s="5488"/>
      <c r="EN111" s="5488"/>
      <c r="EO111" s="5488"/>
      <c r="EP111" s="5488"/>
      <c r="EQ111" s="5488"/>
      <c r="ER111" s="5488"/>
      <c r="ES111" s="5488"/>
      <c r="ET111" s="5488"/>
      <c r="EU111" s="5488"/>
      <c r="EV111" s="5488"/>
      <c r="EW111" s="5488"/>
      <c r="EX111" s="5488"/>
      <c r="EY111" s="5488"/>
      <c r="EZ111" s="5488"/>
      <c r="FA111" s="5489"/>
    </row>
    <row r="112" spans="1:157" s="2021" customFormat="1" ht="15" customHeight="1">
      <c r="A112" s="16059" t="s">
        <v>1167</v>
      </c>
      <c r="B112" s="16067" t="s">
        <v>1168</v>
      </c>
      <c r="C112" s="5121" t="s">
        <v>8089</v>
      </c>
      <c r="D112" s="5121" t="s">
        <v>1169</v>
      </c>
      <c r="E112" s="5121" t="s">
        <v>1170</v>
      </c>
      <c r="F112" s="5122" t="s">
        <v>1073</v>
      </c>
      <c r="G112" s="5537">
        <v>1</v>
      </c>
      <c r="H112" s="5111">
        <v>15</v>
      </c>
      <c r="I112" s="5111">
        <v>15</v>
      </c>
      <c r="J112" s="5111">
        <v>15</v>
      </c>
      <c r="K112" s="5111">
        <v>15</v>
      </c>
      <c r="L112" s="5111">
        <v>20</v>
      </c>
      <c r="M112" s="5111">
        <v>20</v>
      </c>
      <c r="N112" s="5111">
        <v>20</v>
      </c>
      <c r="O112" s="5111">
        <v>20</v>
      </c>
      <c r="P112" s="5111">
        <v>20</v>
      </c>
      <c r="Q112" s="5111">
        <v>20</v>
      </c>
      <c r="R112" s="5538" t="s">
        <v>10072</v>
      </c>
      <c r="S112" s="5539" t="s">
        <v>1164</v>
      </c>
      <c r="T112" s="5541"/>
      <c r="U112" s="5124"/>
      <c r="V112" s="16142"/>
      <c r="W112" s="5658"/>
      <c r="X112" s="5541"/>
      <c r="Y112" s="5659"/>
      <c r="Z112" s="5577"/>
      <c r="AA112" s="5577"/>
      <c r="AB112" s="5577"/>
      <c r="AC112" s="5577"/>
      <c r="AD112" s="5544"/>
      <c r="AE112" s="5544"/>
      <c r="AF112" s="5544"/>
      <c r="AG112" s="5544"/>
      <c r="AH112" s="5544"/>
      <c r="AI112" s="5544"/>
      <c r="AJ112" s="5544"/>
      <c r="AK112" s="5544"/>
      <c r="AL112" s="5544"/>
      <c r="AM112" s="5544"/>
      <c r="AN112" s="5544"/>
      <c r="AO112" s="5544"/>
      <c r="AP112" s="5544"/>
      <c r="AQ112" s="5544"/>
      <c r="AR112" s="5544"/>
      <c r="AS112" s="5544"/>
      <c r="AT112" s="5544"/>
      <c r="AU112" s="5544"/>
      <c r="AV112" s="5544"/>
      <c r="AW112" s="5544"/>
      <c r="AX112" s="5544"/>
      <c r="AY112" s="5544"/>
      <c r="AZ112" s="5544"/>
      <c r="BA112" s="5544"/>
      <c r="BB112" s="5544"/>
      <c r="BC112" s="5544"/>
      <c r="BD112" s="5544"/>
      <c r="BE112" s="5544"/>
      <c r="BF112" s="5544"/>
      <c r="BG112" s="5544"/>
      <c r="BH112" s="5544"/>
      <c r="BI112" s="5544"/>
      <c r="BJ112" s="5544"/>
      <c r="BK112" s="5544"/>
      <c r="BL112" s="5544"/>
      <c r="BM112" s="5544"/>
      <c r="BN112" s="5124">
        <v>1</v>
      </c>
      <c r="BO112" s="16142">
        <f>AVERAGE(BN112:BN119)</f>
        <v>0.4375</v>
      </c>
      <c r="BP112" s="5658" t="s">
        <v>9509</v>
      </c>
      <c r="BQ112" s="5541" t="s">
        <v>9451</v>
      </c>
      <c r="BR112" s="5659"/>
      <c r="BS112" s="5578">
        <f t="shared" ref="BS112" si="10">+SUM(BT112:BV112)</f>
        <v>517994638.97438902</v>
      </c>
      <c r="BT112" s="5578">
        <v>258997319.48719451</v>
      </c>
      <c r="BU112" s="5578">
        <v>155398391.69231671</v>
      </c>
      <c r="BV112" s="5578">
        <v>103598927.79487781</v>
      </c>
      <c r="BW112" s="5546"/>
      <c r="BX112" s="5546"/>
      <c r="BY112" s="5546"/>
      <c r="BZ112" s="5546"/>
      <c r="CA112" s="5546"/>
      <c r="CB112" s="5546"/>
      <c r="CC112" s="5546"/>
      <c r="CD112" s="5546"/>
      <c r="CE112" s="5546"/>
      <c r="CF112" s="5546"/>
      <c r="CG112" s="5546"/>
      <c r="CH112" s="5546"/>
      <c r="CI112" s="5546"/>
      <c r="CJ112" s="5546"/>
      <c r="CK112" s="5546"/>
      <c r="CL112" s="5546"/>
      <c r="CM112" s="5546"/>
      <c r="CN112" s="5546"/>
      <c r="CO112" s="5546"/>
      <c r="CP112" s="5546"/>
      <c r="CQ112" s="5546"/>
      <c r="CR112" s="5546"/>
      <c r="CS112" s="5546"/>
      <c r="CT112" s="5546"/>
      <c r="CU112" s="5546"/>
      <c r="CV112" s="5546"/>
      <c r="CW112" s="5546"/>
      <c r="CX112" s="5546"/>
      <c r="CY112" s="5546"/>
      <c r="CZ112" s="5546"/>
      <c r="DA112" s="5546"/>
      <c r="DB112" s="5546"/>
      <c r="DC112" s="5546"/>
      <c r="DD112" s="5546"/>
      <c r="DE112" s="5546"/>
      <c r="DF112" s="5546"/>
      <c r="DG112" s="5547"/>
      <c r="DH112" s="5547"/>
      <c r="DI112" s="5547"/>
      <c r="DJ112" s="5547"/>
      <c r="DK112" s="5547"/>
      <c r="DL112" s="5547"/>
      <c r="DM112" s="5547"/>
      <c r="DN112" s="5547"/>
      <c r="DO112" s="5547"/>
      <c r="DP112" s="5547"/>
      <c r="DQ112" s="5547"/>
      <c r="DR112" s="5547"/>
      <c r="DS112" s="5547"/>
      <c r="DT112" s="5547"/>
      <c r="DU112" s="5547"/>
      <c r="DV112" s="5547"/>
      <c r="DW112" s="5547"/>
      <c r="DX112" s="5547"/>
      <c r="DY112" s="5547"/>
      <c r="DZ112" s="5547"/>
      <c r="EA112" s="5547"/>
      <c r="EB112" s="5547"/>
      <c r="EC112" s="5547"/>
      <c r="ED112" s="5547"/>
      <c r="EE112" s="5547"/>
      <c r="EF112" s="5547"/>
      <c r="EG112" s="5547"/>
      <c r="EH112" s="5547"/>
      <c r="EI112" s="5547"/>
      <c r="EJ112" s="5547"/>
      <c r="EK112" s="5547"/>
      <c r="EL112" s="5547"/>
      <c r="EM112" s="5547"/>
      <c r="EN112" s="5547"/>
      <c r="EO112" s="5547"/>
      <c r="EP112" s="5547"/>
      <c r="EQ112" s="5547"/>
      <c r="ER112" s="5547"/>
      <c r="ES112" s="5547"/>
      <c r="ET112" s="5547"/>
      <c r="EU112" s="5547"/>
      <c r="EV112" s="5547"/>
      <c r="EW112" s="5547"/>
      <c r="EX112" s="5547"/>
      <c r="EY112" s="5547"/>
      <c r="EZ112" s="5547"/>
      <c r="FA112" s="5548"/>
    </row>
    <row r="113" spans="1:157" s="2021" customFormat="1" ht="15" customHeight="1">
      <c r="A113" s="16060"/>
      <c r="B113" s="16068"/>
      <c r="C113" s="5348" t="s">
        <v>8090</v>
      </c>
      <c r="D113" s="5348" t="s">
        <v>1171</v>
      </c>
      <c r="E113" s="5348" t="s">
        <v>1172</v>
      </c>
      <c r="F113" s="5349" t="s">
        <v>1073</v>
      </c>
      <c r="G113" s="5350">
        <v>10</v>
      </c>
      <c r="H113" s="2749">
        <v>3</v>
      </c>
      <c r="I113" s="2749">
        <v>3</v>
      </c>
      <c r="J113" s="2749">
        <v>3</v>
      </c>
      <c r="K113" s="2749">
        <v>3</v>
      </c>
      <c r="L113" s="2749">
        <v>3</v>
      </c>
      <c r="M113" s="2749">
        <v>3</v>
      </c>
      <c r="N113" s="2749">
        <v>3</v>
      </c>
      <c r="O113" s="2749">
        <v>3</v>
      </c>
      <c r="P113" s="2749">
        <v>3</v>
      </c>
      <c r="Q113" s="2749">
        <v>3</v>
      </c>
      <c r="R113" s="5431" t="s">
        <v>10072</v>
      </c>
      <c r="S113" s="5351" t="s">
        <v>1164</v>
      </c>
      <c r="T113" s="5353"/>
      <c r="U113" s="5580"/>
      <c r="V113" s="16143"/>
      <c r="W113" s="5660"/>
      <c r="X113" s="5353"/>
      <c r="Y113" s="5353"/>
      <c r="Z113" s="5354"/>
      <c r="AA113" s="5354"/>
      <c r="AB113" s="5354"/>
      <c r="AC113" s="5354"/>
      <c r="AD113" s="5356"/>
      <c r="AE113" s="5356"/>
      <c r="AF113" s="5356"/>
      <c r="AG113" s="5356"/>
      <c r="AH113" s="5356"/>
      <c r="AI113" s="5356"/>
      <c r="AJ113" s="5356"/>
      <c r="AK113" s="5356"/>
      <c r="AL113" s="5356"/>
      <c r="AM113" s="5356"/>
      <c r="AN113" s="5356"/>
      <c r="AO113" s="5356"/>
      <c r="AP113" s="5356"/>
      <c r="AQ113" s="5356"/>
      <c r="AR113" s="5356"/>
      <c r="AS113" s="5356"/>
      <c r="AT113" s="5356"/>
      <c r="AU113" s="5356"/>
      <c r="AV113" s="5356"/>
      <c r="AW113" s="5356"/>
      <c r="AX113" s="5356"/>
      <c r="AY113" s="5356"/>
      <c r="AZ113" s="5356"/>
      <c r="BA113" s="5356"/>
      <c r="BB113" s="5356"/>
      <c r="BC113" s="5356"/>
      <c r="BD113" s="5356"/>
      <c r="BE113" s="5356"/>
      <c r="BF113" s="5356"/>
      <c r="BG113" s="5356"/>
      <c r="BH113" s="5356"/>
      <c r="BI113" s="5356"/>
      <c r="BJ113" s="5356"/>
      <c r="BK113" s="5356"/>
      <c r="BL113" s="5356"/>
      <c r="BM113" s="5356"/>
      <c r="BN113" s="5580">
        <v>0.5</v>
      </c>
      <c r="BO113" s="16143"/>
      <c r="BP113" s="5660" t="s">
        <v>9510</v>
      </c>
      <c r="BQ113" s="5353" t="s">
        <v>9511</v>
      </c>
      <c r="BR113" s="5353" t="s">
        <v>9512</v>
      </c>
      <c r="BS113" s="5357">
        <v>0</v>
      </c>
      <c r="BT113" s="5357">
        <v>0</v>
      </c>
      <c r="BU113" s="5357">
        <v>0</v>
      </c>
      <c r="BV113" s="5357">
        <v>0</v>
      </c>
      <c r="BW113" s="5358"/>
      <c r="BX113" s="5358"/>
      <c r="BY113" s="5358"/>
      <c r="BZ113" s="5358"/>
      <c r="CA113" s="5358"/>
      <c r="CB113" s="5358"/>
      <c r="CC113" s="5358"/>
      <c r="CD113" s="5358"/>
      <c r="CE113" s="5358"/>
      <c r="CF113" s="5358"/>
      <c r="CG113" s="5358"/>
      <c r="CH113" s="5358"/>
      <c r="CI113" s="5358"/>
      <c r="CJ113" s="5358"/>
      <c r="CK113" s="5358"/>
      <c r="CL113" s="5358"/>
      <c r="CM113" s="5358"/>
      <c r="CN113" s="5358"/>
      <c r="CO113" s="5358"/>
      <c r="CP113" s="5358"/>
      <c r="CQ113" s="5358"/>
      <c r="CR113" s="5358"/>
      <c r="CS113" s="5358"/>
      <c r="CT113" s="5358"/>
      <c r="CU113" s="5358"/>
      <c r="CV113" s="5358"/>
      <c r="CW113" s="5358"/>
      <c r="CX113" s="5358"/>
      <c r="CY113" s="5358"/>
      <c r="CZ113" s="5358"/>
      <c r="DA113" s="5358"/>
      <c r="DB113" s="5358"/>
      <c r="DC113" s="5358"/>
      <c r="DD113" s="5358"/>
      <c r="DE113" s="5358"/>
      <c r="DF113" s="5358"/>
      <c r="DG113" s="5457"/>
      <c r="DH113" s="5457"/>
      <c r="DI113" s="5457"/>
      <c r="DJ113" s="5457"/>
      <c r="DK113" s="5457"/>
      <c r="DL113" s="5457"/>
      <c r="DM113" s="5457"/>
      <c r="DN113" s="5457"/>
      <c r="DO113" s="5457"/>
      <c r="DP113" s="5457"/>
      <c r="DQ113" s="5457"/>
      <c r="DR113" s="5457"/>
      <c r="DS113" s="5457"/>
      <c r="DT113" s="5457"/>
      <c r="DU113" s="5457"/>
      <c r="DV113" s="5457"/>
      <c r="DW113" s="5457"/>
      <c r="DX113" s="5457"/>
      <c r="DY113" s="5457"/>
      <c r="DZ113" s="5457"/>
      <c r="EA113" s="5457"/>
      <c r="EB113" s="5457"/>
      <c r="EC113" s="5457"/>
      <c r="ED113" s="5457"/>
      <c r="EE113" s="5457"/>
      <c r="EF113" s="5457"/>
      <c r="EG113" s="5457"/>
      <c r="EH113" s="5457"/>
      <c r="EI113" s="5457"/>
      <c r="EJ113" s="5457"/>
      <c r="EK113" s="5457"/>
      <c r="EL113" s="5457"/>
      <c r="EM113" s="5457"/>
      <c r="EN113" s="5457"/>
      <c r="EO113" s="5457"/>
      <c r="EP113" s="5457"/>
      <c r="EQ113" s="5457"/>
      <c r="ER113" s="5457"/>
      <c r="ES113" s="5457"/>
      <c r="ET113" s="5457"/>
      <c r="EU113" s="5457"/>
      <c r="EV113" s="5457"/>
      <c r="EW113" s="5457"/>
      <c r="EX113" s="5457"/>
      <c r="EY113" s="5457"/>
      <c r="EZ113" s="5457"/>
      <c r="FA113" s="5468"/>
    </row>
    <row r="114" spans="1:157" s="2021" customFormat="1" ht="15" customHeight="1">
      <c r="A114" s="16060"/>
      <c r="B114" s="16068"/>
      <c r="C114" s="5348" t="s">
        <v>8091</v>
      </c>
      <c r="D114" s="5348" t="s">
        <v>1173</v>
      </c>
      <c r="E114" s="5348" t="s">
        <v>1174</v>
      </c>
      <c r="F114" s="5349" t="s">
        <v>1073</v>
      </c>
      <c r="G114" s="5350">
        <v>1</v>
      </c>
      <c r="H114" s="2749">
        <v>10</v>
      </c>
      <c r="I114" s="2749">
        <v>10</v>
      </c>
      <c r="J114" s="2749">
        <v>10</v>
      </c>
      <c r="K114" s="2749">
        <v>15</v>
      </c>
      <c r="L114" s="2749">
        <v>15</v>
      </c>
      <c r="M114" s="2749">
        <v>15</v>
      </c>
      <c r="N114" s="2749">
        <v>15</v>
      </c>
      <c r="O114" s="2749">
        <v>15</v>
      </c>
      <c r="P114" s="2749">
        <v>15</v>
      </c>
      <c r="Q114" s="2749">
        <v>15</v>
      </c>
      <c r="R114" s="5431" t="s">
        <v>10072</v>
      </c>
      <c r="S114" s="5351" t="s">
        <v>1164</v>
      </c>
      <c r="T114" s="5353"/>
      <c r="U114" s="5359"/>
      <c r="V114" s="16143"/>
      <c r="W114" s="2749"/>
      <c r="X114" s="5661"/>
      <c r="Y114" s="2749"/>
      <c r="Z114" s="5354"/>
      <c r="AA114" s="5354"/>
      <c r="AB114" s="5354"/>
      <c r="AC114" s="5354"/>
      <c r="AD114" s="5356"/>
      <c r="AE114" s="5356"/>
      <c r="AF114" s="5356"/>
      <c r="AG114" s="5356"/>
      <c r="AH114" s="5356"/>
      <c r="AI114" s="5356"/>
      <c r="AJ114" s="5356"/>
      <c r="AK114" s="5356"/>
      <c r="AL114" s="5356"/>
      <c r="AM114" s="5356"/>
      <c r="AN114" s="5356"/>
      <c r="AO114" s="5356"/>
      <c r="AP114" s="5356"/>
      <c r="AQ114" s="5356"/>
      <c r="AR114" s="5356"/>
      <c r="AS114" s="5356"/>
      <c r="AT114" s="5356"/>
      <c r="AU114" s="5356"/>
      <c r="AV114" s="5356"/>
      <c r="AW114" s="5356"/>
      <c r="AX114" s="5356"/>
      <c r="AY114" s="5356"/>
      <c r="AZ114" s="5356"/>
      <c r="BA114" s="5356"/>
      <c r="BB114" s="5356"/>
      <c r="BC114" s="5356"/>
      <c r="BD114" s="5356"/>
      <c r="BE114" s="5356"/>
      <c r="BF114" s="5356"/>
      <c r="BG114" s="5356"/>
      <c r="BH114" s="5356"/>
      <c r="BI114" s="5356"/>
      <c r="BJ114" s="5356"/>
      <c r="BK114" s="5356"/>
      <c r="BL114" s="5356"/>
      <c r="BM114" s="5356"/>
      <c r="BN114" s="5359">
        <v>0</v>
      </c>
      <c r="BO114" s="16143"/>
      <c r="BP114" s="2749"/>
      <c r="BQ114" s="5661" t="s">
        <v>2951</v>
      </c>
      <c r="BR114" s="2749"/>
      <c r="BS114" s="5357">
        <v>0</v>
      </c>
      <c r="BT114" s="5357">
        <v>0</v>
      </c>
      <c r="BU114" s="5357">
        <v>0</v>
      </c>
      <c r="BV114" s="5357">
        <v>0</v>
      </c>
      <c r="BW114" s="5358"/>
      <c r="BX114" s="5358"/>
      <c r="BY114" s="5358"/>
      <c r="BZ114" s="5358"/>
      <c r="CA114" s="5358"/>
      <c r="CB114" s="5358"/>
      <c r="CC114" s="5358"/>
      <c r="CD114" s="5358"/>
      <c r="CE114" s="5358"/>
      <c r="CF114" s="5358"/>
      <c r="CG114" s="5358"/>
      <c r="CH114" s="5358"/>
      <c r="CI114" s="5358"/>
      <c r="CJ114" s="5358"/>
      <c r="CK114" s="5358"/>
      <c r="CL114" s="5358"/>
      <c r="CM114" s="5358"/>
      <c r="CN114" s="5358"/>
      <c r="CO114" s="5358"/>
      <c r="CP114" s="5358"/>
      <c r="CQ114" s="5358"/>
      <c r="CR114" s="5358"/>
      <c r="CS114" s="5358"/>
      <c r="CT114" s="5358"/>
      <c r="CU114" s="5358"/>
      <c r="CV114" s="5358"/>
      <c r="CW114" s="5358"/>
      <c r="CX114" s="5358"/>
      <c r="CY114" s="5358"/>
      <c r="CZ114" s="5358"/>
      <c r="DA114" s="5358"/>
      <c r="DB114" s="5358"/>
      <c r="DC114" s="5358"/>
      <c r="DD114" s="5358"/>
      <c r="DE114" s="5358"/>
      <c r="DF114" s="5358"/>
      <c r="DG114" s="5457"/>
      <c r="DH114" s="5457"/>
      <c r="DI114" s="5457"/>
      <c r="DJ114" s="5457"/>
      <c r="DK114" s="5457"/>
      <c r="DL114" s="5457"/>
      <c r="DM114" s="5457"/>
      <c r="DN114" s="5457"/>
      <c r="DO114" s="5457"/>
      <c r="DP114" s="5457"/>
      <c r="DQ114" s="5457"/>
      <c r="DR114" s="5457"/>
      <c r="DS114" s="5457"/>
      <c r="DT114" s="5457"/>
      <c r="DU114" s="5457"/>
      <c r="DV114" s="5457"/>
      <c r="DW114" s="5457"/>
      <c r="DX114" s="5457"/>
      <c r="DY114" s="5457"/>
      <c r="DZ114" s="5457"/>
      <c r="EA114" s="5457"/>
      <c r="EB114" s="5457"/>
      <c r="EC114" s="5457"/>
      <c r="ED114" s="5457"/>
      <c r="EE114" s="5457"/>
      <c r="EF114" s="5457"/>
      <c r="EG114" s="5457"/>
      <c r="EH114" s="5457"/>
      <c r="EI114" s="5457"/>
      <c r="EJ114" s="5457"/>
      <c r="EK114" s="5457"/>
      <c r="EL114" s="5457"/>
      <c r="EM114" s="5457"/>
      <c r="EN114" s="5457"/>
      <c r="EO114" s="5457"/>
      <c r="EP114" s="5457"/>
      <c r="EQ114" s="5457"/>
      <c r="ER114" s="5457"/>
      <c r="ES114" s="5457"/>
      <c r="ET114" s="5457"/>
      <c r="EU114" s="5457"/>
      <c r="EV114" s="5457"/>
      <c r="EW114" s="5457"/>
      <c r="EX114" s="5457"/>
      <c r="EY114" s="5457"/>
      <c r="EZ114" s="5457"/>
      <c r="FA114" s="5468"/>
    </row>
    <row r="115" spans="1:157" s="2021" customFormat="1" ht="15" customHeight="1">
      <c r="A115" s="16060"/>
      <c r="B115" s="16068"/>
      <c r="C115" s="5348" t="s">
        <v>8092</v>
      </c>
      <c r="D115" s="5348" t="s">
        <v>1175</v>
      </c>
      <c r="E115" s="5348" t="s">
        <v>1176</v>
      </c>
      <c r="F115" s="5349" t="s">
        <v>1073</v>
      </c>
      <c r="G115" s="5350">
        <v>0.5</v>
      </c>
      <c r="H115" s="2749">
        <v>15</v>
      </c>
      <c r="I115" s="2749">
        <v>15</v>
      </c>
      <c r="J115" s="2749">
        <v>15</v>
      </c>
      <c r="K115" s="2749">
        <v>20</v>
      </c>
      <c r="L115" s="2749">
        <v>20</v>
      </c>
      <c r="M115" s="2749">
        <v>20</v>
      </c>
      <c r="N115" s="2749">
        <v>20</v>
      </c>
      <c r="O115" s="2749">
        <v>20</v>
      </c>
      <c r="P115" s="2749">
        <v>20</v>
      </c>
      <c r="Q115" s="2749">
        <v>20</v>
      </c>
      <c r="R115" s="5431" t="s">
        <v>10072</v>
      </c>
      <c r="S115" s="5351" t="s">
        <v>1164</v>
      </c>
      <c r="T115" s="5353"/>
      <c r="U115" s="5580"/>
      <c r="V115" s="16143"/>
      <c r="W115" s="5662"/>
      <c r="X115" s="5662"/>
      <c r="Y115" s="5663"/>
      <c r="Z115" s="5360"/>
      <c r="AA115" s="5360"/>
      <c r="AB115" s="5360"/>
      <c r="AC115" s="5360"/>
      <c r="AD115" s="5356"/>
      <c r="AE115" s="5356"/>
      <c r="AF115" s="5356"/>
      <c r="AG115" s="5356"/>
      <c r="AH115" s="5356"/>
      <c r="AI115" s="5356"/>
      <c r="AJ115" s="5356"/>
      <c r="AK115" s="5356"/>
      <c r="AL115" s="5356"/>
      <c r="AM115" s="5356"/>
      <c r="AN115" s="5356"/>
      <c r="AO115" s="5356"/>
      <c r="AP115" s="5356"/>
      <c r="AQ115" s="5356"/>
      <c r="AR115" s="5356"/>
      <c r="AS115" s="5356"/>
      <c r="AT115" s="5356"/>
      <c r="AU115" s="5356"/>
      <c r="AV115" s="5356"/>
      <c r="AW115" s="5356"/>
      <c r="AX115" s="5356"/>
      <c r="AY115" s="5356"/>
      <c r="AZ115" s="5356"/>
      <c r="BA115" s="5356"/>
      <c r="BB115" s="5356"/>
      <c r="BC115" s="5356"/>
      <c r="BD115" s="5356"/>
      <c r="BE115" s="5356"/>
      <c r="BF115" s="5356"/>
      <c r="BG115" s="5356"/>
      <c r="BH115" s="5356"/>
      <c r="BI115" s="5356"/>
      <c r="BJ115" s="5356"/>
      <c r="BK115" s="5356"/>
      <c r="BL115" s="5356"/>
      <c r="BM115" s="5356"/>
      <c r="BN115" s="5580">
        <v>1</v>
      </c>
      <c r="BO115" s="16143"/>
      <c r="BP115" s="5662" t="s">
        <v>9513</v>
      </c>
      <c r="BQ115" s="5662" t="s">
        <v>9514</v>
      </c>
      <c r="BR115" s="5663"/>
      <c r="BS115" s="5361">
        <f t="shared" ref="BS115" si="11">+SUM(BT115:BV115)</f>
        <v>57554959.886043221</v>
      </c>
      <c r="BT115" s="5361">
        <v>28777479.943021614</v>
      </c>
      <c r="BU115" s="5361">
        <v>17266487.965812966</v>
      </c>
      <c r="BV115" s="5361">
        <v>11510991.977208646</v>
      </c>
      <c r="BW115" s="5358"/>
      <c r="BX115" s="5358"/>
      <c r="BY115" s="5358"/>
      <c r="BZ115" s="5358"/>
      <c r="CA115" s="5358"/>
      <c r="CB115" s="5358"/>
      <c r="CC115" s="5358"/>
      <c r="CD115" s="5358"/>
      <c r="CE115" s="5358"/>
      <c r="CF115" s="5358"/>
      <c r="CG115" s="5358"/>
      <c r="CH115" s="5358"/>
      <c r="CI115" s="5358"/>
      <c r="CJ115" s="5358"/>
      <c r="CK115" s="5358"/>
      <c r="CL115" s="5358"/>
      <c r="CM115" s="5358"/>
      <c r="CN115" s="5358"/>
      <c r="CO115" s="5358"/>
      <c r="CP115" s="5358"/>
      <c r="CQ115" s="5358"/>
      <c r="CR115" s="5358"/>
      <c r="CS115" s="5358"/>
      <c r="CT115" s="5358"/>
      <c r="CU115" s="5358"/>
      <c r="CV115" s="5358"/>
      <c r="CW115" s="5358"/>
      <c r="CX115" s="5358"/>
      <c r="CY115" s="5358"/>
      <c r="CZ115" s="5358"/>
      <c r="DA115" s="5358"/>
      <c r="DB115" s="5358"/>
      <c r="DC115" s="5358"/>
      <c r="DD115" s="5358"/>
      <c r="DE115" s="5358"/>
      <c r="DF115" s="5358"/>
      <c r="DG115" s="5457"/>
      <c r="DH115" s="5457"/>
      <c r="DI115" s="5457"/>
      <c r="DJ115" s="5457"/>
      <c r="DK115" s="5457"/>
      <c r="DL115" s="5457"/>
      <c r="DM115" s="5457"/>
      <c r="DN115" s="5457"/>
      <c r="DO115" s="5457"/>
      <c r="DP115" s="5457"/>
      <c r="DQ115" s="5457"/>
      <c r="DR115" s="5457"/>
      <c r="DS115" s="5457"/>
      <c r="DT115" s="5457"/>
      <c r="DU115" s="5457"/>
      <c r="DV115" s="5457"/>
      <c r="DW115" s="5457"/>
      <c r="DX115" s="5457"/>
      <c r="DY115" s="5457"/>
      <c r="DZ115" s="5457"/>
      <c r="EA115" s="5457"/>
      <c r="EB115" s="5457"/>
      <c r="EC115" s="5457"/>
      <c r="ED115" s="5457"/>
      <c r="EE115" s="5457"/>
      <c r="EF115" s="5457"/>
      <c r="EG115" s="5457"/>
      <c r="EH115" s="5457"/>
      <c r="EI115" s="5457"/>
      <c r="EJ115" s="5457"/>
      <c r="EK115" s="5457"/>
      <c r="EL115" s="5457"/>
      <c r="EM115" s="5457"/>
      <c r="EN115" s="5457"/>
      <c r="EO115" s="5457"/>
      <c r="EP115" s="5457"/>
      <c r="EQ115" s="5457"/>
      <c r="ER115" s="5457"/>
      <c r="ES115" s="5457"/>
      <c r="ET115" s="5457"/>
      <c r="EU115" s="5457"/>
      <c r="EV115" s="5457"/>
      <c r="EW115" s="5457"/>
      <c r="EX115" s="5457"/>
      <c r="EY115" s="5457"/>
      <c r="EZ115" s="5457"/>
      <c r="FA115" s="5468"/>
    </row>
    <row r="116" spans="1:157" s="2021" customFormat="1" ht="15" customHeight="1">
      <c r="A116" s="16060"/>
      <c r="B116" s="16068" t="s">
        <v>1177</v>
      </c>
      <c r="C116" s="5348" t="s">
        <v>8093</v>
      </c>
      <c r="D116" s="5348" t="s">
        <v>1178</v>
      </c>
      <c r="E116" s="5348" t="s">
        <v>1179</v>
      </c>
      <c r="F116" s="5349" t="s">
        <v>1073</v>
      </c>
      <c r="G116" s="5350">
        <v>0</v>
      </c>
      <c r="H116" s="2749">
        <v>1</v>
      </c>
      <c r="I116" s="2749">
        <v>1</v>
      </c>
      <c r="J116" s="2749">
        <v>1</v>
      </c>
      <c r="K116" s="2749">
        <v>1</v>
      </c>
      <c r="L116" s="2749">
        <v>1</v>
      </c>
      <c r="M116" s="2749">
        <v>1</v>
      </c>
      <c r="N116" s="2749">
        <v>1</v>
      </c>
      <c r="O116" s="2749">
        <v>1</v>
      </c>
      <c r="P116" s="2749">
        <v>1</v>
      </c>
      <c r="Q116" s="2749">
        <v>1</v>
      </c>
      <c r="R116" s="5431" t="s">
        <v>10072</v>
      </c>
      <c r="S116" s="5351" t="s">
        <v>1164</v>
      </c>
      <c r="T116" s="5353"/>
      <c r="U116" s="5664"/>
      <c r="V116" s="16143"/>
      <c r="W116" s="5353"/>
      <c r="X116" s="5661"/>
      <c r="Y116" s="2749"/>
      <c r="Z116" s="5354"/>
      <c r="AA116" s="5354"/>
      <c r="AB116" s="5354"/>
      <c r="AC116" s="5354"/>
      <c r="AD116" s="5356"/>
      <c r="AE116" s="5356"/>
      <c r="AF116" s="5356"/>
      <c r="AG116" s="5356"/>
      <c r="AH116" s="5356"/>
      <c r="AI116" s="5356"/>
      <c r="AJ116" s="5356"/>
      <c r="AK116" s="5356"/>
      <c r="AL116" s="5356"/>
      <c r="AM116" s="5356"/>
      <c r="AN116" s="5356"/>
      <c r="AO116" s="5356"/>
      <c r="AP116" s="5356"/>
      <c r="AQ116" s="5356"/>
      <c r="AR116" s="5356"/>
      <c r="AS116" s="5356"/>
      <c r="AT116" s="5356"/>
      <c r="AU116" s="5356"/>
      <c r="AV116" s="5356"/>
      <c r="AW116" s="5356"/>
      <c r="AX116" s="5356"/>
      <c r="AY116" s="5356"/>
      <c r="AZ116" s="5356"/>
      <c r="BA116" s="5356"/>
      <c r="BB116" s="5356"/>
      <c r="BC116" s="5356"/>
      <c r="BD116" s="5356"/>
      <c r="BE116" s="5356"/>
      <c r="BF116" s="5356"/>
      <c r="BG116" s="5356"/>
      <c r="BH116" s="5356"/>
      <c r="BI116" s="5356"/>
      <c r="BJ116" s="5356"/>
      <c r="BK116" s="5356"/>
      <c r="BL116" s="5356"/>
      <c r="BM116" s="5356"/>
      <c r="BN116" s="5664">
        <v>0</v>
      </c>
      <c r="BO116" s="16143"/>
      <c r="BP116" s="5353" t="s">
        <v>9488</v>
      </c>
      <c r="BQ116" s="5661" t="s">
        <v>2951</v>
      </c>
      <c r="BR116" s="2749"/>
      <c r="BS116" s="5357">
        <v>0</v>
      </c>
      <c r="BT116" s="5357">
        <v>0</v>
      </c>
      <c r="BU116" s="5357">
        <v>0</v>
      </c>
      <c r="BV116" s="5357">
        <v>0</v>
      </c>
      <c r="BW116" s="5358"/>
      <c r="BX116" s="5358"/>
      <c r="BY116" s="5358"/>
      <c r="BZ116" s="5358"/>
      <c r="CA116" s="5358"/>
      <c r="CB116" s="5358"/>
      <c r="CC116" s="5358"/>
      <c r="CD116" s="5358"/>
      <c r="CE116" s="5358"/>
      <c r="CF116" s="5358"/>
      <c r="CG116" s="5358"/>
      <c r="CH116" s="5358"/>
      <c r="CI116" s="5358"/>
      <c r="CJ116" s="5358"/>
      <c r="CK116" s="5358"/>
      <c r="CL116" s="5358"/>
      <c r="CM116" s="5358"/>
      <c r="CN116" s="5358"/>
      <c r="CO116" s="5358"/>
      <c r="CP116" s="5358"/>
      <c r="CQ116" s="5358"/>
      <c r="CR116" s="5358"/>
      <c r="CS116" s="5358"/>
      <c r="CT116" s="5358"/>
      <c r="CU116" s="5358"/>
      <c r="CV116" s="5358"/>
      <c r="CW116" s="5358"/>
      <c r="CX116" s="5358"/>
      <c r="CY116" s="5358"/>
      <c r="CZ116" s="5358"/>
      <c r="DA116" s="5358"/>
      <c r="DB116" s="5358"/>
      <c r="DC116" s="5358"/>
      <c r="DD116" s="5358"/>
      <c r="DE116" s="5358"/>
      <c r="DF116" s="5358"/>
      <c r="DG116" s="5457"/>
      <c r="DH116" s="5457"/>
      <c r="DI116" s="5457"/>
      <c r="DJ116" s="5457"/>
      <c r="DK116" s="5457"/>
      <c r="DL116" s="5457"/>
      <c r="DM116" s="5457"/>
      <c r="DN116" s="5457"/>
      <c r="DO116" s="5457"/>
      <c r="DP116" s="5457"/>
      <c r="DQ116" s="5457"/>
      <c r="DR116" s="5457"/>
      <c r="DS116" s="5457"/>
      <c r="DT116" s="5457"/>
      <c r="DU116" s="5457"/>
      <c r="DV116" s="5457"/>
      <c r="DW116" s="5457"/>
      <c r="DX116" s="5457"/>
      <c r="DY116" s="5457"/>
      <c r="DZ116" s="5457"/>
      <c r="EA116" s="5457"/>
      <c r="EB116" s="5457"/>
      <c r="EC116" s="5457"/>
      <c r="ED116" s="5457"/>
      <c r="EE116" s="5457"/>
      <c r="EF116" s="5457"/>
      <c r="EG116" s="5457"/>
      <c r="EH116" s="5457"/>
      <c r="EI116" s="5457"/>
      <c r="EJ116" s="5457"/>
      <c r="EK116" s="5457"/>
      <c r="EL116" s="5457"/>
      <c r="EM116" s="5457"/>
      <c r="EN116" s="5457"/>
      <c r="EO116" s="5457"/>
      <c r="EP116" s="5457"/>
      <c r="EQ116" s="5457"/>
      <c r="ER116" s="5457"/>
      <c r="ES116" s="5457"/>
      <c r="ET116" s="5457"/>
      <c r="EU116" s="5457"/>
      <c r="EV116" s="5457"/>
      <c r="EW116" s="5457"/>
      <c r="EX116" s="5457"/>
      <c r="EY116" s="5457"/>
      <c r="EZ116" s="5457"/>
      <c r="FA116" s="5468"/>
    </row>
    <row r="117" spans="1:157" s="2021" customFormat="1" ht="15" customHeight="1">
      <c r="A117" s="16060"/>
      <c r="B117" s="16068"/>
      <c r="C117" s="5348" t="s">
        <v>8094</v>
      </c>
      <c r="D117" s="5348" t="s">
        <v>1180</v>
      </c>
      <c r="E117" s="5348" t="s">
        <v>1181</v>
      </c>
      <c r="F117" s="5349" t="s">
        <v>1073</v>
      </c>
      <c r="G117" s="5350">
        <v>1</v>
      </c>
      <c r="H117" s="2749">
        <v>7</v>
      </c>
      <c r="I117" s="2749">
        <v>7</v>
      </c>
      <c r="J117" s="2749">
        <v>7</v>
      </c>
      <c r="K117" s="2749">
        <v>10</v>
      </c>
      <c r="L117" s="2749">
        <v>10</v>
      </c>
      <c r="M117" s="2749">
        <v>10</v>
      </c>
      <c r="N117" s="2749">
        <v>10</v>
      </c>
      <c r="O117" s="2749">
        <v>10</v>
      </c>
      <c r="P117" s="2749">
        <v>10</v>
      </c>
      <c r="Q117" s="2749">
        <v>10</v>
      </c>
      <c r="R117" s="5431" t="s">
        <v>10072</v>
      </c>
      <c r="S117" s="5351" t="s">
        <v>1164</v>
      </c>
      <c r="T117" s="5353"/>
      <c r="U117" s="5580"/>
      <c r="V117" s="16143"/>
      <c r="W117" s="5353"/>
      <c r="X117" s="5353"/>
      <c r="Y117" s="5353"/>
      <c r="Z117" s="5354"/>
      <c r="AA117" s="5354"/>
      <c r="AB117" s="5354"/>
      <c r="AC117" s="5354"/>
      <c r="AD117" s="5356"/>
      <c r="AE117" s="5356"/>
      <c r="AF117" s="5356"/>
      <c r="AG117" s="5356"/>
      <c r="AH117" s="5356"/>
      <c r="AI117" s="5356"/>
      <c r="AJ117" s="5356"/>
      <c r="AK117" s="5356"/>
      <c r="AL117" s="5356"/>
      <c r="AM117" s="5356"/>
      <c r="AN117" s="5356"/>
      <c r="AO117" s="5356"/>
      <c r="AP117" s="5356"/>
      <c r="AQ117" s="5356"/>
      <c r="AR117" s="5356"/>
      <c r="AS117" s="5356"/>
      <c r="AT117" s="5356"/>
      <c r="AU117" s="5356"/>
      <c r="AV117" s="5356"/>
      <c r="AW117" s="5356"/>
      <c r="AX117" s="5356"/>
      <c r="AY117" s="5356"/>
      <c r="AZ117" s="5356"/>
      <c r="BA117" s="5356"/>
      <c r="BB117" s="5356"/>
      <c r="BC117" s="5356"/>
      <c r="BD117" s="5356"/>
      <c r="BE117" s="5356"/>
      <c r="BF117" s="5356"/>
      <c r="BG117" s="5356"/>
      <c r="BH117" s="5356"/>
      <c r="BI117" s="5356"/>
      <c r="BJ117" s="5356"/>
      <c r="BK117" s="5356"/>
      <c r="BL117" s="5356"/>
      <c r="BM117" s="5356"/>
      <c r="BN117" s="5580">
        <v>1</v>
      </c>
      <c r="BO117" s="16143"/>
      <c r="BP117" s="5353" t="s">
        <v>9515</v>
      </c>
      <c r="BQ117" s="5353" t="s">
        <v>9511</v>
      </c>
      <c r="BR117" s="5353" t="s">
        <v>9516</v>
      </c>
      <c r="BS117" s="5357">
        <v>0</v>
      </c>
      <c r="BT117" s="5357">
        <v>0</v>
      </c>
      <c r="BU117" s="5357">
        <v>0</v>
      </c>
      <c r="BV117" s="5357">
        <v>0</v>
      </c>
      <c r="BW117" s="5358"/>
      <c r="BX117" s="5358"/>
      <c r="BY117" s="5358"/>
      <c r="BZ117" s="5358"/>
      <c r="CA117" s="5358"/>
      <c r="CB117" s="5358"/>
      <c r="CC117" s="5358"/>
      <c r="CD117" s="5358"/>
      <c r="CE117" s="5358"/>
      <c r="CF117" s="5358"/>
      <c r="CG117" s="5358"/>
      <c r="CH117" s="5358"/>
      <c r="CI117" s="5358"/>
      <c r="CJ117" s="5358"/>
      <c r="CK117" s="5358"/>
      <c r="CL117" s="5358"/>
      <c r="CM117" s="5358"/>
      <c r="CN117" s="5358"/>
      <c r="CO117" s="5358"/>
      <c r="CP117" s="5358"/>
      <c r="CQ117" s="5358"/>
      <c r="CR117" s="5358"/>
      <c r="CS117" s="5358"/>
      <c r="CT117" s="5358"/>
      <c r="CU117" s="5358"/>
      <c r="CV117" s="5358"/>
      <c r="CW117" s="5358"/>
      <c r="CX117" s="5358"/>
      <c r="CY117" s="5358"/>
      <c r="CZ117" s="5358"/>
      <c r="DA117" s="5358"/>
      <c r="DB117" s="5358"/>
      <c r="DC117" s="5358"/>
      <c r="DD117" s="5358"/>
      <c r="DE117" s="5358"/>
      <c r="DF117" s="5358"/>
      <c r="DG117" s="5457"/>
      <c r="DH117" s="5457"/>
      <c r="DI117" s="5457"/>
      <c r="DJ117" s="5457"/>
      <c r="DK117" s="5457"/>
      <c r="DL117" s="5457"/>
      <c r="DM117" s="5457"/>
      <c r="DN117" s="5457"/>
      <c r="DO117" s="5457"/>
      <c r="DP117" s="5457"/>
      <c r="DQ117" s="5457"/>
      <c r="DR117" s="5457"/>
      <c r="DS117" s="5457"/>
      <c r="DT117" s="5457"/>
      <c r="DU117" s="5457"/>
      <c r="DV117" s="5457"/>
      <c r="DW117" s="5457"/>
      <c r="DX117" s="5457"/>
      <c r="DY117" s="5457"/>
      <c r="DZ117" s="5457"/>
      <c r="EA117" s="5457"/>
      <c r="EB117" s="5457"/>
      <c r="EC117" s="5457"/>
      <c r="ED117" s="5457"/>
      <c r="EE117" s="5457"/>
      <c r="EF117" s="5457"/>
      <c r="EG117" s="5457"/>
      <c r="EH117" s="5457"/>
      <c r="EI117" s="5457"/>
      <c r="EJ117" s="5457"/>
      <c r="EK117" s="5457"/>
      <c r="EL117" s="5457"/>
      <c r="EM117" s="5457"/>
      <c r="EN117" s="5457"/>
      <c r="EO117" s="5457"/>
      <c r="EP117" s="5457"/>
      <c r="EQ117" s="5457"/>
      <c r="ER117" s="5457"/>
      <c r="ES117" s="5457"/>
      <c r="ET117" s="5457"/>
      <c r="EU117" s="5457"/>
      <c r="EV117" s="5457"/>
      <c r="EW117" s="5457"/>
      <c r="EX117" s="5457"/>
      <c r="EY117" s="5457"/>
      <c r="EZ117" s="5457"/>
      <c r="FA117" s="5468"/>
    </row>
    <row r="118" spans="1:157" s="2021" customFormat="1" ht="15" customHeight="1">
      <c r="A118" s="16060"/>
      <c r="B118" s="16068"/>
      <c r="C118" s="5348" t="s">
        <v>8095</v>
      </c>
      <c r="D118" s="5348" t="s">
        <v>1182</v>
      </c>
      <c r="E118" s="5348" t="s">
        <v>1183</v>
      </c>
      <c r="F118" s="5349" t="s">
        <v>1073</v>
      </c>
      <c r="G118" s="5350">
        <v>0</v>
      </c>
      <c r="H118" s="2749">
        <v>4</v>
      </c>
      <c r="I118" s="2749">
        <v>4</v>
      </c>
      <c r="J118" s="2749">
        <v>4</v>
      </c>
      <c r="K118" s="2749">
        <v>5</v>
      </c>
      <c r="L118" s="2749">
        <v>5</v>
      </c>
      <c r="M118" s="2749">
        <v>5</v>
      </c>
      <c r="N118" s="2749">
        <v>5</v>
      </c>
      <c r="O118" s="2749">
        <v>5</v>
      </c>
      <c r="P118" s="2749">
        <v>5</v>
      </c>
      <c r="Q118" s="2749">
        <v>5</v>
      </c>
      <c r="R118" s="5431" t="s">
        <v>10072</v>
      </c>
      <c r="S118" s="5351" t="s">
        <v>1164</v>
      </c>
      <c r="T118" s="5353"/>
      <c r="U118" s="5664"/>
      <c r="V118" s="16143"/>
      <c r="W118" s="5353"/>
      <c r="X118" s="5356"/>
      <c r="Y118" s="5356"/>
      <c r="Z118" s="5355"/>
      <c r="AA118" s="5355"/>
      <c r="AB118" s="5355"/>
      <c r="AC118" s="5354"/>
      <c r="AD118" s="5356"/>
      <c r="AE118" s="5356"/>
      <c r="AF118" s="5356"/>
      <c r="AG118" s="5356"/>
      <c r="AH118" s="5356"/>
      <c r="AI118" s="5356"/>
      <c r="AJ118" s="5356"/>
      <c r="AK118" s="5356"/>
      <c r="AL118" s="5356"/>
      <c r="AM118" s="5356"/>
      <c r="AN118" s="5356"/>
      <c r="AO118" s="5356"/>
      <c r="AP118" s="5356"/>
      <c r="AQ118" s="5356"/>
      <c r="AR118" s="5356"/>
      <c r="AS118" s="5356"/>
      <c r="AT118" s="5356"/>
      <c r="AU118" s="5356"/>
      <c r="AV118" s="5356"/>
      <c r="AW118" s="5356"/>
      <c r="AX118" s="5356"/>
      <c r="AY118" s="5356"/>
      <c r="AZ118" s="5356"/>
      <c r="BA118" s="5356"/>
      <c r="BB118" s="5356"/>
      <c r="BC118" s="5356"/>
      <c r="BD118" s="5356"/>
      <c r="BE118" s="5356"/>
      <c r="BF118" s="5356"/>
      <c r="BG118" s="5356"/>
      <c r="BH118" s="5356"/>
      <c r="BI118" s="5356"/>
      <c r="BJ118" s="5356"/>
      <c r="BK118" s="5356"/>
      <c r="BL118" s="5356"/>
      <c r="BM118" s="5356"/>
      <c r="BN118" s="5664">
        <v>0</v>
      </c>
      <c r="BO118" s="16143"/>
      <c r="BP118" s="5353" t="s">
        <v>9488</v>
      </c>
      <c r="BQ118" s="5356"/>
      <c r="BR118" s="5356"/>
      <c r="BS118" s="5358">
        <v>0</v>
      </c>
      <c r="BT118" s="5358">
        <v>0</v>
      </c>
      <c r="BU118" s="5358">
        <v>0</v>
      </c>
      <c r="BV118" s="5357">
        <v>0</v>
      </c>
      <c r="BW118" s="5358"/>
      <c r="BX118" s="5358"/>
      <c r="BY118" s="5358"/>
      <c r="BZ118" s="5358"/>
      <c r="CA118" s="5358"/>
      <c r="CB118" s="5358"/>
      <c r="CC118" s="5358"/>
      <c r="CD118" s="5358"/>
      <c r="CE118" s="5358"/>
      <c r="CF118" s="5358"/>
      <c r="CG118" s="5358"/>
      <c r="CH118" s="5358"/>
      <c r="CI118" s="5358"/>
      <c r="CJ118" s="5358"/>
      <c r="CK118" s="5358"/>
      <c r="CL118" s="5358"/>
      <c r="CM118" s="5358"/>
      <c r="CN118" s="5358"/>
      <c r="CO118" s="5358"/>
      <c r="CP118" s="5358"/>
      <c r="CQ118" s="5358"/>
      <c r="CR118" s="5358"/>
      <c r="CS118" s="5358"/>
      <c r="CT118" s="5358"/>
      <c r="CU118" s="5358"/>
      <c r="CV118" s="5358"/>
      <c r="CW118" s="5358"/>
      <c r="CX118" s="5358"/>
      <c r="CY118" s="5358"/>
      <c r="CZ118" s="5358"/>
      <c r="DA118" s="5358"/>
      <c r="DB118" s="5358"/>
      <c r="DC118" s="5358"/>
      <c r="DD118" s="5358"/>
      <c r="DE118" s="5358"/>
      <c r="DF118" s="5358"/>
      <c r="DG118" s="5457"/>
      <c r="DH118" s="5457"/>
      <c r="DI118" s="5457"/>
      <c r="DJ118" s="5457"/>
      <c r="DK118" s="5457"/>
      <c r="DL118" s="5457"/>
      <c r="DM118" s="5457"/>
      <c r="DN118" s="5457"/>
      <c r="DO118" s="5457"/>
      <c r="DP118" s="5457"/>
      <c r="DQ118" s="5457"/>
      <c r="DR118" s="5457"/>
      <c r="DS118" s="5457"/>
      <c r="DT118" s="5457"/>
      <c r="DU118" s="5457"/>
      <c r="DV118" s="5457"/>
      <c r="DW118" s="5457"/>
      <c r="DX118" s="5457"/>
      <c r="DY118" s="5457"/>
      <c r="DZ118" s="5457"/>
      <c r="EA118" s="5457"/>
      <c r="EB118" s="5457"/>
      <c r="EC118" s="5457"/>
      <c r="ED118" s="5457"/>
      <c r="EE118" s="5457"/>
      <c r="EF118" s="5457"/>
      <c r="EG118" s="5457"/>
      <c r="EH118" s="5457"/>
      <c r="EI118" s="5457"/>
      <c r="EJ118" s="5457"/>
      <c r="EK118" s="5457"/>
      <c r="EL118" s="5457"/>
      <c r="EM118" s="5457"/>
      <c r="EN118" s="5457"/>
      <c r="EO118" s="5457"/>
      <c r="EP118" s="5457"/>
      <c r="EQ118" s="5457"/>
      <c r="ER118" s="5457"/>
      <c r="ES118" s="5457"/>
      <c r="ET118" s="5457"/>
      <c r="EU118" s="5457"/>
      <c r="EV118" s="5457"/>
      <c r="EW118" s="5457"/>
      <c r="EX118" s="5457"/>
      <c r="EY118" s="5457"/>
      <c r="EZ118" s="5457"/>
      <c r="FA118" s="5468"/>
    </row>
    <row r="119" spans="1:157" s="2021" customFormat="1" ht="15" customHeight="1" thickBot="1">
      <c r="A119" s="16061"/>
      <c r="B119" s="16081"/>
      <c r="C119" s="5665" t="s">
        <v>8096</v>
      </c>
      <c r="D119" s="5665" t="s">
        <v>1184</v>
      </c>
      <c r="E119" s="5665" t="s">
        <v>1185</v>
      </c>
      <c r="F119" s="5666" t="s">
        <v>1073</v>
      </c>
      <c r="G119" s="5667">
        <v>1</v>
      </c>
      <c r="H119" s="5528">
        <v>5</v>
      </c>
      <c r="I119" s="5528">
        <v>5</v>
      </c>
      <c r="J119" s="5528">
        <v>5</v>
      </c>
      <c r="K119" s="5528">
        <v>10</v>
      </c>
      <c r="L119" s="5528">
        <v>10</v>
      </c>
      <c r="M119" s="5528">
        <v>10</v>
      </c>
      <c r="N119" s="5528">
        <v>10</v>
      </c>
      <c r="O119" s="5528">
        <v>10</v>
      </c>
      <c r="P119" s="5528">
        <v>10</v>
      </c>
      <c r="Q119" s="5528">
        <v>10</v>
      </c>
      <c r="R119" s="5668" t="s">
        <v>10072</v>
      </c>
      <c r="S119" s="5669" t="s">
        <v>1164</v>
      </c>
      <c r="T119" s="5529"/>
      <c r="U119" s="5670"/>
      <c r="V119" s="16185"/>
      <c r="W119" s="5529"/>
      <c r="X119" s="5532"/>
      <c r="Y119" s="5532"/>
      <c r="Z119" s="5531"/>
      <c r="AA119" s="5531"/>
      <c r="AB119" s="5531"/>
      <c r="AC119" s="5671"/>
      <c r="AD119" s="5532"/>
      <c r="AE119" s="5532"/>
      <c r="AF119" s="5532"/>
      <c r="AG119" s="5532"/>
      <c r="AH119" s="5532"/>
      <c r="AI119" s="5532"/>
      <c r="AJ119" s="5532"/>
      <c r="AK119" s="5532"/>
      <c r="AL119" s="5532"/>
      <c r="AM119" s="5532"/>
      <c r="AN119" s="5532"/>
      <c r="AO119" s="5532"/>
      <c r="AP119" s="5532"/>
      <c r="AQ119" s="5532"/>
      <c r="AR119" s="5532"/>
      <c r="AS119" s="5532"/>
      <c r="AT119" s="5532"/>
      <c r="AU119" s="5532"/>
      <c r="AV119" s="5532"/>
      <c r="AW119" s="5532"/>
      <c r="AX119" s="5532"/>
      <c r="AY119" s="5532"/>
      <c r="AZ119" s="5532"/>
      <c r="BA119" s="5532"/>
      <c r="BB119" s="5532"/>
      <c r="BC119" s="5532"/>
      <c r="BD119" s="5532"/>
      <c r="BE119" s="5532"/>
      <c r="BF119" s="5532"/>
      <c r="BG119" s="5532"/>
      <c r="BH119" s="5532"/>
      <c r="BI119" s="5532"/>
      <c r="BJ119" s="5532"/>
      <c r="BK119" s="5532"/>
      <c r="BL119" s="5532"/>
      <c r="BM119" s="5532"/>
      <c r="BN119" s="5670">
        <v>0</v>
      </c>
      <c r="BO119" s="16185"/>
      <c r="BP119" s="5529" t="s">
        <v>9517</v>
      </c>
      <c r="BQ119" s="5532"/>
      <c r="BR119" s="5532"/>
      <c r="BS119" s="5534">
        <v>0</v>
      </c>
      <c r="BT119" s="5534">
        <v>0</v>
      </c>
      <c r="BU119" s="5534">
        <v>0</v>
      </c>
      <c r="BV119" s="5672">
        <v>0</v>
      </c>
      <c r="BW119" s="5534"/>
      <c r="BX119" s="5534"/>
      <c r="BY119" s="5534"/>
      <c r="BZ119" s="5534"/>
      <c r="CA119" s="5534"/>
      <c r="CB119" s="5534"/>
      <c r="CC119" s="5534"/>
      <c r="CD119" s="5534"/>
      <c r="CE119" s="5534"/>
      <c r="CF119" s="5534"/>
      <c r="CG119" s="5534"/>
      <c r="CH119" s="5534"/>
      <c r="CI119" s="5534"/>
      <c r="CJ119" s="5534"/>
      <c r="CK119" s="5534"/>
      <c r="CL119" s="5534"/>
      <c r="CM119" s="5534"/>
      <c r="CN119" s="5534"/>
      <c r="CO119" s="5534"/>
      <c r="CP119" s="5534"/>
      <c r="CQ119" s="5534"/>
      <c r="CR119" s="5534"/>
      <c r="CS119" s="5534"/>
      <c r="CT119" s="5534"/>
      <c r="CU119" s="5534"/>
      <c r="CV119" s="5534"/>
      <c r="CW119" s="5534"/>
      <c r="CX119" s="5534"/>
      <c r="CY119" s="5534"/>
      <c r="CZ119" s="5534"/>
      <c r="DA119" s="5534"/>
      <c r="DB119" s="5534"/>
      <c r="DC119" s="5534"/>
      <c r="DD119" s="5534"/>
      <c r="DE119" s="5534"/>
      <c r="DF119" s="5534"/>
      <c r="DG119" s="5535"/>
      <c r="DH119" s="5535"/>
      <c r="DI119" s="5535"/>
      <c r="DJ119" s="5535"/>
      <c r="DK119" s="5535"/>
      <c r="DL119" s="5535"/>
      <c r="DM119" s="5535"/>
      <c r="DN119" s="5535"/>
      <c r="DO119" s="5535"/>
      <c r="DP119" s="5535"/>
      <c r="DQ119" s="5535"/>
      <c r="DR119" s="5535"/>
      <c r="DS119" s="5535"/>
      <c r="DT119" s="5535"/>
      <c r="DU119" s="5535"/>
      <c r="DV119" s="5535"/>
      <c r="DW119" s="5535"/>
      <c r="DX119" s="5535"/>
      <c r="DY119" s="5535"/>
      <c r="DZ119" s="5535"/>
      <c r="EA119" s="5535"/>
      <c r="EB119" s="5535"/>
      <c r="EC119" s="5535"/>
      <c r="ED119" s="5535"/>
      <c r="EE119" s="5535"/>
      <c r="EF119" s="5535"/>
      <c r="EG119" s="5535"/>
      <c r="EH119" s="5535"/>
      <c r="EI119" s="5535"/>
      <c r="EJ119" s="5535"/>
      <c r="EK119" s="5535"/>
      <c r="EL119" s="5535"/>
      <c r="EM119" s="5535"/>
      <c r="EN119" s="5535"/>
      <c r="EO119" s="5535"/>
      <c r="EP119" s="5535"/>
      <c r="EQ119" s="5535"/>
      <c r="ER119" s="5535"/>
      <c r="ES119" s="5535"/>
      <c r="ET119" s="5535"/>
      <c r="EU119" s="5535"/>
      <c r="EV119" s="5535"/>
      <c r="EW119" s="5535"/>
      <c r="EX119" s="5535"/>
      <c r="EY119" s="5535"/>
      <c r="EZ119" s="5535"/>
      <c r="FA119" s="5536"/>
    </row>
    <row r="120" spans="1:157" s="5682" customFormat="1" ht="15" customHeight="1">
      <c r="A120" s="16074" t="s">
        <v>1186</v>
      </c>
      <c r="B120" s="16071" t="s">
        <v>1187</v>
      </c>
      <c r="C120" s="16071" t="s">
        <v>8097</v>
      </c>
      <c r="D120" s="16071" t="s">
        <v>1188</v>
      </c>
      <c r="E120" s="16071" t="s">
        <v>1189</v>
      </c>
      <c r="F120" s="16192" t="s">
        <v>1073</v>
      </c>
      <c r="G120" s="16196">
        <v>0.71</v>
      </c>
      <c r="H120" s="16046">
        <v>10</v>
      </c>
      <c r="I120" s="16046">
        <v>10</v>
      </c>
      <c r="J120" s="16046">
        <v>10</v>
      </c>
      <c r="K120" s="16046">
        <v>15</v>
      </c>
      <c r="L120" s="16046">
        <v>15</v>
      </c>
      <c r="M120" s="16046">
        <v>15</v>
      </c>
      <c r="N120" s="16046">
        <v>15</v>
      </c>
      <c r="O120" s="16046">
        <v>15</v>
      </c>
      <c r="P120" s="16046">
        <v>15</v>
      </c>
      <c r="Q120" s="16046">
        <v>15</v>
      </c>
      <c r="R120" s="5673" t="s">
        <v>10072</v>
      </c>
      <c r="S120" s="5674" t="s">
        <v>1029</v>
      </c>
      <c r="T120" s="5136"/>
      <c r="U120" s="5675"/>
      <c r="V120" s="16187"/>
      <c r="W120" s="5134"/>
      <c r="X120" s="5144"/>
      <c r="Y120" s="5144"/>
      <c r="Z120" s="5676"/>
      <c r="AA120" s="5676"/>
      <c r="AB120" s="5676"/>
      <c r="AC120" s="5677"/>
      <c r="AD120" s="5144"/>
      <c r="AE120" s="5144"/>
      <c r="AF120" s="5144"/>
      <c r="AG120" s="5144"/>
      <c r="AH120" s="5144"/>
      <c r="AI120" s="5144"/>
      <c r="AJ120" s="5144"/>
      <c r="AK120" s="5144"/>
      <c r="AL120" s="5144"/>
      <c r="AM120" s="5144"/>
      <c r="AN120" s="5144"/>
      <c r="AO120" s="5144"/>
      <c r="AP120" s="5144"/>
      <c r="AQ120" s="5144"/>
      <c r="AR120" s="5144"/>
      <c r="AS120" s="5144"/>
      <c r="AT120" s="5144"/>
      <c r="AU120" s="5144"/>
      <c r="AV120" s="5144"/>
      <c r="AW120" s="5144"/>
      <c r="AX120" s="5144"/>
      <c r="AY120" s="5144"/>
      <c r="AZ120" s="5144"/>
      <c r="BA120" s="5144"/>
      <c r="BB120" s="5144"/>
      <c r="BC120" s="5144"/>
      <c r="BD120" s="5144"/>
      <c r="BE120" s="5144"/>
      <c r="BF120" s="5144"/>
      <c r="BG120" s="5144"/>
      <c r="BH120" s="5144"/>
      <c r="BI120" s="5144"/>
      <c r="BJ120" s="5144"/>
      <c r="BK120" s="5144"/>
      <c r="BL120" s="5144"/>
      <c r="BM120" s="5144"/>
      <c r="BN120" s="5675">
        <v>0</v>
      </c>
      <c r="BO120" s="16187">
        <f>AVERAGE(BN121:BN139)</f>
        <v>0.42937500000000001</v>
      </c>
      <c r="BP120" s="5134" t="s">
        <v>9518</v>
      </c>
      <c r="BQ120" s="5144"/>
      <c r="BR120" s="5144"/>
      <c r="BS120" s="5678">
        <v>0</v>
      </c>
      <c r="BT120" s="5678">
        <v>0</v>
      </c>
      <c r="BU120" s="5678">
        <v>0</v>
      </c>
      <c r="BV120" s="5679">
        <v>0</v>
      </c>
      <c r="BW120" s="5678"/>
      <c r="BX120" s="5678"/>
      <c r="BY120" s="5678"/>
      <c r="BZ120" s="5678"/>
      <c r="CA120" s="5678"/>
      <c r="CB120" s="5678"/>
      <c r="CC120" s="5678"/>
      <c r="CD120" s="5678"/>
      <c r="CE120" s="5678"/>
      <c r="CF120" s="5678"/>
      <c r="CG120" s="5678"/>
      <c r="CH120" s="5678"/>
      <c r="CI120" s="5678"/>
      <c r="CJ120" s="5678"/>
      <c r="CK120" s="5678"/>
      <c r="CL120" s="5678"/>
      <c r="CM120" s="5678"/>
      <c r="CN120" s="5678"/>
      <c r="CO120" s="5678"/>
      <c r="CP120" s="5678"/>
      <c r="CQ120" s="5678"/>
      <c r="CR120" s="5678"/>
      <c r="CS120" s="5678"/>
      <c r="CT120" s="5678"/>
      <c r="CU120" s="5678"/>
      <c r="CV120" s="5678"/>
      <c r="CW120" s="5678"/>
      <c r="CX120" s="5678"/>
      <c r="CY120" s="5678"/>
      <c r="CZ120" s="5678"/>
      <c r="DA120" s="5678"/>
      <c r="DB120" s="5678"/>
      <c r="DC120" s="5678"/>
      <c r="DD120" s="5678"/>
      <c r="DE120" s="5678"/>
      <c r="DF120" s="5678"/>
      <c r="DG120" s="5680"/>
      <c r="DH120" s="5680"/>
      <c r="DI120" s="5680"/>
      <c r="DJ120" s="5680"/>
      <c r="DK120" s="5680"/>
      <c r="DL120" s="5680"/>
      <c r="DM120" s="5680"/>
      <c r="DN120" s="5680"/>
      <c r="DO120" s="5680"/>
      <c r="DP120" s="5680"/>
      <c r="DQ120" s="5680"/>
      <c r="DR120" s="5680"/>
      <c r="DS120" s="5680"/>
      <c r="DT120" s="5680"/>
      <c r="DU120" s="5680"/>
      <c r="DV120" s="5680"/>
      <c r="DW120" s="5680"/>
      <c r="DX120" s="5680"/>
      <c r="DY120" s="5680"/>
      <c r="DZ120" s="5680"/>
      <c r="EA120" s="5680"/>
      <c r="EB120" s="5680"/>
      <c r="EC120" s="5680"/>
      <c r="ED120" s="5680"/>
      <c r="EE120" s="5680"/>
      <c r="EF120" s="5680"/>
      <c r="EG120" s="5680"/>
      <c r="EH120" s="5680"/>
      <c r="EI120" s="5680"/>
      <c r="EJ120" s="5680"/>
      <c r="EK120" s="5680"/>
      <c r="EL120" s="5680"/>
      <c r="EM120" s="5680"/>
      <c r="EN120" s="5680"/>
      <c r="EO120" s="5680"/>
      <c r="EP120" s="5680"/>
      <c r="EQ120" s="5680"/>
      <c r="ER120" s="5680"/>
      <c r="ES120" s="5680"/>
      <c r="ET120" s="5680"/>
      <c r="EU120" s="5680"/>
      <c r="EV120" s="5680"/>
      <c r="EW120" s="5680"/>
      <c r="EX120" s="5680"/>
      <c r="EY120" s="5680"/>
      <c r="EZ120" s="5680"/>
      <c r="FA120" s="5681"/>
    </row>
    <row r="121" spans="1:157" s="5682" customFormat="1" ht="15" customHeight="1">
      <c r="A121" s="16075"/>
      <c r="B121" s="16069"/>
      <c r="C121" s="16069"/>
      <c r="D121" s="16069"/>
      <c r="E121" s="16069"/>
      <c r="F121" s="16190"/>
      <c r="G121" s="16191"/>
      <c r="H121" s="16039"/>
      <c r="I121" s="16039"/>
      <c r="J121" s="16039"/>
      <c r="K121" s="16039"/>
      <c r="L121" s="16039"/>
      <c r="M121" s="16039"/>
      <c r="N121" s="16039"/>
      <c r="O121" s="16039"/>
      <c r="P121" s="16039"/>
      <c r="Q121" s="16039"/>
      <c r="R121" s="2764" t="s">
        <v>2896</v>
      </c>
      <c r="S121" s="5683"/>
      <c r="T121" s="5684" t="s">
        <v>1190</v>
      </c>
      <c r="U121" s="5685"/>
      <c r="V121" s="16188"/>
      <c r="W121" s="5684"/>
      <c r="X121" s="5684"/>
      <c r="Y121" s="5686"/>
      <c r="Z121" s="5687"/>
      <c r="AA121" s="5687"/>
      <c r="AB121" s="5687"/>
      <c r="AC121" s="5688"/>
      <c r="AD121" s="5689"/>
      <c r="AE121" s="5689"/>
      <c r="AF121" s="5689"/>
      <c r="AG121" s="5689"/>
      <c r="AH121" s="5689"/>
      <c r="AI121" s="5689"/>
      <c r="AJ121" s="5689"/>
      <c r="AK121" s="5689"/>
      <c r="AL121" s="5689"/>
      <c r="AM121" s="5689"/>
      <c r="AN121" s="5689"/>
      <c r="AO121" s="5689"/>
      <c r="AP121" s="5689"/>
      <c r="AQ121" s="5689"/>
      <c r="AR121" s="5689"/>
      <c r="AS121" s="5689"/>
      <c r="AT121" s="5689"/>
      <c r="AU121" s="5689"/>
      <c r="AV121" s="5689"/>
      <c r="AW121" s="5689"/>
      <c r="AX121" s="5689"/>
      <c r="AY121" s="5689"/>
      <c r="AZ121" s="5689"/>
      <c r="BA121" s="5689"/>
      <c r="BB121" s="5689"/>
      <c r="BC121" s="5689"/>
      <c r="BD121" s="5689"/>
      <c r="BE121" s="5689"/>
      <c r="BF121" s="5689"/>
      <c r="BG121" s="5689"/>
      <c r="BH121" s="5689"/>
      <c r="BI121" s="5689"/>
      <c r="BJ121" s="5689"/>
      <c r="BK121" s="5689"/>
      <c r="BL121" s="5689"/>
      <c r="BM121" s="5689"/>
      <c r="BN121" s="5685">
        <v>0.5</v>
      </c>
      <c r="BO121" s="16188"/>
      <c r="BP121" s="5684" t="s">
        <v>9519</v>
      </c>
      <c r="BQ121" s="5684" t="s">
        <v>9520</v>
      </c>
      <c r="BR121" s="5686"/>
      <c r="BS121" s="5690">
        <f t="shared" ref="BS121" si="12">+SUM(BT121:BV121)</f>
        <v>77732301.965977475</v>
      </c>
      <c r="BT121" s="5690">
        <v>54412611.376184233</v>
      </c>
      <c r="BU121" s="5690">
        <v>23319690.589793243</v>
      </c>
      <c r="BV121" s="5691">
        <v>0</v>
      </c>
      <c r="BW121" s="5692"/>
      <c r="BX121" s="5692"/>
      <c r="BY121" s="5692"/>
      <c r="BZ121" s="5692"/>
      <c r="CA121" s="5692"/>
      <c r="CB121" s="5692"/>
      <c r="CC121" s="5692"/>
      <c r="CD121" s="5692"/>
      <c r="CE121" s="5692"/>
      <c r="CF121" s="5692"/>
      <c r="CG121" s="5692"/>
      <c r="CH121" s="5692"/>
      <c r="CI121" s="5692"/>
      <c r="CJ121" s="5692"/>
      <c r="CK121" s="5692"/>
      <c r="CL121" s="5692"/>
      <c r="CM121" s="5692"/>
      <c r="CN121" s="5692"/>
      <c r="CO121" s="5692"/>
      <c r="CP121" s="5692"/>
      <c r="CQ121" s="5692"/>
      <c r="CR121" s="5692"/>
      <c r="CS121" s="5692"/>
      <c r="CT121" s="5692"/>
      <c r="CU121" s="5692"/>
      <c r="CV121" s="5692"/>
      <c r="CW121" s="5692"/>
      <c r="CX121" s="5692"/>
      <c r="CY121" s="5692"/>
      <c r="CZ121" s="5692"/>
      <c r="DA121" s="5692"/>
      <c r="DB121" s="5692"/>
      <c r="DC121" s="5692"/>
      <c r="DD121" s="5692"/>
      <c r="DE121" s="5692"/>
      <c r="DF121" s="5692"/>
      <c r="DG121" s="5693"/>
      <c r="DH121" s="5693"/>
      <c r="DI121" s="5693"/>
      <c r="DJ121" s="5693"/>
      <c r="DK121" s="5693"/>
      <c r="DL121" s="5693"/>
      <c r="DM121" s="5693"/>
      <c r="DN121" s="5693"/>
      <c r="DO121" s="5693"/>
      <c r="DP121" s="5693"/>
      <c r="DQ121" s="5693"/>
      <c r="DR121" s="5693"/>
      <c r="DS121" s="5693"/>
      <c r="DT121" s="5693"/>
      <c r="DU121" s="5693"/>
      <c r="DV121" s="5693"/>
      <c r="DW121" s="5693"/>
      <c r="DX121" s="5693"/>
      <c r="DY121" s="5693"/>
      <c r="DZ121" s="5693"/>
      <c r="EA121" s="5693"/>
      <c r="EB121" s="5693"/>
      <c r="EC121" s="5693"/>
      <c r="ED121" s="5693"/>
      <c r="EE121" s="5693"/>
      <c r="EF121" s="5693"/>
      <c r="EG121" s="5693"/>
      <c r="EH121" s="5693"/>
      <c r="EI121" s="5693"/>
      <c r="EJ121" s="5693"/>
      <c r="EK121" s="5693"/>
      <c r="EL121" s="5693"/>
      <c r="EM121" s="5693"/>
      <c r="EN121" s="5693"/>
      <c r="EO121" s="5693"/>
      <c r="EP121" s="5693"/>
      <c r="EQ121" s="5693"/>
      <c r="ER121" s="5693"/>
      <c r="ES121" s="5693"/>
      <c r="ET121" s="5693"/>
      <c r="EU121" s="5693"/>
      <c r="EV121" s="5693"/>
      <c r="EW121" s="5693"/>
      <c r="EX121" s="5693"/>
      <c r="EY121" s="5693"/>
      <c r="EZ121" s="5693"/>
      <c r="FA121" s="5694"/>
    </row>
    <row r="122" spans="1:157" s="5682" customFormat="1" ht="15" customHeight="1">
      <c r="A122" s="16075"/>
      <c r="B122" s="16069"/>
      <c r="C122" s="16069" t="s">
        <v>8098</v>
      </c>
      <c r="D122" s="16069" t="s">
        <v>1191</v>
      </c>
      <c r="E122" s="16069"/>
      <c r="F122" s="16190"/>
      <c r="G122" s="16191">
        <v>0</v>
      </c>
      <c r="H122" s="16039"/>
      <c r="I122" s="16039"/>
      <c r="J122" s="16039"/>
      <c r="K122" s="16039"/>
      <c r="L122" s="16039"/>
      <c r="M122" s="16039"/>
      <c r="N122" s="16039"/>
      <c r="O122" s="16039"/>
      <c r="P122" s="16039"/>
      <c r="Q122" s="16039"/>
      <c r="R122" s="2764" t="s">
        <v>10072</v>
      </c>
      <c r="S122" s="5683" t="s">
        <v>1029</v>
      </c>
      <c r="T122" s="5684"/>
      <c r="U122" s="5695"/>
      <c r="V122" s="16188"/>
      <c r="W122" s="5696"/>
      <c r="X122" s="5695"/>
      <c r="Y122" s="5696"/>
      <c r="Z122" s="5697"/>
      <c r="AA122" s="5697"/>
      <c r="AB122" s="5697"/>
      <c r="AC122" s="5688"/>
      <c r="AD122" s="5697"/>
      <c r="AE122" s="5698"/>
      <c r="AF122" s="5699"/>
      <c r="AG122" s="5700"/>
      <c r="AH122" s="5701"/>
      <c r="AI122" s="5701"/>
      <c r="AJ122" s="5701"/>
      <c r="AK122" s="5701"/>
      <c r="AL122" s="5701"/>
      <c r="AM122" s="5701"/>
      <c r="AN122" s="5701"/>
      <c r="AO122" s="5701"/>
      <c r="AP122" s="5701"/>
      <c r="AQ122" s="5701"/>
      <c r="AR122" s="5701"/>
      <c r="AS122" s="5701"/>
      <c r="AT122" s="5701"/>
      <c r="AU122" s="5701"/>
      <c r="AV122" s="5701"/>
      <c r="AW122" s="5701"/>
      <c r="AX122" s="5701"/>
      <c r="AY122" s="5701"/>
      <c r="AZ122" s="5701"/>
      <c r="BA122" s="5701"/>
      <c r="BB122" s="5701"/>
      <c r="BC122" s="5701"/>
      <c r="BD122" s="5701"/>
      <c r="BE122" s="5701"/>
      <c r="BF122" s="5701"/>
      <c r="BG122" s="5696"/>
      <c r="BH122" s="5701"/>
      <c r="BI122" s="5701"/>
      <c r="BJ122" s="5701"/>
      <c r="BK122" s="5701"/>
      <c r="BL122" s="5701"/>
      <c r="BM122" s="5701"/>
      <c r="BN122" s="5695">
        <v>1</v>
      </c>
      <c r="BO122" s="16188"/>
      <c r="BP122" s="5696" t="s">
        <v>9521</v>
      </c>
      <c r="BQ122" s="5695"/>
      <c r="BR122" s="5696"/>
      <c r="BS122" s="5702">
        <v>3002373.4</v>
      </c>
      <c r="BT122" s="5702">
        <v>0</v>
      </c>
      <c r="BU122" s="5702">
        <f t="shared" ref="BU122" si="13">BV122+BW122+BX122</f>
        <v>0</v>
      </c>
      <c r="BV122" s="5691">
        <v>0</v>
      </c>
      <c r="BW122" s="5702"/>
      <c r="BX122" s="5703"/>
      <c r="BY122" s="5704"/>
      <c r="BZ122" s="5704"/>
      <c r="CA122" s="5704"/>
      <c r="CB122" s="5704"/>
      <c r="CC122" s="5704"/>
      <c r="CD122" s="5704"/>
      <c r="CE122" s="5704"/>
      <c r="CF122" s="5704"/>
      <c r="CG122" s="5704"/>
      <c r="CH122" s="5704"/>
      <c r="CI122" s="5704"/>
      <c r="CJ122" s="5704"/>
      <c r="CK122" s="5704"/>
      <c r="CL122" s="5704"/>
      <c r="CM122" s="5704"/>
      <c r="CN122" s="5704"/>
      <c r="CO122" s="5704"/>
      <c r="CP122" s="5704"/>
      <c r="CQ122" s="5704"/>
      <c r="CR122" s="5704"/>
      <c r="CS122" s="5704"/>
      <c r="CT122" s="5704"/>
      <c r="CU122" s="5704"/>
      <c r="CV122" s="5704"/>
      <c r="CW122" s="5704"/>
      <c r="CX122" s="5704"/>
      <c r="CY122" s="5704"/>
      <c r="CZ122" s="5705" t="s">
        <v>9522</v>
      </c>
      <c r="DA122" s="5704"/>
      <c r="DB122" s="5704"/>
      <c r="DC122" s="5704"/>
      <c r="DD122" s="5704"/>
      <c r="DE122" s="5704"/>
      <c r="DF122" s="5704"/>
      <c r="DG122" s="5693"/>
      <c r="DH122" s="5693"/>
      <c r="DI122" s="5693"/>
      <c r="DJ122" s="5693"/>
      <c r="DK122" s="5693"/>
      <c r="DL122" s="5693"/>
      <c r="DM122" s="5693"/>
      <c r="DN122" s="5693"/>
      <c r="DO122" s="5693"/>
      <c r="DP122" s="5693"/>
      <c r="DQ122" s="5693"/>
      <c r="DR122" s="5693"/>
      <c r="DS122" s="5693"/>
      <c r="DT122" s="5693"/>
      <c r="DU122" s="5693"/>
      <c r="DV122" s="5693"/>
      <c r="DW122" s="5693"/>
      <c r="DX122" s="5693"/>
      <c r="DY122" s="5693"/>
      <c r="DZ122" s="5693"/>
      <c r="EA122" s="5693"/>
      <c r="EB122" s="5693"/>
      <c r="EC122" s="5693"/>
      <c r="ED122" s="5693"/>
      <c r="EE122" s="5693"/>
      <c r="EF122" s="5693"/>
      <c r="EG122" s="5693"/>
      <c r="EH122" s="5693"/>
      <c r="EI122" s="5693"/>
      <c r="EJ122" s="5693"/>
      <c r="EK122" s="5693"/>
      <c r="EL122" s="5693"/>
      <c r="EM122" s="5693"/>
      <c r="EN122" s="5693"/>
      <c r="EO122" s="5693"/>
      <c r="EP122" s="5693"/>
      <c r="EQ122" s="5693"/>
      <c r="ER122" s="5693"/>
      <c r="ES122" s="5693"/>
      <c r="ET122" s="5693"/>
      <c r="EU122" s="5693"/>
      <c r="EV122" s="5693"/>
      <c r="EW122" s="5693"/>
      <c r="EX122" s="5693"/>
      <c r="EY122" s="5693"/>
      <c r="EZ122" s="5693"/>
      <c r="FA122" s="5694"/>
    </row>
    <row r="123" spans="1:157" s="5682" customFormat="1" ht="15" customHeight="1">
      <c r="A123" s="16075"/>
      <c r="B123" s="16069"/>
      <c r="C123" s="16069"/>
      <c r="D123" s="16069"/>
      <c r="E123" s="16069"/>
      <c r="F123" s="16190"/>
      <c r="G123" s="16191"/>
      <c r="H123" s="16039"/>
      <c r="I123" s="16039"/>
      <c r="J123" s="16039"/>
      <c r="K123" s="16039"/>
      <c r="L123" s="16039"/>
      <c r="M123" s="16039"/>
      <c r="N123" s="16039"/>
      <c r="O123" s="16039"/>
      <c r="P123" s="16039"/>
      <c r="Q123" s="16039"/>
      <c r="R123" s="2764" t="s">
        <v>10063</v>
      </c>
      <c r="S123" s="5683"/>
      <c r="T123" s="5696" t="s">
        <v>9566</v>
      </c>
      <c r="U123" s="5685"/>
      <c r="V123" s="16188"/>
      <c r="W123" s="5684"/>
      <c r="X123" s="5684"/>
      <c r="Y123" s="5686"/>
      <c r="Z123" s="5687"/>
      <c r="AA123" s="5687"/>
      <c r="AB123" s="5687"/>
      <c r="AC123" s="5688"/>
      <c r="AD123" s="5706"/>
      <c r="AE123" s="5706"/>
      <c r="AF123" s="5706"/>
      <c r="AG123" s="5706"/>
      <c r="AH123" s="5707"/>
      <c r="AI123" s="5706"/>
      <c r="AJ123" s="5706"/>
      <c r="AK123" s="5707"/>
      <c r="AL123" s="5707"/>
      <c r="AM123" s="5707"/>
      <c r="AN123" s="5707"/>
      <c r="AO123" s="5707"/>
      <c r="AP123" s="5706"/>
      <c r="AQ123" s="5707"/>
      <c r="AR123" s="5707"/>
      <c r="AS123" s="5707"/>
      <c r="AT123" s="5707"/>
      <c r="AU123" s="5708"/>
      <c r="AV123" s="5708"/>
      <c r="AW123" s="5707"/>
      <c r="AX123" s="5706"/>
      <c r="AY123" s="5707"/>
      <c r="AZ123" s="5707"/>
      <c r="BA123" s="5707"/>
      <c r="BB123" s="5707"/>
      <c r="BC123" s="5707"/>
      <c r="BD123" s="5701"/>
      <c r="BE123" s="5701"/>
      <c r="BF123" s="5701"/>
      <c r="BG123" s="5696"/>
      <c r="BH123" s="5701"/>
      <c r="BI123" s="5701"/>
      <c r="BJ123" s="5701"/>
      <c r="BK123" s="5701"/>
      <c r="BL123" s="5701"/>
      <c r="BM123" s="5701"/>
      <c r="BN123" s="5685">
        <v>1</v>
      </c>
      <c r="BO123" s="16188"/>
      <c r="BP123" s="5684" t="s">
        <v>9523</v>
      </c>
      <c r="BQ123" s="5684" t="s">
        <v>9520</v>
      </c>
      <c r="BR123" s="5686"/>
      <c r="BS123" s="5690">
        <v>207984073.19376567</v>
      </c>
      <c r="BT123" s="5690">
        <f>+BS123*70%</f>
        <v>145588851.23563597</v>
      </c>
      <c r="BU123" s="5690">
        <f>+BS123*30%</f>
        <v>62395221.958129697</v>
      </c>
      <c r="BV123" s="5691">
        <v>0</v>
      </c>
      <c r="BW123" s="5706">
        <v>3980</v>
      </c>
      <c r="BX123" s="5706">
        <v>2066</v>
      </c>
      <c r="BY123" s="5706">
        <v>1914</v>
      </c>
      <c r="BZ123" s="5706">
        <v>3101</v>
      </c>
      <c r="CA123" s="5706">
        <v>879</v>
      </c>
      <c r="CB123" s="5706">
        <v>2352</v>
      </c>
      <c r="CC123" s="5706">
        <v>1534</v>
      </c>
      <c r="CD123" s="5706">
        <v>85</v>
      </c>
      <c r="CE123" s="5706">
        <v>4</v>
      </c>
      <c r="CF123" s="5706">
        <v>3</v>
      </c>
      <c r="CG123" s="5706">
        <v>1</v>
      </c>
      <c r="CH123" s="5706">
        <v>0</v>
      </c>
      <c r="CI123" s="5706">
        <v>3477</v>
      </c>
      <c r="CJ123" s="5706">
        <v>36</v>
      </c>
      <c r="CK123" s="5706">
        <v>86</v>
      </c>
      <c r="CL123" s="5706">
        <v>21</v>
      </c>
      <c r="CM123" s="5706">
        <v>1</v>
      </c>
      <c r="CN123" s="5709">
        <v>0</v>
      </c>
      <c r="CO123" s="5709">
        <v>0</v>
      </c>
      <c r="CP123" s="5706">
        <v>20</v>
      </c>
      <c r="CQ123" s="5706">
        <v>3597</v>
      </c>
      <c r="CR123" s="5706">
        <v>247</v>
      </c>
      <c r="CS123" s="5706">
        <v>49</v>
      </c>
      <c r="CT123" s="5706">
        <v>0</v>
      </c>
      <c r="CU123" s="5706">
        <v>0</v>
      </c>
      <c r="CV123" s="5706">
        <v>0</v>
      </c>
      <c r="CW123" s="5704"/>
      <c r="CX123" s="5704"/>
      <c r="CY123" s="5704"/>
      <c r="CZ123" s="5705"/>
      <c r="DA123" s="5704"/>
      <c r="DB123" s="5704"/>
      <c r="DC123" s="5704"/>
      <c r="DD123" s="5704"/>
      <c r="DE123" s="5704"/>
      <c r="DF123" s="5704"/>
      <c r="DG123" s="5693"/>
      <c r="DH123" s="5693"/>
      <c r="DI123" s="5693"/>
      <c r="DJ123" s="5693"/>
      <c r="DK123" s="5693"/>
      <c r="DL123" s="5693"/>
      <c r="DM123" s="5693"/>
      <c r="DN123" s="5693"/>
      <c r="DO123" s="5693"/>
      <c r="DP123" s="5693"/>
      <c r="DQ123" s="5693"/>
      <c r="DR123" s="5693"/>
      <c r="DS123" s="5693"/>
      <c r="DT123" s="5693"/>
      <c r="DU123" s="5693"/>
      <c r="DV123" s="5693"/>
      <c r="DW123" s="5693"/>
      <c r="DX123" s="5693"/>
      <c r="DY123" s="5693"/>
      <c r="DZ123" s="5693"/>
      <c r="EA123" s="5693"/>
      <c r="EB123" s="5693"/>
      <c r="EC123" s="5693"/>
      <c r="ED123" s="5693"/>
      <c r="EE123" s="5693"/>
      <c r="EF123" s="5693"/>
      <c r="EG123" s="5693"/>
      <c r="EH123" s="5693"/>
      <c r="EI123" s="5693"/>
      <c r="EJ123" s="5693"/>
      <c r="EK123" s="5693"/>
      <c r="EL123" s="5693"/>
      <c r="EM123" s="5693"/>
      <c r="EN123" s="5693"/>
      <c r="EO123" s="5693"/>
      <c r="EP123" s="5693"/>
      <c r="EQ123" s="5693"/>
      <c r="ER123" s="5693"/>
      <c r="ES123" s="5693"/>
      <c r="ET123" s="5693"/>
      <c r="EU123" s="5693"/>
      <c r="EV123" s="5693"/>
      <c r="EW123" s="5693"/>
      <c r="EX123" s="5693"/>
      <c r="EY123" s="5693"/>
      <c r="EZ123" s="5693"/>
      <c r="FA123" s="5694"/>
    </row>
    <row r="124" spans="1:157" s="5682" customFormat="1" ht="15" customHeight="1">
      <c r="A124" s="16075"/>
      <c r="B124" s="16069"/>
      <c r="C124" s="16069"/>
      <c r="D124" s="16069"/>
      <c r="E124" s="16069"/>
      <c r="F124" s="16190"/>
      <c r="G124" s="16191"/>
      <c r="H124" s="16039"/>
      <c r="I124" s="16039"/>
      <c r="J124" s="16039"/>
      <c r="K124" s="16039"/>
      <c r="L124" s="16039"/>
      <c r="M124" s="16039"/>
      <c r="N124" s="16039"/>
      <c r="O124" s="16039"/>
      <c r="P124" s="16039"/>
      <c r="Q124" s="16039"/>
      <c r="R124" s="2764" t="s">
        <v>2896</v>
      </c>
      <c r="S124" s="5683"/>
      <c r="T124" s="5684" t="s">
        <v>1190</v>
      </c>
      <c r="U124" s="5695"/>
      <c r="V124" s="16188"/>
      <c r="W124" s="5686"/>
      <c r="X124" s="5695"/>
      <c r="Y124" s="5696"/>
      <c r="Z124" s="5697"/>
      <c r="AA124" s="5697"/>
      <c r="AB124" s="5697"/>
      <c r="AC124" s="5688"/>
      <c r="AD124" s="5697"/>
      <c r="AE124" s="5697"/>
      <c r="AF124" s="5699"/>
      <c r="AG124" s="5700"/>
      <c r="AH124" s="5701"/>
      <c r="AI124" s="5701"/>
      <c r="AJ124" s="5701"/>
      <c r="AK124" s="5701"/>
      <c r="AL124" s="5701"/>
      <c r="AM124" s="5701"/>
      <c r="AN124" s="5701"/>
      <c r="AO124" s="5701"/>
      <c r="AP124" s="5701"/>
      <c r="AQ124" s="5701"/>
      <c r="AR124" s="5701"/>
      <c r="AS124" s="5701"/>
      <c r="AT124" s="5701"/>
      <c r="AU124" s="5701"/>
      <c r="AV124" s="5701"/>
      <c r="AW124" s="5701"/>
      <c r="AX124" s="5701"/>
      <c r="AY124" s="5701"/>
      <c r="AZ124" s="5701"/>
      <c r="BA124" s="5701"/>
      <c r="BB124" s="5701"/>
      <c r="BC124" s="5701"/>
      <c r="BD124" s="5701"/>
      <c r="BE124" s="5701"/>
      <c r="BF124" s="5701"/>
      <c r="BG124" s="5696"/>
      <c r="BH124" s="5701"/>
      <c r="BI124" s="5701"/>
      <c r="BJ124" s="5701"/>
      <c r="BK124" s="5701"/>
      <c r="BL124" s="5701"/>
      <c r="BM124" s="5701"/>
      <c r="BN124" s="5695">
        <v>0</v>
      </c>
      <c r="BO124" s="16188"/>
      <c r="BP124" s="5686" t="s">
        <v>9524</v>
      </c>
      <c r="BQ124" s="5695"/>
      <c r="BR124" s="5696"/>
      <c r="BS124" s="5702">
        <v>0</v>
      </c>
      <c r="BT124" s="5702">
        <v>0</v>
      </c>
      <c r="BU124" s="5702">
        <v>0</v>
      </c>
      <c r="BV124" s="5691">
        <v>0</v>
      </c>
      <c r="BW124" s="5702"/>
      <c r="BX124" s="5702"/>
      <c r="BY124" s="5704"/>
      <c r="BZ124" s="5704"/>
      <c r="CA124" s="5704"/>
      <c r="CB124" s="5704"/>
      <c r="CC124" s="5704"/>
      <c r="CD124" s="5704"/>
      <c r="CE124" s="5704"/>
      <c r="CF124" s="5704"/>
      <c r="CG124" s="5704"/>
      <c r="CH124" s="5704"/>
      <c r="CI124" s="5704"/>
      <c r="CJ124" s="5704"/>
      <c r="CK124" s="5704"/>
      <c r="CL124" s="5704"/>
      <c r="CM124" s="5704"/>
      <c r="CN124" s="5704"/>
      <c r="CO124" s="5704"/>
      <c r="CP124" s="5704"/>
      <c r="CQ124" s="5704"/>
      <c r="CR124" s="5704"/>
      <c r="CS124" s="5704"/>
      <c r="CT124" s="5704"/>
      <c r="CU124" s="5704"/>
      <c r="CV124" s="5704"/>
      <c r="CW124" s="5704"/>
      <c r="CX124" s="5704"/>
      <c r="CY124" s="5704"/>
      <c r="CZ124" s="5705"/>
      <c r="DA124" s="5704"/>
      <c r="DB124" s="5704"/>
      <c r="DC124" s="5704"/>
      <c r="DD124" s="5704"/>
      <c r="DE124" s="5704"/>
      <c r="DF124" s="5704"/>
      <c r="DG124" s="5693"/>
      <c r="DH124" s="5693"/>
      <c r="DI124" s="5693"/>
      <c r="DJ124" s="5693"/>
      <c r="DK124" s="5693"/>
      <c r="DL124" s="5693"/>
      <c r="DM124" s="5693"/>
      <c r="DN124" s="5693"/>
      <c r="DO124" s="5693"/>
      <c r="DP124" s="5693"/>
      <c r="DQ124" s="5693"/>
      <c r="DR124" s="5693"/>
      <c r="DS124" s="5693"/>
      <c r="DT124" s="5693"/>
      <c r="DU124" s="5693"/>
      <c r="DV124" s="5693"/>
      <c r="DW124" s="5693"/>
      <c r="DX124" s="5693"/>
      <c r="DY124" s="5693"/>
      <c r="DZ124" s="5693"/>
      <c r="EA124" s="5693"/>
      <c r="EB124" s="5693"/>
      <c r="EC124" s="5693"/>
      <c r="ED124" s="5693"/>
      <c r="EE124" s="5693"/>
      <c r="EF124" s="5693"/>
      <c r="EG124" s="5693"/>
      <c r="EH124" s="5693"/>
      <c r="EI124" s="5693"/>
      <c r="EJ124" s="5693"/>
      <c r="EK124" s="5693"/>
      <c r="EL124" s="5693"/>
      <c r="EM124" s="5693"/>
      <c r="EN124" s="5693"/>
      <c r="EO124" s="5693"/>
      <c r="EP124" s="5693"/>
      <c r="EQ124" s="5693"/>
      <c r="ER124" s="5693"/>
      <c r="ES124" s="5693"/>
      <c r="ET124" s="5693"/>
      <c r="EU124" s="5693"/>
      <c r="EV124" s="5693"/>
      <c r="EW124" s="5693"/>
      <c r="EX124" s="5693"/>
      <c r="EY124" s="5693"/>
      <c r="EZ124" s="5693"/>
      <c r="FA124" s="5694"/>
    </row>
    <row r="125" spans="1:157" s="5682" customFormat="1" ht="15" customHeight="1">
      <c r="A125" s="16075"/>
      <c r="B125" s="16069"/>
      <c r="C125" s="16069" t="s">
        <v>8100</v>
      </c>
      <c r="D125" s="16069" t="s">
        <v>1194</v>
      </c>
      <c r="E125" s="16069"/>
      <c r="F125" s="16190"/>
      <c r="G125" s="16191">
        <v>0</v>
      </c>
      <c r="H125" s="16045"/>
      <c r="I125" s="16045"/>
      <c r="J125" s="16045"/>
      <c r="K125" s="16045"/>
      <c r="L125" s="16045"/>
      <c r="M125" s="16045"/>
      <c r="N125" s="16045"/>
      <c r="O125" s="16045"/>
      <c r="P125" s="16045"/>
      <c r="Q125" s="16045"/>
      <c r="R125" s="5710" t="s">
        <v>10072</v>
      </c>
      <c r="S125" s="5683" t="s">
        <v>9567</v>
      </c>
      <c r="T125" s="5696"/>
      <c r="U125" s="16191"/>
      <c r="V125" s="16188"/>
      <c r="W125" s="5695"/>
      <c r="X125" s="5701"/>
      <c r="Y125" s="5696"/>
      <c r="Z125" s="5699"/>
      <c r="AA125" s="5699"/>
      <c r="AB125" s="5699"/>
      <c r="AC125" s="5688"/>
      <c r="AD125" s="5701"/>
      <c r="AE125" s="5701"/>
      <c r="AF125" s="5701"/>
      <c r="AG125" s="5701"/>
      <c r="AH125" s="5701"/>
      <c r="AI125" s="5701"/>
      <c r="AJ125" s="5701"/>
      <c r="AK125" s="5701"/>
      <c r="AL125" s="5701"/>
      <c r="AM125" s="5701"/>
      <c r="AN125" s="5701"/>
      <c r="AO125" s="5701"/>
      <c r="AP125" s="5701"/>
      <c r="AQ125" s="5701"/>
      <c r="AR125" s="5701"/>
      <c r="AS125" s="5701"/>
      <c r="AT125" s="5701"/>
      <c r="AU125" s="5701"/>
      <c r="AV125" s="5701"/>
      <c r="AW125" s="5701"/>
      <c r="AX125" s="5701"/>
      <c r="AY125" s="5701"/>
      <c r="AZ125" s="5701"/>
      <c r="BA125" s="5701"/>
      <c r="BB125" s="5701"/>
      <c r="BC125" s="5701"/>
      <c r="BD125" s="5701"/>
      <c r="BE125" s="5701"/>
      <c r="BF125" s="5701"/>
      <c r="BG125" s="5696"/>
      <c r="BH125" s="5701"/>
      <c r="BI125" s="5701"/>
      <c r="BJ125" s="5701"/>
      <c r="BK125" s="5701"/>
      <c r="BL125" s="5701"/>
      <c r="BM125" s="5701"/>
      <c r="BN125" s="16191">
        <v>0.5</v>
      </c>
      <c r="BO125" s="16188"/>
      <c r="BP125" s="5695">
        <v>28.58</v>
      </c>
      <c r="BQ125" s="5701"/>
      <c r="BR125" s="5696" t="s">
        <v>9525</v>
      </c>
      <c r="BS125" s="5704">
        <v>10000000</v>
      </c>
      <c r="BT125" s="5704">
        <v>0</v>
      </c>
      <c r="BU125" s="5704">
        <v>0</v>
      </c>
      <c r="BV125" s="5691">
        <v>0</v>
      </c>
      <c r="BW125" s="5704">
        <v>105</v>
      </c>
      <c r="BX125" s="5704"/>
      <c r="BY125" s="5704">
        <v>105</v>
      </c>
      <c r="BZ125" s="5704"/>
      <c r="CA125" s="5704"/>
      <c r="CB125" s="5704"/>
      <c r="CC125" s="5704"/>
      <c r="CD125" s="5704"/>
      <c r="CE125" s="5704"/>
      <c r="CF125" s="5704"/>
      <c r="CG125" s="5704"/>
      <c r="CH125" s="5704"/>
      <c r="CI125" s="5704"/>
      <c r="CJ125" s="5704"/>
      <c r="CK125" s="5704"/>
      <c r="CL125" s="5704"/>
      <c r="CM125" s="5704"/>
      <c r="CN125" s="5704"/>
      <c r="CO125" s="5704"/>
      <c r="CP125" s="5704"/>
      <c r="CQ125" s="5704"/>
      <c r="CR125" s="5704"/>
      <c r="CS125" s="5704"/>
      <c r="CT125" s="5704"/>
      <c r="CU125" s="5704"/>
      <c r="CV125" s="5704"/>
      <c r="CW125" s="5704"/>
      <c r="CX125" s="5704"/>
      <c r="CY125" s="5704"/>
      <c r="CZ125" s="5705" t="s">
        <v>9526</v>
      </c>
      <c r="DA125" s="5704"/>
      <c r="DB125" s="5704"/>
      <c r="DC125" s="5704"/>
      <c r="DD125" s="5704"/>
      <c r="DE125" s="5704"/>
      <c r="DF125" s="5704"/>
      <c r="DG125" s="5693"/>
      <c r="DH125" s="5693"/>
      <c r="DI125" s="5693"/>
      <c r="DJ125" s="5693"/>
      <c r="DK125" s="5693"/>
      <c r="DL125" s="5693"/>
      <c r="DM125" s="5693"/>
      <c r="DN125" s="5693"/>
      <c r="DO125" s="5693"/>
      <c r="DP125" s="5693"/>
      <c r="DQ125" s="5693"/>
      <c r="DR125" s="5693"/>
      <c r="DS125" s="5693"/>
      <c r="DT125" s="5693"/>
      <c r="DU125" s="5693"/>
      <c r="DV125" s="5693"/>
      <c r="DW125" s="5693"/>
      <c r="DX125" s="5693"/>
      <c r="DY125" s="5693"/>
      <c r="DZ125" s="5693"/>
      <c r="EA125" s="5693"/>
      <c r="EB125" s="5693"/>
      <c r="EC125" s="5693"/>
      <c r="ED125" s="5693"/>
      <c r="EE125" s="5693"/>
      <c r="EF125" s="5693"/>
      <c r="EG125" s="5693"/>
      <c r="EH125" s="5693"/>
      <c r="EI125" s="5693"/>
      <c r="EJ125" s="5693"/>
      <c r="EK125" s="5693"/>
      <c r="EL125" s="5693"/>
      <c r="EM125" s="5693"/>
      <c r="EN125" s="5693"/>
      <c r="EO125" s="5693"/>
      <c r="EP125" s="5693"/>
      <c r="EQ125" s="5693"/>
      <c r="ER125" s="5693"/>
      <c r="ES125" s="5693"/>
      <c r="ET125" s="5693"/>
      <c r="EU125" s="5693"/>
      <c r="EV125" s="5693"/>
      <c r="EW125" s="5693"/>
      <c r="EX125" s="5693"/>
      <c r="EY125" s="5693"/>
      <c r="EZ125" s="5693"/>
      <c r="FA125" s="5694"/>
    </row>
    <row r="126" spans="1:157" s="5682" customFormat="1" ht="15" customHeight="1">
      <c r="A126" s="16075"/>
      <c r="B126" s="16069"/>
      <c r="C126" s="16069"/>
      <c r="D126" s="16069"/>
      <c r="E126" s="16069"/>
      <c r="F126" s="16190"/>
      <c r="G126" s="16191"/>
      <c r="H126" s="16045"/>
      <c r="I126" s="16045"/>
      <c r="J126" s="16045"/>
      <c r="K126" s="16045"/>
      <c r="L126" s="16045"/>
      <c r="M126" s="16045"/>
      <c r="N126" s="16045"/>
      <c r="O126" s="16045"/>
      <c r="P126" s="16045"/>
      <c r="Q126" s="16045"/>
      <c r="R126" s="5710" t="s">
        <v>10063</v>
      </c>
      <c r="S126" s="5683"/>
      <c r="T126" s="5696" t="s">
        <v>9566</v>
      </c>
      <c r="U126" s="16191"/>
      <c r="V126" s="16188"/>
      <c r="W126" s="5686"/>
      <c r="X126" s="5684"/>
      <c r="Y126" s="5684"/>
      <c r="Z126" s="5688"/>
      <c r="AA126" s="5699"/>
      <c r="AB126" s="5699"/>
      <c r="AC126" s="5688"/>
      <c r="AD126" s="5701"/>
      <c r="AE126" s="5701"/>
      <c r="AF126" s="5701"/>
      <c r="AG126" s="5701"/>
      <c r="AH126" s="5701"/>
      <c r="AI126" s="5701"/>
      <c r="AJ126" s="5701"/>
      <c r="AK126" s="5701"/>
      <c r="AL126" s="5701"/>
      <c r="AM126" s="5701"/>
      <c r="AN126" s="5701"/>
      <c r="AO126" s="5701"/>
      <c r="AP126" s="5701"/>
      <c r="AQ126" s="5701"/>
      <c r="AR126" s="5701"/>
      <c r="AS126" s="5701"/>
      <c r="AT126" s="5701"/>
      <c r="AU126" s="5701"/>
      <c r="AV126" s="5701"/>
      <c r="AW126" s="5701"/>
      <c r="AX126" s="5701"/>
      <c r="AY126" s="5701"/>
      <c r="AZ126" s="5701"/>
      <c r="BA126" s="5701"/>
      <c r="BB126" s="5701"/>
      <c r="BC126" s="5701"/>
      <c r="BD126" s="5701"/>
      <c r="BE126" s="5701"/>
      <c r="BF126" s="5701"/>
      <c r="BG126" s="5696"/>
      <c r="BH126" s="5701"/>
      <c r="BI126" s="5701"/>
      <c r="BJ126" s="5701"/>
      <c r="BK126" s="5701"/>
      <c r="BL126" s="5701"/>
      <c r="BM126" s="5701"/>
      <c r="BN126" s="16191"/>
      <c r="BO126" s="16188"/>
      <c r="BP126" s="5686"/>
      <c r="BQ126" s="5684">
        <v>0</v>
      </c>
      <c r="BR126" s="5684">
        <v>0</v>
      </c>
      <c r="BS126" s="5691">
        <v>0</v>
      </c>
      <c r="BT126" s="5704">
        <v>0</v>
      </c>
      <c r="BU126" s="5704">
        <v>0</v>
      </c>
      <c r="BV126" s="5691">
        <v>0</v>
      </c>
      <c r="BW126" s="5704"/>
      <c r="BX126" s="5704"/>
      <c r="BY126" s="5704"/>
      <c r="BZ126" s="5704"/>
      <c r="CA126" s="5704"/>
      <c r="CB126" s="5704"/>
      <c r="CC126" s="5704"/>
      <c r="CD126" s="5704"/>
      <c r="CE126" s="5704"/>
      <c r="CF126" s="5704"/>
      <c r="CG126" s="5704"/>
      <c r="CH126" s="5704"/>
      <c r="CI126" s="5704"/>
      <c r="CJ126" s="5704"/>
      <c r="CK126" s="5704"/>
      <c r="CL126" s="5704"/>
      <c r="CM126" s="5704"/>
      <c r="CN126" s="5704"/>
      <c r="CO126" s="5704"/>
      <c r="CP126" s="5704"/>
      <c r="CQ126" s="5704"/>
      <c r="CR126" s="5704"/>
      <c r="CS126" s="5704"/>
      <c r="CT126" s="5704"/>
      <c r="CU126" s="5704"/>
      <c r="CV126" s="5704"/>
      <c r="CW126" s="5704"/>
      <c r="CX126" s="5704"/>
      <c r="CY126" s="5704"/>
      <c r="CZ126" s="5705"/>
      <c r="DA126" s="5704"/>
      <c r="DB126" s="5704"/>
      <c r="DC126" s="5704"/>
      <c r="DD126" s="5704"/>
      <c r="DE126" s="5704"/>
      <c r="DF126" s="5704"/>
      <c r="DG126" s="5693"/>
      <c r="DH126" s="5693"/>
      <c r="DI126" s="5693"/>
      <c r="DJ126" s="5693"/>
      <c r="DK126" s="5693"/>
      <c r="DL126" s="5693"/>
      <c r="DM126" s="5693"/>
      <c r="DN126" s="5693"/>
      <c r="DO126" s="5693"/>
      <c r="DP126" s="5693"/>
      <c r="DQ126" s="5693"/>
      <c r="DR126" s="5693"/>
      <c r="DS126" s="5693"/>
      <c r="DT126" s="5693"/>
      <c r="DU126" s="5693"/>
      <c r="DV126" s="5693"/>
      <c r="DW126" s="5693"/>
      <c r="DX126" s="5693"/>
      <c r="DY126" s="5693"/>
      <c r="DZ126" s="5693"/>
      <c r="EA126" s="5693"/>
      <c r="EB126" s="5693"/>
      <c r="EC126" s="5693"/>
      <c r="ED126" s="5693"/>
      <c r="EE126" s="5693"/>
      <c r="EF126" s="5693"/>
      <c r="EG126" s="5693"/>
      <c r="EH126" s="5693"/>
      <c r="EI126" s="5693"/>
      <c r="EJ126" s="5693"/>
      <c r="EK126" s="5693"/>
      <c r="EL126" s="5693"/>
      <c r="EM126" s="5693"/>
      <c r="EN126" s="5693"/>
      <c r="EO126" s="5693"/>
      <c r="EP126" s="5693"/>
      <c r="EQ126" s="5693"/>
      <c r="ER126" s="5693"/>
      <c r="ES126" s="5693"/>
      <c r="ET126" s="5693"/>
      <c r="EU126" s="5693"/>
      <c r="EV126" s="5693"/>
      <c r="EW126" s="5693"/>
      <c r="EX126" s="5693"/>
      <c r="EY126" s="5693"/>
      <c r="EZ126" s="5693"/>
      <c r="FA126" s="5694"/>
    </row>
    <row r="127" spans="1:157" s="5682" customFormat="1" ht="15" customHeight="1">
      <c r="A127" s="16075"/>
      <c r="B127" s="16069"/>
      <c r="C127" s="16069" t="s">
        <v>8099</v>
      </c>
      <c r="D127" s="16069" t="s">
        <v>1192</v>
      </c>
      <c r="E127" s="16069" t="s">
        <v>1193</v>
      </c>
      <c r="F127" s="16190" t="s">
        <v>1073</v>
      </c>
      <c r="G127" s="16191">
        <v>0</v>
      </c>
      <c r="H127" s="16039">
        <v>3</v>
      </c>
      <c r="I127" s="16039">
        <v>3</v>
      </c>
      <c r="J127" s="16039">
        <v>3</v>
      </c>
      <c r="K127" s="16039">
        <v>3</v>
      </c>
      <c r="L127" s="16039">
        <v>3</v>
      </c>
      <c r="M127" s="16039">
        <v>3</v>
      </c>
      <c r="N127" s="16039">
        <v>3</v>
      </c>
      <c r="O127" s="16039">
        <v>3</v>
      </c>
      <c r="P127" s="16039">
        <v>3</v>
      </c>
      <c r="Q127" s="16039">
        <v>3</v>
      </c>
      <c r="R127" s="2764" t="s">
        <v>10072</v>
      </c>
      <c r="S127" s="5683" t="s">
        <v>1029</v>
      </c>
      <c r="T127" s="5684"/>
      <c r="U127" s="5685"/>
      <c r="V127" s="16188"/>
      <c r="W127" s="5686"/>
      <c r="X127" s="5689"/>
      <c r="Y127" s="5689"/>
      <c r="Z127" s="5711"/>
      <c r="AA127" s="5711"/>
      <c r="AB127" s="5711"/>
      <c r="AC127" s="5688"/>
      <c r="AD127" s="5689"/>
      <c r="AE127" s="5689"/>
      <c r="AF127" s="5689"/>
      <c r="AG127" s="5689"/>
      <c r="AH127" s="5689"/>
      <c r="AI127" s="5689"/>
      <c r="AJ127" s="5689"/>
      <c r="AK127" s="5689"/>
      <c r="AL127" s="5689"/>
      <c r="AM127" s="5689"/>
      <c r="AN127" s="5689"/>
      <c r="AO127" s="5689"/>
      <c r="AP127" s="5689"/>
      <c r="AQ127" s="5689"/>
      <c r="AR127" s="5689"/>
      <c r="AS127" s="5689"/>
      <c r="AT127" s="5689"/>
      <c r="AU127" s="5689"/>
      <c r="AV127" s="5689"/>
      <c r="AW127" s="5689"/>
      <c r="AX127" s="5689"/>
      <c r="AY127" s="5689"/>
      <c r="AZ127" s="5689"/>
      <c r="BA127" s="5689"/>
      <c r="BB127" s="5689"/>
      <c r="BC127" s="5689"/>
      <c r="BD127" s="5689"/>
      <c r="BE127" s="5689"/>
      <c r="BF127" s="5689"/>
      <c r="BG127" s="5686"/>
      <c r="BH127" s="5689"/>
      <c r="BI127" s="5689"/>
      <c r="BJ127" s="5689"/>
      <c r="BK127" s="5689"/>
      <c r="BL127" s="5689"/>
      <c r="BM127" s="5689"/>
      <c r="BN127" s="5685">
        <v>0</v>
      </c>
      <c r="BO127" s="16188"/>
      <c r="BP127" s="5686" t="s">
        <v>9527</v>
      </c>
      <c r="BQ127" s="5689"/>
      <c r="BR127" s="5689"/>
      <c r="BS127" s="5692">
        <v>0</v>
      </c>
      <c r="BT127" s="5692">
        <v>0</v>
      </c>
      <c r="BU127" s="5692">
        <v>0</v>
      </c>
      <c r="BV127" s="5691">
        <v>0</v>
      </c>
      <c r="BW127" s="5692"/>
      <c r="BX127" s="5692"/>
      <c r="BY127" s="5692"/>
      <c r="BZ127" s="5692"/>
      <c r="CA127" s="5692"/>
      <c r="CB127" s="5692"/>
      <c r="CC127" s="5692"/>
      <c r="CD127" s="5692"/>
      <c r="CE127" s="5692"/>
      <c r="CF127" s="5692"/>
      <c r="CG127" s="5692"/>
      <c r="CH127" s="5692"/>
      <c r="CI127" s="5692"/>
      <c r="CJ127" s="5692"/>
      <c r="CK127" s="5692"/>
      <c r="CL127" s="5692"/>
      <c r="CM127" s="5692"/>
      <c r="CN127" s="5692"/>
      <c r="CO127" s="5692"/>
      <c r="CP127" s="5692"/>
      <c r="CQ127" s="5692"/>
      <c r="CR127" s="5692"/>
      <c r="CS127" s="5692"/>
      <c r="CT127" s="5692"/>
      <c r="CU127" s="5692"/>
      <c r="CV127" s="5692"/>
      <c r="CW127" s="5692"/>
      <c r="CX127" s="5692"/>
      <c r="CY127" s="5692"/>
      <c r="CZ127" s="5712"/>
      <c r="DA127" s="5692"/>
      <c r="DB127" s="5692"/>
      <c r="DC127" s="5692"/>
      <c r="DD127" s="5692"/>
      <c r="DE127" s="5692"/>
      <c r="DF127" s="5692"/>
      <c r="DG127" s="5693"/>
      <c r="DH127" s="5693"/>
      <c r="DI127" s="5693"/>
      <c r="DJ127" s="5693"/>
      <c r="DK127" s="5693"/>
      <c r="DL127" s="5693"/>
      <c r="DM127" s="5693"/>
      <c r="DN127" s="5693"/>
      <c r="DO127" s="5693"/>
      <c r="DP127" s="5693"/>
      <c r="DQ127" s="5693"/>
      <c r="DR127" s="5693"/>
      <c r="DS127" s="5693"/>
      <c r="DT127" s="5693"/>
      <c r="DU127" s="5693"/>
      <c r="DV127" s="5693"/>
      <c r="DW127" s="5693"/>
      <c r="DX127" s="5693"/>
      <c r="DY127" s="5693"/>
      <c r="DZ127" s="5693"/>
      <c r="EA127" s="5693"/>
      <c r="EB127" s="5693"/>
      <c r="EC127" s="5693"/>
      <c r="ED127" s="5693"/>
      <c r="EE127" s="5693"/>
      <c r="EF127" s="5693"/>
      <c r="EG127" s="5693"/>
      <c r="EH127" s="5693"/>
      <c r="EI127" s="5693"/>
      <c r="EJ127" s="5693"/>
      <c r="EK127" s="5693"/>
      <c r="EL127" s="5693"/>
      <c r="EM127" s="5693"/>
      <c r="EN127" s="5693"/>
      <c r="EO127" s="5693"/>
      <c r="EP127" s="5693"/>
      <c r="EQ127" s="5693"/>
      <c r="ER127" s="5693"/>
      <c r="ES127" s="5693"/>
      <c r="ET127" s="5693"/>
      <c r="EU127" s="5693"/>
      <c r="EV127" s="5693"/>
      <c r="EW127" s="5693"/>
      <c r="EX127" s="5693"/>
      <c r="EY127" s="5693"/>
      <c r="EZ127" s="5693"/>
      <c r="FA127" s="5694"/>
    </row>
    <row r="128" spans="1:157" s="5682" customFormat="1" ht="15" customHeight="1">
      <c r="A128" s="16075"/>
      <c r="B128" s="16069"/>
      <c r="C128" s="16069"/>
      <c r="D128" s="16069"/>
      <c r="E128" s="16069"/>
      <c r="F128" s="16190"/>
      <c r="G128" s="16191"/>
      <c r="H128" s="16039"/>
      <c r="I128" s="16039"/>
      <c r="J128" s="16039"/>
      <c r="K128" s="16039"/>
      <c r="L128" s="16039"/>
      <c r="M128" s="16039"/>
      <c r="N128" s="16039"/>
      <c r="O128" s="16039"/>
      <c r="P128" s="16039"/>
      <c r="Q128" s="16039"/>
      <c r="R128" s="2764" t="s">
        <v>2896</v>
      </c>
      <c r="S128" s="5683"/>
      <c r="T128" s="5684" t="s">
        <v>1190</v>
      </c>
      <c r="U128" s="5685"/>
      <c r="V128" s="16188"/>
      <c r="W128" s="5686"/>
      <c r="X128" s="5689"/>
      <c r="Y128" s="5689"/>
      <c r="Z128" s="5711"/>
      <c r="AA128" s="5711"/>
      <c r="AB128" s="5711"/>
      <c r="AC128" s="5688"/>
      <c r="AD128" s="5689"/>
      <c r="AE128" s="5689"/>
      <c r="AF128" s="5689"/>
      <c r="AG128" s="5689"/>
      <c r="AH128" s="5689"/>
      <c r="AI128" s="5689"/>
      <c r="AJ128" s="5689"/>
      <c r="AK128" s="5689"/>
      <c r="AL128" s="5689"/>
      <c r="AM128" s="5689"/>
      <c r="AN128" s="5689"/>
      <c r="AO128" s="5689"/>
      <c r="AP128" s="5689"/>
      <c r="AQ128" s="5689"/>
      <c r="AR128" s="5689"/>
      <c r="AS128" s="5689"/>
      <c r="AT128" s="5689"/>
      <c r="AU128" s="5689"/>
      <c r="AV128" s="5689"/>
      <c r="AW128" s="5689"/>
      <c r="AX128" s="5689"/>
      <c r="AY128" s="5689"/>
      <c r="AZ128" s="5689"/>
      <c r="BA128" s="5689"/>
      <c r="BB128" s="5689"/>
      <c r="BC128" s="5689"/>
      <c r="BD128" s="5689"/>
      <c r="BE128" s="5689"/>
      <c r="BF128" s="5689"/>
      <c r="BG128" s="5686"/>
      <c r="BH128" s="5689"/>
      <c r="BI128" s="5689"/>
      <c r="BJ128" s="5689"/>
      <c r="BK128" s="5689"/>
      <c r="BL128" s="5689"/>
      <c r="BM128" s="5689"/>
      <c r="BN128" s="5685">
        <v>0.8</v>
      </c>
      <c r="BO128" s="16188"/>
      <c r="BP128" s="5686" t="s">
        <v>9528</v>
      </c>
      <c r="BQ128" s="5689"/>
      <c r="BR128" s="5689"/>
      <c r="BS128" s="5692">
        <v>0</v>
      </c>
      <c r="BT128" s="5692">
        <v>0</v>
      </c>
      <c r="BU128" s="5692">
        <v>0</v>
      </c>
      <c r="BV128" s="5691">
        <v>0</v>
      </c>
      <c r="BW128" s="5692"/>
      <c r="BX128" s="5692"/>
      <c r="BY128" s="5692"/>
      <c r="BZ128" s="5692"/>
      <c r="CA128" s="5692"/>
      <c r="CB128" s="5692"/>
      <c r="CC128" s="5692"/>
      <c r="CD128" s="5692"/>
      <c r="CE128" s="5692"/>
      <c r="CF128" s="5692"/>
      <c r="CG128" s="5692"/>
      <c r="CH128" s="5692"/>
      <c r="CI128" s="5692"/>
      <c r="CJ128" s="5692"/>
      <c r="CK128" s="5692"/>
      <c r="CL128" s="5692"/>
      <c r="CM128" s="5692"/>
      <c r="CN128" s="5692"/>
      <c r="CO128" s="5692"/>
      <c r="CP128" s="5692"/>
      <c r="CQ128" s="5692"/>
      <c r="CR128" s="5692"/>
      <c r="CS128" s="5692"/>
      <c r="CT128" s="5692"/>
      <c r="CU128" s="5692"/>
      <c r="CV128" s="5692"/>
      <c r="CW128" s="5692"/>
      <c r="CX128" s="5692"/>
      <c r="CY128" s="5692"/>
      <c r="CZ128" s="5712"/>
      <c r="DA128" s="5692"/>
      <c r="DB128" s="5692"/>
      <c r="DC128" s="5692"/>
      <c r="DD128" s="5692"/>
      <c r="DE128" s="5692"/>
      <c r="DF128" s="5692"/>
      <c r="DG128" s="5693"/>
      <c r="DH128" s="5693"/>
      <c r="DI128" s="5693"/>
      <c r="DJ128" s="5693"/>
      <c r="DK128" s="5693"/>
      <c r="DL128" s="5693"/>
      <c r="DM128" s="5693"/>
      <c r="DN128" s="5693"/>
      <c r="DO128" s="5693"/>
      <c r="DP128" s="5693"/>
      <c r="DQ128" s="5693"/>
      <c r="DR128" s="5693"/>
      <c r="DS128" s="5693"/>
      <c r="DT128" s="5693"/>
      <c r="DU128" s="5693"/>
      <c r="DV128" s="5693"/>
      <c r="DW128" s="5693"/>
      <c r="DX128" s="5693"/>
      <c r="DY128" s="5693"/>
      <c r="DZ128" s="5693"/>
      <c r="EA128" s="5693"/>
      <c r="EB128" s="5693"/>
      <c r="EC128" s="5693"/>
      <c r="ED128" s="5693"/>
      <c r="EE128" s="5693"/>
      <c r="EF128" s="5693"/>
      <c r="EG128" s="5693"/>
      <c r="EH128" s="5693"/>
      <c r="EI128" s="5693"/>
      <c r="EJ128" s="5693"/>
      <c r="EK128" s="5693"/>
      <c r="EL128" s="5693"/>
      <c r="EM128" s="5693"/>
      <c r="EN128" s="5693"/>
      <c r="EO128" s="5693"/>
      <c r="EP128" s="5693"/>
      <c r="EQ128" s="5693"/>
      <c r="ER128" s="5693"/>
      <c r="ES128" s="5693"/>
      <c r="ET128" s="5693"/>
      <c r="EU128" s="5693"/>
      <c r="EV128" s="5693"/>
      <c r="EW128" s="5693"/>
      <c r="EX128" s="5693"/>
      <c r="EY128" s="5693"/>
      <c r="EZ128" s="5693"/>
      <c r="FA128" s="5694"/>
    </row>
    <row r="129" spans="1:157" s="5682" customFormat="1" ht="15" customHeight="1">
      <c r="A129" s="16075"/>
      <c r="B129" s="16069"/>
      <c r="C129" s="16069"/>
      <c r="D129" s="16069"/>
      <c r="E129" s="16069"/>
      <c r="F129" s="16190"/>
      <c r="G129" s="16191"/>
      <c r="H129" s="16039"/>
      <c r="I129" s="16039"/>
      <c r="J129" s="16039"/>
      <c r="K129" s="16039"/>
      <c r="L129" s="16039"/>
      <c r="M129" s="16039"/>
      <c r="N129" s="16039"/>
      <c r="O129" s="16039"/>
      <c r="P129" s="16039"/>
      <c r="Q129" s="16039"/>
      <c r="R129" s="2764" t="s">
        <v>218</v>
      </c>
      <c r="S129" s="5683"/>
      <c r="T129" s="5684" t="s">
        <v>7130</v>
      </c>
      <c r="U129" s="5685"/>
      <c r="V129" s="16188"/>
      <c r="W129" s="5684"/>
      <c r="X129" s="5684"/>
      <c r="Y129" s="5686"/>
      <c r="Z129" s="5687"/>
      <c r="AA129" s="5687"/>
      <c r="AB129" s="5687"/>
      <c r="AC129" s="5688"/>
      <c r="AD129" s="5689"/>
      <c r="AE129" s="5689"/>
      <c r="AF129" s="5689"/>
      <c r="AG129" s="5689"/>
      <c r="AH129" s="5689"/>
      <c r="AI129" s="5689"/>
      <c r="AJ129" s="5689"/>
      <c r="AK129" s="5689"/>
      <c r="AL129" s="5689"/>
      <c r="AM129" s="5689"/>
      <c r="AN129" s="5689"/>
      <c r="AO129" s="5689"/>
      <c r="AP129" s="5689"/>
      <c r="AQ129" s="5689"/>
      <c r="AR129" s="5689"/>
      <c r="AS129" s="5689"/>
      <c r="AT129" s="5689"/>
      <c r="AU129" s="5689"/>
      <c r="AV129" s="5689"/>
      <c r="AW129" s="5689"/>
      <c r="AX129" s="5689"/>
      <c r="AY129" s="5689"/>
      <c r="AZ129" s="5689"/>
      <c r="BA129" s="5689"/>
      <c r="BB129" s="5689"/>
      <c r="BC129" s="5689"/>
      <c r="BD129" s="5689"/>
      <c r="BE129" s="5689"/>
      <c r="BF129" s="5689"/>
      <c r="BG129" s="5686"/>
      <c r="BH129" s="5689"/>
      <c r="BI129" s="5689"/>
      <c r="BJ129" s="5689"/>
      <c r="BK129" s="5689"/>
      <c r="BL129" s="5689"/>
      <c r="BM129" s="5689"/>
      <c r="BN129" s="5685">
        <v>1</v>
      </c>
      <c r="BO129" s="16188"/>
      <c r="BP129" s="5684" t="s">
        <v>9529</v>
      </c>
      <c r="BQ129" s="5684" t="s">
        <v>9520</v>
      </c>
      <c r="BR129" s="5686"/>
      <c r="BS129" s="5690">
        <v>317207295.19376564</v>
      </c>
      <c r="BT129" s="5690">
        <f>+BS129*70%</f>
        <v>222045106.63563594</v>
      </c>
      <c r="BU129" s="5690">
        <f>+BS129*30%</f>
        <v>95162188.558129683</v>
      </c>
      <c r="BV129" s="5691">
        <v>0</v>
      </c>
      <c r="BW129" s="5692"/>
      <c r="BX129" s="5692"/>
      <c r="BY129" s="5692"/>
      <c r="BZ129" s="5692"/>
      <c r="CA129" s="5692"/>
      <c r="CB129" s="5692"/>
      <c r="CC129" s="5692"/>
      <c r="CD129" s="5692"/>
      <c r="CE129" s="5692"/>
      <c r="CF129" s="5692"/>
      <c r="CG129" s="5692"/>
      <c r="CH129" s="5692"/>
      <c r="CI129" s="5692"/>
      <c r="CJ129" s="5692"/>
      <c r="CK129" s="5692"/>
      <c r="CL129" s="5692"/>
      <c r="CM129" s="5692"/>
      <c r="CN129" s="5692"/>
      <c r="CO129" s="5692"/>
      <c r="CP129" s="5692"/>
      <c r="CQ129" s="5692"/>
      <c r="CR129" s="5692"/>
      <c r="CS129" s="5692"/>
      <c r="CT129" s="5692"/>
      <c r="CU129" s="5692"/>
      <c r="CV129" s="5692"/>
      <c r="CW129" s="5692"/>
      <c r="CX129" s="5692"/>
      <c r="CY129" s="5692"/>
      <c r="CZ129" s="5712"/>
      <c r="DA129" s="5692"/>
      <c r="DB129" s="5692"/>
      <c r="DC129" s="5692"/>
      <c r="DD129" s="5692"/>
      <c r="DE129" s="5692"/>
      <c r="DF129" s="5692"/>
      <c r="DG129" s="5693"/>
      <c r="DH129" s="5693"/>
      <c r="DI129" s="5693"/>
      <c r="DJ129" s="5693"/>
      <c r="DK129" s="5693"/>
      <c r="DL129" s="5693"/>
      <c r="DM129" s="5693"/>
      <c r="DN129" s="5693"/>
      <c r="DO129" s="5693"/>
      <c r="DP129" s="5693"/>
      <c r="DQ129" s="5693"/>
      <c r="DR129" s="5693"/>
      <c r="DS129" s="5693"/>
      <c r="DT129" s="5693"/>
      <c r="DU129" s="5693"/>
      <c r="DV129" s="5693"/>
      <c r="DW129" s="5693"/>
      <c r="DX129" s="5693"/>
      <c r="DY129" s="5693"/>
      <c r="DZ129" s="5693"/>
      <c r="EA129" s="5693"/>
      <c r="EB129" s="5693"/>
      <c r="EC129" s="5693"/>
      <c r="ED129" s="5693"/>
      <c r="EE129" s="5693"/>
      <c r="EF129" s="5693"/>
      <c r="EG129" s="5693"/>
      <c r="EH129" s="5693"/>
      <c r="EI129" s="5693"/>
      <c r="EJ129" s="5693"/>
      <c r="EK129" s="5693"/>
      <c r="EL129" s="5693"/>
      <c r="EM129" s="5693"/>
      <c r="EN129" s="5693"/>
      <c r="EO129" s="5693"/>
      <c r="EP129" s="5693"/>
      <c r="EQ129" s="5693"/>
      <c r="ER129" s="5693"/>
      <c r="ES129" s="5693"/>
      <c r="ET129" s="5693"/>
      <c r="EU129" s="5693"/>
      <c r="EV129" s="5693"/>
      <c r="EW129" s="5693"/>
      <c r="EX129" s="5693"/>
      <c r="EY129" s="5693"/>
      <c r="EZ129" s="5693"/>
      <c r="FA129" s="5694"/>
    </row>
    <row r="130" spans="1:157" s="5682" customFormat="1" ht="15" customHeight="1">
      <c r="A130" s="16075"/>
      <c r="B130" s="16069"/>
      <c r="C130" s="16069" t="s">
        <v>8100</v>
      </c>
      <c r="D130" s="16069" t="s">
        <v>9798</v>
      </c>
      <c r="E130" s="16069" t="s">
        <v>1195</v>
      </c>
      <c r="F130" s="16190" t="s">
        <v>1073</v>
      </c>
      <c r="G130" s="16191">
        <v>0</v>
      </c>
      <c r="H130" s="16039">
        <v>7</v>
      </c>
      <c r="I130" s="16039">
        <v>7</v>
      </c>
      <c r="J130" s="16039">
        <v>7</v>
      </c>
      <c r="K130" s="16039">
        <v>7</v>
      </c>
      <c r="L130" s="16039">
        <v>7</v>
      </c>
      <c r="M130" s="16039">
        <v>7</v>
      </c>
      <c r="N130" s="16039">
        <v>7</v>
      </c>
      <c r="O130" s="16039">
        <v>7</v>
      </c>
      <c r="P130" s="16039">
        <v>7</v>
      </c>
      <c r="Q130" s="16039">
        <v>7</v>
      </c>
      <c r="R130" s="2764" t="s">
        <v>10072</v>
      </c>
      <c r="S130" s="5683" t="s">
        <v>968</v>
      </c>
      <c r="T130" s="5684"/>
      <c r="U130" s="16193"/>
      <c r="V130" s="16188"/>
      <c r="W130" s="5689"/>
      <c r="X130" s="5689"/>
      <c r="Y130" s="5689"/>
      <c r="Z130" s="5711"/>
      <c r="AA130" s="5711"/>
      <c r="AB130" s="5711"/>
      <c r="AC130" s="5688"/>
      <c r="AD130" s="5689"/>
      <c r="AE130" s="5689"/>
      <c r="AF130" s="5689"/>
      <c r="AG130" s="5689"/>
      <c r="AH130" s="5689"/>
      <c r="AI130" s="5689"/>
      <c r="AJ130" s="5689"/>
      <c r="AK130" s="5689"/>
      <c r="AL130" s="5689"/>
      <c r="AM130" s="5689"/>
      <c r="AN130" s="5689"/>
      <c r="AO130" s="5689"/>
      <c r="AP130" s="5689"/>
      <c r="AQ130" s="5689"/>
      <c r="AR130" s="5689"/>
      <c r="AS130" s="5689"/>
      <c r="AT130" s="5689"/>
      <c r="AU130" s="5689"/>
      <c r="AV130" s="5689"/>
      <c r="AW130" s="5689"/>
      <c r="AX130" s="5689"/>
      <c r="AY130" s="5689"/>
      <c r="AZ130" s="5689"/>
      <c r="BA130" s="5689"/>
      <c r="BB130" s="5689"/>
      <c r="BC130" s="5689"/>
      <c r="BD130" s="5689"/>
      <c r="BE130" s="5689"/>
      <c r="BF130" s="5689"/>
      <c r="BG130" s="5689"/>
      <c r="BH130" s="5689"/>
      <c r="BI130" s="5689"/>
      <c r="BJ130" s="5689"/>
      <c r="BK130" s="5689"/>
      <c r="BL130" s="5689"/>
      <c r="BM130" s="5689"/>
      <c r="BN130" s="16193">
        <v>0</v>
      </c>
      <c r="BO130" s="16188"/>
      <c r="BP130" s="5689"/>
      <c r="BQ130" s="5689"/>
      <c r="BR130" s="5689"/>
      <c r="BS130" s="5692">
        <v>0</v>
      </c>
      <c r="BT130" s="5692">
        <v>0</v>
      </c>
      <c r="BU130" s="5692">
        <v>0</v>
      </c>
      <c r="BV130" s="5691">
        <v>0</v>
      </c>
      <c r="BW130" s="5692"/>
      <c r="BX130" s="5692"/>
      <c r="BY130" s="5692"/>
      <c r="BZ130" s="5692"/>
      <c r="CA130" s="5692"/>
      <c r="CB130" s="5692"/>
      <c r="CC130" s="5692"/>
      <c r="CD130" s="5692"/>
      <c r="CE130" s="5692"/>
      <c r="CF130" s="5692"/>
      <c r="CG130" s="5692"/>
      <c r="CH130" s="5692"/>
      <c r="CI130" s="5692"/>
      <c r="CJ130" s="5692"/>
      <c r="CK130" s="5692"/>
      <c r="CL130" s="5692"/>
      <c r="CM130" s="5692"/>
      <c r="CN130" s="5692"/>
      <c r="CO130" s="5692"/>
      <c r="CP130" s="5692"/>
      <c r="CQ130" s="5692"/>
      <c r="CR130" s="5692"/>
      <c r="CS130" s="5692"/>
      <c r="CT130" s="5692"/>
      <c r="CU130" s="5692"/>
      <c r="CV130" s="5692"/>
      <c r="CW130" s="5692"/>
      <c r="CX130" s="5692"/>
      <c r="CY130" s="5692"/>
      <c r="CZ130" s="5692"/>
      <c r="DA130" s="5692"/>
      <c r="DB130" s="5692"/>
      <c r="DC130" s="5692"/>
      <c r="DD130" s="5692"/>
      <c r="DE130" s="5692"/>
      <c r="DF130" s="5692"/>
      <c r="DG130" s="5693"/>
      <c r="DH130" s="5693"/>
      <c r="DI130" s="5693"/>
      <c r="DJ130" s="5693"/>
      <c r="DK130" s="5693"/>
      <c r="DL130" s="5693"/>
      <c r="DM130" s="5693"/>
      <c r="DN130" s="5693"/>
      <c r="DO130" s="5693"/>
      <c r="DP130" s="5693"/>
      <c r="DQ130" s="5693"/>
      <c r="DR130" s="5693"/>
      <c r="DS130" s="5693"/>
      <c r="DT130" s="5693"/>
      <c r="DU130" s="5693"/>
      <c r="DV130" s="5693"/>
      <c r="DW130" s="5693"/>
      <c r="DX130" s="5693"/>
      <c r="DY130" s="5693"/>
      <c r="DZ130" s="5693"/>
      <c r="EA130" s="5693"/>
      <c r="EB130" s="5693"/>
      <c r="EC130" s="5693"/>
      <c r="ED130" s="5693"/>
      <c r="EE130" s="5693"/>
      <c r="EF130" s="5693"/>
      <c r="EG130" s="5693"/>
      <c r="EH130" s="5693"/>
      <c r="EI130" s="5693"/>
      <c r="EJ130" s="5693"/>
      <c r="EK130" s="5693"/>
      <c r="EL130" s="5693"/>
      <c r="EM130" s="5693"/>
      <c r="EN130" s="5693"/>
      <c r="EO130" s="5693"/>
      <c r="EP130" s="5693"/>
      <c r="EQ130" s="5693"/>
      <c r="ER130" s="5693"/>
      <c r="ES130" s="5693"/>
      <c r="ET130" s="5693"/>
      <c r="EU130" s="5693"/>
      <c r="EV130" s="5693"/>
      <c r="EW130" s="5693"/>
      <c r="EX130" s="5693"/>
      <c r="EY130" s="5693"/>
      <c r="EZ130" s="5693"/>
      <c r="FA130" s="5694"/>
    </row>
    <row r="131" spans="1:157" s="5682" customFormat="1" ht="15" customHeight="1">
      <c r="A131" s="16075"/>
      <c r="B131" s="16069"/>
      <c r="C131" s="16069"/>
      <c r="D131" s="16069"/>
      <c r="E131" s="16069"/>
      <c r="F131" s="16190"/>
      <c r="G131" s="16191"/>
      <c r="H131" s="16039"/>
      <c r="I131" s="16039"/>
      <c r="J131" s="16039"/>
      <c r="K131" s="16039"/>
      <c r="L131" s="16039"/>
      <c r="M131" s="16039"/>
      <c r="N131" s="16039"/>
      <c r="O131" s="16039"/>
      <c r="P131" s="16039"/>
      <c r="Q131" s="16039"/>
      <c r="R131" s="2764" t="s">
        <v>2896</v>
      </c>
      <c r="S131" s="5683"/>
      <c r="T131" s="5684" t="s">
        <v>1190</v>
      </c>
      <c r="U131" s="16193"/>
      <c r="V131" s="16188"/>
      <c r="W131" s="5713"/>
      <c r="X131" s="5689"/>
      <c r="Y131" s="5689"/>
      <c r="Z131" s="5711"/>
      <c r="AA131" s="5711"/>
      <c r="AB131" s="5711"/>
      <c r="AC131" s="5688"/>
      <c r="AD131" s="5689"/>
      <c r="AE131" s="5689"/>
      <c r="AF131" s="5689"/>
      <c r="AG131" s="5689"/>
      <c r="AH131" s="5689"/>
      <c r="AI131" s="5689"/>
      <c r="AJ131" s="5689"/>
      <c r="AK131" s="5689"/>
      <c r="AL131" s="5689"/>
      <c r="AM131" s="5689"/>
      <c r="AN131" s="5689"/>
      <c r="AO131" s="5689"/>
      <c r="AP131" s="5689"/>
      <c r="AQ131" s="5689"/>
      <c r="AR131" s="5689"/>
      <c r="AS131" s="5689"/>
      <c r="AT131" s="5689"/>
      <c r="AU131" s="5689"/>
      <c r="AV131" s="5689"/>
      <c r="AW131" s="5689"/>
      <c r="AX131" s="5689"/>
      <c r="AY131" s="5689"/>
      <c r="AZ131" s="5689"/>
      <c r="BA131" s="5689"/>
      <c r="BB131" s="5689"/>
      <c r="BC131" s="5689"/>
      <c r="BD131" s="5689"/>
      <c r="BE131" s="5689"/>
      <c r="BF131" s="5689"/>
      <c r="BG131" s="5689"/>
      <c r="BH131" s="5689"/>
      <c r="BI131" s="5689"/>
      <c r="BJ131" s="5689"/>
      <c r="BK131" s="5689"/>
      <c r="BL131" s="5689"/>
      <c r="BM131" s="5689"/>
      <c r="BN131" s="16193"/>
      <c r="BO131" s="16188"/>
      <c r="BP131" s="5713" t="s">
        <v>2951</v>
      </c>
      <c r="BQ131" s="5689"/>
      <c r="BR131" s="5689"/>
      <c r="BS131" s="5692">
        <v>0</v>
      </c>
      <c r="BT131" s="5692">
        <v>0</v>
      </c>
      <c r="BU131" s="5692">
        <v>0</v>
      </c>
      <c r="BV131" s="5691">
        <v>0</v>
      </c>
      <c r="BW131" s="5692"/>
      <c r="BX131" s="5692"/>
      <c r="BY131" s="5692"/>
      <c r="BZ131" s="5692"/>
      <c r="CA131" s="5692"/>
      <c r="CB131" s="5692"/>
      <c r="CC131" s="5692"/>
      <c r="CD131" s="5692"/>
      <c r="CE131" s="5692"/>
      <c r="CF131" s="5692"/>
      <c r="CG131" s="5692"/>
      <c r="CH131" s="5692"/>
      <c r="CI131" s="5692"/>
      <c r="CJ131" s="5692"/>
      <c r="CK131" s="5692"/>
      <c r="CL131" s="5692"/>
      <c r="CM131" s="5692"/>
      <c r="CN131" s="5692"/>
      <c r="CO131" s="5692"/>
      <c r="CP131" s="5692"/>
      <c r="CQ131" s="5692"/>
      <c r="CR131" s="5692"/>
      <c r="CS131" s="5692"/>
      <c r="CT131" s="5692"/>
      <c r="CU131" s="5692"/>
      <c r="CV131" s="5692"/>
      <c r="CW131" s="5692"/>
      <c r="CX131" s="5692"/>
      <c r="CY131" s="5692"/>
      <c r="CZ131" s="5692"/>
      <c r="DA131" s="5692"/>
      <c r="DB131" s="5692"/>
      <c r="DC131" s="5692"/>
      <c r="DD131" s="5692"/>
      <c r="DE131" s="5692"/>
      <c r="DF131" s="5692"/>
      <c r="DG131" s="5693"/>
      <c r="DH131" s="5693"/>
      <c r="DI131" s="5693"/>
      <c r="DJ131" s="5693"/>
      <c r="DK131" s="5693"/>
      <c r="DL131" s="5693"/>
      <c r="DM131" s="5693"/>
      <c r="DN131" s="5693"/>
      <c r="DO131" s="5693"/>
      <c r="DP131" s="5693"/>
      <c r="DQ131" s="5693"/>
      <c r="DR131" s="5693"/>
      <c r="DS131" s="5693"/>
      <c r="DT131" s="5693"/>
      <c r="DU131" s="5693"/>
      <c r="DV131" s="5693"/>
      <c r="DW131" s="5693"/>
      <c r="DX131" s="5693"/>
      <c r="DY131" s="5693"/>
      <c r="DZ131" s="5693"/>
      <c r="EA131" s="5693"/>
      <c r="EB131" s="5693"/>
      <c r="EC131" s="5693"/>
      <c r="ED131" s="5693"/>
      <c r="EE131" s="5693"/>
      <c r="EF131" s="5693"/>
      <c r="EG131" s="5693"/>
      <c r="EH131" s="5693"/>
      <c r="EI131" s="5693"/>
      <c r="EJ131" s="5693"/>
      <c r="EK131" s="5693"/>
      <c r="EL131" s="5693"/>
      <c r="EM131" s="5693"/>
      <c r="EN131" s="5693"/>
      <c r="EO131" s="5693"/>
      <c r="EP131" s="5693"/>
      <c r="EQ131" s="5693"/>
      <c r="ER131" s="5693"/>
      <c r="ES131" s="5693"/>
      <c r="ET131" s="5693"/>
      <c r="EU131" s="5693"/>
      <c r="EV131" s="5693"/>
      <c r="EW131" s="5693"/>
      <c r="EX131" s="5693"/>
      <c r="EY131" s="5693"/>
      <c r="EZ131" s="5693"/>
      <c r="FA131" s="5694"/>
    </row>
    <row r="132" spans="1:157" s="5682" customFormat="1" ht="15" customHeight="1">
      <c r="A132" s="16075"/>
      <c r="B132" s="16069" t="s">
        <v>1196</v>
      </c>
      <c r="C132" s="16197" t="s">
        <v>8101</v>
      </c>
      <c r="D132" s="16069" t="s">
        <v>1197</v>
      </c>
      <c r="E132" s="16069" t="s">
        <v>1198</v>
      </c>
      <c r="F132" s="16190" t="s">
        <v>958</v>
      </c>
      <c r="G132" s="16191">
        <v>0</v>
      </c>
      <c r="H132" s="16039">
        <v>15</v>
      </c>
      <c r="I132" s="16039">
        <v>15</v>
      </c>
      <c r="J132" s="16039">
        <v>15</v>
      </c>
      <c r="K132" s="16039">
        <v>15</v>
      </c>
      <c r="L132" s="16039">
        <v>20</v>
      </c>
      <c r="M132" s="16039">
        <v>20</v>
      </c>
      <c r="N132" s="16039">
        <v>20</v>
      </c>
      <c r="O132" s="16039">
        <v>20</v>
      </c>
      <c r="P132" s="16039">
        <v>20</v>
      </c>
      <c r="Q132" s="16039">
        <v>20</v>
      </c>
      <c r="R132" s="2764" t="s">
        <v>10072</v>
      </c>
      <c r="S132" s="5683" t="s">
        <v>968</v>
      </c>
      <c r="T132" s="5684"/>
      <c r="U132" s="5685"/>
      <c r="V132" s="16188"/>
      <c r="W132" s="5686"/>
      <c r="X132" s="5689"/>
      <c r="Y132" s="5689"/>
      <c r="Z132" s="5711"/>
      <c r="AA132" s="5711"/>
      <c r="AB132" s="5711"/>
      <c r="AC132" s="5688"/>
      <c r="AD132" s="5689"/>
      <c r="AE132" s="5689"/>
      <c r="AF132" s="5689"/>
      <c r="AG132" s="5689"/>
      <c r="AH132" s="5689"/>
      <c r="AI132" s="5689"/>
      <c r="AJ132" s="5689"/>
      <c r="AK132" s="5689"/>
      <c r="AL132" s="5689"/>
      <c r="AM132" s="5689"/>
      <c r="AN132" s="5689"/>
      <c r="AO132" s="5689"/>
      <c r="AP132" s="5689"/>
      <c r="AQ132" s="5689"/>
      <c r="AR132" s="5689"/>
      <c r="AS132" s="5689"/>
      <c r="AT132" s="5689"/>
      <c r="AU132" s="5689"/>
      <c r="AV132" s="5689"/>
      <c r="AW132" s="5689"/>
      <c r="AX132" s="5689"/>
      <c r="AY132" s="5689"/>
      <c r="AZ132" s="5689"/>
      <c r="BA132" s="5689"/>
      <c r="BB132" s="5689"/>
      <c r="BC132" s="5689"/>
      <c r="BD132" s="5689"/>
      <c r="BE132" s="5689"/>
      <c r="BF132" s="5689"/>
      <c r="BG132" s="5689"/>
      <c r="BH132" s="5689"/>
      <c r="BI132" s="5689"/>
      <c r="BJ132" s="5689"/>
      <c r="BK132" s="5689"/>
      <c r="BL132" s="5689"/>
      <c r="BM132" s="5689"/>
      <c r="BN132" s="5685">
        <v>0.2</v>
      </c>
      <c r="BO132" s="16188"/>
      <c r="BP132" s="5686" t="s">
        <v>9531</v>
      </c>
      <c r="BQ132" s="5689"/>
      <c r="BR132" s="5689"/>
      <c r="BS132" s="5692">
        <v>0</v>
      </c>
      <c r="BT132" s="5692">
        <v>0</v>
      </c>
      <c r="BU132" s="5692">
        <v>0</v>
      </c>
      <c r="BV132" s="5691">
        <v>0</v>
      </c>
      <c r="BW132" s="5692"/>
      <c r="BX132" s="5692"/>
      <c r="BY132" s="5692"/>
      <c r="BZ132" s="5692"/>
      <c r="CA132" s="5692"/>
      <c r="CB132" s="5692"/>
      <c r="CC132" s="5692"/>
      <c r="CD132" s="5692"/>
      <c r="CE132" s="5692"/>
      <c r="CF132" s="5692"/>
      <c r="CG132" s="5692"/>
      <c r="CH132" s="5692"/>
      <c r="CI132" s="5692"/>
      <c r="CJ132" s="5692"/>
      <c r="CK132" s="5692"/>
      <c r="CL132" s="5692"/>
      <c r="CM132" s="5692"/>
      <c r="CN132" s="5692"/>
      <c r="CO132" s="5692"/>
      <c r="CP132" s="5692"/>
      <c r="CQ132" s="5692"/>
      <c r="CR132" s="5692"/>
      <c r="CS132" s="5692"/>
      <c r="CT132" s="5692"/>
      <c r="CU132" s="5692"/>
      <c r="CV132" s="5692"/>
      <c r="CW132" s="5692"/>
      <c r="CX132" s="5692"/>
      <c r="CY132" s="5692"/>
      <c r="CZ132" s="5692"/>
      <c r="DA132" s="5692"/>
      <c r="DB132" s="5692"/>
      <c r="DC132" s="5692"/>
      <c r="DD132" s="5692"/>
      <c r="DE132" s="5692"/>
      <c r="DF132" s="5692"/>
      <c r="DG132" s="5693"/>
      <c r="DH132" s="5693"/>
      <c r="DI132" s="5693"/>
      <c r="DJ132" s="5693"/>
      <c r="DK132" s="5693"/>
      <c r="DL132" s="5693"/>
      <c r="DM132" s="5693"/>
      <c r="DN132" s="5693"/>
      <c r="DO132" s="5693"/>
      <c r="DP132" s="5693"/>
      <c r="DQ132" s="5693"/>
      <c r="DR132" s="5693"/>
      <c r="DS132" s="5693"/>
      <c r="DT132" s="5693"/>
      <c r="DU132" s="5693"/>
      <c r="DV132" s="5693"/>
      <c r="DW132" s="5693"/>
      <c r="DX132" s="5693"/>
      <c r="DY132" s="5693"/>
      <c r="DZ132" s="5693"/>
      <c r="EA132" s="5693"/>
      <c r="EB132" s="5693"/>
      <c r="EC132" s="5693"/>
      <c r="ED132" s="5693"/>
      <c r="EE132" s="5693"/>
      <c r="EF132" s="5693"/>
      <c r="EG132" s="5693"/>
      <c r="EH132" s="5693"/>
      <c r="EI132" s="5693"/>
      <c r="EJ132" s="5693"/>
      <c r="EK132" s="5693"/>
      <c r="EL132" s="5693"/>
      <c r="EM132" s="5693"/>
      <c r="EN132" s="5693"/>
      <c r="EO132" s="5693"/>
      <c r="EP132" s="5693"/>
      <c r="EQ132" s="5693"/>
      <c r="ER132" s="5693"/>
      <c r="ES132" s="5693"/>
      <c r="ET132" s="5693"/>
      <c r="EU132" s="5693"/>
      <c r="EV132" s="5693"/>
      <c r="EW132" s="5693"/>
      <c r="EX132" s="5693"/>
      <c r="EY132" s="5693"/>
      <c r="EZ132" s="5693"/>
      <c r="FA132" s="5694"/>
    </row>
    <row r="133" spans="1:157" s="5682" customFormat="1" ht="15" customHeight="1">
      <c r="A133" s="16075"/>
      <c r="B133" s="16069"/>
      <c r="C133" s="16197"/>
      <c r="D133" s="16069"/>
      <c r="E133" s="16069"/>
      <c r="F133" s="16190"/>
      <c r="G133" s="16191"/>
      <c r="H133" s="16039"/>
      <c r="I133" s="16039"/>
      <c r="J133" s="16039"/>
      <c r="K133" s="16039"/>
      <c r="L133" s="16039"/>
      <c r="M133" s="16039"/>
      <c r="N133" s="16039"/>
      <c r="O133" s="16039"/>
      <c r="P133" s="16039"/>
      <c r="Q133" s="16039"/>
      <c r="R133" s="2764" t="s">
        <v>2896</v>
      </c>
      <c r="S133" s="5683"/>
      <c r="T133" s="5684" t="s">
        <v>1190</v>
      </c>
      <c r="U133" s="5685"/>
      <c r="V133" s="16188"/>
      <c r="W133" s="5684"/>
      <c r="X133" s="5713"/>
      <c r="Y133" s="5686"/>
      <c r="Z133" s="5711"/>
      <c r="AA133" s="5711"/>
      <c r="AB133" s="5711"/>
      <c r="AC133" s="5688"/>
      <c r="AD133" s="5689"/>
      <c r="AE133" s="5689"/>
      <c r="AF133" s="5689"/>
      <c r="AG133" s="5689"/>
      <c r="AH133" s="5689"/>
      <c r="AI133" s="5689"/>
      <c r="AJ133" s="5689"/>
      <c r="AK133" s="5689"/>
      <c r="AL133" s="5689"/>
      <c r="AM133" s="5689"/>
      <c r="AN133" s="5689"/>
      <c r="AO133" s="5689"/>
      <c r="AP133" s="5689"/>
      <c r="AQ133" s="5689"/>
      <c r="AR133" s="5689"/>
      <c r="AS133" s="5689"/>
      <c r="AT133" s="5689"/>
      <c r="AU133" s="5689"/>
      <c r="AV133" s="5689"/>
      <c r="AW133" s="5689"/>
      <c r="AX133" s="5689"/>
      <c r="AY133" s="5689"/>
      <c r="AZ133" s="5689"/>
      <c r="BA133" s="5689"/>
      <c r="BB133" s="5689"/>
      <c r="BC133" s="5689"/>
      <c r="BD133" s="5689"/>
      <c r="BE133" s="5689"/>
      <c r="BF133" s="5689"/>
      <c r="BG133" s="5689"/>
      <c r="BH133" s="5689"/>
      <c r="BI133" s="5689"/>
      <c r="BJ133" s="5689"/>
      <c r="BK133" s="5689"/>
      <c r="BL133" s="5689"/>
      <c r="BM133" s="5689"/>
      <c r="BN133" s="5685">
        <v>0</v>
      </c>
      <c r="BO133" s="16188"/>
      <c r="BP133" s="5684" t="s">
        <v>9530</v>
      </c>
      <c r="BQ133" s="5713" t="s">
        <v>2951</v>
      </c>
      <c r="BR133" s="5686" t="s">
        <v>9532</v>
      </c>
      <c r="BS133" s="5692">
        <v>0</v>
      </c>
      <c r="BT133" s="5692">
        <v>0</v>
      </c>
      <c r="BU133" s="5692">
        <v>0</v>
      </c>
      <c r="BV133" s="5691">
        <v>0</v>
      </c>
      <c r="BW133" s="5692"/>
      <c r="BX133" s="5692"/>
      <c r="BY133" s="5692"/>
      <c r="BZ133" s="5692"/>
      <c r="CA133" s="5692"/>
      <c r="CB133" s="5692"/>
      <c r="CC133" s="5692"/>
      <c r="CD133" s="5692"/>
      <c r="CE133" s="5692"/>
      <c r="CF133" s="5692"/>
      <c r="CG133" s="5692"/>
      <c r="CH133" s="5692"/>
      <c r="CI133" s="5692"/>
      <c r="CJ133" s="5692"/>
      <c r="CK133" s="5692"/>
      <c r="CL133" s="5692"/>
      <c r="CM133" s="5692"/>
      <c r="CN133" s="5692"/>
      <c r="CO133" s="5692"/>
      <c r="CP133" s="5692"/>
      <c r="CQ133" s="5692"/>
      <c r="CR133" s="5692"/>
      <c r="CS133" s="5692"/>
      <c r="CT133" s="5692"/>
      <c r="CU133" s="5692"/>
      <c r="CV133" s="5692"/>
      <c r="CW133" s="5692"/>
      <c r="CX133" s="5692"/>
      <c r="CY133" s="5692"/>
      <c r="CZ133" s="5692"/>
      <c r="DA133" s="5692"/>
      <c r="DB133" s="5692"/>
      <c r="DC133" s="5692"/>
      <c r="DD133" s="5692"/>
      <c r="DE133" s="5692"/>
      <c r="DF133" s="5692"/>
      <c r="DG133" s="5693"/>
      <c r="DH133" s="5693"/>
      <c r="DI133" s="5693"/>
      <c r="DJ133" s="5693"/>
      <c r="DK133" s="5693"/>
      <c r="DL133" s="5693"/>
      <c r="DM133" s="5693"/>
      <c r="DN133" s="5693"/>
      <c r="DO133" s="5693"/>
      <c r="DP133" s="5693"/>
      <c r="DQ133" s="5693"/>
      <c r="DR133" s="5693"/>
      <c r="DS133" s="5693"/>
      <c r="DT133" s="5693"/>
      <c r="DU133" s="5693"/>
      <c r="DV133" s="5693"/>
      <c r="DW133" s="5693"/>
      <c r="DX133" s="5693"/>
      <c r="DY133" s="5693"/>
      <c r="DZ133" s="5693"/>
      <c r="EA133" s="5693"/>
      <c r="EB133" s="5693"/>
      <c r="EC133" s="5693"/>
      <c r="ED133" s="5693"/>
      <c r="EE133" s="5693"/>
      <c r="EF133" s="5693"/>
      <c r="EG133" s="5693"/>
      <c r="EH133" s="5693"/>
      <c r="EI133" s="5693"/>
      <c r="EJ133" s="5693"/>
      <c r="EK133" s="5693"/>
      <c r="EL133" s="5693"/>
      <c r="EM133" s="5693"/>
      <c r="EN133" s="5693"/>
      <c r="EO133" s="5693"/>
      <c r="EP133" s="5693"/>
      <c r="EQ133" s="5693"/>
      <c r="ER133" s="5693"/>
      <c r="ES133" s="5693"/>
      <c r="ET133" s="5693"/>
      <c r="EU133" s="5693"/>
      <c r="EV133" s="5693"/>
      <c r="EW133" s="5693"/>
      <c r="EX133" s="5693"/>
      <c r="EY133" s="5693"/>
      <c r="EZ133" s="5693"/>
      <c r="FA133" s="5694"/>
    </row>
    <row r="134" spans="1:157" s="5682" customFormat="1" ht="15" customHeight="1">
      <c r="A134" s="16075"/>
      <c r="B134" s="16069"/>
      <c r="C134" s="16069" t="s">
        <v>8102</v>
      </c>
      <c r="D134" s="16069" t="s">
        <v>1199</v>
      </c>
      <c r="E134" s="16069" t="s">
        <v>1200</v>
      </c>
      <c r="F134" s="16190" t="s">
        <v>1073</v>
      </c>
      <c r="G134" s="16191">
        <v>0</v>
      </c>
      <c r="H134" s="16045">
        <v>0.5</v>
      </c>
      <c r="I134" s="16045">
        <v>0.5</v>
      </c>
      <c r="J134" s="16045">
        <v>0.5</v>
      </c>
      <c r="K134" s="16045">
        <v>0.5</v>
      </c>
      <c r="L134" s="16045">
        <v>0.75</v>
      </c>
      <c r="M134" s="16045">
        <v>0.75</v>
      </c>
      <c r="N134" s="16045">
        <v>0.75</v>
      </c>
      <c r="O134" s="16045">
        <v>0.75</v>
      </c>
      <c r="P134" s="16045">
        <v>0.75</v>
      </c>
      <c r="Q134" s="16045">
        <v>0.75</v>
      </c>
      <c r="R134" s="2764" t="s">
        <v>10072</v>
      </c>
      <c r="S134" s="5683" t="s">
        <v>968</v>
      </c>
      <c r="T134" s="5684"/>
      <c r="U134" s="16194"/>
      <c r="V134" s="16188"/>
      <c r="W134" s="5686"/>
      <c r="X134" s="5689"/>
      <c r="Y134" s="5689"/>
      <c r="Z134" s="5711"/>
      <c r="AA134" s="5711"/>
      <c r="AB134" s="5711"/>
      <c r="AC134" s="5688"/>
      <c r="AD134" s="5689"/>
      <c r="AE134" s="5689"/>
      <c r="AF134" s="5689"/>
      <c r="AG134" s="5689"/>
      <c r="AH134" s="5689"/>
      <c r="AI134" s="5689"/>
      <c r="AJ134" s="5689"/>
      <c r="AK134" s="5689"/>
      <c r="AL134" s="5689"/>
      <c r="AM134" s="5689"/>
      <c r="AN134" s="5689"/>
      <c r="AO134" s="5689"/>
      <c r="AP134" s="5689"/>
      <c r="AQ134" s="5689"/>
      <c r="AR134" s="5689"/>
      <c r="AS134" s="5689"/>
      <c r="AT134" s="5689"/>
      <c r="AU134" s="5689"/>
      <c r="AV134" s="5689"/>
      <c r="AW134" s="5689"/>
      <c r="AX134" s="5689"/>
      <c r="AY134" s="5689"/>
      <c r="AZ134" s="5689"/>
      <c r="BA134" s="5689"/>
      <c r="BB134" s="5689"/>
      <c r="BC134" s="5689"/>
      <c r="BD134" s="5689"/>
      <c r="BE134" s="5689"/>
      <c r="BF134" s="5689"/>
      <c r="BG134" s="5689"/>
      <c r="BH134" s="5689"/>
      <c r="BI134" s="5689"/>
      <c r="BJ134" s="5689"/>
      <c r="BK134" s="5689"/>
      <c r="BL134" s="5689"/>
      <c r="BM134" s="5689"/>
      <c r="BN134" s="16194">
        <v>0.87</v>
      </c>
      <c r="BO134" s="16188"/>
      <c r="BP134" s="5686" t="s">
        <v>9533</v>
      </c>
      <c r="BQ134" s="5689"/>
      <c r="BR134" s="5689"/>
      <c r="BS134" s="5692">
        <v>0</v>
      </c>
      <c r="BT134" s="5692">
        <v>0</v>
      </c>
      <c r="BU134" s="5692">
        <v>0</v>
      </c>
      <c r="BV134" s="5691">
        <v>0</v>
      </c>
      <c r="BW134" s="5692"/>
      <c r="BX134" s="5692"/>
      <c r="BY134" s="5692"/>
      <c r="BZ134" s="5692"/>
      <c r="CA134" s="5692"/>
      <c r="CB134" s="5692"/>
      <c r="CC134" s="5692"/>
      <c r="CD134" s="5692"/>
      <c r="CE134" s="5692"/>
      <c r="CF134" s="5692"/>
      <c r="CG134" s="5692"/>
      <c r="CH134" s="5692"/>
      <c r="CI134" s="5692"/>
      <c r="CJ134" s="5692"/>
      <c r="CK134" s="5692"/>
      <c r="CL134" s="5692"/>
      <c r="CM134" s="5692"/>
      <c r="CN134" s="5692"/>
      <c r="CO134" s="5692"/>
      <c r="CP134" s="5692"/>
      <c r="CQ134" s="5692"/>
      <c r="CR134" s="5692"/>
      <c r="CS134" s="5692"/>
      <c r="CT134" s="5692"/>
      <c r="CU134" s="5692"/>
      <c r="CV134" s="5692"/>
      <c r="CW134" s="5692"/>
      <c r="CX134" s="5692"/>
      <c r="CY134" s="5692"/>
      <c r="CZ134" s="5692"/>
      <c r="DA134" s="5692"/>
      <c r="DB134" s="5692"/>
      <c r="DC134" s="5692"/>
      <c r="DD134" s="5692"/>
      <c r="DE134" s="5692"/>
      <c r="DF134" s="5692"/>
      <c r="DG134" s="5693"/>
      <c r="DH134" s="5693"/>
      <c r="DI134" s="5693"/>
      <c r="DJ134" s="5693"/>
      <c r="DK134" s="5693"/>
      <c r="DL134" s="5693"/>
      <c r="DM134" s="5693"/>
      <c r="DN134" s="5693"/>
      <c r="DO134" s="5693"/>
      <c r="DP134" s="5693"/>
      <c r="DQ134" s="5693"/>
      <c r="DR134" s="5693"/>
      <c r="DS134" s="5693"/>
      <c r="DT134" s="5693"/>
      <c r="DU134" s="5693"/>
      <c r="DV134" s="5693"/>
      <c r="DW134" s="5693"/>
      <c r="DX134" s="5693"/>
      <c r="DY134" s="5693"/>
      <c r="DZ134" s="5693"/>
      <c r="EA134" s="5693"/>
      <c r="EB134" s="5693"/>
      <c r="EC134" s="5693"/>
      <c r="ED134" s="5693"/>
      <c r="EE134" s="5693"/>
      <c r="EF134" s="5693"/>
      <c r="EG134" s="5693"/>
      <c r="EH134" s="5693"/>
      <c r="EI134" s="5693"/>
      <c r="EJ134" s="5693"/>
      <c r="EK134" s="5693"/>
      <c r="EL134" s="5693"/>
      <c r="EM134" s="5693"/>
      <c r="EN134" s="5693"/>
      <c r="EO134" s="5693"/>
      <c r="EP134" s="5693"/>
      <c r="EQ134" s="5693"/>
      <c r="ER134" s="5693"/>
      <c r="ES134" s="5693"/>
      <c r="ET134" s="5693"/>
      <c r="EU134" s="5693"/>
      <c r="EV134" s="5693"/>
      <c r="EW134" s="5693"/>
      <c r="EX134" s="5693"/>
      <c r="EY134" s="5693"/>
      <c r="EZ134" s="5693"/>
      <c r="FA134" s="5694"/>
    </row>
    <row r="135" spans="1:157" s="5682" customFormat="1" ht="15" customHeight="1">
      <c r="A135" s="16075"/>
      <c r="B135" s="16069"/>
      <c r="C135" s="16069"/>
      <c r="D135" s="16069"/>
      <c r="E135" s="16069"/>
      <c r="F135" s="16190"/>
      <c r="G135" s="16191"/>
      <c r="H135" s="16045"/>
      <c r="I135" s="16045"/>
      <c r="J135" s="16045"/>
      <c r="K135" s="16045"/>
      <c r="L135" s="16045"/>
      <c r="M135" s="16045"/>
      <c r="N135" s="16045"/>
      <c r="O135" s="16045"/>
      <c r="P135" s="16045"/>
      <c r="Q135" s="16045"/>
      <c r="R135" s="2764" t="s">
        <v>2896</v>
      </c>
      <c r="S135" s="5683"/>
      <c r="T135" s="5684" t="s">
        <v>1190</v>
      </c>
      <c r="U135" s="16194"/>
      <c r="V135" s="16188"/>
      <c r="W135" s="5684"/>
      <c r="X135" s="5684"/>
      <c r="Y135" s="5686"/>
      <c r="Z135" s="5687"/>
      <c r="AA135" s="5687"/>
      <c r="AB135" s="5687"/>
      <c r="AC135" s="5688"/>
      <c r="AD135" s="5706"/>
      <c r="AE135" s="5706"/>
      <c r="AF135" s="5707"/>
      <c r="AG135" s="5706"/>
      <c r="AH135" s="5707"/>
      <c r="AI135" s="5708"/>
      <c r="AJ135" s="5708"/>
      <c r="AK135" s="5709"/>
      <c r="AL135" s="5708"/>
      <c r="AM135" s="5708"/>
      <c r="AN135" s="5708"/>
      <c r="AO135" s="5708"/>
      <c r="AP135" s="5709"/>
      <c r="AQ135" s="5708"/>
      <c r="AR135" s="5708"/>
      <c r="AS135" s="5708"/>
      <c r="AT135" s="5708"/>
      <c r="AU135" s="5708"/>
      <c r="AV135" s="5708"/>
      <c r="AW135" s="5708"/>
      <c r="AX135" s="5709"/>
      <c r="AY135" s="5708"/>
      <c r="AZ135" s="5708"/>
      <c r="BA135" s="5707"/>
      <c r="BB135" s="5707"/>
      <c r="BC135" s="5707"/>
      <c r="BD135" s="5689"/>
      <c r="BE135" s="5689"/>
      <c r="BF135" s="5689"/>
      <c r="BG135" s="5689"/>
      <c r="BH135" s="5689"/>
      <c r="BI135" s="5689"/>
      <c r="BJ135" s="5689"/>
      <c r="BK135" s="5689"/>
      <c r="BL135" s="5689"/>
      <c r="BM135" s="5689"/>
      <c r="BN135" s="16194"/>
      <c r="BO135" s="16188"/>
      <c r="BP135" s="5684" t="s">
        <v>9534</v>
      </c>
      <c r="BQ135" s="5684" t="s">
        <v>9451</v>
      </c>
      <c r="BR135" s="5686"/>
      <c r="BS135" s="5690">
        <v>207984073.19376567</v>
      </c>
      <c r="BT135" s="5690">
        <f>+BS135*70%</f>
        <v>145588851.23563597</v>
      </c>
      <c r="BU135" s="5690">
        <f>+BS135*30%</f>
        <v>62395221.958129697</v>
      </c>
      <c r="BV135" s="5691">
        <v>0</v>
      </c>
      <c r="BW135" s="5706">
        <v>2246</v>
      </c>
      <c r="BX135" s="5706">
        <v>1292</v>
      </c>
      <c r="BY135" s="5706">
        <v>954</v>
      </c>
      <c r="BZ135" s="5706">
        <v>1709</v>
      </c>
      <c r="CA135" s="5706">
        <v>537</v>
      </c>
      <c r="CB135" s="5709">
        <v>24</v>
      </c>
      <c r="CC135" s="5709">
        <v>208</v>
      </c>
      <c r="CD135" s="5709">
        <v>1790</v>
      </c>
      <c r="CE135" s="5709">
        <v>200</v>
      </c>
      <c r="CF135" s="5709">
        <v>23</v>
      </c>
      <c r="CG135" s="5709">
        <v>1</v>
      </c>
      <c r="CH135" s="5709"/>
      <c r="CI135" s="5709">
        <v>1923</v>
      </c>
      <c r="CJ135" s="5709">
        <v>69</v>
      </c>
      <c r="CK135" s="5709">
        <v>60</v>
      </c>
      <c r="CL135" s="5709">
        <v>7</v>
      </c>
      <c r="CM135" s="5709">
        <v>0</v>
      </c>
      <c r="CN135" s="5709">
        <v>2</v>
      </c>
      <c r="CO135" s="5709">
        <v>2</v>
      </c>
      <c r="CP135" s="5709">
        <v>3</v>
      </c>
      <c r="CQ135" s="5709">
        <v>1934</v>
      </c>
      <c r="CR135" s="5709">
        <v>127</v>
      </c>
      <c r="CS135" s="5709">
        <v>25</v>
      </c>
      <c r="CT135" s="5706">
        <v>0</v>
      </c>
      <c r="CU135" s="5706">
        <v>0</v>
      </c>
      <c r="CV135" s="5706">
        <v>0</v>
      </c>
      <c r="CW135" s="5692"/>
      <c r="CX135" s="5692"/>
      <c r="CY135" s="5692"/>
      <c r="CZ135" s="5692"/>
      <c r="DA135" s="5692"/>
      <c r="DB135" s="5692"/>
      <c r="DC135" s="5692"/>
      <c r="DD135" s="5692"/>
      <c r="DE135" s="5692"/>
      <c r="DF135" s="5692"/>
      <c r="DG135" s="5693"/>
      <c r="DH135" s="5693"/>
      <c r="DI135" s="5693"/>
      <c r="DJ135" s="5693"/>
      <c r="DK135" s="5693"/>
      <c r="DL135" s="5693"/>
      <c r="DM135" s="5693"/>
      <c r="DN135" s="5693"/>
      <c r="DO135" s="5693"/>
      <c r="DP135" s="5693"/>
      <c r="DQ135" s="5693"/>
      <c r="DR135" s="5693"/>
      <c r="DS135" s="5693"/>
      <c r="DT135" s="5693"/>
      <c r="DU135" s="5693"/>
      <c r="DV135" s="5693"/>
      <c r="DW135" s="5693"/>
      <c r="DX135" s="5693"/>
      <c r="DY135" s="5693"/>
      <c r="DZ135" s="5693"/>
      <c r="EA135" s="5693"/>
      <c r="EB135" s="5693"/>
      <c r="EC135" s="5693"/>
      <c r="ED135" s="5693"/>
      <c r="EE135" s="5693"/>
      <c r="EF135" s="5693"/>
      <c r="EG135" s="5693"/>
      <c r="EH135" s="5693"/>
      <c r="EI135" s="5693"/>
      <c r="EJ135" s="5693"/>
      <c r="EK135" s="5693"/>
      <c r="EL135" s="5693"/>
      <c r="EM135" s="5693"/>
      <c r="EN135" s="5693"/>
      <c r="EO135" s="5693"/>
      <c r="EP135" s="5693"/>
      <c r="EQ135" s="5693"/>
      <c r="ER135" s="5693"/>
      <c r="ES135" s="5693"/>
      <c r="ET135" s="5693"/>
      <c r="EU135" s="5693"/>
      <c r="EV135" s="5693"/>
      <c r="EW135" s="5693"/>
      <c r="EX135" s="5693"/>
      <c r="EY135" s="5693"/>
      <c r="EZ135" s="5693"/>
      <c r="FA135" s="5694"/>
    </row>
    <row r="136" spans="1:157" s="5682" customFormat="1" ht="15" customHeight="1">
      <c r="A136" s="16075"/>
      <c r="B136" s="16069"/>
      <c r="C136" s="16069" t="s">
        <v>8103</v>
      </c>
      <c r="D136" s="16069" t="s">
        <v>1201</v>
      </c>
      <c r="E136" s="16069" t="s">
        <v>1202</v>
      </c>
      <c r="F136" s="16190" t="s">
        <v>1073</v>
      </c>
      <c r="G136" s="16191">
        <v>0</v>
      </c>
      <c r="H136" s="16039">
        <v>10</v>
      </c>
      <c r="I136" s="16039">
        <v>10</v>
      </c>
      <c r="J136" s="16039">
        <v>10</v>
      </c>
      <c r="K136" s="16039">
        <v>10</v>
      </c>
      <c r="L136" s="16039">
        <v>15</v>
      </c>
      <c r="M136" s="16039">
        <v>15</v>
      </c>
      <c r="N136" s="16039">
        <v>15</v>
      </c>
      <c r="O136" s="16039">
        <v>15</v>
      </c>
      <c r="P136" s="16039">
        <v>15</v>
      </c>
      <c r="Q136" s="16039">
        <v>15</v>
      </c>
      <c r="R136" s="2764" t="s">
        <v>10072</v>
      </c>
      <c r="S136" s="5683" t="s">
        <v>968</v>
      </c>
      <c r="T136" s="5684"/>
      <c r="U136" s="5685"/>
      <c r="V136" s="16188"/>
      <c r="W136" s="5686"/>
      <c r="X136" s="5689"/>
      <c r="Y136" s="5689"/>
      <c r="Z136" s="5711"/>
      <c r="AA136" s="5711"/>
      <c r="AB136" s="5711"/>
      <c r="AC136" s="5688"/>
      <c r="AD136" s="5689"/>
      <c r="AE136" s="5689"/>
      <c r="AF136" s="5689"/>
      <c r="AG136" s="5689"/>
      <c r="AH136" s="5689"/>
      <c r="AI136" s="5689"/>
      <c r="AJ136" s="5689"/>
      <c r="AK136" s="5689"/>
      <c r="AL136" s="5689"/>
      <c r="AM136" s="5689"/>
      <c r="AN136" s="5689"/>
      <c r="AO136" s="5689"/>
      <c r="AP136" s="5689"/>
      <c r="AQ136" s="5689"/>
      <c r="AR136" s="5689"/>
      <c r="AS136" s="5689"/>
      <c r="AT136" s="5689"/>
      <c r="AU136" s="5689"/>
      <c r="AV136" s="5689"/>
      <c r="AW136" s="5689"/>
      <c r="AX136" s="5689"/>
      <c r="AY136" s="5689"/>
      <c r="AZ136" s="5689"/>
      <c r="BA136" s="5689"/>
      <c r="BB136" s="5689"/>
      <c r="BC136" s="5689"/>
      <c r="BD136" s="5689"/>
      <c r="BE136" s="5689"/>
      <c r="BF136" s="5689"/>
      <c r="BG136" s="5689"/>
      <c r="BH136" s="5689"/>
      <c r="BI136" s="5689"/>
      <c r="BJ136" s="5689"/>
      <c r="BK136" s="5689"/>
      <c r="BL136" s="5689"/>
      <c r="BM136" s="5689"/>
      <c r="BN136" s="5685">
        <v>0</v>
      </c>
      <c r="BO136" s="16188"/>
      <c r="BP136" s="5686" t="s">
        <v>9535</v>
      </c>
      <c r="BQ136" s="5689"/>
      <c r="BR136" s="5689"/>
      <c r="BS136" s="5692">
        <v>0</v>
      </c>
      <c r="BT136" s="5692">
        <v>0</v>
      </c>
      <c r="BU136" s="5692">
        <v>0</v>
      </c>
      <c r="BV136" s="5691">
        <v>0</v>
      </c>
      <c r="BW136" s="5692"/>
      <c r="BX136" s="5692"/>
      <c r="BY136" s="5692"/>
      <c r="BZ136" s="5692"/>
      <c r="CA136" s="5692"/>
      <c r="CB136" s="5692"/>
      <c r="CC136" s="5692"/>
      <c r="CD136" s="5692"/>
      <c r="CE136" s="5692"/>
      <c r="CF136" s="5692"/>
      <c r="CG136" s="5692"/>
      <c r="CH136" s="5692"/>
      <c r="CI136" s="5692"/>
      <c r="CJ136" s="5692"/>
      <c r="CK136" s="5692"/>
      <c r="CL136" s="5692"/>
      <c r="CM136" s="5692"/>
      <c r="CN136" s="5692"/>
      <c r="CO136" s="5692"/>
      <c r="CP136" s="5692"/>
      <c r="CQ136" s="5692"/>
      <c r="CR136" s="5692"/>
      <c r="CS136" s="5692"/>
      <c r="CT136" s="5692"/>
      <c r="CU136" s="5692"/>
      <c r="CV136" s="5692"/>
      <c r="CW136" s="5692"/>
      <c r="CX136" s="5692"/>
      <c r="CY136" s="5692"/>
      <c r="CZ136" s="5692"/>
      <c r="DA136" s="5692"/>
      <c r="DB136" s="5692"/>
      <c r="DC136" s="5692"/>
      <c r="DD136" s="5692"/>
      <c r="DE136" s="5692"/>
      <c r="DF136" s="5692"/>
      <c r="DG136" s="5693"/>
      <c r="DH136" s="5693"/>
      <c r="DI136" s="5693"/>
      <c r="DJ136" s="5693"/>
      <c r="DK136" s="5693"/>
      <c r="DL136" s="5693"/>
      <c r="DM136" s="5693"/>
      <c r="DN136" s="5693"/>
      <c r="DO136" s="5693"/>
      <c r="DP136" s="5693"/>
      <c r="DQ136" s="5693"/>
      <c r="DR136" s="5693"/>
      <c r="DS136" s="5693"/>
      <c r="DT136" s="5693"/>
      <c r="DU136" s="5693"/>
      <c r="DV136" s="5693"/>
      <c r="DW136" s="5693"/>
      <c r="DX136" s="5693"/>
      <c r="DY136" s="5693"/>
      <c r="DZ136" s="5693"/>
      <c r="EA136" s="5693"/>
      <c r="EB136" s="5693"/>
      <c r="EC136" s="5693"/>
      <c r="ED136" s="5693"/>
      <c r="EE136" s="5693"/>
      <c r="EF136" s="5693"/>
      <c r="EG136" s="5693"/>
      <c r="EH136" s="5693"/>
      <c r="EI136" s="5693"/>
      <c r="EJ136" s="5693"/>
      <c r="EK136" s="5693"/>
      <c r="EL136" s="5693"/>
      <c r="EM136" s="5693"/>
      <c r="EN136" s="5693"/>
      <c r="EO136" s="5693"/>
      <c r="EP136" s="5693"/>
      <c r="EQ136" s="5693"/>
      <c r="ER136" s="5693"/>
      <c r="ES136" s="5693"/>
      <c r="ET136" s="5693"/>
      <c r="EU136" s="5693"/>
      <c r="EV136" s="5693"/>
      <c r="EW136" s="5693"/>
      <c r="EX136" s="5693"/>
      <c r="EY136" s="5693"/>
      <c r="EZ136" s="5693"/>
      <c r="FA136" s="5694"/>
    </row>
    <row r="137" spans="1:157" s="5682" customFormat="1" ht="15" customHeight="1">
      <c r="A137" s="16075"/>
      <c r="B137" s="16069"/>
      <c r="C137" s="16069"/>
      <c r="D137" s="16069"/>
      <c r="E137" s="16069"/>
      <c r="F137" s="16190"/>
      <c r="G137" s="16191"/>
      <c r="H137" s="16039"/>
      <c r="I137" s="16039"/>
      <c r="J137" s="16039"/>
      <c r="K137" s="16039"/>
      <c r="L137" s="16039"/>
      <c r="M137" s="16039"/>
      <c r="N137" s="16039"/>
      <c r="O137" s="16039"/>
      <c r="P137" s="16039"/>
      <c r="Q137" s="16039"/>
      <c r="R137" s="2764" t="s">
        <v>2896</v>
      </c>
      <c r="S137" s="5683"/>
      <c r="T137" s="5684" t="s">
        <v>1190</v>
      </c>
      <c r="U137" s="5685"/>
      <c r="V137" s="16188"/>
      <c r="W137" s="5686"/>
      <c r="X137" s="5713"/>
      <c r="Y137" s="5689"/>
      <c r="Z137" s="5711"/>
      <c r="AA137" s="5711"/>
      <c r="AB137" s="5711"/>
      <c r="AC137" s="5688"/>
      <c r="AD137" s="5689"/>
      <c r="AE137" s="5689"/>
      <c r="AF137" s="5689"/>
      <c r="AG137" s="5689"/>
      <c r="AH137" s="5689"/>
      <c r="AI137" s="5689"/>
      <c r="AJ137" s="5689"/>
      <c r="AK137" s="5689"/>
      <c r="AL137" s="5689"/>
      <c r="AM137" s="5689"/>
      <c r="AN137" s="5689"/>
      <c r="AO137" s="5689"/>
      <c r="AP137" s="5689"/>
      <c r="AQ137" s="5689"/>
      <c r="AR137" s="5689"/>
      <c r="AS137" s="5689"/>
      <c r="AT137" s="5689"/>
      <c r="AU137" s="5689"/>
      <c r="AV137" s="5689"/>
      <c r="AW137" s="5689"/>
      <c r="AX137" s="5689"/>
      <c r="AY137" s="5689"/>
      <c r="AZ137" s="5689"/>
      <c r="BA137" s="5689"/>
      <c r="BB137" s="5689"/>
      <c r="BC137" s="5689"/>
      <c r="BD137" s="5689"/>
      <c r="BE137" s="5689"/>
      <c r="BF137" s="5689"/>
      <c r="BG137" s="5689"/>
      <c r="BH137" s="5689"/>
      <c r="BI137" s="5689"/>
      <c r="BJ137" s="5689"/>
      <c r="BK137" s="5689"/>
      <c r="BL137" s="5689"/>
      <c r="BM137" s="5689"/>
      <c r="BN137" s="5685">
        <v>0</v>
      </c>
      <c r="BO137" s="16188"/>
      <c r="BP137" s="5686" t="s">
        <v>9530</v>
      </c>
      <c r="BQ137" s="5713" t="s">
        <v>2951</v>
      </c>
      <c r="BR137" s="5689"/>
      <c r="BS137" s="5692">
        <v>0</v>
      </c>
      <c r="BT137" s="5692">
        <v>0</v>
      </c>
      <c r="BU137" s="5692">
        <v>0</v>
      </c>
      <c r="BV137" s="5691">
        <v>0</v>
      </c>
      <c r="BW137" s="5692"/>
      <c r="BX137" s="5692"/>
      <c r="BY137" s="5692"/>
      <c r="BZ137" s="5692"/>
      <c r="CA137" s="5692"/>
      <c r="CB137" s="5692"/>
      <c r="CC137" s="5692"/>
      <c r="CD137" s="5692"/>
      <c r="CE137" s="5692"/>
      <c r="CF137" s="5692"/>
      <c r="CG137" s="5692"/>
      <c r="CH137" s="5692"/>
      <c r="CI137" s="5692"/>
      <c r="CJ137" s="5692"/>
      <c r="CK137" s="5692"/>
      <c r="CL137" s="5692"/>
      <c r="CM137" s="5692"/>
      <c r="CN137" s="5692"/>
      <c r="CO137" s="5692"/>
      <c r="CP137" s="5692"/>
      <c r="CQ137" s="5692"/>
      <c r="CR137" s="5692"/>
      <c r="CS137" s="5692"/>
      <c r="CT137" s="5692"/>
      <c r="CU137" s="5692"/>
      <c r="CV137" s="5692"/>
      <c r="CW137" s="5692"/>
      <c r="CX137" s="5692"/>
      <c r="CY137" s="5692"/>
      <c r="CZ137" s="5692"/>
      <c r="DA137" s="5692"/>
      <c r="DB137" s="5692"/>
      <c r="DC137" s="5692"/>
      <c r="DD137" s="5692"/>
      <c r="DE137" s="5692"/>
      <c r="DF137" s="5692"/>
      <c r="DG137" s="5693"/>
      <c r="DH137" s="5693"/>
      <c r="DI137" s="5693"/>
      <c r="DJ137" s="5693"/>
      <c r="DK137" s="5693"/>
      <c r="DL137" s="5693"/>
      <c r="DM137" s="5693"/>
      <c r="DN137" s="5693"/>
      <c r="DO137" s="5693"/>
      <c r="DP137" s="5693"/>
      <c r="DQ137" s="5693"/>
      <c r="DR137" s="5693"/>
      <c r="DS137" s="5693"/>
      <c r="DT137" s="5693"/>
      <c r="DU137" s="5693"/>
      <c r="DV137" s="5693"/>
      <c r="DW137" s="5693"/>
      <c r="DX137" s="5693"/>
      <c r="DY137" s="5693"/>
      <c r="DZ137" s="5693"/>
      <c r="EA137" s="5693"/>
      <c r="EB137" s="5693"/>
      <c r="EC137" s="5693"/>
      <c r="ED137" s="5693"/>
      <c r="EE137" s="5693"/>
      <c r="EF137" s="5693"/>
      <c r="EG137" s="5693"/>
      <c r="EH137" s="5693"/>
      <c r="EI137" s="5693"/>
      <c r="EJ137" s="5693"/>
      <c r="EK137" s="5693"/>
      <c r="EL137" s="5693"/>
      <c r="EM137" s="5693"/>
      <c r="EN137" s="5693"/>
      <c r="EO137" s="5693"/>
      <c r="EP137" s="5693"/>
      <c r="EQ137" s="5693"/>
      <c r="ER137" s="5693"/>
      <c r="ES137" s="5693"/>
      <c r="ET137" s="5693"/>
      <c r="EU137" s="5693"/>
      <c r="EV137" s="5693"/>
      <c r="EW137" s="5693"/>
      <c r="EX137" s="5693"/>
      <c r="EY137" s="5693"/>
      <c r="EZ137" s="5693"/>
      <c r="FA137" s="5694"/>
    </row>
    <row r="138" spans="1:157" s="5682" customFormat="1" ht="15" customHeight="1">
      <c r="A138" s="16075"/>
      <c r="B138" s="16069"/>
      <c r="C138" s="16069"/>
      <c r="D138" s="16069"/>
      <c r="E138" s="16069"/>
      <c r="F138" s="16190"/>
      <c r="G138" s="16191"/>
      <c r="H138" s="16039"/>
      <c r="I138" s="16039"/>
      <c r="J138" s="16039"/>
      <c r="K138" s="16039"/>
      <c r="L138" s="16039"/>
      <c r="M138" s="16039"/>
      <c r="N138" s="16039"/>
      <c r="O138" s="16039"/>
      <c r="P138" s="16039"/>
      <c r="Q138" s="16039"/>
      <c r="R138" s="2764" t="s">
        <v>86</v>
      </c>
      <c r="S138" s="5683"/>
      <c r="T138" s="5684" t="s">
        <v>9568</v>
      </c>
      <c r="U138" s="5685"/>
      <c r="V138" s="16188"/>
      <c r="W138" s="5686"/>
      <c r="X138" s="5689"/>
      <c r="Y138" s="5689"/>
      <c r="Z138" s="5714"/>
      <c r="AA138" s="5711"/>
      <c r="AB138" s="5711"/>
      <c r="AC138" s="5688"/>
      <c r="AD138" s="5689"/>
      <c r="AE138" s="5689"/>
      <c r="AF138" s="5689"/>
      <c r="AG138" s="5689"/>
      <c r="AH138" s="5689"/>
      <c r="AI138" s="5689"/>
      <c r="AJ138" s="5689"/>
      <c r="AK138" s="5689"/>
      <c r="AL138" s="5689"/>
      <c r="AM138" s="5689"/>
      <c r="AN138" s="5689"/>
      <c r="AO138" s="5689"/>
      <c r="AP138" s="5689"/>
      <c r="AQ138" s="5689"/>
      <c r="AR138" s="5689"/>
      <c r="AS138" s="5689"/>
      <c r="AT138" s="5689"/>
      <c r="AU138" s="5689"/>
      <c r="AV138" s="5689"/>
      <c r="AW138" s="5689"/>
      <c r="AX138" s="5689"/>
      <c r="AY138" s="5689"/>
      <c r="AZ138" s="5689"/>
      <c r="BA138" s="5689"/>
      <c r="BB138" s="5689"/>
      <c r="BC138" s="5689"/>
      <c r="BD138" s="5686"/>
      <c r="BE138" s="5689"/>
      <c r="BF138" s="5689"/>
      <c r="BG138" s="5686"/>
      <c r="BH138" s="5686"/>
      <c r="BI138" s="5686"/>
      <c r="BJ138" s="5686"/>
      <c r="BK138" s="5686"/>
      <c r="BL138" s="5686"/>
      <c r="BM138" s="5686"/>
      <c r="BN138" s="5685">
        <v>1</v>
      </c>
      <c r="BO138" s="16188"/>
      <c r="BP138" s="5686" t="s">
        <v>9536</v>
      </c>
      <c r="BQ138" s="5689"/>
      <c r="BR138" s="5689"/>
      <c r="BS138" s="5715">
        <v>25240000</v>
      </c>
      <c r="BT138" s="5692">
        <v>0</v>
      </c>
      <c r="BU138" s="5692">
        <v>0</v>
      </c>
      <c r="BV138" s="5691">
        <v>0</v>
      </c>
      <c r="BW138" s="5692">
        <v>163</v>
      </c>
      <c r="BX138" s="5692">
        <v>72</v>
      </c>
      <c r="BY138" s="5692">
        <v>91</v>
      </c>
      <c r="BZ138" s="5692">
        <v>163</v>
      </c>
      <c r="CA138" s="5692">
        <v>0</v>
      </c>
      <c r="CB138" s="5692">
        <v>0</v>
      </c>
      <c r="CC138" s="5692">
        <v>0</v>
      </c>
      <c r="CD138" s="5692">
        <v>5</v>
      </c>
      <c r="CE138" s="5692">
        <v>124</v>
      </c>
      <c r="CF138" s="5692">
        <v>26</v>
      </c>
      <c r="CG138" s="5692">
        <v>8</v>
      </c>
      <c r="CH138" s="5692"/>
      <c r="CI138" s="5692">
        <v>157</v>
      </c>
      <c r="CJ138" s="5692"/>
      <c r="CK138" s="5692">
        <v>3</v>
      </c>
      <c r="CL138" s="5692">
        <v>1</v>
      </c>
      <c r="CM138" s="5692">
        <v>1</v>
      </c>
      <c r="CN138" s="5692">
        <v>1</v>
      </c>
      <c r="CO138" s="5692"/>
      <c r="CP138" s="5692"/>
      <c r="CQ138" s="5692">
        <v>163</v>
      </c>
      <c r="CR138" s="5692"/>
      <c r="CS138" s="5692"/>
      <c r="CT138" s="5692"/>
      <c r="CU138" s="5692"/>
      <c r="CV138" s="5692"/>
      <c r="CW138" s="5712" t="s">
        <v>9537</v>
      </c>
      <c r="CX138" s="5692"/>
      <c r="CY138" s="5692">
        <v>163</v>
      </c>
      <c r="CZ138" s="5712" t="s">
        <v>9538</v>
      </c>
      <c r="DA138" s="5712" t="s">
        <v>9538</v>
      </c>
      <c r="DB138" s="5712"/>
      <c r="DC138" s="5712"/>
      <c r="DD138" s="5712"/>
      <c r="DE138" s="5712"/>
      <c r="DF138" s="5712"/>
      <c r="DG138" s="5693"/>
      <c r="DH138" s="5693"/>
      <c r="DI138" s="5693"/>
      <c r="DJ138" s="5693"/>
      <c r="DK138" s="5693"/>
      <c r="DL138" s="5693"/>
      <c r="DM138" s="5693"/>
      <c r="DN138" s="5693"/>
      <c r="DO138" s="5693"/>
      <c r="DP138" s="5693"/>
      <c r="DQ138" s="5693"/>
      <c r="DR138" s="5693"/>
      <c r="DS138" s="5693"/>
      <c r="DT138" s="5693"/>
      <c r="DU138" s="5693"/>
      <c r="DV138" s="5693"/>
      <c r="DW138" s="5693"/>
      <c r="DX138" s="5693"/>
      <c r="DY138" s="5693"/>
      <c r="DZ138" s="5693"/>
      <c r="EA138" s="5693"/>
      <c r="EB138" s="5693"/>
      <c r="EC138" s="5693"/>
      <c r="ED138" s="5693"/>
      <c r="EE138" s="5693"/>
      <c r="EF138" s="5693"/>
      <c r="EG138" s="5693"/>
      <c r="EH138" s="5693"/>
      <c r="EI138" s="5693"/>
      <c r="EJ138" s="5693"/>
      <c r="EK138" s="5693"/>
      <c r="EL138" s="5693"/>
      <c r="EM138" s="5693"/>
      <c r="EN138" s="5693"/>
      <c r="EO138" s="5693"/>
      <c r="EP138" s="5693"/>
      <c r="EQ138" s="5693"/>
      <c r="ER138" s="5693"/>
      <c r="ES138" s="5693"/>
      <c r="ET138" s="5693"/>
      <c r="EU138" s="5693"/>
      <c r="EV138" s="5693"/>
      <c r="EW138" s="5693"/>
      <c r="EX138" s="5693"/>
      <c r="EY138" s="5693"/>
      <c r="EZ138" s="5693"/>
      <c r="FA138" s="5694"/>
    </row>
    <row r="139" spans="1:157" s="5682" customFormat="1" ht="15" customHeight="1" thickBot="1">
      <c r="A139" s="16076"/>
      <c r="B139" s="16070"/>
      <c r="C139" s="5716" t="s">
        <v>8104</v>
      </c>
      <c r="D139" s="5716" t="s">
        <v>1203</v>
      </c>
      <c r="E139" s="5716" t="s">
        <v>1204</v>
      </c>
      <c r="F139" s="5717" t="s">
        <v>1073</v>
      </c>
      <c r="G139" s="5718">
        <v>0</v>
      </c>
      <c r="H139" s="5719">
        <v>5</v>
      </c>
      <c r="I139" s="5719">
        <v>5</v>
      </c>
      <c r="J139" s="5719">
        <v>5</v>
      </c>
      <c r="K139" s="5719">
        <v>5</v>
      </c>
      <c r="L139" s="5719">
        <v>8</v>
      </c>
      <c r="M139" s="5719">
        <v>8</v>
      </c>
      <c r="N139" s="5719">
        <v>8</v>
      </c>
      <c r="O139" s="5719">
        <v>8</v>
      </c>
      <c r="P139" s="5719">
        <v>8</v>
      </c>
      <c r="Q139" s="5719">
        <v>8</v>
      </c>
      <c r="R139" s="5720" t="s">
        <v>10072</v>
      </c>
      <c r="S139" s="5721" t="s">
        <v>968</v>
      </c>
      <c r="T139" s="5722"/>
      <c r="U139" s="5723"/>
      <c r="V139" s="16189"/>
      <c r="W139" s="5719"/>
      <c r="X139" s="5724"/>
      <c r="Y139" s="5719"/>
      <c r="Z139" s="5725"/>
      <c r="AA139" s="5725"/>
      <c r="AB139" s="5725"/>
      <c r="AC139" s="5726"/>
      <c r="AD139" s="5727"/>
      <c r="AE139" s="5727"/>
      <c r="AF139" s="5727"/>
      <c r="AG139" s="5727"/>
      <c r="AH139" s="5727"/>
      <c r="AI139" s="5727"/>
      <c r="AJ139" s="5727"/>
      <c r="AK139" s="5727"/>
      <c r="AL139" s="5727"/>
      <c r="AM139" s="5727"/>
      <c r="AN139" s="5727"/>
      <c r="AO139" s="5727"/>
      <c r="AP139" s="5727"/>
      <c r="AQ139" s="5727"/>
      <c r="AR139" s="5727"/>
      <c r="AS139" s="5727"/>
      <c r="AT139" s="5727"/>
      <c r="AU139" s="5727"/>
      <c r="AV139" s="5727"/>
      <c r="AW139" s="5727"/>
      <c r="AX139" s="5727"/>
      <c r="AY139" s="5727"/>
      <c r="AZ139" s="5727"/>
      <c r="BA139" s="5727"/>
      <c r="BB139" s="5727"/>
      <c r="BC139" s="5727"/>
      <c r="BD139" s="5727"/>
      <c r="BE139" s="5727"/>
      <c r="BF139" s="5727"/>
      <c r="BG139" s="5727"/>
      <c r="BH139" s="5727"/>
      <c r="BI139" s="5727"/>
      <c r="BJ139" s="5727"/>
      <c r="BK139" s="5727"/>
      <c r="BL139" s="5727"/>
      <c r="BM139" s="5727"/>
      <c r="BN139" s="5723">
        <v>0</v>
      </c>
      <c r="BO139" s="16189"/>
      <c r="BP139" s="5719"/>
      <c r="BQ139" s="5724" t="s">
        <v>2951</v>
      </c>
      <c r="BR139" s="5719"/>
      <c r="BS139" s="5728">
        <v>0</v>
      </c>
      <c r="BT139" s="5728">
        <v>0</v>
      </c>
      <c r="BU139" s="5728">
        <v>0</v>
      </c>
      <c r="BV139" s="5729">
        <v>0</v>
      </c>
      <c r="BW139" s="5728"/>
      <c r="BX139" s="5728"/>
      <c r="BY139" s="5728"/>
      <c r="BZ139" s="5728"/>
      <c r="CA139" s="5728"/>
      <c r="CB139" s="5728"/>
      <c r="CC139" s="5728"/>
      <c r="CD139" s="5728"/>
      <c r="CE139" s="5728"/>
      <c r="CF139" s="5728"/>
      <c r="CG139" s="5728"/>
      <c r="CH139" s="5728"/>
      <c r="CI139" s="5728"/>
      <c r="CJ139" s="5728"/>
      <c r="CK139" s="5728"/>
      <c r="CL139" s="5728"/>
      <c r="CM139" s="5728"/>
      <c r="CN139" s="5728"/>
      <c r="CO139" s="5728"/>
      <c r="CP139" s="5728"/>
      <c r="CQ139" s="5728"/>
      <c r="CR139" s="5728"/>
      <c r="CS139" s="5728"/>
      <c r="CT139" s="5728"/>
      <c r="CU139" s="5728"/>
      <c r="CV139" s="5728"/>
      <c r="CW139" s="5728"/>
      <c r="CX139" s="5728"/>
      <c r="CY139" s="5728"/>
      <c r="CZ139" s="5728"/>
      <c r="DA139" s="5728"/>
      <c r="DB139" s="5728"/>
      <c r="DC139" s="5728"/>
      <c r="DD139" s="5728"/>
      <c r="DE139" s="5728"/>
      <c r="DF139" s="5728"/>
      <c r="DG139" s="5730"/>
      <c r="DH139" s="5730"/>
      <c r="DI139" s="5730"/>
      <c r="DJ139" s="5730"/>
      <c r="DK139" s="5730"/>
      <c r="DL139" s="5730"/>
      <c r="DM139" s="5730"/>
      <c r="DN139" s="5730"/>
      <c r="DO139" s="5730"/>
      <c r="DP139" s="5730"/>
      <c r="DQ139" s="5730"/>
      <c r="DR139" s="5730"/>
      <c r="DS139" s="5730"/>
      <c r="DT139" s="5730"/>
      <c r="DU139" s="5730"/>
      <c r="DV139" s="5730"/>
      <c r="DW139" s="5730"/>
      <c r="DX139" s="5730"/>
      <c r="DY139" s="5730"/>
      <c r="DZ139" s="5730"/>
      <c r="EA139" s="5730"/>
      <c r="EB139" s="5730"/>
      <c r="EC139" s="5730"/>
      <c r="ED139" s="5730"/>
      <c r="EE139" s="5730"/>
      <c r="EF139" s="5730"/>
      <c r="EG139" s="5730"/>
      <c r="EH139" s="5730"/>
      <c r="EI139" s="5730"/>
      <c r="EJ139" s="5730"/>
      <c r="EK139" s="5730"/>
      <c r="EL139" s="5730"/>
      <c r="EM139" s="5730"/>
      <c r="EN139" s="5730"/>
      <c r="EO139" s="5730"/>
      <c r="EP139" s="5730"/>
      <c r="EQ139" s="5730"/>
      <c r="ER139" s="5730"/>
      <c r="ES139" s="5730"/>
      <c r="ET139" s="5730"/>
      <c r="EU139" s="5730"/>
      <c r="EV139" s="5730"/>
      <c r="EW139" s="5730"/>
      <c r="EX139" s="5730"/>
      <c r="EY139" s="5730"/>
      <c r="EZ139" s="5730"/>
      <c r="FA139" s="5731"/>
    </row>
    <row r="140" spans="1:157" s="2014" customFormat="1" ht="15" customHeight="1">
      <c r="A140" s="16057" t="s">
        <v>10263</v>
      </c>
      <c r="B140" s="16072"/>
      <c r="C140" s="5113" t="s">
        <v>8105</v>
      </c>
      <c r="D140" s="2017" t="s">
        <v>1205</v>
      </c>
      <c r="E140" s="5113"/>
      <c r="F140" s="5113"/>
      <c r="G140" s="5415"/>
      <c r="H140" s="5109"/>
      <c r="I140" s="5109"/>
      <c r="J140" s="5109"/>
      <c r="K140" s="5109"/>
      <c r="L140" s="5109"/>
      <c r="M140" s="5109"/>
      <c r="N140" s="5109"/>
      <c r="O140" s="5109"/>
      <c r="P140" s="5109"/>
      <c r="Q140" s="5109"/>
      <c r="R140" s="5434" t="s">
        <v>10072</v>
      </c>
      <c r="S140" s="5416"/>
      <c r="T140" s="5137"/>
      <c r="U140" s="5127"/>
      <c r="V140" s="16199"/>
      <c r="W140" s="5109"/>
      <c r="X140" s="5137"/>
      <c r="Y140" s="5109"/>
      <c r="Z140" s="5417"/>
      <c r="AA140" s="5417"/>
      <c r="AB140" s="5417"/>
      <c r="AC140" s="5418"/>
      <c r="AD140" s="5109"/>
      <c r="AE140" s="5109"/>
      <c r="AF140" s="5109"/>
      <c r="AG140" s="5109"/>
      <c r="AH140" s="5109"/>
      <c r="AI140" s="5109"/>
      <c r="AJ140" s="5109"/>
      <c r="AK140" s="5109"/>
      <c r="AL140" s="5109"/>
      <c r="AM140" s="5109"/>
      <c r="AN140" s="5109"/>
      <c r="AO140" s="5109"/>
      <c r="AP140" s="5109"/>
      <c r="AQ140" s="5109"/>
      <c r="AR140" s="5109"/>
      <c r="AS140" s="5109"/>
      <c r="AT140" s="5109"/>
      <c r="AU140" s="5109"/>
      <c r="AV140" s="5109"/>
      <c r="AW140" s="5109"/>
      <c r="AX140" s="5109"/>
      <c r="AY140" s="5109"/>
      <c r="AZ140" s="5109"/>
      <c r="BA140" s="5109"/>
      <c r="BB140" s="5109"/>
      <c r="BC140" s="5109"/>
      <c r="BD140" s="5109"/>
      <c r="BE140" s="5109"/>
      <c r="BF140" s="5109"/>
      <c r="BG140" s="5109"/>
      <c r="BH140" s="5109"/>
      <c r="BI140" s="5109"/>
      <c r="BJ140" s="5109"/>
      <c r="BK140" s="5109"/>
      <c r="BL140" s="5109"/>
      <c r="BM140" s="5109"/>
      <c r="BN140" s="5127">
        <v>1</v>
      </c>
      <c r="BO140" s="16199">
        <f>AVERAGE(BN140:BN161)</f>
        <v>0.51111111111111107</v>
      </c>
      <c r="BP140" s="5109" t="s">
        <v>9539</v>
      </c>
      <c r="BQ140" s="5137" t="s">
        <v>9451</v>
      </c>
      <c r="BR140" s="5109" t="s">
        <v>9540</v>
      </c>
      <c r="BS140" s="5419">
        <v>380859994.193766</v>
      </c>
      <c r="BT140" s="5419">
        <f>+BS140*70%</f>
        <v>266601995.93563619</v>
      </c>
      <c r="BU140" s="5419">
        <f>+BS140*30%</f>
        <v>114257998.25812979</v>
      </c>
      <c r="BV140" s="5420">
        <v>0</v>
      </c>
      <c r="BW140" s="5421"/>
      <c r="BX140" s="5421"/>
      <c r="BY140" s="5421"/>
      <c r="BZ140" s="5421"/>
      <c r="CA140" s="5421"/>
      <c r="CB140" s="5421"/>
      <c r="CC140" s="5421"/>
      <c r="CD140" s="5421"/>
      <c r="CE140" s="5421"/>
      <c r="CF140" s="5421"/>
      <c r="CG140" s="5421"/>
      <c r="CH140" s="5421"/>
      <c r="CI140" s="5421"/>
      <c r="CJ140" s="5421"/>
      <c r="CK140" s="5421"/>
      <c r="CL140" s="5421"/>
      <c r="CM140" s="5421"/>
      <c r="CN140" s="5421"/>
      <c r="CO140" s="5421"/>
      <c r="CP140" s="5421"/>
      <c r="CQ140" s="5421"/>
      <c r="CR140" s="5421"/>
      <c r="CS140" s="5421"/>
      <c r="CT140" s="5421"/>
      <c r="CU140" s="5421"/>
      <c r="CV140" s="5421"/>
      <c r="CW140" s="5421"/>
      <c r="CX140" s="5421"/>
      <c r="CY140" s="5421"/>
      <c r="CZ140" s="5421"/>
      <c r="DA140" s="5421"/>
      <c r="DB140" s="5421"/>
      <c r="DC140" s="5421"/>
      <c r="DD140" s="5421"/>
      <c r="DE140" s="5421"/>
      <c r="DF140" s="5421"/>
      <c r="DG140" s="5473"/>
      <c r="DH140" s="5473"/>
      <c r="DI140" s="5473"/>
      <c r="DJ140" s="5473"/>
      <c r="DK140" s="5473"/>
      <c r="DL140" s="5473"/>
      <c r="DM140" s="5473"/>
      <c r="DN140" s="5473"/>
      <c r="DO140" s="5473"/>
      <c r="DP140" s="5473"/>
      <c r="DQ140" s="5473"/>
      <c r="DR140" s="5473"/>
      <c r="DS140" s="5473"/>
      <c r="DT140" s="5473"/>
      <c r="DU140" s="5473"/>
      <c r="DV140" s="5473"/>
      <c r="DW140" s="5473"/>
      <c r="DX140" s="5473"/>
      <c r="DY140" s="5473"/>
      <c r="DZ140" s="5473"/>
      <c r="EA140" s="5473"/>
      <c r="EB140" s="5473"/>
      <c r="EC140" s="5473"/>
      <c r="ED140" s="5473"/>
      <c r="EE140" s="5473"/>
      <c r="EF140" s="5473"/>
      <c r="EG140" s="5473"/>
      <c r="EH140" s="5473"/>
      <c r="EI140" s="5473"/>
      <c r="EJ140" s="5473"/>
      <c r="EK140" s="5473"/>
      <c r="EL140" s="5473"/>
      <c r="EM140" s="5473"/>
      <c r="EN140" s="5473"/>
      <c r="EO140" s="5473"/>
      <c r="EP140" s="5473"/>
      <c r="EQ140" s="5473"/>
      <c r="ER140" s="5473"/>
      <c r="ES140" s="5473"/>
      <c r="ET140" s="5473"/>
      <c r="EU140" s="5473"/>
      <c r="EV140" s="5473"/>
      <c r="EW140" s="5473"/>
      <c r="EX140" s="5473"/>
      <c r="EY140" s="5473"/>
      <c r="EZ140" s="5473"/>
      <c r="FA140" s="5474"/>
    </row>
    <row r="141" spans="1:157" s="2014" customFormat="1" ht="15" customHeight="1">
      <c r="A141" s="16058"/>
      <c r="B141" s="16073"/>
      <c r="C141" s="5184" t="s">
        <v>8106</v>
      </c>
      <c r="D141" s="5184" t="s">
        <v>1206</v>
      </c>
      <c r="E141" s="5184" t="s">
        <v>1189</v>
      </c>
      <c r="F141" s="5184" t="s">
        <v>958</v>
      </c>
      <c r="G141" s="5382">
        <v>0.71</v>
      </c>
      <c r="H141" s="2744">
        <v>3</v>
      </c>
      <c r="I141" s="2744">
        <v>5</v>
      </c>
      <c r="J141" s="2744">
        <v>5</v>
      </c>
      <c r="K141" s="2744">
        <v>5</v>
      </c>
      <c r="L141" s="2744">
        <v>7</v>
      </c>
      <c r="M141" s="2744">
        <v>7</v>
      </c>
      <c r="N141" s="2744">
        <v>7</v>
      </c>
      <c r="O141" s="2744">
        <v>7</v>
      </c>
      <c r="P141" s="2744">
        <v>7</v>
      </c>
      <c r="Q141" s="2744">
        <v>7</v>
      </c>
      <c r="R141" s="5427" t="s">
        <v>10072</v>
      </c>
      <c r="S141" s="5291" t="s">
        <v>1164</v>
      </c>
      <c r="T141" s="5187"/>
      <c r="U141" s="5308"/>
      <c r="V141" s="16200"/>
      <c r="W141" s="2744"/>
      <c r="X141" s="5385"/>
      <c r="Y141" s="2744"/>
      <c r="Z141" s="5386"/>
      <c r="AA141" s="5386"/>
      <c r="AB141" s="5386"/>
      <c r="AC141" s="5307"/>
      <c r="AD141" s="2744"/>
      <c r="AE141" s="2744"/>
      <c r="AF141" s="2744"/>
      <c r="AG141" s="2744"/>
      <c r="AH141" s="2744"/>
      <c r="AI141" s="2744"/>
      <c r="AJ141" s="2744"/>
      <c r="AK141" s="2744"/>
      <c r="AL141" s="2744"/>
      <c r="AM141" s="2744"/>
      <c r="AN141" s="2744"/>
      <c r="AO141" s="2744"/>
      <c r="AP141" s="2744"/>
      <c r="AQ141" s="2744"/>
      <c r="AR141" s="2744"/>
      <c r="AS141" s="2744"/>
      <c r="AT141" s="2744"/>
      <c r="AU141" s="2744"/>
      <c r="AV141" s="2744"/>
      <c r="AW141" s="2744"/>
      <c r="AX141" s="2744"/>
      <c r="AY141" s="2744"/>
      <c r="AZ141" s="2744"/>
      <c r="BA141" s="2744"/>
      <c r="BB141" s="2744"/>
      <c r="BC141" s="2744"/>
      <c r="BD141" s="2744"/>
      <c r="BE141" s="2744"/>
      <c r="BF141" s="2744"/>
      <c r="BG141" s="2744"/>
      <c r="BH141" s="2744"/>
      <c r="BI141" s="2744"/>
      <c r="BJ141" s="2744"/>
      <c r="BK141" s="2744"/>
      <c r="BL141" s="2744"/>
      <c r="BM141" s="2744"/>
      <c r="BN141" s="5308">
        <v>0</v>
      </c>
      <c r="BO141" s="16200"/>
      <c r="BP141" s="2744" t="s">
        <v>9530</v>
      </c>
      <c r="BQ141" s="5385" t="s">
        <v>2951</v>
      </c>
      <c r="BR141" s="2744"/>
      <c r="BS141" s="5309">
        <v>0</v>
      </c>
      <c r="BT141" s="5309">
        <v>0</v>
      </c>
      <c r="BU141" s="5309">
        <v>0</v>
      </c>
      <c r="BV141" s="5293">
        <v>0</v>
      </c>
      <c r="BW141" s="5309"/>
      <c r="BX141" s="5309"/>
      <c r="BY141" s="5309"/>
      <c r="BZ141" s="5309"/>
      <c r="CA141" s="5309"/>
      <c r="CB141" s="5309"/>
      <c r="CC141" s="5309"/>
      <c r="CD141" s="5309"/>
      <c r="CE141" s="5309"/>
      <c r="CF141" s="5309"/>
      <c r="CG141" s="5309"/>
      <c r="CH141" s="5309"/>
      <c r="CI141" s="5309"/>
      <c r="CJ141" s="5309"/>
      <c r="CK141" s="5309"/>
      <c r="CL141" s="5309"/>
      <c r="CM141" s="5309"/>
      <c r="CN141" s="5309"/>
      <c r="CO141" s="5309"/>
      <c r="CP141" s="5309"/>
      <c r="CQ141" s="5309"/>
      <c r="CR141" s="5309"/>
      <c r="CS141" s="5309"/>
      <c r="CT141" s="5309"/>
      <c r="CU141" s="5309"/>
      <c r="CV141" s="5309"/>
      <c r="CW141" s="5309"/>
      <c r="CX141" s="5309"/>
      <c r="CY141" s="5309"/>
      <c r="CZ141" s="5309"/>
      <c r="DA141" s="5309"/>
      <c r="DB141" s="5309"/>
      <c r="DC141" s="5309"/>
      <c r="DD141" s="5309"/>
      <c r="DE141" s="5309"/>
      <c r="DF141" s="5309"/>
      <c r="DG141" s="5453"/>
      <c r="DH141" s="5453"/>
      <c r="DI141" s="5453"/>
      <c r="DJ141" s="5453"/>
      <c r="DK141" s="5453"/>
      <c r="DL141" s="5453"/>
      <c r="DM141" s="5453"/>
      <c r="DN141" s="5453"/>
      <c r="DO141" s="5453"/>
      <c r="DP141" s="5453"/>
      <c r="DQ141" s="5453"/>
      <c r="DR141" s="5453"/>
      <c r="DS141" s="5453"/>
      <c r="DT141" s="5453"/>
      <c r="DU141" s="5453"/>
      <c r="DV141" s="5453"/>
      <c r="DW141" s="5453"/>
      <c r="DX141" s="5453"/>
      <c r="DY141" s="5453"/>
      <c r="DZ141" s="5453"/>
      <c r="EA141" s="5453"/>
      <c r="EB141" s="5453"/>
      <c r="EC141" s="5453"/>
      <c r="ED141" s="5453"/>
      <c r="EE141" s="5453"/>
      <c r="EF141" s="5453"/>
      <c r="EG141" s="5453"/>
      <c r="EH141" s="5453"/>
      <c r="EI141" s="5453"/>
      <c r="EJ141" s="5453"/>
      <c r="EK141" s="5453"/>
      <c r="EL141" s="5453"/>
      <c r="EM141" s="5453"/>
      <c r="EN141" s="5453"/>
      <c r="EO141" s="5453"/>
      <c r="EP141" s="5453"/>
      <c r="EQ141" s="5453"/>
      <c r="ER141" s="5453"/>
      <c r="ES141" s="5453"/>
      <c r="ET141" s="5453"/>
      <c r="EU141" s="5453"/>
      <c r="EV141" s="5453"/>
      <c r="EW141" s="5453"/>
      <c r="EX141" s="5453"/>
      <c r="EY141" s="5453"/>
      <c r="EZ141" s="5453"/>
      <c r="FA141" s="5464"/>
    </row>
    <row r="142" spans="1:157" s="2014" customFormat="1" ht="15" customHeight="1">
      <c r="A142" s="16058"/>
      <c r="B142" s="16073"/>
      <c r="C142" s="16073" t="s">
        <v>8107</v>
      </c>
      <c r="D142" s="16073" t="s">
        <v>1207</v>
      </c>
      <c r="E142" s="16073" t="s">
        <v>1208</v>
      </c>
      <c r="F142" s="16073" t="s">
        <v>1073</v>
      </c>
      <c r="G142" s="16195">
        <v>1</v>
      </c>
      <c r="H142" s="16035">
        <v>0.5</v>
      </c>
      <c r="I142" s="16035">
        <v>0.5</v>
      </c>
      <c r="J142" s="16035">
        <v>0.5</v>
      </c>
      <c r="K142" s="16035">
        <v>0.5</v>
      </c>
      <c r="L142" s="16035">
        <v>0.75</v>
      </c>
      <c r="M142" s="16035">
        <v>0.75</v>
      </c>
      <c r="N142" s="16035">
        <v>0.75</v>
      </c>
      <c r="O142" s="16035">
        <v>0.75</v>
      </c>
      <c r="P142" s="16035">
        <v>0.75</v>
      </c>
      <c r="Q142" s="16035">
        <v>0.75</v>
      </c>
      <c r="R142" s="5447" t="s">
        <v>10072</v>
      </c>
      <c r="S142" s="5186" t="s">
        <v>1164</v>
      </c>
      <c r="T142" s="5187"/>
      <c r="U142" s="16198"/>
      <c r="V142" s="16200"/>
      <c r="W142" s="5388"/>
      <c r="X142" s="2744"/>
      <c r="Y142" s="5388"/>
      <c r="Z142" s="5386"/>
      <c r="AA142" s="5386"/>
      <c r="AB142" s="5386"/>
      <c r="AC142" s="5307"/>
      <c r="AD142" s="2744"/>
      <c r="AE142" s="2744"/>
      <c r="AF142" s="2744"/>
      <c r="AG142" s="2744"/>
      <c r="AH142" s="2744"/>
      <c r="AI142" s="2744"/>
      <c r="AJ142" s="2744"/>
      <c r="AK142" s="2744"/>
      <c r="AL142" s="2744"/>
      <c r="AM142" s="2744"/>
      <c r="AN142" s="2744"/>
      <c r="AO142" s="2744"/>
      <c r="AP142" s="2744"/>
      <c r="AQ142" s="2744"/>
      <c r="AR142" s="2744"/>
      <c r="AS142" s="2744"/>
      <c r="AT142" s="2744"/>
      <c r="AU142" s="2744"/>
      <c r="AV142" s="2744"/>
      <c r="AW142" s="2744"/>
      <c r="AX142" s="2744"/>
      <c r="AY142" s="2744"/>
      <c r="AZ142" s="2744"/>
      <c r="BA142" s="2744"/>
      <c r="BB142" s="2744"/>
      <c r="BC142" s="2744"/>
      <c r="BD142" s="2744"/>
      <c r="BE142" s="2744"/>
      <c r="BF142" s="2744"/>
      <c r="BG142" s="2744"/>
      <c r="BH142" s="2744"/>
      <c r="BI142" s="2744"/>
      <c r="BJ142" s="2744"/>
      <c r="BK142" s="2744"/>
      <c r="BL142" s="2744"/>
      <c r="BM142" s="2744"/>
      <c r="BN142" s="16198" t="s">
        <v>9800</v>
      </c>
      <c r="BO142" s="16200"/>
      <c r="BP142" s="5388" t="s">
        <v>9541</v>
      </c>
      <c r="BQ142" s="2744"/>
      <c r="BR142" s="5388"/>
      <c r="BS142" s="5309">
        <v>0</v>
      </c>
      <c r="BT142" s="5309">
        <v>0</v>
      </c>
      <c r="BU142" s="5309">
        <v>0</v>
      </c>
      <c r="BV142" s="5293">
        <v>0</v>
      </c>
      <c r="BW142" s="5309"/>
      <c r="BX142" s="5309"/>
      <c r="BY142" s="5309"/>
      <c r="BZ142" s="5309"/>
      <c r="CA142" s="5309"/>
      <c r="CB142" s="5309"/>
      <c r="CC142" s="5309"/>
      <c r="CD142" s="5309"/>
      <c r="CE142" s="5309"/>
      <c r="CF142" s="5309"/>
      <c r="CG142" s="5309"/>
      <c r="CH142" s="5309"/>
      <c r="CI142" s="5309"/>
      <c r="CJ142" s="5309"/>
      <c r="CK142" s="5309"/>
      <c r="CL142" s="5309"/>
      <c r="CM142" s="5309"/>
      <c r="CN142" s="5309"/>
      <c r="CO142" s="5309"/>
      <c r="CP142" s="5309"/>
      <c r="CQ142" s="5309"/>
      <c r="CR142" s="5309"/>
      <c r="CS142" s="5309"/>
      <c r="CT142" s="5309"/>
      <c r="CU142" s="5309"/>
      <c r="CV142" s="5309"/>
      <c r="CW142" s="5309"/>
      <c r="CX142" s="5309"/>
      <c r="CY142" s="5309"/>
      <c r="CZ142" s="5309"/>
      <c r="DA142" s="5309"/>
      <c r="DB142" s="5309"/>
      <c r="DC142" s="5309"/>
      <c r="DD142" s="5309"/>
      <c r="DE142" s="5309"/>
      <c r="DF142" s="5309"/>
      <c r="DG142" s="5453"/>
      <c r="DH142" s="5453"/>
      <c r="DI142" s="5453"/>
      <c r="DJ142" s="5453"/>
      <c r="DK142" s="5453"/>
      <c r="DL142" s="5453"/>
      <c r="DM142" s="5453"/>
      <c r="DN142" s="5453"/>
      <c r="DO142" s="5453"/>
      <c r="DP142" s="5453"/>
      <c r="DQ142" s="5453"/>
      <c r="DR142" s="5453"/>
      <c r="DS142" s="5453"/>
      <c r="DT142" s="5453"/>
      <c r="DU142" s="5453"/>
      <c r="DV142" s="5453"/>
      <c r="DW142" s="5453"/>
      <c r="DX142" s="5453"/>
      <c r="DY142" s="5453"/>
      <c r="DZ142" s="5453"/>
      <c r="EA142" s="5453"/>
      <c r="EB142" s="5453"/>
      <c r="EC142" s="5453"/>
      <c r="ED142" s="5453"/>
      <c r="EE142" s="5453"/>
      <c r="EF142" s="5453"/>
      <c r="EG142" s="5453"/>
      <c r="EH142" s="5453"/>
      <c r="EI142" s="5453"/>
      <c r="EJ142" s="5453"/>
      <c r="EK142" s="5453"/>
      <c r="EL142" s="5453"/>
      <c r="EM142" s="5453"/>
      <c r="EN142" s="5453"/>
      <c r="EO142" s="5453"/>
      <c r="EP142" s="5453"/>
      <c r="EQ142" s="5453"/>
      <c r="ER142" s="5453"/>
      <c r="ES142" s="5453"/>
      <c r="ET142" s="5453"/>
      <c r="EU142" s="5453"/>
      <c r="EV142" s="5453"/>
      <c r="EW142" s="5453"/>
      <c r="EX142" s="5453"/>
      <c r="EY142" s="5453"/>
      <c r="EZ142" s="5453"/>
      <c r="FA142" s="5464"/>
    </row>
    <row r="143" spans="1:157" s="2014" customFormat="1" ht="15" customHeight="1">
      <c r="A143" s="16058"/>
      <c r="B143" s="16073"/>
      <c r="C143" s="16073"/>
      <c r="D143" s="16073"/>
      <c r="E143" s="16073"/>
      <c r="F143" s="16073"/>
      <c r="G143" s="16195"/>
      <c r="H143" s="16035"/>
      <c r="I143" s="16035"/>
      <c r="J143" s="16035"/>
      <c r="K143" s="16035"/>
      <c r="L143" s="16035"/>
      <c r="M143" s="16035"/>
      <c r="N143" s="16035"/>
      <c r="O143" s="16035"/>
      <c r="P143" s="16035"/>
      <c r="Q143" s="16035"/>
      <c r="R143" s="5447" t="s">
        <v>10063</v>
      </c>
      <c r="S143" s="5186"/>
      <c r="T143" s="5187" t="s">
        <v>9569</v>
      </c>
      <c r="U143" s="16198"/>
      <c r="V143" s="16200"/>
      <c r="W143" s="5106"/>
      <c r="X143" s="2744"/>
      <c r="Y143" s="5388"/>
      <c r="Z143" s="5386"/>
      <c r="AA143" s="5386"/>
      <c r="AB143" s="5386"/>
      <c r="AC143" s="5307"/>
      <c r="AD143" s="2744"/>
      <c r="AE143" s="2744"/>
      <c r="AF143" s="2744"/>
      <c r="AG143" s="2744"/>
      <c r="AH143" s="2744"/>
      <c r="AI143" s="2744"/>
      <c r="AJ143" s="2744"/>
      <c r="AK143" s="2744"/>
      <c r="AL143" s="2744"/>
      <c r="AM143" s="2744"/>
      <c r="AN143" s="2744"/>
      <c r="AO143" s="2744"/>
      <c r="AP143" s="2744"/>
      <c r="AQ143" s="2744"/>
      <c r="AR143" s="2744"/>
      <c r="AS143" s="2744"/>
      <c r="AT143" s="2744"/>
      <c r="AU143" s="2744"/>
      <c r="AV143" s="2744"/>
      <c r="AW143" s="2744"/>
      <c r="AX143" s="2744"/>
      <c r="AY143" s="2744"/>
      <c r="AZ143" s="2744"/>
      <c r="BA143" s="2744"/>
      <c r="BB143" s="2744"/>
      <c r="BC143" s="2744"/>
      <c r="BD143" s="2744"/>
      <c r="BE143" s="2744"/>
      <c r="BF143" s="2744"/>
      <c r="BG143" s="2744"/>
      <c r="BH143" s="2744"/>
      <c r="BI143" s="2744"/>
      <c r="BJ143" s="2744"/>
      <c r="BK143" s="2744"/>
      <c r="BL143" s="2744"/>
      <c r="BM143" s="2744"/>
      <c r="BN143" s="16198"/>
      <c r="BO143" s="16200"/>
      <c r="BP143" s="5106"/>
      <c r="BQ143" s="2744"/>
      <c r="BR143" s="5388"/>
      <c r="BS143" s="5309">
        <v>0</v>
      </c>
      <c r="BT143" s="5309">
        <v>0</v>
      </c>
      <c r="BU143" s="5309">
        <v>0</v>
      </c>
      <c r="BV143" s="5293">
        <v>0</v>
      </c>
      <c r="BW143" s="5309"/>
      <c r="BX143" s="5309"/>
      <c r="BY143" s="5309"/>
      <c r="BZ143" s="5309"/>
      <c r="CA143" s="5309"/>
      <c r="CB143" s="5309"/>
      <c r="CC143" s="5309"/>
      <c r="CD143" s="5309"/>
      <c r="CE143" s="5309"/>
      <c r="CF143" s="5309"/>
      <c r="CG143" s="5309"/>
      <c r="CH143" s="5309"/>
      <c r="CI143" s="5309"/>
      <c r="CJ143" s="5309"/>
      <c r="CK143" s="5309"/>
      <c r="CL143" s="5309"/>
      <c r="CM143" s="5309"/>
      <c r="CN143" s="5309"/>
      <c r="CO143" s="5309"/>
      <c r="CP143" s="5309"/>
      <c r="CQ143" s="5309"/>
      <c r="CR143" s="5309"/>
      <c r="CS143" s="5309"/>
      <c r="CT143" s="5309"/>
      <c r="CU143" s="5309"/>
      <c r="CV143" s="5309"/>
      <c r="CW143" s="5309"/>
      <c r="CX143" s="5309"/>
      <c r="CY143" s="5309"/>
      <c r="CZ143" s="5309"/>
      <c r="DA143" s="5309"/>
      <c r="DB143" s="5309"/>
      <c r="DC143" s="5309"/>
      <c r="DD143" s="5309"/>
      <c r="DE143" s="5309"/>
      <c r="DF143" s="5309"/>
      <c r="DG143" s="5453"/>
      <c r="DH143" s="5453"/>
      <c r="DI143" s="5453"/>
      <c r="DJ143" s="5453"/>
      <c r="DK143" s="5453"/>
      <c r="DL143" s="5453"/>
      <c r="DM143" s="5453"/>
      <c r="DN143" s="5453"/>
      <c r="DO143" s="5453"/>
      <c r="DP143" s="5453"/>
      <c r="DQ143" s="5453"/>
      <c r="DR143" s="5453"/>
      <c r="DS143" s="5453"/>
      <c r="DT143" s="5453"/>
      <c r="DU143" s="5453"/>
      <c r="DV143" s="5453"/>
      <c r="DW143" s="5453"/>
      <c r="DX143" s="5453"/>
      <c r="DY143" s="5453"/>
      <c r="DZ143" s="5453"/>
      <c r="EA143" s="5453"/>
      <c r="EB143" s="5453"/>
      <c r="EC143" s="5453"/>
      <c r="ED143" s="5453"/>
      <c r="EE143" s="5453"/>
      <c r="EF143" s="5453"/>
      <c r="EG143" s="5453"/>
      <c r="EH143" s="5453"/>
      <c r="EI143" s="5453"/>
      <c r="EJ143" s="5453"/>
      <c r="EK143" s="5453"/>
      <c r="EL143" s="5453"/>
      <c r="EM143" s="5453"/>
      <c r="EN143" s="5453"/>
      <c r="EO143" s="5453"/>
      <c r="EP143" s="5453"/>
      <c r="EQ143" s="5453"/>
      <c r="ER143" s="5453"/>
      <c r="ES143" s="5453"/>
      <c r="ET143" s="5453"/>
      <c r="EU143" s="5453"/>
      <c r="EV143" s="5453"/>
      <c r="EW143" s="5453"/>
      <c r="EX143" s="5453"/>
      <c r="EY143" s="5453"/>
      <c r="EZ143" s="5453"/>
      <c r="FA143" s="5464"/>
    </row>
    <row r="144" spans="1:157" s="2014" customFormat="1" ht="15" customHeight="1">
      <c r="A144" s="16058"/>
      <c r="B144" s="16073"/>
      <c r="C144" s="16073"/>
      <c r="D144" s="16073"/>
      <c r="E144" s="16073"/>
      <c r="F144" s="16073"/>
      <c r="G144" s="16195"/>
      <c r="H144" s="16035"/>
      <c r="I144" s="16035"/>
      <c r="J144" s="16035"/>
      <c r="K144" s="16035"/>
      <c r="L144" s="16035"/>
      <c r="M144" s="16035"/>
      <c r="N144" s="16035"/>
      <c r="O144" s="16035"/>
      <c r="P144" s="16035"/>
      <c r="Q144" s="16035"/>
      <c r="R144" s="5447" t="s">
        <v>2896</v>
      </c>
      <c r="S144" s="5186"/>
      <c r="T144" s="5187" t="s">
        <v>1190</v>
      </c>
      <c r="U144" s="16198"/>
      <c r="V144" s="16200"/>
      <c r="W144" s="5187"/>
      <c r="X144" s="5385"/>
      <c r="Y144" s="5388"/>
      <c r="Z144" s="5386"/>
      <c r="AA144" s="5386"/>
      <c r="AB144" s="5386"/>
      <c r="AC144" s="5307"/>
      <c r="AD144" s="2744"/>
      <c r="AE144" s="2744"/>
      <c r="AF144" s="2744"/>
      <c r="AG144" s="2744"/>
      <c r="AH144" s="2744"/>
      <c r="AI144" s="2744"/>
      <c r="AJ144" s="2744"/>
      <c r="AK144" s="2744"/>
      <c r="AL144" s="2744"/>
      <c r="AM144" s="2744"/>
      <c r="AN144" s="2744"/>
      <c r="AO144" s="2744"/>
      <c r="AP144" s="2744"/>
      <c r="AQ144" s="2744"/>
      <c r="AR144" s="2744"/>
      <c r="AS144" s="2744"/>
      <c r="AT144" s="2744"/>
      <c r="AU144" s="2744"/>
      <c r="AV144" s="2744"/>
      <c r="AW144" s="2744"/>
      <c r="AX144" s="2744"/>
      <c r="AY144" s="2744"/>
      <c r="AZ144" s="2744"/>
      <c r="BA144" s="2744"/>
      <c r="BB144" s="2744"/>
      <c r="BC144" s="2744"/>
      <c r="BD144" s="2744"/>
      <c r="BE144" s="2744"/>
      <c r="BF144" s="2744"/>
      <c r="BG144" s="2744"/>
      <c r="BH144" s="2744"/>
      <c r="BI144" s="2744"/>
      <c r="BJ144" s="2744"/>
      <c r="BK144" s="2744"/>
      <c r="BL144" s="2744"/>
      <c r="BM144" s="2744"/>
      <c r="BN144" s="16198"/>
      <c r="BO144" s="16200"/>
      <c r="BP144" s="5187" t="s">
        <v>9492</v>
      </c>
      <c r="BQ144" s="5385" t="s">
        <v>2951</v>
      </c>
      <c r="BR144" s="5388"/>
      <c r="BS144" s="5309">
        <v>0</v>
      </c>
      <c r="BT144" s="5309">
        <v>0</v>
      </c>
      <c r="BU144" s="5309">
        <v>0</v>
      </c>
      <c r="BV144" s="5293">
        <v>0</v>
      </c>
      <c r="BW144" s="5309"/>
      <c r="BX144" s="5309"/>
      <c r="BY144" s="5309"/>
      <c r="BZ144" s="5309"/>
      <c r="CA144" s="5309"/>
      <c r="CB144" s="5309"/>
      <c r="CC144" s="5309"/>
      <c r="CD144" s="5309"/>
      <c r="CE144" s="5309"/>
      <c r="CF144" s="5309"/>
      <c r="CG144" s="5309"/>
      <c r="CH144" s="5309"/>
      <c r="CI144" s="5309"/>
      <c r="CJ144" s="5309"/>
      <c r="CK144" s="5309"/>
      <c r="CL144" s="5309"/>
      <c r="CM144" s="5309"/>
      <c r="CN144" s="5309"/>
      <c r="CO144" s="5309"/>
      <c r="CP144" s="5309"/>
      <c r="CQ144" s="5309"/>
      <c r="CR144" s="5309"/>
      <c r="CS144" s="5309"/>
      <c r="CT144" s="5309"/>
      <c r="CU144" s="5309"/>
      <c r="CV144" s="5309"/>
      <c r="CW144" s="5309"/>
      <c r="CX144" s="5309"/>
      <c r="CY144" s="5309"/>
      <c r="CZ144" s="5309"/>
      <c r="DA144" s="5309"/>
      <c r="DB144" s="5309"/>
      <c r="DC144" s="5309"/>
      <c r="DD144" s="5309"/>
      <c r="DE144" s="5309"/>
      <c r="DF144" s="5309"/>
      <c r="DG144" s="5453"/>
      <c r="DH144" s="5453"/>
      <c r="DI144" s="5453"/>
      <c r="DJ144" s="5453"/>
      <c r="DK144" s="5453"/>
      <c r="DL144" s="5453"/>
      <c r="DM144" s="5453"/>
      <c r="DN144" s="5453"/>
      <c r="DO144" s="5453"/>
      <c r="DP144" s="5453"/>
      <c r="DQ144" s="5453"/>
      <c r="DR144" s="5453"/>
      <c r="DS144" s="5453"/>
      <c r="DT144" s="5453"/>
      <c r="DU144" s="5453"/>
      <c r="DV144" s="5453"/>
      <c r="DW144" s="5453"/>
      <c r="DX144" s="5453"/>
      <c r="DY144" s="5453"/>
      <c r="DZ144" s="5453"/>
      <c r="EA144" s="5453"/>
      <c r="EB144" s="5453"/>
      <c r="EC144" s="5453"/>
      <c r="ED144" s="5453"/>
      <c r="EE144" s="5453"/>
      <c r="EF144" s="5453"/>
      <c r="EG144" s="5453"/>
      <c r="EH144" s="5453"/>
      <c r="EI144" s="5453"/>
      <c r="EJ144" s="5453"/>
      <c r="EK144" s="5453"/>
      <c r="EL144" s="5453"/>
      <c r="EM144" s="5453"/>
      <c r="EN144" s="5453"/>
      <c r="EO144" s="5453"/>
      <c r="EP144" s="5453"/>
      <c r="EQ144" s="5453"/>
      <c r="ER144" s="5453"/>
      <c r="ES144" s="5453"/>
      <c r="ET144" s="5453"/>
      <c r="EU144" s="5453"/>
      <c r="EV144" s="5453"/>
      <c r="EW144" s="5453"/>
      <c r="EX144" s="5453"/>
      <c r="EY144" s="5453"/>
      <c r="EZ144" s="5453"/>
      <c r="FA144" s="5464"/>
    </row>
    <row r="145" spans="1:157" s="2014" customFormat="1" ht="15" customHeight="1">
      <c r="A145" s="16058"/>
      <c r="B145" s="16073"/>
      <c r="C145" s="16073"/>
      <c r="D145" s="16073"/>
      <c r="E145" s="16073"/>
      <c r="F145" s="16073"/>
      <c r="G145" s="16195"/>
      <c r="H145" s="16035"/>
      <c r="I145" s="16035"/>
      <c r="J145" s="16035"/>
      <c r="K145" s="16035"/>
      <c r="L145" s="16035"/>
      <c r="M145" s="16035"/>
      <c r="N145" s="16035"/>
      <c r="O145" s="16035"/>
      <c r="P145" s="16035"/>
      <c r="Q145" s="16035"/>
      <c r="R145" s="5447" t="s">
        <v>86</v>
      </c>
      <c r="S145" s="5186"/>
      <c r="T145" s="5187" t="s">
        <v>9568</v>
      </c>
      <c r="U145" s="16198"/>
      <c r="V145" s="16200"/>
      <c r="W145" s="2744"/>
      <c r="X145" s="2744"/>
      <c r="Y145" s="2744"/>
      <c r="Z145" s="5386"/>
      <c r="AA145" s="5386"/>
      <c r="AB145" s="5386"/>
      <c r="AC145" s="5307"/>
      <c r="AD145" s="2744"/>
      <c r="AE145" s="2744"/>
      <c r="AF145" s="2744"/>
      <c r="AG145" s="2744"/>
      <c r="AH145" s="2744"/>
      <c r="AI145" s="2744"/>
      <c r="AJ145" s="2744"/>
      <c r="AK145" s="2744"/>
      <c r="AL145" s="2744"/>
      <c r="AM145" s="2744"/>
      <c r="AN145" s="2744"/>
      <c r="AO145" s="2744"/>
      <c r="AP145" s="2744"/>
      <c r="AQ145" s="2744"/>
      <c r="AR145" s="2744"/>
      <c r="AS145" s="2744"/>
      <c r="AT145" s="2744"/>
      <c r="AU145" s="2744"/>
      <c r="AV145" s="2744"/>
      <c r="AW145" s="2744"/>
      <c r="AX145" s="2744"/>
      <c r="AY145" s="2744"/>
      <c r="AZ145" s="2744"/>
      <c r="BA145" s="2744"/>
      <c r="BB145" s="2744"/>
      <c r="BC145" s="2744"/>
      <c r="BD145" s="2744"/>
      <c r="BE145" s="2744"/>
      <c r="BF145" s="2744"/>
      <c r="BG145" s="2744"/>
      <c r="BH145" s="5184"/>
      <c r="BI145" s="2744"/>
      <c r="BJ145" s="2744"/>
      <c r="BK145" s="2744"/>
      <c r="BL145" s="2744"/>
      <c r="BM145" s="2744"/>
      <c r="BN145" s="16198"/>
      <c r="BO145" s="16200"/>
      <c r="BP145" s="2744" t="s">
        <v>9542</v>
      </c>
      <c r="BQ145" s="2744"/>
      <c r="BR145" s="2744"/>
      <c r="BS145" s="5309">
        <v>25240000</v>
      </c>
      <c r="BT145" s="5309">
        <v>0</v>
      </c>
      <c r="BU145" s="5309">
        <v>0</v>
      </c>
      <c r="BV145" s="5293">
        <v>0</v>
      </c>
      <c r="BW145" s="5309">
        <v>205</v>
      </c>
      <c r="BX145" s="5309">
        <v>131</v>
      </c>
      <c r="BY145" s="5309">
        <v>74</v>
      </c>
      <c r="BZ145" s="5309">
        <v>183</v>
      </c>
      <c r="CA145" s="5309">
        <v>223</v>
      </c>
      <c r="CB145" s="5309">
        <v>0</v>
      </c>
      <c r="CC145" s="5309">
        <v>0</v>
      </c>
      <c r="CD145" s="5309">
        <v>2</v>
      </c>
      <c r="CE145" s="5309">
        <v>43</v>
      </c>
      <c r="CF145" s="5309">
        <v>105</v>
      </c>
      <c r="CG145" s="5309">
        <v>54</v>
      </c>
      <c r="CH145" s="5309">
        <v>1</v>
      </c>
      <c r="CI145" s="5309">
        <v>199</v>
      </c>
      <c r="CJ145" s="5309">
        <v>0</v>
      </c>
      <c r="CK145" s="5309">
        <v>5</v>
      </c>
      <c r="CL145" s="5309">
        <v>0</v>
      </c>
      <c r="CM145" s="5309">
        <v>1</v>
      </c>
      <c r="CN145" s="5309">
        <v>0</v>
      </c>
      <c r="CO145" s="5309">
        <v>0</v>
      </c>
      <c r="CP145" s="5309">
        <v>0</v>
      </c>
      <c r="CQ145" s="5309">
        <v>203</v>
      </c>
      <c r="CR145" s="5309">
        <v>1</v>
      </c>
      <c r="CS145" s="5309">
        <v>1</v>
      </c>
      <c r="CT145" s="5309">
        <v>0</v>
      </c>
      <c r="CU145" s="5309">
        <v>0</v>
      </c>
      <c r="CV145" s="5309">
        <v>0</v>
      </c>
      <c r="CW145" s="5309" t="s">
        <v>9537</v>
      </c>
      <c r="CX145" s="5309"/>
      <c r="CY145" s="5309">
        <v>205</v>
      </c>
      <c r="CZ145" s="5309" t="s">
        <v>9543</v>
      </c>
      <c r="DA145" s="5389" t="s">
        <v>9544</v>
      </c>
      <c r="DB145" s="5309"/>
      <c r="DC145" s="5309"/>
      <c r="DD145" s="5309"/>
      <c r="DE145" s="5309"/>
      <c r="DF145" s="5309"/>
      <c r="DG145" s="5453"/>
      <c r="DH145" s="5453"/>
      <c r="DI145" s="5453"/>
      <c r="DJ145" s="5453"/>
      <c r="DK145" s="5453"/>
      <c r="DL145" s="5453"/>
      <c r="DM145" s="5453"/>
      <c r="DN145" s="5453"/>
      <c r="DO145" s="5453"/>
      <c r="DP145" s="5453"/>
      <c r="DQ145" s="5453"/>
      <c r="DR145" s="5453"/>
      <c r="DS145" s="5453"/>
      <c r="DT145" s="5453"/>
      <c r="DU145" s="5453"/>
      <c r="DV145" s="5453"/>
      <c r="DW145" s="5453"/>
      <c r="DX145" s="5453"/>
      <c r="DY145" s="5453"/>
      <c r="DZ145" s="5453"/>
      <c r="EA145" s="5453"/>
      <c r="EB145" s="5453"/>
      <c r="EC145" s="5453"/>
      <c r="ED145" s="5453"/>
      <c r="EE145" s="5453"/>
      <c r="EF145" s="5453"/>
      <c r="EG145" s="5453"/>
      <c r="EH145" s="5453"/>
      <c r="EI145" s="5453"/>
      <c r="EJ145" s="5453"/>
      <c r="EK145" s="5453"/>
      <c r="EL145" s="5453"/>
      <c r="EM145" s="5453"/>
      <c r="EN145" s="5453"/>
      <c r="EO145" s="5453"/>
      <c r="EP145" s="5453"/>
      <c r="EQ145" s="5453"/>
      <c r="ER145" s="5453"/>
      <c r="ES145" s="5453"/>
      <c r="ET145" s="5453"/>
      <c r="EU145" s="5453"/>
      <c r="EV145" s="5453"/>
      <c r="EW145" s="5453"/>
      <c r="EX145" s="5453"/>
      <c r="EY145" s="5453"/>
      <c r="EZ145" s="5453"/>
      <c r="FA145" s="5464"/>
    </row>
    <row r="146" spans="1:157" s="2014" customFormat="1" ht="15" customHeight="1">
      <c r="A146" s="16058"/>
      <c r="B146" s="16073"/>
      <c r="C146" s="5184" t="s">
        <v>8108</v>
      </c>
      <c r="D146" s="5184" t="s">
        <v>1209</v>
      </c>
      <c r="E146" s="5184" t="s">
        <v>1210</v>
      </c>
      <c r="F146" s="5184" t="s">
        <v>1073</v>
      </c>
      <c r="G146" s="5382">
        <v>1</v>
      </c>
      <c r="H146" s="2744">
        <v>15</v>
      </c>
      <c r="I146" s="2744">
        <v>15</v>
      </c>
      <c r="J146" s="2744">
        <v>15</v>
      </c>
      <c r="K146" s="2744">
        <v>15</v>
      </c>
      <c r="L146" s="2744">
        <v>20</v>
      </c>
      <c r="M146" s="2744">
        <v>20</v>
      </c>
      <c r="N146" s="2744">
        <v>20</v>
      </c>
      <c r="O146" s="2744">
        <v>20</v>
      </c>
      <c r="P146" s="2744">
        <v>20</v>
      </c>
      <c r="Q146" s="2744">
        <v>20</v>
      </c>
      <c r="R146" s="5427" t="s">
        <v>10072</v>
      </c>
      <c r="S146" s="5291" t="s">
        <v>1164</v>
      </c>
      <c r="T146" s="5187"/>
      <c r="U146" s="5308"/>
      <c r="V146" s="16200"/>
      <c r="W146" s="5187"/>
      <c r="X146" s="5187"/>
      <c r="Y146" s="2744"/>
      <c r="Z146" s="5383"/>
      <c r="AA146" s="5383"/>
      <c r="AB146" s="5383"/>
      <c r="AC146" s="5307"/>
      <c r="AD146" s="2744"/>
      <c r="AE146" s="2744"/>
      <c r="AF146" s="2744"/>
      <c r="AG146" s="2744"/>
      <c r="AH146" s="2744"/>
      <c r="AI146" s="2744"/>
      <c r="AJ146" s="2744"/>
      <c r="AK146" s="2744"/>
      <c r="AL146" s="2744"/>
      <c r="AM146" s="2744"/>
      <c r="AN146" s="2744"/>
      <c r="AO146" s="2744"/>
      <c r="AP146" s="2744"/>
      <c r="AQ146" s="2744"/>
      <c r="AR146" s="2744"/>
      <c r="AS146" s="2744"/>
      <c r="AT146" s="2744"/>
      <c r="AU146" s="2744"/>
      <c r="AV146" s="2744"/>
      <c r="AW146" s="2744"/>
      <c r="AX146" s="2744"/>
      <c r="AY146" s="2744"/>
      <c r="AZ146" s="2744"/>
      <c r="BA146" s="2744"/>
      <c r="BB146" s="2744"/>
      <c r="BC146" s="2744"/>
      <c r="BD146" s="2744"/>
      <c r="BE146" s="2744"/>
      <c r="BF146" s="2744"/>
      <c r="BG146" s="2744"/>
      <c r="BH146" s="2744"/>
      <c r="BI146" s="2744"/>
      <c r="BJ146" s="2744"/>
      <c r="BK146" s="2744"/>
      <c r="BL146" s="2744"/>
      <c r="BM146" s="2744"/>
      <c r="BN146" s="5308">
        <v>1</v>
      </c>
      <c r="BO146" s="16200"/>
      <c r="BP146" s="5187" t="s">
        <v>9545</v>
      </c>
      <c r="BQ146" s="5187" t="s">
        <v>9451</v>
      </c>
      <c r="BR146" s="2744"/>
      <c r="BS146" s="5384">
        <f>+SUM(BT146:BV146)</f>
        <v>18572189.309688281</v>
      </c>
      <c r="BT146" s="5384">
        <v>13000532.516781796</v>
      </c>
      <c r="BU146" s="5384">
        <v>5571656.7929064846</v>
      </c>
      <c r="BV146" s="5293">
        <v>0</v>
      </c>
      <c r="BW146" s="5309"/>
      <c r="BX146" s="5309"/>
      <c r="BY146" s="5309"/>
      <c r="BZ146" s="5309"/>
      <c r="CA146" s="5309"/>
      <c r="CB146" s="5309"/>
      <c r="CC146" s="5309"/>
      <c r="CD146" s="5309"/>
      <c r="CE146" s="5309"/>
      <c r="CF146" s="5309"/>
      <c r="CG146" s="5309"/>
      <c r="CH146" s="5309"/>
      <c r="CI146" s="5309"/>
      <c r="CJ146" s="5309"/>
      <c r="CK146" s="5309"/>
      <c r="CL146" s="5309"/>
      <c r="CM146" s="5309"/>
      <c r="CN146" s="5309"/>
      <c r="CO146" s="5309"/>
      <c r="CP146" s="5309"/>
      <c r="CQ146" s="5309"/>
      <c r="CR146" s="5309"/>
      <c r="CS146" s="5309"/>
      <c r="CT146" s="5309"/>
      <c r="CU146" s="5309"/>
      <c r="CV146" s="5309"/>
      <c r="CW146" s="5309"/>
      <c r="CX146" s="5309"/>
      <c r="CY146" s="5309"/>
      <c r="CZ146" s="5309"/>
      <c r="DA146" s="5309"/>
      <c r="DB146" s="5309"/>
      <c r="DC146" s="5309"/>
      <c r="DD146" s="5309"/>
      <c r="DE146" s="5309"/>
      <c r="DF146" s="5309"/>
      <c r="DG146" s="5453"/>
      <c r="DH146" s="5453"/>
      <c r="DI146" s="5453"/>
      <c r="DJ146" s="5453"/>
      <c r="DK146" s="5453"/>
      <c r="DL146" s="5453"/>
      <c r="DM146" s="5453"/>
      <c r="DN146" s="5453"/>
      <c r="DO146" s="5453"/>
      <c r="DP146" s="5453"/>
      <c r="DQ146" s="5453"/>
      <c r="DR146" s="5453"/>
      <c r="DS146" s="5453"/>
      <c r="DT146" s="5453"/>
      <c r="DU146" s="5453"/>
      <c r="DV146" s="5453"/>
      <c r="DW146" s="5453"/>
      <c r="DX146" s="5453"/>
      <c r="DY146" s="5453"/>
      <c r="DZ146" s="5453"/>
      <c r="EA146" s="5453"/>
      <c r="EB146" s="5453"/>
      <c r="EC146" s="5453"/>
      <c r="ED146" s="5453"/>
      <c r="EE146" s="5453"/>
      <c r="EF146" s="5453"/>
      <c r="EG146" s="5453"/>
      <c r="EH146" s="5453"/>
      <c r="EI146" s="5453"/>
      <c r="EJ146" s="5453"/>
      <c r="EK146" s="5453"/>
      <c r="EL146" s="5453"/>
      <c r="EM146" s="5453"/>
      <c r="EN146" s="5453"/>
      <c r="EO146" s="5453"/>
      <c r="EP146" s="5453"/>
      <c r="EQ146" s="5453"/>
      <c r="ER146" s="5453"/>
      <c r="ES146" s="5453"/>
      <c r="ET146" s="5453"/>
      <c r="EU146" s="5453"/>
      <c r="EV146" s="5453"/>
      <c r="EW146" s="5453"/>
      <c r="EX146" s="5453"/>
      <c r="EY146" s="5453"/>
      <c r="EZ146" s="5453"/>
      <c r="FA146" s="5464"/>
    </row>
    <row r="147" spans="1:157" s="2014" customFormat="1" ht="15" customHeight="1">
      <c r="A147" s="16058"/>
      <c r="B147" s="16073"/>
      <c r="C147" s="16073" t="s">
        <v>8109</v>
      </c>
      <c r="D147" s="16073" t="s">
        <v>1211</v>
      </c>
      <c r="E147" s="16073" t="s">
        <v>1212</v>
      </c>
      <c r="F147" s="16073" t="s">
        <v>1073</v>
      </c>
      <c r="G147" s="16195">
        <v>1</v>
      </c>
      <c r="H147" s="16036">
        <v>5</v>
      </c>
      <c r="I147" s="16036">
        <v>10</v>
      </c>
      <c r="J147" s="16036">
        <v>10</v>
      </c>
      <c r="K147" s="16036">
        <v>10</v>
      </c>
      <c r="L147" s="16036">
        <v>15</v>
      </c>
      <c r="M147" s="16036">
        <v>15</v>
      </c>
      <c r="N147" s="16036">
        <v>15</v>
      </c>
      <c r="O147" s="16036">
        <v>15</v>
      </c>
      <c r="P147" s="16036">
        <v>15</v>
      </c>
      <c r="Q147" s="16036">
        <v>15</v>
      </c>
      <c r="R147" s="2757" t="s">
        <v>10072</v>
      </c>
      <c r="S147" s="5186" t="s">
        <v>1164</v>
      </c>
      <c r="T147" s="5187"/>
      <c r="U147" s="5308"/>
      <c r="V147" s="16200"/>
      <c r="W147" s="2744"/>
      <c r="X147" s="2744"/>
      <c r="Y147" s="2744"/>
      <c r="Z147" s="5386"/>
      <c r="AA147" s="5386"/>
      <c r="AB147" s="5386"/>
      <c r="AC147" s="5307"/>
      <c r="AD147" s="2744"/>
      <c r="AE147" s="2744"/>
      <c r="AF147" s="2744"/>
      <c r="AG147" s="2744"/>
      <c r="AH147" s="2744"/>
      <c r="AI147" s="2744"/>
      <c r="AJ147" s="2744"/>
      <c r="AK147" s="2744"/>
      <c r="AL147" s="2744"/>
      <c r="AM147" s="2744"/>
      <c r="AN147" s="2744"/>
      <c r="AO147" s="2744"/>
      <c r="AP147" s="2744"/>
      <c r="AQ147" s="2744"/>
      <c r="AR147" s="2744"/>
      <c r="AS147" s="2744"/>
      <c r="AT147" s="2744"/>
      <c r="AU147" s="2744"/>
      <c r="AV147" s="2744"/>
      <c r="AW147" s="2744"/>
      <c r="AX147" s="2744"/>
      <c r="AY147" s="2744"/>
      <c r="AZ147" s="2744"/>
      <c r="BA147" s="2744"/>
      <c r="BB147" s="2744"/>
      <c r="BC147" s="2744"/>
      <c r="BD147" s="2744"/>
      <c r="BE147" s="2744"/>
      <c r="BF147" s="2744"/>
      <c r="BG147" s="2744"/>
      <c r="BH147" s="2744"/>
      <c r="BI147" s="2744"/>
      <c r="BJ147" s="2744"/>
      <c r="BK147" s="2744"/>
      <c r="BL147" s="2744"/>
      <c r="BM147" s="2744"/>
      <c r="BN147" s="5308">
        <v>0</v>
      </c>
      <c r="BO147" s="16200"/>
      <c r="BP147" s="2744"/>
      <c r="BQ147" s="2744"/>
      <c r="BR147" s="2744"/>
      <c r="BS147" s="5309">
        <v>0</v>
      </c>
      <c r="BT147" s="5309">
        <v>0</v>
      </c>
      <c r="BU147" s="5309">
        <v>0</v>
      </c>
      <c r="BV147" s="5293">
        <v>0</v>
      </c>
      <c r="BW147" s="5309"/>
      <c r="BX147" s="5309"/>
      <c r="BY147" s="5309"/>
      <c r="BZ147" s="5309"/>
      <c r="CA147" s="5309"/>
      <c r="CB147" s="5309"/>
      <c r="CC147" s="5309"/>
      <c r="CD147" s="5309"/>
      <c r="CE147" s="5309"/>
      <c r="CF147" s="5309"/>
      <c r="CG147" s="5309"/>
      <c r="CH147" s="5309"/>
      <c r="CI147" s="5309"/>
      <c r="CJ147" s="5309"/>
      <c r="CK147" s="5309"/>
      <c r="CL147" s="5309"/>
      <c r="CM147" s="5309"/>
      <c r="CN147" s="5309"/>
      <c r="CO147" s="5309"/>
      <c r="CP147" s="5309"/>
      <c r="CQ147" s="5309"/>
      <c r="CR147" s="5309"/>
      <c r="CS147" s="5309"/>
      <c r="CT147" s="5309"/>
      <c r="CU147" s="5309"/>
      <c r="CV147" s="5309"/>
      <c r="CW147" s="5309"/>
      <c r="CX147" s="5309"/>
      <c r="CY147" s="5309"/>
      <c r="CZ147" s="5309"/>
      <c r="DA147" s="5309"/>
      <c r="DB147" s="5309"/>
      <c r="DC147" s="5309"/>
      <c r="DD147" s="5309"/>
      <c r="DE147" s="5309"/>
      <c r="DF147" s="5309"/>
      <c r="DG147" s="5453"/>
      <c r="DH147" s="5453"/>
      <c r="DI147" s="5453"/>
      <c r="DJ147" s="5453"/>
      <c r="DK147" s="5453"/>
      <c r="DL147" s="5453"/>
      <c r="DM147" s="5453"/>
      <c r="DN147" s="5453"/>
      <c r="DO147" s="5453"/>
      <c r="DP147" s="5453"/>
      <c r="DQ147" s="5453"/>
      <c r="DR147" s="5453"/>
      <c r="DS147" s="5453"/>
      <c r="DT147" s="5453"/>
      <c r="DU147" s="5453"/>
      <c r="DV147" s="5453"/>
      <c r="DW147" s="5453"/>
      <c r="DX147" s="5453"/>
      <c r="DY147" s="5453"/>
      <c r="DZ147" s="5453"/>
      <c r="EA147" s="5453"/>
      <c r="EB147" s="5453"/>
      <c r="EC147" s="5453"/>
      <c r="ED147" s="5453"/>
      <c r="EE147" s="5453"/>
      <c r="EF147" s="5453"/>
      <c r="EG147" s="5453"/>
      <c r="EH147" s="5453"/>
      <c r="EI147" s="5453"/>
      <c r="EJ147" s="5453"/>
      <c r="EK147" s="5453"/>
      <c r="EL147" s="5453"/>
      <c r="EM147" s="5453"/>
      <c r="EN147" s="5453"/>
      <c r="EO147" s="5453"/>
      <c r="EP147" s="5453"/>
      <c r="EQ147" s="5453"/>
      <c r="ER147" s="5453"/>
      <c r="ES147" s="5453"/>
      <c r="ET147" s="5453"/>
      <c r="EU147" s="5453"/>
      <c r="EV147" s="5453"/>
      <c r="EW147" s="5453"/>
      <c r="EX147" s="5453"/>
      <c r="EY147" s="5453"/>
      <c r="EZ147" s="5453"/>
      <c r="FA147" s="5464"/>
    </row>
    <row r="148" spans="1:157" s="2014" customFormat="1" ht="15" customHeight="1">
      <c r="A148" s="16058"/>
      <c r="B148" s="16073"/>
      <c r="C148" s="16073"/>
      <c r="D148" s="16073"/>
      <c r="E148" s="16073"/>
      <c r="F148" s="16073"/>
      <c r="G148" s="16195"/>
      <c r="H148" s="16036"/>
      <c r="I148" s="16036"/>
      <c r="J148" s="16036"/>
      <c r="K148" s="16036"/>
      <c r="L148" s="16036"/>
      <c r="M148" s="16036"/>
      <c r="N148" s="16036"/>
      <c r="O148" s="16036"/>
      <c r="P148" s="16036"/>
      <c r="Q148" s="16036"/>
      <c r="R148" s="2757" t="s">
        <v>2896</v>
      </c>
      <c r="S148" s="5186"/>
      <c r="T148" s="5187" t="s">
        <v>1213</v>
      </c>
      <c r="U148" s="5308"/>
      <c r="V148" s="16200"/>
      <c r="W148" s="5187"/>
      <c r="X148" s="5385"/>
      <c r="Y148" s="2744"/>
      <c r="Z148" s="5383"/>
      <c r="AA148" s="5383"/>
      <c r="AB148" s="5383"/>
      <c r="AC148" s="5307"/>
      <c r="AD148" s="2744"/>
      <c r="AE148" s="2744"/>
      <c r="AF148" s="2744"/>
      <c r="AG148" s="2744"/>
      <c r="AH148" s="2744"/>
      <c r="AI148" s="2744"/>
      <c r="AJ148" s="2744"/>
      <c r="AK148" s="2744"/>
      <c r="AL148" s="2744"/>
      <c r="AM148" s="2744"/>
      <c r="AN148" s="2744"/>
      <c r="AO148" s="2744"/>
      <c r="AP148" s="2744"/>
      <c r="AQ148" s="2744"/>
      <c r="AR148" s="2744"/>
      <c r="AS148" s="2744"/>
      <c r="AT148" s="2744"/>
      <c r="AU148" s="2744"/>
      <c r="AV148" s="2744"/>
      <c r="AW148" s="2744"/>
      <c r="AX148" s="2744"/>
      <c r="AY148" s="2744"/>
      <c r="AZ148" s="2744"/>
      <c r="BA148" s="2744"/>
      <c r="BB148" s="2744"/>
      <c r="BC148" s="2744"/>
      <c r="BD148" s="2744"/>
      <c r="BE148" s="2744"/>
      <c r="BF148" s="2744"/>
      <c r="BG148" s="2744"/>
      <c r="BH148" s="2744"/>
      <c r="BI148" s="2744"/>
      <c r="BJ148" s="2744"/>
      <c r="BK148" s="2744"/>
      <c r="BL148" s="2744"/>
      <c r="BM148" s="2744"/>
      <c r="BN148" s="5308">
        <v>1</v>
      </c>
      <c r="BO148" s="16200"/>
      <c r="BP148" s="5187" t="s">
        <v>9546</v>
      </c>
      <c r="BQ148" s="5385" t="s">
        <v>2951</v>
      </c>
      <c r="BR148" s="2744"/>
      <c r="BS148" s="5384">
        <f t="shared" ref="BS148" si="14">+SUM(BT148:BV148)</f>
        <v>37144378.619376563</v>
      </c>
      <c r="BT148" s="5384">
        <v>26001065.033563592</v>
      </c>
      <c r="BU148" s="5384">
        <v>11143313.585812969</v>
      </c>
      <c r="BV148" s="5293">
        <v>0</v>
      </c>
      <c r="BW148" s="5309"/>
      <c r="BX148" s="5309"/>
      <c r="BY148" s="5309"/>
      <c r="BZ148" s="5309"/>
      <c r="CA148" s="5309"/>
      <c r="CB148" s="5309"/>
      <c r="CC148" s="5309"/>
      <c r="CD148" s="5309"/>
      <c r="CE148" s="5309"/>
      <c r="CF148" s="5309"/>
      <c r="CG148" s="5309"/>
      <c r="CH148" s="5309"/>
      <c r="CI148" s="5309"/>
      <c r="CJ148" s="5309"/>
      <c r="CK148" s="5309"/>
      <c r="CL148" s="5309"/>
      <c r="CM148" s="5309"/>
      <c r="CN148" s="5309"/>
      <c r="CO148" s="5309"/>
      <c r="CP148" s="5309"/>
      <c r="CQ148" s="5309"/>
      <c r="CR148" s="5309"/>
      <c r="CS148" s="5309"/>
      <c r="CT148" s="5309"/>
      <c r="CU148" s="5309"/>
      <c r="CV148" s="5309"/>
      <c r="CW148" s="5309"/>
      <c r="CX148" s="5309"/>
      <c r="CY148" s="5309"/>
      <c r="CZ148" s="5309"/>
      <c r="DA148" s="5309"/>
      <c r="DB148" s="5309"/>
      <c r="DC148" s="5309"/>
      <c r="DD148" s="5309"/>
      <c r="DE148" s="5309"/>
      <c r="DF148" s="5309"/>
      <c r="DG148" s="5453"/>
      <c r="DH148" s="5453"/>
      <c r="DI148" s="5453"/>
      <c r="DJ148" s="5453"/>
      <c r="DK148" s="5453"/>
      <c r="DL148" s="5453"/>
      <c r="DM148" s="5453"/>
      <c r="DN148" s="5453"/>
      <c r="DO148" s="5453"/>
      <c r="DP148" s="5453"/>
      <c r="DQ148" s="5453"/>
      <c r="DR148" s="5453"/>
      <c r="DS148" s="5453"/>
      <c r="DT148" s="5453"/>
      <c r="DU148" s="5453"/>
      <c r="DV148" s="5453"/>
      <c r="DW148" s="5453"/>
      <c r="DX148" s="5453"/>
      <c r="DY148" s="5453"/>
      <c r="DZ148" s="5453"/>
      <c r="EA148" s="5453"/>
      <c r="EB148" s="5453"/>
      <c r="EC148" s="5453"/>
      <c r="ED148" s="5453"/>
      <c r="EE148" s="5453"/>
      <c r="EF148" s="5453"/>
      <c r="EG148" s="5453"/>
      <c r="EH148" s="5453"/>
      <c r="EI148" s="5453"/>
      <c r="EJ148" s="5453"/>
      <c r="EK148" s="5453"/>
      <c r="EL148" s="5453"/>
      <c r="EM148" s="5453"/>
      <c r="EN148" s="5453"/>
      <c r="EO148" s="5453"/>
      <c r="EP148" s="5453"/>
      <c r="EQ148" s="5453"/>
      <c r="ER148" s="5453"/>
      <c r="ES148" s="5453"/>
      <c r="ET148" s="5453"/>
      <c r="EU148" s="5453"/>
      <c r="EV148" s="5453"/>
      <c r="EW148" s="5453"/>
      <c r="EX148" s="5453"/>
      <c r="EY148" s="5453"/>
      <c r="EZ148" s="5453"/>
      <c r="FA148" s="5464"/>
    </row>
    <row r="149" spans="1:157" s="2014" customFormat="1" ht="15" customHeight="1">
      <c r="A149" s="16058"/>
      <c r="B149" s="16073"/>
      <c r="C149" s="16073" t="s">
        <v>8110</v>
      </c>
      <c r="D149" s="16073" t="s">
        <v>1214</v>
      </c>
      <c r="E149" s="16073" t="s">
        <v>1215</v>
      </c>
      <c r="F149" s="16073" t="s">
        <v>1073</v>
      </c>
      <c r="G149" s="16195">
        <v>10</v>
      </c>
      <c r="H149" s="16036">
        <v>5</v>
      </c>
      <c r="I149" s="16036">
        <v>7</v>
      </c>
      <c r="J149" s="16036">
        <v>7</v>
      </c>
      <c r="K149" s="16036">
        <v>7</v>
      </c>
      <c r="L149" s="16036">
        <v>7</v>
      </c>
      <c r="M149" s="16036">
        <v>7</v>
      </c>
      <c r="N149" s="16036">
        <v>7</v>
      </c>
      <c r="O149" s="16036">
        <v>7</v>
      </c>
      <c r="P149" s="16036">
        <v>7</v>
      </c>
      <c r="Q149" s="16036">
        <v>7</v>
      </c>
      <c r="R149" s="2757" t="s">
        <v>10088</v>
      </c>
      <c r="S149" s="5186" t="s">
        <v>1164</v>
      </c>
      <c r="T149" s="5187"/>
      <c r="U149" s="5308"/>
      <c r="V149" s="16200"/>
      <c r="W149" s="2744"/>
      <c r="X149" s="2744"/>
      <c r="Y149" s="2744"/>
      <c r="Z149" s="5386"/>
      <c r="AA149" s="5386"/>
      <c r="AB149" s="5386"/>
      <c r="AC149" s="5307"/>
      <c r="AD149" s="2744"/>
      <c r="AE149" s="2744"/>
      <c r="AF149" s="2744"/>
      <c r="AG149" s="2744"/>
      <c r="AH149" s="2744"/>
      <c r="AI149" s="2744"/>
      <c r="AJ149" s="2744"/>
      <c r="AK149" s="2744"/>
      <c r="AL149" s="2744"/>
      <c r="AM149" s="2744"/>
      <c r="AN149" s="2744"/>
      <c r="AO149" s="2744"/>
      <c r="AP149" s="2744"/>
      <c r="AQ149" s="2744"/>
      <c r="AR149" s="2744"/>
      <c r="AS149" s="2744"/>
      <c r="AT149" s="2744"/>
      <c r="AU149" s="2744"/>
      <c r="AV149" s="2744"/>
      <c r="AW149" s="2744"/>
      <c r="AX149" s="2744"/>
      <c r="AY149" s="2744"/>
      <c r="AZ149" s="2744"/>
      <c r="BA149" s="2744"/>
      <c r="BB149" s="2744"/>
      <c r="BC149" s="2744"/>
      <c r="BD149" s="2744"/>
      <c r="BE149" s="2744"/>
      <c r="BF149" s="2744"/>
      <c r="BG149" s="2744"/>
      <c r="BH149" s="2744"/>
      <c r="BI149" s="2744"/>
      <c r="BJ149" s="2744"/>
      <c r="BK149" s="2744"/>
      <c r="BL149" s="2744"/>
      <c r="BM149" s="2744"/>
      <c r="BN149" s="5308">
        <v>0</v>
      </c>
      <c r="BO149" s="16200"/>
      <c r="BP149" s="2744"/>
      <c r="BQ149" s="2744"/>
      <c r="BR149" s="2744"/>
      <c r="BS149" s="5309">
        <v>0</v>
      </c>
      <c r="BT149" s="5309">
        <v>0</v>
      </c>
      <c r="BU149" s="5309">
        <v>0</v>
      </c>
      <c r="BV149" s="5293">
        <v>0</v>
      </c>
      <c r="BW149" s="5309"/>
      <c r="BX149" s="5309"/>
      <c r="BY149" s="5309"/>
      <c r="BZ149" s="5309"/>
      <c r="CA149" s="5309"/>
      <c r="CB149" s="5309"/>
      <c r="CC149" s="5309"/>
      <c r="CD149" s="5309"/>
      <c r="CE149" s="5309"/>
      <c r="CF149" s="5309"/>
      <c r="CG149" s="5309"/>
      <c r="CH149" s="5309"/>
      <c r="CI149" s="5309"/>
      <c r="CJ149" s="5309"/>
      <c r="CK149" s="5309"/>
      <c r="CL149" s="5309"/>
      <c r="CM149" s="5309"/>
      <c r="CN149" s="5309"/>
      <c r="CO149" s="5309"/>
      <c r="CP149" s="5309"/>
      <c r="CQ149" s="5309"/>
      <c r="CR149" s="5309"/>
      <c r="CS149" s="5309"/>
      <c r="CT149" s="5309"/>
      <c r="CU149" s="5309"/>
      <c r="CV149" s="5309"/>
      <c r="CW149" s="5309"/>
      <c r="CX149" s="5309"/>
      <c r="CY149" s="5309"/>
      <c r="CZ149" s="5309"/>
      <c r="DA149" s="5309"/>
      <c r="DB149" s="5309"/>
      <c r="DC149" s="5309"/>
      <c r="DD149" s="5309"/>
      <c r="DE149" s="5309"/>
      <c r="DF149" s="5309"/>
      <c r="DG149" s="5453"/>
      <c r="DH149" s="5453"/>
      <c r="DI149" s="5453"/>
      <c r="DJ149" s="5453"/>
      <c r="DK149" s="5453"/>
      <c r="DL149" s="5453"/>
      <c r="DM149" s="5453"/>
      <c r="DN149" s="5453"/>
      <c r="DO149" s="5453"/>
      <c r="DP149" s="5453"/>
      <c r="DQ149" s="5453"/>
      <c r="DR149" s="5453"/>
      <c r="DS149" s="5453"/>
      <c r="DT149" s="5453"/>
      <c r="DU149" s="5453"/>
      <c r="DV149" s="5453"/>
      <c r="DW149" s="5453"/>
      <c r="DX149" s="5453"/>
      <c r="DY149" s="5453"/>
      <c r="DZ149" s="5453"/>
      <c r="EA149" s="5453"/>
      <c r="EB149" s="5453"/>
      <c r="EC149" s="5453"/>
      <c r="ED149" s="5453"/>
      <c r="EE149" s="5453"/>
      <c r="EF149" s="5453"/>
      <c r="EG149" s="5453"/>
      <c r="EH149" s="5453"/>
      <c r="EI149" s="5453"/>
      <c r="EJ149" s="5453"/>
      <c r="EK149" s="5453"/>
      <c r="EL149" s="5453"/>
      <c r="EM149" s="5453"/>
      <c r="EN149" s="5453"/>
      <c r="EO149" s="5453"/>
      <c r="EP149" s="5453"/>
      <c r="EQ149" s="5453"/>
      <c r="ER149" s="5453"/>
      <c r="ES149" s="5453"/>
      <c r="ET149" s="5453"/>
      <c r="EU149" s="5453"/>
      <c r="EV149" s="5453"/>
      <c r="EW149" s="5453"/>
      <c r="EX149" s="5453"/>
      <c r="EY149" s="5453"/>
      <c r="EZ149" s="5453"/>
      <c r="FA149" s="5464"/>
    </row>
    <row r="150" spans="1:157" s="2014" customFormat="1" ht="15" customHeight="1">
      <c r="A150" s="16058"/>
      <c r="B150" s="16073"/>
      <c r="C150" s="16073"/>
      <c r="D150" s="16073"/>
      <c r="E150" s="16073"/>
      <c r="F150" s="16073"/>
      <c r="G150" s="16195"/>
      <c r="H150" s="16036"/>
      <c r="I150" s="16036"/>
      <c r="J150" s="16036"/>
      <c r="K150" s="16036"/>
      <c r="L150" s="16036"/>
      <c r="M150" s="16036"/>
      <c r="N150" s="16036"/>
      <c r="O150" s="16036"/>
      <c r="P150" s="16036"/>
      <c r="Q150" s="16036"/>
      <c r="R150" s="2757" t="s">
        <v>2896</v>
      </c>
      <c r="S150" s="5186"/>
      <c r="T150" s="5187" t="s">
        <v>1213</v>
      </c>
      <c r="U150" s="5308"/>
      <c r="V150" s="16200"/>
      <c r="W150" s="5187"/>
      <c r="X150" s="5187"/>
      <c r="Y150" s="2744"/>
      <c r="Z150" s="5383"/>
      <c r="AA150" s="5383"/>
      <c r="AB150" s="5383"/>
      <c r="AC150" s="5307"/>
      <c r="AD150" s="2744"/>
      <c r="AE150" s="2744"/>
      <c r="AF150" s="2744"/>
      <c r="AG150" s="2744"/>
      <c r="AH150" s="2744"/>
      <c r="AI150" s="2744"/>
      <c r="AJ150" s="2744"/>
      <c r="AK150" s="2744"/>
      <c r="AL150" s="2744"/>
      <c r="AM150" s="2744"/>
      <c r="AN150" s="2744"/>
      <c r="AO150" s="2744"/>
      <c r="AP150" s="2744"/>
      <c r="AQ150" s="2744"/>
      <c r="AR150" s="2744"/>
      <c r="AS150" s="2744"/>
      <c r="AT150" s="2744"/>
      <c r="AU150" s="2744"/>
      <c r="AV150" s="2744"/>
      <c r="AW150" s="2744"/>
      <c r="AX150" s="2744"/>
      <c r="AY150" s="2744"/>
      <c r="AZ150" s="2744"/>
      <c r="BA150" s="2744"/>
      <c r="BB150" s="2744"/>
      <c r="BC150" s="2744"/>
      <c r="BD150" s="2744"/>
      <c r="BE150" s="2744"/>
      <c r="BF150" s="2744"/>
      <c r="BG150" s="2744"/>
      <c r="BH150" s="2744"/>
      <c r="BI150" s="2744"/>
      <c r="BJ150" s="2744"/>
      <c r="BK150" s="2744"/>
      <c r="BL150" s="2744"/>
      <c r="BM150" s="2744"/>
      <c r="BN150" s="5308">
        <v>1</v>
      </c>
      <c r="BO150" s="16200"/>
      <c r="BP150" s="5187" t="s">
        <v>9547</v>
      </c>
      <c r="BQ150" s="5187" t="s">
        <v>9451</v>
      </c>
      <c r="BR150" s="2744"/>
      <c r="BS150" s="5384">
        <v>718448634.387532</v>
      </c>
      <c r="BT150" s="5384">
        <v>502914044.07127237</v>
      </c>
      <c r="BU150" s="5384">
        <v>215534590.31625959</v>
      </c>
      <c r="BV150" s="5293">
        <v>0</v>
      </c>
      <c r="BW150" s="5309"/>
      <c r="BX150" s="5309"/>
      <c r="BY150" s="5309"/>
      <c r="BZ150" s="5309"/>
      <c r="CA150" s="5309"/>
      <c r="CB150" s="5309"/>
      <c r="CC150" s="5309"/>
      <c r="CD150" s="5309"/>
      <c r="CE150" s="5309"/>
      <c r="CF150" s="5309"/>
      <c r="CG150" s="5309"/>
      <c r="CH150" s="5309"/>
      <c r="CI150" s="5309"/>
      <c r="CJ150" s="5309"/>
      <c r="CK150" s="5309"/>
      <c r="CL150" s="5309"/>
      <c r="CM150" s="5309"/>
      <c r="CN150" s="5309"/>
      <c r="CO150" s="5309"/>
      <c r="CP150" s="5309"/>
      <c r="CQ150" s="5309"/>
      <c r="CR150" s="5309"/>
      <c r="CS150" s="5309"/>
      <c r="CT150" s="5309"/>
      <c r="CU150" s="5309"/>
      <c r="CV150" s="5309"/>
      <c r="CW150" s="5309"/>
      <c r="CX150" s="5309"/>
      <c r="CY150" s="5309"/>
      <c r="CZ150" s="5309"/>
      <c r="DA150" s="5309"/>
      <c r="DB150" s="5309"/>
      <c r="DC150" s="5309"/>
      <c r="DD150" s="5309"/>
      <c r="DE150" s="5309"/>
      <c r="DF150" s="5309"/>
      <c r="DG150" s="5453"/>
      <c r="DH150" s="5453"/>
      <c r="DI150" s="5453"/>
      <c r="DJ150" s="5453"/>
      <c r="DK150" s="5453"/>
      <c r="DL150" s="5453"/>
      <c r="DM150" s="5453"/>
      <c r="DN150" s="5453"/>
      <c r="DO150" s="5453"/>
      <c r="DP150" s="5453"/>
      <c r="DQ150" s="5453"/>
      <c r="DR150" s="5453"/>
      <c r="DS150" s="5453"/>
      <c r="DT150" s="5453"/>
      <c r="DU150" s="5453"/>
      <c r="DV150" s="5453"/>
      <c r="DW150" s="5453"/>
      <c r="DX150" s="5453"/>
      <c r="DY150" s="5453"/>
      <c r="DZ150" s="5453"/>
      <c r="EA150" s="5453"/>
      <c r="EB150" s="5453"/>
      <c r="EC150" s="5453"/>
      <c r="ED150" s="5453"/>
      <c r="EE150" s="5453"/>
      <c r="EF150" s="5453"/>
      <c r="EG150" s="5453"/>
      <c r="EH150" s="5453"/>
      <c r="EI150" s="5453"/>
      <c r="EJ150" s="5453"/>
      <c r="EK150" s="5453"/>
      <c r="EL150" s="5453"/>
      <c r="EM150" s="5453"/>
      <c r="EN150" s="5453"/>
      <c r="EO150" s="5453"/>
      <c r="EP150" s="5453"/>
      <c r="EQ150" s="5453"/>
      <c r="ER150" s="5453"/>
      <c r="ES150" s="5453"/>
      <c r="ET150" s="5453"/>
      <c r="EU150" s="5453"/>
      <c r="EV150" s="5453"/>
      <c r="EW150" s="5453"/>
      <c r="EX150" s="5453"/>
      <c r="EY150" s="5453"/>
      <c r="EZ150" s="5453"/>
      <c r="FA150" s="5464"/>
    </row>
    <row r="151" spans="1:157" s="2014" customFormat="1" ht="15" customHeight="1">
      <c r="A151" s="16058"/>
      <c r="B151" s="16073"/>
      <c r="C151" s="16073"/>
      <c r="D151" s="16073"/>
      <c r="E151" s="16073"/>
      <c r="F151" s="16073"/>
      <c r="G151" s="16195"/>
      <c r="H151" s="16036"/>
      <c r="I151" s="16036"/>
      <c r="J151" s="16036"/>
      <c r="K151" s="16036"/>
      <c r="L151" s="16036"/>
      <c r="M151" s="16036"/>
      <c r="N151" s="16036"/>
      <c r="O151" s="16036"/>
      <c r="P151" s="16036"/>
      <c r="Q151" s="16036"/>
      <c r="R151" s="2757" t="s">
        <v>86</v>
      </c>
      <c r="S151" s="5186"/>
      <c r="T151" s="5187" t="s">
        <v>9568</v>
      </c>
      <c r="U151" s="5308"/>
      <c r="V151" s="16200"/>
      <c r="W151" s="2744"/>
      <c r="X151" s="2744"/>
      <c r="Y151" s="2744"/>
      <c r="Z151" s="5386"/>
      <c r="AA151" s="5386"/>
      <c r="AB151" s="5386"/>
      <c r="AC151" s="5307"/>
      <c r="AD151" s="2744"/>
      <c r="AE151" s="2744"/>
      <c r="AF151" s="2744"/>
      <c r="AG151" s="2744"/>
      <c r="AH151" s="2744"/>
      <c r="AI151" s="2744"/>
      <c r="AJ151" s="2744"/>
      <c r="AK151" s="2744"/>
      <c r="AL151" s="2744"/>
      <c r="AM151" s="2744"/>
      <c r="AN151" s="2744"/>
      <c r="AO151" s="2744"/>
      <c r="AP151" s="2744"/>
      <c r="AQ151" s="2744"/>
      <c r="AR151" s="2744"/>
      <c r="AS151" s="2744"/>
      <c r="AT151" s="2744"/>
      <c r="AU151" s="2744"/>
      <c r="AV151" s="2744"/>
      <c r="AW151" s="2744"/>
      <c r="AX151" s="2744"/>
      <c r="AY151" s="2744"/>
      <c r="AZ151" s="2744"/>
      <c r="BA151" s="2744"/>
      <c r="BB151" s="2744"/>
      <c r="BC151" s="2744"/>
      <c r="BD151" s="2744"/>
      <c r="BE151" s="2744"/>
      <c r="BF151" s="2744"/>
      <c r="BG151" s="2744"/>
      <c r="BH151" s="5184"/>
      <c r="BI151" s="2744"/>
      <c r="BJ151" s="2744"/>
      <c r="BK151" s="2744"/>
      <c r="BL151" s="2744"/>
      <c r="BM151" s="2744"/>
      <c r="BN151" s="5308">
        <v>1</v>
      </c>
      <c r="BO151" s="16200"/>
      <c r="BP151" s="2744" t="s">
        <v>9801</v>
      </c>
      <c r="BQ151" s="2744"/>
      <c r="BR151" s="2744"/>
      <c r="BS151" s="5309">
        <v>15144000</v>
      </c>
      <c r="BT151" s="5309">
        <v>0</v>
      </c>
      <c r="BU151" s="5309">
        <v>0</v>
      </c>
      <c r="BV151" s="5293">
        <v>0</v>
      </c>
      <c r="BW151" s="5309">
        <v>436</v>
      </c>
      <c r="BX151" s="5309">
        <v>50</v>
      </c>
      <c r="BY151" s="5309">
        <v>386</v>
      </c>
      <c r="BZ151" s="5309">
        <v>356</v>
      </c>
      <c r="CA151" s="5309">
        <v>77</v>
      </c>
      <c r="CB151" s="5309">
        <v>0</v>
      </c>
      <c r="CC151" s="5309">
        <v>0</v>
      </c>
      <c r="CD151" s="5309">
        <v>5</v>
      </c>
      <c r="CE151" s="5309">
        <v>23</v>
      </c>
      <c r="CF151" s="5309">
        <v>63</v>
      </c>
      <c r="CG151" s="5309">
        <v>192</v>
      </c>
      <c r="CH151" s="5309">
        <v>150</v>
      </c>
      <c r="CI151" s="5309">
        <v>377</v>
      </c>
      <c r="CJ151" s="5309">
        <v>8</v>
      </c>
      <c r="CK151" s="5309">
        <v>10</v>
      </c>
      <c r="CL151" s="5309">
        <v>2</v>
      </c>
      <c r="CM151" s="5309">
        <v>34</v>
      </c>
      <c r="CN151" s="5309"/>
      <c r="CO151" s="5309"/>
      <c r="CP151" s="5309">
        <v>4</v>
      </c>
      <c r="CQ151" s="5309">
        <v>425</v>
      </c>
      <c r="CR151" s="5309">
        <v>2</v>
      </c>
      <c r="CS151" s="5309">
        <v>9</v>
      </c>
      <c r="CT151" s="5309"/>
      <c r="CU151" s="5309"/>
      <c r="CV151" s="5309"/>
      <c r="CW151" s="5309"/>
      <c r="CX151" s="5309"/>
      <c r="CY151" s="5309">
        <v>436</v>
      </c>
      <c r="CZ151" s="5309" t="s">
        <v>9543</v>
      </c>
      <c r="DA151" s="5389" t="s">
        <v>9544</v>
      </c>
      <c r="DB151" s="5309"/>
      <c r="DC151" s="5309"/>
      <c r="DD151" s="5309"/>
      <c r="DE151" s="5309"/>
      <c r="DF151" s="5309"/>
      <c r="DG151" s="5453"/>
      <c r="DH151" s="5453"/>
      <c r="DI151" s="5453"/>
      <c r="DJ151" s="5453"/>
      <c r="DK151" s="5453"/>
      <c r="DL151" s="5453"/>
      <c r="DM151" s="5453"/>
      <c r="DN151" s="5453"/>
      <c r="DO151" s="5453"/>
      <c r="DP151" s="5453"/>
      <c r="DQ151" s="5453"/>
      <c r="DR151" s="5453"/>
      <c r="DS151" s="5453"/>
      <c r="DT151" s="5453"/>
      <c r="DU151" s="5453"/>
      <c r="DV151" s="5453"/>
      <c r="DW151" s="5453"/>
      <c r="DX151" s="5453"/>
      <c r="DY151" s="5453"/>
      <c r="DZ151" s="5453"/>
      <c r="EA151" s="5453"/>
      <c r="EB151" s="5453"/>
      <c r="EC151" s="5453"/>
      <c r="ED151" s="5453"/>
      <c r="EE151" s="5453"/>
      <c r="EF151" s="5453"/>
      <c r="EG151" s="5453"/>
      <c r="EH151" s="5453"/>
      <c r="EI151" s="5453"/>
      <c r="EJ151" s="5453"/>
      <c r="EK151" s="5453"/>
      <c r="EL151" s="5453"/>
      <c r="EM151" s="5453"/>
      <c r="EN151" s="5453"/>
      <c r="EO151" s="5453"/>
      <c r="EP151" s="5453"/>
      <c r="EQ151" s="5453"/>
      <c r="ER151" s="5453"/>
      <c r="ES151" s="5453"/>
      <c r="ET151" s="5453"/>
      <c r="EU151" s="5453"/>
      <c r="EV151" s="5453"/>
      <c r="EW151" s="5453"/>
      <c r="EX151" s="5453"/>
      <c r="EY151" s="5453"/>
      <c r="EZ151" s="5453"/>
      <c r="FA151" s="5464"/>
    </row>
    <row r="152" spans="1:157" s="2014" customFormat="1" ht="15" customHeight="1">
      <c r="A152" s="16058"/>
      <c r="B152" s="16073"/>
      <c r="C152" s="16073" t="s">
        <v>8111</v>
      </c>
      <c r="D152" s="16073" t="s">
        <v>1216</v>
      </c>
      <c r="E152" s="16073" t="s">
        <v>1217</v>
      </c>
      <c r="F152" s="16073" t="s">
        <v>1073</v>
      </c>
      <c r="G152" s="16195">
        <v>1</v>
      </c>
      <c r="H152" s="16036">
        <v>10</v>
      </c>
      <c r="I152" s="16036">
        <v>10</v>
      </c>
      <c r="J152" s="16036">
        <v>10</v>
      </c>
      <c r="K152" s="16036">
        <v>10</v>
      </c>
      <c r="L152" s="16036">
        <v>12</v>
      </c>
      <c r="M152" s="16036">
        <v>12</v>
      </c>
      <c r="N152" s="16036">
        <v>12</v>
      </c>
      <c r="O152" s="16036">
        <v>12</v>
      </c>
      <c r="P152" s="16036">
        <v>12</v>
      </c>
      <c r="Q152" s="16036">
        <v>12</v>
      </c>
      <c r="R152" s="2757" t="s">
        <v>10072</v>
      </c>
      <c r="S152" s="5186" t="s">
        <v>1218</v>
      </c>
      <c r="T152" s="5187"/>
      <c r="U152" s="5308"/>
      <c r="V152" s="16200"/>
      <c r="W152" s="2744"/>
      <c r="X152" s="2744"/>
      <c r="Y152" s="2744"/>
      <c r="Z152" s="5386"/>
      <c r="AA152" s="5386"/>
      <c r="AB152" s="5386"/>
      <c r="AC152" s="5307"/>
      <c r="AD152" s="2744"/>
      <c r="AE152" s="2744"/>
      <c r="AF152" s="2744"/>
      <c r="AG152" s="2744"/>
      <c r="AH152" s="2744"/>
      <c r="AI152" s="2744"/>
      <c r="AJ152" s="2744"/>
      <c r="AK152" s="2744"/>
      <c r="AL152" s="2744"/>
      <c r="AM152" s="2744"/>
      <c r="AN152" s="2744"/>
      <c r="AO152" s="2744"/>
      <c r="AP152" s="2744"/>
      <c r="AQ152" s="2744"/>
      <c r="AR152" s="2744"/>
      <c r="AS152" s="2744"/>
      <c r="AT152" s="2744"/>
      <c r="AU152" s="2744"/>
      <c r="AV152" s="2744"/>
      <c r="AW152" s="2744"/>
      <c r="AX152" s="2744"/>
      <c r="AY152" s="2744"/>
      <c r="AZ152" s="2744"/>
      <c r="BA152" s="2744"/>
      <c r="BB152" s="2744"/>
      <c r="BC152" s="2744"/>
      <c r="BD152" s="2744"/>
      <c r="BE152" s="2744"/>
      <c r="BF152" s="2744"/>
      <c r="BG152" s="2744"/>
      <c r="BH152" s="5184"/>
      <c r="BI152" s="2744"/>
      <c r="BJ152" s="2744"/>
      <c r="BK152" s="2744"/>
      <c r="BL152" s="2744"/>
      <c r="BM152" s="2744"/>
      <c r="BN152" s="5308">
        <v>1</v>
      </c>
      <c r="BO152" s="16200"/>
      <c r="BP152" s="2744" t="s">
        <v>9548</v>
      </c>
      <c r="BQ152" s="2744"/>
      <c r="BR152" s="2744"/>
      <c r="BS152" s="5309">
        <v>12620000</v>
      </c>
      <c r="BT152" s="5309">
        <v>0</v>
      </c>
      <c r="BU152" s="5309">
        <v>0</v>
      </c>
      <c r="BV152" s="5293">
        <v>0</v>
      </c>
      <c r="BW152" s="5309">
        <v>57</v>
      </c>
      <c r="BX152" s="5309">
        <v>29</v>
      </c>
      <c r="BY152" s="5309">
        <v>28</v>
      </c>
      <c r="BZ152" s="5309">
        <v>57</v>
      </c>
      <c r="CA152" s="5309">
        <v>0</v>
      </c>
      <c r="CB152" s="5309"/>
      <c r="CC152" s="5309"/>
      <c r="CD152" s="5309"/>
      <c r="CE152" s="5309">
        <v>17</v>
      </c>
      <c r="CF152" s="5309">
        <v>40</v>
      </c>
      <c r="CG152" s="5309"/>
      <c r="CH152" s="5309"/>
      <c r="CI152" s="5309"/>
      <c r="CJ152" s="5309"/>
      <c r="CK152" s="5309"/>
      <c r="CL152" s="5309"/>
      <c r="CM152" s="5309"/>
      <c r="CN152" s="5309"/>
      <c r="CO152" s="5309"/>
      <c r="CP152" s="5309"/>
      <c r="CQ152" s="5309">
        <v>57</v>
      </c>
      <c r="CR152" s="5309"/>
      <c r="CS152" s="5309"/>
      <c r="CT152" s="5309"/>
      <c r="CU152" s="5309"/>
      <c r="CV152" s="5309"/>
      <c r="CW152" s="5309" t="s">
        <v>9549</v>
      </c>
      <c r="CX152" s="5309"/>
      <c r="CY152" s="5309">
        <v>57</v>
      </c>
      <c r="CZ152" s="5309" t="s">
        <v>9550</v>
      </c>
      <c r="DA152" s="5389" t="s">
        <v>9550</v>
      </c>
      <c r="DB152" s="5309"/>
      <c r="DC152" s="5309"/>
      <c r="DD152" s="5309"/>
      <c r="DE152" s="5309"/>
      <c r="DF152" s="5309"/>
      <c r="DG152" s="5453"/>
      <c r="DH152" s="5453"/>
      <c r="DI152" s="5453"/>
      <c r="DJ152" s="5453"/>
      <c r="DK152" s="5453"/>
      <c r="DL152" s="5453"/>
      <c r="DM152" s="5453"/>
      <c r="DN152" s="5453"/>
      <c r="DO152" s="5453"/>
      <c r="DP152" s="5453"/>
      <c r="DQ152" s="5453"/>
      <c r="DR152" s="5453"/>
      <c r="DS152" s="5453"/>
      <c r="DT152" s="5453"/>
      <c r="DU152" s="5453"/>
      <c r="DV152" s="5453"/>
      <c r="DW152" s="5453"/>
      <c r="DX152" s="5453"/>
      <c r="DY152" s="5453"/>
      <c r="DZ152" s="5453"/>
      <c r="EA152" s="5453"/>
      <c r="EB152" s="5453"/>
      <c r="EC152" s="5453"/>
      <c r="ED152" s="5453"/>
      <c r="EE152" s="5453"/>
      <c r="EF152" s="5453"/>
      <c r="EG152" s="5453"/>
      <c r="EH152" s="5453"/>
      <c r="EI152" s="5453"/>
      <c r="EJ152" s="5453"/>
      <c r="EK152" s="5453"/>
      <c r="EL152" s="5453"/>
      <c r="EM152" s="5453"/>
      <c r="EN152" s="5453"/>
      <c r="EO152" s="5453"/>
      <c r="EP152" s="5453"/>
      <c r="EQ152" s="5453"/>
      <c r="ER152" s="5453"/>
      <c r="ES152" s="5453"/>
      <c r="ET152" s="5453"/>
      <c r="EU152" s="5453"/>
      <c r="EV152" s="5453"/>
      <c r="EW152" s="5453"/>
      <c r="EX152" s="5453"/>
      <c r="EY152" s="5453"/>
      <c r="EZ152" s="5453"/>
      <c r="FA152" s="5464"/>
    </row>
    <row r="153" spans="1:157" s="2014" customFormat="1" ht="15" customHeight="1">
      <c r="A153" s="16058"/>
      <c r="B153" s="16073"/>
      <c r="C153" s="16073"/>
      <c r="D153" s="16073"/>
      <c r="E153" s="16073"/>
      <c r="F153" s="16073"/>
      <c r="G153" s="16195"/>
      <c r="H153" s="16036"/>
      <c r="I153" s="16036"/>
      <c r="J153" s="16036"/>
      <c r="K153" s="16036"/>
      <c r="L153" s="16036"/>
      <c r="M153" s="16036"/>
      <c r="N153" s="16036"/>
      <c r="O153" s="16036"/>
      <c r="P153" s="16036"/>
      <c r="Q153" s="16036"/>
      <c r="R153" s="2757" t="s">
        <v>86</v>
      </c>
      <c r="S153" s="5186"/>
      <c r="T153" s="5187" t="s">
        <v>9568</v>
      </c>
      <c r="U153" s="5308"/>
      <c r="V153" s="16200"/>
      <c r="W153" s="5187"/>
      <c r="X153" s="2744"/>
      <c r="Y153" s="2744"/>
      <c r="Z153" s="5383"/>
      <c r="AA153" s="5383"/>
      <c r="AB153" s="5383"/>
      <c r="AC153" s="5307"/>
      <c r="AD153" s="5390"/>
      <c r="AE153" s="5391"/>
      <c r="AF153" s="5390"/>
      <c r="AG153" s="5390"/>
      <c r="AH153" s="5391"/>
      <c r="AI153" s="5392"/>
      <c r="AJ153" s="5392"/>
      <c r="AK153" s="5392"/>
      <c r="AL153" s="5392"/>
      <c r="AM153" s="5393"/>
      <c r="AN153" s="5393"/>
      <c r="AO153" s="5392"/>
      <c r="AP153" s="5393"/>
      <c r="AQ153" s="5392"/>
      <c r="AR153" s="5392"/>
      <c r="AS153" s="5392"/>
      <c r="AT153" s="5392"/>
      <c r="AU153" s="5392"/>
      <c r="AV153" s="5392"/>
      <c r="AW153" s="5392"/>
      <c r="AX153" s="5393"/>
      <c r="AY153" s="5392"/>
      <c r="AZ153" s="5392"/>
      <c r="BA153" s="5392"/>
      <c r="BB153" s="5392"/>
      <c r="BC153" s="5392"/>
      <c r="BD153" s="5392"/>
      <c r="BE153" s="5392"/>
      <c r="BF153" s="5392"/>
      <c r="BG153" s="5392"/>
      <c r="BH153" s="5392"/>
      <c r="BI153" s="5392"/>
      <c r="BJ153" s="5392"/>
      <c r="BK153" s="5392"/>
      <c r="BL153" s="5392"/>
      <c r="BM153" s="5392"/>
      <c r="BN153" s="5308">
        <v>1</v>
      </c>
      <c r="BO153" s="16200"/>
      <c r="BP153" s="5187" t="s">
        <v>9551</v>
      </c>
      <c r="BQ153" s="2744">
        <v>2</v>
      </c>
      <c r="BR153" s="2744" t="s">
        <v>9552</v>
      </c>
      <c r="BS153" s="5384">
        <v>265727218.26470101</v>
      </c>
      <c r="BT153" s="5384">
        <f>+BS153*70%</f>
        <v>186009052.78529069</v>
      </c>
      <c r="BU153" s="5384">
        <f>+BS153*30%</f>
        <v>79718165.479410306</v>
      </c>
      <c r="BV153" s="5293">
        <v>0</v>
      </c>
      <c r="BW153" s="5390">
        <v>5165</v>
      </c>
      <c r="BX153" s="5390">
        <v>670</v>
      </c>
      <c r="BY153" s="5390">
        <v>4495</v>
      </c>
      <c r="BZ153" s="5390">
        <v>4496</v>
      </c>
      <c r="CA153" s="5390">
        <v>669</v>
      </c>
      <c r="CB153" s="5393">
        <v>14</v>
      </c>
      <c r="CC153" s="5393">
        <v>102</v>
      </c>
      <c r="CD153" s="5393">
        <v>151</v>
      </c>
      <c r="CE153" s="5393">
        <v>456</v>
      </c>
      <c r="CF153" s="5393">
        <v>3321</v>
      </c>
      <c r="CG153" s="5393">
        <v>1121</v>
      </c>
      <c r="CH153" s="5393"/>
      <c r="CI153" s="5393">
        <v>4462</v>
      </c>
      <c r="CJ153" s="5393">
        <v>43</v>
      </c>
      <c r="CK153" s="5393">
        <v>146</v>
      </c>
      <c r="CL153" s="5393">
        <v>37</v>
      </c>
      <c r="CM153" s="5393">
        <v>266</v>
      </c>
      <c r="CN153" s="5393">
        <v>2</v>
      </c>
      <c r="CO153" s="5393">
        <v>1</v>
      </c>
      <c r="CP153" s="5393">
        <v>16</v>
      </c>
      <c r="CQ153" s="5393">
        <v>4890</v>
      </c>
      <c r="CR153" s="5393">
        <v>101</v>
      </c>
      <c r="CS153" s="5393">
        <v>40</v>
      </c>
      <c r="CT153" s="5393">
        <v>1</v>
      </c>
      <c r="CU153" s="5393">
        <v>3</v>
      </c>
      <c r="CV153" s="5393">
        <v>2</v>
      </c>
      <c r="CW153" s="5393"/>
      <c r="CX153" s="5393"/>
      <c r="CY153" s="5393"/>
      <c r="CZ153" s="5393"/>
      <c r="DA153" s="5393"/>
      <c r="DB153" s="5393"/>
      <c r="DC153" s="5393"/>
      <c r="DD153" s="5393"/>
      <c r="DE153" s="5393"/>
      <c r="DF153" s="5393"/>
      <c r="DG153" s="5453"/>
      <c r="DH153" s="5453"/>
      <c r="DI153" s="5453"/>
      <c r="DJ153" s="5453"/>
      <c r="DK153" s="5453"/>
      <c r="DL153" s="5453"/>
      <c r="DM153" s="5453"/>
      <c r="DN153" s="5453"/>
      <c r="DO153" s="5453"/>
      <c r="DP153" s="5453"/>
      <c r="DQ153" s="5453"/>
      <c r="DR153" s="5453"/>
      <c r="DS153" s="5453"/>
      <c r="DT153" s="5453"/>
      <c r="DU153" s="5453"/>
      <c r="DV153" s="5453"/>
      <c r="DW153" s="5453"/>
      <c r="DX153" s="5453"/>
      <c r="DY153" s="5453"/>
      <c r="DZ153" s="5453"/>
      <c r="EA153" s="5453"/>
      <c r="EB153" s="5453"/>
      <c r="EC153" s="5453"/>
      <c r="ED153" s="5453"/>
      <c r="EE153" s="5453"/>
      <c r="EF153" s="5453"/>
      <c r="EG153" s="5453"/>
      <c r="EH153" s="5453"/>
      <c r="EI153" s="5453"/>
      <c r="EJ153" s="5453"/>
      <c r="EK153" s="5453"/>
      <c r="EL153" s="5453"/>
      <c r="EM153" s="5453"/>
      <c r="EN153" s="5453"/>
      <c r="EO153" s="5453"/>
      <c r="EP153" s="5453"/>
      <c r="EQ153" s="5453"/>
      <c r="ER153" s="5453"/>
      <c r="ES153" s="5453"/>
      <c r="ET153" s="5453"/>
      <c r="EU153" s="5453"/>
      <c r="EV153" s="5453"/>
      <c r="EW153" s="5453"/>
      <c r="EX153" s="5453"/>
      <c r="EY153" s="5453"/>
      <c r="EZ153" s="5453"/>
      <c r="FA153" s="5464"/>
    </row>
    <row r="154" spans="1:157" s="2014" customFormat="1" ht="15" customHeight="1">
      <c r="A154" s="16058"/>
      <c r="B154" s="16073"/>
      <c r="C154" s="16073" t="s">
        <v>8112</v>
      </c>
      <c r="D154" s="16073" t="s">
        <v>1219</v>
      </c>
      <c r="E154" s="16073" t="s">
        <v>1220</v>
      </c>
      <c r="F154" s="16073" t="s">
        <v>1073</v>
      </c>
      <c r="G154" s="16195">
        <v>1</v>
      </c>
      <c r="H154" s="16036">
        <v>2</v>
      </c>
      <c r="I154" s="16036">
        <v>4</v>
      </c>
      <c r="J154" s="16036">
        <v>4</v>
      </c>
      <c r="K154" s="16036">
        <v>4</v>
      </c>
      <c r="L154" s="16036">
        <v>6</v>
      </c>
      <c r="M154" s="16036">
        <v>6</v>
      </c>
      <c r="N154" s="16036">
        <v>6</v>
      </c>
      <c r="O154" s="16036">
        <v>6</v>
      </c>
      <c r="P154" s="16036">
        <v>6</v>
      </c>
      <c r="Q154" s="16036">
        <v>6</v>
      </c>
      <c r="R154" s="2757" t="s">
        <v>10072</v>
      </c>
      <c r="S154" s="5186" t="s">
        <v>1218</v>
      </c>
      <c r="T154" s="5187"/>
      <c r="U154" s="5308"/>
      <c r="V154" s="16200"/>
      <c r="W154" s="2744"/>
      <c r="X154" s="2744"/>
      <c r="Y154" s="2744"/>
      <c r="Z154" s="5386"/>
      <c r="AA154" s="5386"/>
      <c r="AB154" s="5386"/>
      <c r="AC154" s="5307"/>
      <c r="AD154" s="2744"/>
      <c r="AE154" s="2744"/>
      <c r="AF154" s="2744"/>
      <c r="AG154" s="2744"/>
      <c r="AH154" s="2744"/>
      <c r="AI154" s="2744"/>
      <c r="AJ154" s="2744"/>
      <c r="AK154" s="2744"/>
      <c r="AL154" s="2744"/>
      <c r="AM154" s="2744"/>
      <c r="AN154" s="2744"/>
      <c r="AO154" s="2744"/>
      <c r="AP154" s="2744"/>
      <c r="AQ154" s="2744"/>
      <c r="AR154" s="2744"/>
      <c r="AS154" s="2744"/>
      <c r="AT154" s="2744"/>
      <c r="AU154" s="2744"/>
      <c r="AV154" s="2744"/>
      <c r="AW154" s="2744"/>
      <c r="AX154" s="2744"/>
      <c r="AY154" s="2744"/>
      <c r="AZ154" s="2744"/>
      <c r="BA154" s="2744"/>
      <c r="BB154" s="2744"/>
      <c r="BC154" s="2744"/>
      <c r="BD154" s="2744"/>
      <c r="BE154" s="2744"/>
      <c r="BF154" s="2744"/>
      <c r="BG154" s="2744"/>
      <c r="BH154" s="5184"/>
      <c r="BI154" s="2744"/>
      <c r="BJ154" s="2744"/>
      <c r="BK154" s="2744"/>
      <c r="BL154" s="2744"/>
      <c r="BM154" s="2744"/>
      <c r="BN154" s="5308">
        <v>1</v>
      </c>
      <c r="BO154" s="16200"/>
      <c r="BP154" s="2744" t="s">
        <v>9553</v>
      </c>
      <c r="BQ154" s="2744"/>
      <c r="BR154" s="2744"/>
      <c r="BS154" s="5309">
        <v>10096000</v>
      </c>
      <c r="BT154" s="5309">
        <v>0</v>
      </c>
      <c r="BU154" s="5309">
        <v>0</v>
      </c>
      <c r="BV154" s="5293">
        <v>0</v>
      </c>
      <c r="BW154" s="5309">
        <v>75</v>
      </c>
      <c r="BX154" s="5309">
        <v>70</v>
      </c>
      <c r="BY154" s="5309">
        <v>5</v>
      </c>
      <c r="BZ154" s="5309">
        <v>75</v>
      </c>
      <c r="CA154" s="5309"/>
      <c r="CB154" s="5309"/>
      <c r="CC154" s="5309"/>
      <c r="CD154" s="5309"/>
      <c r="CE154" s="5309"/>
      <c r="CF154" s="5309">
        <v>75</v>
      </c>
      <c r="CG154" s="5309"/>
      <c r="CH154" s="5309"/>
      <c r="CI154" s="5309"/>
      <c r="CJ154" s="5309"/>
      <c r="CK154" s="5309"/>
      <c r="CL154" s="5309"/>
      <c r="CM154" s="5309"/>
      <c r="CN154" s="5309"/>
      <c r="CO154" s="5309"/>
      <c r="CP154" s="5309"/>
      <c r="CQ154" s="5309">
        <v>75</v>
      </c>
      <c r="CR154" s="5309"/>
      <c r="CS154" s="5309"/>
      <c r="CT154" s="5309"/>
      <c r="CU154" s="5309"/>
      <c r="CV154" s="5309"/>
      <c r="CW154" s="5309" t="s">
        <v>9537</v>
      </c>
      <c r="CX154" s="5309"/>
      <c r="CY154" s="5309">
        <v>75</v>
      </c>
      <c r="CZ154" s="5309" t="s">
        <v>9543</v>
      </c>
      <c r="DA154" s="5389" t="s">
        <v>9544</v>
      </c>
      <c r="DB154" s="5309"/>
      <c r="DC154" s="5309"/>
      <c r="DD154" s="5309"/>
      <c r="DE154" s="5309"/>
      <c r="DF154" s="5309"/>
      <c r="DG154" s="5453"/>
      <c r="DH154" s="5453"/>
      <c r="DI154" s="5453"/>
      <c r="DJ154" s="5453"/>
      <c r="DK154" s="5453"/>
      <c r="DL154" s="5453"/>
      <c r="DM154" s="5453"/>
      <c r="DN154" s="5453"/>
      <c r="DO154" s="5453"/>
      <c r="DP154" s="5453"/>
      <c r="DQ154" s="5453"/>
      <c r="DR154" s="5453"/>
      <c r="DS154" s="5453"/>
      <c r="DT154" s="5453"/>
      <c r="DU154" s="5453"/>
      <c r="DV154" s="5453"/>
      <c r="DW154" s="5453"/>
      <c r="DX154" s="5453"/>
      <c r="DY154" s="5453"/>
      <c r="DZ154" s="5453"/>
      <c r="EA154" s="5453"/>
      <c r="EB154" s="5453"/>
      <c r="EC154" s="5453"/>
      <c r="ED154" s="5453"/>
      <c r="EE154" s="5453"/>
      <c r="EF154" s="5453"/>
      <c r="EG154" s="5453"/>
      <c r="EH154" s="5453"/>
      <c r="EI154" s="5453"/>
      <c r="EJ154" s="5453"/>
      <c r="EK154" s="5453"/>
      <c r="EL154" s="5453"/>
      <c r="EM154" s="5453"/>
      <c r="EN154" s="5453"/>
      <c r="EO154" s="5453"/>
      <c r="EP154" s="5453"/>
      <c r="EQ154" s="5453"/>
      <c r="ER154" s="5453"/>
      <c r="ES154" s="5453"/>
      <c r="ET154" s="5453"/>
      <c r="EU154" s="5453"/>
      <c r="EV154" s="5453"/>
      <c r="EW154" s="5453"/>
      <c r="EX154" s="5453"/>
      <c r="EY154" s="5453"/>
      <c r="EZ154" s="5453"/>
      <c r="FA154" s="5464"/>
    </row>
    <row r="155" spans="1:157" s="2014" customFormat="1" ht="15" customHeight="1">
      <c r="A155" s="16058"/>
      <c r="B155" s="16073"/>
      <c r="C155" s="16073"/>
      <c r="D155" s="16073"/>
      <c r="E155" s="16073"/>
      <c r="F155" s="16073"/>
      <c r="G155" s="16195"/>
      <c r="H155" s="16036"/>
      <c r="I155" s="16036"/>
      <c r="J155" s="16036"/>
      <c r="K155" s="16036"/>
      <c r="L155" s="16036"/>
      <c r="M155" s="16036"/>
      <c r="N155" s="16036"/>
      <c r="O155" s="16036"/>
      <c r="P155" s="16036"/>
      <c r="Q155" s="16036"/>
      <c r="R155" s="2757" t="s">
        <v>86</v>
      </c>
      <c r="S155" s="5186"/>
      <c r="T155" s="5187" t="s">
        <v>9568</v>
      </c>
      <c r="U155" s="5308"/>
      <c r="V155" s="16200"/>
      <c r="W155" s="5187"/>
      <c r="X155" s="5187"/>
      <c r="Y155" s="2744"/>
      <c r="Z155" s="5383"/>
      <c r="AA155" s="5383"/>
      <c r="AB155" s="5383"/>
      <c r="AC155" s="5307"/>
      <c r="AD155" s="2744"/>
      <c r="AE155" s="2744"/>
      <c r="AF155" s="2744"/>
      <c r="AG155" s="2744"/>
      <c r="AH155" s="2744"/>
      <c r="AI155" s="2744"/>
      <c r="AJ155" s="2744"/>
      <c r="AK155" s="2744"/>
      <c r="AL155" s="2744"/>
      <c r="AM155" s="2744"/>
      <c r="AN155" s="2744"/>
      <c r="AO155" s="2744"/>
      <c r="AP155" s="2744"/>
      <c r="AQ155" s="2744"/>
      <c r="AR155" s="2744"/>
      <c r="AS155" s="2744"/>
      <c r="AT155" s="2744"/>
      <c r="AU155" s="2744"/>
      <c r="AV155" s="2744"/>
      <c r="AW155" s="2744"/>
      <c r="AX155" s="2744"/>
      <c r="AY155" s="2744"/>
      <c r="AZ155" s="2744"/>
      <c r="BA155" s="2744"/>
      <c r="BB155" s="2744"/>
      <c r="BC155" s="2744"/>
      <c r="BD155" s="2744"/>
      <c r="BE155" s="2744"/>
      <c r="BF155" s="2744"/>
      <c r="BG155" s="2744"/>
      <c r="BH155" s="5184"/>
      <c r="BI155" s="2744"/>
      <c r="BJ155" s="2744"/>
      <c r="BK155" s="2744"/>
      <c r="BL155" s="2744"/>
      <c r="BM155" s="2744"/>
      <c r="BN155" s="5308">
        <v>1</v>
      </c>
      <c r="BO155" s="16200"/>
      <c r="BP155" s="5187" t="s">
        <v>9554</v>
      </c>
      <c r="BQ155" s="5187" t="s">
        <v>9451</v>
      </c>
      <c r="BR155" s="2744"/>
      <c r="BS155" s="5384">
        <v>317207295.19376564</v>
      </c>
      <c r="BT155" s="5384">
        <f>+BS155*70%</f>
        <v>222045106.63563594</v>
      </c>
      <c r="BU155" s="5384">
        <f>+BS155*30%</f>
        <v>95162188.558129683</v>
      </c>
      <c r="BV155" s="5293">
        <v>0</v>
      </c>
      <c r="BW155" s="5309"/>
      <c r="BX155" s="5309"/>
      <c r="BY155" s="5309"/>
      <c r="BZ155" s="5309"/>
      <c r="CA155" s="5309"/>
      <c r="CB155" s="5309"/>
      <c r="CC155" s="5309"/>
      <c r="CD155" s="5309"/>
      <c r="CE155" s="5309"/>
      <c r="CF155" s="5309"/>
      <c r="CG155" s="5309"/>
      <c r="CH155" s="5309"/>
      <c r="CI155" s="5309"/>
      <c r="CJ155" s="5309"/>
      <c r="CK155" s="5309"/>
      <c r="CL155" s="5309"/>
      <c r="CM155" s="5309"/>
      <c r="CN155" s="5309"/>
      <c r="CO155" s="5309"/>
      <c r="CP155" s="5309"/>
      <c r="CQ155" s="5309"/>
      <c r="CR155" s="5309"/>
      <c r="CS155" s="5309"/>
      <c r="CT155" s="5309"/>
      <c r="CU155" s="5309"/>
      <c r="CV155" s="5309"/>
      <c r="CW155" s="5309"/>
      <c r="CX155" s="5309"/>
      <c r="CY155" s="5309"/>
      <c r="CZ155" s="5309"/>
      <c r="DA155" s="5389"/>
      <c r="DB155" s="5309"/>
      <c r="DC155" s="5309"/>
      <c r="DD155" s="5309"/>
      <c r="DE155" s="5309"/>
      <c r="DF155" s="5309"/>
      <c r="DG155" s="5453"/>
      <c r="DH155" s="5453"/>
      <c r="DI155" s="5453"/>
      <c r="DJ155" s="5453"/>
      <c r="DK155" s="5453"/>
      <c r="DL155" s="5453"/>
      <c r="DM155" s="5453"/>
      <c r="DN155" s="5453"/>
      <c r="DO155" s="5453"/>
      <c r="DP155" s="5453"/>
      <c r="DQ155" s="5453"/>
      <c r="DR155" s="5453"/>
      <c r="DS155" s="5453"/>
      <c r="DT155" s="5453"/>
      <c r="DU155" s="5453"/>
      <c r="DV155" s="5453"/>
      <c r="DW155" s="5453"/>
      <c r="DX155" s="5453"/>
      <c r="DY155" s="5453"/>
      <c r="DZ155" s="5453"/>
      <c r="EA155" s="5453"/>
      <c r="EB155" s="5453"/>
      <c r="EC155" s="5453"/>
      <c r="ED155" s="5453"/>
      <c r="EE155" s="5453"/>
      <c r="EF155" s="5453"/>
      <c r="EG155" s="5453"/>
      <c r="EH155" s="5453"/>
      <c r="EI155" s="5453"/>
      <c r="EJ155" s="5453"/>
      <c r="EK155" s="5453"/>
      <c r="EL155" s="5453"/>
      <c r="EM155" s="5453"/>
      <c r="EN155" s="5453"/>
      <c r="EO155" s="5453"/>
      <c r="EP155" s="5453"/>
      <c r="EQ155" s="5453"/>
      <c r="ER155" s="5453"/>
      <c r="ES155" s="5453"/>
      <c r="ET155" s="5453"/>
      <c r="EU155" s="5453"/>
      <c r="EV155" s="5453"/>
      <c r="EW155" s="5453"/>
      <c r="EX155" s="5453"/>
      <c r="EY155" s="5453"/>
      <c r="EZ155" s="5453"/>
      <c r="FA155" s="5464"/>
    </row>
    <row r="156" spans="1:157" s="2014" customFormat="1" ht="15" customHeight="1">
      <c r="A156" s="16058"/>
      <c r="B156" s="16073" t="s">
        <v>1221</v>
      </c>
      <c r="C156" s="16073" t="s">
        <v>8113</v>
      </c>
      <c r="D156" s="16073" t="s">
        <v>1222</v>
      </c>
      <c r="E156" s="16073" t="s">
        <v>1223</v>
      </c>
      <c r="F156" s="16073" t="s">
        <v>1073</v>
      </c>
      <c r="G156" s="16195">
        <v>1</v>
      </c>
      <c r="H156" s="16036">
        <v>5</v>
      </c>
      <c r="I156" s="16036">
        <v>5</v>
      </c>
      <c r="J156" s="16036">
        <v>5</v>
      </c>
      <c r="K156" s="16036">
        <v>5</v>
      </c>
      <c r="L156" s="16036">
        <v>8</v>
      </c>
      <c r="M156" s="16036">
        <v>8</v>
      </c>
      <c r="N156" s="16036">
        <v>8</v>
      </c>
      <c r="O156" s="16036">
        <v>8</v>
      </c>
      <c r="P156" s="16036">
        <v>8</v>
      </c>
      <c r="Q156" s="16036">
        <v>8</v>
      </c>
      <c r="R156" s="2757" t="s">
        <v>10072</v>
      </c>
      <c r="S156" s="5186" t="s">
        <v>1224</v>
      </c>
      <c r="T156" s="5187"/>
      <c r="U156" s="5308"/>
      <c r="V156" s="16200"/>
      <c r="W156" s="2744"/>
      <c r="X156" s="2744"/>
      <c r="Y156" s="2744"/>
      <c r="Z156" s="5386"/>
      <c r="AA156" s="5386"/>
      <c r="AB156" s="5386"/>
      <c r="AC156" s="5307"/>
      <c r="AD156" s="2744"/>
      <c r="AE156" s="2744"/>
      <c r="AF156" s="2744"/>
      <c r="AG156" s="2744"/>
      <c r="AH156" s="2744"/>
      <c r="AI156" s="2744"/>
      <c r="AJ156" s="2744"/>
      <c r="AK156" s="2744"/>
      <c r="AL156" s="2744"/>
      <c r="AM156" s="2744"/>
      <c r="AN156" s="2744"/>
      <c r="AO156" s="2744"/>
      <c r="AP156" s="2744"/>
      <c r="AQ156" s="2744"/>
      <c r="AR156" s="2744"/>
      <c r="AS156" s="2744"/>
      <c r="AT156" s="2744"/>
      <c r="AU156" s="2744"/>
      <c r="AV156" s="2744"/>
      <c r="AW156" s="2744"/>
      <c r="AX156" s="2744"/>
      <c r="AY156" s="2744"/>
      <c r="AZ156" s="2744"/>
      <c r="BA156" s="2744"/>
      <c r="BB156" s="2744"/>
      <c r="BC156" s="2744"/>
      <c r="BD156" s="2744"/>
      <c r="BE156" s="2744"/>
      <c r="BF156" s="2744"/>
      <c r="BG156" s="2744"/>
      <c r="BH156" s="2744"/>
      <c r="BI156" s="2744"/>
      <c r="BJ156" s="2744"/>
      <c r="BK156" s="2744"/>
      <c r="BL156" s="2744"/>
      <c r="BM156" s="2744"/>
      <c r="BN156" s="5308">
        <v>0.2</v>
      </c>
      <c r="BO156" s="16200"/>
      <c r="BP156" s="2744" t="s">
        <v>9555</v>
      </c>
      <c r="BQ156" s="2744"/>
      <c r="BR156" s="2744"/>
      <c r="BS156" s="5309">
        <v>0</v>
      </c>
      <c r="BT156" s="5309">
        <v>0</v>
      </c>
      <c r="BU156" s="5309">
        <v>0</v>
      </c>
      <c r="BV156" s="5293">
        <v>0</v>
      </c>
      <c r="BW156" s="5309"/>
      <c r="BX156" s="5309"/>
      <c r="BY156" s="5309"/>
      <c r="BZ156" s="5309"/>
      <c r="CA156" s="5309"/>
      <c r="CB156" s="5309"/>
      <c r="CC156" s="5309"/>
      <c r="CD156" s="5309"/>
      <c r="CE156" s="5309"/>
      <c r="CF156" s="5309"/>
      <c r="CG156" s="5309"/>
      <c r="CH156" s="5309"/>
      <c r="CI156" s="5309"/>
      <c r="CJ156" s="5309"/>
      <c r="CK156" s="5309"/>
      <c r="CL156" s="5309"/>
      <c r="CM156" s="5309"/>
      <c r="CN156" s="5309"/>
      <c r="CO156" s="5309"/>
      <c r="CP156" s="5309"/>
      <c r="CQ156" s="5309"/>
      <c r="CR156" s="5309"/>
      <c r="CS156" s="5309"/>
      <c r="CT156" s="5309"/>
      <c r="CU156" s="5309"/>
      <c r="CV156" s="5309"/>
      <c r="CW156" s="5309"/>
      <c r="CX156" s="5309"/>
      <c r="CY156" s="5309"/>
      <c r="CZ156" s="5309"/>
      <c r="DA156" s="5309"/>
      <c r="DB156" s="5309"/>
      <c r="DC156" s="5309"/>
      <c r="DD156" s="5309"/>
      <c r="DE156" s="5309"/>
      <c r="DF156" s="5309"/>
      <c r="DG156" s="5453"/>
      <c r="DH156" s="5453"/>
      <c r="DI156" s="5453"/>
      <c r="DJ156" s="5453"/>
      <c r="DK156" s="5453"/>
      <c r="DL156" s="5453"/>
      <c r="DM156" s="5453"/>
      <c r="DN156" s="5453"/>
      <c r="DO156" s="5453"/>
      <c r="DP156" s="5453"/>
      <c r="DQ156" s="5453"/>
      <c r="DR156" s="5453"/>
      <c r="DS156" s="5453"/>
      <c r="DT156" s="5453"/>
      <c r="DU156" s="5453"/>
      <c r="DV156" s="5453"/>
      <c r="DW156" s="5453"/>
      <c r="DX156" s="5453"/>
      <c r="DY156" s="5453"/>
      <c r="DZ156" s="5453"/>
      <c r="EA156" s="5453"/>
      <c r="EB156" s="5453"/>
      <c r="EC156" s="5453"/>
      <c r="ED156" s="5453"/>
      <c r="EE156" s="5453"/>
      <c r="EF156" s="5453"/>
      <c r="EG156" s="5453"/>
      <c r="EH156" s="5453"/>
      <c r="EI156" s="5453"/>
      <c r="EJ156" s="5453"/>
      <c r="EK156" s="5453"/>
      <c r="EL156" s="5453"/>
      <c r="EM156" s="5453"/>
      <c r="EN156" s="5453"/>
      <c r="EO156" s="5453"/>
      <c r="EP156" s="5453"/>
      <c r="EQ156" s="5453"/>
      <c r="ER156" s="5453"/>
      <c r="ES156" s="5453"/>
      <c r="ET156" s="5453"/>
      <c r="EU156" s="5453"/>
      <c r="EV156" s="5453"/>
      <c r="EW156" s="5453"/>
      <c r="EX156" s="5453"/>
      <c r="EY156" s="5453"/>
      <c r="EZ156" s="5453"/>
      <c r="FA156" s="5464"/>
    </row>
    <row r="157" spans="1:157" s="2014" customFormat="1" ht="15" customHeight="1">
      <c r="A157" s="16058"/>
      <c r="B157" s="16073"/>
      <c r="C157" s="16073"/>
      <c r="D157" s="16073"/>
      <c r="E157" s="16073"/>
      <c r="F157" s="16073"/>
      <c r="G157" s="16195"/>
      <c r="H157" s="16036"/>
      <c r="I157" s="16036"/>
      <c r="J157" s="16036"/>
      <c r="K157" s="16036"/>
      <c r="L157" s="16036"/>
      <c r="M157" s="16036"/>
      <c r="N157" s="16036"/>
      <c r="O157" s="16036"/>
      <c r="P157" s="16036"/>
      <c r="Q157" s="16036"/>
      <c r="R157" s="2757" t="s">
        <v>2896</v>
      </c>
      <c r="S157" s="5186"/>
      <c r="T157" s="5187" t="s">
        <v>1213</v>
      </c>
      <c r="U157" s="5308"/>
      <c r="V157" s="16200"/>
      <c r="W157" s="5187"/>
      <c r="X157" s="5385"/>
      <c r="Y157" s="2744"/>
      <c r="Z157" s="5386"/>
      <c r="AA157" s="5386"/>
      <c r="AB157" s="5386"/>
      <c r="AC157" s="5307"/>
      <c r="AD157" s="2744"/>
      <c r="AE157" s="2744"/>
      <c r="AF157" s="2744"/>
      <c r="AG157" s="2744"/>
      <c r="AH157" s="2744"/>
      <c r="AI157" s="2744"/>
      <c r="AJ157" s="2744"/>
      <c r="AK157" s="2744"/>
      <c r="AL157" s="2744"/>
      <c r="AM157" s="2744"/>
      <c r="AN157" s="2744"/>
      <c r="AO157" s="2744"/>
      <c r="AP157" s="2744"/>
      <c r="AQ157" s="2744"/>
      <c r="AR157" s="2744"/>
      <c r="AS157" s="2744"/>
      <c r="AT157" s="2744"/>
      <c r="AU157" s="2744"/>
      <c r="AV157" s="2744"/>
      <c r="AW157" s="2744"/>
      <c r="AX157" s="2744"/>
      <c r="AY157" s="2744"/>
      <c r="AZ157" s="2744"/>
      <c r="BA157" s="2744"/>
      <c r="BB157" s="2744"/>
      <c r="BC157" s="2744"/>
      <c r="BD157" s="2744"/>
      <c r="BE157" s="2744"/>
      <c r="BF157" s="2744"/>
      <c r="BG157" s="2744"/>
      <c r="BH157" s="2744"/>
      <c r="BI157" s="2744"/>
      <c r="BJ157" s="2744"/>
      <c r="BK157" s="2744"/>
      <c r="BL157" s="2744"/>
      <c r="BM157" s="2744"/>
      <c r="BN157" s="5308">
        <v>0</v>
      </c>
      <c r="BO157" s="16200"/>
      <c r="BP157" s="5187" t="s">
        <v>9488</v>
      </c>
      <c r="BQ157" s="5385" t="s">
        <v>2951</v>
      </c>
      <c r="BR157" s="2744"/>
      <c r="BS157" s="5309">
        <v>0</v>
      </c>
      <c r="BT157" s="5309">
        <v>0</v>
      </c>
      <c r="BU157" s="5309">
        <v>0</v>
      </c>
      <c r="BV157" s="5293">
        <v>0</v>
      </c>
      <c r="BW157" s="5309"/>
      <c r="BX157" s="5309"/>
      <c r="BY157" s="5309"/>
      <c r="BZ157" s="5309"/>
      <c r="CA157" s="5309"/>
      <c r="CB157" s="5309"/>
      <c r="CC157" s="5309"/>
      <c r="CD157" s="5309"/>
      <c r="CE157" s="5309"/>
      <c r="CF157" s="5309"/>
      <c r="CG157" s="5309"/>
      <c r="CH157" s="5309"/>
      <c r="CI157" s="5309"/>
      <c r="CJ157" s="5309"/>
      <c r="CK157" s="5309"/>
      <c r="CL157" s="5309"/>
      <c r="CM157" s="5309"/>
      <c r="CN157" s="5309"/>
      <c r="CO157" s="5309"/>
      <c r="CP157" s="5309"/>
      <c r="CQ157" s="5309"/>
      <c r="CR157" s="5309"/>
      <c r="CS157" s="5309"/>
      <c r="CT157" s="5309"/>
      <c r="CU157" s="5309"/>
      <c r="CV157" s="5309"/>
      <c r="CW157" s="5309"/>
      <c r="CX157" s="5309"/>
      <c r="CY157" s="5309"/>
      <c r="CZ157" s="5309"/>
      <c r="DA157" s="5309"/>
      <c r="DB157" s="5309"/>
      <c r="DC157" s="5309"/>
      <c r="DD157" s="5309"/>
      <c r="DE157" s="5309"/>
      <c r="DF157" s="5309"/>
      <c r="DG157" s="5453"/>
      <c r="DH157" s="5453"/>
      <c r="DI157" s="5453"/>
      <c r="DJ157" s="5453"/>
      <c r="DK157" s="5453"/>
      <c r="DL157" s="5453"/>
      <c r="DM157" s="5453"/>
      <c r="DN157" s="5453"/>
      <c r="DO157" s="5453"/>
      <c r="DP157" s="5453"/>
      <c r="DQ157" s="5453"/>
      <c r="DR157" s="5453"/>
      <c r="DS157" s="5453"/>
      <c r="DT157" s="5453"/>
      <c r="DU157" s="5453"/>
      <c r="DV157" s="5453"/>
      <c r="DW157" s="5453"/>
      <c r="DX157" s="5453"/>
      <c r="DY157" s="5453"/>
      <c r="DZ157" s="5453"/>
      <c r="EA157" s="5453"/>
      <c r="EB157" s="5453"/>
      <c r="EC157" s="5453"/>
      <c r="ED157" s="5453"/>
      <c r="EE157" s="5453"/>
      <c r="EF157" s="5453"/>
      <c r="EG157" s="5453"/>
      <c r="EH157" s="5453"/>
      <c r="EI157" s="5453"/>
      <c r="EJ157" s="5453"/>
      <c r="EK157" s="5453"/>
      <c r="EL157" s="5453"/>
      <c r="EM157" s="5453"/>
      <c r="EN157" s="5453"/>
      <c r="EO157" s="5453"/>
      <c r="EP157" s="5453"/>
      <c r="EQ157" s="5453"/>
      <c r="ER157" s="5453"/>
      <c r="ES157" s="5453"/>
      <c r="ET157" s="5453"/>
      <c r="EU157" s="5453"/>
      <c r="EV157" s="5453"/>
      <c r="EW157" s="5453"/>
      <c r="EX157" s="5453"/>
      <c r="EY157" s="5453"/>
      <c r="EZ157" s="5453"/>
      <c r="FA157" s="5464"/>
    </row>
    <row r="158" spans="1:157" s="2014" customFormat="1" ht="15" customHeight="1">
      <c r="A158" s="16058"/>
      <c r="B158" s="16073"/>
      <c r="C158" s="16073" t="s">
        <v>8114</v>
      </c>
      <c r="D158" s="16073" t="s">
        <v>1225</v>
      </c>
      <c r="E158" s="16073" t="s">
        <v>1226</v>
      </c>
      <c r="F158" s="16073" t="s">
        <v>1073</v>
      </c>
      <c r="G158" s="16195">
        <v>0</v>
      </c>
      <c r="H158" s="16036">
        <v>1</v>
      </c>
      <c r="I158" s="16036">
        <v>2</v>
      </c>
      <c r="J158" s="16036">
        <v>2</v>
      </c>
      <c r="K158" s="16036">
        <v>3</v>
      </c>
      <c r="L158" s="16036">
        <v>3</v>
      </c>
      <c r="M158" s="16036">
        <v>3</v>
      </c>
      <c r="N158" s="16036">
        <v>3</v>
      </c>
      <c r="O158" s="16036">
        <v>3</v>
      </c>
      <c r="P158" s="16036">
        <v>3</v>
      </c>
      <c r="Q158" s="16036">
        <v>3</v>
      </c>
      <c r="R158" s="2757" t="s">
        <v>10072</v>
      </c>
      <c r="S158" s="5186" t="s">
        <v>1227</v>
      </c>
      <c r="T158" s="5187"/>
      <c r="U158" s="5308"/>
      <c r="V158" s="16200"/>
      <c r="W158" s="2744"/>
      <c r="X158" s="2744"/>
      <c r="Y158" s="2744"/>
      <c r="Z158" s="5386"/>
      <c r="AA158" s="5386"/>
      <c r="AB158" s="5386"/>
      <c r="AC158" s="5307"/>
      <c r="AD158" s="2744"/>
      <c r="AE158" s="2744"/>
      <c r="AF158" s="2744"/>
      <c r="AG158" s="2744"/>
      <c r="AH158" s="2744"/>
      <c r="AI158" s="2744"/>
      <c r="AJ158" s="2744"/>
      <c r="AK158" s="2744"/>
      <c r="AL158" s="2744"/>
      <c r="AM158" s="2744"/>
      <c r="AN158" s="2744"/>
      <c r="AO158" s="2744"/>
      <c r="AP158" s="2744"/>
      <c r="AQ158" s="2744"/>
      <c r="AR158" s="2744"/>
      <c r="AS158" s="2744"/>
      <c r="AT158" s="2744"/>
      <c r="AU158" s="2744"/>
      <c r="AV158" s="2744"/>
      <c r="AW158" s="2744"/>
      <c r="AX158" s="2744"/>
      <c r="AY158" s="2744"/>
      <c r="AZ158" s="2744"/>
      <c r="BA158" s="2744"/>
      <c r="BB158" s="2744"/>
      <c r="BC158" s="2744"/>
      <c r="BD158" s="2744"/>
      <c r="BE158" s="2744"/>
      <c r="BF158" s="2744"/>
      <c r="BG158" s="2744"/>
      <c r="BH158" s="2744"/>
      <c r="BI158" s="2744"/>
      <c r="BJ158" s="2744"/>
      <c r="BK158" s="2744"/>
      <c r="BL158" s="2744"/>
      <c r="BM158" s="2744"/>
      <c r="BN158" s="5308">
        <v>0</v>
      </c>
      <c r="BO158" s="16200"/>
      <c r="BP158" s="2744"/>
      <c r="BQ158" s="2744"/>
      <c r="BR158" s="2744"/>
      <c r="BS158" s="5309">
        <v>0</v>
      </c>
      <c r="BT158" s="5309">
        <v>0</v>
      </c>
      <c r="BU158" s="5309">
        <v>0</v>
      </c>
      <c r="BV158" s="5293">
        <v>0</v>
      </c>
      <c r="BW158" s="5309"/>
      <c r="BX158" s="5309"/>
      <c r="BY158" s="5309"/>
      <c r="BZ158" s="5309"/>
      <c r="CA158" s="5309"/>
      <c r="CB158" s="5309"/>
      <c r="CC158" s="5309"/>
      <c r="CD158" s="5309"/>
      <c r="CE158" s="5309"/>
      <c r="CF158" s="5309"/>
      <c r="CG158" s="5309"/>
      <c r="CH158" s="5309"/>
      <c r="CI158" s="5309"/>
      <c r="CJ158" s="5309"/>
      <c r="CK158" s="5309"/>
      <c r="CL158" s="5309"/>
      <c r="CM158" s="5309"/>
      <c r="CN158" s="5309"/>
      <c r="CO158" s="5309"/>
      <c r="CP158" s="5309"/>
      <c r="CQ158" s="5309"/>
      <c r="CR158" s="5309"/>
      <c r="CS158" s="5309"/>
      <c r="CT158" s="5309"/>
      <c r="CU158" s="5309"/>
      <c r="CV158" s="5309"/>
      <c r="CW158" s="5309"/>
      <c r="CX158" s="5309"/>
      <c r="CY158" s="5309"/>
      <c r="CZ158" s="5309"/>
      <c r="DA158" s="5309"/>
      <c r="DB158" s="5309"/>
      <c r="DC158" s="5309"/>
      <c r="DD158" s="5309"/>
      <c r="DE158" s="5309"/>
      <c r="DF158" s="5309"/>
      <c r="DG158" s="5453"/>
      <c r="DH158" s="5453"/>
      <c r="DI158" s="5453"/>
      <c r="DJ158" s="5453"/>
      <c r="DK158" s="5453"/>
      <c r="DL158" s="5453"/>
      <c r="DM158" s="5453"/>
      <c r="DN158" s="5453"/>
      <c r="DO158" s="5453"/>
      <c r="DP158" s="5453"/>
      <c r="DQ158" s="5453"/>
      <c r="DR158" s="5453"/>
      <c r="DS158" s="5453"/>
      <c r="DT158" s="5453"/>
      <c r="DU158" s="5453"/>
      <c r="DV158" s="5453"/>
      <c r="DW158" s="5453"/>
      <c r="DX158" s="5453"/>
      <c r="DY158" s="5453"/>
      <c r="DZ158" s="5453"/>
      <c r="EA158" s="5453"/>
      <c r="EB158" s="5453"/>
      <c r="EC158" s="5453"/>
      <c r="ED158" s="5453"/>
      <c r="EE158" s="5453"/>
      <c r="EF158" s="5453"/>
      <c r="EG158" s="5453"/>
      <c r="EH158" s="5453"/>
      <c r="EI158" s="5453"/>
      <c r="EJ158" s="5453"/>
      <c r="EK158" s="5453"/>
      <c r="EL158" s="5453"/>
      <c r="EM158" s="5453"/>
      <c r="EN158" s="5453"/>
      <c r="EO158" s="5453"/>
      <c r="EP158" s="5453"/>
      <c r="EQ158" s="5453"/>
      <c r="ER158" s="5453"/>
      <c r="ES158" s="5453"/>
      <c r="ET158" s="5453"/>
      <c r="EU158" s="5453"/>
      <c r="EV158" s="5453"/>
      <c r="EW158" s="5453"/>
      <c r="EX158" s="5453"/>
      <c r="EY158" s="5453"/>
      <c r="EZ158" s="5453"/>
      <c r="FA158" s="5464"/>
    </row>
    <row r="159" spans="1:157" s="2014" customFormat="1" ht="15" customHeight="1">
      <c r="A159" s="16058"/>
      <c r="B159" s="16073"/>
      <c r="C159" s="16073"/>
      <c r="D159" s="16073"/>
      <c r="E159" s="16073"/>
      <c r="F159" s="16073"/>
      <c r="G159" s="16195"/>
      <c r="H159" s="16036"/>
      <c r="I159" s="16036"/>
      <c r="J159" s="16036"/>
      <c r="K159" s="16036"/>
      <c r="L159" s="16036"/>
      <c r="M159" s="16036"/>
      <c r="N159" s="16036"/>
      <c r="O159" s="16036"/>
      <c r="P159" s="16036"/>
      <c r="Q159" s="16036"/>
      <c r="R159" s="2757" t="s">
        <v>2896</v>
      </c>
      <c r="S159" s="5186"/>
      <c r="T159" s="2744" t="s">
        <v>1228</v>
      </c>
      <c r="U159" s="5308"/>
      <c r="V159" s="16200"/>
      <c r="W159" s="5187"/>
      <c r="X159" s="5385"/>
      <c r="Y159" s="2744"/>
      <c r="Z159" s="5386"/>
      <c r="AA159" s="5386"/>
      <c r="AB159" s="5386"/>
      <c r="AC159" s="5307"/>
      <c r="AD159" s="2744"/>
      <c r="AE159" s="2744"/>
      <c r="AF159" s="2744"/>
      <c r="AG159" s="2744"/>
      <c r="AH159" s="2744"/>
      <c r="AI159" s="2744"/>
      <c r="AJ159" s="2744"/>
      <c r="AK159" s="2744"/>
      <c r="AL159" s="2744"/>
      <c r="AM159" s="2744"/>
      <c r="AN159" s="2744"/>
      <c r="AO159" s="2744"/>
      <c r="AP159" s="2744"/>
      <c r="AQ159" s="2744"/>
      <c r="AR159" s="2744"/>
      <c r="AS159" s="2744"/>
      <c r="AT159" s="2744"/>
      <c r="AU159" s="2744"/>
      <c r="AV159" s="2744"/>
      <c r="AW159" s="2744"/>
      <c r="AX159" s="2744"/>
      <c r="AY159" s="2744"/>
      <c r="AZ159" s="2744"/>
      <c r="BA159" s="2744"/>
      <c r="BB159" s="2744"/>
      <c r="BC159" s="2744"/>
      <c r="BD159" s="2744"/>
      <c r="BE159" s="2744"/>
      <c r="BF159" s="2744"/>
      <c r="BG159" s="2744"/>
      <c r="BH159" s="2744"/>
      <c r="BI159" s="2744"/>
      <c r="BJ159" s="2744"/>
      <c r="BK159" s="2744"/>
      <c r="BL159" s="2744"/>
      <c r="BM159" s="2744"/>
      <c r="BN159" s="5308">
        <v>0</v>
      </c>
      <c r="BO159" s="16200"/>
      <c r="BP159" s="5187" t="s">
        <v>9488</v>
      </c>
      <c r="BQ159" s="5385" t="s">
        <v>2951</v>
      </c>
      <c r="BR159" s="2744"/>
      <c r="BS159" s="5309">
        <v>0</v>
      </c>
      <c r="BT159" s="5309">
        <v>0</v>
      </c>
      <c r="BU159" s="5309">
        <v>0</v>
      </c>
      <c r="BV159" s="5293">
        <v>0</v>
      </c>
      <c r="BW159" s="5309"/>
      <c r="BX159" s="5309"/>
      <c r="BY159" s="5309"/>
      <c r="BZ159" s="5309"/>
      <c r="CA159" s="5309"/>
      <c r="CB159" s="5309"/>
      <c r="CC159" s="5309"/>
      <c r="CD159" s="5309"/>
      <c r="CE159" s="5309"/>
      <c r="CF159" s="5309"/>
      <c r="CG159" s="5309"/>
      <c r="CH159" s="5309"/>
      <c r="CI159" s="5309"/>
      <c r="CJ159" s="5309"/>
      <c r="CK159" s="5309"/>
      <c r="CL159" s="5309"/>
      <c r="CM159" s="5309"/>
      <c r="CN159" s="5309"/>
      <c r="CO159" s="5309"/>
      <c r="CP159" s="5309"/>
      <c r="CQ159" s="5309"/>
      <c r="CR159" s="5309"/>
      <c r="CS159" s="5309"/>
      <c r="CT159" s="5309"/>
      <c r="CU159" s="5309"/>
      <c r="CV159" s="5309"/>
      <c r="CW159" s="5309"/>
      <c r="CX159" s="5309"/>
      <c r="CY159" s="5309"/>
      <c r="CZ159" s="5309"/>
      <c r="DA159" s="5309"/>
      <c r="DB159" s="5309"/>
      <c r="DC159" s="5309"/>
      <c r="DD159" s="5309"/>
      <c r="DE159" s="5309"/>
      <c r="DF159" s="5309"/>
      <c r="DG159" s="5453"/>
      <c r="DH159" s="5453"/>
      <c r="DI159" s="5453"/>
      <c r="DJ159" s="5453"/>
      <c r="DK159" s="5453"/>
      <c r="DL159" s="5453"/>
      <c r="DM159" s="5453"/>
      <c r="DN159" s="5453"/>
      <c r="DO159" s="5453"/>
      <c r="DP159" s="5453"/>
      <c r="DQ159" s="5453"/>
      <c r="DR159" s="5453"/>
      <c r="DS159" s="5453"/>
      <c r="DT159" s="5453"/>
      <c r="DU159" s="5453"/>
      <c r="DV159" s="5453"/>
      <c r="DW159" s="5453"/>
      <c r="DX159" s="5453"/>
      <c r="DY159" s="5453"/>
      <c r="DZ159" s="5453"/>
      <c r="EA159" s="5453"/>
      <c r="EB159" s="5453"/>
      <c r="EC159" s="5453"/>
      <c r="ED159" s="5453"/>
      <c r="EE159" s="5453"/>
      <c r="EF159" s="5453"/>
      <c r="EG159" s="5453"/>
      <c r="EH159" s="5453"/>
      <c r="EI159" s="5453"/>
      <c r="EJ159" s="5453"/>
      <c r="EK159" s="5453"/>
      <c r="EL159" s="5453"/>
      <c r="EM159" s="5453"/>
      <c r="EN159" s="5453"/>
      <c r="EO159" s="5453"/>
      <c r="EP159" s="5453"/>
      <c r="EQ159" s="5453"/>
      <c r="ER159" s="5453"/>
      <c r="ES159" s="5453"/>
      <c r="ET159" s="5453"/>
      <c r="EU159" s="5453"/>
      <c r="EV159" s="5453"/>
      <c r="EW159" s="5453"/>
      <c r="EX159" s="5453"/>
      <c r="EY159" s="5453"/>
      <c r="EZ159" s="5453"/>
      <c r="FA159" s="5464"/>
    </row>
    <row r="160" spans="1:157" s="2014" customFormat="1" ht="15" customHeight="1">
      <c r="A160" s="16058"/>
      <c r="B160" s="16073"/>
      <c r="C160" s="5184" t="s">
        <v>8115</v>
      </c>
      <c r="D160" s="5184" t="s">
        <v>1229</v>
      </c>
      <c r="E160" s="5184" t="s">
        <v>1230</v>
      </c>
      <c r="F160" s="5184" t="s">
        <v>1073</v>
      </c>
      <c r="G160" s="5382">
        <v>0</v>
      </c>
      <c r="H160" s="2744">
        <v>2</v>
      </c>
      <c r="I160" s="2744">
        <v>2</v>
      </c>
      <c r="J160" s="2744">
        <v>2</v>
      </c>
      <c r="K160" s="2744">
        <v>2</v>
      </c>
      <c r="L160" s="2744">
        <v>2</v>
      </c>
      <c r="M160" s="2744">
        <v>2</v>
      </c>
      <c r="N160" s="2744">
        <v>2</v>
      </c>
      <c r="O160" s="2744">
        <v>2</v>
      </c>
      <c r="P160" s="2744">
        <v>2</v>
      </c>
      <c r="Q160" s="2744">
        <v>2</v>
      </c>
      <c r="R160" s="2757" t="s">
        <v>10072</v>
      </c>
      <c r="S160" s="5186" t="s">
        <v>1231</v>
      </c>
      <c r="T160" s="5388" t="s">
        <v>1232</v>
      </c>
      <c r="U160" s="5308"/>
      <c r="V160" s="16200"/>
      <c r="W160" s="2744"/>
      <c r="X160" s="2744"/>
      <c r="Y160" s="2744"/>
      <c r="Z160" s="5386"/>
      <c r="AA160" s="5386"/>
      <c r="AB160" s="5386"/>
      <c r="AC160" s="5307"/>
      <c r="AD160" s="2744"/>
      <c r="AE160" s="2744"/>
      <c r="AF160" s="2744"/>
      <c r="AG160" s="2744"/>
      <c r="AH160" s="2744"/>
      <c r="AI160" s="2744"/>
      <c r="AJ160" s="2744"/>
      <c r="AK160" s="2744"/>
      <c r="AL160" s="2744"/>
      <c r="AM160" s="2744"/>
      <c r="AN160" s="2744"/>
      <c r="AO160" s="2744"/>
      <c r="AP160" s="2744"/>
      <c r="AQ160" s="2744"/>
      <c r="AR160" s="2744"/>
      <c r="AS160" s="2744"/>
      <c r="AT160" s="2744"/>
      <c r="AU160" s="2744"/>
      <c r="AV160" s="2744"/>
      <c r="AW160" s="2744"/>
      <c r="AX160" s="2744"/>
      <c r="AY160" s="2744"/>
      <c r="AZ160" s="2744"/>
      <c r="BA160" s="2744"/>
      <c r="BB160" s="2744"/>
      <c r="BC160" s="2744"/>
      <c r="BD160" s="2744"/>
      <c r="BE160" s="2744"/>
      <c r="BF160" s="2744"/>
      <c r="BG160" s="2744"/>
      <c r="BH160" s="2744"/>
      <c r="BI160" s="2744"/>
      <c r="BJ160" s="2744"/>
      <c r="BK160" s="2744"/>
      <c r="BL160" s="2744"/>
      <c r="BM160" s="2744"/>
      <c r="BN160" s="5308">
        <v>0</v>
      </c>
      <c r="BO160" s="16200"/>
      <c r="BP160" s="2744"/>
      <c r="BQ160" s="2744"/>
      <c r="BR160" s="2744"/>
      <c r="BS160" s="5309">
        <v>0</v>
      </c>
      <c r="BT160" s="5309">
        <v>0</v>
      </c>
      <c r="BU160" s="5309">
        <v>0</v>
      </c>
      <c r="BV160" s="5293">
        <v>0</v>
      </c>
      <c r="BW160" s="5309"/>
      <c r="BX160" s="5309"/>
      <c r="BY160" s="5309"/>
      <c r="BZ160" s="5309"/>
      <c r="CA160" s="5309"/>
      <c r="CB160" s="5309"/>
      <c r="CC160" s="5309"/>
      <c r="CD160" s="5309"/>
      <c r="CE160" s="5309"/>
      <c r="CF160" s="5309"/>
      <c r="CG160" s="5309"/>
      <c r="CH160" s="5309"/>
      <c r="CI160" s="5309"/>
      <c r="CJ160" s="5309"/>
      <c r="CK160" s="5309"/>
      <c r="CL160" s="5309"/>
      <c r="CM160" s="5309"/>
      <c r="CN160" s="5309"/>
      <c r="CO160" s="5309"/>
      <c r="CP160" s="5309"/>
      <c r="CQ160" s="5309"/>
      <c r="CR160" s="5309"/>
      <c r="CS160" s="5309"/>
      <c r="CT160" s="5309"/>
      <c r="CU160" s="5309"/>
      <c r="CV160" s="5309"/>
      <c r="CW160" s="5309"/>
      <c r="CX160" s="5309"/>
      <c r="CY160" s="5309"/>
      <c r="CZ160" s="5309"/>
      <c r="DA160" s="5309"/>
      <c r="DB160" s="5309"/>
      <c r="DC160" s="5309"/>
      <c r="DD160" s="5309"/>
      <c r="DE160" s="5309"/>
      <c r="DF160" s="5309"/>
      <c r="DG160" s="5453"/>
      <c r="DH160" s="5453"/>
      <c r="DI160" s="5453"/>
      <c r="DJ160" s="5453"/>
      <c r="DK160" s="5453"/>
      <c r="DL160" s="5453"/>
      <c r="DM160" s="5453"/>
      <c r="DN160" s="5453"/>
      <c r="DO160" s="5453"/>
      <c r="DP160" s="5453"/>
      <c r="DQ160" s="5453"/>
      <c r="DR160" s="5453"/>
      <c r="DS160" s="5453"/>
      <c r="DT160" s="5453"/>
      <c r="DU160" s="5453"/>
      <c r="DV160" s="5453"/>
      <c r="DW160" s="5453"/>
      <c r="DX160" s="5453"/>
      <c r="DY160" s="5453"/>
      <c r="DZ160" s="5453"/>
      <c r="EA160" s="5453"/>
      <c r="EB160" s="5453"/>
      <c r="EC160" s="5453"/>
      <c r="ED160" s="5453"/>
      <c r="EE160" s="5453"/>
      <c r="EF160" s="5453"/>
      <c r="EG160" s="5453"/>
      <c r="EH160" s="5453"/>
      <c r="EI160" s="5453"/>
      <c r="EJ160" s="5453"/>
      <c r="EK160" s="5453"/>
      <c r="EL160" s="5453"/>
      <c r="EM160" s="5453"/>
      <c r="EN160" s="5453"/>
      <c r="EO160" s="5453"/>
      <c r="EP160" s="5453"/>
      <c r="EQ160" s="5453"/>
      <c r="ER160" s="5453"/>
      <c r="ES160" s="5453"/>
      <c r="ET160" s="5453"/>
      <c r="EU160" s="5453"/>
      <c r="EV160" s="5453"/>
      <c r="EW160" s="5453"/>
      <c r="EX160" s="5453"/>
      <c r="EY160" s="5453"/>
      <c r="EZ160" s="5453"/>
      <c r="FA160" s="5464"/>
    </row>
    <row r="161" spans="1:157" s="2014" customFormat="1" ht="15" customHeight="1">
      <c r="A161" s="16058"/>
      <c r="B161" s="16073" t="s">
        <v>1233</v>
      </c>
      <c r="C161" s="16073" t="s">
        <v>8116</v>
      </c>
      <c r="D161" s="16073" t="s">
        <v>1234</v>
      </c>
      <c r="E161" s="16073" t="s">
        <v>1235</v>
      </c>
      <c r="F161" s="16073" t="s">
        <v>1073</v>
      </c>
      <c r="G161" s="16195">
        <v>1</v>
      </c>
      <c r="H161" s="16036">
        <v>30</v>
      </c>
      <c r="I161" s="16036">
        <v>30</v>
      </c>
      <c r="J161" s="16036">
        <v>30</v>
      </c>
      <c r="K161" s="16036">
        <v>30</v>
      </c>
      <c r="L161" s="16036">
        <v>40</v>
      </c>
      <c r="M161" s="16036">
        <v>40</v>
      </c>
      <c r="N161" s="16036">
        <v>40</v>
      </c>
      <c r="O161" s="16036">
        <v>40</v>
      </c>
      <c r="P161" s="16036">
        <v>40</v>
      </c>
      <c r="Q161" s="16036">
        <v>40</v>
      </c>
      <c r="R161" s="2757" t="s">
        <v>10072</v>
      </c>
      <c r="S161" s="5186" t="s">
        <v>1236</v>
      </c>
      <c r="T161" s="2744"/>
      <c r="U161" s="16198"/>
      <c r="V161" s="16200"/>
      <c r="W161" s="2744"/>
      <c r="X161" s="2744"/>
      <c r="Y161" s="2744"/>
      <c r="Z161" s="5386"/>
      <c r="AA161" s="5386"/>
      <c r="AB161" s="5386"/>
      <c r="AC161" s="5307"/>
      <c r="AD161" s="2744"/>
      <c r="AE161" s="2744"/>
      <c r="AF161" s="2744"/>
      <c r="AG161" s="2744"/>
      <c r="AH161" s="2744"/>
      <c r="AI161" s="2744"/>
      <c r="AJ161" s="2744"/>
      <c r="AK161" s="2744"/>
      <c r="AL161" s="2744"/>
      <c r="AM161" s="2744"/>
      <c r="AN161" s="2744"/>
      <c r="AO161" s="2744"/>
      <c r="AP161" s="2744"/>
      <c r="AQ161" s="2744"/>
      <c r="AR161" s="2744"/>
      <c r="AS161" s="2744"/>
      <c r="AT161" s="2744"/>
      <c r="AU161" s="2744"/>
      <c r="AV161" s="2744"/>
      <c r="AW161" s="2744"/>
      <c r="AX161" s="2744"/>
      <c r="AY161" s="2744"/>
      <c r="AZ161" s="2744"/>
      <c r="BA161" s="2744"/>
      <c r="BB161" s="2744"/>
      <c r="BC161" s="2744"/>
      <c r="BD161" s="2744"/>
      <c r="BE161" s="2744"/>
      <c r="BF161" s="2744"/>
      <c r="BG161" s="2744"/>
      <c r="BH161" s="2744"/>
      <c r="BI161" s="2744"/>
      <c r="BJ161" s="2744"/>
      <c r="BK161" s="2744"/>
      <c r="BL161" s="2744"/>
      <c r="BM161" s="2744"/>
      <c r="BN161" s="16198">
        <v>0</v>
      </c>
      <c r="BO161" s="16200"/>
      <c r="BP161" s="2744"/>
      <c r="BQ161" s="2744"/>
      <c r="BR161" s="2744"/>
      <c r="BS161" s="5309">
        <v>0</v>
      </c>
      <c r="BT161" s="5309">
        <v>0</v>
      </c>
      <c r="BU161" s="5309">
        <v>0</v>
      </c>
      <c r="BV161" s="5293">
        <v>0</v>
      </c>
      <c r="BW161" s="5309"/>
      <c r="BX161" s="5309"/>
      <c r="BY161" s="5309"/>
      <c r="BZ161" s="5309"/>
      <c r="CA161" s="5309"/>
      <c r="CB161" s="5309"/>
      <c r="CC161" s="5309"/>
      <c r="CD161" s="5309"/>
      <c r="CE161" s="5309"/>
      <c r="CF161" s="5309"/>
      <c r="CG161" s="5309"/>
      <c r="CH161" s="5309"/>
      <c r="CI161" s="5309"/>
      <c r="CJ161" s="5309"/>
      <c r="CK161" s="5309"/>
      <c r="CL161" s="5309"/>
      <c r="CM161" s="5309"/>
      <c r="CN161" s="5309"/>
      <c r="CO161" s="5309"/>
      <c r="CP161" s="5309"/>
      <c r="CQ161" s="5309"/>
      <c r="CR161" s="5309"/>
      <c r="CS161" s="5309"/>
      <c r="CT161" s="5309"/>
      <c r="CU161" s="5309"/>
      <c r="CV161" s="5309"/>
      <c r="CW161" s="5309"/>
      <c r="CX161" s="5309"/>
      <c r="CY161" s="5309"/>
      <c r="CZ161" s="5309"/>
      <c r="DA161" s="5309"/>
      <c r="DB161" s="5309"/>
      <c r="DC161" s="5309"/>
      <c r="DD161" s="5309"/>
      <c r="DE161" s="5309"/>
      <c r="DF161" s="5309"/>
      <c r="DG161" s="5453"/>
      <c r="DH161" s="5453"/>
      <c r="DI161" s="5453"/>
      <c r="DJ161" s="5453"/>
      <c r="DK161" s="5453"/>
      <c r="DL161" s="5453"/>
      <c r="DM161" s="5453"/>
      <c r="DN161" s="5453"/>
      <c r="DO161" s="5453"/>
      <c r="DP161" s="5453"/>
      <c r="DQ161" s="5453"/>
      <c r="DR161" s="5453"/>
      <c r="DS161" s="5453"/>
      <c r="DT161" s="5453"/>
      <c r="DU161" s="5453"/>
      <c r="DV161" s="5453"/>
      <c r="DW161" s="5453"/>
      <c r="DX161" s="5453"/>
      <c r="DY161" s="5453"/>
      <c r="DZ161" s="5453"/>
      <c r="EA161" s="5453"/>
      <c r="EB161" s="5453"/>
      <c r="EC161" s="5453"/>
      <c r="ED161" s="5453"/>
      <c r="EE161" s="5453"/>
      <c r="EF161" s="5453"/>
      <c r="EG161" s="5453"/>
      <c r="EH161" s="5453"/>
      <c r="EI161" s="5453"/>
      <c r="EJ161" s="5453"/>
      <c r="EK161" s="5453"/>
      <c r="EL161" s="5453"/>
      <c r="EM161" s="5453"/>
      <c r="EN161" s="5453"/>
      <c r="EO161" s="5453"/>
      <c r="EP161" s="5453"/>
      <c r="EQ161" s="5453"/>
      <c r="ER161" s="5453"/>
      <c r="ES161" s="5453"/>
      <c r="ET161" s="5453"/>
      <c r="EU161" s="5453"/>
      <c r="EV161" s="5453"/>
      <c r="EW161" s="5453"/>
      <c r="EX161" s="5453"/>
      <c r="EY161" s="5453"/>
      <c r="EZ161" s="5453"/>
      <c r="FA161" s="5464"/>
    </row>
    <row r="162" spans="1:157" s="2014" customFormat="1" ht="15" customHeight="1">
      <c r="A162" s="16058"/>
      <c r="B162" s="16073"/>
      <c r="C162" s="16073"/>
      <c r="D162" s="16073"/>
      <c r="E162" s="16073"/>
      <c r="F162" s="16073"/>
      <c r="G162" s="16195"/>
      <c r="H162" s="16036"/>
      <c r="I162" s="16036"/>
      <c r="J162" s="16036"/>
      <c r="K162" s="16036"/>
      <c r="L162" s="16036"/>
      <c r="M162" s="16036"/>
      <c r="N162" s="16036"/>
      <c r="O162" s="16036"/>
      <c r="P162" s="16036"/>
      <c r="Q162" s="16036"/>
      <c r="R162" s="2757" t="s">
        <v>2896</v>
      </c>
      <c r="S162" s="5186"/>
      <c r="T162" s="2744" t="s">
        <v>10259</v>
      </c>
      <c r="U162" s="16198"/>
      <c r="V162" s="5448"/>
      <c r="W162" s="2744"/>
      <c r="X162" s="2744"/>
      <c r="Y162" s="2744"/>
      <c r="Z162" s="5386"/>
      <c r="AA162" s="5386"/>
      <c r="AB162" s="5386"/>
      <c r="AC162" s="5307"/>
      <c r="AD162" s="2744"/>
      <c r="AE162" s="2744"/>
      <c r="AF162" s="2744"/>
      <c r="AG162" s="2744"/>
      <c r="AH162" s="2744"/>
      <c r="AI162" s="2744"/>
      <c r="AJ162" s="2744"/>
      <c r="AK162" s="2744"/>
      <c r="AL162" s="2744"/>
      <c r="AM162" s="2744"/>
      <c r="AN162" s="2744"/>
      <c r="AO162" s="2744"/>
      <c r="AP162" s="2744"/>
      <c r="AQ162" s="2744"/>
      <c r="AR162" s="2744"/>
      <c r="AS162" s="2744"/>
      <c r="AT162" s="2744"/>
      <c r="AU162" s="2744"/>
      <c r="AV162" s="2744"/>
      <c r="AW162" s="2744"/>
      <c r="AX162" s="2744"/>
      <c r="AY162" s="2744"/>
      <c r="AZ162" s="2744"/>
      <c r="BA162" s="2744"/>
      <c r="BB162" s="2744"/>
      <c r="BC162" s="2744"/>
      <c r="BD162" s="2744"/>
      <c r="BE162" s="2744"/>
      <c r="BF162" s="2744"/>
      <c r="BG162" s="2744"/>
      <c r="BH162" s="2744"/>
      <c r="BI162" s="2744"/>
      <c r="BJ162" s="2744"/>
      <c r="BK162" s="2744"/>
      <c r="BL162" s="2744"/>
      <c r="BM162" s="2744"/>
      <c r="BN162" s="16198"/>
      <c r="BO162" s="5448"/>
      <c r="BP162" s="2744"/>
      <c r="BQ162" s="2744"/>
      <c r="BR162" s="2744"/>
      <c r="BS162" s="5309"/>
      <c r="BT162" s="5309"/>
      <c r="BU162" s="5309"/>
      <c r="BV162" s="5293"/>
      <c r="BW162" s="5309"/>
      <c r="BX162" s="5309"/>
      <c r="BY162" s="5309"/>
      <c r="BZ162" s="5309"/>
      <c r="CA162" s="5309"/>
      <c r="CB162" s="5309"/>
      <c r="CC162" s="5309"/>
      <c r="CD162" s="5309"/>
      <c r="CE162" s="5309"/>
      <c r="CF162" s="5309"/>
      <c r="CG162" s="5309"/>
      <c r="CH162" s="5309"/>
      <c r="CI162" s="5309"/>
      <c r="CJ162" s="5309"/>
      <c r="CK162" s="5309"/>
      <c r="CL162" s="5309"/>
      <c r="CM162" s="5309"/>
      <c r="CN162" s="5309"/>
      <c r="CO162" s="5309"/>
      <c r="CP162" s="5309"/>
      <c r="CQ162" s="5309"/>
      <c r="CR162" s="5309"/>
      <c r="CS162" s="5309"/>
      <c r="CT162" s="5309"/>
      <c r="CU162" s="5309"/>
      <c r="CV162" s="5309"/>
      <c r="CW162" s="5309"/>
      <c r="CX162" s="5309"/>
      <c r="CY162" s="5309"/>
      <c r="CZ162" s="5309"/>
      <c r="DA162" s="5309"/>
      <c r="DB162" s="5309"/>
      <c r="DC162" s="5309"/>
      <c r="DD162" s="5309"/>
      <c r="DE162" s="5309"/>
      <c r="DF162" s="5309"/>
      <c r="DG162" s="5453"/>
      <c r="DH162" s="5453"/>
      <c r="DI162" s="5453"/>
      <c r="DJ162" s="5453"/>
      <c r="DK162" s="5453"/>
      <c r="DL162" s="5453"/>
      <c r="DM162" s="5453"/>
      <c r="DN162" s="5453"/>
      <c r="DO162" s="5453"/>
      <c r="DP162" s="5453"/>
      <c r="DQ162" s="5453"/>
      <c r="DR162" s="5453"/>
      <c r="DS162" s="5453"/>
      <c r="DT162" s="5453"/>
      <c r="DU162" s="5453"/>
      <c r="DV162" s="5453"/>
      <c r="DW162" s="5453"/>
      <c r="DX162" s="5453"/>
      <c r="DY162" s="5453"/>
      <c r="DZ162" s="5453"/>
      <c r="EA162" s="5453"/>
      <c r="EB162" s="5453"/>
      <c r="EC162" s="5453"/>
      <c r="ED162" s="5453"/>
      <c r="EE162" s="5453"/>
      <c r="EF162" s="5453"/>
      <c r="EG162" s="5453"/>
      <c r="EH162" s="5453"/>
      <c r="EI162" s="5453"/>
      <c r="EJ162" s="5453"/>
      <c r="EK162" s="5453"/>
      <c r="EL162" s="5453"/>
      <c r="EM162" s="5453"/>
      <c r="EN162" s="5453"/>
      <c r="EO162" s="5453"/>
      <c r="EP162" s="5453"/>
      <c r="EQ162" s="5453"/>
      <c r="ER162" s="5453"/>
      <c r="ES162" s="5453"/>
      <c r="ET162" s="5453"/>
      <c r="EU162" s="5453"/>
      <c r="EV162" s="5453"/>
      <c r="EW162" s="5453"/>
      <c r="EX162" s="5453"/>
      <c r="EY162" s="5453"/>
      <c r="EZ162" s="5453"/>
      <c r="FA162" s="5464"/>
    </row>
    <row r="163" spans="1:157" s="2014" customFormat="1" ht="15" customHeight="1">
      <c r="A163" s="16058"/>
      <c r="B163" s="16073"/>
      <c r="C163" s="16073"/>
      <c r="D163" s="16073"/>
      <c r="E163" s="16073"/>
      <c r="F163" s="16073"/>
      <c r="G163" s="16195"/>
      <c r="H163" s="16036"/>
      <c r="I163" s="16036"/>
      <c r="J163" s="16036"/>
      <c r="K163" s="16036"/>
      <c r="L163" s="16036"/>
      <c r="M163" s="16036"/>
      <c r="N163" s="16036"/>
      <c r="O163" s="16036"/>
      <c r="P163" s="16036"/>
      <c r="Q163" s="16036"/>
      <c r="R163" s="2757" t="s">
        <v>10063</v>
      </c>
      <c r="S163" s="5186"/>
      <c r="T163" s="2744" t="s">
        <v>10258</v>
      </c>
      <c r="U163" s="16198"/>
      <c r="V163" s="5448"/>
      <c r="W163" s="2744"/>
      <c r="X163" s="2744"/>
      <c r="Y163" s="2744"/>
      <c r="Z163" s="5386"/>
      <c r="AA163" s="5386"/>
      <c r="AB163" s="5386"/>
      <c r="AC163" s="5307"/>
      <c r="AD163" s="2744"/>
      <c r="AE163" s="2744"/>
      <c r="AF163" s="2744"/>
      <c r="AG163" s="2744"/>
      <c r="AH163" s="2744"/>
      <c r="AI163" s="2744"/>
      <c r="AJ163" s="2744"/>
      <c r="AK163" s="2744"/>
      <c r="AL163" s="2744"/>
      <c r="AM163" s="2744"/>
      <c r="AN163" s="2744"/>
      <c r="AO163" s="2744"/>
      <c r="AP163" s="2744"/>
      <c r="AQ163" s="2744"/>
      <c r="AR163" s="2744"/>
      <c r="AS163" s="2744"/>
      <c r="AT163" s="2744"/>
      <c r="AU163" s="2744"/>
      <c r="AV163" s="2744"/>
      <c r="AW163" s="2744"/>
      <c r="AX163" s="2744"/>
      <c r="AY163" s="2744"/>
      <c r="AZ163" s="2744"/>
      <c r="BA163" s="2744"/>
      <c r="BB163" s="2744"/>
      <c r="BC163" s="2744"/>
      <c r="BD163" s="2744"/>
      <c r="BE163" s="2744"/>
      <c r="BF163" s="2744"/>
      <c r="BG163" s="2744"/>
      <c r="BH163" s="2744"/>
      <c r="BI163" s="2744"/>
      <c r="BJ163" s="2744"/>
      <c r="BK163" s="2744"/>
      <c r="BL163" s="2744"/>
      <c r="BM163" s="2744"/>
      <c r="BN163" s="16198"/>
      <c r="BO163" s="5448"/>
      <c r="BP163" s="2744"/>
      <c r="BQ163" s="2744"/>
      <c r="BR163" s="2744"/>
      <c r="BS163" s="5309"/>
      <c r="BT163" s="5309"/>
      <c r="BU163" s="5309"/>
      <c r="BV163" s="5293"/>
      <c r="BW163" s="5309"/>
      <c r="BX163" s="5309"/>
      <c r="BY163" s="5309"/>
      <c r="BZ163" s="5309"/>
      <c r="CA163" s="5309"/>
      <c r="CB163" s="5309"/>
      <c r="CC163" s="5309"/>
      <c r="CD163" s="5309"/>
      <c r="CE163" s="5309"/>
      <c r="CF163" s="5309"/>
      <c r="CG163" s="5309"/>
      <c r="CH163" s="5309"/>
      <c r="CI163" s="5309"/>
      <c r="CJ163" s="5309"/>
      <c r="CK163" s="5309"/>
      <c r="CL163" s="5309"/>
      <c r="CM163" s="5309"/>
      <c r="CN163" s="5309"/>
      <c r="CO163" s="5309"/>
      <c r="CP163" s="5309"/>
      <c r="CQ163" s="5309"/>
      <c r="CR163" s="5309"/>
      <c r="CS163" s="5309"/>
      <c r="CT163" s="5309"/>
      <c r="CU163" s="5309"/>
      <c r="CV163" s="5309"/>
      <c r="CW163" s="5309"/>
      <c r="CX163" s="5309"/>
      <c r="CY163" s="5309"/>
      <c r="CZ163" s="5309"/>
      <c r="DA163" s="5309"/>
      <c r="DB163" s="5309"/>
      <c r="DC163" s="5309"/>
      <c r="DD163" s="5309"/>
      <c r="DE163" s="5309"/>
      <c r="DF163" s="5309"/>
      <c r="DG163" s="5453"/>
      <c r="DH163" s="5453"/>
      <c r="DI163" s="5453"/>
      <c r="DJ163" s="5453"/>
      <c r="DK163" s="5453"/>
      <c r="DL163" s="5453"/>
      <c r="DM163" s="5453"/>
      <c r="DN163" s="5453"/>
      <c r="DO163" s="5453"/>
      <c r="DP163" s="5453"/>
      <c r="DQ163" s="5453"/>
      <c r="DR163" s="5453"/>
      <c r="DS163" s="5453"/>
      <c r="DT163" s="5453"/>
      <c r="DU163" s="5453"/>
      <c r="DV163" s="5453"/>
      <c r="DW163" s="5453"/>
      <c r="DX163" s="5453"/>
      <c r="DY163" s="5453"/>
      <c r="DZ163" s="5453"/>
      <c r="EA163" s="5453"/>
      <c r="EB163" s="5453"/>
      <c r="EC163" s="5453"/>
      <c r="ED163" s="5453"/>
      <c r="EE163" s="5453"/>
      <c r="EF163" s="5453"/>
      <c r="EG163" s="5453"/>
      <c r="EH163" s="5453"/>
      <c r="EI163" s="5453"/>
      <c r="EJ163" s="5453"/>
      <c r="EK163" s="5453"/>
      <c r="EL163" s="5453"/>
      <c r="EM163" s="5453"/>
      <c r="EN163" s="5453"/>
      <c r="EO163" s="5453"/>
      <c r="EP163" s="5453"/>
      <c r="EQ163" s="5453"/>
      <c r="ER163" s="5453"/>
      <c r="ES163" s="5453"/>
      <c r="ET163" s="5453"/>
      <c r="EU163" s="5453"/>
      <c r="EV163" s="5453"/>
      <c r="EW163" s="5453"/>
      <c r="EX163" s="5453"/>
      <c r="EY163" s="5453"/>
      <c r="EZ163" s="5453"/>
      <c r="FA163" s="5464"/>
    </row>
    <row r="164" spans="1:157" s="2014" customFormat="1" ht="15" customHeight="1">
      <c r="A164" s="16058"/>
      <c r="B164" s="16073"/>
      <c r="C164" s="16073"/>
      <c r="D164" s="16073"/>
      <c r="E164" s="16073"/>
      <c r="F164" s="16073"/>
      <c r="G164" s="16195"/>
      <c r="H164" s="16036"/>
      <c r="I164" s="16036"/>
      <c r="J164" s="16036"/>
      <c r="K164" s="16036"/>
      <c r="L164" s="16036"/>
      <c r="M164" s="16036"/>
      <c r="N164" s="16036"/>
      <c r="O164" s="16036"/>
      <c r="P164" s="16036"/>
      <c r="Q164" s="16036"/>
      <c r="R164" s="2757" t="s">
        <v>10066</v>
      </c>
      <c r="S164" s="5186"/>
      <c r="T164" s="2744" t="s">
        <v>10260</v>
      </c>
      <c r="U164" s="16198"/>
      <c r="V164" s="16211"/>
      <c r="W164" s="5187"/>
      <c r="X164" s="5385"/>
      <c r="Y164" s="2744"/>
      <c r="Z164" s="5386"/>
      <c r="AA164" s="5386"/>
      <c r="AB164" s="5386"/>
      <c r="AC164" s="5307"/>
      <c r="AD164" s="2744"/>
      <c r="AE164" s="2744"/>
      <c r="AF164" s="2744"/>
      <c r="AG164" s="2744"/>
      <c r="AH164" s="2744"/>
      <c r="AI164" s="2744"/>
      <c r="AJ164" s="2744"/>
      <c r="AK164" s="2744"/>
      <c r="AL164" s="2744"/>
      <c r="AM164" s="2744"/>
      <c r="AN164" s="2744"/>
      <c r="AO164" s="2744"/>
      <c r="AP164" s="2744"/>
      <c r="AQ164" s="2744"/>
      <c r="AR164" s="2744"/>
      <c r="AS164" s="2744"/>
      <c r="AT164" s="2744"/>
      <c r="AU164" s="2744"/>
      <c r="AV164" s="2744"/>
      <c r="AW164" s="2744"/>
      <c r="AX164" s="2744"/>
      <c r="AY164" s="2744"/>
      <c r="AZ164" s="2744"/>
      <c r="BA164" s="2744"/>
      <c r="BB164" s="2744"/>
      <c r="BC164" s="2744"/>
      <c r="BD164" s="2744"/>
      <c r="BE164" s="2744"/>
      <c r="BF164" s="2744"/>
      <c r="BG164" s="2744"/>
      <c r="BH164" s="2744"/>
      <c r="BI164" s="2744"/>
      <c r="BJ164" s="2744"/>
      <c r="BK164" s="2744"/>
      <c r="BL164" s="2744"/>
      <c r="BM164" s="2744"/>
      <c r="BN164" s="16198"/>
      <c r="BO164" s="16146">
        <f>AVERAGE(BN164:BN171)</f>
        <v>5.5E-2</v>
      </c>
      <c r="BP164" s="5187" t="s">
        <v>9488</v>
      </c>
      <c r="BQ164" s="5385" t="s">
        <v>2951</v>
      </c>
      <c r="BR164" s="2744"/>
      <c r="BS164" s="5309">
        <v>0</v>
      </c>
      <c r="BT164" s="5309">
        <v>0</v>
      </c>
      <c r="BU164" s="5309">
        <v>0</v>
      </c>
      <c r="BV164" s="5293">
        <v>0</v>
      </c>
      <c r="BW164" s="5309"/>
      <c r="BX164" s="5309"/>
      <c r="BY164" s="5309"/>
      <c r="BZ164" s="5309"/>
      <c r="CA164" s="5309"/>
      <c r="CB164" s="5309"/>
      <c r="CC164" s="5309"/>
      <c r="CD164" s="5309"/>
      <c r="CE164" s="5309"/>
      <c r="CF164" s="5309"/>
      <c r="CG164" s="5309"/>
      <c r="CH164" s="5309"/>
      <c r="CI164" s="5309"/>
      <c r="CJ164" s="5309"/>
      <c r="CK164" s="5309"/>
      <c r="CL164" s="5309"/>
      <c r="CM164" s="5309"/>
      <c r="CN164" s="5309"/>
      <c r="CO164" s="5309"/>
      <c r="CP164" s="5309"/>
      <c r="CQ164" s="5309"/>
      <c r="CR164" s="5309"/>
      <c r="CS164" s="5309"/>
      <c r="CT164" s="5309"/>
      <c r="CU164" s="5309"/>
      <c r="CV164" s="5309"/>
      <c r="CW164" s="5309"/>
      <c r="CX164" s="5309"/>
      <c r="CY164" s="5309"/>
      <c r="CZ164" s="5309"/>
      <c r="DA164" s="5309"/>
      <c r="DB164" s="5309"/>
      <c r="DC164" s="5309"/>
      <c r="DD164" s="5309"/>
      <c r="DE164" s="5309"/>
      <c r="DF164" s="5309"/>
      <c r="DG164" s="5453"/>
      <c r="DH164" s="5453"/>
      <c r="DI164" s="5453"/>
      <c r="DJ164" s="5453"/>
      <c r="DK164" s="5453"/>
      <c r="DL164" s="5453"/>
      <c r="DM164" s="5453"/>
      <c r="DN164" s="5453"/>
      <c r="DO164" s="5453"/>
      <c r="DP164" s="5453"/>
      <c r="DQ164" s="5453"/>
      <c r="DR164" s="5453"/>
      <c r="DS164" s="5453"/>
      <c r="DT164" s="5453"/>
      <c r="DU164" s="5453"/>
      <c r="DV164" s="5453"/>
      <c r="DW164" s="5453"/>
      <c r="DX164" s="5453"/>
      <c r="DY164" s="5453"/>
      <c r="DZ164" s="5453"/>
      <c r="EA164" s="5453"/>
      <c r="EB164" s="5453"/>
      <c r="EC164" s="5453"/>
      <c r="ED164" s="5453"/>
      <c r="EE164" s="5453"/>
      <c r="EF164" s="5453"/>
      <c r="EG164" s="5453"/>
      <c r="EH164" s="5453"/>
      <c r="EI164" s="5453"/>
      <c r="EJ164" s="5453"/>
      <c r="EK164" s="5453"/>
      <c r="EL164" s="5453"/>
      <c r="EM164" s="5453"/>
      <c r="EN164" s="5453"/>
      <c r="EO164" s="5453"/>
      <c r="EP164" s="5453"/>
      <c r="EQ164" s="5453"/>
      <c r="ER164" s="5453"/>
      <c r="ES164" s="5453"/>
      <c r="ET164" s="5453"/>
      <c r="EU164" s="5453"/>
      <c r="EV164" s="5453"/>
      <c r="EW164" s="5453"/>
      <c r="EX164" s="5453"/>
      <c r="EY164" s="5453"/>
      <c r="EZ164" s="5453"/>
      <c r="FA164" s="5464"/>
    </row>
    <row r="165" spans="1:157" s="2021" customFormat="1" ht="15" customHeight="1">
      <c r="A165" s="16060" t="s">
        <v>1237</v>
      </c>
      <c r="B165" s="16068" t="s">
        <v>1238</v>
      </c>
      <c r="C165" s="16068" t="s">
        <v>8117</v>
      </c>
      <c r="D165" s="16068" t="s">
        <v>1239</v>
      </c>
      <c r="E165" s="16068" t="s">
        <v>1240</v>
      </c>
      <c r="F165" s="16068" t="s">
        <v>1073</v>
      </c>
      <c r="G165" s="16202">
        <v>0</v>
      </c>
      <c r="H165" s="16034">
        <v>0</v>
      </c>
      <c r="I165" s="2749">
        <v>1</v>
      </c>
      <c r="J165" s="2749">
        <v>0</v>
      </c>
      <c r="K165" s="2749">
        <v>0</v>
      </c>
      <c r="L165" s="2749">
        <v>0</v>
      </c>
      <c r="M165" s="2749">
        <v>0</v>
      </c>
      <c r="N165" s="2749">
        <v>0</v>
      </c>
      <c r="O165" s="2749">
        <v>0</v>
      </c>
      <c r="P165" s="2749">
        <v>0</v>
      </c>
      <c r="Q165" s="2749">
        <v>0</v>
      </c>
      <c r="R165" s="5439" t="s">
        <v>10072</v>
      </c>
      <c r="S165" s="5440" t="s">
        <v>1231</v>
      </c>
      <c r="T165" s="5732" t="s">
        <v>1232</v>
      </c>
      <c r="U165" s="5664"/>
      <c r="V165" s="16211"/>
      <c r="W165" s="2749"/>
      <c r="X165" s="2749"/>
      <c r="Y165" s="2749"/>
      <c r="Z165" s="5733"/>
      <c r="AA165" s="5733"/>
      <c r="AB165" s="5733"/>
      <c r="AC165" s="5354"/>
      <c r="AD165" s="2749"/>
      <c r="AE165" s="2749"/>
      <c r="AF165" s="2749"/>
      <c r="AG165" s="2749"/>
      <c r="AH165" s="2749"/>
      <c r="AI165" s="2749"/>
      <c r="AJ165" s="2749"/>
      <c r="AK165" s="2749"/>
      <c r="AL165" s="2749"/>
      <c r="AM165" s="2749"/>
      <c r="AN165" s="2749"/>
      <c r="AO165" s="2749"/>
      <c r="AP165" s="2749"/>
      <c r="AQ165" s="2749"/>
      <c r="AR165" s="2749"/>
      <c r="AS165" s="2749"/>
      <c r="AT165" s="2749"/>
      <c r="AU165" s="2749"/>
      <c r="AV165" s="2749"/>
      <c r="AW165" s="2749"/>
      <c r="AX165" s="2749"/>
      <c r="AY165" s="2749"/>
      <c r="AZ165" s="2749"/>
      <c r="BA165" s="2749"/>
      <c r="BB165" s="2749"/>
      <c r="BC165" s="2749"/>
      <c r="BD165" s="2749"/>
      <c r="BE165" s="2749"/>
      <c r="BF165" s="2749"/>
      <c r="BG165" s="2749"/>
      <c r="BH165" s="2749"/>
      <c r="BI165" s="2749"/>
      <c r="BJ165" s="2749"/>
      <c r="BK165" s="2749"/>
      <c r="BL165" s="2749"/>
      <c r="BM165" s="2749"/>
      <c r="BN165" s="5664">
        <v>0</v>
      </c>
      <c r="BO165" s="16146"/>
      <c r="BP165" s="2749"/>
      <c r="BQ165" s="2749"/>
      <c r="BR165" s="2749"/>
      <c r="BS165" s="5633">
        <v>0</v>
      </c>
      <c r="BT165" s="5633">
        <v>0</v>
      </c>
      <c r="BU165" s="5633">
        <v>0</v>
      </c>
      <c r="BV165" s="5357">
        <v>0</v>
      </c>
      <c r="BW165" s="5633"/>
      <c r="BX165" s="5633"/>
      <c r="BY165" s="5633"/>
      <c r="BZ165" s="5633"/>
      <c r="CA165" s="5633"/>
      <c r="CB165" s="5633"/>
      <c r="CC165" s="5633"/>
      <c r="CD165" s="5633"/>
      <c r="CE165" s="5633"/>
      <c r="CF165" s="5633"/>
      <c r="CG165" s="5633"/>
      <c r="CH165" s="5633"/>
      <c r="CI165" s="5633"/>
      <c r="CJ165" s="5633"/>
      <c r="CK165" s="5633"/>
      <c r="CL165" s="5633"/>
      <c r="CM165" s="5633"/>
      <c r="CN165" s="5633"/>
      <c r="CO165" s="5633"/>
      <c r="CP165" s="5633"/>
      <c r="CQ165" s="5633"/>
      <c r="CR165" s="5633"/>
      <c r="CS165" s="5633"/>
      <c r="CT165" s="5633"/>
      <c r="CU165" s="5633"/>
      <c r="CV165" s="5633"/>
      <c r="CW165" s="5633"/>
      <c r="CX165" s="5633"/>
      <c r="CY165" s="5633"/>
      <c r="CZ165" s="5633"/>
      <c r="DA165" s="5633"/>
      <c r="DB165" s="5633"/>
      <c r="DC165" s="5633"/>
      <c r="DD165" s="5633"/>
      <c r="DE165" s="5633"/>
      <c r="DF165" s="5633"/>
      <c r="DG165" s="5457"/>
      <c r="DH165" s="5457"/>
      <c r="DI165" s="5457"/>
      <c r="DJ165" s="5457"/>
      <c r="DK165" s="5457"/>
      <c r="DL165" s="5457"/>
      <c r="DM165" s="5457"/>
      <c r="DN165" s="5457"/>
      <c r="DO165" s="5457"/>
      <c r="DP165" s="5457"/>
      <c r="DQ165" s="5457"/>
      <c r="DR165" s="5457"/>
      <c r="DS165" s="5457"/>
      <c r="DT165" s="5457"/>
      <c r="DU165" s="5457"/>
      <c r="DV165" s="5457"/>
      <c r="DW165" s="5457"/>
      <c r="DX165" s="5457"/>
      <c r="DY165" s="5457"/>
      <c r="DZ165" s="5457"/>
      <c r="EA165" s="5457"/>
      <c r="EB165" s="5457"/>
      <c r="EC165" s="5457"/>
      <c r="ED165" s="5457"/>
      <c r="EE165" s="5457"/>
      <c r="EF165" s="5457"/>
      <c r="EG165" s="5457"/>
      <c r="EH165" s="5457"/>
      <c r="EI165" s="5457"/>
      <c r="EJ165" s="5457"/>
      <c r="EK165" s="5457"/>
      <c r="EL165" s="5457"/>
      <c r="EM165" s="5457"/>
      <c r="EN165" s="5457"/>
      <c r="EO165" s="5457"/>
      <c r="EP165" s="5457"/>
      <c r="EQ165" s="5457"/>
      <c r="ER165" s="5457"/>
      <c r="ES165" s="5457"/>
      <c r="ET165" s="5457"/>
      <c r="EU165" s="5457"/>
      <c r="EV165" s="5457"/>
      <c r="EW165" s="5457"/>
      <c r="EX165" s="5457"/>
      <c r="EY165" s="5457"/>
      <c r="EZ165" s="5457"/>
      <c r="FA165" s="5468"/>
    </row>
    <row r="166" spans="1:157" s="2021" customFormat="1" ht="15" customHeight="1">
      <c r="A166" s="16060"/>
      <c r="B166" s="16068"/>
      <c r="C166" s="16068"/>
      <c r="D166" s="16068"/>
      <c r="E166" s="16068"/>
      <c r="F166" s="16068"/>
      <c r="G166" s="16202"/>
      <c r="H166" s="16034"/>
      <c r="I166" s="2749"/>
      <c r="J166" s="2749"/>
      <c r="K166" s="2749"/>
      <c r="L166" s="2749"/>
      <c r="M166" s="2749"/>
      <c r="N166" s="2749"/>
      <c r="O166" s="2749"/>
      <c r="P166" s="2749"/>
      <c r="Q166" s="2749"/>
      <c r="R166" s="5439" t="s">
        <v>2896</v>
      </c>
      <c r="S166" s="5440"/>
      <c r="T166" s="2749" t="s">
        <v>9570</v>
      </c>
      <c r="U166" s="5664"/>
      <c r="V166" s="16211"/>
      <c r="W166" s="2749"/>
      <c r="X166" s="2749"/>
      <c r="Y166" s="2749"/>
      <c r="Z166" s="5733"/>
      <c r="AA166" s="5733"/>
      <c r="AB166" s="5733"/>
      <c r="AC166" s="5354"/>
      <c r="AD166" s="2749"/>
      <c r="AE166" s="2749"/>
      <c r="AF166" s="2749"/>
      <c r="AG166" s="2749"/>
      <c r="AH166" s="2749"/>
      <c r="AI166" s="2749"/>
      <c r="AJ166" s="2749"/>
      <c r="AK166" s="2749"/>
      <c r="AL166" s="2749"/>
      <c r="AM166" s="2749"/>
      <c r="AN166" s="2749"/>
      <c r="AO166" s="2749"/>
      <c r="AP166" s="2749"/>
      <c r="AQ166" s="2749"/>
      <c r="AR166" s="2749"/>
      <c r="AS166" s="2749"/>
      <c r="AT166" s="2749"/>
      <c r="AU166" s="2749"/>
      <c r="AV166" s="2749"/>
      <c r="AW166" s="2749"/>
      <c r="AX166" s="2749"/>
      <c r="AY166" s="2749"/>
      <c r="AZ166" s="2749"/>
      <c r="BA166" s="2749"/>
      <c r="BB166" s="2749"/>
      <c r="BC166" s="2749"/>
      <c r="BD166" s="2749"/>
      <c r="BE166" s="2749"/>
      <c r="BF166" s="2749"/>
      <c r="BG166" s="2749"/>
      <c r="BH166" s="2749"/>
      <c r="BI166" s="2749"/>
      <c r="BJ166" s="2749"/>
      <c r="BK166" s="2749"/>
      <c r="BL166" s="2749"/>
      <c r="BM166" s="2749"/>
      <c r="BN166" s="5664">
        <v>0.33</v>
      </c>
      <c r="BO166" s="16146"/>
      <c r="BP166" s="2749" t="s">
        <v>9556</v>
      </c>
      <c r="BQ166" s="2749"/>
      <c r="BR166" s="2749"/>
      <c r="BS166" s="5633">
        <v>200000</v>
      </c>
      <c r="BT166" s="5633">
        <v>200000</v>
      </c>
      <c r="BU166" s="5633">
        <v>0</v>
      </c>
      <c r="BV166" s="5357">
        <v>0</v>
      </c>
      <c r="BW166" s="5633"/>
      <c r="BX166" s="5633"/>
      <c r="BY166" s="5633"/>
      <c r="BZ166" s="5633"/>
      <c r="CA166" s="5633"/>
      <c r="CB166" s="5633"/>
      <c r="CC166" s="5633"/>
      <c r="CD166" s="5633"/>
      <c r="CE166" s="5633"/>
      <c r="CF166" s="5633"/>
      <c r="CG166" s="5633"/>
      <c r="CH166" s="5633"/>
      <c r="CI166" s="5633"/>
      <c r="CJ166" s="5633"/>
      <c r="CK166" s="5633"/>
      <c r="CL166" s="5633"/>
      <c r="CM166" s="5633"/>
      <c r="CN166" s="5633"/>
      <c r="CO166" s="5633"/>
      <c r="CP166" s="5633"/>
      <c r="CQ166" s="5633"/>
      <c r="CR166" s="5633"/>
      <c r="CS166" s="5633"/>
      <c r="CT166" s="5633"/>
      <c r="CU166" s="5633"/>
      <c r="CV166" s="5633"/>
      <c r="CW166" s="5633"/>
      <c r="CX166" s="5633"/>
      <c r="CY166" s="5633"/>
      <c r="CZ166" s="5633"/>
      <c r="DA166" s="5633"/>
      <c r="DB166" s="5633"/>
      <c r="DC166" s="5633"/>
      <c r="DD166" s="5633"/>
      <c r="DE166" s="5633"/>
      <c r="DF166" s="5633"/>
      <c r="DG166" s="5457"/>
      <c r="DH166" s="5457"/>
      <c r="DI166" s="5457"/>
      <c r="DJ166" s="5457"/>
      <c r="DK166" s="5457"/>
      <c r="DL166" s="5457"/>
      <c r="DM166" s="5457"/>
      <c r="DN166" s="5457"/>
      <c r="DO166" s="5457"/>
      <c r="DP166" s="5457"/>
      <c r="DQ166" s="5457"/>
      <c r="DR166" s="5457"/>
      <c r="DS166" s="5457"/>
      <c r="DT166" s="5457"/>
      <c r="DU166" s="5457"/>
      <c r="DV166" s="5457"/>
      <c r="DW166" s="5457"/>
      <c r="DX166" s="5457"/>
      <c r="DY166" s="5457"/>
      <c r="DZ166" s="5457"/>
      <c r="EA166" s="5457"/>
      <c r="EB166" s="5457"/>
      <c r="EC166" s="5457"/>
      <c r="ED166" s="5457"/>
      <c r="EE166" s="5457"/>
      <c r="EF166" s="5457"/>
      <c r="EG166" s="5457"/>
      <c r="EH166" s="5457"/>
      <c r="EI166" s="5457"/>
      <c r="EJ166" s="5457"/>
      <c r="EK166" s="5457"/>
      <c r="EL166" s="5457"/>
      <c r="EM166" s="5457"/>
      <c r="EN166" s="5457"/>
      <c r="EO166" s="5457"/>
      <c r="EP166" s="5457"/>
      <c r="EQ166" s="5457"/>
      <c r="ER166" s="5457"/>
      <c r="ES166" s="5457"/>
      <c r="ET166" s="5457"/>
      <c r="EU166" s="5457"/>
      <c r="EV166" s="5457"/>
      <c r="EW166" s="5457"/>
      <c r="EX166" s="5457"/>
      <c r="EY166" s="5457"/>
      <c r="EZ166" s="5457"/>
      <c r="FA166" s="5468"/>
    </row>
    <row r="167" spans="1:157" s="2021" customFormat="1" ht="15" customHeight="1">
      <c r="A167" s="16060"/>
      <c r="B167" s="16068"/>
      <c r="C167" s="5348" t="s">
        <v>8118</v>
      </c>
      <c r="D167" s="5348" t="s">
        <v>1241</v>
      </c>
      <c r="E167" s="5348" t="s">
        <v>1242</v>
      </c>
      <c r="F167" s="5348" t="s">
        <v>1073</v>
      </c>
      <c r="G167" s="5734">
        <v>0</v>
      </c>
      <c r="H167" s="2749">
        <v>0</v>
      </c>
      <c r="I167" s="2749">
        <v>0</v>
      </c>
      <c r="J167" s="2749">
        <v>1</v>
      </c>
      <c r="K167" s="2749">
        <v>1</v>
      </c>
      <c r="L167" s="2749">
        <v>1</v>
      </c>
      <c r="M167" s="2749">
        <v>1</v>
      </c>
      <c r="N167" s="2749">
        <v>1</v>
      </c>
      <c r="O167" s="2749">
        <v>1</v>
      </c>
      <c r="P167" s="2749">
        <v>1</v>
      </c>
      <c r="Q167" s="2749">
        <v>1</v>
      </c>
      <c r="R167" s="5431" t="s">
        <v>10072</v>
      </c>
      <c r="S167" s="5351" t="s">
        <v>1243</v>
      </c>
      <c r="T167" s="2749"/>
      <c r="U167" s="5664"/>
      <c r="V167" s="16211"/>
      <c r="W167" s="5353"/>
      <c r="X167" s="2749"/>
      <c r="Y167" s="2749"/>
      <c r="Z167" s="5733"/>
      <c r="AA167" s="5733"/>
      <c r="AB167" s="5733"/>
      <c r="AC167" s="5354"/>
      <c r="AD167" s="2749"/>
      <c r="AE167" s="2749"/>
      <c r="AF167" s="2749"/>
      <c r="AG167" s="2749"/>
      <c r="AH167" s="2749"/>
      <c r="AI167" s="2749"/>
      <c r="AJ167" s="2749"/>
      <c r="AK167" s="2749"/>
      <c r="AL167" s="2749"/>
      <c r="AM167" s="2749"/>
      <c r="AN167" s="2749"/>
      <c r="AO167" s="2749"/>
      <c r="AP167" s="2749"/>
      <c r="AQ167" s="2749"/>
      <c r="AR167" s="2749"/>
      <c r="AS167" s="2749"/>
      <c r="AT167" s="2749"/>
      <c r="AU167" s="2749"/>
      <c r="AV167" s="2749"/>
      <c r="AW167" s="2749"/>
      <c r="AX167" s="2749"/>
      <c r="AY167" s="2749"/>
      <c r="AZ167" s="2749"/>
      <c r="BA167" s="2749"/>
      <c r="BB167" s="2749"/>
      <c r="BC167" s="2749"/>
      <c r="BD167" s="2749"/>
      <c r="BE167" s="2749"/>
      <c r="BF167" s="2749"/>
      <c r="BG167" s="2749"/>
      <c r="BH167" s="2749"/>
      <c r="BI167" s="2749"/>
      <c r="BJ167" s="2749"/>
      <c r="BK167" s="2749"/>
      <c r="BL167" s="2749"/>
      <c r="BM167" s="2749"/>
      <c r="BN167" s="5664"/>
      <c r="BO167" s="16146"/>
      <c r="BP167" s="5353" t="s">
        <v>9492</v>
      </c>
      <c r="BQ167" s="2749" t="s">
        <v>2951</v>
      </c>
      <c r="BR167" s="2749"/>
      <c r="BS167" s="5633">
        <v>0</v>
      </c>
      <c r="BT167" s="5633">
        <v>0</v>
      </c>
      <c r="BU167" s="5633">
        <v>0</v>
      </c>
      <c r="BV167" s="5357">
        <v>0</v>
      </c>
      <c r="BW167" s="5633"/>
      <c r="BX167" s="5633"/>
      <c r="BY167" s="5633"/>
      <c r="BZ167" s="5633"/>
      <c r="CA167" s="5633"/>
      <c r="CB167" s="5633"/>
      <c r="CC167" s="5633"/>
      <c r="CD167" s="5633"/>
      <c r="CE167" s="5633"/>
      <c r="CF167" s="5633"/>
      <c r="CG167" s="5633"/>
      <c r="CH167" s="5633"/>
      <c r="CI167" s="5633"/>
      <c r="CJ167" s="5633"/>
      <c r="CK167" s="5633"/>
      <c r="CL167" s="5633"/>
      <c r="CM167" s="5633"/>
      <c r="CN167" s="5633"/>
      <c r="CO167" s="5633"/>
      <c r="CP167" s="5633"/>
      <c r="CQ167" s="5633"/>
      <c r="CR167" s="5633"/>
      <c r="CS167" s="5633"/>
      <c r="CT167" s="5633"/>
      <c r="CU167" s="5633"/>
      <c r="CV167" s="5633"/>
      <c r="CW167" s="5633"/>
      <c r="CX167" s="5633"/>
      <c r="CY167" s="5633"/>
      <c r="CZ167" s="5633"/>
      <c r="DA167" s="5633"/>
      <c r="DB167" s="5633"/>
      <c r="DC167" s="5633"/>
      <c r="DD167" s="5633"/>
      <c r="DE167" s="5633"/>
      <c r="DF167" s="5633"/>
      <c r="DG167" s="5457"/>
      <c r="DH167" s="5457"/>
      <c r="DI167" s="5457"/>
      <c r="DJ167" s="5457"/>
      <c r="DK167" s="5457"/>
      <c r="DL167" s="5457"/>
      <c r="DM167" s="5457"/>
      <c r="DN167" s="5457"/>
      <c r="DO167" s="5457"/>
      <c r="DP167" s="5457"/>
      <c r="DQ167" s="5457"/>
      <c r="DR167" s="5457"/>
      <c r="DS167" s="5457"/>
      <c r="DT167" s="5457"/>
      <c r="DU167" s="5457"/>
      <c r="DV167" s="5457"/>
      <c r="DW167" s="5457"/>
      <c r="DX167" s="5457"/>
      <c r="DY167" s="5457"/>
      <c r="DZ167" s="5457"/>
      <c r="EA167" s="5457"/>
      <c r="EB167" s="5457"/>
      <c r="EC167" s="5457"/>
      <c r="ED167" s="5457"/>
      <c r="EE167" s="5457"/>
      <c r="EF167" s="5457"/>
      <c r="EG167" s="5457"/>
      <c r="EH167" s="5457"/>
      <c r="EI167" s="5457"/>
      <c r="EJ167" s="5457"/>
      <c r="EK167" s="5457"/>
      <c r="EL167" s="5457"/>
      <c r="EM167" s="5457"/>
      <c r="EN167" s="5457"/>
      <c r="EO167" s="5457"/>
      <c r="EP167" s="5457"/>
      <c r="EQ167" s="5457"/>
      <c r="ER167" s="5457"/>
      <c r="ES167" s="5457"/>
      <c r="ET167" s="5457"/>
      <c r="EU167" s="5457"/>
      <c r="EV167" s="5457"/>
      <c r="EW167" s="5457"/>
      <c r="EX167" s="5457"/>
      <c r="EY167" s="5457"/>
      <c r="EZ167" s="5457"/>
      <c r="FA167" s="5468"/>
    </row>
    <row r="168" spans="1:157" s="2021" customFormat="1" ht="15" customHeight="1">
      <c r="A168" s="16060"/>
      <c r="B168" s="16068"/>
      <c r="C168" s="16068" t="s">
        <v>8119</v>
      </c>
      <c r="D168" s="16068" t="s">
        <v>1244</v>
      </c>
      <c r="E168" s="16068" t="s">
        <v>1245</v>
      </c>
      <c r="F168" s="16068" t="s">
        <v>958</v>
      </c>
      <c r="G168" s="16202">
        <v>0</v>
      </c>
      <c r="H168" s="16034">
        <v>30</v>
      </c>
      <c r="I168" s="16034">
        <v>30</v>
      </c>
      <c r="J168" s="16034">
        <v>30</v>
      </c>
      <c r="K168" s="16034">
        <v>30</v>
      </c>
      <c r="L168" s="16034">
        <v>40</v>
      </c>
      <c r="M168" s="16034">
        <v>40</v>
      </c>
      <c r="N168" s="16034">
        <v>40</v>
      </c>
      <c r="O168" s="16034">
        <v>40</v>
      </c>
      <c r="P168" s="16034">
        <v>40</v>
      </c>
      <c r="Q168" s="16034">
        <v>40</v>
      </c>
      <c r="R168" s="5439" t="s">
        <v>10072</v>
      </c>
      <c r="S168" s="5440" t="s">
        <v>1246</v>
      </c>
      <c r="T168" s="2749"/>
      <c r="U168" s="5664"/>
      <c r="V168" s="16211"/>
      <c r="W168" s="2749"/>
      <c r="X168" s="2749"/>
      <c r="Y168" s="2749"/>
      <c r="Z168" s="5733"/>
      <c r="AA168" s="5733"/>
      <c r="AB168" s="5733"/>
      <c r="AC168" s="5354"/>
      <c r="AD168" s="2749"/>
      <c r="AE168" s="2749"/>
      <c r="AF168" s="2749"/>
      <c r="AG168" s="2749"/>
      <c r="AH168" s="2749"/>
      <c r="AI168" s="2749"/>
      <c r="AJ168" s="2749"/>
      <c r="AK168" s="2749"/>
      <c r="AL168" s="2749"/>
      <c r="AM168" s="2749"/>
      <c r="AN168" s="2749"/>
      <c r="AO168" s="2749"/>
      <c r="AP168" s="2749"/>
      <c r="AQ168" s="2749"/>
      <c r="AR168" s="2749"/>
      <c r="AS168" s="2749"/>
      <c r="AT168" s="2749"/>
      <c r="AU168" s="2749"/>
      <c r="AV168" s="2749"/>
      <c r="AW168" s="2749"/>
      <c r="AX168" s="2749"/>
      <c r="AY168" s="2749"/>
      <c r="AZ168" s="2749"/>
      <c r="BA168" s="2749"/>
      <c r="BB168" s="2749"/>
      <c r="BC168" s="2749"/>
      <c r="BD168" s="2749"/>
      <c r="BE168" s="2749"/>
      <c r="BF168" s="2749"/>
      <c r="BG168" s="2749"/>
      <c r="BH168" s="2749"/>
      <c r="BI168" s="2749"/>
      <c r="BJ168" s="2749"/>
      <c r="BK168" s="2749"/>
      <c r="BL168" s="2749"/>
      <c r="BM168" s="2749"/>
      <c r="BN168" s="5664">
        <v>0</v>
      </c>
      <c r="BO168" s="16146"/>
      <c r="BP168" s="2749"/>
      <c r="BQ168" s="2749"/>
      <c r="BR168" s="2749"/>
      <c r="BS168" s="5633">
        <v>0</v>
      </c>
      <c r="BT168" s="5633">
        <v>0</v>
      </c>
      <c r="BU168" s="5633">
        <v>0</v>
      </c>
      <c r="BV168" s="5357">
        <v>0</v>
      </c>
      <c r="BW168" s="5633"/>
      <c r="BX168" s="5633"/>
      <c r="BY168" s="5633"/>
      <c r="BZ168" s="5633"/>
      <c r="CA168" s="5633"/>
      <c r="CB168" s="5633"/>
      <c r="CC168" s="5633"/>
      <c r="CD168" s="5633"/>
      <c r="CE168" s="5633"/>
      <c r="CF168" s="5633"/>
      <c r="CG168" s="5633"/>
      <c r="CH168" s="5633"/>
      <c r="CI168" s="5633"/>
      <c r="CJ168" s="5633"/>
      <c r="CK168" s="5633"/>
      <c r="CL168" s="5633"/>
      <c r="CM168" s="5633"/>
      <c r="CN168" s="5633"/>
      <c r="CO168" s="5633"/>
      <c r="CP168" s="5633"/>
      <c r="CQ168" s="5633"/>
      <c r="CR168" s="5633"/>
      <c r="CS168" s="5633"/>
      <c r="CT168" s="5633"/>
      <c r="CU168" s="5633"/>
      <c r="CV168" s="5633"/>
      <c r="CW168" s="5633"/>
      <c r="CX168" s="5633"/>
      <c r="CY168" s="5633"/>
      <c r="CZ168" s="5633"/>
      <c r="DA168" s="5633"/>
      <c r="DB168" s="5633"/>
      <c r="DC168" s="5633"/>
      <c r="DD168" s="5633"/>
      <c r="DE168" s="5633"/>
      <c r="DF168" s="5633"/>
      <c r="DG168" s="5457"/>
      <c r="DH168" s="5457"/>
      <c r="DI168" s="5457"/>
      <c r="DJ168" s="5457"/>
      <c r="DK168" s="5457"/>
      <c r="DL168" s="5457"/>
      <c r="DM168" s="5457"/>
      <c r="DN168" s="5457"/>
      <c r="DO168" s="5457"/>
      <c r="DP168" s="5457"/>
      <c r="DQ168" s="5457"/>
      <c r="DR168" s="5457"/>
      <c r="DS168" s="5457"/>
      <c r="DT168" s="5457"/>
      <c r="DU168" s="5457"/>
      <c r="DV168" s="5457"/>
      <c r="DW168" s="5457"/>
      <c r="DX168" s="5457"/>
      <c r="DY168" s="5457"/>
      <c r="DZ168" s="5457"/>
      <c r="EA168" s="5457"/>
      <c r="EB168" s="5457"/>
      <c r="EC168" s="5457"/>
      <c r="ED168" s="5457"/>
      <c r="EE168" s="5457"/>
      <c r="EF168" s="5457"/>
      <c r="EG168" s="5457"/>
      <c r="EH168" s="5457"/>
      <c r="EI168" s="5457"/>
      <c r="EJ168" s="5457"/>
      <c r="EK168" s="5457"/>
      <c r="EL168" s="5457"/>
      <c r="EM168" s="5457"/>
      <c r="EN168" s="5457"/>
      <c r="EO168" s="5457"/>
      <c r="EP168" s="5457"/>
      <c r="EQ168" s="5457"/>
      <c r="ER168" s="5457"/>
      <c r="ES168" s="5457"/>
      <c r="ET168" s="5457"/>
      <c r="EU168" s="5457"/>
      <c r="EV168" s="5457"/>
      <c r="EW168" s="5457"/>
      <c r="EX168" s="5457"/>
      <c r="EY168" s="5457"/>
      <c r="EZ168" s="5457"/>
      <c r="FA168" s="5468"/>
    </row>
    <row r="169" spans="1:157" s="2021" customFormat="1" ht="15" customHeight="1">
      <c r="A169" s="16060"/>
      <c r="B169" s="16068"/>
      <c r="C169" s="16068"/>
      <c r="D169" s="16068"/>
      <c r="E169" s="16068"/>
      <c r="F169" s="16068"/>
      <c r="G169" s="16202"/>
      <c r="H169" s="16034"/>
      <c r="I169" s="16034"/>
      <c r="J169" s="16034"/>
      <c r="K169" s="16034"/>
      <c r="L169" s="16034"/>
      <c r="M169" s="16034"/>
      <c r="N169" s="16034"/>
      <c r="O169" s="16034"/>
      <c r="P169" s="16034"/>
      <c r="Q169" s="16034"/>
      <c r="R169" s="5439" t="s">
        <v>86</v>
      </c>
      <c r="S169" s="5440"/>
      <c r="T169" s="2749" t="s">
        <v>1247</v>
      </c>
      <c r="U169" s="5664"/>
      <c r="V169" s="16211"/>
      <c r="W169" s="5353"/>
      <c r="X169" s="2749"/>
      <c r="Y169" s="2749"/>
      <c r="Z169" s="5733"/>
      <c r="AA169" s="5733"/>
      <c r="AB169" s="5733"/>
      <c r="AC169" s="5354"/>
      <c r="AD169" s="2749"/>
      <c r="AE169" s="2749"/>
      <c r="AF169" s="2749"/>
      <c r="AG169" s="2749"/>
      <c r="AH169" s="2749"/>
      <c r="AI169" s="2749"/>
      <c r="AJ169" s="2749"/>
      <c r="AK169" s="2749"/>
      <c r="AL169" s="2749"/>
      <c r="AM169" s="2749"/>
      <c r="AN169" s="2749"/>
      <c r="AO169" s="2749"/>
      <c r="AP169" s="2749"/>
      <c r="AQ169" s="2749"/>
      <c r="AR169" s="2749"/>
      <c r="AS169" s="2749"/>
      <c r="AT169" s="2749"/>
      <c r="AU169" s="2749"/>
      <c r="AV169" s="2749"/>
      <c r="AW169" s="2749"/>
      <c r="AX169" s="2749"/>
      <c r="AY169" s="2749"/>
      <c r="AZ169" s="2749"/>
      <c r="BA169" s="2749"/>
      <c r="BB169" s="2749"/>
      <c r="BC169" s="2749"/>
      <c r="BD169" s="2749"/>
      <c r="BE169" s="2749"/>
      <c r="BF169" s="2749"/>
      <c r="BG169" s="2749"/>
      <c r="BH169" s="2749"/>
      <c r="BI169" s="2749"/>
      <c r="BJ169" s="2749"/>
      <c r="BK169" s="2749"/>
      <c r="BL169" s="2749"/>
      <c r="BM169" s="2749"/>
      <c r="BN169" s="5664">
        <v>0</v>
      </c>
      <c r="BO169" s="16146"/>
      <c r="BP169" s="5353" t="s">
        <v>9492</v>
      </c>
      <c r="BQ169" s="2749" t="s">
        <v>2951</v>
      </c>
      <c r="BR169" s="2749"/>
      <c r="BS169" s="5633">
        <v>0</v>
      </c>
      <c r="BT169" s="5633">
        <v>0</v>
      </c>
      <c r="BU169" s="5633">
        <v>0</v>
      </c>
      <c r="BV169" s="5357">
        <v>0</v>
      </c>
      <c r="BW169" s="5633"/>
      <c r="BX169" s="5633"/>
      <c r="BY169" s="5633"/>
      <c r="BZ169" s="5633"/>
      <c r="CA169" s="5633"/>
      <c r="CB169" s="5633"/>
      <c r="CC169" s="5633"/>
      <c r="CD169" s="5633"/>
      <c r="CE169" s="5633"/>
      <c r="CF169" s="5633"/>
      <c r="CG169" s="5633"/>
      <c r="CH169" s="5633"/>
      <c r="CI169" s="5633"/>
      <c r="CJ169" s="5633"/>
      <c r="CK169" s="5633"/>
      <c r="CL169" s="5633"/>
      <c r="CM169" s="5633"/>
      <c r="CN169" s="5633"/>
      <c r="CO169" s="5633"/>
      <c r="CP169" s="5633"/>
      <c r="CQ169" s="5633"/>
      <c r="CR169" s="5633"/>
      <c r="CS169" s="5633"/>
      <c r="CT169" s="5633"/>
      <c r="CU169" s="5633"/>
      <c r="CV169" s="5633"/>
      <c r="CW169" s="5633"/>
      <c r="CX169" s="5633"/>
      <c r="CY169" s="5633"/>
      <c r="CZ169" s="5633"/>
      <c r="DA169" s="5633"/>
      <c r="DB169" s="5633"/>
      <c r="DC169" s="5633"/>
      <c r="DD169" s="5633"/>
      <c r="DE169" s="5633"/>
      <c r="DF169" s="5633"/>
      <c r="DG169" s="5457"/>
      <c r="DH169" s="5457"/>
      <c r="DI169" s="5457"/>
      <c r="DJ169" s="5457"/>
      <c r="DK169" s="5457"/>
      <c r="DL169" s="5457"/>
      <c r="DM169" s="5457"/>
      <c r="DN169" s="5457"/>
      <c r="DO169" s="5457"/>
      <c r="DP169" s="5457"/>
      <c r="DQ169" s="5457"/>
      <c r="DR169" s="5457"/>
      <c r="DS169" s="5457"/>
      <c r="DT169" s="5457"/>
      <c r="DU169" s="5457"/>
      <c r="DV169" s="5457"/>
      <c r="DW169" s="5457"/>
      <c r="DX169" s="5457"/>
      <c r="DY169" s="5457"/>
      <c r="DZ169" s="5457"/>
      <c r="EA169" s="5457"/>
      <c r="EB169" s="5457"/>
      <c r="EC169" s="5457"/>
      <c r="ED169" s="5457"/>
      <c r="EE169" s="5457"/>
      <c r="EF169" s="5457"/>
      <c r="EG169" s="5457"/>
      <c r="EH169" s="5457"/>
      <c r="EI169" s="5457"/>
      <c r="EJ169" s="5457"/>
      <c r="EK169" s="5457"/>
      <c r="EL169" s="5457"/>
      <c r="EM169" s="5457"/>
      <c r="EN169" s="5457"/>
      <c r="EO169" s="5457"/>
      <c r="EP169" s="5457"/>
      <c r="EQ169" s="5457"/>
      <c r="ER169" s="5457"/>
      <c r="ES169" s="5457"/>
      <c r="ET169" s="5457"/>
      <c r="EU169" s="5457"/>
      <c r="EV169" s="5457"/>
      <c r="EW169" s="5457"/>
      <c r="EX169" s="5457"/>
      <c r="EY169" s="5457"/>
      <c r="EZ169" s="5457"/>
      <c r="FA169" s="5468"/>
    </row>
    <row r="170" spans="1:157" s="2021" customFormat="1" ht="15" customHeight="1">
      <c r="A170" s="16060"/>
      <c r="B170" s="16068"/>
      <c r="C170" s="5348" t="s">
        <v>8120</v>
      </c>
      <c r="D170" s="5735" t="s">
        <v>1248</v>
      </c>
      <c r="E170" s="5348"/>
      <c r="F170" s="5348"/>
      <c r="G170" s="5734"/>
      <c r="H170" s="2749"/>
      <c r="I170" s="2749"/>
      <c r="J170" s="2749"/>
      <c r="K170" s="2749"/>
      <c r="L170" s="2749"/>
      <c r="M170" s="2749"/>
      <c r="N170" s="2749"/>
      <c r="O170" s="2749"/>
      <c r="P170" s="2749"/>
      <c r="Q170" s="2749"/>
      <c r="R170" s="5431" t="s">
        <v>10072</v>
      </c>
      <c r="S170" s="2749" t="s">
        <v>1246</v>
      </c>
      <c r="T170" s="5732" t="s">
        <v>1232</v>
      </c>
      <c r="U170" s="5664"/>
      <c r="V170" s="16211"/>
      <c r="W170" s="5353"/>
      <c r="X170" s="2749"/>
      <c r="Y170" s="2749"/>
      <c r="Z170" s="5733"/>
      <c r="AA170" s="5733"/>
      <c r="AB170" s="5733"/>
      <c r="AC170" s="5354"/>
      <c r="AD170" s="2749"/>
      <c r="AE170" s="2749"/>
      <c r="AF170" s="2749"/>
      <c r="AG170" s="2749"/>
      <c r="AH170" s="2749"/>
      <c r="AI170" s="2749"/>
      <c r="AJ170" s="2749"/>
      <c r="AK170" s="2749"/>
      <c r="AL170" s="2749"/>
      <c r="AM170" s="2749"/>
      <c r="AN170" s="2749"/>
      <c r="AO170" s="2749"/>
      <c r="AP170" s="2749"/>
      <c r="AQ170" s="2749"/>
      <c r="AR170" s="2749"/>
      <c r="AS170" s="2749"/>
      <c r="AT170" s="2749"/>
      <c r="AU170" s="2749"/>
      <c r="AV170" s="2749"/>
      <c r="AW170" s="2749"/>
      <c r="AX170" s="2749"/>
      <c r="AY170" s="2749"/>
      <c r="AZ170" s="2749"/>
      <c r="BA170" s="2749"/>
      <c r="BB170" s="2749"/>
      <c r="BC170" s="2749"/>
      <c r="BD170" s="2749"/>
      <c r="BE170" s="2749"/>
      <c r="BF170" s="2749"/>
      <c r="BG170" s="2749"/>
      <c r="BH170" s="2749"/>
      <c r="BI170" s="2749"/>
      <c r="BJ170" s="2749"/>
      <c r="BK170" s="2749"/>
      <c r="BL170" s="2749"/>
      <c r="BM170" s="2749"/>
      <c r="BN170" s="5664">
        <v>0</v>
      </c>
      <c r="BO170" s="16146"/>
      <c r="BP170" s="5353" t="s">
        <v>9492</v>
      </c>
      <c r="BQ170" s="2749" t="s">
        <v>2951</v>
      </c>
      <c r="BR170" s="2749"/>
      <c r="BS170" s="5633">
        <v>0</v>
      </c>
      <c r="BT170" s="5633">
        <v>0</v>
      </c>
      <c r="BU170" s="5633">
        <v>0</v>
      </c>
      <c r="BV170" s="5357">
        <v>0</v>
      </c>
      <c r="BW170" s="5633"/>
      <c r="BX170" s="5633"/>
      <c r="BY170" s="5633"/>
      <c r="BZ170" s="5633"/>
      <c r="CA170" s="5633"/>
      <c r="CB170" s="5633"/>
      <c r="CC170" s="5633"/>
      <c r="CD170" s="5633"/>
      <c r="CE170" s="5633"/>
      <c r="CF170" s="5633"/>
      <c r="CG170" s="5633"/>
      <c r="CH170" s="5633"/>
      <c r="CI170" s="5633"/>
      <c r="CJ170" s="5633"/>
      <c r="CK170" s="5633"/>
      <c r="CL170" s="5633"/>
      <c r="CM170" s="5633"/>
      <c r="CN170" s="5633"/>
      <c r="CO170" s="5633"/>
      <c r="CP170" s="5633"/>
      <c r="CQ170" s="5633"/>
      <c r="CR170" s="5633"/>
      <c r="CS170" s="5633"/>
      <c r="CT170" s="5633"/>
      <c r="CU170" s="5633"/>
      <c r="CV170" s="5633"/>
      <c r="CW170" s="5633"/>
      <c r="CX170" s="5633"/>
      <c r="CY170" s="5633"/>
      <c r="CZ170" s="5633"/>
      <c r="DA170" s="5633"/>
      <c r="DB170" s="5633"/>
      <c r="DC170" s="5633"/>
      <c r="DD170" s="5633"/>
      <c r="DE170" s="5633"/>
      <c r="DF170" s="5633"/>
      <c r="DG170" s="5457"/>
      <c r="DH170" s="5457"/>
      <c r="DI170" s="5457"/>
      <c r="DJ170" s="5457"/>
      <c r="DK170" s="5457"/>
      <c r="DL170" s="5457"/>
      <c r="DM170" s="5457"/>
      <c r="DN170" s="5457"/>
      <c r="DO170" s="5457"/>
      <c r="DP170" s="5457"/>
      <c r="DQ170" s="5457"/>
      <c r="DR170" s="5457"/>
      <c r="DS170" s="5457"/>
      <c r="DT170" s="5457"/>
      <c r="DU170" s="5457"/>
      <c r="DV170" s="5457"/>
      <c r="DW170" s="5457"/>
      <c r="DX170" s="5457"/>
      <c r="DY170" s="5457"/>
      <c r="DZ170" s="5457"/>
      <c r="EA170" s="5457"/>
      <c r="EB170" s="5457"/>
      <c r="EC170" s="5457"/>
      <c r="ED170" s="5457"/>
      <c r="EE170" s="5457"/>
      <c r="EF170" s="5457"/>
      <c r="EG170" s="5457"/>
      <c r="EH170" s="5457"/>
      <c r="EI170" s="5457"/>
      <c r="EJ170" s="5457"/>
      <c r="EK170" s="5457"/>
      <c r="EL170" s="5457"/>
      <c r="EM170" s="5457"/>
      <c r="EN170" s="5457"/>
      <c r="EO170" s="5457"/>
      <c r="EP170" s="5457"/>
      <c r="EQ170" s="5457"/>
      <c r="ER170" s="5457"/>
      <c r="ES170" s="5457"/>
      <c r="ET170" s="5457"/>
      <c r="EU170" s="5457"/>
      <c r="EV170" s="5457"/>
      <c r="EW170" s="5457"/>
      <c r="EX170" s="5457"/>
      <c r="EY170" s="5457"/>
      <c r="EZ170" s="5457"/>
      <c r="FA170" s="5468"/>
    </row>
    <row r="171" spans="1:157" s="2021" customFormat="1" ht="15" customHeight="1">
      <c r="A171" s="16060"/>
      <c r="B171" s="16068"/>
      <c r="C171" s="5348" t="s">
        <v>8121</v>
      </c>
      <c r="D171" s="5735" t="s">
        <v>1249</v>
      </c>
      <c r="E171" s="5348"/>
      <c r="F171" s="5348"/>
      <c r="G171" s="5734"/>
      <c r="H171" s="2749"/>
      <c r="I171" s="2749"/>
      <c r="J171" s="2749"/>
      <c r="K171" s="2749"/>
      <c r="L171" s="2749"/>
      <c r="M171" s="2749"/>
      <c r="N171" s="2749"/>
      <c r="O171" s="2749"/>
      <c r="P171" s="2749"/>
      <c r="Q171" s="2749"/>
      <c r="R171" s="5431" t="s">
        <v>10072</v>
      </c>
      <c r="S171" s="2749" t="s">
        <v>1231</v>
      </c>
      <c r="T171" s="5732" t="s">
        <v>1232</v>
      </c>
      <c r="U171" s="5664"/>
      <c r="V171" s="16211"/>
      <c r="W171" s="5353"/>
      <c r="X171" s="2749"/>
      <c r="Y171" s="2749"/>
      <c r="Z171" s="5733"/>
      <c r="AA171" s="5733"/>
      <c r="AB171" s="5733"/>
      <c r="AC171" s="5354"/>
      <c r="AD171" s="2749"/>
      <c r="AE171" s="2749"/>
      <c r="AF171" s="2749"/>
      <c r="AG171" s="2749"/>
      <c r="AH171" s="2749"/>
      <c r="AI171" s="2749"/>
      <c r="AJ171" s="2749"/>
      <c r="AK171" s="2749"/>
      <c r="AL171" s="2749"/>
      <c r="AM171" s="2749"/>
      <c r="AN171" s="2749"/>
      <c r="AO171" s="2749"/>
      <c r="AP171" s="2749"/>
      <c r="AQ171" s="2749"/>
      <c r="AR171" s="2749"/>
      <c r="AS171" s="2749"/>
      <c r="AT171" s="2749"/>
      <c r="AU171" s="2749"/>
      <c r="AV171" s="2749"/>
      <c r="AW171" s="2749"/>
      <c r="AX171" s="2749"/>
      <c r="AY171" s="2749"/>
      <c r="AZ171" s="2749"/>
      <c r="BA171" s="2749"/>
      <c r="BB171" s="2749"/>
      <c r="BC171" s="2749"/>
      <c r="BD171" s="2749"/>
      <c r="BE171" s="2749"/>
      <c r="BF171" s="2749"/>
      <c r="BG171" s="2749"/>
      <c r="BH171" s="2749"/>
      <c r="BI171" s="2749"/>
      <c r="BJ171" s="2749"/>
      <c r="BK171" s="2749"/>
      <c r="BL171" s="2749"/>
      <c r="BM171" s="2749"/>
      <c r="BN171" s="5664">
        <v>0</v>
      </c>
      <c r="BO171" s="16146"/>
      <c r="BP171" s="5353" t="s">
        <v>9492</v>
      </c>
      <c r="BQ171" s="2749" t="s">
        <v>2951</v>
      </c>
      <c r="BR171" s="2749"/>
      <c r="BS171" s="5633">
        <v>0</v>
      </c>
      <c r="BT171" s="5633">
        <v>0</v>
      </c>
      <c r="BU171" s="5633">
        <v>0</v>
      </c>
      <c r="BV171" s="5357">
        <v>0</v>
      </c>
      <c r="BW171" s="5633"/>
      <c r="BX171" s="5633"/>
      <c r="BY171" s="5633"/>
      <c r="BZ171" s="5633"/>
      <c r="CA171" s="5633"/>
      <c r="CB171" s="5633"/>
      <c r="CC171" s="5633"/>
      <c r="CD171" s="5633"/>
      <c r="CE171" s="5633"/>
      <c r="CF171" s="5633"/>
      <c r="CG171" s="5633"/>
      <c r="CH171" s="5633"/>
      <c r="CI171" s="5633"/>
      <c r="CJ171" s="5633"/>
      <c r="CK171" s="5633"/>
      <c r="CL171" s="5633"/>
      <c r="CM171" s="5633"/>
      <c r="CN171" s="5633"/>
      <c r="CO171" s="5633"/>
      <c r="CP171" s="5633"/>
      <c r="CQ171" s="5633"/>
      <c r="CR171" s="5633"/>
      <c r="CS171" s="5633"/>
      <c r="CT171" s="5633"/>
      <c r="CU171" s="5633"/>
      <c r="CV171" s="5633"/>
      <c r="CW171" s="5633"/>
      <c r="CX171" s="5633"/>
      <c r="CY171" s="5633"/>
      <c r="CZ171" s="5633"/>
      <c r="DA171" s="5633"/>
      <c r="DB171" s="5633"/>
      <c r="DC171" s="5633"/>
      <c r="DD171" s="5633"/>
      <c r="DE171" s="5633"/>
      <c r="DF171" s="5633"/>
      <c r="DG171" s="5457"/>
      <c r="DH171" s="5457"/>
      <c r="DI171" s="5457"/>
      <c r="DJ171" s="5457"/>
      <c r="DK171" s="5457"/>
      <c r="DL171" s="5457"/>
      <c r="DM171" s="5457"/>
      <c r="DN171" s="5457"/>
      <c r="DO171" s="5457"/>
      <c r="DP171" s="5457"/>
      <c r="DQ171" s="5457"/>
      <c r="DR171" s="5457"/>
      <c r="DS171" s="5457"/>
      <c r="DT171" s="5457"/>
      <c r="DU171" s="5457"/>
      <c r="DV171" s="5457"/>
      <c r="DW171" s="5457"/>
      <c r="DX171" s="5457"/>
      <c r="DY171" s="5457"/>
      <c r="DZ171" s="5457"/>
      <c r="EA171" s="5457"/>
      <c r="EB171" s="5457"/>
      <c r="EC171" s="5457"/>
      <c r="ED171" s="5457"/>
      <c r="EE171" s="5457"/>
      <c r="EF171" s="5457"/>
      <c r="EG171" s="5457"/>
      <c r="EH171" s="5457"/>
      <c r="EI171" s="5457"/>
      <c r="EJ171" s="5457"/>
      <c r="EK171" s="5457"/>
      <c r="EL171" s="5457"/>
      <c r="EM171" s="5457"/>
      <c r="EN171" s="5457"/>
      <c r="EO171" s="5457"/>
      <c r="EP171" s="5457"/>
      <c r="EQ171" s="5457"/>
      <c r="ER171" s="5457"/>
      <c r="ES171" s="5457"/>
      <c r="ET171" s="5457"/>
      <c r="EU171" s="5457"/>
      <c r="EV171" s="5457"/>
      <c r="EW171" s="5457"/>
      <c r="EX171" s="5457"/>
      <c r="EY171" s="5457"/>
      <c r="EZ171" s="5457"/>
      <c r="FA171" s="5468"/>
    </row>
    <row r="172" spans="1:157" s="2021" customFormat="1" ht="15" customHeight="1">
      <c r="A172" s="16060"/>
      <c r="B172" s="16068"/>
      <c r="C172" s="5348" t="s">
        <v>8122</v>
      </c>
      <c r="D172" s="5735" t="s">
        <v>1250</v>
      </c>
      <c r="E172" s="5348"/>
      <c r="F172" s="5348"/>
      <c r="G172" s="5734"/>
      <c r="H172" s="2749"/>
      <c r="I172" s="2749"/>
      <c r="J172" s="2749"/>
      <c r="K172" s="2749"/>
      <c r="L172" s="2749"/>
      <c r="M172" s="2749"/>
      <c r="N172" s="2749"/>
      <c r="O172" s="2749"/>
      <c r="P172" s="2749"/>
      <c r="Q172" s="2749"/>
      <c r="R172" s="5431" t="s">
        <v>10072</v>
      </c>
      <c r="S172" s="2749" t="s">
        <v>1246</v>
      </c>
      <c r="T172" s="5732" t="s">
        <v>1251</v>
      </c>
      <c r="U172" s="5664"/>
      <c r="V172" s="16211"/>
      <c r="W172" s="5353"/>
      <c r="X172" s="5736"/>
      <c r="Y172" s="2749"/>
      <c r="Z172" s="5733"/>
      <c r="AA172" s="5733"/>
      <c r="AB172" s="5733"/>
      <c r="AC172" s="5354"/>
      <c r="AD172" s="2749"/>
      <c r="AE172" s="2749"/>
      <c r="AF172" s="2749"/>
      <c r="AG172" s="2749"/>
      <c r="AH172" s="2749"/>
      <c r="AI172" s="2749"/>
      <c r="AJ172" s="2749"/>
      <c r="AK172" s="2749"/>
      <c r="AL172" s="2749"/>
      <c r="AM172" s="2749"/>
      <c r="AN172" s="2749"/>
      <c r="AO172" s="2749"/>
      <c r="AP172" s="2749"/>
      <c r="AQ172" s="2749"/>
      <c r="AR172" s="2749"/>
      <c r="AS172" s="2749"/>
      <c r="AT172" s="2749"/>
      <c r="AU172" s="2749"/>
      <c r="AV172" s="2749"/>
      <c r="AW172" s="2749"/>
      <c r="AX172" s="2749"/>
      <c r="AY172" s="2749"/>
      <c r="AZ172" s="2749"/>
      <c r="BA172" s="2749"/>
      <c r="BB172" s="2749"/>
      <c r="BC172" s="2749"/>
      <c r="BD172" s="2749"/>
      <c r="BE172" s="2749"/>
      <c r="BF172" s="2749"/>
      <c r="BG172" s="2749"/>
      <c r="BH172" s="2749"/>
      <c r="BI172" s="2749"/>
      <c r="BJ172" s="2749"/>
      <c r="BK172" s="2749"/>
      <c r="BL172" s="2749"/>
      <c r="BM172" s="2749"/>
      <c r="BN172" s="5664">
        <v>0</v>
      </c>
      <c r="BO172" s="16146">
        <f>AVERAGE(BN172:BN191)</f>
        <v>0.11842105263157894</v>
      </c>
      <c r="BP172" s="5353" t="s">
        <v>9492</v>
      </c>
      <c r="BQ172" s="5736" t="s">
        <v>2951</v>
      </c>
      <c r="BR172" s="2749"/>
      <c r="BS172" s="5633">
        <v>0</v>
      </c>
      <c r="BT172" s="5633">
        <v>0</v>
      </c>
      <c r="BU172" s="5633">
        <v>0</v>
      </c>
      <c r="BV172" s="5357">
        <v>0</v>
      </c>
      <c r="BW172" s="5633"/>
      <c r="BX172" s="5633"/>
      <c r="BY172" s="5633"/>
      <c r="BZ172" s="5633"/>
      <c r="CA172" s="5633"/>
      <c r="CB172" s="5633"/>
      <c r="CC172" s="5633"/>
      <c r="CD172" s="5633"/>
      <c r="CE172" s="5633"/>
      <c r="CF172" s="5633"/>
      <c r="CG172" s="5633"/>
      <c r="CH172" s="5633"/>
      <c r="CI172" s="5633"/>
      <c r="CJ172" s="5633"/>
      <c r="CK172" s="5633"/>
      <c r="CL172" s="5633"/>
      <c r="CM172" s="5633"/>
      <c r="CN172" s="5633"/>
      <c r="CO172" s="5633"/>
      <c r="CP172" s="5633"/>
      <c r="CQ172" s="5633"/>
      <c r="CR172" s="5633"/>
      <c r="CS172" s="5633"/>
      <c r="CT172" s="5633"/>
      <c r="CU172" s="5633"/>
      <c r="CV172" s="5633"/>
      <c r="CW172" s="5633"/>
      <c r="CX172" s="5633"/>
      <c r="CY172" s="5633"/>
      <c r="CZ172" s="5633"/>
      <c r="DA172" s="5633"/>
      <c r="DB172" s="5633"/>
      <c r="DC172" s="5633"/>
      <c r="DD172" s="5633"/>
      <c r="DE172" s="5633"/>
      <c r="DF172" s="5633"/>
      <c r="DG172" s="5457"/>
      <c r="DH172" s="5457"/>
      <c r="DI172" s="5457"/>
      <c r="DJ172" s="5457"/>
      <c r="DK172" s="5457"/>
      <c r="DL172" s="5457"/>
      <c r="DM172" s="5457"/>
      <c r="DN172" s="5457"/>
      <c r="DO172" s="5457"/>
      <c r="DP172" s="5457"/>
      <c r="DQ172" s="5457"/>
      <c r="DR172" s="5457"/>
      <c r="DS172" s="5457"/>
      <c r="DT172" s="5457"/>
      <c r="DU172" s="5457"/>
      <c r="DV172" s="5457"/>
      <c r="DW172" s="5457"/>
      <c r="DX172" s="5457"/>
      <c r="DY172" s="5457"/>
      <c r="DZ172" s="5457"/>
      <c r="EA172" s="5457"/>
      <c r="EB172" s="5457"/>
      <c r="EC172" s="5457"/>
      <c r="ED172" s="5457"/>
      <c r="EE172" s="5457"/>
      <c r="EF172" s="5457"/>
      <c r="EG172" s="5457"/>
      <c r="EH172" s="5457"/>
      <c r="EI172" s="5457"/>
      <c r="EJ172" s="5457"/>
      <c r="EK172" s="5457"/>
      <c r="EL172" s="5457"/>
      <c r="EM172" s="5457"/>
      <c r="EN172" s="5457"/>
      <c r="EO172" s="5457"/>
      <c r="EP172" s="5457"/>
      <c r="EQ172" s="5457"/>
      <c r="ER172" s="5457"/>
      <c r="ES172" s="5457"/>
      <c r="ET172" s="5457"/>
      <c r="EU172" s="5457"/>
      <c r="EV172" s="5457"/>
      <c r="EW172" s="5457"/>
      <c r="EX172" s="5457"/>
      <c r="EY172" s="5457"/>
      <c r="EZ172" s="5457"/>
      <c r="FA172" s="5468"/>
    </row>
    <row r="173" spans="1:157" s="2018" customFormat="1" ht="15" customHeight="1">
      <c r="A173" s="16133" t="s">
        <v>1252</v>
      </c>
      <c r="B173" s="16030" t="s">
        <v>1253</v>
      </c>
      <c r="C173" s="16030" t="s">
        <v>8123</v>
      </c>
      <c r="D173" s="16030" t="s">
        <v>1254</v>
      </c>
      <c r="E173" s="16030" t="s">
        <v>1255</v>
      </c>
      <c r="F173" s="16030" t="s">
        <v>1073</v>
      </c>
      <c r="G173" s="16033">
        <v>0</v>
      </c>
      <c r="H173" s="16029">
        <v>2</v>
      </c>
      <c r="I173" s="16029">
        <v>2</v>
      </c>
      <c r="J173" s="16029">
        <v>3</v>
      </c>
      <c r="K173" s="16029">
        <v>3</v>
      </c>
      <c r="L173" s="16029">
        <v>5</v>
      </c>
      <c r="M173" s="16029">
        <v>5</v>
      </c>
      <c r="N173" s="16029">
        <v>5</v>
      </c>
      <c r="O173" s="16029">
        <v>5</v>
      </c>
      <c r="P173" s="16029">
        <v>5</v>
      </c>
      <c r="Q173" s="16029">
        <v>5</v>
      </c>
      <c r="R173" s="5310" t="s">
        <v>10072</v>
      </c>
      <c r="S173" s="5311" t="s">
        <v>1246</v>
      </c>
      <c r="T173" s="2747"/>
      <c r="U173" s="5324"/>
      <c r="V173" s="16211"/>
      <c r="W173" s="2747"/>
      <c r="X173" s="2747"/>
      <c r="Y173" s="2747"/>
      <c r="Z173" s="5325"/>
      <c r="AA173" s="5325"/>
      <c r="AB173" s="5325"/>
      <c r="AC173" s="5317"/>
      <c r="AD173" s="2747"/>
      <c r="AE173" s="2747"/>
      <c r="AF173" s="2747"/>
      <c r="AG173" s="2747"/>
      <c r="AH173" s="2747"/>
      <c r="AI173" s="2747"/>
      <c r="AJ173" s="2747"/>
      <c r="AK173" s="2747"/>
      <c r="AL173" s="2747"/>
      <c r="AM173" s="2747"/>
      <c r="AN173" s="2747"/>
      <c r="AO173" s="2747"/>
      <c r="AP173" s="2747"/>
      <c r="AQ173" s="2747"/>
      <c r="AR173" s="2747"/>
      <c r="AS173" s="2747"/>
      <c r="AT173" s="2747"/>
      <c r="AU173" s="2747"/>
      <c r="AV173" s="2747"/>
      <c r="AW173" s="2747"/>
      <c r="AX173" s="2747"/>
      <c r="AY173" s="2747"/>
      <c r="AZ173" s="2747"/>
      <c r="BA173" s="2747"/>
      <c r="BB173" s="2747"/>
      <c r="BC173" s="2747"/>
      <c r="BD173" s="2747"/>
      <c r="BE173" s="2747"/>
      <c r="BF173" s="2747"/>
      <c r="BG173" s="2747"/>
      <c r="BH173" s="2747"/>
      <c r="BI173" s="2747"/>
      <c r="BJ173" s="2747"/>
      <c r="BK173" s="2747"/>
      <c r="BL173" s="2747"/>
      <c r="BM173" s="2747"/>
      <c r="BN173" s="5324">
        <v>0</v>
      </c>
      <c r="BO173" s="16146"/>
      <c r="BP173" s="2747"/>
      <c r="BQ173" s="2747"/>
      <c r="BR173" s="2747"/>
      <c r="BS173" s="5326">
        <v>0</v>
      </c>
      <c r="BT173" s="5326">
        <v>0</v>
      </c>
      <c r="BU173" s="5326">
        <v>0</v>
      </c>
      <c r="BV173" s="5318">
        <v>0</v>
      </c>
      <c r="BW173" s="5326"/>
      <c r="BX173" s="5326"/>
      <c r="BY173" s="5326"/>
      <c r="BZ173" s="5326"/>
      <c r="CA173" s="5326"/>
      <c r="CB173" s="5326"/>
      <c r="CC173" s="5326"/>
      <c r="CD173" s="5326"/>
      <c r="CE173" s="5326"/>
      <c r="CF173" s="5326"/>
      <c r="CG173" s="5326"/>
      <c r="CH173" s="5326"/>
      <c r="CI173" s="5326"/>
      <c r="CJ173" s="5326"/>
      <c r="CK173" s="5326"/>
      <c r="CL173" s="5326"/>
      <c r="CM173" s="5326"/>
      <c r="CN173" s="5326"/>
      <c r="CO173" s="5326"/>
      <c r="CP173" s="5326"/>
      <c r="CQ173" s="5326"/>
      <c r="CR173" s="5326"/>
      <c r="CS173" s="5326"/>
      <c r="CT173" s="5326"/>
      <c r="CU173" s="5326"/>
      <c r="CV173" s="5326"/>
      <c r="CW173" s="5326"/>
      <c r="CX173" s="5326"/>
      <c r="CY173" s="5326"/>
      <c r="CZ173" s="5326"/>
      <c r="DA173" s="5326"/>
      <c r="DB173" s="5326"/>
      <c r="DC173" s="5326"/>
      <c r="DD173" s="5326"/>
      <c r="DE173" s="5326"/>
      <c r="DF173" s="5326"/>
      <c r="DG173" s="5455"/>
      <c r="DH173" s="5455"/>
      <c r="DI173" s="5455"/>
      <c r="DJ173" s="5455"/>
      <c r="DK173" s="5455"/>
      <c r="DL173" s="5455"/>
      <c r="DM173" s="5455"/>
      <c r="DN173" s="5455"/>
      <c r="DO173" s="5455"/>
      <c r="DP173" s="5455"/>
      <c r="DQ173" s="5455"/>
      <c r="DR173" s="5455"/>
      <c r="DS173" s="5455"/>
      <c r="DT173" s="5455"/>
      <c r="DU173" s="5455"/>
      <c r="DV173" s="5455"/>
      <c r="DW173" s="5455"/>
      <c r="DX173" s="5455"/>
      <c r="DY173" s="5455"/>
      <c r="DZ173" s="5455"/>
      <c r="EA173" s="5455"/>
      <c r="EB173" s="5455"/>
      <c r="EC173" s="5455"/>
      <c r="ED173" s="5455"/>
      <c r="EE173" s="5455"/>
      <c r="EF173" s="5455"/>
      <c r="EG173" s="5455"/>
      <c r="EH173" s="5455"/>
      <c r="EI173" s="5455"/>
      <c r="EJ173" s="5455"/>
      <c r="EK173" s="5455"/>
      <c r="EL173" s="5455"/>
      <c r="EM173" s="5455"/>
      <c r="EN173" s="5455"/>
      <c r="EO173" s="5455"/>
      <c r="EP173" s="5455"/>
      <c r="EQ173" s="5455"/>
      <c r="ER173" s="5455"/>
      <c r="ES173" s="5455"/>
      <c r="ET173" s="5455"/>
      <c r="EU173" s="5455"/>
      <c r="EV173" s="5455"/>
      <c r="EW173" s="5455"/>
      <c r="EX173" s="5455"/>
      <c r="EY173" s="5455"/>
      <c r="EZ173" s="5455"/>
      <c r="FA173" s="5466"/>
    </row>
    <row r="174" spans="1:157" s="2018" customFormat="1" ht="15" customHeight="1">
      <c r="A174" s="16133"/>
      <c r="B174" s="16030"/>
      <c r="C174" s="16030"/>
      <c r="D174" s="16030"/>
      <c r="E174" s="16030"/>
      <c r="F174" s="16030"/>
      <c r="G174" s="16033"/>
      <c r="H174" s="16029"/>
      <c r="I174" s="16029"/>
      <c r="J174" s="16029"/>
      <c r="K174" s="16029"/>
      <c r="L174" s="16029"/>
      <c r="M174" s="16029"/>
      <c r="N174" s="16029"/>
      <c r="O174" s="16029"/>
      <c r="P174" s="16029"/>
      <c r="Q174" s="16029"/>
      <c r="R174" s="5310" t="s">
        <v>86</v>
      </c>
      <c r="S174" s="5311"/>
      <c r="T174" s="2747" t="s">
        <v>1256</v>
      </c>
      <c r="U174" s="5324"/>
      <c r="V174" s="16211"/>
      <c r="W174" s="5316"/>
      <c r="X174" s="5395"/>
      <c r="Y174" s="2747"/>
      <c r="Z174" s="5325"/>
      <c r="AA174" s="5325"/>
      <c r="AB174" s="5325"/>
      <c r="AC174" s="5317"/>
      <c r="AD174" s="2747"/>
      <c r="AE174" s="2747"/>
      <c r="AF174" s="2747"/>
      <c r="AG174" s="2747"/>
      <c r="AH174" s="2747"/>
      <c r="AI174" s="2747"/>
      <c r="AJ174" s="2747"/>
      <c r="AK174" s="2747"/>
      <c r="AL174" s="2747"/>
      <c r="AM174" s="2747"/>
      <c r="AN174" s="2747"/>
      <c r="AO174" s="2747"/>
      <c r="AP174" s="2747"/>
      <c r="AQ174" s="2747"/>
      <c r="AR174" s="2747"/>
      <c r="AS174" s="2747"/>
      <c r="AT174" s="2747"/>
      <c r="AU174" s="2747"/>
      <c r="AV174" s="2747"/>
      <c r="AW174" s="2747"/>
      <c r="AX174" s="2747"/>
      <c r="AY174" s="2747"/>
      <c r="AZ174" s="2747"/>
      <c r="BA174" s="2747"/>
      <c r="BB174" s="2747"/>
      <c r="BC174" s="2747"/>
      <c r="BD174" s="2747"/>
      <c r="BE174" s="2747"/>
      <c r="BF174" s="2747"/>
      <c r="BG174" s="2747"/>
      <c r="BH174" s="2747"/>
      <c r="BI174" s="2747"/>
      <c r="BJ174" s="2747"/>
      <c r="BK174" s="2747"/>
      <c r="BL174" s="2747"/>
      <c r="BM174" s="2747"/>
      <c r="BN174" s="5324">
        <v>0</v>
      </c>
      <c r="BO174" s="16146"/>
      <c r="BP174" s="5316" t="s">
        <v>9492</v>
      </c>
      <c r="BQ174" s="5395" t="s">
        <v>2951</v>
      </c>
      <c r="BR174" s="2747"/>
      <c r="BS174" s="5326">
        <v>0</v>
      </c>
      <c r="BT174" s="5326">
        <v>0</v>
      </c>
      <c r="BU174" s="5326">
        <v>0</v>
      </c>
      <c r="BV174" s="5318">
        <v>0</v>
      </c>
      <c r="BW174" s="5326"/>
      <c r="BX174" s="5326"/>
      <c r="BY174" s="5326"/>
      <c r="BZ174" s="5326"/>
      <c r="CA174" s="5326"/>
      <c r="CB174" s="5326"/>
      <c r="CC174" s="5326"/>
      <c r="CD174" s="5326"/>
      <c r="CE174" s="5326"/>
      <c r="CF174" s="5326"/>
      <c r="CG174" s="5326"/>
      <c r="CH174" s="5326"/>
      <c r="CI174" s="5326"/>
      <c r="CJ174" s="5326"/>
      <c r="CK174" s="5326"/>
      <c r="CL174" s="5326"/>
      <c r="CM174" s="5326"/>
      <c r="CN174" s="5326"/>
      <c r="CO174" s="5326"/>
      <c r="CP174" s="5326"/>
      <c r="CQ174" s="5326"/>
      <c r="CR174" s="5326"/>
      <c r="CS174" s="5326"/>
      <c r="CT174" s="5326"/>
      <c r="CU174" s="5326"/>
      <c r="CV174" s="5326"/>
      <c r="CW174" s="5326"/>
      <c r="CX174" s="5326"/>
      <c r="CY174" s="5326"/>
      <c r="CZ174" s="5326"/>
      <c r="DA174" s="5326"/>
      <c r="DB174" s="5326"/>
      <c r="DC174" s="5326"/>
      <c r="DD174" s="5326"/>
      <c r="DE174" s="5326"/>
      <c r="DF174" s="5326"/>
      <c r="DG174" s="5455"/>
      <c r="DH174" s="5455"/>
      <c r="DI174" s="5455"/>
      <c r="DJ174" s="5455"/>
      <c r="DK174" s="5455"/>
      <c r="DL174" s="5455"/>
      <c r="DM174" s="5455"/>
      <c r="DN174" s="5455"/>
      <c r="DO174" s="5455"/>
      <c r="DP174" s="5455"/>
      <c r="DQ174" s="5455"/>
      <c r="DR174" s="5455"/>
      <c r="DS174" s="5455"/>
      <c r="DT174" s="5455"/>
      <c r="DU174" s="5455"/>
      <c r="DV174" s="5455"/>
      <c r="DW174" s="5455"/>
      <c r="DX174" s="5455"/>
      <c r="DY174" s="5455"/>
      <c r="DZ174" s="5455"/>
      <c r="EA174" s="5455"/>
      <c r="EB174" s="5455"/>
      <c r="EC174" s="5455"/>
      <c r="ED174" s="5455"/>
      <c r="EE174" s="5455"/>
      <c r="EF174" s="5455"/>
      <c r="EG174" s="5455"/>
      <c r="EH174" s="5455"/>
      <c r="EI174" s="5455"/>
      <c r="EJ174" s="5455"/>
      <c r="EK174" s="5455"/>
      <c r="EL174" s="5455"/>
      <c r="EM174" s="5455"/>
      <c r="EN174" s="5455"/>
      <c r="EO174" s="5455"/>
      <c r="EP174" s="5455"/>
      <c r="EQ174" s="5455"/>
      <c r="ER174" s="5455"/>
      <c r="ES174" s="5455"/>
      <c r="ET174" s="5455"/>
      <c r="EU174" s="5455"/>
      <c r="EV174" s="5455"/>
      <c r="EW174" s="5455"/>
      <c r="EX174" s="5455"/>
      <c r="EY174" s="5455"/>
      <c r="EZ174" s="5455"/>
      <c r="FA174" s="5466"/>
    </row>
    <row r="175" spans="1:157" s="2018" customFormat="1" ht="15" customHeight="1">
      <c r="A175" s="16133"/>
      <c r="B175" s="16030"/>
      <c r="C175" s="5319" t="s">
        <v>8124</v>
      </c>
      <c r="D175" s="5319" t="s">
        <v>1257</v>
      </c>
      <c r="E175" s="5319" t="s">
        <v>1258</v>
      </c>
      <c r="F175" s="5319" t="s">
        <v>1073</v>
      </c>
      <c r="G175" s="5396">
        <v>0</v>
      </c>
      <c r="H175" s="2747">
        <v>1</v>
      </c>
      <c r="I175" s="2747">
        <v>1</v>
      </c>
      <c r="J175" s="2747">
        <v>1</v>
      </c>
      <c r="K175" s="2747">
        <v>4</v>
      </c>
      <c r="L175" s="2747">
        <v>4</v>
      </c>
      <c r="M175" s="2747">
        <v>4</v>
      </c>
      <c r="N175" s="2747">
        <v>4</v>
      </c>
      <c r="O175" s="2747">
        <v>4</v>
      </c>
      <c r="P175" s="2747">
        <v>4</v>
      </c>
      <c r="Q175" s="2747">
        <v>4</v>
      </c>
      <c r="R175" s="5310" t="s">
        <v>10072</v>
      </c>
      <c r="S175" s="5311" t="s">
        <v>1246</v>
      </c>
      <c r="T175" s="5449" t="s">
        <v>1251</v>
      </c>
      <c r="U175" s="5324"/>
      <c r="V175" s="16211"/>
      <c r="W175" s="2747"/>
      <c r="X175" s="2747"/>
      <c r="Y175" s="2747"/>
      <c r="Z175" s="5325"/>
      <c r="AA175" s="5325"/>
      <c r="AB175" s="5325"/>
      <c r="AC175" s="5317"/>
      <c r="AD175" s="2747"/>
      <c r="AE175" s="2747"/>
      <c r="AF175" s="2747"/>
      <c r="AG175" s="2747"/>
      <c r="AH175" s="2747"/>
      <c r="AI175" s="2747"/>
      <c r="AJ175" s="2747"/>
      <c r="AK175" s="2747"/>
      <c r="AL175" s="2747"/>
      <c r="AM175" s="2747"/>
      <c r="AN175" s="2747"/>
      <c r="AO175" s="2747"/>
      <c r="AP175" s="2747"/>
      <c r="AQ175" s="2747"/>
      <c r="AR175" s="2747"/>
      <c r="AS175" s="2747"/>
      <c r="AT175" s="2747"/>
      <c r="AU175" s="2747"/>
      <c r="AV175" s="2747"/>
      <c r="AW175" s="2747"/>
      <c r="AX175" s="2747"/>
      <c r="AY175" s="2747"/>
      <c r="AZ175" s="2747"/>
      <c r="BA175" s="2747"/>
      <c r="BB175" s="2747"/>
      <c r="BC175" s="2747"/>
      <c r="BD175" s="2747"/>
      <c r="BE175" s="2747"/>
      <c r="BF175" s="2747"/>
      <c r="BG175" s="2747"/>
      <c r="BH175" s="2747"/>
      <c r="BI175" s="2747"/>
      <c r="BJ175" s="2747"/>
      <c r="BK175" s="2747"/>
      <c r="BL175" s="2747"/>
      <c r="BM175" s="2747"/>
      <c r="BN175" s="5324">
        <v>0</v>
      </c>
      <c r="BO175" s="16146"/>
      <c r="BP175" s="2747"/>
      <c r="BQ175" s="2747"/>
      <c r="BR175" s="2747"/>
      <c r="BS175" s="5326">
        <v>0</v>
      </c>
      <c r="BT175" s="5326">
        <v>0</v>
      </c>
      <c r="BU175" s="5326">
        <v>0</v>
      </c>
      <c r="BV175" s="5318">
        <v>0</v>
      </c>
      <c r="BW175" s="5326"/>
      <c r="BX175" s="5326"/>
      <c r="BY175" s="5326"/>
      <c r="BZ175" s="5326"/>
      <c r="CA175" s="5326"/>
      <c r="CB175" s="5326"/>
      <c r="CC175" s="5326"/>
      <c r="CD175" s="5326"/>
      <c r="CE175" s="5326"/>
      <c r="CF175" s="5326"/>
      <c r="CG175" s="5326"/>
      <c r="CH175" s="5326"/>
      <c r="CI175" s="5326"/>
      <c r="CJ175" s="5326"/>
      <c r="CK175" s="5326"/>
      <c r="CL175" s="5326"/>
      <c r="CM175" s="5326"/>
      <c r="CN175" s="5326"/>
      <c r="CO175" s="5326"/>
      <c r="CP175" s="5326"/>
      <c r="CQ175" s="5326"/>
      <c r="CR175" s="5326"/>
      <c r="CS175" s="5326"/>
      <c r="CT175" s="5326"/>
      <c r="CU175" s="5326"/>
      <c r="CV175" s="5326"/>
      <c r="CW175" s="5326"/>
      <c r="CX175" s="5326"/>
      <c r="CY175" s="5326"/>
      <c r="CZ175" s="5326"/>
      <c r="DA175" s="5326"/>
      <c r="DB175" s="5326"/>
      <c r="DC175" s="5326"/>
      <c r="DD175" s="5326"/>
      <c r="DE175" s="5326"/>
      <c r="DF175" s="5326"/>
      <c r="DG175" s="5455"/>
      <c r="DH175" s="5455"/>
      <c r="DI175" s="5455"/>
      <c r="DJ175" s="5455"/>
      <c r="DK175" s="5455"/>
      <c r="DL175" s="5455"/>
      <c r="DM175" s="5455"/>
      <c r="DN175" s="5455"/>
      <c r="DO175" s="5455"/>
      <c r="DP175" s="5455"/>
      <c r="DQ175" s="5455"/>
      <c r="DR175" s="5455"/>
      <c r="DS175" s="5455"/>
      <c r="DT175" s="5455"/>
      <c r="DU175" s="5455"/>
      <c r="DV175" s="5455"/>
      <c r="DW175" s="5455"/>
      <c r="DX175" s="5455"/>
      <c r="DY175" s="5455"/>
      <c r="DZ175" s="5455"/>
      <c r="EA175" s="5455"/>
      <c r="EB175" s="5455"/>
      <c r="EC175" s="5455"/>
      <c r="ED175" s="5455"/>
      <c r="EE175" s="5455"/>
      <c r="EF175" s="5455"/>
      <c r="EG175" s="5455"/>
      <c r="EH175" s="5455"/>
      <c r="EI175" s="5455"/>
      <c r="EJ175" s="5455"/>
      <c r="EK175" s="5455"/>
      <c r="EL175" s="5455"/>
      <c r="EM175" s="5455"/>
      <c r="EN175" s="5455"/>
      <c r="EO175" s="5455"/>
      <c r="EP175" s="5455"/>
      <c r="EQ175" s="5455"/>
      <c r="ER175" s="5455"/>
      <c r="ES175" s="5455"/>
      <c r="ET175" s="5455"/>
      <c r="EU175" s="5455"/>
      <c r="EV175" s="5455"/>
      <c r="EW175" s="5455"/>
      <c r="EX175" s="5455"/>
      <c r="EY175" s="5455"/>
      <c r="EZ175" s="5455"/>
      <c r="FA175" s="5466"/>
    </row>
    <row r="176" spans="1:157" s="2018" customFormat="1" ht="15" customHeight="1">
      <c r="A176" s="16133"/>
      <c r="B176" s="16030"/>
      <c r="C176" s="16030" t="s">
        <v>8125</v>
      </c>
      <c r="D176" s="16030" t="s">
        <v>1259</v>
      </c>
      <c r="E176" s="16030" t="s">
        <v>1260</v>
      </c>
      <c r="F176" s="16030" t="s">
        <v>1073</v>
      </c>
      <c r="G176" s="16033">
        <v>1</v>
      </c>
      <c r="H176" s="16029">
        <v>1</v>
      </c>
      <c r="I176" s="16029">
        <v>1</v>
      </c>
      <c r="J176" s="16029">
        <v>1</v>
      </c>
      <c r="K176" s="16029">
        <v>1</v>
      </c>
      <c r="L176" s="16029">
        <v>1</v>
      </c>
      <c r="M176" s="16029">
        <v>1</v>
      </c>
      <c r="N176" s="16029">
        <v>1</v>
      </c>
      <c r="O176" s="16029">
        <v>1</v>
      </c>
      <c r="P176" s="16029">
        <v>1</v>
      </c>
      <c r="Q176" s="16029">
        <v>1</v>
      </c>
      <c r="R176" s="5310" t="s">
        <v>10072</v>
      </c>
      <c r="S176" s="5311" t="s">
        <v>1246</v>
      </c>
      <c r="T176" s="2747"/>
      <c r="U176" s="5324"/>
      <c r="V176" s="16211"/>
      <c r="W176" s="2747"/>
      <c r="X176" s="2747"/>
      <c r="Y176" s="2747"/>
      <c r="Z176" s="5325"/>
      <c r="AA176" s="5325"/>
      <c r="AB176" s="5325"/>
      <c r="AC176" s="5317"/>
      <c r="AD176" s="2747"/>
      <c r="AE176" s="2747"/>
      <c r="AF176" s="2747"/>
      <c r="AG176" s="2747"/>
      <c r="AH176" s="2747"/>
      <c r="AI176" s="2747"/>
      <c r="AJ176" s="2747"/>
      <c r="AK176" s="2747"/>
      <c r="AL176" s="2747"/>
      <c r="AM176" s="2747"/>
      <c r="AN176" s="2747"/>
      <c r="AO176" s="2747"/>
      <c r="AP176" s="2747"/>
      <c r="AQ176" s="2747"/>
      <c r="AR176" s="2747"/>
      <c r="AS176" s="2747"/>
      <c r="AT176" s="2747"/>
      <c r="AU176" s="2747"/>
      <c r="AV176" s="2747"/>
      <c r="AW176" s="2747"/>
      <c r="AX176" s="2747"/>
      <c r="AY176" s="2747"/>
      <c r="AZ176" s="2747"/>
      <c r="BA176" s="2747"/>
      <c r="BB176" s="2747"/>
      <c r="BC176" s="2747"/>
      <c r="BD176" s="2747"/>
      <c r="BE176" s="2747"/>
      <c r="BF176" s="2747"/>
      <c r="BG176" s="2747"/>
      <c r="BH176" s="2747"/>
      <c r="BI176" s="2747"/>
      <c r="BJ176" s="2747"/>
      <c r="BK176" s="2747"/>
      <c r="BL176" s="2747"/>
      <c r="BM176" s="2747"/>
      <c r="BN176" s="5324">
        <v>0</v>
      </c>
      <c r="BO176" s="16146"/>
      <c r="BP176" s="2747"/>
      <c r="BQ176" s="2747"/>
      <c r="BR176" s="2747"/>
      <c r="BS176" s="5326">
        <v>0</v>
      </c>
      <c r="BT176" s="5326">
        <v>0</v>
      </c>
      <c r="BU176" s="5326">
        <v>0</v>
      </c>
      <c r="BV176" s="5318">
        <v>0</v>
      </c>
      <c r="BW176" s="5326"/>
      <c r="BX176" s="5326"/>
      <c r="BY176" s="5326"/>
      <c r="BZ176" s="5326"/>
      <c r="CA176" s="5326"/>
      <c r="CB176" s="5326"/>
      <c r="CC176" s="5326"/>
      <c r="CD176" s="5326"/>
      <c r="CE176" s="5326"/>
      <c r="CF176" s="5326"/>
      <c r="CG176" s="5326"/>
      <c r="CH176" s="5326"/>
      <c r="CI176" s="5326"/>
      <c r="CJ176" s="5326"/>
      <c r="CK176" s="5326"/>
      <c r="CL176" s="5326"/>
      <c r="CM176" s="5326"/>
      <c r="CN176" s="5326"/>
      <c r="CO176" s="5326"/>
      <c r="CP176" s="5326"/>
      <c r="CQ176" s="5326"/>
      <c r="CR176" s="5326"/>
      <c r="CS176" s="5326"/>
      <c r="CT176" s="5326"/>
      <c r="CU176" s="5326"/>
      <c r="CV176" s="5326"/>
      <c r="CW176" s="5326"/>
      <c r="CX176" s="5326"/>
      <c r="CY176" s="5326"/>
      <c r="CZ176" s="5326"/>
      <c r="DA176" s="5326"/>
      <c r="DB176" s="5326"/>
      <c r="DC176" s="5326"/>
      <c r="DD176" s="5326"/>
      <c r="DE176" s="5326"/>
      <c r="DF176" s="5326"/>
      <c r="DG176" s="5455"/>
      <c r="DH176" s="5455"/>
      <c r="DI176" s="5455"/>
      <c r="DJ176" s="5455"/>
      <c r="DK176" s="5455"/>
      <c r="DL176" s="5455"/>
      <c r="DM176" s="5455"/>
      <c r="DN176" s="5455"/>
      <c r="DO176" s="5455"/>
      <c r="DP176" s="5455"/>
      <c r="DQ176" s="5455"/>
      <c r="DR176" s="5455"/>
      <c r="DS176" s="5455"/>
      <c r="DT176" s="5455"/>
      <c r="DU176" s="5455"/>
      <c r="DV176" s="5455"/>
      <c r="DW176" s="5455"/>
      <c r="DX176" s="5455"/>
      <c r="DY176" s="5455"/>
      <c r="DZ176" s="5455"/>
      <c r="EA176" s="5455"/>
      <c r="EB176" s="5455"/>
      <c r="EC176" s="5455"/>
      <c r="ED176" s="5455"/>
      <c r="EE176" s="5455"/>
      <c r="EF176" s="5455"/>
      <c r="EG176" s="5455"/>
      <c r="EH176" s="5455"/>
      <c r="EI176" s="5455"/>
      <c r="EJ176" s="5455"/>
      <c r="EK176" s="5455"/>
      <c r="EL176" s="5455"/>
      <c r="EM176" s="5455"/>
      <c r="EN176" s="5455"/>
      <c r="EO176" s="5455"/>
      <c r="EP176" s="5455"/>
      <c r="EQ176" s="5455"/>
      <c r="ER176" s="5455"/>
      <c r="ES176" s="5455"/>
      <c r="ET176" s="5455"/>
      <c r="EU176" s="5455"/>
      <c r="EV176" s="5455"/>
      <c r="EW176" s="5455"/>
      <c r="EX176" s="5455"/>
      <c r="EY176" s="5455"/>
      <c r="EZ176" s="5455"/>
      <c r="FA176" s="5466"/>
    </row>
    <row r="177" spans="1:157" s="2018" customFormat="1" ht="15" customHeight="1">
      <c r="A177" s="16133"/>
      <c r="B177" s="16030"/>
      <c r="C177" s="16030"/>
      <c r="D177" s="16030"/>
      <c r="E177" s="16030"/>
      <c r="F177" s="16030"/>
      <c r="G177" s="16033"/>
      <c r="H177" s="16029"/>
      <c r="I177" s="16029"/>
      <c r="J177" s="16029"/>
      <c r="K177" s="16029"/>
      <c r="L177" s="16029"/>
      <c r="M177" s="16029"/>
      <c r="N177" s="16029"/>
      <c r="O177" s="16029"/>
      <c r="P177" s="16029"/>
      <c r="Q177" s="16029"/>
      <c r="R177" s="5310" t="s">
        <v>2896</v>
      </c>
      <c r="S177" s="5311"/>
      <c r="T177" s="2747" t="s">
        <v>1261</v>
      </c>
      <c r="U177" s="5324"/>
      <c r="V177" s="16211"/>
      <c r="W177" s="5316"/>
      <c r="X177" s="5395"/>
      <c r="Y177" s="2747"/>
      <c r="Z177" s="5325"/>
      <c r="AA177" s="5325"/>
      <c r="AB177" s="5325"/>
      <c r="AC177" s="5317"/>
      <c r="AD177" s="2747"/>
      <c r="AE177" s="2747"/>
      <c r="AF177" s="2747"/>
      <c r="AG177" s="2747"/>
      <c r="AH177" s="2747"/>
      <c r="AI177" s="2747"/>
      <c r="AJ177" s="2747"/>
      <c r="AK177" s="2747"/>
      <c r="AL177" s="2747"/>
      <c r="AM177" s="2747"/>
      <c r="AN177" s="2747"/>
      <c r="AO177" s="2747"/>
      <c r="AP177" s="2747"/>
      <c r="AQ177" s="2747"/>
      <c r="AR177" s="2747"/>
      <c r="AS177" s="2747"/>
      <c r="AT177" s="2747"/>
      <c r="AU177" s="2747"/>
      <c r="AV177" s="2747"/>
      <c r="AW177" s="2747"/>
      <c r="AX177" s="2747"/>
      <c r="AY177" s="2747"/>
      <c r="AZ177" s="2747"/>
      <c r="BA177" s="2747"/>
      <c r="BB177" s="2747"/>
      <c r="BC177" s="2747"/>
      <c r="BD177" s="2747"/>
      <c r="BE177" s="2747"/>
      <c r="BF177" s="2747"/>
      <c r="BG177" s="2747"/>
      <c r="BH177" s="2747"/>
      <c r="BI177" s="2747"/>
      <c r="BJ177" s="2747"/>
      <c r="BK177" s="2747"/>
      <c r="BL177" s="2747"/>
      <c r="BM177" s="2747"/>
      <c r="BN177" s="5324">
        <v>0</v>
      </c>
      <c r="BO177" s="16146"/>
      <c r="BP177" s="5316" t="s">
        <v>9492</v>
      </c>
      <c r="BQ177" s="5395" t="s">
        <v>2951</v>
      </c>
      <c r="BR177" s="2747"/>
      <c r="BS177" s="5326">
        <v>0</v>
      </c>
      <c r="BT177" s="5326">
        <v>0</v>
      </c>
      <c r="BU177" s="5326">
        <v>0</v>
      </c>
      <c r="BV177" s="5318">
        <v>0</v>
      </c>
      <c r="BW177" s="5326"/>
      <c r="BX177" s="5326"/>
      <c r="BY177" s="5326"/>
      <c r="BZ177" s="5326"/>
      <c r="CA177" s="5326"/>
      <c r="CB177" s="5326"/>
      <c r="CC177" s="5326"/>
      <c r="CD177" s="5326"/>
      <c r="CE177" s="5326"/>
      <c r="CF177" s="5326"/>
      <c r="CG177" s="5326"/>
      <c r="CH177" s="5326"/>
      <c r="CI177" s="5326"/>
      <c r="CJ177" s="5326"/>
      <c r="CK177" s="5326"/>
      <c r="CL177" s="5326"/>
      <c r="CM177" s="5326"/>
      <c r="CN177" s="5326"/>
      <c r="CO177" s="5326"/>
      <c r="CP177" s="5326"/>
      <c r="CQ177" s="5326"/>
      <c r="CR177" s="5326"/>
      <c r="CS177" s="5326"/>
      <c r="CT177" s="5326"/>
      <c r="CU177" s="5326"/>
      <c r="CV177" s="5326"/>
      <c r="CW177" s="5326"/>
      <c r="CX177" s="5326"/>
      <c r="CY177" s="5326"/>
      <c r="CZ177" s="5326"/>
      <c r="DA177" s="5326"/>
      <c r="DB177" s="5326"/>
      <c r="DC177" s="5326"/>
      <c r="DD177" s="5326"/>
      <c r="DE177" s="5326"/>
      <c r="DF177" s="5326"/>
      <c r="DG177" s="5455"/>
      <c r="DH177" s="5455"/>
      <c r="DI177" s="5455"/>
      <c r="DJ177" s="5455"/>
      <c r="DK177" s="5455"/>
      <c r="DL177" s="5455"/>
      <c r="DM177" s="5455"/>
      <c r="DN177" s="5455"/>
      <c r="DO177" s="5455"/>
      <c r="DP177" s="5455"/>
      <c r="DQ177" s="5455"/>
      <c r="DR177" s="5455"/>
      <c r="DS177" s="5455"/>
      <c r="DT177" s="5455"/>
      <c r="DU177" s="5455"/>
      <c r="DV177" s="5455"/>
      <c r="DW177" s="5455"/>
      <c r="DX177" s="5455"/>
      <c r="DY177" s="5455"/>
      <c r="DZ177" s="5455"/>
      <c r="EA177" s="5455"/>
      <c r="EB177" s="5455"/>
      <c r="EC177" s="5455"/>
      <c r="ED177" s="5455"/>
      <c r="EE177" s="5455"/>
      <c r="EF177" s="5455"/>
      <c r="EG177" s="5455"/>
      <c r="EH177" s="5455"/>
      <c r="EI177" s="5455"/>
      <c r="EJ177" s="5455"/>
      <c r="EK177" s="5455"/>
      <c r="EL177" s="5455"/>
      <c r="EM177" s="5455"/>
      <c r="EN177" s="5455"/>
      <c r="EO177" s="5455"/>
      <c r="EP177" s="5455"/>
      <c r="EQ177" s="5455"/>
      <c r="ER177" s="5455"/>
      <c r="ES177" s="5455"/>
      <c r="ET177" s="5455"/>
      <c r="EU177" s="5455"/>
      <c r="EV177" s="5455"/>
      <c r="EW177" s="5455"/>
      <c r="EX177" s="5455"/>
      <c r="EY177" s="5455"/>
      <c r="EZ177" s="5455"/>
      <c r="FA177" s="5466"/>
    </row>
    <row r="178" spans="1:157" s="2018" customFormat="1" ht="15" customHeight="1">
      <c r="A178" s="16133"/>
      <c r="B178" s="16030"/>
      <c r="C178" s="16030" t="s">
        <v>8126</v>
      </c>
      <c r="D178" s="16030" t="s">
        <v>1262</v>
      </c>
      <c r="E178" s="16030" t="s">
        <v>1263</v>
      </c>
      <c r="F178" s="16030" t="s">
        <v>1073</v>
      </c>
      <c r="G178" s="16033">
        <v>0</v>
      </c>
      <c r="H178" s="16029">
        <v>1</v>
      </c>
      <c r="I178" s="16029">
        <v>1</v>
      </c>
      <c r="J178" s="16029">
        <v>1</v>
      </c>
      <c r="K178" s="16029">
        <v>1</v>
      </c>
      <c r="L178" s="16029">
        <v>1</v>
      </c>
      <c r="M178" s="16029">
        <v>1</v>
      </c>
      <c r="N178" s="16029">
        <v>1</v>
      </c>
      <c r="O178" s="16029">
        <v>1</v>
      </c>
      <c r="P178" s="16029">
        <v>1</v>
      </c>
      <c r="Q178" s="16029">
        <v>1</v>
      </c>
      <c r="R178" s="5310" t="s">
        <v>10072</v>
      </c>
      <c r="S178" s="5311" t="s">
        <v>1246</v>
      </c>
      <c r="T178" s="2747"/>
      <c r="U178" s="5324"/>
      <c r="V178" s="16211"/>
      <c r="W178" s="2747"/>
      <c r="X178" s="2747"/>
      <c r="Y178" s="2747"/>
      <c r="Z178" s="5325"/>
      <c r="AA178" s="5325"/>
      <c r="AB178" s="5325"/>
      <c r="AC178" s="5317"/>
      <c r="AD178" s="2747"/>
      <c r="AE178" s="2747"/>
      <c r="AF178" s="2747"/>
      <c r="AG178" s="2747"/>
      <c r="AH178" s="2747"/>
      <c r="AI178" s="2747"/>
      <c r="AJ178" s="2747"/>
      <c r="AK178" s="2747"/>
      <c r="AL178" s="2747"/>
      <c r="AM178" s="2747"/>
      <c r="AN178" s="2747"/>
      <c r="AO178" s="2747"/>
      <c r="AP178" s="2747"/>
      <c r="AQ178" s="2747"/>
      <c r="AR178" s="2747"/>
      <c r="AS178" s="2747"/>
      <c r="AT178" s="2747"/>
      <c r="AU178" s="2747"/>
      <c r="AV178" s="2747"/>
      <c r="AW178" s="2747"/>
      <c r="AX178" s="2747"/>
      <c r="AY178" s="2747"/>
      <c r="AZ178" s="2747"/>
      <c r="BA178" s="2747"/>
      <c r="BB178" s="2747"/>
      <c r="BC178" s="2747"/>
      <c r="BD178" s="2747"/>
      <c r="BE178" s="2747"/>
      <c r="BF178" s="2747"/>
      <c r="BG178" s="2747"/>
      <c r="BH178" s="2747"/>
      <c r="BI178" s="2747"/>
      <c r="BJ178" s="2747"/>
      <c r="BK178" s="2747"/>
      <c r="BL178" s="2747"/>
      <c r="BM178" s="2747"/>
      <c r="BN178" s="5324">
        <v>0</v>
      </c>
      <c r="BO178" s="16146"/>
      <c r="BP178" s="2747"/>
      <c r="BQ178" s="2747"/>
      <c r="BR178" s="2747"/>
      <c r="BS178" s="5326">
        <v>0</v>
      </c>
      <c r="BT178" s="5326">
        <v>0</v>
      </c>
      <c r="BU178" s="5326">
        <v>0</v>
      </c>
      <c r="BV178" s="5318">
        <v>0</v>
      </c>
      <c r="BW178" s="5326"/>
      <c r="BX178" s="5326"/>
      <c r="BY178" s="5326"/>
      <c r="BZ178" s="5326"/>
      <c r="CA178" s="5326"/>
      <c r="CB178" s="5326"/>
      <c r="CC178" s="5326"/>
      <c r="CD178" s="5326"/>
      <c r="CE178" s="5326"/>
      <c r="CF178" s="5326"/>
      <c r="CG178" s="5326"/>
      <c r="CH178" s="5326"/>
      <c r="CI178" s="5326"/>
      <c r="CJ178" s="5326"/>
      <c r="CK178" s="5326"/>
      <c r="CL178" s="5326"/>
      <c r="CM178" s="5326"/>
      <c r="CN178" s="5326"/>
      <c r="CO178" s="5326"/>
      <c r="CP178" s="5326"/>
      <c r="CQ178" s="5326"/>
      <c r="CR178" s="5326"/>
      <c r="CS178" s="5326"/>
      <c r="CT178" s="5326"/>
      <c r="CU178" s="5326"/>
      <c r="CV178" s="5326"/>
      <c r="CW178" s="5326"/>
      <c r="CX178" s="5326"/>
      <c r="CY178" s="5326"/>
      <c r="CZ178" s="5326"/>
      <c r="DA178" s="5326"/>
      <c r="DB178" s="5326"/>
      <c r="DC178" s="5326"/>
      <c r="DD178" s="5326"/>
      <c r="DE178" s="5326"/>
      <c r="DF178" s="5326"/>
      <c r="DG178" s="5455"/>
      <c r="DH178" s="5455"/>
      <c r="DI178" s="5455"/>
      <c r="DJ178" s="5455"/>
      <c r="DK178" s="5455"/>
      <c r="DL178" s="5455"/>
      <c r="DM178" s="5455"/>
      <c r="DN178" s="5455"/>
      <c r="DO178" s="5455"/>
      <c r="DP178" s="5455"/>
      <c r="DQ178" s="5455"/>
      <c r="DR178" s="5455"/>
      <c r="DS178" s="5455"/>
      <c r="DT178" s="5455"/>
      <c r="DU178" s="5455"/>
      <c r="DV178" s="5455"/>
      <c r="DW178" s="5455"/>
      <c r="DX178" s="5455"/>
      <c r="DY178" s="5455"/>
      <c r="DZ178" s="5455"/>
      <c r="EA178" s="5455"/>
      <c r="EB178" s="5455"/>
      <c r="EC178" s="5455"/>
      <c r="ED178" s="5455"/>
      <c r="EE178" s="5455"/>
      <c r="EF178" s="5455"/>
      <c r="EG178" s="5455"/>
      <c r="EH178" s="5455"/>
      <c r="EI178" s="5455"/>
      <c r="EJ178" s="5455"/>
      <c r="EK178" s="5455"/>
      <c r="EL178" s="5455"/>
      <c r="EM178" s="5455"/>
      <c r="EN178" s="5455"/>
      <c r="EO178" s="5455"/>
      <c r="EP178" s="5455"/>
      <c r="EQ178" s="5455"/>
      <c r="ER178" s="5455"/>
      <c r="ES178" s="5455"/>
      <c r="ET178" s="5455"/>
      <c r="EU178" s="5455"/>
      <c r="EV178" s="5455"/>
      <c r="EW178" s="5455"/>
      <c r="EX178" s="5455"/>
      <c r="EY178" s="5455"/>
      <c r="EZ178" s="5455"/>
      <c r="FA178" s="5466"/>
    </row>
    <row r="179" spans="1:157" s="2018" customFormat="1" ht="15" customHeight="1">
      <c r="A179" s="16133"/>
      <c r="B179" s="16030"/>
      <c r="C179" s="16030"/>
      <c r="D179" s="16030"/>
      <c r="E179" s="16030"/>
      <c r="F179" s="16030"/>
      <c r="G179" s="16033"/>
      <c r="H179" s="16029"/>
      <c r="I179" s="16029"/>
      <c r="J179" s="16029"/>
      <c r="K179" s="16029"/>
      <c r="L179" s="16029"/>
      <c r="M179" s="16029"/>
      <c r="N179" s="16029"/>
      <c r="O179" s="16029"/>
      <c r="P179" s="16029"/>
      <c r="Q179" s="16029"/>
      <c r="R179" s="5310" t="s">
        <v>2896</v>
      </c>
      <c r="S179" s="5311"/>
      <c r="T179" s="2747" t="s">
        <v>1264</v>
      </c>
      <c r="U179" s="5324"/>
      <c r="V179" s="16211"/>
      <c r="W179" s="5316"/>
      <c r="X179" s="5395"/>
      <c r="Y179" s="2747"/>
      <c r="Z179" s="5325"/>
      <c r="AA179" s="5325"/>
      <c r="AB179" s="5325"/>
      <c r="AC179" s="5317"/>
      <c r="AD179" s="2747"/>
      <c r="AE179" s="2747"/>
      <c r="AF179" s="2747"/>
      <c r="AG179" s="2747"/>
      <c r="AH179" s="2747"/>
      <c r="AI179" s="2747"/>
      <c r="AJ179" s="2747"/>
      <c r="AK179" s="2747"/>
      <c r="AL179" s="2747"/>
      <c r="AM179" s="2747"/>
      <c r="AN179" s="2747"/>
      <c r="AO179" s="2747"/>
      <c r="AP179" s="2747"/>
      <c r="AQ179" s="2747"/>
      <c r="AR179" s="2747"/>
      <c r="AS179" s="2747"/>
      <c r="AT179" s="2747"/>
      <c r="AU179" s="2747"/>
      <c r="AV179" s="2747"/>
      <c r="AW179" s="2747"/>
      <c r="AX179" s="2747"/>
      <c r="AY179" s="2747"/>
      <c r="AZ179" s="2747"/>
      <c r="BA179" s="2747"/>
      <c r="BB179" s="2747"/>
      <c r="BC179" s="2747"/>
      <c r="BD179" s="2747"/>
      <c r="BE179" s="2747"/>
      <c r="BF179" s="2747"/>
      <c r="BG179" s="2747"/>
      <c r="BH179" s="2747"/>
      <c r="BI179" s="2747"/>
      <c r="BJ179" s="2747"/>
      <c r="BK179" s="2747"/>
      <c r="BL179" s="2747"/>
      <c r="BM179" s="2747"/>
      <c r="BN179" s="5324">
        <v>0</v>
      </c>
      <c r="BO179" s="16146"/>
      <c r="BP179" s="5316" t="s">
        <v>9492</v>
      </c>
      <c r="BQ179" s="5395" t="s">
        <v>2951</v>
      </c>
      <c r="BR179" s="2747"/>
      <c r="BS179" s="5326">
        <v>0</v>
      </c>
      <c r="BT179" s="5326">
        <v>0</v>
      </c>
      <c r="BU179" s="5326">
        <v>0</v>
      </c>
      <c r="BV179" s="5318">
        <v>0</v>
      </c>
      <c r="BW179" s="5326"/>
      <c r="BX179" s="5326"/>
      <c r="BY179" s="5326"/>
      <c r="BZ179" s="5326"/>
      <c r="CA179" s="5326"/>
      <c r="CB179" s="5326"/>
      <c r="CC179" s="5326"/>
      <c r="CD179" s="5326"/>
      <c r="CE179" s="5326"/>
      <c r="CF179" s="5326"/>
      <c r="CG179" s="5326"/>
      <c r="CH179" s="5326"/>
      <c r="CI179" s="5326"/>
      <c r="CJ179" s="5326"/>
      <c r="CK179" s="5326"/>
      <c r="CL179" s="5326"/>
      <c r="CM179" s="5326"/>
      <c r="CN179" s="5326"/>
      <c r="CO179" s="5326"/>
      <c r="CP179" s="5326"/>
      <c r="CQ179" s="5326"/>
      <c r="CR179" s="5326"/>
      <c r="CS179" s="5326"/>
      <c r="CT179" s="5326"/>
      <c r="CU179" s="5326"/>
      <c r="CV179" s="5326"/>
      <c r="CW179" s="5326"/>
      <c r="CX179" s="5326"/>
      <c r="CY179" s="5326"/>
      <c r="CZ179" s="5326"/>
      <c r="DA179" s="5326"/>
      <c r="DB179" s="5326"/>
      <c r="DC179" s="5326"/>
      <c r="DD179" s="5326"/>
      <c r="DE179" s="5326"/>
      <c r="DF179" s="5326"/>
      <c r="DG179" s="5455"/>
      <c r="DH179" s="5455"/>
      <c r="DI179" s="5455"/>
      <c r="DJ179" s="5455"/>
      <c r="DK179" s="5455"/>
      <c r="DL179" s="5455"/>
      <c r="DM179" s="5455"/>
      <c r="DN179" s="5455"/>
      <c r="DO179" s="5455"/>
      <c r="DP179" s="5455"/>
      <c r="DQ179" s="5455"/>
      <c r="DR179" s="5455"/>
      <c r="DS179" s="5455"/>
      <c r="DT179" s="5455"/>
      <c r="DU179" s="5455"/>
      <c r="DV179" s="5455"/>
      <c r="DW179" s="5455"/>
      <c r="DX179" s="5455"/>
      <c r="DY179" s="5455"/>
      <c r="DZ179" s="5455"/>
      <c r="EA179" s="5455"/>
      <c r="EB179" s="5455"/>
      <c r="EC179" s="5455"/>
      <c r="ED179" s="5455"/>
      <c r="EE179" s="5455"/>
      <c r="EF179" s="5455"/>
      <c r="EG179" s="5455"/>
      <c r="EH179" s="5455"/>
      <c r="EI179" s="5455"/>
      <c r="EJ179" s="5455"/>
      <c r="EK179" s="5455"/>
      <c r="EL179" s="5455"/>
      <c r="EM179" s="5455"/>
      <c r="EN179" s="5455"/>
      <c r="EO179" s="5455"/>
      <c r="EP179" s="5455"/>
      <c r="EQ179" s="5455"/>
      <c r="ER179" s="5455"/>
      <c r="ES179" s="5455"/>
      <c r="ET179" s="5455"/>
      <c r="EU179" s="5455"/>
      <c r="EV179" s="5455"/>
      <c r="EW179" s="5455"/>
      <c r="EX179" s="5455"/>
      <c r="EY179" s="5455"/>
      <c r="EZ179" s="5455"/>
      <c r="FA179" s="5466"/>
    </row>
    <row r="180" spans="1:157" s="2018" customFormat="1" ht="15" customHeight="1">
      <c r="A180" s="16133"/>
      <c r="B180" s="16030"/>
      <c r="C180" s="16030" t="s">
        <v>8127</v>
      </c>
      <c r="D180" s="16030" t="s">
        <v>1265</v>
      </c>
      <c r="E180" s="16030" t="s">
        <v>1266</v>
      </c>
      <c r="F180" s="16030" t="s">
        <v>1073</v>
      </c>
      <c r="G180" s="16033">
        <v>0</v>
      </c>
      <c r="H180" s="16029">
        <v>1</v>
      </c>
      <c r="I180" s="16029">
        <v>1</v>
      </c>
      <c r="J180" s="16029">
        <v>1</v>
      </c>
      <c r="K180" s="16029">
        <v>1</v>
      </c>
      <c r="L180" s="16029">
        <v>1</v>
      </c>
      <c r="M180" s="16029">
        <v>1</v>
      </c>
      <c r="N180" s="16029">
        <v>1</v>
      </c>
      <c r="O180" s="16029">
        <v>1</v>
      </c>
      <c r="P180" s="16029">
        <v>1</v>
      </c>
      <c r="Q180" s="16029">
        <v>1</v>
      </c>
      <c r="R180" s="5429" t="s">
        <v>10072</v>
      </c>
      <c r="S180" s="5323" t="s">
        <v>1246</v>
      </c>
      <c r="T180" s="2747"/>
      <c r="U180" s="5324"/>
      <c r="V180" s="16211"/>
      <c r="W180" s="2747"/>
      <c r="X180" s="2747"/>
      <c r="Y180" s="2747"/>
      <c r="Z180" s="5325"/>
      <c r="AA180" s="5325"/>
      <c r="AB180" s="5325"/>
      <c r="AC180" s="5317"/>
      <c r="AD180" s="2747"/>
      <c r="AE180" s="2747"/>
      <c r="AF180" s="2747"/>
      <c r="AG180" s="2747"/>
      <c r="AH180" s="2747"/>
      <c r="AI180" s="2747"/>
      <c r="AJ180" s="2747"/>
      <c r="AK180" s="2747"/>
      <c r="AL180" s="2747"/>
      <c r="AM180" s="2747"/>
      <c r="AN180" s="2747"/>
      <c r="AO180" s="2747"/>
      <c r="AP180" s="2747"/>
      <c r="AQ180" s="2747"/>
      <c r="AR180" s="2747"/>
      <c r="AS180" s="2747"/>
      <c r="AT180" s="2747"/>
      <c r="AU180" s="2747"/>
      <c r="AV180" s="2747"/>
      <c r="AW180" s="2747"/>
      <c r="AX180" s="2747"/>
      <c r="AY180" s="2747"/>
      <c r="AZ180" s="2747"/>
      <c r="BA180" s="2747"/>
      <c r="BB180" s="2747"/>
      <c r="BC180" s="2747"/>
      <c r="BD180" s="2747"/>
      <c r="BE180" s="2747"/>
      <c r="BF180" s="2747"/>
      <c r="BG180" s="2747"/>
      <c r="BH180" s="2747"/>
      <c r="BI180" s="2747"/>
      <c r="BJ180" s="2747"/>
      <c r="BK180" s="2747"/>
      <c r="BL180" s="2747"/>
      <c r="BM180" s="2747"/>
      <c r="BN180" s="5324">
        <v>0</v>
      </c>
      <c r="BO180" s="16146"/>
      <c r="BP180" s="2747" t="s">
        <v>9557</v>
      </c>
      <c r="BQ180" s="2747"/>
      <c r="BR180" s="2747"/>
      <c r="BS180" s="5326">
        <v>0</v>
      </c>
      <c r="BT180" s="5326">
        <v>0</v>
      </c>
      <c r="BU180" s="5326">
        <v>0</v>
      </c>
      <c r="BV180" s="5318">
        <v>0</v>
      </c>
      <c r="BW180" s="5326"/>
      <c r="BX180" s="5326"/>
      <c r="BY180" s="5326"/>
      <c r="BZ180" s="5326"/>
      <c r="CA180" s="5326"/>
      <c r="CB180" s="5326"/>
      <c r="CC180" s="5326"/>
      <c r="CD180" s="5326"/>
      <c r="CE180" s="5326"/>
      <c r="CF180" s="5326"/>
      <c r="CG180" s="5326"/>
      <c r="CH180" s="5326"/>
      <c r="CI180" s="5326"/>
      <c r="CJ180" s="5326"/>
      <c r="CK180" s="5326"/>
      <c r="CL180" s="5326"/>
      <c r="CM180" s="5326"/>
      <c r="CN180" s="5326"/>
      <c r="CO180" s="5326"/>
      <c r="CP180" s="5326"/>
      <c r="CQ180" s="5326"/>
      <c r="CR180" s="5326"/>
      <c r="CS180" s="5326"/>
      <c r="CT180" s="5326"/>
      <c r="CU180" s="5326"/>
      <c r="CV180" s="5326"/>
      <c r="CW180" s="5326"/>
      <c r="CX180" s="5326"/>
      <c r="CY180" s="5326"/>
      <c r="CZ180" s="5326"/>
      <c r="DA180" s="5326"/>
      <c r="DB180" s="5326"/>
      <c r="DC180" s="5326"/>
      <c r="DD180" s="5326"/>
      <c r="DE180" s="5326"/>
      <c r="DF180" s="5326"/>
      <c r="DG180" s="5455"/>
      <c r="DH180" s="5455"/>
      <c r="DI180" s="5455"/>
      <c r="DJ180" s="5455"/>
      <c r="DK180" s="5455"/>
      <c r="DL180" s="5455"/>
      <c r="DM180" s="5455"/>
      <c r="DN180" s="5455"/>
      <c r="DO180" s="5455"/>
      <c r="DP180" s="5455"/>
      <c r="DQ180" s="5455"/>
      <c r="DR180" s="5455"/>
      <c r="DS180" s="5455"/>
      <c r="DT180" s="5455"/>
      <c r="DU180" s="5455"/>
      <c r="DV180" s="5455"/>
      <c r="DW180" s="5455"/>
      <c r="DX180" s="5455"/>
      <c r="DY180" s="5455"/>
      <c r="DZ180" s="5455"/>
      <c r="EA180" s="5455"/>
      <c r="EB180" s="5455"/>
      <c r="EC180" s="5455"/>
      <c r="ED180" s="5455"/>
      <c r="EE180" s="5455"/>
      <c r="EF180" s="5455"/>
      <c r="EG180" s="5455"/>
      <c r="EH180" s="5455"/>
      <c r="EI180" s="5455"/>
      <c r="EJ180" s="5455"/>
      <c r="EK180" s="5455"/>
      <c r="EL180" s="5455"/>
      <c r="EM180" s="5455"/>
      <c r="EN180" s="5455"/>
      <c r="EO180" s="5455"/>
      <c r="EP180" s="5455"/>
      <c r="EQ180" s="5455"/>
      <c r="ER180" s="5455"/>
      <c r="ES180" s="5455"/>
      <c r="ET180" s="5455"/>
      <c r="EU180" s="5455"/>
      <c r="EV180" s="5455"/>
      <c r="EW180" s="5455"/>
      <c r="EX180" s="5455"/>
      <c r="EY180" s="5455"/>
      <c r="EZ180" s="5455"/>
      <c r="FA180" s="5466"/>
    </row>
    <row r="181" spans="1:157" s="2018" customFormat="1" ht="15" customHeight="1">
      <c r="A181" s="16133"/>
      <c r="B181" s="16030"/>
      <c r="C181" s="16030"/>
      <c r="D181" s="16030"/>
      <c r="E181" s="16030"/>
      <c r="F181" s="16030"/>
      <c r="G181" s="16033"/>
      <c r="H181" s="16029"/>
      <c r="I181" s="16029"/>
      <c r="J181" s="16029"/>
      <c r="K181" s="16029"/>
      <c r="L181" s="16029"/>
      <c r="M181" s="16029"/>
      <c r="N181" s="16029"/>
      <c r="O181" s="16029"/>
      <c r="P181" s="16029"/>
      <c r="Q181" s="16029"/>
      <c r="R181" s="5429" t="s">
        <v>2896</v>
      </c>
      <c r="S181" s="5323"/>
      <c r="T181" s="2747" t="s">
        <v>1264</v>
      </c>
      <c r="U181" s="5324"/>
      <c r="V181" s="16211"/>
      <c r="W181" s="2747"/>
      <c r="X181" s="2747"/>
      <c r="Y181" s="2747"/>
      <c r="Z181" s="5325"/>
      <c r="AA181" s="5325"/>
      <c r="AB181" s="5325"/>
      <c r="AC181" s="5317"/>
      <c r="AD181" s="2747"/>
      <c r="AE181" s="2747"/>
      <c r="AF181" s="2747"/>
      <c r="AG181" s="2747"/>
      <c r="AH181" s="2747"/>
      <c r="AI181" s="2747"/>
      <c r="AJ181" s="2747"/>
      <c r="AK181" s="2747"/>
      <c r="AL181" s="2747"/>
      <c r="AM181" s="2747"/>
      <c r="AN181" s="2747"/>
      <c r="AO181" s="2747"/>
      <c r="AP181" s="2747"/>
      <c r="AQ181" s="2747"/>
      <c r="AR181" s="2747"/>
      <c r="AS181" s="2747"/>
      <c r="AT181" s="2747"/>
      <c r="AU181" s="2747"/>
      <c r="AV181" s="2747"/>
      <c r="AW181" s="2747"/>
      <c r="AX181" s="2747"/>
      <c r="AY181" s="2747"/>
      <c r="AZ181" s="2747"/>
      <c r="BA181" s="2747"/>
      <c r="BB181" s="2747"/>
      <c r="BC181" s="2747"/>
      <c r="BD181" s="2747"/>
      <c r="BE181" s="2747"/>
      <c r="BF181" s="2747"/>
      <c r="BG181" s="2747"/>
      <c r="BH181" s="2747"/>
      <c r="BI181" s="2747"/>
      <c r="BJ181" s="2747"/>
      <c r="BK181" s="2747"/>
      <c r="BL181" s="2747"/>
      <c r="BM181" s="2747"/>
      <c r="BN181" s="5324"/>
      <c r="BO181" s="16146"/>
      <c r="BP181" s="2747"/>
      <c r="BQ181" s="2747"/>
      <c r="BR181" s="2747"/>
      <c r="BS181" s="5326"/>
      <c r="BT181" s="5326"/>
      <c r="BU181" s="5326"/>
      <c r="BV181" s="5318"/>
      <c r="BW181" s="5326"/>
      <c r="BX181" s="5326"/>
      <c r="BY181" s="5326"/>
      <c r="BZ181" s="5326"/>
      <c r="CA181" s="5326"/>
      <c r="CB181" s="5326"/>
      <c r="CC181" s="5326"/>
      <c r="CD181" s="5326"/>
      <c r="CE181" s="5326"/>
      <c r="CF181" s="5326"/>
      <c r="CG181" s="5326"/>
      <c r="CH181" s="5326"/>
      <c r="CI181" s="5326"/>
      <c r="CJ181" s="5326"/>
      <c r="CK181" s="5326"/>
      <c r="CL181" s="5326"/>
      <c r="CM181" s="5326"/>
      <c r="CN181" s="5326"/>
      <c r="CO181" s="5326"/>
      <c r="CP181" s="5326"/>
      <c r="CQ181" s="5326"/>
      <c r="CR181" s="5326"/>
      <c r="CS181" s="5326"/>
      <c r="CT181" s="5326"/>
      <c r="CU181" s="5326"/>
      <c r="CV181" s="5326"/>
      <c r="CW181" s="5326"/>
      <c r="CX181" s="5326"/>
      <c r="CY181" s="5326"/>
      <c r="CZ181" s="5326"/>
      <c r="DA181" s="5326"/>
      <c r="DB181" s="5326"/>
      <c r="DC181" s="5326"/>
      <c r="DD181" s="5326"/>
      <c r="DE181" s="5326"/>
      <c r="DF181" s="5326"/>
      <c r="DG181" s="5455"/>
      <c r="DH181" s="5455"/>
      <c r="DI181" s="5455"/>
      <c r="DJ181" s="5455"/>
      <c r="DK181" s="5455"/>
      <c r="DL181" s="5455"/>
      <c r="DM181" s="5455"/>
      <c r="DN181" s="5455"/>
      <c r="DO181" s="5455"/>
      <c r="DP181" s="5455"/>
      <c r="DQ181" s="5455"/>
      <c r="DR181" s="5455"/>
      <c r="DS181" s="5455"/>
      <c r="DT181" s="5455"/>
      <c r="DU181" s="5455"/>
      <c r="DV181" s="5455"/>
      <c r="DW181" s="5455"/>
      <c r="DX181" s="5455"/>
      <c r="DY181" s="5455"/>
      <c r="DZ181" s="5455"/>
      <c r="EA181" s="5455"/>
      <c r="EB181" s="5455"/>
      <c r="EC181" s="5455"/>
      <c r="ED181" s="5455"/>
      <c r="EE181" s="5455"/>
      <c r="EF181" s="5455"/>
      <c r="EG181" s="5455"/>
      <c r="EH181" s="5455"/>
      <c r="EI181" s="5455"/>
      <c r="EJ181" s="5455"/>
      <c r="EK181" s="5455"/>
      <c r="EL181" s="5455"/>
      <c r="EM181" s="5455"/>
      <c r="EN181" s="5455"/>
      <c r="EO181" s="5455"/>
      <c r="EP181" s="5455"/>
      <c r="EQ181" s="5455"/>
      <c r="ER181" s="5455"/>
      <c r="ES181" s="5455"/>
      <c r="ET181" s="5455"/>
      <c r="EU181" s="5455"/>
      <c r="EV181" s="5455"/>
      <c r="EW181" s="5455"/>
      <c r="EX181" s="5455"/>
      <c r="EY181" s="5455"/>
      <c r="EZ181" s="5455"/>
      <c r="FA181" s="5466"/>
    </row>
    <row r="182" spans="1:157" s="2018" customFormat="1" ht="15" customHeight="1">
      <c r="A182" s="16133"/>
      <c r="B182" s="16030"/>
      <c r="C182" s="5319" t="s">
        <v>8128</v>
      </c>
      <c r="D182" s="5319" t="s">
        <v>1267</v>
      </c>
      <c r="E182" s="5319" t="s">
        <v>1268</v>
      </c>
      <c r="F182" s="5319" t="s">
        <v>1073</v>
      </c>
      <c r="G182" s="5396">
        <v>0</v>
      </c>
      <c r="H182" s="2747">
        <v>1</v>
      </c>
      <c r="I182" s="2747">
        <v>1</v>
      </c>
      <c r="J182" s="2747">
        <v>1</v>
      </c>
      <c r="K182" s="2747">
        <v>1</v>
      </c>
      <c r="L182" s="2747">
        <v>1</v>
      </c>
      <c r="M182" s="2747">
        <v>1</v>
      </c>
      <c r="N182" s="2747">
        <v>1</v>
      </c>
      <c r="O182" s="2747">
        <v>1</v>
      </c>
      <c r="P182" s="2747">
        <v>1</v>
      </c>
      <c r="Q182" s="2747">
        <v>1</v>
      </c>
      <c r="R182" s="5429" t="s">
        <v>10072</v>
      </c>
      <c r="S182" s="5323" t="s">
        <v>1269</v>
      </c>
      <c r="T182" s="2747"/>
      <c r="U182" s="5324"/>
      <c r="V182" s="16211"/>
      <c r="W182" s="5316"/>
      <c r="X182" s="5395"/>
      <c r="Y182" s="2747"/>
      <c r="Z182" s="5325"/>
      <c r="AA182" s="5325"/>
      <c r="AB182" s="5325"/>
      <c r="AC182" s="5317"/>
      <c r="AD182" s="2747"/>
      <c r="AE182" s="2747"/>
      <c r="AF182" s="2747"/>
      <c r="AG182" s="2747"/>
      <c r="AH182" s="2747"/>
      <c r="AI182" s="2747"/>
      <c r="AJ182" s="2747"/>
      <c r="AK182" s="2747"/>
      <c r="AL182" s="2747"/>
      <c r="AM182" s="2747"/>
      <c r="AN182" s="2747"/>
      <c r="AO182" s="2747"/>
      <c r="AP182" s="2747"/>
      <c r="AQ182" s="2747"/>
      <c r="AR182" s="2747"/>
      <c r="AS182" s="2747"/>
      <c r="AT182" s="2747"/>
      <c r="AU182" s="2747"/>
      <c r="AV182" s="2747"/>
      <c r="AW182" s="2747"/>
      <c r="AX182" s="2747"/>
      <c r="AY182" s="2747"/>
      <c r="AZ182" s="2747"/>
      <c r="BA182" s="2747"/>
      <c r="BB182" s="2747"/>
      <c r="BC182" s="2747"/>
      <c r="BD182" s="2747"/>
      <c r="BE182" s="2747"/>
      <c r="BF182" s="2747"/>
      <c r="BG182" s="2747"/>
      <c r="BH182" s="2747"/>
      <c r="BI182" s="2747"/>
      <c r="BJ182" s="2747"/>
      <c r="BK182" s="2747"/>
      <c r="BL182" s="2747"/>
      <c r="BM182" s="2747"/>
      <c r="BN182" s="5324">
        <v>0</v>
      </c>
      <c r="BO182" s="16146"/>
      <c r="BP182" s="5316" t="s">
        <v>9492</v>
      </c>
      <c r="BQ182" s="5395" t="s">
        <v>2951</v>
      </c>
      <c r="BR182" s="2747"/>
      <c r="BS182" s="5326">
        <v>0</v>
      </c>
      <c r="BT182" s="5326">
        <v>0</v>
      </c>
      <c r="BU182" s="5326">
        <v>0</v>
      </c>
      <c r="BV182" s="5318">
        <v>0</v>
      </c>
      <c r="BW182" s="5326"/>
      <c r="BX182" s="5326"/>
      <c r="BY182" s="5326"/>
      <c r="BZ182" s="5326"/>
      <c r="CA182" s="5326"/>
      <c r="CB182" s="5326"/>
      <c r="CC182" s="5326"/>
      <c r="CD182" s="5326"/>
      <c r="CE182" s="5326"/>
      <c r="CF182" s="5326"/>
      <c r="CG182" s="5326"/>
      <c r="CH182" s="5326"/>
      <c r="CI182" s="5326"/>
      <c r="CJ182" s="5326"/>
      <c r="CK182" s="5326"/>
      <c r="CL182" s="5326"/>
      <c r="CM182" s="5326"/>
      <c r="CN182" s="5326"/>
      <c r="CO182" s="5326"/>
      <c r="CP182" s="5326"/>
      <c r="CQ182" s="5326"/>
      <c r="CR182" s="5326"/>
      <c r="CS182" s="5326"/>
      <c r="CT182" s="5326"/>
      <c r="CU182" s="5326"/>
      <c r="CV182" s="5326"/>
      <c r="CW182" s="5326"/>
      <c r="CX182" s="5326"/>
      <c r="CY182" s="5326"/>
      <c r="CZ182" s="5326"/>
      <c r="DA182" s="5326"/>
      <c r="DB182" s="5326"/>
      <c r="DC182" s="5326"/>
      <c r="DD182" s="5326"/>
      <c r="DE182" s="5326"/>
      <c r="DF182" s="5326"/>
      <c r="DG182" s="5455"/>
      <c r="DH182" s="5455"/>
      <c r="DI182" s="5455"/>
      <c r="DJ182" s="5455"/>
      <c r="DK182" s="5455"/>
      <c r="DL182" s="5455"/>
      <c r="DM182" s="5455"/>
      <c r="DN182" s="5455"/>
      <c r="DO182" s="5455"/>
      <c r="DP182" s="5455"/>
      <c r="DQ182" s="5455"/>
      <c r="DR182" s="5455"/>
      <c r="DS182" s="5455"/>
      <c r="DT182" s="5455"/>
      <c r="DU182" s="5455"/>
      <c r="DV182" s="5455"/>
      <c r="DW182" s="5455"/>
      <c r="DX182" s="5455"/>
      <c r="DY182" s="5455"/>
      <c r="DZ182" s="5455"/>
      <c r="EA182" s="5455"/>
      <c r="EB182" s="5455"/>
      <c r="EC182" s="5455"/>
      <c r="ED182" s="5455"/>
      <c r="EE182" s="5455"/>
      <c r="EF182" s="5455"/>
      <c r="EG182" s="5455"/>
      <c r="EH182" s="5455"/>
      <c r="EI182" s="5455"/>
      <c r="EJ182" s="5455"/>
      <c r="EK182" s="5455"/>
      <c r="EL182" s="5455"/>
      <c r="EM182" s="5455"/>
      <c r="EN182" s="5455"/>
      <c r="EO182" s="5455"/>
      <c r="EP182" s="5455"/>
      <c r="EQ182" s="5455"/>
      <c r="ER182" s="5455"/>
      <c r="ES182" s="5455"/>
      <c r="ET182" s="5455"/>
      <c r="EU182" s="5455"/>
      <c r="EV182" s="5455"/>
      <c r="EW182" s="5455"/>
      <c r="EX182" s="5455"/>
      <c r="EY182" s="5455"/>
      <c r="EZ182" s="5455"/>
      <c r="FA182" s="5466"/>
    </row>
    <row r="183" spans="1:157" s="2018" customFormat="1" ht="15" customHeight="1">
      <c r="A183" s="16133"/>
      <c r="B183" s="16030" t="s">
        <v>1270</v>
      </c>
      <c r="C183" s="16030" t="s">
        <v>8129</v>
      </c>
      <c r="D183" s="16030" t="s">
        <v>1271</v>
      </c>
      <c r="E183" s="16030" t="s">
        <v>1272</v>
      </c>
      <c r="F183" s="16030" t="s">
        <v>1073</v>
      </c>
      <c r="G183" s="16033">
        <v>1</v>
      </c>
      <c r="H183" s="16029">
        <v>1</v>
      </c>
      <c r="I183" s="16029">
        <v>1</v>
      </c>
      <c r="J183" s="16029">
        <v>1</v>
      </c>
      <c r="K183" s="16029">
        <v>1</v>
      </c>
      <c r="L183" s="16029">
        <v>1</v>
      </c>
      <c r="M183" s="16029">
        <v>1</v>
      </c>
      <c r="N183" s="16029">
        <v>1</v>
      </c>
      <c r="O183" s="16029">
        <v>1</v>
      </c>
      <c r="P183" s="16029">
        <v>1</v>
      </c>
      <c r="Q183" s="16029">
        <v>1</v>
      </c>
      <c r="R183" s="5310" t="s">
        <v>10072</v>
      </c>
      <c r="S183" s="5311" t="s">
        <v>1273</v>
      </c>
      <c r="T183" s="2747"/>
      <c r="U183" s="5324"/>
      <c r="V183" s="16211"/>
      <c r="W183" s="2747"/>
      <c r="X183" s="2747"/>
      <c r="Y183" s="2747"/>
      <c r="Z183" s="5325"/>
      <c r="AA183" s="5325"/>
      <c r="AB183" s="5325"/>
      <c r="AC183" s="5317"/>
      <c r="AD183" s="2747"/>
      <c r="AE183" s="2747"/>
      <c r="AF183" s="2747"/>
      <c r="AG183" s="2747"/>
      <c r="AH183" s="2747"/>
      <c r="AI183" s="2747"/>
      <c r="AJ183" s="2747"/>
      <c r="AK183" s="2747"/>
      <c r="AL183" s="2747"/>
      <c r="AM183" s="2747"/>
      <c r="AN183" s="2747"/>
      <c r="AO183" s="2747"/>
      <c r="AP183" s="2747"/>
      <c r="AQ183" s="2747"/>
      <c r="AR183" s="2747"/>
      <c r="AS183" s="2747"/>
      <c r="AT183" s="2747"/>
      <c r="AU183" s="2747"/>
      <c r="AV183" s="2747"/>
      <c r="AW183" s="2747"/>
      <c r="AX183" s="2747"/>
      <c r="AY183" s="2747"/>
      <c r="AZ183" s="2747"/>
      <c r="BA183" s="2747"/>
      <c r="BB183" s="2747"/>
      <c r="BC183" s="2747"/>
      <c r="BD183" s="2747"/>
      <c r="BE183" s="2747"/>
      <c r="BF183" s="2747"/>
      <c r="BG183" s="2747"/>
      <c r="BH183" s="2747"/>
      <c r="BI183" s="2747"/>
      <c r="BJ183" s="2747"/>
      <c r="BK183" s="2747"/>
      <c r="BL183" s="2747"/>
      <c r="BM183" s="2747"/>
      <c r="BN183" s="5324">
        <v>0</v>
      </c>
      <c r="BO183" s="16146"/>
      <c r="BP183" s="2747"/>
      <c r="BQ183" s="2747"/>
      <c r="BR183" s="2747"/>
      <c r="BS183" s="5326">
        <v>0</v>
      </c>
      <c r="BT183" s="5326">
        <v>0</v>
      </c>
      <c r="BU183" s="5326">
        <v>0</v>
      </c>
      <c r="BV183" s="5318">
        <v>0</v>
      </c>
      <c r="BW183" s="5326"/>
      <c r="BX183" s="5326"/>
      <c r="BY183" s="5326"/>
      <c r="BZ183" s="5326"/>
      <c r="CA183" s="5326"/>
      <c r="CB183" s="5326"/>
      <c r="CC183" s="5326"/>
      <c r="CD183" s="5326"/>
      <c r="CE183" s="5326"/>
      <c r="CF183" s="5326"/>
      <c r="CG183" s="5326"/>
      <c r="CH183" s="5326"/>
      <c r="CI183" s="5326"/>
      <c r="CJ183" s="5326"/>
      <c r="CK183" s="5326"/>
      <c r="CL183" s="5326"/>
      <c r="CM183" s="5326"/>
      <c r="CN183" s="5326"/>
      <c r="CO183" s="5326"/>
      <c r="CP183" s="5326"/>
      <c r="CQ183" s="5326"/>
      <c r="CR183" s="5326"/>
      <c r="CS183" s="5326"/>
      <c r="CT183" s="5326"/>
      <c r="CU183" s="5326"/>
      <c r="CV183" s="5326"/>
      <c r="CW183" s="5326"/>
      <c r="CX183" s="5326"/>
      <c r="CY183" s="5326"/>
      <c r="CZ183" s="5326"/>
      <c r="DA183" s="5326"/>
      <c r="DB183" s="5326"/>
      <c r="DC183" s="5326"/>
      <c r="DD183" s="5326"/>
      <c r="DE183" s="5326"/>
      <c r="DF183" s="5326"/>
      <c r="DG183" s="5455"/>
      <c r="DH183" s="5455"/>
      <c r="DI183" s="5455"/>
      <c r="DJ183" s="5455"/>
      <c r="DK183" s="5455"/>
      <c r="DL183" s="5455"/>
      <c r="DM183" s="5455"/>
      <c r="DN183" s="5455"/>
      <c r="DO183" s="5455"/>
      <c r="DP183" s="5455"/>
      <c r="DQ183" s="5455"/>
      <c r="DR183" s="5455"/>
      <c r="DS183" s="5455"/>
      <c r="DT183" s="5455"/>
      <c r="DU183" s="5455"/>
      <c r="DV183" s="5455"/>
      <c r="DW183" s="5455"/>
      <c r="DX183" s="5455"/>
      <c r="DY183" s="5455"/>
      <c r="DZ183" s="5455"/>
      <c r="EA183" s="5455"/>
      <c r="EB183" s="5455"/>
      <c r="EC183" s="5455"/>
      <c r="ED183" s="5455"/>
      <c r="EE183" s="5455"/>
      <c r="EF183" s="5455"/>
      <c r="EG183" s="5455"/>
      <c r="EH183" s="5455"/>
      <c r="EI183" s="5455"/>
      <c r="EJ183" s="5455"/>
      <c r="EK183" s="5455"/>
      <c r="EL183" s="5455"/>
      <c r="EM183" s="5455"/>
      <c r="EN183" s="5455"/>
      <c r="EO183" s="5455"/>
      <c r="EP183" s="5455"/>
      <c r="EQ183" s="5455"/>
      <c r="ER183" s="5455"/>
      <c r="ES183" s="5455"/>
      <c r="ET183" s="5455"/>
      <c r="EU183" s="5455"/>
      <c r="EV183" s="5455"/>
      <c r="EW183" s="5455"/>
      <c r="EX183" s="5455"/>
      <c r="EY183" s="5455"/>
      <c r="EZ183" s="5455"/>
      <c r="FA183" s="5466"/>
    </row>
    <row r="184" spans="1:157" s="2018" customFormat="1" ht="15" customHeight="1">
      <c r="A184" s="16133"/>
      <c r="B184" s="16030"/>
      <c r="C184" s="16030"/>
      <c r="D184" s="16030"/>
      <c r="E184" s="16030"/>
      <c r="F184" s="16030"/>
      <c r="G184" s="16033"/>
      <c r="H184" s="16029"/>
      <c r="I184" s="16029"/>
      <c r="J184" s="16029"/>
      <c r="K184" s="16029"/>
      <c r="L184" s="16029"/>
      <c r="M184" s="16029"/>
      <c r="N184" s="16029"/>
      <c r="O184" s="16029"/>
      <c r="P184" s="16029"/>
      <c r="Q184" s="16029"/>
      <c r="R184" s="5310" t="s">
        <v>86</v>
      </c>
      <c r="S184" s="5311"/>
      <c r="T184" s="2747" t="s">
        <v>1247</v>
      </c>
      <c r="U184" s="5397"/>
      <c r="V184" s="16211"/>
      <c r="W184" s="5316"/>
      <c r="X184" s="5316"/>
      <c r="Y184" s="5316"/>
      <c r="Z184" s="5398"/>
      <c r="AA184" s="5325"/>
      <c r="AB184" s="5325"/>
      <c r="AC184" s="5317"/>
      <c r="AD184" s="2747"/>
      <c r="AE184" s="2747"/>
      <c r="AF184" s="2747"/>
      <c r="AG184" s="2747"/>
      <c r="AH184" s="2747"/>
      <c r="AI184" s="2747"/>
      <c r="AJ184" s="2747"/>
      <c r="AK184" s="2747"/>
      <c r="AL184" s="2747"/>
      <c r="AM184" s="2747"/>
      <c r="AN184" s="2747"/>
      <c r="AO184" s="2747"/>
      <c r="AP184" s="2747"/>
      <c r="AQ184" s="2747"/>
      <c r="AR184" s="2747"/>
      <c r="AS184" s="2747"/>
      <c r="AT184" s="2747"/>
      <c r="AU184" s="2747"/>
      <c r="AV184" s="2747"/>
      <c r="AW184" s="2747"/>
      <c r="AX184" s="2747"/>
      <c r="AY184" s="2747"/>
      <c r="AZ184" s="2747"/>
      <c r="BA184" s="2747"/>
      <c r="BB184" s="2747"/>
      <c r="BC184" s="2747"/>
      <c r="BD184" s="2747"/>
      <c r="BE184" s="2747"/>
      <c r="BF184" s="2747"/>
      <c r="BG184" s="2747"/>
      <c r="BH184" s="2747"/>
      <c r="BI184" s="2747"/>
      <c r="BJ184" s="2747"/>
      <c r="BK184" s="2747"/>
      <c r="BL184" s="2747"/>
      <c r="BM184" s="2747"/>
      <c r="BN184" s="5397">
        <v>1</v>
      </c>
      <c r="BO184" s="16146"/>
      <c r="BP184" s="5316" t="s">
        <v>9558</v>
      </c>
      <c r="BQ184" s="5316" t="s">
        <v>9559</v>
      </c>
      <c r="BR184" s="5316" t="s">
        <v>9560</v>
      </c>
      <c r="BS184" s="5399">
        <v>317207295.193766</v>
      </c>
      <c r="BT184" s="5326">
        <v>0</v>
      </c>
      <c r="BU184" s="5326">
        <v>0</v>
      </c>
      <c r="BV184" s="5318">
        <v>0</v>
      </c>
      <c r="BW184" s="5326"/>
      <c r="BX184" s="5326"/>
      <c r="BY184" s="5326"/>
      <c r="BZ184" s="5326"/>
      <c r="CA184" s="5326"/>
      <c r="CB184" s="5326"/>
      <c r="CC184" s="5326"/>
      <c r="CD184" s="5326"/>
      <c r="CE184" s="5326"/>
      <c r="CF184" s="5326"/>
      <c r="CG184" s="5326"/>
      <c r="CH184" s="5326"/>
      <c r="CI184" s="5326"/>
      <c r="CJ184" s="5326"/>
      <c r="CK184" s="5326"/>
      <c r="CL184" s="5326"/>
      <c r="CM184" s="5326"/>
      <c r="CN184" s="5326"/>
      <c r="CO184" s="5326"/>
      <c r="CP184" s="5326"/>
      <c r="CQ184" s="5326"/>
      <c r="CR184" s="5326"/>
      <c r="CS184" s="5326"/>
      <c r="CT184" s="5326"/>
      <c r="CU184" s="5326"/>
      <c r="CV184" s="5326"/>
      <c r="CW184" s="5326"/>
      <c r="CX184" s="5326"/>
      <c r="CY184" s="5326"/>
      <c r="CZ184" s="5326"/>
      <c r="DA184" s="5326"/>
      <c r="DB184" s="5326"/>
      <c r="DC184" s="5326"/>
      <c r="DD184" s="5326"/>
      <c r="DE184" s="5326"/>
      <c r="DF184" s="5326"/>
      <c r="DG184" s="5455"/>
      <c r="DH184" s="5455"/>
      <c r="DI184" s="5455"/>
      <c r="DJ184" s="5455"/>
      <c r="DK184" s="5455"/>
      <c r="DL184" s="5455"/>
      <c r="DM184" s="5455"/>
      <c r="DN184" s="5455"/>
      <c r="DO184" s="5455"/>
      <c r="DP184" s="5455"/>
      <c r="DQ184" s="5455"/>
      <c r="DR184" s="5455"/>
      <c r="DS184" s="5455"/>
      <c r="DT184" s="5455"/>
      <c r="DU184" s="5455"/>
      <c r="DV184" s="5455"/>
      <c r="DW184" s="5455"/>
      <c r="DX184" s="5455"/>
      <c r="DY184" s="5455"/>
      <c r="DZ184" s="5455"/>
      <c r="EA184" s="5455"/>
      <c r="EB184" s="5455"/>
      <c r="EC184" s="5455"/>
      <c r="ED184" s="5455"/>
      <c r="EE184" s="5455"/>
      <c r="EF184" s="5455"/>
      <c r="EG184" s="5455"/>
      <c r="EH184" s="5455"/>
      <c r="EI184" s="5455"/>
      <c r="EJ184" s="5455"/>
      <c r="EK184" s="5455"/>
      <c r="EL184" s="5455"/>
      <c r="EM184" s="5455"/>
      <c r="EN184" s="5455"/>
      <c r="EO184" s="5455"/>
      <c r="EP184" s="5455"/>
      <c r="EQ184" s="5455"/>
      <c r="ER184" s="5455"/>
      <c r="ES184" s="5455"/>
      <c r="ET184" s="5455"/>
      <c r="EU184" s="5455"/>
      <c r="EV184" s="5455"/>
      <c r="EW184" s="5455"/>
      <c r="EX184" s="5455"/>
      <c r="EY184" s="5455"/>
      <c r="EZ184" s="5455"/>
      <c r="FA184" s="5466"/>
    </row>
    <row r="185" spans="1:157" s="2018" customFormat="1" ht="15" customHeight="1">
      <c r="A185" s="16133"/>
      <c r="B185" s="16030"/>
      <c r="C185" s="5319" t="s">
        <v>8130</v>
      </c>
      <c r="D185" s="5400" t="s">
        <v>1274</v>
      </c>
      <c r="E185" s="5319"/>
      <c r="F185" s="5319"/>
      <c r="G185" s="5396"/>
      <c r="H185" s="2753"/>
      <c r="I185" s="2753"/>
      <c r="J185" s="2753"/>
      <c r="K185" s="2753"/>
      <c r="L185" s="2753"/>
      <c r="M185" s="2753"/>
      <c r="N185" s="2753"/>
      <c r="O185" s="2753"/>
      <c r="P185" s="2753"/>
      <c r="Q185" s="2753"/>
      <c r="R185" s="5435" t="s">
        <v>10072</v>
      </c>
      <c r="S185" s="5323" t="s">
        <v>1273</v>
      </c>
      <c r="T185" s="2747" t="s">
        <v>1232</v>
      </c>
      <c r="U185" s="5324"/>
      <c r="V185" s="16211"/>
      <c r="W185" s="5316"/>
      <c r="X185" s="5316"/>
      <c r="Y185" s="5316"/>
      <c r="Z185" s="5398"/>
      <c r="AA185" s="5398"/>
      <c r="AB185" s="5398"/>
      <c r="AC185" s="5317"/>
      <c r="AD185" s="2747"/>
      <c r="AE185" s="2747"/>
      <c r="AF185" s="2747"/>
      <c r="AG185" s="2747"/>
      <c r="AH185" s="2747"/>
      <c r="AI185" s="2747"/>
      <c r="AJ185" s="2747"/>
      <c r="AK185" s="2747"/>
      <c r="AL185" s="2747"/>
      <c r="AM185" s="2747"/>
      <c r="AN185" s="2747"/>
      <c r="AO185" s="2747"/>
      <c r="AP185" s="2747"/>
      <c r="AQ185" s="2747"/>
      <c r="AR185" s="2747"/>
      <c r="AS185" s="2747"/>
      <c r="AT185" s="2747"/>
      <c r="AU185" s="2747"/>
      <c r="AV185" s="2747"/>
      <c r="AW185" s="2747"/>
      <c r="AX185" s="2747"/>
      <c r="AY185" s="2747"/>
      <c r="AZ185" s="2747"/>
      <c r="BA185" s="2747"/>
      <c r="BB185" s="2747"/>
      <c r="BC185" s="2747"/>
      <c r="BD185" s="2747"/>
      <c r="BE185" s="2747"/>
      <c r="BF185" s="2747"/>
      <c r="BG185" s="2747"/>
      <c r="BH185" s="2747"/>
      <c r="BI185" s="2747"/>
      <c r="BJ185" s="2747"/>
      <c r="BK185" s="2747"/>
      <c r="BL185" s="2747"/>
      <c r="BM185" s="2747"/>
      <c r="BN185" s="5324">
        <v>0.25</v>
      </c>
      <c r="BO185" s="16146"/>
      <c r="BP185" s="5316" t="s">
        <v>9561</v>
      </c>
      <c r="BQ185" s="5316" t="s">
        <v>9562</v>
      </c>
      <c r="BR185" s="5316" t="s">
        <v>9563</v>
      </c>
      <c r="BS185" s="5399">
        <v>317207295.19376564</v>
      </c>
      <c r="BT185" s="5399">
        <v>947965904.3356359</v>
      </c>
      <c r="BU185" s="5399">
        <v>406271101.85812968</v>
      </c>
      <c r="BV185" s="5318">
        <v>0</v>
      </c>
      <c r="BW185" s="5326"/>
      <c r="BX185" s="5326"/>
      <c r="BY185" s="5326"/>
      <c r="BZ185" s="5326"/>
      <c r="CA185" s="5326"/>
      <c r="CB185" s="5326"/>
      <c r="CC185" s="5326"/>
      <c r="CD185" s="5326"/>
      <c r="CE185" s="5326"/>
      <c r="CF185" s="5326"/>
      <c r="CG185" s="5326"/>
      <c r="CH185" s="5326"/>
      <c r="CI185" s="5326"/>
      <c r="CJ185" s="5326"/>
      <c r="CK185" s="5326"/>
      <c r="CL185" s="5326"/>
      <c r="CM185" s="5326"/>
      <c r="CN185" s="5326"/>
      <c r="CO185" s="5326"/>
      <c r="CP185" s="5326"/>
      <c r="CQ185" s="5326"/>
      <c r="CR185" s="5326"/>
      <c r="CS185" s="5326"/>
      <c r="CT185" s="5326"/>
      <c r="CU185" s="5326"/>
      <c r="CV185" s="5326"/>
      <c r="CW185" s="5326"/>
      <c r="CX185" s="5326"/>
      <c r="CY185" s="5326"/>
      <c r="CZ185" s="5326"/>
      <c r="DA185" s="5326"/>
      <c r="DB185" s="5326"/>
      <c r="DC185" s="5326"/>
      <c r="DD185" s="5326"/>
      <c r="DE185" s="5326"/>
      <c r="DF185" s="5326"/>
      <c r="DG185" s="5455"/>
      <c r="DH185" s="5455"/>
      <c r="DI185" s="5455"/>
      <c r="DJ185" s="5455"/>
      <c r="DK185" s="5455"/>
      <c r="DL185" s="5455"/>
      <c r="DM185" s="5455"/>
      <c r="DN185" s="5455"/>
      <c r="DO185" s="5455"/>
      <c r="DP185" s="5455"/>
      <c r="DQ185" s="5455"/>
      <c r="DR185" s="5455"/>
      <c r="DS185" s="5455"/>
      <c r="DT185" s="5455"/>
      <c r="DU185" s="5455"/>
      <c r="DV185" s="5455"/>
      <c r="DW185" s="5455"/>
      <c r="DX185" s="5455"/>
      <c r="DY185" s="5455"/>
      <c r="DZ185" s="5455"/>
      <c r="EA185" s="5455"/>
      <c r="EB185" s="5455"/>
      <c r="EC185" s="5455"/>
      <c r="ED185" s="5455"/>
      <c r="EE185" s="5455"/>
      <c r="EF185" s="5455"/>
      <c r="EG185" s="5455"/>
      <c r="EH185" s="5455"/>
      <c r="EI185" s="5455"/>
      <c r="EJ185" s="5455"/>
      <c r="EK185" s="5455"/>
      <c r="EL185" s="5455"/>
      <c r="EM185" s="5455"/>
      <c r="EN185" s="5455"/>
      <c r="EO185" s="5455"/>
      <c r="EP185" s="5455"/>
      <c r="EQ185" s="5455"/>
      <c r="ER185" s="5455"/>
      <c r="ES185" s="5455"/>
      <c r="ET185" s="5455"/>
      <c r="EU185" s="5455"/>
      <c r="EV185" s="5455"/>
      <c r="EW185" s="5455"/>
      <c r="EX185" s="5455"/>
      <c r="EY185" s="5455"/>
      <c r="EZ185" s="5455"/>
      <c r="FA185" s="5466"/>
    </row>
    <row r="186" spans="1:157" s="2018" customFormat="1" ht="15" customHeight="1">
      <c r="A186" s="16133"/>
      <c r="B186" s="16030"/>
      <c r="C186" s="5319" t="s">
        <v>8131</v>
      </c>
      <c r="D186" s="5400" t="s">
        <v>1275</v>
      </c>
      <c r="E186" s="5319"/>
      <c r="F186" s="5319"/>
      <c r="G186" s="5396"/>
      <c r="H186" s="2753"/>
      <c r="I186" s="2753"/>
      <c r="J186" s="2753"/>
      <c r="K186" s="2753"/>
      <c r="L186" s="2753"/>
      <c r="M186" s="2753"/>
      <c r="N186" s="2753"/>
      <c r="O186" s="2753"/>
      <c r="P186" s="2753"/>
      <c r="Q186" s="2753"/>
      <c r="R186" s="5435" t="s">
        <v>10072</v>
      </c>
      <c r="S186" s="5323" t="s">
        <v>1273</v>
      </c>
      <c r="T186" s="5316" t="s">
        <v>1251</v>
      </c>
      <c r="U186" s="5324"/>
      <c r="V186" s="16211"/>
      <c r="W186" s="5316"/>
      <c r="X186" s="5316"/>
      <c r="Y186" s="5316"/>
      <c r="Z186" s="5398"/>
      <c r="AA186" s="5398"/>
      <c r="AB186" s="5398"/>
      <c r="AC186" s="5317"/>
      <c r="AD186" s="2747"/>
      <c r="AE186" s="2747"/>
      <c r="AF186" s="2747"/>
      <c r="AG186" s="2747"/>
      <c r="AH186" s="2747"/>
      <c r="AI186" s="2747"/>
      <c r="AJ186" s="2747"/>
      <c r="AK186" s="2747"/>
      <c r="AL186" s="2747"/>
      <c r="AM186" s="2747"/>
      <c r="AN186" s="2747"/>
      <c r="AO186" s="2747"/>
      <c r="AP186" s="2747"/>
      <c r="AQ186" s="2747"/>
      <c r="AR186" s="2747"/>
      <c r="AS186" s="2747"/>
      <c r="AT186" s="2747"/>
      <c r="AU186" s="2747"/>
      <c r="AV186" s="2747"/>
      <c r="AW186" s="2747"/>
      <c r="AX186" s="2747"/>
      <c r="AY186" s="2747"/>
      <c r="AZ186" s="2747"/>
      <c r="BA186" s="2747"/>
      <c r="BB186" s="2747"/>
      <c r="BC186" s="2747"/>
      <c r="BD186" s="2747"/>
      <c r="BE186" s="2747"/>
      <c r="BF186" s="2747"/>
      <c r="BG186" s="2747"/>
      <c r="BH186" s="2747"/>
      <c r="BI186" s="2747"/>
      <c r="BJ186" s="2747"/>
      <c r="BK186" s="2747"/>
      <c r="BL186" s="2747"/>
      <c r="BM186" s="2747"/>
      <c r="BN186" s="5324">
        <v>0</v>
      </c>
      <c r="BO186" s="16146"/>
      <c r="BP186" s="5316"/>
      <c r="BQ186" s="5316"/>
      <c r="BR186" s="5316"/>
      <c r="BS186" s="5399"/>
      <c r="BT186" s="5399"/>
      <c r="BU186" s="5399"/>
      <c r="BV186" s="5318"/>
      <c r="BW186" s="5326"/>
      <c r="BX186" s="5326"/>
      <c r="BY186" s="5326"/>
      <c r="BZ186" s="5326"/>
      <c r="CA186" s="5326"/>
      <c r="CB186" s="5326"/>
      <c r="CC186" s="5326"/>
      <c r="CD186" s="5326"/>
      <c r="CE186" s="5326"/>
      <c r="CF186" s="5326"/>
      <c r="CG186" s="5326"/>
      <c r="CH186" s="5326"/>
      <c r="CI186" s="5326"/>
      <c r="CJ186" s="5326"/>
      <c r="CK186" s="5326"/>
      <c r="CL186" s="5326"/>
      <c r="CM186" s="5326"/>
      <c r="CN186" s="5326"/>
      <c r="CO186" s="5326"/>
      <c r="CP186" s="5326"/>
      <c r="CQ186" s="5326"/>
      <c r="CR186" s="5326"/>
      <c r="CS186" s="5326"/>
      <c r="CT186" s="5326"/>
      <c r="CU186" s="5326"/>
      <c r="CV186" s="5326"/>
      <c r="CW186" s="5326"/>
      <c r="CX186" s="5326"/>
      <c r="CY186" s="5326"/>
      <c r="CZ186" s="5326"/>
      <c r="DA186" s="5326"/>
      <c r="DB186" s="5326"/>
      <c r="DC186" s="5326"/>
      <c r="DD186" s="5326"/>
      <c r="DE186" s="5326"/>
      <c r="DF186" s="5326"/>
      <c r="DG186" s="5455"/>
      <c r="DH186" s="5455"/>
      <c r="DI186" s="5455"/>
      <c r="DJ186" s="5455"/>
      <c r="DK186" s="5455"/>
      <c r="DL186" s="5455"/>
      <c r="DM186" s="5455"/>
      <c r="DN186" s="5455"/>
      <c r="DO186" s="5455"/>
      <c r="DP186" s="5455"/>
      <c r="DQ186" s="5455"/>
      <c r="DR186" s="5455"/>
      <c r="DS186" s="5455"/>
      <c r="DT186" s="5455"/>
      <c r="DU186" s="5455"/>
      <c r="DV186" s="5455"/>
      <c r="DW186" s="5455"/>
      <c r="DX186" s="5455"/>
      <c r="DY186" s="5455"/>
      <c r="DZ186" s="5455"/>
      <c r="EA186" s="5455"/>
      <c r="EB186" s="5455"/>
      <c r="EC186" s="5455"/>
      <c r="ED186" s="5455"/>
      <c r="EE186" s="5455"/>
      <c r="EF186" s="5455"/>
      <c r="EG186" s="5455"/>
      <c r="EH186" s="5455"/>
      <c r="EI186" s="5455"/>
      <c r="EJ186" s="5455"/>
      <c r="EK186" s="5455"/>
      <c r="EL186" s="5455"/>
      <c r="EM186" s="5455"/>
      <c r="EN186" s="5455"/>
      <c r="EO186" s="5455"/>
      <c r="EP186" s="5455"/>
      <c r="EQ186" s="5455"/>
      <c r="ER186" s="5455"/>
      <c r="ES186" s="5455"/>
      <c r="ET186" s="5455"/>
      <c r="EU186" s="5455"/>
      <c r="EV186" s="5455"/>
      <c r="EW186" s="5455"/>
      <c r="EX186" s="5455"/>
      <c r="EY186" s="5455"/>
      <c r="EZ186" s="5455"/>
      <c r="FA186" s="5466"/>
    </row>
    <row r="187" spans="1:157" s="2018" customFormat="1" ht="15" customHeight="1">
      <c r="A187" s="16133"/>
      <c r="B187" s="16030" t="s">
        <v>1277</v>
      </c>
      <c r="C187" s="5319" t="s">
        <v>8132</v>
      </c>
      <c r="D187" s="5400" t="s">
        <v>1276</v>
      </c>
      <c r="E187" s="5319"/>
      <c r="F187" s="5319"/>
      <c r="G187" s="5396"/>
      <c r="H187" s="2747"/>
      <c r="I187" s="2747"/>
      <c r="J187" s="2747"/>
      <c r="K187" s="2747"/>
      <c r="L187" s="2747"/>
      <c r="M187" s="2747"/>
      <c r="N187" s="2747"/>
      <c r="O187" s="2747"/>
      <c r="P187" s="2747"/>
      <c r="Q187" s="2747"/>
      <c r="R187" s="5429" t="s">
        <v>10072</v>
      </c>
      <c r="S187" s="5323" t="s">
        <v>1273</v>
      </c>
      <c r="T187" s="5316" t="s">
        <v>1251</v>
      </c>
      <c r="U187" s="5324"/>
      <c r="V187" s="16211"/>
      <c r="W187" s="5316"/>
      <c r="X187" s="2747"/>
      <c r="Y187" s="2747"/>
      <c r="Z187" s="5325"/>
      <c r="AA187" s="5325"/>
      <c r="AB187" s="5325"/>
      <c r="AC187" s="5317"/>
      <c r="AD187" s="2747"/>
      <c r="AE187" s="2747"/>
      <c r="AF187" s="2747"/>
      <c r="AG187" s="2747"/>
      <c r="AH187" s="2747"/>
      <c r="AI187" s="2747"/>
      <c r="AJ187" s="2747"/>
      <c r="AK187" s="2747"/>
      <c r="AL187" s="2747"/>
      <c r="AM187" s="2747"/>
      <c r="AN187" s="2747"/>
      <c r="AO187" s="2747"/>
      <c r="AP187" s="2747"/>
      <c r="AQ187" s="2747"/>
      <c r="AR187" s="2747"/>
      <c r="AS187" s="2747"/>
      <c r="AT187" s="2747"/>
      <c r="AU187" s="2747"/>
      <c r="AV187" s="2747"/>
      <c r="AW187" s="2747"/>
      <c r="AX187" s="2747"/>
      <c r="AY187" s="2747"/>
      <c r="AZ187" s="2747"/>
      <c r="BA187" s="2747"/>
      <c r="BB187" s="2747"/>
      <c r="BC187" s="2747"/>
      <c r="BD187" s="2747"/>
      <c r="BE187" s="2747"/>
      <c r="BF187" s="2747"/>
      <c r="BG187" s="2747"/>
      <c r="BH187" s="2747"/>
      <c r="BI187" s="2747"/>
      <c r="BJ187" s="2747"/>
      <c r="BK187" s="2747"/>
      <c r="BL187" s="2747"/>
      <c r="BM187" s="2747"/>
      <c r="BN187" s="5324">
        <v>1</v>
      </c>
      <c r="BO187" s="16146"/>
      <c r="BP187" s="5316" t="s">
        <v>9564</v>
      </c>
      <c r="BQ187" s="2747" t="s">
        <v>4102</v>
      </c>
      <c r="BR187" s="2747"/>
      <c r="BS187" s="5326">
        <v>0</v>
      </c>
      <c r="BT187" s="5326">
        <v>0</v>
      </c>
      <c r="BU187" s="5326">
        <v>0</v>
      </c>
      <c r="BV187" s="5318">
        <v>0</v>
      </c>
      <c r="BW187" s="5326"/>
      <c r="BX187" s="5326"/>
      <c r="BY187" s="5326"/>
      <c r="BZ187" s="5326"/>
      <c r="CA187" s="5326"/>
      <c r="CB187" s="5326"/>
      <c r="CC187" s="5326"/>
      <c r="CD187" s="5326"/>
      <c r="CE187" s="5326"/>
      <c r="CF187" s="5326"/>
      <c r="CG187" s="5326"/>
      <c r="CH187" s="5326"/>
      <c r="CI187" s="5326"/>
      <c r="CJ187" s="5326"/>
      <c r="CK187" s="5326"/>
      <c r="CL187" s="5326"/>
      <c r="CM187" s="5326"/>
      <c r="CN187" s="5326"/>
      <c r="CO187" s="5326"/>
      <c r="CP187" s="5326"/>
      <c r="CQ187" s="5326"/>
      <c r="CR187" s="5326"/>
      <c r="CS187" s="5326"/>
      <c r="CT187" s="5326"/>
      <c r="CU187" s="5326"/>
      <c r="CV187" s="5326"/>
      <c r="CW187" s="5326"/>
      <c r="CX187" s="5326"/>
      <c r="CY187" s="5326"/>
      <c r="CZ187" s="5326"/>
      <c r="DA187" s="5326"/>
      <c r="DB187" s="5326"/>
      <c r="DC187" s="5326"/>
      <c r="DD187" s="5326"/>
      <c r="DE187" s="5326"/>
      <c r="DF187" s="5326"/>
      <c r="DG187" s="5455"/>
      <c r="DH187" s="5455"/>
      <c r="DI187" s="5455"/>
      <c r="DJ187" s="5455"/>
      <c r="DK187" s="5455"/>
      <c r="DL187" s="5455"/>
      <c r="DM187" s="5455"/>
      <c r="DN187" s="5455"/>
      <c r="DO187" s="5455"/>
      <c r="DP187" s="5455"/>
      <c r="DQ187" s="5455"/>
      <c r="DR187" s="5455"/>
      <c r="DS187" s="5455"/>
      <c r="DT187" s="5455"/>
      <c r="DU187" s="5455"/>
      <c r="DV187" s="5455"/>
      <c r="DW187" s="5455"/>
      <c r="DX187" s="5455"/>
      <c r="DY187" s="5455"/>
      <c r="DZ187" s="5455"/>
      <c r="EA187" s="5455"/>
      <c r="EB187" s="5455"/>
      <c r="EC187" s="5455"/>
      <c r="ED187" s="5455"/>
      <c r="EE187" s="5455"/>
      <c r="EF187" s="5455"/>
      <c r="EG187" s="5455"/>
      <c r="EH187" s="5455"/>
      <c r="EI187" s="5455"/>
      <c r="EJ187" s="5455"/>
      <c r="EK187" s="5455"/>
      <c r="EL187" s="5455"/>
      <c r="EM187" s="5455"/>
      <c r="EN187" s="5455"/>
      <c r="EO187" s="5455"/>
      <c r="EP187" s="5455"/>
      <c r="EQ187" s="5455"/>
      <c r="ER187" s="5455"/>
      <c r="ES187" s="5455"/>
      <c r="ET187" s="5455"/>
      <c r="EU187" s="5455"/>
      <c r="EV187" s="5455"/>
      <c r="EW187" s="5455"/>
      <c r="EX187" s="5455"/>
      <c r="EY187" s="5455"/>
      <c r="EZ187" s="5455"/>
      <c r="FA187" s="5466"/>
    </row>
    <row r="188" spans="1:157" s="2018" customFormat="1" ht="15" customHeight="1">
      <c r="A188" s="16133"/>
      <c r="B188" s="16030"/>
      <c r="C188" s="16030" t="s">
        <v>8133</v>
      </c>
      <c r="D188" s="16030" t="s">
        <v>1278</v>
      </c>
      <c r="E188" s="16030" t="s">
        <v>1279</v>
      </c>
      <c r="F188" s="16030" t="s">
        <v>1073</v>
      </c>
      <c r="G188" s="16033">
        <v>0</v>
      </c>
      <c r="H188" s="16029">
        <v>1</v>
      </c>
      <c r="I188" s="16029">
        <v>1</v>
      </c>
      <c r="J188" s="16029">
        <v>1</v>
      </c>
      <c r="K188" s="16029">
        <v>1</v>
      </c>
      <c r="L188" s="16029">
        <v>1</v>
      </c>
      <c r="M188" s="16029">
        <v>1</v>
      </c>
      <c r="N188" s="16029">
        <v>1</v>
      </c>
      <c r="O188" s="16029">
        <v>1</v>
      </c>
      <c r="P188" s="16029">
        <v>1</v>
      </c>
      <c r="Q188" s="16029">
        <v>1</v>
      </c>
      <c r="R188" s="5310" t="s">
        <v>10072</v>
      </c>
      <c r="S188" s="5311" t="s">
        <v>1246</v>
      </c>
      <c r="T188" s="5316"/>
      <c r="U188" s="5324"/>
      <c r="V188" s="16211"/>
      <c r="W188" s="2747"/>
      <c r="X188" s="2747"/>
      <c r="Y188" s="2747"/>
      <c r="Z188" s="5325"/>
      <c r="AA188" s="5325"/>
      <c r="AB188" s="5325"/>
      <c r="AC188" s="5317"/>
      <c r="AD188" s="2747"/>
      <c r="AE188" s="2747"/>
      <c r="AF188" s="2747"/>
      <c r="AG188" s="2747"/>
      <c r="AH188" s="2747"/>
      <c r="AI188" s="2747"/>
      <c r="AJ188" s="2747"/>
      <c r="AK188" s="2747"/>
      <c r="AL188" s="2747"/>
      <c r="AM188" s="2747"/>
      <c r="AN188" s="2747"/>
      <c r="AO188" s="2747"/>
      <c r="AP188" s="2747"/>
      <c r="AQ188" s="2747"/>
      <c r="AR188" s="2747"/>
      <c r="AS188" s="2747"/>
      <c r="AT188" s="2747"/>
      <c r="AU188" s="2747"/>
      <c r="AV188" s="2747"/>
      <c r="AW188" s="2747"/>
      <c r="AX188" s="2747"/>
      <c r="AY188" s="2747"/>
      <c r="AZ188" s="2747"/>
      <c r="BA188" s="2747"/>
      <c r="BB188" s="2747"/>
      <c r="BC188" s="2747"/>
      <c r="BD188" s="2747"/>
      <c r="BE188" s="2747"/>
      <c r="BF188" s="2747"/>
      <c r="BG188" s="2747"/>
      <c r="BH188" s="2747"/>
      <c r="BI188" s="2747"/>
      <c r="BJ188" s="2747"/>
      <c r="BK188" s="2747"/>
      <c r="BL188" s="2747"/>
      <c r="BM188" s="2747"/>
      <c r="BN188" s="5324">
        <v>0</v>
      </c>
      <c r="BO188" s="16146"/>
      <c r="BP188" s="2747"/>
      <c r="BQ188" s="2747"/>
      <c r="BR188" s="2747"/>
      <c r="BS188" s="5326">
        <v>0</v>
      </c>
      <c r="BT188" s="5326">
        <v>0</v>
      </c>
      <c r="BU188" s="5326">
        <v>0</v>
      </c>
      <c r="BV188" s="5318">
        <v>0</v>
      </c>
      <c r="BW188" s="5326"/>
      <c r="BX188" s="5326"/>
      <c r="BY188" s="5326"/>
      <c r="BZ188" s="5326"/>
      <c r="CA188" s="5326"/>
      <c r="CB188" s="5326"/>
      <c r="CC188" s="5326"/>
      <c r="CD188" s="5326"/>
      <c r="CE188" s="5326"/>
      <c r="CF188" s="5326"/>
      <c r="CG188" s="5326"/>
      <c r="CH188" s="5326"/>
      <c r="CI188" s="5326"/>
      <c r="CJ188" s="5326"/>
      <c r="CK188" s="5326"/>
      <c r="CL188" s="5326"/>
      <c r="CM188" s="5326"/>
      <c r="CN188" s="5326"/>
      <c r="CO188" s="5326"/>
      <c r="CP188" s="5326"/>
      <c r="CQ188" s="5326"/>
      <c r="CR188" s="5326"/>
      <c r="CS188" s="5326"/>
      <c r="CT188" s="5326"/>
      <c r="CU188" s="5326"/>
      <c r="CV188" s="5326"/>
      <c r="CW188" s="5326"/>
      <c r="CX188" s="5326"/>
      <c r="CY188" s="5326"/>
      <c r="CZ188" s="5326"/>
      <c r="DA188" s="5326"/>
      <c r="DB188" s="5326"/>
      <c r="DC188" s="5326"/>
      <c r="DD188" s="5326"/>
      <c r="DE188" s="5326"/>
      <c r="DF188" s="5326"/>
      <c r="DG188" s="5455"/>
      <c r="DH188" s="5455"/>
      <c r="DI188" s="5455"/>
      <c r="DJ188" s="5455"/>
      <c r="DK188" s="5455"/>
      <c r="DL188" s="5455"/>
      <c r="DM188" s="5455"/>
      <c r="DN188" s="5455"/>
      <c r="DO188" s="5455"/>
      <c r="DP188" s="5455"/>
      <c r="DQ188" s="5455"/>
      <c r="DR188" s="5455"/>
      <c r="DS188" s="5455"/>
      <c r="DT188" s="5455"/>
      <c r="DU188" s="5455"/>
      <c r="DV188" s="5455"/>
      <c r="DW188" s="5455"/>
      <c r="DX188" s="5455"/>
      <c r="DY188" s="5455"/>
      <c r="DZ188" s="5455"/>
      <c r="EA188" s="5455"/>
      <c r="EB188" s="5455"/>
      <c r="EC188" s="5455"/>
      <c r="ED188" s="5455"/>
      <c r="EE188" s="5455"/>
      <c r="EF188" s="5455"/>
      <c r="EG188" s="5455"/>
      <c r="EH188" s="5455"/>
      <c r="EI188" s="5455"/>
      <c r="EJ188" s="5455"/>
      <c r="EK188" s="5455"/>
      <c r="EL188" s="5455"/>
      <c r="EM188" s="5455"/>
      <c r="EN188" s="5455"/>
      <c r="EO188" s="5455"/>
      <c r="EP188" s="5455"/>
      <c r="EQ188" s="5455"/>
      <c r="ER188" s="5455"/>
      <c r="ES188" s="5455"/>
      <c r="ET188" s="5455"/>
      <c r="EU188" s="5455"/>
      <c r="EV188" s="5455"/>
      <c r="EW188" s="5455"/>
      <c r="EX188" s="5455"/>
      <c r="EY188" s="5455"/>
      <c r="EZ188" s="5455"/>
      <c r="FA188" s="5466"/>
    </row>
    <row r="189" spans="1:157" s="2018" customFormat="1" ht="15" customHeight="1">
      <c r="A189" s="16133"/>
      <c r="B189" s="16030"/>
      <c r="C189" s="16030"/>
      <c r="D189" s="16030"/>
      <c r="E189" s="16030"/>
      <c r="F189" s="16030"/>
      <c r="G189" s="16033"/>
      <c r="H189" s="16029"/>
      <c r="I189" s="16029"/>
      <c r="J189" s="16029"/>
      <c r="K189" s="16029"/>
      <c r="L189" s="16029"/>
      <c r="M189" s="16029"/>
      <c r="N189" s="16029"/>
      <c r="O189" s="16029"/>
      <c r="P189" s="16029"/>
      <c r="Q189" s="16029"/>
      <c r="R189" s="5310" t="s">
        <v>86</v>
      </c>
      <c r="S189" s="5311"/>
      <c r="T189" s="5316" t="s">
        <v>1256</v>
      </c>
      <c r="U189" s="5324"/>
      <c r="V189" s="16211"/>
      <c r="W189" s="2747"/>
      <c r="X189" s="5395"/>
      <c r="Y189" s="2747"/>
      <c r="Z189" s="5325"/>
      <c r="AA189" s="5325"/>
      <c r="AB189" s="5325"/>
      <c r="AC189" s="5317"/>
      <c r="AD189" s="2747"/>
      <c r="AE189" s="2747"/>
      <c r="AF189" s="2747"/>
      <c r="AG189" s="2747"/>
      <c r="AH189" s="2747"/>
      <c r="AI189" s="2747"/>
      <c r="AJ189" s="2747"/>
      <c r="AK189" s="2747"/>
      <c r="AL189" s="2747"/>
      <c r="AM189" s="2747"/>
      <c r="AN189" s="2747"/>
      <c r="AO189" s="2747"/>
      <c r="AP189" s="2747"/>
      <c r="AQ189" s="2747"/>
      <c r="AR189" s="2747"/>
      <c r="AS189" s="2747"/>
      <c r="AT189" s="2747"/>
      <c r="AU189" s="2747"/>
      <c r="AV189" s="2747"/>
      <c r="AW189" s="2747"/>
      <c r="AX189" s="2747"/>
      <c r="AY189" s="2747"/>
      <c r="AZ189" s="2747"/>
      <c r="BA189" s="2747"/>
      <c r="BB189" s="2747"/>
      <c r="BC189" s="2747"/>
      <c r="BD189" s="2747"/>
      <c r="BE189" s="2747"/>
      <c r="BF189" s="2747"/>
      <c r="BG189" s="2747"/>
      <c r="BH189" s="2747"/>
      <c r="BI189" s="2747"/>
      <c r="BJ189" s="2747"/>
      <c r="BK189" s="2747"/>
      <c r="BL189" s="2747"/>
      <c r="BM189" s="2747"/>
      <c r="BN189" s="5324">
        <v>0</v>
      </c>
      <c r="BO189" s="16146"/>
      <c r="BP189" s="2747">
        <v>0</v>
      </c>
      <c r="BQ189" s="5395" t="s">
        <v>2951</v>
      </c>
      <c r="BR189" s="2747"/>
      <c r="BS189" s="5326">
        <v>0</v>
      </c>
      <c r="BT189" s="5326">
        <v>0</v>
      </c>
      <c r="BU189" s="5326">
        <v>0</v>
      </c>
      <c r="BV189" s="5318">
        <v>0</v>
      </c>
      <c r="BW189" s="5326"/>
      <c r="BX189" s="5326"/>
      <c r="BY189" s="5326"/>
      <c r="BZ189" s="5326"/>
      <c r="CA189" s="5326"/>
      <c r="CB189" s="5326"/>
      <c r="CC189" s="5326"/>
      <c r="CD189" s="5326"/>
      <c r="CE189" s="5326"/>
      <c r="CF189" s="5326"/>
      <c r="CG189" s="5326"/>
      <c r="CH189" s="5326"/>
      <c r="CI189" s="5326"/>
      <c r="CJ189" s="5326"/>
      <c r="CK189" s="5326"/>
      <c r="CL189" s="5326"/>
      <c r="CM189" s="5326"/>
      <c r="CN189" s="5326"/>
      <c r="CO189" s="5326"/>
      <c r="CP189" s="5326"/>
      <c r="CQ189" s="5326"/>
      <c r="CR189" s="5326"/>
      <c r="CS189" s="5326"/>
      <c r="CT189" s="5326"/>
      <c r="CU189" s="5326"/>
      <c r="CV189" s="5326"/>
      <c r="CW189" s="5326"/>
      <c r="CX189" s="5326"/>
      <c r="CY189" s="5326"/>
      <c r="CZ189" s="5326"/>
      <c r="DA189" s="5326"/>
      <c r="DB189" s="5326"/>
      <c r="DC189" s="5326"/>
      <c r="DD189" s="5326"/>
      <c r="DE189" s="5326"/>
      <c r="DF189" s="5326"/>
      <c r="DG189" s="5455"/>
      <c r="DH189" s="5455"/>
      <c r="DI189" s="5455"/>
      <c r="DJ189" s="5455"/>
      <c r="DK189" s="5455"/>
      <c r="DL189" s="5455"/>
      <c r="DM189" s="5455"/>
      <c r="DN189" s="5455"/>
      <c r="DO189" s="5455"/>
      <c r="DP189" s="5455"/>
      <c r="DQ189" s="5455"/>
      <c r="DR189" s="5455"/>
      <c r="DS189" s="5455"/>
      <c r="DT189" s="5455"/>
      <c r="DU189" s="5455"/>
      <c r="DV189" s="5455"/>
      <c r="DW189" s="5455"/>
      <c r="DX189" s="5455"/>
      <c r="DY189" s="5455"/>
      <c r="DZ189" s="5455"/>
      <c r="EA189" s="5455"/>
      <c r="EB189" s="5455"/>
      <c r="EC189" s="5455"/>
      <c r="ED189" s="5455"/>
      <c r="EE189" s="5455"/>
      <c r="EF189" s="5455"/>
      <c r="EG189" s="5455"/>
      <c r="EH189" s="5455"/>
      <c r="EI189" s="5455"/>
      <c r="EJ189" s="5455"/>
      <c r="EK189" s="5455"/>
      <c r="EL189" s="5455"/>
      <c r="EM189" s="5455"/>
      <c r="EN189" s="5455"/>
      <c r="EO189" s="5455"/>
      <c r="EP189" s="5455"/>
      <c r="EQ189" s="5455"/>
      <c r="ER189" s="5455"/>
      <c r="ES189" s="5455"/>
      <c r="ET189" s="5455"/>
      <c r="EU189" s="5455"/>
      <c r="EV189" s="5455"/>
      <c r="EW189" s="5455"/>
      <c r="EX189" s="5455"/>
      <c r="EY189" s="5455"/>
      <c r="EZ189" s="5455"/>
      <c r="FA189" s="5466"/>
    </row>
    <row r="190" spans="1:157" s="2018" customFormat="1" ht="15" customHeight="1">
      <c r="A190" s="16133"/>
      <c r="B190" s="16030"/>
      <c r="C190" s="5319" t="s">
        <v>8134</v>
      </c>
      <c r="D190" s="5400" t="s">
        <v>1280</v>
      </c>
      <c r="E190" s="5319"/>
      <c r="F190" s="5319"/>
      <c r="G190" s="5396"/>
      <c r="H190" s="2747"/>
      <c r="I190" s="2747"/>
      <c r="J190" s="2747"/>
      <c r="K190" s="2747"/>
      <c r="L190" s="2747"/>
      <c r="M190" s="2747"/>
      <c r="N190" s="2747"/>
      <c r="O190" s="2747"/>
      <c r="P190" s="2747"/>
      <c r="Q190" s="2747"/>
      <c r="R190" s="5429" t="s">
        <v>10072</v>
      </c>
      <c r="S190" s="5323" t="s">
        <v>1246</v>
      </c>
      <c r="T190" s="5316" t="s">
        <v>1251</v>
      </c>
      <c r="U190" s="5324"/>
      <c r="V190" s="16211"/>
      <c r="W190" s="2747"/>
      <c r="X190" s="5395"/>
      <c r="Y190" s="2747"/>
      <c r="Z190" s="5325"/>
      <c r="AA190" s="5325"/>
      <c r="AB190" s="5325"/>
      <c r="AC190" s="5317"/>
      <c r="AD190" s="2747"/>
      <c r="AE190" s="2747"/>
      <c r="AF190" s="2747"/>
      <c r="AG190" s="2747"/>
      <c r="AH190" s="2747"/>
      <c r="AI190" s="2747"/>
      <c r="AJ190" s="2747"/>
      <c r="AK190" s="2747"/>
      <c r="AL190" s="2747"/>
      <c r="AM190" s="2747"/>
      <c r="AN190" s="2747"/>
      <c r="AO190" s="2747"/>
      <c r="AP190" s="2747"/>
      <c r="AQ190" s="2747"/>
      <c r="AR190" s="2747"/>
      <c r="AS190" s="2747"/>
      <c r="AT190" s="2747"/>
      <c r="AU190" s="2747"/>
      <c r="AV190" s="2747"/>
      <c r="AW190" s="2747"/>
      <c r="AX190" s="2747"/>
      <c r="AY190" s="2747"/>
      <c r="AZ190" s="2747"/>
      <c r="BA190" s="2747"/>
      <c r="BB190" s="2747"/>
      <c r="BC190" s="2747"/>
      <c r="BD190" s="2747"/>
      <c r="BE190" s="2747"/>
      <c r="BF190" s="2747"/>
      <c r="BG190" s="2747"/>
      <c r="BH190" s="2747"/>
      <c r="BI190" s="2747"/>
      <c r="BJ190" s="2747"/>
      <c r="BK190" s="2747"/>
      <c r="BL190" s="2747"/>
      <c r="BM190" s="2747"/>
      <c r="BN190" s="5324">
        <v>0</v>
      </c>
      <c r="BO190" s="16146"/>
      <c r="BP190" s="2747"/>
      <c r="BQ190" s="5395"/>
      <c r="BR190" s="2747"/>
      <c r="BS190" s="5326"/>
      <c r="BT190" s="5326"/>
      <c r="BU190" s="5326"/>
      <c r="BV190" s="5318"/>
      <c r="BW190" s="5326"/>
      <c r="BX190" s="5326"/>
      <c r="BY190" s="5326"/>
      <c r="BZ190" s="5326"/>
      <c r="CA190" s="5326"/>
      <c r="CB190" s="5326"/>
      <c r="CC190" s="5326"/>
      <c r="CD190" s="5326"/>
      <c r="CE190" s="5326"/>
      <c r="CF190" s="5326"/>
      <c r="CG190" s="5326"/>
      <c r="CH190" s="5326"/>
      <c r="CI190" s="5326"/>
      <c r="CJ190" s="5326"/>
      <c r="CK190" s="5326"/>
      <c r="CL190" s="5326"/>
      <c r="CM190" s="5326"/>
      <c r="CN190" s="5326"/>
      <c r="CO190" s="5326"/>
      <c r="CP190" s="5326"/>
      <c r="CQ190" s="5326"/>
      <c r="CR190" s="5326"/>
      <c r="CS190" s="5326"/>
      <c r="CT190" s="5326"/>
      <c r="CU190" s="5326"/>
      <c r="CV190" s="5326"/>
      <c r="CW190" s="5326"/>
      <c r="CX190" s="5326"/>
      <c r="CY190" s="5326"/>
      <c r="CZ190" s="5326"/>
      <c r="DA190" s="5326"/>
      <c r="DB190" s="5326"/>
      <c r="DC190" s="5326"/>
      <c r="DD190" s="5326"/>
      <c r="DE190" s="5326"/>
      <c r="DF190" s="5326"/>
      <c r="DG190" s="5455"/>
      <c r="DH190" s="5455"/>
      <c r="DI190" s="5455"/>
      <c r="DJ190" s="5455"/>
      <c r="DK190" s="5455"/>
      <c r="DL190" s="5455"/>
      <c r="DM190" s="5455"/>
      <c r="DN190" s="5455"/>
      <c r="DO190" s="5455"/>
      <c r="DP190" s="5455"/>
      <c r="DQ190" s="5455"/>
      <c r="DR190" s="5455"/>
      <c r="DS190" s="5455"/>
      <c r="DT190" s="5455"/>
      <c r="DU190" s="5455"/>
      <c r="DV190" s="5455"/>
      <c r="DW190" s="5455"/>
      <c r="DX190" s="5455"/>
      <c r="DY190" s="5455"/>
      <c r="DZ190" s="5455"/>
      <c r="EA190" s="5455"/>
      <c r="EB190" s="5455"/>
      <c r="EC190" s="5455"/>
      <c r="ED190" s="5455"/>
      <c r="EE190" s="5455"/>
      <c r="EF190" s="5455"/>
      <c r="EG190" s="5455"/>
      <c r="EH190" s="5455"/>
      <c r="EI190" s="5455"/>
      <c r="EJ190" s="5455"/>
      <c r="EK190" s="5455"/>
      <c r="EL190" s="5455"/>
      <c r="EM190" s="5455"/>
      <c r="EN190" s="5455"/>
      <c r="EO190" s="5455"/>
      <c r="EP190" s="5455"/>
      <c r="EQ190" s="5455"/>
      <c r="ER190" s="5455"/>
      <c r="ES190" s="5455"/>
      <c r="ET190" s="5455"/>
      <c r="EU190" s="5455"/>
      <c r="EV190" s="5455"/>
      <c r="EW190" s="5455"/>
      <c r="EX190" s="5455"/>
      <c r="EY190" s="5455"/>
      <c r="EZ190" s="5455"/>
      <c r="FA190" s="5466"/>
    </row>
    <row r="191" spans="1:157" s="2018" customFormat="1" ht="15" customHeight="1" thickBot="1">
      <c r="A191" s="16134"/>
      <c r="B191" s="16031"/>
      <c r="C191" s="5407" t="s">
        <v>8135</v>
      </c>
      <c r="D191" s="2029" t="s">
        <v>1281</v>
      </c>
      <c r="E191" s="5407"/>
      <c r="F191" s="5407"/>
      <c r="G191" s="5408"/>
      <c r="H191" s="1340"/>
      <c r="I191" s="1340"/>
      <c r="J191" s="1340"/>
      <c r="K191" s="1340"/>
      <c r="L191" s="1340"/>
      <c r="M191" s="1340"/>
      <c r="N191" s="1340"/>
      <c r="O191" s="1340"/>
      <c r="P191" s="1340"/>
      <c r="Q191" s="1340"/>
      <c r="R191" s="1349" t="s">
        <v>10072</v>
      </c>
      <c r="S191" s="2030" t="s">
        <v>1231</v>
      </c>
      <c r="T191" s="2031" t="s">
        <v>1261</v>
      </c>
      <c r="U191" s="5409"/>
      <c r="V191" s="16215"/>
      <c r="W191" s="5410"/>
      <c r="X191" s="1340"/>
      <c r="Y191" s="1340"/>
      <c r="Z191" s="5411"/>
      <c r="AA191" s="5411"/>
      <c r="AB191" s="5411"/>
      <c r="AC191" s="5412"/>
      <c r="AD191" s="1340"/>
      <c r="AE191" s="1340"/>
      <c r="AF191" s="1340"/>
      <c r="AG191" s="1340"/>
      <c r="AH191" s="1340"/>
      <c r="AI191" s="1340"/>
      <c r="AJ191" s="1340"/>
      <c r="AK191" s="1340"/>
      <c r="AL191" s="1340"/>
      <c r="AM191" s="1340"/>
      <c r="AN191" s="1340"/>
      <c r="AO191" s="1340"/>
      <c r="AP191" s="1340"/>
      <c r="AQ191" s="1340"/>
      <c r="AR191" s="1340"/>
      <c r="AS191" s="1340"/>
      <c r="AT191" s="1340"/>
      <c r="AU191" s="1340"/>
      <c r="AV191" s="1340"/>
      <c r="AW191" s="1340"/>
      <c r="AX191" s="1340"/>
      <c r="AY191" s="1340"/>
      <c r="AZ191" s="1340"/>
      <c r="BA191" s="1340"/>
      <c r="BB191" s="1340"/>
      <c r="BC191" s="1340"/>
      <c r="BD191" s="1340"/>
      <c r="BE191" s="1340"/>
      <c r="BF191" s="1340"/>
      <c r="BG191" s="1340"/>
      <c r="BH191" s="1340"/>
      <c r="BI191" s="1340"/>
      <c r="BJ191" s="1340"/>
      <c r="BK191" s="1340"/>
      <c r="BL191" s="1340"/>
      <c r="BM191" s="1340"/>
      <c r="BN191" s="5409">
        <v>0</v>
      </c>
      <c r="BO191" s="16201"/>
      <c r="BP191" s="5410" t="s">
        <v>9565</v>
      </c>
      <c r="BQ191" s="1340"/>
      <c r="BR191" s="1340"/>
      <c r="BS191" s="5413">
        <v>0</v>
      </c>
      <c r="BT191" s="5413">
        <v>0</v>
      </c>
      <c r="BU191" s="5413">
        <v>0</v>
      </c>
      <c r="BV191" s="5414">
        <v>0</v>
      </c>
      <c r="BW191" s="5413"/>
      <c r="BX191" s="5413"/>
      <c r="BY191" s="5413"/>
      <c r="BZ191" s="5413"/>
      <c r="CA191" s="5413"/>
      <c r="CB191" s="5413"/>
      <c r="CC191" s="5413"/>
      <c r="CD191" s="5413"/>
      <c r="CE191" s="5413"/>
      <c r="CF191" s="5413"/>
      <c r="CG191" s="5413"/>
      <c r="CH191" s="5413"/>
      <c r="CI191" s="5413"/>
      <c r="CJ191" s="5413"/>
      <c r="CK191" s="5413"/>
      <c r="CL191" s="5413"/>
      <c r="CM191" s="5413"/>
      <c r="CN191" s="5413"/>
      <c r="CO191" s="5413"/>
      <c r="CP191" s="5413"/>
      <c r="CQ191" s="5413"/>
      <c r="CR191" s="5413"/>
      <c r="CS191" s="5413"/>
      <c r="CT191" s="5413"/>
      <c r="CU191" s="5413"/>
      <c r="CV191" s="5413"/>
      <c r="CW191" s="5413"/>
      <c r="CX191" s="5413"/>
      <c r="CY191" s="5413"/>
      <c r="CZ191" s="5413"/>
      <c r="DA191" s="5413"/>
      <c r="DB191" s="5413"/>
      <c r="DC191" s="5413"/>
      <c r="DD191" s="5413"/>
      <c r="DE191" s="5413"/>
      <c r="DF191" s="5413"/>
      <c r="DG191" s="5471"/>
      <c r="DH191" s="5471"/>
      <c r="DI191" s="5471"/>
      <c r="DJ191" s="5471"/>
      <c r="DK191" s="5471"/>
      <c r="DL191" s="5471"/>
      <c r="DM191" s="5471"/>
      <c r="DN191" s="5471"/>
      <c r="DO191" s="5471"/>
      <c r="DP191" s="5471"/>
      <c r="DQ191" s="5471"/>
      <c r="DR191" s="5471"/>
      <c r="DS191" s="5471"/>
      <c r="DT191" s="5471"/>
      <c r="DU191" s="5471"/>
      <c r="DV191" s="5471"/>
      <c r="DW191" s="5471"/>
      <c r="DX191" s="5471"/>
      <c r="DY191" s="5471"/>
      <c r="DZ191" s="5471"/>
      <c r="EA191" s="5471"/>
      <c r="EB191" s="5471"/>
      <c r="EC191" s="5471"/>
      <c r="ED191" s="5471"/>
      <c r="EE191" s="5471"/>
      <c r="EF191" s="5471"/>
      <c r="EG191" s="5471"/>
      <c r="EH191" s="5471"/>
      <c r="EI191" s="5471"/>
      <c r="EJ191" s="5471"/>
      <c r="EK191" s="5471"/>
      <c r="EL191" s="5471"/>
      <c r="EM191" s="5471"/>
      <c r="EN191" s="5471"/>
      <c r="EO191" s="5471"/>
      <c r="EP191" s="5471"/>
      <c r="EQ191" s="5471"/>
      <c r="ER191" s="5471"/>
      <c r="ES191" s="5471"/>
      <c r="ET191" s="5471"/>
      <c r="EU191" s="5471"/>
      <c r="EV191" s="5471"/>
      <c r="EW191" s="5471"/>
      <c r="EX191" s="5471"/>
      <c r="EY191" s="5471"/>
      <c r="EZ191" s="5471"/>
      <c r="FA191" s="5472"/>
    </row>
    <row r="192" spans="1:157" ht="15" customHeight="1">
      <c r="A192" s="815"/>
      <c r="B192" s="16203"/>
      <c r="C192" s="904"/>
      <c r="D192" s="905"/>
      <c r="E192" s="904"/>
      <c r="F192" s="815"/>
      <c r="G192" s="815"/>
      <c r="H192" s="815"/>
      <c r="I192" s="906"/>
      <c r="W192" s="909">
        <f>AVERAGE(BO5:BO191)</f>
        <v>0.44924161097187415</v>
      </c>
    </row>
    <row r="193" spans="1:75" ht="15" customHeight="1">
      <c r="A193" s="815"/>
      <c r="B193" s="16203"/>
      <c r="C193" s="904"/>
      <c r="D193" s="905"/>
      <c r="E193" s="904"/>
      <c r="F193" s="815"/>
      <c r="G193" s="815"/>
      <c r="H193" s="815"/>
      <c r="I193" s="906"/>
      <c r="BS193" s="2956">
        <f>SUM(BS5:BS191)</f>
        <v>7714274642.5568933</v>
      </c>
      <c r="BW193" s="2956">
        <f>SUM(BW5:BW191)</f>
        <v>13478</v>
      </c>
    </row>
    <row r="194" spans="1:75" ht="15" customHeight="1">
      <c r="A194" s="815"/>
      <c r="B194" s="16203"/>
      <c r="C194" s="904"/>
      <c r="D194" s="905"/>
      <c r="E194" s="904"/>
      <c r="F194" s="815"/>
      <c r="G194" s="815"/>
      <c r="H194" s="815"/>
      <c r="I194" s="906"/>
      <c r="T194" s="816" t="s">
        <v>10050</v>
      </c>
    </row>
    <row r="195" spans="1:75" ht="15" customHeight="1">
      <c r="A195" s="815"/>
      <c r="B195" s="16204"/>
      <c r="C195" s="751"/>
      <c r="D195" s="905"/>
      <c r="E195" s="904"/>
      <c r="F195" s="815"/>
      <c r="G195" s="815"/>
      <c r="H195" s="815"/>
      <c r="I195" s="906"/>
    </row>
    <row r="196" spans="1:75" ht="15" customHeight="1">
      <c r="A196" s="815"/>
      <c r="B196" s="16204"/>
      <c r="C196" s="751"/>
      <c r="D196" s="905"/>
      <c r="E196" s="904"/>
      <c r="F196" s="815"/>
      <c r="G196" s="815"/>
      <c r="H196" s="815"/>
      <c r="I196" s="906"/>
    </row>
    <row r="197" spans="1:75" ht="15" customHeight="1">
      <c r="A197" s="815"/>
      <c r="B197" s="16204"/>
      <c r="C197" s="751"/>
      <c r="D197" s="905"/>
      <c r="E197" s="904"/>
      <c r="F197" s="815"/>
      <c r="G197" s="815"/>
      <c r="H197" s="815"/>
      <c r="I197" s="906"/>
    </row>
  </sheetData>
  <mergeCells count="951">
    <mergeCell ref="Q24:Q26"/>
    <mergeCell ref="H18:H19"/>
    <mergeCell ref="I18:I19"/>
    <mergeCell ref="J18:J19"/>
    <mergeCell ref="K18:K19"/>
    <mergeCell ref="L18:L19"/>
    <mergeCell ref="M18:M19"/>
    <mergeCell ref="N18:N19"/>
    <mergeCell ref="O18:O19"/>
    <mergeCell ref="P18:P19"/>
    <mergeCell ref="H24:H26"/>
    <mergeCell ref="I24:I26"/>
    <mergeCell ref="J24:J26"/>
    <mergeCell ref="K24:K26"/>
    <mergeCell ref="L24:L26"/>
    <mergeCell ref="M24:M26"/>
    <mergeCell ref="N24:N26"/>
    <mergeCell ref="O24:O26"/>
    <mergeCell ref="P24:P26"/>
    <mergeCell ref="M5:M10"/>
    <mergeCell ref="N5:N10"/>
    <mergeCell ref="O5:O10"/>
    <mergeCell ref="P5:P10"/>
    <mergeCell ref="Q5:Q10"/>
    <mergeCell ref="H13:H15"/>
    <mergeCell ref="I13:I15"/>
    <mergeCell ref="J13:J15"/>
    <mergeCell ref="K13:K15"/>
    <mergeCell ref="L13:L15"/>
    <mergeCell ref="M13:M15"/>
    <mergeCell ref="N13:N15"/>
    <mergeCell ref="O13:O15"/>
    <mergeCell ref="P13:P15"/>
    <mergeCell ref="Q13:Q15"/>
    <mergeCell ref="V172:V191"/>
    <mergeCell ref="V120:V139"/>
    <mergeCell ref="U125:U126"/>
    <mergeCell ref="U130:U131"/>
    <mergeCell ref="U134:U135"/>
    <mergeCell ref="V140:V161"/>
    <mergeCell ref="U142:U145"/>
    <mergeCell ref="U161:U164"/>
    <mergeCell ref="V164:V171"/>
    <mergeCell ref="V93:V95"/>
    <mergeCell ref="V96:V105"/>
    <mergeCell ref="V106:V111"/>
    <mergeCell ref="V112:V119"/>
    <mergeCell ref="V33:V35"/>
    <mergeCell ref="V36:V40"/>
    <mergeCell ref="U38:U39"/>
    <mergeCell ref="V41:V45"/>
    <mergeCell ref="V46:V57"/>
    <mergeCell ref="V58:V62"/>
    <mergeCell ref="C178:C179"/>
    <mergeCell ref="D178:D179"/>
    <mergeCell ref="E178:E179"/>
    <mergeCell ref="F178:F179"/>
    <mergeCell ref="G178:G179"/>
    <mergeCell ref="U1:BM1"/>
    <mergeCell ref="U2:U4"/>
    <mergeCell ref="V2:V4"/>
    <mergeCell ref="W2:W4"/>
    <mergeCell ref="X2:X4"/>
    <mergeCell ref="Y2:Y4"/>
    <mergeCell ref="Z2:AC2"/>
    <mergeCell ref="AD2:BC2"/>
    <mergeCell ref="BD2:BH2"/>
    <mergeCell ref="BF3:BF4"/>
    <mergeCell ref="BI3:BI4"/>
    <mergeCell ref="BJ3:BL3"/>
    <mergeCell ref="BI2:BM2"/>
    <mergeCell ref="Z3:Z4"/>
    <mergeCell ref="AA3:AA4"/>
    <mergeCell ref="AB3:AB4"/>
    <mergeCell ref="AC3:AC4"/>
    <mergeCell ref="AD3:AD4"/>
    <mergeCell ref="AE3:AF3"/>
    <mergeCell ref="E188:E189"/>
    <mergeCell ref="F188:F189"/>
    <mergeCell ref="G188:G189"/>
    <mergeCell ref="K176:K177"/>
    <mergeCell ref="L176:L177"/>
    <mergeCell ref="B192:B197"/>
    <mergeCell ref="F3:F4"/>
    <mergeCell ref="G3:G4"/>
    <mergeCell ref="H3:H4"/>
    <mergeCell ref="I3:I4"/>
    <mergeCell ref="B156:B160"/>
    <mergeCell ref="G130:G131"/>
    <mergeCell ref="G97:G98"/>
    <mergeCell ref="G85:G86"/>
    <mergeCell ref="F38:F39"/>
    <mergeCell ref="G38:G39"/>
    <mergeCell ref="F24:F26"/>
    <mergeCell ref="G24:G26"/>
    <mergeCell ref="B183:B186"/>
    <mergeCell ref="C183:C184"/>
    <mergeCell ref="D183:D184"/>
    <mergeCell ref="E183:E184"/>
    <mergeCell ref="F183:F184"/>
    <mergeCell ref="G183:G184"/>
    <mergeCell ref="A165:A172"/>
    <mergeCell ref="B165:B172"/>
    <mergeCell ref="BO172:BO191"/>
    <mergeCell ref="A173:A191"/>
    <mergeCell ref="B173:B182"/>
    <mergeCell ref="C173:C174"/>
    <mergeCell ref="D173:D174"/>
    <mergeCell ref="E173:E174"/>
    <mergeCell ref="F173:F174"/>
    <mergeCell ref="F165:F166"/>
    <mergeCell ref="G165:G166"/>
    <mergeCell ref="C168:C169"/>
    <mergeCell ref="D168:D169"/>
    <mergeCell ref="E168:E169"/>
    <mergeCell ref="F168:F169"/>
    <mergeCell ref="G168:G169"/>
    <mergeCell ref="C176:C177"/>
    <mergeCell ref="D176:D177"/>
    <mergeCell ref="E176:E177"/>
    <mergeCell ref="F176:F177"/>
    <mergeCell ref="G176:G177"/>
    <mergeCell ref="G173:G174"/>
    <mergeCell ref="C188:C189"/>
    <mergeCell ref="D188:D189"/>
    <mergeCell ref="BO164:BO171"/>
    <mergeCell ref="C165:C166"/>
    <mergeCell ref="D165:D166"/>
    <mergeCell ref="E165:E166"/>
    <mergeCell ref="B161:B164"/>
    <mergeCell ref="C161:C164"/>
    <mergeCell ref="D161:D164"/>
    <mergeCell ref="E161:E164"/>
    <mergeCell ref="F161:F164"/>
    <mergeCell ref="G161:G164"/>
    <mergeCell ref="BO140:BO161"/>
    <mergeCell ref="C142:C145"/>
    <mergeCell ref="D142:D145"/>
    <mergeCell ref="E142:E145"/>
    <mergeCell ref="F142:F145"/>
    <mergeCell ref="G142:G145"/>
    <mergeCell ref="BN142:BN145"/>
    <mergeCell ref="I158:I159"/>
    <mergeCell ref="J158:J159"/>
    <mergeCell ref="K158:K159"/>
    <mergeCell ref="L158:L159"/>
    <mergeCell ref="M158:M159"/>
    <mergeCell ref="N158:N159"/>
    <mergeCell ref="O158:O159"/>
    <mergeCell ref="P158:P159"/>
    <mergeCell ref="BN161:BN164"/>
    <mergeCell ref="C158:C159"/>
    <mergeCell ref="D158:D159"/>
    <mergeCell ref="E158:E159"/>
    <mergeCell ref="F158:F159"/>
    <mergeCell ref="G158:G159"/>
    <mergeCell ref="C156:C157"/>
    <mergeCell ref="D156:D157"/>
    <mergeCell ref="E156:E157"/>
    <mergeCell ref="F156:F157"/>
    <mergeCell ref="G156:G157"/>
    <mergeCell ref="I156:I157"/>
    <mergeCell ref="J156:J157"/>
    <mergeCell ref="K156:K157"/>
    <mergeCell ref="L156:L157"/>
    <mergeCell ref="M156:M157"/>
    <mergeCell ref="N156:N157"/>
    <mergeCell ref="O156:O157"/>
    <mergeCell ref="P156:P157"/>
    <mergeCell ref="C125:C126"/>
    <mergeCell ref="D125:D126"/>
    <mergeCell ref="E125:E126"/>
    <mergeCell ref="F125:F126"/>
    <mergeCell ref="G125:G126"/>
    <mergeCell ref="G120:G121"/>
    <mergeCell ref="E154:E155"/>
    <mergeCell ref="F154:F155"/>
    <mergeCell ref="G154:G155"/>
    <mergeCell ref="C152:C153"/>
    <mergeCell ref="D152:D153"/>
    <mergeCell ref="E152:E153"/>
    <mergeCell ref="F152:F153"/>
    <mergeCell ref="G152:G153"/>
    <mergeCell ref="C154:C155"/>
    <mergeCell ref="D154:D155"/>
    <mergeCell ref="C149:C151"/>
    <mergeCell ref="D149:D151"/>
    <mergeCell ref="E149:E151"/>
    <mergeCell ref="F149:F151"/>
    <mergeCell ref="G149:G151"/>
    <mergeCell ref="C147:C148"/>
    <mergeCell ref="C134:C135"/>
    <mergeCell ref="C132:C133"/>
    <mergeCell ref="H132:H133"/>
    <mergeCell ref="H134:H135"/>
    <mergeCell ref="H136:H138"/>
    <mergeCell ref="I132:I133"/>
    <mergeCell ref="J132:J133"/>
    <mergeCell ref="D147:D148"/>
    <mergeCell ref="E147:E148"/>
    <mergeCell ref="F147:F148"/>
    <mergeCell ref="G147:G148"/>
    <mergeCell ref="E136:E138"/>
    <mergeCell ref="F136:F138"/>
    <mergeCell ref="G136:G138"/>
    <mergeCell ref="G132:G133"/>
    <mergeCell ref="D134:D135"/>
    <mergeCell ref="E134:E135"/>
    <mergeCell ref="F134:F135"/>
    <mergeCell ref="G134:G135"/>
    <mergeCell ref="D132:D133"/>
    <mergeCell ref="E132:E133"/>
    <mergeCell ref="F132:F133"/>
    <mergeCell ref="I134:I135"/>
    <mergeCell ref="J134:J135"/>
    <mergeCell ref="H142:H145"/>
    <mergeCell ref="H147:H148"/>
    <mergeCell ref="BO120:BO139"/>
    <mergeCell ref="C122:C124"/>
    <mergeCell ref="D122:D124"/>
    <mergeCell ref="E122:E124"/>
    <mergeCell ref="F122:F124"/>
    <mergeCell ref="G122:G124"/>
    <mergeCell ref="C120:C121"/>
    <mergeCell ref="D120:D121"/>
    <mergeCell ref="E120:E121"/>
    <mergeCell ref="F120:F121"/>
    <mergeCell ref="C130:C131"/>
    <mergeCell ref="D130:D131"/>
    <mergeCell ref="E130:E131"/>
    <mergeCell ref="F130:F131"/>
    <mergeCell ref="BN130:BN131"/>
    <mergeCell ref="BN125:BN126"/>
    <mergeCell ref="C127:C129"/>
    <mergeCell ref="D127:D129"/>
    <mergeCell ref="E127:E129"/>
    <mergeCell ref="F127:F129"/>
    <mergeCell ref="G127:G129"/>
    <mergeCell ref="BN134:BN135"/>
    <mergeCell ref="C136:C138"/>
    <mergeCell ref="D136:D138"/>
    <mergeCell ref="C107:C109"/>
    <mergeCell ref="D107:D109"/>
    <mergeCell ref="E107:E109"/>
    <mergeCell ref="F107:F109"/>
    <mergeCell ref="G107:G109"/>
    <mergeCell ref="K107:K109"/>
    <mergeCell ref="L107:L109"/>
    <mergeCell ref="M107:M109"/>
    <mergeCell ref="N107:N109"/>
    <mergeCell ref="Q103:Q104"/>
    <mergeCell ref="N105:N106"/>
    <mergeCell ref="O105:O106"/>
    <mergeCell ref="P105:P106"/>
    <mergeCell ref="Q105:Q106"/>
    <mergeCell ref="H107:H109"/>
    <mergeCell ref="I107:I109"/>
    <mergeCell ref="J107:J109"/>
    <mergeCell ref="BO112:BO119"/>
    <mergeCell ref="BO106:BO111"/>
    <mergeCell ref="O107:O109"/>
    <mergeCell ref="P107:P109"/>
    <mergeCell ref="Q107:Q109"/>
    <mergeCell ref="BO93:BO95"/>
    <mergeCell ref="C99:C100"/>
    <mergeCell ref="D99:D100"/>
    <mergeCell ref="E99:E100"/>
    <mergeCell ref="F99:F100"/>
    <mergeCell ref="G99:G100"/>
    <mergeCell ref="BO96:BO105"/>
    <mergeCell ref="C97:C98"/>
    <mergeCell ref="D97:D98"/>
    <mergeCell ref="E97:E98"/>
    <mergeCell ref="F97:F98"/>
    <mergeCell ref="C105:C106"/>
    <mergeCell ref="D105:D106"/>
    <mergeCell ref="E105:E106"/>
    <mergeCell ref="F105:F106"/>
    <mergeCell ref="G105:G106"/>
    <mergeCell ref="C103:C104"/>
    <mergeCell ref="D103:D104"/>
    <mergeCell ref="E103:E104"/>
    <mergeCell ref="F103:F104"/>
    <mergeCell ref="G103:G104"/>
    <mergeCell ref="N103:N104"/>
    <mergeCell ref="O103:O104"/>
    <mergeCell ref="P103:P104"/>
    <mergeCell ref="C87:C90"/>
    <mergeCell ref="D87:D90"/>
    <mergeCell ref="E87:E90"/>
    <mergeCell ref="F87:F90"/>
    <mergeCell ref="G87:G90"/>
    <mergeCell ref="BO84:BO92"/>
    <mergeCell ref="C85:C86"/>
    <mergeCell ref="D85:D86"/>
    <mergeCell ref="E85:E86"/>
    <mergeCell ref="F85:F86"/>
    <mergeCell ref="C81:C84"/>
    <mergeCell ref="D81:D84"/>
    <mergeCell ref="E81:E84"/>
    <mergeCell ref="F81:F84"/>
    <mergeCell ref="G81:G84"/>
    <mergeCell ref="H87:H90"/>
    <mergeCell ref="I87:I90"/>
    <mergeCell ref="J87:J90"/>
    <mergeCell ref="K87:K90"/>
    <mergeCell ref="L87:L90"/>
    <mergeCell ref="M87:M90"/>
    <mergeCell ref="V84:V92"/>
    <mergeCell ref="N87:N90"/>
    <mergeCell ref="O87:O90"/>
    <mergeCell ref="BO75:BO80"/>
    <mergeCell ref="V63:V74"/>
    <mergeCell ref="U65:U67"/>
    <mergeCell ref="U68:U70"/>
    <mergeCell ref="U73:U74"/>
    <mergeCell ref="B73:B74"/>
    <mergeCell ref="C73:C74"/>
    <mergeCell ref="D73:D74"/>
    <mergeCell ref="E73:E74"/>
    <mergeCell ref="F73:F74"/>
    <mergeCell ref="G73:G74"/>
    <mergeCell ref="BN68:BN70"/>
    <mergeCell ref="B71:B72"/>
    <mergeCell ref="C71:C72"/>
    <mergeCell ref="D71:D72"/>
    <mergeCell ref="E71:E72"/>
    <mergeCell ref="F71:F72"/>
    <mergeCell ref="G71:G72"/>
    <mergeCell ref="V75:V80"/>
    <mergeCell ref="C77:C80"/>
    <mergeCell ref="D77:D80"/>
    <mergeCell ref="E77:E80"/>
    <mergeCell ref="F77:F80"/>
    <mergeCell ref="G77:G80"/>
    <mergeCell ref="BO63:BO74"/>
    <mergeCell ref="B65:B67"/>
    <mergeCell ref="C65:C67"/>
    <mergeCell ref="D65:D67"/>
    <mergeCell ref="E65:E67"/>
    <mergeCell ref="F65:F67"/>
    <mergeCell ref="G65:G67"/>
    <mergeCell ref="BO58:BO62"/>
    <mergeCell ref="B59:B62"/>
    <mergeCell ref="C59:C60"/>
    <mergeCell ref="D59:D60"/>
    <mergeCell ref="E59:E60"/>
    <mergeCell ref="F59:F60"/>
    <mergeCell ref="G59:G60"/>
    <mergeCell ref="BN65:BN67"/>
    <mergeCell ref="B68:B70"/>
    <mergeCell ref="C68:C70"/>
    <mergeCell ref="D68:D70"/>
    <mergeCell ref="E68:E70"/>
    <mergeCell ref="F68:F70"/>
    <mergeCell ref="G68:G70"/>
    <mergeCell ref="BN73:BN74"/>
    <mergeCell ref="H65:H67"/>
    <mergeCell ref="P65:P67"/>
    <mergeCell ref="BN38:BN39"/>
    <mergeCell ref="H45:H46"/>
    <mergeCell ref="J45:J46"/>
    <mergeCell ref="K45:K46"/>
    <mergeCell ref="L45:L46"/>
    <mergeCell ref="M45:M46"/>
    <mergeCell ref="N45:N46"/>
    <mergeCell ref="O45:O46"/>
    <mergeCell ref="P45:P46"/>
    <mergeCell ref="Q45:Q46"/>
    <mergeCell ref="H42:H43"/>
    <mergeCell ref="I42:I43"/>
    <mergeCell ref="J42:J43"/>
    <mergeCell ref="K42:K43"/>
    <mergeCell ref="L42:L43"/>
    <mergeCell ref="M42:M43"/>
    <mergeCell ref="N42:N43"/>
    <mergeCell ref="O42:O43"/>
    <mergeCell ref="P42:P43"/>
    <mergeCell ref="H40:H41"/>
    <mergeCell ref="I40:I41"/>
    <mergeCell ref="J40:J41"/>
    <mergeCell ref="K40:K41"/>
    <mergeCell ref="L40:L41"/>
    <mergeCell ref="B42:B43"/>
    <mergeCell ref="J38:J39"/>
    <mergeCell ref="K38:K39"/>
    <mergeCell ref="L38:L39"/>
    <mergeCell ref="M38:M39"/>
    <mergeCell ref="N38:N39"/>
    <mergeCell ref="O38:O39"/>
    <mergeCell ref="P38:P39"/>
    <mergeCell ref="Q38:Q39"/>
    <mergeCell ref="Q40:Q41"/>
    <mergeCell ref="Q42:Q43"/>
    <mergeCell ref="M40:M41"/>
    <mergeCell ref="N40:N41"/>
    <mergeCell ref="O40:O41"/>
    <mergeCell ref="P40:P41"/>
    <mergeCell ref="K35:K36"/>
    <mergeCell ref="L35:L36"/>
    <mergeCell ref="H38:H39"/>
    <mergeCell ref="I38:I39"/>
    <mergeCell ref="A37:A41"/>
    <mergeCell ref="B37:B41"/>
    <mergeCell ref="C57:C58"/>
    <mergeCell ref="D57:D58"/>
    <mergeCell ref="E57:E58"/>
    <mergeCell ref="F57:F58"/>
    <mergeCell ref="G57:G58"/>
    <mergeCell ref="A42:A46"/>
    <mergeCell ref="B44:B46"/>
    <mergeCell ref="A47:A58"/>
    <mergeCell ref="B52:B58"/>
    <mergeCell ref="B47:B51"/>
    <mergeCell ref="C55:C56"/>
    <mergeCell ref="D55:D56"/>
    <mergeCell ref="E55:E56"/>
    <mergeCell ref="F55:F56"/>
    <mergeCell ref="G55:G56"/>
    <mergeCell ref="C45:C46"/>
    <mergeCell ref="D45:D46"/>
    <mergeCell ref="E45:E46"/>
    <mergeCell ref="BO41:BO45"/>
    <mergeCell ref="C42:C43"/>
    <mergeCell ref="D42:D43"/>
    <mergeCell ref="E42:E43"/>
    <mergeCell ref="F42:F43"/>
    <mergeCell ref="G42:G43"/>
    <mergeCell ref="C40:C41"/>
    <mergeCell ref="D40:D41"/>
    <mergeCell ref="E40:E41"/>
    <mergeCell ref="F40:F41"/>
    <mergeCell ref="G40:G41"/>
    <mergeCell ref="F45:F46"/>
    <mergeCell ref="G45:G46"/>
    <mergeCell ref="BO46:BO57"/>
    <mergeCell ref="H55:H56"/>
    <mergeCell ref="A31:A32"/>
    <mergeCell ref="B31:B32"/>
    <mergeCell ref="BO31:BO32"/>
    <mergeCell ref="BO33:BO35"/>
    <mergeCell ref="C35:C36"/>
    <mergeCell ref="D35:D36"/>
    <mergeCell ref="E35:E36"/>
    <mergeCell ref="F35:F36"/>
    <mergeCell ref="V31:V32"/>
    <mergeCell ref="A33:A36"/>
    <mergeCell ref="B34:B36"/>
    <mergeCell ref="M35:M36"/>
    <mergeCell ref="N35:N36"/>
    <mergeCell ref="O35:O36"/>
    <mergeCell ref="P35:P36"/>
    <mergeCell ref="Q35:Q36"/>
    <mergeCell ref="G35:G36"/>
    <mergeCell ref="BO36:BO40"/>
    <mergeCell ref="C38:C39"/>
    <mergeCell ref="D38:D39"/>
    <mergeCell ref="E38:E39"/>
    <mergeCell ref="H35:H36"/>
    <mergeCell ref="I35:I36"/>
    <mergeCell ref="J35:J36"/>
    <mergeCell ref="A20:A23"/>
    <mergeCell ref="B20:B21"/>
    <mergeCell ref="B22:B23"/>
    <mergeCell ref="A24:A30"/>
    <mergeCell ref="B24:B30"/>
    <mergeCell ref="C24:C26"/>
    <mergeCell ref="D24:D26"/>
    <mergeCell ref="E24:E26"/>
    <mergeCell ref="B12:B19"/>
    <mergeCell ref="A12:A19"/>
    <mergeCell ref="D20:D21"/>
    <mergeCell ref="C20:C21"/>
    <mergeCell ref="V19:V23"/>
    <mergeCell ref="V24:V30"/>
    <mergeCell ref="BO12:BO18"/>
    <mergeCell ref="C13:C15"/>
    <mergeCell ref="D13:D15"/>
    <mergeCell ref="E13:E15"/>
    <mergeCell ref="C18:C19"/>
    <mergeCell ref="D18:D19"/>
    <mergeCell ref="E18:E19"/>
    <mergeCell ref="F18:F19"/>
    <mergeCell ref="G18:G19"/>
    <mergeCell ref="F13:F15"/>
    <mergeCell ref="G13:G15"/>
    <mergeCell ref="C16:C17"/>
    <mergeCell ref="D16:D17"/>
    <mergeCell ref="E16:E17"/>
    <mergeCell ref="F16:F17"/>
    <mergeCell ref="G16:G17"/>
    <mergeCell ref="H16:H17"/>
    <mergeCell ref="I16:I17"/>
    <mergeCell ref="J16:J17"/>
    <mergeCell ref="BO24:BO30"/>
    <mergeCell ref="BO19:BO23"/>
    <mergeCell ref="Q18:Q19"/>
    <mergeCell ref="K16:K17"/>
    <mergeCell ref="L16:L17"/>
    <mergeCell ref="M16:M17"/>
    <mergeCell ref="N16:N17"/>
    <mergeCell ref="O16:O17"/>
    <mergeCell ref="P16:P17"/>
    <mergeCell ref="Q16:Q17"/>
    <mergeCell ref="DB3:DB4"/>
    <mergeCell ref="BU3:BU4"/>
    <mergeCell ref="BV3:BV4"/>
    <mergeCell ref="BW3:BW4"/>
    <mergeCell ref="BX3:BY3"/>
    <mergeCell ref="BZ3:CA3"/>
    <mergeCell ref="CB3:CH3"/>
    <mergeCell ref="BN5:BN10"/>
    <mergeCell ref="BO5:BO11"/>
    <mergeCell ref="U5:U10"/>
    <mergeCell ref="V5:V11"/>
    <mergeCell ref="BE3:BE4"/>
    <mergeCell ref="V12:V18"/>
    <mergeCell ref="AG3:AH3"/>
    <mergeCell ref="AI3:AO3"/>
    <mergeCell ref="AP3:AW3"/>
    <mergeCell ref="AX3:BC3"/>
    <mergeCell ref="A5:A11"/>
    <mergeCell ref="B5:B11"/>
    <mergeCell ref="C5:C10"/>
    <mergeCell ref="D5:D10"/>
    <mergeCell ref="E5:E10"/>
    <mergeCell ref="F5:F10"/>
    <mergeCell ref="G5:G10"/>
    <mergeCell ref="CI3:CP3"/>
    <mergeCell ref="CQ3:CV3"/>
    <mergeCell ref="P3:P4"/>
    <mergeCell ref="K3:K4"/>
    <mergeCell ref="L3:L4"/>
    <mergeCell ref="M3:M4"/>
    <mergeCell ref="N3:N4"/>
    <mergeCell ref="O3:O4"/>
    <mergeCell ref="J3:J4"/>
    <mergeCell ref="Q3:Q4"/>
    <mergeCell ref="R3:R4"/>
    <mergeCell ref="H5:H10"/>
    <mergeCell ref="I5:I10"/>
    <mergeCell ref="J5:J10"/>
    <mergeCell ref="K5:K10"/>
    <mergeCell ref="L5:L10"/>
    <mergeCell ref="BD3:BD4"/>
    <mergeCell ref="DB2:DF2"/>
    <mergeCell ref="A3:A4"/>
    <mergeCell ref="B3:B4"/>
    <mergeCell ref="C3:C4"/>
    <mergeCell ref="D3:D4"/>
    <mergeCell ref="E3:E4"/>
    <mergeCell ref="S3:S4"/>
    <mergeCell ref="T3:T4"/>
    <mergeCell ref="BS3:BS4"/>
    <mergeCell ref="BT3:BT4"/>
    <mergeCell ref="A1:T2"/>
    <mergeCell ref="BN1:DF1"/>
    <mergeCell ref="BN2:BN4"/>
    <mergeCell ref="BO2:BO4"/>
    <mergeCell ref="BP2:BP4"/>
    <mergeCell ref="BQ2:BQ4"/>
    <mergeCell ref="BR2:BR4"/>
    <mergeCell ref="BS2:BV2"/>
    <mergeCell ref="BW2:CV2"/>
    <mergeCell ref="CW2:DA2"/>
    <mergeCell ref="DC3:DE3"/>
    <mergeCell ref="CW3:CW4"/>
    <mergeCell ref="CX3:CX4"/>
    <mergeCell ref="CY3:CY4"/>
    <mergeCell ref="A81:A84"/>
    <mergeCell ref="B85:B95"/>
    <mergeCell ref="A96:A106"/>
    <mergeCell ref="A140:A164"/>
    <mergeCell ref="A63:A74"/>
    <mergeCell ref="A59:A62"/>
    <mergeCell ref="B81:B84"/>
    <mergeCell ref="B97:B100"/>
    <mergeCell ref="B105:B106"/>
    <mergeCell ref="A112:A119"/>
    <mergeCell ref="B112:B115"/>
    <mergeCell ref="B132:B139"/>
    <mergeCell ref="B120:B131"/>
    <mergeCell ref="B140:B155"/>
    <mergeCell ref="A120:A139"/>
    <mergeCell ref="B75:B80"/>
    <mergeCell ref="A85:A92"/>
    <mergeCell ref="A93:A95"/>
    <mergeCell ref="A75:A80"/>
    <mergeCell ref="B101:B102"/>
    <mergeCell ref="B103:B104"/>
    <mergeCell ref="B116:B119"/>
    <mergeCell ref="A107:A111"/>
    <mergeCell ref="B107:B111"/>
    <mergeCell ref="BN77:BN80"/>
    <mergeCell ref="H81:H84"/>
    <mergeCell ref="I81:I84"/>
    <mergeCell ref="J81:J84"/>
    <mergeCell ref="K81:K84"/>
    <mergeCell ref="L81:L84"/>
    <mergeCell ref="M81:M84"/>
    <mergeCell ref="N81:N84"/>
    <mergeCell ref="O81:O84"/>
    <mergeCell ref="P81:P84"/>
    <mergeCell ref="Q81:Q84"/>
    <mergeCell ref="P87:P90"/>
    <mergeCell ref="Q87:Q90"/>
    <mergeCell ref="H120:H121"/>
    <mergeCell ref="H122:H124"/>
    <mergeCell ref="H125:H126"/>
    <mergeCell ref="H127:H129"/>
    <mergeCell ref="H130:H131"/>
    <mergeCell ref="I120:I121"/>
    <mergeCell ref="J120:J121"/>
    <mergeCell ref="K120:K121"/>
    <mergeCell ref="L120:L121"/>
    <mergeCell ref="M120:M121"/>
    <mergeCell ref="N120:N121"/>
    <mergeCell ref="O120:O121"/>
    <mergeCell ref="P120:P121"/>
    <mergeCell ref="Q120:Q121"/>
    <mergeCell ref="I122:I124"/>
    <mergeCell ref="J122:J124"/>
    <mergeCell ref="K122:K124"/>
    <mergeCell ref="L122:L124"/>
    <mergeCell ref="M122:M124"/>
    <mergeCell ref="N122:N124"/>
    <mergeCell ref="O122:O124"/>
    <mergeCell ref="P122:P124"/>
    <mergeCell ref="Q122:Q124"/>
    <mergeCell ref="I125:I126"/>
    <mergeCell ref="J125:J126"/>
    <mergeCell ref="K125:K126"/>
    <mergeCell ref="L125:L126"/>
    <mergeCell ref="M125:M126"/>
    <mergeCell ref="N125:N126"/>
    <mergeCell ref="O125:O126"/>
    <mergeCell ref="P125:P126"/>
    <mergeCell ref="Q125:Q126"/>
    <mergeCell ref="I127:I129"/>
    <mergeCell ref="J127:J129"/>
    <mergeCell ref="K127:K129"/>
    <mergeCell ref="L127:L129"/>
    <mergeCell ref="M127:M129"/>
    <mergeCell ref="N127:N129"/>
    <mergeCell ref="O127:O129"/>
    <mergeCell ref="P127:P129"/>
    <mergeCell ref="Q127:Q129"/>
    <mergeCell ref="I130:I131"/>
    <mergeCell ref="J130:J131"/>
    <mergeCell ref="K130:K131"/>
    <mergeCell ref="L130:L131"/>
    <mergeCell ref="M130:M131"/>
    <mergeCell ref="N130:N131"/>
    <mergeCell ref="O130:O131"/>
    <mergeCell ref="P130:P131"/>
    <mergeCell ref="Q130:Q131"/>
    <mergeCell ref="K134:K135"/>
    <mergeCell ref="L134:L135"/>
    <mergeCell ref="M134:M135"/>
    <mergeCell ref="N134:N135"/>
    <mergeCell ref="O134:O135"/>
    <mergeCell ref="P134:P135"/>
    <mergeCell ref="Q134:Q135"/>
    <mergeCell ref="J136:J138"/>
    <mergeCell ref="K136:K138"/>
    <mergeCell ref="L136:L138"/>
    <mergeCell ref="M136:M138"/>
    <mergeCell ref="N136:N138"/>
    <mergeCell ref="O136:O138"/>
    <mergeCell ref="P136:P138"/>
    <mergeCell ref="Q136:Q138"/>
    <mergeCell ref="K132:K133"/>
    <mergeCell ref="L132:L133"/>
    <mergeCell ref="M132:M133"/>
    <mergeCell ref="N132:N133"/>
    <mergeCell ref="O132:O133"/>
    <mergeCell ref="P132:P133"/>
    <mergeCell ref="Q132:Q133"/>
    <mergeCell ref="I55:I56"/>
    <mergeCell ref="J55:J56"/>
    <mergeCell ref="K55:K56"/>
    <mergeCell ref="L55:L56"/>
    <mergeCell ref="M55:M56"/>
    <mergeCell ref="N55:N56"/>
    <mergeCell ref="O55:O56"/>
    <mergeCell ref="P55:P56"/>
    <mergeCell ref="Q55:Q56"/>
    <mergeCell ref="Q57:Q58"/>
    <mergeCell ref="I65:I67"/>
    <mergeCell ref="J65:J67"/>
    <mergeCell ref="K65:K67"/>
    <mergeCell ref="L65:L67"/>
    <mergeCell ref="M65:M67"/>
    <mergeCell ref="N65:N67"/>
    <mergeCell ref="O65:O67"/>
    <mergeCell ref="Q65:Q67"/>
    <mergeCell ref="H57:H58"/>
    <mergeCell ref="I57:I58"/>
    <mergeCell ref="J57:J58"/>
    <mergeCell ref="K57:K58"/>
    <mergeCell ref="L57:L58"/>
    <mergeCell ref="M57:M58"/>
    <mergeCell ref="N57:N58"/>
    <mergeCell ref="O57:O58"/>
    <mergeCell ref="P57:P58"/>
    <mergeCell ref="H68:H70"/>
    <mergeCell ref="H71:H72"/>
    <mergeCell ref="H73:H74"/>
    <mergeCell ref="I68:I70"/>
    <mergeCell ref="J68:J70"/>
    <mergeCell ref="K68:K70"/>
    <mergeCell ref="L68:L70"/>
    <mergeCell ref="M68:M70"/>
    <mergeCell ref="N68:N70"/>
    <mergeCell ref="I73:I74"/>
    <mergeCell ref="J73:J74"/>
    <mergeCell ref="K73:K74"/>
    <mergeCell ref="L73:L74"/>
    <mergeCell ref="M73:M74"/>
    <mergeCell ref="N73:N74"/>
    <mergeCell ref="O68:O70"/>
    <mergeCell ref="P68:P70"/>
    <mergeCell ref="Q68:Q70"/>
    <mergeCell ref="I71:I72"/>
    <mergeCell ref="J71:J72"/>
    <mergeCell ref="K71:K72"/>
    <mergeCell ref="L71:L72"/>
    <mergeCell ref="M71:M72"/>
    <mergeCell ref="N71:N72"/>
    <mergeCell ref="O71:O72"/>
    <mergeCell ref="P71:P72"/>
    <mergeCell ref="Q71:Q72"/>
    <mergeCell ref="O73:O74"/>
    <mergeCell ref="P73:P74"/>
    <mergeCell ref="Q73:Q74"/>
    <mergeCell ref="H85:H86"/>
    <mergeCell ref="I85:I86"/>
    <mergeCell ref="J85:J86"/>
    <mergeCell ref="K85:K86"/>
    <mergeCell ref="L85:L86"/>
    <mergeCell ref="M85:M86"/>
    <mergeCell ref="N85:N86"/>
    <mergeCell ref="O85:O86"/>
    <mergeCell ref="P85:P86"/>
    <mergeCell ref="Q85:Q86"/>
    <mergeCell ref="L77:L80"/>
    <mergeCell ref="M77:M80"/>
    <mergeCell ref="N77:N80"/>
    <mergeCell ref="O77:O80"/>
    <mergeCell ref="P77:P80"/>
    <mergeCell ref="Q77:Q80"/>
    <mergeCell ref="H77:H80"/>
    <mergeCell ref="I77:I80"/>
    <mergeCell ref="J77:J80"/>
    <mergeCell ref="K77:K80"/>
    <mergeCell ref="O97:O98"/>
    <mergeCell ref="P97:P98"/>
    <mergeCell ref="Q97:Q98"/>
    <mergeCell ref="I99:I100"/>
    <mergeCell ref="J99:J100"/>
    <mergeCell ref="K99:K100"/>
    <mergeCell ref="L99:L100"/>
    <mergeCell ref="M99:M100"/>
    <mergeCell ref="N99:N100"/>
    <mergeCell ref="O99:O100"/>
    <mergeCell ref="P99:P100"/>
    <mergeCell ref="Q99:Q100"/>
    <mergeCell ref="I97:I98"/>
    <mergeCell ref="J97:J98"/>
    <mergeCell ref="K97:K98"/>
    <mergeCell ref="L97:L98"/>
    <mergeCell ref="M97:M98"/>
    <mergeCell ref="H149:H151"/>
    <mergeCell ref="H152:H153"/>
    <mergeCell ref="H154:H155"/>
    <mergeCell ref="H156:H157"/>
    <mergeCell ref="H158:H159"/>
    <mergeCell ref="H161:H164"/>
    <mergeCell ref="N97:N98"/>
    <mergeCell ref="H97:H98"/>
    <mergeCell ref="H99:H100"/>
    <mergeCell ref="H103:H104"/>
    <mergeCell ref="H105:H106"/>
    <mergeCell ref="I103:I104"/>
    <mergeCell ref="J103:J104"/>
    <mergeCell ref="K103:K104"/>
    <mergeCell ref="L103:L104"/>
    <mergeCell ref="M103:M104"/>
    <mergeCell ref="I105:I106"/>
    <mergeCell ref="J105:J106"/>
    <mergeCell ref="K105:K106"/>
    <mergeCell ref="L105:L106"/>
    <mergeCell ref="M105:M106"/>
    <mergeCell ref="I136:I138"/>
    <mergeCell ref="I142:I145"/>
    <mergeCell ref="J142:J145"/>
    <mergeCell ref="K142:K145"/>
    <mergeCell ref="L142:L145"/>
    <mergeCell ref="M142:M145"/>
    <mergeCell ref="N142:N145"/>
    <mergeCell ref="O142:O145"/>
    <mergeCell ref="P142:P145"/>
    <mergeCell ref="I147:I148"/>
    <mergeCell ref="J147:J148"/>
    <mergeCell ref="K147:K148"/>
    <mergeCell ref="L147:L148"/>
    <mergeCell ref="M147:M148"/>
    <mergeCell ref="N147:N148"/>
    <mergeCell ref="O147:O148"/>
    <mergeCell ref="P147:P148"/>
    <mergeCell ref="I149:I151"/>
    <mergeCell ref="J149:J151"/>
    <mergeCell ref="K149:K151"/>
    <mergeCell ref="L149:L151"/>
    <mergeCell ref="M149:M151"/>
    <mergeCell ref="N149:N151"/>
    <mergeCell ref="O149:O151"/>
    <mergeCell ref="P149:P151"/>
    <mergeCell ref="I152:I153"/>
    <mergeCell ref="J152:J153"/>
    <mergeCell ref="K152:K153"/>
    <mergeCell ref="L152:L153"/>
    <mergeCell ref="M152:M153"/>
    <mergeCell ref="N152:N153"/>
    <mergeCell ref="O152:O153"/>
    <mergeCell ref="P152:P153"/>
    <mergeCell ref="Q142:Q145"/>
    <mergeCell ref="Q147:Q148"/>
    <mergeCell ref="Q149:Q151"/>
    <mergeCell ref="Q152:Q153"/>
    <mergeCell ref="Q154:Q155"/>
    <mergeCell ref="Q156:Q157"/>
    <mergeCell ref="Q158:Q159"/>
    <mergeCell ref="Q161:Q164"/>
    <mergeCell ref="I161:I164"/>
    <mergeCell ref="J161:J164"/>
    <mergeCell ref="K161:K164"/>
    <mergeCell ref="L161:L164"/>
    <mergeCell ref="M161:M164"/>
    <mergeCell ref="N161:N164"/>
    <mergeCell ref="O161:O164"/>
    <mergeCell ref="P161:P164"/>
    <mergeCell ref="I154:I155"/>
    <mergeCell ref="J154:J155"/>
    <mergeCell ref="K154:K155"/>
    <mergeCell ref="L154:L155"/>
    <mergeCell ref="M154:M155"/>
    <mergeCell ref="N154:N155"/>
    <mergeCell ref="O154:O155"/>
    <mergeCell ref="P154:P155"/>
    <mergeCell ref="H165:H166"/>
    <mergeCell ref="H168:H169"/>
    <mergeCell ref="H173:H174"/>
    <mergeCell ref="H176:H177"/>
    <mergeCell ref="H178:H179"/>
    <mergeCell ref="H183:H184"/>
    <mergeCell ref="H188:H189"/>
    <mergeCell ref="J168:J169"/>
    <mergeCell ref="J176:J177"/>
    <mergeCell ref="J183:J184"/>
    <mergeCell ref="I168:I169"/>
    <mergeCell ref="I173:I174"/>
    <mergeCell ref="I176:I177"/>
    <mergeCell ref="I178:I179"/>
    <mergeCell ref="I183:I184"/>
    <mergeCell ref="I188:I189"/>
    <mergeCell ref="K168:K169"/>
    <mergeCell ref="L168:L169"/>
    <mergeCell ref="M168:M169"/>
    <mergeCell ref="N168:N169"/>
    <mergeCell ref="O168:O169"/>
    <mergeCell ref="P168:P169"/>
    <mergeCell ref="Q168:Q169"/>
    <mergeCell ref="J173:J174"/>
    <mergeCell ref="K173:K174"/>
    <mergeCell ref="L173:L174"/>
    <mergeCell ref="M173:M174"/>
    <mergeCell ref="N173:N174"/>
    <mergeCell ref="O173:O174"/>
    <mergeCell ref="P173:P174"/>
    <mergeCell ref="Q173:Q174"/>
    <mergeCell ref="M176:M177"/>
    <mergeCell ref="N176:N177"/>
    <mergeCell ref="O176:O177"/>
    <mergeCell ref="P176:P177"/>
    <mergeCell ref="Q176:Q177"/>
    <mergeCell ref="J178:J179"/>
    <mergeCell ref="K178:K179"/>
    <mergeCell ref="L178:L179"/>
    <mergeCell ref="M178:M179"/>
    <mergeCell ref="N178:N179"/>
    <mergeCell ref="O178:O179"/>
    <mergeCell ref="P178:P179"/>
    <mergeCell ref="Q178:Q179"/>
    <mergeCell ref="K183:K184"/>
    <mergeCell ref="L183:L184"/>
    <mergeCell ref="M183:M184"/>
    <mergeCell ref="N183:N184"/>
    <mergeCell ref="O183:O184"/>
    <mergeCell ref="P183:P184"/>
    <mergeCell ref="Q183:Q184"/>
    <mergeCell ref="J188:J189"/>
    <mergeCell ref="K188:K189"/>
    <mergeCell ref="L188:L189"/>
    <mergeCell ref="M188:M189"/>
    <mergeCell ref="N188:N189"/>
    <mergeCell ref="O188:O189"/>
    <mergeCell ref="P188:P189"/>
    <mergeCell ref="Q188:Q189"/>
    <mergeCell ref="C180:C181"/>
    <mergeCell ref="D180:D181"/>
    <mergeCell ref="E180:E181"/>
    <mergeCell ref="F180:F181"/>
    <mergeCell ref="G180:G181"/>
    <mergeCell ref="H180:H181"/>
    <mergeCell ref="I180:I181"/>
    <mergeCell ref="J180:J181"/>
    <mergeCell ref="K180:K181"/>
    <mergeCell ref="L180:L181"/>
    <mergeCell ref="M180:M181"/>
    <mergeCell ref="N180:N181"/>
    <mergeCell ref="O180:O181"/>
    <mergeCell ref="P180:P181"/>
    <mergeCell ref="Q180:Q181"/>
    <mergeCell ref="B187:B191"/>
    <mergeCell ref="DH1:FA1"/>
    <mergeCell ref="DH2:DH4"/>
    <mergeCell ref="DI2:DI4"/>
    <mergeCell ref="DJ2:DJ4"/>
    <mergeCell ref="DK2:DK4"/>
    <mergeCell ref="DL2:DL4"/>
    <mergeCell ref="DM2:DM4"/>
    <mergeCell ref="DN2:DQ2"/>
    <mergeCell ref="DR2:EQ2"/>
    <mergeCell ref="ER2:EV2"/>
    <mergeCell ref="EW2:FA2"/>
    <mergeCell ref="DN3:DN4"/>
    <mergeCell ref="DO3:DO4"/>
    <mergeCell ref="DP3:DP4"/>
    <mergeCell ref="DQ3:DQ4"/>
    <mergeCell ref="DR3:DR4"/>
    <mergeCell ref="DS3:DT3"/>
    <mergeCell ref="DU3:DV3"/>
    <mergeCell ref="DW3:EC3"/>
    <mergeCell ref="ED3:EK3"/>
    <mergeCell ref="EL3:EQ3"/>
    <mergeCell ref="ER3:ER4"/>
    <mergeCell ref="ES3:ES4"/>
    <mergeCell ref="ET3:ET4"/>
    <mergeCell ref="EW3:EW4"/>
    <mergeCell ref="EX3:EZ3"/>
  </mergeCells>
  <conditionalFormatting sqref="BO131 BN127:BO130 BO126 BN5:BO77 BO78:BO80 U5:V125 BN81:BO125 BN132:BO191 U132:V191">
    <cfRule type="cellIs" dxfId="91" priority="11" operator="between">
      <formula>0.805</formula>
      <formula>1</formula>
    </cfRule>
    <cfRule type="cellIs" dxfId="90" priority="12" operator="between">
      <formula>0.605</formula>
      <formula>0.8049</formula>
    </cfRule>
    <cfRule type="cellIs" dxfId="89" priority="13" operator="between">
      <formula>0.305</formula>
      <formula>0.6049</formula>
    </cfRule>
    <cfRule type="cellIs" dxfId="88" priority="14" operator="between">
      <formula>0</formula>
      <formula>0.3049</formula>
    </cfRule>
  </conditionalFormatting>
  <conditionalFormatting sqref="BP36">
    <cfRule type="cellIs" dxfId="87" priority="15" operator="between">
      <formula>-9999.999</formula>
      <formula>0.25049</formula>
    </cfRule>
  </conditionalFormatting>
  <conditionalFormatting sqref="BP36">
    <cfRule type="cellIs" dxfId="86" priority="16" operator="between">
      <formula>0.2505</formula>
      <formula>0.50049</formula>
    </cfRule>
  </conditionalFormatting>
  <conditionalFormatting sqref="BP36">
    <cfRule type="cellIs" dxfId="85" priority="17" operator="between">
      <formula>0.5005</formula>
      <formula>0.70049</formula>
    </cfRule>
  </conditionalFormatting>
  <conditionalFormatting sqref="BP36">
    <cfRule type="cellIs" dxfId="84" priority="18" operator="between">
      <formula>0.7005</formula>
      <formula>0.80049</formula>
    </cfRule>
  </conditionalFormatting>
  <conditionalFormatting sqref="BP36">
    <cfRule type="cellIs" dxfId="83" priority="19" operator="between">
      <formula>0.8005</formula>
      <formula>0.95049</formula>
    </cfRule>
  </conditionalFormatting>
  <conditionalFormatting sqref="BP36">
    <cfRule type="cellIs" dxfId="82" priority="20" operator="between">
      <formula>0.9505</formula>
      <formula>99999.999</formula>
    </cfRule>
  </conditionalFormatting>
  <conditionalFormatting sqref="V131 U127:V130 V126">
    <cfRule type="cellIs" dxfId="81" priority="1" operator="between">
      <formula>0.805</formula>
      <formula>1</formula>
    </cfRule>
    <cfRule type="cellIs" dxfId="80" priority="2" operator="between">
      <formula>0.605</formula>
      <formula>0.8049</formula>
    </cfRule>
    <cfRule type="cellIs" dxfId="79" priority="3" operator="between">
      <formula>0.305</formula>
      <formula>0.6049</formula>
    </cfRule>
    <cfRule type="cellIs" dxfId="78" priority="4" operator="between">
      <formula>0</formula>
      <formula>0.3049</formula>
    </cfRule>
  </conditionalFormatting>
  <conditionalFormatting sqref="W36">
    <cfRule type="cellIs" dxfId="77" priority="5" operator="between">
      <formula>-9999.999</formula>
      <formula>0.25049</formula>
    </cfRule>
  </conditionalFormatting>
  <conditionalFormatting sqref="W36">
    <cfRule type="cellIs" dxfId="76" priority="6" operator="between">
      <formula>0.2505</formula>
      <formula>0.50049</formula>
    </cfRule>
  </conditionalFormatting>
  <conditionalFormatting sqref="W36">
    <cfRule type="cellIs" dxfId="75" priority="7" operator="between">
      <formula>0.5005</formula>
      <formula>0.70049</formula>
    </cfRule>
  </conditionalFormatting>
  <conditionalFormatting sqref="W36">
    <cfRule type="cellIs" dxfId="74" priority="8" operator="between">
      <formula>0.7005</formula>
      <formula>0.80049</formula>
    </cfRule>
  </conditionalFormatting>
  <conditionalFormatting sqref="W36">
    <cfRule type="cellIs" dxfId="73" priority="9" operator="between">
      <formula>0.8005</formula>
      <formula>0.95049</formula>
    </cfRule>
  </conditionalFormatting>
  <conditionalFormatting sqref="W36">
    <cfRule type="cellIs" dxfId="72" priority="10" operator="between">
      <formula>0.9505</formula>
      <formula>99999.999</formula>
    </cfRule>
  </conditionalFormatting>
  <pageMargins left="0.7" right="0.7" top="0.75" bottom="0.75" header="0.3" footer="0.3"/>
  <pageSetup paperSize="9" orientation="portrait" horizontalDpi="300" verticalDpi="300"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tabColor theme="2" tint="-0.89999084444715716"/>
  </sheetPr>
  <dimension ref="A1:AAW272"/>
  <sheetViews>
    <sheetView topLeftCell="C1" zoomScale="80" zoomScaleNormal="80" workbookViewId="0">
      <selection activeCell="D24" sqref="D24"/>
    </sheetView>
  </sheetViews>
  <sheetFormatPr baseColWidth="10" defaultColWidth="11.42578125" defaultRowHeight="15" customHeight="1"/>
  <cols>
    <col min="1" max="1" width="8.5703125" style="786" customWidth="1"/>
    <col min="2" max="2" width="7.140625" style="786" customWidth="1"/>
    <col min="3" max="3" width="6.42578125" style="786" customWidth="1"/>
    <col min="4" max="4" width="34.140625" style="786" customWidth="1"/>
    <col min="5" max="5" width="6.28515625" style="786" customWidth="1"/>
    <col min="6" max="6" width="27.7109375" style="786" customWidth="1"/>
    <col min="7" max="7" width="18" style="786" customWidth="1"/>
    <col min="8" max="8" width="22.42578125" style="592" customWidth="1"/>
    <col min="9" max="9" width="52.7109375" style="786" customWidth="1"/>
    <col min="10" max="10" width="40.7109375" style="786" customWidth="1"/>
    <col min="11" max="11" width="18.85546875" style="786" customWidth="1"/>
    <col min="12" max="12" width="20.7109375" style="914" customWidth="1"/>
    <col min="13" max="13" width="22.28515625" style="914" customWidth="1"/>
    <col min="14" max="14" width="25" style="786" customWidth="1"/>
    <col min="15" max="15" width="51" style="786" customWidth="1"/>
    <col min="16" max="16" width="23.28515625" style="786" customWidth="1"/>
    <col min="17" max="17" width="41.7109375" style="786" customWidth="1"/>
    <col min="18" max="18" width="19.28515625" style="592" customWidth="1"/>
    <col min="19" max="19" width="16.42578125" style="592" customWidth="1"/>
    <col min="20" max="20" width="23.42578125" style="592" customWidth="1"/>
    <col min="21" max="22" width="23.7109375" style="786" customWidth="1"/>
    <col min="23" max="23" width="37" style="592" customWidth="1"/>
    <col min="24" max="24" width="7.140625" style="914" customWidth="1"/>
    <col min="25" max="27" width="7.140625" style="592" customWidth="1"/>
    <col min="28" max="28" width="9.7109375" style="592" customWidth="1"/>
    <col min="29" max="30" width="7.140625" style="786" customWidth="1"/>
    <col min="31" max="32" width="7.140625" style="592" customWidth="1"/>
    <col min="33" max="34" width="7.140625" style="786" customWidth="1"/>
    <col min="35" max="35" width="7.140625" style="592" customWidth="1"/>
    <col min="36" max="42" width="7.140625" style="786" customWidth="1"/>
    <col min="43" max="43" width="7.140625" style="592" customWidth="1"/>
    <col min="44" max="48" width="7.140625" style="786" customWidth="1"/>
    <col min="49" max="49" width="24.85546875" style="786" customWidth="1"/>
    <col min="50" max="50" width="23.28515625" style="786" customWidth="1"/>
    <col min="51" max="51" width="22.42578125" style="786" customWidth="1"/>
    <col min="52" max="52" width="27.42578125" style="786" customWidth="1"/>
    <col min="53" max="53" width="21.7109375" style="786" customWidth="1"/>
    <col min="54" max="54" width="26.28515625" style="786" customWidth="1"/>
    <col min="55" max="55" width="15.140625" style="786" customWidth="1"/>
    <col min="56" max="56" width="14.42578125" style="786" customWidth="1"/>
    <col min="57" max="57" width="13" style="786" customWidth="1"/>
    <col min="58" max="58" width="22.42578125" style="786" customWidth="1"/>
    <col min="59" max="60" width="25" style="786" customWidth="1"/>
    <col min="61" max="61" width="93.42578125" style="786" customWidth="1"/>
    <col min="62" max="62" width="23.28515625" style="786" customWidth="1"/>
    <col min="63" max="63" width="41.7109375" style="786" customWidth="1"/>
    <col min="64" max="64" width="19.28515625" style="592" customWidth="1"/>
    <col min="65" max="65" width="16.42578125" style="592" customWidth="1"/>
    <col min="66" max="66" width="23.42578125" style="592" customWidth="1"/>
    <col min="67" max="68" width="23.7109375" style="786" customWidth="1"/>
    <col min="69" max="69" width="37" style="592" customWidth="1"/>
    <col min="70" max="70" width="7.140625" style="914" customWidth="1"/>
    <col min="71" max="73" width="7.140625" style="592" customWidth="1"/>
    <col min="74" max="74" width="9.7109375" style="592" customWidth="1"/>
    <col min="75" max="76" width="7.140625" style="786" customWidth="1"/>
    <col min="77" max="78" width="7.140625" style="592" customWidth="1"/>
    <col min="79" max="80" width="7.140625" style="786" customWidth="1"/>
    <col min="81" max="81" width="7.140625" style="592" customWidth="1"/>
    <col min="82" max="88" width="7.140625" style="786" customWidth="1"/>
    <col min="89" max="89" width="7.140625" style="592" customWidth="1"/>
    <col min="90" max="94" width="7.140625" style="786" customWidth="1"/>
    <col min="95" max="95" width="24.85546875" style="786" customWidth="1"/>
    <col min="96" max="96" width="23.28515625" style="786" customWidth="1"/>
    <col min="97" max="97" width="22.42578125" style="786" customWidth="1"/>
    <col min="98" max="98" width="27.42578125" style="786" customWidth="1"/>
    <col min="99" max="99" width="21.7109375" style="786" customWidth="1"/>
    <col min="100" max="100" width="26.28515625" style="786" customWidth="1"/>
    <col min="101" max="101" width="15.140625" style="786" customWidth="1"/>
    <col min="102" max="102" width="14.42578125" style="786" customWidth="1"/>
    <col min="103" max="103" width="13" style="786" customWidth="1"/>
    <col min="104" max="104" width="22.42578125" style="786" customWidth="1"/>
    <col min="105" max="105" width="1.42578125" style="786" customWidth="1"/>
    <col min="106" max="16384" width="11.42578125" style="786"/>
  </cols>
  <sheetData>
    <row r="1" spans="1:725" s="916" customFormat="1" ht="15" customHeight="1" thickBot="1">
      <c r="A1" s="16296" t="s">
        <v>2613</v>
      </c>
      <c r="B1" s="16297"/>
      <c r="C1" s="16297"/>
      <c r="D1" s="16297"/>
      <c r="E1" s="16297"/>
      <c r="F1" s="16297"/>
      <c r="G1" s="16297"/>
      <c r="H1" s="16297"/>
      <c r="I1" s="16297"/>
      <c r="J1" s="16297"/>
      <c r="K1" s="16297"/>
      <c r="L1" s="16297"/>
      <c r="M1" s="16298"/>
      <c r="N1" s="16299" t="s">
        <v>0</v>
      </c>
      <c r="O1" s="16301"/>
      <c r="P1" s="16301"/>
      <c r="Q1" s="16301"/>
      <c r="R1" s="16301"/>
      <c r="S1" s="16301"/>
      <c r="T1" s="16301"/>
      <c r="U1" s="16301"/>
      <c r="V1" s="16301"/>
      <c r="W1" s="16301"/>
      <c r="X1" s="16301"/>
      <c r="Y1" s="16301"/>
      <c r="Z1" s="16301"/>
      <c r="AA1" s="16301"/>
      <c r="AB1" s="16301"/>
      <c r="AC1" s="16301"/>
      <c r="AD1" s="16301"/>
      <c r="AE1" s="16301"/>
      <c r="AF1" s="16301"/>
      <c r="AG1" s="16301"/>
      <c r="AH1" s="16301"/>
      <c r="AI1" s="16301"/>
      <c r="AJ1" s="16301"/>
      <c r="AK1" s="16301"/>
      <c r="AL1" s="16301"/>
      <c r="AM1" s="16301"/>
      <c r="AN1" s="16301"/>
      <c r="AO1" s="16301"/>
      <c r="AP1" s="16301"/>
      <c r="AQ1" s="16301"/>
      <c r="AR1" s="16301"/>
      <c r="AS1" s="16301"/>
      <c r="AT1" s="16301"/>
      <c r="AU1" s="16301"/>
      <c r="AV1" s="16301"/>
      <c r="AW1" s="16301"/>
      <c r="AX1" s="16301"/>
      <c r="AY1" s="16301"/>
      <c r="AZ1" s="16301"/>
      <c r="BA1" s="16301"/>
      <c r="BB1" s="16301"/>
      <c r="BC1" s="16301"/>
      <c r="BD1" s="16301"/>
      <c r="BE1" s="16301"/>
      <c r="BF1" s="16302"/>
      <c r="BG1" s="16299" t="s">
        <v>0</v>
      </c>
      <c r="BH1" s="16300"/>
      <c r="BI1" s="16301"/>
      <c r="BJ1" s="16301"/>
      <c r="BK1" s="16301"/>
      <c r="BL1" s="16301"/>
      <c r="BM1" s="16301"/>
      <c r="BN1" s="16301"/>
      <c r="BO1" s="16301"/>
      <c r="BP1" s="16301"/>
      <c r="BQ1" s="16301"/>
      <c r="BR1" s="16301"/>
      <c r="BS1" s="16301"/>
      <c r="BT1" s="16301"/>
      <c r="BU1" s="16301"/>
      <c r="BV1" s="16301"/>
      <c r="BW1" s="16301"/>
      <c r="BX1" s="16301"/>
      <c r="BY1" s="16301"/>
      <c r="BZ1" s="16301"/>
      <c r="CA1" s="16301"/>
      <c r="CB1" s="16301"/>
      <c r="CC1" s="16301"/>
      <c r="CD1" s="16301"/>
      <c r="CE1" s="16301"/>
      <c r="CF1" s="16301"/>
      <c r="CG1" s="16301"/>
      <c r="CH1" s="16301"/>
      <c r="CI1" s="16301"/>
      <c r="CJ1" s="16301"/>
      <c r="CK1" s="16301"/>
      <c r="CL1" s="16301"/>
      <c r="CM1" s="16301"/>
      <c r="CN1" s="16301"/>
      <c r="CO1" s="16301"/>
      <c r="CP1" s="16301"/>
      <c r="CQ1" s="16301"/>
      <c r="CR1" s="16301"/>
      <c r="CS1" s="16301"/>
      <c r="CT1" s="16301"/>
      <c r="CU1" s="16301"/>
      <c r="CV1" s="16301"/>
      <c r="CW1" s="16301"/>
      <c r="CX1" s="16301"/>
      <c r="CY1" s="16301"/>
      <c r="CZ1" s="16302"/>
      <c r="DA1" s="809"/>
      <c r="DB1" s="809"/>
      <c r="DC1" s="809"/>
      <c r="DD1" s="809"/>
      <c r="DE1" s="809"/>
      <c r="DF1" s="809"/>
      <c r="DG1" s="809"/>
      <c r="DH1" s="809"/>
      <c r="DI1" s="809"/>
      <c r="DJ1" s="809"/>
      <c r="DK1" s="809"/>
      <c r="DL1" s="809"/>
      <c r="DM1" s="809"/>
      <c r="DN1" s="809"/>
      <c r="DO1" s="809"/>
      <c r="DP1" s="809"/>
      <c r="DQ1" s="809"/>
      <c r="DR1" s="809"/>
      <c r="DS1" s="809"/>
      <c r="DT1" s="809"/>
      <c r="DU1" s="809"/>
      <c r="DV1" s="809"/>
      <c r="DW1" s="809"/>
      <c r="DX1" s="809"/>
      <c r="DY1" s="809"/>
      <c r="DZ1" s="809"/>
      <c r="EA1" s="809"/>
      <c r="EB1" s="809"/>
      <c r="EC1" s="809"/>
      <c r="ED1" s="809"/>
      <c r="EE1" s="809"/>
      <c r="EF1" s="809"/>
      <c r="EG1" s="809"/>
      <c r="EH1" s="809"/>
      <c r="EI1" s="809"/>
      <c r="EJ1" s="809"/>
      <c r="EK1" s="809"/>
      <c r="EL1" s="809"/>
      <c r="EM1" s="809"/>
      <c r="EN1" s="809"/>
      <c r="EO1" s="809"/>
      <c r="EP1" s="809"/>
      <c r="EQ1" s="809"/>
      <c r="ER1" s="809"/>
      <c r="ES1" s="809"/>
      <c r="ET1" s="809"/>
      <c r="EU1" s="809"/>
      <c r="EV1" s="809"/>
      <c r="EW1" s="809"/>
      <c r="EX1" s="809"/>
      <c r="EY1" s="809"/>
      <c r="EZ1" s="809"/>
      <c r="FA1" s="809"/>
      <c r="FB1" s="809"/>
      <c r="FC1" s="809"/>
      <c r="FD1" s="809"/>
      <c r="FE1" s="809"/>
      <c r="FF1" s="809"/>
      <c r="FG1" s="809"/>
      <c r="FH1" s="809"/>
      <c r="FI1" s="809"/>
      <c r="FJ1" s="809"/>
      <c r="FK1" s="809"/>
      <c r="FL1" s="809"/>
      <c r="FM1" s="809"/>
      <c r="FN1" s="809"/>
      <c r="FO1" s="809"/>
      <c r="FP1" s="809"/>
      <c r="FQ1" s="809"/>
      <c r="FR1" s="809"/>
      <c r="FS1" s="809"/>
      <c r="FT1" s="809"/>
      <c r="FU1" s="809"/>
      <c r="FV1" s="809"/>
      <c r="FW1" s="809"/>
      <c r="FX1" s="809"/>
      <c r="FY1" s="809"/>
      <c r="FZ1" s="809"/>
      <c r="GA1" s="809"/>
      <c r="GB1" s="809"/>
      <c r="GC1" s="809"/>
      <c r="GD1" s="809"/>
      <c r="GE1" s="809"/>
      <c r="GF1" s="809"/>
      <c r="GG1" s="809"/>
      <c r="GH1" s="809"/>
      <c r="GI1" s="809"/>
      <c r="GJ1" s="809"/>
      <c r="GK1" s="809"/>
      <c r="GL1" s="809"/>
      <c r="GM1" s="809"/>
      <c r="GN1" s="809"/>
      <c r="GO1" s="809"/>
      <c r="GP1" s="809"/>
      <c r="GQ1" s="809"/>
      <c r="GR1" s="809"/>
      <c r="GS1" s="809"/>
      <c r="GT1" s="809"/>
      <c r="GU1" s="809"/>
      <c r="GV1" s="809"/>
      <c r="GW1" s="809"/>
      <c r="GX1" s="809"/>
      <c r="GY1" s="809"/>
      <c r="GZ1" s="809"/>
      <c r="HA1" s="809"/>
      <c r="HB1" s="809"/>
      <c r="HC1" s="809"/>
      <c r="HD1" s="809"/>
      <c r="HE1" s="809"/>
      <c r="HF1" s="809"/>
      <c r="HG1" s="809"/>
      <c r="HH1" s="809"/>
      <c r="HI1" s="809"/>
      <c r="HJ1" s="809"/>
      <c r="HK1" s="809"/>
      <c r="HL1" s="809"/>
      <c r="HM1" s="809"/>
      <c r="HN1" s="809"/>
      <c r="HO1" s="809"/>
      <c r="HP1" s="809"/>
      <c r="HQ1" s="809"/>
      <c r="HR1" s="809"/>
      <c r="HS1" s="809"/>
      <c r="HT1" s="809"/>
      <c r="HU1" s="809"/>
      <c r="HV1" s="809"/>
      <c r="HW1" s="809"/>
      <c r="HX1" s="809"/>
      <c r="HY1" s="809"/>
      <c r="HZ1" s="809"/>
      <c r="IA1" s="809"/>
      <c r="IB1" s="809"/>
      <c r="IC1" s="809"/>
      <c r="ID1" s="809"/>
      <c r="IE1" s="809"/>
      <c r="IF1" s="809"/>
      <c r="IG1" s="809"/>
      <c r="IH1" s="809"/>
      <c r="II1" s="809"/>
      <c r="IJ1" s="809"/>
      <c r="IK1" s="809"/>
      <c r="IL1" s="809"/>
      <c r="IM1" s="809"/>
      <c r="IN1" s="809"/>
      <c r="IO1" s="809"/>
      <c r="IP1" s="809"/>
      <c r="IQ1" s="809"/>
      <c r="IR1" s="809"/>
      <c r="IS1" s="809"/>
      <c r="IT1" s="809"/>
      <c r="IU1" s="809"/>
      <c r="IV1" s="809"/>
      <c r="IW1" s="809"/>
      <c r="IX1" s="809"/>
      <c r="IY1" s="809"/>
      <c r="IZ1" s="809"/>
      <c r="JA1" s="809"/>
      <c r="JB1" s="809"/>
      <c r="JC1" s="809"/>
      <c r="JD1" s="809"/>
      <c r="JE1" s="809"/>
      <c r="JF1" s="809"/>
      <c r="JG1" s="809"/>
      <c r="JH1" s="809"/>
      <c r="JI1" s="809"/>
      <c r="JJ1" s="809"/>
      <c r="JK1" s="809"/>
      <c r="JL1" s="809"/>
      <c r="JM1" s="809"/>
      <c r="JN1" s="809"/>
      <c r="JO1" s="809"/>
      <c r="JP1" s="809"/>
      <c r="JQ1" s="809"/>
      <c r="JR1" s="809"/>
      <c r="JS1" s="809"/>
      <c r="JT1" s="809"/>
      <c r="JU1" s="809"/>
      <c r="JV1" s="809"/>
      <c r="JW1" s="809"/>
      <c r="JX1" s="809"/>
      <c r="JY1" s="809"/>
      <c r="JZ1" s="809"/>
      <c r="KA1" s="809"/>
      <c r="KB1" s="809"/>
      <c r="KC1" s="809"/>
      <c r="KD1" s="809"/>
      <c r="KE1" s="809"/>
      <c r="KF1" s="809"/>
      <c r="KG1" s="809"/>
      <c r="KH1" s="809"/>
      <c r="KI1" s="809"/>
      <c r="KJ1" s="809"/>
      <c r="KK1" s="809"/>
      <c r="KL1" s="809"/>
      <c r="KM1" s="809"/>
      <c r="KN1" s="809"/>
      <c r="KO1" s="809"/>
      <c r="KP1" s="809"/>
      <c r="KQ1" s="809"/>
      <c r="KR1" s="809"/>
      <c r="KS1" s="809"/>
      <c r="KT1" s="809"/>
      <c r="KU1" s="809"/>
      <c r="KV1" s="809"/>
      <c r="KW1" s="809"/>
      <c r="KX1" s="809"/>
      <c r="KY1" s="809"/>
      <c r="KZ1" s="809"/>
      <c r="LA1" s="809"/>
      <c r="LB1" s="809"/>
      <c r="LC1" s="809"/>
      <c r="LD1" s="809"/>
      <c r="LE1" s="809"/>
      <c r="LF1" s="809"/>
      <c r="LG1" s="809"/>
      <c r="LH1" s="809"/>
      <c r="LI1" s="809"/>
      <c r="LJ1" s="809"/>
      <c r="LK1" s="809"/>
      <c r="LL1" s="809"/>
      <c r="LM1" s="809"/>
      <c r="LN1" s="809"/>
      <c r="LO1" s="809"/>
      <c r="LP1" s="809"/>
      <c r="LQ1" s="809"/>
      <c r="LR1" s="809"/>
      <c r="LS1" s="809"/>
      <c r="LT1" s="809"/>
      <c r="LU1" s="809"/>
      <c r="LV1" s="809"/>
      <c r="LW1" s="809"/>
      <c r="LX1" s="809"/>
      <c r="LY1" s="809"/>
      <c r="LZ1" s="809"/>
      <c r="MA1" s="809"/>
      <c r="MB1" s="809"/>
      <c r="MC1" s="809"/>
      <c r="MD1" s="809"/>
      <c r="ME1" s="809"/>
      <c r="MF1" s="809"/>
      <c r="MG1" s="809"/>
      <c r="MH1" s="809"/>
      <c r="MI1" s="809"/>
      <c r="MJ1" s="809"/>
      <c r="MK1" s="809"/>
      <c r="ML1" s="809"/>
      <c r="MM1" s="809"/>
      <c r="MN1" s="809"/>
      <c r="MO1" s="809"/>
      <c r="MP1" s="809"/>
      <c r="MQ1" s="809"/>
      <c r="MR1" s="809"/>
      <c r="MS1" s="809"/>
      <c r="MT1" s="809"/>
      <c r="MU1" s="809"/>
      <c r="MV1" s="809"/>
      <c r="MW1" s="809"/>
      <c r="MX1" s="809"/>
      <c r="MY1" s="809"/>
      <c r="MZ1" s="809"/>
      <c r="NA1" s="809"/>
      <c r="NB1" s="809"/>
      <c r="NC1" s="809"/>
      <c r="ND1" s="809"/>
      <c r="NE1" s="809"/>
      <c r="NF1" s="809"/>
      <c r="NG1" s="809"/>
      <c r="NH1" s="809"/>
      <c r="NI1" s="809"/>
      <c r="NJ1" s="809"/>
      <c r="NK1" s="809"/>
      <c r="NL1" s="809"/>
      <c r="NM1" s="809"/>
      <c r="NN1" s="809"/>
      <c r="NO1" s="809"/>
      <c r="NP1" s="809"/>
      <c r="AAP1" s="917"/>
      <c r="AAQ1" s="917"/>
      <c r="AAR1" s="917"/>
      <c r="AAS1" s="917"/>
      <c r="AAT1" s="917"/>
      <c r="AAU1" s="917"/>
      <c r="AAV1" s="917"/>
      <c r="AAW1" s="917"/>
    </row>
    <row r="2" spans="1:725" s="916" customFormat="1" ht="15" customHeight="1" thickBot="1">
      <c r="A2" s="16303" t="s">
        <v>643</v>
      </c>
      <c r="B2" s="16304"/>
      <c r="C2" s="16304"/>
      <c r="D2" s="16304"/>
      <c r="E2" s="16304"/>
      <c r="F2" s="16304"/>
      <c r="G2" s="16304"/>
      <c r="H2" s="16304"/>
      <c r="I2" s="16304"/>
      <c r="J2" s="16304"/>
      <c r="K2" s="16304"/>
      <c r="L2" s="16304"/>
      <c r="M2" s="16305"/>
      <c r="N2" s="16247" t="s">
        <v>1</v>
      </c>
      <c r="O2" s="16306" t="s">
        <v>2</v>
      </c>
      <c r="P2" s="16306" t="s">
        <v>3</v>
      </c>
      <c r="Q2" s="16306" t="s">
        <v>4</v>
      </c>
      <c r="R2" s="16306" t="s">
        <v>355</v>
      </c>
      <c r="S2" s="16306"/>
      <c r="T2" s="16306"/>
      <c r="U2" s="16306"/>
      <c r="V2" s="6008"/>
      <c r="W2" s="16306" t="s">
        <v>356</v>
      </c>
      <c r="X2" s="16306"/>
      <c r="Y2" s="16306"/>
      <c r="Z2" s="16306"/>
      <c r="AA2" s="16306"/>
      <c r="AB2" s="16306"/>
      <c r="AC2" s="16306"/>
      <c r="AD2" s="16306"/>
      <c r="AE2" s="16306"/>
      <c r="AF2" s="16306"/>
      <c r="AG2" s="16306"/>
      <c r="AH2" s="16306"/>
      <c r="AI2" s="16306"/>
      <c r="AJ2" s="16306"/>
      <c r="AK2" s="16306"/>
      <c r="AL2" s="16306"/>
      <c r="AM2" s="16306"/>
      <c r="AN2" s="16306"/>
      <c r="AO2" s="16306"/>
      <c r="AP2" s="16306"/>
      <c r="AQ2" s="16306"/>
      <c r="AR2" s="16306"/>
      <c r="AS2" s="16306"/>
      <c r="AT2" s="16306"/>
      <c r="AU2" s="16306"/>
      <c r="AV2" s="16306"/>
      <c r="AW2" s="16309" t="s">
        <v>357</v>
      </c>
      <c r="AX2" s="16309"/>
      <c r="AY2" s="16309"/>
      <c r="AZ2" s="16309"/>
      <c r="BA2" s="16309"/>
      <c r="BB2" s="16314" t="s">
        <v>5</v>
      </c>
      <c r="BC2" s="16314"/>
      <c r="BD2" s="16314"/>
      <c r="BE2" s="16314"/>
      <c r="BF2" s="16315"/>
      <c r="BG2" s="16247" t="s">
        <v>8490</v>
      </c>
      <c r="BH2" s="16247" t="s">
        <v>9907</v>
      </c>
      <c r="BI2" s="16306" t="s">
        <v>8491</v>
      </c>
      <c r="BJ2" s="16306" t="s">
        <v>8492</v>
      </c>
      <c r="BK2" s="16306" t="s">
        <v>4</v>
      </c>
      <c r="BL2" s="16306" t="s">
        <v>355</v>
      </c>
      <c r="BM2" s="16306"/>
      <c r="BN2" s="16306"/>
      <c r="BO2" s="16306"/>
      <c r="BP2" s="6008"/>
      <c r="BQ2" s="16306" t="s">
        <v>356</v>
      </c>
      <c r="BR2" s="16306"/>
      <c r="BS2" s="16306"/>
      <c r="BT2" s="16306"/>
      <c r="BU2" s="16306"/>
      <c r="BV2" s="16306"/>
      <c r="BW2" s="16306"/>
      <c r="BX2" s="16306"/>
      <c r="BY2" s="16306"/>
      <c r="BZ2" s="16306"/>
      <c r="CA2" s="16306"/>
      <c r="CB2" s="16306"/>
      <c r="CC2" s="16306"/>
      <c r="CD2" s="16306"/>
      <c r="CE2" s="16306"/>
      <c r="CF2" s="16306"/>
      <c r="CG2" s="16306"/>
      <c r="CH2" s="16306"/>
      <c r="CI2" s="16306"/>
      <c r="CJ2" s="16306"/>
      <c r="CK2" s="16306"/>
      <c r="CL2" s="16306"/>
      <c r="CM2" s="16306"/>
      <c r="CN2" s="16306"/>
      <c r="CO2" s="16306"/>
      <c r="CP2" s="16306"/>
      <c r="CQ2" s="16309" t="s">
        <v>357</v>
      </c>
      <c r="CR2" s="16309"/>
      <c r="CS2" s="16309"/>
      <c r="CT2" s="16309"/>
      <c r="CU2" s="16309"/>
      <c r="CV2" s="16314" t="s">
        <v>5</v>
      </c>
      <c r="CW2" s="16314"/>
      <c r="CX2" s="16314"/>
      <c r="CY2" s="16314"/>
      <c r="CZ2" s="16315"/>
      <c r="DA2" s="6009"/>
      <c r="DB2" s="13291" t="s">
        <v>8497</v>
      </c>
      <c r="DC2" s="13291"/>
      <c r="DD2" s="13291"/>
      <c r="DE2" s="13291"/>
      <c r="DF2" s="13291"/>
      <c r="DG2" s="13291"/>
      <c r="DH2" s="13618"/>
      <c r="DI2" s="13618"/>
      <c r="DJ2" s="13618"/>
      <c r="DK2" s="13618"/>
      <c r="DL2" s="13291"/>
      <c r="DM2" s="13291"/>
      <c r="DN2" s="13291"/>
      <c r="DO2" s="13291"/>
      <c r="DP2" s="13291"/>
      <c r="DQ2" s="13291"/>
      <c r="DR2" s="13291"/>
      <c r="DS2" s="13291"/>
      <c r="DT2" s="13291"/>
      <c r="DU2" s="13291"/>
      <c r="DV2" s="13291"/>
      <c r="DW2" s="13291"/>
      <c r="DX2" s="13291"/>
      <c r="DY2" s="13291"/>
      <c r="DZ2" s="13291"/>
      <c r="EA2" s="13291"/>
      <c r="EB2" s="13291"/>
      <c r="EC2" s="13291"/>
      <c r="ED2" s="13291"/>
      <c r="EE2" s="13291"/>
      <c r="EF2" s="13291"/>
      <c r="EG2" s="13291"/>
      <c r="EH2" s="13291"/>
      <c r="EI2" s="13291"/>
      <c r="EJ2" s="13291"/>
      <c r="EK2" s="13291"/>
      <c r="EL2" s="13291"/>
      <c r="EM2" s="13291"/>
      <c r="EN2" s="13291"/>
      <c r="EO2" s="13291"/>
      <c r="EP2" s="13291"/>
      <c r="EQ2" s="13291"/>
      <c r="ER2" s="13291"/>
      <c r="ES2" s="13291"/>
      <c r="ET2" s="13291"/>
      <c r="EU2" s="13292"/>
      <c r="EV2" s="809"/>
      <c r="EW2" s="809"/>
      <c r="EX2" s="809"/>
      <c r="EY2" s="809"/>
      <c r="EZ2" s="809"/>
      <c r="FA2" s="809"/>
      <c r="FB2" s="809"/>
      <c r="FC2" s="809"/>
      <c r="FD2" s="809"/>
      <c r="FE2" s="809"/>
      <c r="FF2" s="809"/>
      <c r="FG2" s="809"/>
      <c r="FH2" s="809"/>
      <c r="FI2" s="809"/>
      <c r="FJ2" s="809"/>
      <c r="FK2" s="809"/>
      <c r="FL2" s="809"/>
      <c r="FM2" s="809"/>
      <c r="FN2" s="809"/>
      <c r="FO2" s="809"/>
      <c r="FP2" s="809"/>
      <c r="FQ2" s="809"/>
      <c r="FR2" s="809"/>
      <c r="FS2" s="809"/>
      <c r="FT2" s="809"/>
      <c r="FU2" s="809"/>
      <c r="FV2" s="809"/>
      <c r="FW2" s="809"/>
      <c r="FX2" s="809"/>
      <c r="FY2" s="809"/>
      <c r="FZ2" s="809"/>
      <c r="GA2" s="809"/>
      <c r="GB2" s="809"/>
      <c r="GC2" s="809"/>
      <c r="GD2" s="809"/>
      <c r="GE2" s="809"/>
      <c r="GF2" s="809"/>
      <c r="GG2" s="809"/>
      <c r="GH2" s="809"/>
      <c r="GI2" s="809"/>
      <c r="GJ2" s="809"/>
      <c r="GK2" s="809"/>
      <c r="GL2" s="809"/>
      <c r="GM2" s="809"/>
      <c r="GN2" s="809"/>
      <c r="GO2" s="809"/>
      <c r="GP2" s="809"/>
      <c r="GQ2" s="809"/>
      <c r="GR2" s="809"/>
      <c r="GS2" s="809"/>
      <c r="GT2" s="809"/>
      <c r="GU2" s="809"/>
      <c r="GV2" s="809"/>
      <c r="GW2" s="809"/>
      <c r="GX2" s="809"/>
      <c r="GY2" s="809"/>
      <c r="GZ2" s="809"/>
      <c r="HA2" s="809"/>
      <c r="HB2" s="809"/>
      <c r="HC2" s="809"/>
      <c r="HD2" s="809"/>
      <c r="HE2" s="809"/>
      <c r="HF2" s="809"/>
      <c r="HG2" s="809"/>
      <c r="HH2" s="809"/>
      <c r="HI2" s="809"/>
      <c r="HJ2" s="809"/>
      <c r="HK2" s="809"/>
      <c r="HL2" s="809"/>
      <c r="HM2" s="809"/>
      <c r="HN2" s="809"/>
      <c r="HO2" s="809"/>
      <c r="HP2" s="809"/>
      <c r="HQ2" s="809"/>
      <c r="HR2" s="809"/>
      <c r="HS2" s="809"/>
      <c r="HT2" s="809"/>
      <c r="HU2" s="809"/>
      <c r="HV2" s="809"/>
      <c r="HW2" s="809"/>
      <c r="HX2" s="809"/>
      <c r="HY2" s="809"/>
      <c r="HZ2" s="809"/>
      <c r="IA2" s="809"/>
      <c r="IB2" s="809"/>
      <c r="IC2" s="809"/>
      <c r="ID2" s="809"/>
      <c r="IE2" s="809"/>
      <c r="IF2" s="809"/>
      <c r="IG2" s="809"/>
      <c r="IH2" s="809"/>
      <c r="II2" s="809"/>
      <c r="IJ2" s="809"/>
      <c r="IK2" s="809"/>
      <c r="IL2" s="809"/>
      <c r="IM2" s="809"/>
      <c r="IN2" s="809"/>
      <c r="IO2" s="809"/>
      <c r="IP2" s="809"/>
      <c r="IQ2" s="809"/>
      <c r="IR2" s="809"/>
      <c r="IS2" s="809"/>
      <c r="IT2" s="809"/>
      <c r="IU2" s="809"/>
      <c r="IV2" s="809"/>
      <c r="IW2" s="809"/>
      <c r="IX2" s="809"/>
      <c r="IY2" s="809"/>
      <c r="IZ2" s="809"/>
      <c r="JA2" s="809"/>
      <c r="JB2" s="809"/>
      <c r="JC2" s="809"/>
      <c r="JD2" s="809"/>
      <c r="JE2" s="809"/>
      <c r="JF2" s="809"/>
      <c r="JG2" s="809"/>
      <c r="JH2" s="809"/>
      <c r="JI2" s="809"/>
      <c r="JJ2" s="809"/>
      <c r="JK2" s="809"/>
      <c r="JL2" s="809"/>
      <c r="JM2" s="809"/>
      <c r="JN2" s="809"/>
      <c r="JO2" s="809"/>
      <c r="JP2" s="809"/>
      <c r="JQ2" s="809"/>
      <c r="JR2" s="809"/>
      <c r="JS2" s="809"/>
      <c r="JT2" s="809"/>
      <c r="JU2" s="809"/>
      <c r="JV2" s="809"/>
      <c r="JW2" s="809"/>
      <c r="JX2" s="809"/>
      <c r="JY2" s="809"/>
      <c r="JZ2" s="809"/>
      <c r="KA2" s="809"/>
      <c r="KB2" s="809"/>
      <c r="KC2" s="809"/>
      <c r="KD2" s="809"/>
      <c r="KE2" s="809"/>
      <c r="KF2" s="809"/>
      <c r="KG2" s="809"/>
      <c r="KH2" s="809"/>
      <c r="KI2" s="809"/>
      <c r="KJ2" s="809"/>
      <c r="KK2" s="809"/>
      <c r="KL2" s="809"/>
      <c r="KM2" s="809"/>
      <c r="KN2" s="809"/>
      <c r="KO2" s="809"/>
      <c r="KP2" s="809"/>
      <c r="KQ2" s="809"/>
      <c r="KR2" s="809"/>
      <c r="KS2" s="809"/>
      <c r="KT2" s="809"/>
      <c r="KU2" s="809"/>
      <c r="KV2" s="809"/>
      <c r="KW2" s="809"/>
      <c r="KX2" s="809"/>
      <c r="KY2" s="809"/>
      <c r="KZ2" s="809"/>
      <c r="LA2" s="809"/>
      <c r="LB2" s="809"/>
      <c r="LC2" s="809"/>
      <c r="LD2" s="809"/>
      <c r="LE2" s="809"/>
      <c r="LF2" s="809"/>
      <c r="LG2" s="809"/>
      <c r="LH2" s="809"/>
      <c r="LI2" s="809"/>
      <c r="LJ2" s="809"/>
      <c r="LK2" s="809"/>
      <c r="LL2" s="809"/>
      <c r="LM2" s="809"/>
      <c r="LN2" s="809"/>
      <c r="LO2" s="809"/>
      <c r="LP2" s="809"/>
      <c r="LQ2" s="809"/>
      <c r="LR2" s="809"/>
      <c r="LS2" s="809"/>
      <c r="LT2" s="809"/>
      <c r="LU2" s="809"/>
      <c r="LV2" s="809"/>
      <c r="LW2" s="809"/>
      <c r="LX2" s="809"/>
      <c r="LY2" s="809"/>
      <c r="LZ2" s="809"/>
      <c r="MA2" s="809"/>
      <c r="MB2" s="809"/>
      <c r="MC2" s="809"/>
      <c r="MD2" s="809"/>
      <c r="ME2" s="809"/>
      <c r="MF2" s="809"/>
      <c r="MG2" s="809"/>
      <c r="MH2" s="809"/>
      <c r="MI2" s="809"/>
      <c r="MJ2" s="809"/>
      <c r="MK2" s="809"/>
      <c r="ML2" s="809"/>
      <c r="MM2" s="809"/>
      <c r="MN2" s="809"/>
      <c r="MO2" s="809"/>
      <c r="MP2" s="809"/>
      <c r="MQ2" s="809"/>
      <c r="MR2" s="809"/>
      <c r="MS2" s="809"/>
      <c r="MT2" s="809"/>
      <c r="MU2" s="809"/>
      <c r="MV2" s="809"/>
      <c r="MW2" s="809"/>
      <c r="MX2" s="809"/>
      <c r="MY2" s="809"/>
      <c r="MZ2" s="809"/>
      <c r="NA2" s="809"/>
      <c r="NB2" s="809"/>
      <c r="NC2" s="809"/>
      <c r="ND2" s="809"/>
      <c r="NE2" s="809"/>
      <c r="NF2" s="809"/>
      <c r="NG2" s="809"/>
      <c r="NH2" s="809"/>
      <c r="NI2" s="809"/>
      <c r="NJ2" s="809"/>
      <c r="NK2" s="809"/>
      <c r="NL2" s="809"/>
      <c r="NM2" s="809"/>
      <c r="NN2" s="809"/>
      <c r="NO2" s="809"/>
      <c r="NP2" s="809"/>
      <c r="AAP2" s="917"/>
      <c r="AAQ2" s="917"/>
      <c r="AAR2" s="917"/>
      <c r="AAS2" s="917"/>
      <c r="AAT2" s="917"/>
      <c r="AAU2" s="917"/>
      <c r="AAV2" s="917"/>
      <c r="AAW2" s="917"/>
    </row>
    <row r="3" spans="1:725" ht="15" customHeight="1" thickBot="1">
      <c r="A3" s="15127" t="s">
        <v>2614</v>
      </c>
      <c r="B3" s="16318" t="s">
        <v>2615</v>
      </c>
      <c r="C3" s="16318" t="s">
        <v>2616</v>
      </c>
      <c r="D3" s="16318" t="s">
        <v>2854</v>
      </c>
      <c r="E3" s="16320" t="s">
        <v>2617</v>
      </c>
      <c r="F3" s="16320"/>
      <c r="G3" s="16319" t="s">
        <v>2618</v>
      </c>
      <c r="H3" s="16318" t="s">
        <v>9815</v>
      </c>
      <c r="I3" s="16318" t="s">
        <v>2619</v>
      </c>
      <c r="J3" s="16241" t="s">
        <v>6770</v>
      </c>
      <c r="K3" s="16323" t="s">
        <v>10056</v>
      </c>
      <c r="L3" s="16322" t="s">
        <v>2852</v>
      </c>
      <c r="M3" s="16325" t="s">
        <v>2853</v>
      </c>
      <c r="N3" s="15080"/>
      <c r="O3" s="16307"/>
      <c r="P3" s="16307"/>
      <c r="Q3" s="16307"/>
      <c r="R3" s="16310" t="s">
        <v>6</v>
      </c>
      <c r="S3" s="16290" t="s">
        <v>7</v>
      </c>
      <c r="T3" s="16290" t="s">
        <v>8</v>
      </c>
      <c r="U3" s="16290" t="s">
        <v>9</v>
      </c>
      <c r="V3" s="6010"/>
      <c r="W3" s="16310" t="s">
        <v>10</v>
      </c>
      <c r="X3" s="16316" t="s">
        <v>11</v>
      </c>
      <c r="Y3" s="16316"/>
      <c r="Z3" s="16316" t="s">
        <v>12</v>
      </c>
      <c r="AA3" s="16316"/>
      <c r="AB3" s="16316" t="s">
        <v>13</v>
      </c>
      <c r="AC3" s="16316"/>
      <c r="AD3" s="16316"/>
      <c r="AE3" s="16316"/>
      <c r="AF3" s="16316"/>
      <c r="AG3" s="16316"/>
      <c r="AH3" s="16316"/>
      <c r="AI3" s="16324" t="s">
        <v>14</v>
      </c>
      <c r="AJ3" s="16324"/>
      <c r="AK3" s="16324"/>
      <c r="AL3" s="16324"/>
      <c r="AM3" s="16324"/>
      <c r="AN3" s="16324"/>
      <c r="AO3" s="16324"/>
      <c r="AP3" s="16324"/>
      <c r="AQ3" s="16324" t="s">
        <v>15</v>
      </c>
      <c r="AR3" s="16324"/>
      <c r="AS3" s="16324"/>
      <c r="AT3" s="16324"/>
      <c r="AU3" s="16324"/>
      <c r="AV3" s="16324"/>
      <c r="AW3" s="16219" t="s">
        <v>16</v>
      </c>
      <c r="AX3" s="16219" t="s">
        <v>17</v>
      </c>
      <c r="AY3" s="16219" t="s">
        <v>18</v>
      </c>
      <c r="AZ3" s="6011" t="s">
        <v>19</v>
      </c>
      <c r="BA3" s="6011" t="s">
        <v>20</v>
      </c>
      <c r="BB3" s="16219" t="s">
        <v>21</v>
      </c>
      <c r="BC3" s="16221" t="s">
        <v>22</v>
      </c>
      <c r="BD3" s="16221"/>
      <c r="BE3" s="16221"/>
      <c r="BF3" s="911" t="s">
        <v>20</v>
      </c>
      <c r="BG3" s="15080"/>
      <c r="BH3" s="15080"/>
      <c r="BI3" s="16307"/>
      <c r="BJ3" s="16307"/>
      <c r="BK3" s="16307"/>
      <c r="BL3" s="16310" t="s">
        <v>6</v>
      </c>
      <c r="BM3" s="16290" t="s">
        <v>7</v>
      </c>
      <c r="BN3" s="16290" t="s">
        <v>8</v>
      </c>
      <c r="BO3" s="16290" t="s">
        <v>9</v>
      </c>
      <c r="BP3" s="6010"/>
      <c r="BQ3" s="16310" t="s">
        <v>10</v>
      </c>
      <c r="BR3" s="16316" t="s">
        <v>11</v>
      </c>
      <c r="BS3" s="16316"/>
      <c r="BT3" s="16316" t="s">
        <v>12</v>
      </c>
      <c r="BU3" s="16316"/>
      <c r="BV3" s="16316" t="s">
        <v>13</v>
      </c>
      <c r="BW3" s="16316"/>
      <c r="BX3" s="16316"/>
      <c r="BY3" s="16316"/>
      <c r="BZ3" s="16316"/>
      <c r="CA3" s="16316"/>
      <c r="CB3" s="16316"/>
      <c r="CC3" s="16324" t="s">
        <v>14</v>
      </c>
      <c r="CD3" s="16324"/>
      <c r="CE3" s="16324"/>
      <c r="CF3" s="16324"/>
      <c r="CG3" s="16324"/>
      <c r="CH3" s="16324"/>
      <c r="CI3" s="16324"/>
      <c r="CJ3" s="16324"/>
      <c r="CK3" s="16324" t="s">
        <v>15</v>
      </c>
      <c r="CL3" s="16324"/>
      <c r="CM3" s="16324"/>
      <c r="CN3" s="16324"/>
      <c r="CO3" s="16324"/>
      <c r="CP3" s="16324"/>
      <c r="CQ3" s="16219" t="s">
        <v>16</v>
      </c>
      <c r="CR3" s="16219" t="s">
        <v>17</v>
      </c>
      <c r="CS3" s="16219" t="s">
        <v>18</v>
      </c>
      <c r="CT3" s="6011" t="s">
        <v>19</v>
      </c>
      <c r="CU3" s="6011" t="s">
        <v>20</v>
      </c>
      <c r="CV3" s="16219" t="s">
        <v>21</v>
      </c>
      <c r="CW3" s="16221" t="s">
        <v>22</v>
      </c>
      <c r="CX3" s="16221"/>
      <c r="CY3" s="16221"/>
      <c r="CZ3" s="911" t="s">
        <v>20</v>
      </c>
      <c r="DA3" s="814"/>
      <c r="DB3" s="14600" t="s">
        <v>8498</v>
      </c>
      <c r="DC3" s="16032" t="s">
        <v>10189</v>
      </c>
      <c r="DD3" s="16032" t="s">
        <v>10190</v>
      </c>
      <c r="DE3" s="13295" t="s">
        <v>8499</v>
      </c>
      <c r="DF3" s="13295" t="s">
        <v>8500</v>
      </c>
      <c r="DG3" s="13297" t="s">
        <v>4</v>
      </c>
      <c r="DH3" s="14602" t="s">
        <v>355</v>
      </c>
      <c r="DI3" s="14603"/>
      <c r="DJ3" s="14603"/>
      <c r="DK3" s="14604"/>
      <c r="DL3" s="13299" t="s">
        <v>356</v>
      </c>
      <c r="DM3" s="13300"/>
      <c r="DN3" s="13300"/>
      <c r="DO3" s="13300"/>
      <c r="DP3" s="13300"/>
      <c r="DQ3" s="13300"/>
      <c r="DR3" s="13300"/>
      <c r="DS3" s="13300"/>
      <c r="DT3" s="13300"/>
      <c r="DU3" s="13300"/>
      <c r="DV3" s="13300"/>
      <c r="DW3" s="13300"/>
      <c r="DX3" s="15138"/>
      <c r="DY3" s="15138"/>
      <c r="DZ3" s="15138"/>
      <c r="EA3" s="15138"/>
      <c r="EB3" s="15138"/>
      <c r="EC3" s="15138"/>
      <c r="ED3" s="15138"/>
      <c r="EE3" s="15138"/>
      <c r="EF3" s="15138"/>
      <c r="EG3" s="15138"/>
      <c r="EH3" s="15138"/>
      <c r="EI3" s="15138"/>
      <c r="EJ3" s="15138"/>
      <c r="EK3" s="15139"/>
      <c r="EL3" s="15140" t="s">
        <v>357</v>
      </c>
      <c r="EM3" s="15141"/>
      <c r="EN3" s="15141"/>
      <c r="EO3" s="15141"/>
      <c r="EP3" s="15142"/>
      <c r="EQ3" s="13305" t="s">
        <v>5</v>
      </c>
      <c r="ER3" s="13306"/>
      <c r="ES3" s="13306"/>
      <c r="ET3" s="13306"/>
      <c r="EU3" s="13307"/>
    </row>
    <row r="4" spans="1:725" ht="15" customHeight="1">
      <c r="A4" s="15127"/>
      <c r="B4" s="16318"/>
      <c r="C4" s="16318"/>
      <c r="D4" s="16318"/>
      <c r="E4" s="16320"/>
      <c r="F4" s="16320"/>
      <c r="G4" s="16321"/>
      <c r="H4" s="16318"/>
      <c r="I4" s="16318"/>
      <c r="J4" s="16242"/>
      <c r="K4" s="16391"/>
      <c r="L4" s="16322"/>
      <c r="M4" s="16325"/>
      <c r="N4" s="15080"/>
      <c r="O4" s="16307"/>
      <c r="P4" s="16307"/>
      <c r="Q4" s="16307"/>
      <c r="R4" s="16310"/>
      <c r="S4" s="16290"/>
      <c r="T4" s="16290"/>
      <c r="U4" s="16290"/>
      <c r="V4" s="16294" t="s">
        <v>9816</v>
      </c>
      <c r="W4" s="16310"/>
      <c r="X4" s="16222" t="s">
        <v>23</v>
      </c>
      <c r="Y4" s="16222" t="s">
        <v>24</v>
      </c>
      <c r="Z4" s="16222" t="s">
        <v>25</v>
      </c>
      <c r="AA4" s="16222" t="s">
        <v>26</v>
      </c>
      <c r="AB4" s="16222" t="s">
        <v>27</v>
      </c>
      <c r="AC4" s="16222" t="s">
        <v>28</v>
      </c>
      <c r="AD4" s="16222" t="s">
        <v>29</v>
      </c>
      <c r="AE4" s="16222" t="s">
        <v>30</v>
      </c>
      <c r="AF4" s="16222" t="s">
        <v>31</v>
      </c>
      <c r="AG4" s="16222" t="s">
        <v>32</v>
      </c>
      <c r="AH4" s="16222" t="s">
        <v>33</v>
      </c>
      <c r="AI4" s="16222" t="s">
        <v>34</v>
      </c>
      <c r="AJ4" s="16222" t="s">
        <v>35</v>
      </c>
      <c r="AK4" s="16222" t="s">
        <v>36</v>
      </c>
      <c r="AL4" s="16222" t="s">
        <v>37</v>
      </c>
      <c r="AM4" s="16222" t="s">
        <v>38</v>
      </c>
      <c r="AN4" s="16222" t="s">
        <v>39</v>
      </c>
      <c r="AO4" s="16222" t="s">
        <v>40</v>
      </c>
      <c r="AP4" s="16222" t="s">
        <v>41</v>
      </c>
      <c r="AQ4" s="16222" t="s">
        <v>42</v>
      </c>
      <c r="AR4" s="16222" t="s">
        <v>43</v>
      </c>
      <c r="AS4" s="16222" t="s">
        <v>44</v>
      </c>
      <c r="AT4" s="16222" t="s">
        <v>45</v>
      </c>
      <c r="AU4" s="16222" t="s">
        <v>46</v>
      </c>
      <c r="AV4" s="16222" t="s">
        <v>47</v>
      </c>
      <c r="AW4" s="16219"/>
      <c r="AX4" s="16219"/>
      <c r="AY4" s="16219"/>
      <c r="AZ4" s="16312" t="s">
        <v>48</v>
      </c>
      <c r="BA4" s="16312" t="s">
        <v>49</v>
      </c>
      <c r="BB4" s="16219"/>
      <c r="BC4" s="16219" t="s">
        <v>50</v>
      </c>
      <c r="BD4" s="16219" t="s">
        <v>51</v>
      </c>
      <c r="BE4" s="16219" t="s">
        <v>52</v>
      </c>
      <c r="BF4" s="16249" t="s">
        <v>49</v>
      </c>
      <c r="BG4" s="15080"/>
      <c r="BH4" s="15080"/>
      <c r="BI4" s="16307"/>
      <c r="BJ4" s="16307"/>
      <c r="BK4" s="16307"/>
      <c r="BL4" s="16310"/>
      <c r="BM4" s="16290"/>
      <c r="BN4" s="16290"/>
      <c r="BO4" s="16290"/>
      <c r="BP4" s="16294" t="s">
        <v>9816</v>
      </c>
      <c r="BQ4" s="16310"/>
      <c r="BR4" s="16222" t="s">
        <v>23</v>
      </c>
      <c r="BS4" s="16222" t="s">
        <v>24</v>
      </c>
      <c r="BT4" s="16222" t="s">
        <v>25</v>
      </c>
      <c r="BU4" s="16222" t="s">
        <v>26</v>
      </c>
      <c r="BV4" s="16222" t="s">
        <v>27</v>
      </c>
      <c r="BW4" s="16222" t="s">
        <v>28</v>
      </c>
      <c r="BX4" s="16222" t="s">
        <v>29</v>
      </c>
      <c r="BY4" s="16222" t="s">
        <v>30</v>
      </c>
      <c r="BZ4" s="16222" t="s">
        <v>31</v>
      </c>
      <c r="CA4" s="16222" t="s">
        <v>32</v>
      </c>
      <c r="CB4" s="16222" t="s">
        <v>33</v>
      </c>
      <c r="CC4" s="16222" t="s">
        <v>34</v>
      </c>
      <c r="CD4" s="16222" t="s">
        <v>35</v>
      </c>
      <c r="CE4" s="16222" t="s">
        <v>36</v>
      </c>
      <c r="CF4" s="16222" t="s">
        <v>37</v>
      </c>
      <c r="CG4" s="16222" t="s">
        <v>38</v>
      </c>
      <c r="CH4" s="16222" t="s">
        <v>39</v>
      </c>
      <c r="CI4" s="16222" t="s">
        <v>40</v>
      </c>
      <c r="CJ4" s="16222" t="s">
        <v>41</v>
      </c>
      <c r="CK4" s="16222" t="s">
        <v>42</v>
      </c>
      <c r="CL4" s="16222" t="s">
        <v>43</v>
      </c>
      <c r="CM4" s="16222" t="s">
        <v>44</v>
      </c>
      <c r="CN4" s="16222" t="s">
        <v>45</v>
      </c>
      <c r="CO4" s="16222" t="s">
        <v>46</v>
      </c>
      <c r="CP4" s="16222" t="s">
        <v>47</v>
      </c>
      <c r="CQ4" s="16219"/>
      <c r="CR4" s="16219"/>
      <c r="CS4" s="16219"/>
      <c r="CT4" s="16312" t="s">
        <v>48</v>
      </c>
      <c r="CU4" s="16312" t="s">
        <v>49</v>
      </c>
      <c r="CV4" s="16219"/>
      <c r="CW4" s="16219" t="s">
        <v>50</v>
      </c>
      <c r="CX4" s="16219" t="s">
        <v>51</v>
      </c>
      <c r="CY4" s="16219" t="s">
        <v>52</v>
      </c>
      <c r="CZ4" s="16249" t="s">
        <v>49</v>
      </c>
      <c r="DA4" s="814"/>
      <c r="DB4" s="14601"/>
      <c r="DC4" s="16032"/>
      <c r="DD4" s="16032"/>
      <c r="DE4" s="13296"/>
      <c r="DF4" s="13296"/>
      <c r="DG4" s="13298"/>
      <c r="DH4" s="14605" t="s">
        <v>6</v>
      </c>
      <c r="DI4" s="14611" t="s">
        <v>7</v>
      </c>
      <c r="DJ4" s="14577" t="s">
        <v>8</v>
      </c>
      <c r="DK4" s="14579" t="s">
        <v>9</v>
      </c>
      <c r="DL4" s="13308" t="s">
        <v>10</v>
      </c>
      <c r="DM4" s="13282" t="s">
        <v>11</v>
      </c>
      <c r="DN4" s="13284"/>
      <c r="DO4" s="13282" t="s">
        <v>12</v>
      </c>
      <c r="DP4" s="13284"/>
      <c r="DQ4" s="13282" t="s">
        <v>13</v>
      </c>
      <c r="DR4" s="13283"/>
      <c r="DS4" s="13283"/>
      <c r="DT4" s="13283"/>
      <c r="DU4" s="13283"/>
      <c r="DV4" s="13283"/>
      <c r="DW4" s="13283"/>
      <c r="DX4" s="15143" t="s">
        <v>14</v>
      </c>
      <c r="DY4" s="15144"/>
      <c r="DZ4" s="15144"/>
      <c r="EA4" s="15144"/>
      <c r="EB4" s="15144"/>
      <c r="EC4" s="15144"/>
      <c r="ED4" s="15144"/>
      <c r="EE4" s="15144"/>
      <c r="EF4" s="15144" t="s">
        <v>15</v>
      </c>
      <c r="EG4" s="15144"/>
      <c r="EH4" s="15144"/>
      <c r="EI4" s="15144"/>
      <c r="EJ4" s="15144"/>
      <c r="EK4" s="15198"/>
      <c r="EL4" s="15199" t="s">
        <v>16</v>
      </c>
      <c r="EM4" s="15183" t="s">
        <v>17</v>
      </c>
      <c r="EN4" s="15145" t="s">
        <v>18</v>
      </c>
      <c r="EO4" s="3375" t="s">
        <v>19</v>
      </c>
      <c r="EP4" s="3376" t="s">
        <v>20</v>
      </c>
      <c r="EQ4" s="15135" t="s">
        <v>21</v>
      </c>
      <c r="ER4" s="13279" t="s">
        <v>22</v>
      </c>
      <c r="ES4" s="13280"/>
      <c r="ET4" s="13281"/>
      <c r="EU4" s="12" t="s">
        <v>20</v>
      </c>
    </row>
    <row r="5" spans="1:725" ht="15" customHeight="1" thickBot="1">
      <c r="A5" s="16317"/>
      <c r="B5" s="16319"/>
      <c r="C5" s="16319"/>
      <c r="D5" s="16319"/>
      <c r="E5" s="5799">
        <v>2015</v>
      </c>
      <c r="F5" s="5799">
        <v>2019</v>
      </c>
      <c r="G5" s="16321"/>
      <c r="H5" s="16319"/>
      <c r="I5" s="16319"/>
      <c r="J5" s="5799">
        <v>2019</v>
      </c>
      <c r="K5" s="16392"/>
      <c r="L5" s="16323"/>
      <c r="M5" s="16326"/>
      <c r="N5" s="16248"/>
      <c r="O5" s="16308"/>
      <c r="P5" s="16308"/>
      <c r="Q5" s="16308"/>
      <c r="R5" s="16311"/>
      <c r="S5" s="16291"/>
      <c r="T5" s="16291"/>
      <c r="U5" s="16291"/>
      <c r="V5" s="16295"/>
      <c r="W5" s="16311"/>
      <c r="X5" s="16223"/>
      <c r="Y5" s="16223"/>
      <c r="Z5" s="16223"/>
      <c r="AA5" s="16223"/>
      <c r="AB5" s="16223"/>
      <c r="AC5" s="16223"/>
      <c r="AD5" s="16223"/>
      <c r="AE5" s="16223"/>
      <c r="AF5" s="16223"/>
      <c r="AG5" s="16223"/>
      <c r="AH5" s="16223"/>
      <c r="AI5" s="16223"/>
      <c r="AJ5" s="16223"/>
      <c r="AK5" s="16223"/>
      <c r="AL5" s="16223"/>
      <c r="AM5" s="16223"/>
      <c r="AN5" s="16223"/>
      <c r="AO5" s="16223"/>
      <c r="AP5" s="16223"/>
      <c r="AQ5" s="16223"/>
      <c r="AR5" s="16223"/>
      <c r="AS5" s="16223"/>
      <c r="AT5" s="16223"/>
      <c r="AU5" s="16223"/>
      <c r="AV5" s="16223"/>
      <c r="AW5" s="16220"/>
      <c r="AX5" s="16220"/>
      <c r="AY5" s="16220"/>
      <c r="AZ5" s="16313"/>
      <c r="BA5" s="16313"/>
      <c r="BB5" s="16220"/>
      <c r="BC5" s="16220"/>
      <c r="BD5" s="16220"/>
      <c r="BE5" s="16220"/>
      <c r="BF5" s="16250"/>
      <c r="BG5" s="16248"/>
      <c r="BH5" s="16248"/>
      <c r="BI5" s="16308"/>
      <c r="BJ5" s="16308"/>
      <c r="BK5" s="16308"/>
      <c r="BL5" s="16311"/>
      <c r="BM5" s="16291"/>
      <c r="BN5" s="16291"/>
      <c r="BO5" s="16291"/>
      <c r="BP5" s="16295"/>
      <c r="BQ5" s="16311"/>
      <c r="BR5" s="16223"/>
      <c r="BS5" s="16223"/>
      <c r="BT5" s="16223"/>
      <c r="BU5" s="16223"/>
      <c r="BV5" s="16223"/>
      <c r="BW5" s="16223"/>
      <c r="BX5" s="16223"/>
      <c r="BY5" s="16223"/>
      <c r="BZ5" s="16223"/>
      <c r="CA5" s="16223"/>
      <c r="CB5" s="16223"/>
      <c r="CC5" s="16223"/>
      <c r="CD5" s="16223"/>
      <c r="CE5" s="16223"/>
      <c r="CF5" s="16223"/>
      <c r="CG5" s="16223"/>
      <c r="CH5" s="16223"/>
      <c r="CI5" s="16223"/>
      <c r="CJ5" s="16223"/>
      <c r="CK5" s="16223"/>
      <c r="CL5" s="16223"/>
      <c r="CM5" s="16223"/>
      <c r="CN5" s="16223"/>
      <c r="CO5" s="16223"/>
      <c r="CP5" s="16223"/>
      <c r="CQ5" s="16220"/>
      <c r="CR5" s="16220"/>
      <c r="CS5" s="16220"/>
      <c r="CT5" s="16313"/>
      <c r="CU5" s="16313"/>
      <c r="CV5" s="16220"/>
      <c r="CW5" s="16220"/>
      <c r="CX5" s="16220"/>
      <c r="CY5" s="16220"/>
      <c r="CZ5" s="16250"/>
      <c r="DA5" s="814"/>
      <c r="DB5" s="14601"/>
      <c r="DC5" s="15137"/>
      <c r="DD5" s="15137"/>
      <c r="DE5" s="13296"/>
      <c r="DF5" s="13296"/>
      <c r="DG5" s="13298"/>
      <c r="DH5" s="14606"/>
      <c r="DI5" s="14612"/>
      <c r="DJ5" s="14578"/>
      <c r="DK5" s="14580"/>
      <c r="DL5" s="13309"/>
      <c r="DM5" s="3462" t="s">
        <v>23</v>
      </c>
      <c r="DN5" s="3463" t="s">
        <v>24</v>
      </c>
      <c r="DO5" s="3462" t="s">
        <v>25</v>
      </c>
      <c r="DP5" s="3463" t="s">
        <v>26</v>
      </c>
      <c r="DQ5" s="3464" t="s">
        <v>27</v>
      </c>
      <c r="DR5" s="3465" t="s">
        <v>28</v>
      </c>
      <c r="DS5" s="3466" t="s">
        <v>29</v>
      </c>
      <c r="DT5" s="3466" t="s">
        <v>30</v>
      </c>
      <c r="DU5" s="3466" t="s">
        <v>31</v>
      </c>
      <c r="DV5" s="3466" t="s">
        <v>32</v>
      </c>
      <c r="DW5" s="3373" t="s">
        <v>33</v>
      </c>
      <c r="DX5" s="3464" t="s">
        <v>34</v>
      </c>
      <c r="DY5" s="3466" t="s">
        <v>35</v>
      </c>
      <c r="DZ5" s="3466" t="s">
        <v>36</v>
      </c>
      <c r="EA5" s="3466" t="s">
        <v>37</v>
      </c>
      <c r="EB5" s="3466" t="s">
        <v>38</v>
      </c>
      <c r="EC5" s="3466" t="s">
        <v>39</v>
      </c>
      <c r="ED5" s="3466" t="s">
        <v>40</v>
      </c>
      <c r="EE5" s="3466" t="s">
        <v>41</v>
      </c>
      <c r="EF5" s="3466" t="s">
        <v>42</v>
      </c>
      <c r="EG5" s="3466" t="s">
        <v>43</v>
      </c>
      <c r="EH5" s="3466" t="s">
        <v>44</v>
      </c>
      <c r="EI5" s="3466" t="s">
        <v>45</v>
      </c>
      <c r="EJ5" s="3466" t="s">
        <v>46</v>
      </c>
      <c r="EK5" s="3467" t="s">
        <v>47</v>
      </c>
      <c r="EL5" s="15200"/>
      <c r="EM5" s="15184"/>
      <c r="EN5" s="15146"/>
      <c r="EO5" s="5043" t="s">
        <v>48</v>
      </c>
      <c r="EP5" s="3469" t="s">
        <v>49</v>
      </c>
      <c r="EQ5" s="15136"/>
      <c r="ER5" s="5041" t="s">
        <v>50</v>
      </c>
      <c r="ES5" s="5041" t="s">
        <v>51</v>
      </c>
      <c r="ET5" s="5041" t="s">
        <v>52</v>
      </c>
      <c r="EU5" s="2217" t="s">
        <v>49</v>
      </c>
    </row>
    <row r="6" spans="1:725" s="2036" customFormat="1" ht="15" customHeight="1">
      <c r="A6" s="16279" t="s">
        <v>2620</v>
      </c>
      <c r="B6" s="16411" t="s">
        <v>2621</v>
      </c>
      <c r="C6" s="16279" t="s">
        <v>2622</v>
      </c>
      <c r="D6" s="5899" t="s">
        <v>2623</v>
      </c>
      <c r="E6" s="5899" t="s">
        <v>2624</v>
      </c>
      <c r="F6" s="16239" t="s">
        <v>2625</v>
      </c>
      <c r="G6" s="16239" t="s">
        <v>2626</v>
      </c>
      <c r="H6" s="16239" t="s">
        <v>4523</v>
      </c>
      <c r="I6" s="16239" t="s">
        <v>9836</v>
      </c>
      <c r="J6" s="16239" t="s">
        <v>2625</v>
      </c>
      <c r="K6" s="5899" t="s">
        <v>86</v>
      </c>
      <c r="L6" s="5900" t="s">
        <v>2862</v>
      </c>
      <c r="M6" s="5900"/>
      <c r="N6" s="5901">
        <v>1</v>
      </c>
      <c r="O6" s="5902" t="s">
        <v>3503</v>
      </c>
      <c r="P6" s="5902" t="s">
        <v>3285</v>
      </c>
      <c r="Q6" s="5902" t="s">
        <v>3504</v>
      </c>
      <c r="R6" s="5903">
        <v>59400000</v>
      </c>
      <c r="S6" s="5904">
        <v>0</v>
      </c>
      <c r="T6" s="5903">
        <v>59400000</v>
      </c>
      <c r="U6" s="5904">
        <v>0</v>
      </c>
      <c r="V6" s="5904" t="s">
        <v>3505</v>
      </c>
      <c r="W6" s="5904"/>
      <c r="X6" s="5904"/>
      <c r="Y6" s="5904"/>
      <c r="Z6" s="5904"/>
      <c r="AA6" s="5904"/>
      <c r="AB6" s="5904"/>
      <c r="AC6" s="5904"/>
      <c r="AD6" s="5904"/>
      <c r="AE6" s="5904"/>
      <c r="AF6" s="5904"/>
      <c r="AG6" s="5904"/>
      <c r="AH6" s="5904"/>
      <c r="AI6" s="5904"/>
      <c r="AJ6" s="5904"/>
      <c r="AK6" s="5904"/>
      <c r="AL6" s="5904"/>
      <c r="AM6" s="5904"/>
      <c r="AN6" s="5904"/>
      <c r="AO6" s="5904"/>
      <c r="AP6" s="5904"/>
      <c r="AQ6" s="5904"/>
      <c r="AR6" s="5904"/>
      <c r="AS6" s="5904"/>
      <c r="AT6" s="5904"/>
      <c r="AU6" s="5904"/>
      <c r="AV6" s="5904" t="s">
        <v>3506</v>
      </c>
      <c r="AW6" s="5902" t="s">
        <v>3507</v>
      </c>
      <c r="AX6" s="5904" t="s">
        <v>3508</v>
      </c>
      <c r="AY6" s="5904" t="s">
        <v>3509</v>
      </c>
      <c r="AZ6" s="5904" t="s">
        <v>3510</v>
      </c>
      <c r="BA6" s="5905"/>
      <c r="BB6" s="5905"/>
      <c r="BC6" s="5905"/>
      <c r="BD6" s="5905"/>
      <c r="BE6" s="5905"/>
      <c r="BF6" s="5905"/>
      <c r="BG6" s="5904" t="s">
        <v>9817</v>
      </c>
      <c r="BH6" s="5906">
        <v>1</v>
      </c>
      <c r="BI6" s="2404" t="s">
        <v>9114</v>
      </c>
      <c r="BJ6" s="5907" t="s">
        <v>9115</v>
      </c>
      <c r="BK6" s="5908" t="s">
        <v>9116</v>
      </c>
      <c r="BL6" s="5903">
        <v>895000000</v>
      </c>
      <c r="BM6" s="5903">
        <v>704400000</v>
      </c>
      <c r="BN6" s="5903">
        <v>190600000</v>
      </c>
      <c r="BO6" s="5905"/>
      <c r="BP6" s="5909"/>
      <c r="BQ6" s="5904">
        <v>2</v>
      </c>
      <c r="BR6" s="5910"/>
      <c r="BS6" s="5904">
        <v>2</v>
      </c>
      <c r="BT6" s="5904">
        <v>2</v>
      </c>
      <c r="BU6" s="5904"/>
      <c r="BV6" s="5904"/>
      <c r="BW6" s="5905"/>
      <c r="BX6" s="5905"/>
      <c r="BY6" s="5904">
        <v>1</v>
      </c>
      <c r="BZ6" s="5904">
        <v>1</v>
      </c>
      <c r="CA6" s="5905"/>
      <c r="CB6" s="5905"/>
      <c r="CC6" s="5904">
        <v>2</v>
      </c>
      <c r="CD6" s="5905"/>
      <c r="CE6" s="5905"/>
      <c r="CF6" s="5905"/>
      <c r="CG6" s="5905"/>
      <c r="CH6" s="5905"/>
      <c r="CI6" s="5905"/>
      <c r="CJ6" s="5905"/>
      <c r="CK6" s="5904">
        <v>2</v>
      </c>
      <c r="CL6" s="5905"/>
      <c r="CM6" s="5905"/>
      <c r="CN6" s="5905"/>
      <c r="CO6" s="5905"/>
      <c r="CP6" s="5905"/>
      <c r="CQ6" s="5905"/>
      <c r="CR6" s="5905"/>
      <c r="CS6" s="5905"/>
      <c r="CT6" s="5905"/>
      <c r="CU6" s="5905"/>
      <c r="CV6" s="5905"/>
      <c r="CW6" s="5905"/>
      <c r="CX6" s="5905"/>
      <c r="CY6" s="5905"/>
      <c r="CZ6" s="5905"/>
      <c r="DA6" s="5905"/>
      <c r="DB6" s="5905"/>
      <c r="DC6" s="5905"/>
      <c r="DD6" s="5905"/>
      <c r="DE6" s="5905"/>
      <c r="DF6" s="5905"/>
      <c r="DG6" s="5905"/>
      <c r="DH6" s="5905"/>
      <c r="DI6" s="5905"/>
      <c r="DJ6" s="5905"/>
      <c r="DK6" s="5905"/>
      <c r="DL6" s="5905"/>
      <c r="DM6" s="5905"/>
      <c r="DN6" s="5905"/>
      <c r="DO6" s="5905"/>
      <c r="DP6" s="5905"/>
      <c r="DQ6" s="5905"/>
      <c r="DR6" s="5905"/>
      <c r="DS6" s="5905"/>
      <c r="DT6" s="5905"/>
      <c r="DU6" s="5905"/>
      <c r="DV6" s="5905"/>
      <c r="DW6" s="5905"/>
      <c r="DX6" s="5905"/>
      <c r="DY6" s="5905"/>
      <c r="DZ6" s="5905"/>
      <c r="EA6" s="5905"/>
      <c r="EB6" s="5905"/>
      <c r="EC6" s="5905"/>
      <c r="ED6" s="5905"/>
      <c r="EE6" s="5905"/>
      <c r="EF6" s="5905"/>
      <c r="EG6" s="5905"/>
      <c r="EH6" s="5905"/>
      <c r="EI6" s="5905"/>
      <c r="EJ6" s="5905"/>
      <c r="EK6" s="5905"/>
      <c r="EL6" s="5905"/>
      <c r="EM6" s="5905"/>
      <c r="EN6" s="5905"/>
      <c r="EO6" s="5905"/>
      <c r="EP6" s="5905"/>
      <c r="EQ6" s="5905"/>
      <c r="ER6" s="5905"/>
      <c r="ES6" s="5905"/>
      <c r="ET6" s="5905"/>
      <c r="EU6" s="5911"/>
    </row>
    <row r="7" spans="1:725" s="2036" customFormat="1" ht="15" customHeight="1">
      <c r="A7" s="16280"/>
      <c r="B7" s="16412"/>
      <c r="C7" s="16280"/>
      <c r="D7" s="2754"/>
      <c r="E7" s="2754"/>
      <c r="F7" s="16238"/>
      <c r="G7" s="16238"/>
      <c r="H7" s="16238"/>
      <c r="I7" s="16238"/>
      <c r="J7" s="16238"/>
      <c r="K7" s="2754" t="s">
        <v>208</v>
      </c>
      <c r="L7" s="5181"/>
      <c r="M7" s="5181" t="s">
        <v>2855</v>
      </c>
      <c r="N7" s="5800"/>
      <c r="O7" s="2742"/>
      <c r="P7" s="2742"/>
      <c r="Q7" s="2742"/>
      <c r="R7" s="5183"/>
      <c r="S7" s="5182"/>
      <c r="T7" s="5183"/>
      <c r="U7" s="5182"/>
      <c r="V7" s="5182"/>
      <c r="W7" s="5182"/>
      <c r="X7" s="5182"/>
      <c r="Y7" s="5182"/>
      <c r="Z7" s="5182"/>
      <c r="AA7" s="5182"/>
      <c r="AB7" s="5182"/>
      <c r="AC7" s="5182"/>
      <c r="AD7" s="5182"/>
      <c r="AE7" s="5182"/>
      <c r="AF7" s="5182"/>
      <c r="AG7" s="5182"/>
      <c r="AH7" s="5182"/>
      <c r="AI7" s="5182"/>
      <c r="AJ7" s="5182"/>
      <c r="AK7" s="5182"/>
      <c r="AL7" s="5182"/>
      <c r="AM7" s="5182"/>
      <c r="AN7" s="5182"/>
      <c r="AO7" s="5182"/>
      <c r="AP7" s="5182"/>
      <c r="AQ7" s="5182"/>
      <c r="AR7" s="5182"/>
      <c r="AS7" s="5182"/>
      <c r="AT7" s="5182"/>
      <c r="AU7" s="5182"/>
      <c r="AV7" s="5182"/>
      <c r="AW7" s="2742"/>
      <c r="AX7" s="5182"/>
      <c r="AY7" s="5182"/>
      <c r="AZ7" s="5182"/>
      <c r="BA7" s="5737"/>
      <c r="BB7" s="5737"/>
      <c r="BC7" s="5737"/>
      <c r="BD7" s="5737"/>
      <c r="BE7" s="5737"/>
      <c r="BF7" s="5737"/>
      <c r="BG7" s="5182"/>
      <c r="BH7" s="5275"/>
      <c r="BI7" s="2415"/>
      <c r="BJ7" s="5801"/>
      <c r="BK7" s="2773"/>
      <c r="BL7" s="5183"/>
      <c r="BM7" s="5183"/>
      <c r="BN7" s="5183"/>
      <c r="BO7" s="5737"/>
      <c r="BP7" s="5802"/>
      <c r="BQ7" s="5182"/>
      <c r="BR7" s="5739"/>
      <c r="BS7" s="5182"/>
      <c r="BT7" s="5182"/>
      <c r="BU7" s="5182"/>
      <c r="BV7" s="5182"/>
      <c r="BW7" s="5737"/>
      <c r="BX7" s="5737"/>
      <c r="BY7" s="5182"/>
      <c r="BZ7" s="5182"/>
      <c r="CA7" s="5737"/>
      <c r="CB7" s="5737"/>
      <c r="CC7" s="5182"/>
      <c r="CD7" s="5737"/>
      <c r="CE7" s="5737"/>
      <c r="CF7" s="5737"/>
      <c r="CG7" s="5737"/>
      <c r="CH7" s="5737"/>
      <c r="CI7" s="5737"/>
      <c r="CJ7" s="5737"/>
      <c r="CK7" s="5182"/>
      <c r="CL7" s="5737"/>
      <c r="CM7" s="5737"/>
      <c r="CN7" s="5737"/>
      <c r="CO7" s="5737"/>
      <c r="CP7" s="5737"/>
      <c r="CQ7" s="5737"/>
      <c r="CR7" s="5737"/>
      <c r="CS7" s="5737"/>
      <c r="CT7" s="5737"/>
      <c r="CU7" s="5737"/>
      <c r="CV7" s="5737"/>
      <c r="CW7" s="5737"/>
      <c r="CX7" s="5737"/>
      <c r="CY7" s="5737"/>
      <c r="CZ7" s="5737"/>
      <c r="DA7" s="5737"/>
      <c r="DB7" s="5737"/>
      <c r="DC7" s="5737"/>
      <c r="DD7" s="5737"/>
      <c r="DE7" s="5737"/>
      <c r="DF7" s="5737"/>
      <c r="DG7" s="5737"/>
      <c r="DH7" s="5737"/>
      <c r="DI7" s="5737"/>
      <c r="DJ7" s="5737"/>
      <c r="DK7" s="5737"/>
      <c r="DL7" s="5737"/>
      <c r="DM7" s="5737"/>
      <c r="DN7" s="5737"/>
      <c r="DO7" s="5737"/>
      <c r="DP7" s="5737"/>
      <c r="DQ7" s="5737"/>
      <c r="DR7" s="5737"/>
      <c r="DS7" s="5737"/>
      <c r="DT7" s="5737"/>
      <c r="DU7" s="5737"/>
      <c r="DV7" s="5737"/>
      <c r="DW7" s="5737"/>
      <c r="DX7" s="5737"/>
      <c r="DY7" s="5737"/>
      <c r="DZ7" s="5737"/>
      <c r="EA7" s="5737"/>
      <c r="EB7" s="5737"/>
      <c r="EC7" s="5737"/>
      <c r="ED7" s="5737"/>
      <c r="EE7" s="5737"/>
      <c r="EF7" s="5737"/>
      <c r="EG7" s="5737"/>
      <c r="EH7" s="5737"/>
      <c r="EI7" s="5737"/>
      <c r="EJ7" s="5737"/>
      <c r="EK7" s="5737"/>
      <c r="EL7" s="5737"/>
      <c r="EM7" s="5737"/>
      <c r="EN7" s="5737"/>
      <c r="EO7" s="5737"/>
      <c r="EP7" s="5737"/>
      <c r="EQ7" s="5737"/>
      <c r="ER7" s="5737"/>
      <c r="ES7" s="5737"/>
      <c r="ET7" s="5737"/>
      <c r="EU7" s="2037"/>
    </row>
    <row r="8" spans="1:725" s="2036" customFormat="1" ht="15" customHeight="1">
      <c r="A8" s="16280"/>
      <c r="B8" s="16412"/>
      <c r="C8" s="16280"/>
      <c r="D8" s="2754" t="s">
        <v>2627</v>
      </c>
      <c r="E8" s="2754" t="s">
        <v>2628</v>
      </c>
      <c r="F8" s="16238" t="s">
        <v>2629</v>
      </c>
      <c r="G8" s="16238"/>
      <c r="H8" s="16238" t="s">
        <v>4524</v>
      </c>
      <c r="I8" s="16238" t="s">
        <v>2630</v>
      </c>
      <c r="J8" s="16238" t="s">
        <v>2629</v>
      </c>
      <c r="K8" s="2754" t="s">
        <v>86</v>
      </c>
      <c r="L8" s="5181" t="s">
        <v>2862</v>
      </c>
      <c r="M8" s="5181"/>
      <c r="N8" s="5803">
        <v>1</v>
      </c>
      <c r="O8" s="2773" t="s">
        <v>3511</v>
      </c>
      <c r="P8" s="2773" t="s">
        <v>3512</v>
      </c>
      <c r="Q8" s="5737"/>
      <c r="R8" s="5741">
        <v>891000000</v>
      </c>
      <c r="S8" s="5741">
        <v>704400000</v>
      </c>
      <c r="T8" s="5741">
        <v>186600000</v>
      </c>
      <c r="U8" s="5451"/>
      <c r="V8" s="5451">
        <v>40</v>
      </c>
      <c r="W8" s="5451">
        <v>25</v>
      </c>
      <c r="X8" s="5451">
        <v>15</v>
      </c>
      <c r="Y8" s="5451">
        <v>31</v>
      </c>
      <c r="Z8" s="5451">
        <v>9</v>
      </c>
      <c r="AA8" s="5451">
        <v>40</v>
      </c>
      <c r="AB8" s="5451"/>
      <c r="AC8" s="5451"/>
      <c r="AD8" s="5451"/>
      <c r="AE8" s="5451"/>
      <c r="AF8" s="5451"/>
      <c r="AG8" s="5451"/>
      <c r="AH8" s="5451"/>
      <c r="AI8" s="5451"/>
      <c r="AJ8" s="5451"/>
      <c r="AK8" s="5451"/>
      <c r="AL8" s="5451"/>
      <c r="AM8" s="5451"/>
      <c r="AN8" s="5451"/>
      <c r="AO8" s="5451"/>
      <c r="AP8" s="5451">
        <v>34</v>
      </c>
      <c r="AQ8" s="5451">
        <v>6</v>
      </c>
      <c r="AR8" s="5451"/>
      <c r="AS8" s="5451"/>
      <c r="AT8" s="5451"/>
      <c r="AU8" s="5737"/>
      <c r="AV8" s="5182" t="s">
        <v>3506</v>
      </c>
      <c r="AW8" s="2742" t="s">
        <v>3507</v>
      </c>
      <c r="AX8" s="5182" t="s">
        <v>3513</v>
      </c>
      <c r="AY8" s="5182" t="s">
        <v>3509</v>
      </c>
      <c r="AZ8" s="5182" t="s">
        <v>3510</v>
      </c>
      <c r="BA8" s="5737"/>
      <c r="BB8" s="5737"/>
      <c r="BC8" s="5737"/>
      <c r="BD8" s="5737"/>
      <c r="BE8" s="5737"/>
      <c r="BF8" s="5737"/>
      <c r="BG8" s="2742" t="s">
        <v>9818</v>
      </c>
      <c r="BH8" s="5275">
        <v>1</v>
      </c>
      <c r="BI8" s="2415" t="s">
        <v>9117</v>
      </c>
      <c r="BJ8" s="2773" t="s">
        <v>3512</v>
      </c>
      <c r="BK8" s="2773"/>
      <c r="BL8" s="5183">
        <v>891000000</v>
      </c>
      <c r="BM8" s="5183">
        <v>704400000</v>
      </c>
      <c r="BN8" s="5183">
        <v>186600000</v>
      </c>
      <c r="BO8" s="2773"/>
      <c r="BP8" s="2773"/>
      <c r="BQ8" s="2742">
        <v>29</v>
      </c>
      <c r="BR8" s="2742">
        <v>15</v>
      </c>
      <c r="BS8" s="2742">
        <v>14</v>
      </c>
      <c r="BT8" s="2742">
        <v>29</v>
      </c>
      <c r="BU8" s="2742"/>
      <c r="BV8" s="2742">
        <v>29</v>
      </c>
      <c r="BW8" s="5737"/>
      <c r="BX8" s="5737"/>
      <c r="BY8" s="5182"/>
      <c r="BZ8" s="5182"/>
      <c r="CA8" s="5737"/>
      <c r="CB8" s="5737"/>
      <c r="CC8" s="5182"/>
      <c r="CD8" s="5737"/>
      <c r="CE8" s="5737"/>
      <c r="CF8" s="5737"/>
      <c r="CG8" s="5737"/>
      <c r="CH8" s="5737"/>
      <c r="CI8" s="5737"/>
      <c r="CJ8" s="5737"/>
      <c r="CK8" s="5182"/>
      <c r="CL8" s="5737"/>
      <c r="CM8" s="5737"/>
      <c r="CN8" s="5737"/>
      <c r="CO8" s="5737"/>
      <c r="CP8" s="5737"/>
      <c r="CQ8" s="5737"/>
      <c r="CR8" s="5737"/>
      <c r="CS8" s="5737"/>
      <c r="CT8" s="5737"/>
      <c r="CU8" s="5737"/>
      <c r="CV8" s="5737"/>
      <c r="CW8" s="5737"/>
      <c r="CX8" s="5737"/>
      <c r="CY8" s="5737"/>
      <c r="CZ8" s="5737"/>
      <c r="DA8" s="5737"/>
      <c r="DB8" s="5737"/>
      <c r="DC8" s="5737"/>
      <c r="DD8" s="5737"/>
      <c r="DE8" s="5737"/>
      <c r="DF8" s="5737"/>
      <c r="DG8" s="5737"/>
      <c r="DH8" s="5737"/>
      <c r="DI8" s="5737"/>
      <c r="DJ8" s="5737"/>
      <c r="DK8" s="5737"/>
      <c r="DL8" s="5737"/>
      <c r="DM8" s="5737"/>
      <c r="DN8" s="5737"/>
      <c r="DO8" s="5737"/>
      <c r="DP8" s="5737"/>
      <c r="DQ8" s="5737"/>
      <c r="DR8" s="5737"/>
      <c r="DS8" s="5737"/>
      <c r="DT8" s="5737"/>
      <c r="DU8" s="5737"/>
      <c r="DV8" s="5737"/>
      <c r="DW8" s="5737"/>
      <c r="DX8" s="5737"/>
      <c r="DY8" s="5737"/>
      <c r="DZ8" s="5737"/>
      <c r="EA8" s="5737"/>
      <c r="EB8" s="5737"/>
      <c r="EC8" s="5737"/>
      <c r="ED8" s="5737"/>
      <c r="EE8" s="5737"/>
      <c r="EF8" s="5737"/>
      <c r="EG8" s="5737"/>
      <c r="EH8" s="5737"/>
      <c r="EI8" s="5737"/>
      <c r="EJ8" s="5737"/>
      <c r="EK8" s="5737"/>
      <c r="EL8" s="5737"/>
      <c r="EM8" s="5737"/>
      <c r="EN8" s="5737"/>
      <c r="EO8" s="5737"/>
      <c r="EP8" s="5737"/>
      <c r="EQ8" s="5737"/>
      <c r="ER8" s="5737"/>
      <c r="ES8" s="5737"/>
      <c r="ET8" s="5737"/>
      <c r="EU8" s="2037"/>
    </row>
    <row r="9" spans="1:725" s="2036" customFormat="1" ht="15" customHeight="1">
      <c r="A9" s="16280"/>
      <c r="B9" s="16412"/>
      <c r="C9" s="16280"/>
      <c r="D9" s="2754"/>
      <c r="E9" s="2754"/>
      <c r="F9" s="16238"/>
      <c r="G9" s="16238"/>
      <c r="H9" s="16238"/>
      <c r="I9" s="16238"/>
      <c r="J9" s="16238"/>
      <c r="K9" s="2754" t="s">
        <v>208</v>
      </c>
      <c r="L9" s="5181"/>
      <c r="M9" s="5181" t="s">
        <v>2855</v>
      </c>
      <c r="N9" s="5803"/>
      <c r="O9" s="2773"/>
      <c r="P9" s="2773"/>
      <c r="Q9" s="5737"/>
      <c r="R9" s="5741"/>
      <c r="S9" s="5741"/>
      <c r="T9" s="5741"/>
      <c r="U9" s="5451"/>
      <c r="V9" s="5451"/>
      <c r="W9" s="5451"/>
      <c r="X9" s="5451"/>
      <c r="Y9" s="5451"/>
      <c r="Z9" s="5451"/>
      <c r="AA9" s="5451"/>
      <c r="AB9" s="5451"/>
      <c r="AC9" s="5451"/>
      <c r="AD9" s="5451"/>
      <c r="AE9" s="5451"/>
      <c r="AF9" s="5451"/>
      <c r="AG9" s="5451"/>
      <c r="AH9" s="5451"/>
      <c r="AI9" s="5451"/>
      <c r="AJ9" s="5451"/>
      <c r="AK9" s="5451"/>
      <c r="AL9" s="5451"/>
      <c r="AM9" s="5451"/>
      <c r="AN9" s="5451"/>
      <c r="AO9" s="5451"/>
      <c r="AP9" s="5451"/>
      <c r="AQ9" s="5451"/>
      <c r="AR9" s="5451"/>
      <c r="AS9" s="5451"/>
      <c r="AT9" s="5451"/>
      <c r="AU9" s="5737"/>
      <c r="AV9" s="5182"/>
      <c r="AW9" s="2742"/>
      <c r="AX9" s="5182"/>
      <c r="AY9" s="5182"/>
      <c r="AZ9" s="5182"/>
      <c r="BA9" s="5737"/>
      <c r="BB9" s="5737"/>
      <c r="BC9" s="5737"/>
      <c r="BD9" s="5737"/>
      <c r="BE9" s="5737"/>
      <c r="BF9" s="5737"/>
      <c r="BG9" s="2742"/>
      <c r="BH9" s="5275"/>
      <c r="BI9" s="2415"/>
      <c r="BJ9" s="2773"/>
      <c r="BK9" s="2773"/>
      <c r="BL9" s="5183"/>
      <c r="BM9" s="5183"/>
      <c r="BN9" s="5183"/>
      <c r="BO9" s="2773"/>
      <c r="BP9" s="2773"/>
      <c r="BQ9" s="2742"/>
      <c r="BR9" s="2742"/>
      <c r="BS9" s="2742"/>
      <c r="BT9" s="2742"/>
      <c r="BU9" s="2742"/>
      <c r="BV9" s="2742"/>
      <c r="BW9" s="5737"/>
      <c r="BX9" s="5737"/>
      <c r="BY9" s="5182"/>
      <c r="BZ9" s="5182"/>
      <c r="CA9" s="5737"/>
      <c r="CB9" s="5737"/>
      <c r="CC9" s="5182"/>
      <c r="CD9" s="5737"/>
      <c r="CE9" s="5737"/>
      <c r="CF9" s="5737"/>
      <c r="CG9" s="5737"/>
      <c r="CH9" s="5737"/>
      <c r="CI9" s="5737"/>
      <c r="CJ9" s="5737"/>
      <c r="CK9" s="5182"/>
      <c r="CL9" s="5737"/>
      <c r="CM9" s="5737"/>
      <c r="CN9" s="5737"/>
      <c r="CO9" s="5737"/>
      <c r="CP9" s="5737"/>
      <c r="CQ9" s="5737"/>
      <c r="CR9" s="5737"/>
      <c r="CS9" s="5737"/>
      <c r="CT9" s="5737"/>
      <c r="CU9" s="5737"/>
      <c r="CV9" s="5737"/>
      <c r="CW9" s="5737"/>
      <c r="CX9" s="5737"/>
      <c r="CY9" s="5737"/>
      <c r="CZ9" s="5737"/>
      <c r="DA9" s="5737"/>
      <c r="DB9" s="5737"/>
      <c r="DC9" s="5737"/>
      <c r="DD9" s="5737"/>
      <c r="DE9" s="5737"/>
      <c r="DF9" s="5737"/>
      <c r="DG9" s="5737"/>
      <c r="DH9" s="5737"/>
      <c r="DI9" s="5737"/>
      <c r="DJ9" s="5737"/>
      <c r="DK9" s="5737"/>
      <c r="DL9" s="5737"/>
      <c r="DM9" s="5737"/>
      <c r="DN9" s="5737"/>
      <c r="DO9" s="5737"/>
      <c r="DP9" s="5737"/>
      <c r="DQ9" s="5737"/>
      <c r="DR9" s="5737"/>
      <c r="DS9" s="5737"/>
      <c r="DT9" s="5737"/>
      <c r="DU9" s="5737"/>
      <c r="DV9" s="5737"/>
      <c r="DW9" s="5737"/>
      <c r="DX9" s="5737"/>
      <c r="DY9" s="5737"/>
      <c r="DZ9" s="5737"/>
      <c r="EA9" s="5737"/>
      <c r="EB9" s="5737"/>
      <c r="EC9" s="5737"/>
      <c r="ED9" s="5737"/>
      <c r="EE9" s="5737"/>
      <c r="EF9" s="5737"/>
      <c r="EG9" s="5737"/>
      <c r="EH9" s="5737"/>
      <c r="EI9" s="5737"/>
      <c r="EJ9" s="5737"/>
      <c r="EK9" s="5737"/>
      <c r="EL9" s="5737"/>
      <c r="EM9" s="5737"/>
      <c r="EN9" s="5737"/>
      <c r="EO9" s="5737"/>
      <c r="EP9" s="5737"/>
      <c r="EQ9" s="5737"/>
      <c r="ER9" s="5737"/>
      <c r="ES9" s="5737"/>
      <c r="ET9" s="5737"/>
      <c r="EU9" s="2037"/>
    </row>
    <row r="10" spans="1:725" s="2036" customFormat="1" ht="15" customHeight="1">
      <c r="A10" s="16280"/>
      <c r="B10" s="16412"/>
      <c r="C10" s="16280"/>
      <c r="D10" s="2754" t="s">
        <v>2631</v>
      </c>
      <c r="E10" s="2754" t="s">
        <v>2632</v>
      </c>
      <c r="F10" s="16238" t="s">
        <v>2633</v>
      </c>
      <c r="G10" s="16238"/>
      <c r="H10" s="16238" t="s">
        <v>4525</v>
      </c>
      <c r="I10" s="16238" t="s">
        <v>4526</v>
      </c>
      <c r="J10" s="16238" t="s">
        <v>2633</v>
      </c>
      <c r="K10" s="2754" t="s">
        <v>86</v>
      </c>
      <c r="L10" s="5181" t="s">
        <v>2862</v>
      </c>
      <c r="M10" s="5181"/>
      <c r="N10" s="5800">
        <v>0.8</v>
      </c>
      <c r="O10" s="5740" t="s">
        <v>3514</v>
      </c>
      <c r="P10" s="2773" t="s">
        <v>3512</v>
      </c>
      <c r="Q10" s="5737"/>
      <c r="R10" s="5741">
        <v>895000000</v>
      </c>
      <c r="S10" s="5741">
        <v>704400000</v>
      </c>
      <c r="T10" s="5741">
        <v>190600000</v>
      </c>
      <c r="U10" s="5737"/>
      <c r="V10" s="5737">
        <v>45</v>
      </c>
      <c r="W10" s="5737">
        <v>28</v>
      </c>
      <c r="X10" s="5737">
        <v>17</v>
      </c>
      <c r="Y10" s="5737">
        <v>35</v>
      </c>
      <c r="Z10" s="5737">
        <v>10</v>
      </c>
      <c r="AA10" s="5737">
        <v>45</v>
      </c>
      <c r="AB10" s="5737"/>
      <c r="AC10" s="5737"/>
      <c r="AD10" s="5737"/>
      <c r="AE10" s="5737"/>
      <c r="AF10" s="5737"/>
      <c r="AG10" s="5737"/>
      <c r="AH10" s="5737"/>
      <c r="AI10" s="5737"/>
      <c r="AJ10" s="5737"/>
      <c r="AK10" s="5737"/>
      <c r="AL10" s="5737"/>
      <c r="AM10" s="5737"/>
      <c r="AN10" s="5737"/>
      <c r="AO10" s="5737"/>
      <c r="AP10" s="5737">
        <v>36</v>
      </c>
      <c r="AQ10" s="5737">
        <v>7</v>
      </c>
      <c r="AR10" s="5737">
        <v>2</v>
      </c>
      <c r="AS10" s="5737"/>
      <c r="AT10" s="5737"/>
      <c r="AU10" s="5737"/>
      <c r="AV10" s="5737"/>
      <c r="AW10" s="5737"/>
      <c r="AX10" s="5737"/>
      <c r="AY10" s="5737"/>
      <c r="AZ10" s="5737"/>
      <c r="BA10" s="5737"/>
      <c r="BB10" s="5737"/>
      <c r="BC10" s="5737"/>
      <c r="BD10" s="5737"/>
      <c r="BE10" s="5737"/>
      <c r="BF10" s="5737"/>
      <c r="BG10" s="2742" t="s">
        <v>9819</v>
      </c>
      <c r="BH10" s="5275">
        <v>1</v>
      </c>
      <c r="BI10" s="2415" t="s">
        <v>9117</v>
      </c>
      <c r="BJ10" s="2773" t="s">
        <v>3512</v>
      </c>
      <c r="BK10" s="5737"/>
      <c r="BL10" s="5183">
        <v>895000000</v>
      </c>
      <c r="BM10" s="5183">
        <v>704400000</v>
      </c>
      <c r="BN10" s="5183">
        <v>190600000</v>
      </c>
      <c r="BO10" s="2773"/>
      <c r="BP10" s="2773"/>
      <c r="BQ10" s="2742">
        <v>33</v>
      </c>
      <c r="BR10" s="2742">
        <v>18</v>
      </c>
      <c r="BS10" s="2742">
        <v>15</v>
      </c>
      <c r="BT10" s="2742">
        <v>31</v>
      </c>
      <c r="BU10" s="2742">
        <v>2</v>
      </c>
      <c r="BV10" s="5182"/>
      <c r="BW10" s="5737"/>
      <c r="BX10" s="5737"/>
      <c r="BY10" s="5182"/>
      <c r="BZ10" s="5182"/>
      <c r="CA10" s="5737"/>
      <c r="CB10" s="5737"/>
      <c r="CC10" s="5182"/>
      <c r="CD10" s="5737"/>
      <c r="CE10" s="5737"/>
      <c r="CF10" s="5737"/>
      <c r="CG10" s="5737"/>
      <c r="CH10" s="5737"/>
      <c r="CI10" s="5737"/>
      <c r="CJ10" s="5737"/>
      <c r="CK10" s="5182"/>
      <c r="CL10" s="5737"/>
      <c r="CM10" s="5737"/>
      <c r="CN10" s="5737"/>
      <c r="CO10" s="5737"/>
      <c r="CP10" s="5737"/>
      <c r="CQ10" s="5737"/>
      <c r="CR10" s="5737"/>
      <c r="CS10" s="5737"/>
      <c r="CT10" s="5737"/>
      <c r="CU10" s="5737"/>
      <c r="CV10" s="5737"/>
      <c r="CW10" s="5737"/>
      <c r="CX10" s="5737"/>
      <c r="CY10" s="5737"/>
      <c r="CZ10" s="5737"/>
      <c r="DA10" s="5737"/>
      <c r="DB10" s="5737"/>
      <c r="DC10" s="5737"/>
      <c r="DD10" s="5737"/>
      <c r="DE10" s="5737"/>
      <c r="DF10" s="5737"/>
      <c r="DG10" s="5737"/>
      <c r="DH10" s="5737"/>
      <c r="DI10" s="5737"/>
      <c r="DJ10" s="5737"/>
      <c r="DK10" s="5737"/>
      <c r="DL10" s="5737"/>
      <c r="DM10" s="5737"/>
      <c r="DN10" s="5737"/>
      <c r="DO10" s="5737"/>
      <c r="DP10" s="5737"/>
      <c r="DQ10" s="5737"/>
      <c r="DR10" s="5737"/>
      <c r="DS10" s="5737"/>
      <c r="DT10" s="5737"/>
      <c r="DU10" s="5737"/>
      <c r="DV10" s="5737"/>
      <c r="DW10" s="5737"/>
      <c r="DX10" s="5737"/>
      <c r="DY10" s="5737"/>
      <c r="DZ10" s="5737"/>
      <c r="EA10" s="5737"/>
      <c r="EB10" s="5737"/>
      <c r="EC10" s="5737"/>
      <c r="ED10" s="5737"/>
      <c r="EE10" s="5737"/>
      <c r="EF10" s="5737"/>
      <c r="EG10" s="5737"/>
      <c r="EH10" s="5737"/>
      <c r="EI10" s="5737"/>
      <c r="EJ10" s="5737"/>
      <c r="EK10" s="5737"/>
      <c r="EL10" s="5737"/>
      <c r="EM10" s="5737"/>
      <c r="EN10" s="5737"/>
      <c r="EO10" s="5737"/>
      <c r="EP10" s="5737"/>
      <c r="EQ10" s="5737"/>
      <c r="ER10" s="5737"/>
      <c r="ES10" s="5737"/>
      <c r="ET10" s="5737"/>
      <c r="EU10" s="2037"/>
    </row>
    <row r="11" spans="1:725" s="2036" customFormat="1" ht="15" customHeight="1">
      <c r="A11" s="16280"/>
      <c r="B11" s="16412"/>
      <c r="C11" s="16280"/>
      <c r="D11" s="2754"/>
      <c r="E11" s="2754"/>
      <c r="F11" s="16238"/>
      <c r="G11" s="16238"/>
      <c r="H11" s="16238"/>
      <c r="I11" s="16238"/>
      <c r="J11" s="16238"/>
      <c r="K11" s="2754" t="s">
        <v>208</v>
      </c>
      <c r="L11" s="5181"/>
      <c r="M11" s="5181" t="s">
        <v>2855</v>
      </c>
      <c r="N11" s="5800"/>
      <c r="O11" s="5740"/>
      <c r="P11" s="2773"/>
      <c r="Q11" s="5737"/>
      <c r="R11" s="5741"/>
      <c r="S11" s="5741"/>
      <c r="T11" s="5741"/>
      <c r="U11" s="5737"/>
      <c r="V11" s="5737"/>
      <c r="W11" s="5737"/>
      <c r="X11" s="5737"/>
      <c r="Y11" s="5737"/>
      <c r="Z11" s="5737"/>
      <c r="AA11" s="5737"/>
      <c r="AB11" s="5737"/>
      <c r="AC11" s="5737"/>
      <c r="AD11" s="5737"/>
      <c r="AE11" s="5737"/>
      <c r="AF11" s="5737"/>
      <c r="AG11" s="5737"/>
      <c r="AH11" s="5737"/>
      <c r="AI11" s="5737"/>
      <c r="AJ11" s="5737"/>
      <c r="AK11" s="5737"/>
      <c r="AL11" s="5737"/>
      <c r="AM11" s="5737"/>
      <c r="AN11" s="5737"/>
      <c r="AO11" s="5737"/>
      <c r="AP11" s="5737"/>
      <c r="AQ11" s="5737"/>
      <c r="AR11" s="5737"/>
      <c r="AS11" s="5737"/>
      <c r="AT11" s="5737"/>
      <c r="AU11" s="5737"/>
      <c r="AV11" s="5737"/>
      <c r="AW11" s="5737"/>
      <c r="AX11" s="5737"/>
      <c r="AY11" s="5737"/>
      <c r="AZ11" s="5737"/>
      <c r="BA11" s="5737"/>
      <c r="BB11" s="5737"/>
      <c r="BC11" s="5737"/>
      <c r="BD11" s="5737"/>
      <c r="BE11" s="5737"/>
      <c r="BF11" s="5737"/>
      <c r="BG11" s="2742"/>
      <c r="BH11" s="5275"/>
      <c r="BI11" s="2415"/>
      <c r="BJ11" s="2773"/>
      <c r="BK11" s="5737"/>
      <c r="BL11" s="5183"/>
      <c r="BM11" s="5183"/>
      <c r="BN11" s="5183"/>
      <c r="BO11" s="2773"/>
      <c r="BP11" s="2773"/>
      <c r="BQ11" s="2742"/>
      <c r="BR11" s="2742"/>
      <c r="BS11" s="2742"/>
      <c r="BT11" s="2742"/>
      <c r="BU11" s="2742"/>
      <c r="BV11" s="5182"/>
      <c r="BW11" s="5737"/>
      <c r="BX11" s="5737"/>
      <c r="BY11" s="5182"/>
      <c r="BZ11" s="5182"/>
      <c r="CA11" s="5737"/>
      <c r="CB11" s="5737"/>
      <c r="CC11" s="5182"/>
      <c r="CD11" s="5737"/>
      <c r="CE11" s="5737"/>
      <c r="CF11" s="5737"/>
      <c r="CG11" s="5737"/>
      <c r="CH11" s="5737"/>
      <c r="CI11" s="5737"/>
      <c r="CJ11" s="5737"/>
      <c r="CK11" s="5182"/>
      <c r="CL11" s="5737"/>
      <c r="CM11" s="5737"/>
      <c r="CN11" s="5737"/>
      <c r="CO11" s="5737"/>
      <c r="CP11" s="5737"/>
      <c r="CQ11" s="5737"/>
      <c r="CR11" s="5737"/>
      <c r="CS11" s="5737"/>
      <c r="CT11" s="5737"/>
      <c r="CU11" s="5737"/>
      <c r="CV11" s="5737"/>
      <c r="CW11" s="5737"/>
      <c r="CX11" s="5737"/>
      <c r="CY11" s="5737"/>
      <c r="CZ11" s="5737"/>
      <c r="DA11" s="5737"/>
      <c r="DB11" s="5737"/>
      <c r="DC11" s="5737"/>
      <c r="DD11" s="5737"/>
      <c r="DE11" s="5737"/>
      <c r="DF11" s="5737"/>
      <c r="DG11" s="5737"/>
      <c r="DH11" s="5737"/>
      <c r="DI11" s="5737"/>
      <c r="DJ11" s="5737"/>
      <c r="DK11" s="5737"/>
      <c r="DL11" s="5737"/>
      <c r="DM11" s="5737"/>
      <c r="DN11" s="5737"/>
      <c r="DO11" s="5737"/>
      <c r="DP11" s="5737"/>
      <c r="DQ11" s="5737"/>
      <c r="DR11" s="5737"/>
      <c r="DS11" s="5737"/>
      <c r="DT11" s="5737"/>
      <c r="DU11" s="5737"/>
      <c r="DV11" s="5737"/>
      <c r="DW11" s="5737"/>
      <c r="DX11" s="5737"/>
      <c r="DY11" s="5737"/>
      <c r="DZ11" s="5737"/>
      <c r="EA11" s="5737"/>
      <c r="EB11" s="5737"/>
      <c r="EC11" s="5737"/>
      <c r="ED11" s="5737"/>
      <c r="EE11" s="5737"/>
      <c r="EF11" s="5737"/>
      <c r="EG11" s="5737"/>
      <c r="EH11" s="5737"/>
      <c r="EI11" s="5737"/>
      <c r="EJ11" s="5737"/>
      <c r="EK11" s="5737"/>
      <c r="EL11" s="5737"/>
      <c r="EM11" s="5737"/>
      <c r="EN11" s="5737"/>
      <c r="EO11" s="5737"/>
      <c r="EP11" s="5737"/>
      <c r="EQ11" s="5737"/>
      <c r="ER11" s="5737"/>
      <c r="ES11" s="5737"/>
      <c r="ET11" s="5737"/>
      <c r="EU11" s="2037"/>
    </row>
    <row r="12" spans="1:725" s="2036" customFormat="1" ht="15" customHeight="1">
      <c r="A12" s="16280"/>
      <c r="B12" s="16412"/>
      <c r="C12" s="16280"/>
      <c r="D12" s="16238" t="s">
        <v>2634</v>
      </c>
      <c r="E12" s="16238" t="s">
        <v>2635</v>
      </c>
      <c r="F12" s="16238" t="s">
        <v>2636</v>
      </c>
      <c r="G12" s="16238"/>
      <c r="H12" s="16238" t="s">
        <v>4527</v>
      </c>
      <c r="I12" s="16238" t="s">
        <v>4528</v>
      </c>
      <c r="J12" s="16238" t="s">
        <v>2636</v>
      </c>
      <c r="K12" s="2754" t="s">
        <v>86</v>
      </c>
      <c r="L12" s="5181" t="s">
        <v>2862</v>
      </c>
      <c r="M12" s="5181"/>
      <c r="N12" s="5800">
        <v>0.85</v>
      </c>
      <c r="O12" s="2773" t="s">
        <v>3515</v>
      </c>
      <c r="P12" s="5737"/>
      <c r="Q12" s="5737"/>
      <c r="R12" s="5738">
        <v>28300000</v>
      </c>
      <c r="S12" s="5737"/>
      <c r="T12" s="5738">
        <v>28300000</v>
      </c>
      <c r="U12" s="5737"/>
      <c r="V12" s="5182">
        <v>10</v>
      </c>
      <c r="W12" s="5182">
        <v>8</v>
      </c>
      <c r="X12" s="5182">
        <v>2</v>
      </c>
      <c r="Y12" s="5182">
        <v>8</v>
      </c>
      <c r="Z12" s="5182">
        <v>2</v>
      </c>
      <c r="AA12" s="5182">
        <v>2</v>
      </c>
      <c r="AB12" s="5182">
        <v>8</v>
      </c>
      <c r="AC12" s="5182"/>
      <c r="AD12" s="5182"/>
      <c r="AE12" s="5182"/>
      <c r="AF12" s="5182"/>
      <c r="AG12" s="5182"/>
      <c r="AH12" s="5182"/>
      <c r="AI12" s="5182"/>
      <c r="AJ12" s="5182"/>
      <c r="AK12" s="5182"/>
      <c r="AL12" s="5182"/>
      <c r="AM12" s="5182"/>
      <c r="AN12" s="5182"/>
      <c r="AO12" s="5182"/>
      <c r="AP12" s="5182">
        <v>10</v>
      </c>
      <c r="AQ12" s="5182">
        <v>0</v>
      </c>
      <c r="AR12" s="5182">
        <v>0</v>
      </c>
      <c r="AS12" s="5182">
        <v>0</v>
      </c>
      <c r="AT12" s="5182">
        <v>0</v>
      </c>
      <c r="AU12" s="5182">
        <v>0</v>
      </c>
      <c r="AV12" s="5737"/>
      <c r="AW12" s="5737"/>
      <c r="AX12" s="5737"/>
      <c r="AY12" s="5737"/>
      <c r="AZ12" s="5737"/>
      <c r="BA12" s="5737"/>
      <c r="BB12" s="5737"/>
      <c r="BC12" s="5737"/>
      <c r="BD12" s="5737"/>
      <c r="BE12" s="5737"/>
      <c r="BF12" s="5737"/>
      <c r="BG12" s="2773" t="s">
        <v>9820</v>
      </c>
      <c r="BH12" s="5275" t="s">
        <v>9820</v>
      </c>
      <c r="BI12" s="2237"/>
      <c r="BJ12" s="5737"/>
      <c r="BK12" s="5737"/>
      <c r="BL12" s="5182"/>
      <c r="BM12" s="5182"/>
      <c r="BN12" s="5182"/>
      <c r="BO12" s="5737"/>
      <c r="BP12" s="5737"/>
      <c r="BQ12" s="5182"/>
      <c r="BR12" s="5739"/>
      <c r="BS12" s="5182"/>
      <c r="BT12" s="5182"/>
      <c r="BU12" s="5182"/>
      <c r="BV12" s="5182"/>
      <c r="BW12" s="5737"/>
      <c r="BX12" s="5737"/>
      <c r="BY12" s="5182"/>
      <c r="BZ12" s="5182"/>
      <c r="CA12" s="5737"/>
      <c r="CB12" s="5737"/>
      <c r="CC12" s="5182"/>
      <c r="CD12" s="5737"/>
      <c r="CE12" s="5737"/>
      <c r="CF12" s="5737"/>
      <c r="CG12" s="5737"/>
      <c r="CH12" s="5737"/>
      <c r="CI12" s="5737"/>
      <c r="CJ12" s="5737"/>
      <c r="CK12" s="5182"/>
      <c r="CL12" s="5737"/>
      <c r="CM12" s="5737"/>
      <c r="CN12" s="5737"/>
      <c r="CO12" s="5737"/>
      <c r="CP12" s="5737"/>
      <c r="CQ12" s="5737"/>
      <c r="CR12" s="5737"/>
      <c r="CS12" s="5737"/>
      <c r="CT12" s="5737"/>
      <c r="CU12" s="5737"/>
      <c r="CV12" s="5737"/>
      <c r="CW12" s="5737"/>
      <c r="CX12" s="5737"/>
      <c r="CY12" s="5737"/>
      <c r="CZ12" s="5737"/>
      <c r="DA12" s="5737"/>
      <c r="DB12" s="5737"/>
      <c r="DC12" s="5737"/>
      <c r="DD12" s="5737"/>
      <c r="DE12" s="5737"/>
      <c r="DF12" s="5737"/>
      <c r="DG12" s="5737"/>
      <c r="DH12" s="5737"/>
      <c r="DI12" s="5737"/>
      <c r="DJ12" s="5737"/>
      <c r="DK12" s="5737"/>
      <c r="DL12" s="5737"/>
      <c r="DM12" s="5737"/>
      <c r="DN12" s="5737"/>
      <c r="DO12" s="5737"/>
      <c r="DP12" s="5737"/>
      <c r="DQ12" s="5737"/>
      <c r="DR12" s="5737"/>
      <c r="DS12" s="5737"/>
      <c r="DT12" s="5737"/>
      <c r="DU12" s="5737"/>
      <c r="DV12" s="5737"/>
      <c r="DW12" s="5737"/>
      <c r="DX12" s="5737"/>
      <c r="DY12" s="5737"/>
      <c r="DZ12" s="5737"/>
      <c r="EA12" s="5737"/>
      <c r="EB12" s="5737"/>
      <c r="EC12" s="5737"/>
      <c r="ED12" s="5737"/>
      <c r="EE12" s="5737"/>
      <c r="EF12" s="5737"/>
      <c r="EG12" s="5737"/>
      <c r="EH12" s="5737"/>
      <c r="EI12" s="5737"/>
      <c r="EJ12" s="5737"/>
      <c r="EK12" s="5737"/>
      <c r="EL12" s="5737"/>
      <c r="EM12" s="5737"/>
      <c r="EN12" s="5737"/>
      <c r="EO12" s="5737"/>
      <c r="EP12" s="5737"/>
      <c r="EQ12" s="5737"/>
      <c r="ER12" s="5737"/>
      <c r="ES12" s="5737"/>
      <c r="ET12" s="5737"/>
      <c r="EU12" s="2037"/>
    </row>
    <row r="13" spans="1:725" s="2036" customFormat="1" ht="15" customHeight="1">
      <c r="A13" s="16280"/>
      <c r="B13" s="16412"/>
      <c r="C13" s="16280"/>
      <c r="D13" s="16238"/>
      <c r="E13" s="16238"/>
      <c r="F13" s="16238"/>
      <c r="G13" s="16238"/>
      <c r="H13" s="16238"/>
      <c r="I13" s="16238"/>
      <c r="J13" s="16238"/>
      <c r="K13" s="2754" t="s">
        <v>208</v>
      </c>
      <c r="L13" s="5181"/>
      <c r="M13" s="5181" t="s">
        <v>2855</v>
      </c>
      <c r="N13" s="5800"/>
      <c r="O13" s="2773"/>
      <c r="P13" s="5737"/>
      <c r="Q13" s="5737"/>
      <c r="R13" s="5738"/>
      <c r="S13" s="5737"/>
      <c r="T13" s="5738"/>
      <c r="U13" s="5737"/>
      <c r="V13" s="5182"/>
      <c r="W13" s="5182"/>
      <c r="X13" s="5182"/>
      <c r="Y13" s="5182"/>
      <c r="Z13" s="5182"/>
      <c r="AA13" s="5182"/>
      <c r="AB13" s="5182"/>
      <c r="AC13" s="5182"/>
      <c r="AD13" s="5182"/>
      <c r="AE13" s="5182"/>
      <c r="AF13" s="5182"/>
      <c r="AG13" s="5182"/>
      <c r="AH13" s="5182"/>
      <c r="AI13" s="5182"/>
      <c r="AJ13" s="5182"/>
      <c r="AK13" s="5182"/>
      <c r="AL13" s="5182"/>
      <c r="AM13" s="5182"/>
      <c r="AN13" s="5182"/>
      <c r="AO13" s="5182"/>
      <c r="AP13" s="5182"/>
      <c r="AQ13" s="5182"/>
      <c r="AR13" s="5182"/>
      <c r="AS13" s="5182"/>
      <c r="AT13" s="5182"/>
      <c r="AU13" s="5182"/>
      <c r="AV13" s="5737"/>
      <c r="AW13" s="5737"/>
      <c r="AX13" s="5737"/>
      <c r="AY13" s="5737"/>
      <c r="AZ13" s="5737"/>
      <c r="BA13" s="5737"/>
      <c r="BB13" s="5737"/>
      <c r="BC13" s="5737"/>
      <c r="BD13" s="5737"/>
      <c r="BE13" s="5737"/>
      <c r="BF13" s="5737"/>
      <c r="BG13" s="2773"/>
      <c r="BH13" s="5275"/>
      <c r="BI13" s="2237"/>
      <c r="BJ13" s="5737"/>
      <c r="BK13" s="5737"/>
      <c r="BL13" s="5182"/>
      <c r="BM13" s="5182"/>
      <c r="BN13" s="5182"/>
      <c r="BO13" s="5737"/>
      <c r="BP13" s="5737"/>
      <c r="BQ13" s="5182"/>
      <c r="BR13" s="5739"/>
      <c r="BS13" s="5182"/>
      <c r="BT13" s="5182"/>
      <c r="BU13" s="5182"/>
      <c r="BV13" s="5182"/>
      <c r="BW13" s="5737"/>
      <c r="BX13" s="5737"/>
      <c r="BY13" s="5182"/>
      <c r="BZ13" s="5182"/>
      <c r="CA13" s="5737"/>
      <c r="CB13" s="5737"/>
      <c r="CC13" s="5182"/>
      <c r="CD13" s="5737"/>
      <c r="CE13" s="5737"/>
      <c r="CF13" s="5737"/>
      <c r="CG13" s="5737"/>
      <c r="CH13" s="5737"/>
      <c r="CI13" s="5737"/>
      <c r="CJ13" s="5737"/>
      <c r="CK13" s="5182"/>
      <c r="CL13" s="5737"/>
      <c r="CM13" s="5737"/>
      <c r="CN13" s="5737"/>
      <c r="CO13" s="5737"/>
      <c r="CP13" s="5737"/>
      <c r="CQ13" s="5737"/>
      <c r="CR13" s="5737"/>
      <c r="CS13" s="5737"/>
      <c r="CT13" s="5737"/>
      <c r="CU13" s="5737"/>
      <c r="CV13" s="5737"/>
      <c r="CW13" s="5737"/>
      <c r="CX13" s="5737"/>
      <c r="CY13" s="5737"/>
      <c r="CZ13" s="5737"/>
      <c r="DA13" s="5737"/>
      <c r="DB13" s="5737"/>
      <c r="DC13" s="5737"/>
      <c r="DD13" s="5737"/>
      <c r="DE13" s="5737"/>
      <c r="DF13" s="5737"/>
      <c r="DG13" s="5737"/>
      <c r="DH13" s="5737"/>
      <c r="DI13" s="5737"/>
      <c r="DJ13" s="5737"/>
      <c r="DK13" s="5737"/>
      <c r="DL13" s="5737"/>
      <c r="DM13" s="5737"/>
      <c r="DN13" s="5737"/>
      <c r="DO13" s="5737"/>
      <c r="DP13" s="5737"/>
      <c r="DQ13" s="5737"/>
      <c r="DR13" s="5737"/>
      <c r="DS13" s="5737"/>
      <c r="DT13" s="5737"/>
      <c r="DU13" s="5737"/>
      <c r="DV13" s="5737"/>
      <c r="DW13" s="5737"/>
      <c r="DX13" s="5737"/>
      <c r="DY13" s="5737"/>
      <c r="DZ13" s="5737"/>
      <c r="EA13" s="5737"/>
      <c r="EB13" s="5737"/>
      <c r="EC13" s="5737"/>
      <c r="ED13" s="5737"/>
      <c r="EE13" s="5737"/>
      <c r="EF13" s="5737"/>
      <c r="EG13" s="5737"/>
      <c r="EH13" s="5737"/>
      <c r="EI13" s="5737"/>
      <c r="EJ13" s="5737"/>
      <c r="EK13" s="5737"/>
      <c r="EL13" s="5737"/>
      <c r="EM13" s="5737"/>
      <c r="EN13" s="5737"/>
      <c r="EO13" s="5737"/>
      <c r="EP13" s="5737"/>
      <c r="EQ13" s="5737"/>
      <c r="ER13" s="5737"/>
      <c r="ES13" s="5737"/>
      <c r="ET13" s="5737"/>
      <c r="EU13" s="2037"/>
    </row>
    <row r="14" spans="1:725" s="2036" customFormat="1" ht="15" customHeight="1">
      <c r="A14" s="16280"/>
      <c r="B14" s="16412"/>
      <c r="C14" s="16280"/>
      <c r="D14" s="16238"/>
      <c r="E14" s="16238"/>
      <c r="F14" s="16238"/>
      <c r="G14" s="16238"/>
      <c r="H14" s="5181" t="s">
        <v>4529</v>
      </c>
      <c r="I14" s="2754" t="s">
        <v>4530</v>
      </c>
      <c r="J14" s="16238"/>
      <c r="K14" s="2754" t="s">
        <v>10063</v>
      </c>
      <c r="L14" s="5181" t="s">
        <v>2856</v>
      </c>
      <c r="M14" s="5181"/>
      <c r="N14" s="5800"/>
      <c r="O14" s="5740"/>
      <c r="P14" s="2773"/>
      <c r="Q14" s="5737"/>
      <c r="R14" s="5737"/>
      <c r="S14" s="5737"/>
      <c r="T14" s="5737"/>
      <c r="U14" s="5737"/>
      <c r="V14" s="5737"/>
      <c r="W14" s="5737"/>
      <c r="X14" s="5737"/>
      <c r="Y14" s="5737"/>
      <c r="Z14" s="5737"/>
      <c r="AA14" s="5737"/>
      <c r="AB14" s="5737"/>
      <c r="AC14" s="5737"/>
      <c r="AD14" s="5737"/>
      <c r="AE14" s="5737"/>
      <c r="AF14" s="5737"/>
      <c r="AG14" s="5737"/>
      <c r="AH14" s="5737"/>
      <c r="AI14" s="5737"/>
      <c r="AJ14" s="5737"/>
      <c r="AK14" s="5737"/>
      <c r="AL14" s="5737"/>
      <c r="AM14" s="5737"/>
      <c r="AN14" s="5737"/>
      <c r="AO14" s="5737"/>
      <c r="AP14" s="5737"/>
      <c r="AQ14" s="5737"/>
      <c r="AR14" s="5737"/>
      <c r="AS14" s="5737"/>
      <c r="AT14" s="5737"/>
      <c r="AU14" s="5737"/>
      <c r="AV14" s="5737"/>
      <c r="AW14" s="5737"/>
      <c r="AX14" s="5737"/>
      <c r="AY14" s="5737"/>
      <c r="AZ14" s="5737"/>
      <c r="BA14" s="5737"/>
      <c r="BB14" s="5737"/>
      <c r="BC14" s="5737"/>
      <c r="BD14" s="5737"/>
      <c r="BE14" s="5737"/>
      <c r="BF14" s="5737"/>
      <c r="BG14" s="5737"/>
      <c r="BH14" s="5275"/>
      <c r="BI14" s="2237"/>
      <c r="BJ14" s="5737"/>
      <c r="BK14" s="5737"/>
      <c r="BL14" s="5737"/>
      <c r="BM14" s="5737"/>
      <c r="BN14" s="5737"/>
      <c r="BO14" s="5737"/>
      <c r="BP14" s="5737"/>
      <c r="BQ14" s="5737"/>
      <c r="BR14" s="5737"/>
      <c r="BS14" s="5737"/>
      <c r="BT14" s="5737"/>
      <c r="BU14" s="5737"/>
      <c r="BV14" s="5737"/>
      <c r="BW14" s="5737"/>
      <c r="BX14" s="5737"/>
      <c r="BY14" s="5737"/>
      <c r="BZ14" s="5737"/>
      <c r="CA14" s="5737"/>
      <c r="CB14" s="5737"/>
      <c r="CC14" s="5737"/>
      <c r="CD14" s="5737"/>
      <c r="CE14" s="5737"/>
      <c r="CF14" s="5737"/>
      <c r="CG14" s="5737"/>
      <c r="CH14" s="5737"/>
      <c r="CI14" s="5737"/>
      <c r="CJ14" s="5737"/>
      <c r="CK14" s="5737"/>
      <c r="CL14" s="5737"/>
      <c r="CM14" s="5737"/>
      <c r="CN14" s="5737"/>
      <c r="CO14" s="5737"/>
      <c r="CP14" s="5737"/>
      <c r="CQ14" s="5737"/>
      <c r="CR14" s="5737"/>
      <c r="CS14" s="5737"/>
      <c r="CT14" s="5737"/>
      <c r="CU14" s="5737"/>
      <c r="CV14" s="5737"/>
      <c r="CW14" s="5737"/>
      <c r="CX14" s="5737"/>
      <c r="CY14" s="5737"/>
      <c r="CZ14" s="5737"/>
      <c r="DA14" s="5737"/>
      <c r="DB14" s="5737"/>
      <c r="DC14" s="5737"/>
      <c r="DD14" s="5737"/>
      <c r="DE14" s="5737"/>
      <c r="DF14" s="5737"/>
      <c r="DG14" s="5737"/>
      <c r="DH14" s="5737"/>
      <c r="DI14" s="5737"/>
      <c r="DJ14" s="5737"/>
      <c r="DK14" s="5737"/>
      <c r="DL14" s="5737"/>
      <c r="DM14" s="5737"/>
      <c r="DN14" s="5737"/>
      <c r="DO14" s="5737"/>
      <c r="DP14" s="5737"/>
      <c r="DQ14" s="5737"/>
      <c r="DR14" s="5737"/>
      <c r="DS14" s="5737"/>
      <c r="DT14" s="5737"/>
      <c r="DU14" s="5737"/>
      <c r="DV14" s="5737"/>
      <c r="DW14" s="5737"/>
      <c r="DX14" s="5737"/>
      <c r="DY14" s="5737"/>
      <c r="DZ14" s="5737"/>
      <c r="EA14" s="5737"/>
      <c r="EB14" s="5737"/>
      <c r="EC14" s="5737"/>
      <c r="ED14" s="5737"/>
      <c r="EE14" s="5737"/>
      <c r="EF14" s="5737"/>
      <c r="EG14" s="5737"/>
      <c r="EH14" s="5737"/>
      <c r="EI14" s="5737"/>
      <c r="EJ14" s="5737"/>
      <c r="EK14" s="5737"/>
      <c r="EL14" s="5737"/>
      <c r="EM14" s="5737"/>
      <c r="EN14" s="5737"/>
      <c r="EO14" s="5737"/>
      <c r="EP14" s="5737"/>
      <c r="EQ14" s="5737"/>
      <c r="ER14" s="5737"/>
      <c r="ES14" s="5737"/>
      <c r="ET14" s="5737"/>
      <c r="EU14" s="2037"/>
    </row>
    <row r="15" spans="1:725" s="2036" customFormat="1" ht="15" customHeight="1">
      <c r="A15" s="16280"/>
      <c r="B15" s="16412"/>
      <c r="C15" s="16280"/>
      <c r="D15" s="16238"/>
      <c r="E15" s="16238" t="s">
        <v>4625</v>
      </c>
      <c r="F15" s="16238" t="s">
        <v>4626</v>
      </c>
      <c r="G15" s="16238"/>
      <c r="H15" s="5181" t="s">
        <v>4531</v>
      </c>
      <c r="I15" s="2754" t="s">
        <v>4532</v>
      </c>
      <c r="J15" s="16238" t="s">
        <v>4626</v>
      </c>
      <c r="K15" s="2754" t="s">
        <v>86</v>
      </c>
      <c r="L15" s="2774" t="s">
        <v>2862</v>
      </c>
      <c r="M15" s="2774" t="s">
        <v>2855</v>
      </c>
      <c r="N15" s="5800"/>
      <c r="O15" s="5740"/>
      <c r="P15" s="2773"/>
      <c r="Q15" s="5737"/>
      <c r="R15" s="5182"/>
      <c r="S15" s="5182"/>
      <c r="T15" s="5182"/>
      <c r="U15" s="5737"/>
      <c r="V15" s="5737"/>
      <c r="W15" s="5182"/>
      <c r="X15" s="5739"/>
      <c r="Y15" s="5182"/>
      <c r="Z15" s="5182"/>
      <c r="AA15" s="5182"/>
      <c r="AB15" s="5182"/>
      <c r="AC15" s="5737"/>
      <c r="AD15" s="5737"/>
      <c r="AE15" s="5182"/>
      <c r="AF15" s="5182"/>
      <c r="AG15" s="5737"/>
      <c r="AH15" s="5737"/>
      <c r="AI15" s="5182"/>
      <c r="AJ15" s="5737"/>
      <c r="AK15" s="5737"/>
      <c r="AL15" s="5737"/>
      <c r="AM15" s="5737"/>
      <c r="AN15" s="5737"/>
      <c r="AO15" s="5737"/>
      <c r="AP15" s="5737"/>
      <c r="AQ15" s="5182"/>
      <c r="AR15" s="5737"/>
      <c r="AS15" s="5737"/>
      <c r="AT15" s="5737"/>
      <c r="AU15" s="5737"/>
      <c r="AV15" s="5737"/>
      <c r="AW15" s="5737"/>
      <c r="AX15" s="5737"/>
      <c r="AY15" s="5737"/>
      <c r="AZ15" s="5737"/>
      <c r="BA15" s="5737"/>
      <c r="BB15" s="5737"/>
      <c r="BC15" s="5737"/>
      <c r="BD15" s="5737"/>
      <c r="BE15" s="5737"/>
      <c r="BF15" s="5737"/>
      <c r="BG15" s="5182" t="s">
        <v>9821</v>
      </c>
      <c r="BH15" s="5275" t="s">
        <v>9821</v>
      </c>
      <c r="BI15" s="2237"/>
      <c r="BJ15" s="5737"/>
      <c r="BK15" s="5737"/>
      <c r="BL15" s="5182"/>
      <c r="BM15" s="5182"/>
      <c r="BN15" s="5182"/>
      <c r="BO15" s="5737"/>
      <c r="BP15" s="5737"/>
      <c r="BQ15" s="5182"/>
      <c r="BR15" s="5739"/>
      <c r="BS15" s="5182"/>
      <c r="BT15" s="5182"/>
      <c r="BU15" s="5182"/>
      <c r="BV15" s="5182"/>
      <c r="BW15" s="5737"/>
      <c r="BX15" s="5737"/>
      <c r="BY15" s="5182"/>
      <c r="BZ15" s="5182"/>
      <c r="CA15" s="5737"/>
      <c r="CB15" s="5737"/>
      <c r="CC15" s="5182"/>
      <c r="CD15" s="5737"/>
      <c r="CE15" s="5737"/>
      <c r="CF15" s="5737"/>
      <c r="CG15" s="5737"/>
      <c r="CH15" s="5737"/>
      <c r="CI15" s="5737"/>
      <c r="CJ15" s="5737"/>
      <c r="CK15" s="5182"/>
      <c r="CL15" s="5737"/>
      <c r="CM15" s="5737"/>
      <c r="CN15" s="5737"/>
      <c r="CO15" s="5737"/>
      <c r="CP15" s="5737"/>
      <c r="CQ15" s="5737"/>
      <c r="CR15" s="5737"/>
      <c r="CS15" s="5737"/>
      <c r="CT15" s="5737"/>
      <c r="CU15" s="5737"/>
      <c r="CV15" s="5737"/>
      <c r="CW15" s="5737"/>
      <c r="CX15" s="5737"/>
      <c r="CY15" s="5737"/>
      <c r="CZ15" s="5737"/>
      <c r="DA15" s="5737"/>
      <c r="DB15" s="5737"/>
      <c r="DC15" s="5737"/>
      <c r="DD15" s="5737"/>
      <c r="DE15" s="5737"/>
      <c r="DF15" s="5737"/>
      <c r="DG15" s="5737"/>
      <c r="DH15" s="5737"/>
      <c r="DI15" s="5737"/>
      <c r="DJ15" s="5737"/>
      <c r="DK15" s="5737"/>
      <c r="DL15" s="5737"/>
      <c r="DM15" s="5737"/>
      <c r="DN15" s="5737"/>
      <c r="DO15" s="5737"/>
      <c r="DP15" s="5737"/>
      <c r="DQ15" s="5737"/>
      <c r="DR15" s="5737"/>
      <c r="DS15" s="5737"/>
      <c r="DT15" s="5737"/>
      <c r="DU15" s="5737"/>
      <c r="DV15" s="5737"/>
      <c r="DW15" s="5737"/>
      <c r="DX15" s="5737"/>
      <c r="DY15" s="5737"/>
      <c r="DZ15" s="5737"/>
      <c r="EA15" s="5737"/>
      <c r="EB15" s="5737"/>
      <c r="EC15" s="5737"/>
      <c r="ED15" s="5737"/>
      <c r="EE15" s="5737"/>
      <c r="EF15" s="5737"/>
      <c r="EG15" s="5737"/>
      <c r="EH15" s="5737"/>
      <c r="EI15" s="5737"/>
      <c r="EJ15" s="5737"/>
      <c r="EK15" s="5737"/>
      <c r="EL15" s="5737"/>
      <c r="EM15" s="5737"/>
      <c r="EN15" s="5737"/>
      <c r="EO15" s="5737"/>
      <c r="EP15" s="5737"/>
      <c r="EQ15" s="5737"/>
      <c r="ER15" s="5737"/>
      <c r="ES15" s="5737"/>
      <c r="ET15" s="5737"/>
      <c r="EU15" s="2037"/>
    </row>
    <row r="16" spans="1:725" s="2036" customFormat="1" ht="15" customHeight="1">
      <c r="A16" s="16280"/>
      <c r="B16" s="16412"/>
      <c r="C16" s="16280"/>
      <c r="D16" s="16238"/>
      <c r="E16" s="16238"/>
      <c r="F16" s="16238"/>
      <c r="G16" s="16238"/>
      <c r="H16" s="16238" t="s">
        <v>4533</v>
      </c>
      <c r="I16" s="16238" t="s">
        <v>4534</v>
      </c>
      <c r="J16" s="16238"/>
      <c r="K16" s="2754" t="s">
        <v>2896</v>
      </c>
      <c r="L16" s="2774" t="s">
        <v>2858</v>
      </c>
      <c r="M16" s="2774"/>
      <c r="N16" s="5800"/>
      <c r="O16" s="2773"/>
      <c r="P16" s="5737"/>
      <c r="Q16" s="5737"/>
      <c r="R16" s="5737"/>
      <c r="S16" s="5737"/>
      <c r="T16" s="5737"/>
      <c r="U16" s="5737"/>
      <c r="V16" s="5737"/>
      <c r="W16" s="5737"/>
      <c r="X16" s="5737"/>
      <c r="Y16" s="5737"/>
      <c r="Z16" s="5737"/>
      <c r="AA16" s="5737"/>
      <c r="AB16" s="5737"/>
      <c r="AC16" s="5737"/>
      <c r="AD16" s="5737"/>
      <c r="AE16" s="5737"/>
      <c r="AF16" s="5737"/>
      <c r="AG16" s="5737"/>
      <c r="AH16" s="5737"/>
      <c r="AI16" s="5737"/>
      <c r="AJ16" s="5737"/>
      <c r="AK16" s="5737"/>
      <c r="AL16" s="5737"/>
      <c r="AM16" s="5737"/>
      <c r="AN16" s="5737"/>
      <c r="AO16" s="5737"/>
      <c r="AP16" s="5737"/>
      <c r="AQ16" s="5737"/>
      <c r="AR16" s="5737"/>
      <c r="AS16" s="5737"/>
      <c r="AT16" s="5737"/>
      <c r="AU16" s="5737"/>
      <c r="AV16" s="5737"/>
      <c r="AW16" s="5737"/>
      <c r="AX16" s="5737"/>
      <c r="AY16" s="5737"/>
      <c r="AZ16" s="5737"/>
      <c r="BA16" s="5737"/>
      <c r="BB16" s="5737"/>
      <c r="BC16" s="5737"/>
      <c r="BD16" s="5737"/>
      <c r="BE16" s="5737"/>
      <c r="BF16" s="5737"/>
      <c r="BG16" s="5737"/>
      <c r="BH16" s="5275"/>
      <c r="BI16" s="2237"/>
      <c r="BJ16" s="5737"/>
      <c r="BK16" s="5737"/>
      <c r="BL16" s="5737"/>
      <c r="BM16" s="5737"/>
      <c r="BN16" s="5737"/>
      <c r="BO16" s="5737"/>
      <c r="BP16" s="5737"/>
      <c r="BQ16" s="5737"/>
      <c r="BR16" s="5737"/>
      <c r="BS16" s="5737"/>
      <c r="BT16" s="5737"/>
      <c r="BU16" s="5737"/>
      <c r="BV16" s="5737"/>
      <c r="BW16" s="5737"/>
      <c r="BX16" s="5737"/>
      <c r="BY16" s="5737"/>
      <c r="BZ16" s="5737"/>
      <c r="CA16" s="5737"/>
      <c r="CB16" s="5737"/>
      <c r="CC16" s="5737"/>
      <c r="CD16" s="5737"/>
      <c r="CE16" s="5737"/>
      <c r="CF16" s="5737"/>
      <c r="CG16" s="5737"/>
      <c r="CH16" s="5737"/>
      <c r="CI16" s="5737"/>
      <c r="CJ16" s="5737"/>
      <c r="CK16" s="5737"/>
      <c r="CL16" s="5737"/>
      <c r="CM16" s="5737"/>
      <c r="CN16" s="5737"/>
      <c r="CO16" s="5737"/>
      <c r="CP16" s="5737"/>
      <c r="CQ16" s="5737"/>
      <c r="CR16" s="5737"/>
      <c r="CS16" s="5737"/>
      <c r="CT16" s="5737"/>
      <c r="CU16" s="5737"/>
      <c r="CV16" s="5737"/>
      <c r="CW16" s="5737"/>
      <c r="CX16" s="5737"/>
      <c r="CY16" s="5737"/>
      <c r="CZ16" s="5737"/>
      <c r="DA16" s="5737"/>
      <c r="DB16" s="5737"/>
      <c r="DC16" s="5737"/>
      <c r="DD16" s="5737"/>
      <c r="DE16" s="5737"/>
      <c r="DF16" s="5737"/>
      <c r="DG16" s="5737"/>
      <c r="DH16" s="5737"/>
      <c r="DI16" s="5737"/>
      <c r="DJ16" s="5737"/>
      <c r="DK16" s="5737"/>
      <c r="DL16" s="5737"/>
      <c r="DM16" s="5737"/>
      <c r="DN16" s="5737"/>
      <c r="DO16" s="5737"/>
      <c r="DP16" s="5737"/>
      <c r="DQ16" s="5737"/>
      <c r="DR16" s="5737"/>
      <c r="DS16" s="5737"/>
      <c r="DT16" s="5737"/>
      <c r="DU16" s="5737"/>
      <c r="DV16" s="5737"/>
      <c r="DW16" s="5737"/>
      <c r="DX16" s="5737"/>
      <c r="DY16" s="5737"/>
      <c r="DZ16" s="5737"/>
      <c r="EA16" s="5737"/>
      <c r="EB16" s="5737"/>
      <c r="EC16" s="5737"/>
      <c r="ED16" s="5737"/>
      <c r="EE16" s="5737"/>
      <c r="EF16" s="5737"/>
      <c r="EG16" s="5737"/>
      <c r="EH16" s="5737"/>
      <c r="EI16" s="5737"/>
      <c r="EJ16" s="5737"/>
      <c r="EK16" s="5737"/>
      <c r="EL16" s="5737"/>
      <c r="EM16" s="5737"/>
      <c r="EN16" s="5737"/>
      <c r="EO16" s="5737"/>
      <c r="EP16" s="5737"/>
      <c r="EQ16" s="5737"/>
      <c r="ER16" s="5737"/>
      <c r="ES16" s="5737"/>
      <c r="ET16" s="5737"/>
      <c r="EU16" s="2037"/>
    </row>
    <row r="17" spans="1:151" s="2036" customFormat="1" ht="15" customHeight="1" thickBot="1">
      <c r="A17" s="16280"/>
      <c r="B17" s="16412"/>
      <c r="C17" s="16363"/>
      <c r="D17" s="5481"/>
      <c r="E17" s="5481"/>
      <c r="F17" s="16240"/>
      <c r="G17" s="16240"/>
      <c r="H17" s="16240"/>
      <c r="I17" s="16240"/>
      <c r="J17" s="16240"/>
      <c r="K17" s="5942" t="s">
        <v>208</v>
      </c>
      <c r="L17" s="5943"/>
      <c r="M17" s="5943" t="s">
        <v>2855</v>
      </c>
      <c r="N17" s="6070"/>
      <c r="O17" s="5912"/>
      <c r="P17" s="2070"/>
      <c r="Q17" s="2070"/>
      <c r="R17" s="2070"/>
      <c r="S17" s="2070"/>
      <c r="T17" s="2070"/>
      <c r="U17" s="2070"/>
      <c r="V17" s="2070"/>
      <c r="W17" s="2070"/>
      <c r="X17" s="2070"/>
      <c r="Y17" s="2070"/>
      <c r="Z17" s="2070"/>
      <c r="AA17" s="2070"/>
      <c r="AB17" s="2070"/>
      <c r="AC17" s="2070"/>
      <c r="AD17" s="2070"/>
      <c r="AE17" s="2070"/>
      <c r="AF17" s="2070"/>
      <c r="AG17" s="2070"/>
      <c r="AH17" s="2070"/>
      <c r="AI17" s="2070"/>
      <c r="AJ17" s="2070"/>
      <c r="AK17" s="2070"/>
      <c r="AL17" s="2070"/>
      <c r="AM17" s="2070"/>
      <c r="AN17" s="2070"/>
      <c r="AO17" s="2070"/>
      <c r="AP17" s="2070"/>
      <c r="AQ17" s="2070"/>
      <c r="AR17" s="2070"/>
      <c r="AS17" s="2070"/>
      <c r="AT17" s="2070"/>
      <c r="AU17" s="2070"/>
      <c r="AV17" s="2070"/>
      <c r="AW17" s="2070"/>
      <c r="AX17" s="2070"/>
      <c r="AY17" s="2070"/>
      <c r="AZ17" s="2070"/>
      <c r="BA17" s="2070"/>
      <c r="BB17" s="2070"/>
      <c r="BC17" s="2070"/>
      <c r="BD17" s="2070"/>
      <c r="BE17" s="2070"/>
      <c r="BF17" s="2070"/>
      <c r="BG17" s="2070"/>
      <c r="BH17" s="5915"/>
      <c r="BI17" s="2244"/>
      <c r="BJ17" s="2070"/>
      <c r="BK17" s="2070"/>
      <c r="BL17" s="2070"/>
      <c r="BM17" s="2070"/>
      <c r="BN17" s="2070"/>
      <c r="BO17" s="2070"/>
      <c r="BP17" s="2070"/>
      <c r="BQ17" s="2070"/>
      <c r="BR17" s="2070"/>
      <c r="BS17" s="2070"/>
      <c r="BT17" s="2070"/>
      <c r="BU17" s="2070"/>
      <c r="BV17" s="2070"/>
      <c r="BW17" s="2070"/>
      <c r="BX17" s="2070"/>
      <c r="BY17" s="2070"/>
      <c r="BZ17" s="2070"/>
      <c r="CA17" s="2070"/>
      <c r="CB17" s="2070"/>
      <c r="CC17" s="2070"/>
      <c r="CD17" s="2070"/>
      <c r="CE17" s="2070"/>
      <c r="CF17" s="2070"/>
      <c r="CG17" s="2070"/>
      <c r="CH17" s="2070"/>
      <c r="CI17" s="2070"/>
      <c r="CJ17" s="2070"/>
      <c r="CK17" s="2070"/>
      <c r="CL17" s="2070"/>
      <c r="CM17" s="2070"/>
      <c r="CN17" s="2070"/>
      <c r="CO17" s="2070"/>
      <c r="CP17" s="2070"/>
      <c r="CQ17" s="2070"/>
      <c r="CR17" s="2070"/>
      <c r="CS17" s="2070"/>
      <c r="CT17" s="2070"/>
      <c r="CU17" s="2070"/>
      <c r="CV17" s="2070"/>
      <c r="CW17" s="2070"/>
      <c r="CX17" s="2070"/>
      <c r="CY17" s="2070"/>
      <c r="CZ17" s="2070"/>
      <c r="DA17" s="2070"/>
      <c r="DB17" s="2070"/>
      <c r="DC17" s="2070"/>
      <c r="DD17" s="2070"/>
      <c r="DE17" s="2070"/>
      <c r="DF17" s="2070"/>
      <c r="DG17" s="2070"/>
      <c r="DH17" s="2070"/>
      <c r="DI17" s="2070"/>
      <c r="DJ17" s="2070"/>
      <c r="DK17" s="2070"/>
      <c r="DL17" s="2070"/>
      <c r="DM17" s="2070"/>
      <c r="DN17" s="2070"/>
      <c r="DO17" s="2070"/>
      <c r="DP17" s="2070"/>
      <c r="DQ17" s="2070"/>
      <c r="DR17" s="2070"/>
      <c r="DS17" s="2070"/>
      <c r="DT17" s="2070"/>
      <c r="DU17" s="2070"/>
      <c r="DV17" s="2070"/>
      <c r="DW17" s="2070"/>
      <c r="DX17" s="2070"/>
      <c r="DY17" s="2070"/>
      <c r="DZ17" s="2070"/>
      <c r="EA17" s="2070"/>
      <c r="EB17" s="2070"/>
      <c r="EC17" s="2070"/>
      <c r="ED17" s="2070"/>
      <c r="EE17" s="2070"/>
      <c r="EF17" s="2070"/>
      <c r="EG17" s="2070"/>
      <c r="EH17" s="2070"/>
      <c r="EI17" s="2070"/>
      <c r="EJ17" s="2070"/>
      <c r="EK17" s="2070"/>
      <c r="EL17" s="2070"/>
      <c r="EM17" s="2070"/>
      <c r="EN17" s="2070"/>
      <c r="EO17" s="2070"/>
      <c r="EP17" s="2070"/>
      <c r="EQ17" s="2070"/>
      <c r="ER17" s="2070"/>
      <c r="ES17" s="2070"/>
      <c r="ET17" s="2070"/>
      <c r="EU17" s="2071"/>
    </row>
    <row r="18" spans="1:151" s="2039" customFormat="1" ht="15" customHeight="1">
      <c r="A18" s="16273" t="s">
        <v>2637</v>
      </c>
      <c r="B18" s="16412"/>
      <c r="C18" s="16268" t="s">
        <v>2638</v>
      </c>
      <c r="D18" s="6067" t="s">
        <v>2639</v>
      </c>
      <c r="E18" s="16243" t="s">
        <v>2640</v>
      </c>
      <c r="F18" s="16243" t="s">
        <v>2641</v>
      </c>
      <c r="G18" s="16243" t="s">
        <v>2642</v>
      </c>
      <c r="H18" s="16243" t="s">
        <v>4535</v>
      </c>
      <c r="I18" s="16243" t="s">
        <v>2643</v>
      </c>
      <c r="J18" s="16243" t="s">
        <v>2641</v>
      </c>
      <c r="K18" s="5750" t="s">
        <v>86</v>
      </c>
      <c r="L18" s="5136" t="s">
        <v>2862</v>
      </c>
      <c r="M18" s="5136"/>
      <c r="N18" s="5940">
        <v>1</v>
      </c>
      <c r="O18" s="5144" t="s">
        <v>3516</v>
      </c>
      <c r="P18" s="5134" t="s">
        <v>3517</v>
      </c>
      <c r="Q18" s="5144"/>
      <c r="R18" s="5678">
        <v>36000000</v>
      </c>
      <c r="S18" s="5939"/>
      <c r="T18" s="6068">
        <v>36000000</v>
      </c>
      <c r="U18" s="5939"/>
      <c r="V18" s="5144">
        <v>8247</v>
      </c>
      <c r="W18" s="5144">
        <v>4198</v>
      </c>
      <c r="X18" s="5144">
        <v>4049</v>
      </c>
      <c r="Y18" s="5144">
        <v>8247</v>
      </c>
      <c r="Z18" s="5144"/>
      <c r="AA18" s="5144">
        <v>8247</v>
      </c>
      <c r="AB18" s="5134">
        <v>7849</v>
      </c>
      <c r="AC18" s="5134"/>
      <c r="AD18" s="5134"/>
      <c r="AE18" s="5134"/>
      <c r="AF18" s="5134"/>
      <c r="AG18" s="5134"/>
      <c r="AH18" s="5134"/>
      <c r="AI18" s="5134"/>
      <c r="AJ18" s="5134">
        <v>0</v>
      </c>
      <c r="AK18" s="5134">
        <v>0</v>
      </c>
      <c r="AL18" s="5134">
        <v>0</v>
      </c>
      <c r="AM18" s="5134">
        <v>0</v>
      </c>
      <c r="AN18" s="5134">
        <v>0</v>
      </c>
      <c r="AO18" s="5134">
        <v>0</v>
      </c>
      <c r="AP18" s="5134">
        <f>290+17</f>
        <v>307</v>
      </c>
      <c r="AQ18" s="5134">
        <v>7647</v>
      </c>
      <c r="AR18" s="5134">
        <v>79</v>
      </c>
      <c r="AS18" s="5134">
        <v>113</v>
      </c>
      <c r="AT18" s="5134">
        <v>10</v>
      </c>
      <c r="AU18" s="5134">
        <v>0</v>
      </c>
      <c r="AV18" s="5134">
        <v>0</v>
      </c>
      <c r="AW18" s="5939"/>
      <c r="AX18" s="5939"/>
      <c r="AY18" s="5939"/>
      <c r="AZ18" s="5939"/>
      <c r="BA18" s="5939"/>
      <c r="BB18" s="5939"/>
      <c r="BC18" s="5939"/>
      <c r="BD18" s="5939"/>
      <c r="BE18" s="5939"/>
      <c r="BF18" s="5939"/>
      <c r="BG18" s="6069" t="s">
        <v>9822</v>
      </c>
      <c r="BH18" s="5132">
        <v>1</v>
      </c>
      <c r="BI18" s="16327" t="s">
        <v>9118</v>
      </c>
      <c r="BJ18" s="16046" t="s">
        <v>9119</v>
      </c>
      <c r="BK18" s="5939"/>
      <c r="BL18" s="5678">
        <v>36000000</v>
      </c>
      <c r="BM18" s="5144"/>
      <c r="BN18" s="5678">
        <v>36000000</v>
      </c>
      <c r="BO18" s="5673"/>
      <c r="BP18" s="5673"/>
      <c r="BQ18" s="5134">
        <v>7849</v>
      </c>
      <c r="BR18" s="5134">
        <v>4040</v>
      </c>
      <c r="BS18" s="5134">
        <v>3809</v>
      </c>
      <c r="BT18" s="5134"/>
      <c r="BU18" s="5134"/>
      <c r="BV18" s="5134">
        <v>7849</v>
      </c>
      <c r="BW18" s="5134"/>
      <c r="BX18" s="5134"/>
      <c r="BY18" s="5134"/>
      <c r="BZ18" s="5134"/>
      <c r="CA18" s="5134"/>
      <c r="CB18" s="5134"/>
      <c r="CC18" s="5134"/>
      <c r="CD18" s="5134">
        <v>0</v>
      </c>
      <c r="CE18" s="5134">
        <v>0</v>
      </c>
      <c r="CF18" s="5134">
        <v>0</v>
      </c>
      <c r="CG18" s="5134">
        <v>0</v>
      </c>
      <c r="CH18" s="5134">
        <v>0</v>
      </c>
      <c r="CI18" s="5134">
        <v>0</v>
      </c>
      <c r="CJ18" s="5134">
        <f>290+17</f>
        <v>307</v>
      </c>
      <c r="CK18" s="5134">
        <v>7647</v>
      </c>
      <c r="CL18" s="5134">
        <v>79</v>
      </c>
      <c r="CM18" s="5134">
        <v>113</v>
      </c>
      <c r="CN18" s="5134">
        <v>10</v>
      </c>
      <c r="CO18" s="5134">
        <v>0</v>
      </c>
      <c r="CP18" s="5134">
        <v>0</v>
      </c>
      <c r="CQ18" s="5939"/>
      <c r="CR18" s="5939"/>
      <c r="CS18" s="5939"/>
      <c r="CT18" s="5939"/>
      <c r="CU18" s="5939"/>
      <c r="CV18" s="5939"/>
      <c r="CW18" s="5939"/>
      <c r="CX18" s="5939"/>
      <c r="CY18" s="5939"/>
      <c r="CZ18" s="5939"/>
      <c r="DA18" s="5939"/>
      <c r="DB18" s="5939"/>
      <c r="DC18" s="5939"/>
      <c r="DD18" s="5939"/>
      <c r="DE18" s="5939"/>
      <c r="DF18" s="5939"/>
      <c r="DG18" s="5939"/>
      <c r="DH18" s="5939"/>
      <c r="DI18" s="5939"/>
      <c r="DJ18" s="5939"/>
      <c r="DK18" s="5939"/>
      <c r="DL18" s="5939"/>
      <c r="DM18" s="5939"/>
      <c r="DN18" s="5939"/>
      <c r="DO18" s="5939"/>
      <c r="DP18" s="5939"/>
      <c r="DQ18" s="5939"/>
      <c r="DR18" s="5939"/>
      <c r="DS18" s="5939"/>
      <c r="DT18" s="5939"/>
      <c r="DU18" s="5939"/>
      <c r="DV18" s="5939"/>
      <c r="DW18" s="5939"/>
      <c r="DX18" s="5939"/>
      <c r="DY18" s="5939"/>
      <c r="DZ18" s="5939"/>
      <c r="EA18" s="5939"/>
      <c r="EB18" s="5939"/>
      <c r="EC18" s="5939"/>
      <c r="ED18" s="5939"/>
      <c r="EE18" s="5939"/>
      <c r="EF18" s="5939"/>
      <c r="EG18" s="5939"/>
      <c r="EH18" s="5939"/>
      <c r="EI18" s="5939"/>
      <c r="EJ18" s="5939"/>
      <c r="EK18" s="5939"/>
      <c r="EL18" s="5939"/>
      <c r="EM18" s="5939"/>
      <c r="EN18" s="5939"/>
      <c r="EO18" s="5939"/>
      <c r="EP18" s="5939"/>
      <c r="EQ18" s="5939"/>
      <c r="ER18" s="5939"/>
      <c r="ES18" s="5939"/>
      <c r="ET18" s="5939"/>
      <c r="EU18" s="5941"/>
    </row>
    <row r="19" spans="1:151" s="2039" customFormat="1" ht="15" customHeight="1">
      <c r="A19" s="16273"/>
      <c r="B19" s="16412"/>
      <c r="C19" s="16269"/>
      <c r="D19" s="5743"/>
      <c r="E19" s="16244"/>
      <c r="F19" s="16244"/>
      <c r="G19" s="16244"/>
      <c r="H19" s="16244"/>
      <c r="I19" s="16244"/>
      <c r="J19" s="16244"/>
      <c r="K19" s="2755" t="s">
        <v>208</v>
      </c>
      <c r="L19" s="5684"/>
      <c r="M19" s="5684" t="s">
        <v>2855</v>
      </c>
      <c r="N19" s="5804"/>
      <c r="O19" s="5689"/>
      <c r="P19" s="5686"/>
      <c r="Q19" s="5689"/>
      <c r="R19" s="5692"/>
      <c r="S19" s="5744"/>
      <c r="T19" s="5745"/>
      <c r="U19" s="5744"/>
      <c r="V19" s="5689"/>
      <c r="W19" s="5689"/>
      <c r="X19" s="5689"/>
      <c r="Y19" s="5689"/>
      <c r="Z19" s="5689"/>
      <c r="AA19" s="5689"/>
      <c r="AB19" s="5686"/>
      <c r="AC19" s="5686"/>
      <c r="AD19" s="5686"/>
      <c r="AE19" s="5686"/>
      <c r="AF19" s="5686"/>
      <c r="AG19" s="5686"/>
      <c r="AH19" s="5686"/>
      <c r="AI19" s="5686"/>
      <c r="AJ19" s="5686"/>
      <c r="AK19" s="5686"/>
      <c r="AL19" s="5686"/>
      <c r="AM19" s="5686"/>
      <c r="AN19" s="5686"/>
      <c r="AO19" s="5686"/>
      <c r="AP19" s="5686"/>
      <c r="AQ19" s="5686"/>
      <c r="AR19" s="5686"/>
      <c r="AS19" s="5686"/>
      <c r="AT19" s="5686"/>
      <c r="AU19" s="5686"/>
      <c r="AV19" s="5686"/>
      <c r="AW19" s="5744"/>
      <c r="AX19" s="5744"/>
      <c r="AY19" s="5744"/>
      <c r="AZ19" s="5744"/>
      <c r="BA19" s="5744"/>
      <c r="BB19" s="5744"/>
      <c r="BC19" s="5744"/>
      <c r="BD19" s="5744"/>
      <c r="BE19" s="5744"/>
      <c r="BF19" s="5744"/>
      <c r="BG19" s="5805"/>
      <c r="BH19" s="5746"/>
      <c r="BI19" s="15364"/>
      <c r="BJ19" s="16039"/>
      <c r="BK19" s="5744"/>
      <c r="BL19" s="5692"/>
      <c r="BM19" s="5689"/>
      <c r="BN19" s="5692"/>
      <c r="BO19" s="2764"/>
      <c r="BP19" s="2764"/>
      <c r="BQ19" s="5686"/>
      <c r="BR19" s="5686"/>
      <c r="BS19" s="5686"/>
      <c r="BT19" s="5686"/>
      <c r="BU19" s="5686"/>
      <c r="BV19" s="5686"/>
      <c r="BW19" s="5686"/>
      <c r="BX19" s="5686"/>
      <c r="BY19" s="5686"/>
      <c r="BZ19" s="5686"/>
      <c r="CA19" s="5686"/>
      <c r="CB19" s="5686"/>
      <c r="CC19" s="5686"/>
      <c r="CD19" s="5686"/>
      <c r="CE19" s="5686"/>
      <c r="CF19" s="5686"/>
      <c r="CG19" s="5686"/>
      <c r="CH19" s="5686"/>
      <c r="CI19" s="5686"/>
      <c r="CJ19" s="5686"/>
      <c r="CK19" s="5686"/>
      <c r="CL19" s="5686"/>
      <c r="CM19" s="5686"/>
      <c r="CN19" s="5686"/>
      <c r="CO19" s="5686"/>
      <c r="CP19" s="5686"/>
      <c r="CQ19" s="5744"/>
      <c r="CR19" s="5744"/>
      <c r="CS19" s="5744"/>
      <c r="CT19" s="5744"/>
      <c r="CU19" s="5744"/>
      <c r="CV19" s="5744"/>
      <c r="CW19" s="5744"/>
      <c r="CX19" s="5744"/>
      <c r="CY19" s="5744"/>
      <c r="CZ19" s="5744"/>
      <c r="DA19" s="5744"/>
      <c r="DB19" s="5744"/>
      <c r="DC19" s="5744"/>
      <c r="DD19" s="5744"/>
      <c r="DE19" s="5744"/>
      <c r="DF19" s="5744"/>
      <c r="DG19" s="5744"/>
      <c r="DH19" s="5744"/>
      <c r="DI19" s="5744"/>
      <c r="DJ19" s="5744"/>
      <c r="DK19" s="5744"/>
      <c r="DL19" s="5744"/>
      <c r="DM19" s="5744"/>
      <c r="DN19" s="5744"/>
      <c r="DO19" s="5744"/>
      <c r="DP19" s="5744"/>
      <c r="DQ19" s="5744"/>
      <c r="DR19" s="5744"/>
      <c r="DS19" s="5744"/>
      <c r="DT19" s="5744"/>
      <c r="DU19" s="5744"/>
      <c r="DV19" s="5744"/>
      <c r="DW19" s="5744"/>
      <c r="DX19" s="5744"/>
      <c r="DY19" s="5744"/>
      <c r="DZ19" s="5744"/>
      <c r="EA19" s="5744"/>
      <c r="EB19" s="5744"/>
      <c r="EC19" s="5744"/>
      <c r="ED19" s="5744"/>
      <c r="EE19" s="5744"/>
      <c r="EF19" s="5744"/>
      <c r="EG19" s="5744"/>
      <c r="EH19" s="5744"/>
      <c r="EI19" s="5744"/>
      <c r="EJ19" s="5744"/>
      <c r="EK19" s="5744"/>
      <c r="EL19" s="5744"/>
      <c r="EM19" s="5744"/>
      <c r="EN19" s="5744"/>
      <c r="EO19" s="5744"/>
      <c r="EP19" s="5744"/>
      <c r="EQ19" s="5744"/>
      <c r="ER19" s="5744"/>
      <c r="ES19" s="5744"/>
      <c r="ET19" s="5744"/>
      <c r="EU19" s="2038"/>
    </row>
    <row r="20" spans="1:151" s="2039" customFormat="1" ht="15" customHeight="1">
      <c r="A20" s="16273"/>
      <c r="B20" s="16412"/>
      <c r="C20" s="16269"/>
      <c r="D20" s="5743" t="s">
        <v>2644</v>
      </c>
      <c r="E20" s="16244"/>
      <c r="F20" s="16244"/>
      <c r="G20" s="16244"/>
      <c r="H20" s="16244" t="s">
        <v>4536</v>
      </c>
      <c r="I20" s="16244" t="s">
        <v>2645</v>
      </c>
      <c r="J20" s="16244"/>
      <c r="K20" s="2755" t="s">
        <v>86</v>
      </c>
      <c r="L20" s="5684" t="s">
        <v>2862</v>
      </c>
      <c r="M20" s="5684"/>
      <c r="N20" s="5804">
        <v>0.89</v>
      </c>
      <c r="O20" s="5686" t="s">
        <v>3518</v>
      </c>
      <c r="P20" s="5686" t="s">
        <v>3517</v>
      </c>
      <c r="Q20" s="5689"/>
      <c r="R20" s="5692">
        <v>38000000</v>
      </c>
      <c r="S20" s="5689"/>
      <c r="T20" s="5692">
        <v>38000000</v>
      </c>
      <c r="U20" s="5689"/>
      <c r="V20" s="5689">
        <v>4582</v>
      </c>
      <c r="W20" s="5689">
        <v>2249</v>
      </c>
      <c r="X20" s="5689">
        <v>2333</v>
      </c>
      <c r="Y20" s="5689">
        <v>3975</v>
      </c>
      <c r="Z20" s="5689">
        <v>607</v>
      </c>
      <c r="AA20" s="5689">
        <v>4582</v>
      </c>
      <c r="AB20" s="5686">
        <v>4448</v>
      </c>
      <c r="AC20" s="5686"/>
      <c r="AD20" s="5686"/>
      <c r="AE20" s="5686"/>
      <c r="AF20" s="5686"/>
      <c r="AG20" s="5686"/>
      <c r="AH20" s="5686"/>
      <c r="AI20" s="5686"/>
      <c r="AJ20" s="5686">
        <v>0</v>
      </c>
      <c r="AK20" s="5686">
        <v>2</v>
      </c>
      <c r="AL20" s="5686">
        <v>0</v>
      </c>
      <c r="AM20" s="5686">
        <v>0</v>
      </c>
      <c r="AN20" s="5686">
        <v>0</v>
      </c>
      <c r="AO20" s="5686">
        <v>0</v>
      </c>
      <c r="AP20" s="5686">
        <v>138</v>
      </c>
      <c r="AQ20" s="5686">
        <f>4031+358</f>
        <v>4389</v>
      </c>
      <c r="AR20" s="5686">
        <v>38</v>
      </c>
      <c r="AS20" s="5686">
        <v>13</v>
      </c>
      <c r="AT20" s="5686">
        <v>8</v>
      </c>
      <c r="AU20" s="5686">
        <v>0</v>
      </c>
      <c r="AV20" s="5686">
        <v>0</v>
      </c>
      <c r="AW20" s="5744"/>
      <c r="AX20" s="5744"/>
      <c r="AY20" s="5744"/>
      <c r="AZ20" s="5744"/>
      <c r="BA20" s="5744"/>
      <c r="BB20" s="5744"/>
      <c r="BC20" s="5744"/>
      <c r="BD20" s="5744"/>
      <c r="BE20" s="5744"/>
      <c r="BF20" s="5744"/>
      <c r="BG20" s="5806">
        <v>0.91</v>
      </c>
      <c r="BH20" s="5746">
        <v>0.91</v>
      </c>
      <c r="BI20" s="15364"/>
      <c r="BJ20" s="16039"/>
      <c r="BK20" s="5744"/>
      <c r="BL20" s="5692">
        <v>38000000</v>
      </c>
      <c r="BM20" s="5689"/>
      <c r="BN20" s="5692">
        <v>38000000</v>
      </c>
      <c r="BO20" s="2764"/>
      <c r="BP20" s="2764"/>
      <c r="BQ20" s="5686">
        <v>4448</v>
      </c>
      <c r="BR20" s="5686">
        <f>+BQ20-BS20</f>
        <v>2349</v>
      </c>
      <c r="BS20" s="5686">
        <v>2099</v>
      </c>
      <c r="BT20" s="5686"/>
      <c r="BU20" s="5686"/>
      <c r="BV20" s="5686">
        <v>4448</v>
      </c>
      <c r="BW20" s="5686"/>
      <c r="BX20" s="5686"/>
      <c r="BY20" s="5686"/>
      <c r="BZ20" s="5686"/>
      <c r="CA20" s="5686"/>
      <c r="CB20" s="5686"/>
      <c r="CC20" s="5686"/>
      <c r="CD20" s="5686">
        <v>0</v>
      </c>
      <c r="CE20" s="5686">
        <v>2</v>
      </c>
      <c r="CF20" s="5686">
        <v>0</v>
      </c>
      <c r="CG20" s="5686">
        <v>0</v>
      </c>
      <c r="CH20" s="5686">
        <v>0</v>
      </c>
      <c r="CI20" s="5686">
        <v>0</v>
      </c>
      <c r="CJ20" s="5686">
        <v>138</v>
      </c>
      <c r="CK20" s="5686">
        <f>4031+358</f>
        <v>4389</v>
      </c>
      <c r="CL20" s="5686">
        <v>38</v>
      </c>
      <c r="CM20" s="5686">
        <v>13</v>
      </c>
      <c r="CN20" s="5686">
        <v>8</v>
      </c>
      <c r="CO20" s="5686">
        <v>0</v>
      </c>
      <c r="CP20" s="5686">
        <v>0</v>
      </c>
      <c r="CQ20" s="5744"/>
      <c r="CR20" s="5744"/>
      <c r="CS20" s="5744"/>
      <c r="CT20" s="5744"/>
      <c r="CU20" s="5744"/>
      <c r="CV20" s="5744"/>
      <c r="CW20" s="5744"/>
      <c r="CX20" s="5744"/>
      <c r="CY20" s="5744"/>
      <c r="CZ20" s="5744"/>
      <c r="DA20" s="5744"/>
      <c r="DB20" s="5744"/>
      <c r="DC20" s="5744"/>
      <c r="DD20" s="5744"/>
      <c r="DE20" s="5744"/>
      <c r="DF20" s="5744"/>
      <c r="DG20" s="5744"/>
      <c r="DH20" s="5744"/>
      <c r="DI20" s="5744"/>
      <c r="DJ20" s="5744"/>
      <c r="DK20" s="5744"/>
      <c r="DL20" s="5744"/>
      <c r="DM20" s="5744"/>
      <c r="DN20" s="5744"/>
      <c r="DO20" s="5744"/>
      <c r="DP20" s="5744"/>
      <c r="DQ20" s="5744"/>
      <c r="DR20" s="5744"/>
      <c r="DS20" s="5744"/>
      <c r="DT20" s="5744"/>
      <c r="DU20" s="5744"/>
      <c r="DV20" s="5744"/>
      <c r="DW20" s="5744"/>
      <c r="DX20" s="5744"/>
      <c r="DY20" s="5744"/>
      <c r="DZ20" s="5744"/>
      <c r="EA20" s="5744"/>
      <c r="EB20" s="5744"/>
      <c r="EC20" s="5744"/>
      <c r="ED20" s="5744"/>
      <c r="EE20" s="5744"/>
      <c r="EF20" s="5744"/>
      <c r="EG20" s="5744"/>
      <c r="EH20" s="5744"/>
      <c r="EI20" s="5744"/>
      <c r="EJ20" s="5744"/>
      <c r="EK20" s="5744"/>
      <c r="EL20" s="5744"/>
      <c r="EM20" s="5744"/>
      <c r="EN20" s="5744"/>
      <c r="EO20" s="5744"/>
      <c r="EP20" s="5744"/>
      <c r="EQ20" s="5744"/>
      <c r="ER20" s="5744"/>
      <c r="ES20" s="5744"/>
      <c r="ET20" s="5744"/>
      <c r="EU20" s="2038"/>
    </row>
    <row r="21" spans="1:151" s="2039" customFormat="1" ht="15" customHeight="1">
      <c r="A21" s="16273"/>
      <c r="B21" s="16412"/>
      <c r="C21" s="16269"/>
      <c r="D21" s="5743"/>
      <c r="E21" s="16244"/>
      <c r="F21" s="16244"/>
      <c r="G21" s="16244"/>
      <c r="H21" s="16244"/>
      <c r="I21" s="16244"/>
      <c r="J21" s="16244"/>
      <c r="K21" s="2755" t="s">
        <v>208</v>
      </c>
      <c r="L21" s="5684"/>
      <c r="M21" s="5684" t="s">
        <v>2855</v>
      </c>
      <c r="N21" s="5804"/>
      <c r="O21" s="5686"/>
      <c r="P21" s="5686"/>
      <c r="Q21" s="5689"/>
      <c r="R21" s="5692"/>
      <c r="S21" s="5689"/>
      <c r="T21" s="5692"/>
      <c r="U21" s="5689"/>
      <c r="V21" s="5689"/>
      <c r="W21" s="5689"/>
      <c r="X21" s="5689"/>
      <c r="Y21" s="5689"/>
      <c r="Z21" s="5689"/>
      <c r="AA21" s="5689"/>
      <c r="AB21" s="5686"/>
      <c r="AC21" s="5686"/>
      <c r="AD21" s="5686"/>
      <c r="AE21" s="5686"/>
      <c r="AF21" s="5686"/>
      <c r="AG21" s="5686"/>
      <c r="AH21" s="5686"/>
      <c r="AI21" s="5686"/>
      <c r="AJ21" s="5686"/>
      <c r="AK21" s="5686"/>
      <c r="AL21" s="5686"/>
      <c r="AM21" s="5686"/>
      <c r="AN21" s="5686"/>
      <c r="AO21" s="5686"/>
      <c r="AP21" s="5686"/>
      <c r="AQ21" s="5686"/>
      <c r="AR21" s="5686"/>
      <c r="AS21" s="5686"/>
      <c r="AT21" s="5686"/>
      <c r="AU21" s="5686"/>
      <c r="AV21" s="5686"/>
      <c r="AW21" s="5744"/>
      <c r="AX21" s="5744"/>
      <c r="AY21" s="5744"/>
      <c r="AZ21" s="5744"/>
      <c r="BA21" s="5744"/>
      <c r="BB21" s="5744"/>
      <c r="BC21" s="5744"/>
      <c r="BD21" s="5744"/>
      <c r="BE21" s="5744"/>
      <c r="BF21" s="5744"/>
      <c r="BG21" s="5806"/>
      <c r="BH21" s="5746"/>
      <c r="BI21" s="15364"/>
      <c r="BJ21" s="16039"/>
      <c r="BK21" s="5744"/>
      <c r="BL21" s="5692"/>
      <c r="BM21" s="5689"/>
      <c r="BN21" s="5692"/>
      <c r="BO21" s="2764"/>
      <c r="BP21" s="2764"/>
      <c r="BQ21" s="5686"/>
      <c r="BR21" s="5686"/>
      <c r="BS21" s="5686"/>
      <c r="BT21" s="5686"/>
      <c r="BU21" s="5686"/>
      <c r="BV21" s="5686"/>
      <c r="BW21" s="5686"/>
      <c r="BX21" s="5686"/>
      <c r="BY21" s="5686"/>
      <c r="BZ21" s="5686"/>
      <c r="CA21" s="5686"/>
      <c r="CB21" s="5686"/>
      <c r="CC21" s="5686"/>
      <c r="CD21" s="5686"/>
      <c r="CE21" s="5686"/>
      <c r="CF21" s="5686"/>
      <c r="CG21" s="5686"/>
      <c r="CH21" s="5686"/>
      <c r="CI21" s="5686"/>
      <c r="CJ21" s="5686"/>
      <c r="CK21" s="5686"/>
      <c r="CL21" s="5686"/>
      <c r="CM21" s="5686"/>
      <c r="CN21" s="5686"/>
      <c r="CO21" s="5686"/>
      <c r="CP21" s="5686"/>
      <c r="CQ21" s="5744"/>
      <c r="CR21" s="5744"/>
      <c r="CS21" s="5744"/>
      <c r="CT21" s="5744"/>
      <c r="CU21" s="5744"/>
      <c r="CV21" s="5744"/>
      <c r="CW21" s="5744"/>
      <c r="CX21" s="5744"/>
      <c r="CY21" s="5744"/>
      <c r="CZ21" s="5744"/>
      <c r="DA21" s="5744"/>
      <c r="DB21" s="5744"/>
      <c r="DC21" s="5744"/>
      <c r="DD21" s="5744"/>
      <c r="DE21" s="5744"/>
      <c r="DF21" s="5744"/>
      <c r="DG21" s="5744"/>
      <c r="DH21" s="5744"/>
      <c r="DI21" s="5744"/>
      <c r="DJ21" s="5744"/>
      <c r="DK21" s="5744"/>
      <c r="DL21" s="5744"/>
      <c r="DM21" s="5744"/>
      <c r="DN21" s="5744"/>
      <c r="DO21" s="5744"/>
      <c r="DP21" s="5744"/>
      <c r="DQ21" s="5744"/>
      <c r="DR21" s="5744"/>
      <c r="DS21" s="5744"/>
      <c r="DT21" s="5744"/>
      <c r="DU21" s="5744"/>
      <c r="DV21" s="5744"/>
      <c r="DW21" s="5744"/>
      <c r="DX21" s="5744"/>
      <c r="DY21" s="5744"/>
      <c r="DZ21" s="5744"/>
      <c r="EA21" s="5744"/>
      <c r="EB21" s="5744"/>
      <c r="EC21" s="5744"/>
      <c r="ED21" s="5744"/>
      <c r="EE21" s="5744"/>
      <c r="EF21" s="5744"/>
      <c r="EG21" s="5744"/>
      <c r="EH21" s="5744"/>
      <c r="EI21" s="5744"/>
      <c r="EJ21" s="5744"/>
      <c r="EK21" s="5744"/>
      <c r="EL21" s="5744"/>
      <c r="EM21" s="5744"/>
      <c r="EN21" s="5744"/>
      <c r="EO21" s="5744"/>
      <c r="EP21" s="5744"/>
      <c r="EQ21" s="5744"/>
      <c r="ER21" s="5744"/>
      <c r="ES21" s="5744"/>
      <c r="ET21" s="5744"/>
      <c r="EU21" s="2038"/>
    </row>
    <row r="22" spans="1:151" s="2039" customFormat="1" ht="15" customHeight="1">
      <c r="A22" s="16273"/>
      <c r="B22" s="16412"/>
      <c r="C22" s="16269"/>
      <c r="D22" s="5743" t="s">
        <v>2646</v>
      </c>
      <c r="E22" s="16244"/>
      <c r="F22" s="16244"/>
      <c r="G22" s="16244"/>
      <c r="H22" s="16244" t="s">
        <v>4537</v>
      </c>
      <c r="I22" s="16244" t="s">
        <v>2647</v>
      </c>
      <c r="J22" s="16244"/>
      <c r="K22" s="2755" t="s">
        <v>86</v>
      </c>
      <c r="L22" s="5684" t="s">
        <v>2862</v>
      </c>
      <c r="M22" s="5684"/>
      <c r="N22" s="5804">
        <v>0.89</v>
      </c>
      <c r="O22" s="5686" t="s">
        <v>3519</v>
      </c>
      <c r="P22" s="5686" t="s">
        <v>3517</v>
      </c>
      <c r="Q22" s="5744"/>
      <c r="R22" s="5692">
        <v>36000000</v>
      </c>
      <c r="S22" s="5744"/>
      <c r="T22" s="5745">
        <v>36000000</v>
      </c>
      <c r="U22" s="5744"/>
      <c r="V22" s="5689">
        <v>4580</v>
      </c>
      <c r="W22" s="5689">
        <v>2257</v>
      </c>
      <c r="X22" s="5689">
        <v>2323</v>
      </c>
      <c r="Y22" s="5689">
        <v>4580</v>
      </c>
      <c r="Z22" s="5689"/>
      <c r="AA22" s="5689">
        <v>4580</v>
      </c>
      <c r="AB22" s="5689"/>
      <c r="AC22" s="5686"/>
      <c r="AD22" s="5686"/>
      <c r="AE22" s="5686"/>
      <c r="AF22" s="5686"/>
      <c r="AG22" s="5686"/>
      <c r="AH22" s="5686"/>
      <c r="AI22" s="5686"/>
      <c r="AJ22" s="5686">
        <v>0</v>
      </c>
      <c r="AK22" s="5686">
        <v>2</v>
      </c>
      <c r="AL22" s="5686">
        <v>0</v>
      </c>
      <c r="AM22" s="5686">
        <v>0</v>
      </c>
      <c r="AN22" s="5686">
        <v>0</v>
      </c>
      <c r="AO22" s="5686">
        <v>0</v>
      </c>
      <c r="AP22" s="5686">
        <v>138</v>
      </c>
      <c r="AQ22" s="5686">
        <v>4387</v>
      </c>
      <c r="AR22" s="5686">
        <v>38</v>
      </c>
      <c r="AS22" s="5686">
        <v>13</v>
      </c>
      <c r="AT22" s="5686">
        <v>8</v>
      </c>
      <c r="AU22" s="5686">
        <v>0</v>
      </c>
      <c r="AV22" s="5686">
        <v>0</v>
      </c>
      <c r="AW22" s="5744"/>
      <c r="AX22" s="5744"/>
      <c r="AY22" s="5744"/>
      <c r="AZ22" s="5744"/>
      <c r="BA22" s="5744"/>
      <c r="BB22" s="5744"/>
      <c r="BC22" s="5744"/>
      <c r="BD22" s="5744"/>
      <c r="BE22" s="5744"/>
      <c r="BF22" s="5744"/>
      <c r="BG22" s="5806">
        <v>0.91</v>
      </c>
      <c r="BH22" s="5746">
        <v>0.91</v>
      </c>
      <c r="BI22" s="15364"/>
      <c r="BJ22" s="16039"/>
      <c r="BK22" s="5744"/>
      <c r="BL22" s="5692">
        <v>36000000</v>
      </c>
      <c r="BM22" s="5689"/>
      <c r="BN22" s="5692">
        <v>36000000</v>
      </c>
      <c r="BO22" s="2764"/>
      <c r="BP22" s="2764"/>
      <c r="BQ22" s="5686">
        <v>4446</v>
      </c>
      <c r="BR22" s="5686">
        <v>2347</v>
      </c>
      <c r="BS22" s="5686">
        <v>2099</v>
      </c>
      <c r="BT22" s="5686"/>
      <c r="BU22" s="5686"/>
      <c r="BV22" s="5686">
        <v>4446</v>
      </c>
      <c r="BW22" s="5686"/>
      <c r="BX22" s="5686"/>
      <c r="BY22" s="5686"/>
      <c r="BZ22" s="5686"/>
      <c r="CA22" s="5686"/>
      <c r="CB22" s="5686"/>
      <c r="CC22" s="5686"/>
      <c r="CD22" s="5686">
        <v>0</v>
      </c>
      <c r="CE22" s="5686">
        <v>2</v>
      </c>
      <c r="CF22" s="5686">
        <v>0</v>
      </c>
      <c r="CG22" s="5686">
        <v>0</v>
      </c>
      <c r="CH22" s="5686">
        <v>0</v>
      </c>
      <c r="CI22" s="5686">
        <v>0</v>
      </c>
      <c r="CJ22" s="5686">
        <v>138</v>
      </c>
      <c r="CK22" s="5686">
        <v>4387</v>
      </c>
      <c r="CL22" s="5686">
        <v>38</v>
      </c>
      <c r="CM22" s="5686">
        <v>13</v>
      </c>
      <c r="CN22" s="5686">
        <v>8</v>
      </c>
      <c r="CO22" s="5686">
        <v>0</v>
      </c>
      <c r="CP22" s="5686">
        <v>0</v>
      </c>
      <c r="CQ22" s="5744"/>
      <c r="CR22" s="5744"/>
      <c r="CS22" s="5744"/>
      <c r="CT22" s="5744"/>
      <c r="CU22" s="5744"/>
      <c r="CV22" s="5744"/>
      <c r="CW22" s="5744"/>
      <c r="CX22" s="5744"/>
      <c r="CY22" s="5744"/>
      <c r="CZ22" s="5744"/>
      <c r="DA22" s="5744"/>
      <c r="DB22" s="5744"/>
      <c r="DC22" s="5744"/>
      <c r="DD22" s="5744"/>
      <c r="DE22" s="5744"/>
      <c r="DF22" s="5744"/>
      <c r="DG22" s="5744"/>
      <c r="DH22" s="5744"/>
      <c r="DI22" s="5744"/>
      <c r="DJ22" s="5744"/>
      <c r="DK22" s="5744"/>
      <c r="DL22" s="5744"/>
      <c r="DM22" s="5744"/>
      <c r="DN22" s="5744"/>
      <c r="DO22" s="5744"/>
      <c r="DP22" s="5744"/>
      <c r="DQ22" s="5744"/>
      <c r="DR22" s="5744"/>
      <c r="DS22" s="5744"/>
      <c r="DT22" s="5744"/>
      <c r="DU22" s="5744"/>
      <c r="DV22" s="5744"/>
      <c r="DW22" s="5744"/>
      <c r="DX22" s="5744"/>
      <c r="DY22" s="5744"/>
      <c r="DZ22" s="5744"/>
      <c r="EA22" s="5744"/>
      <c r="EB22" s="5744"/>
      <c r="EC22" s="5744"/>
      <c r="ED22" s="5744"/>
      <c r="EE22" s="5744"/>
      <c r="EF22" s="5744"/>
      <c r="EG22" s="5744"/>
      <c r="EH22" s="5744"/>
      <c r="EI22" s="5744"/>
      <c r="EJ22" s="5744"/>
      <c r="EK22" s="5744"/>
      <c r="EL22" s="5744"/>
      <c r="EM22" s="5744"/>
      <c r="EN22" s="5744"/>
      <c r="EO22" s="5744"/>
      <c r="EP22" s="5744"/>
      <c r="EQ22" s="5744"/>
      <c r="ER22" s="5744"/>
      <c r="ES22" s="5744"/>
      <c r="ET22" s="5744"/>
      <c r="EU22" s="2038"/>
    </row>
    <row r="23" spans="1:151" s="2039" customFormat="1" ht="15" customHeight="1">
      <c r="A23" s="16273"/>
      <c r="B23" s="16412"/>
      <c r="C23" s="16269"/>
      <c r="D23" s="5743"/>
      <c r="E23" s="16244"/>
      <c r="F23" s="16244"/>
      <c r="G23" s="16244"/>
      <c r="H23" s="16244"/>
      <c r="I23" s="16244"/>
      <c r="J23" s="16244"/>
      <c r="K23" s="2755" t="s">
        <v>208</v>
      </c>
      <c r="L23" s="5684"/>
      <c r="M23" s="5684" t="s">
        <v>2855</v>
      </c>
      <c r="N23" s="5804"/>
      <c r="O23" s="5686"/>
      <c r="P23" s="5686"/>
      <c r="Q23" s="5744"/>
      <c r="R23" s="5692"/>
      <c r="S23" s="5744"/>
      <c r="T23" s="5745"/>
      <c r="U23" s="5744"/>
      <c r="V23" s="5689"/>
      <c r="W23" s="5689"/>
      <c r="X23" s="5689"/>
      <c r="Y23" s="5689"/>
      <c r="Z23" s="5689"/>
      <c r="AA23" s="5689"/>
      <c r="AB23" s="5689"/>
      <c r="AC23" s="5686"/>
      <c r="AD23" s="5686"/>
      <c r="AE23" s="5686"/>
      <c r="AF23" s="5686"/>
      <c r="AG23" s="5686"/>
      <c r="AH23" s="5686"/>
      <c r="AI23" s="5686"/>
      <c r="AJ23" s="5686"/>
      <c r="AK23" s="5686"/>
      <c r="AL23" s="5686"/>
      <c r="AM23" s="5686"/>
      <c r="AN23" s="5686"/>
      <c r="AO23" s="5686"/>
      <c r="AP23" s="5686"/>
      <c r="AQ23" s="5686"/>
      <c r="AR23" s="5686"/>
      <c r="AS23" s="5686"/>
      <c r="AT23" s="5686"/>
      <c r="AU23" s="5686"/>
      <c r="AV23" s="5686"/>
      <c r="AW23" s="5744"/>
      <c r="AX23" s="5744"/>
      <c r="AY23" s="5744"/>
      <c r="AZ23" s="5744"/>
      <c r="BA23" s="5744"/>
      <c r="BB23" s="5744"/>
      <c r="BC23" s="5744"/>
      <c r="BD23" s="5744"/>
      <c r="BE23" s="5744"/>
      <c r="BF23" s="5744"/>
      <c r="BG23" s="5806"/>
      <c r="BH23" s="5746"/>
      <c r="BI23" s="15364"/>
      <c r="BJ23" s="5686"/>
      <c r="BK23" s="5744"/>
      <c r="BL23" s="5692"/>
      <c r="BM23" s="5689"/>
      <c r="BN23" s="5692"/>
      <c r="BO23" s="2764"/>
      <c r="BP23" s="2764"/>
      <c r="BQ23" s="5686"/>
      <c r="BR23" s="5686"/>
      <c r="BS23" s="5686"/>
      <c r="BT23" s="5686"/>
      <c r="BU23" s="5686"/>
      <c r="BV23" s="5686"/>
      <c r="BW23" s="5686"/>
      <c r="BX23" s="5686"/>
      <c r="BY23" s="5686"/>
      <c r="BZ23" s="5686"/>
      <c r="CA23" s="5686"/>
      <c r="CB23" s="5686"/>
      <c r="CC23" s="5686"/>
      <c r="CD23" s="5686"/>
      <c r="CE23" s="5686"/>
      <c r="CF23" s="5686"/>
      <c r="CG23" s="5686"/>
      <c r="CH23" s="5686"/>
      <c r="CI23" s="5686"/>
      <c r="CJ23" s="5686"/>
      <c r="CK23" s="5686"/>
      <c r="CL23" s="5686"/>
      <c r="CM23" s="5686"/>
      <c r="CN23" s="5686"/>
      <c r="CO23" s="5686"/>
      <c r="CP23" s="5686"/>
      <c r="CQ23" s="5744"/>
      <c r="CR23" s="5744"/>
      <c r="CS23" s="5744"/>
      <c r="CT23" s="5744"/>
      <c r="CU23" s="5744"/>
      <c r="CV23" s="5744"/>
      <c r="CW23" s="5744"/>
      <c r="CX23" s="5744"/>
      <c r="CY23" s="5744"/>
      <c r="CZ23" s="5744"/>
      <c r="DA23" s="5744"/>
      <c r="DB23" s="5744"/>
      <c r="DC23" s="5744"/>
      <c r="DD23" s="5744"/>
      <c r="DE23" s="5744"/>
      <c r="DF23" s="5744"/>
      <c r="DG23" s="5744"/>
      <c r="DH23" s="5744"/>
      <c r="DI23" s="5744"/>
      <c r="DJ23" s="5744"/>
      <c r="DK23" s="5744"/>
      <c r="DL23" s="5744"/>
      <c r="DM23" s="5744"/>
      <c r="DN23" s="5744"/>
      <c r="DO23" s="5744"/>
      <c r="DP23" s="5744"/>
      <c r="DQ23" s="5744"/>
      <c r="DR23" s="5744"/>
      <c r="DS23" s="5744"/>
      <c r="DT23" s="5744"/>
      <c r="DU23" s="5744"/>
      <c r="DV23" s="5744"/>
      <c r="DW23" s="5744"/>
      <c r="DX23" s="5744"/>
      <c r="DY23" s="5744"/>
      <c r="DZ23" s="5744"/>
      <c r="EA23" s="5744"/>
      <c r="EB23" s="5744"/>
      <c r="EC23" s="5744"/>
      <c r="ED23" s="5744"/>
      <c r="EE23" s="5744"/>
      <c r="EF23" s="5744"/>
      <c r="EG23" s="5744"/>
      <c r="EH23" s="5744"/>
      <c r="EI23" s="5744"/>
      <c r="EJ23" s="5744"/>
      <c r="EK23" s="5744"/>
      <c r="EL23" s="5744"/>
      <c r="EM23" s="5744"/>
      <c r="EN23" s="5744"/>
      <c r="EO23" s="5744"/>
      <c r="EP23" s="5744"/>
      <c r="EQ23" s="5744"/>
      <c r="ER23" s="5744"/>
      <c r="ES23" s="5744"/>
      <c r="ET23" s="5744"/>
      <c r="EU23" s="2038"/>
    </row>
    <row r="24" spans="1:151" s="2039" customFormat="1" ht="15" customHeight="1">
      <c r="A24" s="16273"/>
      <c r="B24" s="16412"/>
      <c r="C24" s="16269"/>
      <c r="D24" s="5743" t="s">
        <v>2648</v>
      </c>
      <c r="E24" s="16244"/>
      <c r="F24" s="16244"/>
      <c r="G24" s="16244"/>
      <c r="H24" s="16244" t="s">
        <v>4538</v>
      </c>
      <c r="I24" s="16244" t="s">
        <v>2649</v>
      </c>
      <c r="J24" s="16244"/>
      <c r="K24" s="2755" t="s">
        <v>86</v>
      </c>
      <c r="L24" s="5684" t="s">
        <v>2862</v>
      </c>
      <c r="M24" s="5684"/>
      <c r="N24" s="5685">
        <v>1</v>
      </c>
      <c r="O24" s="5686" t="s">
        <v>3519</v>
      </c>
      <c r="P24" s="5686" t="s">
        <v>3517</v>
      </c>
      <c r="Q24" s="5689"/>
      <c r="R24" s="5692">
        <v>36000000</v>
      </c>
      <c r="S24" s="5689"/>
      <c r="T24" s="5692">
        <v>36000000</v>
      </c>
      <c r="U24" s="5689"/>
      <c r="V24" s="5689">
        <v>8263</v>
      </c>
      <c r="W24" s="5689">
        <v>4209</v>
      </c>
      <c r="X24" s="5689">
        <v>4054</v>
      </c>
      <c r="Y24" s="5689">
        <v>8263</v>
      </c>
      <c r="Z24" s="5689"/>
      <c r="AA24" s="5689">
        <v>8263</v>
      </c>
      <c r="AB24" s="5686">
        <v>7908</v>
      </c>
      <c r="AC24" s="5686"/>
      <c r="AD24" s="5686"/>
      <c r="AE24" s="5686"/>
      <c r="AF24" s="5686"/>
      <c r="AG24" s="5686"/>
      <c r="AH24" s="5686"/>
      <c r="AI24" s="5686"/>
      <c r="AJ24" s="5686">
        <v>0</v>
      </c>
      <c r="AK24" s="5686">
        <v>0</v>
      </c>
      <c r="AL24" s="5686">
        <v>0</v>
      </c>
      <c r="AM24" s="5686">
        <v>0</v>
      </c>
      <c r="AN24" s="5686">
        <v>0</v>
      </c>
      <c r="AO24" s="5686">
        <v>0</v>
      </c>
      <c r="AP24" s="5686">
        <v>211</v>
      </c>
      <c r="AQ24" s="5686">
        <f>4016+3710</f>
        <v>7726</v>
      </c>
      <c r="AR24" s="5686">
        <v>72</v>
      </c>
      <c r="AS24" s="5686">
        <v>100</v>
      </c>
      <c r="AT24" s="5686">
        <v>10</v>
      </c>
      <c r="AU24" s="5686">
        <v>0</v>
      </c>
      <c r="AV24" s="5686">
        <v>0</v>
      </c>
      <c r="AW24" s="5744"/>
      <c r="AX24" s="5744"/>
      <c r="AY24" s="5744"/>
      <c r="AZ24" s="5744"/>
      <c r="BA24" s="5744"/>
      <c r="BB24" s="5744"/>
      <c r="BC24" s="5744"/>
      <c r="BD24" s="5744"/>
      <c r="BE24" s="5744"/>
      <c r="BF24" s="5744"/>
      <c r="BG24" s="5805" t="s">
        <v>9823</v>
      </c>
      <c r="BH24" s="5746">
        <v>1</v>
      </c>
      <c r="BI24" s="15364"/>
      <c r="BJ24" s="16039" t="s">
        <v>9119</v>
      </c>
      <c r="BK24" s="5744"/>
      <c r="BL24" s="5692">
        <v>36000000</v>
      </c>
      <c r="BM24" s="5689"/>
      <c r="BN24" s="5692">
        <v>36000000</v>
      </c>
      <c r="BO24" s="2764"/>
      <c r="BP24" s="2764"/>
      <c r="BQ24" s="5686">
        <v>7908</v>
      </c>
      <c r="BR24" s="5686">
        <f>+BQ24-BS24</f>
        <v>4057</v>
      </c>
      <c r="BS24" s="5686">
        <v>3851</v>
      </c>
      <c r="BT24" s="5686"/>
      <c r="BU24" s="5686"/>
      <c r="BV24" s="5686">
        <v>7908</v>
      </c>
      <c r="BW24" s="5686"/>
      <c r="BX24" s="5686"/>
      <c r="BY24" s="5686"/>
      <c r="BZ24" s="5686"/>
      <c r="CA24" s="5686"/>
      <c r="CB24" s="5686"/>
      <c r="CC24" s="5686"/>
      <c r="CD24" s="5686">
        <v>0</v>
      </c>
      <c r="CE24" s="5686">
        <v>0</v>
      </c>
      <c r="CF24" s="5686">
        <v>0</v>
      </c>
      <c r="CG24" s="5686">
        <v>0</v>
      </c>
      <c r="CH24" s="5686">
        <v>0</v>
      </c>
      <c r="CI24" s="5686">
        <v>0</v>
      </c>
      <c r="CJ24" s="5686">
        <v>211</v>
      </c>
      <c r="CK24" s="5686">
        <f>4016+3710</f>
        <v>7726</v>
      </c>
      <c r="CL24" s="5686">
        <v>72</v>
      </c>
      <c r="CM24" s="5686">
        <v>100</v>
      </c>
      <c r="CN24" s="5686">
        <v>10</v>
      </c>
      <c r="CO24" s="5686">
        <v>0</v>
      </c>
      <c r="CP24" s="5686">
        <v>0</v>
      </c>
      <c r="CQ24" s="5744"/>
      <c r="CR24" s="5744"/>
      <c r="CS24" s="5744"/>
      <c r="CT24" s="5744"/>
      <c r="CU24" s="5744"/>
      <c r="CV24" s="5744"/>
      <c r="CW24" s="5744"/>
      <c r="CX24" s="5744"/>
      <c r="CY24" s="5744"/>
      <c r="CZ24" s="5744"/>
      <c r="DA24" s="5744"/>
      <c r="DB24" s="5744"/>
      <c r="DC24" s="5744"/>
      <c r="DD24" s="5744"/>
      <c r="DE24" s="5744"/>
      <c r="DF24" s="5744"/>
      <c r="DG24" s="5744"/>
      <c r="DH24" s="5744"/>
      <c r="DI24" s="5744"/>
      <c r="DJ24" s="5744"/>
      <c r="DK24" s="5744"/>
      <c r="DL24" s="5744"/>
      <c r="DM24" s="5744"/>
      <c r="DN24" s="5744"/>
      <c r="DO24" s="5744"/>
      <c r="DP24" s="5744"/>
      <c r="DQ24" s="5744"/>
      <c r="DR24" s="5744"/>
      <c r="DS24" s="5744"/>
      <c r="DT24" s="5744"/>
      <c r="DU24" s="5744"/>
      <c r="DV24" s="5744"/>
      <c r="DW24" s="5744"/>
      <c r="DX24" s="5744"/>
      <c r="DY24" s="5744"/>
      <c r="DZ24" s="5744"/>
      <c r="EA24" s="5744"/>
      <c r="EB24" s="5744"/>
      <c r="EC24" s="5744"/>
      <c r="ED24" s="5744"/>
      <c r="EE24" s="5744"/>
      <c r="EF24" s="5744"/>
      <c r="EG24" s="5744"/>
      <c r="EH24" s="5744"/>
      <c r="EI24" s="5744"/>
      <c r="EJ24" s="5744"/>
      <c r="EK24" s="5744"/>
      <c r="EL24" s="5744"/>
      <c r="EM24" s="5744"/>
      <c r="EN24" s="5744"/>
      <c r="EO24" s="5744"/>
      <c r="EP24" s="5744"/>
      <c r="EQ24" s="5744"/>
      <c r="ER24" s="5744"/>
      <c r="ES24" s="5744"/>
      <c r="ET24" s="5744"/>
      <c r="EU24" s="2038"/>
    </row>
    <row r="25" spans="1:151" s="2039" customFormat="1" ht="15" customHeight="1">
      <c r="A25" s="16273"/>
      <c r="B25" s="16412"/>
      <c r="C25" s="16269"/>
      <c r="D25" s="5743"/>
      <c r="E25" s="16244"/>
      <c r="F25" s="16244"/>
      <c r="G25" s="16244"/>
      <c r="H25" s="16244"/>
      <c r="I25" s="16244"/>
      <c r="J25" s="16244"/>
      <c r="K25" s="2755" t="s">
        <v>208</v>
      </c>
      <c r="L25" s="5684"/>
      <c r="M25" s="5684" t="s">
        <v>2855</v>
      </c>
      <c r="N25" s="5685"/>
      <c r="O25" s="5686"/>
      <c r="P25" s="5686"/>
      <c r="Q25" s="5689"/>
      <c r="R25" s="5692"/>
      <c r="S25" s="5689"/>
      <c r="T25" s="5692"/>
      <c r="U25" s="5689"/>
      <c r="V25" s="5689"/>
      <c r="W25" s="5689"/>
      <c r="X25" s="5689"/>
      <c r="Y25" s="5689"/>
      <c r="Z25" s="5689"/>
      <c r="AA25" s="5689"/>
      <c r="AB25" s="5686"/>
      <c r="AC25" s="5686"/>
      <c r="AD25" s="5686"/>
      <c r="AE25" s="5686"/>
      <c r="AF25" s="5686"/>
      <c r="AG25" s="5686"/>
      <c r="AH25" s="5686"/>
      <c r="AI25" s="5686"/>
      <c r="AJ25" s="5686"/>
      <c r="AK25" s="5686"/>
      <c r="AL25" s="5686"/>
      <c r="AM25" s="5686"/>
      <c r="AN25" s="5686"/>
      <c r="AO25" s="5686"/>
      <c r="AP25" s="5686"/>
      <c r="AQ25" s="5686"/>
      <c r="AR25" s="5686"/>
      <c r="AS25" s="5686"/>
      <c r="AT25" s="5686"/>
      <c r="AU25" s="5686"/>
      <c r="AV25" s="5686"/>
      <c r="AW25" s="5744"/>
      <c r="AX25" s="5744"/>
      <c r="AY25" s="5744"/>
      <c r="AZ25" s="5744"/>
      <c r="BA25" s="5744"/>
      <c r="BB25" s="5744"/>
      <c r="BC25" s="5744"/>
      <c r="BD25" s="5744"/>
      <c r="BE25" s="5744"/>
      <c r="BF25" s="5744"/>
      <c r="BG25" s="5805"/>
      <c r="BH25" s="5746"/>
      <c r="BI25" s="15364"/>
      <c r="BJ25" s="16039"/>
      <c r="BK25" s="5744"/>
      <c r="BL25" s="5692"/>
      <c r="BM25" s="5689"/>
      <c r="BN25" s="5692"/>
      <c r="BO25" s="2764"/>
      <c r="BP25" s="2764"/>
      <c r="BQ25" s="5686"/>
      <c r="BR25" s="5686"/>
      <c r="BS25" s="5686"/>
      <c r="BT25" s="5686"/>
      <c r="BU25" s="5686"/>
      <c r="BV25" s="5686"/>
      <c r="BW25" s="5686"/>
      <c r="BX25" s="5686"/>
      <c r="BY25" s="5686"/>
      <c r="BZ25" s="5686"/>
      <c r="CA25" s="5686"/>
      <c r="CB25" s="5686"/>
      <c r="CC25" s="5686"/>
      <c r="CD25" s="5686"/>
      <c r="CE25" s="5686"/>
      <c r="CF25" s="5686"/>
      <c r="CG25" s="5686"/>
      <c r="CH25" s="5686"/>
      <c r="CI25" s="5686"/>
      <c r="CJ25" s="5686"/>
      <c r="CK25" s="5686"/>
      <c r="CL25" s="5686"/>
      <c r="CM25" s="5686"/>
      <c r="CN25" s="5686"/>
      <c r="CO25" s="5686"/>
      <c r="CP25" s="5686"/>
      <c r="CQ25" s="5744"/>
      <c r="CR25" s="5744"/>
      <c r="CS25" s="5744"/>
      <c r="CT25" s="5744"/>
      <c r="CU25" s="5744"/>
      <c r="CV25" s="5744"/>
      <c r="CW25" s="5744"/>
      <c r="CX25" s="5744"/>
      <c r="CY25" s="5744"/>
      <c r="CZ25" s="5744"/>
      <c r="DA25" s="5744"/>
      <c r="DB25" s="5744"/>
      <c r="DC25" s="5744"/>
      <c r="DD25" s="5744"/>
      <c r="DE25" s="5744"/>
      <c r="DF25" s="5744"/>
      <c r="DG25" s="5744"/>
      <c r="DH25" s="5744"/>
      <c r="DI25" s="5744"/>
      <c r="DJ25" s="5744"/>
      <c r="DK25" s="5744"/>
      <c r="DL25" s="5744"/>
      <c r="DM25" s="5744"/>
      <c r="DN25" s="5744"/>
      <c r="DO25" s="5744"/>
      <c r="DP25" s="5744"/>
      <c r="DQ25" s="5744"/>
      <c r="DR25" s="5744"/>
      <c r="DS25" s="5744"/>
      <c r="DT25" s="5744"/>
      <c r="DU25" s="5744"/>
      <c r="DV25" s="5744"/>
      <c r="DW25" s="5744"/>
      <c r="DX25" s="5744"/>
      <c r="DY25" s="5744"/>
      <c r="DZ25" s="5744"/>
      <c r="EA25" s="5744"/>
      <c r="EB25" s="5744"/>
      <c r="EC25" s="5744"/>
      <c r="ED25" s="5744"/>
      <c r="EE25" s="5744"/>
      <c r="EF25" s="5744"/>
      <c r="EG25" s="5744"/>
      <c r="EH25" s="5744"/>
      <c r="EI25" s="5744"/>
      <c r="EJ25" s="5744"/>
      <c r="EK25" s="5744"/>
      <c r="EL25" s="5744"/>
      <c r="EM25" s="5744"/>
      <c r="EN25" s="5744"/>
      <c r="EO25" s="5744"/>
      <c r="EP25" s="5744"/>
      <c r="EQ25" s="5744"/>
      <c r="ER25" s="5744"/>
      <c r="ES25" s="5744"/>
      <c r="ET25" s="5744"/>
      <c r="EU25" s="2038"/>
    </row>
    <row r="26" spans="1:151" s="2039" customFormat="1" ht="15" customHeight="1">
      <c r="A26" s="16273"/>
      <c r="B26" s="16412"/>
      <c r="C26" s="16269"/>
      <c r="D26" s="5743" t="s">
        <v>2650</v>
      </c>
      <c r="E26" s="16244"/>
      <c r="F26" s="16244"/>
      <c r="G26" s="16244"/>
      <c r="H26" s="16244" t="s">
        <v>4539</v>
      </c>
      <c r="I26" s="16244" t="s">
        <v>2651</v>
      </c>
      <c r="J26" s="16244"/>
      <c r="K26" s="2755" t="s">
        <v>86</v>
      </c>
      <c r="L26" s="5684" t="s">
        <v>2862</v>
      </c>
      <c r="M26" s="5684"/>
      <c r="N26" s="5804">
        <v>0.86</v>
      </c>
      <c r="O26" s="5686" t="s">
        <v>3519</v>
      </c>
      <c r="P26" s="5686" t="s">
        <v>3517</v>
      </c>
      <c r="Q26" s="5744"/>
      <c r="R26" s="5692">
        <v>36000000</v>
      </c>
      <c r="S26" s="5744"/>
      <c r="T26" s="5745">
        <v>36000000</v>
      </c>
      <c r="U26" s="5744"/>
      <c r="V26" s="5689">
        <v>4423</v>
      </c>
      <c r="W26" s="5689">
        <v>2198</v>
      </c>
      <c r="X26" s="5689">
        <v>2225</v>
      </c>
      <c r="Y26" s="5689">
        <v>4423</v>
      </c>
      <c r="Z26" s="5689"/>
      <c r="AA26" s="5689">
        <v>4423</v>
      </c>
      <c r="AB26" s="5689"/>
      <c r="AC26" s="5689"/>
      <c r="AD26" s="5689"/>
      <c r="AE26" s="5744"/>
      <c r="AF26" s="5744"/>
      <c r="AG26" s="5744"/>
      <c r="AH26" s="5744"/>
      <c r="AI26" s="5744"/>
      <c r="AJ26" s="5744"/>
      <c r="AK26" s="5744"/>
      <c r="AL26" s="5686">
        <v>0</v>
      </c>
      <c r="AM26" s="5686">
        <v>0</v>
      </c>
      <c r="AN26" s="5686">
        <v>0</v>
      </c>
      <c r="AO26" s="5686">
        <v>0</v>
      </c>
      <c r="AP26" s="5686">
        <v>24</v>
      </c>
      <c r="AQ26" s="5686">
        <f>3514+781</f>
        <v>4295</v>
      </c>
      <c r="AR26" s="5686">
        <v>21</v>
      </c>
      <c r="AS26" s="5686">
        <v>4</v>
      </c>
      <c r="AT26" s="5686">
        <v>8</v>
      </c>
      <c r="AU26" s="5686">
        <v>0</v>
      </c>
      <c r="AV26" s="5686">
        <v>0</v>
      </c>
      <c r="AW26" s="5744"/>
      <c r="AX26" s="5744"/>
      <c r="AY26" s="5744"/>
      <c r="AZ26" s="5744"/>
      <c r="BA26" s="5744"/>
      <c r="BB26" s="5744"/>
      <c r="BC26" s="5744"/>
      <c r="BD26" s="5744"/>
      <c r="BE26" s="5744"/>
      <c r="BF26" s="5744"/>
      <c r="BG26" s="5805">
        <v>0.88700000000000001</v>
      </c>
      <c r="BH26" s="5746">
        <v>0.88700000000000001</v>
      </c>
      <c r="BI26" s="15364"/>
      <c r="BJ26" s="16039"/>
      <c r="BK26" s="5744"/>
      <c r="BL26" s="5692">
        <v>36000000</v>
      </c>
      <c r="BM26" s="5689"/>
      <c r="BN26" s="5692">
        <v>36000000</v>
      </c>
      <c r="BO26" s="2764"/>
      <c r="BP26" s="2764"/>
      <c r="BQ26" s="5686">
        <v>4328</v>
      </c>
      <c r="BR26" s="5686">
        <v>2225</v>
      </c>
      <c r="BS26" s="5686">
        <f>2067+36</f>
        <v>2103</v>
      </c>
      <c r="BT26" s="5686"/>
      <c r="BU26" s="5686"/>
      <c r="BV26" s="5686">
        <v>4328</v>
      </c>
      <c r="BW26" s="5686"/>
      <c r="BX26" s="5686"/>
      <c r="BY26" s="5686"/>
      <c r="BZ26" s="5686"/>
      <c r="CA26" s="5686"/>
      <c r="CB26" s="5686"/>
      <c r="CC26" s="5686"/>
      <c r="CD26" s="5686">
        <v>0</v>
      </c>
      <c r="CE26" s="5686">
        <v>0</v>
      </c>
      <c r="CF26" s="5686">
        <v>0</v>
      </c>
      <c r="CG26" s="5686">
        <v>0</v>
      </c>
      <c r="CH26" s="5686">
        <v>0</v>
      </c>
      <c r="CI26" s="5686">
        <v>0</v>
      </c>
      <c r="CJ26" s="5686">
        <v>24</v>
      </c>
      <c r="CK26" s="5686">
        <f>3514+781</f>
        <v>4295</v>
      </c>
      <c r="CL26" s="5686">
        <v>21</v>
      </c>
      <c r="CM26" s="5686">
        <v>4</v>
      </c>
      <c r="CN26" s="5686">
        <v>8</v>
      </c>
      <c r="CO26" s="5686">
        <v>0</v>
      </c>
      <c r="CP26" s="5686">
        <v>0</v>
      </c>
      <c r="CQ26" s="5744"/>
      <c r="CR26" s="5744"/>
      <c r="CS26" s="5744"/>
      <c r="CT26" s="5744"/>
      <c r="CU26" s="5744"/>
      <c r="CV26" s="5744"/>
      <c r="CW26" s="5744"/>
      <c r="CX26" s="5744"/>
      <c r="CY26" s="5744"/>
      <c r="CZ26" s="5744"/>
      <c r="DA26" s="5744"/>
      <c r="DB26" s="5744"/>
      <c r="DC26" s="5744"/>
      <c r="DD26" s="5744"/>
      <c r="DE26" s="5744"/>
      <c r="DF26" s="5744"/>
      <c r="DG26" s="5744"/>
      <c r="DH26" s="5744"/>
      <c r="DI26" s="5744"/>
      <c r="DJ26" s="5744"/>
      <c r="DK26" s="5744"/>
      <c r="DL26" s="5744"/>
      <c r="DM26" s="5744"/>
      <c r="DN26" s="5744"/>
      <c r="DO26" s="5744"/>
      <c r="DP26" s="5744"/>
      <c r="DQ26" s="5744"/>
      <c r="DR26" s="5744"/>
      <c r="DS26" s="5744"/>
      <c r="DT26" s="5744"/>
      <c r="DU26" s="5744"/>
      <c r="DV26" s="5744"/>
      <c r="DW26" s="5744"/>
      <c r="DX26" s="5744"/>
      <c r="DY26" s="5744"/>
      <c r="DZ26" s="5744"/>
      <c r="EA26" s="5744"/>
      <c r="EB26" s="5744"/>
      <c r="EC26" s="5744"/>
      <c r="ED26" s="5744"/>
      <c r="EE26" s="5744"/>
      <c r="EF26" s="5744"/>
      <c r="EG26" s="5744"/>
      <c r="EH26" s="5744"/>
      <c r="EI26" s="5744"/>
      <c r="EJ26" s="5744"/>
      <c r="EK26" s="5744"/>
      <c r="EL26" s="5744"/>
      <c r="EM26" s="5744"/>
      <c r="EN26" s="5744"/>
      <c r="EO26" s="5744"/>
      <c r="EP26" s="5744"/>
      <c r="EQ26" s="5744"/>
      <c r="ER26" s="5744"/>
      <c r="ES26" s="5744"/>
      <c r="ET26" s="5744"/>
      <c r="EU26" s="2038"/>
    </row>
    <row r="27" spans="1:151" s="2039" customFormat="1" ht="15" customHeight="1">
      <c r="A27" s="16273"/>
      <c r="B27" s="16412"/>
      <c r="C27" s="16269"/>
      <c r="D27" s="5743"/>
      <c r="E27" s="16244"/>
      <c r="F27" s="16244"/>
      <c r="G27" s="16244"/>
      <c r="H27" s="16244"/>
      <c r="I27" s="16244"/>
      <c r="J27" s="16244"/>
      <c r="K27" s="2755" t="s">
        <v>208</v>
      </c>
      <c r="L27" s="5684"/>
      <c r="M27" s="5684" t="s">
        <v>2855</v>
      </c>
      <c r="N27" s="5804"/>
      <c r="O27" s="5686"/>
      <c r="P27" s="5686"/>
      <c r="Q27" s="5744"/>
      <c r="R27" s="5692"/>
      <c r="S27" s="5744"/>
      <c r="T27" s="5745"/>
      <c r="U27" s="5744"/>
      <c r="V27" s="5689"/>
      <c r="W27" s="5689"/>
      <c r="X27" s="5689"/>
      <c r="Y27" s="5689"/>
      <c r="Z27" s="5689"/>
      <c r="AA27" s="5689"/>
      <c r="AB27" s="5689"/>
      <c r="AC27" s="5689"/>
      <c r="AD27" s="5689"/>
      <c r="AE27" s="5744"/>
      <c r="AF27" s="5744"/>
      <c r="AG27" s="5744"/>
      <c r="AH27" s="5744"/>
      <c r="AI27" s="5744"/>
      <c r="AJ27" s="5744"/>
      <c r="AK27" s="5744"/>
      <c r="AL27" s="5686"/>
      <c r="AM27" s="5686"/>
      <c r="AN27" s="5686"/>
      <c r="AO27" s="5686"/>
      <c r="AP27" s="5686"/>
      <c r="AQ27" s="5686"/>
      <c r="AR27" s="5686"/>
      <c r="AS27" s="5686"/>
      <c r="AT27" s="5686"/>
      <c r="AU27" s="5686"/>
      <c r="AV27" s="5686"/>
      <c r="AW27" s="5744"/>
      <c r="AX27" s="5744"/>
      <c r="AY27" s="5744"/>
      <c r="AZ27" s="5744"/>
      <c r="BA27" s="5744"/>
      <c r="BB27" s="5744"/>
      <c r="BC27" s="5744"/>
      <c r="BD27" s="5744"/>
      <c r="BE27" s="5744"/>
      <c r="BF27" s="5744"/>
      <c r="BG27" s="5805"/>
      <c r="BH27" s="5746"/>
      <c r="BI27" s="15364"/>
      <c r="BJ27" s="16039"/>
      <c r="BK27" s="5744"/>
      <c r="BL27" s="5692"/>
      <c r="BM27" s="5689"/>
      <c r="BN27" s="5692"/>
      <c r="BO27" s="2764"/>
      <c r="BP27" s="2764"/>
      <c r="BQ27" s="5686"/>
      <c r="BR27" s="5686"/>
      <c r="BS27" s="5686"/>
      <c r="BT27" s="5686"/>
      <c r="BU27" s="5686"/>
      <c r="BV27" s="5686"/>
      <c r="BW27" s="5686"/>
      <c r="BX27" s="5686"/>
      <c r="BY27" s="5686"/>
      <c r="BZ27" s="5686"/>
      <c r="CA27" s="5686"/>
      <c r="CB27" s="5686"/>
      <c r="CC27" s="5686"/>
      <c r="CD27" s="5686"/>
      <c r="CE27" s="5686"/>
      <c r="CF27" s="5686"/>
      <c r="CG27" s="5686"/>
      <c r="CH27" s="5686"/>
      <c r="CI27" s="5686"/>
      <c r="CJ27" s="5686"/>
      <c r="CK27" s="5686"/>
      <c r="CL27" s="5686"/>
      <c r="CM27" s="5686"/>
      <c r="CN27" s="5686"/>
      <c r="CO27" s="5686"/>
      <c r="CP27" s="5686"/>
      <c r="CQ27" s="5744"/>
      <c r="CR27" s="5744"/>
      <c r="CS27" s="5744"/>
      <c r="CT27" s="5744"/>
      <c r="CU27" s="5744"/>
      <c r="CV27" s="5744"/>
      <c r="CW27" s="5744"/>
      <c r="CX27" s="5744"/>
      <c r="CY27" s="5744"/>
      <c r="CZ27" s="5744"/>
      <c r="DA27" s="5744"/>
      <c r="DB27" s="5744"/>
      <c r="DC27" s="5744"/>
      <c r="DD27" s="5744"/>
      <c r="DE27" s="5744"/>
      <c r="DF27" s="5744"/>
      <c r="DG27" s="5744"/>
      <c r="DH27" s="5744"/>
      <c r="DI27" s="5744"/>
      <c r="DJ27" s="5744"/>
      <c r="DK27" s="5744"/>
      <c r="DL27" s="5744"/>
      <c r="DM27" s="5744"/>
      <c r="DN27" s="5744"/>
      <c r="DO27" s="5744"/>
      <c r="DP27" s="5744"/>
      <c r="DQ27" s="5744"/>
      <c r="DR27" s="5744"/>
      <c r="DS27" s="5744"/>
      <c r="DT27" s="5744"/>
      <c r="DU27" s="5744"/>
      <c r="DV27" s="5744"/>
      <c r="DW27" s="5744"/>
      <c r="DX27" s="5744"/>
      <c r="DY27" s="5744"/>
      <c r="DZ27" s="5744"/>
      <c r="EA27" s="5744"/>
      <c r="EB27" s="5744"/>
      <c r="EC27" s="5744"/>
      <c r="ED27" s="5744"/>
      <c r="EE27" s="5744"/>
      <c r="EF27" s="5744"/>
      <c r="EG27" s="5744"/>
      <c r="EH27" s="5744"/>
      <c r="EI27" s="5744"/>
      <c r="EJ27" s="5744"/>
      <c r="EK27" s="5744"/>
      <c r="EL27" s="5744"/>
      <c r="EM27" s="5744"/>
      <c r="EN27" s="5744"/>
      <c r="EO27" s="5744"/>
      <c r="EP27" s="5744"/>
      <c r="EQ27" s="5744"/>
      <c r="ER27" s="5744"/>
      <c r="ES27" s="5744"/>
      <c r="ET27" s="5744"/>
      <c r="EU27" s="2038"/>
    </row>
    <row r="28" spans="1:151" s="2039" customFormat="1" ht="15" customHeight="1">
      <c r="A28" s="16273"/>
      <c r="B28" s="16412"/>
      <c r="C28" s="16269"/>
      <c r="D28" s="5743" t="s">
        <v>2652</v>
      </c>
      <c r="E28" s="16244"/>
      <c r="F28" s="16244"/>
      <c r="G28" s="16244"/>
      <c r="H28" s="16244" t="s">
        <v>4540</v>
      </c>
      <c r="I28" s="16244" t="s">
        <v>2653</v>
      </c>
      <c r="J28" s="16244"/>
      <c r="K28" s="2755" t="s">
        <v>86</v>
      </c>
      <c r="L28" s="5684" t="s">
        <v>2862</v>
      </c>
      <c r="M28" s="5684"/>
      <c r="N28" s="5804">
        <v>0.87</v>
      </c>
      <c r="O28" s="5686" t="s">
        <v>3519</v>
      </c>
      <c r="P28" s="5686" t="s">
        <v>3517</v>
      </c>
      <c r="Q28" s="5744"/>
      <c r="R28" s="5692">
        <v>36000000</v>
      </c>
      <c r="S28" s="5744"/>
      <c r="T28" s="5745">
        <v>36000000</v>
      </c>
      <c r="U28" s="5744"/>
      <c r="V28" s="5689">
        <v>4742</v>
      </c>
      <c r="W28" s="5689">
        <v>2363</v>
      </c>
      <c r="X28" s="5689">
        <v>2379</v>
      </c>
      <c r="Y28" s="5689">
        <v>4742</v>
      </c>
      <c r="Z28" s="5689"/>
      <c r="AA28" s="5689">
        <v>4742</v>
      </c>
      <c r="AB28" s="5689"/>
      <c r="AC28" s="5689"/>
      <c r="AD28" s="5689"/>
      <c r="AE28" s="5689"/>
      <c r="AF28" s="5689"/>
      <c r="AG28" s="5689"/>
      <c r="AH28" s="5744"/>
      <c r="AI28" s="5744"/>
      <c r="AJ28" s="5744"/>
      <c r="AK28" s="5744"/>
      <c r="AL28" s="5686">
        <v>21</v>
      </c>
      <c r="AM28" s="5686">
        <v>0</v>
      </c>
      <c r="AN28" s="5686">
        <v>0</v>
      </c>
      <c r="AO28" s="5686">
        <v>0</v>
      </c>
      <c r="AP28" s="5686">
        <v>91</v>
      </c>
      <c r="AQ28" s="5686">
        <f>3428+850</f>
        <v>4278</v>
      </c>
      <c r="AR28" s="5686">
        <v>41</v>
      </c>
      <c r="AS28" s="5686">
        <v>12</v>
      </c>
      <c r="AT28" s="5686">
        <v>3</v>
      </c>
      <c r="AU28" s="5686">
        <v>0</v>
      </c>
      <c r="AV28" s="5686">
        <v>0</v>
      </c>
      <c r="AW28" s="5744"/>
      <c r="AX28" s="5744"/>
      <c r="AY28" s="5744"/>
      <c r="AZ28" s="5744"/>
      <c r="BA28" s="5744"/>
      <c r="BB28" s="5744"/>
      <c r="BC28" s="5744"/>
      <c r="BD28" s="5744"/>
      <c r="BE28" s="5744"/>
      <c r="BF28" s="5744"/>
      <c r="BG28" s="5805">
        <v>0.82499999999999996</v>
      </c>
      <c r="BH28" s="5746">
        <v>0.82499999999999996</v>
      </c>
      <c r="BI28" s="15364"/>
      <c r="BJ28" s="16039"/>
      <c r="BK28" s="5744"/>
      <c r="BL28" s="5692">
        <v>36000000</v>
      </c>
      <c r="BM28" s="5689"/>
      <c r="BN28" s="5692">
        <v>36000000</v>
      </c>
      <c r="BO28" s="2764"/>
      <c r="BP28" s="2764"/>
      <c r="BQ28" s="5686">
        <v>4334</v>
      </c>
      <c r="BR28" s="5686">
        <v>2182</v>
      </c>
      <c r="BS28" s="5686">
        <v>2152</v>
      </c>
      <c r="BT28" s="5686"/>
      <c r="BU28" s="5686"/>
      <c r="BV28" s="5686">
        <v>4334</v>
      </c>
      <c r="BW28" s="5686"/>
      <c r="BX28" s="5686"/>
      <c r="BY28" s="5686"/>
      <c r="BZ28" s="5686"/>
      <c r="CA28" s="5686"/>
      <c r="CB28" s="5686"/>
      <c r="CC28" s="5686"/>
      <c r="CD28" s="5686">
        <v>0</v>
      </c>
      <c r="CE28" s="5686">
        <v>8</v>
      </c>
      <c r="CF28" s="5686">
        <v>21</v>
      </c>
      <c r="CG28" s="5686">
        <v>0</v>
      </c>
      <c r="CH28" s="5686">
        <v>0</v>
      </c>
      <c r="CI28" s="5686">
        <v>0</v>
      </c>
      <c r="CJ28" s="5686">
        <v>91</v>
      </c>
      <c r="CK28" s="5686">
        <f>3428+850</f>
        <v>4278</v>
      </c>
      <c r="CL28" s="5686">
        <v>41</v>
      </c>
      <c r="CM28" s="5686">
        <v>12</v>
      </c>
      <c r="CN28" s="5686">
        <v>3</v>
      </c>
      <c r="CO28" s="5686">
        <v>0</v>
      </c>
      <c r="CP28" s="5686">
        <v>0</v>
      </c>
      <c r="CQ28" s="5744"/>
      <c r="CR28" s="5744"/>
      <c r="CS28" s="5744"/>
      <c r="CT28" s="5744"/>
      <c r="CU28" s="5744"/>
      <c r="CV28" s="5744"/>
      <c r="CW28" s="5744"/>
      <c r="CX28" s="5744"/>
      <c r="CY28" s="5744"/>
      <c r="CZ28" s="5744"/>
      <c r="DA28" s="5744"/>
      <c r="DB28" s="5744"/>
      <c r="DC28" s="5744"/>
      <c r="DD28" s="5744"/>
      <c r="DE28" s="5744"/>
      <c r="DF28" s="5744"/>
      <c r="DG28" s="5744"/>
      <c r="DH28" s="5744"/>
      <c r="DI28" s="5744"/>
      <c r="DJ28" s="5744"/>
      <c r="DK28" s="5744"/>
      <c r="DL28" s="5744"/>
      <c r="DM28" s="5744"/>
      <c r="DN28" s="5744"/>
      <c r="DO28" s="5744"/>
      <c r="DP28" s="5744"/>
      <c r="DQ28" s="5744"/>
      <c r="DR28" s="5744"/>
      <c r="DS28" s="5744"/>
      <c r="DT28" s="5744"/>
      <c r="DU28" s="5744"/>
      <c r="DV28" s="5744"/>
      <c r="DW28" s="5744"/>
      <c r="DX28" s="5744"/>
      <c r="DY28" s="5744"/>
      <c r="DZ28" s="5744"/>
      <c r="EA28" s="5744"/>
      <c r="EB28" s="5744"/>
      <c r="EC28" s="5744"/>
      <c r="ED28" s="5744"/>
      <c r="EE28" s="5744"/>
      <c r="EF28" s="5744"/>
      <c r="EG28" s="5744"/>
      <c r="EH28" s="5744"/>
      <c r="EI28" s="5744"/>
      <c r="EJ28" s="5744"/>
      <c r="EK28" s="5744"/>
      <c r="EL28" s="5744"/>
      <c r="EM28" s="5744"/>
      <c r="EN28" s="5744"/>
      <c r="EO28" s="5744"/>
      <c r="EP28" s="5744"/>
      <c r="EQ28" s="5744"/>
      <c r="ER28" s="5744"/>
      <c r="ES28" s="5744"/>
      <c r="ET28" s="5744"/>
      <c r="EU28" s="2038"/>
    </row>
    <row r="29" spans="1:151" s="2039" customFormat="1" ht="15" customHeight="1">
      <c r="A29" s="16273"/>
      <c r="B29" s="16412"/>
      <c r="C29" s="16269"/>
      <c r="D29" s="5743"/>
      <c r="E29" s="16244"/>
      <c r="F29" s="16244"/>
      <c r="G29" s="16244"/>
      <c r="H29" s="16244"/>
      <c r="I29" s="16244"/>
      <c r="J29" s="16244"/>
      <c r="K29" s="2755" t="s">
        <v>208</v>
      </c>
      <c r="L29" s="5684"/>
      <c r="M29" s="5684" t="s">
        <v>2855</v>
      </c>
      <c r="N29" s="5804"/>
      <c r="O29" s="5686"/>
      <c r="P29" s="5686"/>
      <c r="Q29" s="5744"/>
      <c r="R29" s="5692"/>
      <c r="S29" s="5744"/>
      <c r="T29" s="5745"/>
      <c r="U29" s="5744"/>
      <c r="V29" s="5689"/>
      <c r="W29" s="5689"/>
      <c r="X29" s="5689"/>
      <c r="Y29" s="5689"/>
      <c r="Z29" s="5689"/>
      <c r="AA29" s="5689"/>
      <c r="AB29" s="5689"/>
      <c r="AC29" s="5689"/>
      <c r="AD29" s="5689"/>
      <c r="AE29" s="5689"/>
      <c r="AF29" s="5689"/>
      <c r="AG29" s="5689"/>
      <c r="AH29" s="5744"/>
      <c r="AI29" s="5744"/>
      <c r="AJ29" s="5744"/>
      <c r="AK29" s="5744"/>
      <c r="AL29" s="5686"/>
      <c r="AM29" s="5686"/>
      <c r="AN29" s="5686"/>
      <c r="AO29" s="5686"/>
      <c r="AP29" s="5686"/>
      <c r="AQ29" s="5686"/>
      <c r="AR29" s="5686"/>
      <c r="AS29" s="5686"/>
      <c r="AT29" s="5686"/>
      <c r="AU29" s="5686"/>
      <c r="AV29" s="5686"/>
      <c r="AW29" s="5744"/>
      <c r="AX29" s="5744"/>
      <c r="AY29" s="5744"/>
      <c r="AZ29" s="5744"/>
      <c r="BA29" s="5744"/>
      <c r="BB29" s="5744"/>
      <c r="BC29" s="5744"/>
      <c r="BD29" s="5744"/>
      <c r="BE29" s="5744"/>
      <c r="BF29" s="5744"/>
      <c r="BG29" s="5805"/>
      <c r="BH29" s="5746"/>
      <c r="BI29" s="15364"/>
      <c r="BJ29" s="16039"/>
      <c r="BK29" s="5744"/>
      <c r="BL29" s="5692"/>
      <c r="BM29" s="5689"/>
      <c r="BN29" s="5692"/>
      <c r="BO29" s="2764"/>
      <c r="BP29" s="2764"/>
      <c r="BQ29" s="5686"/>
      <c r="BR29" s="5686"/>
      <c r="BS29" s="5686"/>
      <c r="BT29" s="5686"/>
      <c r="BU29" s="5686"/>
      <c r="BV29" s="5686"/>
      <c r="BW29" s="5686"/>
      <c r="BX29" s="5686"/>
      <c r="BY29" s="5686"/>
      <c r="BZ29" s="5686"/>
      <c r="CA29" s="5686"/>
      <c r="CB29" s="5686"/>
      <c r="CC29" s="5686"/>
      <c r="CD29" s="5686"/>
      <c r="CE29" s="5686"/>
      <c r="CF29" s="5686"/>
      <c r="CG29" s="5686"/>
      <c r="CH29" s="5686"/>
      <c r="CI29" s="5686"/>
      <c r="CJ29" s="5686"/>
      <c r="CK29" s="5686"/>
      <c r="CL29" s="5686"/>
      <c r="CM29" s="5686"/>
      <c r="CN29" s="5686"/>
      <c r="CO29" s="5686"/>
      <c r="CP29" s="5686"/>
      <c r="CQ29" s="5744"/>
      <c r="CR29" s="5744"/>
      <c r="CS29" s="5744"/>
      <c r="CT29" s="5744"/>
      <c r="CU29" s="5744"/>
      <c r="CV29" s="5744"/>
      <c r="CW29" s="5744"/>
      <c r="CX29" s="5744"/>
      <c r="CY29" s="5744"/>
      <c r="CZ29" s="5744"/>
      <c r="DA29" s="5744"/>
      <c r="DB29" s="5744"/>
      <c r="DC29" s="5744"/>
      <c r="DD29" s="5744"/>
      <c r="DE29" s="5744"/>
      <c r="DF29" s="5744"/>
      <c r="DG29" s="5744"/>
      <c r="DH29" s="5744"/>
      <c r="DI29" s="5744"/>
      <c r="DJ29" s="5744"/>
      <c r="DK29" s="5744"/>
      <c r="DL29" s="5744"/>
      <c r="DM29" s="5744"/>
      <c r="DN29" s="5744"/>
      <c r="DO29" s="5744"/>
      <c r="DP29" s="5744"/>
      <c r="DQ29" s="5744"/>
      <c r="DR29" s="5744"/>
      <c r="DS29" s="5744"/>
      <c r="DT29" s="5744"/>
      <c r="DU29" s="5744"/>
      <c r="DV29" s="5744"/>
      <c r="DW29" s="5744"/>
      <c r="DX29" s="5744"/>
      <c r="DY29" s="5744"/>
      <c r="DZ29" s="5744"/>
      <c r="EA29" s="5744"/>
      <c r="EB29" s="5744"/>
      <c r="EC29" s="5744"/>
      <c r="ED29" s="5744"/>
      <c r="EE29" s="5744"/>
      <c r="EF29" s="5744"/>
      <c r="EG29" s="5744"/>
      <c r="EH29" s="5744"/>
      <c r="EI29" s="5744"/>
      <c r="EJ29" s="5744"/>
      <c r="EK29" s="5744"/>
      <c r="EL29" s="5744"/>
      <c r="EM29" s="5744"/>
      <c r="EN29" s="5744"/>
      <c r="EO29" s="5744"/>
      <c r="EP29" s="5744"/>
      <c r="EQ29" s="5744"/>
      <c r="ER29" s="5744"/>
      <c r="ES29" s="5744"/>
      <c r="ET29" s="5744"/>
      <c r="EU29" s="2038"/>
    </row>
    <row r="30" spans="1:151" s="2039" customFormat="1" ht="15" customHeight="1">
      <c r="A30" s="16273"/>
      <c r="B30" s="16412"/>
      <c r="C30" s="16269"/>
      <c r="D30" s="5743" t="s">
        <v>2654</v>
      </c>
      <c r="E30" s="16244"/>
      <c r="F30" s="16244"/>
      <c r="G30" s="16244"/>
      <c r="H30" s="16244" t="s">
        <v>4541</v>
      </c>
      <c r="I30" s="16244" t="s">
        <v>2655</v>
      </c>
      <c r="J30" s="16244"/>
      <c r="K30" s="2755" t="s">
        <v>86</v>
      </c>
      <c r="L30" s="5684" t="s">
        <v>2862</v>
      </c>
      <c r="M30" s="5684"/>
      <c r="N30" s="5807">
        <v>0.9</v>
      </c>
      <c r="O30" s="5686" t="s">
        <v>3519</v>
      </c>
      <c r="P30" s="5686" t="s">
        <v>3517</v>
      </c>
      <c r="Q30" s="5744"/>
      <c r="R30" s="5692">
        <v>36000000</v>
      </c>
      <c r="S30" s="5744"/>
      <c r="T30" s="5745">
        <v>36000000</v>
      </c>
      <c r="U30" s="5744"/>
      <c r="V30" s="5689">
        <v>4844</v>
      </c>
      <c r="W30" s="5689">
        <v>2462</v>
      </c>
      <c r="X30" s="5689">
        <v>2382</v>
      </c>
      <c r="Y30" s="5689">
        <v>4844</v>
      </c>
      <c r="Z30" s="5689"/>
      <c r="AA30" s="5689">
        <v>4844</v>
      </c>
      <c r="AB30" s="5689"/>
      <c r="AC30" s="5689"/>
      <c r="AD30" s="5689"/>
      <c r="AE30" s="5689"/>
      <c r="AF30" s="5689"/>
      <c r="AG30" s="5689"/>
      <c r="AH30" s="5744"/>
      <c r="AI30" s="5744"/>
      <c r="AJ30" s="5744"/>
      <c r="AK30" s="5744"/>
      <c r="AL30" s="5686">
        <v>0</v>
      </c>
      <c r="AM30" s="5686">
        <v>0</v>
      </c>
      <c r="AN30" s="5686">
        <v>0</v>
      </c>
      <c r="AO30" s="5686">
        <v>0</v>
      </c>
      <c r="AP30" s="5686">
        <v>146</v>
      </c>
      <c r="AQ30" s="5686">
        <f>3519+888</f>
        <v>4407</v>
      </c>
      <c r="AR30" s="5686">
        <v>45</v>
      </c>
      <c r="AS30" s="5686">
        <v>12</v>
      </c>
      <c r="AT30" s="5686">
        <v>4</v>
      </c>
      <c r="AU30" s="5686">
        <v>0</v>
      </c>
      <c r="AV30" s="5686">
        <v>0</v>
      </c>
      <c r="AW30" s="5744"/>
      <c r="AX30" s="5744"/>
      <c r="AY30" s="5744"/>
      <c r="AZ30" s="5744"/>
      <c r="BA30" s="5744"/>
      <c r="BB30" s="5744"/>
      <c r="BC30" s="5744"/>
      <c r="BD30" s="5744"/>
      <c r="BE30" s="5744"/>
      <c r="BF30" s="5744"/>
      <c r="BG30" s="5805">
        <v>0.85</v>
      </c>
      <c r="BH30" s="5746">
        <v>0.85</v>
      </c>
      <c r="BI30" s="15364"/>
      <c r="BJ30" s="16039"/>
      <c r="BK30" s="5744"/>
      <c r="BL30" s="5692">
        <v>36000000</v>
      </c>
      <c r="BM30" s="5689"/>
      <c r="BN30" s="5692">
        <v>36000000</v>
      </c>
      <c r="BO30" s="2764"/>
      <c r="BP30" s="2764"/>
      <c r="BQ30" s="5686">
        <v>4468</v>
      </c>
      <c r="BR30" s="5686">
        <v>2232</v>
      </c>
      <c r="BS30" s="5686">
        <v>2236</v>
      </c>
      <c r="BT30" s="5686"/>
      <c r="BU30" s="5686"/>
      <c r="BV30" s="5686">
        <v>4468</v>
      </c>
      <c r="BW30" s="5686"/>
      <c r="BX30" s="5686"/>
      <c r="BY30" s="5686"/>
      <c r="BZ30" s="5686"/>
      <c r="CA30" s="5686"/>
      <c r="CB30" s="5686"/>
      <c r="CC30" s="5686"/>
      <c r="CD30" s="5686">
        <v>0</v>
      </c>
      <c r="CE30" s="5686">
        <v>8</v>
      </c>
      <c r="CF30" s="5686">
        <v>0</v>
      </c>
      <c r="CG30" s="5686">
        <v>0</v>
      </c>
      <c r="CH30" s="5686">
        <v>0</v>
      </c>
      <c r="CI30" s="5686">
        <v>0</v>
      </c>
      <c r="CJ30" s="5686">
        <v>146</v>
      </c>
      <c r="CK30" s="5686">
        <f>3519+888</f>
        <v>4407</v>
      </c>
      <c r="CL30" s="5686">
        <v>45</v>
      </c>
      <c r="CM30" s="5686">
        <v>12</v>
      </c>
      <c r="CN30" s="5686">
        <v>4</v>
      </c>
      <c r="CO30" s="5686">
        <v>0</v>
      </c>
      <c r="CP30" s="5686">
        <v>0</v>
      </c>
      <c r="CQ30" s="5744"/>
      <c r="CR30" s="5744"/>
      <c r="CS30" s="5744"/>
      <c r="CT30" s="5744"/>
      <c r="CU30" s="5744"/>
      <c r="CV30" s="5744"/>
      <c r="CW30" s="5744"/>
      <c r="CX30" s="5744"/>
      <c r="CY30" s="5744"/>
      <c r="CZ30" s="5744"/>
      <c r="DA30" s="5744"/>
      <c r="DB30" s="5744"/>
      <c r="DC30" s="5744"/>
      <c r="DD30" s="5744"/>
      <c r="DE30" s="5744"/>
      <c r="DF30" s="5744"/>
      <c r="DG30" s="5744"/>
      <c r="DH30" s="5744"/>
      <c r="DI30" s="5744"/>
      <c r="DJ30" s="5744"/>
      <c r="DK30" s="5744"/>
      <c r="DL30" s="5744"/>
      <c r="DM30" s="5744"/>
      <c r="DN30" s="5744"/>
      <c r="DO30" s="5744"/>
      <c r="DP30" s="5744"/>
      <c r="DQ30" s="5744"/>
      <c r="DR30" s="5744"/>
      <c r="DS30" s="5744"/>
      <c r="DT30" s="5744"/>
      <c r="DU30" s="5744"/>
      <c r="DV30" s="5744"/>
      <c r="DW30" s="5744"/>
      <c r="DX30" s="5744"/>
      <c r="DY30" s="5744"/>
      <c r="DZ30" s="5744"/>
      <c r="EA30" s="5744"/>
      <c r="EB30" s="5744"/>
      <c r="EC30" s="5744"/>
      <c r="ED30" s="5744"/>
      <c r="EE30" s="5744"/>
      <c r="EF30" s="5744"/>
      <c r="EG30" s="5744"/>
      <c r="EH30" s="5744"/>
      <c r="EI30" s="5744"/>
      <c r="EJ30" s="5744"/>
      <c r="EK30" s="5744"/>
      <c r="EL30" s="5744"/>
      <c r="EM30" s="5744"/>
      <c r="EN30" s="5744"/>
      <c r="EO30" s="5744"/>
      <c r="EP30" s="5744"/>
      <c r="EQ30" s="5744"/>
      <c r="ER30" s="5744"/>
      <c r="ES30" s="5744"/>
      <c r="ET30" s="5744"/>
      <c r="EU30" s="2038"/>
    </row>
    <row r="31" spans="1:151" s="2039" customFormat="1" ht="15" customHeight="1">
      <c r="A31" s="16273"/>
      <c r="B31" s="16412"/>
      <c r="C31" s="16269"/>
      <c r="D31" s="5743"/>
      <c r="E31" s="16244"/>
      <c r="F31" s="16244"/>
      <c r="G31" s="16244"/>
      <c r="H31" s="16244"/>
      <c r="I31" s="16244"/>
      <c r="J31" s="16244"/>
      <c r="K31" s="2755" t="s">
        <v>208</v>
      </c>
      <c r="L31" s="5684"/>
      <c r="M31" s="5684" t="s">
        <v>2855</v>
      </c>
      <c r="N31" s="5807"/>
      <c r="O31" s="5686"/>
      <c r="P31" s="5686"/>
      <c r="Q31" s="5744"/>
      <c r="R31" s="5692"/>
      <c r="S31" s="5744"/>
      <c r="T31" s="5745"/>
      <c r="U31" s="5744"/>
      <c r="V31" s="5689"/>
      <c r="W31" s="5689"/>
      <c r="X31" s="5689"/>
      <c r="Y31" s="5689"/>
      <c r="Z31" s="5689"/>
      <c r="AA31" s="5689"/>
      <c r="AB31" s="5689"/>
      <c r="AC31" s="5689"/>
      <c r="AD31" s="5689"/>
      <c r="AE31" s="5689"/>
      <c r="AF31" s="5689"/>
      <c r="AG31" s="5689"/>
      <c r="AH31" s="5744"/>
      <c r="AI31" s="5744"/>
      <c r="AJ31" s="5744"/>
      <c r="AK31" s="5744"/>
      <c r="AL31" s="5686"/>
      <c r="AM31" s="5686"/>
      <c r="AN31" s="5686"/>
      <c r="AO31" s="5686"/>
      <c r="AP31" s="5686"/>
      <c r="AQ31" s="5686"/>
      <c r="AR31" s="5686"/>
      <c r="AS31" s="5686"/>
      <c r="AT31" s="5686"/>
      <c r="AU31" s="5686"/>
      <c r="AV31" s="5686"/>
      <c r="AW31" s="5744"/>
      <c r="AX31" s="5744"/>
      <c r="AY31" s="5744"/>
      <c r="AZ31" s="5744"/>
      <c r="BA31" s="5744"/>
      <c r="BB31" s="5744"/>
      <c r="BC31" s="5744"/>
      <c r="BD31" s="5744"/>
      <c r="BE31" s="5744"/>
      <c r="BF31" s="5744"/>
      <c r="BG31" s="5805"/>
      <c r="BH31" s="5746"/>
      <c r="BI31" s="15364"/>
      <c r="BJ31" s="16039"/>
      <c r="BK31" s="5744"/>
      <c r="BL31" s="5692"/>
      <c r="BM31" s="5689"/>
      <c r="BN31" s="5692"/>
      <c r="BO31" s="2764"/>
      <c r="BP31" s="2764"/>
      <c r="BQ31" s="5686"/>
      <c r="BR31" s="5686"/>
      <c r="BS31" s="5686"/>
      <c r="BT31" s="5686"/>
      <c r="BU31" s="5686"/>
      <c r="BV31" s="5686"/>
      <c r="BW31" s="5686"/>
      <c r="BX31" s="5686"/>
      <c r="BY31" s="5686"/>
      <c r="BZ31" s="5686"/>
      <c r="CA31" s="5686"/>
      <c r="CB31" s="5686"/>
      <c r="CC31" s="5686"/>
      <c r="CD31" s="5686"/>
      <c r="CE31" s="5686"/>
      <c r="CF31" s="5686"/>
      <c r="CG31" s="5686"/>
      <c r="CH31" s="5686"/>
      <c r="CI31" s="5686"/>
      <c r="CJ31" s="5686"/>
      <c r="CK31" s="5686"/>
      <c r="CL31" s="5686"/>
      <c r="CM31" s="5686"/>
      <c r="CN31" s="5686"/>
      <c r="CO31" s="5686"/>
      <c r="CP31" s="5686"/>
      <c r="CQ31" s="5744"/>
      <c r="CR31" s="5744"/>
      <c r="CS31" s="5744"/>
      <c r="CT31" s="5744"/>
      <c r="CU31" s="5744"/>
      <c r="CV31" s="5744"/>
      <c r="CW31" s="5744"/>
      <c r="CX31" s="5744"/>
      <c r="CY31" s="5744"/>
      <c r="CZ31" s="5744"/>
      <c r="DA31" s="5744"/>
      <c r="DB31" s="5744"/>
      <c r="DC31" s="5744"/>
      <c r="DD31" s="5744"/>
      <c r="DE31" s="5744"/>
      <c r="DF31" s="5744"/>
      <c r="DG31" s="5744"/>
      <c r="DH31" s="5744"/>
      <c r="DI31" s="5744"/>
      <c r="DJ31" s="5744"/>
      <c r="DK31" s="5744"/>
      <c r="DL31" s="5744"/>
      <c r="DM31" s="5744"/>
      <c r="DN31" s="5744"/>
      <c r="DO31" s="5744"/>
      <c r="DP31" s="5744"/>
      <c r="DQ31" s="5744"/>
      <c r="DR31" s="5744"/>
      <c r="DS31" s="5744"/>
      <c r="DT31" s="5744"/>
      <c r="DU31" s="5744"/>
      <c r="DV31" s="5744"/>
      <c r="DW31" s="5744"/>
      <c r="DX31" s="5744"/>
      <c r="DY31" s="5744"/>
      <c r="DZ31" s="5744"/>
      <c r="EA31" s="5744"/>
      <c r="EB31" s="5744"/>
      <c r="EC31" s="5744"/>
      <c r="ED31" s="5744"/>
      <c r="EE31" s="5744"/>
      <c r="EF31" s="5744"/>
      <c r="EG31" s="5744"/>
      <c r="EH31" s="5744"/>
      <c r="EI31" s="5744"/>
      <c r="EJ31" s="5744"/>
      <c r="EK31" s="5744"/>
      <c r="EL31" s="5744"/>
      <c r="EM31" s="5744"/>
      <c r="EN31" s="5744"/>
      <c r="EO31" s="5744"/>
      <c r="EP31" s="5744"/>
      <c r="EQ31" s="5744"/>
      <c r="ER31" s="5744"/>
      <c r="ES31" s="5744"/>
      <c r="ET31" s="5744"/>
      <c r="EU31" s="2038"/>
    </row>
    <row r="32" spans="1:151" s="2039" customFormat="1" ht="15" customHeight="1">
      <c r="A32" s="16273"/>
      <c r="B32" s="16412"/>
      <c r="C32" s="16269"/>
      <c r="D32" s="5743" t="s">
        <v>2656</v>
      </c>
      <c r="E32" s="16244"/>
      <c r="F32" s="16244"/>
      <c r="G32" s="16244"/>
      <c r="H32" s="16244" t="s">
        <v>4542</v>
      </c>
      <c r="I32" s="16244" t="s">
        <v>2657</v>
      </c>
      <c r="J32" s="16244"/>
      <c r="K32" s="2755" t="s">
        <v>86</v>
      </c>
      <c r="L32" s="5684" t="s">
        <v>2862</v>
      </c>
      <c r="M32" s="5684"/>
      <c r="N32" s="5804">
        <v>0.68</v>
      </c>
      <c r="O32" s="5686" t="s">
        <v>3519</v>
      </c>
      <c r="P32" s="5686" t="s">
        <v>3517</v>
      </c>
      <c r="Q32" s="5744"/>
      <c r="R32" s="5692">
        <v>36000000</v>
      </c>
      <c r="S32" s="5744"/>
      <c r="T32" s="5745">
        <v>36000000</v>
      </c>
      <c r="U32" s="5744"/>
      <c r="V32" s="5689">
        <v>7102</v>
      </c>
      <c r="W32" s="5689">
        <v>3492</v>
      </c>
      <c r="X32" s="5689">
        <v>3610</v>
      </c>
      <c r="Y32" s="5689">
        <v>7102</v>
      </c>
      <c r="Z32" s="5689"/>
      <c r="AA32" s="5689">
        <v>7102</v>
      </c>
      <c r="AB32" s="5689"/>
      <c r="AC32" s="5744"/>
      <c r="AD32" s="5744"/>
      <c r="AE32" s="5744"/>
      <c r="AF32" s="5744"/>
      <c r="AG32" s="5744"/>
      <c r="AH32" s="5744"/>
      <c r="AI32" s="5744"/>
      <c r="AJ32" s="5744"/>
      <c r="AK32" s="5744"/>
      <c r="AL32" s="5686">
        <v>0</v>
      </c>
      <c r="AM32" s="5686">
        <v>0</v>
      </c>
      <c r="AN32" s="5686">
        <v>0</v>
      </c>
      <c r="AO32" s="5686">
        <v>0</v>
      </c>
      <c r="AP32" s="5686">
        <v>368</v>
      </c>
      <c r="AQ32" s="5686">
        <f>4325+1174</f>
        <v>5499</v>
      </c>
      <c r="AR32" s="5686">
        <v>54</v>
      </c>
      <c r="AS32" s="5686">
        <v>11</v>
      </c>
      <c r="AT32" s="5686">
        <v>9</v>
      </c>
      <c r="AU32" s="5686">
        <v>0</v>
      </c>
      <c r="AV32" s="5686">
        <v>0</v>
      </c>
      <c r="AW32" s="5744"/>
      <c r="AX32" s="5744"/>
      <c r="AY32" s="5744"/>
      <c r="AZ32" s="5744"/>
      <c r="BA32" s="5744"/>
      <c r="BB32" s="5744"/>
      <c r="BC32" s="5744"/>
      <c r="BD32" s="5744"/>
      <c r="BE32" s="5744"/>
      <c r="BF32" s="5744"/>
      <c r="BG32" s="5805">
        <v>0.75</v>
      </c>
      <c r="BH32" s="5746">
        <v>0.75</v>
      </c>
      <c r="BI32" s="15364"/>
      <c r="BJ32" s="16039"/>
      <c r="BK32" s="5744"/>
      <c r="BL32" s="5692">
        <v>36000000</v>
      </c>
      <c r="BM32" s="5689"/>
      <c r="BN32" s="5692">
        <v>36000000</v>
      </c>
      <c r="BO32" s="2764"/>
      <c r="BP32" s="2764"/>
      <c r="BQ32" s="5686">
        <f>2776+2797</f>
        <v>5573</v>
      </c>
      <c r="BR32" s="5686">
        <v>2456</v>
      </c>
      <c r="BS32" s="5686">
        <v>3117</v>
      </c>
      <c r="BT32" s="5686"/>
      <c r="BU32" s="5686"/>
      <c r="BV32" s="5686">
        <v>5573</v>
      </c>
      <c r="BW32" s="5686"/>
      <c r="BX32" s="5686"/>
      <c r="BY32" s="5686"/>
      <c r="BZ32" s="5686"/>
      <c r="CA32" s="5686"/>
      <c r="CB32" s="5686"/>
      <c r="CC32" s="5686"/>
      <c r="CD32" s="5686">
        <v>0</v>
      </c>
      <c r="CE32" s="5686">
        <v>0</v>
      </c>
      <c r="CF32" s="5686">
        <v>0</v>
      </c>
      <c r="CG32" s="5686">
        <v>0</v>
      </c>
      <c r="CH32" s="5686">
        <v>0</v>
      </c>
      <c r="CI32" s="5686">
        <v>0</v>
      </c>
      <c r="CJ32" s="5686">
        <v>368</v>
      </c>
      <c r="CK32" s="5686">
        <f>4325+1174</f>
        <v>5499</v>
      </c>
      <c r="CL32" s="5686">
        <v>54</v>
      </c>
      <c r="CM32" s="5686">
        <v>11</v>
      </c>
      <c r="CN32" s="5686">
        <v>9</v>
      </c>
      <c r="CO32" s="5686">
        <v>0</v>
      </c>
      <c r="CP32" s="5686">
        <v>0</v>
      </c>
      <c r="CQ32" s="5744"/>
      <c r="CR32" s="5744"/>
      <c r="CS32" s="5744"/>
      <c r="CT32" s="5744"/>
      <c r="CU32" s="5744"/>
      <c r="CV32" s="5744"/>
      <c r="CW32" s="5744"/>
      <c r="CX32" s="5744"/>
      <c r="CY32" s="5744"/>
      <c r="CZ32" s="5744"/>
      <c r="DA32" s="5744"/>
      <c r="DB32" s="5744"/>
      <c r="DC32" s="5744"/>
      <c r="DD32" s="5744"/>
      <c r="DE32" s="5744"/>
      <c r="DF32" s="5744"/>
      <c r="DG32" s="5744"/>
      <c r="DH32" s="5744"/>
      <c r="DI32" s="5744"/>
      <c r="DJ32" s="5744"/>
      <c r="DK32" s="5744"/>
      <c r="DL32" s="5744"/>
      <c r="DM32" s="5744"/>
      <c r="DN32" s="5744"/>
      <c r="DO32" s="5744"/>
      <c r="DP32" s="5744"/>
      <c r="DQ32" s="5744"/>
      <c r="DR32" s="5744"/>
      <c r="DS32" s="5744"/>
      <c r="DT32" s="5744"/>
      <c r="DU32" s="5744"/>
      <c r="DV32" s="5744"/>
      <c r="DW32" s="5744"/>
      <c r="DX32" s="5744"/>
      <c r="DY32" s="5744"/>
      <c r="DZ32" s="5744"/>
      <c r="EA32" s="5744"/>
      <c r="EB32" s="5744"/>
      <c r="EC32" s="5744"/>
      <c r="ED32" s="5744"/>
      <c r="EE32" s="5744"/>
      <c r="EF32" s="5744"/>
      <c r="EG32" s="5744"/>
      <c r="EH32" s="5744"/>
      <c r="EI32" s="5744"/>
      <c r="EJ32" s="5744"/>
      <c r="EK32" s="5744"/>
      <c r="EL32" s="5744"/>
      <c r="EM32" s="5744"/>
      <c r="EN32" s="5744"/>
      <c r="EO32" s="5744"/>
      <c r="EP32" s="5744"/>
      <c r="EQ32" s="5744"/>
      <c r="ER32" s="5744"/>
      <c r="ES32" s="5744"/>
      <c r="ET32" s="5744"/>
      <c r="EU32" s="2038"/>
    </row>
    <row r="33" spans="1:151" s="2039" customFormat="1" ht="15" customHeight="1">
      <c r="A33" s="16273"/>
      <c r="B33" s="16412"/>
      <c r="C33" s="16269"/>
      <c r="D33" s="5743"/>
      <c r="E33" s="5684"/>
      <c r="F33" s="16244"/>
      <c r="G33" s="16244"/>
      <c r="H33" s="16244"/>
      <c r="I33" s="16244"/>
      <c r="J33" s="16244"/>
      <c r="K33" s="2755" t="s">
        <v>208</v>
      </c>
      <c r="L33" s="5684"/>
      <c r="M33" s="5684" t="s">
        <v>2855</v>
      </c>
      <c r="N33" s="5804"/>
      <c r="O33" s="5686"/>
      <c r="P33" s="5686"/>
      <c r="Q33" s="5744"/>
      <c r="R33" s="5692"/>
      <c r="S33" s="5744"/>
      <c r="T33" s="5745"/>
      <c r="U33" s="5744"/>
      <c r="V33" s="5689"/>
      <c r="W33" s="5689"/>
      <c r="X33" s="5689"/>
      <c r="Y33" s="5689"/>
      <c r="Z33" s="5689"/>
      <c r="AA33" s="5689"/>
      <c r="AB33" s="5689"/>
      <c r="AC33" s="5744"/>
      <c r="AD33" s="5744"/>
      <c r="AE33" s="5744"/>
      <c r="AF33" s="5744"/>
      <c r="AG33" s="5744"/>
      <c r="AH33" s="5744"/>
      <c r="AI33" s="5744"/>
      <c r="AJ33" s="5744"/>
      <c r="AK33" s="5744"/>
      <c r="AL33" s="5686"/>
      <c r="AM33" s="5686"/>
      <c r="AN33" s="5686"/>
      <c r="AO33" s="5686"/>
      <c r="AP33" s="5686"/>
      <c r="AQ33" s="5686"/>
      <c r="AR33" s="5686"/>
      <c r="AS33" s="5686"/>
      <c r="AT33" s="5686"/>
      <c r="AU33" s="5686"/>
      <c r="AV33" s="5686"/>
      <c r="AW33" s="5744"/>
      <c r="AX33" s="5744"/>
      <c r="AY33" s="5744"/>
      <c r="AZ33" s="5744"/>
      <c r="BA33" s="5744"/>
      <c r="BB33" s="5744"/>
      <c r="BC33" s="5744"/>
      <c r="BD33" s="5744"/>
      <c r="BE33" s="5744"/>
      <c r="BF33" s="5744"/>
      <c r="BG33" s="5805"/>
      <c r="BH33" s="5746"/>
      <c r="BI33" s="5057"/>
      <c r="BJ33" s="5686"/>
      <c r="BK33" s="5744"/>
      <c r="BL33" s="5692"/>
      <c r="BM33" s="5689"/>
      <c r="BN33" s="5692"/>
      <c r="BO33" s="2764"/>
      <c r="BP33" s="2764"/>
      <c r="BQ33" s="5686"/>
      <c r="BR33" s="5686"/>
      <c r="BS33" s="5686"/>
      <c r="BT33" s="5686"/>
      <c r="BU33" s="5686"/>
      <c r="BV33" s="5686"/>
      <c r="BW33" s="5686"/>
      <c r="BX33" s="5686"/>
      <c r="BY33" s="5686"/>
      <c r="BZ33" s="5686"/>
      <c r="CA33" s="5686"/>
      <c r="CB33" s="5686"/>
      <c r="CC33" s="5686"/>
      <c r="CD33" s="5686"/>
      <c r="CE33" s="5686"/>
      <c r="CF33" s="5686"/>
      <c r="CG33" s="5686"/>
      <c r="CH33" s="5686"/>
      <c r="CI33" s="5686"/>
      <c r="CJ33" s="5686"/>
      <c r="CK33" s="5686"/>
      <c r="CL33" s="5686"/>
      <c r="CM33" s="5686"/>
      <c r="CN33" s="5686"/>
      <c r="CO33" s="5686"/>
      <c r="CP33" s="5686"/>
      <c r="CQ33" s="5744"/>
      <c r="CR33" s="5744"/>
      <c r="CS33" s="5744"/>
      <c r="CT33" s="5744"/>
      <c r="CU33" s="5744"/>
      <c r="CV33" s="5744"/>
      <c r="CW33" s="5744"/>
      <c r="CX33" s="5744"/>
      <c r="CY33" s="5744"/>
      <c r="CZ33" s="5744"/>
      <c r="DA33" s="5744"/>
      <c r="DB33" s="5744"/>
      <c r="DC33" s="5744"/>
      <c r="DD33" s="5744"/>
      <c r="DE33" s="5744"/>
      <c r="DF33" s="5744"/>
      <c r="DG33" s="5744"/>
      <c r="DH33" s="5744"/>
      <c r="DI33" s="5744"/>
      <c r="DJ33" s="5744"/>
      <c r="DK33" s="5744"/>
      <c r="DL33" s="5744"/>
      <c r="DM33" s="5744"/>
      <c r="DN33" s="5744"/>
      <c r="DO33" s="5744"/>
      <c r="DP33" s="5744"/>
      <c r="DQ33" s="5744"/>
      <c r="DR33" s="5744"/>
      <c r="DS33" s="5744"/>
      <c r="DT33" s="5744"/>
      <c r="DU33" s="5744"/>
      <c r="DV33" s="5744"/>
      <c r="DW33" s="5744"/>
      <c r="DX33" s="5744"/>
      <c r="DY33" s="5744"/>
      <c r="DZ33" s="5744"/>
      <c r="EA33" s="5744"/>
      <c r="EB33" s="5744"/>
      <c r="EC33" s="5744"/>
      <c r="ED33" s="5744"/>
      <c r="EE33" s="5744"/>
      <c r="EF33" s="5744"/>
      <c r="EG33" s="5744"/>
      <c r="EH33" s="5744"/>
      <c r="EI33" s="5744"/>
      <c r="EJ33" s="5744"/>
      <c r="EK33" s="5744"/>
      <c r="EL33" s="5744"/>
      <c r="EM33" s="5744"/>
      <c r="EN33" s="5744"/>
      <c r="EO33" s="5744"/>
      <c r="EP33" s="5744"/>
      <c r="EQ33" s="5744"/>
      <c r="ER33" s="5744"/>
      <c r="ES33" s="5744"/>
      <c r="ET33" s="5744"/>
      <c r="EU33" s="2038"/>
    </row>
    <row r="34" spans="1:151" s="2039" customFormat="1" ht="15" customHeight="1">
      <c r="A34" s="16273"/>
      <c r="B34" s="16412"/>
      <c r="C34" s="16269"/>
      <c r="D34" s="5743" t="s">
        <v>2658</v>
      </c>
      <c r="E34" s="5743" t="s">
        <v>2659</v>
      </c>
      <c r="F34" s="16244" t="s">
        <v>2660</v>
      </c>
      <c r="G34" s="16244"/>
      <c r="H34" s="16244" t="s">
        <v>4543</v>
      </c>
      <c r="I34" s="16244" t="s">
        <v>2661</v>
      </c>
      <c r="J34" s="16244" t="s">
        <v>2660</v>
      </c>
      <c r="K34" s="2755" t="s">
        <v>86</v>
      </c>
      <c r="L34" s="5684" t="s">
        <v>2862</v>
      </c>
      <c r="M34" s="5684"/>
      <c r="N34" s="5689">
        <v>99.6</v>
      </c>
      <c r="O34" s="5686" t="s">
        <v>3520</v>
      </c>
      <c r="P34" s="2764" t="s">
        <v>3521</v>
      </c>
      <c r="Q34" s="2764" t="s">
        <v>3522</v>
      </c>
      <c r="R34" s="5747">
        <v>60000000</v>
      </c>
      <c r="S34" s="5744"/>
      <c r="T34" s="5747">
        <v>60000000</v>
      </c>
      <c r="U34" s="5744"/>
      <c r="V34" s="5689">
        <v>4668</v>
      </c>
      <c r="W34" s="5689"/>
      <c r="X34" s="5689">
        <v>4668</v>
      </c>
      <c r="Y34" s="5689">
        <v>4021</v>
      </c>
      <c r="Z34" s="5689">
        <v>647</v>
      </c>
      <c r="AA34" s="5689"/>
      <c r="AB34" s="5689"/>
      <c r="AC34" s="5689">
        <v>338</v>
      </c>
      <c r="AD34" s="5689">
        <v>2823</v>
      </c>
      <c r="AE34" s="5689">
        <v>1504</v>
      </c>
      <c r="AF34" s="5689">
        <v>3</v>
      </c>
      <c r="AG34" s="5744"/>
      <c r="AH34" s="5744"/>
      <c r="AI34" s="5744"/>
      <c r="AJ34" s="5744"/>
      <c r="AK34" s="5744"/>
      <c r="AL34" s="5744"/>
      <c r="AM34" s="5744"/>
      <c r="AN34" s="5744"/>
      <c r="AO34" s="5744"/>
      <c r="AP34" s="5744"/>
      <c r="AQ34" s="5744"/>
      <c r="AR34" s="5744"/>
      <c r="AS34" s="5744"/>
      <c r="AT34" s="5744"/>
      <c r="AU34" s="5744"/>
      <c r="AV34" s="5744"/>
      <c r="AW34" s="5744"/>
      <c r="AX34" s="5744"/>
      <c r="AY34" s="5744"/>
      <c r="AZ34" s="5744"/>
      <c r="BA34" s="5744"/>
      <c r="BB34" s="5744"/>
      <c r="BC34" s="5744"/>
      <c r="BD34" s="5744"/>
      <c r="BE34" s="5744"/>
      <c r="BF34" s="5744"/>
      <c r="BG34" s="5686" t="s">
        <v>9120</v>
      </c>
      <c r="BH34" s="5746">
        <v>0.95</v>
      </c>
      <c r="BI34" s="2471" t="s">
        <v>9121</v>
      </c>
      <c r="BJ34" s="2764" t="s">
        <v>9122</v>
      </c>
      <c r="BK34" s="5686"/>
      <c r="BL34" s="5692">
        <v>60000000</v>
      </c>
      <c r="BM34" s="5689"/>
      <c r="BN34" s="5692">
        <v>60000000</v>
      </c>
      <c r="BO34" s="5686"/>
      <c r="BP34" s="5686"/>
      <c r="BQ34" s="5689">
        <v>4347</v>
      </c>
      <c r="BR34" s="5689"/>
      <c r="BS34" s="5689">
        <v>4347</v>
      </c>
      <c r="BT34" s="5689">
        <v>3706</v>
      </c>
      <c r="BU34" s="5689">
        <v>641</v>
      </c>
      <c r="BV34" s="5689"/>
      <c r="BW34" s="5689">
        <v>1</v>
      </c>
      <c r="BX34" s="5689">
        <v>323</v>
      </c>
      <c r="BY34" s="5689">
        <v>2601</v>
      </c>
      <c r="BZ34" s="5689">
        <v>1417</v>
      </c>
      <c r="CA34" s="5689">
        <v>5</v>
      </c>
      <c r="CB34" s="5689"/>
      <c r="CC34" s="5689"/>
      <c r="CD34" s="5689"/>
      <c r="CE34" s="5689"/>
      <c r="CF34" s="5689"/>
      <c r="CG34" s="5689"/>
      <c r="CH34" s="5689"/>
      <c r="CI34" s="5689"/>
      <c r="CJ34" s="5689"/>
      <c r="CK34" s="5689">
        <v>4216</v>
      </c>
      <c r="CL34" s="5689">
        <v>99</v>
      </c>
      <c r="CM34" s="5689">
        <v>32</v>
      </c>
      <c r="CN34" s="5689"/>
      <c r="CO34" s="5744"/>
      <c r="CP34" s="5744"/>
      <c r="CQ34" s="5744"/>
      <c r="CR34" s="5744"/>
      <c r="CS34" s="5744"/>
      <c r="CT34" s="5744"/>
      <c r="CU34" s="5744"/>
      <c r="CV34" s="5744"/>
      <c r="CW34" s="5744"/>
      <c r="CX34" s="5744"/>
      <c r="CY34" s="5744"/>
      <c r="CZ34" s="5744"/>
      <c r="DA34" s="5744"/>
      <c r="DB34" s="5744"/>
      <c r="DC34" s="5744"/>
      <c r="DD34" s="5744"/>
      <c r="DE34" s="5744"/>
      <c r="DF34" s="5744"/>
      <c r="DG34" s="5744"/>
      <c r="DH34" s="5744"/>
      <c r="DI34" s="5744"/>
      <c r="DJ34" s="5744"/>
      <c r="DK34" s="5744"/>
      <c r="DL34" s="5744"/>
      <c r="DM34" s="5744"/>
      <c r="DN34" s="5744"/>
      <c r="DO34" s="5744"/>
      <c r="DP34" s="5744"/>
      <c r="DQ34" s="5744"/>
      <c r="DR34" s="5744"/>
      <c r="DS34" s="5744"/>
      <c r="DT34" s="5744"/>
      <c r="DU34" s="5744"/>
      <c r="DV34" s="5744"/>
      <c r="DW34" s="5744"/>
      <c r="DX34" s="5744"/>
      <c r="DY34" s="5744"/>
      <c r="DZ34" s="5744"/>
      <c r="EA34" s="5744"/>
      <c r="EB34" s="5744"/>
      <c r="EC34" s="5744"/>
      <c r="ED34" s="5744"/>
      <c r="EE34" s="5744"/>
      <c r="EF34" s="5744"/>
      <c r="EG34" s="5744"/>
      <c r="EH34" s="5744"/>
      <c r="EI34" s="5744"/>
      <c r="EJ34" s="5744"/>
      <c r="EK34" s="5744"/>
      <c r="EL34" s="5744"/>
      <c r="EM34" s="5744"/>
      <c r="EN34" s="5744"/>
      <c r="EO34" s="5744"/>
      <c r="EP34" s="5744"/>
      <c r="EQ34" s="5744"/>
      <c r="ER34" s="5744"/>
      <c r="ES34" s="5744"/>
      <c r="ET34" s="5744"/>
      <c r="EU34" s="2038"/>
    </row>
    <row r="35" spans="1:151" s="2039" customFormat="1" ht="15" customHeight="1">
      <c r="A35" s="16273"/>
      <c r="B35" s="16412"/>
      <c r="C35" s="16269"/>
      <c r="D35" s="5743"/>
      <c r="E35" s="5743"/>
      <c r="F35" s="16244"/>
      <c r="G35" s="16244"/>
      <c r="H35" s="16244"/>
      <c r="I35" s="16244"/>
      <c r="J35" s="16244"/>
      <c r="K35" s="2755" t="s">
        <v>208</v>
      </c>
      <c r="L35" s="5684"/>
      <c r="M35" s="5684" t="s">
        <v>2855</v>
      </c>
      <c r="N35" s="5689"/>
      <c r="O35" s="5686"/>
      <c r="P35" s="2764"/>
      <c r="Q35" s="2764"/>
      <c r="R35" s="5747"/>
      <c r="S35" s="5744"/>
      <c r="T35" s="5747"/>
      <c r="U35" s="5744"/>
      <c r="V35" s="5689"/>
      <c r="W35" s="5689"/>
      <c r="X35" s="5689"/>
      <c r="Y35" s="5689"/>
      <c r="Z35" s="5689"/>
      <c r="AA35" s="5689"/>
      <c r="AB35" s="5689"/>
      <c r="AC35" s="5689"/>
      <c r="AD35" s="5689"/>
      <c r="AE35" s="5689"/>
      <c r="AF35" s="5689"/>
      <c r="AG35" s="5744"/>
      <c r="AH35" s="5744"/>
      <c r="AI35" s="5744"/>
      <c r="AJ35" s="5744"/>
      <c r="AK35" s="5744"/>
      <c r="AL35" s="5744"/>
      <c r="AM35" s="5744"/>
      <c r="AN35" s="5744"/>
      <c r="AO35" s="5744"/>
      <c r="AP35" s="5744"/>
      <c r="AQ35" s="5744"/>
      <c r="AR35" s="5744"/>
      <c r="AS35" s="5744"/>
      <c r="AT35" s="5744"/>
      <c r="AU35" s="5744"/>
      <c r="AV35" s="5744"/>
      <c r="AW35" s="5744"/>
      <c r="AX35" s="5744"/>
      <c r="AY35" s="5744"/>
      <c r="AZ35" s="5744"/>
      <c r="BA35" s="5744"/>
      <c r="BB35" s="5744"/>
      <c r="BC35" s="5744"/>
      <c r="BD35" s="5744"/>
      <c r="BE35" s="5744"/>
      <c r="BF35" s="5744"/>
      <c r="BG35" s="5686"/>
      <c r="BH35" s="5746"/>
      <c r="BI35" s="2471"/>
      <c r="BJ35" s="2764"/>
      <c r="BK35" s="5686"/>
      <c r="BL35" s="5692"/>
      <c r="BM35" s="5689"/>
      <c r="BN35" s="5692"/>
      <c r="BO35" s="5686"/>
      <c r="BP35" s="5686"/>
      <c r="BQ35" s="5689"/>
      <c r="BR35" s="5689"/>
      <c r="BS35" s="5689"/>
      <c r="BT35" s="5689"/>
      <c r="BU35" s="5689"/>
      <c r="BV35" s="5689"/>
      <c r="BW35" s="5689"/>
      <c r="BX35" s="5689"/>
      <c r="BY35" s="5689"/>
      <c r="BZ35" s="5689"/>
      <c r="CA35" s="5689"/>
      <c r="CB35" s="5689"/>
      <c r="CC35" s="5689"/>
      <c r="CD35" s="5689"/>
      <c r="CE35" s="5689"/>
      <c r="CF35" s="5689"/>
      <c r="CG35" s="5689"/>
      <c r="CH35" s="5689"/>
      <c r="CI35" s="5689"/>
      <c r="CJ35" s="5689"/>
      <c r="CK35" s="5689"/>
      <c r="CL35" s="5689"/>
      <c r="CM35" s="5689"/>
      <c r="CN35" s="5689"/>
      <c r="CO35" s="5744"/>
      <c r="CP35" s="5744"/>
      <c r="CQ35" s="5744"/>
      <c r="CR35" s="5744"/>
      <c r="CS35" s="5744"/>
      <c r="CT35" s="5744"/>
      <c r="CU35" s="5744"/>
      <c r="CV35" s="5744"/>
      <c r="CW35" s="5744"/>
      <c r="CX35" s="5744"/>
      <c r="CY35" s="5744"/>
      <c r="CZ35" s="5744"/>
      <c r="DA35" s="5744"/>
      <c r="DB35" s="5744"/>
      <c r="DC35" s="5744"/>
      <c r="DD35" s="5744"/>
      <c r="DE35" s="5744"/>
      <c r="DF35" s="5744"/>
      <c r="DG35" s="5744"/>
      <c r="DH35" s="5744"/>
      <c r="DI35" s="5744"/>
      <c r="DJ35" s="5744"/>
      <c r="DK35" s="5744"/>
      <c r="DL35" s="5744"/>
      <c r="DM35" s="5744"/>
      <c r="DN35" s="5744"/>
      <c r="DO35" s="5744"/>
      <c r="DP35" s="5744"/>
      <c r="DQ35" s="5744"/>
      <c r="DR35" s="5744"/>
      <c r="DS35" s="5744"/>
      <c r="DT35" s="5744"/>
      <c r="DU35" s="5744"/>
      <c r="DV35" s="5744"/>
      <c r="DW35" s="5744"/>
      <c r="DX35" s="5744"/>
      <c r="DY35" s="5744"/>
      <c r="DZ35" s="5744"/>
      <c r="EA35" s="5744"/>
      <c r="EB35" s="5744"/>
      <c r="EC35" s="5744"/>
      <c r="ED35" s="5744"/>
      <c r="EE35" s="5744"/>
      <c r="EF35" s="5744"/>
      <c r="EG35" s="5744"/>
      <c r="EH35" s="5744"/>
      <c r="EI35" s="5744"/>
      <c r="EJ35" s="5744"/>
      <c r="EK35" s="5744"/>
      <c r="EL35" s="5744"/>
      <c r="EM35" s="5744"/>
      <c r="EN35" s="5744"/>
      <c r="EO35" s="5744"/>
      <c r="EP35" s="5744"/>
      <c r="EQ35" s="5744"/>
      <c r="ER35" s="5744"/>
      <c r="ES35" s="5744"/>
      <c r="ET35" s="5744"/>
      <c r="EU35" s="2038"/>
    </row>
    <row r="36" spans="1:151" s="2039" customFormat="1" ht="15" customHeight="1">
      <c r="A36" s="16273"/>
      <c r="B36" s="16412"/>
      <c r="C36" s="16269"/>
      <c r="D36" s="5743" t="s">
        <v>2662</v>
      </c>
      <c r="E36" s="5743" t="s">
        <v>2663</v>
      </c>
      <c r="F36" s="16244" t="s">
        <v>2664</v>
      </c>
      <c r="G36" s="16244"/>
      <c r="H36" s="16244" t="s">
        <v>4544</v>
      </c>
      <c r="I36" s="16244" t="s">
        <v>2665</v>
      </c>
      <c r="J36" s="16244" t="s">
        <v>2664</v>
      </c>
      <c r="K36" s="2755" t="s">
        <v>86</v>
      </c>
      <c r="L36" s="5684" t="s">
        <v>2862</v>
      </c>
      <c r="M36" s="5684"/>
      <c r="N36" s="5804">
        <v>0.8</v>
      </c>
      <c r="O36" s="5748" t="s">
        <v>3523</v>
      </c>
      <c r="P36" s="2764" t="s">
        <v>3524</v>
      </c>
      <c r="Q36" s="2764" t="s">
        <v>3525</v>
      </c>
      <c r="R36" s="5692">
        <v>50000000</v>
      </c>
      <c r="S36" s="5689"/>
      <c r="T36" s="5692">
        <v>50000000</v>
      </c>
      <c r="U36" s="5689"/>
      <c r="V36" s="5689" t="s">
        <v>3505</v>
      </c>
      <c r="W36" s="5689" t="s">
        <v>1732</v>
      </c>
      <c r="X36" s="5689" t="s">
        <v>1732</v>
      </c>
      <c r="Y36" s="5689" t="s">
        <v>1732</v>
      </c>
      <c r="Z36" s="5689" t="s">
        <v>1732</v>
      </c>
      <c r="AA36" s="5689" t="s">
        <v>1732</v>
      </c>
      <c r="AB36" s="5689" t="s">
        <v>1732</v>
      </c>
      <c r="AC36" s="5689" t="s">
        <v>1732</v>
      </c>
      <c r="AD36" s="5689" t="s">
        <v>1732</v>
      </c>
      <c r="AE36" s="5689" t="s">
        <v>1732</v>
      </c>
      <c r="AF36" s="5689" t="s">
        <v>1732</v>
      </c>
      <c r="AG36" s="5689" t="s">
        <v>1732</v>
      </c>
      <c r="AH36" s="5689" t="s">
        <v>1732</v>
      </c>
      <c r="AI36" s="5689" t="s">
        <v>1732</v>
      </c>
      <c r="AJ36" s="5689" t="s">
        <v>1732</v>
      </c>
      <c r="AK36" s="5689" t="s">
        <v>1732</v>
      </c>
      <c r="AL36" s="5689" t="s">
        <v>1732</v>
      </c>
      <c r="AM36" s="5689" t="s">
        <v>1732</v>
      </c>
      <c r="AN36" s="5689" t="s">
        <v>1732</v>
      </c>
      <c r="AO36" s="5689" t="s">
        <v>1732</v>
      </c>
      <c r="AP36" s="5689" t="s">
        <v>1732</v>
      </c>
      <c r="AQ36" s="5689" t="s">
        <v>1732</v>
      </c>
      <c r="AR36" s="5689" t="s">
        <v>1732</v>
      </c>
      <c r="AS36" s="5689" t="s">
        <v>1732</v>
      </c>
      <c r="AT36" s="5689" t="s">
        <v>1732</v>
      </c>
      <c r="AU36" s="5689" t="s">
        <v>1732</v>
      </c>
      <c r="AV36" s="5689"/>
      <c r="AW36" s="5689"/>
      <c r="AX36" s="5689"/>
      <c r="AY36" s="5689"/>
      <c r="AZ36" s="5689"/>
      <c r="BA36" s="5689"/>
      <c r="BB36" s="5744"/>
      <c r="BC36" s="5744"/>
      <c r="BD36" s="5744"/>
      <c r="BE36" s="5744"/>
      <c r="BF36" s="5744"/>
      <c r="BG36" s="5686" t="s">
        <v>9824</v>
      </c>
      <c r="BH36" s="5746">
        <v>1</v>
      </c>
      <c r="BI36" s="2471" t="s">
        <v>9123</v>
      </c>
      <c r="BJ36" s="2764" t="s">
        <v>3524</v>
      </c>
      <c r="BK36" s="2764" t="s">
        <v>9124</v>
      </c>
      <c r="BL36" s="5692">
        <v>50000000</v>
      </c>
      <c r="BM36" s="5689"/>
      <c r="BN36" s="5692">
        <v>50000000</v>
      </c>
      <c r="BO36" s="2764"/>
      <c r="BP36" s="2764"/>
      <c r="BQ36" s="5689">
        <v>5</v>
      </c>
      <c r="BR36" s="5689"/>
      <c r="BS36" s="5689">
        <v>5</v>
      </c>
      <c r="BT36" s="5689">
        <v>5</v>
      </c>
      <c r="BU36" s="5689"/>
      <c r="BV36" s="5689"/>
      <c r="BW36" s="5689"/>
      <c r="BX36" s="5689"/>
      <c r="BY36" s="5689">
        <v>3</v>
      </c>
      <c r="BZ36" s="5689">
        <v>2</v>
      </c>
      <c r="CA36" s="5689"/>
      <c r="CB36" s="5689"/>
      <c r="CC36" s="5689"/>
      <c r="CD36" s="5689"/>
      <c r="CE36" s="5689"/>
      <c r="CF36" s="5689"/>
      <c r="CG36" s="5689"/>
      <c r="CH36" s="5689"/>
      <c r="CI36" s="5689">
        <v>1</v>
      </c>
      <c r="CJ36" s="5689"/>
      <c r="CK36" s="5689">
        <v>5</v>
      </c>
      <c r="CL36" s="5744"/>
      <c r="CM36" s="5744"/>
      <c r="CN36" s="5744"/>
      <c r="CO36" s="5744"/>
      <c r="CP36" s="5744"/>
      <c r="CQ36" s="5744"/>
      <c r="CR36" s="5744"/>
      <c r="CS36" s="5744"/>
      <c r="CT36" s="5744"/>
      <c r="CU36" s="5744"/>
      <c r="CV36" s="5744"/>
      <c r="CW36" s="5744"/>
      <c r="CX36" s="5744"/>
      <c r="CY36" s="5744"/>
      <c r="CZ36" s="5744"/>
      <c r="DA36" s="5744"/>
      <c r="DB36" s="5744"/>
      <c r="DC36" s="5744"/>
      <c r="DD36" s="5744"/>
      <c r="DE36" s="5744"/>
      <c r="DF36" s="5744"/>
      <c r="DG36" s="5744"/>
      <c r="DH36" s="5744"/>
      <c r="DI36" s="5744"/>
      <c r="DJ36" s="5744"/>
      <c r="DK36" s="5744"/>
      <c r="DL36" s="5744"/>
      <c r="DM36" s="5744"/>
      <c r="DN36" s="5744"/>
      <c r="DO36" s="5744"/>
      <c r="DP36" s="5744"/>
      <c r="DQ36" s="5744"/>
      <c r="DR36" s="5744"/>
      <c r="DS36" s="5744"/>
      <c r="DT36" s="5744"/>
      <c r="DU36" s="5744"/>
      <c r="DV36" s="5744"/>
      <c r="DW36" s="5744"/>
      <c r="DX36" s="5744"/>
      <c r="DY36" s="5744"/>
      <c r="DZ36" s="5744"/>
      <c r="EA36" s="5744"/>
      <c r="EB36" s="5744"/>
      <c r="EC36" s="5744"/>
      <c r="ED36" s="5744"/>
      <c r="EE36" s="5744"/>
      <c r="EF36" s="5744"/>
      <c r="EG36" s="5744"/>
      <c r="EH36" s="5744"/>
      <c r="EI36" s="5744"/>
      <c r="EJ36" s="5744"/>
      <c r="EK36" s="5744"/>
      <c r="EL36" s="5744"/>
      <c r="EM36" s="5744"/>
      <c r="EN36" s="5744"/>
      <c r="EO36" s="5744"/>
      <c r="EP36" s="5744"/>
      <c r="EQ36" s="5744"/>
      <c r="ER36" s="5744"/>
      <c r="ES36" s="5744"/>
      <c r="ET36" s="5744"/>
      <c r="EU36" s="2038"/>
    </row>
    <row r="37" spans="1:151" s="2039" customFormat="1" ht="15" customHeight="1">
      <c r="A37" s="16273"/>
      <c r="B37" s="16412"/>
      <c r="C37" s="16269"/>
      <c r="D37" s="5743"/>
      <c r="E37" s="5743"/>
      <c r="F37" s="16244"/>
      <c r="G37" s="16244"/>
      <c r="H37" s="16244"/>
      <c r="I37" s="16244"/>
      <c r="J37" s="16244"/>
      <c r="K37" s="2755" t="s">
        <v>208</v>
      </c>
      <c r="L37" s="5684"/>
      <c r="M37" s="5684" t="s">
        <v>2855</v>
      </c>
      <c r="N37" s="5804"/>
      <c r="O37" s="5748"/>
      <c r="P37" s="2764"/>
      <c r="Q37" s="2764"/>
      <c r="R37" s="5692"/>
      <c r="S37" s="5689"/>
      <c r="T37" s="5692"/>
      <c r="U37" s="5689"/>
      <c r="V37" s="5689"/>
      <c r="W37" s="5689"/>
      <c r="X37" s="5689"/>
      <c r="Y37" s="5689"/>
      <c r="Z37" s="5689"/>
      <c r="AA37" s="5689"/>
      <c r="AB37" s="5689"/>
      <c r="AC37" s="5689"/>
      <c r="AD37" s="5689"/>
      <c r="AE37" s="5689"/>
      <c r="AF37" s="5689"/>
      <c r="AG37" s="5689"/>
      <c r="AH37" s="5689"/>
      <c r="AI37" s="5689"/>
      <c r="AJ37" s="5689"/>
      <c r="AK37" s="5689"/>
      <c r="AL37" s="5689"/>
      <c r="AM37" s="5689"/>
      <c r="AN37" s="5689"/>
      <c r="AO37" s="5689"/>
      <c r="AP37" s="5689"/>
      <c r="AQ37" s="5689"/>
      <c r="AR37" s="5689"/>
      <c r="AS37" s="5689"/>
      <c r="AT37" s="5689"/>
      <c r="AU37" s="5689"/>
      <c r="AV37" s="5689"/>
      <c r="AW37" s="5689"/>
      <c r="AX37" s="5689"/>
      <c r="AY37" s="5689"/>
      <c r="AZ37" s="5689"/>
      <c r="BA37" s="5689"/>
      <c r="BB37" s="5744"/>
      <c r="BC37" s="5744"/>
      <c r="BD37" s="5744"/>
      <c r="BE37" s="5744"/>
      <c r="BF37" s="5744"/>
      <c r="BG37" s="5686"/>
      <c r="BH37" s="5746"/>
      <c r="BI37" s="2471"/>
      <c r="BJ37" s="2764"/>
      <c r="BK37" s="2764"/>
      <c r="BL37" s="5692"/>
      <c r="BM37" s="5689"/>
      <c r="BN37" s="5692"/>
      <c r="BO37" s="2764"/>
      <c r="BP37" s="2764"/>
      <c r="BQ37" s="5689"/>
      <c r="BR37" s="5689"/>
      <c r="BS37" s="5689"/>
      <c r="BT37" s="5689"/>
      <c r="BU37" s="5689"/>
      <c r="BV37" s="5689"/>
      <c r="BW37" s="5689"/>
      <c r="BX37" s="5689"/>
      <c r="BY37" s="5689"/>
      <c r="BZ37" s="5689"/>
      <c r="CA37" s="5689"/>
      <c r="CB37" s="5689"/>
      <c r="CC37" s="5689"/>
      <c r="CD37" s="5689"/>
      <c r="CE37" s="5689"/>
      <c r="CF37" s="5689"/>
      <c r="CG37" s="5689"/>
      <c r="CH37" s="5689"/>
      <c r="CI37" s="5689"/>
      <c r="CJ37" s="5689"/>
      <c r="CK37" s="5689"/>
      <c r="CL37" s="5744"/>
      <c r="CM37" s="5744"/>
      <c r="CN37" s="5744"/>
      <c r="CO37" s="5744"/>
      <c r="CP37" s="5744"/>
      <c r="CQ37" s="5744"/>
      <c r="CR37" s="5744"/>
      <c r="CS37" s="5744"/>
      <c r="CT37" s="5744"/>
      <c r="CU37" s="5744"/>
      <c r="CV37" s="5744"/>
      <c r="CW37" s="5744"/>
      <c r="CX37" s="5744"/>
      <c r="CY37" s="5744"/>
      <c r="CZ37" s="5744"/>
      <c r="DA37" s="5744"/>
      <c r="DB37" s="5744"/>
      <c r="DC37" s="5744"/>
      <c r="DD37" s="5744"/>
      <c r="DE37" s="5744"/>
      <c r="DF37" s="5744"/>
      <c r="DG37" s="5744"/>
      <c r="DH37" s="5744"/>
      <c r="DI37" s="5744"/>
      <c r="DJ37" s="5744"/>
      <c r="DK37" s="5744"/>
      <c r="DL37" s="5744"/>
      <c r="DM37" s="5744"/>
      <c r="DN37" s="5744"/>
      <c r="DO37" s="5744"/>
      <c r="DP37" s="5744"/>
      <c r="DQ37" s="5744"/>
      <c r="DR37" s="5744"/>
      <c r="DS37" s="5744"/>
      <c r="DT37" s="5744"/>
      <c r="DU37" s="5744"/>
      <c r="DV37" s="5744"/>
      <c r="DW37" s="5744"/>
      <c r="DX37" s="5744"/>
      <c r="DY37" s="5744"/>
      <c r="DZ37" s="5744"/>
      <c r="EA37" s="5744"/>
      <c r="EB37" s="5744"/>
      <c r="EC37" s="5744"/>
      <c r="ED37" s="5744"/>
      <c r="EE37" s="5744"/>
      <c r="EF37" s="5744"/>
      <c r="EG37" s="5744"/>
      <c r="EH37" s="5744"/>
      <c r="EI37" s="5744"/>
      <c r="EJ37" s="5744"/>
      <c r="EK37" s="5744"/>
      <c r="EL37" s="5744"/>
      <c r="EM37" s="5744"/>
      <c r="EN37" s="5744"/>
      <c r="EO37" s="5744"/>
      <c r="EP37" s="5744"/>
      <c r="EQ37" s="5744"/>
      <c r="ER37" s="5744"/>
      <c r="ES37" s="5744"/>
      <c r="ET37" s="5744"/>
      <c r="EU37" s="2038"/>
    </row>
    <row r="38" spans="1:151" s="2039" customFormat="1" ht="15" customHeight="1">
      <c r="A38" s="16273"/>
      <c r="B38" s="16412"/>
      <c r="C38" s="16269"/>
      <c r="D38" s="2755" t="s">
        <v>2666</v>
      </c>
      <c r="E38" s="2755" t="s">
        <v>9838</v>
      </c>
      <c r="F38" s="16039" t="s">
        <v>9839</v>
      </c>
      <c r="G38" s="16244"/>
      <c r="H38" s="16244" t="s">
        <v>4545</v>
      </c>
      <c r="I38" s="16244" t="s">
        <v>2667</v>
      </c>
      <c r="J38" s="16039" t="s">
        <v>9839</v>
      </c>
      <c r="K38" s="2755" t="s">
        <v>86</v>
      </c>
      <c r="L38" s="5684" t="s">
        <v>2862</v>
      </c>
      <c r="M38" s="5684"/>
      <c r="N38" s="5808">
        <v>0.9</v>
      </c>
      <c r="O38" s="5686" t="s">
        <v>3526</v>
      </c>
      <c r="P38" s="5686" t="s">
        <v>3527</v>
      </c>
      <c r="Q38" s="5686"/>
      <c r="R38" s="5692">
        <v>132000000</v>
      </c>
      <c r="S38" s="5689"/>
      <c r="T38" s="5692">
        <v>132000000</v>
      </c>
      <c r="U38" s="5689"/>
      <c r="V38" s="5689"/>
      <c r="W38" s="5689"/>
      <c r="X38" s="5689">
        <v>793</v>
      </c>
      <c r="Y38" s="5689">
        <v>659</v>
      </c>
      <c r="Z38" s="5689">
        <v>134</v>
      </c>
      <c r="AA38" s="5689"/>
      <c r="AB38" s="5689"/>
      <c r="AC38" s="5689">
        <v>338</v>
      </c>
      <c r="AD38" s="5689">
        <v>455</v>
      </c>
      <c r="AE38" s="5744"/>
      <c r="AF38" s="5744"/>
      <c r="AG38" s="5744"/>
      <c r="AH38" s="5744"/>
      <c r="AI38" s="5744"/>
      <c r="AJ38" s="5744"/>
      <c r="AK38" s="5744"/>
      <c r="AL38" s="5744"/>
      <c r="AM38" s="5744"/>
      <c r="AN38" s="5744"/>
      <c r="AO38" s="5744"/>
      <c r="AP38" s="5744"/>
      <c r="AQ38" s="5744"/>
      <c r="AR38" s="5744"/>
      <c r="AS38" s="5744"/>
      <c r="AT38" s="5744"/>
      <c r="AU38" s="5744"/>
      <c r="AV38" s="5744"/>
      <c r="AW38" s="5744"/>
      <c r="AX38" s="5744"/>
      <c r="AY38" s="5744"/>
      <c r="AZ38" s="5744"/>
      <c r="BA38" s="5744"/>
      <c r="BB38" s="5744"/>
      <c r="BC38" s="5744"/>
      <c r="BD38" s="5744"/>
      <c r="BE38" s="5744"/>
      <c r="BF38" s="5744"/>
      <c r="BG38" s="5809" t="s">
        <v>9825</v>
      </c>
      <c r="BH38" s="5746">
        <v>0.8</v>
      </c>
      <c r="BI38" s="5057" t="s">
        <v>8776</v>
      </c>
      <c r="BJ38" s="5686" t="s">
        <v>8777</v>
      </c>
      <c r="BK38" s="5686" t="s">
        <v>8778</v>
      </c>
      <c r="BL38" s="5692">
        <v>132000000</v>
      </c>
      <c r="BM38" s="5689"/>
      <c r="BN38" s="5692">
        <v>132000000</v>
      </c>
      <c r="BO38" s="5686"/>
      <c r="BP38" s="5686"/>
      <c r="BQ38" s="5686">
        <v>696</v>
      </c>
      <c r="BR38" s="5686"/>
      <c r="BS38" s="5686">
        <v>696</v>
      </c>
      <c r="BT38" s="5686"/>
      <c r="BU38" s="5686"/>
      <c r="BV38" s="5686"/>
      <c r="BW38" s="5686"/>
      <c r="BX38" s="5686">
        <v>696</v>
      </c>
      <c r="BY38" s="5686"/>
      <c r="BZ38" s="5686"/>
      <c r="CA38" s="5686"/>
      <c r="CB38" s="5686"/>
      <c r="CC38" s="5689"/>
      <c r="CD38" s="5744"/>
      <c r="CE38" s="5744"/>
      <c r="CF38" s="5744"/>
      <c r="CG38" s="5744"/>
      <c r="CH38" s="5744"/>
      <c r="CI38" s="5744"/>
      <c r="CJ38" s="5744"/>
      <c r="CK38" s="5689"/>
      <c r="CL38" s="5744"/>
      <c r="CM38" s="5744"/>
      <c r="CN38" s="5744"/>
      <c r="CO38" s="5744"/>
      <c r="CP38" s="5744"/>
      <c r="CQ38" s="5744"/>
      <c r="CR38" s="5744"/>
      <c r="CS38" s="5744"/>
      <c r="CT38" s="5744"/>
      <c r="CU38" s="5744"/>
      <c r="CV38" s="5744"/>
      <c r="CW38" s="5744"/>
      <c r="CX38" s="5744"/>
      <c r="CY38" s="5744"/>
      <c r="CZ38" s="5744"/>
      <c r="DA38" s="5744"/>
      <c r="DB38" s="5744"/>
      <c r="DC38" s="5744"/>
      <c r="DD38" s="5744"/>
      <c r="DE38" s="5744"/>
      <c r="DF38" s="5744"/>
      <c r="DG38" s="5744"/>
      <c r="DH38" s="5744"/>
      <c r="DI38" s="5744"/>
      <c r="DJ38" s="5744"/>
      <c r="DK38" s="5744"/>
      <c r="DL38" s="5744"/>
      <c r="DM38" s="5744"/>
      <c r="DN38" s="5744"/>
      <c r="DO38" s="5744"/>
      <c r="DP38" s="5744"/>
      <c r="DQ38" s="5744"/>
      <c r="DR38" s="5744"/>
      <c r="DS38" s="5744"/>
      <c r="DT38" s="5744"/>
      <c r="DU38" s="5744"/>
      <c r="DV38" s="5744"/>
      <c r="DW38" s="5744"/>
      <c r="DX38" s="5744"/>
      <c r="DY38" s="5744"/>
      <c r="DZ38" s="5744"/>
      <c r="EA38" s="5744"/>
      <c r="EB38" s="5744"/>
      <c r="EC38" s="5744"/>
      <c r="ED38" s="5744"/>
      <c r="EE38" s="5744"/>
      <c r="EF38" s="5744"/>
      <c r="EG38" s="5744"/>
      <c r="EH38" s="5744"/>
      <c r="EI38" s="5744"/>
      <c r="EJ38" s="5744"/>
      <c r="EK38" s="5744"/>
      <c r="EL38" s="5744"/>
      <c r="EM38" s="5744"/>
      <c r="EN38" s="5744"/>
      <c r="EO38" s="5744"/>
      <c r="EP38" s="5744"/>
      <c r="EQ38" s="5744"/>
      <c r="ER38" s="5744"/>
      <c r="ES38" s="5744"/>
      <c r="ET38" s="5744"/>
      <c r="EU38" s="2038"/>
    </row>
    <row r="39" spans="1:151" s="2039" customFormat="1" ht="15" customHeight="1">
      <c r="A39" s="16273"/>
      <c r="B39" s="16412"/>
      <c r="C39" s="16269"/>
      <c r="D39" s="2755"/>
      <c r="E39" s="2755"/>
      <c r="F39" s="16039"/>
      <c r="G39" s="16244"/>
      <c r="H39" s="16244"/>
      <c r="I39" s="16244"/>
      <c r="J39" s="16039"/>
      <c r="K39" s="2755" t="s">
        <v>208</v>
      </c>
      <c r="L39" s="5684"/>
      <c r="M39" s="5684" t="s">
        <v>2855</v>
      </c>
      <c r="N39" s="5808"/>
      <c r="O39" s="5686"/>
      <c r="P39" s="5686"/>
      <c r="Q39" s="5686"/>
      <c r="R39" s="5692"/>
      <c r="S39" s="5689"/>
      <c r="T39" s="5692"/>
      <c r="U39" s="5689"/>
      <c r="V39" s="5689"/>
      <c r="W39" s="5689"/>
      <c r="X39" s="5689"/>
      <c r="Y39" s="5689"/>
      <c r="Z39" s="5689"/>
      <c r="AA39" s="5689"/>
      <c r="AB39" s="5689"/>
      <c r="AC39" s="5689"/>
      <c r="AD39" s="5689"/>
      <c r="AE39" s="5744"/>
      <c r="AF39" s="5744"/>
      <c r="AG39" s="5744"/>
      <c r="AH39" s="5744"/>
      <c r="AI39" s="5744"/>
      <c r="AJ39" s="5744"/>
      <c r="AK39" s="5744"/>
      <c r="AL39" s="5744"/>
      <c r="AM39" s="5744"/>
      <c r="AN39" s="5744"/>
      <c r="AO39" s="5744"/>
      <c r="AP39" s="5744"/>
      <c r="AQ39" s="5744"/>
      <c r="AR39" s="5744"/>
      <c r="AS39" s="5744"/>
      <c r="AT39" s="5744"/>
      <c r="AU39" s="5744"/>
      <c r="AV39" s="5744"/>
      <c r="AW39" s="5744"/>
      <c r="AX39" s="5744"/>
      <c r="AY39" s="5744"/>
      <c r="AZ39" s="5744"/>
      <c r="BA39" s="5744"/>
      <c r="BB39" s="5744"/>
      <c r="BC39" s="5744"/>
      <c r="BD39" s="5744"/>
      <c r="BE39" s="5744"/>
      <c r="BF39" s="5744"/>
      <c r="BG39" s="5809"/>
      <c r="BH39" s="5746"/>
      <c r="BI39" s="5057"/>
      <c r="BJ39" s="5686"/>
      <c r="BK39" s="5686"/>
      <c r="BL39" s="5692"/>
      <c r="BM39" s="5689"/>
      <c r="BN39" s="5692"/>
      <c r="BO39" s="5686"/>
      <c r="BP39" s="5686"/>
      <c r="BQ39" s="5686"/>
      <c r="BR39" s="5686"/>
      <c r="BS39" s="5686"/>
      <c r="BT39" s="5686"/>
      <c r="BU39" s="5686"/>
      <c r="BV39" s="5686"/>
      <c r="BW39" s="5686"/>
      <c r="BX39" s="5686"/>
      <c r="BY39" s="5686"/>
      <c r="BZ39" s="5686"/>
      <c r="CA39" s="5686"/>
      <c r="CB39" s="5686"/>
      <c r="CC39" s="5689"/>
      <c r="CD39" s="5744"/>
      <c r="CE39" s="5744"/>
      <c r="CF39" s="5744"/>
      <c r="CG39" s="5744"/>
      <c r="CH39" s="5744"/>
      <c r="CI39" s="5744"/>
      <c r="CJ39" s="5744"/>
      <c r="CK39" s="5689"/>
      <c r="CL39" s="5744"/>
      <c r="CM39" s="5744"/>
      <c r="CN39" s="5744"/>
      <c r="CO39" s="5744"/>
      <c r="CP39" s="5744"/>
      <c r="CQ39" s="5744"/>
      <c r="CR39" s="5744"/>
      <c r="CS39" s="5744"/>
      <c r="CT39" s="5744"/>
      <c r="CU39" s="5744"/>
      <c r="CV39" s="5744"/>
      <c r="CW39" s="5744"/>
      <c r="CX39" s="5744"/>
      <c r="CY39" s="5744"/>
      <c r="CZ39" s="5744"/>
      <c r="DA39" s="5744"/>
      <c r="DB39" s="5744"/>
      <c r="DC39" s="5744"/>
      <c r="DD39" s="5744"/>
      <c r="DE39" s="5744"/>
      <c r="DF39" s="5744"/>
      <c r="DG39" s="5744"/>
      <c r="DH39" s="5744"/>
      <c r="DI39" s="5744"/>
      <c r="DJ39" s="5744"/>
      <c r="DK39" s="5744"/>
      <c r="DL39" s="5744"/>
      <c r="DM39" s="5744"/>
      <c r="DN39" s="5744"/>
      <c r="DO39" s="5744"/>
      <c r="DP39" s="5744"/>
      <c r="DQ39" s="5744"/>
      <c r="DR39" s="5744"/>
      <c r="DS39" s="5744"/>
      <c r="DT39" s="5744"/>
      <c r="DU39" s="5744"/>
      <c r="DV39" s="5744"/>
      <c r="DW39" s="5744"/>
      <c r="DX39" s="5744"/>
      <c r="DY39" s="5744"/>
      <c r="DZ39" s="5744"/>
      <c r="EA39" s="5744"/>
      <c r="EB39" s="5744"/>
      <c r="EC39" s="5744"/>
      <c r="ED39" s="5744"/>
      <c r="EE39" s="5744"/>
      <c r="EF39" s="5744"/>
      <c r="EG39" s="5744"/>
      <c r="EH39" s="5744"/>
      <c r="EI39" s="5744"/>
      <c r="EJ39" s="5744"/>
      <c r="EK39" s="5744"/>
      <c r="EL39" s="5744"/>
      <c r="EM39" s="5744"/>
      <c r="EN39" s="5744"/>
      <c r="EO39" s="5744"/>
      <c r="EP39" s="5744"/>
      <c r="EQ39" s="5744"/>
      <c r="ER39" s="5744"/>
      <c r="ES39" s="5744"/>
      <c r="ET39" s="5744"/>
      <c r="EU39" s="2038"/>
    </row>
    <row r="40" spans="1:151" s="2039" customFormat="1" ht="15" customHeight="1">
      <c r="A40" s="16273"/>
      <c r="B40" s="16412"/>
      <c r="C40" s="16269"/>
      <c r="D40" s="2755"/>
      <c r="E40" s="2755" t="s">
        <v>2668</v>
      </c>
      <c r="F40" s="16039" t="s">
        <v>2669</v>
      </c>
      <c r="G40" s="16244"/>
      <c r="H40" s="16244" t="s">
        <v>4546</v>
      </c>
      <c r="I40" s="16244" t="s">
        <v>2670</v>
      </c>
      <c r="J40" s="16039" t="s">
        <v>2669</v>
      </c>
      <c r="K40" s="2755" t="s">
        <v>86</v>
      </c>
      <c r="L40" s="5684" t="s">
        <v>2862</v>
      </c>
      <c r="M40" s="5684"/>
      <c r="N40" s="5810"/>
      <c r="O40" s="5744"/>
      <c r="P40" s="5744"/>
      <c r="Q40" s="5744"/>
      <c r="R40" s="5689"/>
      <c r="S40" s="5689"/>
      <c r="T40" s="5689"/>
      <c r="U40" s="5744"/>
      <c r="V40" s="5744"/>
      <c r="W40" s="5689"/>
      <c r="X40" s="5749"/>
      <c r="Y40" s="5689"/>
      <c r="Z40" s="5689"/>
      <c r="AA40" s="5689"/>
      <c r="AB40" s="5689"/>
      <c r="AC40" s="5744"/>
      <c r="AD40" s="5744"/>
      <c r="AE40" s="5689"/>
      <c r="AF40" s="5689"/>
      <c r="AG40" s="5744"/>
      <c r="AH40" s="5744"/>
      <c r="AI40" s="5689"/>
      <c r="AJ40" s="5744"/>
      <c r="AK40" s="5744"/>
      <c r="AL40" s="5744"/>
      <c r="AM40" s="5744"/>
      <c r="AN40" s="5744"/>
      <c r="AO40" s="5744"/>
      <c r="AP40" s="5744"/>
      <c r="AQ40" s="5689"/>
      <c r="AR40" s="5744"/>
      <c r="AS40" s="5744"/>
      <c r="AT40" s="5744"/>
      <c r="AU40" s="5744"/>
      <c r="AV40" s="5744"/>
      <c r="AW40" s="5744"/>
      <c r="AX40" s="5744"/>
      <c r="AY40" s="5744"/>
      <c r="AZ40" s="5744"/>
      <c r="BA40" s="5744"/>
      <c r="BB40" s="5744"/>
      <c r="BC40" s="5744"/>
      <c r="BD40" s="5744"/>
      <c r="BE40" s="5744"/>
      <c r="BF40" s="5744"/>
      <c r="BG40" s="5689" t="s">
        <v>9821</v>
      </c>
      <c r="BH40" s="5746" t="s">
        <v>9821</v>
      </c>
      <c r="BI40" s="2463"/>
      <c r="BJ40" s="5744"/>
      <c r="BK40" s="5744"/>
      <c r="BL40" s="5689"/>
      <c r="BM40" s="5689"/>
      <c r="BN40" s="5689"/>
      <c r="BO40" s="5744"/>
      <c r="BP40" s="5744"/>
      <c r="BQ40" s="5689"/>
      <c r="BR40" s="5749"/>
      <c r="BS40" s="5689"/>
      <c r="BT40" s="5689"/>
      <c r="BU40" s="5689"/>
      <c r="BV40" s="5689"/>
      <c r="BW40" s="5744"/>
      <c r="BX40" s="5744"/>
      <c r="BY40" s="5689"/>
      <c r="BZ40" s="5689"/>
      <c r="CA40" s="5744"/>
      <c r="CB40" s="5744"/>
      <c r="CC40" s="5689"/>
      <c r="CD40" s="5744"/>
      <c r="CE40" s="5744"/>
      <c r="CF40" s="5744"/>
      <c r="CG40" s="5744"/>
      <c r="CH40" s="5744"/>
      <c r="CI40" s="5744"/>
      <c r="CJ40" s="5744"/>
      <c r="CK40" s="5689"/>
      <c r="CL40" s="5744"/>
      <c r="CM40" s="5744"/>
      <c r="CN40" s="5744"/>
      <c r="CO40" s="5744"/>
      <c r="CP40" s="5744"/>
      <c r="CQ40" s="5744"/>
      <c r="CR40" s="5744"/>
      <c r="CS40" s="5744"/>
      <c r="CT40" s="5744"/>
      <c r="CU40" s="5744"/>
      <c r="CV40" s="5744"/>
      <c r="CW40" s="5744"/>
      <c r="CX40" s="5744"/>
      <c r="CY40" s="5744"/>
      <c r="CZ40" s="5744"/>
      <c r="DA40" s="5744"/>
      <c r="DB40" s="5744"/>
      <c r="DC40" s="5744"/>
      <c r="DD40" s="5744"/>
      <c r="DE40" s="5744"/>
      <c r="DF40" s="5744"/>
      <c r="DG40" s="5744"/>
      <c r="DH40" s="5744"/>
      <c r="DI40" s="5744"/>
      <c r="DJ40" s="5744"/>
      <c r="DK40" s="5744"/>
      <c r="DL40" s="5744"/>
      <c r="DM40" s="5744"/>
      <c r="DN40" s="5744"/>
      <c r="DO40" s="5744"/>
      <c r="DP40" s="5744"/>
      <c r="DQ40" s="5744"/>
      <c r="DR40" s="5744"/>
      <c r="DS40" s="5744"/>
      <c r="DT40" s="5744"/>
      <c r="DU40" s="5744"/>
      <c r="DV40" s="5744"/>
      <c r="DW40" s="5744"/>
      <c r="DX40" s="5744"/>
      <c r="DY40" s="5744"/>
      <c r="DZ40" s="5744"/>
      <c r="EA40" s="5744"/>
      <c r="EB40" s="5744"/>
      <c r="EC40" s="5744"/>
      <c r="ED40" s="5744"/>
      <c r="EE40" s="5744"/>
      <c r="EF40" s="5744"/>
      <c r="EG40" s="5744"/>
      <c r="EH40" s="5744"/>
      <c r="EI40" s="5744"/>
      <c r="EJ40" s="5744"/>
      <c r="EK40" s="5744"/>
      <c r="EL40" s="5744"/>
      <c r="EM40" s="5744"/>
      <c r="EN40" s="5744"/>
      <c r="EO40" s="5744"/>
      <c r="EP40" s="5744"/>
      <c r="EQ40" s="5744"/>
      <c r="ER40" s="5744"/>
      <c r="ES40" s="5744"/>
      <c r="ET40" s="5744"/>
      <c r="EU40" s="2038"/>
    </row>
    <row r="41" spans="1:151" s="2039" customFormat="1" ht="15" customHeight="1" thickBot="1">
      <c r="A41" s="16274"/>
      <c r="B41" s="16413"/>
      <c r="C41" s="16270"/>
      <c r="D41" s="6005"/>
      <c r="E41" s="6005"/>
      <c r="F41" s="16245"/>
      <c r="G41" s="16275"/>
      <c r="H41" s="16275"/>
      <c r="I41" s="16275"/>
      <c r="J41" s="16245"/>
      <c r="K41" s="6005" t="s">
        <v>208</v>
      </c>
      <c r="L41" s="5722"/>
      <c r="M41" s="5722" t="s">
        <v>2855</v>
      </c>
      <c r="N41" s="6006"/>
      <c r="O41" s="5931"/>
      <c r="P41" s="5931"/>
      <c r="Q41" s="5931"/>
      <c r="R41" s="5727"/>
      <c r="S41" s="5727"/>
      <c r="T41" s="5727"/>
      <c r="U41" s="5931"/>
      <c r="V41" s="5931"/>
      <c r="W41" s="5727"/>
      <c r="X41" s="6007"/>
      <c r="Y41" s="5727"/>
      <c r="Z41" s="5727"/>
      <c r="AA41" s="5727"/>
      <c r="AB41" s="5727"/>
      <c r="AC41" s="5931"/>
      <c r="AD41" s="5931"/>
      <c r="AE41" s="5727"/>
      <c r="AF41" s="5727"/>
      <c r="AG41" s="5931"/>
      <c r="AH41" s="5931"/>
      <c r="AI41" s="5727"/>
      <c r="AJ41" s="5931"/>
      <c r="AK41" s="5931"/>
      <c r="AL41" s="5931"/>
      <c r="AM41" s="5931"/>
      <c r="AN41" s="5931"/>
      <c r="AO41" s="5931"/>
      <c r="AP41" s="5931"/>
      <c r="AQ41" s="5727"/>
      <c r="AR41" s="5931"/>
      <c r="AS41" s="5931"/>
      <c r="AT41" s="5931"/>
      <c r="AU41" s="5931"/>
      <c r="AV41" s="5931"/>
      <c r="AW41" s="5931"/>
      <c r="AX41" s="5931"/>
      <c r="AY41" s="5931"/>
      <c r="AZ41" s="5931"/>
      <c r="BA41" s="5931"/>
      <c r="BB41" s="5931"/>
      <c r="BC41" s="5931"/>
      <c r="BD41" s="5931"/>
      <c r="BE41" s="5931"/>
      <c r="BF41" s="5931"/>
      <c r="BG41" s="5727"/>
      <c r="BH41" s="5929"/>
      <c r="BI41" s="2568"/>
      <c r="BJ41" s="5931"/>
      <c r="BK41" s="5931"/>
      <c r="BL41" s="5727"/>
      <c r="BM41" s="5727"/>
      <c r="BN41" s="5727"/>
      <c r="BO41" s="5931"/>
      <c r="BP41" s="5931"/>
      <c r="BQ41" s="5727"/>
      <c r="BR41" s="6007"/>
      <c r="BS41" s="5727"/>
      <c r="BT41" s="5727"/>
      <c r="BU41" s="5727"/>
      <c r="BV41" s="5727"/>
      <c r="BW41" s="5931"/>
      <c r="BX41" s="5931"/>
      <c r="BY41" s="5727"/>
      <c r="BZ41" s="5727"/>
      <c r="CA41" s="5931"/>
      <c r="CB41" s="5931"/>
      <c r="CC41" s="5727"/>
      <c r="CD41" s="5931"/>
      <c r="CE41" s="5931"/>
      <c r="CF41" s="5931"/>
      <c r="CG41" s="5931"/>
      <c r="CH41" s="5931"/>
      <c r="CI41" s="5931"/>
      <c r="CJ41" s="5931"/>
      <c r="CK41" s="5727"/>
      <c r="CL41" s="5931"/>
      <c r="CM41" s="5931"/>
      <c r="CN41" s="5931"/>
      <c r="CO41" s="5931"/>
      <c r="CP41" s="5931"/>
      <c r="CQ41" s="5931"/>
      <c r="CR41" s="5931"/>
      <c r="CS41" s="5931"/>
      <c r="CT41" s="5931"/>
      <c r="CU41" s="5931"/>
      <c r="CV41" s="5931"/>
      <c r="CW41" s="5931"/>
      <c r="CX41" s="5931"/>
      <c r="CY41" s="5931"/>
      <c r="CZ41" s="5931"/>
      <c r="DA41" s="5931"/>
      <c r="DB41" s="5931"/>
      <c r="DC41" s="5931"/>
      <c r="DD41" s="5931"/>
      <c r="DE41" s="5931"/>
      <c r="DF41" s="5931"/>
      <c r="DG41" s="5931"/>
      <c r="DH41" s="5931"/>
      <c r="DI41" s="5931"/>
      <c r="DJ41" s="5931"/>
      <c r="DK41" s="5931"/>
      <c r="DL41" s="5931"/>
      <c r="DM41" s="5931"/>
      <c r="DN41" s="5931"/>
      <c r="DO41" s="5931"/>
      <c r="DP41" s="5931"/>
      <c r="DQ41" s="5931"/>
      <c r="DR41" s="5931"/>
      <c r="DS41" s="5931"/>
      <c r="DT41" s="5931"/>
      <c r="DU41" s="5931"/>
      <c r="DV41" s="5931"/>
      <c r="DW41" s="5931"/>
      <c r="DX41" s="5931"/>
      <c r="DY41" s="5931"/>
      <c r="DZ41" s="5931"/>
      <c r="EA41" s="5931"/>
      <c r="EB41" s="5931"/>
      <c r="EC41" s="5931"/>
      <c r="ED41" s="5931"/>
      <c r="EE41" s="5931"/>
      <c r="EF41" s="5931"/>
      <c r="EG41" s="5931"/>
      <c r="EH41" s="5931"/>
      <c r="EI41" s="5931"/>
      <c r="EJ41" s="5931"/>
      <c r="EK41" s="5931"/>
      <c r="EL41" s="5931"/>
      <c r="EM41" s="5931"/>
      <c r="EN41" s="5931"/>
      <c r="EO41" s="5931"/>
      <c r="EP41" s="5931"/>
      <c r="EQ41" s="5931"/>
      <c r="ER41" s="5931"/>
      <c r="ES41" s="5931"/>
      <c r="ET41" s="5931"/>
      <c r="EU41" s="5932"/>
    </row>
    <row r="42" spans="1:151" s="2041" customFormat="1" ht="15" customHeight="1">
      <c r="A42" s="16258" t="s">
        <v>2637</v>
      </c>
      <c r="B42" s="16261" t="s">
        <v>2621</v>
      </c>
      <c r="C42" s="16276" t="s">
        <v>2638</v>
      </c>
      <c r="D42" s="5754" t="s">
        <v>8508</v>
      </c>
      <c r="E42" s="5754" t="s">
        <v>715</v>
      </c>
      <c r="F42" s="16246" t="s">
        <v>8512</v>
      </c>
      <c r="G42" s="16246" t="s">
        <v>2642</v>
      </c>
      <c r="H42" s="16246" t="s">
        <v>8509</v>
      </c>
      <c r="I42" s="16246" t="s">
        <v>8512</v>
      </c>
      <c r="J42" s="16246" t="s">
        <v>8512</v>
      </c>
      <c r="K42" s="5754" t="s">
        <v>86</v>
      </c>
      <c r="L42" s="5137" t="s">
        <v>2862</v>
      </c>
      <c r="M42" s="5137"/>
      <c r="N42" s="5108"/>
      <c r="O42" s="5109"/>
      <c r="P42" s="5109"/>
      <c r="Q42" s="5109"/>
      <c r="R42" s="5525"/>
      <c r="S42" s="5523"/>
      <c r="T42" s="5525"/>
      <c r="U42" s="5109"/>
      <c r="V42" s="5109"/>
      <c r="W42" s="5523"/>
      <c r="X42" s="6004"/>
      <c r="Y42" s="5523"/>
      <c r="Z42" s="5523"/>
      <c r="AA42" s="5523"/>
      <c r="AB42" s="5523"/>
      <c r="AC42" s="5922"/>
      <c r="AD42" s="5922"/>
      <c r="AE42" s="5523"/>
      <c r="AF42" s="5523"/>
      <c r="AG42" s="5922"/>
      <c r="AH42" s="5922"/>
      <c r="AI42" s="5523"/>
      <c r="AJ42" s="5922"/>
      <c r="AK42" s="5922"/>
      <c r="AL42" s="5922"/>
      <c r="AM42" s="5922"/>
      <c r="AN42" s="5922"/>
      <c r="AO42" s="5922"/>
      <c r="AP42" s="5922"/>
      <c r="AQ42" s="5523"/>
      <c r="AR42" s="5922"/>
      <c r="AS42" s="5922"/>
      <c r="AT42" s="5922"/>
      <c r="AU42" s="5922"/>
      <c r="AV42" s="5922"/>
      <c r="AW42" s="5922"/>
      <c r="AX42" s="5922"/>
      <c r="AY42" s="5922"/>
      <c r="AZ42" s="5922"/>
      <c r="BA42" s="5922"/>
      <c r="BB42" s="5922"/>
      <c r="BC42" s="5922"/>
      <c r="BD42" s="5922"/>
      <c r="BE42" s="5922"/>
      <c r="BF42" s="5922"/>
      <c r="BG42" s="5108" t="s">
        <v>9826</v>
      </c>
      <c r="BH42" s="5920">
        <v>1</v>
      </c>
      <c r="BI42" s="2714" t="s">
        <v>9125</v>
      </c>
      <c r="BJ42" s="5109" t="s">
        <v>9126</v>
      </c>
      <c r="BK42" s="5109" t="s">
        <v>9127</v>
      </c>
      <c r="BL42" s="5525">
        <v>28600000</v>
      </c>
      <c r="BM42" s="5523"/>
      <c r="BN42" s="5525">
        <v>28600000</v>
      </c>
      <c r="BO42" s="5109"/>
      <c r="BP42" s="5109"/>
      <c r="BQ42" s="5523"/>
      <c r="BR42" s="6004"/>
      <c r="BS42" s="5523"/>
      <c r="BT42" s="5523"/>
      <c r="BU42" s="5523"/>
      <c r="BV42" s="5523"/>
      <c r="BW42" s="5922"/>
      <c r="BX42" s="5922"/>
      <c r="BY42" s="5523"/>
      <c r="BZ42" s="5523"/>
      <c r="CA42" s="5922"/>
      <c r="CB42" s="5922"/>
      <c r="CC42" s="5523"/>
      <c r="CD42" s="5922"/>
      <c r="CE42" s="5922"/>
      <c r="CF42" s="5922"/>
      <c r="CG42" s="5922"/>
      <c r="CH42" s="5922"/>
      <c r="CI42" s="5922"/>
      <c r="CJ42" s="5922"/>
      <c r="CK42" s="5523"/>
      <c r="CL42" s="5922"/>
      <c r="CM42" s="5922"/>
      <c r="CN42" s="5922"/>
      <c r="CO42" s="5922"/>
      <c r="CP42" s="5922"/>
      <c r="CQ42" s="5922"/>
      <c r="CR42" s="5922"/>
      <c r="CS42" s="5922"/>
      <c r="CT42" s="5922"/>
      <c r="CU42" s="5922"/>
      <c r="CV42" s="5922"/>
      <c r="CW42" s="5922"/>
      <c r="CX42" s="5922"/>
      <c r="CY42" s="5922"/>
      <c r="CZ42" s="5922"/>
      <c r="DA42" s="5922"/>
      <c r="DB42" s="5922"/>
      <c r="DC42" s="5922"/>
      <c r="DD42" s="5922"/>
      <c r="DE42" s="5922"/>
      <c r="DF42" s="5922"/>
      <c r="DG42" s="5922"/>
      <c r="DH42" s="5922"/>
      <c r="DI42" s="5922"/>
      <c r="DJ42" s="5922"/>
      <c r="DK42" s="5922"/>
      <c r="DL42" s="5922"/>
      <c r="DM42" s="5922"/>
      <c r="DN42" s="5922"/>
      <c r="DO42" s="5922"/>
      <c r="DP42" s="5922"/>
      <c r="DQ42" s="5922"/>
      <c r="DR42" s="5922"/>
      <c r="DS42" s="5922"/>
      <c r="DT42" s="5922"/>
      <c r="DU42" s="5922"/>
      <c r="DV42" s="5922"/>
      <c r="DW42" s="5922"/>
      <c r="DX42" s="5922"/>
      <c r="DY42" s="5922"/>
      <c r="DZ42" s="5922"/>
      <c r="EA42" s="5922"/>
      <c r="EB42" s="5922"/>
      <c r="EC42" s="5922"/>
      <c r="ED42" s="5922"/>
      <c r="EE42" s="5922"/>
      <c r="EF42" s="5922"/>
      <c r="EG42" s="5922"/>
      <c r="EH42" s="5922"/>
      <c r="EI42" s="5922"/>
      <c r="EJ42" s="5922"/>
      <c r="EK42" s="5922"/>
      <c r="EL42" s="5922"/>
      <c r="EM42" s="5922"/>
      <c r="EN42" s="5922"/>
      <c r="EO42" s="5922"/>
      <c r="EP42" s="5922"/>
      <c r="EQ42" s="5922"/>
      <c r="ER42" s="5922"/>
      <c r="ES42" s="5922"/>
      <c r="ET42" s="5922"/>
      <c r="EU42" s="5923"/>
    </row>
    <row r="43" spans="1:151" s="2041" customFormat="1" ht="15" customHeight="1">
      <c r="A43" s="16259"/>
      <c r="B43" s="16262"/>
      <c r="C43" s="16277"/>
      <c r="D43" s="2756"/>
      <c r="E43" s="2756"/>
      <c r="F43" s="16235"/>
      <c r="G43" s="16235"/>
      <c r="H43" s="16235"/>
      <c r="I43" s="16235"/>
      <c r="J43" s="16235"/>
      <c r="K43" s="2758" t="s">
        <v>208</v>
      </c>
      <c r="L43" s="5187"/>
      <c r="M43" s="5187" t="s">
        <v>2855</v>
      </c>
      <c r="N43" s="5387"/>
      <c r="O43" s="2744"/>
      <c r="P43" s="2744"/>
      <c r="Q43" s="2744"/>
      <c r="R43" s="5191"/>
      <c r="S43" s="5189"/>
      <c r="T43" s="5191"/>
      <c r="U43" s="2744"/>
      <c r="V43" s="2744"/>
      <c r="W43" s="5189"/>
      <c r="X43" s="5752"/>
      <c r="Y43" s="5189"/>
      <c r="Z43" s="5189"/>
      <c r="AA43" s="5189"/>
      <c r="AB43" s="5189"/>
      <c r="AC43" s="2765"/>
      <c r="AD43" s="2765"/>
      <c r="AE43" s="5189"/>
      <c r="AF43" s="5189"/>
      <c r="AG43" s="2765"/>
      <c r="AH43" s="2765"/>
      <c r="AI43" s="5189"/>
      <c r="AJ43" s="2765"/>
      <c r="AK43" s="2765"/>
      <c r="AL43" s="2765"/>
      <c r="AM43" s="2765"/>
      <c r="AN43" s="2765"/>
      <c r="AO43" s="2765"/>
      <c r="AP43" s="2765"/>
      <c r="AQ43" s="5189"/>
      <c r="AR43" s="2765"/>
      <c r="AS43" s="2765"/>
      <c r="AT43" s="2765"/>
      <c r="AU43" s="2765"/>
      <c r="AV43" s="2765"/>
      <c r="AW43" s="2765"/>
      <c r="AX43" s="2765"/>
      <c r="AY43" s="2765"/>
      <c r="AZ43" s="2765"/>
      <c r="BA43" s="2765"/>
      <c r="BB43" s="2765"/>
      <c r="BC43" s="2765"/>
      <c r="BD43" s="2765"/>
      <c r="BE43" s="2765"/>
      <c r="BF43" s="2765"/>
      <c r="BG43" s="5387"/>
      <c r="BH43" s="5292"/>
      <c r="BI43" s="2253"/>
      <c r="BJ43" s="2744"/>
      <c r="BK43" s="2744"/>
      <c r="BL43" s="5191"/>
      <c r="BM43" s="5189"/>
      <c r="BN43" s="5191"/>
      <c r="BO43" s="2744"/>
      <c r="BP43" s="2744"/>
      <c r="BQ43" s="5189"/>
      <c r="BR43" s="5752"/>
      <c r="BS43" s="5189"/>
      <c r="BT43" s="5189"/>
      <c r="BU43" s="5189"/>
      <c r="BV43" s="5189"/>
      <c r="BW43" s="2765"/>
      <c r="BX43" s="2765"/>
      <c r="BY43" s="5189"/>
      <c r="BZ43" s="5189"/>
      <c r="CA43" s="2765"/>
      <c r="CB43" s="2765"/>
      <c r="CC43" s="5189"/>
      <c r="CD43" s="2765"/>
      <c r="CE43" s="2765"/>
      <c r="CF43" s="2765"/>
      <c r="CG43" s="2765"/>
      <c r="CH43" s="2765"/>
      <c r="CI43" s="2765"/>
      <c r="CJ43" s="2765"/>
      <c r="CK43" s="5189"/>
      <c r="CL43" s="2765"/>
      <c r="CM43" s="2765"/>
      <c r="CN43" s="2765"/>
      <c r="CO43" s="2765"/>
      <c r="CP43" s="2765"/>
      <c r="CQ43" s="2765"/>
      <c r="CR43" s="2765"/>
      <c r="CS43" s="2765"/>
      <c r="CT43" s="2765"/>
      <c r="CU43" s="2765"/>
      <c r="CV43" s="2765"/>
      <c r="CW43" s="2765"/>
      <c r="CX43" s="2765"/>
      <c r="CY43" s="2765"/>
      <c r="CZ43" s="2765"/>
      <c r="DA43" s="2765"/>
      <c r="DB43" s="2765"/>
      <c r="DC43" s="2765"/>
      <c r="DD43" s="2765"/>
      <c r="DE43" s="2765"/>
      <c r="DF43" s="2765"/>
      <c r="DG43" s="2765"/>
      <c r="DH43" s="2765"/>
      <c r="DI43" s="2765"/>
      <c r="DJ43" s="2765"/>
      <c r="DK43" s="2765"/>
      <c r="DL43" s="2765"/>
      <c r="DM43" s="2765"/>
      <c r="DN43" s="2765"/>
      <c r="DO43" s="2765"/>
      <c r="DP43" s="2765"/>
      <c r="DQ43" s="2765"/>
      <c r="DR43" s="2765"/>
      <c r="DS43" s="2765"/>
      <c r="DT43" s="2765"/>
      <c r="DU43" s="2765"/>
      <c r="DV43" s="2765"/>
      <c r="DW43" s="2765"/>
      <c r="DX43" s="2765"/>
      <c r="DY43" s="2765"/>
      <c r="DZ43" s="2765"/>
      <c r="EA43" s="2765"/>
      <c r="EB43" s="2765"/>
      <c r="EC43" s="2765"/>
      <c r="ED43" s="2765"/>
      <c r="EE43" s="2765"/>
      <c r="EF43" s="2765"/>
      <c r="EG43" s="2765"/>
      <c r="EH43" s="2765"/>
      <c r="EI43" s="2765"/>
      <c r="EJ43" s="2765"/>
      <c r="EK43" s="2765"/>
      <c r="EL43" s="2765"/>
      <c r="EM43" s="2765"/>
      <c r="EN43" s="2765"/>
      <c r="EO43" s="2765"/>
      <c r="EP43" s="2765"/>
      <c r="EQ43" s="2765"/>
      <c r="ER43" s="2765"/>
      <c r="ES43" s="2765"/>
      <c r="ET43" s="2765"/>
      <c r="EU43" s="2040"/>
    </row>
    <row r="44" spans="1:151" s="2041" customFormat="1" ht="15" customHeight="1">
      <c r="A44" s="16259"/>
      <c r="B44" s="16262"/>
      <c r="C44" s="16277"/>
      <c r="D44" s="2756" t="s">
        <v>8510</v>
      </c>
      <c r="E44" s="2756" t="s">
        <v>8511</v>
      </c>
      <c r="F44" s="16235"/>
      <c r="G44" s="16235"/>
      <c r="H44" s="16235" t="s">
        <v>8509</v>
      </c>
      <c r="I44" s="16235" t="s">
        <v>8512</v>
      </c>
      <c r="J44" s="16235"/>
      <c r="K44" s="2756" t="s">
        <v>86</v>
      </c>
      <c r="L44" s="5187" t="s">
        <v>2862</v>
      </c>
      <c r="M44" s="5187"/>
      <c r="N44" s="2744"/>
      <c r="O44" s="2744"/>
      <c r="P44" s="2744"/>
      <c r="Q44" s="2744"/>
      <c r="R44" s="5191"/>
      <c r="S44" s="5189"/>
      <c r="T44" s="5191"/>
      <c r="U44" s="2744"/>
      <c r="V44" s="2744"/>
      <c r="W44" s="5189"/>
      <c r="X44" s="5189"/>
      <c r="Y44" s="5189"/>
      <c r="Z44" s="5189"/>
      <c r="AA44" s="5189"/>
      <c r="AB44" s="5189"/>
      <c r="AC44" s="5189"/>
      <c r="AD44" s="5189"/>
      <c r="AE44" s="5189"/>
      <c r="AF44" s="5189"/>
      <c r="AG44" s="5189"/>
      <c r="AH44" s="5189"/>
      <c r="AI44" s="5189"/>
      <c r="AJ44" s="5189"/>
      <c r="AK44" s="5189"/>
      <c r="AL44" s="5189"/>
      <c r="AM44" s="5189"/>
      <c r="AN44" s="5189"/>
      <c r="AO44" s="5189"/>
      <c r="AP44" s="5189"/>
      <c r="AQ44" s="5189"/>
      <c r="AR44" s="5752"/>
      <c r="AS44" s="5752"/>
      <c r="AT44" s="5752"/>
      <c r="AU44" s="2765"/>
      <c r="AV44" s="2765"/>
      <c r="AW44" s="2765"/>
      <c r="AX44" s="2765"/>
      <c r="AY44" s="2765"/>
      <c r="AZ44" s="2765"/>
      <c r="BA44" s="2765"/>
      <c r="BB44" s="2765"/>
      <c r="BC44" s="2765"/>
      <c r="BD44" s="2765"/>
      <c r="BE44" s="2765"/>
      <c r="BF44" s="2765"/>
      <c r="BG44" s="2744" t="s">
        <v>9827</v>
      </c>
      <c r="BH44" s="5292">
        <v>0.48</v>
      </c>
      <c r="BI44" s="2253" t="s">
        <v>9128</v>
      </c>
      <c r="BJ44" s="2744" t="s">
        <v>9129</v>
      </c>
      <c r="BK44" s="2744"/>
      <c r="BL44" s="5191">
        <v>28600000</v>
      </c>
      <c r="BM44" s="5189"/>
      <c r="BN44" s="5191">
        <v>28600000</v>
      </c>
      <c r="BO44" s="2744"/>
      <c r="BP44" s="2744"/>
      <c r="BQ44" s="5189">
        <v>8</v>
      </c>
      <c r="BR44" s="5189"/>
      <c r="BS44" s="5189">
        <v>8</v>
      </c>
      <c r="BT44" s="5189">
        <v>8</v>
      </c>
      <c r="BU44" s="5189"/>
      <c r="BV44" s="5189"/>
      <c r="BW44" s="5189"/>
      <c r="BX44" s="5189">
        <v>1</v>
      </c>
      <c r="BY44" s="5189">
        <v>2</v>
      </c>
      <c r="BZ44" s="5189">
        <v>5</v>
      </c>
      <c r="CA44" s="5189"/>
      <c r="CB44" s="5189"/>
      <c r="CC44" s="5189">
        <v>2</v>
      </c>
      <c r="CD44" s="5189"/>
      <c r="CE44" s="5189"/>
      <c r="CF44" s="5189"/>
      <c r="CG44" s="5189"/>
      <c r="CH44" s="5189"/>
      <c r="CI44" s="5189">
        <v>4</v>
      </c>
      <c r="CJ44" s="5189">
        <v>2</v>
      </c>
      <c r="CK44" s="5189">
        <v>8</v>
      </c>
      <c r="CL44" s="5752"/>
      <c r="CM44" s="5752"/>
      <c r="CN44" s="5752"/>
      <c r="CO44" s="2765"/>
      <c r="CP44" s="2765"/>
      <c r="CQ44" s="2765"/>
      <c r="CR44" s="2765"/>
      <c r="CS44" s="2765"/>
      <c r="CT44" s="2765"/>
      <c r="CU44" s="2765"/>
      <c r="CV44" s="2765"/>
      <c r="CW44" s="2765"/>
      <c r="CX44" s="2765"/>
      <c r="CY44" s="2765"/>
      <c r="CZ44" s="2765"/>
      <c r="DA44" s="2765"/>
      <c r="DB44" s="2765"/>
      <c r="DC44" s="2765"/>
      <c r="DD44" s="2765"/>
      <c r="DE44" s="2765"/>
      <c r="DF44" s="2765"/>
      <c r="DG44" s="2765"/>
      <c r="DH44" s="2765"/>
      <c r="DI44" s="2765"/>
      <c r="DJ44" s="2765"/>
      <c r="DK44" s="2765"/>
      <c r="DL44" s="2765"/>
      <c r="DM44" s="2765"/>
      <c r="DN44" s="2765"/>
      <c r="DO44" s="2765"/>
      <c r="DP44" s="2765"/>
      <c r="DQ44" s="2765"/>
      <c r="DR44" s="2765"/>
      <c r="DS44" s="2765"/>
      <c r="DT44" s="2765"/>
      <c r="DU44" s="2765"/>
      <c r="DV44" s="2765"/>
      <c r="DW44" s="2765"/>
      <c r="DX44" s="2765"/>
      <c r="DY44" s="2765"/>
      <c r="DZ44" s="2765"/>
      <c r="EA44" s="2765"/>
      <c r="EB44" s="2765"/>
      <c r="EC44" s="2765"/>
      <c r="ED44" s="2765"/>
      <c r="EE44" s="2765"/>
      <c r="EF44" s="2765"/>
      <c r="EG44" s="2765"/>
      <c r="EH44" s="2765"/>
      <c r="EI44" s="2765"/>
      <c r="EJ44" s="2765"/>
      <c r="EK44" s="2765"/>
      <c r="EL44" s="2765"/>
      <c r="EM44" s="2765"/>
      <c r="EN44" s="2765"/>
      <c r="EO44" s="2765"/>
      <c r="EP44" s="2765"/>
      <c r="EQ44" s="2765"/>
      <c r="ER44" s="2765"/>
      <c r="ES44" s="2765"/>
      <c r="ET44" s="2765"/>
      <c r="EU44" s="2040"/>
    </row>
    <row r="45" spans="1:151" s="2041" customFormat="1" ht="15" customHeight="1">
      <c r="A45" s="16259"/>
      <c r="B45" s="16262"/>
      <c r="C45" s="16277"/>
      <c r="D45" s="2756"/>
      <c r="E45" s="2756"/>
      <c r="F45" s="16235"/>
      <c r="G45" s="16235"/>
      <c r="H45" s="16235"/>
      <c r="I45" s="16235"/>
      <c r="J45" s="16235"/>
      <c r="K45" s="2758" t="s">
        <v>208</v>
      </c>
      <c r="L45" s="5187"/>
      <c r="M45" s="5187" t="s">
        <v>2855</v>
      </c>
      <c r="N45" s="2744"/>
      <c r="O45" s="2744"/>
      <c r="P45" s="2744"/>
      <c r="Q45" s="2744"/>
      <c r="R45" s="5191"/>
      <c r="S45" s="5189"/>
      <c r="T45" s="5191"/>
      <c r="U45" s="2744"/>
      <c r="V45" s="2744"/>
      <c r="W45" s="5189"/>
      <c r="X45" s="5189"/>
      <c r="Y45" s="5189"/>
      <c r="Z45" s="5189"/>
      <c r="AA45" s="5189"/>
      <c r="AB45" s="5189"/>
      <c r="AC45" s="5189"/>
      <c r="AD45" s="5189"/>
      <c r="AE45" s="5189"/>
      <c r="AF45" s="5189"/>
      <c r="AG45" s="5189"/>
      <c r="AH45" s="5189"/>
      <c r="AI45" s="5189"/>
      <c r="AJ45" s="5189"/>
      <c r="AK45" s="5189"/>
      <c r="AL45" s="5189"/>
      <c r="AM45" s="5189"/>
      <c r="AN45" s="5189"/>
      <c r="AO45" s="5189"/>
      <c r="AP45" s="5189"/>
      <c r="AQ45" s="5189"/>
      <c r="AR45" s="5752"/>
      <c r="AS45" s="5752"/>
      <c r="AT45" s="5752"/>
      <c r="AU45" s="2765"/>
      <c r="AV45" s="2765"/>
      <c r="AW45" s="2765"/>
      <c r="AX45" s="2765"/>
      <c r="AY45" s="2765"/>
      <c r="AZ45" s="2765"/>
      <c r="BA45" s="2765"/>
      <c r="BB45" s="2765"/>
      <c r="BC45" s="2765"/>
      <c r="BD45" s="2765"/>
      <c r="BE45" s="2765"/>
      <c r="BF45" s="2765"/>
      <c r="BG45" s="2744"/>
      <c r="BH45" s="5292"/>
      <c r="BI45" s="2253"/>
      <c r="BJ45" s="2744"/>
      <c r="BK45" s="2744"/>
      <c r="BL45" s="5191"/>
      <c r="BM45" s="5189"/>
      <c r="BN45" s="5191"/>
      <c r="BO45" s="2744"/>
      <c r="BP45" s="2744"/>
      <c r="BQ45" s="5189"/>
      <c r="BR45" s="5189"/>
      <c r="BS45" s="5189"/>
      <c r="BT45" s="5189"/>
      <c r="BU45" s="5189"/>
      <c r="BV45" s="5189"/>
      <c r="BW45" s="5189"/>
      <c r="BX45" s="5189"/>
      <c r="BY45" s="5189"/>
      <c r="BZ45" s="5189"/>
      <c r="CA45" s="5189"/>
      <c r="CB45" s="5189"/>
      <c r="CC45" s="5189"/>
      <c r="CD45" s="5189"/>
      <c r="CE45" s="5189"/>
      <c r="CF45" s="5189"/>
      <c r="CG45" s="5189"/>
      <c r="CH45" s="5189"/>
      <c r="CI45" s="5189"/>
      <c r="CJ45" s="5189"/>
      <c r="CK45" s="5189"/>
      <c r="CL45" s="5752"/>
      <c r="CM45" s="5752"/>
      <c r="CN45" s="5752"/>
      <c r="CO45" s="2765"/>
      <c r="CP45" s="2765"/>
      <c r="CQ45" s="2765"/>
      <c r="CR45" s="2765"/>
      <c r="CS45" s="2765"/>
      <c r="CT45" s="2765"/>
      <c r="CU45" s="2765"/>
      <c r="CV45" s="2765"/>
      <c r="CW45" s="2765"/>
      <c r="CX45" s="2765"/>
      <c r="CY45" s="2765"/>
      <c r="CZ45" s="2765"/>
      <c r="DA45" s="2765"/>
      <c r="DB45" s="2765"/>
      <c r="DC45" s="2765"/>
      <c r="DD45" s="2765"/>
      <c r="DE45" s="2765"/>
      <c r="DF45" s="2765"/>
      <c r="DG45" s="2765"/>
      <c r="DH45" s="2765"/>
      <c r="DI45" s="2765"/>
      <c r="DJ45" s="2765"/>
      <c r="DK45" s="2765"/>
      <c r="DL45" s="2765"/>
      <c r="DM45" s="2765"/>
      <c r="DN45" s="2765"/>
      <c r="DO45" s="2765"/>
      <c r="DP45" s="2765"/>
      <c r="DQ45" s="2765"/>
      <c r="DR45" s="2765"/>
      <c r="DS45" s="2765"/>
      <c r="DT45" s="2765"/>
      <c r="DU45" s="2765"/>
      <c r="DV45" s="2765"/>
      <c r="DW45" s="2765"/>
      <c r="DX45" s="2765"/>
      <c r="DY45" s="2765"/>
      <c r="DZ45" s="2765"/>
      <c r="EA45" s="2765"/>
      <c r="EB45" s="2765"/>
      <c r="EC45" s="2765"/>
      <c r="ED45" s="2765"/>
      <c r="EE45" s="2765"/>
      <c r="EF45" s="2765"/>
      <c r="EG45" s="2765"/>
      <c r="EH45" s="2765"/>
      <c r="EI45" s="2765"/>
      <c r="EJ45" s="2765"/>
      <c r="EK45" s="2765"/>
      <c r="EL45" s="2765"/>
      <c r="EM45" s="2765"/>
      <c r="EN45" s="2765"/>
      <c r="EO45" s="2765"/>
      <c r="EP45" s="2765"/>
      <c r="EQ45" s="2765"/>
      <c r="ER45" s="2765"/>
      <c r="ES45" s="2765"/>
      <c r="ET45" s="2765"/>
      <c r="EU45" s="2040"/>
    </row>
    <row r="46" spans="1:151" s="2041" customFormat="1" ht="15" customHeight="1">
      <c r="A46" s="16259"/>
      <c r="B46" s="16262"/>
      <c r="C46" s="16277"/>
      <c r="D46" s="2757" t="s">
        <v>8513</v>
      </c>
      <c r="E46" s="2757" t="s">
        <v>8514</v>
      </c>
      <c r="F46" s="16036" t="s">
        <v>8515</v>
      </c>
      <c r="G46" s="16235"/>
      <c r="H46" s="16235" t="s">
        <v>8509</v>
      </c>
      <c r="I46" s="16235" t="s">
        <v>8515</v>
      </c>
      <c r="J46" s="16036" t="s">
        <v>8515</v>
      </c>
      <c r="K46" s="2757" t="s">
        <v>86</v>
      </c>
      <c r="L46" s="5187" t="s">
        <v>2862</v>
      </c>
      <c r="M46" s="5187"/>
      <c r="N46" s="2744"/>
      <c r="O46" s="2744"/>
      <c r="P46" s="2744"/>
      <c r="Q46" s="2744"/>
      <c r="R46" s="5191"/>
      <c r="S46" s="5189"/>
      <c r="T46" s="5191"/>
      <c r="U46" s="2744"/>
      <c r="V46" s="2744"/>
      <c r="W46" s="2744"/>
      <c r="X46" s="5752"/>
      <c r="Y46" s="5189"/>
      <c r="Z46" s="5189"/>
      <c r="AA46" s="5189"/>
      <c r="AB46" s="5189"/>
      <c r="AC46" s="2765"/>
      <c r="AD46" s="2765"/>
      <c r="AE46" s="5189"/>
      <c r="AF46" s="5189"/>
      <c r="AG46" s="2765"/>
      <c r="AH46" s="2765"/>
      <c r="AI46" s="5189"/>
      <c r="AJ46" s="2765"/>
      <c r="AK46" s="2765"/>
      <c r="AL46" s="2765"/>
      <c r="AM46" s="2765"/>
      <c r="AN46" s="2765"/>
      <c r="AO46" s="2765"/>
      <c r="AP46" s="2765"/>
      <c r="AQ46" s="5189"/>
      <c r="AR46" s="2765"/>
      <c r="AS46" s="2765"/>
      <c r="AT46" s="2765"/>
      <c r="AU46" s="2765"/>
      <c r="AV46" s="2765"/>
      <c r="AW46" s="2765"/>
      <c r="AX46" s="2765"/>
      <c r="AY46" s="2765"/>
      <c r="AZ46" s="2765"/>
      <c r="BA46" s="2765"/>
      <c r="BB46" s="2765"/>
      <c r="BC46" s="2765"/>
      <c r="BD46" s="2765"/>
      <c r="BE46" s="2765"/>
      <c r="BF46" s="2765"/>
      <c r="BG46" s="2744" t="s">
        <v>9828</v>
      </c>
      <c r="BH46" s="5292">
        <v>1</v>
      </c>
      <c r="BI46" s="2253" t="s">
        <v>9908</v>
      </c>
      <c r="BJ46" s="2744" t="s">
        <v>3389</v>
      </c>
      <c r="BK46" s="2744" t="s">
        <v>9130</v>
      </c>
      <c r="BL46" s="5191">
        <v>29700000</v>
      </c>
      <c r="BM46" s="5189"/>
      <c r="BN46" s="5191">
        <v>29700000</v>
      </c>
      <c r="BO46" s="2744"/>
      <c r="BP46" s="2744"/>
      <c r="BQ46" s="2744">
        <v>0</v>
      </c>
      <c r="BR46" s="5752"/>
      <c r="BS46" s="5189"/>
      <c r="BT46" s="5189"/>
      <c r="BU46" s="5189"/>
      <c r="BV46" s="5189"/>
      <c r="BW46" s="2765"/>
      <c r="BX46" s="2765"/>
      <c r="BY46" s="5189"/>
      <c r="BZ46" s="5189"/>
      <c r="CA46" s="2765"/>
      <c r="CB46" s="2765"/>
      <c r="CC46" s="5189"/>
      <c r="CD46" s="2765"/>
      <c r="CE46" s="2765"/>
      <c r="CF46" s="2765"/>
      <c r="CG46" s="2765"/>
      <c r="CH46" s="2765"/>
      <c r="CI46" s="2765"/>
      <c r="CJ46" s="2765"/>
      <c r="CK46" s="5189"/>
      <c r="CL46" s="2765"/>
      <c r="CM46" s="2765"/>
      <c r="CN46" s="2765"/>
      <c r="CO46" s="2765"/>
      <c r="CP46" s="2765"/>
      <c r="CQ46" s="2765"/>
      <c r="CR46" s="2765"/>
      <c r="CS46" s="2765"/>
      <c r="CT46" s="2765"/>
      <c r="CU46" s="2765"/>
      <c r="CV46" s="2765"/>
      <c r="CW46" s="2765"/>
      <c r="CX46" s="2765"/>
      <c r="CY46" s="2765"/>
      <c r="CZ46" s="2765"/>
      <c r="DA46" s="2765"/>
      <c r="DB46" s="2765"/>
      <c r="DC46" s="2765"/>
      <c r="DD46" s="2765"/>
      <c r="DE46" s="2765"/>
      <c r="DF46" s="2765"/>
      <c r="DG46" s="2765"/>
      <c r="DH46" s="2765"/>
      <c r="DI46" s="2765"/>
      <c r="DJ46" s="2765"/>
      <c r="DK46" s="2765"/>
      <c r="DL46" s="2765"/>
      <c r="DM46" s="2765"/>
      <c r="DN46" s="2765"/>
      <c r="DO46" s="2765"/>
      <c r="DP46" s="2765"/>
      <c r="DQ46" s="2765"/>
      <c r="DR46" s="2765"/>
      <c r="DS46" s="2765"/>
      <c r="DT46" s="2765"/>
      <c r="DU46" s="2765"/>
      <c r="DV46" s="2765"/>
      <c r="DW46" s="2765"/>
      <c r="DX46" s="2765"/>
      <c r="DY46" s="2765"/>
      <c r="DZ46" s="2765"/>
      <c r="EA46" s="2765"/>
      <c r="EB46" s="2765"/>
      <c r="EC46" s="2765"/>
      <c r="ED46" s="2765"/>
      <c r="EE46" s="2765"/>
      <c r="EF46" s="2765"/>
      <c r="EG46" s="2765"/>
      <c r="EH46" s="2765"/>
      <c r="EI46" s="2765"/>
      <c r="EJ46" s="2765"/>
      <c r="EK46" s="2765"/>
      <c r="EL46" s="2765"/>
      <c r="EM46" s="2765"/>
      <c r="EN46" s="2765"/>
      <c r="EO46" s="2765"/>
      <c r="EP46" s="2765"/>
      <c r="EQ46" s="2765"/>
      <c r="ER46" s="2765"/>
      <c r="ES46" s="2765"/>
      <c r="ET46" s="2765"/>
      <c r="EU46" s="2040"/>
    </row>
    <row r="47" spans="1:151" s="2041" customFormat="1" ht="15" customHeight="1">
      <c r="A47" s="16259"/>
      <c r="B47" s="16262"/>
      <c r="C47" s="16277"/>
      <c r="D47" s="2757"/>
      <c r="E47" s="2757"/>
      <c r="F47" s="16036"/>
      <c r="G47" s="16235"/>
      <c r="H47" s="16235"/>
      <c r="I47" s="16235"/>
      <c r="J47" s="16036"/>
      <c r="K47" s="2758" t="s">
        <v>208</v>
      </c>
      <c r="L47" s="5187"/>
      <c r="M47" s="5187" t="s">
        <v>2855</v>
      </c>
      <c r="N47" s="2744"/>
      <c r="O47" s="2744"/>
      <c r="P47" s="2744"/>
      <c r="Q47" s="2744"/>
      <c r="R47" s="5191"/>
      <c r="S47" s="5189"/>
      <c r="T47" s="5191"/>
      <c r="U47" s="2744"/>
      <c r="V47" s="2744"/>
      <c r="W47" s="2744"/>
      <c r="X47" s="5752"/>
      <c r="Y47" s="5189"/>
      <c r="Z47" s="5189"/>
      <c r="AA47" s="5189"/>
      <c r="AB47" s="5189"/>
      <c r="AC47" s="2765"/>
      <c r="AD47" s="2765"/>
      <c r="AE47" s="5189"/>
      <c r="AF47" s="5189"/>
      <c r="AG47" s="2765"/>
      <c r="AH47" s="2765"/>
      <c r="AI47" s="5189"/>
      <c r="AJ47" s="2765"/>
      <c r="AK47" s="2765"/>
      <c r="AL47" s="2765"/>
      <c r="AM47" s="2765"/>
      <c r="AN47" s="2765"/>
      <c r="AO47" s="2765"/>
      <c r="AP47" s="2765"/>
      <c r="AQ47" s="5189"/>
      <c r="AR47" s="2765"/>
      <c r="AS47" s="2765"/>
      <c r="AT47" s="2765"/>
      <c r="AU47" s="2765"/>
      <c r="AV47" s="2765"/>
      <c r="AW47" s="2765"/>
      <c r="AX47" s="2765"/>
      <c r="AY47" s="2765"/>
      <c r="AZ47" s="2765"/>
      <c r="BA47" s="2765"/>
      <c r="BB47" s="2765"/>
      <c r="BC47" s="2765"/>
      <c r="BD47" s="2765"/>
      <c r="BE47" s="2765"/>
      <c r="BF47" s="2765"/>
      <c r="BG47" s="2744"/>
      <c r="BH47" s="5292"/>
      <c r="BI47" s="2253"/>
      <c r="BJ47" s="2744"/>
      <c r="BK47" s="2744"/>
      <c r="BL47" s="5191"/>
      <c r="BM47" s="5189"/>
      <c r="BN47" s="5191"/>
      <c r="BO47" s="2744"/>
      <c r="BP47" s="2744"/>
      <c r="BQ47" s="2744"/>
      <c r="BR47" s="5752"/>
      <c r="BS47" s="5189"/>
      <c r="BT47" s="5189"/>
      <c r="BU47" s="5189"/>
      <c r="BV47" s="5189"/>
      <c r="BW47" s="2765"/>
      <c r="BX47" s="2765"/>
      <c r="BY47" s="5189"/>
      <c r="BZ47" s="5189"/>
      <c r="CA47" s="2765"/>
      <c r="CB47" s="2765"/>
      <c r="CC47" s="5189"/>
      <c r="CD47" s="2765"/>
      <c r="CE47" s="2765"/>
      <c r="CF47" s="2765"/>
      <c r="CG47" s="2765"/>
      <c r="CH47" s="2765"/>
      <c r="CI47" s="2765"/>
      <c r="CJ47" s="2765"/>
      <c r="CK47" s="5189"/>
      <c r="CL47" s="2765"/>
      <c r="CM47" s="2765"/>
      <c r="CN47" s="2765"/>
      <c r="CO47" s="2765"/>
      <c r="CP47" s="2765"/>
      <c r="CQ47" s="2765"/>
      <c r="CR47" s="2765"/>
      <c r="CS47" s="2765"/>
      <c r="CT47" s="2765"/>
      <c r="CU47" s="2765"/>
      <c r="CV47" s="2765"/>
      <c r="CW47" s="2765"/>
      <c r="CX47" s="2765"/>
      <c r="CY47" s="2765"/>
      <c r="CZ47" s="2765"/>
      <c r="DA47" s="2765"/>
      <c r="DB47" s="2765"/>
      <c r="DC47" s="2765"/>
      <c r="DD47" s="2765"/>
      <c r="DE47" s="2765"/>
      <c r="DF47" s="2765"/>
      <c r="DG47" s="2765"/>
      <c r="DH47" s="2765"/>
      <c r="DI47" s="2765"/>
      <c r="DJ47" s="2765"/>
      <c r="DK47" s="2765"/>
      <c r="DL47" s="2765"/>
      <c r="DM47" s="2765"/>
      <c r="DN47" s="2765"/>
      <c r="DO47" s="2765"/>
      <c r="DP47" s="2765"/>
      <c r="DQ47" s="2765"/>
      <c r="DR47" s="2765"/>
      <c r="DS47" s="2765"/>
      <c r="DT47" s="2765"/>
      <c r="DU47" s="2765"/>
      <c r="DV47" s="2765"/>
      <c r="DW47" s="2765"/>
      <c r="DX47" s="2765"/>
      <c r="DY47" s="2765"/>
      <c r="DZ47" s="2765"/>
      <c r="EA47" s="2765"/>
      <c r="EB47" s="2765"/>
      <c r="EC47" s="2765"/>
      <c r="ED47" s="2765"/>
      <c r="EE47" s="2765"/>
      <c r="EF47" s="2765"/>
      <c r="EG47" s="2765"/>
      <c r="EH47" s="2765"/>
      <c r="EI47" s="2765"/>
      <c r="EJ47" s="2765"/>
      <c r="EK47" s="2765"/>
      <c r="EL47" s="2765"/>
      <c r="EM47" s="2765"/>
      <c r="EN47" s="2765"/>
      <c r="EO47" s="2765"/>
      <c r="EP47" s="2765"/>
      <c r="EQ47" s="2765"/>
      <c r="ER47" s="2765"/>
      <c r="ES47" s="2765"/>
      <c r="ET47" s="2765"/>
      <c r="EU47" s="2040"/>
    </row>
    <row r="48" spans="1:151" s="2041" customFormat="1" ht="15" customHeight="1">
      <c r="A48" s="16259"/>
      <c r="B48" s="16262"/>
      <c r="C48" s="16277"/>
      <c r="D48" s="2757" t="s">
        <v>9829</v>
      </c>
      <c r="E48" s="2757" t="s">
        <v>8516</v>
      </c>
      <c r="F48" s="16036" t="s">
        <v>8517</v>
      </c>
      <c r="G48" s="16235"/>
      <c r="H48" s="16235" t="s">
        <v>8509</v>
      </c>
      <c r="I48" s="16235" t="s">
        <v>8517</v>
      </c>
      <c r="J48" s="16036" t="s">
        <v>8517</v>
      </c>
      <c r="K48" s="2757" t="s">
        <v>86</v>
      </c>
      <c r="L48" s="5187" t="s">
        <v>2862</v>
      </c>
      <c r="M48" s="5187"/>
      <c r="N48" s="2757"/>
      <c r="O48" s="2757"/>
      <c r="P48" s="2757"/>
      <c r="Q48" s="2757"/>
      <c r="R48" s="5191"/>
      <c r="S48" s="5189"/>
      <c r="T48" s="5191"/>
      <c r="U48" s="2757"/>
      <c r="V48" s="2757"/>
      <c r="W48" s="2744"/>
      <c r="X48" s="2744"/>
      <c r="Y48" s="2744"/>
      <c r="Z48" s="2744"/>
      <c r="AA48" s="2744"/>
      <c r="AB48" s="2744"/>
      <c r="AC48" s="2757"/>
      <c r="AD48" s="2757"/>
      <c r="AE48" s="2744"/>
      <c r="AF48" s="2744"/>
      <c r="AG48" s="2757"/>
      <c r="AH48" s="2757"/>
      <c r="AI48" s="2744"/>
      <c r="AJ48" s="2757"/>
      <c r="AK48" s="2757"/>
      <c r="AL48" s="2757"/>
      <c r="AM48" s="2757"/>
      <c r="AN48" s="2757"/>
      <c r="AO48" s="2757"/>
      <c r="AP48" s="2757"/>
      <c r="AQ48" s="2744"/>
      <c r="AR48" s="2757"/>
      <c r="AS48" s="2757"/>
      <c r="AT48" s="2765"/>
      <c r="AU48" s="2765"/>
      <c r="AV48" s="2765"/>
      <c r="AW48" s="2765"/>
      <c r="AX48" s="2765"/>
      <c r="AY48" s="2765"/>
      <c r="AZ48" s="2765"/>
      <c r="BA48" s="2765"/>
      <c r="BB48" s="2765"/>
      <c r="BC48" s="2765"/>
      <c r="BD48" s="2765"/>
      <c r="BE48" s="2765"/>
      <c r="BF48" s="2765"/>
      <c r="BG48" s="2757" t="s">
        <v>9132</v>
      </c>
      <c r="BH48" s="5292">
        <v>0.42</v>
      </c>
      <c r="BI48" s="2262" t="s">
        <v>9131</v>
      </c>
      <c r="BJ48" s="2757" t="s">
        <v>9133</v>
      </c>
      <c r="BK48" s="2757" t="s">
        <v>9134</v>
      </c>
      <c r="BL48" s="5191">
        <v>29700000</v>
      </c>
      <c r="BM48" s="5189"/>
      <c r="BN48" s="5191">
        <v>29700000</v>
      </c>
      <c r="BO48" s="2757"/>
      <c r="BP48" s="2757"/>
      <c r="BQ48" s="2744">
        <v>1</v>
      </c>
      <c r="BR48" s="2744"/>
      <c r="BS48" s="2744">
        <v>1</v>
      </c>
      <c r="BT48" s="2744"/>
      <c r="BU48" s="2744">
        <v>1</v>
      </c>
      <c r="BV48" s="2744">
        <v>1</v>
      </c>
      <c r="BW48" s="2757"/>
      <c r="BX48" s="2757"/>
      <c r="BY48" s="2744"/>
      <c r="BZ48" s="2744"/>
      <c r="CA48" s="2757"/>
      <c r="CB48" s="2757"/>
      <c r="CC48" s="2744"/>
      <c r="CD48" s="2757"/>
      <c r="CE48" s="2757">
        <v>1</v>
      </c>
      <c r="CF48" s="2757"/>
      <c r="CG48" s="2757"/>
      <c r="CH48" s="2757"/>
      <c r="CI48" s="2757"/>
      <c r="CJ48" s="2757"/>
      <c r="CK48" s="2744"/>
      <c r="CL48" s="2757"/>
      <c r="CM48" s="2757">
        <v>1</v>
      </c>
      <c r="CN48" s="2765"/>
      <c r="CO48" s="2765"/>
      <c r="CP48" s="2765"/>
      <c r="CQ48" s="2765"/>
      <c r="CR48" s="2765"/>
      <c r="CS48" s="2765"/>
      <c r="CT48" s="2765"/>
      <c r="CU48" s="2765"/>
      <c r="CV48" s="2765"/>
      <c r="CW48" s="2765"/>
      <c r="CX48" s="2765"/>
      <c r="CY48" s="2765"/>
      <c r="CZ48" s="2765"/>
      <c r="DA48" s="2765"/>
      <c r="DB48" s="2765"/>
      <c r="DC48" s="2765"/>
      <c r="DD48" s="2765"/>
      <c r="DE48" s="2765"/>
      <c r="DF48" s="2765"/>
      <c r="DG48" s="2765"/>
      <c r="DH48" s="2765"/>
      <c r="DI48" s="2765"/>
      <c r="DJ48" s="2765"/>
      <c r="DK48" s="2765"/>
      <c r="DL48" s="2765"/>
      <c r="DM48" s="2765"/>
      <c r="DN48" s="2765"/>
      <c r="DO48" s="2765"/>
      <c r="DP48" s="2765"/>
      <c r="DQ48" s="2765"/>
      <c r="DR48" s="2765"/>
      <c r="DS48" s="2765"/>
      <c r="DT48" s="2765"/>
      <c r="DU48" s="2765"/>
      <c r="DV48" s="2765"/>
      <c r="DW48" s="2765"/>
      <c r="DX48" s="2765"/>
      <c r="DY48" s="2765"/>
      <c r="DZ48" s="2765"/>
      <c r="EA48" s="2765"/>
      <c r="EB48" s="2765"/>
      <c r="EC48" s="2765"/>
      <c r="ED48" s="2765"/>
      <c r="EE48" s="2765"/>
      <c r="EF48" s="2765"/>
      <c r="EG48" s="2765"/>
      <c r="EH48" s="2765"/>
      <c r="EI48" s="2765"/>
      <c r="EJ48" s="2765"/>
      <c r="EK48" s="2765"/>
      <c r="EL48" s="2765"/>
      <c r="EM48" s="2765"/>
      <c r="EN48" s="2765"/>
      <c r="EO48" s="2765"/>
      <c r="EP48" s="2765"/>
      <c r="EQ48" s="2765"/>
      <c r="ER48" s="2765"/>
      <c r="ES48" s="2765"/>
      <c r="ET48" s="2765"/>
      <c r="EU48" s="2040"/>
    </row>
    <row r="49" spans="1:151" s="2041" customFormat="1" ht="15" customHeight="1">
      <c r="A49" s="16259"/>
      <c r="B49" s="16262"/>
      <c r="C49" s="16277"/>
      <c r="D49" s="2757"/>
      <c r="E49" s="2757"/>
      <c r="F49" s="16036"/>
      <c r="G49" s="16235"/>
      <c r="H49" s="16235"/>
      <c r="I49" s="16235"/>
      <c r="J49" s="16036"/>
      <c r="K49" s="2758" t="s">
        <v>208</v>
      </c>
      <c r="L49" s="5187"/>
      <c r="M49" s="5187" t="s">
        <v>2855</v>
      </c>
      <c r="N49" s="2757"/>
      <c r="O49" s="2757"/>
      <c r="P49" s="2757"/>
      <c r="Q49" s="2757"/>
      <c r="R49" s="5191"/>
      <c r="S49" s="5189"/>
      <c r="T49" s="5191"/>
      <c r="U49" s="2757"/>
      <c r="V49" s="2757"/>
      <c r="W49" s="2744"/>
      <c r="X49" s="2744"/>
      <c r="Y49" s="2744"/>
      <c r="Z49" s="2744"/>
      <c r="AA49" s="2744"/>
      <c r="AB49" s="2744"/>
      <c r="AC49" s="2757"/>
      <c r="AD49" s="2757"/>
      <c r="AE49" s="2744"/>
      <c r="AF49" s="2744"/>
      <c r="AG49" s="2757"/>
      <c r="AH49" s="2757"/>
      <c r="AI49" s="2744"/>
      <c r="AJ49" s="2757"/>
      <c r="AK49" s="2757"/>
      <c r="AL49" s="2757"/>
      <c r="AM49" s="2757"/>
      <c r="AN49" s="2757"/>
      <c r="AO49" s="2757"/>
      <c r="AP49" s="2757"/>
      <c r="AQ49" s="2744"/>
      <c r="AR49" s="2757"/>
      <c r="AS49" s="2757"/>
      <c r="AT49" s="2765"/>
      <c r="AU49" s="2765"/>
      <c r="AV49" s="2765"/>
      <c r="AW49" s="2765"/>
      <c r="AX49" s="2765"/>
      <c r="AY49" s="2765"/>
      <c r="AZ49" s="2765"/>
      <c r="BA49" s="2765"/>
      <c r="BB49" s="2765"/>
      <c r="BC49" s="2765"/>
      <c r="BD49" s="2765"/>
      <c r="BE49" s="2765"/>
      <c r="BF49" s="2765"/>
      <c r="BG49" s="2757"/>
      <c r="BH49" s="5292"/>
      <c r="BI49" s="2262"/>
      <c r="BJ49" s="2757"/>
      <c r="BK49" s="2757"/>
      <c r="BL49" s="5191"/>
      <c r="BM49" s="5189"/>
      <c r="BN49" s="5191"/>
      <c r="BO49" s="2757"/>
      <c r="BP49" s="2757"/>
      <c r="BQ49" s="2744"/>
      <c r="BR49" s="2744"/>
      <c r="BS49" s="2744"/>
      <c r="BT49" s="2744"/>
      <c r="BU49" s="2744"/>
      <c r="BV49" s="2744"/>
      <c r="BW49" s="2757"/>
      <c r="BX49" s="2757"/>
      <c r="BY49" s="2744"/>
      <c r="BZ49" s="2744"/>
      <c r="CA49" s="2757"/>
      <c r="CB49" s="2757"/>
      <c r="CC49" s="2744"/>
      <c r="CD49" s="2757"/>
      <c r="CE49" s="2757"/>
      <c r="CF49" s="2757"/>
      <c r="CG49" s="2757"/>
      <c r="CH49" s="2757"/>
      <c r="CI49" s="2757"/>
      <c r="CJ49" s="2757"/>
      <c r="CK49" s="2744"/>
      <c r="CL49" s="2757"/>
      <c r="CM49" s="2757"/>
      <c r="CN49" s="2765"/>
      <c r="CO49" s="2765"/>
      <c r="CP49" s="2765"/>
      <c r="CQ49" s="2765"/>
      <c r="CR49" s="2765"/>
      <c r="CS49" s="2765"/>
      <c r="CT49" s="2765"/>
      <c r="CU49" s="2765"/>
      <c r="CV49" s="2765"/>
      <c r="CW49" s="2765"/>
      <c r="CX49" s="2765"/>
      <c r="CY49" s="2765"/>
      <c r="CZ49" s="2765"/>
      <c r="DA49" s="2765"/>
      <c r="DB49" s="2765"/>
      <c r="DC49" s="2765"/>
      <c r="DD49" s="2765"/>
      <c r="DE49" s="2765"/>
      <c r="DF49" s="2765"/>
      <c r="DG49" s="2765"/>
      <c r="DH49" s="2765"/>
      <c r="DI49" s="2765"/>
      <c r="DJ49" s="2765"/>
      <c r="DK49" s="2765"/>
      <c r="DL49" s="2765"/>
      <c r="DM49" s="2765"/>
      <c r="DN49" s="2765"/>
      <c r="DO49" s="2765"/>
      <c r="DP49" s="2765"/>
      <c r="DQ49" s="2765"/>
      <c r="DR49" s="2765"/>
      <c r="DS49" s="2765"/>
      <c r="DT49" s="2765"/>
      <c r="DU49" s="2765"/>
      <c r="DV49" s="2765"/>
      <c r="DW49" s="2765"/>
      <c r="DX49" s="2765"/>
      <c r="DY49" s="2765"/>
      <c r="DZ49" s="2765"/>
      <c r="EA49" s="2765"/>
      <c r="EB49" s="2765"/>
      <c r="EC49" s="2765"/>
      <c r="ED49" s="2765"/>
      <c r="EE49" s="2765"/>
      <c r="EF49" s="2765"/>
      <c r="EG49" s="2765"/>
      <c r="EH49" s="2765"/>
      <c r="EI49" s="2765"/>
      <c r="EJ49" s="2765"/>
      <c r="EK49" s="2765"/>
      <c r="EL49" s="2765"/>
      <c r="EM49" s="2765"/>
      <c r="EN49" s="2765"/>
      <c r="EO49" s="2765"/>
      <c r="EP49" s="2765"/>
      <c r="EQ49" s="2765"/>
      <c r="ER49" s="2765"/>
      <c r="ES49" s="2765"/>
      <c r="ET49" s="2765"/>
      <c r="EU49" s="2040"/>
    </row>
    <row r="50" spans="1:151" s="2041" customFormat="1" ht="15" customHeight="1">
      <c r="A50" s="16259"/>
      <c r="B50" s="16262"/>
      <c r="C50" s="16277"/>
      <c r="D50" s="2757" t="s">
        <v>8518</v>
      </c>
      <c r="E50" s="2758" t="s">
        <v>8519</v>
      </c>
      <c r="F50" s="16036" t="s">
        <v>8520</v>
      </c>
      <c r="G50" s="16235"/>
      <c r="H50" s="16235" t="s">
        <v>8509</v>
      </c>
      <c r="I50" s="16235" t="s">
        <v>8520</v>
      </c>
      <c r="J50" s="16036" t="s">
        <v>8520</v>
      </c>
      <c r="K50" s="2758" t="s">
        <v>86</v>
      </c>
      <c r="L50" s="5187" t="s">
        <v>2862</v>
      </c>
      <c r="M50" s="5187"/>
      <c r="N50" s="5811"/>
      <c r="O50" s="2757"/>
      <c r="P50" s="5753"/>
      <c r="Q50" s="2744"/>
      <c r="R50" s="5191"/>
      <c r="S50" s="5189"/>
      <c r="T50" s="5191"/>
      <c r="U50" s="2744"/>
      <c r="V50" s="2744"/>
      <c r="W50" s="2744"/>
      <c r="X50" s="5752"/>
      <c r="Y50" s="5189"/>
      <c r="Z50" s="5189"/>
      <c r="AA50" s="5189"/>
      <c r="AB50" s="5189"/>
      <c r="AC50" s="2765"/>
      <c r="AD50" s="2765"/>
      <c r="AE50" s="5189"/>
      <c r="AF50" s="5189"/>
      <c r="AG50" s="2765"/>
      <c r="AH50" s="2765"/>
      <c r="AI50" s="5189"/>
      <c r="AJ50" s="2765"/>
      <c r="AK50" s="2765"/>
      <c r="AL50" s="2765"/>
      <c r="AM50" s="2765"/>
      <c r="AN50" s="2765"/>
      <c r="AO50" s="2765"/>
      <c r="AP50" s="2765"/>
      <c r="AQ50" s="5189"/>
      <c r="AR50" s="2765"/>
      <c r="AS50" s="2765"/>
      <c r="AT50" s="2765"/>
      <c r="AU50" s="2765"/>
      <c r="AV50" s="2765"/>
      <c r="AW50" s="2765"/>
      <c r="AX50" s="2765"/>
      <c r="AY50" s="2765"/>
      <c r="AZ50" s="2765"/>
      <c r="BA50" s="2765"/>
      <c r="BB50" s="2765"/>
      <c r="BC50" s="2765"/>
      <c r="BD50" s="2765"/>
      <c r="BE50" s="2765"/>
      <c r="BF50" s="2765"/>
      <c r="BG50" s="5811">
        <v>0.72499999999999998</v>
      </c>
      <c r="BH50" s="5292">
        <v>0.72499999999999998</v>
      </c>
      <c r="BI50" s="2262" t="s">
        <v>9135</v>
      </c>
      <c r="BJ50" s="5753" t="s">
        <v>9136</v>
      </c>
      <c r="BK50" s="2744"/>
      <c r="BL50" s="5191">
        <v>29700000</v>
      </c>
      <c r="BM50" s="5189"/>
      <c r="BN50" s="5191">
        <v>29700000</v>
      </c>
      <c r="BO50" s="2744"/>
      <c r="BP50" s="2744"/>
      <c r="BQ50" s="2744" t="s">
        <v>1732</v>
      </c>
      <c r="BR50" s="5752"/>
      <c r="BS50" s="5189"/>
      <c r="BT50" s="5189"/>
      <c r="BU50" s="5189"/>
      <c r="BV50" s="5189"/>
      <c r="BW50" s="2765"/>
      <c r="BX50" s="2765"/>
      <c r="BY50" s="5189"/>
      <c r="BZ50" s="5189"/>
      <c r="CA50" s="2765"/>
      <c r="CB50" s="2765"/>
      <c r="CC50" s="5189"/>
      <c r="CD50" s="2765"/>
      <c r="CE50" s="2765"/>
      <c r="CF50" s="2765"/>
      <c r="CG50" s="2765"/>
      <c r="CH50" s="2765"/>
      <c r="CI50" s="2765"/>
      <c r="CJ50" s="2765"/>
      <c r="CK50" s="5189"/>
      <c r="CL50" s="2765"/>
      <c r="CM50" s="2765"/>
      <c r="CN50" s="2765"/>
      <c r="CO50" s="2765"/>
      <c r="CP50" s="2765"/>
      <c r="CQ50" s="2765"/>
      <c r="CR50" s="2765"/>
      <c r="CS50" s="2765"/>
      <c r="CT50" s="2765"/>
      <c r="CU50" s="2765"/>
      <c r="CV50" s="2765"/>
      <c r="CW50" s="2765"/>
      <c r="CX50" s="2765"/>
      <c r="CY50" s="2765"/>
      <c r="CZ50" s="2765"/>
      <c r="DA50" s="2765"/>
      <c r="DB50" s="2765"/>
      <c r="DC50" s="2765"/>
      <c r="DD50" s="2765"/>
      <c r="DE50" s="2765"/>
      <c r="DF50" s="2765"/>
      <c r="DG50" s="2765"/>
      <c r="DH50" s="2765"/>
      <c r="DI50" s="2765"/>
      <c r="DJ50" s="2765"/>
      <c r="DK50" s="2765"/>
      <c r="DL50" s="2765"/>
      <c r="DM50" s="2765"/>
      <c r="DN50" s="2765"/>
      <c r="DO50" s="2765"/>
      <c r="DP50" s="2765"/>
      <c r="DQ50" s="2765"/>
      <c r="DR50" s="2765"/>
      <c r="DS50" s="2765"/>
      <c r="DT50" s="2765"/>
      <c r="DU50" s="2765"/>
      <c r="DV50" s="2765"/>
      <c r="DW50" s="2765"/>
      <c r="DX50" s="2765"/>
      <c r="DY50" s="2765"/>
      <c r="DZ50" s="2765"/>
      <c r="EA50" s="2765"/>
      <c r="EB50" s="2765"/>
      <c r="EC50" s="2765"/>
      <c r="ED50" s="2765"/>
      <c r="EE50" s="2765"/>
      <c r="EF50" s="2765"/>
      <c r="EG50" s="2765"/>
      <c r="EH50" s="2765"/>
      <c r="EI50" s="2765"/>
      <c r="EJ50" s="2765"/>
      <c r="EK50" s="2765"/>
      <c r="EL50" s="2765"/>
      <c r="EM50" s="2765"/>
      <c r="EN50" s="2765"/>
      <c r="EO50" s="2765"/>
      <c r="EP50" s="2765"/>
      <c r="EQ50" s="2765"/>
      <c r="ER50" s="2765"/>
      <c r="ES50" s="2765"/>
      <c r="ET50" s="2765"/>
      <c r="EU50" s="2040"/>
    </row>
    <row r="51" spans="1:151" s="2041" customFormat="1" ht="15" customHeight="1">
      <c r="A51" s="16259"/>
      <c r="B51" s="16262"/>
      <c r="C51" s="16277"/>
      <c r="D51" s="2757"/>
      <c r="E51" s="2758"/>
      <c r="F51" s="16036"/>
      <c r="G51" s="16235"/>
      <c r="H51" s="16235"/>
      <c r="I51" s="16235"/>
      <c r="J51" s="16036"/>
      <c r="K51" s="2758" t="s">
        <v>208</v>
      </c>
      <c r="L51" s="5187"/>
      <c r="M51" s="5187" t="s">
        <v>2855</v>
      </c>
      <c r="N51" s="5811"/>
      <c r="O51" s="2757"/>
      <c r="P51" s="5753"/>
      <c r="Q51" s="2744"/>
      <c r="R51" s="5191"/>
      <c r="S51" s="5189"/>
      <c r="T51" s="5191"/>
      <c r="U51" s="2744"/>
      <c r="V51" s="2744"/>
      <c r="W51" s="2744"/>
      <c r="X51" s="5752"/>
      <c r="Y51" s="5189"/>
      <c r="Z51" s="5189"/>
      <c r="AA51" s="5189"/>
      <c r="AB51" s="5189"/>
      <c r="AC51" s="2765"/>
      <c r="AD51" s="2765"/>
      <c r="AE51" s="5189"/>
      <c r="AF51" s="5189"/>
      <c r="AG51" s="2765"/>
      <c r="AH51" s="2765"/>
      <c r="AI51" s="5189"/>
      <c r="AJ51" s="2765"/>
      <c r="AK51" s="2765"/>
      <c r="AL51" s="2765"/>
      <c r="AM51" s="2765"/>
      <c r="AN51" s="2765"/>
      <c r="AO51" s="2765"/>
      <c r="AP51" s="2765"/>
      <c r="AQ51" s="5189"/>
      <c r="AR51" s="2765"/>
      <c r="AS51" s="2765"/>
      <c r="AT51" s="2765"/>
      <c r="AU51" s="2765"/>
      <c r="AV51" s="2765"/>
      <c r="AW51" s="2765"/>
      <c r="AX51" s="2765"/>
      <c r="AY51" s="2765"/>
      <c r="AZ51" s="2765"/>
      <c r="BA51" s="2765"/>
      <c r="BB51" s="2765"/>
      <c r="BC51" s="2765"/>
      <c r="BD51" s="2765"/>
      <c r="BE51" s="2765"/>
      <c r="BF51" s="2765"/>
      <c r="BG51" s="5811"/>
      <c r="BH51" s="5292"/>
      <c r="BI51" s="2262"/>
      <c r="BJ51" s="5753"/>
      <c r="BK51" s="2744"/>
      <c r="BL51" s="5191"/>
      <c r="BM51" s="5189"/>
      <c r="BN51" s="5191"/>
      <c r="BO51" s="2744"/>
      <c r="BP51" s="2744"/>
      <c r="BQ51" s="2744"/>
      <c r="BR51" s="5752"/>
      <c r="BS51" s="5189"/>
      <c r="BT51" s="5189"/>
      <c r="BU51" s="5189"/>
      <c r="BV51" s="5189"/>
      <c r="BW51" s="2765"/>
      <c r="BX51" s="2765"/>
      <c r="BY51" s="5189"/>
      <c r="BZ51" s="5189"/>
      <c r="CA51" s="2765"/>
      <c r="CB51" s="2765"/>
      <c r="CC51" s="5189"/>
      <c r="CD51" s="2765"/>
      <c r="CE51" s="2765"/>
      <c r="CF51" s="2765"/>
      <c r="CG51" s="2765"/>
      <c r="CH51" s="2765"/>
      <c r="CI51" s="2765"/>
      <c r="CJ51" s="2765"/>
      <c r="CK51" s="5189"/>
      <c r="CL51" s="2765"/>
      <c r="CM51" s="2765"/>
      <c r="CN51" s="2765"/>
      <c r="CO51" s="2765"/>
      <c r="CP51" s="2765"/>
      <c r="CQ51" s="2765"/>
      <c r="CR51" s="2765"/>
      <c r="CS51" s="2765"/>
      <c r="CT51" s="2765"/>
      <c r="CU51" s="2765"/>
      <c r="CV51" s="2765"/>
      <c r="CW51" s="2765"/>
      <c r="CX51" s="2765"/>
      <c r="CY51" s="2765"/>
      <c r="CZ51" s="2765"/>
      <c r="DA51" s="2765"/>
      <c r="DB51" s="2765"/>
      <c r="DC51" s="2765"/>
      <c r="DD51" s="2765"/>
      <c r="DE51" s="2765"/>
      <c r="DF51" s="2765"/>
      <c r="DG51" s="2765"/>
      <c r="DH51" s="2765"/>
      <c r="DI51" s="2765"/>
      <c r="DJ51" s="2765"/>
      <c r="DK51" s="2765"/>
      <c r="DL51" s="2765"/>
      <c r="DM51" s="2765"/>
      <c r="DN51" s="2765"/>
      <c r="DO51" s="2765"/>
      <c r="DP51" s="2765"/>
      <c r="DQ51" s="2765"/>
      <c r="DR51" s="2765"/>
      <c r="DS51" s="2765"/>
      <c r="DT51" s="2765"/>
      <c r="DU51" s="2765"/>
      <c r="DV51" s="2765"/>
      <c r="DW51" s="2765"/>
      <c r="DX51" s="2765"/>
      <c r="DY51" s="2765"/>
      <c r="DZ51" s="2765"/>
      <c r="EA51" s="2765"/>
      <c r="EB51" s="2765"/>
      <c r="EC51" s="2765"/>
      <c r="ED51" s="2765"/>
      <c r="EE51" s="2765"/>
      <c r="EF51" s="2765"/>
      <c r="EG51" s="2765"/>
      <c r="EH51" s="2765"/>
      <c r="EI51" s="2765"/>
      <c r="EJ51" s="2765"/>
      <c r="EK51" s="2765"/>
      <c r="EL51" s="2765"/>
      <c r="EM51" s="2765"/>
      <c r="EN51" s="2765"/>
      <c r="EO51" s="2765"/>
      <c r="EP51" s="2765"/>
      <c r="EQ51" s="2765"/>
      <c r="ER51" s="2765"/>
      <c r="ES51" s="2765"/>
      <c r="ET51" s="2765"/>
      <c r="EU51" s="2040"/>
    </row>
    <row r="52" spans="1:151" s="2041" customFormat="1" ht="15" customHeight="1">
      <c r="A52" s="16259"/>
      <c r="B52" s="16262"/>
      <c r="C52" s="16277"/>
      <c r="D52" s="2757" t="s">
        <v>8521</v>
      </c>
      <c r="E52" s="2756" t="s">
        <v>8522</v>
      </c>
      <c r="F52" s="16235" t="s">
        <v>8523</v>
      </c>
      <c r="G52" s="16235"/>
      <c r="H52" s="16235" t="s">
        <v>8509</v>
      </c>
      <c r="I52" s="16235" t="s">
        <v>8523</v>
      </c>
      <c r="J52" s="16235" t="s">
        <v>8523</v>
      </c>
      <c r="K52" s="2756" t="s">
        <v>86</v>
      </c>
      <c r="L52" s="5187" t="s">
        <v>2862</v>
      </c>
      <c r="M52" s="5187"/>
      <c r="N52" s="5189"/>
      <c r="O52" s="2765"/>
      <c r="P52" s="2765"/>
      <c r="Q52" s="2765"/>
      <c r="R52" s="5189"/>
      <c r="S52" s="5189"/>
      <c r="T52" s="5189"/>
      <c r="U52" s="2765"/>
      <c r="V52" s="2765"/>
      <c r="W52" s="5189"/>
      <c r="X52" s="5752"/>
      <c r="Y52" s="5189"/>
      <c r="Z52" s="5189"/>
      <c r="AA52" s="5189"/>
      <c r="AB52" s="5189"/>
      <c r="AC52" s="2765"/>
      <c r="AD52" s="2765"/>
      <c r="AE52" s="5189"/>
      <c r="AF52" s="5189"/>
      <c r="AG52" s="2765"/>
      <c r="AH52" s="2765"/>
      <c r="AI52" s="5189"/>
      <c r="AJ52" s="2765"/>
      <c r="AK52" s="2765"/>
      <c r="AL52" s="2765"/>
      <c r="AM52" s="2765"/>
      <c r="AN52" s="2765"/>
      <c r="AO52" s="2765"/>
      <c r="AP52" s="2765"/>
      <c r="AQ52" s="5189"/>
      <c r="AR52" s="2765"/>
      <c r="AS52" s="2765"/>
      <c r="AT52" s="2765"/>
      <c r="AU52" s="2765"/>
      <c r="AV52" s="2765"/>
      <c r="AW52" s="2765"/>
      <c r="AX52" s="2765"/>
      <c r="AY52" s="2765"/>
      <c r="AZ52" s="2765"/>
      <c r="BA52" s="2765"/>
      <c r="BB52" s="2765"/>
      <c r="BC52" s="2765"/>
      <c r="BD52" s="2765"/>
      <c r="BE52" s="2765"/>
      <c r="BF52" s="2765"/>
      <c r="BG52" s="5189" t="s">
        <v>9821</v>
      </c>
      <c r="BH52" s="5292" t="s">
        <v>9821</v>
      </c>
      <c r="BI52" s="2258"/>
      <c r="BJ52" s="2765"/>
      <c r="BK52" s="2765"/>
      <c r="BL52" s="5189"/>
      <c r="BM52" s="5189"/>
      <c r="BN52" s="5189"/>
      <c r="BO52" s="2765"/>
      <c r="BP52" s="2765"/>
      <c r="BQ52" s="5189"/>
      <c r="BR52" s="5752"/>
      <c r="BS52" s="5189"/>
      <c r="BT52" s="5189"/>
      <c r="BU52" s="5189"/>
      <c r="BV52" s="5189"/>
      <c r="BW52" s="2765"/>
      <c r="BX52" s="2765"/>
      <c r="BY52" s="5189"/>
      <c r="BZ52" s="5189"/>
      <c r="CA52" s="2765"/>
      <c r="CB52" s="2765"/>
      <c r="CC52" s="5189"/>
      <c r="CD52" s="2765"/>
      <c r="CE52" s="2765"/>
      <c r="CF52" s="2765"/>
      <c r="CG52" s="2765"/>
      <c r="CH52" s="2765"/>
      <c r="CI52" s="2765"/>
      <c r="CJ52" s="2765"/>
      <c r="CK52" s="5189"/>
      <c r="CL52" s="2765"/>
      <c r="CM52" s="2765"/>
      <c r="CN52" s="2765"/>
      <c r="CO52" s="2765"/>
      <c r="CP52" s="2765"/>
      <c r="CQ52" s="2765"/>
      <c r="CR52" s="2765"/>
      <c r="CS52" s="2765"/>
      <c r="CT52" s="2765"/>
      <c r="CU52" s="2765"/>
      <c r="CV52" s="2765"/>
      <c r="CW52" s="2765"/>
      <c r="CX52" s="2765"/>
      <c r="CY52" s="2765"/>
      <c r="CZ52" s="2765"/>
      <c r="DA52" s="2765"/>
      <c r="DB52" s="2765"/>
      <c r="DC52" s="2765"/>
      <c r="DD52" s="2765"/>
      <c r="DE52" s="2765"/>
      <c r="DF52" s="2765"/>
      <c r="DG52" s="2765"/>
      <c r="DH52" s="2765"/>
      <c r="DI52" s="2765"/>
      <c r="DJ52" s="2765"/>
      <c r="DK52" s="2765"/>
      <c r="DL52" s="2765"/>
      <c r="DM52" s="2765"/>
      <c r="DN52" s="2765"/>
      <c r="DO52" s="2765"/>
      <c r="DP52" s="2765"/>
      <c r="DQ52" s="2765"/>
      <c r="DR52" s="2765"/>
      <c r="DS52" s="2765"/>
      <c r="DT52" s="2765"/>
      <c r="DU52" s="2765"/>
      <c r="DV52" s="2765"/>
      <c r="DW52" s="2765"/>
      <c r="DX52" s="2765"/>
      <c r="DY52" s="2765"/>
      <c r="DZ52" s="2765"/>
      <c r="EA52" s="2765"/>
      <c r="EB52" s="2765"/>
      <c r="EC52" s="2765"/>
      <c r="ED52" s="2765"/>
      <c r="EE52" s="2765"/>
      <c r="EF52" s="2765"/>
      <c r="EG52" s="2765"/>
      <c r="EH52" s="2765"/>
      <c r="EI52" s="2765"/>
      <c r="EJ52" s="2765"/>
      <c r="EK52" s="2765"/>
      <c r="EL52" s="2765"/>
      <c r="EM52" s="2765"/>
      <c r="EN52" s="2765"/>
      <c r="EO52" s="2765"/>
      <c r="EP52" s="2765"/>
      <c r="EQ52" s="2765"/>
      <c r="ER52" s="2765"/>
      <c r="ES52" s="2765"/>
      <c r="ET52" s="2765"/>
      <c r="EU52" s="2040"/>
    </row>
    <row r="53" spans="1:151" s="2041" customFormat="1" ht="15" customHeight="1">
      <c r="A53" s="16259"/>
      <c r="B53" s="16262"/>
      <c r="C53" s="16277"/>
      <c r="D53" s="2757"/>
      <c r="E53" s="2756"/>
      <c r="F53" s="16235"/>
      <c r="G53" s="16235"/>
      <c r="H53" s="16235"/>
      <c r="I53" s="16235"/>
      <c r="J53" s="16235"/>
      <c r="K53" s="2756" t="s">
        <v>10188</v>
      </c>
      <c r="L53" s="5187"/>
      <c r="M53" s="5187" t="s">
        <v>8524</v>
      </c>
      <c r="N53" s="5189"/>
      <c r="O53" s="2765"/>
      <c r="P53" s="2765"/>
      <c r="Q53" s="2765"/>
      <c r="R53" s="5189"/>
      <c r="S53" s="5189"/>
      <c r="T53" s="5189"/>
      <c r="U53" s="2765"/>
      <c r="V53" s="2765"/>
      <c r="W53" s="5189"/>
      <c r="X53" s="5752"/>
      <c r="Y53" s="5189"/>
      <c r="Z53" s="5189"/>
      <c r="AA53" s="5189"/>
      <c r="AB53" s="5189"/>
      <c r="AC53" s="2765"/>
      <c r="AD53" s="2765"/>
      <c r="AE53" s="5189"/>
      <c r="AF53" s="5189"/>
      <c r="AG53" s="2765"/>
      <c r="AH53" s="2765"/>
      <c r="AI53" s="5189"/>
      <c r="AJ53" s="2765"/>
      <c r="AK53" s="2765"/>
      <c r="AL53" s="2765"/>
      <c r="AM53" s="2765"/>
      <c r="AN53" s="2765"/>
      <c r="AO53" s="2765"/>
      <c r="AP53" s="2765"/>
      <c r="AQ53" s="5189"/>
      <c r="AR53" s="2765"/>
      <c r="AS53" s="2765"/>
      <c r="AT53" s="2765"/>
      <c r="AU53" s="2765"/>
      <c r="AV53" s="2765"/>
      <c r="AW53" s="2765"/>
      <c r="AX53" s="2765"/>
      <c r="AY53" s="2765"/>
      <c r="AZ53" s="2765"/>
      <c r="BA53" s="2765"/>
      <c r="BB53" s="2765"/>
      <c r="BC53" s="2765"/>
      <c r="BD53" s="2765"/>
      <c r="BE53" s="2765"/>
      <c r="BF53" s="2765"/>
      <c r="BG53" s="5189"/>
      <c r="BH53" s="5292"/>
      <c r="BI53" s="2258"/>
      <c r="BJ53" s="2765"/>
      <c r="BK53" s="2765"/>
      <c r="BL53" s="5189"/>
      <c r="BM53" s="5189"/>
      <c r="BN53" s="5189"/>
      <c r="BO53" s="2765"/>
      <c r="BP53" s="2765"/>
      <c r="BQ53" s="5189"/>
      <c r="BR53" s="5752"/>
      <c r="BS53" s="5189"/>
      <c r="BT53" s="5189"/>
      <c r="BU53" s="5189"/>
      <c r="BV53" s="5189"/>
      <c r="BW53" s="2765"/>
      <c r="BX53" s="2765"/>
      <c r="BY53" s="5189"/>
      <c r="BZ53" s="5189"/>
      <c r="CA53" s="2765"/>
      <c r="CB53" s="2765"/>
      <c r="CC53" s="5189"/>
      <c r="CD53" s="2765"/>
      <c r="CE53" s="2765"/>
      <c r="CF53" s="2765"/>
      <c r="CG53" s="2765"/>
      <c r="CH53" s="2765"/>
      <c r="CI53" s="2765"/>
      <c r="CJ53" s="2765"/>
      <c r="CK53" s="5189"/>
      <c r="CL53" s="2765"/>
      <c r="CM53" s="2765"/>
      <c r="CN53" s="2765"/>
      <c r="CO53" s="2765"/>
      <c r="CP53" s="2765"/>
      <c r="CQ53" s="2765"/>
      <c r="CR53" s="2765"/>
      <c r="CS53" s="2765"/>
      <c r="CT53" s="2765"/>
      <c r="CU53" s="2765"/>
      <c r="CV53" s="2765"/>
      <c r="CW53" s="2765"/>
      <c r="CX53" s="2765"/>
      <c r="CY53" s="2765"/>
      <c r="CZ53" s="2765"/>
      <c r="DA53" s="2765"/>
      <c r="DB53" s="2765"/>
      <c r="DC53" s="2765"/>
      <c r="DD53" s="2765"/>
      <c r="DE53" s="2765"/>
      <c r="DF53" s="2765"/>
      <c r="DG53" s="2765"/>
      <c r="DH53" s="2765"/>
      <c r="DI53" s="2765"/>
      <c r="DJ53" s="2765"/>
      <c r="DK53" s="2765"/>
      <c r="DL53" s="2765"/>
      <c r="DM53" s="2765"/>
      <c r="DN53" s="2765"/>
      <c r="DO53" s="2765"/>
      <c r="DP53" s="2765"/>
      <c r="DQ53" s="2765"/>
      <c r="DR53" s="2765"/>
      <c r="DS53" s="2765"/>
      <c r="DT53" s="2765"/>
      <c r="DU53" s="2765"/>
      <c r="DV53" s="2765"/>
      <c r="DW53" s="2765"/>
      <c r="DX53" s="2765"/>
      <c r="DY53" s="2765"/>
      <c r="DZ53" s="2765"/>
      <c r="EA53" s="2765"/>
      <c r="EB53" s="2765"/>
      <c r="EC53" s="2765"/>
      <c r="ED53" s="2765"/>
      <c r="EE53" s="2765"/>
      <c r="EF53" s="2765"/>
      <c r="EG53" s="2765"/>
      <c r="EH53" s="2765"/>
      <c r="EI53" s="2765"/>
      <c r="EJ53" s="2765"/>
      <c r="EK53" s="2765"/>
      <c r="EL53" s="2765"/>
      <c r="EM53" s="2765"/>
      <c r="EN53" s="2765"/>
      <c r="EO53" s="2765"/>
      <c r="EP53" s="2765"/>
      <c r="EQ53" s="2765"/>
      <c r="ER53" s="2765"/>
      <c r="ES53" s="2765"/>
      <c r="ET53" s="2765"/>
      <c r="EU53" s="2040"/>
    </row>
    <row r="54" spans="1:151" s="2041" customFormat="1" ht="15" customHeight="1">
      <c r="A54" s="16259"/>
      <c r="B54" s="16262"/>
      <c r="C54" s="16277"/>
      <c r="D54" s="2758" t="s">
        <v>8525</v>
      </c>
      <c r="E54" s="2756" t="s">
        <v>8526</v>
      </c>
      <c r="F54" s="16235" t="s">
        <v>8527</v>
      </c>
      <c r="G54" s="16235"/>
      <c r="H54" s="16235" t="s">
        <v>8509</v>
      </c>
      <c r="I54" s="16235" t="s">
        <v>8527</v>
      </c>
      <c r="J54" s="16235" t="s">
        <v>8527</v>
      </c>
      <c r="K54" s="2756" t="s">
        <v>86</v>
      </c>
      <c r="L54" s="5187" t="s">
        <v>2862</v>
      </c>
      <c r="M54" s="5187"/>
      <c r="N54" s="5189"/>
      <c r="O54" s="2765"/>
      <c r="P54" s="2765"/>
      <c r="Q54" s="2765"/>
      <c r="R54" s="5189"/>
      <c r="S54" s="5189"/>
      <c r="T54" s="5189"/>
      <c r="U54" s="2765"/>
      <c r="V54" s="2765"/>
      <c r="W54" s="5189"/>
      <c r="X54" s="5752"/>
      <c r="Y54" s="5189"/>
      <c r="Z54" s="5189"/>
      <c r="AA54" s="5189"/>
      <c r="AB54" s="5189"/>
      <c r="AC54" s="2765"/>
      <c r="AD54" s="2765"/>
      <c r="AE54" s="5189"/>
      <c r="AF54" s="5189"/>
      <c r="AG54" s="2765"/>
      <c r="AH54" s="2765"/>
      <c r="AI54" s="5189"/>
      <c r="AJ54" s="2765"/>
      <c r="AK54" s="2765"/>
      <c r="AL54" s="2765"/>
      <c r="AM54" s="2765"/>
      <c r="AN54" s="2765"/>
      <c r="AO54" s="2765"/>
      <c r="AP54" s="2765"/>
      <c r="AQ54" s="5189"/>
      <c r="AR54" s="2765"/>
      <c r="AS54" s="2765"/>
      <c r="AT54" s="2765"/>
      <c r="AU54" s="2765"/>
      <c r="AV54" s="2765"/>
      <c r="AW54" s="2765"/>
      <c r="AX54" s="2765"/>
      <c r="AY54" s="2765"/>
      <c r="AZ54" s="2765"/>
      <c r="BA54" s="2765"/>
      <c r="BB54" s="2765"/>
      <c r="BC54" s="2765"/>
      <c r="BD54" s="2765"/>
      <c r="BE54" s="2765"/>
      <c r="BF54" s="2765"/>
      <c r="BG54" s="5189" t="s">
        <v>9821</v>
      </c>
      <c r="BH54" s="5292" t="s">
        <v>9821</v>
      </c>
      <c r="BI54" s="2258"/>
      <c r="BJ54" s="2765"/>
      <c r="BK54" s="2765"/>
      <c r="BL54" s="5189"/>
      <c r="BM54" s="5189"/>
      <c r="BN54" s="5189"/>
      <c r="BO54" s="2765"/>
      <c r="BP54" s="2765"/>
      <c r="BQ54" s="5189"/>
      <c r="BR54" s="5752"/>
      <c r="BS54" s="5189"/>
      <c r="BT54" s="5189"/>
      <c r="BU54" s="5189"/>
      <c r="BV54" s="5189"/>
      <c r="BW54" s="2765"/>
      <c r="BX54" s="2765"/>
      <c r="BY54" s="5189"/>
      <c r="BZ54" s="5189"/>
      <c r="CA54" s="2765"/>
      <c r="CB54" s="2765"/>
      <c r="CC54" s="5189"/>
      <c r="CD54" s="2765"/>
      <c r="CE54" s="2765"/>
      <c r="CF54" s="2765"/>
      <c r="CG54" s="2765"/>
      <c r="CH54" s="2765"/>
      <c r="CI54" s="2765"/>
      <c r="CJ54" s="2765"/>
      <c r="CK54" s="5189"/>
      <c r="CL54" s="2765"/>
      <c r="CM54" s="2765"/>
      <c r="CN54" s="2765"/>
      <c r="CO54" s="2765"/>
      <c r="CP54" s="2765"/>
      <c r="CQ54" s="2765"/>
      <c r="CR54" s="2765"/>
      <c r="CS54" s="2765"/>
      <c r="CT54" s="2765"/>
      <c r="CU54" s="2765"/>
      <c r="CV54" s="2765"/>
      <c r="CW54" s="2765"/>
      <c r="CX54" s="2765"/>
      <c r="CY54" s="2765"/>
      <c r="CZ54" s="2765"/>
      <c r="DA54" s="2765"/>
      <c r="DB54" s="2765"/>
      <c r="DC54" s="2765"/>
      <c r="DD54" s="2765"/>
      <c r="DE54" s="2765"/>
      <c r="DF54" s="2765"/>
      <c r="DG54" s="2765"/>
      <c r="DH54" s="2765"/>
      <c r="DI54" s="2765"/>
      <c r="DJ54" s="2765"/>
      <c r="DK54" s="2765"/>
      <c r="DL54" s="2765"/>
      <c r="DM54" s="2765"/>
      <c r="DN54" s="2765"/>
      <c r="DO54" s="2765"/>
      <c r="DP54" s="2765"/>
      <c r="DQ54" s="2765"/>
      <c r="DR54" s="2765"/>
      <c r="DS54" s="2765"/>
      <c r="DT54" s="2765"/>
      <c r="DU54" s="2765"/>
      <c r="DV54" s="2765"/>
      <c r="DW54" s="2765"/>
      <c r="DX54" s="2765"/>
      <c r="DY54" s="2765"/>
      <c r="DZ54" s="2765"/>
      <c r="EA54" s="2765"/>
      <c r="EB54" s="2765"/>
      <c r="EC54" s="2765"/>
      <c r="ED54" s="2765"/>
      <c r="EE54" s="2765"/>
      <c r="EF54" s="2765"/>
      <c r="EG54" s="2765"/>
      <c r="EH54" s="2765"/>
      <c r="EI54" s="2765"/>
      <c r="EJ54" s="2765"/>
      <c r="EK54" s="2765"/>
      <c r="EL54" s="2765"/>
      <c r="EM54" s="2765"/>
      <c r="EN54" s="2765"/>
      <c r="EO54" s="2765"/>
      <c r="EP54" s="2765"/>
      <c r="EQ54" s="2765"/>
      <c r="ER54" s="2765"/>
      <c r="ES54" s="2765"/>
      <c r="ET54" s="2765"/>
      <c r="EU54" s="2040"/>
    </row>
    <row r="55" spans="1:151" s="2041" customFormat="1" ht="15" customHeight="1">
      <c r="A55" s="16259"/>
      <c r="B55" s="16262"/>
      <c r="C55" s="16277"/>
      <c r="D55" s="2758"/>
      <c r="E55" s="2756"/>
      <c r="F55" s="16235"/>
      <c r="G55" s="16235"/>
      <c r="H55" s="16235"/>
      <c r="I55" s="16235"/>
      <c r="J55" s="16235"/>
      <c r="K55" s="2756" t="s">
        <v>10188</v>
      </c>
      <c r="L55" s="5187"/>
      <c r="M55" s="5187" t="s">
        <v>8524</v>
      </c>
      <c r="N55" s="5189"/>
      <c r="O55" s="2765"/>
      <c r="P55" s="2765"/>
      <c r="Q55" s="2765"/>
      <c r="R55" s="5189"/>
      <c r="S55" s="5189"/>
      <c r="T55" s="5189"/>
      <c r="U55" s="2765"/>
      <c r="V55" s="2765"/>
      <c r="W55" s="5189"/>
      <c r="X55" s="5752"/>
      <c r="Y55" s="5189"/>
      <c r="Z55" s="5189"/>
      <c r="AA55" s="5189"/>
      <c r="AB55" s="5189"/>
      <c r="AC55" s="2765"/>
      <c r="AD55" s="2765"/>
      <c r="AE55" s="5189"/>
      <c r="AF55" s="5189"/>
      <c r="AG55" s="2765"/>
      <c r="AH55" s="2765"/>
      <c r="AI55" s="5189"/>
      <c r="AJ55" s="2765"/>
      <c r="AK55" s="2765"/>
      <c r="AL55" s="2765"/>
      <c r="AM55" s="2765"/>
      <c r="AN55" s="2765"/>
      <c r="AO55" s="2765"/>
      <c r="AP55" s="2765"/>
      <c r="AQ55" s="5189"/>
      <c r="AR55" s="2765"/>
      <c r="AS55" s="2765"/>
      <c r="AT55" s="2765"/>
      <c r="AU55" s="2765"/>
      <c r="AV55" s="2765"/>
      <c r="AW55" s="2765"/>
      <c r="AX55" s="2765"/>
      <c r="AY55" s="2765"/>
      <c r="AZ55" s="2765"/>
      <c r="BA55" s="2765"/>
      <c r="BB55" s="2765"/>
      <c r="BC55" s="2765"/>
      <c r="BD55" s="2765"/>
      <c r="BE55" s="2765"/>
      <c r="BF55" s="2765"/>
      <c r="BG55" s="5189"/>
      <c r="BH55" s="5292"/>
      <c r="BI55" s="2258"/>
      <c r="BJ55" s="2765"/>
      <c r="BK55" s="2765"/>
      <c r="BL55" s="5189"/>
      <c r="BM55" s="5189"/>
      <c r="BN55" s="5189"/>
      <c r="BO55" s="2765"/>
      <c r="BP55" s="2765"/>
      <c r="BQ55" s="5189"/>
      <c r="BR55" s="5752"/>
      <c r="BS55" s="5189"/>
      <c r="BT55" s="5189"/>
      <c r="BU55" s="5189"/>
      <c r="BV55" s="5189"/>
      <c r="BW55" s="2765"/>
      <c r="BX55" s="2765"/>
      <c r="BY55" s="5189"/>
      <c r="BZ55" s="5189"/>
      <c r="CA55" s="2765"/>
      <c r="CB55" s="2765"/>
      <c r="CC55" s="5189"/>
      <c r="CD55" s="2765"/>
      <c r="CE55" s="2765"/>
      <c r="CF55" s="2765"/>
      <c r="CG55" s="2765"/>
      <c r="CH55" s="2765"/>
      <c r="CI55" s="2765"/>
      <c r="CJ55" s="2765"/>
      <c r="CK55" s="5189"/>
      <c r="CL55" s="2765"/>
      <c r="CM55" s="2765"/>
      <c r="CN55" s="2765"/>
      <c r="CO55" s="2765"/>
      <c r="CP55" s="2765"/>
      <c r="CQ55" s="2765"/>
      <c r="CR55" s="2765"/>
      <c r="CS55" s="2765"/>
      <c r="CT55" s="2765"/>
      <c r="CU55" s="2765"/>
      <c r="CV55" s="2765"/>
      <c r="CW55" s="2765"/>
      <c r="CX55" s="2765"/>
      <c r="CY55" s="2765"/>
      <c r="CZ55" s="2765"/>
      <c r="DA55" s="2765"/>
      <c r="DB55" s="2765"/>
      <c r="DC55" s="2765"/>
      <c r="DD55" s="2765"/>
      <c r="DE55" s="2765"/>
      <c r="DF55" s="2765"/>
      <c r="DG55" s="2765"/>
      <c r="DH55" s="2765"/>
      <c r="DI55" s="2765"/>
      <c r="DJ55" s="2765"/>
      <c r="DK55" s="2765"/>
      <c r="DL55" s="2765"/>
      <c r="DM55" s="2765"/>
      <c r="DN55" s="2765"/>
      <c r="DO55" s="2765"/>
      <c r="DP55" s="2765"/>
      <c r="DQ55" s="2765"/>
      <c r="DR55" s="2765"/>
      <c r="DS55" s="2765"/>
      <c r="DT55" s="2765"/>
      <c r="DU55" s="2765"/>
      <c r="DV55" s="2765"/>
      <c r="DW55" s="2765"/>
      <c r="DX55" s="2765"/>
      <c r="DY55" s="2765"/>
      <c r="DZ55" s="2765"/>
      <c r="EA55" s="2765"/>
      <c r="EB55" s="2765"/>
      <c r="EC55" s="2765"/>
      <c r="ED55" s="2765"/>
      <c r="EE55" s="2765"/>
      <c r="EF55" s="2765"/>
      <c r="EG55" s="2765"/>
      <c r="EH55" s="2765"/>
      <c r="EI55" s="2765"/>
      <c r="EJ55" s="2765"/>
      <c r="EK55" s="2765"/>
      <c r="EL55" s="2765"/>
      <c r="EM55" s="2765"/>
      <c r="EN55" s="2765"/>
      <c r="EO55" s="2765"/>
      <c r="EP55" s="2765"/>
      <c r="EQ55" s="2765"/>
      <c r="ER55" s="2765"/>
      <c r="ES55" s="2765"/>
      <c r="ET55" s="2765"/>
      <c r="EU55" s="2040"/>
    </row>
    <row r="56" spans="1:151" s="2041" customFormat="1" ht="15" customHeight="1">
      <c r="A56" s="16259"/>
      <c r="B56" s="16262"/>
      <c r="C56" s="16277"/>
      <c r="D56" s="5751" t="s">
        <v>8528</v>
      </c>
      <c r="E56" s="2758" t="s">
        <v>8529</v>
      </c>
      <c r="F56" s="16036" t="s">
        <v>8530</v>
      </c>
      <c r="G56" s="16235"/>
      <c r="H56" s="16235" t="s">
        <v>8509</v>
      </c>
      <c r="I56" s="16235" t="s">
        <v>8530</v>
      </c>
      <c r="J56" s="16036" t="s">
        <v>8530</v>
      </c>
      <c r="K56" s="2756" t="s">
        <v>86</v>
      </c>
      <c r="L56" s="5187" t="s">
        <v>2862</v>
      </c>
      <c r="M56" s="5187"/>
      <c r="N56" s="5189"/>
      <c r="O56" s="2765"/>
      <c r="P56" s="2765"/>
      <c r="Q56" s="2765"/>
      <c r="R56" s="5189"/>
      <c r="S56" s="5189"/>
      <c r="T56" s="5189"/>
      <c r="U56" s="2765"/>
      <c r="V56" s="2765"/>
      <c r="W56" s="5189"/>
      <c r="X56" s="5752"/>
      <c r="Y56" s="5189"/>
      <c r="Z56" s="5189"/>
      <c r="AA56" s="5189"/>
      <c r="AB56" s="5189"/>
      <c r="AC56" s="2765"/>
      <c r="AD56" s="2765"/>
      <c r="AE56" s="5189"/>
      <c r="AF56" s="5189"/>
      <c r="AG56" s="2765"/>
      <c r="AH56" s="2765"/>
      <c r="AI56" s="5189"/>
      <c r="AJ56" s="2765"/>
      <c r="AK56" s="2765"/>
      <c r="AL56" s="2765"/>
      <c r="AM56" s="2765"/>
      <c r="AN56" s="2765"/>
      <c r="AO56" s="2765"/>
      <c r="AP56" s="2765"/>
      <c r="AQ56" s="5189"/>
      <c r="AR56" s="2765"/>
      <c r="AS56" s="2765"/>
      <c r="AT56" s="2765"/>
      <c r="AU56" s="2765"/>
      <c r="AV56" s="2765"/>
      <c r="AW56" s="2765"/>
      <c r="AX56" s="2765"/>
      <c r="AY56" s="2765"/>
      <c r="AZ56" s="2765"/>
      <c r="BA56" s="2765"/>
      <c r="BB56" s="2765"/>
      <c r="BC56" s="2765"/>
      <c r="BD56" s="2765"/>
      <c r="BE56" s="2765"/>
      <c r="BF56" s="2765"/>
      <c r="BG56" s="5189" t="s">
        <v>9821</v>
      </c>
      <c r="BH56" s="5292" t="s">
        <v>9821</v>
      </c>
      <c r="BI56" s="2258"/>
      <c r="BJ56" s="2765"/>
      <c r="BK56" s="2765"/>
      <c r="BL56" s="5189"/>
      <c r="BM56" s="5189"/>
      <c r="BN56" s="5189"/>
      <c r="BO56" s="2765"/>
      <c r="BP56" s="2765"/>
      <c r="BQ56" s="5189"/>
      <c r="BR56" s="5752"/>
      <c r="BS56" s="5189"/>
      <c r="BT56" s="5189"/>
      <c r="BU56" s="5189"/>
      <c r="BV56" s="5189"/>
      <c r="BW56" s="2765"/>
      <c r="BX56" s="2765"/>
      <c r="BY56" s="5189"/>
      <c r="BZ56" s="5189"/>
      <c r="CA56" s="2765"/>
      <c r="CB56" s="2765"/>
      <c r="CC56" s="5189"/>
      <c r="CD56" s="2765"/>
      <c r="CE56" s="2765"/>
      <c r="CF56" s="2765"/>
      <c r="CG56" s="2765"/>
      <c r="CH56" s="2765"/>
      <c r="CI56" s="2765"/>
      <c r="CJ56" s="2765"/>
      <c r="CK56" s="5189"/>
      <c r="CL56" s="2765"/>
      <c r="CM56" s="2765"/>
      <c r="CN56" s="2765"/>
      <c r="CO56" s="2765"/>
      <c r="CP56" s="2765"/>
      <c r="CQ56" s="2765"/>
      <c r="CR56" s="2765"/>
      <c r="CS56" s="2765"/>
      <c r="CT56" s="2765"/>
      <c r="CU56" s="2765"/>
      <c r="CV56" s="2765"/>
      <c r="CW56" s="2765"/>
      <c r="CX56" s="2765"/>
      <c r="CY56" s="2765"/>
      <c r="CZ56" s="2765"/>
      <c r="DA56" s="2765"/>
      <c r="DB56" s="2765"/>
      <c r="DC56" s="2765"/>
      <c r="DD56" s="2765"/>
      <c r="DE56" s="2765"/>
      <c r="DF56" s="2765"/>
      <c r="DG56" s="2765"/>
      <c r="DH56" s="2765"/>
      <c r="DI56" s="2765"/>
      <c r="DJ56" s="2765"/>
      <c r="DK56" s="2765"/>
      <c r="DL56" s="2765"/>
      <c r="DM56" s="2765"/>
      <c r="DN56" s="2765"/>
      <c r="DO56" s="2765"/>
      <c r="DP56" s="2765"/>
      <c r="DQ56" s="2765"/>
      <c r="DR56" s="2765"/>
      <c r="DS56" s="2765"/>
      <c r="DT56" s="2765"/>
      <c r="DU56" s="2765"/>
      <c r="DV56" s="2765"/>
      <c r="DW56" s="2765"/>
      <c r="DX56" s="2765"/>
      <c r="DY56" s="2765"/>
      <c r="DZ56" s="2765"/>
      <c r="EA56" s="2765"/>
      <c r="EB56" s="2765"/>
      <c r="EC56" s="2765"/>
      <c r="ED56" s="2765"/>
      <c r="EE56" s="2765"/>
      <c r="EF56" s="2765"/>
      <c r="EG56" s="2765"/>
      <c r="EH56" s="2765"/>
      <c r="EI56" s="2765"/>
      <c r="EJ56" s="2765"/>
      <c r="EK56" s="2765"/>
      <c r="EL56" s="2765"/>
      <c r="EM56" s="2765"/>
      <c r="EN56" s="2765"/>
      <c r="EO56" s="2765"/>
      <c r="EP56" s="2765"/>
      <c r="EQ56" s="2765"/>
      <c r="ER56" s="2765"/>
      <c r="ES56" s="2765"/>
      <c r="ET56" s="2765"/>
      <c r="EU56" s="2040"/>
    </row>
    <row r="57" spans="1:151" s="2041" customFormat="1" ht="15" customHeight="1" thickBot="1">
      <c r="A57" s="16259"/>
      <c r="B57" s="16262"/>
      <c r="C57" s="16278"/>
      <c r="D57" s="6049"/>
      <c r="E57" s="6065"/>
      <c r="F57" s="16236"/>
      <c r="G57" s="16251"/>
      <c r="H57" s="16251"/>
      <c r="I57" s="16251"/>
      <c r="J57" s="16236"/>
      <c r="K57" s="6066" t="s">
        <v>10188</v>
      </c>
      <c r="L57" s="5515"/>
      <c r="M57" s="5515" t="s">
        <v>8524</v>
      </c>
      <c r="N57" s="5517"/>
      <c r="O57" s="6051"/>
      <c r="P57" s="6051"/>
      <c r="Q57" s="6051"/>
      <c r="R57" s="5517"/>
      <c r="S57" s="5517"/>
      <c r="T57" s="5517"/>
      <c r="U57" s="6051"/>
      <c r="V57" s="6051"/>
      <c r="W57" s="5517"/>
      <c r="X57" s="6055"/>
      <c r="Y57" s="5517"/>
      <c r="Z57" s="5517"/>
      <c r="AA57" s="5517"/>
      <c r="AB57" s="5517"/>
      <c r="AC57" s="6051"/>
      <c r="AD57" s="6051"/>
      <c r="AE57" s="5517"/>
      <c r="AF57" s="5517"/>
      <c r="AG57" s="6051"/>
      <c r="AH57" s="6051"/>
      <c r="AI57" s="5517"/>
      <c r="AJ57" s="6051"/>
      <c r="AK57" s="6051"/>
      <c r="AL57" s="6051"/>
      <c r="AM57" s="6051"/>
      <c r="AN57" s="6051"/>
      <c r="AO57" s="6051"/>
      <c r="AP57" s="6051"/>
      <c r="AQ57" s="5517"/>
      <c r="AR57" s="6051"/>
      <c r="AS57" s="6051"/>
      <c r="AT57" s="6051"/>
      <c r="AU57" s="6051"/>
      <c r="AV57" s="6051"/>
      <c r="AW57" s="6051"/>
      <c r="AX57" s="6051"/>
      <c r="AY57" s="6051"/>
      <c r="AZ57" s="6051"/>
      <c r="BA57" s="6051"/>
      <c r="BB57" s="6051"/>
      <c r="BC57" s="6051"/>
      <c r="BD57" s="6051"/>
      <c r="BE57" s="6051"/>
      <c r="BF57" s="6051"/>
      <c r="BG57" s="5517"/>
      <c r="BH57" s="5565"/>
      <c r="BI57" s="2267"/>
      <c r="BJ57" s="6051"/>
      <c r="BK57" s="6051"/>
      <c r="BL57" s="5517"/>
      <c r="BM57" s="5517"/>
      <c r="BN57" s="5517"/>
      <c r="BO57" s="6051"/>
      <c r="BP57" s="6051"/>
      <c r="BQ57" s="5517"/>
      <c r="BR57" s="6055"/>
      <c r="BS57" s="5517"/>
      <c r="BT57" s="5517"/>
      <c r="BU57" s="5517"/>
      <c r="BV57" s="5517"/>
      <c r="BW57" s="6051"/>
      <c r="BX57" s="6051"/>
      <c r="BY57" s="5517"/>
      <c r="BZ57" s="5517"/>
      <c r="CA57" s="6051"/>
      <c r="CB57" s="6051"/>
      <c r="CC57" s="5517"/>
      <c r="CD57" s="6051"/>
      <c r="CE57" s="6051"/>
      <c r="CF57" s="6051"/>
      <c r="CG57" s="6051"/>
      <c r="CH57" s="6051"/>
      <c r="CI57" s="6051"/>
      <c r="CJ57" s="6051"/>
      <c r="CK57" s="5517"/>
      <c r="CL57" s="6051"/>
      <c r="CM57" s="6051"/>
      <c r="CN57" s="6051"/>
      <c r="CO57" s="6051"/>
      <c r="CP57" s="6051"/>
      <c r="CQ57" s="6051"/>
      <c r="CR57" s="6051"/>
      <c r="CS57" s="6051"/>
      <c r="CT57" s="6051"/>
      <c r="CU57" s="6051"/>
      <c r="CV57" s="6051"/>
      <c r="CW57" s="6051"/>
      <c r="CX57" s="6051"/>
      <c r="CY57" s="6051"/>
      <c r="CZ57" s="6051"/>
      <c r="DA57" s="6051"/>
      <c r="DB57" s="6051"/>
      <c r="DC57" s="6051"/>
      <c r="DD57" s="6051"/>
      <c r="DE57" s="6051"/>
      <c r="DF57" s="6051"/>
      <c r="DG57" s="6051"/>
      <c r="DH57" s="6051"/>
      <c r="DI57" s="6051"/>
      <c r="DJ57" s="6051"/>
      <c r="DK57" s="6051"/>
      <c r="DL57" s="6051"/>
      <c r="DM57" s="6051"/>
      <c r="DN57" s="6051"/>
      <c r="DO57" s="6051"/>
      <c r="DP57" s="6051"/>
      <c r="DQ57" s="6051"/>
      <c r="DR57" s="6051"/>
      <c r="DS57" s="6051"/>
      <c r="DT57" s="6051"/>
      <c r="DU57" s="6051"/>
      <c r="DV57" s="6051"/>
      <c r="DW57" s="6051"/>
      <c r="DX57" s="6051"/>
      <c r="DY57" s="6051"/>
      <c r="DZ57" s="6051"/>
      <c r="EA57" s="6051"/>
      <c r="EB57" s="6051"/>
      <c r="EC57" s="6051"/>
      <c r="ED57" s="6051"/>
      <c r="EE57" s="6051"/>
      <c r="EF57" s="6051"/>
      <c r="EG57" s="6051"/>
      <c r="EH57" s="6051"/>
      <c r="EI57" s="6051"/>
      <c r="EJ57" s="6051"/>
      <c r="EK57" s="6051"/>
      <c r="EL57" s="6051"/>
      <c r="EM57" s="6051"/>
      <c r="EN57" s="6051"/>
      <c r="EO57" s="6051"/>
      <c r="EP57" s="6051"/>
      <c r="EQ57" s="6051"/>
      <c r="ER57" s="6051"/>
      <c r="ES57" s="6051"/>
      <c r="ET57" s="6051"/>
      <c r="EU57" s="6056"/>
    </row>
    <row r="58" spans="1:151" s="2043" customFormat="1" ht="15" customHeight="1">
      <c r="A58" s="16259"/>
      <c r="B58" s="16262"/>
      <c r="C58" s="16264" t="s">
        <v>2671</v>
      </c>
      <c r="D58" s="6057" t="s">
        <v>2672</v>
      </c>
      <c r="E58" s="6058" t="s">
        <v>2673</v>
      </c>
      <c r="F58" s="16237" t="s">
        <v>2674</v>
      </c>
      <c r="G58" s="16224" t="s">
        <v>2675</v>
      </c>
      <c r="H58" s="16224" t="s">
        <v>4547</v>
      </c>
      <c r="I58" s="16224" t="s">
        <v>2676</v>
      </c>
      <c r="J58" s="16237" t="s">
        <v>2674</v>
      </c>
      <c r="K58" s="5768" t="s">
        <v>86</v>
      </c>
      <c r="L58" s="5135" t="s">
        <v>2862</v>
      </c>
      <c r="M58" s="5135"/>
      <c r="N58" s="6059">
        <v>1</v>
      </c>
      <c r="O58" s="6060" t="s">
        <v>3528</v>
      </c>
      <c r="P58" s="6061"/>
      <c r="Q58" s="6060" t="s">
        <v>3529</v>
      </c>
      <c r="R58" s="16328">
        <v>120100000</v>
      </c>
      <c r="S58" s="6062"/>
      <c r="T58" s="6062"/>
      <c r="U58" s="6062"/>
      <c r="V58" s="6062">
        <v>10</v>
      </c>
      <c r="W58" s="6062">
        <v>6</v>
      </c>
      <c r="X58" s="6062">
        <v>4</v>
      </c>
      <c r="Y58" s="6062">
        <v>10</v>
      </c>
      <c r="Z58" s="6062">
        <v>0</v>
      </c>
      <c r="AA58" s="6062">
        <v>10</v>
      </c>
      <c r="AB58" s="6062"/>
      <c r="AC58" s="6062"/>
      <c r="AD58" s="6062"/>
      <c r="AE58" s="6063"/>
      <c r="AF58" s="6063"/>
      <c r="AG58" s="6063"/>
      <c r="AH58" s="6063"/>
      <c r="AI58" s="6063"/>
      <c r="AJ58" s="6063"/>
      <c r="AK58" s="6063"/>
      <c r="AL58" s="6063"/>
      <c r="AM58" s="6063"/>
      <c r="AN58" s="6063"/>
      <c r="AO58" s="6063"/>
      <c r="AP58" s="6062">
        <v>10</v>
      </c>
      <c r="AQ58" s="6062"/>
      <c r="AR58" s="6062"/>
      <c r="AS58" s="6063"/>
      <c r="AT58" s="6063"/>
      <c r="AU58" s="6043"/>
      <c r="AV58" s="6043"/>
      <c r="AW58" s="6043"/>
      <c r="AX58" s="6043"/>
      <c r="AY58" s="6043"/>
      <c r="AZ58" s="6043"/>
      <c r="BA58" s="6043"/>
      <c r="BB58" s="6043"/>
      <c r="BC58" s="6043"/>
      <c r="BD58" s="6043"/>
      <c r="BE58" s="6043"/>
      <c r="BF58" s="6043"/>
      <c r="BG58" s="6064" t="s">
        <v>9830</v>
      </c>
      <c r="BH58" s="6045">
        <v>1</v>
      </c>
      <c r="BI58" s="6046" t="s">
        <v>9137</v>
      </c>
      <c r="BJ58" s="6047" t="s">
        <v>9138</v>
      </c>
      <c r="BK58" s="6047" t="s">
        <v>9139</v>
      </c>
      <c r="BL58" s="6039"/>
      <c r="BM58" s="6039"/>
      <c r="BN58" s="6039"/>
      <c r="BO58" s="6043"/>
      <c r="BP58" s="6043"/>
      <c r="BQ58" s="6044">
        <v>20394</v>
      </c>
      <c r="BR58" s="6039">
        <v>9080</v>
      </c>
      <c r="BS58" s="6039">
        <v>11314</v>
      </c>
      <c r="BT58" s="6039">
        <v>13475</v>
      </c>
      <c r="BU58" s="6039">
        <v>6919</v>
      </c>
      <c r="BV58" s="6039">
        <v>3478</v>
      </c>
      <c r="BW58" s="6039">
        <v>6838</v>
      </c>
      <c r="BX58" s="6039">
        <v>4736</v>
      </c>
      <c r="BY58" s="6039">
        <v>5342</v>
      </c>
      <c r="BZ58" s="6039"/>
      <c r="CA58" s="6039"/>
      <c r="CB58" s="6039"/>
      <c r="CC58" s="6039">
        <v>19439</v>
      </c>
      <c r="CD58" s="6039">
        <v>146</v>
      </c>
      <c r="CE58" s="6039">
        <v>809</v>
      </c>
      <c r="CF58" s="6039"/>
      <c r="CG58" s="6039"/>
      <c r="CH58" s="6039"/>
      <c r="CI58" s="6039"/>
      <c r="CJ58" s="6039"/>
      <c r="CK58" s="6039">
        <v>18942</v>
      </c>
      <c r="CL58" s="6039">
        <v>1202</v>
      </c>
      <c r="CM58" s="6039">
        <v>250</v>
      </c>
      <c r="CN58" s="6039"/>
      <c r="CO58" s="6043"/>
      <c r="CP58" s="6043"/>
      <c r="CQ58" s="6043"/>
      <c r="CR58" s="6043"/>
      <c r="CS58" s="6043"/>
      <c r="CT58" s="6043"/>
      <c r="CU58" s="6043"/>
      <c r="CV58" s="6043"/>
      <c r="CW58" s="6043"/>
      <c r="CX58" s="6043"/>
      <c r="CY58" s="6043"/>
      <c r="CZ58" s="6043"/>
      <c r="DA58" s="6043"/>
      <c r="DB58" s="6043"/>
      <c r="DC58" s="6043"/>
      <c r="DD58" s="6043"/>
      <c r="DE58" s="6043"/>
      <c r="DF58" s="6043"/>
      <c r="DG58" s="6043"/>
      <c r="DH58" s="6043"/>
      <c r="DI58" s="6043"/>
      <c r="DJ58" s="6043"/>
      <c r="DK58" s="6043"/>
      <c r="DL58" s="6043"/>
      <c r="DM58" s="6043"/>
      <c r="DN58" s="6043"/>
      <c r="DO58" s="6043"/>
      <c r="DP58" s="6043"/>
      <c r="DQ58" s="6043"/>
      <c r="DR58" s="6043"/>
      <c r="DS58" s="6043"/>
      <c r="DT58" s="6043"/>
      <c r="DU58" s="6043"/>
      <c r="DV58" s="6043"/>
      <c r="DW58" s="6043"/>
      <c r="DX58" s="6043"/>
      <c r="DY58" s="6043"/>
      <c r="DZ58" s="6043"/>
      <c r="EA58" s="6043"/>
      <c r="EB58" s="6043"/>
      <c r="EC58" s="6043"/>
      <c r="ED58" s="6043"/>
      <c r="EE58" s="6043"/>
      <c r="EF58" s="6043"/>
      <c r="EG58" s="6043"/>
      <c r="EH58" s="6043"/>
      <c r="EI58" s="6043"/>
      <c r="EJ58" s="6043"/>
      <c r="EK58" s="6043"/>
      <c r="EL58" s="6043"/>
      <c r="EM58" s="6043"/>
      <c r="EN58" s="6043"/>
      <c r="EO58" s="6043"/>
      <c r="EP58" s="6043"/>
      <c r="EQ58" s="6043"/>
      <c r="ER58" s="6043"/>
      <c r="ES58" s="6043"/>
      <c r="ET58" s="6043"/>
      <c r="EU58" s="6048"/>
    </row>
    <row r="59" spans="1:151" s="2043" customFormat="1" ht="15" customHeight="1">
      <c r="A59" s="16259"/>
      <c r="B59" s="16262"/>
      <c r="C59" s="16265"/>
      <c r="D59" s="5755"/>
      <c r="E59" s="5756"/>
      <c r="F59" s="16218"/>
      <c r="G59" s="16267"/>
      <c r="H59" s="16267"/>
      <c r="I59" s="16267"/>
      <c r="J59" s="16218"/>
      <c r="K59" s="2759" t="s">
        <v>10063</v>
      </c>
      <c r="L59" s="2777"/>
      <c r="M59" s="2777" t="s">
        <v>10264</v>
      </c>
      <c r="N59" s="5812"/>
      <c r="O59" s="5757"/>
      <c r="P59" s="5813"/>
      <c r="Q59" s="5757"/>
      <c r="R59" s="16329"/>
      <c r="S59" s="5758"/>
      <c r="T59" s="5758"/>
      <c r="U59" s="5758"/>
      <c r="V59" s="5758"/>
      <c r="W59" s="5758"/>
      <c r="X59" s="5758"/>
      <c r="Y59" s="5758"/>
      <c r="Z59" s="5758"/>
      <c r="AA59" s="5758"/>
      <c r="AB59" s="5758"/>
      <c r="AC59" s="5758"/>
      <c r="AD59" s="5758"/>
      <c r="AE59" s="5759"/>
      <c r="AF59" s="5759"/>
      <c r="AG59" s="5759"/>
      <c r="AH59" s="5759"/>
      <c r="AI59" s="5759"/>
      <c r="AJ59" s="5759"/>
      <c r="AK59" s="5759"/>
      <c r="AL59" s="5759"/>
      <c r="AM59" s="5759"/>
      <c r="AN59" s="5759"/>
      <c r="AO59" s="5759"/>
      <c r="AP59" s="5758"/>
      <c r="AQ59" s="5758"/>
      <c r="AR59" s="5758"/>
      <c r="AS59" s="5759"/>
      <c r="AT59" s="5759"/>
      <c r="AU59" s="5760"/>
      <c r="AV59" s="5760"/>
      <c r="AW59" s="5760"/>
      <c r="AX59" s="5760"/>
      <c r="AY59" s="5760"/>
      <c r="AZ59" s="5760"/>
      <c r="BA59" s="5760"/>
      <c r="BB59" s="5760"/>
      <c r="BC59" s="5760"/>
      <c r="BD59" s="5760"/>
      <c r="BE59" s="5760"/>
      <c r="BF59" s="5760"/>
      <c r="BG59" s="5814"/>
      <c r="BH59" s="5761"/>
      <c r="BI59" s="2314"/>
      <c r="BJ59" s="5762"/>
      <c r="BK59" s="5762"/>
      <c r="BL59" s="5763"/>
      <c r="BM59" s="5763"/>
      <c r="BN59" s="5763"/>
      <c r="BO59" s="5760"/>
      <c r="BP59" s="5760"/>
      <c r="BQ59" s="5764"/>
      <c r="BR59" s="5763"/>
      <c r="BS59" s="5763"/>
      <c r="BT59" s="5763"/>
      <c r="BU59" s="5763"/>
      <c r="BV59" s="5763"/>
      <c r="BW59" s="5763"/>
      <c r="BX59" s="5763"/>
      <c r="BY59" s="5763"/>
      <c r="BZ59" s="5763"/>
      <c r="CA59" s="5763"/>
      <c r="CB59" s="5763"/>
      <c r="CC59" s="5763"/>
      <c r="CD59" s="5763"/>
      <c r="CE59" s="5763"/>
      <c r="CF59" s="5763"/>
      <c r="CG59" s="5763"/>
      <c r="CH59" s="5763"/>
      <c r="CI59" s="5763"/>
      <c r="CJ59" s="5763"/>
      <c r="CK59" s="5763"/>
      <c r="CL59" s="5763"/>
      <c r="CM59" s="5763"/>
      <c r="CN59" s="5763"/>
      <c r="CO59" s="5760"/>
      <c r="CP59" s="5760"/>
      <c r="CQ59" s="5760"/>
      <c r="CR59" s="5760"/>
      <c r="CS59" s="5760"/>
      <c r="CT59" s="5760"/>
      <c r="CU59" s="5760"/>
      <c r="CV59" s="5760"/>
      <c r="CW59" s="5760"/>
      <c r="CX59" s="5760"/>
      <c r="CY59" s="5760"/>
      <c r="CZ59" s="5760"/>
      <c r="DA59" s="5760"/>
      <c r="DB59" s="5760"/>
      <c r="DC59" s="5760"/>
      <c r="DD59" s="5760"/>
      <c r="DE59" s="5760"/>
      <c r="DF59" s="5760"/>
      <c r="DG59" s="5760"/>
      <c r="DH59" s="5760"/>
      <c r="DI59" s="5760"/>
      <c r="DJ59" s="5760"/>
      <c r="DK59" s="5760"/>
      <c r="DL59" s="5760"/>
      <c r="DM59" s="5760"/>
      <c r="DN59" s="5760"/>
      <c r="DO59" s="5760"/>
      <c r="DP59" s="5760"/>
      <c r="DQ59" s="5760"/>
      <c r="DR59" s="5760"/>
      <c r="DS59" s="5760"/>
      <c r="DT59" s="5760"/>
      <c r="DU59" s="5760"/>
      <c r="DV59" s="5760"/>
      <c r="DW59" s="5760"/>
      <c r="DX59" s="5760"/>
      <c r="DY59" s="5760"/>
      <c r="DZ59" s="5760"/>
      <c r="EA59" s="5760"/>
      <c r="EB59" s="5760"/>
      <c r="EC59" s="5760"/>
      <c r="ED59" s="5760"/>
      <c r="EE59" s="5760"/>
      <c r="EF59" s="5760"/>
      <c r="EG59" s="5760"/>
      <c r="EH59" s="5760"/>
      <c r="EI59" s="5760"/>
      <c r="EJ59" s="5760"/>
      <c r="EK59" s="5760"/>
      <c r="EL59" s="5760"/>
      <c r="EM59" s="5760"/>
      <c r="EN59" s="5760"/>
      <c r="EO59" s="5760"/>
      <c r="EP59" s="5760"/>
      <c r="EQ59" s="5760"/>
      <c r="ER59" s="5760"/>
      <c r="ES59" s="5760"/>
      <c r="ET59" s="5760"/>
      <c r="EU59" s="2042"/>
    </row>
    <row r="60" spans="1:151" s="2043" customFormat="1" ht="15" customHeight="1">
      <c r="A60" s="16259"/>
      <c r="B60" s="16262"/>
      <c r="C60" s="16265"/>
      <c r="D60" s="5755"/>
      <c r="E60" s="5756"/>
      <c r="F60" s="16218"/>
      <c r="G60" s="16267"/>
      <c r="H60" s="16267"/>
      <c r="I60" s="16267"/>
      <c r="J60" s="16218"/>
      <c r="K60" s="2759" t="s">
        <v>208</v>
      </c>
      <c r="L60" s="2777"/>
      <c r="M60" s="2777" t="s">
        <v>10265</v>
      </c>
      <c r="N60" s="5812"/>
      <c r="O60" s="5757"/>
      <c r="P60" s="5813"/>
      <c r="Q60" s="5757"/>
      <c r="R60" s="16329"/>
      <c r="S60" s="5758"/>
      <c r="T60" s="5758"/>
      <c r="U60" s="5758"/>
      <c r="V60" s="5758"/>
      <c r="W60" s="5758"/>
      <c r="X60" s="5758"/>
      <c r="Y60" s="5758"/>
      <c r="Z60" s="5758"/>
      <c r="AA60" s="5758"/>
      <c r="AB60" s="5758"/>
      <c r="AC60" s="5758"/>
      <c r="AD60" s="5758"/>
      <c r="AE60" s="5759"/>
      <c r="AF60" s="5759"/>
      <c r="AG60" s="5759"/>
      <c r="AH60" s="5759"/>
      <c r="AI60" s="5759"/>
      <c r="AJ60" s="5759"/>
      <c r="AK60" s="5759"/>
      <c r="AL60" s="5759"/>
      <c r="AM60" s="5759"/>
      <c r="AN60" s="5759"/>
      <c r="AO60" s="5759"/>
      <c r="AP60" s="5758"/>
      <c r="AQ60" s="5758"/>
      <c r="AR60" s="5758"/>
      <c r="AS60" s="5759"/>
      <c r="AT60" s="5759"/>
      <c r="AU60" s="5760"/>
      <c r="AV60" s="5760"/>
      <c r="AW60" s="5760"/>
      <c r="AX60" s="5760"/>
      <c r="AY60" s="5760"/>
      <c r="AZ60" s="5760"/>
      <c r="BA60" s="5760"/>
      <c r="BB60" s="5760"/>
      <c r="BC60" s="5760"/>
      <c r="BD60" s="5760"/>
      <c r="BE60" s="5760"/>
      <c r="BF60" s="5760"/>
      <c r="BG60" s="5814"/>
      <c r="BH60" s="5761"/>
      <c r="BI60" s="2314"/>
      <c r="BJ60" s="5762"/>
      <c r="BK60" s="5762"/>
      <c r="BL60" s="5763"/>
      <c r="BM60" s="5763"/>
      <c r="BN60" s="5763"/>
      <c r="BO60" s="5760"/>
      <c r="BP60" s="5760"/>
      <c r="BQ60" s="5764"/>
      <c r="BR60" s="5763"/>
      <c r="BS60" s="5763"/>
      <c r="BT60" s="5763"/>
      <c r="BU60" s="5763"/>
      <c r="BV60" s="5763"/>
      <c r="BW60" s="5763"/>
      <c r="BX60" s="5763"/>
      <c r="BY60" s="5763"/>
      <c r="BZ60" s="5763"/>
      <c r="CA60" s="5763"/>
      <c r="CB60" s="5763"/>
      <c r="CC60" s="5763"/>
      <c r="CD60" s="5763"/>
      <c r="CE60" s="5763"/>
      <c r="CF60" s="5763"/>
      <c r="CG60" s="5763"/>
      <c r="CH60" s="5763"/>
      <c r="CI60" s="5763"/>
      <c r="CJ60" s="5763"/>
      <c r="CK60" s="5763"/>
      <c r="CL60" s="5763"/>
      <c r="CM60" s="5763"/>
      <c r="CN60" s="5763"/>
      <c r="CO60" s="5760"/>
      <c r="CP60" s="5760"/>
      <c r="CQ60" s="5760"/>
      <c r="CR60" s="5760"/>
      <c r="CS60" s="5760"/>
      <c r="CT60" s="5760"/>
      <c r="CU60" s="5760"/>
      <c r="CV60" s="5760"/>
      <c r="CW60" s="5760"/>
      <c r="CX60" s="5760"/>
      <c r="CY60" s="5760"/>
      <c r="CZ60" s="5760"/>
      <c r="DA60" s="5760"/>
      <c r="DB60" s="5760"/>
      <c r="DC60" s="5760"/>
      <c r="DD60" s="5760"/>
      <c r="DE60" s="5760"/>
      <c r="DF60" s="5760"/>
      <c r="DG60" s="5760"/>
      <c r="DH60" s="5760"/>
      <c r="DI60" s="5760"/>
      <c r="DJ60" s="5760"/>
      <c r="DK60" s="5760"/>
      <c r="DL60" s="5760"/>
      <c r="DM60" s="5760"/>
      <c r="DN60" s="5760"/>
      <c r="DO60" s="5760"/>
      <c r="DP60" s="5760"/>
      <c r="DQ60" s="5760"/>
      <c r="DR60" s="5760"/>
      <c r="DS60" s="5760"/>
      <c r="DT60" s="5760"/>
      <c r="DU60" s="5760"/>
      <c r="DV60" s="5760"/>
      <c r="DW60" s="5760"/>
      <c r="DX60" s="5760"/>
      <c r="DY60" s="5760"/>
      <c r="DZ60" s="5760"/>
      <c r="EA60" s="5760"/>
      <c r="EB60" s="5760"/>
      <c r="EC60" s="5760"/>
      <c r="ED60" s="5760"/>
      <c r="EE60" s="5760"/>
      <c r="EF60" s="5760"/>
      <c r="EG60" s="5760"/>
      <c r="EH60" s="5760"/>
      <c r="EI60" s="5760"/>
      <c r="EJ60" s="5760"/>
      <c r="EK60" s="5760"/>
      <c r="EL60" s="5760"/>
      <c r="EM60" s="5760"/>
      <c r="EN60" s="5760"/>
      <c r="EO60" s="5760"/>
      <c r="EP60" s="5760"/>
      <c r="EQ60" s="5760"/>
      <c r="ER60" s="5760"/>
      <c r="ES60" s="5760"/>
      <c r="ET60" s="5760"/>
      <c r="EU60" s="2042"/>
    </row>
    <row r="61" spans="1:151" s="2043" customFormat="1" ht="15" customHeight="1">
      <c r="A61" s="16259"/>
      <c r="B61" s="16262"/>
      <c r="C61" s="16265"/>
      <c r="D61" s="5755" t="s">
        <v>2677</v>
      </c>
      <c r="E61" s="5756" t="s">
        <v>2678</v>
      </c>
      <c r="F61" s="16218" t="s">
        <v>2679</v>
      </c>
      <c r="G61" s="16267"/>
      <c r="H61" s="16267" t="s">
        <v>4548</v>
      </c>
      <c r="I61" s="16267" t="s">
        <v>2680</v>
      </c>
      <c r="J61" s="16218" t="s">
        <v>2679</v>
      </c>
      <c r="K61" s="2759" t="s">
        <v>86</v>
      </c>
      <c r="L61" s="2777" t="s">
        <v>2862</v>
      </c>
      <c r="M61" s="2777"/>
      <c r="N61" s="5758" t="s">
        <v>1732</v>
      </c>
      <c r="O61" s="5758" t="s">
        <v>3505</v>
      </c>
      <c r="P61" s="5758" t="s">
        <v>3505</v>
      </c>
      <c r="Q61" s="5771" t="s">
        <v>3530</v>
      </c>
      <c r="R61" s="16329"/>
      <c r="S61" s="5759"/>
      <c r="T61" s="5759"/>
      <c r="U61" s="5759"/>
      <c r="V61" s="5759"/>
      <c r="W61" s="5759"/>
      <c r="X61" s="5759"/>
      <c r="Y61" s="5759"/>
      <c r="Z61" s="5759"/>
      <c r="AA61" s="5759"/>
      <c r="AB61" s="5759"/>
      <c r="AC61" s="5759"/>
      <c r="AD61" s="5759"/>
      <c r="AE61" s="5759"/>
      <c r="AF61" s="5759"/>
      <c r="AG61" s="5759"/>
      <c r="AH61" s="5759"/>
      <c r="AI61" s="5759"/>
      <c r="AJ61" s="5759"/>
      <c r="AK61" s="5759"/>
      <c r="AL61" s="5759"/>
      <c r="AM61" s="5759"/>
      <c r="AN61" s="5759"/>
      <c r="AO61" s="5759"/>
      <c r="AP61" s="5759"/>
      <c r="AQ61" s="5759"/>
      <c r="AR61" s="5759"/>
      <c r="AS61" s="5759"/>
      <c r="AT61" s="5759"/>
      <c r="AU61" s="5760"/>
      <c r="AV61" s="5760"/>
      <c r="AW61" s="5760"/>
      <c r="AX61" s="5760"/>
      <c r="AY61" s="5760"/>
      <c r="AZ61" s="5760"/>
      <c r="BA61" s="5760"/>
      <c r="BB61" s="5760"/>
      <c r="BC61" s="5760"/>
      <c r="BD61" s="5760"/>
      <c r="BE61" s="5760"/>
      <c r="BF61" s="5760"/>
      <c r="BG61" s="5763" t="s">
        <v>1732</v>
      </c>
      <c r="BH61" s="5761" t="s">
        <v>545</v>
      </c>
      <c r="BI61" s="5772" t="s">
        <v>9140</v>
      </c>
      <c r="BJ61" s="5764" t="s">
        <v>9141</v>
      </c>
      <c r="BK61" s="5760"/>
      <c r="BL61" s="5763"/>
      <c r="BM61" s="5763"/>
      <c r="BN61" s="5763"/>
      <c r="BO61" s="5760"/>
      <c r="BP61" s="5760"/>
      <c r="BQ61" s="5763"/>
      <c r="BR61" s="5770"/>
      <c r="BS61" s="5763"/>
      <c r="BT61" s="5763"/>
      <c r="BU61" s="5763"/>
      <c r="BV61" s="5763"/>
      <c r="BW61" s="5760"/>
      <c r="BX61" s="5760"/>
      <c r="BY61" s="5763"/>
      <c r="BZ61" s="5763"/>
      <c r="CA61" s="5760"/>
      <c r="CB61" s="5760"/>
      <c r="CC61" s="5763"/>
      <c r="CD61" s="5760"/>
      <c r="CE61" s="5760"/>
      <c r="CF61" s="5760"/>
      <c r="CG61" s="5760"/>
      <c r="CH61" s="5760"/>
      <c r="CI61" s="5760"/>
      <c r="CJ61" s="5760"/>
      <c r="CK61" s="5763"/>
      <c r="CL61" s="5760"/>
      <c r="CM61" s="5760"/>
      <c r="CN61" s="5760"/>
      <c r="CO61" s="5760"/>
      <c r="CP61" s="5760"/>
      <c r="CQ61" s="5760"/>
      <c r="CR61" s="5760"/>
      <c r="CS61" s="5760"/>
      <c r="CT61" s="5760"/>
      <c r="CU61" s="5760"/>
      <c r="CV61" s="5760"/>
      <c r="CW61" s="5760"/>
      <c r="CX61" s="5760"/>
      <c r="CY61" s="5760"/>
      <c r="CZ61" s="5760"/>
      <c r="DA61" s="5760"/>
      <c r="DB61" s="5760"/>
      <c r="DC61" s="5760"/>
      <c r="DD61" s="5760"/>
      <c r="DE61" s="5760"/>
      <c r="DF61" s="5760"/>
      <c r="DG61" s="5760"/>
      <c r="DH61" s="5760"/>
      <c r="DI61" s="5760"/>
      <c r="DJ61" s="5760"/>
      <c r="DK61" s="5760"/>
      <c r="DL61" s="5760"/>
      <c r="DM61" s="5760"/>
      <c r="DN61" s="5760"/>
      <c r="DO61" s="5760"/>
      <c r="DP61" s="5760"/>
      <c r="DQ61" s="5760"/>
      <c r="DR61" s="5760"/>
      <c r="DS61" s="5760"/>
      <c r="DT61" s="5760"/>
      <c r="DU61" s="5760"/>
      <c r="DV61" s="5760"/>
      <c r="DW61" s="5760"/>
      <c r="DX61" s="5760"/>
      <c r="DY61" s="5760"/>
      <c r="DZ61" s="5760"/>
      <c r="EA61" s="5760"/>
      <c r="EB61" s="5760"/>
      <c r="EC61" s="5760"/>
      <c r="ED61" s="5760"/>
      <c r="EE61" s="5760"/>
      <c r="EF61" s="5760"/>
      <c r="EG61" s="5760"/>
      <c r="EH61" s="5760"/>
      <c r="EI61" s="5760"/>
      <c r="EJ61" s="5760"/>
      <c r="EK61" s="5760"/>
      <c r="EL61" s="5760"/>
      <c r="EM61" s="5760"/>
      <c r="EN61" s="5760"/>
      <c r="EO61" s="5760"/>
      <c r="EP61" s="5760"/>
      <c r="EQ61" s="5760"/>
      <c r="ER61" s="5760"/>
      <c r="ES61" s="5760"/>
      <c r="ET61" s="5760"/>
      <c r="EU61" s="2042"/>
    </row>
    <row r="62" spans="1:151" s="2043" customFormat="1" ht="15" customHeight="1">
      <c r="A62" s="16259"/>
      <c r="B62" s="16262"/>
      <c r="C62" s="16265"/>
      <c r="D62" s="5755"/>
      <c r="E62" s="5756"/>
      <c r="F62" s="16218"/>
      <c r="G62" s="16267"/>
      <c r="H62" s="16267"/>
      <c r="I62" s="16267"/>
      <c r="J62" s="16218"/>
      <c r="K62" s="2759" t="s">
        <v>10063</v>
      </c>
      <c r="L62" s="2777"/>
      <c r="M62" s="2777" t="s">
        <v>10264</v>
      </c>
      <c r="N62" s="5758"/>
      <c r="O62" s="5758"/>
      <c r="P62" s="5758"/>
      <c r="Q62" s="5771"/>
      <c r="R62" s="16329"/>
      <c r="S62" s="5759"/>
      <c r="T62" s="5759"/>
      <c r="U62" s="5759"/>
      <c r="V62" s="5759"/>
      <c r="W62" s="5759"/>
      <c r="X62" s="5759"/>
      <c r="Y62" s="5759"/>
      <c r="Z62" s="5759"/>
      <c r="AA62" s="5759"/>
      <c r="AB62" s="5759"/>
      <c r="AC62" s="5759"/>
      <c r="AD62" s="5759"/>
      <c r="AE62" s="5759"/>
      <c r="AF62" s="5759"/>
      <c r="AG62" s="5759"/>
      <c r="AH62" s="5759"/>
      <c r="AI62" s="5759"/>
      <c r="AJ62" s="5759"/>
      <c r="AK62" s="5759"/>
      <c r="AL62" s="5759"/>
      <c r="AM62" s="5759"/>
      <c r="AN62" s="5759"/>
      <c r="AO62" s="5759"/>
      <c r="AP62" s="5759"/>
      <c r="AQ62" s="5759"/>
      <c r="AR62" s="5759"/>
      <c r="AS62" s="5759"/>
      <c r="AT62" s="5759"/>
      <c r="AU62" s="5760"/>
      <c r="AV62" s="5760"/>
      <c r="AW62" s="5760"/>
      <c r="AX62" s="5760"/>
      <c r="AY62" s="5760"/>
      <c r="AZ62" s="5760"/>
      <c r="BA62" s="5760"/>
      <c r="BB62" s="5760"/>
      <c r="BC62" s="5760"/>
      <c r="BD62" s="5760"/>
      <c r="BE62" s="5760"/>
      <c r="BF62" s="5760"/>
      <c r="BG62" s="5763"/>
      <c r="BH62" s="5761"/>
      <c r="BI62" s="5772"/>
      <c r="BJ62" s="5764"/>
      <c r="BK62" s="5760"/>
      <c r="BL62" s="5763"/>
      <c r="BM62" s="5763"/>
      <c r="BN62" s="5763"/>
      <c r="BO62" s="5760"/>
      <c r="BP62" s="5760"/>
      <c r="BQ62" s="5763"/>
      <c r="BR62" s="5770"/>
      <c r="BS62" s="5763"/>
      <c r="BT62" s="5763"/>
      <c r="BU62" s="5763"/>
      <c r="BV62" s="5763"/>
      <c r="BW62" s="5760"/>
      <c r="BX62" s="5760"/>
      <c r="BY62" s="5763"/>
      <c r="BZ62" s="5763"/>
      <c r="CA62" s="5760"/>
      <c r="CB62" s="5760"/>
      <c r="CC62" s="5763"/>
      <c r="CD62" s="5760"/>
      <c r="CE62" s="5760"/>
      <c r="CF62" s="5760"/>
      <c r="CG62" s="5760"/>
      <c r="CH62" s="5760"/>
      <c r="CI62" s="5760"/>
      <c r="CJ62" s="5760"/>
      <c r="CK62" s="5763"/>
      <c r="CL62" s="5760"/>
      <c r="CM62" s="5760"/>
      <c r="CN62" s="5760"/>
      <c r="CO62" s="5760"/>
      <c r="CP62" s="5760"/>
      <c r="CQ62" s="5760"/>
      <c r="CR62" s="5760"/>
      <c r="CS62" s="5760"/>
      <c r="CT62" s="5760"/>
      <c r="CU62" s="5760"/>
      <c r="CV62" s="5760"/>
      <c r="CW62" s="5760"/>
      <c r="CX62" s="5760"/>
      <c r="CY62" s="5760"/>
      <c r="CZ62" s="5760"/>
      <c r="DA62" s="5760"/>
      <c r="DB62" s="5760"/>
      <c r="DC62" s="5760"/>
      <c r="DD62" s="5760"/>
      <c r="DE62" s="5760"/>
      <c r="DF62" s="5760"/>
      <c r="DG62" s="5760"/>
      <c r="DH62" s="5760"/>
      <c r="DI62" s="5760"/>
      <c r="DJ62" s="5760"/>
      <c r="DK62" s="5760"/>
      <c r="DL62" s="5760"/>
      <c r="DM62" s="5760"/>
      <c r="DN62" s="5760"/>
      <c r="DO62" s="5760"/>
      <c r="DP62" s="5760"/>
      <c r="DQ62" s="5760"/>
      <c r="DR62" s="5760"/>
      <c r="DS62" s="5760"/>
      <c r="DT62" s="5760"/>
      <c r="DU62" s="5760"/>
      <c r="DV62" s="5760"/>
      <c r="DW62" s="5760"/>
      <c r="DX62" s="5760"/>
      <c r="DY62" s="5760"/>
      <c r="DZ62" s="5760"/>
      <c r="EA62" s="5760"/>
      <c r="EB62" s="5760"/>
      <c r="EC62" s="5760"/>
      <c r="ED62" s="5760"/>
      <c r="EE62" s="5760"/>
      <c r="EF62" s="5760"/>
      <c r="EG62" s="5760"/>
      <c r="EH62" s="5760"/>
      <c r="EI62" s="5760"/>
      <c r="EJ62" s="5760"/>
      <c r="EK62" s="5760"/>
      <c r="EL62" s="5760"/>
      <c r="EM62" s="5760"/>
      <c r="EN62" s="5760"/>
      <c r="EO62" s="5760"/>
      <c r="EP62" s="5760"/>
      <c r="EQ62" s="5760"/>
      <c r="ER62" s="5760"/>
      <c r="ES62" s="5760"/>
      <c r="ET62" s="5760"/>
      <c r="EU62" s="2042"/>
    </row>
    <row r="63" spans="1:151" s="2043" customFormat="1" ht="15" customHeight="1">
      <c r="A63" s="16259"/>
      <c r="B63" s="16262"/>
      <c r="C63" s="16265"/>
      <c r="D63" s="5755"/>
      <c r="E63" s="5756"/>
      <c r="F63" s="16218"/>
      <c r="G63" s="16267"/>
      <c r="H63" s="16267"/>
      <c r="I63" s="16267"/>
      <c r="J63" s="16218"/>
      <c r="K63" s="2759" t="s">
        <v>208</v>
      </c>
      <c r="L63" s="2777"/>
      <c r="M63" s="2777" t="s">
        <v>10265</v>
      </c>
      <c r="N63" s="5758"/>
      <c r="O63" s="5758"/>
      <c r="P63" s="5758"/>
      <c r="Q63" s="5771"/>
      <c r="R63" s="16329"/>
      <c r="S63" s="5759"/>
      <c r="T63" s="5759"/>
      <c r="U63" s="5759"/>
      <c r="V63" s="5759"/>
      <c r="W63" s="5759"/>
      <c r="X63" s="5759"/>
      <c r="Y63" s="5759"/>
      <c r="Z63" s="5759"/>
      <c r="AA63" s="5759"/>
      <c r="AB63" s="5759"/>
      <c r="AC63" s="5759"/>
      <c r="AD63" s="5759"/>
      <c r="AE63" s="5759"/>
      <c r="AF63" s="5759"/>
      <c r="AG63" s="5759"/>
      <c r="AH63" s="5759"/>
      <c r="AI63" s="5759"/>
      <c r="AJ63" s="5759"/>
      <c r="AK63" s="5759"/>
      <c r="AL63" s="5759"/>
      <c r="AM63" s="5759"/>
      <c r="AN63" s="5759"/>
      <c r="AO63" s="5759"/>
      <c r="AP63" s="5759"/>
      <c r="AQ63" s="5759"/>
      <c r="AR63" s="5759"/>
      <c r="AS63" s="5759"/>
      <c r="AT63" s="5759"/>
      <c r="AU63" s="5760"/>
      <c r="AV63" s="5760"/>
      <c r="AW63" s="5760"/>
      <c r="AX63" s="5760"/>
      <c r="AY63" s="5760"/>
      <c r="AZ63" s="5760"/>
      <c r="BA63" s="5760"/>
      <c r="BB63" s="5760"/>
      <c r="BC63" s="5760"/>
      <c r="BD63" s="5760"/>
      <c r="BE63" s="5760"/>
      <c r="BF63" s="5760"/>
      <c r="BG63" s="5763"/>
      <c r="BH63" s="5761"/>
      <c r="BI63" s="5772"/>
      <c r="BJ63" s="5764"/>
      <c r="BK63" s="5760"/>
      <c r="BL63" s="5763"/>
      <c r="BM63" s="5763"/>
      <c r="BN63" s="5763"/>
      <c r="BO63" s="5760"/>
      <c r="BP63" s="5760"/>
      <c r="BQ63" s="5763"/>
      <c r="BR63" s="5770"/>
      <c r="BS63" s="5763"/>
      <c r="BT63" s="5763"/>
      <c r="BU63" s="5763"/>
      <c r="BV63" s="5763"/>
      <c r="BW63" s="5760"/>
      <c r="BX63" s="5760"/>
      <c r="BY63" s="5763"/>
      <c r="BZ63" s="5763"/>
      <c r="CA63" s="5760"/>
      <c r="CB63" s="5760"/>
      <c r="CC63" s="5763"/>
      <c r="CD63" s="5760"/>
      <c r="CE63" s="5760"/>
      <c r="CF63" s="5760"/>
      <c r="CG63" s="5760"/>
      <c r="CH63" s="5760"/>
      <c r="CI63" s="5760"/>
      <c r="CJ63" s="5760"/>
      <c r="CK63" s="5763"/>
      <c r="CL63" s="5760"/>
      <c r="CM63" s="5760"/>
      <c r="CN63" s="5760"/>
      <c r="CO63" s="5760"/>
      <c r="CP63" s="5760"/>
      <c r="CQ63" s="5760"/>
      <c r="CR63" s="5760"/>
      <c r="CS63" s="5760"/>
      <c r="CT63" s="5760"/>
      <c r="CU63" s="5760"/>
      <c r="CV63" s="5760"/>
      <c r="CW63" s="5760"/>
      <c r="CX63" s="5760"/>
      <c r="CY63" s="5760"/>
      <c r="CZ63" s="5760"/>
      <c r="DA63" s="5760"/>
      <c r="DB63" s="5760"/>
      <c r="DC63" s="5760"/>
      <c r="DD63" s="5760"/>
      <c r="DE63" s="5760"/>
      <c r="DF63" s="5760"/>
      <c r="DG63" s="5760"/>
      <c r="DH63" s="5760"/>
      <c r="DI63" s="5760"/>
      <c r="DJ63" s="5760"/>
      <c r="DK63" s="5760"/>
      <c r="DL63" s="5760"/>
      <c r="DM63" s="5760"/>
      <c r="DN63" s="5760"/>
      <c r="DO63" s="5760"/>
      <c r="DP63" s="5760"/>
      <c r="DQ63" s="5760"/>
      <c r="DR63" s="5760"/>
      <c r="DS63" s="5760"/>
      <c r="DT63" s="5760"/>
      <c r="DU63" s="5760"/>
      <c r="DV63" s="5760"/>
      <c r="DW63" s="5760"/>
      <c r="DX63" s="5760"/>
      <c r="DY63" s="5760"/>
      <c r="DZ63" s="5760"/>
      <c r="EA63" s="5760"/>
      <c r="EB63" s="5760"/>
      <c r="EC63" s="5760"/>
      <c r="ED63" s="5760"/>
      <c r="EE63" s="5760"/>
      <c r="EF63" s="5760"/>
      <c r="EG63" s="5760"/>
      <c r="EH63" s="5760"/>
      <c r="EI63" s="5760"/>
      <c r="EJ63" s="5760"/>
      <c r="EK63" s="5760"/>
      <c r="EL63" s="5760"/>
      <c r="EM63" s="5760"/>
      <c r="EN63" s="5760"/>
      <c r="EO63" s="5760"/>
      <c r="EP63" s="5760"/>
      <c r="EQ63" s="5760"/>
      <c r="ER63" s="5760"/>
      <c r="ES63" s="5760"/>
      <c r="ET63" s="5760"/>
      <c r="EU63" s="2042"/>
    </row>
    <row r="64" spans="1:151" s="2043" customFormat="1" ht="15" customHeight="1">
      <c r="A64" s="16259"/>
      <c r="B64" s="16262"/>
      <c r="C64" s="16265"/>
      <c r="D64" s="5755" t="s">
        <v>2681</v>
      </c>
      <c r="E64" s="5756" t="s">
        <v>2682</v>
      </c>
      <c r="F64" s="16218" t="s">
        <v>2683</v>
      </c>
      <c r="G64" s="16267"/>
      <c r="H64" s="16267" t="s">
        <v>4549</v>
      </c>
      <c r="I64" s="16267" t="s">
        <v>2684</v>
      </c>
      <c r="J64" s="16218" t="s">
        <v>2683</v>
      </c>
      <c r="K64" s="2759" t="s">
        <v>86</v>
      </c>
      <c r="L64" s="2777" t="s">
        <v>2862</v>
      </c>
      <c r="M64" s="2777"/>
      <c r="N64" s="5758" t="s">
        <v>1732</v>
      </c>
      <c r="O64" s="5758" t="s">
        <v>3505</v>
      </c>
      <c r="P64" s="5758" t="s">
        <v>3505</v>
      </c>
      <c r="Q64" s="5771" t="s">
        <v>3530</v>
      </c>
      <c r="R64" s="16329"/>
      <c r="S64" s="5759"/>
      <c r="T64" s="5759"/>
      <c r="U64" s="5759"/>
      <c r="V64" s="5759"/>
      <c r="W64" s="5759"/>
      <c r="X64" s="5759"/>
      <c r="Y64" s="5759"/>
      <c r="Z64" s="5759"/>
      <c r="AA64" s="5759"/>
      <c r="AB64" s="5759"/>
      <c r="AC64" s="5759"/>
      <c r="AD64" s="5759"/>
      <c r="AE64" s="5759"/>
      <c r="AF64" s="5759"/>
      <c r="AG64" s="5759"/>
      <c r="AH64" s="5759"/>
      <c r="AI64" s="5759"/>
      <c r="AJ64" s="5759"/>
      <c r="AK64" s="5759"/>
      <c r="AL64" s="5759"/>
      <c r="AM64" s="5759"/>
      <c r="AN64" s="5759"/>
      <c r="AO64" s="5759"/>
      <c r="AP64" s="5759"/>
      <c r="AQ64" s="5759"/>
      <c r="AR64" s="5759"/>
      <c r="AS64" s="5759"/>
      <c r="AT64" s="5759"/>
      <c r="AU64" s="5760"/>
      <c r="AV64" s="5760"/>
      <c r="AW64" s="5760"/>
      <c r="AX64" s="5760"/>
      <c r="AY64" s="5760"/>
      <c r="AZ64" s="5760"/>
      <c r="BA64" s="5760"/>
      <c r="BB64" s="5760"/>
      <c r="BC64" s="5760"/>
      <c r="BD64" s="5760"/>
      <c r="BE64" s="5760"/>
      <c r="BF64" s="5760"/>
      <c r="BG64" s="5763" t="s">
        <v>1732</v>
      </c>
      <c r="BH64" s="5761" t="s">
        <v>545</v>
      </c>
      <c r="BI64" s="5772" t="s">
        <v>9140</v>
      </c>
      <c r="BJ64" s="5764" t="s">
        <v>3537</v>
      </c>
      <c r="BK64" s="5764"/>
      <c r="BL64" s="5763"/>
      <c r="BM64" s="5763"/>
      <c r="BN64" s="5763"/>
      <c r="BO64" s="5760"/>
      <c r="BP64" s="5760"/>
      <c r="BQ64" s="5764">
        <v>15653</v>
      </c>
      <c r="BR64" s="5764">
        <v>6888</v>
      </c>
      <c r="BS64" s="5764">
        <v>8765</v>
      </c>
      <c r="BT64" s="5764">
        <v>13987</v>
      </c>
      <c r="BU64" s="5764">
        <v>1666</v>
      </c>
      <c r="BV64" s="5764">
        <v>1702</v>
      </c>
      <c r="BW64" s="5764">
        <v>5085</v>
      </c>
      <c r="BX64" s="5764">
        <v>3500</v>
      </c>
      <c r="BY64" s="5764">
        <v>2129</v>
      </c>
      <c r="BZ64" s="5764">
        <v>1592</v>
      </c>
      <c r="CA64" s="5764">
        <v>1645</v>
      </c>
      <c r="CB64" s="5764">
        <v>0</v>
      </c>
      <c r="CC64" s="5764">
        <v>0</v>
      </c>
      <c r="CD64" s="5764">
        <v>0</v>
      </c>
      <c r="CE64" s="5764">
        <v>428</v>
      </c>
      <c r="CF64" s="5764">
        <v>65</v>
      </c>
      <c r="CG64" s="5764">
        <v>215</v>
      </c>
      <c r="CH64" s="5764">
        <v>0</v>
      </c>
      <c r="CI64" s="5764">
        <v>0</v>
      </c>
      <c r="CJ64" s="5764">
        <v>39</v>
      </c>
      <c r="CK64" s="5764">
        <v>14916</v>
      </c>
      <c r="CL64" s="5764">
        <v>599</v>
      </c>
      <c r="CM64" s="5764">
        <v>138</v>
      </c>
      <c r="CN64" s="5764">
        <v>0</v>
      </c>
      <c r="CO64" s="5760"/>
      <c r="CP64" s="5760"/>
      <c r="CQ64" s="5760"/>
      <c r="CR64" s="5760"/>
      <c r="CS64" s="5760"/>
      <c r="CT64" s="5760"/>
      <c r="CU64" s="5760"/>
      <c r="CV64" s="5760"/>
      <c r="CW64" s="5760"/>
      <c r="CX64" s="5760"/>
      <c r="CY64" s="5760"/>
      <c r="CZ64" s="5760"/>
      <c r="DA64" s="5760"/>
      <c r="DB64" s="5760"/>
      <c r="DC64" s="5760"/>
      <c r="DD64" s="5760"/>
      <c r="DE64" s="5760"/>
      <c r="DF64" s="5760"/>
      <c r="DG64" s="5760"/>
      <c r="DH64" s="5760"/>
      <c r="DI64" s="5760"/>
      <c r="DJ64" s="5760"/>
      <c r="DK64" s="5760"/>
      <c r="DL64" s="5760"/>
      <c r="DM64" s="5760"/>
      <c r="DN64" s="5760"/>
      <c r="DO64" s="5760"/>
      <c r="DP64" s="5760"/>
      <c r="DQ64" s="5760"/>
      <c r="DR64" s="5760"/>
      <c r="DS64" s="5760"/>
      <c r="DT64" s="5760"/>
      <c r="DU64" s="5760"/>
      <c r="DV64" s="5760"/>
      <c r="DW64" s="5760"/>
      <c r="DX64" s="5760"/>
      <c r="DY64" s="5760"/>
      <c r="DZ64" s="5760"/>
      <c r="EA64" s="5760"/>
      <c r="EB64" s="5760"/>
      <c r="EC64" s="5760"/>
      <c r="ED64" s="5760"/>
      <c r="EE64" s="5760"/>
      <c r="EF64" s="5760"/>
      <c r="EG64" s="5760"/>
      <c r="EH64" s="5760"/>
      <c r="EI64" s="5760"/>
      <c r="EJ64" s="5760"/>
      <c r="EK64" s="5760"/>
      <c r="EL64" s="5760"/>
      <c r="EM64" s="5760"/>
      <c r="EN64" s="5760"/>
      <c r="EO64" s="5760"/>
      <c r="EP64" s="5760"/>
      <c r="EQ64" s="5760"/>
      <c r="ER64" s="5760"/>
      <c r="ES64" s="5760"/>
      <c r="ET64" s="5760"/>
      <c r="EU64" s="2042"/>
    </row>
    <row r="65" spans="1:151" s="2043" customFormat="1" ht="15" customHeight="1">
      <c r="A65" s="16259"/>
      <c r="B65" s="16262"/>
      <c r="C65" s="16265"/>
      <c r="D65" s="5755"/>
      <c r="E65" s="5756"/>
      <c r="F65" s="16218"/>
      <c r="G65" s="16267"/>
      <c r="H65" s="16267"/>
      <c r="I65" s="16267"/>
      <c r="J65" s="16218"/>
      <c r="K65" s="2759" t="s">
        <v>10063</v>
      </c>
      <c r="L65" s="2777"/>
      <c r="M65" s="2777" t="s">
        <v>10264</v>
      </c>
      <c r="N65" s="5758"/>
      <c r="O65" s="5758"/>
      <c r="P65" s="5758"/>
      <c r="Q65" s="5771"/>
      <c r="R65" s="16329"/>
      <c r="S65" s="5759"/>
      <c r="T65" s="5759"/>
      <c r="U65" s="5759"/>
      <c r="V65" s="5759"/>
      <c r="W65" s="5759"/>
      <c r="X65" s="5759"/>
      <c r="Y65" s="5759"/>
      <c r="Z65" s="5759"/>
      <c r="AA65" s="5759"/>
      <c r="AB65" s="5759"/>
      <c r="AC65" s="5759"/>
      <c r="AD65" s="5759"/>
      <c r="AE65" s="5759"/>
      <c r="AF65" s="5759"/>
      <c r="AG65" s="5759"/>
      <c r="AH65" s="5759"/>
      <c r="AI65" s="5759"/>
      <c r="AJ65" s="5759"/>
      <c r="AK65" s="5759"/>
      <c r="AL65" s="5759"/>
      <c r="AM65" s="5759"/>
      <c r="AN65" s="5759"/>
      <c r="AO65" s="5759"/>
      <c r="AP65" s="5759"/>
      <c r="AQ65" s="5759"/>
      <c r="AR65" s="5759"/>
      <c r="AS65" s="5759"/>
      <c r="AT65" s="5759"/>
      <c r="AU65" s="5760"/>
      <c r="AV65" s="5760"/>
      <c r="AW65" s="5760"/>
      <c r="AX65" s="5760"/>
      <c r="AY65" s="5760"/>
      <c r="AZ65" s="5760"/>
      <c r="BA65" s="5760"/>
      <c r="BB65" s="5760"/>
      <c r="BC65" s="5760"/>
      <c r="BD65" s="5760"/>
      <c r="BE65" s="5760"/>
      <c r="BF65" s="5760"/>
      <c r="BG65" s="5763"/>
      <c r="BH65" s="5761"/>
      <c r="BI65" s="5772"/>
      <c r="BJ65" s="5764"/>
      <c r="BK65" s="5764"/>
      <c r="BL65" s="5763"/>
      <c r="BM65" s="5763"/>
      <c r="BN65" s="5763"/>
      <c r="BO65" s="5760"/>
      <c r="BP65" s="5760"/>
      <c r="BQ65" s="5764"/>
      <c r="BR65" s="5764"/>
      <c r="BS65" s="5764"/>
      <c r="BT65" s="5764"/>
      <c r="BU65" s="5764"/>
      <c r="BV65" s="5764"/>
      <c r="BW65" s="5764"/>
      <c r="BX65" s="5764"/>
      <c r="BY65" s="5764"/>
      <c r="BZ65" s="5764"/>
      <c r="CA65" s="5764"/>
      <c r="CB65" s="5764"/>
      <c r="CC65" s="5764"/>
      <c r="CD65" s="5764"/>
      <c r="CE65" s="5764"/>
      <c r="CF65" s="5764"/>
      <c r="CG65" s="5764"/>
      <c r="CH65" s="5764"/>
      <c r="CI65" s="5764"/>
      <c r="CJ65" s="5764"/>
      <c r="CK65" s="5764"/>
      <c r="CL65" s="5764"/>
      <c r="CM65" s="5764"/>
      <c r="CN65" s="5764"/>
      <c r="CO65" s="5760"/>
      <c r="CP65" s="5760"/>
      <c r="CQ65" s="5760"/>
      <c r="CR65" s="5760"/>
      <c r="CS65" s="5760"/>
      <c r="CT65" s="5760"/>
      <c r="CU65" s="5760"/>
      <c r="CV65" s="5760"/>
      <c r="CW65" s="5760"/>
      <c r="CX65" s="5760"/>
      <c r="CY65" s="5760"/>
      <c r="CZ65" s="5760"/>
      <c r="DA65" s="5760"/>
      <c r="DB65" s="5760"/>
      <c r="DC65" s="5760"/>
      <c r="DD65" s="5760"/>
      <c r="DE65" s="5760"/>
      <c r="DF65" s="5760"/>
      <c r="DG65" s="5760"/>
      <c r="DH65" s="5760"/>
      <c r="DI65" s="5760"/>
      <c r="DJ65" s="5760"/>
      <c r="DK65" s="5760"/>
      <c r="DL65" s="5760"/>
      <c r="DM65" s="5760"/>
      <c r="DN65" s="5760"/>
      <c r="DO65" s="5760"/>
      <c r="DP65" s="5760"/>
      <c r="DQ65" s="5760"/>
      <c r="DR65" s="5760"/>
      <c r="DS65" s="5760"/>
      <c r="DT65" s="5760"/>
      <c r="DU65" s="5760"/>
      <c r="DV65" s="5760"/>
      <c r="DW65" s="5760"/>
      <c r="DX65" s="5760"/>
      <c r="DY65" s="5760"/>
      <c r="DZ65" s="5760"/>
      <c r="EA65" s="5760"/>
      <c r="EB65" s="5760"/>
      <c r="EC65" s="5760"/>
      <c r="ED65" s="5760"/>
      <c r="EE65" s="5760"/>
      <c r="EF65" s="5760"/>
      <c r="EG65" s="5760"/>
      <c r="EH65" s="5760"/>
      <c r="EI65" s="5760"/>
      <c r="EJ65" s="5760"/>
      <c r="EK65" s="5760"/>
      <c r="EL65" s="5760"/>
      <c r="EM65" s="5760"/>
      <c r="EN65" s="5760"/>
      <c r="EO65" s="5760"/>
      <c r="EP65" s="5760"/>
      <c r="EQ65" s="5760"/>
      <c r="ER65" s="5760"/>
      <c r="ES65" s="5760"/>
      <c r="ET65" s="5760"/>
      <c r="EU65" s="2042"/>
    </row>
    <row r="66" spans="1:151" s="2043" customFormat="1" ht="15" customHeight="1">
      <c r="A66" s="16259"/>
      <c r="B66" s="16262"/>
      <c r="C66" s="16265"/>
      <c r="D66" s="5755"/>
      <c r="E66" s="5756"/>
      <c r="F66" s="16218"/>
      <c r="G66" s="16267"/>
      <c r="H66" s="16267"/>
      <c r="I66" s="16267"/>
      <c r="J66" s="16218"/>
      <c r="K66" s="2759" t="s">
        <v>208</v>
      </c>
      <c r="L66" s="2777"/>
      <c r="M66" s="2777" t="s">
        <v>10265</v>
      </c>
      <c r="N66" s="5758"/>
      <c r="O66" s="5758"/>
      <c r="P66" s="5758"/>
      <c r="Q66" s="5771"/>
      <c r="R66" s="16329"/>
      <c r="S66" s="5759"/>
      <c r="T66" s="5759"/>
      <c r="U66" s="5759"/>
      <c r="V66" s="5759"/>
      <c r="W66" s="5759"/>
      <c r="X66" s="5759"/>
      <c r="Y66" s="5759"/>
      <c r="Z66" s="5759"/>
      <c r="AA66" s="5759"/>
      <c r="AB66" s="5759"/>
      <c r="AC66" s="5759"/>
      <c r="AD66" s="5759"/>
      <c r="AE66" s="5759"/>
      <c r="AF66" s="5759"/>
      <c r="AG66" s="5759"/>
      <c r="AH66" s="5759"/>
      <c r="AI66" s="5759"/>
      <c r="AJ66" s="5759"/>
      <c r="AK66" s="5759"/>
      <c r="AL66" s="5759"/>
      <c r="AM66" s="5759"/>
      <c r="AN66" s="5759"/>
      <c r="AO66" s="5759"/>
      <c r="AP66" s="5759"/>
      <c r="AQ66" s="5759"/>
      <c r="AR66" s="5759"/>
      <c r="AS66" s="5759"/>
      <c r="AT66" s="5759"/>
      <c r="AU66" s="5760"/>
      <c r="AV66" s="5760"/>
      <c r="AW66" s="5760"/>
      <c r="AX66" s="5760"/>
      <c r="AY66" s="5760"/>
      <c r="AZ66" s="5760"/>
      <c r="BA66" s="5760"/>
      <c r="BB66" s="5760"/>
      <c r="BC66" s="5760"/>
      <c r="BD66" s="5760"/>
      <c r="BE66" s="5760"/>
      <c r="BF66" s="5760"/>
      <c r="BG66" s="5763"/>
      <c r="BH66" s="5761"/>
      <c r="BI66" s="5772"/>
      <c r="BJ66" s="5764"/>
      <c r="BK66" s="5764"/>
      <c r="BL66" s="5763"/>
      <c r="BM66" s="5763"/>
      <c r="BN66" s="5763"/>
      <c r="BO66" s="5760"/>
      <c r="BP66" s="5760"/>
      <c r="BQ66" s="5764"/>
      <c r="BR66" s="5764"/>
      <c r="BS66" s="5764"/>
      <c r="BT66" s="5764"/>
      <c r="BU66" s="5764"/>
      <c r="BV66" s="5764"/>
      <c r="BW66" s="5764"/>
      <c r="BX66" s="5764"/>
      <c r="BY66" s="5764"/>
      <c r="BZ66" s="5764"/>
      <c r="CA66" s="5764"/>
      <c r="CB66" s="5764"/>
      <c r="CC66" s="5764"/>
      <c r="CD66" s="5764"/>
      <c r="CE66" s="5764"/>
      <c r="CF66" s="5764"/>
      <c r="CG66" s="5764"/>
      <c r="CH66" s="5764"/>
      <c r="CI66" s="5764"/>
      <c r="CJ66" s="5764"/>
      <c r="CK66" s="5764"/>
      <c r="CL66" s="5764"/>
      <c r="CM66" s="5764"/>
      <c r="CN66" s="5764"/>
      <c r="CO66" s="5760"/>
      <c r="CP66" s="5760"/>
      <c r="CQ66" s="5760"/>
      <c r="CR66" s="5760"/>
      <c r="CS66" s="5760"/>
      <c r="CT66" s="5760"/>
      <c r="CU66" s="5760"/>
      <c r="CV66" s="5760"/>
      <c r="CW66" s="5760"/>
      <c r="CX66" s="5760"/>
      <c r="CY66" s="5760"/>
      <c r="CZ66" s="5760"/>
      <c r="DA66" s="5760"/>
      <c r="DB66" s="5760"/>
      <c r="DC66" s="5760"/>
      <c r="DD66" s="5760"/>
      <c r="DE66" s="5760"/>
      <c r="DF66" s="5760"/>
      <c r="DG66" s="5760"/>
      <c r="DH66" s="5760"/>
      <c r="DI66" s="5760"/>
      <c r="DJ66" s="5760"/>
      <c r="DK66" s="5760"/>
      <c r="DL66" s="5760"/>
      <c r="DM66" s="5760"/>
      <c r="DN66" s="5760"/>
      <c r="DO66" s="5760"/>
      <c r="DP66" s="5760"/>
      <c r="DQ66" s="5760"/>
      <c r="DR66" s="5760"/>
      <c r="DS66" s="5760"/>
      <c r="DT66" s="5760"/>
      <c r="DU66" s="5760"/>
      <c r="DV66" s="5760"/>
      <c r="DW66" s="5760"/>
      <c r="DX66" s="5760"/>
      <c r="DY66" s="5760"/>
      <c r="DZ66" s="5760"/>
      <c r="EA66" s="5760"/>
      <c r="EB66" s="5760"/>
      <c r="EC66" s="5760"/>
      <c r="ED66" s="5760"/>
      <c r="EE66" s="5760"/>
      <c r="EF66" s="5760"/>
      <c r="EG66" s="5760"/>
      <c r="EH66" s="5760"/>
      <c r="EI66" s="5760"/>
      <c r="EJ66" s="5760"/>
      <c r="EK66" s="5760"/>
      <c r="EL66" s="5760"/>
      <c r="EM66" s="5760"/>
      <c r="EN66" s="5760"/>
      <c r="EO66" s="5760"/>
      <c r="EP66" s="5760"/>
      <c r="EQ66" s="5760"/>
      <c r="ER66" s="5760"/>
      <c r="ES66" s="5760"/>
      <c r="ET66" s="5760"/>
      <c r="EU66" s="2042"/>
    </row>
    <row r="67" spans="1:151" s="2043" customFormat="1" ht="15" customHeight="1">
      <c r="A67" s="16259"/>
      <c r="B67" s="16262"/>
      <c r="C67" s="16265"/>
      <c r="D67" s="5755" t="s">
        <v>2685</v>
      </c>
      <c r="E67" s="5756" t="s">
        <v>2686</v>
      </c>
      <c r="F67" s="16218" t="s">
        <v>2687</v>
      </c>
      <c r="G67" s="16267"/>
      <c r="H67" s="16267" t="s">
        <v>4550</v>
      </c>
      <c r="I67" s="16267" t="s">
        <v>2688</v>
      </c>
      <c r="J67" s="16218" t="s">
        <v>2687</v>
      </c>
      <c r="K67" s="2759" t="s">
        <v>86</v>
      </c>
      <c r="L67" s="2777" t="s">
        <v>2862</v>
      </c>
      <c r="M67" s="2777"/>
      <c r="N67" s="5812">
        <v>0.8</v>
      </c>
      <c r="O67" s="5757" t="s">
        <v>3528</v>
      </c>
      <c r="P67" s="5765" t="s">
        <v>3531</v>
      </c>
      <c r="Q67" s="5759"/>
      <c r="R67" s="16329"/>
      <c r="S67" s="5759"/>
      <c r="T67" s="5759"/>
      <c r="U67" s="5759"/>
      <c r="V67" s="5758">
        <v>23</v>
      </c>
      <c r="W67" s="5758">
        <v>12</v>
      </c>
      <c r="X67" s="5758">
        <v>11</v>
      </c>
      <c r="Y67" s="5758">
        <v>22</v>
      </c>
      <c r="Z67" s="5758">
        <v>1</v>
      </c>
      <c r="AA67" s="5758">
        <v>23</v>
      </c>
      <c r="AB67" s="5758"/>
      <c r="AC67" s="5758"/>
      <c r="AD67" s="5758"/>
      <c r="AE67" s="5758"/>
      <c r="AF67" s="5758"/>
      <c r="AG67" s="5758"/>
      <c r="AH67" s="5758"/>
      <c r="AI67" s="5758"/>
      <c r="AJ67" s="5758"/>
      <c r="AK67" s="5758"/>
      <c r="AL67" s="5758"/>
      <c r="AM67" s="5758"/>
      <c r="AN67" s="5758"/>
      <c r="AO67" s="5758"/>
      <c r="AP67" s="5758">
        <v>21</v>
      </c>
      <c r="AQ67" s="5758">
        <v>1</v>
      </c>
      <c r="AR67" s="5758">
        <v>1</v>
      </c>
      <c r="AS67" s="5759"/>
      <c r="AT67" s="5759"/>
      <c r="AU67" s="5760"/>
      <c r="AV67" s="5760"/>
      <c r="AW67" s="5760"/>
      <c r="AX67" s="5760"/>
      <c r="AY67" s="5760"/>
      <c r="AZ67" s="5760"/>
      <c r="BA67" s="5760"/>
      <c r="BB67" s="5760"/>
      <c r="BC67" s="5760"/>
      <c r="BD67" s="5760"/>
      <c r="BE67" s="5760"/>
      <c r="BF67" s="5760"/>
      <c r="BG67" s="5764" t="s">
        <v>9831</v>
      </c>
      <c r="BH67" s="5761">
        <v>1</v>
      </c>
      <c r="BI67" s="2314" t="s">
        <v>9137</v>
      </c>
      <c r="BJ67" s="5760"/>
      <c r="BK67" s="5760"/>
      <c r="BL67" s="5763"/>
      <c r="BM67" s="5763"/>
      <c r="BN67" s="5763"/>
      <c r="BO67" s="5760"/>
      <c r="BP67" s="5760"/>
      <c r="BQ67" s="5763">
        <v>23</v>
      </c>
      <c r="BR67" s="5770"/>
      <c r="BS67" s="5763"/>
      <c r="BT67" s="5763"/>
      <c r="BU67" s="5763"/>
      <c r="BV67" s="5763"/>
      <c r="BW67" s="5760"/>
      <c r="BX67" s="5760"/>
      <c r="BY67" s="5763"/>
      <c r="BZ67" s="5763"/>
      <c r="CA67" s="5760"/>
      <c r="CB67" s="5760"/>
      <c r="CC67" s="5763"/>
      <c r="CD67" s="5760"/>
      <c r="CE67" s="5760"/>
      <c r="CF67" s="5760"/>
      <c r="CG67" s="5760"/>
      <c r="CH67" s="5760"/>
      <c r="CI67" s="5760"/>
      <c r="CJ67" s="5760"/>
      <c r="CK67" s="5763"/>
      <c r="CL67" s="5760"/>
      <c r="CM67" s="5760"/>
      <c r="CN67" s="5760"/>
      <c r="CO67" s="5760"/>
      <c r="CP67" s="5760"/>
      <c r="CQ67" s="5760"/>
      <c r="CR67" s="5760"/>
      <c r="CS67" s="5760"/>
      <c r="CT67" s="5760"/>
      <c r="CU67" s="5760"/>
      <c r="CV67" s="5760"/>
      <c r="CW67" s="5760"/>
      <c r="CX67" s="5760"/>
      <c r="CY67" s="5760"/>
      <c r="CZ67" s="5760"/>
      <c r="DA67" s="5760"/>
      <c r="DB67" s="5760"/>
      <c r="DC67" s="5760"/>
      <c r="DD67" s="5760"/>
      <c r="DE67" s="5760"/>
      <c r="DF67" s="5760"/>
      <c r="DG67" s="5760"/>
      <c r="DH67" s="5760"/>
      <c r="DI67" s="5760"/>
      <c r="DJ67" s="5760"/>
      <c r="DK67" s="5760"/>
      <c r="DL67" s="5760"/>
      <c r="DM67" s="5760"/>
      <c r="DN67" s="5760"/>
      <c r="DO67" s="5760"/>
      <c r="DP67" s="5760"/>
      <c r="DQ67" s="5760"/>
      <c r="DR67" s="5760"/>
      <c r="DS67" s="5760"/>
      <c r="DT67" s="5760"/>
      <c r="DU67" s="5760"/>
      <c r="DV67" s="5760"/>
      <c r="DW67" s="5760"/>
      <c r="DX67" s="5760"/>
      <c r="DY67" s="5760"/>
      <c r="DZ67" s="5760"/>
      <c r="EA67" s="5760"/>
      <c r="EB67" s="5760"/>
      <c r="EC67" s="5760"/>
      <c r="ED67" s="5760"/>
      <c r="EE67" s="5760"/>
      <c r="EF67" s="5760"/>
      <c r="EG67" s="5760"/>
      <c r="EH67" s="5760"/>
      <c r="EI67" s="5760"/>
      <c r="EJ67" s="5760"/>
      <c r="EK67" s="5760"/>
      <c r="EL67" s="5760"/>
      <c r="EM67" s="5760"/>
      <c r="EN67" s="5760"/>
      <c r="EO67" s="5760"/>
      <c r="EP67" s="5760"/>
      <c r="EQ67" s="5760"/>
      <c r="ER67" s="5760"/>
      <c r="ES67" s="5760"/>
      <c r="ET67" s="5760"/>
      <c r="EU67" s="2042"/>
    </row>
    <row r="68" spans="1:151" s="2043" customFormat="1" ht="15" customHeight="1">
      <c r="A68" s="16259"/>
      <c r="B68" s="16262"/>
      <c r="C68" s="16265"/>
      <c r="D68" s="5755"/>
      <c r="E68" s="5756"/>
      <c r="F68" s="16218"/>
      <c r="G68" s="16267"/>
      <c r="H68" s="16267"/>
      <c r="I68" s="16267"/>
      <c r="J68" s="16218"/>
      <c r="K68" s="2759" t="s">
        <v>10063</v>
      </c>
      <c r="L68" s="2777"/>
      <c r="M68" s="2777" t="s">
        <v>10264</v>
      </c>
      <c r="N68" s="5812"/>
      <c r="O68" s="5757"/>
      <c r="P68" s="5765"/>
      <c r="Q68" s="5759"/>
      <c r="R68" s="16329"/>
      <c r="S68" s="5759"/>
      <c r="T68" s="5759"/>
      <c r="U68" s="5759"/>
      <c r="V68" s="5758"/>
      <c r="W68" s="5758"/>
      <c r="X68" s="5758"/>
      <c r="Y68" s="5758"/>
      <c r="Z68" s="5758"/>
      <c r="AA68" s="5758"/>
      <c r="AB68" s="5758"/>
      <c r="AC68" s="5758"/>
      <c r="AD68" s="5758"/>
      <c r="AE68" s="5758"/>
      <c r="AF68" s="5758"/>
      <c r="AG68" s="5758"/>
      <c r="AH68" s="5758"/>
      <c r="AI68" s="5758"/>
      <c r="AJ68" s="5758"/>
      <c r="AK68" s="5758"/>
      <c r="AL68" s="5758"/>
      <c r="AM68" s="5758"/>
      <c r="AN68" s="5758"/>
      <c r="AO68" s="5758"/>
      <c r="AP68" s="5758"/>
      <c r="AQ68" s="5758"/>
      <c r="AR68" s="5758"/>
      <c r="AS68" s="5759"/>
      <c r="AT68" s="5759"/>
      <c r="AU68" s="5760"/>
      <c r="AV68" s="5760"/>
      <c r="AW68" s="5760"/>
      <c r="AX68" s="5760"/>
      <c r="AY68" s="5760"/>
      <c r="AZ68" s="5760"/>
      <c r="BA68" s="5760"/>
      <c r="BB68" s="5760"/>
      <c r="BC68" s="5760"/>
      <c r="BD68" s="5760"/>
      <c r="BE68" s="5760"/>
      <c r="BF68" s="5760"/>
      <c r="BG68" s="5764"/>
      <c r="BH68" s="5761"/>
      <c r="BI68" s="2314"/>
      <c r="BJ68" s="5760"/>
      <c r="BK68" s="5760"/>
      <c r="BL68" s="5763"/>
      <c r="BM68" s="5763"/>
      <c r="BN68" s="5763"/>
      <c r="BO68" s="5760"/>
      <c r="BP68" s="5760"/>
      <c r="BQ68" s="5763"/>
      <c r="BR68" s="5770"/>
      <c r="BS68" s="5763"/>
      <c r="BT68" s="5763"/>
      <c r="BU68" s="5763"/>
      <c r="BV68" s="5763"/>
      <c r="BW68" s="5760"/>
      <c r="BX68" s="5760"/>
      <c r="BY68" s="5763"/>
      <c r="BZ68" s="5763"/>
      <c r="CA68" s="5760"/>
      <c r="CB68" s="5760"/>
      <c r="CC68" s="5763"/>
      <c r="CD68" s="5760"/>
      <c r="CE68" s="5760"/>
      <c r="CF68" s="5760"/>
      <c r="CG68" s="5760"/>
      <c r="CH68" s="5760"/>
      <c r="CI68" s="5760"/>
      <c r="CJ68" s="5760"/>
      <c r="CK68" s="5763"/>
      <c r="CL68" s="5760"/>
      <c r="CM68" s="5760"/>
      <c r="CN68" s="5760"/>
      <c r="CO68" s="5760"/>
      <c r="CP68" s="5760"/>
      <c r="CQ68" s="5760"/>
      <c r="CR68" s="5760"/>
      <c r="CS68" s="5760"/>
      <c r="CT68" s="5760"/>
      <c r="CU68" s="5760"/>
      <c r="CV68" s="5760"/>
      <c r="CW68" s="5760"/>
      <c r="CX68" s="5760"/>
      <c r="CY68" s="5760"/>
      <c r="CZ68" s="5760"/>
      <c r="DA68" s="5760"/>
      <c r="DB68" s="5760"/>
      <c r="DC68" s="5760"/>
      <c r="DD68" s="5760"/>
      <c r="DE68" s="5760"/>
      <c r="DF68" s="5760"/>
      <c r="DG68" s="5760"/>
      <c r="DH68" s="5760"/>
      <c r="DI68" s="5760"/>
      <c r="DJ68" s="5760"/>
      <c r="DK68" s="5760"/>
      <c r="DL68" s="5760"/>
      <c r="DM68" s="5760"/>
      <c r="DN68" s="5760"/>
      <c r="DO68" s="5760"/>
      <c r="DP68" s="5760"/>
      <c r="DQ68" s="5760"/>
      <c r="DR68" s="5760"/>
      <c r="DS68" s="5760"/>
      <c r="DT68" s="5760"/>
      <c r="DU68" s="5760"/>
      <c r="DV68" s="5760"/>
      <c r="DW68" s="5760"/>
      <c r="DX68" s="5760"/>
      <c r="DY68" s="5760"/>
      <c r="DZ68" s="5760"/>
      <c r="EA68" s="5760"/>
      <c r="EB68" s="5760"/>
      <c r="EC68" s="5760"/>
      <c r="ED68" s="5760"/>
      <c r="EE68" s="5760"/>
      <c r="EF68" s="5760"/>
      <c r="EG68" s="5760"/>
      <c r="EH68" s="5760"/>
      <c r="EI68" s="5760"/>
      <c r="EJ68" s="5760"/>
      <c r="EK68" s="5760"/>
      <c r="EL68" s="5760"/>
      <c r="EM68" s="5760"/>
      <c r="EN68" s="5760"/>
      <c r="EO68" s="5760"/>
      <c r="EP68" s="5760"/>
      <c r="EQ68" s="5760"/>
      <c r="ER68" s="5760"/>
      <c r="ES68" s="5760"/>
      <c r="ET68" s="5760"/>
      <c r="EU68" s="2042"/>
    </row>
    <row r="69" spans="1:151" s="2043" customFormat="1" ht="15" customHeight="1">
      <c r="A69" s="16259"/>
      <c r="B69" s="16262"/>
      <c r="C69" s="16265"/>
      <c r="D69" s="5755"/>
      <c r="E69" s="5756"/>
      <c r="F69" s="16218"/>
      <c r="G69" s="16267"/>
      <c r="H69" s="16267"/>
      <c r="I69" s="16267"/>
      <c r="J69" s="16218"/>
      <c r="K69" s="2759" t="s">
        <v>208</v>
      </c>
      <c r="L69" s="2777"/>
      <c r="M69" s="2777" t="s">
        <v>10265</v>
      </c>
      <c r="N69" s="5812"/>
      <c r="O69" s="5757"/>
      <c r="P69" s="5765"/>
      <c r="Q69" s="5759"/>
      <c r="R69" s="16329"/>
      <c r="S69" s="5759"/>
      <c r="T69" s="5759"/>
      <c r="U69" s="5759"/>
      <c r="V69" s="5758"/>
      <c r="W69" s="5758"/>
      <c r="X69" s="5758"/>
      <c r="Y69" s="5758"/>
      <c r="Z69" s="5758"/>
      <c r="AA69" s="5758"/>
      <c r="AB69" s="5758"/>
      <c r="AC69" s="5758"/>
      <c r="AD69" s="5758"/>
      <c r="AE69" s="5758"/>
      <c r="AF69" s="5758"/>
      <c r="AG69" s="5758"/>
      <c r="AH69" s="5758"/>
      <c r="AI69" s="5758"/>
      <c r="AJ69" s="5758"/>
      <c r="AK69" s="5758"/>
      <c r="AL69" s="5758"/>
      <c r="AM69" s="5758"/>
      <c r="AN69" s="5758"/>
      <c r="AO69" s="5758"/>
      <c r="AP69" s="5758"/>
      <c r="AQ69" s="5758"/>
      <c r="AR69" s="5758"/>
      <c r="AS69" s="5759"/>
      <c r="AT69" s="5759"/>
      <c r="AU69" s="5760"/>
      <c r="AV69" s="5760"/>
      <c r="AW69" s="5760"/>
      <c r="AX69" s="5760"/>
      <c r="AY69" s="5760"/>
      <c r="AZ69" s="5760"/>
      <c r="BA69" s="5760"/>
      <c r="BB69" s="5760"/>
      <c r="BC69" s="5760"/>
      <c r="BD69" s="5760"/>
      <c r="BE69" s="5760"/>
      <c r="BF69" s="5760"/>
      <c r="BG69" s="5764"/>
      <c r="BH69" s="5761"/>
      <c r="BI69" s="2314"/>
      <c r="BJ69" s="5760"/>
      <c r="BK69" s="5760"/>
      <c r="BL69" s="5763"/>
      <c r="BM69" s="5763"/>
      <c r="BN69" s="5763"/>
      <c r="BO69" s="5760"/>
      <c r="BP69" s="5760"/>
      <c r="BQ69" s="5763"/>
      <c r="BR69" s="5770"/>
      <c r="BS69" s="5763"/>
      <c r="BT69" s="5763"/>
      <c r="BU69" s="5763"/>
      <c r="BV69" s="5763"/>
      <c r="BW69" s="5760"/>
      <c r="BX69" s="5760"/>
      <c r="BY69" s="5763"/>
      <c r="BZ69" s="5763"/>
      <c r="CA69" s="5760"/>
      <c r="CB69" s="5760"/>
      <c r="CC69" s="5763"/>
      <c r="CD69" s="5760"/>
      <c r="CE69" s="5760"/>
      <c r="CF69" s="5760"/>
      <c r="CG69" s="5760"/>
      <c r="CH69" s="5760"/>
      <c r="CI69" s="5760"/>
      <c r="CJ69" s="5760"/>
      <c r="CK69" s="5763"/>
      <c r="CL69" s="5760"/>
      <c r="CM69" s="5760"/>
      <c r="CN69" s="5760"/>
      <c r="CO69" s="5760"/>
      <c r="CP69" s="5760"/>
      <c r="CQ69" s="5760"/>
      <c r="CR69" s="5760"/>
      <c r="CS69" s="5760"/>
      <c r="CT69" s="5760"/>
      <c r="CU69" s="5760"/>
      <c r="CV69" s="5760"/>
      <c r="CW69" s="5760"/>
      <c r="CX69" s="5760"/>
      <c r="CY69" s="5760"/>
      <c r="CZ69" s="5760"/>
      <c r="DA69" s="5760"/>
      <c r="DB69" s="5760"/>
      <c r="DC69" s="5760"/>
      <c r="DD69" s="5760"/>
      <c r="DE69" s="5760"/>
      <c r="DF69" s="5760"/>
      <c r="DG69" s="5760"/>
      <c r="DH69" s="5760"/>
      <c r="DI69" s="5760"/>
      <c r="DJ69" s="5760"/>
      <c r="DK69" s="5760"/>
      <c r="DL69" s="5760"/>
      <c r="DM69" s="5760"/>
      <c r="DN69" s="5760"/>
      <c r="DO69" s="5760"/>
      <c r="DP69" s="5760"/>
      <c r="DQ69" s="5760"/>
      <c r="DR69" s="5760"/>
      <c r="DS69" s="5760"/>
      <c r="DT69" s="5760"/>
      <c r="DU69" s="5760"/>
      <c r="DV69" s="5760"/>
      <c r="DW69" s="5760"/>
      <c r="DX69" s="5760"/>
      <c r="DY69" s="5760"/>
      <c r="DZ69" s="5760"/>
      <c r="EA69" s="5760"/>
      <c r="EB69" s="5760"/>
      <c r="EC69" s="5760"/>
      <c r="ED69" s="5760"/>
      <c r="EE69" s="5760"/>
      <c r="EF69" s="5760"/>
      <c r="EG69" s="5760"/>
      <c r="EH69" s="5760"/>
      <c r="EI69" s="5760"/>
      <c r="EJ69" s="5760"/>
      <c r="EK69" s="5760"/>
      <c r="EL69" s="5760"/>
      <c r="EM69" s="5760"/>
      <c r="EN69" s="5760"/>
      <c r="EO69" s="5760"/>
      <c r="EP69" s="5760"/>
      <c r="EQ69" s="5760"/>
      <c r="ER69" s="5760"/>
      <c r="ES69" s="5760"/>
      <c r="ET69" s="5760"/>
      <c r="EU69" s="2042"/>
    </row>
    <row r="70" spans="1:151" s="2043" customFormat="1" ht="15" customHeight="1">
      <c r="A70" s="16259"/>
      <c r="B70" s="16262"/>
      <c r="C70" s="16265"/>
      <c r="D70" s="5755" t="s">
        <v>2689</v>
      </c>
      <c r="E70" s="5756" t="s">
        <v>2690</v>
      </c>
      <c r="F70" s="16218" t="s">
        <v>2691</v>
      </c>
      <c r="G70" s="16267"/>
      <c r="H70" s="16267" t="s">
        <v>4551</v>
      </c>
      <c r="I70" s="16267" t="s">
        <v>2692</v>
      </c>
      <c r="J70" s="16218" t="s">
        <v>2691</v>
      </c>
      <c r="K70" s="2759" t="s">
        <v>86</v>
      </c>
      <c r="L70" s="2777" t="s">
        <v>2862</v>
      </c>
      <c r="M70" s="2777"/>
      <c r="N70" s="5815">
        <v>1</v>
      </c>
      <c r="O70" s="5757" t="s">
        <v>3528</v>
      </c>
      <c r="P70" s="5765" t="s">
        <v>3531</v>
      </c>
      <c r="Q70" s="5759"/>
      <c r="R70" s="16329"/>
      <c r="S70" s="5759"/>
      <c r="T70" s="5759"/>
      <c r="U70" s="5759"/>
      <c r="V70" s="5758">
        <v>39</v>
      </c>
      <c r="W70" s="5758">
        <v>19</v>
      </c>
      <c r="X70" s="5758">
        <v>20</v>
      </c>
      <c r="Y70" s="5758">
        <v>39</v>
      </c>
      <c r="Z70" s="5758"/>
      <c r="AA70" s="5758"/>
      <c r="AB70" s="5758">
        <v>39</v>
      </c>
      <c r="AC70" s="5758"/>
      <c r="AD70" s="5758"/>
      <c r="AE70" s="5759"/>
      <c r="AF70" s="5759"/>
      <c r="AG70" s="5759"/>
      <c r="AH70" s="5759"/>
      <c r="AI70" s="5759"/>
      <c r="AJ70" s="5759"/>
      <c r="AK70" s="5759"/>
      <c r="AL70" s="5759"/>
      <c r="AM70" s="5759"/>
      <c r="AN70" s="5759"/>
      <c r="AO70" s="5759"/>
      <c r="AP70" s="5759">
        <v>39</v>
      </c>
      <c r="AQ70" s="5759"/>
      <c r="AR70" s="5759"/>
      <c r="AS70" s="5759"/>
      <c r="AT70" s="5759"/>
      <c r="AU70" s="5764" t="s">
        <v>2951</v>
      </c>
      <c r="AV70" s="5764" t="s">
        <v>2951</v>
      </c>
      <c r="AW70" s="5760"/>
      <c r="AX70" s="5760"/>
      <c r="AY70" s="5760"/>
      <c r="AZ70" s="5760"/>
      <c r="BA70" s="5760"/>
      <c r="BB70" s="5760"/>
      <c r="BC70" s="5760"/>
      <c r="BD70" s="5760"/>
      <c r="BE70" s="5760"/>
      <c r="BF70" s="5760"/>
      <c r="BG70" s="5816" t="s">
        <v>9832</v>
      </c>
      <c r="BH70" s="5761">
        <v>1</v>
      </c>
      <c r="BI70" s="2314" t="s">
        <v>9142</v>
      </c>
      <c r="BJ70" s="5762" t="s">
        <v>9143</v>
      </c>
      <c r="BK70" s="5760"/>
      <c r="BL70" s="5763"/>
      <c r="BM70" s="5763"/>
      <c r="BN70" s="5763"/>
      <c r="BO70" s="5760"/>
      <c r="BP70" s="5760"/>
      <c r="BQ70" s="5764">
        <v>70</v>
      </c>
      <c r="BR70" s="5764" t="s">
        <v>2951</v>
      </c>
      <c r="BS70" s="5764" t="s">
        <v>2951</v>
      </c>
      <c r="BT70" s="5764" t="s">
        <v>2951</v>
      </c>
      <c r="BU70" s="5764" t="s">
        <v>2951</v>
      </c>
      <c r="BV70" s="5764"/>
      <c r="BW70" s="5764"/>
      <c r="BX70" s="5764"/>
      <c r="BY70" s="5764"/>
      <c r="BZ70" s="5764"/>
      <c r="CA70" s="5764"/>
      <c r="CB70" s="5764"/>
      <c r="CC70" s="5764"/>
      <c r="CD70" s="5764" t="s">
        <v>2951</v>
      </c>
      <c r="CE70" s="5764" t="s">
        <v>2951</v>
      </c>
      <c r="CF70" s="5764"/>
      <c r="CG70" s="5764"/>
      <c r="CH70" s="5764"/>
      <c r="CI70" s="5764"/>
      <c r="CJ70" s="5764"/>
      <c r="CK70" s="5764" t="s">
        <v>2951</v>
      </c>
      <c r="CL70" s="5764" t="s">
        <v>2951</v>
      </c>
      <c r="CM70" s="5764" t="s">
        <v>2951</v>
      </c>
      <c r="CN70" s="5764" t="s">
        <v>2951</v>
      </c>
      <c r="CO70" s="5764" t="s">
        <v>2951</v>
      </c>
      <c r="CP70" s="5764" t="s">
        <v>2951</v>
      </c>
      <c r="CQ70" s="5760"/>
      <c r="CR70" s="5760"/>
      <c r="CS70" s="5760"/>
      <c r="CT70" s="5760"/>
      <c r="CU70" s="5760"/>
      <c r="CV70" s="5760"/>
      <c r="CW70" s="5760"/>
      <c r="CX70" s="5760"/>
      <c r="CY70" s="5760"/>
      <c r="CZ70" s="5760"/>
      <c r="DA70" s="5760"/>
      <c r="DB70" s="5760"/>
      <c r="DC70" s="5760"/>
      <c r="DD70" s="5760"/>
      <c r="DE70" s="5760"/>
      <c r="DF70" s="5760"/>
      <c r="DG70" s="5760"/>
      <c r="DH70" s="5760"/>
      <c r="DI70" s="5760"/>
      <c r="DJ70" s="5760"/>
      <c r="DK70" s="5760"/>
      <c r="DL70" s="5760"/>
      <c r="DM70" s="5760"/>
      <c r="DN70" s="5760"/>
      <c r="DO70" s="5760"/>
      <c r="DP70" s="5760"/>
      <c r="DQ70" s="5760"/>
      <c r="DR70" s="5760"/>
      <c r="DS70" s="5760"/>
      <c r="DT70" s="5760"/>
      <c r="DU70" s="5760"/>
      <c r="DV70" s="5760"/>
      <c r="DW70" s="5760"/>
      <c r="DX70" s="5760"/>
      <c r="DY70" s="5760"/>
      <c r="DZ70" s="5760"/>
      <c r="EA70" s="5760"/>
      <c r="EB70" s="5760"/>
      <c r="EC70" s="5760"/>
      <c r="ED70" s="5760"/>
      <c r="EE70" s="5760"/>
      <c r="EF70" s="5760"/>
      <c r="EG70" s="5760"/>
      <c r="EH70" s="5760"/>
      <c r="EI70" s="5760"/>
      <c r="EJ70" s="5760"/>
      <c r="EK70" s="5760"/>
      <c r="EL70" s="5760"/>
      <c r="EM70" s="5760"/>
      <c r="EN70" s="5760"/>
      <c r="EO70" s="5760"/>
      <c r="EP70" s="5760"/>
      <c r="EQ70" s="5760"/>
      <c r="ER70" s="5760"/>
      <c r="ES70" s="5760"/>
      <c r="ET70" s="5760"/>
      <c r="EU70" s="2042"/>
    </row>
    <row r="71" spans="1:151" s="2043" customFormat="1" ht="15" customHeight="1">
      <c r="A71" s="16259"/>
      <c r="B71" s="16262"/>
      <c r="C71" s="16265"/>
      <c r="D71" s="5755"/>
      <c r="E71" s="5756"/>
      <c r="F71" s="16218"/>
      <c r="G71" s="16267"/>
      <c r="H71" s="16267"/>
      <c r="I71" s="16267"/>
      <c r="J71" s="16218"/>
      <c r="K71" s="2759" t="s">
        <v>10063</v>
      </c>
      <c r="L71" s="2777"/>
      <c r="M71" s="2777" t="s">
        <v>10264</v>
      </c>
      <c r="N71" s="5815"/>
      <c r="O71" s="5757"/>
      <c r="P71" s="5765"/>
      <c r="Q71" s="5759"/>
      <c r="R71" s="5817"/>
      <c r="S71" s="5759"/>
      <c r="T71" s="5759"/>
      <c r="U71" s="5759"/>
      <c r="V71" s="5758"/>
      <c r="W71" s="5758"/>
      <c r="X71" s="5758"/>
      <c r="Y71" s="5758"/>
      <c r="Z71" s="5758"/>
      <c r="AA71" s="5758"/>
      <c r="AB71" s="5758"/>
      <c r="AC71" s="5758"/>
      <c r="AD71" s="5758"/>
      <c r="AE71" s="5759"/>
      <c r="AF71" s="5759"/>
      <c r="AG71" s="5759"/>
      <c r="AH71" s="5759"/>
      <c r="AI71" s="5759"/>
      <c r="AJ71" s="5759"/>
      <c r="AK71" s="5759"/>
      <c r="AL71" s="5759"/>
      <c r="AM71" s="5759"/>
      <c r="AN71" s="5759"/>
      <c r="AO71" s="5759"/>
      <c r="AP71" s="5759"/>
      <c r="AQ71" s="5759"/>
      <c r="AR71" s="5759"/>
      <c r="AS71" s="5759"/>
      <c r="AT71" s="5759"/>
      <c r="AU71" s="5764"/>
      <c r="AV71" s="5764"/>
      <c r="AW71" s="5760"/>
      <c r="AX71" s="5760"/>
      <c r="AY71" s="5760"/>
      <c r="AZ71" s="5760"/>
      <c r="BA71" s="5760"/>
      <c r="BB71" s="5760"/>
      <c r="BC71" s="5760"/>
      <c r="BD71" s="5760"/>
      <c r="BE71" s="5760"/>
      <c r="BF71" s="5760"/>
      <c r="BG71" s="5816"/>
      <c r="BH71" s="5761"/>
      <c r="BI71" s="2314"/>
      <c r="BJ71" s="5762"/>
      <c r="BK71" s="5760"/>
      <c r="BL71" s="5763"/>
      <c r="BM71" s="5763"/>
      <c r="BN71" s="5763"/>
      <c r="BO71" s="5760"/>
      <c r="BP71" s="5760"/>
      <c r="BQ71" s="5764"/>
      <c r="BR71" s="5764"/>
      <c r="BS71" s="5764"/>
      <c r="BT71" s="5764"/>
      <c r="BU71" s="5764"/>
      <c r="BV71" s="5764"/>
      <c r="BW71" s="5764"/>
      <c r="BX71" s="5764"/>
      <c r="BY71" s="5764"/>
      <c r="BZ71" s="5764"/>
      <c r="CA71" s="5764"/>
      <c r="CB71" s="5764"/>
      <c r="CC71" s="5764"/>
      <c r="CD71" s="5764"/>
      <c r="CE71" s="5764"/>
      <c r="CF71" s="5764"/>
      <c r="CG71" s="5764"/>
      <c r="CH71" s="5764"/>
      <c r="CI71" s="5764"/>
      <c r="CJ71" s="5764"/>
      <c r="CK71" s="5764"/>
      <c r="CL71" s="5764"/>
      <c r="CM71" s="5764"/>
      <c r="CN71" s="5764"/>
      <c r="CO71" s="5764"/>
      <c r="CP71" s="5764"/>
      <c r="CQ71" s="5760"/>
      <c r="CR71" s="5760"/>
      <c r="CS71" s="5760"/>
      <c r="CT71" s="5760"/>
      <c r="CU71" s="5760"/>
      <c r="CV71" s="5760"/>
      <c r="CW71" s="5760"/>
      <c r="CX71" s="5760"/>
      <c r="CY71" s="5760"/>
      <c r="CZ71" s="5760"/>
      <c r="DA71" s="5760"/>
      <c r="DB71" s="5760"/>
      <c r="DC71" s="5760"/>
      <c r="DD71" s="5760"/>
      <c r="DE71" s="5760"/>
      <c r="DF71" s="5760"/>
      <c r="DG71" s="5760"/>
      <c r="DH71" s="5760"/>
      <c r="DI71" s="5760"/>
      <c r="DJ71" s="5760"/>
      <c r="DK71" s="5760"/>
      <c r="DL71" s="5760"/>
      <c r="DM71" s="5760"/>
      <c r="DN71" s="5760"/>
      <c r="DO71" s="5760"/>
      <c r="DP71" s="5760"/>
      <c r="DQ71" s="5760"/>
      <c r="DR71" s="5760"/>
      <c r="DS71" s="5760"/>
      <c r="DT71" s="5760"/>
      <c r="DU71" s="5760"/>
      <c r="DV71" s="5760"/>
      <c r="DW71" s="5760"/>
      <c r="DX71" s="5760"/>
      <c r="DY71" s="5760"/>
      <c r="DZ71" s="5760"/>
      <c r="EA71" s="5760"/>
      <c r="EB71" s="5760"/>
      <c r="EC71" s="5760"/>
      <c r="ED71" s="5760"/>
      <c r="EE71" s="5760"/>
      <c r="EF71" s="5760"/>
      <c r="EG71" s="5760"/>
      <c r="EH71" s="5760"/>
      <c r="EI71" s="5760"/>
      <c r="EJ71" s="5760"/>
      <c r="EK71" s="5760"/>
      <c r="EL71" s="5760"/>
      <c r="EM71" s="5760"/>
      <c r="EN71" s="5760"/>
      <c r="EO71" s="5760"/>
      <c r="EP71" s="5760"/>
      <c r="EQ71" s="5760"/>
      <c r="ER71" s="5760"/>
      <c r="ES71" s="5760"/>
      <c r="ET71" s="5760"/>
      <c r="EU71" s="2042"/>
    </row>
    <row r="72" spans="1:151" s="2043" customFormat="1" ht="15" customHeight="1">
      <c r="A72" s="16259"/>
      <c r="B72" s="16262"/>
      <c r="C72" s="16265"/>
      <c r="D72" s="5755"/>
      <c r="E72" s="5756"/>
      <c r="F72" s="16218"/>
      <c r="G72" s="16267"/>
      <c r="H72" s="16267"/>
      <c r="I72" s="16267"/>
      <c r="J72" s="16218"/>
      <c r="K72" s="2759" t="s">
        <v>208</v>
      </c>
      <c r="L72" s="2777"/>
      <c r="M72" s="2777" t="s">
        <v>10265</v>
      </c>
      <c r="N72" s="5815"/>
      <c r="O72" s="5757"/>
      <c r="P72" s="5765"/>
      <c r="Q72" s="5759"/>
      <c r="R72" s="5817"/>
      <c r="S72" s="5759"/>
      <c r="T72" s="5759"/>
      <c r="U72" s="5759"/>
      <c r="V72" s="5758"/>
      <c r="W72" s="5758"/>
      <c r="X72" s="5758"/>
      <c r="Y72" s="5758"/>
      <c r="Z72" s="5758"/>
      <c r="AA72" s="5758"/>
      <c r="AB72" s="5758"/>
      <c r="AC72" s="5758"/>
      <c r="AD72" s="5758"/>
      <c r="AE72" s="5759"/>
      <c r="AF72" s="5759"/>
      <c r="AG72" s="5759"/>
      <c r="AH72" s="5759"/>
      <c r="AI72" s="5759"/>
      <c r="AJ72" s="5759"/>
      <c r="AK72" s="5759"/>
      <c r="AL72" s="5759"/>
      <c r="AM72" s="5759"/>
      <c r="AN72" s="5759"/>
      <c r="AO72" s="5759"/>
      <c r="AP72" s="5759"/>
      <c r="AQ72" s="5759"/>
      <c r="AR72" s="5759"/>
      <c r="AS72" s="5759"/>
      <c r="AT72" s="5759"/>
      <c r="AU72" s="5764"/>
      <c r="AV72" s="5764"/>
      <c r="AW72" s="5760"/>
      <c r="AX72" s="5760"/>
      <c r="AY72" s="5760"/>
      <c r="AZ72" s="5760"/>
      <c r="BA72" s="5760"/>
      <c r="BB72" s="5760"/>
      <c r="BC72" s="5760"/>
      <c r="BD72" s="5760"/>
      <c r="BE72" s="5760"/>
      <c r="BF72" s="5760"/>
      <c r="BG72" s="5816"/>
      <c r="BH72" s="5761"/>
      <c r="BI72" s="2314"/>
      <c r="BJ72" s="5762"/>
      <c r="BK72" s="5760"/>
      <c r="BL72" s="5763"/>
      <c r="BM72" s="5763"/>
      <c r="BN72" s="5763"/>
      <c r="BO72" s="5760"/>
      <c r="BP72" s="5760"/>
      <c r="BQ72" s="5764"/>
      <c r="BR72" s="5764"/>
      <c r="BS72" s="5764"/>
      <c r="BT72" s="5764"/>
      <c r="BU72" s="5764"/>
      <c r="BV72" s="5764"/>
      <c r="BW72" s="5764"/>
      <c r="BX72" s="5764"/>
      <c r="BY72" s="5764"/>
      <c r="BZ72" s="5764"/>
      <c r="CA72" s="5764"/>
      <c r="CB72" s="5764"/>
      <c r="CC72" s="5764"/>
      <c r="CD72" s="5764"/>
      <c r="CE72" s="5764"/>
      <c r="CF72" s="5764"/>
      <c r="CG72" s="5764"/>
      <c r="CH72" s="5764"/>
      <c r="CI72" s="5764"/>
      <c r="CJ72" s="5764"/>
      <c r="CK72" s="5764"/>
      <c r="CL72" s="5764"/>
      <c r="CM72" s="5764"/>
      <c r="CN72" s="5764"/>
      <c r="CO72" s="5764"/>
      <c r="CP72" s="5764"/>
      <c r="CQ72" s="5760"/>
      <c r="CR72" s="5760"/>
      <c r="CS72" s="5760"/>
      <c r="CT72" s="5760"/>
      <c r="CU72" s="5760"/>
      <c r="CV72" s="5760"/>
      <c r="CW72" s="5760"/>
      <c r="CX72" s="5760"/>
      <c r="CY72" s="5760"/>
      <c r="CZ72" s="5760"/>
      <c r="DA72" s="5760"/>
      <c r="DB72" s="5760"/>
      <c r="DC72" s="5760"/>
      <c r="DD72" s="5760"/>
      <c r="DE72" s="5760"/>
      <c r="DF72" s="5760"/>
      <c r="DG72" s="5760"/>
      <c r="DH72" s="5760"/>
      <c r="DI72" s="5760"/>
      <c r="DJ72" s="5760"/>
      <c r="DK72" s="5760"/>
      <c r="DL72" s="5760"/>
      <c r="DM72" s="5760"/>
      <c r="DN72" s="5760"/>
      <c r="DO72" s="5760"/>
      <c r="DP72" s="5760"/>
      <c r="DQ72" s="5760"/>
      <c r="DR72" s="5760"/>
      <c r="DS72" s="5760"/>
      <c r="DT72" s="5760"/>
      <c r="DU72" s="5760"/>
      <c r="DV72" s="5760"/>
      <c r="DW72" s="5760"/>
      <c r="DX72" s="5760"/>
      <c r="DY72" s="5760"/>
      <c r="DZ72" s="5760"/>
      <c r="EA72" s="5760"/>
      <c r="EB72" s="5760"/>
      <c r="EC72" s="5760"/>
      <c r="ED72" s="5760"/>
      <c r="EE72" s="5760"/>
      <c r="EF72" s="5760"/>
      <c r="EG72" s="5760"/>
      <c r="EH72" s="5760"/>
      <c r="EI72" s="5760"/>
      <c r="EJ72" s="5760"/>
      <c r="EK72" s="5760"/>
      <c r="EL72" s="5760"/>
      <c r="EM72" s="5760"/>
      <c r="EN72" s="5760"/>
      <c r="EO72" s="5760"/>
      <c r="EP72" s="5760"/>
      <c r="EQ72" s="5760"/>
      <c r="ER72" s="5760"/>
      <c r="ES72" s="5760"/>
      <c r="ET72" s="5760"/>
      <c r="EU72" s="2042"/>
    </row>
    <row r="73" spans="1:151" s="2043" customFormat="1" ht="15" customHeight="1">
      <c r="A73" s="16259"/>
      <c r="B73" s="16262"/>
      <c r="C73" s="16265"/>
      <c r="D73" s="5755" t="s">
        <v>2693</v>
      </c>
      <c r="E73" s="5756" t="s">
        <v>2694</v>
      </c>
      <c r="F73" s="16218" t="s">
        <v>2695</v>
      </c>
      <c r="G73" s="16267"/>
      <c r="H73" s="16267" t="s">
        <v>4552</v>
      </c>
      <c r="I73" s="16267" t="s">
        <v>2696</v>
      </c>
      <c r="J73" s="16218" t="s">
        <v>2695</v>
      </c>
      <c r="K73" s="2759" t="s">
        <v>86</v>
      </c>
      <c r="L73" s="2777" t="s">
        <v>2862</v>
      </c>
      <c r="M73" s="2777"/>
      <c r="N73" s="5815">
        <v>1</v>
      </c>
      <c r="O73" s="5757" t="s">
        <v>3532</v>
      </c>
      <c r="P73" s="5765" t="s">
        <v>3531</v>
      </c>
      <c r="Q73" s="5757" t="s">
        <v>3533</v>
      </c>
      <c r="R73" s="5758" t="s">
        <v>1732</v>
      </c>
      <c r="S73" s="5758" t="s">
        <v>1732</v>
      </c>
      <c r="T73" s="5758" t="s">
        <v>1732</v>
      </c>
      <c r="U73" s="5758" t="s">
        <v>1732</v>
      </c>
      <c r="V73" s="5758" t="s">
        <v>1732</v>
      </c>
      <c r="W73" s="5758" t="s">
        <v>1732</v>
      </c>
      <c r="X73" s="5758" t="s">
        <v>1732</v>
      </c>
      <c r="Y73" s="5758" t="s">
        <v>1732</v>
      </c>
      <c r="Z73" s="5758" t="s">
        <v>1732</v>
      </c>
      <c r="AA73" s="5758" t="s">
        <v>1732</v>
      </c>
      <c r="AB73" s="5758" t="s">
        <v>1732</v>
      </c>
      <c r="AC73" s="5758" t="s">
        <v>1732</v>
      </c>
      <c r="AD73" s="5758" t="s">
        <v>1732</v>
      </c>
      <c r="AE73" s="5758" t="s">
        <v>1732</v>
      </c>
      <c r="AF73" s="5758" t="s">
        <v>1732</v>
      </c>
      <c r="AG73" s="5758" t="s">
        <v>1732</v>
      </c>
      <c r="AH73" s="5758" t="s">
        <v>1732</v>
      </c>
      <c r="AI73" s="5758" t="s">
        <v>1732</v>
      </c>
      <c r="AJ73" s="5758" t="s">
        <v>1732</v>
      </c>
      <c r="AK73" s="5758" t="s">
        <v>1732</v>
      </c>
      <c r="AL73" s="5758" t="s">
        <v>1732</v>
      </c>
      <c r="AM73" s="5758" t="s">
        <v>1732</v>
      </c>
      <c r="AN73" s="5758" t="s">
        <v>1732</v>
      </c>
      <c r="AO73" s="5758" t="s">
        <v>1732</v>
      </c>
      <c r="AP73" s="5759"/>
      <c r="AQ73" s="5759"/>
      <c r="AR73" s="5759"/>
      <c r="AS73" s="5769"/>
      <c r="AT73" s="5760"/>
      <c r="AU73" s="5760"/>
      <c r="AV73" s="5760"/>
      <c r="AW73" s="5760"/>
      <c r="AX73" s="5760"/>
      <c r="AY73" s="5760"/>
      <c r="AZ73" s="5760"/>
      <c r="BA73" s="5760"/>
      <c r="BB73" s="5760"/>
      <c r="BC73" s="5760"/>
      <c r="BD73" s="5760"/>
      <c r="BE73" s="5760"/>
      <c r="BF73" s="5760"/>
      <c r="BG73" s="5764" t="s">
        <v>9833</v>
      </c>
      <c r="BH73" s="5761">
        <v>1</v>
      </c>
      <c r="BI73" s="2314" t="s">
        <v>9144</v>
      </c>
      <c r="BJ73" s="5764" t="s">
        <v>3731</v>
      </c>
      <c r="BK73" s="5762" t="s">
        <v>9145</v>
      </c>
      <c r="BL73" s="5763"/>
      <c r="BM73" s="5763"/>
      <c r="BN73" s="5763"/>
      <c r="BO73" s="5760"/>
      <c r="BP73" s="5760"/>
      <c r="BQ73" s="5764">
        <v>959</v>
      </c>
      <c r="BR73" s="5769">
        <v>184</v>
      </c>
      <c r="BS73" s="5769">
        <v>775</v>
      </c>
      <c r="BT73" s="5769">
        <v>930</v>
      </c>
      <c r="BU73" s="5769">
        <v>29</v>
      </c>
      <c r="BV73" s="5769">
        <v>0</v>
      </c>
      <c r="BW73" s="5769">
        <v>4</v>
      </c>
      <c r="BX73" s="5769">
        <v>19</v>
      </c>
      <c r="BY73" s="5769">
        <v>443</v>
      </c>
      <c r="BZ73" s="5769">
        <v>398</v>
      </c>
      <c r="CA73" s="5769">
        <v>95</v>
      </c>
      <c r="CB73" s="5769"/>
      <c r="CC73" s="5769"/>
      <c r="CD73" s="5769"/>
      <c r="CE73" s="5769">
        <v>44</v>
      </c>
      <c r="CF73" s="5769"/>
      <c r="CG73" s="5769">
        <v>73</v>
      </c>
      <c r="CH73" s="5769"/>
      <c r="CI73" s="5769"/>
      <c r="CJ73" s="5769">
        <v>6</v>
      </c>
      <c r="CK73" s="5769">
        <v>918</v>
      </c>
      <c r="CL73" s="5769">
        <v>31</v>
      </c>
      <c r="CM73" s="5769">
        <v>10</v>
      </c>
      <c r="CN73" s="5760"/>
      <c r="CO73" s="5760"/>
      <c r="CP73" s="5760"/>
      <c r="CQ73" s="5760"/>
      <c r="CR73" s="5760"/>
      <c r="CS73" s="5760"/>
      <c r="CT73" s="5760"/>
      <c r="CU73" s="5760"/>
      <c r="CV73" s="5760"/>
      <c r="CW73" s="5760"/>
      <c r="CX73" s="5760"/>
      <c r="CY73" s="5760"/>
      <c r="CZ73" s="5760"/>
      <c r="DA73" s="5760"/>
      <c r="DB73" s="5760"/>
      <c r="DC73" s="5760"/>
      <c r="DD73" s="5760"/>
      <c r="DE73" s="5760"/>
      <c r="DF73" s="5760"/>
      <c r="DG73" s="5760"/>
      <c r="DH73" s="5760"/>
      <c r="DI73" s="5760"/>
      <c r="DJ73" s="5760"/>
      <c r="DK73" s="5760"/>
      <c r="DL73" s="5760"/>
      <c r="DM73" s="5760"/>
      <c r="DN73" s="5760"/>
      <c r="DO73" s="5760"/>
      <c r="DP73" s="5760"/>
      <c r="DQ73" s="5760"/>
      <c r="DR73" s="5760"/>
      <c r="DS73" s="5760"/>
      <c r="DT73" s="5760"/>
      <c r="DU73" s="5760"/>
      <c r="DV73" s="5760"/>
      <c r="DW73" s="5760"/>
      <c r="DX73" s="5760"/>
      <c r="DY73" s="5760"/>
      <c r="DZ73" s="5760"/>
      <c r="EA73" s="5760"/>
      <c r="EB73" s="5760"/>
      <c r="EC73" s="5760"/>
      <c r="ED73" s="5760"/>
      <c r="EE73" s="5760"/>
      <c r="EF73" s="5760"/>
      <c r="EG73" s="5760"/>
      <c r="EH73" s="5760"/>
      <c r="EI73" s="5760"/>
      <c r="EJ73" s="5760"/>
      <c r="EK73" s="5760"/>
      <c r="EL73" s="5760"/>
      <c r="EM73" s="5760"/>
      <c r="EN73" s="5760"/>
      <c r="EO73" s="5760"/>
      <c r="EP73" s="5760"/>
      <c r="EQ73" s="5760"/>
      <c r="ER73" s="5760"/>
      <c r="ES73" s="5760"/>
      <c r="ET73" s="5760"/>
      <c r="EU73" s="2042"/>
    </row>
    <row r="74" spans="1:151" s="2043" customFormat="1" ht="15" customHeight="1">
      <c r="A74" s="16259"/>
      <c r="B74" s="16262"/>
      <c r="C74" s="16265"/>
      <c r="D74" s="5755"/>
      <c r="E74" s="5756"/>
      <c r="F74" s="16218"/>
      <c r="G74" s="16267"/>
      <c r="H74" s="16267"/>
      <c r="I74" s="16267"/>
      <c r="J74" s="16218"/>
      <c r="K74" s="2759" t="s">
        <v>10063</v>
      </c>
      <c r="L74" s="2777"/>
      <c r="M74" s="2777" t="s">
        <v>10264</v>
      </c>
      <c r="N74" s="5815"/>
      <c r="O74" s="5757"/>
      <c r="P74" s="5765"/>
      <c r="Q74" s="5757"/>
      <c r="R74" s="5758"/>
      <c r="S74" s="5758"/>
      <c r="T74" s="5758"/>
      <c r="U74" s="5758"/>
      <c r="V74" s="5758"/>
      <c r="W74" s="5758"/>
      <c r="X74" s="5758"/>
      <c r="Y74" s="5758"/>
      <c r="Z74" s="5758"/>
      <c r="AA74" s="5758"/>
      <c r="AB74" s="5758"/>
      <c r="AC74" s="5758"/>
      <c r="AD74" s="5758"/>
      <c r="AE74" s="5758"/>
      <c r="AF74" s="5758"/>
      <c r="AG74" s="5758"/>
      <c r="AH74" s="5758"/>
      <c r="AI74" s="5758"/>
      <c r="AJ74" s="5758"/>
      <c r="AK74" s="5758"/>
      <c r="AL74" s="5758"/>
      <c r="AM74" s="5758"/>
      <c r="AN74" s="5758"/>
      <c r="AO74" s="5758"/>
      <c r="AP74" s="5759"/>
      <c r="AQ74" s="5759"/>
      <c r="AR74" s="5759"/>
      <c r="AS74" s="5769"/>
      <c r="AT74" s="5760"/>
      <c r="AU74" s="5760"/>
      <c r="AV74" s="5760"/>
      <c r="AW74" s="5760"/>
      <c r="AX74" s="5760"/>
      <c r="AY74" s="5760"/>
      <c r="AZ74" s="5760"/>
      <c r="BA74" s="5760"/>
      <c r="BB74" s="5760"/>
      <c r="BC74" s="5760"/>
      <c r="BD74" s="5760"/>
      <c r="BE74" s="5760"/>
      <c r="BF74" s="5760"/>
      <c r="BG74" s="5764"/>
      <c r="BH74" s="5761"/>
      <c r="BI74" s="2314"/>
      <c r="BJ74" s="5764"/>
      <c r="BK74" s="5762"/>
      <c r="BL74" s="5763"/>
      <c r="BM74" s="5763"/>
      <c r="BN74" s="5763"/>
      <c r="BO74" s="5760"/>
      <c r="BP74" s="5760"/>
      <c r="BQ74" s="5764"/>
      <c r="BR74" s="5769"/>
      <c r="BS74" s="5769"/>
      <c r="BT74" s="5769"/>
      <c r="BU74" s="5769"/>
      <c r="BV74" s="5769"/>
      <c r="BW74" s="5769"/>
      <c r="BX74" s="5769"/>
      <c r="BY74" s="5769"/>
      <c r="BZ74" s="5769"/>
      <c r="CA74" s="5769"/>
      <c r="CB74" s="5769"/>
      <c r="CC74" s="5769"/>
      <c r="CD74" s="5769"/>
      <c r="CE74" s="5769"/>
      <c r="CF74" s="5769"/>
      <c r="CG74" s="5769"/>
      <c r="CH74" s="5769"/>
      <c r="CI74" s="5769"/>
      <c r="CJ74" s="5769"/>
      <c r="CK74" s="5769"/>
      <c r="CL74" s="5769"/>
      <c r="CM74" s="5769"/>
      <c r="CN74" s="5760"/>
      <c r="CO74" s="5760"/>
      <c r="CP74" s="5760"/>
      <c r="CQ74" s="5760"/>
      <c r="CR74" s="5760"/>
      <c r="CS74" s="5760"/>
      <c r="CT74" s="5760"/>
      <c r="CU74" s="5760"/>
      <c r="CV74" s="5760"/>
      <c r="CW74" s="5760"/>
      <c r="CX74" s="5760"/>
      <c r="CY74" s="5760"/>
      <c r="CZ74" s="5760"/>
      <c r="DA74" s="5760"/>
      <c r="DB74" s="5760"/>
      <c r="DC74" s="5760"/>
      <c r="DD74" s="5760"/>
      <c r="DE74" s="5760"/>
      <c r="DF74" s="5760"/>
      <c r="DG74" s="5760"/>
      <c r="DH74" s="5760"/>
      <c r="DI74" s="5760"/>
      <c r="DJ74" s="5760"/>
      <c r="DK74" s="5760"/>
      <c r="DL74" s="5760"/>
      <c r="DM74" s="5760"/>
      <c r="DN74" s="5760"/>
      <c r="DO74" s="5760"/>
      <c r="DP74" s="5760"/>
      <c r="DQ74" s="5760"/>
      <c r="DR74" s="5760"/>
      <c r="DS74" s="5760"/>
      <c r="DT74" s="5760"/>
      <c r="DU74" s="5760"/>
      <c r="DV74" s="5760"/>
      <c r="DW74" s="5760"/>
      <c r="DX74" s="5760"/>
      <c r="DY74" s="5760"/>
      <c r="DZ74" s="5760"/>
      <c r="EA74" s="5760"/>
      <c r="EB74" s="5760"/>
      <c r="EC74" s="5760"/>
      <c r="ED74" s="5760"/>
      <c r="EE74" s="5760"/>
      <c r="EF74" s="5760"/>
      <c r="EG74" s="5760"/>
      <c r="EH74" s="5760"/>
      <c r="EI74" s="5760"/>
      <c r="EJ74" s="5760"/>
      <c r="EK74" s="5760"/>
      <c r="EL74" s="5760"/>
      <c r="EM74" s="5760"/>
      <c r="EN74" s="5760"/>
      <c r="EO74" s="5760"/>
      <c r="EP74" s="5760"/>
      <c r="EQ74" s="5760"/>
      <c r="ER74" s="5760"/>
      <c r="ES74" s="5760"/>
      <c r="ET74" s="5760"/>
      <c r="EU74" s="2042"/>
    </row>
    <row r="75" spans="1:151" s="2043" customFormat="1" ht="15" customHeight="1">
      <c r="A75" s="16259"/>
      <c r="B75" s="16262"/>
      <c r="C75" s="16265"/>
      <c r="D75" s="5755"/>
      <c r="E75" s="5756"/>
      <c r="F75" s="16218"/>
      <c r="G75" s="16267"/>
      <c r="H75" s="16267"/>
      <c r="I75" s="16267"/>
      <c r="J75" s="16218"/>
      <c r="K75" s="2759" t="s">
        <v>208</v>
      </c>
      <c r="L75" s="2777"/>
      <c r="M75" s="2777" t="s">
        <v>10265</v>
      </c>
      <c r="N75" s="5815"/>
      <c r="O75" s="5757"/>
      <c r="P75" s="5765"/>
      <c r="Q75" s="5757"/>
      <c r="R75" s="5758"/>
      <c r="S75" s="5758"/>
      <c r="T75" s="5758"/>
      <c r="U75" s="5758"/>
      <c r="V75" s="5758"/>
      <c r="W75" s="5758"/>
      <c r="X75" s="5758"/>
      <c r="Y75" s="5758"/>
      <c r="Z75" s="5758"/>
      <c r="AA75" s="5758"/>
      <c r="AB75" s="5758"/>
      <c r="AC75" s="5758"/>
      <c r="AD75" s="5758"/>
      <c r="AE75" s="5758"/>
      <c r="AF75" s="5758"/>
      <c r="AG75" s="5758"/>
      <c r="AH75" s="5758"/>
      <c r="AI75" s="5758"/>
      <c r="AJ75" s="5758"/>
      <c r="AK75" s="5758"/>
      <c r="AL75" s="5758"/>
      <c r="AM75" s="5758"/>
      <c r="AN75" s="5758"/>
      <c r="AO75" s="5758"/>
      <c r="AP75" s="5759"/>
      <c r="AQ75" s="5759"/>
      <c r="AR75" s="5759"/>
      <c r="AS75" s="5769"/>
      <c r="AT75" s="5760"/>
      <c r="AU75" s="5760"/>
      <c r="AV75" s="5760"/>
      <c r="AW75" s="5760"/>
      <c r="AX75" s="5760"/>
      <c r="AY75" s="5760"/>
      <c r="AZ75" s="5760"/>
      <c r="BA75" s="5760"/>
      <c r="BB75" s="5760"/>
      <c r="BC75" s="5760"/>
      <c r="BD75" s="5760"/>
      <c r="BE75" s="5760"/>
      <c r="BF75" s="5760"/>
      <c r="BG75" s="5764"/>
      <c r="BH75" s="5761"/>
      <c r="BI75" s="2314"/>
      <c r="BJ75" s="5764"/>
      <c r="BK75" s="5762"/>
      <c r="BL75" s="5763"/>
      <c r="BM75" s="5763"/>
      <c r="BN75" s="5763"/>
      <c r="BO75" s="5760"/>
      <c r="BP75" s="5760"/>
      <c r="BQ75" s="5764"/>
      <c r="BR75" s="5769"/>
      <c r="BS75" s="5769"/>
      <c r="BT75" s="5769"/>
      <c r="BU75" s="5769"/>
      <c r="BV75" s="5769"/>
      <c r="BW75" s="5769"/>
      <c r="BX75" s="5769"/>
      <c r="BY75" s="5769"/>
      <c r="BZ75" s="5769"/>
      <c r="CA75" s="5769"/>
      <c r="CB75" s="5769"/>
      <c r="CC75" s="5769"/>
      <c r="CD75" s="5769"/>
      <c r="CE75" s="5769"/>
      <c r="CF75" s="5769"/>
      <c r="CG75" s="5769"/>
      <c r="CH75" s="5769"/>
      <c r="CI75" s="5769"/>
      <c r="CJ75" s="5769"/>
      <c r="CK75" s="5769"/>
      <c r="CL75" s="5769"/>
      <c r="CM75" s="5769"/>
      <c r="CN75" s="5760"/>
      <c r="CO75" s="5760"/>
      <c r="CP75" s="5760"/>
      <c r="CQ75" s="5760"/>
      <c r="CR75" s="5760"/>
      <c r="CS75" s="5760"/>
      <c r="CT75" s="5760"/>
      <c r="CU75" s="5760"/>
      <c r="CV75" s="5760"/>
      <c r="CW75" s="5760"/>
      <c r="CX75" s="5760"/>
      <c r="CY75" s="5760"/>
      <c r="CZ75" s="5760"/>
      <c r="DA75" s="5760"/>
      <c r="DB75" s="5760"/>
      <c r="DC75" s="5760"/>
      <c r="DD75" s="5760"/>
      <c r="DE75" s="5760"/>
      <c r="DF75" s="5760"/>
      <c r="DG75" s="5760"/>
      <c r="DH75" s="5760"/>
      <c r="DI75" s="5760"/>
      <c r="DJ75" s="5760"/>
      <c r="DK75" s="5760"/>
      <c r="DL75" s="5760"/>
      <c r="DM75" s="5760"/>
      <c r="DN75" s="5760"/>
      <c r="DO75" s="5760"/>
      <c r="DP75" s="5760"/>
      <c r="DQ75" s="5760"/>
      <c r="DR75" s="5760"/>
      <c r="DS75" s="5760"/>
      <c r="DT75" s="5760"/>
      <c r="DU75" s="5760"/>
      <c r="DV75" s="5760"/>
      <c r="DW75" s="5760"/>
      <c r="DX75" s="5760"/>
      <c r="DY75" s="5760"/>
      <c r="DZ75" s="5760"/>
      <c r="EA75" s="5760"/>
      <c r="EB75" s="5760"/>
      <c r="EC75" s="5760"/>
      <c r="ED75" s="5760"/>
      <c r="EE75" s="5760"/>
      <c r="EF75" s="5760"/>
      <c r="EG75" s="5760"/>
      <c r="EH75" s="5760"/>
      <c r="EI75" s="5760"/>
      <c r="EJ75" s="5760"/>
      <c r="EK75" s="5760"/>
      <c r="EL75" s="5760"/>
      <c r="EM75" s="5760"/>
      <c r="EN75" s="5760"/>
      <c r="EO75" s="5760"/>
      <c r="EP75" s="5760"/>
      <c r="EQ75" s="5760"/>
      <c r="ER75" s="5760"/>
      <c r="ES75" s="5760"/>
      <c r="ET75" s="5760"/>
      <c r="EU75" s="2042"/>
    </row>
    <row r="76" spans="1:151" s="2043" customFormat="1" ht="15" customHeight="1">
      <c r="A76" s="16259"/>
      <c r="B76" s="16262"/>
      <c r="C76" s="16265"/>
      <c r="D76" s="5755" t="s">
        <v>2697</v>
      </c>
      <c r="E76" s="5762" t="s">
        <v>2698</v>
      </c>
      <c r="F76" s="16218" t="s">
        <v>2699</v>
      </c>
      <c r="G76" s="16267"/>
      <c r="H76" s="16267" t="s">
        <v>4553</v>
      </c>
      <c r="I76" s="16267" t="s">
        <v>2700</v>
      </c>
      <c r="J76" s="16218" t="s">
        <v>2699</v>
      </c>
      <c r="K76" s="2759" t="s">
        <v>86</v>
      </c>
      <c r="L76" s="2777" t="s">
        <v>2862</v>
      </c>
      <c r="M76" s="2777"/>
      <c r="N76" s="5815">
        <v>1</v>
      </c>
      <c r="O76" s="5765" t="s">
        <v>3534</v>
      </c>
      <c r="P76" s="5765" t="s">
        <v>3535</v>
      </c>
      <c r="Q76" s="5759"/>
      <c r="R76" s="5766">
        <v>29700000</v>
      </c>
      <c r="S76" s="5759"/>
      <c r="T76" s="5766">
        <v>29700000</v>
      </c>
      <c r="U76" s="5759"/>
      <c r="V76" s="5758">
        <v>132</v>
      </c>
      <c r="W76" s="5758">
        <v>48</v>
      </c>
      <c r="X76" s="5758">
        <v>84</v>
      </c>
      <c r="Y76" s="5758">
        <v>76</v>
      </c>
      <c r="Z76" s="5758">
        <v>56</v>
      </c>
      <c r="AA76" s="5758">
        <v>132</v>
      </c>
      <c r="AB76" s="5758"/>
      <c r="AC76" s="5758"/>
      <c r="AD76" s="5758"/>
      <c r="AE76" s="5758"/>
      <c r="AF76" s="5758"/>
      <c r="AG76" s="5758"/>
      <c r="AH76" s="5758"/>
      <c r="AI76" s="5758"/>
      <c r="AJ76" s="5758"/>
      <c r="AK76" s="5758"/>
      <c r="AL76" s="5758"/>
      <c r="AM76" s="5758"/>
      <c r="AN76" s="5758"/>
      <c r="AO76" s="5758"/>
      <c r="AP76" s="5758">
        <v>128</v>
      </c>
      <c r="AQ76" s="5758">
        <v>4</v>
      </c>
      <c r="AR76" s="5758"/>
      <c r="AS76" s="5760"/>
      <c r="AT76" s="5760"/>
      <c r="AU76" s="5760"/>
      <c r="AV76" s="5760"/>
      <c r="AW76" s="5760"/>
      <c r="AX76" s="5760"/>
      <c r="AY76" s="5760"/>
      <c r="AZ76" s="5760"/>
      <c r="BA76" s="5760"/>
      <c r="BB76" s="5760"/>
      <c r="BC76" s="5760"/>
      <c r="BD76" s="5760"/>
      <c r="BE76" s="5760"/>
      <c r="BF76" s="5760"/>
      <c r="BG76" s="5764" t="s">
        <v>9834</v>
      </c>
      <c r="BH76" s="5761">
        <v>1</v>
      </c>
      <c r="BI76" s="5059" t="s">
        <v>9146</v>
      </c>
      <c r="BJ76" s="5764" t="s">
        <v>3723</v>
      </c>
      <c r="BK76" s="5764" t="s">
        <v>9147</v>
      </c>
      <c r="BL76" s="5767">
        <v>29700000</v>
      </c>
      <c r="BM76" s="5763"/>
      <c r="BN76" s="5767">
        <v>29700000</v>
      </c>
      <c r="BO76" s="5764"/>
      <c r="BP76" s="5764"/>
      <c r="BQ76" s="5764">
        <v>153</v>
      </c>
      <c r="BR76" s="5764">
        <v>67</v>
      </c>
      <c r="BS76" s="5764">
        <v>86</v>
      </c>
      <c r="BT76" s="5764">
        <v>145</v>
      </c>
      <c r="BU76" s="5764">
        <v>8</v>
      </c>
      <c r="BV76" s="5764">
        <v>153</v>
      </c>
      <c r="BW76" s="5764"/>
      <c r="BX76" s="5760"/>
      <c r="BY76" s="5763"/>
      <c r="BZ76" s="5763"/>
      <c r="CA76" s="5760"/>
      <c r="CB76" s="5760"/>
      <c r="CC76" s="5763"/>
      <c r="CD76" s="5760"/>
      <c r="CE76" s="5760"/>
      <c r="CF76" s="5760"/>
      <c r="CG76" s="5760"/>
      <c r="CH76" s="5760"/>
      <c r="CI76" s="5760"/>
      <c r="CJ76" s="5760"/>
      <c r="CK76" s="5763"/>
      <c r="CL76" s="5760"/>
      <c r="CM76" s="5760"/>
      <c r="CN76" s="5760"/>
      <c r="CO76" s="5760"/>
      <c r="CP76" s="5760"/>
      <c r="CQ76" s="5760"/>
      <c r="CR76" s="5760"/>
      <c r="CS76" s="5760"/>
      <c r="CT76" s="5760"/>
      <c r="CU76" s="5760"/>
      <c r="CV76" s="5760"/>
      <c r="CW76" s="5760"/>
      <c r="CX76" s="5760"/>
      <c r="CY76" s="5760"/>
      <c r="CZ76" s="5760"/>
      <c r="DA76" s="5760"/>
      <c r="DB76" s="5760"/>
      <c r="DC76" s="5760"/>
      <c r="DD76" s="5760"/>
      <c r="DE76" s="5760"/>
      <c r="DF76" s="5760"/>
      <c r="DG76" s="5760"/>
      <c r="DH76" s="5760"/>
      <c r="DI76" s="5760"/>
      <c r="DJ76" s="5760"/>
      <c r="DK76" s="5760"/>
      <c r="DL76" s="5760"/>
      <c r="DM76" s="5760"/>
      <c r="DN76" s="5760"/>
      <c r="DO76" s="5760"/>
      <c r="DP76" s="5760"/>
      <c r="DQ76" s="5760"/>
      <c r="DR76" s="5760"/>
      <c r="DS76" s="5760"/>
      <c r="DT76" s="5760"/>
      <c r="DU76" s="5760"/>
      <c r="DV76" s="5760"/>
      <c r="DW76" s="5760"/>
      <c r="DX76" s="5760"/>
      <c r="DY76" s="5760"/>
      <c r="DZ76" s="5760"/>
      <c r="EA76" s="5760"/>
      <c r="EB76" s="5760"/>
      <c r="EC76" s="5760"/>
      <c r="ED76" s="5760"/>
      <c r="EE76" s="5760"/>
      <c r="EF76" s="5760"/>
      <c r="EG76" s="5760"/>
      <c r="EH76" s="5760"/>
      <c r="EI76" s="5760"/>
      <c r="EJ76" s="5760"/>
      <c r="EK76" s="5760"/>
      <c r="EL76" s="5760"/>
      <c r="EM76" s="5760"/>
      <c r="EN76" s="5760"/>
      <c r="EO76" s="5760"/>
      <c r="EP76" s="5760"/>
      <c r="EQ76" s="5760"/>
      <c r="ER76" s="5760"/>
      <c r="ES76" s="5760"/>
      <c r="ET76" s="5760"/>
      <c r="EU76" s="2042"/>
    </row>
    <row r="77" spans="1:151" s="2043" customFormat="1" ht="15" customHeight="1">
      <c r="A77" s="16259"/>
      <c r="B77" s="16262"/>
      <c r="C77" s="16265"/>
      <c r="D77" s="5755"/>
      <c r="E77" s="5762"/>
      <c r="F77" s="16218"/>
      <c r="G77" s="16267"/>
      <c r="H77" s="16267"/>
      <c r="I77" s="16267"/>
      <c r="J77" s="16218"/>
      <c r="K77" s="2759" t="s">
        <v>10063</v>
      </c>
      <c r="L77" s="2777"/>
      <c r="M77" s="2777" t="s">
        <v>10264</v>
      </c>
      <c r="N77" s="5815"/>
      <c r="O77" s="5765"/>
      <c r="P77" s="5765"/>
      <c r="Q77" s="5759"/>
      <c r="R77" s="5766"/>
      <c r="S77" s="5759"/>
      <c r="T77" s="5766"/>
      <c r="U77" s="5759"/>
      <c r="V77" s="5758"/>
      <c r="W77" s="5758"/>
      <c r="X77" s="5758"/>
      <c r="Y77" s="5758"/>
      <c r="Z77" s="5758"/>
      <c r="AA77" s="5758"/>
      <c r="AB77" s="5758"/>
      <c r="AC77" s="5758"/>
      <c r="AD77" s="5758"/>
      <c r="AE77" s="5758"/>
      <c r="AF77" s="5758"/>
      <c r="AG77" s="5758"/>
      <c r="AH77" s="5758"/>
      <c r="AI77" s="5758"/>
      <c r="AJ77" s="5758"/>
      <c r="AK77" s="5758"/>
      <c r="AL77" s="5758"/>
      <c r="AM77" s="5758"/>
      <c r="AN77" s="5758"/>
      <c r="AO77" s="5758"/>
      <c r="AP77" s="5758"/>
      <c r="AQ77" s="5758"/>
      <c r="AR77" s="5758"/>
      <c r="AS77" s="5760"/>
      <c r="AT77" s="5760"/>
      <c r="AU77" s="5760"/>
      <c r="AV77" s="5760"/>
      <c r="AW77" s="5760"/>
      <c r="AX77" s="5760"/>
      <c r="AY77" s="5760"/>
      <c r="AZ77" s="5760"/>
      <c r="BA77" s="5760"/>
      <c r="BB77" s="5760"/>
      <c r="BC77" s="5760"/>
      <c r="BD77" s="5760"/>
      <c r="BE77" s="5760"/>
      <c r="BF77" s="5760"/>
      <c r="BG77" s="5764"/>
      <c r="BH77" s="5761"/>
      <c r="BI77" s="5059"/>
      <c r="BJ77" s="5764"/>
      <c r="BK77" s="5764"/>
      <c r="BL77" s="5767"/>
      <c r="BM77" s="5763"/>
      <c r="BN77" s="5767"/>
      <c r="BO77" s="5764"/>
      <c r="BP77" s="5764"/>
      <c r="BQ77" s="5764"/>
      <c r="BR77" s="5764"/>
      <c r="BS77" s="5764"/>
      <c r="BT77" s="5764"/>
      <c r="BU77" s="5764"/>
      <c r="BV77" s="5764"/>
      <c r="BW77" s="5764"/>
      <c r="BX77" s="5760"/>
      <c r="BY77" s="5763"/>
      <c r="BZ77" s="5763"/>
      <c r="CA77" s="5760"/>
      <c r="CB77" s="5760"/>
      <c r="CC77" s="5763"/>
      <c r="CD77" s="5760"/>
      <c r="CE77" s="5760"/>
      <c r="CF77" s="5760"/>
      <c r="CG77" s="5760"/>
      <c r="CH77" s="5760"/>
      <c r="CI77" s="5760"/>
      <c r="CJ77" s="5760"/>
      <c r="CK77" s="5763"/>
      <c r="CL77" s="5760"/>
      <c r="CM77" s="5760"/>
      <c r="CN77" s="5760"/>
      <c r="CO77" s="5760"/>
      <c r="CP77" s="5760"/>
      <c r="CQ77" s="5760"/>
      <c r="CR77" s="5760"/>
      <c r="CS77" s="5760"/>
      <c r="CT77" s="5760"/>
      <c r="CU77" s="5760"/>
      <c r="CV77" s="5760"/>
      <c r="CW77" s="5760"/>
      <c r="CX77" s="5760"/>
      <c r="CY77" s="5760"/>
      <c r="CZ77" s="5760"/>
      <c r="DA77" s="5760"/>
      <c r="DB77" s="5760"/>
      <c r="DC77" s="5760"/>
      <c r="DD77" s="5760"/>
      <c r="DE77" s="5760"/>
      <c r="DF77" s="5760"/>
      <c r="DG77" s="5760"/>
      <c r="DH77" s="5760"/>
      <c r="DI77" s="5760"/>
      <c r="DJ77" s="5760"/>
      <c r="DK77" s="5760"/>
      <c r="DL77" s="5760"/>
      <c r="DM77" s="5760"/>
      <c r="DN77" s="5760"/>
      <c r="DO77" s="5760"/>
      <c r="DP77" s="5760"/>
      <c r="DQ77" s="5760"/>
      <c r="DR77" s="5760"/>
      <c r="DS77" s="5760"/>
      <c r="DT77" s="5760"/>
      <c r="DU77" s="5760"/>
      <c r="DV77" s="5760"/>
      <c r="DW77" s="5760"/>
      <c r="DX77" s="5760"/>
      <c r="DY77" s="5760"/>
      <c r="DZ77" s="5760"/>
      <c r="EA77" s="5760"/>
      <c r="EB77" s="5760"/>
      <c r="EC77" s="5760"/>
      <c r="ED77" s="5760"/>
      <c r="EE77" s="5760"/>
      <c r="EF77" s="5760"/>
      <c r="EG77" s="5760"/>
      <c r="EH77" s="5760"/>
      <c r="EI77" s="5760"/>
      <c r="EJ77" s="5760"/>
      <c r="EK77" s="5760"/>
      <c r="EL77" s="5760"/>
      <c r="EM77" s="5760"/>
      <c r="EN77" s="5760"/>
      <c r="EO77" s="5760"/>
      <c r="EP77" s="5760"/>
      <c r="EQ77" s="5760"/>
      <c r="ER77" s="5760"/>
      <c r="ES77" s="5760"/>
      <c r="ET77" s="5760"/>
      <c r="EU77" s="2042"/>
    </row>
    <row r="78" spans="1:151" s="2043" customFormat="1" ht="15" customHeight="1" thickBot="1">
      <c r="A78" s="16260"/>
      <c r="B78" s="16263"/>
      <c r="C78" s="16266"/>
      <c r="D78" s="5989"/>
      <c r="E78" s="5990"/>
      <c r="F78" s="16233"/>
      <c r="G78" s="16225"/>
      <c r="H78" s="16225"/>
      <c r="I78" s="16225"/>
      <c r="J78" s="16233"/>
      <c r="K78" s="5991" t="s">
        <v>208</v>
      </c>
      <c r="L78" s="5992"/>
      <c r="M78" s="5992" t="s">
        <v>10265</v>
      </c>
      <c r="N78" s="5993"/>
      <c r="O78" s="5994"/>
      <c r="P78" s="5994"/>
      <c r="Q78" s="5995"/>
      <c r="R78" s="5996"/>
      <c r="S78" s="5995"/>
      <c r="T78" s="5996"/>
      <c r="U78" s="5995"/>
      <c r="V78" s="5997"/>
      <c r="W78" s="5997"/>
      <c r="X78" s="5997"/>
      <c r="Y78" s="5997"/>
      <c r="Z78" s="5997"/>
      <c r="AA78" s="5997"/>
      <c r="AB78" s="5997"/>
      <c r="AC78" s="5997"/>
      <c r="AD78" s="5997"/>
      <c r="AE78" s="5997"/>
      <c r="AF78" s="5997"/>
      <c r="AG78" s="5997"/>
      <c r="AH78" s="5997"/>
      <c r="AI78" s="5997"/>
      <c r="AJ78" s="5997"/>
      <c r="AK78" s="5997"/>
      <c r="AL78" s="5997"/>
      <c r="AM78" s="5997"/>
      <c r="AN78" s="5997"/>
      <c r="AO78" s="5997"/>
      <c r="AP78" s="5997"/>
      <c r="AQ78" s="5997"/>
      <c r="AR78" s="5997"/>
      <c r="AS78" s="5998"/>
      <c r="AT78" s="5998"/>
      <c r="AU78" s="5998"/>
      <c r="AV78" s="5998"/>
      <c r="AW78" s="5998"/>
      <c r="AX78" s="5998"/>
      <c r="AY78" s="5998"/>
      <c r="AZ78" s="5998"/>
      <c r="BA78" s="5998"/>
      <c r="BB78" s="5998"/>
      <c r="BC78" s="5998"/>
      <c r="BD78" s="5998"/>
      <c r="BE78" s="5998"/>
      <c r="BF78" s="5998"/>
      <c r="BG78" s="5999"/>
      <c r="BH78" s="6000"/>
      <c r="BI78" s="5060"/>
      <c r="BJ78" s="5999"/>
      <c r="BK78" s="5999"/>
      <c r="BL78" s="6001"/>
      <c r="BM78" s="6002"/>
      <c r="BN78" s="6001"/>
      <c r="BO78" s="5999"/>
      <c r="BP78" s="5999"/>
      <c r="BQ78" s="5999"/>
      <c r="BR78" s="5999"/>
      <c r="BS78" s="5999"/>
      <c r="BT78" s="5999"/>
      <c r="BU78" s="5999"/>
      <c r="BV78" s="5999"/>
      <c r="BW78" s="5999"/>
      <c r="BX78" s="5998"/>
      <c r="BY78" s="6002"/>
      <c r="BZ78" s="6002"/>
      <c r="CA78" s="5998"/>
      <c r="CB78" s="5998"/>
      <c r="CC78" s="6002"/>
      <c r="CD78" s="5998"/>
      <c r="CE78" s="5998"/>
      <c r="CF78" s="5998"/>
      <c r="CG78" s="5998"/>
      <c r="CH78" s="5998"/>
      <c r="CI78" s="5998"/>
      <c r="CJ78" s="5998"/>
      <c r="CK78" s="6002"/>
      <c r="CL78" s="5998"/>
      <c r="CM78" s="5998"/>
      <c r="CN78" s="5998"/>
      <c r="CO78" s="5998"/>
      <c r="CP78" s="5998"/>
      <c r="CQ78" s="5998"/>
      <c r="CR78" s="5998"/>
      <c r="CS78" s="5998"/>
      <c r="CT78" s="5998"/>
      <c r="CU78" s="5998"/>
      <c r="CV78" s="5998"/>
      <c r="CW78" s="5998"/>
      <c r="CX78" s="5998"/>
      <c r="CY78" s="5998"/>
      <c r="CZ78" s="5998"/>
      <c r="DA78" s="5998"/>
      <c r="DB78" s="5998"/>
      <c r="DC78" s="5998"/>
      <c r="DD78" s="5998"/>
      <c r="DE78" s="5998"/>
      <c r="DF78" s="5998"/>
      <c r="DG78" s="5998"/>
      <c r="DH78" s="5998"/>
      <c r="DI78" s="5998"/>
      <c r="DJ78" s="5998"/>
      <c r="DK78" s="5998"/>
      <c r="DL78" s="5998"/>
      <c r="DM78" s="5998"/>
      <c r="DN78" s="5998"/>
      <c r="DO78" s="5998"/>
      <c r="DP78" s="5998"/>
      <c r="DQ78" s="5998"/>
      <c r="DR78" s="5998"/>
      <c r="DS78" s="5998"/>
      <c r="DT78" s="5998"/>
      <c r="DU78" s="5998"/>
      <c r="DV78" s="5998"/>
      <c r="DW78" s="5998"/>
      <c r="DX78" s="5998"/>
      <c r="DY78" s="5998"/>
      <c r="DZ78" s="5998"/>
      <c r="EA78" s="5998"/>
      <c r="EB78" s="5998"/>
      <c r="EC78" s="5998"/>
      <c r="ED78" s="5998"/>
      <c r="EE78" s="5998"/>
      <c r="EF78" s="5998"/>
      <c r="EG78" s="5998"/>
      <c r="EH78" s="5998"/>
      <c r="EI78" s="5998"/>
      <c r="EJ78" s="5998"/>
      <c r="EK78" s="5998"/>
      <c r="EL78" s="5998"/>
      <c r="EM78" s="5998"/>
      <c r="EN78" s="5998"/>
      <c r="EO78" s="5998"/>
      <c r="EP78" s="5998"/>
      <c r="EQ78" s="5998"/>
      <c r="ER78" s="5998"/>
      <c r="ES78" s="5998"/>
      <c r="ET78" s="5998"/>
      <c r="EU78" s="6003"/>
    </row>
    <row r="79" spans="1:151" s="1231" customFormat="1" ht="15" customHeight="1">
      <c r="A79" s="16252" t="s">
        <v>2637</v>
      </c>
      <c r="B79" s="16255" t="s">
        <v>2621</v>
      </c>
      <c r="C79" s="16252" t="s">
        <v>2701</v>
      </c>
      <c r="D79" s="5985" t="s">
        <v>2702</v>
      </c>
      <c r="E79" s="5985" t="s">
        <v>2703</v>
      </c>
      <c r="F79" s="5985" t="s">
        <v>2704</v>
      </c>
      <c r="G79" s="14806" t="s">
        <v>2705</v>
      </c>
      <c r="H79" s="5021" t="s">
        <v>4554</v>
      </c>
      <c r="I79" s="5021" t="s">
        <v>9837</v>
      </c>
      <c r="J79" s="5985" t="s">
        <v>2704</v>
      </c>
      <c r="K79" s="5986" t="s">
        <v>208</v>
      </c>
      <c r="L79" s="5025" t="s">
        <v>208</v>
      </c>
      <c r="M79" s="5987" t="s">
        <v>2855</v>
      </c>
      <c r="N79" s="5025"/>
      <c r="O79" s="1301"/>
      <c r="P79" s="1301"/>
      <c r="Q79" s="1301"/>
      <c r="R79" s="5138"/>
      <c r="S79" s="5138"/>
      <c r="T79" s="5138"/>
      <c r="U79" s="1301"/>
      <c r="V79" s="1301"/>
      <c r="W79" s="5138"/>
      <c r="X79" s="5138"/>
      <c r="Y79" s="5138"/>
      <c r="Z79" s="5138"/>
      <c r="AA79" s="5138"/>
      <c r="AB79" s="5138"/>
      <c r="AC79" s="5138"/>
      <c r="AD79" s="5138"/>
      <c r="AE79" s="5138"/>
      <c r="AF79" s="5138"/>
      <c r="AG79" s="5138"/>
      <c r="AH79" s="5138"/>
      <c r="AI79" s="5138"/>
      <c r="AJ79" s="5138"/>
      <c r="AK79" s="5138"/>
      <c r="AL79" s="5138"/>
      <c r="AM79" s="5138"/>
      <c r="AN79" s="5138"/>
      <c r="AO79" s="5138"/>
      <c r="AP79" s="5138"/>
      <c r="AQ79" s="5138"/>
      <c r="AR79" s="5138"/>
      <c r="AS79" s="5138"/>
      <c r="AT79" s="5138"/>
      <c r="AU79" s="1301"/>
      <c r="AV79" s="1301"/>
      <c r="AW79" s="1301"/>
      <c r="AX79" s="1301"/>
      <c r="AY79" s="1301"/>
      <c r="AZ79" s="1301"/>
      <c r="BA79" s="1301"/>
      <c r="BB79" s="1301"/>
      <c r="BC79" s="1301"/>
      <c r="BD79" s="1301"/>
      <c r="BE79" s="1301"/>
      <c r="BF79" s="1301"/>
      <c r="BG79" s="5025" t="s">
        <v>9148</v>
      </c>
      <c r="BH79" s="5131">
        <v>1</v>
      </c>
      <c r="BI79" s="5988"/>
      <c r="BJ79" s="1301"/>
      <c r="BK79" s="1301"/>
      <c r="BL79" s="5138"/>
      <c r="BM79" s="5138"/>
      <c r="BN79" s="5138"/>
      <c r="BO79" s="1301"/>
      <c r="BP79" s="1301"/>
      <c r="BQ79" s="5138">
        <v>71</v>
      </c>
      <c r="BR79" s="5138">
        <v>36</v>
      </c>
      <c r="BS79" s="5138">
        <v>35</v>
      </c>
      <c r="BT79" s="5138">
        <v>68</v>
      </c>
      <c r="BU79" s="5138">
        <v>3</v>
      </c>
      <c r="BV79" s="5138">
        <v>17</v>
      </c>
      <c r="BW79" s="5138">
        <v>24</v>
      </c>
      <c r="BX79" s="5138">
        <v>25</v>
      </c>
      <c r="BY79" s="5138">
        <v>4</v>
      </c>
      <c r="BZ79" s="5138"/>
      <c r="CA79" s="5138"/>
      <c r="CB79" s="5138"/>
      <c r="CC79" s="5138"/>
      <c r="CD79" s="5138">
        <v>15</v>
      </c>
      <c r="CE79" s="5138">
        <v>10</v>
      </c>
      <c r="CF79" s="5138">
        <v>10</v>
      </c>
      <c r="CG79" s="5138"/>
      <c r="CH79" s="5138"/>
      <c r="CI79" s="5138"/>
      <c r="CJ79" s="5138"/>
      <c r="CK79" s="5138">
        <v>68</v>
      </c>
      <c r="CL79" s="5138">
        <v>1</v>
      </c>
      <c r="CM79" s="5138">
        <v>2</v>
      </c>
      <c r="CN79" s="5138"/>
      <c r="CO79" s="1301"/>
      <c r="CP79" s="1301"/>
      <c r="CQ79" s="1301"/>
      <c r="CR79" s="1301"/>
      <c r="CS79" s="1301"/>
      <c r="CT79" s="1301"/>
      <c r="CU79" s="1301"/>
      <c r="CV79" s="1301"/>
      <c r="CW79" s="1301"/>
      <c r="CX79" s="1301"/>
      <c r="CY79" s="1301"/>
      <c r="CZ79" s="1301"/>
      <c r="DA79" s="1301"/>
      <c r="DB79" s="1301"/>
      <c r="DC79" s="1301"/>
      <c r="DD79" s="1301"/>
      <c r="DE79" s="1301"/>
      <c r="DF79" s="1301"/>
      <c r="DG79" s="1301"/>
      <c r="DH79" s="1301"/>
      <c r="DI79" s="1301"/>
      <c r="DJ79" s="1301"/>
      <c r="DK79" s="1301"/>
      <c r="DL79" s="1301"/>
      <c r="DM79" s="1301"/>
      <c r="DN79" s="1301"/>
      <c r="DO79" s="1301"/>
      <c r="DP79" s="1301"/>
      <c r="DQ79" s="1301"/>
      <c r="DR79" s="1301"/>
      <c r="DS79" s="1301"/>
      <c r="DT79" s="1301"/>
      <c r="DU79" s="1301"/>
      <c r="DV79" s="1301"/>
      <c r="DW79" s="1301"/>
      <c r="DX79" s="1301"/>
      <c r="DY79" s="1301"/>
      <c r="DZ79" s="1301"/>
      <c r="EA79" s="1301"/>
      <c r="EB79" s="1301"/>
      <c r="EC79" s="1301"/>
      <c r="ED79" s="1301"/>
      <c r="EE79" s="1301"/>
      <c r="EF79" s="1301"/>
      <c r="EG79" s="1301"/>
      <c r="EH79" s="1301"/>
      <c r="EI79" s="1301"/>
      <c r="EJ79" s="1301"/>
      <c r="EK79" s="1301"/>
      <c r="EL79" s="1301"/>
      <c r="EM79" s="1301"/>
      <c r="EN79" s="1301"/>
      <c r="EO79" s="1301"/>
      <c r="EP79" s="1301"/>
      <c r="EQ79" s="1301"/>
      <c r="ER79" s="1301"/>
      <c r="ES79" s="1301"/>
      <c r="ET79" s="1301"/>
      <c r="EU79" s="1302"/>
    </row>
    <row r="80" spans="1:151" s="1231" customFormat="1" ht="15" customHeight="1">
      <c r="A80" s="16253"/>
      <c r="B80" s="16256"/>
      <c r="C80" s="16253"/>
      <c r="D80" s="16232" t="s">
        <v>2706</v>
      </c>
      <c r="E80" s="16232" t="s">
        <v>2707</v>
      </c>
      <c r="F80" s="16232" t="s">
        <v>2708</v>
      </c>
      <c r="G80" s="16232"/>
      <c r="H80" s="2745" t="s">
        <v>4555</v>
      </c>
      <c r="I80" s="2745" t="s">
        <v>2709</v>
      </c>
      <c r="J80" s="16232" t="s">
        <v>2708</v>
      </c>
      <c r="K80" s="2760" t="s">
        <v>208</v>
      </c>
      <c r="L80" s="2760" t="s">
        <v>208</v>
      </c>
      <c r="M80" s="5818" t="s">
        <v>2855</v>
      </c>
      <c r="N80" s="5295"/>
      <c r="O80" s="3062"/>
      <c r="P80" s="3062"/>
      <c r="Q80" s="3062"/>
      <c r="R80" s="5295"/>
      <c r="S80" s="5295"/>
      <c r="T80" s="5295"/>
      <c r="U80" s="3062"/>
      <c r="V80" s="3062"/>
      <c r="W80" s="5295"/>
      <c r="X80" s="5295"/>
      <c r="Y80" s="5295"/>
      <c r="Z80" s="5295"/>
      <c r="AA80" s="5295"/>
      <c r="AB80" s="5295"/>
      <c r="AC80" s="5295"/>
      <c r="AD80" s="5295"/>
      <c r="AE80" s="5295"/>
      <c r="AF80" s="5295"/>
      <c r="AG80" s="5295"/>
      <c r="AH80" s="5295"/>
      <c r="AI80" s="5295"/>
      <c r="AJ80" s="5295"/>
      <c r="AK80" s="5295"/>
      <c r="AL80" s="5295"/>
      <c r="AM80" s="5295"/>
      <c r="AN80" s="5295"/>
      <c r="AO80" s="5295"/>
      <c r="AP80" s="5295"/>
      <c r="AQ80" s="5295"/>
      <c r="AR80" s="5295"/>
      <c r="AS80" s="5295"/>
      <c r="AT80" s="3062"/>
      <c r="AU80" s="3062"/>
      <c r="AV80" s="3062"/>
      <c r="AW80" s="3062"/>
      <c r="AX80" s="3062"/>
      <c r="AY80" s="3062"/>
      <c r="AZ80" s="3062"/>
      <c r="BA80" s="3062"/>
      <c r="BB80" s="3062"/>
      <c r="BC80" s="3062"/>
      <c r="BD80" s="3062"/>
      <c r="BE80" s="3062"/>
      <c r="BF80" s="3062"/>
      <c r="BG80" s="5295" t="s">
        <v>9149</v>
      </c>
      <c r="BH80" s="5782">
        <v>1</v>
      </c>
      <c r="BI80" s="2495"/>
      <c r="BJ80" s="3062"/>
      <c r="BK80" s="3062"/>
      <c r="BL80" s="5295"/>
      <c r="BM80" s="5295"/>
      <c r="BN80" s="5295"/>
      <c r="BO80" s="3062"/>
      <c r="BP80" s="3062"/>
      <c r="BQ80" s="5295">
        <v>50</v>
      </c>
      <c r="BR80" s="5295">
        <v>27</v>
      </c>
      <c r="BS80" s="5295">
        <v>23</v>
      </c>
      <c r="BT80" s="5295">
        <v>50</v>
      </c>
      <c r="BU80" s="5295">
        <v>0</v>
      </c>
      <c r="BV80" s="5295">
        <v>11</v>
      </c>
      <c r="BW80" s="5295">
        <v>15</v>
      </c>
      <c r="BX80" s="5295">
        <v>20</v>
      </c>
      <c r="BY80" s="5295">
        <v>4</v>
      </c>
      <c r="BZ80" s="5295"/>
      <c r="CA80" s="5295"/>
      <c r="CB80" s="5295"/>
      <c r="CC80" s="5295"/>
      <c r="CD80" s="5295">
        <v>13</v>
      </c>
      <c r="CE80" s="5295">
        <v>8</v>
      </c>
      <c r="CF80" s="5295">
        <v>8</v>
      </c>
      <c r="CG80" s="5295"/>
      <c r="CH80" s="5295"/>
      <c r="CI80" s="5295"/>
      <c r="CJ80" s="5295"/>
      <c r="CK80" s="5295">
        <v>48</v>
      </c>
      <c r="CL80" s="5295">
        <v>1</v>
      </c>
      <c r="CM80" s="5295">
        <v>1</v>
      </c>
      <c r="CN80" s="3062"/>
      <c r="CO80" s="3062"/>
      <c r="CP80" s="3062"/>
      <c r="CQ80" s="3062"/>
      <c r="CR80" s="3062"/>
      <c r="CS80" s="3062"/>
      <c r="CT80" s="3062"/>
      <c r="CU80" s="3062"/>
      <c r="CV80" s="3062"/>
      <c r="CW80" s="3062"/>
      <c r="CX80" s="3062"/>
      <c r="CY80" s="3062"/>
      <c r="CZ80" s="3062"/>
      <c r="DA80" s="3062"/>
      <c r="DB80" s="3062"/>
      <c r="DC80" s="3062"/>
      <c r="DD80" s="3062"/>
      <c r="DE80" s="3062"/>
      <c r="DF80" s="3062"/>
      <c r="DG80" s="3062"/>
      <c r="DH80" s="3062"/>
      <c r="DI80" s="3062"/>
      <c r="DJ80" s="3062"/>
      <c r="DK80" s="3062"/>
      <c r="DL80" s="3062"/>
      <c r="DM80" s="3062"/>
      <c r="DN80" s="3062"/>
      <c r="DO80" s="3062"/>
      <c r="DP80" s="3062"/>
      <c r="DQ80" s="3062"/>
      <c r="DR80" s="3062"/>
      <c r="DS80" s="3062"/>
      <c r="DT80" s="3062"/>
      <c r="DU80" s="3062"/>
      <c r="DV80" s="3062"/>
      <c r="DW80" s="3062"/>
      <c r="DX80" s="3062"/>
      <c r="DY80" s="3062"/>
      <c r="DZ80" s="3062"/>
      <c r="EA80" s="3062"/>
      <c r="EB80" s="3062"/>
      <c r="EC80" s="3062"/>
      <c r="ED80" s="3062"/>
      <c r="EE80" s="3062"/>
      <c r="EF80" s="3062"/>
      <c r="EG80" s="3062"/>
      <c r="EH80" s="3062"/>
      <c r="EI80" s="3062"/>
      <c r="EJ80" s="3062"/>
      <c r="EK80" s="3062"/>
      <c r="EL80" s="3062"/>
      <c r="EM80" s="3062"/>
      <c r="EN80" s="3062"/>
      <c r="EO80" s="3062"/>
      <c r="EP80" s="3062"/>
      <c r="EQ80" s="3062"/>
      <c r="ER80" s="3062"/>
      <c r="ES80" s="3062"/>
      <c r="ET80" s="3062"/>
      <c r="EU80" s="1267"/>
    </row>
    <row r="81" spans="1:151" s="1231" customFormat="1" ht="15" customHeight="1">
      <c r="A81" s="16253"/>
      <c r="B81" s="16256"/>
      <c r="C81" s="16253"/>
      <c r="D81" s="16232"/>
      <c r="E81" s="16232"/>
      <c r="F81" s="16232"/>
      <c r="G81" s="16232"/>
      <c r="H81" s="16232" t="s">
        <v>4556</v>
      </c>
      <c r="I81" s="16232" t="s">
        <v>4557</v>
      </c>
      <c r="J81" s="16232"/>
      <c r="K81" s="2760" t="s">
        <v>10063</v>
      </c>
      <c r="L81" s="2760" t="s">
        <v>2856</v>
      </c>
      <c r="M81" s="2760"/>
      <c r="N81" s="3062"/>
      <c r="O81" s="3062"/>
      <c r="P81" s="3062"/>
      <c r="Q81" s="3062"/>
      <c r="R81" s="3062"/>
      <c r="S81" s="3062"/>
      <c r="T81" s="3062"/>
      <c r="U81" s="3062"/>
      <c r="V81" s="3062"/>
      <c r="W81" s="3062"/>
      <c r="X81" s="3062"/>
      <c r="Y81" s="3062"/>
      <c r="Z81" s="3062"/>
      <c r="AA81" s="3062"/>
      <c r="AB81" s="3062"/>
      <c r="AC81" s="3062"/>
      <c r="AD81" s="3062"/>
      <c r="AE81" s="3062"/>
      <c r="AF81" s="3062"/>
      <c r="AG81" s="3062"/>
      <c r="AH81" s="3062"/>
      <c r="AI81" s="3062"/>
      <c r="AJ81" s="3062"/>
      <c r="AK81" s="3062"/>
      <c r="AL81" s="3062"/>
      <c r="AM81" s="3062"/>
      <c r="AN81" s="3062"/>
      <c r="AO81" s="3062"/>
      <c r="AP81" s="3062"/>
      <c r="AQ81" s="3062"/>
      <c r="AR81" s="3062"/>
      <c r="AS81" s="3062"/>
      <c r="AT81" s="3062"/>
      <c r="AU81" s="3062"/>
      <c r="AV81" s="3062"/>
      <c r="AW81" s="3062"/>
      <c r="AX81" s="3062"/>
      <c r="AY81" s="3062"/>
      <c r="AZ81" s="3062"/>
      <c r="BA81" s="3062"/>
      <c r="BB81" s="3062"/>
      <c r="BC81" s="3062"/>
      <c r="BD81" s="3062"/>
      <c r="BE81" s="3062"/>
      <c r="BF81" s="3062"/>
      <c r="BG81" s="3062"/>
      <c r="BH81" s="5782"/>
      <c r="BI81" s="2495"/>
      <c r="BJ81" s="3062"/>
      <c r="BK81" s="3062"/>
      <c r="BL81" s="3062"/>
      <c r="BM81" s="3062"/>
      <c r="BN81" s="3062"/>
      <c r="BO81" s="3062"/>
      <c r="BP81" s="3062"/>
      <c r="BQ81" s="3062"/>
      <c r="BR81" s="3062"/>
      <c r="BS81" s="3062"/>
      <c r="BT81" s="3062"/>
      <c r="BU81" s="3062"/>
      <c r="BV81" s="3062"/>
      <c r="BW81" s="3062"/>
      <c r="BX81" s="3062"/>
      <c r="BY81" s="3062"/>
      <c r="BZ81" s="3062"/>
      <c r="CA81" s="3062"/>
      <c r="CB81" s="3062"/>
      <c r="CC81" s="3062"/>
      <c r="CD81" s="3062"/>
      <c r="CE81" s="3062"/>
      <c r="CF81" s="3062"/>
      <c r="CG81" s="3062"/>
      <c r="CH81" s="3062"/>
      <c r="CI81" s="3062"/>
      <c r="CJ81" s="3062"/>
      <c r="CK81" s="3062"/>
      <c r="CL81" s="3062"/>
      <c r="CM81" s="3062"/>
      <c r="CN81" s="3062"/>
      <c r="CO81" s="3062"/>
      <c r="CP81" s="3062"/>
      <c r="CQ81" s="3062"/>
      <c r="CR81" s="3062"/>
      <c r="CS81" s="3062"/>
      <c r="CT81" s="3062"/>
      <c r="CU81" s="3062"/>
      <c r="CV81" s="3062"/>
      <c r="CW81" s="3062"/>
      <c r="CX81" s="3062"/>
      <c r="CY81" s="3062"/>
      <c r="CZ81" s="3062"/>
      <c r="DA81" s="3062"/>
      <c r="DB81" s="3062"/>
      <c r="DC81" s="3062"/>
      <c r="DD81" s="3062"/>
      <c r="DE81" s="3062"/>
      <c r="DF81" s="3062"/>
      <c r="DG81" s="3062"/>
      <c r="DH81" s="3062"/>
      <c r="DI81" s="3062"/>
      <c r="DJ81" s="3062"/>
      <c r="DK81" s="3062"/>
      <c r="DL81" s="3062"/>
      <c r="DM81" s="3062"/>
      <c r="DN81" s="3062"/>
      <c r="DO81" s="3062"/>
      <c r="DP81" s="3062"/>
      <c r="DQ81" s="3062"/>
      <c r="DR81" s="3062"/>
      <c r="DS81" s="3062"/>
      <c r="DT81" s="3062"/>
      <c r="DU81" s="3062"/>
      <c r="DV81" s="3062"/>
      <c r="DW81" s="3062"/>
      <c r="DX81" s="3062"/>
      <c r="DY81" s="3062"/>
      <c r="DZ81" s="3062"/>
      <c r="EA81" s="3062"/>
      <c r="EB81" s="3062"/>
      <c r="EC81" s="3062"/>
      <c r="ED81" s="3062"/>
      <c r="EE81" s="3062"/>
      <c r="EF81" s="3062"/>
      <c r="EG81" s="3062"/>
      <c r="EH81" s="3062"/>
      <c r="EI81" s="3062"/>
      <c r="EJ81" s="3062"/>
      <c r="EK81" s="3062"/>
      <c r="EL81" s="3062"/>
      <c r="EM81" s="3062"/>
      <c r="EN81" s="3062"/>
      <c r="EO81" s="3062"/>
      <c r="EP81" s="3062"/>
      <c r="EQ81" s="3062"/>
      <c r="ER81" s="3062"/>
      <c r="ES81" s="3062"/>
      <c r="ET81" s="3062"/>
      <c r="EU81" s="1267"/>
    </row>
    <row r="82" spans="1:151" s="1231" customFormat="1" ht="15" customHeight="1">
      <c r="A82" s="16253"/>
      <c r="B82" s="16256"/>
      <c r="C82" s="16253"/>
      <c r="D82" s="2745"/>
      <c r="E82" s="2745"/>
      <c r="F82" s="16232"/>
      <c r="G82" s="16232"/>
      <c r="H82" s="16232"/>
      <c r="I82" s="16232"/>
      <c r="J82" s="16232"/>
      <c r="K82" s="2760" t="s">
        <v>208</v>
      </c>
      <c r="L82" s="2760"/>
      <c r="M82" s="2760" t="s">
        <v>2855</v>
      </c>
      <c r="N82" s="3062"/>
      <c r="O82" s="3062"/>
      <c r="P82" s="3062"/>
      <c r="Q82" s="3062"/>
      <c r="R82" s="3062"/>
      <c r="S82" s="3062"/>
      <c r="T82" s="3062"/>
      <c r="U82" s="3062"/>
      <c r="V82" s="3062"/>
      <c r="W82" s="3062"/>
      <c r="X82" s="3062"/>
      <c r="Y82" s="3062"/>
      <c r="Z82" s="3062"/>
      <c r="AA82" s="3062"/>
      <c r="AB82" s="3062"/>
      <c r="AC82" s="3062"/>
      <c r="AD82" s="3062"/>
      <c r="AE82" s="3062"/>
      <c r="AF82" s="3062"/>
      <c r="AG82" s="3062"/>
      <c r="AH82" s="3062"/>
      <c r="AI82" s="3062"/>
      <c r="AJ82" s="3062"/>
      <c r="AK82" s="3062"/>
      <c r="AL82" s="3062"/>
      <c r="AM82" s="3062"/>
      <c r="AN82" s="3062"/>
      <c r="AO82" s="3062"/>
      <c r="AP82" s="3062"/>
      <c r="AQ82" s="3062"/>
      <c r="AR82" s="3062"/>
      <c r="AS82" s="3062"/>
      <c r="AT82" s="3062"/>
      <c r="AU82" s="3062"/>
      <c r="AV82" s="3062"/>
      <c r="AW82" s="3062"/>
      <c r="AX82" s="3062"/>
      <c r="AY82" s="3062"/>
      <c r="AZ82" s="3062"/>
      <c r="BA82" s="3062"/>
      <c r="BB82" s="3062"/>
      <c r="BC82" s="3062"/>
      <c r="BD82" s="3062"/>
      <c r="BE82" s="3062"/>
      <c r="BF82" s="3062"/>
      <c r="BG82" s="3062"/>
      <c r="BH82" s="5782"/>
      <c r="BI82" s="2495"/>
      <c r="BJ82" s="3062"/>
      <c r="BK82" s="3062"/>
      <c r="BL82" s="3062"/>
      <c r="BM82" s="3062"/>
      <c r="BN82" s="3062"/>
      <c r="BO82" s="3062"/>
      <c r="BP82" s="3062"/>
      <c r="BQ82" s="3062"/>
      <c r="BR82" s="3062"/>
      <c r="BS82" s="3062"/>
      <c r="BT82" s="3062"/>
      <c r="BU82" s="3062"/>
      <c r="BV82" s="3062"/>
      <c r="BW82" s="3062"/>
      <c r="BX82" s="3062"/>
      <c r="BY82" s="3062"/>
      <c r="BZ82" s="3062"/>
      <c r="CA82" s="3062"/>
      <c r="CB82" s="3062"/>
      <c r="CC82" s="3062"/>
      <c r="CD82" s="3062"/>
      <c r="CE82" s="3062"/>
      <c r="CF82" s="3062"/>
      <c r="CG82" s="3062"/>
      <c r="CH82" s="3062"/>
      <c r="CI82" s="3062"/>
      <c r="CJ82" s="3062"/>
      <c r="CK82" s="3062"/>
      <c r="CL82" s="3062"/>
      <c r="CM82" s="3062"/>
      <c r="CN82" s="3062"/>
      <c r="CO82" s="3062"/>
      <c r="CP82" s="3062"/>
      <c r="CQ82" s="3062"/>
      <c r="CR82" s="3062"/>
      <c r="CS82" s="3062"/>
      <c r="CT82" s="3062"/>
      <c r="CU82" s="3062"/>
      <c r="CV82" s="3062"/>
      <c r="CW82" s="3062"/>
      <c r="CX82" s="3062"/>
      <c r="CY82" s="3062"/>
      <c r="CZ82" s="3062"/>
      <c r="DA82" s="3062"/>
      <c r="DB82" s="3062"/>
      <c r="DC82" s="3062"/>
      <c r="DD82" s="3062"/>
      <c r="DE82" s="3062"/>
      <c r="DF82" s="3062"/>
      <c r="DG82" s="3062"/>
      <c r="DH82" s="3062"/>
      <c r="DI82" s="3062"/>
      <c r="DJ82" s="3062"/>
      <c r="DK82" s="3062"/>
      <c r="DL82" s="3062"/>
      <c r="DM82" s="3062"/>
      <c r="DN82" s="3062"/>
      <c r="DO82" s="3062"/>
      <c r="DP82" s="3062"/>
      <c r="DQ82" s="3062"/>
      <c r="DR82" s="3062"/>
      <c r="DS82" s="3062"/>
      <c r="DT82" s="3062"/>
      <c r="DU82" s="3062"/>
      <c r="DV82" s="3062"/>
      <c r="DW82" s="3062"/>
      <c r="DX82" s="3062"/>
      <c r="DY82" s="3062"/>
      <c r="DZ82" s="3062"/>
      <c r="EA82" s="3062"/>
      <c r="EB82" s="3062"/>
      <c r="EC82" s="3062"/>
      <c r="ED82" s="3062"/>
      <c r="EE82" s="3062"/>
      <c r="EF82" s="3062"/>
      <c r="EG82" s="3062"/>
      <c r="EH82" s="3062"/>
      <c r="EI82" s="3062"/>
      <c r="EJ82" s="3062"/>
      <c r="EK82" s="3062"/>
      <c r="EL82" s="3062"/>
      <c r="EM82" s="3062"/>
      <c r="EN82" s="3062"/>
      <c r="EO82" s="3062"/>
      <c r="EP82" s="3062"/>
      <c r="EQ82" s="3062"/>
      <c r="ER82" s="3062"/>
      <c r="ES82" s="3062"/>
      <c r="ET82" s="3062"/>
      <c r="EU82" s="1267"/>
    </row>
    <row r="83" spans="1:151" s="1231" customFormat="1" ht="15" customHeight="1">
      <c r="A83" s="16253"/>
      <c r="B83" s="16256"/>
      <c r="C83" s="16253"/>
      <c r="D83" s="16232" t="s">
        <v>2710</v>
      </c>
      <c r="E83" s="16232" t="s">
        <v>2711</v>
      </c>
      <c r="F83" s="16232" t="s">
        <v>2711</v>
      </c>
      <c r="G83" s="16232"/>
      <c r="H83" s="16232" t="s">
        <v>4558</v>
      </c>
      <c r="I83" s="16232" t="s">
        <v>2712</v>
      </c>
      <c r="J83" s="16232" t="s">
        <v>2711</v>
      </c>
      <c r="K83" s="2771" t="s">
        <v>10063</v>
      </c>
      <c r="L83" s="2760" t="s">
        <v>2856</v>
      </c>
      <c r="M83" s="2760"/>
      <c r="N83" s="3129">
        <v>0</v>
      </c>
      <c r="O83" s="15330" t="s">
        <v>3149</v>
      </c>
      <c r="P83" s="15330" t="s">
        <v>3150</v>
      </c>
      <c r="Q83" s="15330" t="s">
        <v>3151</v>
      </c>
      <c r="R83" s="5779">
        <f>S83+T83+U83</f>
        <v>27070515.539999999</v>
      </c>
      <c r="S83" s="5779">
        <v>23853377.359999999</v>
      </c>
      <c r="T83" s="5780">
        <v>3217138.18</v>
      </c>
      <c r="U83" s="2500">
        <v>0</v>
      </c>
      <c r="V83" s="16285">
        <v>3802</v>
      </c>
      <c r="W83" s="16285">
        <v>1897</v>
      </c>
      <c r="X83" s="16285">
        <v>1905</v>
      </c>
      <c r="Y83" s="16285">
        <v>2943</v>
      </c>
      <c r="Z83" s="16285">
        <v>859</v>
      </c>
      <c r="AA83" s="16285">
        <v>15</v>
      </c>
      <c r="AB83" s="16285">
        <v>930</v>
      </c>
      <c r="AC83" s="16285">
        <v>2322</v>
      </c>
      <c r="AD83" s="16285">
        <v>262</v>
      </c>
      <c r="AE83" s="16285">
        <v>123</v>
      </c>
      <c r="AF83" s="16285">
        <v>112</v>
      </c>
      <c r="AG83" s="16285">
        <v>38</v>
      </c>
      <c r="AH83" s="16285"/>
      <c r="AI83" s="16285"/>
      <c r="AJ83" s="16285"/>
      <c r="AK83" s="16285"/>
      <c r="AL83" s="3062"/>
      <c r="AM83" s="3062"/>
      <c r="AN83" s="3062"/>
      <c r="AO83" s="3062"/>
      <c r="AP83" s="3062"/>
      <c r="AQ83" s="5295"/>
      <c r="AR83" s="3062"/>
      <c r="AS83" s="3062"/>
      <c r="AT83" s="3062"/>
      <c r="AU83" s="3062"/>
      <c r="AV83" s="3062"/>
      <c r="AW83" s="3062"/>
      <c r="AX83" s="3062"/>
      <c r="AY83" s="3062"/>
      <c r="AZ83" s="3062"/>
      <c r="BA83" s="3062"/>
      <c r="BB83" s="3062"/>
      <c r="BC83" s="3062"/>
      <c r="BD83" s="3062"/>
      <c r="BE83" s="3062"/>
      <c r="BF83" s="3062"/>
      <c r="BG83" s="16330">
        <v>70</v>
      </c>
      <c r="BH83" s="16281">
        <v>1</v>
      </c>
      <c r="BI83" s="16348" t="s">
        <v>9150</v>
      </c>
      <c r="BJ83" s="16232" t="s">
        <v>9151</v>
      </c>
      <c r="BK83" s="16351" t="s">
        <v>9152</v>
      </c>
      <c r="BL83" s="16330" t="s">
        <v>9153</v>
      </c>
      <c r="BM83" s="16330" t="s">
        <v>9154</v>
      </c>
      <c r="BN83" s="16330" t="s">
        <v>9155</v>
      </c>
      <c r="BO83" s="16330" t="s">
        <v>9068</v>
      </c>
      <c r="BP83" s="5295"/>
      <c r="BQ83" s="16330">
        <v>908</v>
      </c>
      <c r="BR83" s="5781"/>
      <c r="BS83" s="5295"/>
      <c r="BT83" s="5295"/>
      <c r="BU83" s="5295"/>
      <c r="BV83" s="5295"/>
      <c r="BW83" s="3062"/>
      <c r="BX83" s="3062"/>
      <c r="BY83" s="5295"/>
      <c r="BZ83" s="5295"/>
      <c r="CA83" s="3062"/>
      <c r="CB83" s="3062"/>
      <c r="CC83" s="5295"/>
      <c r="CD83" s="3062"/>
      <c r="CE83" s="3062"/>
      <c r="CF83" s="3062"/>
      <c r="CG83" s="3062"/>
      <c r="CH83" s="3062"/>
      <c r="CI83" s="3062"/>
      <c r="CJ83" s="3062"/>
      <c r="CK83" s="5295"/>
      <c r="CL83" s="3062"/>
      <c r="CM83" s="3062"/>
      <c r="CN83" s="3062"/>
      <c r="CO83" s="3062"/>
      <c r="CP83" s="3062"/>
      <c r="CQ83" s="3062"/>
      <c r="CR83" s="3062"/>
      <c r="CS83" s="3062"/>
      <c r="CT83" s="3062"/>
      <c r="CU83" s="3062"/>
      <c r="CV83" s="3062"/>
      <c r="CW83" s="3062"/>
      <c r="CX83" s="3062"/>
      <c r="CY83" s="3062"/>
      <c r="CZ83" s="3062"/>
      <c r="DA83" s="3062"/>
      <c r="DB83" s="3062"/>
      <c r="DC83" s="3062"/>
      <c r="DD83" s="3062"/>
      <c r="DE83" s="3062"/>
      <c r="DF83" s="3062"/>
      <c r="DG83" s="3062"/>
      <c r="DH83" s="3062"/>
      <c r="DI83" s="3062"/>
      <c r="DJ83" s="3062"/>
      <c r="DK83" s="3062"/>
      <c r="DL83" s="3062"/>
      <c r="DM83" s="3062"/>
      <c r="DN83" s="3062"/>
      <c r="DO83" s="3062"/>
      <c r="DP83" s="3062"/>
      <c r="DQ83" s="3062"/>
      <c r="DR83" s="3062"/>
      <c r="DS83" s="3062"/>
      <c r="DT83" s="3062"/>
      <c r="DU83" s="3062"/>
      <c r="DV83" s="3062"/>
      <c r="DW83" s="3062"/>
      <c r="DX83" s="3062"/>
      <c r="DY83" s="3062"/>
      <c r="DZ83" s="3062"/>
      <c r="EA83" s="3062"/>
      <c r="EB83" s="3062"/>
      <c r="EC83" s="3062"/>
      <c r="ED83" s="3062"/>
      <c r="EE83" s="3062"/>
      <c r="EF83" s="3062"/>
      <c r="EG83" s="3062"/>
      <c r="EH83" s="3062"/>
      <c r="EI83" s="3062"/>
      <c r="EJ83" s="3062"/>
      <c r="EK83" s="3062"/>
      <c r="EL83" s="3062"/>
      <c r="EM83" s="3062"/>
      <c r="EN83" s="3062"/>
      <c r="EO83" s="3062"/>
      <c r="EP83" s="3062"/>
      <c r="EQ83" s="3062"/>
      <c r="ER83" s="3062"/>
      <c r="ES83" s="3062"/>
      <c r="ET83" s="3062"/>
      <c r="EU83" s="1267"/>
    </row>
    <row r="84" spans="1:151" s="1231" customFormat="1" ht="15" customHeight="1">
      <c r="A84" s="16253"/>
      <c r="B84" s="16256"/>
      <c r="C84" s="16253"/>
      <c r="D84" s="16232"/>
      <c r="E84" s="16232"/>
      <c r="F84" s="16232"/>
      <c r="G84" s="16232"/>
      <c r="H84" s="16232"/>
      <c r="I84" s="16232"/>
      <c r="J84" s="16232"/>
      <c r="K84" s="2771" t="s">
        <v>208</v>
      </c>
      <c r="L84" s="2760"/>
      <c r="M84" s="2760" t="s">
        <v>2855</v>
      </c>
      <c r="N84" s="3129"/>
      <c r="O84" s="15330"/>
      <c r="P84" s="15330"/>
      <c r="Q84" s="15330"/>
      <c r="R84" s="5779"/>
      <c r="S84" s="5779"/>
      <c r="T84" s="5780"/>
      <c r="U84" s="2500"/>
      <c r="V84" s="16285"/>
      <c r="W84" s="16285"/>
      <c r="X84" s="16285"/>
      <c r="Y84" s="16285"/>
      <c r="Z84" s="16285"/>
      <c r="AA84" s="16285"/>
      <c r="AB84" s="16285"/>
      <c r="AC84" s="16285"/>
      <c r="AD84" s="16285"/>
      <c r="AE84" s="16285"/>
      <c r="AF84" s="16285"/>
      <c r="AG84" s="16285"/>
      <c r="AH84" s="16285"/>
      <c r="AI84" s="16285"/>
      <c r="AJ84" s="16285"/>
      <c r="AK84" s="16285"/>
      <c r="AL84" s="3062"/>
      <c r="AM84" s="3062"/>
      <c r="AN84" s="3062"/>
      <c r="AO84" s="3062"/>
      <c r="AP84" s="3062"/>
      <c r="AQ84" s="5295"/>
      <c r="AR84" s="3062"/>
      <c r="AS84" s="3062"/>
      <c r="AT84" s="3062"/>
      <c r="AU84" s="3062"/>
      <c r="AV84" s="3062"/>
      <c r="AW84" s="3062"/>
      <c r="AX84" s="3062"/>
      <c r="AY84" s="3062"/>
      <c r="AZ84" s="3062"/>
      <c r="BA84" s="3062"/>
      <c r="BB84" s="3062"/>
      <c r="BC84" s="3062"/>
      <c r="BD84" s="3062"/>
      <c r="BE84" s="3062"/>
      <c r="BF84" s="3062"/>
      <c r="BG84" s="16330"/>
      <c r="BH84" s="16281"/>
      <c r="BI84" s="16348"/>
      <c r="BJ84" s="16232"/>
      <c r="BK84" s="16351"/>
      <c r="BL84" s="16330"/>
      <c r="BM84" s="16330"/>
      <c r="BN84" s="16330"/>
      <c r="BO84" s="16330"/>
      <c r="BP84" s="5295"/>
      <c r="BQ84" s="16330"/>
      <c r="BR84" s="5781"/>
      <c r="BS84" s="5295"/>
      <c r="BT84" s="5295"/>
      <c r="BU84" s="5295"/>
      <c r="BV84" s="5295"/>
      <c r="BW84" s="3062"/>
      <c r="BX84" s="3062"/>
      <c r="BY84" s="5295"/>
      <c r="BZ84" s="5295"/>
      <c r="CA84" s="3062"/>
      <c r="CB84" s="3062"/>
      <c r="CC84" s="5295"/>
      <c r="CD84" s="3062"/>
      <c r="CE84" s="3062"/>
      <c r="CF84" s="3062"/>
      <c r="CG84" s="3062"/>
      <c r="CH84" s="3062"/>
      <c r="CI84" s="3062"/>
      <c r="CJ84" s="3062"/>
      <c r="CK84" s="5295"/>
      <c r="CL84" s="3062"/>
      <c r="CM84" s="3062"/>
      <c r="CN84" s="3062"/>
      <c r="CO84" s="3062"/>
      <c r="CP84" s="3062"/>
      <c r="CQ84" s="3062"/>
      <c r="CR84" s="3062"/>
      <c r="CS84" s="3062"/>
      <c r="CT84" s="3062"/>
      <c r="CU84" s="3062"/>
      <c r="CV84" s="3062"/>
      <c r="CW84" s="3062"/>
      <c r="CX84" s="3062"/>
      <c r="CY84" s="3062"/>
      <c r="CZ84" s="3062"/>
      <c r="DA84" s="3062"/>
      <c r="DB84" s="3062"/>
      <c r="DC84" s="3062"/>
      <c r="DD84" s="3062"/>
      <c r="DE84" s="3062"/>
      <c r="DF84" s="3062"/>
      <c r="DG84" s="3062"/>
      <c r="DH84" s="3062"/>
      <c r="DI84" s="3062"/>
      <c r="DJ84" s="3062"/>
      <c r="DK84" s="3062"/>
      <c r="DL84" s="3062"/>
      <c r="DM84" s="3062"/>
      <c r="DN84" s="3062"/>
      <c r="DO84" s="3062"/>
      <c r="DP84" s="3062"/>
      <c r="DQ84" s="3062"/>
      <c r="DR84" s="3062"/>
      <c r="DS84" s="3062"/>
      <c r="DT84" s="3062"/>
      <c r="DU84" s="3062"/>
      <c r="DV84" s="3062"/>
      <c r="DW84" s="3062"/>
      <c r="DX84" s="3062"/>
      <c r="DY84" s="3062"/>
      <c r="DZ84" s="3062"/>
      <c r="EA84" s="3062"/>
      <c r="EB84" s="3062"/>
      <c r="EC84" s="3062"/>
      <c r="ED84" s="3062"/>
      <c r="EE84" s="3062"/>
      <c r="EF84" s="3062"/>
      <c r="EG84" s="3062"/>
      <c r="EH84" s="3062"/>
      <c r="EI84" s="3062"/>
      <c r="EJ84" s="3062"/>
      <c r="EK84" s="3062"/>
      <c r="EL84" s="3062"/>
      <c r="EM84" s="3062"/>
      <c r="EN84" s="3062"/>
      <c r="EO84" s="3062"/>
      <c r="EP84" s="3062"/>
      <c r="EQ84" s="3062"/>
      <c r="ER84" s="3062"/>
      <c r="ES84" s="3062"/>
      <c r="ET84" s="3062"/>
      <c r="EU84" s="1267"/>
    </row>
    <row r="85" spans="1:151" s="1231" customFormat="1" ht="15" customHeight="1">
      <c r="A85" s="16253"/>
      <c r="B85" s="16256"/>
      <c r="C85" s="16253"/>
      <c r="D85" s="16232"/>
      <c r="E85" s="16232"/>
      <c r="F85" s="16232"/>
      <c r="G85" s="16232"/>
      <c r="H85" s="2745" t="s">
        <v>4559</v>
      </c>
      <c r="I85" s="2745" t="s">
        <v>4560</v>
      </c>
      <c r="J85" s="16232"/>
      <c r="K85" s="5793" t="s">
        <v>2896</v>
      </c>
      <c r="L85" s="2760" t="s">
        <v>2858</v>
      </c>
      <c r="M85" s="2760"/>
      <c r="N85" s="3129"/>
      <c r="O85" s="15330"/>
      <c r="P85" s="15330"/>
      <c r="Q85" s="15330"/>
      <c r="R85" s="5779"/>
      <c r="S85" s="5779"/>
      <c r="T85" s="5780"/>
      <c r="U85" s="2500"/>
      <c r="V85" s="16285"/>
      <c r="W85" s="16285"/>
      <c r="X85" s="16285"/>
      <c r="Y85" s="16285"/>
      <c r="Z85" s="16285"/>
      <c r="AA85" s="16285"/>
      <c r="AB85" s="16285"/>
      <c r="AC85" s="16285"/>
      <c r="AD85" s="16285"/>
      <c r="AE85" s="16285"/>
      <c r="AF85" s="16285"/>
      <c r="AG85" s="16285"/>
      <c r="AH85" s="16285"/>
      <c r="AI85" s="16285"/>
      <c r="AJ85" s="16285"/>
      <c r="AK85" s="16285"/>
      <c r="AL85" s="3062"/>
      <c r="AM85" s="3062"/>
      <c r="AN85" s="3062"/>
      <c r="AO85" s="3062"/>
      <c r="AP85" s="3062"/>
      <c r="AQ85" s="3062"/>
      <c r="AR85" s="3062"/>
      <c r="AS85" s="3062"/>
      <c r="AT85" s="3062"/>
      <c r="AU85" s="3062"/>
      <c r="AV85" s="3062"/>
      <c r="AW85" s="3062"/>
      <c r="AX85" s="3062"/>
      <c r="AY85" s="3062"/>
      <c r="AZ85" s="3062"/>
      <c r="BA85" s="3062"/>
      <c r="BB85" s="3062"/>
      <c r="BC85" s="3062"/>
      <c r="BD85" s="3062"/>
      <c r="BE85" s="3062"/>
      <c r="BF85" s="3062"/>
      <c r="BG85" s="16331"/>
      <c r="BH85" s="16281"/>
      <c r="BI85" s="16349"/>
      <c r="BJ85" s="16331"/>
      <c r="BK85" s="16331"/>
      <c r="BL85" s="16331"/>
      <c r="BM85" s="16331"/>
      <c r="BN85" s="16331"/>
      <c r="BO85" s="16331"/>
      <c r="BP85" s="5781"/>
      <c r="BQ85" s="16331"/>
      <c r="BR85" s="3062"/>
      <c r="BS85" s="3062"/>
      <c r="BT85" s="3062"/>
      <c r="BU85" s="3062"/>
      <c r="BV85" s="3062"/>
      <c r="BW85" s="3062"/>
      <c r="BX85" s="3062"/>
      <c r="BY85" s="3062"/>
      <c r="BZ85" s="3062"/>
      <c r="CA85" s="3062"/>
      <c r="CB85" s="3062"/>
      <c r="CC85" s="3062"/>
      <c r="CD85" s="3062"/>
      <c r="CE85" s="3062"/>
      <c r="CF85" s="3062"/>
      <c r="CG85" s="3062"/>
      <c r="CH85" s="3062"/>
      <c r="CI85" s="3062"/>
      <c r="CJ85" s="3062"/>
      <c r="CK85" s="3062"/>
      <c r="CL85" s="3062"/>
      <c r="CM85" s="3062"/>
      <c r="CN85" s="3062"/>
      <c r="CO85" s="3062"/>
      <c r="CP85" s="3062"/>
      <c r="CQ85" s="3062"/>
      <c r="CR85" s="3062"/>
      <c r="CS85" s="3062"/>
      <c r="CT85" s="3062"/>
      <c r="CU85" s="3062"/>
      <c r="CV85" s="3062"/>
      <c r="CW85" s="3062"/>
      <c r="CX85" s="3062"/>
      <c r="CY85" s="3062"/>
      <c r="CZ85" s="3062"/>
      <c r="DA85" s="3062"/>
      <c r="DB85" s="3062"/>
      <c r="DC85" s="3062"/>
      <c r="DD85" s="3062"/>
      <c r="DE85" s="3062"/>
      <c r="DF85" s="3062"/>
      <c r="DG85" s="3062"/>
      <c r="DH85" s="3062"/>
      <c r="DI85" s="3062"/>
      <c r="DJ85" s="3062"/>
      <c r="DK85" s="3062"/>
      <c r="DL85" s="3062"/>
      <c r="DM85" s="3062"/>
      <c r="DN85" s="3062"/>
      <c r="DO85" s="3062"/>
      <c r="DP85" s="3062"/>
      <c r="DQ85" s="3062"/>
      <c r="DR85" s="3062"/>
      <c r="DS85" s="3062"/>
      <c r="DT85" s="3062"/>
      <c r="DU85" s="3062"/>
      <c r="DV85" s="3062"/>
      <c r="DW85" s="3062"/>
      <c r="DX85" s="3062"/>
      <c r="DY85" s="3062"/>
      <c r="DZ85" s="3062"/>
      <c r="EA85" s="3062"/>
      <c r="EB85" s="3062"/>
      <c r="EC85" s="3062"/>
      <c r="ED85" s="3062"/>
      <c r="EE85" s="3062"/>
      <c r="EF85" s="3062"/>
      <c r="EG85" s="3062"/>
      <c r="EH85" s="3062"/>
      <c r="EI85" s="3062"/>
      <c r="EJ85" s="3062"/>
      <c r="EK85" s="3062"/>
      <c r="EL85" s="3062"/>
      <c r="EM85" s="3062"/>
      <c r="EN85" s="3062"/>
      <c r="EO85" s="3062"/>
      <c r="EP85" s="3062"/>
      <c r="EQ85" s="3062"/>
      <c r="ER85" s="3062"/>
      <c r="ES85" s="3062"/>
      <c r="ET85" s="3062"/>
      <c r="EU85" s="1267"/>
    </row>
    <row r="86" spans="1:151" s="1231" customFormat="1" ht="15" customHeight="1">
      <c r="A86" s="16253"/>
      <c r="B86" s="16256"/>
      <c r="C86" s="16253"/>
      <c r="D86" s="2761" t="s">
        <v>2713</v>
      </c>
      <c r="E86" s="2761" t="s">
        <v>2714</v>
      </c>
      <c r="F86" s="16232" t="s">
        <v>2714</v>
      </c>
      <c r="G86" s="16232"/>
      <c r="H86" s="16232" t="s">
        <v>4561</v>
      </c>
      <c r="I86" s="16232" t="s">
        <v>2715</v>
      </c>
      <c r="J86" s="16232" t="s">
        <v>2714</v>
      </c>
      <c r="K86" s="5794" t="s">
        <v>10063</v>
      </c>
      <c r="L86" s="5294" t="s">
        <v>2856</v>
      </c>
      <c r="M86" s="5294"/>
      <c r="N86" s="3146">
        <v>0.7</v>
      </c>
      <c r="O86" s="15330"/>
      <c r="P86" s="15330"/>
      <c r="Q86" s="15330"/>
      <c r="R86" s="5779">
        <f t="shared" ref="R86:R94" si="0">S86+T86+U86</f>
        <v>27070515.539999999</v>
      </c>
      <c r="S86" s="5779">
        <v>23853377.359999999</v>
      </c>
      <c r="T86" s="5780">
        <v>3217138.18</v>
      </c>
      <c r="U86" s="2500">
        <v>0</v>
      </c>
      <c r="V86" s="16285"/>
      <c r="W86" s="16285"/>
      <c r="X86" s="16285"/>
      <c r="Y86" s="16285"/>
      <c r="Z86" s="16285"/>
      <c r="AA86" s="16285"/>
      <c r="AB86" s="16285"/>
      <c r="AC86" s="16285"/>
      <c r="AD86" s="16285"/>
      <c r="AE86" s="16285"/>
      <c r="AF86" s="16285"/>
      <c r="AG86" s="16285"/>
      <c r="AH86" s="16285"/>
      <c r="AI86" s="16285"/>
      <c r="AJ86" s="16285"/>
      <c r="AK86" s="16285"/>
      <c r="AL86" s="3062"/>
      <c r="AM86" s="3062"/>
      <c r="AN86" s="3062"/>
      <c r="AO86" s="3062"/>
      <c r="AP86" s="3062"/>
      <c r="AQ86" s="5295"/>
      <c r="AR86" s="3062"/>
      <c r="AS86" s="3062"/>
      <c r="AT86" s="3062"/>
      <c r="AU86" s="3062"/>
      <c r="AV86" s="3062"/>
      <c r="AW86" s="3062"/>
      <c r="AX86" s="3062"/>
      <c r="AY86" s="3062"/>
      <c r="AZ86" s="3062"/>
      <c r="BA86" s="3062"/>
      <c r="BB86" s="3062"/>
      <c r="BC86" s="3062"/>
      <c r="BD86" s="3062"/>
      <c r="BE86" s="3062"/>
      <c r="BF86" s="3062"/>
      <c r="BG86" s="16330"/>
      <c r="BH86" s="16281"/>
      <c r="BI86" s="16350"/>
      <c r="BJ86" s="16232"/>
      <c r="BK86" s="16351"/>
      <c r="BL86" s="16330"/>
      <c r="BM86" s="16330"/>
      <c r="BN86" s="16330"/>
      <c r="BO86" s="16330"/>
      <c r="BP86" s="5295"/>
      <c r="BQ86" s="16330"/>
      <c r="BR86" s="5781"/>
      <c r="BS86" s="5295"/>
      <c r="BT86" s="5295"/>
      <c r="BU86" s="5295"/>
      <c r="BV86" s="5295"/>
      <c r="BW86" s="3062"/>
      <c r="BX86" s="3062"/>
      <c r="BY86" s="5295"/>
      <c r="BZ86" s="5295"/>
      <c r="CA86" s="3062"/>
      <c r="CB86" s="3062"/>
      <c r="CC86" s="5295"/>
      <c r="CD86" s="3062"/>
      <c r="CE86" s="3062"/>
      <c r="CF86" s="3062"/>
      <c r="CG86" s="3062"/>
      <c r="CH86" s="3062"/>
      <c r="CI86" s="3062"/>
      <c r="CJ86" s="3062"/>
      <c r="CK86" s="5295"/>
      <c r="CL86" s="3062"/>
      <c r="CM86" s="3062"/>
      <c r="CN86" s="3062"/>
      <c r="CO86" s="3062"/>
      <c r="CP86" s="3062"/>
      <c r="CQ86" s="3062"/>
      <c r="CR86" s="3062"/>
      <c r="CS86" s="3062"/>
      <c r="CT86" s="3062"/>
      <c r="CU86" s="3062"/>
      <c r="CV86" s="3062"/>
      <c r="CW86" s="3062"/>
      <c r="CX86" s="3062"/>
      <c r="CY86" s="3062"/>
      <c r="CZ86" s="3062"/>
      <c r="DA86" s="3062"/>
      <c r="DB86" s="3062"/>
      <c r="DC86" s="3062"/>
      <c r="DD86" s="3062"/>
      <c r="DE86" s="3062"/>
      <c r="DF86" s="3062"/>
      <c r="DG86" s="3062"/>
      <c r="DH86" s="3062"/>
      <c r="DI86" s="3062"/>
      <c r="DJ86" s="3062"/>
      <c r="DK86" s="3062"/>
      <c r="DL86" s="3062"/>
      <c r="DM86" s="3062"/>
      <c r="DN86" s="3062"/>
      <c r="DO86" s="3062"/>
      <c r="DP86" s="3062"/>
      <c r="DQ86" s="3062"/>
      <c r="DR86" s="3062"/>
      <c r="DS86" s="3062"/>
      <c r="DT86" s="3062"/>
      <c r="DU86" s="3062"/>
      <c r="DV86" s="3062"/>
      <c r="DW86" s="3062"/>
      <c r="DX86" s="3062"/>
      <c r="DY86" s="3062"/>
      <c r="DZ86" s="3062"/>
      <c r="EA86" s="3062"/>
      <c r="EB86" s="3062"/>
      <c r="EC86" s="3062"/>
      <c r="ED86" s="3062"/>
      <c r="EE86" s="3062"/>
      <c r="EF86" s="3062"/>
      <c r="EG86" s="3062"/>
      <c r="EH86" s="3062"/>
      <c r="EI86" s="3062"/>
      <c r="EJ86" s="3062"/>
      <c r="EK86" s="3062"/>
      <c r="EL86" s="3062"/>
      <c r="EM86" s="3062"/>
      <c r="EN86" s="3062"/>
      <c r="EO86" s="3062"/>
      <c r="EP86" s="3062"/>
      <c r="EQ86" s="3062"/>
      <c r="ER86" s="3062"/>
      <c r="ES86" s="3062"/>
      <c r="ET86" s="3062"/>
      <c r="EU86" s="1267"/>
    </row>
    <row r="87" spans="1:151" s="1231" customFormat="1" ht="15" customHeight="1">
      <c r="A87" s="16253"/>
      <c r="B87" s="16256"/>
      <c r="C87" s="16253"/>
      <c r="D87" s="2761"/>
      <c r="E87" s="2761"/>
      <c r="F87" s="16232"/>
      <c r="G87" s="16232"/>
      <c r="H87" s="16232"/>
      <c r="I87" s="16232"/>
      <c r="J87" s="16232"/>
      <c r="K87" s="5794" t="s">
        <v>208</v>
      </c>
      <c r="L87" s="5294"/>
      <c r="M87" s="5294" t="s">
        <v>2855</v>
      </c>
      <c r="N87" s="3146"/>
      <c r="O87" s="15330"/>
      <c r="P87" s="15330"/>
      <c r="Q87" s="15330"/>
      <c r="R87" s="5779"/>
      <c r="S87" s="5779"/>
      <c r="T87" s="5780"/>
      <c r="U87" s="2500"/>
      <c r="V87" s="16285"/>
      <c r="W87" s="16285"/>
      <c r="X87" s="16285"/>
      <c r="Y87" s="16285"/>
      <c r="Z87" s="16285"/>
      <c r="AA87" s="16285"/>
      <c r="AB87" s="16285"/>
      <c r="AC87" s="16285"/>
      <c r="AD87" s="16285"/>
      <c r="AE87" s="16285"/>
      <c r="AF87" s="16285"/>
      <c r="AG87" s="16285"/>
      <c r="AH87" s="16285"/>
      <c r="AI87" s="16285"/>
      <c r="AJ87" s="16285"/>
      <c r="AK87" s="16285"/>
      <c r="AL87" s="3062"/>
      <c r="AM87" s="3062"/>
      <c r="AN87" s="3062"/>
      <c r="AO87" s="3062"/>
      <c r="AP87" s="3062"/>
      <c r="AQ87" s="5295"/>
      <c r="AR87" s="3062"/>
      <c r="AS87" s="3062"/>
      <c r="AT87" s="3062"/>
      <c r="AU87" s="3062"/>
      <c r="AV87" s="3062"/>
      <c r="AW87" s="3062"/>
      <c r="AX87" s="3062"/>
      <c r="AY87" s="3062"/>
      <c r="AZ87" s="3062"/>
      <c r="BA87" s="3062"/>
      <c r="BB87" s="3062"/>
      <c r="BC87" s="3062"/>
      <c r="BD87" s="3062"/>
      <c r="BE87" s="3062"/>
      <c r="BF87" s="3062"/>
      <c r="BG87" s="16330"/>
      <c r="BH87" s="16281"/>
      <c r="BI87" s="16350"/>
      <c r="BJ87" s="16232"/>
      <c r="BK87" s="16351"/>
      <c r="BL87" s="16330"/>
      <c r="BM87" s="16330"/>
      <c r="BN87" s="16330"/>
      <c r="BO87" s="16330"/>
      <c r="BP87" s="5295"/>
      <c r="BQ87" s="16330"/>
      <c r="BR87" s="5781"/>
      <c r="BS87" s="5295"/>
      <c r="BT87" s="5295"/>
      <c r="BU87" s="5295"/>
      <c r="BV87" s="5295"/>
      <c r="BW87" s="3062"/>
      <c r="BX87" s="3062"/>
      <c r="BY87" s="5295"/>
      <c r="BZ87" s="5295"/>
      <c r="CA87" s="3062"/>
      <c r="CB87" s="3062"/>
      <c r="CC87" s="5295"/>
      <c r="CD87" s="3062"/>
      <c r="CE87" s="3062"/>
      <c r="CF87" s="3062"/>
      <c r="CG87" s="3062"/>
      <c r="CH87" s="3062"/>
      <c r="CI87" s="3062"/>
      <c r="CJ87" s="3062"/>
      <c r="CK87" s="5295"/>
      <c r="CL87" s="3062"/>
      <c r="CM87" s="3062"/>
      <c r="CN87" s="3062"/>
      <c r="CO87" s="3062"/>
      <c r="CP87" s="3062"/>
      <c r="CQ87" s="3062"/>
      <c r="CR87" s="3062"/>
      <c r="CS87" s="3062"/>
      <c r="CT87" s="3062"/>
      <c r="CU87" s="3062"/>
      <c r="CV87" s="3062"/>
      <c r="CW87" s="3062"/>
      <c r="CX87" s="3062"/>
      <c r="CY87" s="3062"/>
      <c r="CZ87" s="3062"/>
      <c r="DA87" s="3062"/>
      <c r="DB87" s="3062"/>
      <c r="DC87" s="3062"/>
      <c r="DD87" s="3062"/>
      <c r="DE87" s="3062"/>
      <c r="DF87" s="3062"/>
      <c r="DG87" s="3062"/>
      <c r="DH87" s="3062"/>
      <c r="DI87" s="3062"/>
      <c r="DJ87" s="3062"/>
      <c r="DK87" s="3062"/>
      <c r="DL87" s="3062"/>
      <c r="DM87" s="3062"/>
      <c r="DN87" s="3062"/>
      <c r="DO87" s="3062"/>
      <c r="DP87" s="3062"/>
      <c r="DQ87" s="3062"/>
      <c r="DR87" s="3062"/>
      <c r="DS87" s="3062"/>
      <c r="DT87" s="3062"/>
      <c r="DU87" s="3062"/>
      <c r="DV87" s="3062"/>
      <c r="DW87" s="3062"/>
      <c r="DX87" s="3062"/>
      <c r="DY87" s="3062"/>
      <c r="DZ87" s="3062"/>
      <c r="EA87" s="3062"/>
      <c r="EB87" s="3062"/>
      <c r="EC87" s="3062"/>
      <c r="ED87" s="3062"/>
      <c r="EE87" s="3062"/>
      <c r="EF87" s="3062"/>
      <c r="EG87" s="3062"/>
      <c r="EH87" s="3062"/>
      <c r="EI87" s="3062"/>
      <c r="EJ87" s="3062"/>
      <c r="EK87" s="3062"/>
      <c r="EL87" s="3062"/>
      <c r="EM87" s="3062"/>
      <c r="EN87" s="3062"/>
      <c r="EO87" s="3062"/>
      <c r="EP87" s="3062"/>
      <c r="EQ87" s="3062"/>
      <c r="ER87" s="3062"/>
      <c r="ES87" s="3062"/>
      <c r="ET87" s="3062"/>
      <c r="EU87" s="1267"/>
    </row>
    <row r="88" spans="1:151" s="1231" customFormat="1" ht="15" customHeight="1">
      <c r="A88" s="16253"/>
      <c r="B88" s="16256"/>
      <c r="C88" s="16253"/>
      <c r="D88" s="2761" t="s">
        <v>2716</v>
      </c>
      <c r="E88" s="2761" t="s">
        <v>2717</v>
      </c>
      <c r="F88" s="16232" t="s">
        <v>2718</v>
      </c>
      <c r="G88" s="16232"/>
      <c r="H88" s="16232" t="s">
        <v>4562</v>
      </c>
      <c r="I88" s="16232" t="s">
        <v>2719</v>
      </c>
      <c r="J88" s="16232" t="s">
        <v>2718</v>
      </c>
      <c r="K88" s="2771" t="s">
        <v>10063</v>
      </c>
      <c r="L88" s="5294" t="s">
        <v>2856</v>
      </c>
      <c r="M88" s="5294"/>
      <c r="N88" s="3146">
        <v>0.59</v>
      </c>
      <c r="O88" s="15330"/>
      <c r="P88" s="15330"/>
      <c r="Q88" s="15330"/>
      <c r="R88" s="5779">
        <f t="shared" si="0"/>
        <v>27070515.539999999</v>
      </c>
      <c r="S88" s="5779">
        <v>23853377.359999999</v>
      </c>
      <c r="T88" s="5780">
        <v>3217138.18</v>
      </c>
      <c r="U88" s="2500">
        <v>0</v>
      </c>
      <c r="V88" s="16285"/>
      <c r="W88" s="16285"/>
      <c r="X88" s="16285"/>
      <c r="Y88" s="16285"/>
      <c r="Z88" s="16285"/>
      <c r="AA88" s="16285"/>
      <c r="AB88" s="16285"/>
      <c r="AC88" s="16285"/>
      <c r="AD88" s="16285"/>
      <c r="AE88" s="16285"/>
      <c r="AF88" s="16285"/>
      <c r="AG88" s="16285"/>
      <c r="AH88" s="16285"/>
      <c r="AI88" s="16285"/>
      <c r="AJ88" s="16285"/>
      <c r="AK88" s="16285"/>
      <c r="AL88" s="3062"/>
      <c r="AM88" s="3062"/>
      <c r="AN88" s="3062"/>
      <c r="AO88" s="3062"/>
      <c r="AP88" s="3062"/>
      <c r="AQ88" s="5295"/>
      <c r="AR88" s="3062"/>
      <c r="AS88" s="3062"/>
      <c r="AT88" s="3062"/>
      <c r="AU88" s="3062"/>
      <c r="AV88" s="3062"/>
      <c r="AW88" s="3062"/>
      <c r="AX88" s="3062"/>
      <c r="AY88" s="3062"/>
      <c r="AZ88" s="3062"/>
      <c r="BA88" s="3062"/>
      <c r="BB88" s="3062"/>
      <c r="BC88" s="3062"/>
      <c r="BD88" s="3062"/>
      <c r="BE88" s="3062"/>
      <c r="BF88" s="3062"/>
      <c r="BG88" s="16330"/>
      <c r="BH88" s="16281"/>
      <c r="BI88" s="16350"/>
      <c r="BJ88" s="16232"/>
      <c r="BK88" s="16351"/>
      <c r="BL88" s="16330"/>
      <c r="BM88" s="16330"/>
      <c r="BN88" s="16330"/>
      <c r="BO88" s="16330"/>
      <c r="BP88" s="5295"/>
      <c r="BQ88" s="16330"/>
      <c r="BR88" s="5781"/>
      <c r="BS88" s="5295"/>
      <c r="BT88" s="5295"/>
      <c r="BU88" s="5295"/>
      <c r="BV88" s="5295"/>
      <c r="BW88" s="3062"/>
      <c r="BX88" s="3062"/>
      <c r="BY88" s="5295"/>
      <c r="BZ88" s="5295"/>
      <c r="CA88" s="3062"/>
      <c r="CB88" s="3062"/>
      <c r="CC88" s="5295"/>
      <c r="CD88" s="3062"/>
      <c r="CE88" s="3062"/>
      <c r="CF88" s="3062"/>
      <c r="CG88" s="3062"/>
      <c r="CH88" s="3062"/>
      <c r="CI88" s="3062"/>
      <c r="CJ88" s="3062"/>
      <c r="CK88" s="5295"/>
      <c r="CL88" s="3062"/>
      <c r="CM88" s="3062"/>
      <c r="CN88" s="3062"/>
      <c r="CO88" s="3062"/>
      <c r="CP88" s="3062"/>
      <c r="CQ88" s="3062"/>
      <c r="CR88" s="3062"/>
      <c r="CS88" s="3062"/>
      <c r="CT88" s="3062"/>
      <c r="CU88" s="3062"/>
      <c r="CV88" s="3062"/>
      <c r="CW88" s="3062"/>
      <c r="CX88" s="3062"/>
      <c r="CY88" s="3062"/>
      <c r="CZ88" s="3062"/>
      <c r="DA88" s="3062"/>
      <c r="DB88" s="3062"/>
      <c r="DC88" s="3062"/>
      <c r="DD88" s="3062"/>
      <c r="DE88" s="3062"/>
      <c r="DF88" s="3062"/>
      <c r="DG88" s="3062"/>
      <c r="DH88" s="3062"/>
      <c r="DI88" s="3062"/>
      <c r="DJ88" s="3062"/>
      <c r="DK88" s="3062"/>
      <c r="DL88" s="3062"/>
      <c r="DM88" s="3062"/>
      <c r="DN88" s="3062"/>
      <c r="DO88" s="3062"/>
      <c r="DP88" s="3062"/>
      <c r="DQ88" s="3062"/>
      <c r="DR88" s="3062"/>
      <c r="DS88" s="3062"/>
      <c r="DT88" s="3062"/>
      <c r="DU88" s="3062"/>
      <c r="DV88" s="3062"/>
      <c r="DW88" s="3062"/>
      <c r="DX88" s="3062"/>
      <c r="DY88" s="3062"/>
      <c r="DZ88" s="3062"/>
      <c r="EA88" s="3062"/>
      <c r="EB88" s="3062"/>
      <c r="EC88" s="3062"/>
      <c r="ED88" s="3062"/>
      <c r="EE88" s="3062"/>
      <c r="EF88" s="3062"/>
      <c r="EG88" s="3062"/>
      <c r="EH88" s="3062"/>
      <c r="EI88" s="3062"/>
      <c r="EJ88" s="3062"/>
      <c r="EK88" s="3062"/>
      <c r="EL88" s="3062"/>
      <c r="EM88" s="3062"/>
      <c r="EN88" s="3062"/>
      <c r="EO88" s="3062"/>
      <c r="EP88" s="3062"/>
      <c r="EQ88" s="3062"/>
      <c r="ER88" s="3062"/>
      <c r="ES88" s="3062"/>
      <c r="ET88" s="3062"/>
      <c r="EU88" s="1267"/>
    </row>
    <row r="89" spans="1:151" s="1231" customFormat="1" ht="15" customHeight="1">
      <c r="A89" s="16253"/>
      <c r="B89" s="16256"/>
      <c r="C89" s="16253"/>
      <c r="D89" s="2761"/>
      <c r="E89" s="2761"/>
      <c r="F89" s="16232"/>
      <c r="G89" s="16232"/>
      <c r="H89" s="16232"/>
      <c r="I89" s="16232"/>
      <c r="J89" s="16232"/>
      <c r="K89" s="2771" t="s">
        <v>208</v>
      </c>
      <c r="L89" s="5294"/>
      <c r="M89" s="5294" t="s">
        <v>2855</v>
      </c>
      <c r="N89" s="3146"/>
      <c r="O89" s="15330"/>
      <c r="P89" s="15330"/>
      <c r="Q89" s="15330"/>
      <c r="R89" s="5779"/>
      <c r="S89" s="5779"/>
      <c r="T89" s="5780"/>
      <c r="U89" s="2500"/>
      <c r="V89" s="16285"/>
      <c r="W89" s="16285"/>
      <c r="X89" s="16285"/>
      <c r="Y89" s="16285"/>
      <c r="Z89" s="16285"/>
      <c r="AA89" s="16285"/>
      <c r="AB89" s="16285"/>
      <c r="AC89" s="16285"/>
      <c r="AD89" s="16285"/>
      <c r="AE89" s="16285"/>
      <c r="AF89" s="16285"/>
      <c r="AG89" s="16285"/>
      <c r="AH89" s="16285"/>
      <c r="AI89" s="16285"/>
      <c r="AJ89" s="16285"/>
      <c r="AK89" s="16285"/>
      <c r="AL89" s="3062"/>
      <c r="AM89" s="3062"/>
      <c r="AN89" s="3062"/>
      <c r="AO89" s="3062"/>
      <c r="AP89" s="3062"/>
      <c r="AQ89" s="5295"/>
      <c r="AR89" s="3062"/>
      <c r="AS89" s="3062"/>
      <c r="AT89" s="3062"/>
      <c r="AU89" s="3062"/>
      <c r="AV89" s="3062"/>
      <c r="AW89" s="3062"/>
      <c r="AX89" s="3062"/>
      <c r="AY89" s="3062"/>
      <c r="AZ89" s="3062"/>
      <c r="BA89" s="3062"/>
      <c r="BB89" s="3062"/>
      <c r="BC89" s="3062"/>
      <c r="BD89" s="3062"/>
      <c r="BE89" s="3062"/>
      <c r="BF89" s="3062"/>
      <c r="BG89" s="16330"/>
      <c r="BH89" s="16281"/>
      <c r="BI89" s="16350"/>
      <c r="BJ89" s="16232"/>
      <c r="BK89" s="16351"/>
      <c r="BL89" s="16330"/>
      <c r="BM89" s="16330"/>
      <c r="BN89" s="16330"/>
      <c r="BO89" s="16330"/>
      <c r="BP89" s="5295"/>
      <c r="BQ89" s="16330"/>
      <c r="BR89" s="5781"/>
      <c r="BS89" s="5295"/>
      <c r="BT89" s="5295"/>
      <c r="BU89" s="5295"/>
      <c r="BV89" s="5295"/>
      <c r="BW89" s="3062"/>
      <c r="BX89" s="3062"/>
      <c r="BY89" s="5295"/>
      <c r="BZ89" s="5295"/>
      <c r="CA89" s="3062"/>
      <c r="CB89" s="3062"/>
      <c r="CC89" s="5295"/>
      <c r="CD89" s="3062"/>
      <c r="CE89" s="3062"/>
      <c r="CF89" s="3062"/>
      <c r="CG89" s="3062"/>
      <c r="CH89" s="3062"/>
      <c r="CI89" s="3062"/>
      <c r="CJ89" s="3062"/>
      <c r="CK89" s="5295"/>
      <c r="CL89" s="3062"/>
      <c r="CM89" s="3062"/>
      <c r="CN89" s="3062"/>
      <c r="CO89" s="3062"/>
      <c r="CP89" s="3062"/>
      <c r="CQ89" s="3062"/>
      <c r="CR89" s="3062"/>
      <c r="CS89" s="3062"/>
      <c r="CT89" s="3062"/>
      <c r="CU89" s="3062"/>
      <c r="CV89" s="3062"/>
      <c r="CW89" s="3062"/>
      <c r="CX89" s="3062"/>
      <c r="CY89" s="3062"/>
      <c r="CZ89" s="3062"/>
      <c r="DA89" s="3062"/>
      <c r="DB89" s="3062"/>
      <c r="DC89" s="3062"/>
      <c r="DD89" s="3062"/>
      <c r="DE89" s="3062"/>
      <c r="DF89" s="3062"/>
      <c r="DG89" s="3062"/>
      <c r="DH89" s="3062"/>
      <c r="DI89" s="3062"/>
      <c r="DJ89" s="3062"/>
      <c r="DK89" s="3062"/>
      <c r="DL89" s="3062"/>
      <c r="DM89" s="3062"/>
      <c r="DN89" s="3062"/>
      <c r="DO89" s="3062"/>
      <c r="DP89" s="3062"/>
      <c r="DQ89" s="3062"/>
      <c r="DR89" s="3062"/>
      <c r="DS89" s="3062"/>
      <c r="DT89" s="3062"/>
      <c r="DU89" s="3062"/>
      <c r="DV89" s="3062"/>
      <c r="DW89" s="3062"/>
      <c r="DX89" s="3062"/>
      <c r="DY89" s="3062"/>
      <c r="DZ89" s="3062"/>
      <c r="EA89" s="3062"/>
      <c r="EB89" s="3062"/>
      <c r="EC89" s="3062"/>
      <c r="ED89" s="3062"/>
      <c r="EE89" s="3062"/>
      <c r="EF89" s="3062"/>
      <c r="EG89" s="3062"/>
      <c r="EH89" s="3062"/>
      <c r="EI89" s="3062"/>
      <c r="EJ89" s="3062"/>
      <c r="EK89" s="3062"/>
      <c r="EL89" s="3062"/>
      <c r="EM89" s="3062"/>
      <c r="EN89" s="3062"/>
      <c r="EO89" s="3062"/>
      <c r="EP89" s="3062"/>
      <c r="EQ89" s="3062"/>
      <c r="ER89" s="3062"/>
      <c r="ES89" s="3062"/>
      <c r="ET89" s="3062"/>
      <c r="EU89" s="1267"/>
    </row>
    <row r="90" spans="1:151" s="1231" customFormat="1" ht="15" customHeight="1">
      <c r="A90" s="16253"/>
      <c r="B90" s="16256"/>
      <c r="C90" s="16253"/>
      <c r="D90" s="2761" t="s">
        <v>2720</v>
      </c>
      <c r="E90" s="2761" t="s">
        <v>2721</v>
      </c>
      <c r="F90" s="16232" t="s">
        <v>2721</v>
      </c>
      <c r="G90" s="16232"/>
      <c r="H90" s="16232" t="s">
        <v>4563</v>
      </c>
      <c r="I90" s="16232" t="s">
        <v>2722</v>
      </c>
      <c r="J90" s="16232" t="s">
        <v>2721</v>
      </c>
      <c r="K90" s="2771" t="s">
        <v>10063</v>
      </c>
      <c r="L90" s="5294" t="s">
        <v>2856</v>
      </c>
      <c r="M90" s="5294"/>
      <c r="N90" s="3146">
        <v>0.64</v>
      </c>
      <c r="O90" s="15330"/>
      <c r="P90" s="15330"/>
      <c r="Q90" s="15330"/>
      <c r="R90" s="5779">
        <f t="shared" si="0"/>
        <v>27070515.539999999</v>
      </c>
      <c r="S90" s="5779">
        <v>23853377.359999999</v>
      </c>
      <c r="T90" s="5780">
        <v>3217138.18</v>
      </c>
      <c r="U90" s="2500">
        <v>0</v>
      </c>
      <c r="V90" s="16285"/>
      <c r="W90" s="16285"/>
      <c r="X90" s="16285"/>
      <c r="Y90" s="16285"/>
      <c r="Z90" s="16285"/>
      <c r="AA90" s="16285"/>
      <c r="AB90" s="16285"/>
      <c r="AC90" s="16285"/>
      <c r="AD90" s="16285"/>
      <c r="AE90" s="16285"/>
      <c r="AF90" s="16285"/>
      <c r="AG90" s="16285"/>
      <c r="AH90" s="16285"/>
      <c r="AI90" s="16285"/>
      <c r="AJ90" s="16285"/>
      <c r="AK90" s="16285"/>
      <c r="AL90" s="3062"/>
      <c r="AM90" s="3062"/>
      <c r="AN90" s="3062"/>
      <c r="AO90" s="3062"/>
      <c r="AP90" s="3062"/>
      <c r="AQ90" s="5295"/>
      <c r="AR90" s="3062"/>
      <c r="AS90" s="3062"/>
      <c r="AT90" s="3062"/>
      <c r="AU90" s="3062"/>
      <c r="AV90" s="3062"/>
      <c r="AW90" s="3062"/>
      <c r="AX90" s="3062"/>
      <c r="AY90" s="3062"/>
      <c r="AZ90" s="3062"/>
      <c r="BA90" s="3062"/>
      <c r="BB90" s="3062"/>
      <c r="BC90" s="3062"/>
      <c r="BD90" s="3062"/>
      <c r="BE90" s="3062"/>
      <c r="BF90" s="3062"/>
      <c r="BG90" s="16330"/>
      <c r="BH90" s="16281"/>
      <c r="BI90" s="16350"/>
      <c r="BJ90" s="16232"/>
      <c r="BK90" s="16351"/>
      <c r="BL90" s="16330"/>
      <c r="BM90" s="16330"/>
      <c r="BN90" s="16330"/>
      <c r="BO90" s="16330"/>
      <c r="BP90" s="5295"/>
      <c r="BQ90" s="16330"/>
      <c r="BR90" s="5781"/>
      <c r="BS90" s="5295"/>
      <c r="BT90" s="5295"/>
      <c r="BU90" s="5295"/>
      <c r="BV90" s="5295"/>
      <c r="BW90" s="3062"/>
      <c r="BX90" s="3062"/>
      <c r="BY90" s="5295"/>
      <c r="BZ90" s="5295"/>
      <c r="CA90" s="3062"/>
      <c r="CB90" s="3062"/>
      <c r="CC90" s="5295"/>
      <c r="CD90" s="3062"/>
      <c r="CE90" s="3062"/>
      <c r="CF90" s="3062"/>
      <c r="CG90" s="3062"/>
      <c r="CH90" s="3062"/>
      <c r="CI90" s="3062"/>
      <c r="CJ90" s="3062"/>
      <c r="CK90" s="5295"/>
      <c r="CL90" s="3062"/>
      <c r="CM90" s="3062"/>
      <c r="CN90" s="3062"/>
      <c r="CO90" s="3062"/>
      <c r="CP90" s="3062"/>
      <c r="CQ90" s="3062"/>
      <c r="CR90" s="3062"/>
      <c r="CS90" s="3062"/>
      <c r="CT90" s="3062"/>
      <c r="CU90" s="3062"/>
      <c r="CV90" s="3062"/>
      <c r="CW90" s="3062"/>
      <c r="CX90" s="3062"/>
      <c r="CY90" s="3062"/>
      <c r="CZ90" s="3062"/>
      <c r="DA90" s="3062"/>
      <c r="DB90" s="3062"/>
      <c r="DC90" s="3062"/>
      <c r="DD90" s="3062"/>
      <c r="DE90" s="3062"/>
      <c r="DF90" s="3062"/>
      <c r="DG90" s="3062"/>
      <c r="DH90" s="3062"/>
      <c r="DI90" s="3062"/>
      <c r="DJ90" s="3062"/>
      <c r="DK90" s="3062"/>
      <c r="DL90" s="3062"/>
      <c r="DM90" s="3062"/>
      <c r="DN90" s="3062"/>
      <c r="DO90" s="3062"/>
      <c r="DP90" s="3062"/>
      <c r="DQ90" s="3062"/>
      <c r="DR90" s="3062"/>
      <c r="DS90" s="3062"/>
      <c r="DT90" s="3062"/>
      <c r="DU90" s="3062"/>
      <c r="DV90" s="3062"/>
      <c r="DW90" s="3062"/>
      <c r="DX90" s="3062"/>
      <c r="DY90" s="3062"/>
      <c r="DZ90" s="3062"/>
      <c r="EA90" s="3062"/>
      <c r="EB90" s="3062"/>
      <c r="EC90" s="3062"/>
      <c r="ED90" s="3062"/>
      <c r="EE90" s="3062"/>
      <c r="EF90" s="3062"/>
      <c r="EG90" s="3062"/>
      <c r="EH90" s="3062"/>
      <c r="EI90" s="3062"/>
      <c r="EJ90" s="3062"/>
      <c r="EK90" s="3062"/>
      <c r="EL90" s="3062"/>
      <c r="EM90" s="3062"/>
      <c r="EN90" s="3062"/>
      <c r="EO90" s="3062"/>
      <c r="EP90" s="3062"/>
      <c r="EQ90" s="3062"/>
      <c r="ER90" s="3062"/>
      <c r="ES90" s="3062"/>
      <c r="ET90" s="3062"/>
      <c r="EU90" s="1267"/>
    </row>
    <row r="91" spans="1:151" s="1231" customFormat="1" ht="15" customHeight="1" thickBot="1">
      <c r="A91" s="16254"/>
      <c r="B91" s="16257"/>
      <c r="C91" s="16254"/>
      <c r="D91" s="5974"/>
      <c r="E91" s="5974"/>
      <c r="F91" s="16234"/>
      <c r="G91" s="16234"/>
      <c r="H91" s="16234"/>
      <c r="I91" s="16234"/>
      <c r="J91" s="16234"/>
      <c r="K91" s="5975" t="s">
        <v>208</v>
      </c>
      <c r="L91" s="5564"/>
      <c r="M91" s="5564" t="s">
        <v>2855</v>
      </c>
      <c r="N91" s="5976"/>
      <c r="O91" s="5046"/>
      <c r="P91" s="5046"/>
      <c r="Q91" s="5046"/>
      <c r="R91" s="5977"/>
      <c r="S91" s="5977"/>
      <c r="T91" s="5978"/>
      <c r="U91" s="5979"/>
      <c r="V91" s="5980"/>
      <c r="W91" s="5980"/>
      <c r="X91" s="5980"/>
      <c r="Y91" s="5980"/>
      <c r="Z91" s="5980"/>
      <c r="AA91" s="5980"/>
      <c r="AB91" s="5980"/>
      <c r="AC91" s="5980"/>
      <c r="AD91" s="5980"/>
      <c r="AE91" s="5980"/>
      <c r="AF91" s="5980"/>
      <c r="AG91" s="5980"/>
      <c r="AH91" s="5980"/>
      <c r="AI91" s="5980"/>
      <c r="AJ91" s="5980"/>
      <c r="AK91" s="5980"/>
      <c r="AL91" s="1293"/>
      <c r="AM91" s="1293"/>
      <c r="AN91" s="1293"/>
      <c r="AO91" s="1293"/>
      <c r="AP91" s="1293"/>
      <c r="AQ91" s="1292"/>
      <c r="AR91" s="1293"/>
      <c r="AS91" s="1293"/>
      <c r="AT91" s="1293"/>
      <c r="AU91" s="1293"/>
      <c r="AV91" s="1293"/>
      <c r="AW91" s="1293"/>
      <c r="AX91" s="1293"/>
      <c r="AY91" s="1293"/>
      <c r="AZ91" s="1293"/>
      <c r="BA91" s="1293"/>
      <c r="BB91" s="1293"/>
      <c r="BC91" s="1293"/>
      <c r="BD91" s="1293"/>
      <c r="BE91" s="1293"/>
      <c r="BF91" s="1293"/>
      <c r="BG91" s="1292"/>
      <c r="BH91" s="5981"/>
      <c r="BI91" s="5982"/>
      <c r="BJ91" s="912"/>
      <c r="BK91" s="5983"/>
      <c r="BL91" s="1292"/>
      <c r="BM91" s="1292"/>
      <c r="BN91" s="1292"/>
      <c r="BO91" s="1292"/>
      <c r="BP91" s="1292"/>
      <c r="BQ91" s="1292"/>
      <c r="BR91" s="5984"/>
      <c r="BS91" s="1292"/>
      <c r="BT91" s="1292"/>
      <c r="BU91" s="1292"/>
      <c r="BV91" s="1292"/>
      <c r="BW91" s="1293"/>
      <c r="BX91" s="1293"/>
      <c r="BY91" s="1292"/>
      <c r="BZ91" s="1292"/>
      <c r="CA91" s="1293"/>
      <c r="CB91" s="1293"/>
      <c r="CC91" s="1292"/>
      <c r="CD91" s="1293"/>
      <c r="CE91" s="1293"/>
      <c r="CF91" s="1293"/>
      <c r="CG91" s="1293"/>
      <c r="CH91" s="1293"/>
      <c r="CI91" s="1293"/>
      <c r="CJ91" s="1293"/>
      <c r="CK91" s="1292"/>
      <c r="CL91" s="1293"/>
      <c r="CM91" s="1293"/>
      <c r="CN91" s="1293"/>
      <c r="CO91" s="1293"/>
      <c r="CP91" s="1293"/>
      <c r="CQ91" s="1293"/>
      <c r="CR91" s="1293"/>
      <c r="CS91" s="1293"/>
      <c r="CT91" s="1293"/>
      <c r="CU91" s="1293"/>
      <c r="CV91" s="1293"/>
      <c r="CW91" s="1293"/>
      <c r="CX91" s="1293"/>
      <c r="CY91" s="1293"/>
      <c r="CZ91" s="1293"/>
      <c r="DA91" s="1293"/>
      <c r="DB91" s="1293"/>
      <c r="DC91" s="1293"/>
      <c r="DD91" s="1293"/>
      <c r="DE91" s="1293"/>
      <c r="DF91" s="1293"/>
      <c r="DG91" s="1293"/>
      <c r="DH91" s="1293"/>
      <c r="DI91" s="1293"/>
      <c r="DJ91" s="1293"/>
      <c r="DK91" s="1293"/>
      <c r="DL91" s="1293"/>
      <c r="DM91" s="1293"/>
      <c r="DN91" s="1293"/>
      <c r="DO91" s="1293"/>
      <c r="DP91" s="1293"/>
      <c r="DQ91" s="1293"/>
      <c r="DR91" s="1293"/>
      <c r="DS91" s="1293"/>
      <c r="DT91" s="1293"/>
      <c r="DU91" s="1293"/>
      <c r="DV91" s="1293"/>
      <c r="DW91" s="1293"/>
      <c r="DX91" s="1293"/>
      <c r="DY91" s="1293"/>
      <c r="DZ91" s="1293"/>
      <c r="EA91" s="1293"/>
      <c r="EB91" s="1293"/>
      <c r="EC91" s="1293"/>
      <c r="ED91" s="1293"/>
      <c r="EE91" s="1293"/>
      <c r="EF91" s="1293"/>
      <c r="EG91" s="1293"/>
      <c r="EH91" s="1293"/>
      <c r="EI91" s="1293"/>
      <c r="EJ91" s="1293"/>
      <c r="EK91" s="1293"/>
      <c r="EL91" s="1293"/>
      <c r="EM91" s="1293"/>
      <c r="EN91" s="1293"/>
      <c r="EO91" s="1293"/>
      <c r="EP91" s="1293"/>
      <c r="EQ91" s="1293"/>
      <c r="ER91" s="1293"/>
      <c r="ES91" s="1293"/>
      <c r="ET91" s="1293"/>
      <c r="EU91" s="1294"/>
    </row>
    <row r="92" spans="1:151" s="2046" customFormat="1" ht="15" customHeight="1">
      <c r="A92" s="16332" t="s">
        <v>2637</v>
      </c>
      <c r="B92" s="16334" t="s">
        <v>2723</v>
      </c>
      <c r="C92" s="16336" t="s">
        <v>2724</v>
      </c>
      <c r="D92" s="5796" t="s">
        <v>2725</v>
      </c>
      <c r="E92" s="5796" t="s">
        <v>2726</v>
      </c>
      <c r="F92" s="16226" t="s">
        <v>2727</v>
      </c>
      <c r="G92" s="16338" t="s">
        <v>2728</v>
      </c>
      <c r="H92" s="16226" t="s">
        <v>4564</v>
      </c>
      <c r="I92" s="16226" t="s">
        <v>2729</v>
      </c>
      <c r="J92" s="16226" t="s">
        <v>2727</v>
      </c>
      <c r="K92" s="5796" t="s">
        <v>10063</v>
      </c>
      <c r="L92" s="5966" t="s">
        <v>2856</v>
      </c>
      <c r="M92" s="5966"/>
      <c r="N92" s="5967">
        <v>1</v>
      </c>
      <c r="O92" s="16288" t="s">
        <v>3152</v>
      </c>
      <c r="P92" s="16292" t="s">
        <v>3153</v>
      </c>
      <c r="Q92" s="5133" t="s">
        <v>3154</v>
      </c>
      <c r="R92" s="5968">
        <f t="shared" si="0"/>
        <v>131257835.08333334</v>
      </c>
      <c r="S92" s="5968">
        <v>39642243.199999996</v>
      </c>
      <c r="T92" s="5969">
        <v>91615591.88333334</v>
      </c>
      <c r="U92" s="5970">
        <v>0</v>
      </c>
      <c r="V92" s="16286">
        <v>8944</v>
      </c>
      <c r="W92" s="16286"/>
      <c r="X92" s="16286"/>
      <c r="Y92" s="16286"/>
      <c r="Z92" s="16286"/>
      <c r="AA92" s="16286"/>
      <c r="AB92" s="16286"/>
      <c r="AC92" s="16286"/>
      <c r="AD92" s="16286"/>
      <c r="AE92" s="16286"/>
      <c r="AF92" s="16286"/>
      <c r="AG92" s="16286"/>
      <c r="AH92" s="16286"/>
      <c r="AI92" s="16286"/>
      <c r="AJ92" s="16286"/>
      <c r="AK92" s="16286"/>
      <c r="AL92" s="5971"/>
      <c r="AM92" s="5971"/>
      <c r="AN92" s="5971"/>
      <c r="AO92" s="5971"/>
      <c r="AP92" s="5971"/>
      <c r="AQ92" s="5140"/>
      <c r="AR92" s="5971"/>
      <c r="AS92" s="5971"/>
      <c r="AT92" s="5971"/>
      <c r="AU92" s="5971"/>
      <c r="AV92" s="5971"/>
      <c r="AW92" s="5971"/>
      <c r="AX92" s="5971"/>
      <c r="AY92" s="5971"/>
      <c r="AZ92" s="5971"/>
      <c r="BA92" s="5971"/>
      <c r="BB92" s="5971"/>
      <c r="BC92" s="5971"/>
      <c r="BD92" s="5971"/>
      <c r="BE92" s="5971"/>
      <c r="BF92" s="5971"/>
      <c r="BG92" s="5140">
        <v>1364</v>
      </c>
      <c r="BH92" s="5972">
        <v>1</v>
      </c>
      <c r="BI92" s="16341" t="s">
        <v>9156</v>
      </c>
      <c r="BJ92" s="2047" t="s">
        <v>9157</v>
      </c>
      <c r="BK92" s="16344"/>
      <c r="BL92" s="5140" t="s">
        <v>9158</v>
      </c>
      <c r="BM92" s="5140" t="s">
        <v>9159</v>
      </c>
      <c r="BN92" s="5140" t="s">
        <v>9160</v>
      </c>
      <c r="BO92" s="5140" t="s">
        <v>9068</v>
      </c>
      <c r="BP92" s="5140"/>
      <c r="BQ92" s="16346">
        <v>4275</v>
      </c>
      <c r="BR92" s="5139"/>
      <c r="BS92" s="5140"/>
      <c r="BT92" s="5140"/>
      <c r="BU92" s="5140"/>
      <c r="BV92" s="5140"/>
      <c r="BW92" s="5971"/>
      <c r="BX92" s="5971"/>
      <c r="BY92" s="5140"/>
      <c r="BZ92" s="5140"/>
      <c r="CA92" s="5971"/>
      <c r="CB92" s="5971"/>
      <c r="CC92" s="5140"/>
      <c r="CD92" s="5971"/>
      <c r="CE92" s="5971"/>
      <c r="CF92" s="5971"/>
      <c r="CG92" s="5971"/>
      <c r="CH92" s="5971"/>
      <c r="CI92" s="5971"/>
      <c r="CJ92" s="5971"/>
      <c r="CK92" s="5140"/>
      <c r="CL92" s="5971"/>
      <c r="CM92" s="5971"/>
      <c r="CN92" s="5971"/>
      <c r="CO92" s="5971"/>
      <c r="CP92" s="5971"/>
      <c r="CQ92" s="5971"/>
      <c r="CR92" s="5971"/>
      <c r="CS92" s="5971"/>
      <c r="CT92" s="5971"/>
      <c r="CU92" s="5971"/>
      <c r="CV92" s="5971"/>
      <c r="CW92" s="5971"/>
      <c r="CX92" s="5971"/>
      <c r="CY92" s="5971"/>
      <c r="CZ92" s="5971"/>
      <c r="DA92" s="5971"/>
      <c r="DB92" s="5971"/>
      <c r="DC92" s="5971"/>
      <c r="DD92" s="5971"/>
      <c r="DE92" s="5971"/>
      <c r="DF92" s="5971"/>
      <c r="DG92" s="5971"/>
      <c r="DH92" s="5971"/>
      <c r="DI92" s="5971"/>
      <c r="DJ92" s="5971"/>
      <c r="DK92" s="5971"/>
      <c r="DL92" s="5971"/>
      <c r="DM92" s="5971"/>
      <c r="DN92" s="5971"/>
      <c r="DO92" s="5971"/>
      <c r="DP92" s="5971"/>
      <c r="DQ92" s="5971"/>
      <c r="DR92" s="5971"/>
      <c r="DS92" s="5971"/>
      <c r="DT92" s="5971"/>
      <c r="DU92" s="5971"/>
      <c r="DV92" s="5971"/>
      <c r="DW92" s="5971"/>
      <c r="DX92" s="5971"/>
      <c r="DY92" s="5971"/>
      <c r="DZ92" s="5971"/>
      <c r="EA92" s="5971"/>
      <c r="EB92" s="5971"/>
      <c r="EC92" s="5971"/>
      <c r="ED92" s="5971"/>
      <c r="EE92" s="5971"/>
      <c r="EF92" s="5971"/>
      <c r="EG92" s="5971"/>
      <c r="EH92" s="5971"/>
      <c r="EI92" s="5971"/>
      <c r="EJ92" s="5971"/>
      <c r="EK92" s="5971"/>
      <c r="EL92" s="5971"/>
      <c r="EM92" s="5971"/>
      <c r="EN92" s="5971"/>
      <c r="EO92" s="5971"/>
      <c r="EP92" s="5971"/>
      <c r="EQ92" s="5971"/>
      <c r="ER92" s="5971"/>
      <c r="ES92" s="5971"/>
      <c r="ET92" s="5971"/>
      <c r="EU92" s="5973"/>
    </row>
    <row r="93" spans="1:151" s="2046" customFormat="1" ht="15" customHeight="1">
      <c r="A93" s="16333"/>
      <c r="B93" s="16335"/>
      <c r="C93" s="16337"/>
      <c r="D93" s="2772"/>
      <c r="E93" s="2772"/>
      <c r="F93" s="16227"/>
      <c r="G93" s="16339"/>
      <c r="H93" s="16227"/>
      <c r="I93" s="16227"/>
      <c r="J93" s="16227"/>
      <c r="K93" s="2772" t="s">
        <v>208</v>
      </c>
      <c r="L93" s="5278"/>
      <c r="M93" s="5278" t="s">
        <v>2855</v>
      </c>
      <c r="N93" s="5819"/>
      <c r="O93" s="16289"/>
      <c r="P93" s="16293"/>
      <c r="Q93" s="5773"/>
      <c r="R93" s="5774"/>
      <c r="S93" s="5774"/>
      <c r="T93" s="5775"/>
      <c r="U93" s="5776"/>
      <c r="V93" s="16287"/>
      <c r="W93" s="16287"/>
      <c r="X93" s="16287"/>
      <c r="Y93" s="16287"/>
      <c r="Z93" s="16287"/>
      <c r="AA93" s="16287"/>
      <c r="AB93" s="16287"/>
      <c r="AC93" s="16287"/>
      <c r="AD93" s="16287"/>
      <c r="AE93" s="16287"/>
      <c r="AF93" s="16287"/>
      <c r="AG93" s="16287"/>
      <c r="AH93" s="16287"/>
      <c r="AI93" s="16287"/>
      <c r="AJ93" s="16287"/>
      <c r="AK93" s="16287"/>
      <c r="AL93" s="5777"/>
      <c r="AM93" s="5777"/>
      <c r="AN93" s="5777"/>
      <c r="AO93" s="5777"/>
      <c r="AP93" s="5777"/>
      <c r="AQ93" s="5287"/>
      <c r="AR93" s="5777"/>
      <c r="AS93" s="5777"/>
      <c r="AT93" s="5777"/>
      <c r="AU93" s="5777"/>
      <c r="AV93" s="5777"/>
      <c r="AW93" s="5777"/>
      <c r="AX93" s="5777"/>
      <c r="AY93" s="5777"/>
      <c r="AZ93" s="5777"/>
      <c r="BA93" s="5777"/>
      <c r="BB93" s="5777"/>
      <c r="BC93" s="5777"/>
      <c r="BD93" s="5777"/>
      <c r="BE93" s="5777"/>
      <c r="BF93" s="5777"/>
      <c r="BG93" s="5287"/>
      <c r="BH93" s="5277"/>
      <c r="BI93" s="16342"/>
      <c r="BJ93" s="5820"/>
      <c r="BK93" s="16345"/>
      <c r="BL93" s="5287"/>
      <c r="BM93" s="5287"/>
      <c r="BN93" s="5287"/>
      <c r="BO93" s="5287"/>
      <c r="BP93" s="5287"/>
      <c r="BQ93" s="16347"/>
      <c r="BR93" s="5778"/>
      <c r="BS93" s="5287"/>
      <c r="BT93" s="5287"/>
      <c r="BU93" s="5287"/>
      <c r="BV93" s="5287"/>
      <c r="BW93" s="5777"/>
      <c r="BX93" s="5777"/>
      <c r="BY93" s="5287"/>
      <c r="BZ93" s="5287"/>
      <c r="CA93" s="5777"/>
      <c r="CB93" s="5777"/>
      <c r="CC93" s="5287"/>
      <c r="CD93" s="5777"/>
      <c r="CE93" s="5777"/>
      <c r="CF93" s="5777"/>
      <c r="CG93" s="5777"/>
      <c r="CH93" s="5777"/>
      <c r="CI93" s="5777"/>
      <c r="CJ93" s="5777"/>
      <c r="CK93" s="5287"/>
      <c r="CL93" s="5777"/>
      <c r="CM93" s="5777"/>
      <c r="CN93" s="5777"/>
      <c r="CO93" s="5777"/>
      <c r="CP93" s="5777"/>
      <c r="CQ93" s="5777"/>
      <c r="CR93" s="5777"/>
      <c r="CS93" s="5777"/>
      <c r="CT93" s="5777"/>
      <c r="CU93" s="5777"/>
      <c r="CV93" s="5777"/>
      <c r="CW93" s="5777"/>
      <c r="CX93" s="5777"/>
      <c r="CY93" s="5777"/>
      <c r="CZ93" s="5777"/>
      <c r="DA93" s="5777"/>
      <c r="DB93" s="5777"/>
      <c r="DC93" s="5777"/>
      <c r="DD93" s="5777"/>
      <c r="DE93" s="5777"/>
      <c r="DF93" s="5777"/>
      <c r="DG93" s="5777"/>
      <c r="DH93" s="5777"/>
      <c r="DI93" s="5777"/>
      <c r="DJ93" s="5777"/>
      <c r="DK93" s="5777"/>
      <c r="DL93" s="5777"/>
      <c r="DM93" s="5777"/>
      <c r="DN93" s="5777"/>
      <c r="DO93" s="5777"/>
      <c r="DP93" s="5777"/>
      <c r="DQ93" s="5777"/>
      <c r="DR93" s="5777"/>
      <c r="DS93" s="5777"/>
      <c r="DT93" s="5777"/>
      <c r="DU93" s="5777"/>
      <c r="DV93" s="5777"/>
      <c r="DW93" s="5777"/>
      <c r="DX93" s="5777"/>
      <c r="DY93" s="5777"/>
      <c r="DZ93" s="5777"/>
      <c r="EA93" s="5777"/>
      <c r="EB93" s="5777"/>
      <c r="EC93" s="5777"/>
      <c r="ED93" s="5777"/>
      <c r="EE93" s="5777"/>
      <c r="EF93" s="5777"/>
      <c r="EG93" s="5777"/>
      <c r="EH93" s="5777"/>
      <c r="EI93" s="5777"/>
      <c r="EJ93" s="5777"/>
      <c r="EK93" s="5777"/>
      <c r="EL93" s="5777"/>
      <c r="EM93" s="5777"/>
      <c r="EN93" s="5777"/>
      <c r="EO93" s="5777"/>
      <c r="EP93" s="5777"/>
      <c r="EQ93" s="5777"/>
      <c r="ER93" s="5777"/>
      <c r="ES93" s="5777"/>
      <c r="ET93" s="5777"/>
      <c r="EU93" s="2045"/>
    </row>
    <row r="94" spans="1:151" s="2046" customFormat="1" ht="15" customHeight="1">
      <c r="A94" s="16333"/>
      <c r="B94" s="16335"/>
      <c r="C94" s="16337"/>
      <c r="D94" s="2772" t="s">
        <v>2730</v>
      </c>
      <c r="E94" s="2772" t="s">
        <v>2731</v>
      </c>
      <c r="F94" s="16227" t="s">
        <v>2732</v>
      </c>
      <c r="G94" s="16339"/>
      <c r="H94" s="16227" t="s">
        <v>4565</v>
      </c>
      <c r="I94" s="16227" t="s">
        <v>2733</v>
      </c>
      <c r="J94" s="16227" t="s">
        <v>2732</v>
      </c>
      <c r="K94" s="2772" t="s">
        <v>10063</v>
      </c>
      <c r="L94" s="5278" t="s">
        <v>2856</v>
      </c>
      <c r="M94" s="5278"/>
      <c r="N94" s="5821">
        <v>0.8</v>
      </c>
      <c r="O94" s="16289"/>
      <c r="P94" s="16293"/>
      <c r="Q94" s="5773" t="s">
        <v>3155</v>
      </c>
      <c r="R94" s="5774">
        <f t="shared" si="0"/>
        <v>131257835.08333334</v>
      </c>
      <c r="S94" s="5774">
        <v>39642243.199999996</v>
      </c>
      <c r="T94" s="5775">
        <v>91615591.88333334</v>
      </c>
      <c r="U94" s="5776">
        <v>0</v>
      </c>
      <c r="V94" s="16287"/>
      <c r="W94" s="16287"/>
      <c r="X94" s="16287"/>
      <c r="Y94" s="16287"/>
      <c r="Z94" s="16287"/>
      <c r="AA94" s="16287"/>
      <c r="AB94" s="16287"/>
      <c r="AC94" s="16287"/>
      <c r="AD94" s="16287"/>
      <c r="AE94" s="16287"/>
      <c r="AF94" s="16287"/>
      <c r="AG94" s="16287"/>
      <c r="AH94" s="16287"/>
      <c r="AI94" s="16287"/>
      <c r="AJ94" s="16287"/>
      <c r="AK94" s="16287"/>
      <c r="AL94" s="5777"/>
      <c r="AM94" s="5777"/>
      <c r="AN94" s="5777"/>
      <c r="AO94" s="5777"/>
      <c r="AP94" s="5777"/>
      <c r="AQ94" s="5287"/>
      <c r="AR94" s="5777"/>
      <c r="AS94" s="5777"/>
      <c r="AT94" s="5777"/>
      <c r="AU94" s="5777"/>
      <c r="AV94" s="5777"/>
      <c r="AW94" s="5777"/>
      <c r="AX94" s="5777"/>
      <c r="AY94" s="5777"/>
      <c r="AZ94" s="5777"/>
      <c r="BA94" s="5777"/>
      <c r="BB94" s="5777"/>
      <c r="BC94" s="5777"/>
      <c r="BD94" s="5777"/>
      <c r="BE94" s="5777"/>
      <c r="BF94" s="5777"/>
      <c r="BG94" s="5287">
        <v>471</v>
      </c>
      <c r="BH94" s="5277">
        <v>1</v>
      </c>
      <c r="BI94" s="16343"/>
      <c r="BJ94" s="5820" t="s">
        <v>9161</v>
      </c>
      <c r="BK94" s="16345"/>
      <c r="BL94" s="5287" t="s">
        <v>9158</v>
      </c>
      <c r="BM94" s="5287" t="s">
        <v>9159</v>
      </c>
      <c r="BN94" s="5287" t="s">
        <v>9160</v>
      </c>
      <c r="BO94" s="5287"/>
      <c r="BP94" s="5287"/>
      <c r="BQ94" s="16347"/>
      <c r="BR94" s="5778"/>
      <c r="BS94" s="5287"/>
      <c r="BT94" s="5287"/>
      <c r="BU94" s="5287"/>
      <c r="BV94" s="5287"/>
      <c r="BW94" s="5777"/>
      <c r="BX94" s="5777"/>
      <c r="BY94" s="5287"/>
      <c r="BZ94" s="5287"/>
      <c r="CA94" s="5777"/>
      <c r="CB94" s="5777"/>
      <c r="CC94" s="5287"/>
      <c r="CD94" s="5777"/>
      <c r="CE94" s="5777"/>
      <c r="CF94" s="5777"/>
      <c r="CG94" s="5777"/>
      <c r="CH94" s="5777"/>
      <c r="CI94" s="5777"/>
      <c r="CJ94" s="5777"/>
      <c r="CK94" s="5287"/>
      <c r="CL94" s="5777"/>
      <c r="CM94" s="5777"/>
      <c r="CN94" s="5777"/>
      <c r="CO94" s="5777"/>
      <c r="CP94" s="5777"/>
      <c r="CQ94" s="5777"/>
      <c r="CR94" s="5777"/>
      <c r="CS94" s="5777"/>
      <c r="CT94" s="5777"/>
      <c r="CU94" s="5777"/>
      <c r="CV94" s="5777"/>
      <c r="CW94" s="5777"/>
      <c r="CX94" s="5777"/>
      <c r="CY94" s="5777"/>
      <c r="CZ94" s="5777"/>
      <c r="DA94" s="5777"/>
      <c r="DB94" s="5777"/>
      <c r="DC94" s="5777"/>
      <c r="DD94" s="5777"/>
      <c r="DE94" s="5777"/>
      <c r="DF94" s="5777"/>
      <c r="DG94" s="5777"/>
      <c r="DH94" s="5777"/>
      <c r="DI94" s="5777"/>
      <c r="DJ94" s="5777"/>
      <c r="DK94" s="5777"/>
      <c r="DL94" s="5777"/>
      <c r="DM94" s="5777"/>
      <c r="DN94" s="5777"/>
      <c r="DO94" s="5777"/>
      <c r="DP94" s="5777"/>
      <c r="DQ94" s="5777"/>
      <c r="DR94" s="5777"/>
      <c r="DS94" s="5777"/>
      <c r="DT94" s="5777"/>
      <c r="DU94" s="5777"/>
      <c r="DV94" s="5777"/>
      <c r="DW94" s="5777"/>
      <c r="DX94" s="5777"/>
      <c r="DY94" s="5777"/>
      <c r="DZ94" s="5777"/>
      <c r="EA94" s="5777"/>
      <c r="EB94" s="5777"/>
      <c r="EC94" s="5777"/>
      <c r="ED94" s="5777"/>
      <c r="EE94" s="5777"/>
      <c r="EF94" s="5777"/>
      <c r="EG94" s="5777"/>
      <c r="EH94" s="5777"/>
      <c r="EI94" s="5777"/>
      <c r="EJ94" s="5777"/>
      <c r="EK94" s="5777"/>
      <c r="EL94" s="5777"/>
      <c r="EM94" s="5777"/>
      <c r="EN94" s="5777"/>
      <c r="EO94" s="5777"/>
      <c r="EP94" s="5777"/>
      <c r="EQ94" s="5777"/>
      <c r="ER94" s="5777"/>
      <c r="ES94" s="5777"/>
      <c r="ET94" s="5777"/>
      <c r="EU94" s="2045"/>
    </row>
    <row r="95" spans="1:151" s="2046" customFormat="1" ht="15" customHeight="1">
      <c r="A95" s="16333"/>
      <c r="B95" s="16335"/>
      <c r="C95" s="16337"/>
      <c r="D95" s="2772"/>
      <c r="E95" s="2772"/>
      <c r="F95" s="16227"/>
      <c r="G95" s="16339"/>
      <c r="H95" s="16227"/>
      <c r="I95" s="16227"/>
      <c r="J95" s="16227"/>
      <c r="K95" s="2772" t="s">
        <v>208</v>
      </c>
      <c r="L95" s="5278"/>
      <c r="M95" s="5278" t="s">
        <v>2855</v>
      </c>
      <c r="N95" s="5821"/>
      <c r="O95" s="5822"/>
      <c r="P95" s="5773"/>
      <c r="Q95" s="5773"/>
      <c r="R95" s="5774"/>
      <c r="S95" s="5774"/>
      <c r="T95" s="5775"/>
      <c r="U95" s="5776"/>
      <c r="V95" s="5823"/>
      <c r="W95" s="5823"/>
      <c r="X95" s="5823"/>
      <c r="Y95" s="5823"/>
      <c r="Z95" s="5823"/>
      <c r="AA95" s="5823"/>
      <c r="AB95" s="5823"/>
      <c r="AC95" s="5823"/>
      <c r="AD95" s="5823"/>
      <c r="AE95" s="5823"/>
      <c r="AF95" s="5823"/>
      <c r="AG95" s="5823"/>
      <c r="AH95" s="5823"/>
      <c r="AI95" s="5823"/>
      <c r="AJ95" s="5823"/>
      <c r="AK95" s="5823"/>
      <c r="AL95" s="5777"/>
      <c r="AM95" s="5777"/>
      <c r="AN95" s="5777"/>
      <c r="AO95" s="5777"/>
      <c r="AP95" s="5777"/>
      <c r="AQ95" s="5287"/>
      <c r="AR95" s="5777"/>
      <c r="AS95" s="5777"/>
      <c r="AT95" s="5777"/>
      <c r="AU95" s="5777"/>
      <c r="AV95" s="5777"/>
      <c r="AW95" s="5777"/>
      <c r="AX95" s="5777"/>
      <c r="AY95" s="5777"/>
      <c r="AZ95" s="5777"/>
      <c r="BA95" s="5777"/>
      <c r="BB95" s="5777"/>
      <c r="BC95" s="5777"/>
      <c r="BD95" s="5777"/>
      <c r="BE95" s="5777"/>
      <c r="BF95" s="5777"/>
      <c r="BG95" s="5287"/>
      <c r="BH95" s="5277"/>
      <c r="BI95" s="5824"/>
      <c r="BJ95" s="5820"/>
      <c r="BK95" s="5778"/>
      <c r="BL95" s="5287"/>
      <c r="BM95" s="5287"/>
      <c r="BN95" s="5287"/>
      <c r="BO95" s="5287"/>
      <c r="BP95" s="5287"/>
      <c r="BQ95" s="5287"/>
      <c r="BR95" s="5778"/>
      <c r="BS95" s="5287"/>
      <c r="BT95" s="5287"/>
      <c r="BU95" s="5287"/>
      <c r="BV95" s="5287"/>
      <c r="BW95" s="5777"/>
      <c r="BX95" s="5777"/>
      <c r="BY95" s="5287"/>
      <c r="BZ95" s="5287"/>
      <c r="CA95" s="5777"/>
      <c r="CB95" s="5777"/>
      <c r="CC95" s="5287"/>
      <c r="CD95" s="5777"/>
      <c r="CE95" s="5777"/>
      <c r="CF95" s="5777"/>
      <c r="CG95" s="5777"/>
      <c r="CH95" s="5777"/>
      <c r="CI95" s="5777"/>
      <c r="CJ95" s="5777"/>
      <c r="CK95" s="5287"/>
      <c r="CL95" s="5777"/>
      <c r="CM95" s="5777"/>
      <c r="CN95" s="5777"/>
      <c r="CO95" s="5777"/>
      <c r="CP95" s="5777"/>
      <c r="CQ95" s="5777"/>
      <c r="CR95" s="5777"/>
      <c r="CS95" s="5777"/>
      <c r="CT95" s="5777"/>
      <c r="CU95" s="5777"/>
      <c r="CV95" s="5777"/>
      <c r="CW95" s="5777"/>
      <c r="CX95" s="5777"/>
      <c r="CY95" s="5777"/>
      <c r="CZ95" s="5777"/>
      <c r="DA95" s="5777"/>
      <c r="DB95" s="5777"/>
      <c r="DC95" s="5777"/>
      <c r="DD95" s="5777"/>
      <c r="DE95" s="5777"/>
      <c r="DF95" s="5777"/>
      <c r="DG95" s="5777"/>
      <c r="DH95" s="5777"/>
      <c r="DI95" s="5777"/>
      <c r="DJ95" s="5777"/>
      <c r="DK95" s="5777"/>
      <c r="DL95" s="5777"/>
      <c r="DM95" s="5777"/>
      <c r="DN95" s="5777"/>
      <c r="DO95" s="5777"/>
      <c r="DP95" s="5777"/>
      <c r="DQ95" s="5777"/>
      <c r="DR95" s="5777"/>
      <c r="DS95" s="5777"/>
      <c r="DT95" s="5777"/>
      <c r="DU95" s="5777"/>
      <c r="DV95" s="5777"/>
      <c r="DW95" s="5777"/>
      <c r="DX95" s="5777"/>
      <c r="DY95" s="5777"/>
      <c r="DZ95" s="5777"/>
      <c r="EA95" s="5777"/>
      <c r="EB95" s="5777"/>
      <c r="EC95" s="5777"/>
      <c r="ED95" s="5777"/>
      <c r="EE95" s="5777"/>
      <c r="EF95" s="5777"/>
      <c r="EG95" s="5777"/>
      <c r="EH95" s="5777"/>
      <c r="EI95" s="5777"/>
      <c r="EJ95" s="5777"/>
      <c r="EK95" s="5777"/>
      <c r="EL95" s="5777"/>
      <c r="EM95" s="5777"/>
      <c r="EN95" s="5777"/>
      <c r="EO95" s="5777"/>
      <c r="EP95" s="5777"/>
      <c r="EQ95" s="5777"/>
      <c r="ER95" s="5777"/>
      <c r="ES95" s="5777"/>
      <c r="ET95" s="5777"/>
      <c r="EU95" s="2045"/>
    </row>
    <row r="96" spans="1:151" s="2046" customFormat="1" ht="15" customHeight="1">
      <c r="A96" s="16333"/>
      <c r="B96" s="16335"/>
      <c r="C96" s="16337"/>
      <c r="D96" s="16227"/>
      <c r="E96" s="16227"/>
      <c r="F96" s="16227"/>
      <c r="G96" s="16339"/>
      <c r="H96" s="2743" t="s">
        <v>4566</v>
      </c>
      <c r="I96" s="5795" t="s">
        <v>4567</v>
      </c>
      <c r="J96" s="16227"/>
      <c r="K96" s="5795" t="s">
        <v>10063</v>
      </c>
      <c r="L96" s="5278" t="s">
        <v>2856</v>
      </c>
      <c r="M96" s="5278"/>
      <c r="N96" s="5821"/>
      <c r="O96" s="16345"/>
      <c r="P96" s="5777"/>
      <c r="Q96" s="5777"/>
      <c r="R96" s="5777"/>
      <c r="S96" s="5777"/>
      <c r="T96" s="5777"/>
      <c r="U96" s="5777"/>
      <c r="V96" s="5777"/>
      <c r="W96" s="5777"/>
      <c r="X96" s="5777"/>
      <c r="Y96" s="5777"/>
      <c r="Z96" s="5777"/>
      <c r="AA96" s="5777"/>
      <c r="AB96" s="5777"/>
      <c r="AC96" s="5777"/>
      <c r="AD96" s="5777"/>
      <c r="AE96" s="5777"/>
      <c r="AF96" s="5777"/>
      <c r="AG96" s="5777"/>
      <c r="AH96" s="5777"/>
      <c r="AI96" s="5777"/>
      <c r="AJ96" s="5777"/>
      <c r="AK96" s="5777"/>
      <c r="AL96" s="5777"/>
      <c r="AM96" s="5777"/>
      <c r="AN96" s="5777"/>
      <c r="AO96" s="5777"/>
      <c r="AP96" s="5777"/>
      <c r="AQ96" s="5777"/>
      <c r="AR96" s="5777"/>
      <c r="AS96" s="5777"/>
      <c r="AT96" s="5777"/>
      <c r="AU96" s="5777"/>
      <c r="AV96" s="5777"/>
      <c r="AW96" s="5777"/>
      <c r="AX96" s="5777"/>
      <c r="AY96" s="5777"/>
      <c r="AZ96" s="5777"/>
      <c r="BA96" s="5777"/>
      <c r="BB96" s="5777"/>
      <c r="BC96" s="5777"/>
      <c r="BD96" s="5777"/>
      <c r="BE96" s="5777"/>
      <c r="BF96" s="5777"/>
      <c r="BG96" s="5777"/>
      <c r="BH96" s="5777"/>
      <c r="BI96" s="5825"/>
      <c r="BJ96" s="5777"/>
      <c r="BK96" s="5777"/>
      <c r="BL96" s="5777"/>
      <c r="BM96" s="5777"/>
      <c r="BN96" s="5777"/>
      <c r="BO96" s="5777"/>
      <c r="BP96" s="5777"/>
      <c r="BQ96" s="5777"/>
      <c r="BR96" s="5777"/>
      <c r="BS96" s="5777"/>
      <c r="BT96" s="5777"/>
      <c r="BU96" s="5777"/>
      <c r="BV96" s="5777"/>
      <c r="BW96" s="5777"/>
      <c r="BX96" s="5777"/>
      <c r="BY96" s="5777"/>
      <c r="BZ96" s="5777"/>
      <c r="CA96" s="5777"/>
      <c r="CB96" s="5777"/>
      <c r="CC96" s="5777"/>
      <c r="CD96" s="5777"/>
      <c r="CE96" s="5777"/>
      <c r="CF96" s="5777"/>
      <c r="CG96" s="5777"/>
      <c r="CH96" s="5777"/>
      <c r="CI96" s="5777"/>
      <c r="CJ96" s="5777"/>
      <c r="CK96" s="5777"/>
      <c r="CL96" s="5777"/>
      <c r="CM96" s="5777"/>
      <c r="CN96" s="5777"/>
      <c r="CO96" s="5777"/>
      <c r="CP96" s="5777"/>
      <c r="CQ96" s="5777"/>
      <c r="CR96" s="5777"/>
      <c r="CS96" s="5777"/>
      <c r="CT96" s="5777"/>
      <c r="CU96" s="5777"/>
      <c r="CV96" s="5777"/>
      <c r="CW96" s="5777"/>
      <c r="CX96" s="5777"/>
      <c r="CY96" s="5777"/>
      <c r="CZ96" s="5777"/>
      <c r="DA96" s="5777"/>
      <c r="DB96" s="5777"/>
      <c r="DC96" s="5777"/>
      <c r="DD96" s="5777"/>
      <c r="DE96" s="5777"/>
      <c r="DF96" s="5777"/>
      <c r="DG96" s="5777"/>
      <c r="DH96" s="5777"/>
      <c r="DI96" s="5777"/>
      <c r="DJ96" s="5777"/>
      <c r="DK96" s="5777"/>
      <c r="DL96" s="5777"/>
      <c r="DM96" s="5777"/>
      <c r="DN96" s="5777"/>
      <c r="DO96" s="5777"/>
      <c r="DP96" s="5777"/>
      <c r="DQ96" s="5777"/>
      <c r="DR96" s="5777"/>
      <c r="DS96" s="5777"/>
      <c r="DT96" s="5777"/>
      <c r="DU96" s="5777"/>
      <c r="DV96" s="5777"/>
      <c r="DW96" s="5777"/>
      <c r="DX96" s="5777"/>
      <c r="DY96" s="5777"/>
      <c r="DZ96" s="5777"/>
      <c r="EA96" s="5777"/>
      <c r="EB96" s="5777"/>
      <c r="EC96" s="5777"/>
      <c r="ED96" s="5777"/>
      <c r="EE96" s="5777"/>
      <c r="EF96" s="5777"/>
      <c r="EG96" s="5777"/>
      <c r="EH96" s="5777"/>
      <c r="EI96" s="5777"/>
      <c r="EJ96" s="5777"/>
      <c r="EK96" s="5777"/>
      <c r="EL96" s="5777"/>
      <c r="EM96" s="5777"/>
      <c r="EN96" s="5777"/>
      <c r="EO96" s="5777"/>
      <c r="EP96" s="5777"/>
      <c r="EQ96" s="5777"/>
      <c r="ER96" s="5777"/>
      <c r="ES96" s="5777"/>
      <c r="ET96" s="5777"/>
      <c r="EU96" s="2045"/>
    </row>
    <row r="97" spans="1:151" s="2046" customFormat="1" ht="15" customHeight="1">
      <c r="A97" s="16333"/>
      <c r="B97" s="16335"/>
      <c r="C97" s="16337"/>
      <c r="D97" s="16227"/>
      <c r="E97" s="16227"/>
      <c r="F97" s="16227"/>
      <c r="G97" s="16339"/>
      <c r="H97" s="2743" t="s">
        <v>4568</v>
      </c>
      <c r="I97" s="5795" t="s">
        <v>4569</v>
      </c>
      <c r="J97" s="16227"/>
      <c r="K97" s="5795" t="s">
        <v>10063</v>
      </c>
      <c r="L97" s="5278" t="s">
        <v>2856</v>
      </c>
      <c r="M97" s="5278"/>
      <c r="N97" s="5821"/>
      <c r="O97" s="16345"/>
      <c r="P97" s="5777"/>
      <c r="Q97" s="5777"/>
      <c r="R97" s="5777"/>
      <c r="S97" s="5777"/>
      <c r="T97" s="5777"/>
      <c r="U97" s="5777"/>
      <c r="V97" s="5777"/>
      <c r="W97" s="5777"/>
      <c r="X97" s="5777"/>
      <c r="Y97" s="5777"/>
      <c r="Z97" s="5777"/>
      <c r="AA97" s="5777"/>
      <c r="AB97" s="5777"/>
      <c r="AC97" s="5777"/>
      <c r="AD97" s="5777"/>
      <c r="AE97" s="5777"/>
      <c r="AF97" s="5777"/>
      <c r="AG97" s="5777"/>
      <c r="AH97" s="5777"/>
      <c r="AI97" s="5777"/>
      <c r="AJ97" s="5777"/>
      <c r="AK97" s="5777"/>
      <c r="AL97" s="5777"/>
      <c r="AM97" s="5777"/>
      <c r="AN97" s="5777"/>
      <c r="AO97" s="5777"/>
      <c r="AP97" s="5777"/>
      <c r="AQ97" s="5777"/>
      <c r="AR97" s="5777"/>
      <c r="AS97" s="5777"/>
      <c r="AT97" s="5777"/>
      <c r="AU97" s="5777"/>
      <c r="AV97" s="5777"/>
      <c r="AW97" s="5777"/>
      <c r="AX97" s="5777"/>
      <c r="AY97" s="5777"/>
      <c r="AZ97" s="5777"/>
      <c r="BA97" s="5777"/>
      <c r="BB97" s="5777"/>
      <c r="BC97" s="5777"/>
      <c r="BD97" s="5777"/>
      <c r="BE97" s="5777"/>
      <c r="BF97" s="5777"/>
      <c r="BG97" s="5777"/>
      <c r="BH97" s="5777"/>
      <c r="BI97" s="5825"/>
      <c r="BJ97" s="5777"/>
      <c r="BK97" s="5777"/>
      <c r="BL97" s="5777"/>
      <c r="BM97" s="5777"/>
      <c r="BN97" s="5777"/>
      <c r="BO97" s="5777"/>
      <c r="BP97" s="5777"/>
      <c r="BQ97" s="5777"/>
      <c r="BR97" s="5777"/>
      <c r="BS97" s="5777"/>
      <c r="BT97" s="5777"/>
      <c r="BU97" s="5777"/>
      <c r="BV97" s="5777"/>
      <c r="BW97" s="5777"/>
      <c r="BX97" s="5777"/>
      <c r="BY97" s="5777"/>
      <c r="BZ97" s="5777"/>
      <c r="CA97" s="5777"/>
      <c r="CB97" s="5777"/>
      <c r="CC97" s="5777"/>
      <c r="CD97" s="5777"/>
      <c r="CE97" s="5777"/>
      <c r="CF97" s="5777"/>
      <c r="CG97" s="5777"/>
      <c r="CH97" s="5777"/>
      <c r="CI97" s="5777"/>
      <c r="CJ97" s="5777"/>
      <c r="CK97" s="5777"/>
      <c r="CL97" s="5777"/>
      <c r="CM97" s="5777"/>
      <c r="CN97" s="5777"/>
      <c r="CO97" s="5777"/>
      <c r="CP97" s="5777"/>
      <c r="CQ97" s="5777"/>
      <c r="CR97" s="5777"/>
      <c r="CS97" s="5777"/>
      <c r="CT97" s="5777"/>
      <c r="CU97" s="5777"/>
      <c r="CV97" s="5777"/>
      <c r="CW97" s="5777"/>
      <c r="CX97" s="5777"/>
      <c r="CY97" s="5777"/>
      <c r="CZ97" s="5777"/>
      <c r="DA97" s="5777"/>
      <c r="DB97" s="5777"/>
      <c r="DC97" s="5777"/>
      <c r="DD97" s="5777"/>
      <c r="DE97" s="5777"/>
      <c r="DF97" s="5777"/>
      <c r="DG97" s="5777"/>
      <c r="DH97" s="5777"/>
      <c r="DI97" s="5777"/>
      <c r="DJ97" s="5777"/>
      <c r="DK97" s="5777"/>
      <c r="DL97" s="5777"/>
      <c r="DM97" s="5777"/>
      <c r="DN97" s="5777"/>
      <c r="DO97" s="5777"/>
      <c r="DP97" s="5777"/>
      <c r="DQ97" s="5777"/>
      <c r="DR97" s="5777"/>
      <c r="DS97" s="5777"/>
      <c r="DT97" s="5777"/>
      <c r="DU97" s="5777"/>
      <c r="DV97" s="5777"/>
      <c r="DW97" s="5777"/>
      <c r="DX97" s="5777"/>
      <c r="DY97" s="5777"/>
      <c r="DZ97" s="5777"/>
      <c r="EA97" s="5777"/>
      <c r="EB97" s="5777"/>
      <c r="EC97" s="5777"/>
      <c r="ED97" s="5777"/>
      <c r="EE97" s="5777"/>
      <c r="EF97" s="5777"/>
      <c r="EG97" s="5777"/>
      <c r="EH97" s="5777"/>
      <c r="EI97" s="5777"/>
      <c r="EJ97" s="5777"/>
      <c r="EK97" s="5777"/>
      <c r="EL97" s="5777"/>
      <c r="EM97" s="5777"/>
      <c r="EN97" s="5777"/>
      <c r="EO97" s="5777"/>
      <c r="EP97" s="5777"/>
      <c r="EQ97" s="5777"/>
      <c r="ER97" s="5777"/>
      <c r="ES97" s="5777"/>
      <c r="ET97" s="5777"/>
      <c r="EU97" s="2045"/>
    </row>
    <row r="98" spans="1:151" s="2046" customFormat="1" ht="15" customHeight="1">
      <c r="A98" s="16333"/>
      <c r="B98" s="16335"/>
      <c r="C98" s="16337"/>
      <c r="D98" s="16227"/>
      <c r="E98" s="16227"/>
      <c r="F98" s="16227"/>
      <c r="G98" s="16339"/>
      <c r="H98" s="2743" t="s">
        <v>4570</v>
      </c>
      <c r="I98" s="5795" t="s">
        <v>4571</v>
      </c>
      <c r="J98" s="16227"/>
      <c r="K98" s="5795" t="s">
        <v>10063</v>
      </c>
      <c r="L98" s="5278" t="s">
        <v>2856</v>
      </c>
      <c r="M98" s="5278"/>
      <c r="N98" s="5821"/>
      <c r="O98" s="16345"/>
      <c r="P98" s="5777"/>
      <c r="Q98" s="5777"/>
      <c r="R98" s="5777"/>
      <c r="S98" s="5777"/>
      <c r="T98" s="5777"/>
      <c r="U98" s="5777"/>
      <c r="V98" s="5777"/>
      <c r="W98" s="5777"/>
      <c r="X98" s="5777"/>
      <c r="Y98" s="5777"/>
      <c r="Z98" s="5777"/>
      <c r="AA98" s="5777"/>
      <c r="AB98" s="5777"/>
      <c r="AC98" s="5777"/>
      <c r="AD98" s="5777"/>
      <c r="AE98" s="5777"/>
      <c r="AF98" s="5777"/>
      <c r="AG98" s="5777"/>
      <c r="AH98" s="5777"/>
      <c r="AI98" s="5777"/>
      <c r="AJ98" s="5777"/>
      <c r="AK98" s="5777"/>
      <c r="AL98" s="5777"/>
      <c r="AM98" s="5777"/>
      <c r="AN98" s="5777"/>
      <c r="AO98" s="5777"/>
      <c r="AP98" s="5777"/>
      <c r="AQ98" s="5777"/>
      <c r="AR98" s="5777"/>
      <c r="AS98" s="5777"/>
      <c r="AT98" s="5777"/>
      <c r="AU98" s="5777"/>
      <c r="AV98" s="5777"/>
      <c r="AW98" s="5777"/>
      <c r="AX98" s="5777"/>
      <c r="AY98" s="5777"/>
      <c r="AZ98" s="5777"/>
      <c r="BA98" s="5777"/>
      <c r="BB98" s="5777"/>
      <c r="BC98" s="5777"/>
      <c r="BD98" s="5777"/>
      <c r="BE98" s="5777"/>
      <c r="BF98" s="5777"/>
      <c r="BG98" s="5777"/>
      <c r="BH98" s="5777"/>
      <c r="BI98" s="5825"/>
      <c r="BJ98" s="5777"/>
      <c r="BK98" s="5777"/>
      <c r="BL98" s="5777"/>
      <c r="BM98" s="5777"/>
      <c r="BN98" s="5777"/>
      <c r="BO98" s="5777"/>
      <c r="BP98" s="5777"/>
      <c r="BQ98" s="5777"/>
      <c r="BR98" s="5777"/>
      <c r="BS98" s="5777"/>
      <c r="BT98" s="5777"/>
      <c r="BU98" s="5777"/>
      <c r="BV98" s="5777"/>
      <c r="BW98" s="5777"/>
      <c r="BX98" s="5777"/>
      <c r="BY98" s="5777"/>
      <c r="BZ98" s="5777"/>
      <c r="CA98" s="5777"/>
      <c r="CB98" s="5777"/>
      <c r="CC98" s="5777"/>
      <c r="CD98" s="5777"/>
      <c r="CE98" s="5777"/>
      <c r="CF98" s="5777"/>
      <c r="CG98" s="5777"/>
      <c r="CH98" s="5777"/>
      <c r="CI98" s="5777"/>
      <c r="CJ98" s="5777"/>
      <c r="CK98" s="5777"/>
      <c r="CL98" s="5777"/>
      <c r="CM98" s="5777"/>
      <c r="CN98" s="5777"/>
      <c r="CO98" s="5777"/>
      <c r="CP98" s="5777"/>
      <c r="CQ98" s="5777"/>
      <c r="CR98" s="5777"/>
      <c r="CS98" s="5777"/>
      <c r="CT98" s="5777"/>
      <c r="CU98" s="5777"/>
      <c r="CV98" s="5777"/>
      <c r="CW98" s="5777"/>
      <c r="CX98" s="5777"/>
      <c r="CY98" s="5777"/>
      <c r="CZ98" s="5777"/>
      <c r="DA98" s="5777"/>
      <c r="DB98" s="5777"/>
      <c r="DC98" s="5777"/>
      <c r="DD98" s="5777"/>
      <c r="DE98" s="5777"/>
      <c r="DF98" s="5777"/>
      <c r="DG98" s="5777"/>
      <c r="DH98" s="5777"/>
      <c r="DI98" s="5777"/>
      <c r="DJ98" s="5777"/>
      <c r="DK98" s="5777"/>
      <c r="DL98" s="5777"/>
      <c r="DM98" s="5777"/>
      <c r="DN98" s="5777"/>
      <c r="DO98" s="5777"/>
      <c r="DP98" s="5777"/>
      <c r="DQ98" s="5777"/>
      <c r="DR98" s="5777"/>
      <c r="DS98" s="5777"/>
      <c r="DT98" s="5777"/>
      <c r="DU98" s="5777"/>
      <c r="DV98" s="5777"/>
      <c r="DW98" s="5777"/>
      <c r="DX98" s="5777"/>
      <c r="DY98" s="5777"/>
      <c r="DZ98" s="5777"/>
      <c r="EA98" s="5777"/>
      <c r="EB98" s="5777"/>
      <c r="EC98" s="5777"/>
      <c r="ED98" s="5777"/>
      <c r="EE98" s="5777"/>
      <c r="EF98" s="5777"/>
      <c r="EG98" s="5777"/>
      <c r="EH98" s="5777"/>
      <c r="EI98" s="5777"/>
      <c r="EJ98" s="5777"/>
      <c r="EK98" s="5777"/>
      <c r="EL98" s="5777"/>
      <c r="EM98" s="5777"/>
      <c r="EN98" s="5777"/>
      <c r="EO98" s="5777"/>
      <c r="EP98" s="5777"/>
      <c r="EQ98" s="5777"/>
      <c r="ER98" s="5777"/>
      <c r="ES98" s="5777"/>
      <c r="ET98" s="5777"/>
      <c r="EU98" s="2045"/>
    </row>
    <row r="99" spans="1:151" s="2046" customFormat="1" ht="15" customHeight="1">
      <c r="A99" s="16333"/>
      <c r="B99" s="16335"/>
      <c r="C99" s="16337"/>
      <c r="D99" s="16227"/>
      <c r="E99" s="16227"/>
      <c r="F99" s="16227"/>
      <c r="G99" s="16339"/>
      <c r="H99" s="2743" t="s">
        <v>4572</v>
      </c>
      <c r="I99" s="5795" t="s">
        <v>4573</v>
      </c>
      <c r="J99" s="16227"/>
      <c r="K99" s="5795" t="s">
        <v>10063</v>
      </c>
      <c r="L99" s="5278" t="s">
        <v>2856</v>
      </c>
      <c r="M99" s="5278"/>
      <c r="N99" s="5821"/>
      <c r="O99" s="16345"/>
      <c r="P99" s="5777"/>
      <c r="Q99" s="5777"/>
      <c r="R99" s="5777"/>
      <c r="S99" s="5777"/>
      <c r="T99" s="5777"/>
      <c r="U99" s="5777"/>
      <c r="V99" s="5777"/>
      <c r="W99" s="5777"/>
      <c r="X99" s="5777"/>
      <c r="Y99" s="5777"/>
      <c r="Z99" s="5777"/>
      <c r="AA99" s="5777"/>
      <c r="AB99" s="5777"/>
      <c r="AC99" s="5777"/>
      <c r="AD99" s="5777"/>
      <c r="AE99" s="5777"/>
      <c r="AF99" s="5777"/>
      <c r="AG99" s="5777"/>
      <c r="AH99" s="5777"/>
      <c r="AI99" s="5777"/>
      <c r="AJ99" s="5777"/>
      <c r="AK99" s="5777"/>
      <c r="AL99" s="5777"/>
      <c r="AM99" s="5777"/>
      <c r="AN99" s="5777"/>
      <c r="AO99" s="5777"/>
      <c r="AP99" s="5777"/>
      <c r="AQ99" s="5777"/>
      <c r="AR99" s="5777"/>
      <c r="AS99" s="5777"/>
      <c r="AT99" s="5777"/>
      <c r="AU99" s="5777"/>
      <c r="AV99" s="5777"/>
      <c r="AW99" s="5777"/>
      <c r="AX99" s="5777"/>
      <c r="AY99" s="5777"/>
      <c r="AZ99" s="5777"/>
      <c r="BA99" s="5777"/>
      <c r="BB99" s="5777"/>
      <c r="BC99" s="5777"/>
      <c r="BD99" s="5777"/>
      <c r="BE99" s="5777"/>
      <c r="BF99" s="5777"/>
      <c r="BG99" s="5777"/>
      <c r="BH99" s="5777"/>
      <c r="BI99" s="5825"/>
      <c r="BJ99" s="5777"/>
      <c r="BK99" s="5777"/>
      <c r="BL99" s="5777"/>
      <c r="BM99" s="5777"/>
      <c r="BN99" s="5777"/>
      <c r="BO99" s="5777"/>
      <c r="BP99" s="5777"/>
      <c r="BQ99" s="5777"/>
      <c r="BR99" s="5777"/>
      <c r="BS99" s="5777"/>
      <c r="BT99" s="5777"/>
      <c r="BU99" s="5777"/>
      <c r="BV99" s="5777"/>
      <c r="BW99" s="5777"/>
      <c r="BX99" s="5777"/>
      <c r="BY99" s="5777"/>
      <c r="BZ99" s="5777"/>
      <c r="CA99" s="5777"/>
      <c r="CB99" s="5777"/>
      <c r="CC99" s="5777"/>
      <c r="CD99" s="5777"/>
      <c r="CE99" s="5777"/>
      <c r="CF99" s="5777"/>
      <c r="CG99" s="5777"/>
      <c r="CH99" s="5777"/>
      <c r="CI99" s="5777"/>
      <c r="CJ99" s="5777"/>
      <c r="CK99" s="5777"/>
      <c r="CL99" s="5777"/>
      <c r="CM99" s="5777"/>
      <c r="CN99" s="5777"/>
      <c r="CO99" s="5777"/>
      <c r="CP99" s="5777"/>
      <c r="CQ99" s="5777"/>
      <c r="CR99" s="5777"/>
      <c r="CS99" s="5777"/>
      <c r="CT99" s="5777"/>
      <c r="CU99" s="5777"/>
      <c r="CV99" s="5777"/>
      <c r="CW99" s="5777"/>
      <c r="CX99" s="5777"/>
      <c r="CY99" s="5777"/>
      <c r="CZ99" s="5777"/>
      <c r="DA99" s="5777"/>
      <c r="DB99" s="5777"/>
      <c r="DC99" s="5777"/>
      <c r="DD99" s="5777"/>
      <c r="DE99" s="5777"/>
      <c r="DF99" s="5777"/>
      <c r="DG99" s="5777"/>
      <c r="DH99" s="5777"/>
      <c r="DI99" s="5777"/>
      <c r="DJ99" s="5777"/>
      <c r="DK99" s="5777"/>
      <c r="DL99" s="5777"/>
      <c r="DM99" s="5777"/>
      <c r="DN99" s="5777"/>
      <c r="DO99" s="5777"/>
      <c r="DP99" s="5777"/>
      <c r="DQ99" s="5777"/>
      <c r="DR99" s="5777"/>
      <c r="DS99" s="5777"/>
      <c r="DT99" s="5777"/>
      <c r="DU99" s="5777"/>
      <c r="DV99" s="5777"/>
      <c r="DW99" s="5777"/>
      <c r="DX99" s="5777"/>
      <c r="DY99" s="5777"/>
      <c r="DZ99" s="5777"/>
      <c r="EA99" s="5777"/>
      <c r="EB99" s="5777"/>
      <c r="EC99" s="5777"/>
      <c r="ED99" s="5777"/>
      <c r="EE99" s="5777"/>
      <c r="EF99" s="5777"/>
      <c r="EG99" s="5777"/>
      <c r="EH99" s="5777"/>
      <c r="EI99" s="5777"/>
      <c r="EJ99" s="5777"/>
      <c r="EK99" s="5777"/>
      <c r="EL99" s="5777"/>
      <c r="EM99" s="5777"/>
      <c r="EN99" s="5777"/>
      <c r="EO99" s="5777"/>
      <c r="EP99" s="5777"/>
      <c r="EQ99" s="5777"/>
      <c r="ER99" s="5777"/>
      <c r="ES99" s="5777"/>
      <c r="ET99" s="5777"/>
      <c r="EU99" s="2045"/>
    </row>
    <row r="100" spans="1:151" s="2046" customFormat="1" ht="15" customHeight="1">
      <c r="A100" s="16333"/>
      <c r="B100" s="16335"/>
      <c r="C100" s="16337"/>
      <c r="D100" s="16227"/>
      <c r="E100" s="16227"/>
      <c r="F100" s="16227"/>
      <c r="G100" s="16339"/>
      <c r="H100" s="2743" t="s">
        <v>4574</v>
      </c>
      <c r="I100" s="5795" t="s">
        <v>4575</v>
      </c>
      <c r="J100" s="16227"/>
      <c r="K100" s="5795" t="s">
        <v>10063</v>
      </c>
      <c r="L100" s="5278" t="s">
        <v>2856</v>
      </c>
      <c r="M100" s="5278"/>
      <c r="N100" s="5821"/>
      <c r="O100" s="16345"/>
      <c r="P100" s="5777"/>
      <c r="Q100" s="5777"/>
      <c r="R100" s="5777"/>
      <c r="S100" s="5777"/>
      <c r="T100" s="5777"/>
      <c r="U100" s="5777"/>
      <c r="V100" s="5777"/>
      <c r="W100" s="5777"/>
      <c r="X100" s="5777"/>
      <c r="Y100" s="5777"/>
      <c r="Z100" s="5777"/>
      <c r="AA100" s="5777"/>
      <c r="AB100" s="5777"/>
      <c r="AC100" s="5777"/>
      <c r="AD100" s="5777"/>
      <c r="AE100" s="5777"/>
      <c r="AF100" s="5777"/>
      <c r="AG100" s="5777"/>
      <c r="AH100" s="5777"/>
      <c r="AI100" s="5777"/>
      <c r="AJ100" s="5777"/>
      <c r="AK100" s="5777"/>
      <c r="AL100" s="5777"/>
      <c r="AM100" s="5777"/>
      <c r="AN100" s="5777"/>
      <c r="AO100" s="5777"/>
      <c r="AP100" s="5777"/>
      <c r="AQ100" s="5777"/>
      <c r="AR100" s="5777"/>
      <c r="AS100" s="5777"/>
      <c r="AT100" s="5777"/>
      <c r="AU100" s="5777"/>
      <c r="AV100" s="5777"/>
      <c r="AW100" s="5777"/>
      <c r="AX100" s="5777"/>
      <c r="AY100" s="5777"/>
      <c r="AZ100" s="5777"/>
      <c r="BA100" s="5777"/>
      <c r="BB100" s="5777"/>
      <c r="BC100" s="5777"/>
      <c r="BD100" s="5777"/>
      <c r="BE100" s="5777"/>
      <c r="BF100" s="5777"/>
      <c r="BG100" s="5777"/>
      <c r="BH100" s="5777"/>
      <c r="BI100" s="5825"/>
      <c r="BJ100" s="5777"/>
      <c r="BK100" s="5777"/>
      <c r="BL100" s="5777"/>
      <c r="BM100" s="5777"/>
      <c r="BN100" s="5777"/>
      <c r="BO100" s="5777"/>
      <c r="BP100" s="5777"/>
      <c r="BQ100" s="5777"/>
      <c r="BR100" s="5777"/>
      <c r="BS100" s="5777"/>
      <c r="BT100" s="5777"/>
      <c r="BU100" s="5777"/>
      <c r="BV100" s="5777"/>
      <c r="BW100" s="5777"/>
      <c r="BX100" s="5777"/>
      <c r="BY100" s="5777"/>
      <c r="BZ100" s="5777"/>
      <c r="CA100" s="5777"/>
      <c r="CB100" s="5777"/>
      <c r="CC100" s="5777"/>
      <c r="CD100" s="5777"/>
      <c r="CE100" s="5777"/>
      <c r="CF100" s="5777"/>
      <c r="CG100" s="5777"/>
      <c r="CH100" s="5777"/>
      <c r="CI100" s="5777"/>
      <c r="CJ100" s="5777"/>
      <c r="CK100" s="5777"/>
      <c r="CL100" s="5777"/>
      <c r="CM100" s="5777"/>
      <c r="CN100" s="5777"/>
      <c r="CO100" s="5777"/>
      <c r="CP100" s="5777"/>
      <c r="CQ100" s="5777"/>
      <c r="CR100" s="5777"/>
      <c r="CS100" s="5777"/>
      <c r="CT100" s="5777"/>
      <c r="CU100" s="5777"/>
      <c r="CV100" s="5777"/>
      <c r="CW100" s="5777"/>
      <c r="CX100" s="5777"/>
      <c r="CY100" s="5777"/>
      <c r="CZ100" s="5777"/>
      <c r="DA100" s="5777"/>
      <c r="DB100" s="5777"/>
      <c r="DC100" s="5777"/>
      <c r="DD100" s="5777"/>
      <c r="DE100" s="5777"/>
      <c r="DF100" s="5777"/>
      <c r="DG100" s="5777"/>
      <c r="DH100" s="5777"/>
      <c r="DI100" s="5777"/>
      <c r="DJ100" s="5777"/>
      <c r="DK100" s="5777"/>
      <c r="DL100" s="5777"/>
      <c r="DM100" s="5777"/>
      <c r="DN100" s="5777"/>
      <c r="DO100" s="5777"/>
      <c r="DP100" s="5777"/>
      <c r="DQ100" s="5777"/>
      <c r="DR100" s="5777"/>
      <c r="DS100" s="5777"/>
      <c r="DT100" s="5777"/>
      <c r="DU100" s="5777"/>
      <c r="DV100" s="5777"/>
      <c r="DW100" s="5777"/>
      <c r="DX100" s="5777"/>
      <c r="DY100" s="5777"/>
      <c r="DZ100" s="5777"/>
      <c r="EA100" s="5777"/>
      <c r="EB100" s="5777"/>
      <c r="EC100" s="5777"/>
      <c r="ED100" s="5777"/>
      <c r="EE100" s="5777"/>
      <c r="EF100" s="5777"/>
      <c r="EG100" s="5777"/>
      <c r="EH100" s="5777"/>
      <c r="EI100" s="5777"/>
      <c r="EJ100" s="5777"/>
      <c r="EK100" s="5777"/>
      <c r="EL100" s="5777"/>
      <c r="EM100" s="5777"/>
      <c r="EN100" s="5777"/>
      <c r="EO100" s="5777"/>
      <c r="EP100" s="5777"/>
      <c r="EQ100" s="5777"/>
      <c r="ER100" s="5777"/>
      <c r="ES100" s="5777"/>
      <c r="ET100" s="5777"/>
      <c r="EU100" s="2045"/>
    </row>
    <row r="101" spans="1:151" s="2046" customFormat="1" ht="15" customHeight="1">
      <c r="A101" s="16333"/>
      <c r="B101" s="16335"/>
      <c r="C101" s="16337"/>
      <c r="D101" s="16227"/>
      <c r="E101" s="16227"/>
      <c r="F101" s="16227"/>
      <c r="G101" s="16339"/>
      <c r="H101" s="2743" t="s">
        <v>4576</v>
      </c>
      <c r="I101" s="5795" t="s">
        <v>4577</v>
      </c>
      <c r="J101" s="16227"/>
      <c r="K101" s="5795" t="s">
        <v>10063</v>
      </c>
      <c r="L101" s="5278" t="s">
        <v>2856</v>
      </c>
      <c r="M101" s="5278"/>
      <c r="N101" s="5821"/>
      <c r="O101" s="16345"/>
      <c r="P101" s="5777"/>
      <c r="Q101" s="5777"/>
      <c r="R101" s="5777"/>
      <c r="S101" s="5777"/>
      <c r="T101" s="5777"/>
      <c r="U101" s="5777"/>
      <c r="V101" s="5777"/>
      <c r="W101" s="5777"/>
      <c r="X101" s="5777"/>
      <c r="Y101" s="5777"/>
      <c r="Z101" s="5777"/>
      <c r="AA101" s="5777"/>
      <c r="AB101" s="5777"/>
      <c r="AC101" s="5777"/>
      <c r="AD101" s="5777"/>
      <c r="AE101" s="5777"/>
      <c r="AF101" s="5777"/>
      <c r="AG101" s="5777"/>
      <c r="AH101" s="5777"/>
      <c r="AI101" s="5777"/>
      <c r="AJ101" s="5777"/>
      <c r="AK101" s="5777"/>
      <c r="AL101" s="5777"/>
      <c r="AM101" s="5777"/>
      <c r="AN101" s="5777"/>
      <c r="AO101" s="5777"/>
      <c r="AP101" s="5777"/>
      <c r="AQ101" s="5777"/>
      <c r="AR101" s="5777"/>
      <c r="AS101" s="5777"/>
      <c r="AT101" s="5777"/>
      <c r="AU101" s="5777"/>
      <c r="AV101" s="5777"/>
      <c r="AW101" s="5777"/>
      <c r="AX101" s="5777"/>
      <c r="AY101" s="5777"/>
      <c r="AZ101" s="5777"/>
      <c r="BA101" s="5777"/>
      <c r="BB101" s="5777"/>
      <c r="BC101" s="5777"/>
      <c r="BD101" s="5777"/>
      <c r="BE101" s="5777"/>
      <c r="BF101" s="5777"/>
      <c r="BG101" s="5777"/>
      <c r="BH101" s="5777"/>
      <c r="BI101" s="5825"/>
      <c r="BJ101" s="5777"/>
      <c r="BK101" s="5777"/>
      <c r="BL101" s="5777"/>
      <c r="BM101" s="5777"/>
      <c r="BN101" s="5777"/>
      <c r="BO101" s="5777"/>
      <c r="BP101" s="5777"/>
      <c r="BQ101" s="5777"/>
      <c r="BR101" s="5777"/>
      <c r="BS101" s="5777"/>
      <c r="BT101" s="5777"/>
      <c r="BU101" s="5777"/>
      <c r="BV101" s="5777"/>
      <c r="BW101" s="5777"/>
      <c r="BX101" s="5777"/>
      <c r="BY101" s="5777"/>
      <c r="BZ101" s="5777"/>
      <c r="CA101" s="5777"/>
      <c r="CB101" s="5777"/>
      <c r="CC101" s="5777"/>
      <c r="CD101" s="5777"/>
      <c r="CE101" s="5777"/>
      <c r="CF101" s="5777"/>
      <c r="CG101" s="5777"/>
      <c r="CH101" s="5777"/>
      <c r="CI101" s="5777"/>
      <c r="CJ101" s="5777"/>
      <c r="CK101" s="5777"/>
      <c r="CL101" s="5777"/>
      <c r="CM101" s="5777"/>
      <c r="CN101" s="5777"/>
      <c r="CO101" s="5777"/>
      <c r="CP101" s="5777"/>
      <c r="CQ101" s="5777"/>
      <c r="CR101" s="5777"/>
      <c r="CS101" s="5777"/>
      <c r="CT101" s="5777"/>
      <c r="CU101" s="5777"/>
      <c r="CV101" s="5777"/>
      <c r="CW101" s="5777"/>
      <c r="CX101" s="5777"/>
      <c r="CY101" s="5777"/>
      <c r="CZ101" s="5777"/>
      <c r="DA101" s="5777"/>
      <c r="DB101" s="5777"/>
      <c r="DC101" s="5777"/>
      <c r="DD101" s="5777"/>
      <c r="DE101" s="5777"/>
      <c r="DF101" s="5777"/>
      <c r="DG101" s="5777"/>
      <c r="DH101" s="5777"/>
      <c r="DI101" s="5777"/>
      <c r="DJ101" s="5777"/>
      <c r="DK101" s="5777"/>
      <c r="DL101" s="5777"/>
      <c r="DM101" s="5777"/>
      <c r="DN101" s="5777"/>
      <c r="DO101" s="5777"/>
      <c r="DP101" s="5777"/>
      <c r="DQ101" s="5777"/>
      <c r="DR101" s="5777"/>
      <c r="DS101" s="5777"/>
      <c r="DT101" s="5777"/>
      <c r="DU101" s="5777"/>
      <c r="DV101" s="5777"/>
      <c r="DW101" s="5777"/>
      <c r="DX101" s="5777"/>
      <c r="DY101" s="5777"/>
      <c r="DZ101" s="5777"/>
      <c r="EA101" s="5777"/>
      <c r="EB101" s="5777"/>
      <c r="EC101" s="5777"/>
      <c r="ED101" s="5777"/>
      <c r="EE101" s="5777"/>
      <c r="EF101" s="5777"/>
      <c r="EG101" s="5777"/>
      <c r="EH101" s="5777"/>
      <c r="EI101" s="5777"/>
      <c r="EJ101" s="5777"/>
      <c r="EK101" s="5777"/>
      <c r="EL101" s="5777"/>
      <c r="EM101" s="5777"/>
      <c r="EN101" s="5777"/>
      <c r="EO101" s="5777"/>
      <c r="EP101" s="5777"/>
      <c r="EQ101" s="5777"/>
      <c r="ER101" s="5777"/>
      <c r="ES101" s="5777"/>
      <c r="ET101" s="5777"/>
      <c r="EU101" s="2045"/>
    </row>
    <row r="102" spans="1:151" s="2046" customFormat="1" ht="15" customHeight="1">
      <c r="A102" s="16333"/>
      <c r="B102" s="16335"/>
      <c r="C102" s="16337"/>
      <c r="D102" s="16227"/>
      <c r="E102" s="16227"/>
      <c r="F102" s="16227"/>
      <c r="G102" s="16339"/>
      <c r="H102" s="2743" t="s">
        <v>4578</v>
      </c>
      <c r="I102" s="5795" t="s">
        <v>4579</v>
      </c>
      <c r="J102" s="16227"/>
      <c r="K102" s="5795" t="s">
        <v>10063</v>
      </c>
      <c r="L102" s="5278" t="s">
        <v>2856</v>
      </c>
      <c r="M102" s="5278"/>
      <c r="N102" s="5821"/>
      <c r="O102" s="16345"/>
      <c r="P102" s="5777"/>
      <c r="Q102" s="5777"/>
      <c r="R102" s="5777"/>
      <c r="S102" s="5777"/>
      <c r="T102" s="5777"/>
      <c r="U102" s="5777"/>
      <c r="V102" s="5777"/>
      <c r="W102" s="5777"/>
      <c r="X102" s="5777"/>
      <c r="Y102" s="5777"/>
      <c r="Z102" s="5777"/>
      <c r="AA102" s="5777"/>
      <c r="AB102" s="5777"/>
      <c r="AC102" s="5777"/>
      <c r="AD102" s="5777"/>
      <c r="AE102" s="5777"/>
      <c r="AF102" s="5777"/>
      <c r="AG102" s="5777"/>
      <c r="AH102" s="5777"/>
      <c r="AI102" s="5777"/>
      <c r="AJ102" s="5777"/>
      <c r="AK102" s="5777"/>
      <c r="AL102" s="5777"/>
      <c r="AM102" s="5777"/>
      <c r="AN102" s="5777"/>
      <c r="AO102" s="5777"/>
      <c r="AP102" s="5777"/>
      <c r="AQ102" s="5777"/>
      <c r="AR102" s="5777"/>
      <c r="AS102" s="5777"/>
      <c r="AT102" s="5777"/>
      <c r="AU102" s="5777"/>
      <c r="AV102" s="5777"/>
      <c r="AW102" s="5777"/>
      <c r="AX102" s="5777"/>
      <c r="AY102" s="5777"/>
      <c r="AZ102" s="5777"/>
      <c r="BA102" s="5777"/>
      <c r="BB102" s="5777"/>
      <c r="BC102" s="5777"/>
      <c r="BD102" s="5777"/>
      <c r="BE102" s="5777"/>
      <c r="BF102" s="5777"/>
      <c r="BG102" s="5777"/>
      <c r="BH102" s="5777"/>
      <c r="BI102" s="5825"/>
      <c r="BJ102" s="5777"/>
      <c r="BK102" s="5777"/>
      <c r="BL102" s="5777"/>
      <c r="BM102" s="5777"/>
      <c r="BN102" s="5777"/>
      <c r="BO102" s="5777"/>
      <c r="BP102" s="5777"/>
      <c r="BQ102" s="5777"/>
      <c r="BR102" s="5777"/>
      <c r="BS102" s="5777"/>
      <c r="BT102" s="5777"/>
      <c r="BU102" s="5777"/>
      <c r="BV102" s="5777"/>
      <c r="BW102" s="5777"/>
      <c r="BX102" s="5777"/>
      <c r="BY102" s="5777"/>
      <c r="BZ102" s="5777"/>
      <c r="CA102" s="5777"/>
      <c r="CB102" s="5777"/>
      <c r="CC102" s="5777"/>
      <c r="CD102" s="5777"/>
      <c r="CE102" s="5777"/>
      <c r="CF102" s="5777"/>
      <c r="CG102" s="5777"/>
      <c r="CH102" s="5777"/>
      <c r="CI102" s="5777"/>
      <c r="CJ102" s="5777"/>
      <c r="CK102" s="5777"/>
      <c r="CL102" s="5777"/>
      <c r="CM102" s="5777"/>
      <c r="CN102" s="5777"/>
      <c r="CO102" s="5777"/>
      <c r="CP102" s="5777"/>
      <c r="CQ102" s="5777"/>
      <c r="CR102" s="5777"/>
      <c r="CS102" s="5777"/>
      <c r="CT102" s="5777"/>
      <c r="CU102" s="5777"/>
      <c r="CV102" s="5777"/>
      <c r="CW102" s="5777"/>
      <c r="CX102" s="5777"/>
      <c r="CY102" s="5777"/>
      <c r="CZ102" s="5777"/>
      <c r="DA102" s="5777"/>
      <c r="DB102" s="5777"/>
      <c r="DC102" s="5777"/>
      <c r="DD102" s="5777"/>
      <c r="DE102" s="5777"/>
      <c r="DF102" s="5777"/>
      <c r="DG102" s="5777"/>
      <c r="DH102" s="5777"/>
      <c r="DI102" s="5777"/>
      <c r="DJ102" s="5777"/>
      <c r="DK102" s="5777"/>
      <c r="DL102" s="5777"/>
      <c r="DM102" s="5777"/>
      <c r="DN102" s="5777"/>
      <c r="DO102" s="5777"/>
      <c r="DP102" s="5777"/>
      <c r="DQ102" s="5777"/>
      <c r="DR102" s="5777"/>
      <c r="DS102" s="5777"/>
      <c r="DT102" s="5777"/>
      <c r="DU102" s="5777"/>
      <c r="DV102" s="5777"/>
      <c r="DW102" s="5777"/>
      <c r="DX102" s="5777"/>
      <c r="DY102" s="5777"/>
      <c r="DZ102" s="5777"/>
      <c r="EA102" s="5777"/>
      <c r="EB102" s="5777"/>
      <c r="EC102" s="5777"/>
      <c r="ED102" s="5777"/>
      <c r="EE102" s="5777"/>
      <c r="EF102" s="5777"/>
      <c r="EG102" s="5777"/>
      <c r="EH102" s="5777"/>
      <c r="EI102" s="5777"/>
      <c r="EJ102" s="5777"/>
      <c r="EK102" s="5777"/>
      <c r="EL102" s="5777"/>
      <c r="EM102" s="5777"/>
      <c r="EN102" s="5777"/>
      <c r="EO102" s="5777"/>
      <c r="EP102" s="5777"/>
      <c r="EQ102" s="5777"/>
      <c r="ER102" s="5777"/>
      <c r="ES102" s="5777"/>
      <c r="ET102" s="5777"/>
      <c r="EU102" s="2045"/>
    </row>
    <row r="103" spans="1:151" s="2046" customFormat="1" ht="15" customHeight="1">
      <c r="A103" s="16333"/>
      <c r="B103" s="16335"/>
      <c r="C103" s="16337"/>
      <c r="D103" s="16227"/>
      <c r="E103" s="16227"/>
      <c r="F103" s="16227"/>
      <c r="G103" s="16339"/>
      <c r="H103" s="2743" t="s">
        <v>4580</v>
      </c>
      <c r="I103" s="5795" t="s">
        <v>4581</v>
      </c>
      <c r="J103" s="16227"/>
      <c r="K103" s="5795" t="s">
        <v>10063</v>
      </c>
      <c r="L103" s="5278" t="s">
        <v>2856</v>
      </c>
      <c r="M103" s="5278"/>
      <c r="N103" s="5821"/>
      <c r="O103" s="16345"/>
      <c r="P103" s="5777"/>
      <c r="Q103" s="5777"/>
      <c r="R103" s="5777"/>
      <c r="S103" s="5777"/>
      <c r="T103" s="5777"/>
      <c r="U103" s="5777"/>
      <c r="V103" s="5777"/>
      <c r="W103" s="5777"/>
      <c r="X103" s="5777"/>
      <c r="Y103" s="5777"/>
      <c r="Z103" s="5777"/>
      <c r="AA103" s="5777"/>
      <c r="AB103" s="5777"/>
      <c r="AC103" s="5777"/>
      <c r="AD103" s="5777"/>
      <c r="AE103" s="5777"/>
      <c r="AF103" s="5777"/>
      <c r="AG103" s="5777"/>
      <c r="AH103" s="5777"/>
      <c r="AI103" s="5777"/>
      <c r="AJ103" s="5777"/>
      <c r="AK103" s="5777"/>
      <c r="AL103" s="5777"/>
      <c r="AM103" s="5777"/>
      <c r="AN103" s="5777"/>
      <c r="AO103" s="5777"/>
      <c r="AP103" s="5777"/>
      <c r="AQ103" s="5777"/>
      <c r="AR103" s="5777"/>
      <c r="AS103" s="5777"/>
      <c r="AT103" s="5777"/>
      <c r="AU103" s="5777"/>
      <c r="AV103" s="5777"/>
      <c r="AW103" s="5777"/>
      <c r="AX103" s="5777"/>
      <c r="AY103" s="5777"/>
      <c r="AZ103" s="5777"/>
      <c r="BA103" s="5777"/>
      <c r="BB103" s="5777"/>
      <c r="BC103" s="5777"/>
      <c r="BD103" s="5777"/>
      <c r="BE103" s="5777"/>
      <c r="BF103" s="5777"/>
      <c r="BG103" s="5777"/>
      <c r="BH103" s="5777"/>
      <c r="BI103" s="5825"/>
      <c r="BJ103" s="5777"/>
      <c r="BK103" s="5777"/>
      <c r="BL103" s="5777"/>
      <c r="BM103" s="5777"/>
      <c r="BN103" s="5777"/>
      <c r="BO103" s="5777"/>
      <c r="BP103" s="5777"/>
      <c r="BQ103" s="5777"/>
      <c r="BR103" s="5777"/>
      <c r="BS103" s="5777"/>
      <c r="BT103" s="5777"/>
      <c r="BU103" s="5777"/>
      <c r="BV103" s="5777"/>
      <c r="BW103" s="5777"/>
      <c r="BX103" s="5777"/>
      <c r="BY103" s="5777"/>
      <c r="BZ103" s="5777"/>
      <c r="CA103" s="5777"/>
      <c r="CB103" s="5777"/>
      <c r="CC103" s="5777"/>
      <c r="CD103" s="5777"/>
      <c r="CE103" s="5777"/>
      <c r="CF103" s="5777"/>
      <c r="CG103" s="5777"/>
      <c r="CH103" s="5777"/>
      <c r="CI103" s="5777"/>
      <c r="CJ103" s="5777"/>
      <c r="CK103" s="5777"/>
      <c r="CL103" s="5777"/>
      <c r="CM103" s="5777"/>
      <c r="CN103" s="5777"/>
      <c r="CO103" s="5777"/>
      <c r="CP103" s="5777"/>
      <c r="CQ103" s="5777"/>
      <c r="CR103" s="5777"/>
      <c r="CS103" s="5777"/>
      <c r="CT103" s="5777"/>
      <c r="CU103" s="5777"/>
      <c r="CV103" s="5777"/>
      <c r="CW103" s="5777"/>
      <c r="CX103" s="5777"/>
      <c r="CY103" s="5777"/>
      <c r="CZ103" s="5777"/>
      <c r="DA103" s="5777"/>
      <c r="DB103" s="5777"/>
      <c r="DC103" s="5777"/>
      <c r="DD103" s="5777"/>
      <c r="DE103" s="5777"/>
      <c r="DF103" s="5777"/>
      <c r="DG103" s="5777"/>
      <c r="DH103" s="5777"/>
      <c r="DI103" s="5777"/>
      <c r="DJ103" s="5777"/>
      <c r="DK103" s="5777"/>
      <c r="DL103" s="5777"/>
      <c r="DM103" s="5777"/>
      <c r="DN103" s="5777"/>
      <c r="DO103" s="5777"/>
      <c r="DP103" s="5777"/>
      <c r="DQ103" s="5777"/>
      <c r="DR103" s="5777"/>
      <c r="DS103" s="5777"/>
      <c r="DT103" s="5777"/>
      <c r="DU103" s="5777"/>
      <c r="DV103" s="5777"/>
      <c r="DW103" s="5777"/>
      <c r="DX103" s="5777"/>
      <c r="DY103" s="5777"/>
      <c r="DZ103" s="5777"/>
      <c r="EA103" s="5777"/>
      <c r="EB103" s="5777"/>
      <c r="EC103" s="5777"/>
      <c r="ED103" s="5777"/>
      <c r="EE103" s="5777"/>
      <c r="EF103" s="5777"/>
      <c r="EG103" s="5777"/>
      <c r="EH103" s="5777"/>
      <c r="EI103" s="5777"/>
      <c r="EJ103" s="5777"/>
      <c r="EK103" s="5777"/>
      <c r="EL103" s="5777"/>
      <c r="EM103" s="5777"/>
      <c r="EN103" s="5777"/>
      <c r="EO103" s="5777"/>
      <c r="EP103" s="5777"/>
      <c r="EQ103" s="5777"/>
      <c r="ER103" s="5777"/>
      <c r="ES103" s="5777"/>
      <c r="ET103" s="5777"/>
      <c r="EU103" s="2045"/>
    </row>
    <row r="104" spans="1:151" s="2046" customFormat="1" ht="15" customHeight="1">
      <c r="A104" s="16333"/>
      <c r="B104" s="16335"/>
      <c r="C104" s="16337"/>
      <c r="D104" s="16227"/>
      <c r="E104" s="16227"/>
      <c r="F104" s="16227"/>
      <c r="G104" s="16339"/>
      <c r="H104" s="2743" t="s">
        <v>4582</v>
      </c>
      <c r="I104" s="5795" t="s">
        <v>4583</v>
      </c>
      <c r="J104" s="16227"/>
      <c r="K104" s="5795" t="s">
        <v>10063</v>
      </c>
      <c r="L104" s="5278" t="s">
        <v>2856</v>
      </c>
      <c r="M104" s="5278"/>
      <c r="N104" s="5821"/>
      <c r="O104" s="16345"/>
      <c r="P104" s="5777"/>
      <c r="Q104" s="5777"/>
      <c r="R104" s="5777"/>
      <c r="S104" s="5777"/>
      <c r="T104" s="5777"/>
      <c r="U104" s="5777"/>
      <c r="V104" s="5777"/>
      <c r="W104" s="5777"/>
      <c r="X104" s="5777"/>
      <c r="Y104" s="5777"/>
      <c r="Z104" s="5777"/>
      <c r="AA104" s="5777"/>
      <c r="AB104" s="5777"/>
      <c r="AC104" s="5777"/>
      <c r="AD104" s="5777"/>
      <c r="AE104" s="5777"/>
      <c r="AF104" s="5777"/>
      <c r="AG104" s="5777"/>
      <c r="AH104" s="5777"/>
      <c r="AI104" s="5777"/>
      <c r="AJ104" s="5777"/>
      <c r="AK104" s="5777"/>
      <c r="AL104" s="5777"/>
      <c r="AM104" s="5777"/>
      <c r="AN104" s="5777"/>
      <c r="AO104" s="5777"/>
      <c r="AP104" s="5777"/>
      <c r="AQ104" s="5777"/>
      <c r="AR104" s="5777"/>
      <c r="AS104" s="5777"/>
      <c r="AT104" s="5777"/>
      <c r="AU104" s="5777"/>
      <c r="AV104" s="5777"/>
      <c r="AW104" s="5777"/>
      <c r="AX104" s="5777"/>
      <c r="AY104" s="5777"/>
      <c r="AZ104" s="5777"/>
      <c r="BA104" s="5777"/>
      <c r="BB104" s="5777"/>
      <c r="BC104" s="5777"/>
      <c r="BD104" s="5777"/>
      <c r="BE104" s="5777"/>
      <c r="BF104" s="5777"/>
      <c r="BG104" s="5777"/>
      <c r="BH104" s="5777"/>
      <c r="BI104" s="5825"/>
      <c r="BJ104" s="5777"/>
      <c r="BK104" s="5777"/>
      <c r="BL104" s="5777"/>
      <c r="BM104" s="5777"/>
      <c r="BN104" s="5777"/>
      <c r="BO104" s="5777"/>
      <c r="BP104" s="5777"/>
      <c r="BQ104" s="5777"/>
      <c r="BR104" s="5777"/>
      <c r="BS104" s="5777"/>
      <c r="BT104" s="5777"/>
      <c r="BU104" s="5777"/>
      <c r="BV104" s="5777"/>
      <c r="BW104" s="5777"/>
      <c r="BX104" s="5777"/>
      <c r="BY104" s="5777"/>
      <c r="BZ104" s="5777"/>
      <c r="CA104" s="5777"/>
      <c r="CB104" s="5777"/>
      <c r="CC104" s="5777"/>
      <c r="CD104" s="5777"/>
      <c r="CE104" s="5777"/>
      <c r="CF104" s="5777"/>
      <c r="CG104" s="5777"/>
      <c r="CH104" s="5777"/>
      <c r="CI104" s="5777"/>
      <c r="CJ104" s="5777"/>
      <c r="CK104" s="5777"/>
      <c r="CL104" s="5777"/>
      <c r="CM104" s="5777"/>
      <c r="CN104" s="5777"/>
      <c r="CO104" s="5777"/>
      <c r="CP104" s="5777"/>
      <c r="CQ104" s="5777"/>
      <c r="CR104" s="5777"/>
      <c r="CS104" s="5777"/>
      <c r="CT104" s="5777"/>
      <c r="CU104" s="5777"/>
      <c r="CV104" s="5777"/>
      <c r="CW104" s="5777"/>
      <c r="CX104" s="5777"/>
      <c r="CY104" s="5777"/>
      <c r="CZ104" s="5777"/>
      <c r="DA104" s="5777"/>
      <c r="DB104" s="5777"/>
      <c r="DC104" s="5777"/>
      <c r="DD104" s="5777"/>
      <c r="DE104" s="5777"/>
      <c r="DF104" s="5777"/>
      <c r="DG104" s="5777"/>
      <c r="DH104" s="5777"/>
      <c r="DI104" s="5777"/>
      <c r="DJ104" s="5777"/>
      <c r="DK104" s="5777"/>
      <c r="DL104" s="5777"/>
      <c r="DM104" s="5777"/>
      <c r="DN104" s="5777"/>
      <c r="DO104" s="5777"/>
      <c r="DP104" s="5777"/>
      <c r="DQ104" s="5777"/>
      <c r="DR104" s="5777"/>
      <c r="DS104" s="5777"/>
      <c r="DT104" s="5777"/>
      <c r="DU104" s="5777"/>
      <c r="DV104" s="5777"/>
      <c r="DW104" s="5777"/>
      <c r="DX104" s="5777"/>
      <c r="DY104" s="5777"/>
      <c r="DZ104" s="5777"/>
      <c r="EA104" s="5777"/>
      <c r="EB104" s="5777"/>
      <c r="EC104" s="5777"/>
      <c r="ED104" s="5777"/>
      <c r="EE104" s="5777"/>
      <c r="EF104" s="5777"/>
      <c r="EG104" s="5777"/>
      <c r="EH104" s="5777"/>
      <c r="EI104" s="5777"/>
      <c r="EJ104" s="5777"/>
      <c r="EK104" s="5777"/>
      <c r="EL104" s="5777"/>
      <c r="EM104" s="5777"/>
      <c r="EN104" s="5777"/>
      <c r="EO104" s="5777"/>
      <c r="EP104" s="5777"/>
      <c r="EQ104" s="5777"/>
      <c r="ER104" s="5777"/>
      <c r="ES104" s="5777"/>
      <c r="ET104" s="5777"/>
      <c r="EU104" s="2045"/>
    </row>
    <row r="105" spans="1:151" s="2046" customFormat="1" ht="15" customHeight="1">
      <c r="A105" s="16333"/>
      <c r="B105" s="16335"/>
      <c r="C105" s="16337"/>
      <c r="D105" s="16227"/>
      <c r="E105" s="16227"/>
      <c r="F105" s="16227"/>
      <c r="G105" s="16339"/>
      <c r="H105" s="2743" t="s">
        <v>4584</v>
      </c>
      <c r="I105" s="5795" t="s">
        <v>4585</v>
      </c>
      <c r="J105" s="16227"/>
      <c r="K105" s="5795" t="s">
        <v>10063</v>
      </c>
      <c r="L105" s="5278" t="s">
        <v>2856</v>
      </c>
      <c r="M105" s="5278"/>
      <c r="N105" s="5821"/>
      <c r="O105" s="16345"/>
      <c r="P105" s="5777"/>
      <c r="Q105" s="5777"/>
      <c r="R105" s="5777"/>
      <c r="S105" s="5777"/>
      <c r="T105" s="5777"/>
      <c r="U105" s="5777"/>
      <c r="V105" s="5777"/>
      <c r="W105" s="5777"/>
      <c r="X105" s="5777"/>
      <c r="Y105" s="5777"/>
      <c r="Z105" s="5777"/>
      <c r="AA105" s="5777"/>
      <c r="AB105" s="5777"/>
      <c r="AC105" s="5777"/>
      <c r="AD105" s="5777"/>
      <c r="AE105" s="5777"/>
      <c r="AF105" s="5777"/>
      <c r="AG105" s="5777"/>
      <c r="AH105" s="5777"/>
      <c r="AI105" s="5777"/>
      <c r="AJ105" s="5777"/>
      <c r="AK105" s="5777"/>
      <c r="AL105" s="5777"/>
      <c r="AM105" s="5777"/>
      <c r="AN105" s="5777"/>
      <c r="AO105" s="5777"/>
      <c r="AP105" s="5777"/>
      <c r="AQ105" s="5777"/>
      <c r="AR105" s="5777"/>
      <c r="AS105" s="5777"/>
      <c r="AT105" s="5777"/>
      <c r="AU105" s="5777"/>
      <c r="AV105" s="5777"/>
      <c r="AW105" s="5777"/>
      <c r="AX105" s="5777"/>
      <c r="AY105" s="5777"/>
      <c r="AZ105" s="5777"/>
      <c r="BA105" s="5777"/>
      <c r="BB105" s="5777"/>
      <c r="BC105" s="5777"/>
      <c r="BD105" s="5777"/>
      <c r="BE105" s="5777"/>
      <c r="BF105" s="5777"/>
      <c r="BG105" s="5777"/>
      <c r="BH105" s="5777"/>
      <c r="BI105" s="5825"/>
      <c r="BJ105" s="5777"/>
      <c r="BK105" s="5777"/>
      <c r="BL105" s="5777"/>
      <c r="BM105" s="5777"/>
      <c r="BN105" s="5777"/>
      <c r="BO105" s="5777"/>
      <c r="BP105" s="5777"/>
      <c r="BQ105" s="5777"/>
      <c r="BR105" s="5777"/>
      <c r="BS105" s="5777"/>
      <c r="BT105" s="5777"/>
      <c r="BU105" s="5777"/>
      <c r="BV105" s="5777"/>
      <c r="BW105" s="5777"/>
      <c r="BX105" s="5777"/>
      <c r="BY105" s="5777"/>
      <c r="BZ105" s="5777"/>
      <c r="CA105" s="5777"/>
      <c r="CB105" s="5777"/>
      <c r="CC105" s="5777"/>
      <c r="CD105" s="5777"/>
      <c r="CE105" s="5777"/>
      <c r="CF105" s="5777"/>
      <c r="CG105" s="5777"/>
      <c r="CH105" s="5777"/>
      <c r="CI105" s="5777"/>
      <c r="CJ105" s="5777"/>
      <c r="CK105" s="5777"/>
      <c r="CL105" s="5777"/>
      <c r="CM105" s="5777"/>
      <c r="CN105" s="5777"/>
      <c r="CO105" s="5777"/>
      <c r="CP105" s="5777"/>
      <c r="CQ105" s="5777"/>
      <c r="CR105" s="5777"/>
      <c r="CS105" s="5777"/>
      <c r="CT105" s="5777"/>
      <c r="CU105" s="5777"/>
      <c r="CV105" s="5777"/>
      <c r="CW105" s="5777"/>
      <c r="CX105" s="5777"/>
      <c r="CY105" s="5777"/>
      <c r="CZ105" s="5777"/>
      <c r="DA105" s="5777"/>
      <c r="DB105" s="5777"/>
      <c r="DC105" s="5777"/>
      <c r="DD105" s="5777"/>
      <c r="DE105" s="5777"/>
      <c r="DF105" s="5777"/>
      <c r="DG105" s="5777"/>
      <c r="DH105" s="5777"/>
      <c r="DI105" s="5777"/>
      <c r="DJ105" s="5777"/>
      <c r="DK105" s="5777"/>
      <c r="DL105" s="5777"/>
      <c r="DM105" s="5777"/>
      <c r="DN105" s="5777"/>
      <c r="DO105" s="5777"/>
      <c r="DP105" s="5777"/>
      <c r="DQ105" s="5777"/>
      <c r="DR105" s="5777"/>
      <c r="DS105" s="5777"/>
      <c r="DT105" s="5777"/>
      <c r="DU105" s="5777"/>
      <c r="DV105" s="5777"/>
      <c r="DW105" s="5777"/>
      <c r="DX105" s="5777"/>
      <c r="DY105" s="5777"/>
      <c r="DZ105" s="5777"/>
      <c r="EA105" s="5777"/>
      <c r="EB105" s="5777"/>
      <c r="EC105" s="5777"/>
      <c r="ED105" s="5777"/>
      <c r="EE105" s="5777"/>
      <c r="EF105" s="5777"/>
      <c r="EG105" s="5777"/>
      <c r="EH105" s="5777"/>
      <c r="EI105" s="5777"/>
      <c r="EJ105" s="5777"/>
      <c r="EK105" s="5777"/>
      <c r="EL105" s="5777"/>
      <c r="EM105" s="5777"/>
      <c r="EN105" s="5777"/>
      <c r="EO105" s="5777"/>
      <c r="EP105" s="5777"/>
      <c r="EQ105" s="5777"/>
      <c r="ER105" s="5777"/>
      <c r="ES105" s="5777"/>
      <c r="ET105" s="5777"/>
      <c r="EU105" s="2045"/>
    </row>
    <row r="106" spans="1:151" s="2046" customFormat="1" ht="15" customHeight="1">
      <c r="A106" s="16333"/>
      <c r="B106" s="16335"/>
      <c r="C106" s="16337"/>
      <c r="D106" s="16227"/>
      <c r="E106" s="16227"/>
      <c r="F106" s="16227"/>
      <c r="G106" s="16339"/>
      <c r="H106" s="2743" t="s">
        <v>4586</v>
      </c>
      <c r="I106" s="5795" t="s">
        <v>4587</v>
      </c>
      <c r="J106" s="16227"/>
      <c r="K106" s="5795" t="s">
        <v>10063</v>
      </c>
      <c r="L106" s="5278" t="s">
        <v>2856</v>
      </c>
      <c r="M106" s="5278"/>
      <c r="N106" s="5821"/>
      <c r="O106" s="16345"/>
      <c r="P106" s="5777"/>
      <c r="Q106" s="5777"/>
      <c r="R106" s="5777"/>
      <c r="S106" s="5777"/>
      <c r="T106" s="5777"/>
      <c r="U106" s="5777"/>
      <c r="V106" s="5777"/>
      <c r="W106" s="5777"/>
      <c r="X106" s="5777"/>
      <c r="Y106" s="5777"/>
      <c r="Z106" s="5777"/>
      <c r="AA106" s="5777"/>
      <c r="AB106" s="5777"/>
      <c r="AC106" s="5777"/>
      <c r="AD106" s="5777"/>
      <c r="AE106" s="5777"/>
      <c r="AF106" s="5777"/>
      <c r="AG106" s="5777"/>
      <c r="AH106" s="5777"/>
      <c r="AI106" s="5777"/>
      <c r="AJ106" s="5777"/>
      <c r="AK106" s="5777"/>
      <c r="AL106" s="5777"/>
      <c r="AM106" s="5777"/>
      <c r="AN106" s="5777"/>
      <c r="AO106" s="5777"/>
      <c r="AP106" s="5777"/>
      <c r="AQ106" s="5777"/>
      <c r="AR106" s="5777"/>
      <c r="AS106" s="5777"/>
      <c r="AT106" s="5777"/>
      <c r="AU106" s="5777"/>
      <c r="AV106" s="5777"/>
      <c r="AW106" s="5777"/>
      <c r="AX106" s="5777"/>
      <c r="AY106" s="5777"/>
      <c r="AZ106" s="5777"/>
      <c r="BA106" s="5777"/>
      <c r="BB106" s="5777"/>
      <c r="BC106" s="5777"/>
      <c r="BD106" s="5777"/>
      <c r="BE106" s="5777"/>
      <c r="BF106" s="5777"/>
      <c r="BG106" s="5777"/>
      <c r="BH106" s="5777"/>
      <c r="BI106" s="5825"/>
      <c r="BJ106" s="5777"/>
      <c r="BK106" s="5777"/>
      <c r="BL106" s="5777"/>
      <c r="BM106" s="5777"/>
      <c r="BN106" s="5777"/>
      <c r="BO106" s="5777"/>
      <c r="BP106" s="5777"/>
      <c r="BQ106" s="5777"/>
      <c r="BR106" s="5777"/>
      <c r="BS106" s="5777"/>
      <c r="BT106" s="5777"/>
      <c r="BU106" s="5777"/>
      <c r="BV106" s="5777"/>
      <c r="BW106" s="5777"/>
      <c r="BX106" s="5777"/>
      <c r="BY106" s="5777"/>
      <c r="BZ106" s="5777"/>
      <c r="CA106" s="5777"/>
      <c r="CB106" s="5777"/>
      <c r="CC106" s="5777"/>
      <c r="CD106" s="5777"/>
      <c r="CE106" s="5777"/>
      <c r="CF106" s="5777"/>
      <c r="CG106" s="5777"/>
      <c r="CH106" s="5777"/>
      <c r="CI106" s="5777"/>
      <c r="CJ106" s="5777"/>
      <c r="CK106" s="5777"/>
      <c r="CL106" s="5777"/>
      <c r="CM106" s="5777"/>
      <c r="CN106" s="5777"/>
      <c r="CO106" s="5777"/>
      <c r="CP106" s="5777"/>
      <c r="CQ106" s="5777"/>
      <c r="CR106" s="5777"/>
      <c r="CS106" s="5777"/>
      <c r="CT106" s="5777"/>
      <c r="CU106" s="5777"/>
      <c r="CV106" s="5777"/>
      <c r="CW106" s="5777"/>
      <c r="CX106" s="5777"/>
      <c r="CY106" s="5777"/>
      <c r="CZ106" s="5777"/>
      <c r="DA106" s="5777"/>
      <c r="DB106" s="5777"/>
      <c r="DC106" s="5777"/>
      <c r="DD106" s="5777"/>
      <c r="DE106" s="5777"/>
      <c r="DF106" s="5777"/>
      <c r="DG106" s="5777"/>
      <c r="DH106" s="5777"/>
      <c r="DI106" s="5777"/>
      <c r="DJ106" s="5777"/>
      <c r="DK106" s="5777"/>
      <c r="DL106" s="5777"/>
      <c r="DM106" s="5777"/>
      <c r="DN106" s="5777"/>
      <c r="DO106" s="5777"/>
      <c r="DP106" s="5777"/>
      <c r="DQ106" s="5777"/>
      <c r="DR106" s="5777"/>
      <c r="DS106" s="5777"/>
      <c r="DT106" s="5777"/>
      <c r="DU106" s="5777"/>
      <c r="DV106" s="5777"/>
      <c r="DW106" s="5777"/>
      <c r="DX106" s="5777"/>
      <c r="DY106" s="5777"/>
      <c r="DZ106" s="5777"/>
      <c r="EA106" s="5777"/>
      <c r="EB106" s="5777"/>
      <c r="EC106" s="5777"/>
      <c r="ED106" s="5777"/>
      <c r="EE106" s="5777"/>
      <c r="EF106" s="5777"/>
      <c r="EG106" s="5777"/>
      <c r="EH106" s="5777"/>
      <c r="EI106" s="5777"/>
      <c r="EJ106" s="5777"/>
      <c r="EK106" s="5777"/>
      <c r="EL106" s="5777"/>
      <c r="EM106" s="5777"/>
      <c r="EN106" s="5777"/>
      <c r="EO106" s="5777"/>
      <c r="EP106" s="5777"/>
      <c r="EQ106" s="5777"/>
      <c r="ER106" s="5777"/>
      <c r="ES106" s="5777"/>
      <c r="ET106" s="5777"/>
      <c r="EU106" s="2045"/>
    </row>
    <row r="107" spans="1:151" s="2049" customFormat="1" ht="15" customHeight="1">
      <c r="A107" s="16404" t="s">
        <v>2637</v>
      </c>
      <c r="B107" s="16406" t="s">
        <v>2723</v>
      </c>
      <c r="C107" s="16408" t="s">
        <v>2734</v>
      </c>
      <c r="D107" s="5783" t="s">
        <v>2735</v>
      </c>
      <c r="E107" s="2762"/>
      <c r="F107" s="16050" t="s">
        <v>2746</v>
      </c>
      <c r="G107" s="16339"/>
      <c r="H107" s="16050" t="s">
        <v>4588</v>
      </c>
      <c r="I107" s="16050" t="s">
        <v>2736</v>
      </c>
      <c r="J107" s="16050" t="s">
        <v>2746</v>
      </c>
      <c r="K107" s="2762" t="s">
        <v>10063</v>
      </c>
      <c r="L107" s="5362" t="s">
        <v>2856</v>
      </c>
      <c r="M107" s="5362"/>
      <c r="N107" s="5012">
        <v>0.9</v>
      </c>
      <c r="O107" s="16354" t="s">
        <v>3156</v>
      </c>
      <c r="P107" s="5826" t="s">
        <v>3157</v>
      </c>
      <c r="Q107" s="5010" t="s">
        <v>3158</v>
      </c>
      <c r="R107" s="5784">
        <f t="shared" ref="R107:R116" si="1">S107+T107+U107</f>
        <v>27070515.539999999</v>
      </c>
      <c r="S107" s="5784">
        <v>23853377.359999999</v>
      </c>
      <c r="T107" s="5785">
        <v>3217138.18</v>
      </c>
      <c r="U107" s="5786">
        <v>0</v>
      </c>
      <c r="V107" s="16283">
        <v>3802</v>
      </c>
      <c r="W107" s="16283">
        <v>1897</v>
      </c>
      <c r="X107" s="16283">
        <v>1905</v>
      </c>
      <c r="Y107" s="16283">
        <v>2943</v>
      </c>
      <c r="Z107" s="16283">
        <v>859</v>
      </c>
      <c r="AA107" s="16283">
        <v>15</v>
      </c>
      <c r="AB107" s="16283">
        <v>930</v>
      </c>
      <c r="AC107" s="16283">
        <v>2322</v>
      </c>
      <c r="AD107" s="16283">
        <v>262</v>
      </c>
      <c r="AE107" s="16283">
        <v>123</v>
      </c>
      <c r="AF107" s="16283">
        <v>112</v>
      </c>
      <c r="AG107" s="5787"/>
      <c r="AH107" s="5787"/>
      <c r="AI107" s="5365"/>
      <c r="AJ107" s="5787"/>
      <c r="AK107" s="5787"/>
      <c r="AL107" s="5787"/>
      <c r="AM107" s="5787"/>
      <c r="AN107" s="5787"/>
      <c r="AO107" s="5787"/>
      <c r="AP107" s="5787"/>
      <c r="AQ107" s="5365"/>
      <c r="AR107" s="5787"/>
      <c r="AS107" s="5787"/>
      <c r="AT107" s="5787"/>
      <c r="AU107" s="5787"/>
      <c r="AV107" s="5787"/>
      <c r="AW107" s="5787"/>
      <c r="AX107" s="5787"/>
      <c r="AY107" s="5787"/>
      <c r="AZ107" s="5787"/>
      <c r="BA107" s="5787"/>
      <c r="BB107" s="5787"/>
      <c r="BC107" s="5787"/>
      <c r="BD107" s="5787"/>
      <c r="BE107" s="5787"/>
      <c r="BF107" s="5787"/>
      <c r="BG107" s="16352">
        <v>30</v>
      </c>
      <c r="BH107" s="16282">
        <v>1</v>
      </c>
      <c r="BI107" s="16366" t="s">
        <v>9162</v>
      </c>
      <c r="BJ107" s="16367"/>
      <c r="BK107" s="16367"/>
      <c r="BL107" s="16352" t="s">
        <v>9163</v>
      </c>
      <c r="BM107" s="16352" t="s">
        <v>9164</v>
      </c>
      <c r="BN107" s="16352" t="s">
        <v>9165</v>
      </c>
      <c r="BO107" s="16352" t="s">
        <v>9068</v>
      </c>
      <c r="BP107" s="5365"/>
      <c r="BQ107" s="16352">
        <v>908</v>
      </c>
      <c r="BR107" s="5788"/>
      <c r="BS107" s="5365"/>
      <c r="BT107" s="5365"/>
      <c r="BU107" s="5365"/>
      <c r="BV107" s="5365"/>
      <c r="BW107" s="5787"/>
      <c r="BX107" s="5787"/>
      <c r="BY107" s="5365"/>
      <c r="BZ107" s="5365"/>
      <c r="CA107" s="5787"/>
      <c r="CB107" s="5787"/>
      <c r="CC107" s="5365"/>
      <c r="CD107" s="5787"/>
      <c r="CE107" s="5787"/>
      <c r="CF107" s="5787"/>
      <c r="CG107" s="5787"/>
      <c r="CH107" s="5787"/>
      <c r="CI107" s="5787"/>
      <c r="CJ107" s="5787"/>
      <c r="CK107" s="5365"/>
      <c r="CL107" s="5787"/>
      <c r="CM107" s="5787"/>
      <c r="CN107" s="5787"/>
      <c r="CO107" s="5787"/>
      <c r="CP107" s="5787"/>
      <c r="CQ107" s="5787"/>
      <c r="CR107" s="5787"/>
      <c r="CS107" s="5787"/>
      <c r="CT107" s="5787"/>
      <c r="CU107" s="5787"/>
      <c r="CV107" s="5787"/>
      <c r="CW107" s="5787"/>
      <c r="CX107" s="5787"/>
      <c r="CY107" s="5787"/>
      <c r="CZ107" s="5787"/>
      <c r="DA107" s="5787"/>
      <c r="DB107" s="5787"/>
      <c r="DC107" s="5787"/>
      <c r="DD107" s="5787"/>
      <c r="DE107" s="5787"/>
      <c r="DF107" s="5787"/>
      <c r="DG107" s="5787"/>
      <c r="DH107" s="5787"/>
      <c r="DI107" s="5787"/>
      <c r="DJ107" s="5787"/>
      <c r="DK107" s="5787"/>
      <c r="DL107" s="5787"/>
      <c r="DM107" s="5787"/>
      <c r="DN107" s="5787"/>
      <c r="DO107" s="5787"/>
      <c r="DP107" s="5787"/>
      <c r="DQ107" s="5787"/>
      <c r="DR107" s="5787"/>
      <c r="DS107" s="5787"/>
      <c r="DT107" s="5787"/>
      <c r="DU107" s="5787"/>
      <c r="DV107" s="5787"/>
      <c r="DW107" s="5787"/>
      <c r="DX107" s="5787"/>
      <c r="DY107" s="5787"/>
      <c r="DZ107" s="5787"/>
      <c r="EA107" s="5787"/>
      <c r="EB107" s="5787"/>
      <c r="EC107" s="5787"/>
      <c r="ED107" s="5787"/>
      <c r="EE107" s="5787"/>
      <c r="EF107" s="5787"/>
      <c r="EG107" s="5787"/>
      <c r="EH107" s="5787"/>
      <c r="EI107" s="5787"/>
      <c r="EJ107" s="5787"/>
      <c r="EK107" s="5787"/>
      <c r="EL107" s="5787"/>
      <c r="EM107" s="5787"/>
      <c r="EN107" s="5787"/>
      <c r="EO107" s="5787"/>
      <c r="EP107" s="5787"/>
      <c r="EQ107" s="5787"/>
      <c r="ER107" s="5787"/>
      <c r="ES107" s="5787"/>
      <c r="ET107" s="5787"/>
      <c r="EU107" s="2048"/>
    </row>
    <row r="108" spans="1:151" s="2049" customFormat="1" ht="15" customHeight="1">
      <c r="A108" s="16404"/>
      <c r="B108" s="16406"/>
      <c r="C108" s="16408"/>
      <c r="D108" s="5783"/>
      <c r="E108" s="2762"/>
      <c r="F108" s="16050"/>
      <c r="G108" s="16339"/>
      <c r="H108" s="16050"/>
      <c r="I108" s="16050"/>
      <c r="J108" s="16050"/>
      <c r="K108" s="2762" t="s">
        <v>10066</v>
      </c>
      <c r="L108" s="5362"/>
      <c r="M108" s="5362" t="s">
        <v>2857</v>
      </c>
      <c r="N108" s="5012"/>
      <c r="O108" s="16354"/>
      <c r="P108" s="5826"/>
      <c r="Q108" s="5010"/>
      <c r="R108" s="5784"/>
      <c r="S108" s="5784"/>
      <c r="T108" s="5785"/>
      <c r="U108" s="5786"/>
      <c r="V108" s="16283"/>
      <c r="W108" s="16283"/>
      <c r="X108" s="16283"/>
      <c r="Y108" s="16283"/>
      <c r="Z108" s="16283"/>
      <c r="AA108" s="16283"/>
      <c r="AB108" s="16283"/>
      <c r="AC108" s="16283"/>
      <c r="AD108" s="16283"/>
      <c r="AE108" s="16283"/>
      <c r="AF108" s="16283"/>
      <c r="AG108" s="5787"/>
      <c r="AH108" s="5787"/>
      <c r="AI108" s="5365"/>
      <c r="AJ108" s="5787"/>
      <c r="AK108" s="5787"/>
      <c r="AL108" s="5787"/>
      <c r="AM108" s="5787"/>
      <c r="AN108" s="5787"/>
      <c r="AO108" s="5787"/>
      <c r="AP108" s="5787"/>
      <c r="AQ108" s="5365"/>
      <c r="AR108" s="5787"/>
      <c r="AS108" s="5787"/>
      <c r="AT108" s="5787"/>
      <c r="AU108" s="5787"/>
      <c r="AV108" s="5787"/>
      <c r="AW108" s="5787"/>
      <c r="AX108" s="5787"/>
      <c r="AY108" s="5787"/>
      <c r="AZ108" s="5787"/>
      <c r="BA108" s="5787"/>
      <c r="BB108" s="5787"/>
      <c r="BC108" s="5787"/>
      <c r="BD108" s="5787"/>
      <c r="BE108" s="5787"/>
      <c r="BF108" s="5787"/>
      <c r="BG108" s="16352"/>
      <c r="BH108" s="16282"/>
      <c r="BI108" s="16366"/>
      <c r="BJ108" s="16367"/>
      <c r="BK108" s="16367"/>
      <c r="BL108" s="16352"/>
      <c r="BM108" s="16352"/>
      <c r="BN108" s="16352"/>
      <c r="BO108" s="16352"/>
      <c r="BP108" s="5365"/>
      <c r="BQ108" s="16352"/>
      <c r="BR108" s="5788"/>
      <c r="BS108" s="5365"/>
      <c r="BT108" s="5365"/>
      <c r="BU108" s="5365"/>
      <c r="BV108" s="5365"/>
      <c r="BW108" s="5787"/>
      <c r="BX108" s="5787"/>
      <c r="BY108" s="5365"/>
      <c r="BZ108" s="5365"/>
      <c r="CA108" s="5787"/>
      <c r="CB108" s="5787"/>
      <c r="CC108" s="5365"/>
      <c r="CD108" s="5787"/>
      <c r="CE108" s="5787"/>
      <c r="CF108" s="5787"/>
      <c r="CG108" s="5787"/>
      <c r="CH108" s="5787"/>
      <c r="CI108" s="5787"/>
      <c r="CJ108" s="5787"/>
      <c r="CK108" s="5365"/>
      <c r="CL108" s="5787"/>
      <c r="CM108" s="5787"/>
      <c r="CN108" s="5787"/>
      <c r="CO108" s="5787"/>
      <c r="CP108" s="5787"/>
      <c r="CQ108" s="5787"/>
      <c r="CR108" s="5787"/>
      <c r="CS108" s="5787"/>
      <c r="CT108" s="5787"/>
      <c r="CU108" s="5787"/>
      <c r="CV108" s="5787"/>
      <c r="CW108" s="5787"/>
      <c r="CX108" s="5787"/>
      <c r="CY108" s="5787"/>
      <c r="CZ108" s="5787"/>
      <c r="DA108" s="5787"/>
      <c r="DB108" s="5787"/>
      <c r="DC108" s="5787"/>
      <c r="DD108" s="5787"/>
      <c r="DE108" s="5787"/>
      <c r="DF108" s="5787"/>
      <c r="DG108" s="5787"/>
      <c r="DH108" s="5787"/>
      <c r="DI108" s="5787"/>
      <c r="DJ108" s="5787"/>
      <c r="DK108" s="5787"/>
      <c r="DL108" s="5787"/>
      <c r="DM108" s="5787"/>
      <c r="DN108" s="5787"/>
      <c r="DO108" s="5787"/>
      <c r="DP108" s="5787"/>
      <c r="DQ108" s="5787"/>
      <c r="DR108" s="5787"/>
      <c r="DS108" s="5787"/>
      <c r="DT108" s="5787"/>
      <c r="DU108" s="5787"/>
      <c r="DV108" s="5787"/>
      <c r="DW108" s="5787"/>
      <c r="DX108" s="5787"/>
      <c r="DY108" s="5787"/>
      <c r="DZ108" s="5787"/>
      <c r="EA108" s="5787"/>
      <c r="EB108" s="5787"/>
      <c r="EC108" s="5787"/>
      <c r="ED108" s="5787"/>
      <c r="EE108" s="5787"/>
      <c r="EF108" s="5787"/>
      <c r="EG108" s="5787"/>
      <c r="EH108" s="5787"/>
      <c r="EI108" s="5787"/>
      <c r="EJ108" s="5787"/>
      <c r="EK108" s="5787"/>
      <c r="EL108" s="5787"/>
      <c r="EM108" s="5787"/>
      <c r="EN108" s="5787"/>
      <c r="EO108" s="5787"/>
      <c r="EP108" s="5787"/>
      <c r="EQ108" s="5787"/>
      <c r="ER108" s="5787"/>
      <c r="ES108" s="5787"/>
      <c r="ET108" s="5787"/>
      <c r="EU108" s="2048"/>
    </row>
    <row r="109" spans="1:151" s="2049" customFormat="1" ht="15" customHeight="1">
      <c r="A109" s="16404"/>
      <c r="B109" s="16406"/>
      <c r="C109" s="16408"/>
      <c r="D109" s="5783" t="s">
        <v>2737</v>
      </c>
      <c r="E109" s="2762"/>
      <c r="F109" s="16050"/>
      <c r="G109" s="16339"/>
      <c r="H109" s="16050" t="s">
        <v>4589</v>
      </c>
      <c r="I109" s="16050" t="s">
        <v>2738</v>
      </c>
      <c r="J109" s="16050"/>
      <c r="K109" s="2762" t="s">
        <v>10063</v>
      </c>
      <c r="L109" s="5362" t="s">
        <v>2856</v>
      </c>
      <c r="M109" s="5362"/>
      <c r="N109" s="5012">
        <v>0.7</v>
      </c>
      <c r="O109" s="16354"/>
      <c r="P109" s="16354" t="s">
        <v>3159</v>
      </c>
      <c r="Q109" s="16355" t="s">
        <v>3160</v>
      </c>
      <c r="R109" s="5784">
        <f t="shared" si="1"/>
        <v>27070515.539999999</v>
      </c>
      <c r="S109" s="5784">
        <v>23853377.359999999</v>
      </c>
      <c r="T109" s="5789">
        <v>3217138.18</v>
      </c>
      <c r="U109" s="5786">
        <v>0</v>
      </c>
      <c r="V109" s="16283"/>
      <c r="W109" s="16283"/>
      <c r="X109" s="16283"/>
      <c r="Y109" s="16283"/>
      <c r="Z109" s="16283"/>
      <c r="AA109" s="16283"/>
      <c r="AB109" s="16283"/>
      <c r="AC109" s="16283"/>
      <c r="AD109" s="16283"/>
      <c r="AE109" s="16283"/>
      <c r="AF109" s="16283"/>
      <c r="AG109" s="5787"/>
      <c r="AH109" s="5787"/>
      <c r="AI109" s="5365"/>
      <c r="AJ109" s="5787"/>
      <c r="AK109" s="5787"/>
      <c r="AL109" s="5787"/>
      <c r="AM109" s="5787"/>
      <c r="AN109" s="5787"/>
      <c r="AO109" s="5787"/>
      <c r="AP109" s="5787"/>
      <c r="AQ109" s="5365"/>
      <c r="AR109" s="5787"/>
      <c r="AS109" s="5787"/>
      <c r="AT109" s="5787"/>
      <c r="AU109" s="5787"/>
      <c r="AV109" s="5787"/>
      <c r="AW109" s="5787"/>
      <c r="AX109" s="5787"/>
      <c r="AY109" s="5787"/>
      <c r="AZ109" s="5787"/>
      <c r="BA109" s="5787"/>
      <c r="BB109" s="5787"/>
      <c r="BC109" s="5787"/>
      <c r="BD109" s="5787"/>
      <c r="BE109" s="5787"/>
      <c r="BF109" s="5787"/>
      <c r="BG109" s="16352"/>
      <c r="BH109" s="16282"/>
      <c r="BI109" s="16366"/>
      <c r="BJ109" s="16367"/>
      <c r="BK109" s="16367"/>
      <c r="BL109" s="16352"/>
      <c r="BM109" s="16352"/>
      <c r="BN109" s="16352"/>
      <c r="BO109" s="16352"/>
      <c r="BP109" s="5365"/>
      <c r="BQ109" s="16352"/>
      <c r="BR109" s="5788"/>
      <c r="BS109" s="5365"/>
      <c r="BT109" s="5365"/>
      <c r="BU109" s="5365"/>
      <c r="BV109" s="5365"/>
      <c r="BW109" s="5787"/>
      <c r="BX109" s="5787"/>
      <c r="BY109" s="5365"/>
      <c r="BZ109" s="5365"/>
      <c r="CA109" s="5787"/>
      <c r="CB109" s="5787"/>
      <c r="CC109" s="5365"/>
      <c r="CD109" s="5787"/>
      <c r="CE109" s="5787"/>
      <c r="CF109" s="5787"/>
      <c r="CG109" s="5787"/>
      <c r="CH109" s="5787"/>
      <c r="CI109" s="5787"/>
      <c r="CJ109" s="5787"/>
      <c r="CK109" s="5365"/>
      <c r="CL109" s="5787"/>
      <c r="CM109" s="5787"/>
      <c r="CN109" s="5787"/>
      <c r="CO109" s="5787"/>
      <c r="CP109" s="5787"/>
      <c r="CQ109" s="5787"/>
      <c r="CR109" s="5787"/>
      <c r="CS109" s="5787"/>
      <c r="CT109" s="5787"/>
      <c r="CU109" s="5787"/>
      <c r="CV109" s="5787"/>
      <c r="CW109" s="5787"/>
      <c r="CX109" s="5787"/>
      <c r="CY109" s="5787"/>
      <c r="CZ109" s="5787"/>
      <c r="DA109" s="5787"/>
      <c r="DB109" s="5787"/>
      <c r="DC109" s="5787"/>
      <c r="DD109" s="5787"/>
      <c r="DE109" s="5787"/>
      <c r="DF109" s="5787"/>
      <c r="DG109" s="5787"/>
      <c r="DH109" s="5787"/>
      <c r="DI109" s="5787"/>
      <c r="DJ109" s="5787"/>
      <c r="DK109" s="5787"/>
      <c r="DL109" s="5787"/>
      <c r="DM109" s="5787"/>
      <c r="DN109" s="5787"/>
      <c r="DO109" s="5787"/>
      <c r="DP109" s="5787"/>
      <c r="DQ109" s="5787"/>
      <c r="DR109" s="5787"/>
      <c r="DS109" s="5787"/>
      <c r="DT109" s="5787"/>
      <c r="DU109" s="5787"/>
      <c r="DV109" s="5787"/>
      <c r="DW109" s="5787"/>
      <c r="DX109" s="5787"/>
      <c r="DY109" s="5787"/>
      <c r="DZ109" s="5787"/>
      <c r="EA109" s="5787"/>
      <c r="EB109" s="5787"/>
      <c r="EC109" s="5787"/>
      <c r="ED109" s="5787"/>
      <c r="EE109" s="5787"/>
      <c r="EF109" s="5787"/>
      <c r="EG109" s="5787"/>
      <c r="EH109" s="5787"/>
      <c r="EI109" s="5787"/>
      <c r="EJ109" s="5787"/>
      <c r="EK109" s="5787"/>
      <c r="EL109" s="5787"/>
      <c r="EM109" s="5787"/>
      <c r="EN109" s="5787"/>
      <c r="EO109" s="5787"/>
      <c r="EP109" s="5787"/>
      <c r="EQ109" s="5787"/>
      <c r="ER109" s="5787"/>
      <c r="ES109" s="5787"/>
      <c r="ET109" s="5787"/>
      <c r="EU109" s="2048"/>
    </row>
    <row r="110" spans="1:151" s="2049" customFormat="1" ht="15" customHeight="1">
      <c r="A110" s="16404"/>
      <c r="B110" s="16406"/>
      <c r="C110" s="16408"/>
      <c r="D110" s="5783"/>
      <c r="E110" s="2762"/>
      <c r="F110" s="16050"/>
      <c r="G110" s="16339"/>
      <c r="H110" s="16050"/>
      <c r="I110" s="16050"/>
      <c r="J110" s="16050"/>
      <c r="K110" s="2762" t="s">
        <v>10066</v>
      </c>
      <c r="L110" s="5362"/>
      <c r="M110" s="5362" t="s">
        <v>2857</v>
      </c>
      <c r="N110" s="5012"/>
      <c r="O110" s="16354"/>
      <c r="P110" s="16354"/>
      <c r="Q110" s="16355"/>
      <c r="R110" s="5784"/>
      <c r="S110" s="5784"/>
      <c r="T110" s="5789"/>
      <c r="U110" s="5786"/>
      <c r="V110" s="16283"/>
      <c r="W110" s="16283"/>
      <c r="X110" s="16283"/>
      <c r="Y110" s="16283"/>
      <c r="Z110" s="16283"/>
      <c r="AA110" s="16283"/>
      <c r="AB110" s="16283"/>
      <c r="AC110" s="16283"/>
      <c r="AD110" s="16283"/>
      <c r="AE110" s="16283"/>
      <c r="AF110" s="16283"/>
      <c r="AG110" s="5787"/>
      <c r="AH110" s="5787"/>
      <c r="AI110" s="5365"/>
      <c r="AJ110" s="5787"/>
      <c r="AK110" s="5787"/>
      <c r="AL110" s="5787"/>
      <c r="AM110" s="5787"/>
      <c r="AN110" s="5787"/>
      <c r="AO110" s="5787"/>
      <c r="AP110" s="5787"/>
      <c r="AQ110" s="5365"/>
      <c r="AR110" s="5787"/>
      <c r="AS110" s="5787"/>
      <c r="AT110" s="5787"/>
      <c r="AU110" s="5787"/>
      <c r="AV110" s="5787"/>
      <c r="AW110" s="5787"/>
      <c r="AX110" s="5787"/>
      <c r="AY110" s="5787"/>
      <c r="AZ110" s="5787"/>
      <c r="BA110" s="5787"/>
      <c r="BB110" s="5787"/>
      <c r="BC110" s="5787"/>
      <c r="BD110" s="5787"/>
      <c r="BE110" s="5787"/>
      <c r="BF110" s="5787"/>
      <c r="BG110" s="16352"/>
      <c r="BH110" s="16282"/>
      <c r="BI110" s="16366"/>
      <c r="BJ110" s="16367"/>
      <c r="BK110" s="16367"/>
      <c r="BL110" s="16352"/>
      <c r="BM110" s="16352"/>
      <c r="BN110" s="16352"/>
      <c r="BO110" s="16352"/>
      <c r="BP110" s="5365"/>
      <c r="BQ110" s="16352"/>
      <c r="BR110" s="5788"/>
      <c r="BS110" s="5365"/>
      <c r="BT110" s="5365"/>
      <c r="BU110" s="5365"/>
      <c r="BV110" s="5365"/>
      <c r="BW110" s="5787"/>
      <c r="BX110" s="5787"/>
      <c r="BY110" s="5365"/>
      <c r="BZ110" s="5365"/>
      <c r="CA110" s="5787"/>
      <c r="CB110" s="5787"/>
      <c r="CC110" s="5365"/>
      <c r="CD110" s="5787"/>
      <c r="CE110" s="5787"/>
      <c r="CF110" s="5787"/>
      <c r="CG110" s="5787"/>
      <c r="CH110" s="5787"/>
      <c r="CI110" s="5787"/>
      <c r="CJ110" s="5787"/>
      <c r="CK110" s="5365"/>
      <c r="CL110" s="5787"/>
      <c r="CM110" s="5787"/>
      <c r="CN110" s="5787"/>
      <c r="CO110" s="5787"/>
      <c r="CP110" s="5787"/>
      <c r="CQ110" s="5787"/>
      <c r="CR110" s="5787"/>
      <c r="CS110" s="5787"/>
      <c r="CT110" s="5787"/>
      <c r="CU110" s="5787"/>
      <c r="CV110" s="5787"/>
      <c r="CW110" s="5787"/>
      <c r="CX110" s="5787"/>
      <c r="CY110" s="5787"/>
      <c r="CZ110" s="5787"/>
      <c r="DA110" s="5787"/>
      <c r="DB110" s="5787"/>
      <c r="DC110" s="5787"/>
      <c r="DD110" s="5787"/>
      <c r="DE110" s="5787"/>
      <c r="DF110" s="5787"/>
      <c r="DG110" s="5787"/>
      <c r="DH110" s="5787"/>
      <c r="DI110" s="5787"/>
      <c r="DJ110" s="5787"/>
      <c r="DK110" s="5787"/>
      <c r="DL110" s="5787"/>
      <c r="DM110" s="5787"/>
      <c r="DN110" s="5787"/>
      <c r="DO110" s="5787"/>
      <c r="DP110" s="5787"/>
      <c r="DQ110" s="5787"/>
      <c r="DR110" s="5787"/>
      <c r="DS110" s="5787"/>
      <c r="DT110" s="5787"/>
      <c r="DU110" s="5787"/>
      <c r="DV110" s="5787"/>
      <c r="DW110" s="5787"/>
      <c r="DX110" s="5787"/>
      <c r="DY110" s="5787"/>
      <c r="DZ110" s="5787"/>
      <c r="EA110" s="5787"/>
      <c r="EB110" s="5787"/>
      <c r="EC110" s="5787"/>
      <c r="ED110" s="5787"/>
      <c r="EE110" s="5787"/>
      <c r="EF110" s="5787"/>
      <c r="EG110" s="5787"/>
      <c r="EH110" s="5787"/>
      <c r="EI110" s="5787"/>
      <c r="EJ110" s="5787"/>
      <c r="EK110" s="5787"/>
      <c r="EL110" s="5787"/>
      <c r="EM110" s="5787"/>
      <c r="EN110" s="5787"/>
      <c r="EO110" s="5787"/>
      <c r="EP110" s="5787"/>
      <c r="EQ110" s="5787"/>
      <c r="ER110" s="5787"/>
      <c r="ES110" s="5787"/>
      <c r="ET110" s="5787"/>
      <c r="EU110" s="2048"/>
    </row>
    <row r="111" spans="1:151" s="2049" customFormat="1" ht="15" customHeight="1">
      <c r="A111" s="16404"/>
      <c r="B111" s="16406"/>
      <c r="C111" s="16408"/>
      <c r="D111" s="5783" t="s">
        <v>2739</v>
      </c>
      <c r="E111" s="2762"/>
      <c r="F111" s="16050"/>
      <c r="G111" s="16339"/>
      <c r="H111" s="16050" t="s">
        <v>4590</v>
      </c>
      <c r="I111" s="16050" t="s">
        <v>2740</v>
      </c>
      <c r="J111" s="16050"/>
      <c r="K111" s="2762" t="s">
        <v>10063</v>
      </c>
      <c r="L111" s="5362" t="s">
        <v>2856</v>
      </c>
      <c r="M111" s="5362"/>
      <c r="N111" s="5012">
        <v>0.9</v>
      </c>
      <c r="O111" s="16354"/>
      <c r="P111" s="16354"/>
      <c r="Q111" s="16355"/>
      <c r="R111" s="5784">
        <f t="shared" si="1"/>
        <v>27070515.539999999</v>
      </c>
      <c r="S111" s="5784">
        <v>23853377.359999999</v>
      </c>
      <c r="T111" s="5789">
        <v>3217138.18</v>
      </c>
      <c r="U111" s="5786">
        <v>0</v>
      </c>
      <c r="V111" s="16283"/>
      <c r="W111" s="16283"/>
      <c r="X111" s="16283"/>
      <c r="Y111" s="16283"/>
      <c r="Z111" s="16283"/>
      <c r="AA111" s="16283"/>
      <c r="AB111" s="16283"/>
      <c r="AC111" s="16283"/>
      <c r="AD111" s="16283"/>
      <c r="AE111" s="16283"/>
      <c r="AF111" s="16283"/>
      <c r="AG111" s="5787"/>
      <c r="AH111" s="5787"/>
      <c r="AI111" s="5365"/>
      <c r="AJ111" s="5787"/>
      <c r="AK111" s="5787"/>
      <c r="AL111" s="5787"/>
      <c r="AM111" s="5787"/>
      <c r="AN111" s="5787"/>
      <c r="AO111" s="5787"/>
      <c r="AP111" s="5787"/>
      <c r="AQ111" s="5365"/>
      <c r="AR111" s="5787"/>
      <c r="AS111" s="5787"/>
      <c r="AT111" s="5787"/>
      <c r="AU111" s="5787"/>
      <c r="AV111" s="5787"/>
      <c r="AW111" s="5787"/>
      <c r="AX111" s="5787"/>
      <c r="AY111" s="5787"/>
      <c r="AZ111" s="5787"/>
      <c r="BA111" s="5787"/>
      <c r="BB111" s="5787"/>
      <c r="BC111" s="5787"/>
      <c r="BD111" s="5787"/>
      <c r="BE111" s="5787"/>
      <c r="BF111" s="5787"/>
      <c r="BG111" s="16352"/>
      <c r="BH111" s="16282"/>
      <c r="BI111" s="16366"/>
      <c r="BJ111" s="16367"/>
      <c r="BK111" s="16367"/>
      <c r="BL111" s="16352"/>
      <c r="BM111" s="16352"/>
      <c r="BN111" s="16352"/>
      <c r="BO111" s="16352"/>
      <c r="BP111" s="5365"/>
      <c r="BQ111" s="16352"/>
      <c r="BR111" s="5788"/>
      <c r="BS111" s="5365"/>
      <c r="BT111" s="5365"/>
      <c r="BU111" s="5365"/>
      <c r="BV111" s="5365"/>
      <c r="BW111" s="5787"/>
      <c r="BX111" s="5787"/>
      <c r="BY111" s="5365"/>
      <c r="BZ111" s="5365"/>
      <c r="CA111" s="5787"/>
      <c r="CB111" s="5787"/>
      <c r="CC111" s="5365"/>
      <c r="CD111" s="5787"/>
      <c r="CE111" s="5787"/>
      <c r="CF111" s="5787"/>
      <c r="CG111" s="5787"/>
      <c r="CH111" s="5787"/>
      <c r="CI111" s="5787"/>
      <c r="CJ111" s="5787"/>
      <c r="CK111" s="5365"/>
      <c r="CL111" s="5787"/>
      <c r="CM111" s="5787"/>
      <c r="CN111" s="5787"/>
      <c r="CO111" s="5787"/>
      <c r="CP111" s="5787"/>
      <c r="CQ111" s="5787"/>
      <c r="CR111" s="5787"/>
      <c r="CS111" s="5787"/>
      <c r="CT111" s="5787"/>
      <c r="CU111" s="5787"/>
      <c r="CV111" s="5787"/>
      <c r="CW111" s="5787"/>
      <c r="CX111" s="5787"/>
      <c r="CY111" s="5787"/>
      <c r="CZ111" s="5787"/>
      <c r="DA111" s="5787"/>
      <c r="DB111" s="5787"/>
      <c r="DC111" s="5787"/>
      <c r="DD111" s="5787"/>
      <c r="DE111" s="5787"/>
      <c r="DF111" s="5787"/>
      <c r="DG111" s="5787"/>
      <c r="DH111" s="5787"/>
      <c r="DI111" s="5787"/>
      <c r="DJ111" s="5787"/>
      <c r="DK111" s="5787"/>
      <c r="DL111" s="5787"/>
      <c r="DM111" s="5787"/>
      <c r="DN111" s="5787"/>
      <c r="DO111" s="5787"/>
      <c r="DP111" s="5787"/>
      <c r="DQ111" s="5787"/>
      <c r="DR111" s="5787"/>
      <c r="DS111" s="5787"/>
      <c r="DT111" s="5787"/>
      <c r="DU111" s="5787"/>
      <c r="DV111" s="5787"/>
      <c r="DW111" s="5787"/>
      <c r="DX111" s="5787"/>
      <c r="DY111" s="5787"/>
      <c r="DZ111" s="5787"/>
      <c r="EA111" s="5787"/>
      <c r="EB111" s="5787"/>
      <c r="EC111" s="5787"/>
      <c r="ED111" s="5787"/>
      <c r="EE111" s="5787"/>
      <c r="EF111" s="5787"/>
      <c r="EG111" s="5787"/>
      <c r="EH111" s="5787"/>
      <c r="EI111" s="5787"/>
      <c r="EJ111" s="5787"/>
      <c r="EK111" s="5787"/>
      <c r="EL111" s="5787"/>
      <c r="EM111" s="5787"/>
      <c r="EN111" s="5787"/>
      <c r="EO111" s="5787"/>
      <c r="EP111" s="5787"/>
      <c r="EQ111" s="5787"/>
      <c r="ER111" s="5787"/>
      <c r="ES111" s="5787"/>
      <c r="ET111" s="5787"/>
      <c r="EU111" s="2048"/>
    </row>
    <row r="112" spans="1:151" s="2049" customFormat="1" ht="15" customHeight="1">
      <c r="A112" s="16404"/>
      <c r="B112" s="16406"/>
      <c r="C112" s="16408"/>
      <c r="D112" s="5783"/>
      <c r="E112" s="2762"/>
      <c r="F112" s="16050"/>
      <c r="G112" s="16339"/>
      <c r="H112" s="16050"/>
      <c r="I112" s="16050"/>
      <c r="J112" s="16050"/>
      <c r="K112" s="2762" t="s">
        <v>10066</v>
      </c>
      <c r="L112" s="5362"/>
      <c r="M112" s="5362" t="s">
        <v>2857</v>
      </c>
      <c r="N112" s="5012"/>
      <c r="O112" s="16354"/>
      <c r="P112" s="5010"/>
      <c r="Q112" s="5827"/>
      <c r="R112" s="5784"/>
      <c r="S112" s="5784"/>
      <c r="T112" s="5789"/>
      <c r="U112" s="5786"/>
      <c r="V112" s="16283"/>
      <c r="W112" s="16283"/>
      <c r="X112" s="16283"/>
      <c r="Y112" s="16283"/>
      <c r="Z112" s="16283"/>
      <c r="AA112" s="16283"/>
      <c r="AB112" s="16283"/>
      <c r="AC112" s="16283"/>
      <c r="AD112" s="16283"/>
      <c r="AE112" s="16283"/>
      <c r="AF112" s="16283"/>
      <c r="AG112" s="5787"/>
      <c r="AH112" s="5787"/>
      <c r="AI112" s="5365"/>
      <c r="AJ112" s="5787"/>
      <c r="AK112" s="5787"/>
      <c r="AL112" s="5787"/>
      <c r="AM112" s="5787"/>
      <c r="AN112" s="5787"/>
      <c r="AO112" s="5787"/>
      <c r="AP112" s="5787"/>
      <c r="AQ112" s="5365"/>
      <c r="AR112" s="5787"/>
      <c r="AS112" s="5787"/>
      <c r="AT112" s="5787"/>
      <c r="AU112" s="5787"/>
      <c r="AV112" s="5787"/>
      <c r="AW112" s="5787"/>
      <c r="AX112" s="5787"/>
      <c r="AY112" s="5787"/>
      <c r="AZ112" s="5787"/>
      <c r="BA112" s="5787"/>
      <c r="BB112" s="5787"/>
      <c r="BC112" s="5787"/>
      <c r="BD112" s="5787"/>
      <c r="BE112" s="5787"/>
      <c r="BF112" s="5787"/>
      <c r="BG112" s="16352"/>
      <c r="BH112" s="16282"/>
      <c r="BI112" s="16366"/>
      <c r="BJ112" s="16367"/>
      <c r="BK112" s="16367"/>
      <c r="BL112" s="16352"/>
      <c r="BM112" s="16352"/>
      <c r="BN112" s="16352"/>
      <c r="BO112" s="16352"/>
      <c r="BP112" s="5365"/>
      <c r="BQ112" s="16352"/>
      <c r="BR112" s="5788"/>
      <c r="BS112" s="5365"/>
      <c r="BT112" s="5365"/>
      <c r="BU112" s="5365"/>
      <c r="BV112" s="5365"/>
      <c r="BW112" s="5787"/>
      <c r="BX112" s="5787"/>
      <c r="BY112" s="5365"/>
      <c r="BZ112" s="5365"/>
      <c r="CA112" s="5787"/>
      <c r="CB112" s="5787"/>
      <c r="CC112" s="5365"/>
      <c r="CD112" s="5787"/>
      <c r="CE112" s="5787"/>
      <c r="CF112" s="5787"/>
      <c r="CG112" s="5787"/>
      <c r="CH112" s="5787"/>
      <c r="CI112" s="5787"/>
      <c r="CJ112" s="5787"/>
      <c r="CK112" s="5365"/>
      <c r="CL112" s="5787"/>
      <c r="CM112" s="5787"/>
      <c r="CN112" s="5787"/>
      <c r="CO112" s="5787"/>
      <c r="CP112" s="5787"/>
      <c r="CQ112" s="5787"/>
      <c r="CR112" s="5787"/>
      <c r="CS112" s="5787"/>
      <c r="CT112" s="5787"/>
      <c r="CU112" s="5787"/>
      <c r="CV112" s="5787"/>
      <c r="CW112" s="5787"/>
      <c r="CX112" s="5787"/>
      <c r="CY112" s="5787"/>
      <c r="CZ112" s="5787"/>
      <c r="DA112" s="5787"/>
      <c r="DB112" s="5787"/>
      <c r="DC112" s="5787"/>
      <c r="DD112" s="5787"/>
      <c r="DE112" s="5787"/>
      <c r="DF112" s="5787"/>
      <c r="DG112" s="5787"/>
      <c r="DH112" s="5787"/>
      <c r="DI112" s="5787"/>
      <c r="DJ112" s="5787"/>
      <c r="DK112" s="5787"/>
      <c r="DL112" s="5787"/>
      <c r="DM112" s="5787"/>
      <c r="DN112" s="5787"/>
      <c r="DO112" s="5787"/>
      <c r="DP112" s="5787"/>
      <c r="DQ112" s="5787"/>
      <c r="DR112" s="5787"/>
      <c r="DS112" s="5787"/>
      <c r="DT112" s="5787"/>
      <c r="DU112" s="5787"/>
      <c r="DV112" s="5787"/>
      <c r="DW112" s="5787"/>
      <c r="DX112" s="5787"/>
      <c r="DY112" s="5787"/>
      <c r="DZ112" s="5787"/>
      <c r="EA112" s="5787"/>
      <c r="EB112" s="5787"/>
      <c r="EC112" s="5787"/>
      <c r="ED112" s="5787"/>
      <c r="EE112" s="5787"/>
      <c r="EF112" s="5787"/>
      <c r="EG112" s="5787"/>
      <c r="EH112" s="5787"/>
      <c r="EI112" s="5787"/>
      <c r="EJ112" s="5787"/>
      <c r="EK112" s="5787"/>
      <c r="EL112" s="5787"/>
      <c r="EM112" s="5787"/>
      <c r="EN112" s="5787"/>
      <c r="EO112" s="5787"/>
      <c r="EP112" s="5787"/>
      <c r="EQ112" s="5787"/>
      <c r="ER112" s="5787"/>
      <c r="ES112" s="5787"/>
      <c r="ET112" s="5787"/>
      <c r="EU112" s="2048"/>
    </row>
    <row r="113" spans="1:151" s="2049" customFormat="1" ht="15" customHeight="1">
      <c r="A113" s="16404"/>
      <c r="B113" s="16406"/>
      <c r="C113" s="16408"/>
      <c r="D113" s="5783" t="s">
        <v>2741</v>
      </c>
      <c r="E113" s="2762"/>
      <c r="F113" s="16050"/>
      <c r="G113" s="16339"/>
      <c r="H113" s="16050" t="s">
        <v>4591</v>
      </c>
      <c r="I113" s="16050" t="s">
        <v>2742</v>
      </c>
      <c r="J113" s="16050"/>
      <c r="K113" s="2762" t="s">
        <v>10063</v>
      </c>
      <c r="L113" s="5362" t="s">
        <v>2856</v>
      </c>
      <c r="M113" s="5362"/>
      <c r="N113" s="5012">
        <v>0.8</v>
      </c>
      <c r="O113" s="16354"/>
      <c r="P113" s="16354" t="s">
        <v>3159</v>
      </c>
      <c r="Q113" s="5010" t="s">
        <v>3160</v>
      </c>
      <c r="R113" s="5784">
        <f t="shared" si="1"/>
        <v>27070515.539999999</v>
      </c>
      <c r="S113" s="5784">
        <v>23853377.359999999</v>
      </c>
      <c r="T113" s="5789">
        <v>3217138.18</v>
      </c>
      <c r="U113" s="5786">
        <v>0</v>
      </c>
      <c r="V113" s="16283"/>
      <c r="W113" s="16283"/>
      <c r="X113" s="16283"/>
      <c r="Y113" s="16283"/>
      <c r="Z113" s="16283"/>
      <c r="AA113" s="16283"/>
      <c r="AB113" s="16283"/>
      <c r="AC113" s="16283"/>
      <c r="AD113" s="16283"/>
      <c r="AE113" s="16283"/>
      <c r="AF113" s="16283"/>
      <c r="AG113" s="5787"/>
      <c r="AH113" s="5787"/>
      <c r="AI113" s="5365"/>
      <c r="AJ113" s="5787"/>
      <c r="AK113" s="5787"/>
      <c r="AL113" s="5787"/>
      <c r="AM113" s="5787"/>
      <c r="AN113" s="5787"/>
      <c r="AO113" s="5787"/>
      <c r="AP113" s="5787"/>
      <c r="AQ113" s="5365"/>
      <c r="AR113" s="5787"/>
      <c r="AS113" s="5787"/>
      <c r="AT113" s="5787"/>
      <c r="AU113" s="5787"/>
      <c r="AV113" s="5787"/>
      <c r="AW113" s="5787"/>
      <c r="AX113" s="5787"/>
      <c r="AY113" s="5787"/>
      <c r="AZ113" s="5787"/>
      <c r="BA113" s="5787"/>
      <c r="BB113" s="5787"/>
      <c r="BC113" s="5787"/>
      <c r="BD113" s="5787"/>
      <c r="BE113" s="5787"/>
      <c r="BF113" s="5787"/>
      <c r="BG113" s="16352"/>
      <c r="BH113" s="16282"/>
      <c r="BI113" s="16366"/>
      <c r="BJ113" s="16367"/>
      <c r="BK113" s="16367"/>
      <c r="BL113" s="16352"/>
      <c r="BM113" s="16352"/>
      <c r="BN113" s="16352"/>
      <c r="BO113" s="16352"/>
      <c r="BP113" s="5365"/>
      <c r="BQ113" s="16352"/>
      <c r="BR113" s="5788"/>
      <c r="BS113" s="5365"/>
      <c r="BT113" s="5365"/>
      <c r="BU113" s="5365"/>
      <c r="BV113" s="5365"/>
      <c r="BW113" s="5787"/>
      <c r="BX113" s="5787"/>
      <c r="BY113" s="5365"/>
      <c r="BZ113" s="5365"/>
      <c r="CA113" s="5787"/>
      <c r="CB113" s="5787"/>
      <c r="CC113" s="5365"/>
      <c r="CD113" s="5787"/>
      <c r="CE113" s="5787"/>
      <c r="CF113" s="5787"/>
      <c r="CG113" s="5787"/>
      <c r="CH113" s="5787"/>
      <c r="CI113" s="5787"/>
      <c r="CJ113" s="5787"/>
      <c r="CK113" s="5365"/>
      <c r="CL113" s="5787"/>
      <c r="CM113" s="5787"/>
      <c r="CN113" s="5787"/>
      <c r="CO113" s="5787"/>
      <c r="CP113" s="5787"/>
      <c r="CQ113" s="5787"/>
      <c r="CR113" s="5787"/>
      <c r="CS113" s="5787"/>
      <c r="CT113" s="5787"/>
      <c r="CU113" s="5787"/>
      <c r="CV113" s="5787"/>
      <c r="CW113" s="5787"/>
      <c r="CX113" s="5787"/>
      <c r="CY113" s="5787"/>
      <c r="CZ113" s="5787"/>
      <c r="DA113" s="5787"/>
      <c r="DB113" s="5787"/>
      <c r="DC113" s="5787"/>
      <c r="DD113" s="5787"/>
      <c r="DE113" s="5787"/>
      <c r="DF113" s="5787"/>
      <c r="DG113" s="5787"/>
      <c r="DH113" s="5787"/>
      <c r="DI113" s="5787"/>
      <c r="DJ113" s="5787"/>
      <c r="DK113" s="5787"/>
      <c r="DL113" s="5787"/>
      <c r="DM113" s="5787"/>
      <c r="DN113" s="5787"/>
      <c r="DO113" s="5787"/>
      <c r="DP113" s="5787"/>
      <c r="DQ113" s="5787"/>
      <c r="DR113" s="5787"/>
      <c r="DS113" s="5787"/>
      <c r="DT113" s="5787"/>
      <c r="DU113" s="5787"/>
      <c r="DV113" s="5787"/>
      <c r="DW113" s="5787"/>
      <c r="DX113" s="5787"/>
      <c r="DY113" s="5787"/>
      <c r="DZ113" s="5787"/>
      <c r="EA113" s="5787"/>
      <c r="EB113" s="5787"/>
      <c r="EC113" s="5787"/>
      <c r="ED113" s="5787"/>
      <c r="EE113" s="5787"/>
      <c r="EF113" s="5787"/>
      <c r="EG113" s="5787"/>
      <c r="EH113" s="5787"/>
      <c r="EI113" s="5787"/>
      <c r="EJ113" s="5787"/>
      <c r="EK113" s="5787"/>
      <c r="EL113" s="5787"/>
      <c r="EM113" s="5787"/>
      <c r="EN113" s="5787"/>
      <c r="EO113" s="5787"/>
      <c r="EP113" s="5787"/>
      <c r="EQ113" s="5787"/>
      <c r="ER113" s="5787"/>
      <c r="ES113" s="5787"/>
      <c r="ET113" s="5787"/>
      <c r="EU113" s="2048"/>
    </row>
    <row r="114" spans="1:151" s="2049" customFormat="1" ht="15" customHeight="1">
      <c r="A114" s="16404"/>
      <c r="B114" s="16406"/>
      <c r="C114" s="16408"/>
      <c r="D114" s="5783"/>
      <c r="E114" s="2762"/>
      <c r="F114" s="16050"/>
      <c r="G114" s="16339"/>
      <c r="H114" s="16050"/>
      <c r="I114" s="16050"/>
      <c r="J114" s="16050"/>
      <c r="K114" s="2762" t="s">
        <v>10066</v>
      </c>
      <c r="L114" s="5362"/>
      <c r="M114" s="5362" t="s">
        <v>2857</v>
      </c>
      <c r="N114" s="5012"/>
      <c r="O114" s="16354"/>
      <c r="P114" s="16354"/>
      <c r="Q114" s="5010"/>
      <c r="R114" s="5784"/>
      <c r="S114" s="5784"/>
      <c r="T114" s="5789"/>
      <c r="U114" s="5786"/>
      <c r="V114" s="16283"/>
      <c r="W114" s="16283"/>
      <c r="X114" s="16283"/>
      <c r="Y114" s="16283"/>
      <c r="Z114" s="16283"/>
      <c r="AA114" s="16283"/>
      <c r="AB114" s="16283"/>
      <c r="AC114" s="16283"/>
      <c r="AD114" s="16283"/>
      <c r="AE114" s="16283"/>
      <c r="AF114" s="16283"/>
      <c r="AG114" s="5787"/>
      <c r="AH114" s="5787"/>
      <c r="AI114" s="5365"/>
      <c r="AJ114" s="5787"/>
      <c r="AK114" s="5787"/>
      <c r="AL114" s="5787"/>
      <c r="AM114" s="5787"/>
      <c r="AN114" s="5787"/>
      <c r="AO114" s="5787"/>
      <c r="AP114" s="5787"/>
      <c r="AQ114" s="5365"/>
      <c r="AR114" s="5787"/>
      <c r="AS114" s="5787"/>
      <c r="AT114" s="5787"/>
      <c r="AU114" s="5787"/>
      <c r="AV114" s="5787"/>
      <c r="AW114" s="5787"/>
      <c r="AX114" s="5787"/>
      <c r="AY114" s="5787"/>
      <c r="AZ114" s="5787"/>
      <c r="BA114" s="5787"/>
      <c r="BB114" s="5787"/>
      <c r="BC114" s="5787"/>
      <c r="BD114" s="5787"/>
      <c r="BE114" s="5787"/>
      <c r="BF114" s="5787"/>
      <c r="BG114" s="16352"/>
      <c r="BH114" s="16282"/>
      <c r="BI114" s="16366"/>
      <c r="BJ114" s="16367"/>
      <c r="BK114" s="16367"/>
      <c r="BL114" s="16352"/>
      <c r="BM114" s="16352"/>
      <c r="BN114" s="16352"/>
      <c r="BO114" s="16352"/>
      <c r="BP114" s="5365"/>
      <c r="BQ114" s="16352"/>
      <c r="BR114" s="5788"/>
      <c r="BS114" s="5365"/>
      <c r="BT114" s="5365"/>
      <c r="BU114" s="5365"/>
      <c r="BV114" s="5365"/>
      <c r="BW114" s="5787"/>
      <c r="BX114" s="5787"/>
      <c r="BY114" s="5365"/>
      <c r="BZ114" s="5365"/>
      <c r="CA114" s="5787"/>
      <c r="CB114" s="5787"/>
      <c r="CC114" s="5365"/>
      <c r="CD114" s="5787"/>
      <c r="CE114" s="5787"/>
      <c r="CF114" s="5787"/>
      <c r="CG114" s="5787"/>
      <c r="CH114" s="5787"/>
      <c r="CI114" s="5787"/>
      <c r="CJ114" s="5787"/>
      <c r="CK114" s="5365"/>
      <c r="CL114" s="5787"/>
      <c r="CM114" s="5787"/>
      <c r="CN114" s="5787"/>
      <c r="CO114" s="5787"/>
      <c r="CP114" s="5787"/>
      <c r="CQ114" s="5787"/>
      <c r="CR114" s="5787"/>
      <c r="CS114" s="5787"/>
      <c r="CT114" s="5787"/>
      <c r="CU114" s="5787"/>
      <c r="CV114" s="5787"/>
      <c r="CW114" s="5787"/>
      <c r="CX114" s="5787"/>
      <c r="CY114" s="5787"/>
      <c r="CZ114" s="5787"/>
      <c r="DA114" s="5787"/>
      <c r="DB114" s="5787"/>
      <c r="DC114" s="5787"/>
      <c r="DD114" s="5787"/>
      <c r="DE114" s="5787"/>
      <c r="DF114" s="5787"/>
      <c r="DG114" s="5787"/>
      <c r="DH114" s="5787"/>
      <c r="DI114" s="5787"/>
      <c r="DJ114" s="5787"/>
      <c r="DK114" s="5787"/>
      <c r="DL114" s="5787"/>
      <c r="DM114" s="5787"/>
      <c r="DN114" s="5787"/>
      <c r="DO114" s="5787"/>
      <c r="DP114" s="5787"/>
      <c r="DQ114" s="5787"/>
      <c r="DR114" s="5787"/>
      <c r="DS114" s="5787"/>
      <c r="DT114" s="5787"/>
      <c r="DU114" s="5787"/>
      <c r="DV114" s="5787"/>
      <c r="DW114" s="5787"/>
      <c r="DX114" s="5787"/>
      <c r="DY114" s="5787"/>
      <c r="DZ114" s="5787"/>
      <c r="EA114" s="5787"/>
      <c r="EB114" s="5787"/>
      <c r="EC114" s="5787"/>
      <c r="ED114" s="5787"/>
      <c r="EE114" s="5787"/>
      <c r="EF114" s="5787"/>
      <c r="EG114" s="5787"/>
      <c r="EH114" s="5787"/>
      <c r="EI114" s="5787"/>
      <c r="EJ114" s="5787"/>
      <c r="EK114" s="5787"/>
      <c r="EL114" s="5787"/>
      <c r="EM114" s="5787"/>
      <c r="EN114" s="5787"/>
      <c r="EO114" s="5787"/>
      <c r="EP114" s="5787"/>
      <c r="EQ114" s="5787"/>
      <c r="ER114" s="5787"/>
      <c r="ES114" s="5787"/>
      <c r="ET114" s="5787"/>
      <c r="EU114" s="2048"/>
    </row>
    <row r="115" spans="1:151" s="2049" customFormat="1" ht="15" customHeight="1">
      <c r="A115" s="16404"/>
      <c r="B115" s="16406"/>
      <c r="C115" s="16408"/>
      <c r="D115" s="5783" t="s">
        <v>2743</v>
      </c>
      <c r="E115" s="2762"/>
      <c r="F115" s="16050"/>
      <c r="G115" s="16339"/>
      <c r="H115" s="16050" t="s">
        <v>4592</v>
      </c>
      <c r="I115" s="16050" t="s">
        <v>2744</v>
      </c>
      <c r="J115" s="16050"/>
      <c r="K115" s="2762" t="s">
        <v>10063</v>
      </c>
      <c r="L115" s="5828" t="s">
        <v>2856</v>
      </c>
      <c r="M115" s="5828"/>
      <c r="N115" s="5829">
        <v>0.7</v>
      </c>
      <c r="O115" s="16354"/>
      <c r="P115" s="16354"/>
      <c r="Q115" s="5826" t="s">
        <v>3161</v>
      </c>
      <c r="R115" s="5784">
        <f t="shared" si="1"/>
        <v>27070515.539999999</v>
      </c>
      <c r="S115" s="5784">
        <v>23853377.359999999</v>
      </c>
      <c r="T115" s="5789">
        <v>3217138.18</v>
      </c>
      <c r="U115" s="5786">
        <v>0</v>
      </c>
      <c r="V115" s="16283"/>
      <c r="W115" s="16283"/>
      <c r="X115" s="16283"/>
      <c r="Y115" s="16283"/>
      <c r="Z115" s="16283"/>
      <c r="AA115" s="16283"/>
      <c r="AB115" s="16283"/>
      <c r="AC115" s="16283"/>
      <c r="AD115" s="16283"/>
      <c r="AE115" s="16283"/>
      <c r="AF115" s="16283"/>
      <c r="AG115" s="5787"/>
      <c r="AH115" s="5787"/>
      <c r="AI115" s="5365"/>
      <c r="AJ115" s="5787"/>
      <c r="AK115" s="5787"/>
      <c r="AL115" s="5787"/>
      <c r="AM115" s="5787"/>
      <c r="AN115" s="5787"/>
      <c r="AO115" s="5787"/>
      <c r="AP115" s="5787"/>
      <c r="AQ115" s="5365"/>
      <c r="AR115" s="5787"/>
      <c r="AS115" s="5787"/>
      <c r="AT115" s="5787"/>
      <c r="AU115" s="5787"/>
      <c r="AV115" s="5787"/>
      <c r="AW115" s="5787"/>
      <c r="AX115" s="5787"/>
      <c r="AY115" s="5787"/>
      <c r="AZ115" s="5787"/>
      <c r="BA115" s="5787"/>
      <c r="BB115" s="5787"/>
      <c r="BC115" s="5787"/>
      <c r="BD115" s="5787"/>
      <c r="BE115" s="5787"/>
      <c r="BF115" s="5787"/>
      <c r="BG115" s="16352"/>
      <c r="BH115" s="16282"/>
      <c r="BI115" s="16366"/>
      <c r="BJ115" s="16367"/>
      <c r="BK115" s="16367"/>
      <c r="BL115" s="16352"/>
      <c r="BM115" s="16352"/>
      <c r="BN115" s="16352"/>
      <c r="BO115" s="16352"/>
      <c r="BP115" s="5365"/>
      <c r="BQ115" s="16352"/>
      <c r="BR115" s="5788"/>
      <c r="BS115" s="5365"/>
      <c r="BT115" s="5365"/>
      <c r="BU115" s="5365"/>
      <c r="BV115" s="5365"/>
      <c r="BW115" s="5787"/>
      <c r="BX115" s="5787"/>
      <c r="BY115" s="5365"/>
      <c r="BZ115" s="5365"/>
      <c r="CA115" s="5787"/>
      <c r="CB115" s="5787"/>
      <c r="CC115" s="5365"/>
      <c r="CD115" s="5787"/>
      <c r="CE115" s="5787"/>
      <c r="CF115" s="5787"/>
      <c r="CG115" s="5787"/>
      <c r="CH115" s="5787"/>
      <c r="CI115" s="5787"/>
      <c r="CJ115" s="5787"/>
      <c r="CK115" s="5365"/>
      <c r="CL115" s="5787"/>
      <c r="CM115" s="5787"/>
      <c r="CN115" s="5787"/>
      <c r="CO115" s="5787"/>
      <c r="CP115" s="5787"/>
      <c r="CQ115" s="5787"/>
      <c r="CR115" s="5787"/>
      <c r="CS115" s="5787"/>
      <c r="CT115" s="5787"/>
      <c r="CU115" s="5787"/>
      <c r="CV115" s="5787"/>
      <c r="CW115" s="5787"/>
      <c r="CX115" s="5787"/>
      <c r="CY115" s="5787"/>
      <c r="CZ115" s="5787"/>
      <c r="DA115" s="5787"/>
      <c r="DB115" s="5787"/>
      <c r="DC115" s="5787"/>
      <c r="DD115" s="5787"/>
      <c r="DE115" s="5787"/>
      <c r="DF115" s="5787"/>
      <c r="DG115" s="5787"/>
      <c r="DH115" s="5787"/>
      <c r="DI115" s="5787"/>
      <c r="DJ115" s="5787"/>
      <c r="DK115" s="5787"/>
      <c r="DL115" s="5787"/>
      <c r="DM115" s="5787"/>
      <c r="DN115" s="5787"/>
      <c r="DO115" s="5787"/>
      <c r="DP115" s="5787"/>
      <c r="DQ115" s="5787"/>
      <c r="DR115" s="5787"/>
      <c r="DS115" s="5787"/>
      <c r="DT115" s="5787"/>
      <c r="DU115" s="5787"/>
      <c r="DV115" s="5787"/>
      <c r="DW115" s="5787"/>
      <c r="DX115" s="5787"/>
      <c r="DY115" s="5787"/>
      <c r="DZ115" s="5787"/>
      <c r="EA115" s="5787"/>
      <c r="EB115" s="5787"/>
      <c r="EC115" s="5787"/>
      <c r="ED115" s="5787"/>
      <c r="EE115" s="5787"/>
      <c r="EF115" s="5787"/>
      <c r="EG115" s="5787"/>
      <c r="EH115" s="5787"/>
      <c r="EI115" s="5787"/>
      <c r="EJ115" s="5787"/>
      <c r="EK115" s="5787"/>
      <c r="EL115" s="5787"/>
      <c r="EM115" s="5787"/>
      <c r="EN115" s="5787"/>
      <c r="EO115" s="5787"/>
      <c r="EP115" s="5787"/>
      <c r="EQ115" s="5787"/>
      <c r="ER115" s="5787"/>
      <c r="ES115" s="5787"/>
      <c r="ET115" s="5787"/>
      <c r="EU115" s="2048"/>
    </row>
    <row r="116" spans="1:151" s="2049" customFormat="1" ht="15" customHeight="1" thickBot="1">
      <c r="A116" s="16405"/>
      <c r="B116" s="16407"/>
      <c r="C116" s="16409"/>
      <c r="D116" s="5952" t="s">
        <v>2745</v>
      </c>
      <c r="E116" s="5953"/>
      <c r="F116" s="16228"/>
      <c r="G116" s="16340"/>
      <c r="H116" s="16228"/>
      <c r="I116" s="16228"/>
      <c r="J116" s="16228"/>
      <c r="K116" s="5953" t="s">
        <v>10066</v>
      </c>
      <c r="L116" s="5954"/>
      <c r="M116" s="5954" t="s">
        <v>2857</v>
      </c>
      <c r="N116" s="5014">
        <v>0.8</v>
      </c>
      <c r="O116" s="5955" t="s">
        <v>3162</v>
      </c>
      <c r="P116" s="5955" t="s">
        <v>3163</v>
      </c>
      <c r="Q116" s="5013" t="s">
        <v>545</v>
      </c>
      <c r="R116" s="5956">
        <f t="shared" si="1"/>
        <v>27070515.539999999</v>
      </c>
      <c r="S116" s="5956">
        <v>23853377.359999999</v>
      </c>
      <c r="T116" s="5957">
        <v>3217138.18</v>
      </c>
      <c r="U116" s="5958">
        <v>0</v>
      </c>
      <c r="V116" s="16284"/>
      <c r="W116" s="16284"/>
      <c r="X116" s="16284"/>
      <c r="Y116" s="16284"/>
      <c r="Z116" s="16284"/>
      <c r="AA116" s="16284"/>
      <c r="AB116" s="16284"/>
      <c r="AC116" s="16284"/>
      <c r="AD116" s="16284"/>
      <c r="AE116" s="16284"/>
      <c r="AF116" s="16284"/>
      <c r="AG116" s="5959"/>
      <c r="AH116" s="5959"/>
      <c r="AI116" s="5423"/>
      <c r="AJ116" s="5959"/>
      <c r="AK116" s="5959"/>
      <c r="AL116" s="5959"/>
      <c r="AM116" s="5959"/>
      <c r="AN116" s="5959"/>
      <c r="AO116" s="5959"/>
      <c r="AP116" s="5959"/>
      <c r="AQ116" s="5423"/>
      <c r="AR116" s="5959"/>
      <c r="AS116" s="5959"/>
      <c r="AT116" s="5959"/>
      <c r="AU116" s="5959"/>
      <c r="AV116" s="5959"/>
      <c r="AW116" s="5959"/>
      <c r="AX116" s="5959"/>
      <c r="AY116" s="5959"/>
      <c r="AZ116" s="5959"/>
      <c r="BA116" s="5959"/>
      <c r="BB116" s="5959"/>
      <c r="BC116" s="5959"/>
      <c r="BD116" s="5959"/>
      <c r="BE116" s="5959"/>
      <c r="BF116" s="5959"/>
      <c r="BG116" s="5423">
        <v>7347.48</v>
      </c>
      <c r="BH116" s="5960">
        <v>1</v>
      </c>
      <c r="BI116" s="5961" t="s">
        <v>9166</v>
      </c>
      <c r="BJ116" s="5962" t="s">
        <v>3163</v>
      </c>
      <c r="BK116" s="5963" t="s">
        <v>9167</v>
      </c>
      <c r="BL116" s="16353"/>
      <c r="BM116" s="16353"/>
      <c r="BN116" s="16353"/>
      <c r="BO116" s="16353"/>
      <c r="BP116" s="5423"/>
      <c r="BQ116" s="5422" t="s">
        <v>9168</v>
      </c>
      <c r="BR116" s="5964"/>
      <c r="BS116" s="5423"/>
      <c r="BT116" s="5423"/>
      <c r="BU116" s="5423"/>
      <c r="BV116" s="5423"/>
      <c r="BW116" s="5959"/>
      <c r="BX116" s="5959"/>
      <c r="BY116" s="5423"/>
      <c r="BZ116" s="5423"/>
      <c r="CA116" s="5959"/>
      <c r="CB116" s="5959"/>
      <c r="CC116" s="5423"/>
      <c r="CD116" s="5959"/>
      <c r="CE116" s="5959"/>
      <c r="CF116" s="5959"/>
      <c r="CG116" s="5959"/>
      <c r="CH116" s="5959"/>
      <c r="CI116" s="5959"/>
      <c r="CJ116" s="5959"/>
      <c r="CK116" s="5423"/>
      <c r="CL116" s="5959"/>
      <c r="CM116" s="5959"/>
      <c r="CN116" s="5959"/>
      <c r="CO116" s="5959"/>
      <c r="CP116" s="5959"/>
      <c r="CQ116" s="5959"/>
      <c r="CR116" s="5959"/>
      <c r="CS116" s="5959"/>
      <c r="CT116" s="5959"/>
      <c r="CU116" s="5959"/>
      <c r="CV116" s="5959"/>
      <c r="CW116" s="5959"/>
      <c r="CX116" s="5959"/>
      <c r="CY116" s="5959"/>
      <c r="CZ116" s="5959"/>
      <c r="DA116" s="5959"/>
      <c r="DB116" s="5959"/>
      <c r="DC116" s="5959"/>
      <c r="DD116" s="5959"/>
      <c r="DE116" s="5959"/>
      <c r="DF116" s="5959"/>
      <c r="DG116" s="5959"/>
      <c r="DH116" s="5959"/>
      <c r="DI116" s="5959"/>
      <c r="DJ116" s="5959"/>
      <c r="DK116" s="5959"/>
      <c r="DL116" s="5959"/>
      <c r="DM116" s="5959"/>
      <c r="DN116" s="5959"/>
      <c r="DO116" s="5959"/>
      <c r="DP116" s="5959"/>
      <c r="DQ116" s="5959"/>
      <c r="DR116" s="5959"/>
      <c r="DS116" s="5959"/>
      <c r="DT116" s="5959"/>
      <c r="DU116" s="5959"/>
      <c r="DV116" s="5959"/>
      <c r="DW116" s="5959"/>
      <c r="DX116" s="5959"/>
      <c r="DY116" s="5959"/>
      <c r="DZ116" s="5959"/>
      <c r="EA116" s="5959"/>
      <c r="EB116" s="5959"/>
      <c r="EC116" s="5959"/>
      <c r="ED116" s="5959"/>
      <c r="EE116" s="5959"/>
      <c r="EF116" s="5959"/>
      <c r="EG116" s="5959"/>
      <c r="EH116" s="5959"/>
      <c r="EI116" s="5959"/>
      <c r="EJ116" s="5959"/>
      <c r="EK116" s="5959"/>
      <c r="EL116" s="5959"/>
      <c r="EM116" s="5959"/>
      <c r="EN116" s="5959"/>
      <c r="EO116" s="5959"/>
      <c r="EP116" s="5959"/>
      <c r="EQ116" s="5959"/>
      <c r="ER116" s="5959"/>
      <c r="ES116" s="5959"/>
      <c r="ET116" s="5959"/>
      <c r="EU116" s="5965"/>
    </row>
    <row r="117" spans="1:151" s="2036" customFormat="1" ht="15" customHeight="1">
      <c r="A117" s="16356" t="s">
        <v>2637</v>
      </c>
      <c r="B117" s="16359" t="s">
        <v>2723</v>
      </c>
      <c r="C117" s="16362" t="s">
        <v>2747</v>
      </c>
      <c r="D117" s="16364" t="s">
        <v>2748</v>
      </c>
      <c r="E117" s="16229" t="s">
        <v>2749</v>
      </c>
      <c r="F117" s="16229" t="s">
        <v>2750</v>
      </c>
      <c r="G117" s="16229" t="s">
        <v>2751</v>
      </c>
      <c r="H117" s="16229" t="s">
        <v>4593</v>
      </c>
      <c r="I117" s="16229" t="s">
        <v>2752</v>
      </c>
      <c r="J117" s="16229" t="s">
        <v>2750</v>
      </c>
      <c r="K117" s="2035" t="s">
        <v>10063</v>
      </c>
      <c r="L117" s="5742" t="s">
        <v>2856</v>
      </c>
      <c r="M117" s="5742"/>
      <c r="N117" s="4662">
        <v>1</v>
      </c>
      <c r="O117" s="16368" t="s">
        <v>3164</v>
      </c>
      <c r="P117" s="5946" t="s">
        <v>3165</v>
      </c>
      <c r="Q117" s="1877" t="s">
        <v>3166</v>
      </c>
      <c r="R117" s="5947">
        <f>S117+T117+U117</f>
        <v>125554982.34</v>
      </c>
      <c r="S117" s="5947">
        <v>27405935.670000002</v>
      </c>
      <c r="T117" s="5948">
        <v>98149046.670000002</v>
      </c>
      <c r="U117" s="5949">
        <v>0</v>
      </c>
      <c r="V117" s="1984">
        <v>424</v>
      </c>
      <c r="W117" s="1878"/>
      <c r="X117" s="1878"/>
      <c r="Y117" s="1878"/>
      <c r="Z117" s="1878"/>
      <c r="AA117" s="1878"/>
      <c r="AB117" s="1878"/>
      <c r="AC117" s="4860">
        <v>424</v>
      </c>
      <c r="AD117" s="1878"/>
      <c r="AE117" s="1878"/>
      <c r="AF117" s="1878"/>
      <c r="AG117" s="1878"/>
      <c r="AH117" s="1878"/>
      <c r="AI117" s="1878"/>
      <c r="AJ117" s="1878"/>
      <c r="AK117" s="1878"/>
      <c r="AL117" s="1878"/>
      <c r="AM117" s="1878"/>
      <c r="AN117" s="1878"/>
      <c r="AO117" s="1878"/>
      <c r="AP117" s="4860">
        <v>424</v>
      </c>
      <c r="AQ117" s="1878"/>
      <c r="AR117" s="1878"/>
      <c r="AS117" s="1878"/>
      <c r="AT117" s="1878"/>
      <c r="AU117" s="1878"/>
      <c r="AV117" s="5950" t="s">
        <v>208</v>
      </c>
      <c r="AW117" s="1878"/>
      <c r="AX117" s="1878"/>
      <c r="AY117" s="1878"/>
      <c r="AZ117" s="1878"/>
      <c r="BA117" s="1878"/>
      <c r="BB117" s="2032"/>
      <c r="BC117" s="2032"/>
      <c r="BD117" s="2032"/>
      <c r="BE117" s="2032"/>
      <c r="BF117" s="2032"/>
      <c r="BG117" s="5143">
        <v>60</v>
      </c>
      <c r="BH117" s="5951">
        <v>1</v>
      </c>
      <c r="BI117" s="16375" t="s">
        <v>9169</v>
      </c>
      <c r="BJ117" s="16229" t="s">
        <v>9170</v>
      </c>
      <c r="BK117" s="16369"/>
      <c r="BL117" s="16372" t="s">
        <v>9171</v>
      </c>
      <c r="BM117" s="16372" t="s">
        <v>9172</v>
      </c>
      <c r="BN117" s="16372" t="s">
        <v>9173</v>
      </c>
      <c r="BO117" s="16372" t="s">
        <v>9068</v>
      </c>
      <c r="BP117" s="5143"/>
      <c r="BQ117" s="16372"/>
      <c r="BR117" s="5142"/>
      <c r="BS117" s="5143"/>
      <c r="BT117" s="5143"/>
      <c r="BU117" s="5143"/>
      <c r="BV117" s="5143"/>
      <c r="BW117" s="2032"/>
      <c r="BX117" s="2032"/>
      <c r="BY117" s="5143"/>
      <c r="BZ117" s="5143"/>
      <c r="CA117" s="2032"/>
      <c r="CB117" s="2032"/>
      <c r="CC117" s="5143"/>
      <c r="CD117" s="2032"/>
      <c r="CE117" s="2032"/>
      <c r="CF117" s="2032"/>
      <c r="CG117" s="2032"/>
      <c r="CH117" s="2032"/>
      <c r="CI117" s="2032"/>
      <c r="CJ117" s="2032"/>
      <c r="CK117" s="5143"/>
      <c r="CL117" s="2032"/>
      <c r="CM117" s="2032"/>
      <c r="CN117" s="2032"/>
      <c r="CO117" s="2032"/>
      <c r="CP117" s="2032"/>
      <c r="CQ117" s="2032"/>
      <c r="CR117" s="2032"/>
      <c r="CS117" s="2032"/>
      <c r="CT117" s="2032"/>
      <c r="CU117" s="2032"/>
      <c r="CV117" s="2032"/>
      <c r="CW117" s="2032"/>
      <c r="CX117" s="2032"/>
      <c r="CY117" s="2032"/>
      <c r="CZ117" s="2032"/>
      <c r="DA117" s="2032"/>
      <c r="DB117" s="2032"/>
      <c r="DC117" s="2032"/>
      <c r="DD117" s="2032"/>
      <c r="DE117" s="2032"/>
      <c r="DF117" s="2032"/>
      <c r="DG117" s="2032"/>
      <c r="DH117" s="2032"/>
      <c r="DI117" s="2032"/>
      <c r="DJ117" s="2032"/>
      <c r="DK117" s="2032"/>
      <c r="DL117" s="2032"/>
      <c r="DM117" s="2032"/>
      <c r="DN117" s="2032"/>
      <c r="DO117" s="2032"/>
      <c r="DP117" s="2032"/>
      <c r="DQ117" s="2032"/>
      <c r="DR117" s="2032"/>
      <c r="DS117" s="2032"/>
      <c r="DT117" s="2032"/>
      <c r="DU117" s="2032"/>
      <c r="DV117" s="2032"/>
      <c r="DW117" s="2032"/>
      <c r="DX117" s="2032"/>
      <c r="DY117" s="2032"/>
      <c r="DZ117" s="2032"/>
      <c r="EA117" s="2032"/>
      <c r="EB117" s="2032"/>
      <c r="EC117" s="2032"/>
      <c r="ED117" s="2032"/>
      <c r="EE117" s="2032"/>
      <c r="EF117" s="2032"/>
      <c r="EG117" s="2032"/>
      <c r="EH117" s="2032"/>
      <c r="EI117" s="2032"/>
      <c r="EJ117" s="2032"/>
      <c r="EK117" s="2032"/>
      <c r="EL117" s="2032"/>
      <c r="EM117" s="2032"/>
      <c r="EN117" s="2032"/>
      <c r="EO117" s="2032"/>
      <c r="EP117" s="2032"/>
      <c r="EQ117" s="2032"/>
      <c r="ER117" s="2032"/>
      <c r="ES117" s="2032"/>
      <c r="ET117" s="2032"/>
      <c r="EU117" s="2033"/>
    </row>
    <row r="118" spans="1:151" s="2036" customFormat="1" ht="15" customHeight="1">
      <c r="A118" s="16357"/>
      <c r="B118" s="16360"/>
      <c r="C118" s="16280"/>
      <c r="D118" s="16365"/>
      <c r="E118" s="16230"/>
      <c r="F118" s="16230"/>
      <c r="G118" s="16230"/>
      <c r="H118" s="16230"/>
      <c r="I118" s="16230"/>
      <c r="J118" s="16230"/>
      <c r="K118" s="2773" t="s">
        <v>208</v>
      </c>
      <c r="L118" s="2774"/>
      <c r="M118" s="2774" t="s">
        <v>208</v>
      </c>
      <c r="N118" s="5090"/>
      <c r="O118" s="15897"/>
      <c r="P118" s="4244"/>
      <c r="Q118" s="3947"/>
      <c r="R118" s="5790"/>
      <c r="S118" s="5790"/>
      <c r="T118" s="5791"/>
      <c r="U118" s="4215"/>
      <c r="V118" s="3953"/>
      <c r="W118" s="3951"/>
      <c r="X118" s="3951"/>
      <c r="Y118" s="3951"/>
      <c r="Z118" s="3951"/>
      <c r="AA118" s="3951"/>
      <c r="AB118" s="3951"/>
      <c r="AC118" s="3948"/>
      <c r="AD118" s="3951"/>
      <c r="AE118" s="3951"/>
      <c r="AF118" s="3951"/>
      <c r="AG118" s="3951"/>
      <c r="AH118" s="3951"/>
      <c r="AI118" s="3951"/>
      <c r="AJ118" s="3951"/>
      <c r="AK118" s="3951"/>
      <c r="AL118" s="3951"/>
      <c r="AM118" s="3951"/>
      <c r="AN118" s="3951"/>
      <c r="AO118" s="3951"/>
      <c r="AP118" s="3948"/>
      <c r="AQ118" s="3951"/>
      <c r="AR118" s="3951"/>
      <c r="AS118" s="3951"/>
      <c r="AT118" s="3951"/>
      <c r="AU118" s="3951"/>
      <c r="AV118" s="5792"/>
      <c r="AW118" s="3951"/>
      <c r="AX118" s="3951"/>
      <c r="AY118" s="3951"/>
      <c r="AZ118" s="3951"/>
      <c r="BA118" s="3951"/>
      <c r="BB118" s="5737"/>
      <c r="BC118" s="5737"/>
      <c r="BD118" s="5737"/>
      <c r="BE118" s="5737"/>
      <c r="BF118" s="5737"/>
      <c r="BG118" s="5182"/>
      <c r="BH118" s="5275"/>
      <c r="BI118" s="16376"/>
      <c r="BJ118" s="16230"/>
      <c r="BK118" s="16370"/>
      <c r="BL118" s="16373"/>
      <c r="BM118" s="16373"/>
      <c r="BN118" s="16373"/>
      <c r="BO118" s="16373"/>
      <c r="BP118" s="5182"/>
      <c r="BQ118" s="16373"/>
      <c r="BR118" s="5739"/>
      <c r="BS118" s="5182"/>
      <c r="BT118" s="5182"/>
      <c r="BU118" s="5182"/>
      <c r="BV118" s="5182"/>
      <c r="BW118" s="5737"/>
      <c r="BX118" s="5737"/>
      <c r="BY118" s="5182"/>
      <c r="BZ118" s="5182"/>
      <c r="CA118" s="5737"/>
      <c r="CB118" s="5737"/>
      <c r="CC118" s="5182"/>
      <c r="CD118" s="5737"/>
      <c r="CE118" s="5737"/>
      <c r="CF118" s="5737"/>
      <c r="CG118" s="5737"/>
      <c r="CH118" s="5737"/>
      <c r="CI118" s="5737"/>
      <c r="CJ118" s="5737"/>
      <c r="CK118" s="5182"/>
      <c r="CL118" s="5737"/>
      <c r="CM118" s="5737"/>
      <c r="CN118" s="5737"/>
      <c r="CO118" s="5737"/>
      <c r="CP118" s="5737"/>
      <c r="CQ118" s="5737"/>
      <c r="CR118" s="5737"/>
      <c r="CS118" s="5737"/>
      <c r="CT118" s="5737"/>
      <c r="CU118" s="5737"/>
      <c r="CV118" s="5737"/>
      <c r="CW118" s="5737"/>
      <c r="CX118" s="5737"/>
      <c r="CY118" s="5737"/>
      <c r="CZ118" s="5737"/>
      <c r="DA118" s="5737"/>
      <c r="DB118" s="5737"/>
      <c r="DC118" s="5737"/>
      <c r="DD118" s="5737"/>
      <c r="DE118" s="5737"/>
      <c r="DF118" s="5737"/>
      <c r="DG118" s="5737"/>
      <c r="DH118" s="5737"/>
      <c r="DI118" s="5737"/>
      <c r="DJ118" s="5737"/>
      <c r="DK118" s="5737"/>
      <c r="DL118" s="5737"/>
      <c r="DM118" s="5737"/>
      <c r="DN118" s="5737"/>
      <c r="DO118" s="5737"/>
      <c r="DP118" s="5737"/>
      <c r="DQ118" s="5737"/>
      <c r="DR118" s="5737"/>
      <c r="DS118" s="5737"/>
      <c r="DT118" s="5737"/>
      <c r="DU118" s="5737"/>
      <c r="DV118" s="5737"/>
      <c r="DW118" s="5737"/>
      <c r="DX118" s="5737"/>
      <c r="DY118" s="5737"/>
      <c r="DZ118" s="5737"/>
      <c r="EA118" s="5737"/>
      <c r="EB118" s="5737"/>
      <c r="EC118" s="5737"/>
      <c r="ED118" s="5737"/>
      <c r="EE118" s="5737"/>
      <c r="EF118" s="5737"/>
      <c r="EG118" s="5737"/>
      <c r="EH118" s="5737"/>
      <c r="EI118" s="5737"/>
      <c r="EJ118" s="5737"/>
      <c r="EK118" s="5737"/>
      <c r="EL118" s="5737"/>
      <c r="EM118" s="5737"/>
      <c r="EN118" s="5737"/>
      <c r="EO118" s="5737"/>
      <c r="EP118" s="5737"/>
      <c r="EQ118" s="5737"/>
      <c r="ER118" s="5737"/>
      <c r="ES118" s="5737"/>
      <c r="ET118" s="5737"/>
      <c r="EU118" s="2037"/>
    </row>
    <row r="119" spans="1:151" s="2036" customFormat="1" ht="15" customHeight="1">
      <c r="A119" s="16357"/>
      <c r="B119" s="16360"/>
      <c r="C119" s="16280"/>
      <c r="D119" s="16365"/>
      <c r="E119" s="16230"/>
      <c r="F119" s="16230"/>
      <c r="G119" s="16230"/>
      <c r="H119" s="16230" t="s">
        <v>4594</v>
      </c>
      <c r="I119" s="16230" t="s">
        <v>4595</v>
      </c>
      <c r="J119" s="16230"/>
      <c r="K119" s="2775" t="s">
        <v>10063</v>
      </c>
      <c r="L119" s="2774" t="s">
        <v>2856</v>
      </c>
      <c r="M119" s="2774"/>
      <c r="N119" s="5090"/>
      <c r="O119" s="15897"/>
      <c r="P119" s="4244"/>
      <c r="Q119" s="3947"/>
      <c r="R119" s="5790"/>
      <c r="S119" s="5790"/>
      <c r="T119" s="5791"/>
      <c r="U119" s="4215"/>
      <c r="V119" s="3953"/>
      <c r="W119" s="3951"/>
      <c r="X119" s="3951"/>
      <c r="Y119" s="3951"/>
      <c r="Z119" s="3951"/>
      <c r="AA119" s="3951"/>
      <c r="AB119" s="3951"/>
      <c r="AC119" s="3948"/>
      <c r="AD119" s="3951"/>
      <c r="AE119" s="3951"/>
      <c r="AF119" s="3951"/>
      <c r="AG119" s="3951"/>
      <c r="AH119" s="3951"/>
      <c r="AI119" s="3951"/>
      <c r="AJ119" s="3951"/>
      <c r="AK119" s="3951"/>
      <c r="AL119" s="3951"/>
      <c r="AM119" s="3951"/>
      <c r="AN119" s="3951"/>
      <c r="AO119" s="3951"/>
      <c r="AP119" s="3948"/>
      <c r="AQ119" s="3951"/>
      <c r="AR119" s="3951"/>
      <c r="AS119" s="3951"/>
      <c r="AT119" s="3951"/>
      <c r="AU119" s="3951"/>
      <c r="AV119" s="5792"/>
      <c r="AW119" s="3951"/>
      <c r="AX119" s="3951"/>
      <c r="AY119" s="3951"/>
      <c r="AZ119" s="3951"/>
      <c r="BA119" s="3951"/>
      <c r="BB119" s="5737"/>
      <c r="BC119" s="5737"/>
      <c r="BD119" s="5737"/>
      <c r="BE119" s="5737"/>
      <c r="BF119" s="5737"/>
      <c r="BG119" s="5737"/>
      <c r="BH119" s="5275"/>
      <c r="BI119" s="16377"/>
      <c r="BJ119" s="16370"/>
      <c r="BK119" s="16370"/>
      <c r="BL119" s="16370"/>
      <c r="BM119" s="16370"/>
      <c r="BN119" s="16370"/>
      <c r="BO119" s="16370"/>
      <c r="BP119" s="5739"/>
      <c r="BQ119" s="16370"/>
      <c r="BR119" s="5737"/>
      <c r="BS119" s="5737"/>
      <c r="BT119" s="5737"/>
      <c r="BU119" s="5737"/>
      <c r="BV119" s="5737"/>
      <c r="BW119" s="5737"/>
      <c r="BX119" s="5737"/>
      <c r="BY119" s="5737"/>
      <c r="BZ119" s="5737"/>
      <c r="CA119" s="5737"/>
      <c r="CB119" s="5737"/>
      <c r="CC119" s="5737"/>
      <c r="CD119" s="5737"/>
      <c r="CE119" s="5737"/>
      <c r="CF119" s="5737"/>
      <c r="CG119" s="5737"/>
      <c r="CH119" s="5737"/>
      <c r="CI119" s="5737"/>
      <c r="CJ119" s="5737"/>
      <c r="CK119" s="5737"/>
      <c r="CL119" s="5737"/>
      <c r="CM119" s="5737"/>
      <c r="CN119" s="5737"/>
      <c r="CO119" s="5737"/>
      <c r="CP119" s="5737"/>
      <c r="CQ119" s="5737"/>
      <c r="CR119" s="5737"/>
      <c r="CS119" s="5737"/>
      <c r="CT119" s="5737"/>
      <c r="CU119" s="5737"/>
      <c r="CV119" s="5737"/>
      <c r="CW119" s="5737"/>
      <c r="CX119" s="5737"/>
      <c r="CY119" s="5737"/>
      <c r="CZ119" s="5737"/>
      <c r="DA119" s="5737"/>
      <c r="DB119" s="5737"/>
      <c r="DC119" s="5737"/>
      <c r="DD119" s="5737"/>
      <c r="DE119" s="5737"/>
      <c r="DF119" s="5737"/>
      <c r="DG119" s="5737"/>
      <c r="DH119" s="5737"/>
      <c r="DI119" s="5737"/>
      <c r="DJ119" s="5737"/>
      <c r="DK119" s="5737"/>
      <c r="DL119" s="5737"/>
      <c r="DM119" s="5737"/>
      <c r="DN119" s="5737"/>
      <c r="DO119" s="5737"/>
      <c r="DP119" s="5737"/>
      <c r="DQ119" s="5737"/>
      <c r="DR119" s="5737"/>
      <c r="DS119" s="5737"/>
      <c r="DT119" s="5737"/>
      <c r="DU119" s="5737"/>
      <c r="DV119" s="5737"/>
      <c r="DW119" s="5737"/>
      <c r="DX119" s="5737"/>
      <c r="DY119" s="5737"/>
      <c r="DZ119" s="5737"/>
      <c r="EA119" s="5737"/>
      <c r="EB119" s="5737"/>
      <c r="EC119" s="5737"/>
      <c r="ED119" s="5737"/>
      <c r="EE119" s="5737"/>
      <c r="EF119" s="5737"/>
      <c r="EG119" s="5737"/>
      <c r="EH119" s="5737"/>
      <c r="EI119" s="5737"/>
      <c r="EJ119" s="5737"/>
      <c r="EK119" s="5737"/>
      <c r="EL119" s="5737"/>
      <c r="EM119" s="5737"/>
      <c r="EN119" s="5737"/>
      <c r="EO119" s="5737"/>
      <c r="EP119" s="5737"/>
      <c r="EQ119" s="5737"/>
      <c r="ER119" s="5737"/>
      <c r="ES119" s="5737"/>
      <c r="ET119" s="5737"/>
      <c r="EU119" s="2037"/>
    </row>
    <row r="120" spans="1:151" s="2036" customFormat="1" ht="15" customHeight="1">
      <c r="A120" s="16357"/>
      <c r="B120" s="16360"/>
      <c r="C120" s="16280"/>
      <c r="D120" s="16365"/>
      <c r="E120" s="16230"/>
      <c r="F120" s="16230"/>
      <c r="G120" s="16230"/>
      <c r="H120" s="16230"/>
      <c r="I120" s="16230"/>
      <c r="J120" s="16230"/>
      <c r="K120" s="2775" t="s">
        <v>208</v>
      </c>
      <c r="L120" s="2774"/>
      <c r="M120" s="2774" t="s">
        <v>208</v>
      </c>
      <c r="N120" s="5090"/>
      <c r="O120" s="15897"/>
      <c r="P120" s="4244"/>
      <c r="Q120" s="3947"/>
      <c r="R120" s="5790"/>
      <c r="S120" s="5790"/>
      <c r="T120" s="5791"/>
      <c r="U120" s="4215"/>
      <c r="V120" s="3953"/>
      <c r="W120" s="3951"/>
      <c r="X120" s="3951"/>
      <c r="Y120" s="3951"/>
      <c r="Z120" s="3951"/>
      <c r="AA120" s="3951"/>
      <c r="AB120" s="3951"/>
      <c r="AC120" s="3948"/>
      <c r="AD120" s="3951"/>
      <c r="AE120" s="3951"/>
      <c r="AF120" s="3951"/>
      <c r="AG120" s="3951"/>
      <c r="AH120" s="3951"/>
      <c r="AI120" s="3951"/>
      <c r="AJ120" s="3951"/>
      <c r="AK120" s="3951"/>
      <c r="AL120" s="3951"/>
      <c r="AM120" s="3951"/>
      <c r="AN120" s="3951"/>
      <c r="AO120" s="3951"/>
      <c r="AP120" s="3948"/>
      <c r="AQ120" s="3951"/>
      <c r="AR120" s="3951"/>
      <c r="AS120" s="3951"/>
      <c r="AT120" s="3951"/>
      <c r="AU120" s="3951"/>
      <c r="AV120" s="5792"/>
      <c r="AW120" s="3951"/>
      <c r="AX120" s="3951"/>
      <c r="AY120" s="3951"/>
      <c r="AZ120" s="3951"/>
      <c r="BA120" s="3951"/>
      <c r="BB120" s="5737"/>
      <c r="BC120" s="5737"/>
      <c r="BD120" s="5737"/>
      <c r="BE120" s="5737"/>
      <c r="BF120" s="5737"/>
      <c r="BG120" s="5737"/>
      <c r="BH120" s="5275"/>
      <c r="BI120" s="16377"/>
      <c r="BJ120" s="16370"/>
      <c r="BK120" s="16370"/>
      <c r="BL120" s="16370"/>
      <c r="BM120" s="16370"/>
      <c r="BN120" s="16370"/>
      <c r="BO120" s="16370"/>
      <c r="BP120" s="5739"/>
      <c r="BQ120" s="16370"/>
      <c r="BR120" s="5737"/>
      <c r="BS120" s="5737"/>
      <c r="BT120" s="5737"/>
      <c r="BU120" s="5737"/>
      <c r="BV120" s="5737"/>
      <c r="BW120" s="5737"/>
      <c r="BX120" s="5737"/>
      <c r="BY120" s="5737"/>
      <c r="BZ120" s="5737"/>
      <c r="CA120" s="5737"/>
      <c r="CB120" s="5737"/>
      <c r="CC120" s="5737"/>
      <c r="CD120" s="5737"/>
      <c r="CE120" s="5737"/>
      <c r="CF120" s="5737"/>
      <c r="CG120" s="5737"/>
      <c r="CH120" s="5737"/>
      <c r="CI120" s="5737"/>
      <c r="CJ120" s="5737"/>
      <c r="CK120" s="5737"/>
      <c r="CL120" s="5737"/>
      <c r="CM120" s="5737"/>
      <c r="CN120" s="5737"/>
      <c r="CO120" s="5737"/>
      <c r="CP120" s="5737"/>
      <c r="CQ120" s="5737"/>
      <c r="CR120" s="5737"/>
      <c r="CS120" s="5737"/>
      <c r="CT120" s="5737"/>
      <c r="CU120" s="5737"/>
      <c r="CV120" s="5737"/>
      <c r="CW120" s="5737"/>
      <c r="CX120" s="5737"/>
      <c r="CY120" s="5737"/>
      <c r="CZ120" s="5737"/>
      <c r="DA120" s="5737"/>
      <c r="DB120" s="5737"/>
      <c r="DC120" s="5737"/>
      <c r="DD120" s="5737"/>
      <c r="DE120" s="5737"/>
      <c r="DF120" s="5737"/>
      <c r="DG120" s="5737"/>
      <c r="DH120" s="5737"/>
      <c r="DI120" s="5737"/>
      <c r="DJ120" s="5737"/>
      <c r="DK120" s="5737"/>
      <c r="DL120" s="5737"/>
      <c r="DM120" s="5737"/>
      <c r="DN120" s="5737"/>
      <c r="DO120" s="5737"/>
      <c r="DP120" s="5737"/>
      <c r="DQ120" s="5737"/>
      <c r="DR120" s="5737"/>
      <c r="DS120" s="5737"/>
      <c r="DT120" s="5737"/>
      <c r="DU120" s="5737"/>
      <c r="DV120" s="5737"/>
      <c r="DW120" s="5737"/>
      <c r="DX120" s="5737"/>
      <c r="DY120" s="5737"/>
      <c r="DZ120" s="5737"/>
      <c r="EA120" s="5737"/>
      <c r="EB120" s="5737"/>
      <c r="EC120" s="5737"/>
      <c r="ED120" s="5737"/>
      <c r="EE120" s="5737"/>
      <c r="EF120" s="5737"/>
      <c r="EG120" s="5737"/>
      <c r="EH120" s="5737"/>
      <c r="EI120" s="5737"/>
      <c r="EJ120" s="5737"/>
      <c r="EK120" s="5737"/>
      <c r="EL120" s="5737"/>
      <c r="EM120" s="5737"/>
      <c r="EN120" s="5737"/>
      <c r="EO120" s="5737"/>
      <c r="EP120" s="5737"/>
      <c r="EQ120" s="5737"/>
      <c r="ER120" s="5737"/>
      <c r="ES120" s="5737"/>
      <c r="ET120" s="5737"/>
      <c r="EU120" s="2037"/>
    </row>
    <row r="121" spans="1:151" s="2036" customFormat="1" ht="15" customHeight="1">
      <c r="A121" s="16357"/>
      <c r="B121" s="16360"/>
      <c r="C121" s="16280"/>
      <c r="D121" s="16365"/>
      <c r="E121" s="16230"/>
      <c r="F121" s="2773" t="s">
        <v>2755</v>
      </c>
      <c r="G121" s="16230"/>
      <c r="H121" s="2742" t="s">
        <v>4596</v>
      </c>
      <c r="I121" s="2776" t="s">
        <v>4597</v>
      </c>
      <c r="J121" s="2773" t="s">
        <v>2755</v>
      </c>
      <c r="K121" s="2776" t="s">
        <v>4305</v>
      </c>
      <c r="L121" s="2774" t="s">
        <v>10089</v>
      </c>
      <c r="M121" s="2774"/>
      <c r="N121" s="5090"/>
      <c r="O121" s="15897"/>
      <c r="P121" s="4244"/>
      <c r="Q121" s="3947"/>
      <c r="R121" s="5790"/>
      <c r="S121" s="5790"/>
      <c r="T121" s="5791"/>
      <c r="U121" s="4215"/>
      <c r="V121" s="3953"/>
      <c r="W121" s="3951"/>
      <c r="X121" s="3951"/>
      <c r="Y121" s="3951"/>
      <c r="Z121" s="3951"/>
      <c r="AA121" s="3951"/>
      <c r="AB121" s="3951"/>
      <c r="AC121" s="3948"/>
      <c r="AD121" s="3951"/>
      <c r="AE121" s="3951"/>
      <c r="AF121" s="3951"/>
      <c r="AG121" s="3951"/>
      <c r="AH121" s="3951"/>
      <c r="AI121" s="3951"/>
      <c r="AJ121" s="3951"/>
      <c r="AK121" s="3951"/>
      <c r="AL121" s="3951"/>
      <c r="AM121" s="3951"/>
      <c r="AN121" s="3951"/>
      <c r="AO121" s="3951"/>
      <c r="AP121" s="3948"/>
      <c r="AQ121" s="3951"/>
      <c r="AR121" s="3951"/>
      <c r="AS121" s="3951"/>
      <c r="AT121" s="3951"/>
      <c r="AU121" s="3951"/>
      <c r="AV121" s="5792"/>
      <c r="AW121" s="3951"/>
      <c r="AX121" s="3951"/>
      <c r="AY121" s="3951"/>
      <c r="AZ121" s="3951"/>
      <c r="BA121" s="3951"/>
      <c r="BB121" s="5737"/>
      <c r="BC121" s="5737"/>
      <c r="BD121" s="5737"/>
      <c r="BE121" s="5737"/>
      <c r="BF121" s="5737"/>
      <c r="BG121" s="5737"/>
      <c r="BH121" s="5275"/>
      <c r="BI121" s="16377"/>
      <c r="BJ121" s="16370"/>
      <c r="BK121" s="16370"/>
      <c r="BL121" s="16370"/>
      <c r="BM121" s="16370"/>
      <c r="BN121" s="16370"/>
      <c r="BO121" s="16370"/>
      <c r="BP121" s="5739"/>
      <c r="BQ121" s="16370"/>
      <c r="BR121" s="5737"/>
      <c r="BS121" s="5737"/>
      <c r="BT121" s="5737"/>
      <c r="BU121" s="5737"/>
      <c r="BV121" s="5737"/>
      <c r="BW121" s="5737"/>
      <c r="BX121" s="5737"/>
      <c r="BY121" s="5737"/>
      <c r="BZ121" s="5737"/>
      <c r="CA121" s="5737"/>
      <c r="CB121" s="5737"/>
      <c r="CC121" s="5737"/>
      <c r="CD121" s="5737"/>
      <c r="CE121" s="5737"/>
      <c r="CF121" s="5737"/>
      <c r="CG121" s="5737"/>
      <c r="CH121" s="5737"/>
      <c r="CI121" s="5737"/>
      <c r="CJ121" s="5737"/>
      <c r="CK121" s="5737"/>
      <c r="CL121" s="5737"/>
      <c r="CM121" s="5737"/>
      <c r="CN121" s="5737"/>
      <c r="CO121" s="5737"/>
      <c r="CP121" s="5737"/>
      <c r="CQ121" s="5737"/>
      <c r="CR121" s="5737"/>
      <c r="CS121" s="5737"/>
      <c r="CT121" s="5737"/>
      <c r="CU121" s="5737"/>
      <c r="CV121" s="5737"/>
      <c r="CW121" s="5737"/>
      <c r="CX121" s="5737"/>
      <c r="CY121" s="5737"/>
      <c r="CZ121" s="5737"/>
      <c r="DA121" s="5737"/>
      <c r="DB121" s="5737"/>
      <c r="DC121" s="5737"/>
      <c r="DD121" s="5737"/>
      <c r="DE121" s="5737"/>
      <c r="DF121" s="5737"/>
      <c r="DG121" s="5737"/>
      <c r="DH121" s="5737"/>
      <c r="DI121" s="5737"/>
      <c r="DJ121" s="5737"/>
      <c r="DK121" s="5737"/>
      <c r="DL121" s="5737"/>
      <c r="DM121" s="5737"/>
      <c r="DN121" s="5737"/>
      <c r="DO121" s="5737"/>
      <c r="DP121" s="5737"/>
      <c r="DQ121" s="5737"/>
      <c r="DR121" s="5737"/>
      <c r="DS121" s="5737"/>
      <c r="DT121" s="5737"/>
      <c r="DU121" s="5737"/>
      <c r="DV121" s="5737"/>
      <c r="DW121" s="5737"/>
      <c r="DX121" s="5737"/>
      <c r="DY121" s="5737"/>
      <c r="DZ121" s="5737"/>
      <c r="EA121" s="5737"/>
      <c r="EB121" s="5737"/>
      <c r="EC121" s="5737"/>
      <c r="ED121" s="5737"/>
      <c r="EE121" s="5737"/>
      <c r="EF121" s="5737"/>
      <c r="EG121" s="5737"/>
      <c r="EH121" s="5737"/>
      <c r="EI121" s="5737"/>
      <c r="EJ121" s="5737"/>
      <c r="EK121" s="5737"/>
      <c r="EL121" s="5737"/>
      <c r="EM121" s="5737"/>
      <c r="EN121" s="5737"/>
      <c r="EO121" s="5737"/>
      <c r="EP121" s="5737"/>
      <c r="EQ121" s="5737"/>
      <c r="ER121" s="5737"/>
      <c r="ES121" s="5737"/>
      <c r="ET121" s="5737"/>
      <c r="EU121" s="2037"/>
    </row>
    <row r="122" spans="1:151" s="2036" customFormat="1" ht="15" customHeight="1">
      <c r="A122" s="16357"/>
      <c r="B122" s="16360"/>
      <c r="C122" s="16280"/>
      <c r="D122" s="2774" t="s">
        <v>2753</v>
      </c>
      <c r="E122" s="2773" t="s">
        <v>2754</v>
      </c>
      <c r="F122" s="16230" t="s">
        <v>2759</v>
      </c>
      <c r="G122" s="16230"/>
      <c r="H122" s="16230" t="s">
        <v>4598</v>
      </c>
      <c r="I122" s="16379" t="s">
        <v>2756</v>
      </c>
      <c r="J122" s="16230" t="s">
        <v>2759</v>
      </c>
      <c r="K122" s="5394" t="s">
        <v>10063</v>
      </c>
      <c r="L122" s="2774" t="s">
        <v>2856</v>
      </c>
      <c r="M122" s="2774"/>
      <c r="N122" s="5830">
        <v>0.7</v>
      </c>
      <c r="O122" s="15897"/>
      <c r="P122" s="4244" t="s">
        <v>3167</v>
      </c>
      <c r="Q122" s="4244" t="s">
        <v>3168</v>
      </c>
      <c r="R122" s="5790">
        <f>S122+T122+U122</f>
        <v>125554982.34</v>
      </c>
      <c r="S122" s="5790">
        <v>27405935.670000002</v>
      </c>
      <c r="T122" s="5791">
        <v>98149046.670000002</v>
      </c>
      <c r="U122" s="4215">
        <v>0</v>
      </c>
      <c r="V122" s="3953">
        <v>26</v>
      </c>
      <c r="W122" s="3948">
        <v>22</v>
      </c>
      <c r="X122" s="3948">
        <v>4</v>
      </c>
      <c r="Y122" s="3951"/>
      <c r="Z122" s="3951"/>
      <c r="AA122" s="3951"/>
      <c r="AB122" s="3951"/>
      <c r="AC122" s="3953">
        <v>26</v>
      </c>
      <c r="AD122" s="3951"/>
      <c r="AE122" s="3951"/>
      <c r="AF122" s="3951"/>
      <c r="AG122" s="3951"/>
      <c r="AH122" s="3951"/>
      <c r="AI122" s="3951"/>
      <c r="AJ122" s="3951"/>
      <c r="AK122" s="3951"/>
      <c r="AL122" s="3951"/>
      <c r="AM122" s="3951"/>
      <c r="AN122" s="3951"/>
      <c r="AO122" s="3951"/>
      <c r="AP122" s="3953">
        <v>26</v>
      </c>
      <c r="AQ122" s="3951"/>
      <c r="AR122" s="3951"/>
      <c r="AS122" s="3951"/>
      <c r="AT122" s="3951"/>
      <c r="AU122" s="3951"/>
      <c r="AV122" s="5792" t="s">
        <v>208</v>
      </c>
      <c r="AW122" s="3951"/>
      <c r="AX122" s="3951"/>
      <c r="AY122" s="3951"/>
      <c r="AZ122" s="3951"/>
      <c r="BA122" s="3951"/>
      <c r="BB122" s="5737"/>
      <c r="BC122" s="5737"/>
      <c r="BD122" s="5737"/>
      <c r="BE122" s="5737"/>
      <c r="BF122" s="5737"/>
      <c r="BG122" s="5182" t="s">
        <v>2315</v>
      </c>
      <c r="BH122" s="5275" t="s">
        <v>2315</v>
      </c>
      <c r="BI122" s="16376"/>
      <c r="BJ122" s="16230"/>
      <c r="BK122" s="16370"/>
      <c r="BL122" s="16373"/>
      <c r="BM122" s="16373"/>
      <c r="BN122" s="16373"/>
      <c r="BO122" s="16373"/>
      <c r="BP122" s="5182"/>
      <c r="BQ122" s="16373"/>
      <c r="BR122" s="5739"/>
      <c r="BS122" s="5182"/>
      <c r="BT122" s="5182"/>
      <c r="BU122" s="5182"/>
      <c r="BV122" s="5182"/>
      <c r="BW122" s="5737"/>
      <c r="BX122" s="5737"/>
      <c r="BY122" s="5182"/>
      <c r="BZ122" s="5182"/>
      <c r="CA122" s="5737"/>
      <c r="CB122" s="5737"/>
      <c r="CC122" s="5182"/>
      <c r="CD122" s="5737"/>
      <c r="CE122" s="5737"/>
      <c r="CF122" s="5737"/>
      <c r="CG122" s="5737"/>
      <c r="CH122" s="5737"/>
      <c r="CI122" s="5737"/>
      <c r="CJ122" s="5737"/>
      <c r="CK122" s="5182"/>
      <c r="CL122" s="5737"/>
      <c r="CM122" s="5737"/>
      <c r="CN122" s="5737"/>
      <c r="CO122" s="5737"/>
      <c r="CP122" s="5737"/>
      <c r="CQ122" s="5737"/>
      <c r="CR122" s="5737"/>
      <c r="CS122" s="5737"/>
      <c r="CT122" s="5737"/>
      <c r="CU122" s="5737"/>
      <c r="CV122" s="5737"/>
      <c r="CW122" s="5737"/>
      <c r="CX122" s="5737"/>
      <c r="CY122" s="5737"/>
      <c r="CZ122" s="5737"/>
      <c r="DA122" s="5737"/>
      <c r="DB122" s="5737"/>
      <c r="DC122" s="5737"/>
      <c r="DD122" s="5737"/>
      <c r="DE122" s="5737"/>
      <c r="DF122" s="5737"/>
      <c r="DG122" s="5737"/>
      <c r="DH122" s="5737"/>
      <c r="DI122" s="5737"/>
      <c r="DJ122" s="5737"/>
      <c r="DK122" s="5737"/>
      <c r="DL122" s="5737"/>
      <c r="DM122" s="5737"/>
      <c r="DN122" s="5737"/>
      <c r="DO122" s="5737"/>
      <c r="DP122" s="5737"/>
      <c r="DQ122" s="5737"/>
      <c r="DR122" s="5737"/>
      <c r="DS122" s="5737"/>
      <c r="DT122" s="5737"/>
      <c r="DU122" s="5737"/>
      <c r="DV122" s="5737"/>
      <c r="DW122" s="5737"/>
      <c r="DX122" s="5737"/>
      <c r="DY122" s="5737"/>
      <c r="DZ122" s="5737"/>
      <c r="EA122" s="5737"/>
      <c r="EB122" s="5737"/>
      <c r="EC122" s="5737"/>
      <c r="ED122" s="5737"/>
      <c r="EE122" s="5737"/>
      <c r="EF122" s="5737"/>
      <c r="EG122" s="5737"/>
      <c r="EH122" s="5737"/>
      <c r="EI122" s="5737"/>
      <c r="EJ122" s="5737"/>
      <c r="EK122" s="5737"/>
      <c r="EL122" s="5737"/>
      <c r="EM122" s="5737"/>
      <c r="EN122" s="5737"/>
      <c r="EO122" s="5737"/>
      <c r="EP122" s="5737"/>
      <c r="EQ122" s="5737"/>
      <c r="ER122" s="5737"/>
      <c r="ES122" s="5737"/>
      <c r="ET122" s="5737"/>
      <c r="EU122" s="2037"/>
    </row>
    <row r="123" spans="1:151" s="2036" customFormat="1" ht="15" customHeight="1" thickBot="1">
      <c r="A123" s="16358"/>
      <c r="B123" s="16361"/>
      <c r="C123" s="16363"/>
      <c r="D123" s="5942" t="s">
        <v>2757</v>
      </c>
      <c r="E123" s="5912" t="s">
        <v>2758</v>
      </c>
      <c r="F123" s="16231"/>
      <c r="G123" s="16231"/>
      <c r="H123" s="16231"/>
      <c r="I123" s="16380"/>
      <c r="J123" s="16231"/>
      <c r="K123" s="2028" t="s">
        <v>208</v>
      </c>
      <c r="L123" s="5943"/>
      <c r="M123" s="5943" t="s">
        <v>208</v>
      </c>
      <c r="N123" s="5944">
        <v>0.7</v>
      </c>
      <c r="O123" s="15898"/>
      <c r="P123" s="1769" t="s">
        <v>3169</v>
      </c>
      <c r="Q123" s="1892" t="s">
        <v>2333</v>
      </c>
      <c r="R123" s="2064">
        <f>S123+T123+U123</f>
        <v>133971649</v>
      </c>
      <c r="S123" s="2064">
        <v>35822602.329999998</v>
      </c>
      <c r="T123" s="2065">
        <v>98149046.670000002</v>
      </c>
      <c r="U123" s="5914">
        <v>0</v>
      </c>
      <c r="V123" s="1892">
        <v>26</v>
      </c>
      <c r="W123" s="1888"/>
      <c r="X123" s="1888"/>
      <c r="Y123" s="1888"/>
      <c r="Z123" s="1888"/>
      <c r="AA123" s="1888"/>
      <c r="AB123" s="1888"/>
      <c r="AC123" s="1888" t="s">
        <v>2943</v>
      </c>
      <c r="AD123" s="1888"/>
      <c r="AE123" s="1888"/>
      <c r="AF123" s="1888"/>
      <c r="AG123" s="1888"/>
      <c r="AH123" s="1888"/>
      <c r="AI123" s="1888"/>
      <c r="AJ123" s="1888"/>
      <c r="AK123" s="1888"/>
      <c r="AL123" s="1888"/>
      <c r="AM123" s="1888"/>
      <c r="AN123" s="1888"/>
      <c r="AO123" s="1888"/>
      <c r="AP123" s="1888">
        <v>26</v>
      </c>
      <c r="AQ123" s="1888"/>
      <c r="AR123" s="1888"/>
      <c r="AS123" s="1888"/>
      <c r="AT123" s="1888"/>
      <c r="AU123" s="1888"/>
      <c r="AV123" s="5945" t="s">
        <v>208</v>
      </c>
      <c r="AW123" s="1888"/>
      <c r="AX123" s="1888"/>
      <c r="AY123" s="1888"/>
      <c r="AZ123" s="1888"/>
      <c r="BA123" s="1888"/>
      <c r="BB123" s="2070"/>
      <c r="BC123" s="2070"/>
      <c r="BD123" s="2070"/>
      <c r="BE123" s="2070"/>
      <c r="BF123" s="2070"/>
      <c r="BG123" s="2069" t="s">
        <v>2315</v>
      </c>
      <c r="BH123" s="5915" t="s">
        <v>2315</v>
      </c>
      <c r="BI123" s="16378"/>
      <c r="BJ123" s="16231"/>
      <c r="BK123" s="16371"/>
      <c r="BL123" s="16374"/>
      <c r="BM123" s="16374"/>
      <c r="BN123" s="16374"/>
      <c r="BO123" s="16374"/>
      <c r="BP123" s="2069"/>
      <c r="BQ123" s="16374"/>
      <c r="BR123" s="2068"/>
      <c r="BS123" s="2069"/>
      <c r="BT123" s="2069"/>
      <c r="BU123" s="2069"/>
      <c r="BV123" s="2069"/>
      <c r="BW123" s="2070"/>
      <c r="BX123" s="2070"/>
      <c r="BY123" s="2069"/>
      <c r="BZ123" s="2069"/>
      <c r="CA123" s="2070"/>
      <c r="CB123" s="2070"/>
      <c r="CC123" s="2069"/>
      <c r="CD123" s="2070"/>
      <c r="CE123" s="2070"/>
      <c r="CF123" s="2070"/>
      <c r="CG123" s="2070"/>
      <c r="CH123" s="2070"/>
      <c r="CI123" s="2070"/>
      <c r="CJ123" s="2070"/>
      <c r="CK123" s="2069"/>
      <c r="CL123" s="2070"/>
      <c r="CM123" s="2070"/>
      <c r="CN123" s="2070"/>
      <c r="CO123" s="2070"/>
      <c r="CP123" s="2070"/>
      <c r="CQ123" s="2070"/>
      <c r="CR123" s="2070"/>
      <c r="CS123" s="2070"/>
      <c r="CT123" s="2070"/>
      <c r="CU123" s="2070"/>
      <c r="CV123" s="2070"/>
      <c r="CW123" s="2070"/>
      <c r="CX123" s="2070"/>
      <c r="CY123" s="2070"/>
      <c r="CZ123" s="2070"/>
      <c r="DA123" s="2070"/>
      <c r="DB123" s="2070"/>
      <c r="DC123" s="2070"/>
      <c r="DD123" s="2070"/>
      <c r="DE123" s="2070"/>
      <c r="DF123" s="2070"/>
      <c r="DG123" s="2070"/>
      <c r="DH123" s="2070"/>
      <c r="DI123" s="2070"/>
      <c r="DJ123" s="2070"/>
      <c r="DK123" s="2070"/>
      <c r="DL123" s="2070"/>
      <c r="DM123" s="2070"/>
      <c r="DN123" s="2070"/>
      <c r="DO123" s="2070"/>
      <c r="DP123" s="2070"/>
      <c r="DQ123" s="2070"/>
      <c r="DR123" s="2070"/>
      <c r="DS123" s="2070"/>
      <c r="DT123" s="2070"/>
      <c r="DU123" s="2070"/>
      <c r="DV123" s="2070"/>
      <c r="DW123" s="2070"/>
      <c r="DX123" s="2070"/>
      <c r="DY123" s="2070"/>
      <c r="DZ123" s="2070"/>
      <c r="EA123" s="2070"/>
      <c r="EB123" s="2070"/>
      <c r="EC123" s="2070"/>
      <c r="ED123" s="2070"/>
      <c r="EE123" s="2070"/>
      <c r="EF123" s="2070"/>
      <c r="EG123" s="2070"/>
      <c r="EH123" s="2070"/>
      <c r="EI123" s="2070"/>
      <c r="EJ123" s="2070"/>
      <c r="EK123" s="2070"/>
      <c r="EL123" s="2070"/>
      <c r="EM123" s="2070"/>
      <c r="EN123" s="2070"/>
      <c r="EO123" s="2070"/>
      <c r="EP123" s="2070"/>
      <c r="EQ123" s="2070"/>
      <c r="ER123" s="2070"/>
      <c r="ES123" s="2070"/>
      <c r="ET123" s="2070"/>
      <c r="EU123" s="2071"/>
    </row>
    <row r="124" spans="1:151" s="2039" customFormat="1" ht="15" customHeight="1">
      <c r="A124" s="16268" t="s">
        <v>2760</v>
      </c>
      <c r="B124" s="16381" t="s">
        <v>2761</v>
      </c>
      <c r="C124" s="16384" t="s">
        <v>2762</v>
      </c>
      <c r="D124" s="5134" t="s">
        <v>2763</v>
      </c>
      <c r="E124" s="5134" t="s">
        <v>2764</v>
      </c>
      <c r="F124" s="5134" t="s">
        <v>2765</v>
      </c>
      <c r="G124" s="16243" t="s">
        <v>2766</v>
      </c>
      <c r="H124" s="5134" t="s">
        <v>4599</v>
      </c>
      <c r="I124" s="5134" t="s">
        <v>2767</v>
      </c>
      <c r="J124" s="5134" t="s">
        <v>2765</v>
      </c>
      <c r="K124" s="5750" t="s">
        <v>2896</v>
      </c>
      <c r="L124" s="5750" t="s">
        <v>2858</v>
      </c>
      <c r="M124" s="5136"/>
      <c r="N124" s="5933"/>
      <c r="O124" s="5145" t="s">
        <v>3170</v>
      </c>
      <c r="P124" s="5145" t="s">
        <v>3171</v>
      </c>
      <c r="Q124" s="5149" t="s">
        <v>2333</v>
      </c>
      <c r="R124" s="5146">
        <f>S124+T124+U124</f>
        <v>153348838.52222222</v>
      </c>
      <c r="S124" s="5147">
        <v>19649005.188888889</v>
      </c>
      <c r="T124" s="5148">
        <v>133699833.33333333</v>
      </c>
      <c r="U124" s="5934"/>
      <c r="V124" s="5144"/>
      <c r="W124" s="5935"/>
      <c r="X124" s="5936"/>
      <c r="Y124" s="5937"/>
      <c r="Z124" s="5936"/>
      <c r="AA124" s="5936"/>
      <c r="AB124" s="5938"/>
      <c r="AC124" s="5939"/>
      <c r="AD124" s="5939"/>
      <c r="AE124" s="5144"/>
      <c r="AF124" s="5144"/>
      <c r="AG124" s="5939"/>
      <c r="AH124" s="5939"/>
      <c r="AI124" s="5144"/>
      <c r="AJ124" s="5939"/>
      <c r="AK124" s="5939"/>
      <c r="AL124" s="5939"/>
      <c r="AM124" s="5939"/>
      <c r="AN124" s="5939"/>
      <c r="AO124" s="5939"/>
      <c r="AP124" s="5939"/>
      <c r="AQ124" s="5144"/>
      <c r="AR124" s="5939"/>
      <c r="AS124" s="5939"/>
      <c r="AT124" s="5939"/>
      <c r="AU124" s="5939"/>
      <c r="AV124" s="5939"/>
      <c r="AW124" s="5939"/>
      <c r="AX124" s="5939"/>
      <c r="AY124" s="5939"/>
      <c r="AZ124" s="5939"/>
      <c r="BA124" s="5939"/>
      <c r="BB124" s="5939"/>
      <c r="BC124" s="5939"/>
      <c r="BD124" s="5939"/>
      <c r="BE124" s="5939"/>
      <c r="BF124" s="5939"/>
      <c r="BG124" s="5940">
        <v>1</v>
      </c>
      <c r="BH124" s="5132">
        <v>1</v>
      </c>
      <c r="BI124" s="2050" t="s">
        <v>9909</v>
      </c>
      <c r="BJ124" s="5134" t="s">
        <v>3171</v>
      </c>
      <c r="BK124" s="2051"/>
      <c r="BL124" s="5144" t="s">
        <v>9174</v>
      </c>
      <c r="BM124" s="5144"/>
      <c r="BN124" s="5144"/>
      <c r="BO124" s="5144"/>
      <c r="BP124" s="5144"/>
      <c r="BQ124" s="5935" t="s">
        <v>9175</v>
      </c>
      <c r="BR124" s="5936">
        <v>6982</v>
      </c>
      <c r="BS124" s="5937">
        <v>4397</v>
      </c>
      <c r="BT124" s="5936"/>
      <c r="BU124" s="5936"/>
      <c r="BV124" s="5938">
        <v>11379</v>
      </c>
      <c r="BW124" s="5939"/>
      <c r="BX124" s="5939"/>
      <c r="BY124" s="5144"/>
      <c r="BZ124" s="5144"/>
      <c r="CA124" s="5939"/>
      <c r="CB124" s="5939"/>
      <c r="CC124" s="5144"/>
      <c r="CD124" s="5939"/>
      <c r="CE124" s="5939"/>
      <c r="CF124" s="5939"/>
      <c r="CG124" s="5939"/>
      <c r="CH124" s="5939"/>
      <c r="CI124" s="5939"/>
      <c r="CJ124" s="5939"/>
      <c r="CK124" s="5144"/>
      <c r="CL124" s="5939"/>
      <c r="CM124" s="5939"/>
      <c r="CN124" s="5939"/>
      <c r="CO124" s="5939"/>
      <c r="CP124" s="5939"/>
      <c r="CQ124" s="5939"/>
      <c r="CR124" s="5939"/>
      <c r="CS124" s="5939"/>
      <c r="CT124" s="5939"/>
      <c r="CU124" s="5939"/>
      <c r="CV124" s="5939"/>
      <c r="CW124" s="5939"/>
      <c r="CX124" s="5939"/>
      <c r="CY124" s="5939"/>
      <c r="CZ124" s="5939"/>
      <c r="DA124" s="5939"/>
      <c r="DB124" s="5939"/>
      <c r="DC124" s="5939"/>
      <c r="DD124" s="5939"/>
      <c r="DE124" s="5939"/>
      <c r="DF124" s="5939"/>
      <c r="DG124" s="5939"/>
      <c r="DH124" s="5939"/>
      <c r="DI124" s="5939"/>
      <c r="DJ124" s="5939"/>
      <c r="DK124" s="5939"/>
      <c r="DL124" s="5939"/>
      <c r="DM124" s="5939"/>
      <c r="DN124" s="5939"/>
      <c r="DO124" s="5939"/>
      <c r="DP124" s="5939"/>
      <c r="DQ124" s="5939"/>
      <c r="DR124" s="5939"/>
      <c r="DS124" s="5939"/>
      <c r="DT124" s="5939"/>
      <c r="DU124" s="5939"/>
      <c r="DV124" s="5939"/>
      <c r="DW124" s="5939"/>
      <c r="DX124" s="5939"/>
      <c r="DY124" s="5939"/>
      <c r="DZ124" s="5939"/>
      <c r="EA124" s="5939"/>
      <c r="EB124" s="5939"/>
      <c r="EC124" s="5939"/>
      <c r="ED124" s="5939"/>
      <c r="EE124" s="5939"/>
      <c r="EF124" s="5939"/>
      <c r="EG124" s="5939"/>
      <c r="EH124" s="5939"/>
      <c r="EI124" s="5939"/>
      <c r="EJ124" s="5939"/>
      <c r="EK124" s="5939"/>
      <c r="EL124" s="5939"/>
      <c r="EM124" s="5939"/>
      <c r="EN124" s="5939"/>
      <c r="EO124" s="5939"/>
      <c r="EP124" s="5939"/>
      <c r="EQ124" s="5939"/>
      <c r="ER124" s="5939"/>
      <c r="ES124" s="5939"/>
      <c r="ET124" s="5939"/>
      <c r="EU124" s="5941"/>
    </row>
    <row r="125" spans="1:151" s="2039" customFormat="1" ht="15" customHeight="1">
      <c r="A125" s="16269"/>
      <c r="B125" s="16382"/>
      <c r="C125" s="16385"/>
      <c r="D125" s="5686" t="s">
        <v>2768</v>
      </c>
      <c r="E125" s="5686" t="s">
        <v>2769</v>
      </c>
      <c r="F125" s="5686" t="s">
        <v>2770</v>
      </c>
      <c r="G125" s="16244"/>
      <c r="H125" s="5686" t="s">
        <v>4600</v>
      </c>
      <c r="I125" s="5686" t="s">
        <v>2771</v>
      </c>
      <c r="J125" s="5686" t="s">
        <v>2770</v>
      </c>
      <c r="K125" s="2764" t="s">
        <v>2896</v>
      </c>
      <c r="L125" s="2755" t="s">
        <v>2858</v>
      </c>
      <c r="M125" s="5684"/>
      <c r="N125" s="5689"/>
      <c r="O125" s="5834"/>
      <c r="P125" s="5686"/>
      <c r="Q125" s="5689"/>
      <c r="R125" s="5689"/>
      <c r="S125" s="5689"/>
      <c r="T125" s="5689"/>
      <c r="U125" s="5744"/>
      <c r="V125" s="5744"/>
      <c r="W125" s="5833"/>
      <c r="X125" s="5749"/>
      <c r="Y125" s="5689"/>
      <c r="Z125" s="5689"/>
      <c r="AA125" s="5689"/>
      <c r="AB125" s="5689"/>
      <c r="AC125" s="5744"/>
      <c r="AD125" s="5744"/>
      <c r="AE125" s="5689"/>
      <c r="AF125" s="5689"/>
      <c r="AG125" s="5744"/>
      <c r="AH125" s="5744"/>
      <c r="AI125" s="5689"/>
      <c r="AJ125" s="5744"/>
      <c r="AK125" s="5744"/>
      <c r="AL125" s="5744"/>
      <c r="AM125" s="5744"/>
      <c r="AN125" s="5744"/>
      <c r="AO125" s="5744"/>
      <c r="AP125" s="5744"/>
      <c r="AQ125" s="5689"/>
      <c r="AR125" s="5744"/>
      <c r="AS125" s="5744"/>
      <c r="AT125" s="5744"/>
      <c r="AU125" s="5744"/>
      <c r="AV125" s="5744"/>
      <c r="AW125" s="5744"/>
      <c r="AX125" s="5744"/>
      <c r="AY125" s="5744"/>
      <c r="AZ125" s="5744"/>
      <c r="BA125" s="5744"/>
      <c r="BB125" s="5744"/>
      <c r="BC125" s="5744"/>
      <c r="BD125" s="5744"/>
      <c r="BE125" s="5744"/>
      <c r="BF125" s="5744"/>
      <c r="BG125" s="5689" t="s">
        <v>9821</v>
      </c>
      <c r="BH125" s="5746" t="s">
        <v>9821</v>
      </c>
      <c r="BI125" s="2467" t="s">
        <v>9910</v>
      </c>
      <c r="BJ125" s="5686"/>
      <c r="BK125" s="5689"/>
      <c r="BL125" s="5689"/>
      <c r="BM125" s="5689"/>
      <c r="BN125" s="5689"/>
      <c r="BO125" s="5744"/>
      <c r="BP125" s="5744"/>
      <c r="BQ125" s="5833"/>
      <c r="BR125" s="5749"/>
      <c r="BS125" s="5689"/>
      <c r="BT125" s="5689"/>
      <c r="BU125" s="5689"/>
      <c r="BV125" s="5689"/>
      <c r="BW125" s="5744"/>
      <c r="BX125" s="5744"/>
      <c r="BY125" s="5689"/>
      <c r="BZ125" s="5689"/>
      <c r="CA125" s="5744"/>
      <c r="CB125" s="5744"/>
      <c r="CC125" s="5689"/>
      <c r="CD125" s="5744"/>
      <c r="CE125" s="5744"/>
      <c r="CF125" s="5744"/>
      <c r="CG125" s="5744"/>
      <c r="CH125" s="5744"/>
      <c r="CI125" s="5744"/>
      <c r="CJ125" s="5744"/>
      <c r="CK125" s="5689"/>
      <c r="CL125" s="5744"/>
      <c r="CM125" s="5744"/>
      <c r="CN125" s="5744"/>
      <c r="CO125" s="5744"/>
      <c r="CP125" s="5744"/>
      <c r="CQ125" s="5744"/>
      <c r="CR125" s="5744"/>
      <c r="CS125" s="5744"/>
      <c r="CT125" s="5744"/>
      <c r="CU125" s="5744"/>
      <c r="CV125" s="5744"/>
      <c r="CW125" s="5744"/>
      <c r="CX125" s="5744"/>
      <c r="CY125" s="5744"/>
      <c r="CZ125" s="5744"/>
      <c r="DA125" s="5744"/>
      <c r="DB125" s="5744"/>
      <c r="DC125" s="5744"/>
      <c r="DD125" s="5744"/>
      <c r="DE125" s="5744"/>
      <c r="DF125" s="5744"/>
      <c r="DG125" s="5744"/>
      <c r="DH125" s="5744"/>
      <c r="DI125" s="5744"/>
      <c r="DJ125" s="5744"/>
      <c r="DK125" s="5744"/>
      <c r="DL125" s="5744"/>
      <c r="DM125" s="5744"/>
      <c r="DN125" s="5744"/>
      <c r="DO125" s="5744"/>
      <c r="DP125" s="5744"/>
      <c r="DQ125" s="5744"/>
      <c r="DR125" s="5744"/>
      <c r="DS125" s="5744"/>
      <c r="DT125" s="5744"/>
      <c r="DU125" s="5744"/>
      <c r="DV125" s="5744"/>
      <c r="DW125" s="5744"/>
      <c r="DX125" s="5744"/>
      <c r="DY125" s="5744"/>
      <c r="DZ125" s="5744"/>
      <c r="EA125" s="5744"/>
      <c r="EB125" s="5744"/>
      <c r="EC125" s="5744"/>
      <c r="ED125" s="5744"/>
      <c r="EE125" s="5744"/>
      <c r="EF125" s="5744"/>
      <c r="EG125" s="5744"/>
      <c r="EH125" s="5744"/>
      <c r="EI125" s="5744"/>
      <c r="EJ125" s="5744"/>
      <c r="EK125" s="5744"/>
      <c r="EL125" s="5744"/>
      <c r="EM125" s="5744"/>
      <c r="EN125" s="5744"/>
      <c r="EO125" s="5744"/>
      <c r="EP125" s="5744"/>
      <c r="EQ125" s="5744"/>
      <c r="ER125" s="5744"/>
      <c r="ES125" s="5744"/>
      <c r="ET125" s="5744"/>
      <c r="EU125" s="2038"/>
    </row>
    <row r="126" spans="1:151" s="2039" customFormat="1" ht="15" customHeight="1">
      <c r="A126" s="16269"/>
      <c r="B126" s="16382"/>
      <c r="C126" s="16385"/>
      <c r="D126" s="2764" t="s">
        <v>2772</v>
      </c>
      <c r="E126" s="2764" t="s">
        <v>2773</v>
      </c>
      <c r="F126" s="2764" t="s">
        <v>2773</v>
      </c>
      <c r="G126" s="16244"/>
      <c r="H126" s="5686" t="s">
        <v>4601</v>
      </c>
      <c r="I126" s="2763" t="s">
        <v>9840</v>
      </c>
      <c r="J126" s="2764" t="s">
        <v>2773</v>
      </c>
      <c r="K126" s="2763" t="s">
        <v>2896</v>
      </c>
      <c r="L126" s="5684" t="s">
        <v>2858</v>
      </c>
      <c r="M126" s="5684"/>
      <c r="N126" s="5804"/>
      <c r="O126" s="5835"/>
      <c r="P126" s="5744"/>
      <c r="Q126" s="5744"/>
      <c r="R126" s="5689"/>
      <c r="S126" s="5689"/>
      <c r="T126" s="5689"/>
      <c r="U126" s="5744"/>
      <c r="V126" s="5744"/>
      <c r="W126" s="5689"/>
      <c r="X126" s="5749"/>
      <c r="Y126" s="5689"/>
      <c r="Z126" s="5689"/>
      <c r="AA126" s="5689"/>
      <c r="AB126" s="5689"/>
      <c r="AC126" s="5744"/>
      <c r="AD126" s="5744"/>
      <c r="AE126" s="5689"/>
      <c r="AF126" s="5689"/>
      <c r="AG126" s="5744"/>
      <c r="AH126" s="5744"/>
      <c r="AI126" s="5689"/>
      <c r="AJ126" s="5744"/>
      <c r="AK126" s="5744"/>
      <c r="AL126" s="5744"/>
      <c r="AM126" s="5744"/>
      <c r="AN126" s="5744"/>
      <c r="AO126" s="5744"/>
      <c r="AP126" s="5744"/>
      <c r="AQ126" s="5689"/>
      <c r="AR126" s="5744"/>
      <c r="AS126" s="5744"/>
      <c r="AT126" s="5744"/>
      <c r="AU126" s="5744"/>
      <c r="AV126" s="5744"/>
      <c r="AW126" s="5744"/>
      <c r="AX126" s="5744"/>
      <c r="AY126" s="5744"/>
      <c r="AZ126" s="5744"/>
      <c r="BA126" s="5744"/>
      <c r="BB126" s="5744"/>
      <c r="BC126" s="5744"/>
      <c r="BD126" s="5744"/>
      <c r="BE126" s="5744"/>
      <c r="BF126" s="5744"/>
      <c r="BG126" s="5804">
        <v>1</v>
      </c>
      <c r="BH126" s="5746">
        <v>1</v>
      </c>
      <c r="BI126" s="5836" t="s">
        <v>9176</v>
      </c>
      <c r="BJ126" s="5744"/>
      <c r="BK126" s="5744"/>
      <c r="BL126" s="5689"/>
      <c r="BM126" s="5689"/>
      <c r="BN126" s="5689"/>
      <c r="BO126" s="5744"/>
      <c r="BP126" s="5744"/>
      <c r="BQ126" s="5689"/>
      <c r="BR126" s="5749"/>
      <c r="BS126" s="5689"/>
      <c r="BT126" s="5689"/>
      <c r="BU126" s="5689"/>
      <c r="BV126" s="5689"/>
      <c r="BW126" s="5744"/>
      <c r="BX126" s="5744"/>
      <c r="BY126" s="5689"/>
      <c r="BZ126" s="5689"/>
      <c r="CA126" s="5744"/>
      <c r="CB126" s="5744"/>
      <c r="CC126" s="5689"/>
      <c r="CD126" s="5744"/>
      <c r="CE126" s="5744"/>
      <c r="CF126" s="5744"/>
      <c r="CG126" s="5744"/>
      <c r="CH126" s="5744"/>
      <c r="CI126" s="5744"/>
      <c r="CJ126" s="5744"/>
      <c r="CK126" s="5689"/>
      <c r="CL126" s="5744"/>
      <c r="CM126" s="5744"/>
      <c r="CN126" s="5744"/>
      <c r="CO126" s="5744"/>
      <c r="CP126" s="5744"/>
      <c r="CQ126" s="5744"/>
      <c r="CR126" s="5744"/>
      <c r="CS126" s="5744"/>
      <c r="CT126" s="5744"/>
      <c r="CU126" s="5744"/>
      <c r="CV126" s="5744"/>
      <c r="CW126" s="5744"/>
      <c r="CX126" s="5744"/>
      <c r="CY126" s="5744"/>
      <c r="CZ126" s="5744"/>
      <c r="DA126" s="5744"/>
      <c r="DB126" s="5744"/>
      <c r="DC126" s="5744"/>
      <c r="DD126" s="5744"/>
      <c r="DE126" s="5744"/>
      <c r="DF126" s="5744"/>
      <c r="DG126" s="5744"/>
      <c r="DH126" s="5744"/>
      <c r="DI126" s="5744"/>
      <c r="DJ126" s="5744"/>
      <c r="DK126" s="5744"/>
      <c r="DL126" s="5744"/>
      <c r="DM126" s="5744"/>
      <c r="DN126" s="5744"/>
      <c r="DO126" s="5744"/>
      <c r="DP126" s="5744"/>
      <c r="DQ126" s="5744"/>
      <c r="DR126" s="5744"/>
      <c r="DS126" s="5744"/>
      <c r="DT126" s="5744"/>
      <c r="DU126" s="5744"/>
      <c r="DV126" s="5744"/>
      <c r="DW126" s="5744"/>
      <c r="DX126" s="5744"/>
      <c r="DY126" s="5744"/>
      <c r="DZ126" s="5744"/>
      <c r="EA126" s="5744"/>
      <c r="EB126" s="5744"/>
      <c r="EC126" s="5744"/>
      <c r="ED126" s="5744"/>
      <c r="EE126" s="5744"/>
      <c r="EF126" s="5744"/>
      <c r="EG126" s="5744"/>
      <c r="EH126" s="5744"/>
      <c r="EI126" s="5744"/>
      <c r="EJ126" s="5744"/>
      <c r="EK126" s="5744"/>
      <c r="EL126" s="5744"/>
      <c r="EM126" s="5744"/>
      <c r="EN126" s="5744"/>
      <c r="EO126" s="5744"/>
      <c r="EP126" s="5744"/>
      <c r="EQ126" s="5744"/>
      <c r="ER126" s="5744"/>
      <c r="ES126" s="5744"/>
      <c r="ET126" s="5744"/>
      <c r="EU126" s="2038"/>
    </row>
    <row r="127" spans="1:151" s="2039" customFormat="1" ht="15" customHeight="1">
      <c r="A127" s="16269"/>
      <c r="B127" s="16382"/>
      <c r="C127" s="16385"/>
      <c r="D127" s="2764" t="s">
        <v>2775</v>
      </c>
      <c r="E127" s="2764" t="s">
        <v>2776</v>
      </c>
      <c r="F127" s="2764" t="s">
        <v>2776</v>
      </c>
      <c r="G127" s="16244"/>
      <c r="H127" s="5686" t="s">
        <v>4602</v>
      </c>
      <c r="I127" s="2763" t="s">
        <v>2777</v>
      </c>
      <c r="J127" s="2764" t="s">
        <v>2776</v>
      </c>
      <c r="K127" s="2763" t="s">
        <v>2896</v>
      </c>
      <c r="L127" s="5684" t="s">
        <v>2858</v>
      </c>
      <c r="M127" s="5684"/>
      <c r="N127" s="5804"/>
      <c r="O127" s="5835"/>
      <c r="P127" s="5744"/>
      <c r="Q127" s="5744"/>
      <c r="R127" s="5689"/>
      <c r="S127" s="5689"/>
      <c r="T127" s="5689"/>
      <c r="U127" s="5744"/>
      <c r="V127" s="5744"/>
      <c r="W127" s="5689"/>
      <c r="X127" s="5749"/>
      <c r="Y127" s="5689"/>
      <c r="Z127" s="5689"/>
      <c r="AA127" s="5689"/>
      <c r="AB127" s="5689"/>
      <c r="AC127" s="5744"/>
      <c r="AD127" s="5744"/>
      <c r="AE127" s="5689"/>
      <c r="AF127" s="5689"/>
      <c r="AG127" s="5744"/>
      <c r="AH127" s="5744"/>
      <c r="AI127" s="5689"/>
      <c r="AJ127" s="5744"/>
      <c r="AK127" s="5744"/>
      <c r="AL127" s="5744"/>
      <c r="AM127" s="5744"/>
      <c r="AN127" s="5744"/>
      <c r="AO127" s="5744"/>
      <c r="AP127" s="5744"/>
      <c r="AQ127" s="5689"/>
      <c r="AR127" s="5744"/>
      <c r="AS127" s="5744"/>
      <c r="AT127" s="5744"/>
      <c r="AU127" s="5744"/>
      <c r="AV127" s="5744"/>
      <c r="AW127" s="5744"/>
      <c r="AX127" s="5744"/>
      <c r="AY127" s="5744"/>
      <c r="AZ127" s="5744"/>
      <c r="BA127" s="5744"/>
      <c r="BB127" s="5744"/>
      <c r="BC127" s="5744"/>
      <c r="BD127" s="5744"/>
      <c r="BE127" s="5744"/>
      <c r="BF127" s="5744"/>
      <c r="BG127" s="5804">
        <v>1</v>
      </c>
      <c r="BH127" s="5746">
        <v>1</v>
      </c>
      <c r="BI127" s="5836" t="s">
        <v>9177</v>
      </c>
      <c r="BJ127" s="5744"/>
      <c r="BK127" s="5744"/>
      <c r="BL127" s="5689"/>
      <c r="BM127" s="5689"/>
      <c r="BN127" s="5689"/>
      <c r="BO127" s="5744"/>
      <c r="BP127" s="5744"/>
      <c r="BQ127" s="5689"/>
      <c r="BR127" s="5749"/>
      <c r="BS127" s="5689"/>
      <c r="BT127" s="5689"/>
      <c r="BU127" s="5689"/>
      <c r="BV127" s="5689"/>
      <c r="BW127" s="5744"/>
      <c r="BX127" s="5744"/>
      <c r="BY127" s="5689"/>
      <c r="BZ127" s="5689"/>
      <c r="CA127" s="5744"/>
      <c r="CB127" s="5744"/>
      <c r="CC127" s="5689"/>
      <c r="CD127" s="5744"/>
      <c r="CE127" s="5744"/>
      <c r="CF127" s="5744"/>
      <c r="CG127" s="5744"/>
      <c r="CH127" s="5744"/>
      <c r="CI127" s="5744"/>
      <c r="CJ127" s="5744"/>
      <c r="CK127" s="5689"/>
      <c r="CL127" s="5744"/>
      <c r="CM127" s="5744"/>
      <c r="CN127" s="5744"/>
      <c r="CO127" s="5744"/>
      <c r="CP127" s="5744"/>
      <c r="CQ127" s="5744"/>
      <c r="CR127" s="5744"/>
      <c r="CS127" s="5744"/>
      <c r="CT127" s="5744"/>
      <c r="CU127" s="5744"/>
      <c r="CV127" s="5744"/>
      <c r="CW127" s="5744"/>
      <c r="CX127" s="5744"/>
      <c r="CY127" s="5744"/>
      <c r="CZ127" s="5744"/>
      <c r="DA127" s="5744"/>
      <c r="DB127" s="5744"/>
      <c r="DC127" s="5744"/>
      <c r="DD127" s="5744"/>
      <c r="DE127" s="5744"/>
      <c r="DF127" s="5744"/>
      <c r="DG127" s="5744"/>
      <c r="DH127" s="5744"/>
      <c r="DI127" s="5744"/>
      <c r="DJ127" s="5744"/>
      <c r="DK127" s="5744"/>
      <c r="DL127" s="5744"/>
      <c r="DM127" s="5744"/>
      <c r="DN127" s="5744"/>
      <c r="DO127" s="5744"/>
      <c r="DP127" s="5744"/>
      <c r="DQ127" s="5744"/>
      <c r="DR127" s="5744"/>
      <c r="DS127" s="5744"/>
      <c r="DT127" s="5744"/>
      <c r="DU127" s="5744"/>
      <c r="DV127" s="5744"/>
      <c r="DW127" s="5744"/>
      <c r="DX127" s="5744"/>
      <c r="DY127" s="5744"/>
      <c r="DZ127" s="5744"/>
      <c r="EA127" s="5744"/>
      <c r="EB127" s="5744"/>
      <c r="EC127" s="5744"/>
      <c r="ED127" s="5744"/>
      <c r="EE127" s="5744"/>
      <c r="EF127" s="5744"/>
      <c r="EG127" s="5744"/>
      <c r="EH127" s="5744"/>
      <c r="EI127" s="5744"/>
      <c r="EJ127" s="5744"/>
      <c r="EK127" s="5744"/>
      <c r="EL127" s="5744"/>
      <c r="EM127" s="5744"/>
      <c r="EN127" s="5744"/>
      <c r="EO127" s="5744"/>
      <c r="EP127" s="5744"/>
      <c r="EQ127" s="5744"/>
      <c r="ER127" s="5744"/>
      <c r="ES127" s="5744"/>
      <c r="ET127" s="5744"/>
      <c r="EU127" s="2038"/>
    </row>
    <row r="128" spans="1:151" s="2039" customFormat="1" ht="15" customHeight="1">
      <c r="A128" s="16269"/>
      <c r="B128" s="16382"/>
      <c r="C128" s="16385"/>
      <c r="D128" s="2764" t="s">
        <v>2778</v>
      </c>
      <c r="E128" s="2764" t="s">
        <v>2779</v>
      </c>
      <c r="F128" s="2764" t="s">
        <v>2779</v>
      </c>
      <c r="G128" s="16244"/>
      <c r="H128" s="5686" t="s">
        <v>4603</v>
      </c>
      <c r="I128" s="2763" t="s">
        <v>2780</v>
      </c>
      <c r="J128" s="2764" t="s">
        <v>2779</v>
      </c>
      <c r="K128" s="2763" t="s">
        <v>2896</v>
      </c>
      <c r="L128" s="5684" t="s">
        <v>2858</v>
      </c>
      <c r="M128" s="5684"/>
      <c r="N128" s="5689"/>
      <c r="O128" s="5835"/>
      <c r="P128" s="5744"/>
      <c r="Q128" s="5744"/>
      <c r="R128" s="5689"/>
      <c r="S128" s="5689"/>
      <c r="T128" s="5689"/>
      <c r="U128" s="5744"/>
      <c r="V128" s="5744"/>
      <c r="W128" s="5689"/>
      <c r="X128" s="5749"/>
      <c r="Y128" s="5689"/>
      <c r="Z128" s="5689"/>
      <c r="AA128" s="5689"/>
      <c r="AB128" s="5689"/>
      <c r="AC128" s="5744"/>
      <c r="AD128" s="5744"/>
      <c r="AE128" s="5689"/>
      <c r="AF128" s="5689"/>
      <c r="AG128" s="5744"/>
      <c r="AH128" s="5744"/>
      <c r="AI128" s="5689"/>
      <c r="AJ128" s="5744"/>
      <c r="AK128" s="5744"/>
      <c r="AL128" s="5744"/>
      <c r="AM128" s="5744"/>
      <c r="AN128" s="5744"/>
      <c r="AO128" s="5744"/>
      <c r="AP128" s="5744"/>
      <c r="AQ128" s="5689"/>
      <c r="AR128" s="5744"/>
      <c r="AS128" s="5744"/>
      <c r="AT128" s="5744"/>
      <c r="AU128" s="5744"/>
      <c r="AV128" s="5744"/>
      <c r="AW128" s="5744"/>
      <c r="AX128" s="5744"/>
      <c r="AY128" s="5744"/>
      <c r="AZ128" s="5744"/>
      <c r="BA128" s="5744"/>
      <c r="BB128" s="5744"/>
      <c r="BC128" s="5744"/>
      <c r="BD128" s="5744"/>
      <c r="BE128" s="5744"/>
      <c r="BF128" s="5744"/>
      <c r="BG128" s="5689" t="s">
        <v>545</v>
      </c>
      <c r="BH128" s="5746" t="s">
        <v>545</v>
      </c>
      <c r="BI128" s="5836" t="s">
        <v>9178</v>
      </c>
      <c r="BJ128" s="5744"/>
      <c r="BK128" s="5744"/>
      <c r="BL128" s="5689"/>
      <c r="BM128" s="5689"/>
      <c r="BN128" s="5689"/>
      <c r="BO128" s="5744"/>
      <c r="BP128" s="5744"/>
      <c r="BQ128" s="5689"/>
      <c r="BR128" s="5749"/>
      <c r="BS128" s="5689"/>
      <c r="BT128" s="5689"/>
      <c r="BU128" s="5689"/>
      <c r="BV128" s="5689"/>
      <c r="BW128" s="5744"/>
      <c r="BX128" s="5744"/>
      <c r="BY128" s="5689"/>
      <c r="BZ128" s="5689"/>
      <c r="CA128" s="5744"/>
      <c r="CB128" s="5744"/>
      <c r="CC128" s="5689"/>
      <c r="CD128" s="5744"/>
      <c r="CE128" s="5744"/>
      <c r="CF128" s="5744"/>
      <c r="CG128" s="5744"/>
      <c r="CH128" s="5744"/>
      <c r="CI128" s="5744"/>
      <c r="CJ128" s="5744"/>
      <c r="CK128" s="5689"/>
      <c r="CL128" s="5744"/>
      <c r="CM128" s="5744"/>
      <c r="CN128" s="5744"/>
      <c r="CO128" s="5744"/>
      <c r="CP128" s="5744"/>
      <c r="CQ128" s="5744"/>
      <c r="CR128" s="5744"/>
      <c r="CS128" s="5744"/>
      <c r="CT128" s="5744"/>
      <c r="CU128" s="5744"/>
      <c r="CV128" s="5744"/>
      <c r="CW128" s="5744"/>
      <c r="CX128" s="5744"/>
      <c r="CY128" s="5744"/>
      <c r="CZ128" s="5744"/>
      <c r="DA128" s="5744"/>
      <c r="DB128" s="5744"/>
      <c r="DC128" s="5744"/>
      <c r="DD128" s="5744"/>
      <c r="DE128" s="5744"/>
      <c r="DF128" s="5744"/>
      <c r="DG128" s="5744"/>
      <c r="DH128" s="5744"/>
      <c r="DI128" s="5744"/>
      <c r="DJ128" s="5744"/>
      <c r="DK128" s="5744"/>
      <c r="DL128" s="5744"/>
      <c r="DM128" s="5744"/>
      <c r="DN128" s="5744"/>
      <c r="DO128" s="5744"/>
      <c r="DP128" s="5744"/>
      <c r="DQ128" s="5744"/>
      <c r="DR128" s="5744"/>
      <c r="DS128" s="5744"/>
      <c r="DT128" s="5744"/>
      <c r="DU128" s="5744"/>
      <c r="DV128" s="5744"/>
      <c r="DW128" s="5744"/>
      <c r="DX128" s="5744"/>
      <c r="DY128" s="5744"/>
      <c r="DZ128" s="5744"/>
      <c r="EA128" s="5744"/>
      <c r="EB128" s="5744"/>
      <c r="EC128" s="5744"/>
      <c r="ED128" s="5744"/>
      <c r="EE128" s="5744"/>
      <c r="EF128" s="5744"/>
      <c r="EG128" s="5744"/>
      <c r="EH128" s="5744"/>
      <c r="EI128" s="5744"/>
      <c r="EJ128" s="5744"/>
      <c r="EK128" s="5744"/>
      <c r="EL128" s="5744"/>
      <c r="EM128" s="5744"/>
      <c r="EN128" s="5744"/>
      <c r="EO128" s="5744"/>
      <c r="EP128" s="5744"/>
      <c r="EQ128" s="5744"/>
      <c r="ER128" s="5744"/>
      <c r="ES128" s="5744"/>
      <c r="ET128" s="5744"/>
      <c r="EU128" s="2038"/>
    </row>
    <row r="129" spans="1:151" s="2053" customFormat="1" ht="15" customHeight="1">
      <c r="A129" s="16269"/>
      <c r="B129" s="16382"/>
      <c r="C129" s="16385"/>
      <c r="D129" s="5686" t="s">
        <v>2781</v>
      </c>
      <c r="E129" s="5686" t="s">
        <v>2782</v>
      </c>
      <c r="F129" s="5686" t="s">
        <v>2783</v>
      </c>
      <c r="G129" s="16244"/>
      <c r="H129" s="5686" t="s">
        <v>4604</v>
      </c>
      <c r="I129" s="5686" t="s">
        <v>2784</v>
      </c>
      <c r="J129" s="5686" t="s">
        <v>2783</v>
      </c>
      <c r="K129" s="2764" t="s">
        <v>2896</v>
      </c>
      <c r="L129" s="2755" t="s">
        <v>2858</v>
      </c>
      <c r="M129" s="5696"/>
      <c r="N129" s="5837"/>
      <c r="O129" s="5838"/>
      <c r="P129" s="5839"/>
      <c r="Q129" s="5839"/>
      <c r="R129" s="5840"/>
      <c r="S129" s="5701"/>
      <c r="T129" s="5701"/>
      <c r="U129" s="5839"/>
      <c r="V129" s="5839"/>
      <c r="W129" s="5701"/>
      <c r="X129" s="5841"/>
      <c r="Y129" s="5701"/>
      <c r="Z129" s="5701"/>
      <c r="AA129" s="5701"/>
      <c r="AB129" s="5701"/>
      <c r="AC129" s="5839"/>
      <c r="AD129" s="5839"/>
      <c r="AE129" s="5701"/>
      <c r="AF129" s="5701"/>
      <c r="AG129" s="5839"/>
      <c r="AH129" s="5839"/>
      <c r="AI129" s="5701"/>
      <c r="AJ129" s="5839"/>
      <c r="AK129" s="5839"/>
      <c r="AL129" s="5839"/>
      <c r="AM129" s="5839"/>
      <c r="AN129" s="5839"/>
      <c r="AO129" s="5839"/>
      <c r="AP129" s="5839"/>
      <c r="AQ129" s="5701"/>
      <c r="AR129" s="5839"/>
      <c r="AS129" s="5839"/>
      <c r="AT129" s="5839"/>
      <c r="AU129" s="5839"/>
      <c r="AV129" s="5839"/>
      <c r="AW129" s="5839"/>
      <c r="AX129" s="5839"/>
      <c r="AY129" s="5839"/>
      <c r="AZ129" s="5839"/>
      <c r="BA129" s="5839"/>
      <c r="BB129" s="5839"/>
      <c r="BC129" s="5839"/>
      <c r="BD129" s="5839"/>
      <c r="BE129" s="5839"/>
      <c r="BF129" s="5839"/>
      <c r="BG129" s="5837"/>
      <c r="BH129" s="5746"/>
      <c r="BI129" s="5842" t="s">
        <v>9179</v>
      </c>
      <c r="BJ129" s="5839"/>
      <c r="BK129" s="5839"/>
      <c r="BL129" s="5840" t="s">
        <v>9180</v>
      </c>
      <c r="BM129" s="5701"/>
      <c r="BN129" s="5701"/>
      <c r="BO129" s="5839"/>
      <c r="BP129" s="5839"/>
      <c r="BQ129" s="5701"/>
      <c r="BR129" s="5841"/>
      <c r="BS129" s="5701"/>
      <c r="BT129" s="5701"/>
      <c r="BU129" s="5701"/>
      <c r="BV129" s="5701"/>
      <c r="BW129" s="5839"/>
      <c r="BX129" s="5839"/>
      <c r="BY129" s="5701"/>
      <c r="BZ129" s="5701"/>
      <c r="CA129" s="5839"/>
      <c r="CB129" s="5839"/>
      <c r="CC129" s="5701"/>
      <c r="CD129" s="5839"/>
      <c r="CE129" s="5839"/>
      <c r="CF129" s="5839"/>
      <c r="CG129" s="5839"/>
      <c r="CH129" s="5839"/>
      <c r="CI129" s="5839"/>
      <c r="CJ129" s="5839"/>
      <c r="CK129" s="5701"/>
      <c r="CL129" s="5839"/>
      <c r="CM129" s="5839"/>
      <c r="CN129" s="5839"/>
      <c r="CO129" s="5839"/>
      <c r="CP129" s="5839"/>
      <c r="CQ129" s="5839"/>
      <c r="CR129" s="5839"/>
      <c r="CS129" s="5839"/>
      <c r="CT129" s="5839"/>
      <c r="CU129" s="5839"/>
      <c r="CV129" s="5839"/>
      <c r="CW129" s="5839"/>
      <c r="CX129" s="5839"/>
      <c r="CY129" s="5839"/>
      <c r="CZ129" s="5839"/>
      <c r="DA129" s="5839"/>
      <c r="DB129" s="5839"/>
      <c r="DC129" s="5839"/>
      <c r="DD129" s="5839"/>
      <c r="DE129" s="5839"/>
      <c r="DF129" s="5839"/>
      <c r="DG129" s="5839"/>
      <c r="DH129" s="5839"/>
      <c r="DI129" s="5839"/>
      <c r="DJ129" s="5839"/>
      <c r="DK129" s="5839"/>
      <c r="DL129" s="5839"/>
      <c r="DM129" s="5839"/>
      <c r="DN129" s="5839"/>
      <c r="DO129" s="5839"/>
      <c r="DP129" s="5839"/>
      <c r="DQ129" s="5839"/>
      <c r="DR129" s="5839"/>
      <c r="DS129" s="5839"/>
      <c r="DT129" s="5839"/>
      <c r="DU129" s="5839"/>
      <c r="DV129" s="5839"/>
      <c r="DW129" s="5839"/>
      <c r="DX129" s="5839"/>
      <c r="DY129" s="5839"/>
      <c r="DZ129" s="5839"/>
      <c r="EA129" s="5839"/>
      <c r="EB129" s="5839"/>
      <c r="EC129" s="5839"/>
      <c r="ED129" s="5839"/>
      <c r="EE129" s="5839"/>
      <c r="EF129" s="5839"/>
      <c r="EG129" s="5839"/>
      <c r="EH129" s="5839"/>
      <c r="EI129" s="5839"/>
      <c r="EJ129" s="5839"/>
      <c r="EK129" s="5839"/>
      <c r="EL129" s="5839"/>
      <c r="EM129" s="5839"/>
      <c r="EN129" s="5839"/>
      <c r="EO129" s="5839"/>
      <c r="EP129" s="5839"/>
      <c r="EQ129" s="5839"/>
      <c r="ER129" s="5839"/>
      <c r="ES129" s="5839"/>
      <c r="ET129" s="5839"/>
      <c r="EU129" s="2052"/>
    </row>
    <row r="130" spans="1:151" s="2039" customFormat="1" ht="15" customHeight="1">
      <c r="A130" s="16269"/>
      <c r="B130" s="16382"/>
      <c r="C130" s="16385"/>
      <c r="D130" s="2764" t="s">
        <v>2785</v>
      </c>
      <c r="E130" s="2764" t="s">
        <v>2786</v>
      </c>
      <c r="F130" s="2764" t="s">
        <v>2787</v>
      </c>
      <c r="G130" s="16244"/>
      <c r="H130" s="5686" t="s">
        <v>4605</v>
      </c>
      <c r="I130" s="2763" t="s">
        <v>2788</v>
      </c>
      <c r="J130" s="2764" t="s">
        <v>2787</v>
      </c>
      <c r="K130" s="2763" t="s">
        <v>2896</v>
      </c>
      <c r="L130" s="5684" t="s">
        <v>2858</v>
      </c>
      <c r="M130" s="5684"/>
      <c r="N130" s="5804"/>
      <c r="O130" s="5843"/>
      <c r="P130" s="5844"/>
      <c r="Q130" s="5744"/>
      <c r="R130" s="5845"/>
      <c r="S130" s="5689"/>
      <c r="T130" s="5689"/>
      <c r="U130" s="5744"/>
      <c r="V130" s="5744"/>
      <c r="W130" s="5689"/>
      <c r="X130" s="5749"/>
      <c r="Y130" s="5689"/>
      <c r="Z130" s="5689"/>
      <c r="AA130" s="5689"/>
      <c r="AB130" s="5689"/>
      <c r="AC130" s="5744"/>
      <c r="AD130" s="5744"/>
      <c r="AE130" s="5689"/>
      <c r="AF130" s="5689"/>
      <c r="AG130" s="5744"/>
      <c r="AH130" s="5744"/>
      <c r="AI130" s="5689"/>
      <c r="AJ130" s="5744"/>
      <c r="AK130" s="5744"/>
      <c r="AL130" s="5744"/>
      <c r="AM130" s="5744"/>
      <c r="AN130" s="5744"/>
      <c r="AO130" s="5744"/>
      <c r="AP130" s="5744"/>
      <c r="AQ130" s="5689"/>
      <c r="AR130" s="5744"/>
      <c r="AS130" s="5744"/>
      <c r="AT130" s="5744"/>
      <c r="AU130" s="5744"/>
      <c r="AV130" s="5744"/>
      <c r="AW130" s="5744"/>
      <c r="AX130" s="5744"/>
      <c r="AY130" s="5744"/>
      <c r="AZ130" s="5744"/>
      <c r="BA130" s="5744"/>
      <c r="BB130" s="5744"/>
      <c r="BC130" s="5744"/>
      <c r="BD130" s="5744"/>
      <c r="BE130" s="5744"/>
      <c r="BF130" s="5744"/>
      <c r="BG130" s="5804">
        <v>1</v>
      </c>
      <c r="BH130" s="5746">
        <v>1</v>
      </c>
      <c r="BI130" s="5846" t="s">
        <v>9181</v>
      </c>
      <c r="BJ130" s="5844" t="s">
        <v>9182</v>
      </c>
      <c r="BK130" s="5744"/>
      <c r="BL130" s="5845" t="s">
        <v>9183</v>
      </c>
      <c r="BM130" s="5689"/>
      <c r="BN130" s="5689"/>
      <c r="BO130" s="5744"/>
      <c r="BP130" s="5744"/>
      <c r="BQ130" s="5689"/>
      <c r="BR130" s="5749"/>
      <c r="BS130" s="5689"/>
      <c r="BT130" s="5689"/>
      <c r="BU130" s="5689"/>
      <c r="BV130" s="5689"/>
      <c r="BW130" s="5744"/>
      <c r="BX130" s="5744"/>
      <c r="BY130" s="5689"/>
      <c r="BZ130" s="5689"/>
      <c r="CA130" s="5744"/>
      <c r="CB130" s="5744"/>
      <c r="CC130" s="5689"/>
      <c r="CD130" s="5744"/>
      <c r="CE130" s="5744"/>
      <c r="CF130" s="5744"/>
      <c r="CG130" s="5744"/>
      <c r="CH130" s="5744"/>
      <c r="CI130" s="5744"/>
      <c r="CJ130" s="5744"/>
      <c r="CK130" s="5689"/>
      <c r="CL130" s="5744"/>
      <c r="CM130" s="5744"/>
      <c r="CN130" s="5744"/>
      <c r="CO130" s="5744"/>
      <c r="CP130" s="5744"/>
      <c r="CQ130" s="5744"/>
      <c r="CR130" s="5744"/>
      <c r="CS130" s="5744"/>
      <c r="CT130" s="5744"/>
      <c r="CU130" s="5744"/>
      <c r="CV130" s="5744"/>
      <c r="CW130" s="5744"/>
      <c r="CX130" s="5744"/>
      <c r="CY130" s="5744"/>
      <c r="CZ130" s="5744"/>
      <c r="DA130" s="5744"/>
      <c r="DB130" s="5744"/>
      <c r="DC130" s="5744"/>
      <c r="DD130" s="5744"/>
      <c r="DE130" s="5744"/>
      <c r="DF130" s="5744"/>
      <c r="DG130" s="5744"/>
      <c r="DH130" s="5744"/>
      <c r="DI130" s="5744"/>
      <c r="DJ130" s="5744"/>
      <c r="DK130" s="5744"/>
      <c r="DL130" s="5744"/>
      <c r="DM130" s="5744"/>
      <c r="DN130" s="5744"/>
      <c r="DO130" s="5744"/>
      <c r="DP130" s="5744"/>
      <c r="DQ130" s="5744"/>
      <c r="DR130" s="5744"/>
      <c r="DS130" s="5744"/>
      <c r="DT130" s="5744"/>
      <c r="DU130" s="5744"/>
      <c r="DV130" s="5744"/>
      <c r="DW130" s="5744"/>
      <c r="DX130" s="5744"/>
      <c r="DY130" s="5744"/>
      <c r="DZ130" s="5744"/>
      <c r="EA130" s="5744"/>
      <c r="EB130" s="5744"/>
      <c r="EC130" s="5744"/>
      <c r="ED130" s="5744"/>
      <c r="EE130" s="5744"/>
      <c r="EF130" s="5744"/>
      <c r="EG130" s="5744"/>
      <c r="EH130" s="5744"/>
      <c r="EI130" s="5744"/>
      <c r="EJ130" s="5744"/>
      <c r="EK130" s="5744"/>
      <c r="EL130" s="5744"/>
      <c r="EM130" s="5744"/>
      <c r="EN130" s="5744"/>
      <c r="EO130" s="5744"/>
      <c r="EP130" s="5744"/>
      <c r="EQ130" s="5744"/>
      <c r="ER130" s="5744"/>
      <c r="ES130" s="5744"/>
      <c r="ET130" s="5744"/>
      <c r="EU130" s="2038"/>
    </row>
    <row r="131" spans="1:151" s="2039" customFormat="1" ht="15" customHeight="1">
      <c r="A131" s="16269"/>
      <c r="B131" s="16382"/>
      <c r="C131" s="16385"/>
      <c r="D131" s="2764" t="s">
        <v>8531</v>
      </c>
      <c r="E131" s="2764" t="s">
        <v>8532</v>
      </c>
      <c r="F131" s="2764" t="s">
        <v>8533</v>
      </c>
      <c r="G131" s="16244"/>
      <c r="H131" s="5689" t="s">
        <v>8534</v>
      </c>
      <c r="I131" s="5847" t="s">
        <v>10266</v>
      </c>
      <c r="J131" s="2764" t="s">
        <v>8533</v>
      </c>
      <c r="K131" s="5744" t="s">
        <v>2896</v>
      </c>
      <c r="L131" s="5684" t="s">
        <v>2858</v>
      </c>
      <c r="M131" s="5684"/>
      <c r="N131" s="5689"/>
      <c r="O131" s="5835"/>
      <c r="P131" s="5744"/>
      <c r="Q131" s="5744"/>
      <c r="R131" s="5689"/>
      <c r="S131" s="5689"/>
      <c r="T131" s="5689"/>
      <c r="U131" s="5744"/>
      <c r="V131" s="5744"/>
      <c r="W131" s="5689"/>
      <c r="X131" s="5749"/>
      <c r="Y131" s="5689"/>
      <c r="Z131" s="5689"/>
      <c r="AA131" s="5689"/>
      <c r="AB131" s="5689"/>
      <c r="AC131" s="5744"/>
      <c r="AD131" s="5744"/>
      <c r="AE131" s="5689"/>
      <c r="AF131" s="5689"/>
      <c r="AG131" s="5744"/>
      <c r="AH131" s="5744"/>
      <c r="AI131" s="5689"/>
      <c r="AJ131" s="5744"/>
      <c r="AK131" s="5744"/>
      <c r="AL131" s="5744"/>
      <c r="AM131" s="5744"/>
      <c r="AN131" s="5744"/>
      <c r="AO131" s="5744"/>
      <c r="AP131" s="5744"/>
      <c r="AQ131" s="5689"/>
      <c r="AR131" s="5744"/>
      <c r="AS131" s="5744"/>
      <c r="AT131" s="5744"/>
      <c r="AU131" s="5744"/>
      <c r="AV131" s="5744"/>
      <c r="AW131" s="5744"/>
      <c r="AX131" s="5744"/>
      <c r="AY131" s="5744"/>
      <c r="AZ131" s="5744"/>
      <c r="BA131" s="5744"/>
      <c r="BB131" s="5744"/>
      <c r="BC131" s="5744"/>
      <c r="BD131" s="5744"/>
      <c r="BE131" s="5744"/>
      <c r="BF131" s="5744"/>
      <c r="BG131" s="5689" t="s">
        <v>545</v>
      </c>
      <c r="BH131" s="5746" t="s">
        <v>545</v>
      </c>
      <c r="BI131" s="5836" t="s">
        <v>9184</v>
      </c>
      <c r="BJ131" s="5744"/>
      <c r="BK131" s="5744"/>
      <c r="BL131" s="5689"/>
      <c r="BM131" s="5689"/>
      <c r="BN131" s="5689"/>
      <c r="BO131" s="5744"/>
      <c r="BP131" s="5744"/>
      <c r="BQ131" s="5689"/>
      <c r="BR131" s="5749"/>
      <c r="BS131" s="5689"/>
      <c r="BT131" s="5689"/>
      <c r="BU131" s="5689"/>
      <c r="BV131" s="5689"/>
      <c r="BW131" s="5744"/>
      <c r="BX131" s="5744"/>
      <c r="BY131" s="5689"/>
      <c r="BZ131" s="5689"/>
      <c r="CA131" s="5744"/>
      <c r="CB131" s="5744"/>
      <c r="CC131" s="5689"/>
      <c r="CD131" s="5744"/>
      <c r="CE131" s="5744"/>
      <c r="CF131" s="5744"/>
      <c r="CG131" s="5744"/>
      <c r="CH131" s="5744"/>
      <c r="CI131" s="5744"/>
      <c r="CJ131" s="5744"/>
      <c r="CK131" s="5689"/>
      <c r="CL131" s="5744"/>
      <c r="CM131" s="5744"/>
      <c r="CN131" s="5744"/>
      <c r="CO131" s="5744"/>
      <c r="CP131" s="5744"/>
      <c r="CQ131" s="5744"/>
      <c r="CR131" s="5744"/>
      <c r="CS131" s="5744"/>
      <c r="CT131" s="5744"/>
      <c r="CU131" s="5744"/>
      <c r="CV131" s="5744"/>
      <c r="CW131" s="5744"/>
      <c r="CX131" s="5744"/>
      <c r="CY131" s="5744"/>
      <c r="CZ131" s="5744"/>
      <c r="DA131" s="5744"/>
      <c r="DB131" s="5744"/>
      <c r="DC131" s="5744"/>
      <c r="DD131" s="5744"/>
      <c r="DE131" s="5744"/>
      <c r="DF131" s="5744"/>
      <c r="DG131" s="5744"/>
      <c r="DH131" s="5744"/>
      <c r="DI131" s="5744"/>
      <c r="DJ131" s="5744"/>
      <c r="DK131" s="5744"/>
      <c r="DL131" s="5744"/>
      <c r="DM131" s="5744"/>
      <c r="DN131" s="5744"/>
      <c r="DO131" s="5744"/>
      <c r="DP131" s="5744"/>
      <c r="DQ131" s="5744"/>
      <c r="DR131" s="5744"/>
      <c r="DS131" s="5744"/>
      <c r="DT131" s="5744"/>
      <c r="DU131" s="5744"/>
      <c r="DV131" s="5744"/>
      <c r="DW131" s="5744"/>
      <c r="DX131" s="5744"/>
      <c r="DY131" s="5744"/>
      <c r="DZ131" s="5744"/>
      <c r="EA131" s="5744"/>
      <c r="EB131" s="5744"/>
      <c r="EC131" s="5744"/>
      <c r="ED131" s="5744"/>
      <c r="EE131" s="5744"/>
      <c r="EF131" s="5744"/>
      <c r="EG131" s="5744"/>
      <c r="EH131" s="5744"/>
      <c r="EI131" s="5744"/>
      <c r="EJ131" s="5744"/>
      <c r="EK131" s="5744"/>
      <c r="EL131" s="5744"/>
      <c r="EM131" s="5744"/>
      <c r="EN131" s="5744"/>
      <c r="EO131" s="5744"/>
      <c r="EP131" s="5744"/>
      <c r="EQ131" s="5744"/>
      <c r="ER131" s="5744"/>
      <c r="ES131" s="5744"/>
      <c r="ET131" s="5744"/>
      <c r="EU131" s="2038"/>
    </row>
    <row r="132" spans="1:151" s="2039" customFormat="1" ht="15" customHeight="1">
      <c r="A132" s="16269"/>
      <c r="B132" s="16382"/>
      <c r="C132" s="16385"/>
      <c r="D132" s="2764" t="s">
        <v>8535</v>
      </c>
      <c r="E132" s="2764" t="s">
        <v>8536</v>
      </c>
      <c r="F132" s="2764" t="s">
        <v>8537</v>
      </c>
      <c r="G132" s="16244"/>
      <c r="H132" s="5686" t="s">
        <v>8534</v>
      </c>
      <c r="I132" s="5847" t="s">
        <v>10267</v>
      </c>
      <c r="J132" s="2764" t="s">
        <v>8537</v>
      </c>
      <c r="K132" s="2763" t="s">
        <v>2896</v>
      </c>
      <c r="L132" s="5684" t="s">
        <v>2858</v>
      </c>
      <c r="M132" s="5684"/>
      <c r="N132" s="5689"/>
      <c r="O132" s="5835"/>
      <c r="P132" s="5744"/>
      <c r="Q132" s="5744"/>
      <c r="R132" s="5689"/>
      <c r="S132" s="5689"/>
      <c r="T132" s="5689"/>
      <c r="U132" s="5744"/>
      <c r="V132" s="5744"/>
      <c r="W132" s="5689"/>
      <c r="X132" s="5749"/>
      <c r="Y132" s="5689"/>
      <c r="Z132" s="5689"/>
      <c r="AA132" s="5689"/>
      <c r="AB132" s="5689"/>
      <c r="AC132" s="5744"/>
      <c r="AD132" s="5744"/>
      <c r="AE132" s="5689"/>
      <c r="AF132" s="5689"/>
      <c r="AG132" s="5744"/>
      <c r="AH132" s="5744"/>
      <c r="AI132" s="5689"/>
      <c r="AJ132" s="5744"/>
      <c r="AK132" s="5744"/>
      <c r="AL132" s="5744"/>
      <c r="AM132" s="5744"/>
      <c r="AN132" s="5744"/>
      <c r="AO132" s="5744"/>
      <c r="AP132" s="5744"/>
      <c r="AQ132" s="5689"/>
      <c r="AR132" s="5744"/>
      <c r="AS132" s="5744"/>
      <c r="AT132" s="5744"/>
      <c r="AU132" s="5744"/>
      <c r="AV132" s="5744"/>
      <c r="AW132" s="5744"/>
      <c r="AX132" s="5744"/>
      <c r="AY132" s="5744"/>
      <c r="AZ132" s="5744"/>
      <c r="BA132" s="5744"/>
      <c r="BB132" s="5744"/>
      <c r="BC132" s="5744"/>
      <c r="BD132" s="5744"/>
      <c r="BE132" s="5744"/>
      <c r="BF132" s="5744"/>
      <c r="BG132" s="5689" t="s">
        <v>545</v>
      </c>
      <c r="BH132" s="5746" t="s">
        <v>545</v>
      </c>
      <c r="BI132" s="5836" t="s">
        <v>9184</v>
      </c>
      <c r="BJ132" s="5744"/>
      <c r="BK132" s="5744"/>
      <c r="BL132" s="5689"/>
      <c r="BM132" s="5689"/>
      <c r="BN132" s="5689"/>
      <c r="BO132" s="5744"/>
      <c r="BP132" s="5744"/>
      <c r="BQ132" s="5689"/>
      <c r="BR132" s="5749"/>
      <c r="BS132" s="5689"/>
      <c r="BT132" s="5689"/>
      <c r="BU132" s="5689"/>
      <c r="BV132" s="5689"/>
      <c r="BW132" s="5744"/>
      <c r="BX132" s="5744"/>
      <c r="BY132" s="5689"/>
      <c r="BZ132" s="5689"/>
      <c r="CA132" s="5744"/>
      <c r="CB132" s="5744"/>
      <c r="CC132" s="5689"/>
      <c r="CD132" s="5744"/>
      <c r="CE132" s="5744"/>
      <c r="CF132" s="5744"/>
      <c r="CG132" s="5744"/>
      <c r="CH132" s="5744"/>
      <c r="CI132" s="5744"/>
      <c r="CJ132" s="5744"/>
      <c r="CK132" s="5689"/>
      <c r="CL132" s="5744"/>
      <c r="CM132" s="5744"/>
      <c r="CN132" s="5744"/>
      <c r="CO132" s="5744"/>
      <c r="CP132" s="5744"/>
      <c r="CQ132" s="5744"/>
      <c r="CR132" s="5744"/>
      <c r="CS132" s="5744"/>
      <c r="CT132" s="5744"/>
      <c r="CU132" s="5744"/>
      <c r="CV132" s="5744"/>
      <c r="CW132" s="5744"/>
      <c r="CX132" s="5744"/>
      <c r="CY132" s="5744"/>
      <c r="CZ132" s="5744"/>
      <c r="DA132" s="5744"/>
      <c r="DB132" s="5744"/>
      <c r="DC132" s="5744"/>
      <c r="DD132" s="5744"/>
      <c r="DE132" s="5744"/>
      <c r="DF132" s="5744"/>
      <c r="DG132" s="5744"/>
      <c r="DH132" s="5744"/>
      <c r="DI132" s="5744"/>
      <c r="DJ132" s="5744"/>
      <c r="DK132" s="5744"/>
      <c r="DL132" s="5744"/>
      <c r="DM132" s="5744"/>
      <c r="DN132" s="5744"/>
      <c r="DO132" s="5744"/>
      <c r="DP132" s="5744"/>
      <c r="DQ132" s="5744"/>
      <c r="DR132" s="5744"/>
      <c r="DS132" s="5744"/>
      <c r="DT132" s="5744"/>
      <c r="DU132" s="5744"/>
      <c r="DV132" s="5744"/>
      <c r="DW132" s="5744"/>
      <c r="DX132" s="5744"/>
      <c r="DY132" s="5744"/>
      <c r="DZ132" s="5744"/>
      <c r="EA132" s="5744"/>
      <c r="EB132" s="5744"/>
      <c r="EC132" s="5744"/>
      <c r="ED132" s="5744"/>
      <c r="EE132" s="5744"/>
      <c r="EF132" s="5744"/>
      <c r="EG132" s="5744"/>
      <c r="EH132" s="5744"/>
      <c r="EI132" s="5744"/>
      <c r="EJ132" s="5744"/>
      <c r="EK132" s="5744"/>
      <c r="EL132" s="5744"/>
      <c r="EM132" s="5744"/>
      <c r="EN132" s="5744"/>
      <c r="EO132" s="5744"/>
      <c r="EP132" s="5744"/>
      <c r="EQ132" s="5744"/>
      <c r="ER132" s="5744"/>
      <c r="ES132" s="5744"/>
      <c r="ET132" s="5744"/>
      <c r="EU132" s="2038"/>
    </row>
    <row r="133" spans="1:151" s="2039" customFormat="1" ht="15" customHeight="1">
      <c r="A133" s="16269"/>
      <c r="B133" s="16382"/>
      <c r="C133" s="16385"/>
      <c r="D133" s="5848" t="s">
        <v>8538</v>
      </c>
      <c r="E133" s="5848" t="s">
        <v>8539</v>
      </c>
      <c r="F133" s="5848" t="s">
        <v>8540</v>
      </c>
      <c r="G133" s="16244"/>
      <c r="H133" s="5686" t="s">
        <v>8534</v>
      </c>
      <c r="I133" s="5847" t="s">
        <v>10268</v>
      </c>
      <c r="J133" s="5848" t="s">
        <v>8540</v>
      </c>
      <c r="K133" s="2764" t="s">
        <v>2859</v>
      </c>
      <c r="L133" s="5684" t="s">
        <v>2859</v>
      </c>
      <c r="M133" s="5684"/>
      <c r="N133" s="5744"/>
      <c r="O133" s="5744"/>
      <c r="P133" s="5744"/>
      <c r="Q133" s="5744"/>
      <c r="R133" s="5744"/>
      <c r="S133" s="5744"/>
      <c r="T133" s="5744"/>
      <c r="U133" s="5744"/>
      <c r="V133" s="5744"/>
      <c r="W133" s="5744"/>
      <c r="X133" s="5744"/>
      <c r="Y133" s="5744"/>
      <c r="Z133" s="5744"/>
      <c r="AA133" s="5744"/>
      <c r="AB133" s="5744"/>
      <c r="AC133" s="5744"/>
      <c r="AD133" s="5744"/>
      <c r="AE133" s="5744"/>
      <c r="AF133" s="5744"/>
      <c r="AG133" s="5744"/>
      <c r="AH133" s="5744"/>
      <c r="AI133" s="5744"/>
      <c r="AJ133" s="5744"/>
      <c r="AK133" s="5744"/>
      <c r="AL133" s="5744"/>
      <c r="AM133" s="5744"/>
      <c r="AN133" s="5744"/>
      <c r="AO133" s="5744"/>
      <c r="AP133" s="5744"/>
      <c r="AQ133" s="5744"/>
      <c r="AR133" s="5744"/>
      <c r="AS133" s="5744"/>
      <c r="AT133" s="5744"/>
      <c r="AU133" s="5744"/>
      <c r="AV133" s="5744"/>
      <c r="AW133" s="5744"/>
      <c r="AX133" s="5744"/>
      <c r="AY133" s="5744"/>
      <c r="AZ133" s="5744"/>
      <c r="BA133" s="5744"/>
      <c r="BB133" s="5744"/>
      <c r="BC133" s="5744"/>
      <c r="BD133" s="5744"/>
      <c r="BE133" s="5744"/>
      <c r="BF133" s="5744"/>
      <c r="BG133" s="5744"/>
      <c r="BH133" s="5746"/>
      <c r="BI133" s="2463"/>
      <c r="BJ133" s="5744"/>
      <c r="BK133" s="5744"/>
      <c r="BL133" s="5744"/>
      <c r="BM133" s="5744"/>
      <c r="BN133" s="5744"/>
      <c r="BO133" s="5744"/>
      <c r="BP133" s="5744"/>
      <c r="BQ133" s="5744"/>
      <c r="BR133" s="5744"/>
      <c r="BS133" s="5744"/>
      <c r="BT133" s="5744"/>
      <c r="BU133" s="5744"/>
      <c r="BV133" s="5744"/>
      <c r="BW133" s="5744"/>
      <c r="BX133" s="5744"/>
      <c r="BY133" s="5744"/>
      <c r="BZ133" s="5744"/>
      <c r="CA133" s="5744"/>
      <c r="CB133" s="5744"/>
      <c r="CC133" s="5744"/>
      <c r="CD133" s="5744"/>
      <c r="CE133" s="5744"/>
      <c r="CF133" s="5744"/>
      <c r="CG133" s="5744"/>
      <c r="CH133" s="5744"/>
      <c r="CI133" s="5744"/>
      <c r="CJ133" s="5744"/>
      <c r="CK133" s="5744"/>
      <c r="CL133" s="5744"/>
      <c r="CM133" s="5744"/>
      <c r="CN133" s="5744"/>
      <c r="CO133" s="5744"/>
      <c r="CP133" s="5744"/>
      <c r="CQ133" s="5744"/>
      <c r="CR133" s="5744"/>
      <c r="CS133" s="5744"/>
      <c r="CT133" s="5744"/>
      <c r="CU133" s="5744"/>
      <c r="CV133" s="5744"/>
      <c r="CW133" s="5744"/>
      <c r="CX133" s="5744"/>
      <c r="CY133" s="5744"/>
      <c r="CZ133" s="5744"/>
      <c r="DA133" s="5744"/>
      <c r="DB133" s="5744"/>
      <c r="DC133" s="5744"/>
      <c r="DD133" s="5744"/>
      <c r="DE133" s="5744"/>
      <c r="DF133" s="5744"/>
      <c r="DG133" s="5744"/>
      <c r="DH133" s="5744"/>
      <c r="DI133" s="5744"/>
      <c r="DJ133" s="5744"/>
      <c r="DK133" s="5744"/>
      <c r="DL133" s="5744"/>
      <c r="DM133" s="5744"/>
      <c r="DN133" s="5744"/>
      <c r="DO133" s="5744"/>
      <c r="DP133" s="5744"/>
      <c r="DQ133" s="5744"/>
      <c r="DR133" s="5744"/>
      <c r="DS133" s="5744"/>
      <c r="DT133" s="5744"/>
      <c r="DU133" s="5744"/>
      <c r="DV133" s="5744"/>
      <c r="DW133" s="5744"/>
      <c r="DX133" s="5744"/>
      <c r="DY133" s="5744"/>
      <c r="DZ133" s="5744"/>
      <c r="EA133" s="5744"/>
      <c r="EB133" s="5744"/>
      <c r="EC133" s="5744"/>
      <c r="ED133" s="5744"/>
      <c r="EE133" s="5744"/>
      <c r="EF133" s="5744"/>
      <c r="EG133" s="5744"/>
      <c r="EH133" s="5744"/>
      <c r="EI133" s="5744"/>
      <c r="EJ133" s="5744"/>
      <c r="EK133" s="5744"/>
      <c r="EL133" s="5744"/>
      <c r="EM133" s="5744"/>
      <c r="EN133" s="5744"/>
      <c r="EO133" s="5744"/>
      <c r="EP133" s="5744"/>
      <c r="EQ133" s="5744"/>
      <c r="ER133" s="5744"/>
      <c r="ES133" s="5744"/>
      <c r="ET133" s="5744"/>
      <c r="EU133" s="2038"/>
    </row>
    <row r="134" spans="1:151" s="2039" customFormat="1" ht="15" customHeight="1">
      <c r="A134" s="16269"/>
      <c r="B134" s="16382"/>
      <c r="C134" s="16385"/>
      <c r="D134" s="5848" t="s">
        <v>8541</v>
      </c>
      <c r="E134" s="5848" t="s">
        <v>8542</v>
      </c>
      <c r="F134" s="5848" t="s">
        <v>8543</v>
      </c>
      <c r="G134" s="16244"/>
      <c r="H134" s="5686" t="s">
        <v>8534</v>
      </c>
      <c r="I134" s="5847" t="s">
        <v>10269</v>
      </c>
      <c r="J134" s="5848" t="s">
        <v>8543</v>
      </c>
      <c r="K134" s="2764" t="s">
        <v>2859</v>
      </c>
      <c r="L134" s="5684" t="s">
        <v>2859</v>
      </c>
      <c r="M134" s="5684"/>
      <c r="N134" s="5744"/>
      <c r="O134" s="5744"/>
      <c r="P134" s="5744"/>
      <c r="Q134" s="5744"/>
      <c r="R134" s="5744"/>
      <c r="S134" s="5744"/>
      <c r="T134" s="5744"/>
      <c r="U134" s="5744"/>
      <c r="V134" s="5744"/>
      <c r="W134" s="5744"/>
      <c r="X134" s="5744"/>
      <c r="Y134" s="5744"/>
      <c r="Z134" s="5744"/>
      <c r="AA134" s="5744"/>
      <c r="AB134" s="5744"/>
      <c r="AC134" s="5744"/>
      <c r="AD134" s="5744"/>
      <c r="AE134" s="5744"/>
      <c r="AF134" s="5744"/>
      <c r="AG134" s="5744"/>
      <c r="AH134" s="5744"/>
      <c r="AI134" s="5744"/>
      <c r="AJ134" s="5744"/>
      <c r="AK134" s="5744"/>
      <c r="AL134" s="5744"/>
      <c r="AM134" s="5744"/>
      <c r="AN134" s="5744"/>
      <c r="AO134" s="5744"/>
      <c r="AP134" s="5744"/>
      <c r="AQ134" s="5744"/>
      <c r="AR134" s="5744"/>
      <c r="AS134" s="5744"/>
      <c r="AT134" s="5744"/>
      <c r="AU134" s="5744"/>
      <c r="AV134" s="5744"/>
      <c r="AW134" s="5744"/>
      <c r="AX134" s="5744"/>
      <c r="AY134" s="5744"/>
      <c r="AZ134" s="5744"/>
      <c r="BA134" s="5744"/>
      <c r="BB134" s="5744"/>
      <c r="BC134" s="5744"/>
      <c r="BD134" s="5744"/>
      <c r="BE134" s="5744"/>
      <c r="BF134" s="5744"/>
      <c r="BG134" s="5744"/>
      <c r="BH134" s="5746"/>
      <c r="BI134" s="2463"/>
      <c r="BJ134" s="5744"/>
      <c r="BK134" s="5744"/>
      <c r="BL134" s="5744"/>
      <c r="BM134" s="5744"/>
      <c r="BN134" s="5744"/>
      <c r="BO134" s="5744"/>
      <c r="BP134" s="5744"/>
      <c r="BQ134" s="5744"/>
      <c r="BR134" s="5744"/>
      <c r="BS134" s="5744"/>
      <c r="BT134" s="5744"/>
      <c r="BU134" s="5744"/>
      <c r="BV134" s="5744"/>
      <c r="BW134" s="5744"/>
      <c r="BX134" s="5744"/>
      <c r="BY134" s="5744"/>
      <c r="BZ134" s="5744"/>
      <c r="CA134" s="5744"/>
      <c r="CB134" s="5744"/>
      <c r="CC134" s="5744"/>
      <c r="CD134" s="5744"/>
      <c r="CE134" s="5744"/>
      <c r="CF134" s="5744"/>
      <c r="CG134" s="5744"/>
      <c r="CH134" s="5744"/>
      <c r="CI134" s="5744"/>
      <c r="CJ134" s="5744"/>
      <c r="CK134" s="5744"/>
      <c r="CL134" s="5744"/>
      <c r="CM134" s="5744"/>
      <c r="CN134" s="5744"/>
      <c r="CO134" s="5744"/>
      <c r="CP134" s="5744"/>
      <c r="CQ134" s="5744"/>
      <c r="CR134" s="5744"/>
      <c r="CS134" s="5744"/>
      <c r="CT134" s="5744"/>
      <c r="CU134" s="5744"/>
      <c r="CV134" s="5744"/>
      <c r="CW134" s="5744"/>
      <c r="CX134" s="5744"/>
      <c r="CY134" s="5744"/>
      <c r="CZ134" s="5744"/>
      <c r="DA134" s="5744"/>
      <c r="DB134" s="5744"/>
      <c r="DC134" s="5744"/>
      <c r="DD134" s="5744"/>
      <c r="DE134" s="5744"/>
      <c r="DF134" s="5744"/>
      <c r="DG134" s="5744"/>
      <c r="DH134" s="5744"/>
      <c r="DI134" s="5744"/>
      <c r="DJ134" s="5744"/>
      <c r="DK134" s="5744"/>
      <c r="DL134" s="5744"/>
      <c r="DM134" s="5744"/>
      <c r="DN134" s="5744"/>
      <c r="DO134" s="5744"/>
      <c r="DP134" s="5744"/>
      <c r="DQ134" s="5744"/>
      <c r="DR134" s="5744"/>
      <c r="DS134" s="5744"/>
      <c r="DT134" s="5744"/>
      <c r="DU134" s="5744"/>
      <c r="DV134" s="5744"/>
      <c r="DW134" s="5744"/>
      <c r="DX134" s="5744"/>
      <c r="DY134" s="5744"/>
      <c r="DZ134" s="5744"/>
      <c r="EA134" s="5744"/>
      <c r="EB134" s="5744"/>
      <c r="EC134" s="5744"/>
      <c r="ED134" s="5744"/>
      <c r="EE134" s="5744"/>
      <c r="EF134" s="5744"/>
      <c r="EG134" s="5744"/>
      <c r="EH134" s="5744"/>
      <c r="EI134" s="5744"/>
      <c r="EJ134" s="5744"/>
      <c r="EK134" s="5744"/>
      <c r="EL134" s="5744"/>
      <c r="EM134" s="5744"/>
      <c r="EN134" s="5744"/>
      <c r="EO134" s="5744"/>
      <c r="EP134" s="5744"/>
      <c r="EQ134" s="5744"/>
      <c r="ER134" s="5744"/>
      <c r="ES134" s="5744"/>
      <c r="ET134" s="5744"/>
      <c r="EU134" s="2038"/>
    </row>
    <row r="135" spans="1:151" s="2039" customFormat="1" ht="15" customHeight="1">
      <c r="A135" s="16269"/>
      <c r="B135" s="16382"/>
      <c r="C135" s="16385"/>
      <c r="D135" s="5849" t="s">
        <v>2789</v>
      </c>
      <c r="E135" s="5849" t="s">
        <v>2790</v>
      </c>
      <c r="F135" s="5849" t="s">
        <v>2791</v>
      </c>
      <c r="G135" s="16244"/>
      <c r="H135" s="5686" t="s">
        <v>4606</v>
      </c>
      <c r="I135" s="2763" t="s">
        <v>4607</v>
      </c>
      <c r="J135" s="5849" t="s">
        <v>2791</v>
      </c>
      <c r="K135" s="2763" t="s">
        <v>218</v>
      </c>
      <c r="L135" s="5684" t="s">
        <v>2860</v>
      </c>
      <c r="M135" s="5684"/>
      <c r="N135" s="5850">
        <v>1</v>
      </c>
      <c r="O135" s="5851" t="s">
        <v>3842</v>
      </c>
      <c r="P135" s="3471"/>
      <c r="Q135" s="5852" t="s">
        <v>3843</v>
      </c>
      <c r="R135" s="3471">
        <v>5048000</v>
      </c>
      <c r="S135" s="3471">
        <v>5048000</v>
      </c>
      <c r="T135" s="3471"/>
      <c r="U135" s="3471"/>
      <c r="V135" s="3471">
        <v>884</v>
      </c>
      <c r="W135" s="3471">
        <v>434</v>
      </c>
      <c r="X135" s="3471">
        <v>450</v>
      </c>
      <c r="Y135" s="3471">
        <v>884</v>
      </c>
      <c r="Z135" s="3471"/>
      <c r="AA135" s="3471">
        <v>884</v>
      </c>
      <c r="AB135" s="3471"/>
      <c r="AC135" s="3471"/>
      <c r="AD135" s="3471"/>
      <c r="AE135" s="3471"/>
      <c r="AF135" s="3471"/>
      <c r="AG135" s="3471"/>
      <c r="AH135" s="3471">
        <v>845</v>
      </c>
      <c r="AI135" s="3471">
        <v>7</v>
      </c>
      <c r="AJ135" s="3471">
        <v>32</v>
      </c>
      <c r="AK135" s="3471">
        <v>2</v>
      </c>
      <c r="AL135" s="3471"/>
      <c r="AM135" s="3471"/>
      <c r="AN135" s="3471"/>
      <c r="AO135" s="3471"/>
      <c r="AP135" s="3471"/>
      <c r="AQ135" s="3471"/>
      <c r="AR135" s="3471"/>
      <c r="AS135" s="3471"/>
      <c r="AT135" s="3471"/>
      <c r="AU135" s="3471"/>
      <c r="AV135" s="3471"/>
      <c r="AW135" s="3471"/>
      <c r="AX135" s="3471"/>
      <c r="AY135" s="3471"/>
      <c r="AZ135" s="3471"/>
      <c r="BA135" s="3471"/>
      <c r="BB135" s="3471"/>
      <c r="BC135" s="3471"/>
      <c r="BD135" s="3471"/>
      <c r="BE135" s="3471"/>
      <c r="BF135" s="5850"/>
      <c r="BG135" s="5851"/>
      <c r="BH135" s="5746">
        <v>0.8</v>
      </c>
      <c r="BI135" s="5853" t="s">
        <v>9911</v>
      </c>
      <c r="BJ135" s="5852"/>
      <c r="BK135" s="3471"/>
      <c r="BL135" s="3471"/>
      <c r="BM135" s="3471"/>
      <c r="BN135" s="3471"/>
      <c r="BO135" s="3471"/>
      <c r="BP135" s="3471"/>
      <c r="BQ135" s="3471"/>
      <c r="BR135" s="3471"/>
      <c r="BS135" s="3471"/>
      <c r="BT135" s="3471"/>
      <c r="BU135" s="3471"/>
      <c r="BV135" s="3471"/>
      <c r="BW135" s="3471"/>
      <c r="BX135" s="3471"/>
      <c r="BY135" s="3471"/>
      <c r="BZ135" s="3471"/>
      <c r="CA135" s="3471"/>
      <c r="CB135" s="3471"/>
      <c r="CC135" s="3471"/>
      <c r="CD135" s="3471"/>
      <c r="CE135" s="3471"/>
      <c r="CF135" s="3471"/>
      <c r="CG135" s="3471"/>
      <c r="CH135" s="3471"/>
      <c r="CI135" s="3471"/>
      <c r="CJ135" s="3471"/>
      <c r="CK135" s="3471"/>
      <c r="CL135" s="3471"/>
      <c r="CM135" s="3471"/>
      <c r="CN135" s="3471"/>
      <c r="CO135" s="3471"/>
      <c r="CP135" s="3471"/>
      <c r="CQ135" s="3471"/>
      <c r="CR135" s="3471"/>
      <c r="CS135" s="3471"/>
      <c r="CT135" s="3471"/>
      <c r="CU135" s="3471"/>
      <c r="CV135" s="3471"/>
      <c r="CW135" s="3471"/>
      <c r="CX135" s="3471"/>
      <c r="CY135" s="5744"/>
      <c r="CZ135" s="5744"/>
      <c r="DA135" s="5744"/>
      <c r="DB135" s="5744"/>
      <c r="DC135" s="5744"/>
      <c r="DD135" s="5744"/>
      <c r="DE135" s="5744"/>
      <c r="DF135" s="5744"/>
      <c r="DG135" s="5744"/>
      <c r="DH135" s="5744"/>
      <c r="DI135" s="5744"/>
      <c r="DJ135" s="5744"/>
      <c r="DK135" s="5744"/>
      <c r="DL135" s="5744"/>
      <c r="DM135" s="5744"/>
      <c r="DN135" s="5744"/>
      <c r="DO135" s="5744"/>
      <c r="DP135" s="5744"/>
      <c r="DQ135" s="5744"/>
      <c r="DR135" s="5744"/>
      <c r="DS135" s="5744"/>
      <c r="DT135" s="5744"/>
      <c r="DU135" s="5744"/>
      <c r="DV135" s="5744"/>
      <c r="DW135" s="5744"/>
      <c r="DX135" s="5744"/>
      <c r="DY135" s="5744"/>
      <c r="DZ135" s="5744"/>
      <c r="EA135" s="5744"/>
      <c r="EB135" s="5744"/>
      <c r="EC135" s="5744"/>
      <c r="ED135" s="5744"/>
      <c r="EE135" s="5744"/>
      <c r="EF135" s="5744"/>
      <c r="EG135" s="5744"/>
      <c r="EH135" s="5744"/>
      <c r="EI135" s="5744"/>
      <c r="EJ135" s="5744"/>
      <c r="EK135" s="5744"/>
      <c r="EL135" s="5744"/>
      <c r="EM135" s="5744"/>
      <c r="EN135" s="5744"/>
      <c r="EO135" s="5744"/>
      <c r="EP135" s="5744"/>
      <c r="EQ135" s="5744"/>
      <c r="ER135" s="5744"/>
      <c r="ES135" s="5744"/>
      <c r="ET135" s="5744"/>
      <c r="EU135" s="2038"/>
    </row>
    <row r="136" spans="1:151" s="2039" customFormat="1" ht="15" customHeight="1" thickBot="1">
      <c r="A136" s="16270"/>
      <c r="B136" s="16383"/>
      <c r="C136" s="16386"/>
      <c r="D136" s="5924" t="s">
        <v>2792</v>
      </c>
      <c r="E136" s="5924" t="s">
        <v>2793</v>
      </c>
      <c r="F136" s="5924" t="s">
        <v>2794</v>
      </c>
      <c r="G136" s="16275"/>
      <c r="H136" s="5719" t="s">
        <v>4608</v>
      </c>
      <c r="I136" s="5925" t="s">
        <v>2795</v>
      </c>
      <c r="J136" s="5924" t="s">
        <v>2794</v>
      </c>
      <c r="K136" s="5925" t="s">
        <v>218</v>
      </c>
      <c r="L136" s="5722" t="s">
        <v>2860</v>
      </c>
      <c r="M136" s="5722"/>
      <c r="N136" s="5926">
        <v>1</v>
      </c>
      <c r="O136" s="5927" t="s">
        <v>3844</v>
      </c>
      <c r="P136" s="1943"/>
      <c r="Q136" s="5927" t="s">
        <v>3845</v>
      </c>
      <c r="R136" s="5928">
        <v>25240000</v>
      </c>
      <c r="S136" s="5928">
        <v>25240000</v>
      </c>
      <c r="T136" s="1943"/>
      <c r="U136" s="1943"/>
      <c r="V136" s="1943">
        <v>4563</v>
      </c>
      <c r="W136" s="1943">
        <v>1277</v>
      </c>
      <c r="X136" s="1943">
        <v>3285</v>
      </c>
      <c r="Y136" s="1943">
        <v>3423</v>
      </c>
      <c r="Z136" s="1943">
        <v>1140</v>
      </c>
      <c r="AA136" s="1943"/>
      <c r="AB136" s="1943">
        <v>4563</v>
      </c>
      <c r="AC136" s="1943"/>
      <c r="AD136" s="1943"/>
      <c r="AE136" s="1943"/>
      <c r="AF136" s="1943"/>
      <c r="AG136" s="1943"/>
      <c r="AH136" s="1943">
        <v>4357</v>
      </c>
      <c r="AI136" s="1943">
        <v>198</v>
      </c>
      <c r="AJ136" s="1943">
        <v>3</v>
      </c>
      <c r="AK136" s="1943">
        <v>5</v>
      </c>
      <c r="AL136" s="1943"/>
      <c r="AM136" s="1943"/>
      <c r="AN136" s="1943"/>
      <c r="AO136" s="1943"/>
      <c r="AP136" s="1943">
        <v>4456</v>
      </c>
      <c r="AQ136" s="1943">
        <v>85</v>
      </c>
      <c r="AR136" s="1943">
        <v>55</v>
      </c>
      <c r="AS136" s="1943"/>
      <c r="AT136" s="1943"/>
      <c r="AU136" s="1943"/>
      <c r="AV136" s="1943"/>
      <c r="AW136" s="1943"/>
      <c r="AX136" s="1943"/>
      <c r="AY136" s="1943"/>
      <c r="AZ136" s="1943"/>
      <c r="BA136" s="1943"/>
      <c r="BB136" s="1943"/>
      <c r="BC136" s="1943"/>
      <c r="BD136" s="1943"/>
      <c r="BE136" s="1943"/>
      <c r="BF136" s="5926"/>
      <c r="BG136" s="5927"/>
      <c r="BH136" s="5929">
        <v>1</v>
      </c>
      <c r="BI136" s="5930" t="s">
        <v>9912</v>
      </c>
      <c r="BJ136" s="5927"/>
      <c r="BK136" s="5928"/>
      <c r="BL136" s="5928"/>
      <c r="BM136" s="1943"/>
      <c r="BN136" s="1943"/>
      <c r="BO136" s="1943"/>
      <c r="BP136" s="1943"/>
      <c r="BQ136" s="1943"/>
      <c r="BR136" s="1943"/>
      <c r="BS136" s="1943"/>
      <c r="BT136" s="1943"/>
      <c r="BU136" s="1943"/>
      <c r="BV136" s="1943"/>
      <c r="BW136" s="1943"/>
      <c r="BX136" s="1943"/>
      <c r="BY136" s="1943"/>
      <c r="BZ136" s="1943"/>
      <c r="CA136" s="1943"/>
      <c r="CB136" s="1943"/>
      <c r="CC136" s="1943"/>
      <c r="CD136" s="1943"/>
      <c r="CE136" s="1943"/>
      <c r="CF136" s="1943"/>
      <c r="CG136" s="1943"/>
      <c r="CH136" s="1943"/>
      <c r="CI136" s="1943"/>
      <c r="CJ136" s="1943"/>
      <c r="CK136" s="1943"/>
      <c r="CL136" s="1943"/>
      <c r="CM136" s="1943"/>
      <c r="CN136" s="1943"/>
      <c r="CO136" s="1943"/>
      <c r="CP136" s="1943"/>
      <c r="CQ136" s="1943"/>
      <c r="CR136" s="1943"/>
      <c r="CS136" s="1943"/>
      <c r="CT136" s="1943"/>
      <c r="CU136" s="1943"/>
      <c r="CV136" s="1943"/>
      <c r="CW136" s="1943"/>
      <c r="CX136" s="1943"/>
      <c r="CY136" s="5931"/>
      <c r="CZ136" s="5931"/>
      <c r="DA136" s="5931"/>
      <c r="DB136" s="5931"/>
      <c r="DC136" s="5931"/>
      <c r="DD136" s="5931"/>
      <c r="DE136" s="5931"/>
      <c r="DF136" s="5931"/>
      <c r="DG136" s="5931"/>
      <c r="DH136" s="5931"/>
      <c r="DI136" s="5931"/>
      <c r="DJ136" s="5931"/>
      <c r="DK136" s="5931"/>
      <c r="DL136" s="5931"/>
      <c r="DM136" s="5931"/>
      <c r="DN136" s="5931"/>
      <c r="DO136" s="5931"/>
      <c r="DP136" s="5931"/>
      <c r="DQ136" s="5931"/>
      <c r="DR136" s="5931"/>
      <c r="DS136" s="5931"/>
      <c r="DT136" s="5931"/>
      <c r="DU136" s="5931"/>
      <c r="DV136" s="5931"/>
      <c r="DW136" s="5931"/>
      <c r="DX136" s="5931"/>
      <c r="DY136" s="5931"/>
      <c r="DZ136" s="5931"/>
      <c r="EA136" s="5931"/>
      <c r="EB136" s="5931"/>
      <c r="EC136" s="5931"/>
      <c r="ED136" s="5931"/>
      <c r="EE136" s="5931"/>
      <c r="EF136" s="5931"/>
      <c r="EG136" s="5931"/>
      <c r="EH136" s="5931"/>
      <c r="EI136" s="5931"/>
      <c r="EJ136" s="5931"/>
      <c r="EK136" s="5931"/>
      <c r="EL136" s="5931"/>
      <c r="EM136" s="5931"/>
      <c r="EN136" s="5931"/>
      <c r="EO136" s="5931"/>
      <c r="EP136" s="5931"/>
      <c r="EQ136" s="5931"/>
      <c r="ER136" s="5931"/>
      <c r="ES136" s="5931"/>
      <c r="ET136" s="5931"/>
      <c r="EU136" s="5932"/>
    </row>
    <row r="137" spans="1:151" s="2041" customFormat="1" ht="15" customHeight="1">
      <c r="A137" s="16410" t="s">
        <v>2760</v>
      </c>
      <c r="B137" s="16261" t="s">
        <v>2796</v>
      </c>
      <c r="C137" s="16276" t="s">
        <v>2797</v>
      </c>
      <c r="D137" s="5916" t="s">
        <v>2798</v>
      </c>
      <c r="E137" s="5916" t="s">
        <v>2799</v>
      </c>
      <c r="F137" s="5916" t="s">
        <v>2800</v>
      </c>
      <c r="G137" s="16246" t="s">
        <v>2801</v>
      </c>
      <c r="H137" s="5109" t="s">
        <v>4609</v>
      </c>
      <c r="I137" s="5917" t="s">
        <v>2802</v>
      </c>
      <c r="J137" s="5916" t="s">
        <v>2800</v>
      </c>
      <c r="K137" s="5917" t="s">
        <v>218</v>
      </c>
      <c r="L137" s="5137" t="s">
        <v>2860</v>
      </c>
      <c r="M137" s="5137"/>
      <c r="N137" s="5052">
        <v>1</v>
      </c>
      <c r="O137" s="5918" t="s">
        <v>3846</v>
      </c>
      <c r="P137" s="3856"/>
      <c r="Q137" s="5918" t="s">
        <v>3847</v>
      </c>
      <c r="R137" s="5919">
        <v>35336000</v>
      </c>
      <c r="S137" s="5919">
        <v>35336000</v>
      </c>
      <c r="T137" s="3856"/>
      <c r="U137" s="3856"/>
      <c r="V137" s="3856">
        <v>4082</v>
      </c>
      <c r="W137" s="3856">
        <v>20</v>
      </c>
      <c r="X137" s="3856">
        <v>3062</v>
      </c>
      <c r="Y137" s="3856">
        <v>3142</v>
      </c>
      <c r="Z137" s="3856">
        <v>940</v>
      </c>
      <c r="AA137" s="3856"/>
      <c r="AB137" s="3856"/>
      <c r="AC137" s="3856">
        <v>4082</v>
      </c>
      <c r="AD137" s="3856"/>
      <c r="AE137" s="3856"/>
      <c r="AF137" s="3856"/>
      <c r="AG137" s="3856"/>
      <c r="AH137" s="3856">
        <v>3925</v>
      </c>
      <c r="AI137" s="3856">
        <v>140</v>
      </c>
      <c r="AJ137" s="3856">
        <v>13</v>
      </c>
      <c r="AK137" s="3856">
        <v>4</v>
      </c>
      <c r="AL137" s="3856"/>
      <c r="AM137" s="3856"/>
      <c r="AN137" s="3856"/>
      <c r="AO137" s="3856"/>
      <c r="AP137" s="3856">
        <v>3072</v>
      </c>
      <c r="AQ137" s="3856">
        <v>358</v>
      </c>
      <c r="AR137" s="3856">
        <v>22</v>
      </c>
      <c r="AS137" s="3856"/>
      <c r="AT137" s="3856"/>
      <c r="AU137" s="3856"/>
      <c r="AV137" s="3856"/>
      <c r="AW137" s="3856"/>
      <c r="AX137" s="3856"/>
      <c r="AY137" s="3856"/>
      <c r="AZ137" s="3856"/>
      <c r="BA137" s="3856"/>
      <c r="BB137" s="3856"/>
      <c r="BC137" s="3856"/>
      <c r="BD137" s="3856"/>
      <c r="BE137" s="3856"/>
      <c r="BF137" s="5052"/>
      <c r="BG137" s="5918"/>
      <c r="BH137" s="5920">
        <v>1</v>
      </c>
      <c r="BI137" s="5921" t="s">
        <v>9913</v>
      </c>
      <c r="BJ137" s="5918"/>
      <c r="BK137" s="5919"/>
      <c r="BL137" s="5919"/>
      <c r="BM137" s="3856"/>
      <c r="BN137" s="3856"/>
      <c r="BO137" s="3856"/>
      <c r="BP137" s="3856"/>
      <c r="BQ137" s="3856"/>
      <c r="BR137" s="3856"/>
      <c r="BS137" s="3856"/>
      <c r="BT137" s="3856"/>
      <c r="BU137" s="3856"/>
      <c r="BV137" s="3856"/>
      <c r="BW137" s="3856"/>
      <c r="BX137" s="3856"/>
      <c r="BY137" s="3856"/>
      <c r="BZ137" s="3856"/>
      <c r="CA137" s="3856"/>
      <c r="CB137" s="3856"/>
      <c r="CC137" s="3856"/>
      <c r="CD137" s="3856"/>
      <c r="CE137" s="3856"/>
      <c r="CF137" s="3856"/>
      <c r="CG137" s="3856"/>
      <c r="CH137" s="3856"/>
      <c r="CI137" s="3856"/>
      <c r="CJ137" s="3856"/>
      <c r="CK137" s="3856"/>
      <c r="CL137" s="3856"/>
      <c r="CM137" s="3856"/>
      <c r="CN137" s="3856"/>
      <c r="CO137" s="3856"/>
      <c r="CP137" s="3856"/>
      <c r="CQ137" s="3856"/>
      <c r="CR137" s="3856"/>
      <c r="CS137" s="3856"/>
      <c r="CT137" s="3856"/>
      <c r="CU137" s="3856"/>
      <c r="CV137" s="3856"/>
      <c r="CW137" s="3856"/>
      <c r="CX137" s="3856"/>
      <c r="CY137" s="5922"/>
      <c r="CZ137" s="5922"/>
      <c r="DA137" s="5922"/>
      <c r="DB137" s="5922"/>
      <c r="DC137" s="5922"/>
      <c r="DD137" s="5922"/>
      <c r="DE137" s="5922"/>
      <c r="DF137" s="5922"/>
      <c r="DG137" s="5922"/>
      <c r="DH137" s="5922"/>
      <c r="DI137" s="5922"/>
      <c r="DJ137" s="5922"/>
      <c r="DK137" s="5922"/>
      <c r="DL137" s="5922"/>
      <c r="DM137" s="5922"/>
      <c r="DN137" s="5922"/>
      <c r="DO137" s="5922"/>
      <c r="DP137" s="5922"/>
      <c r="DQ137" s="5922"/>
      <c r="DR137" s="5922"/>
      <c r="DS137" s="5922"/>
      <c r="DT137" s="5922"/>
      <c r="DU137" s="5922"/>
      <c r="DV137" s="5922"/>
      <c r="DW137" s="5922"/>
      <c r="DX137" s="5922"/>
      <c r="DY137" s="5922"/>
      <c r="DZ137" s="5922"/>
      <c r="EA137" s="5922"/>
      <c r="EB137" s="5922"/>
      <c r="EC137" s="5922"/>
      <c r="ED137" s="5922"/>
      <c r="EE137" s="5922"/>
      <c r="EF137" s="5922"/>
      <c r="EG137" s="5922"/>
      <c r="EH137" s="5922"/>
      <c r="EI137" s="5922"/>
      <c r="EJ137" s="5922"/>
      <c r="EK137" s="5922"/>
      <c r="EL137" s="5922"/>
      <c r="EM137" s="5922"/>
      <c r="EN137" s="5922"/>
      <c r="EO137" s="5922"/>
      <c r="EP137" s="5922"/>
      <c r="EQ137" s="5922"/>
      <c r="ER137" s="5922"/>
      <c r="ES137" s="5922"/>
      <c r="ET137" s="5922"/>
      <c r="EU137" s="5923"/>
    </row>
    <row r="138" spans="1:151" s="2041" customFormat="1" ht="15" customHeight="1">
      <c r="A138" s="16273"/>
      <c r="B138" s="16262"/>
      <c r="C138" s="16277"/>
      <c r="D138" s="5751" t="s">
        <v>2803</v>
      </c>
      <c r="E138" s="5751" t="s">
        <v>2804</v>
      </c>
      <c r="F138" s="5751" t="s">
        <v>2805</v>
      </c>
      <c r="G138" s="16235"/>
      <c r="H138" s="2744" t="s">
        <v>4610</v>
      </c>
      <c r="I138" s="2758" t="s">
        <v>2806</v>
      </c>
      <c r="J138" s="5751" t="s">
        <v>2805</v>
      </c>
      <c r="K138" s="2758" t="s">
        <v>10072</v>
      </c>
      <c r="L138" s="5187" t="s">
        <v>2861</v>
      </c>
      <c r="M138" s="5187"/>
      <c r="N138" s="5856">
        <v>1</v>
      </c>
      <c r="O138" s="2268" t="s">
        <v>4063</v>
      </c>
      <c r="P138" s="2258"/>
      <c r="Q138" s="2258"/>
      <c r="R138" s="5857">
        <v>663130976</v>
      </c>
      <c r="S138" s="5858">
        <v>372565311</v>
      </c>
      <c r="T138" s="5859">
        <v>194358008</v>
      </c>
      <c r="U138" s="5860">
        <v>96207657</v>
      </c>
      <c r="V138" s="5861">
        <v>6011</v>
      </c>
      <c r="W138" s="5862">
        <v>3547</v>
      </c>
      <c r="X138" s="5862">
        <v>2464</v>
      </c>
      <c r="Y138" s="5862">
        <v>4399</v>
      </c>
      <c r="Z138" s="5862">
        <v>1612</v>
      </c>
      <c r="AA138" s="5862">
        <v>0</v>
      </c>
      <c r="AB138" s="5862">
        <v>6011</v>
      </c>
      <c r="AC138" s="5862">
        <v>0</v>
      </c>
      <c r="AD138" s="5862"/>
      <c r="AE138" s="5862"/>
      <c r="AF138" s="5862"/>
      <c r="AG138" s="5862"/>
      <c r="AH138" s="5861">
        <v>5208</v>
      </c>
      <c r="AI138" s="5861">
        <v>217</v>
      </c>
      <c r="AJ138" s="5861">
        <v>114</v>
      </c>
      <c r="AK138" s="5861">
        <v>27</v>
      </c>
      <c r="AL138" s="5861"/>
      <c r="AM138" s="5861"/>
      <c r="AN138" s="5861">
        <v>1</v>
      </c>
      <c r="AO138" s="5861">
        <v>9</v>
      </c>
      <c r="AP138" s="5863">
        <v>5349</v>
      </c>
      <c r="AQ138" s="5863">
        <v>226</v>
      </c>
      <c r="AR138" s="5863">
        <v>82</v>
      </c>
      <c r="AS138" s="5861">
        <v>1</v>
      </c>
      <c r="AT138" s="5861">
        <v>0</v>
      </c>
      <c r="AU138" s="5861">
        <v>0</v>
      </c>
      <c r="AV138" s="5864">
        <v>353</v>
      </c>
      <c r="AW138" s="4782"/>
      <c r="AX138" s="5865"/>
      <c r="AY138" s="5865"/>
      <c r="AZ138" s="5865"/>
      <c r="BA138" s="5865"/>
      <c r="BB138" s="5865"/>
      <c r="BC138" s="5865"/>
      <c r="BD138" s="5865"/>
      <c r="BE138" s="5865"/>
      <c r="BF138" s="5856"/>
      <c r="BG138" s="2268"/>
      <c r="BH138" s="5292">
        <v>1</v>
      </c>
      <c r="BI138" s="5866" t="s">
        <v>9914</v>
      </c>
      <c r="BJ138" s="2258"/>
      <c r="BK138" s="5867"/>
      <c r="BL138" s="5868"/>
      <c r="BM138" s="5869"/>
      <c r="BN138" s="5870"/>
      <c r="BO138" s="5861"/>
      <c r="BP138" s="5862"/>
      <c r="BQ138" s="5862"/>
      <c r="BR138" s="5862"/>
      <c r="BS138" s="5862"/>
      <c r="BT138" s="5862"/>
      <c r="BU138" s="5862"/>
      <c r="BV138" s="5862"/>
      <c r="BW138" s="5862"/>
      <c r="BX138" s="5862"/>
      <c r="BY138" s="5862"/>
      <c r="BZ138" s="5862"/>
      <c r="CA138" s="5861"/>
      <c r="CB138" s="5861"/>
      <c r="CC138" s="5861"/>
      <c r="CD138" s="5861"/>
      <c r="CE138" s="5861"/>
      <c r="CF138" s="5861"/>
      <c r="CG138" s="5861"/>
      <c r="CH138" s="5861"/>
      <c r="CI138" s="5863"/>
      <c r="CJ138" s="5863"/>
      <c r="CK138" s="5863"/>
      <c r="CL138" s="5861"/>
      <c r="CM138" s="5861"/>
      <c r="CN138" s="5861"/>
      <c r="CO138" s="5864"/>
      <c r="CP138" s="4782"/>
      <c r="CQ138" s="5865"/>
      <c r="CR138" s="5865"/>
      <c r="CS138" s="5865"/>
      <c r="CT138" s="5865"/>
      <c r="CU138" s="5865"/>
      <c r="CV138" s="5865"/>
      <c r="CW138" s="5865"/>
      <c r="CX138" s="5865"/>
      <c r="CY138" s="2765"/>
      <c r="CZ138" s="2765"/>
      <c r="DA138" s="2765"/>
      <c r="DB138" s="2765"/>
      <c r="DC138" s="2765"/>
      <c r="DD138" s="2765"/>
      <c r="DE138" s="2765"/>
      <c r="DF138" s="2765"/>
      <c r="DG138" s="2765"/>
      <c r="DH138" s="2765"/>
      <c r="DI138" s="2765"/>
      <c r="DJ138" s="2765"/>
      <c r="DK138" s="2765"/>
      <c r="DL138" s="2765"/>
      <c r="DM138" s="2765"/>
      <c r="DN138" s="2765"/>
      <c r="DO138" s="2765"/>
      <c r="DP138" s="2765"/>
      <c r="DQ138" s="2765"/>
      <c r="DR138" s="2765"/>
      <c r="DS138" s="2765"/>
      <c r="DT138" s="2765"/>
      <c r="DU138" s="2765"/>
      <c r="DV138" s="2765"/>
      <c r="DW138" s="2765"/>
      <c r="DX138" s="2765"/>
      <c r="DY138" s="2765"/>
      <c r="DZ138" s="2765"/>
      <c r="EA138" s="2765"/>
      <c r="EB138" s="2765"/>
      <c r="EC138" s="2765"/>
      <c r="ED138" s="2765"/>
      <c r="EE138" s="2765"/>
      <c r="EF138" s="2765"/>
      <c r="EG138" s="2765"/>
      <c r="EH138" s="2765"/>
      <c r="EI138" s="2765"/>
      <c r="EJ138" s="2765"/>
      <c r="EK138" s="2765"/>
      <c r="EL138" s="2765"/>
      <c r="EM138" s="2765"/>
      <c r="EN138" s="2765"/>
      <c r="EO138" s="2765"/>
      <c r="EP138" s="2765"/>
      <c r="EQ138" s="2765"/>
      <c r="ER138" s="2765"/>
      <c r="ES138" s="2765"/>
      <c r="ET138" s="2765"/>
      <c r="EU138" s="2040"/>
    </row>
    <row r="139" spans="1:151" s="2041" customFormat="1" ht="15" customHeight="1">
      <c r="A139" s="16273"/>
      <c r="B139" s="16262"/>
      <c r="C139" s="16277"/>
      <c r="D139" s="5751" t="s">
        <v>2807</v>
      </c>
      <c r="E139" s="5751" t="s">
        <v>2808</v>
      </c>
      <c r="F139" s="5751" t="s">
        <v>2809</v>
      </c>
      <c r="G139" s="16235"/>
      <c r="H139" s="2744" t="s">
        <v>4611</v>
      </c>
      <c r="I139" s="2758" t="s">
        <v>2810</v>
      </c>
      <c r="J139" s="5751" t="s">
        <v>2809</v>
      </c>
      <c r="K139" s="2758" t="s">
        <v>10072</v>
      </c>
      <c r="L139" s="5187" t="s">
        <v>2861</v>
      </c>
      <c r="M139" s="5187"/>
      <c r="N139" s="5856">
        <v>1</v>
      </c>
      <c r="O139" s="2268" t="s">
        <v>4064</v>
      </c>
      <c r="P139" s="2258"/>
      <c r="Q139" s="2258"/>
      <c r="R139" s="5857">
        <v>858394891</v>
      </c>
      <c r="S139" s="5860">
        <v>67460000</v>
      </c>
      <c r="T139" s="5860">
        <v>57890000</v>
      </c>
      <c r="U139" s="5871">
        <v>733044891</v>
      </c>
      <c r="V139" s="5861">
        <v>6308</v>
      </c>
      <c r="W139" s="5862">
        <v>3805</v>
      </c>
      <c r="X139" s="5862">
        <v>2503</v>
      </c>
      <c r="Y139" s="5863">
        <v>4774</v>
      </c>
      <c r="Z139" s="5863">
        <v>1534</v>
      </c>
      <c r="AA139" s="5862">
        <v>0</v>
      </c>
      <c r="AB139" s="5862">
        <v>0</v>
      </c>
      <c r="AC139" s="5862">
        <v>6308</v>
      </c>
      <c r="AD139" s="5862"/>
      <c r="AE139" s="5862"/>
      <c r="AF139" s="5862"/>
      <c r="AG139" s="5862"/>
      <c r="AH139" s="5861">
        <v>5555</v>
      </c>
      <c r="AI139" s="5861">
        <v>190</v>
      </c>
      <c r="AJ139" s="5861">
        <v>194</v>
      </c>
      <c r="AK139" s="5861">
        <v>40</v>
      </c>
      <c r="AL139" s="5861"/>
      <c r="AM139" s="5861"/>
      <c r="AN139" s="5861">
        <v>2</v>
      </c>
      <c r="AO139" s="5861">
        <v>5</v>
      </c>
      <c r="AP139" s="5863">
        <v>5513</v>
      </c>
      <c r="AQ139" s="5863">
        <v>329</v>
      </c>
      <c r="AR139" s="5863">
        <v>69</v>
      </c>
      <c r="AS139" s="5861">
        <v>0</v>
      </c>
      <c r="AT139" s="5861">
        <v>0</v>
      </c>
      <c r="AU139" s="5861">
        <v>1</v>
      </c>
      <c r="AV139" s="5872">
        <v>396</v>
      </c>
      <c r="AW139" s="4782"/>
      <c r="AX139" s="5873"/>
      <c r="AY139" s="5873"/>
      <c r="AZ139" s="5873"/>
      <c r="BA139" s="5873"/>
      <c r="BB139" s="2765"/>
      <c r="BC139" s="2765"/>
      <c r="BD139" s="2765"/>
      <c r="BE139" s="2765"/>
      <c r="BF139" s="2765"/>
      <c r="BG139" s="5874">
        <v>4589</v>
      </c>
      <c r="BH139" s="5292">
        <v>1</v>
      </c>
      <c r="BI139" s="5866" t="s">
        <v>9187</v>
      </c>
      <c r="BJ139" s="2765"/>
      <c r="BK139" s="5875" t="s">
        <v>9186</v>
      </c>
      <c r="BL139" s="5876">
        <f t="shared" ref="BL139" si="2">+SUM(BM139:BP139)</f>
        <v>536142585.7543146</v>
      </c>
      <c r="BM139" s="5877">
        <v>288537525.60818559</v>
      </c>
      <c r="BN139" s="5877">
        <v>247605060.14612901</v>
      </c>
      <c r="BO139" s="5878">
        <v>0</v>
      </c>
      <c r="BP139" s="5878">
        <v>0</v>
      </c>
      <c r="BQ139" s="5879">
        <v>4589</v>
      </c>
      <c r="BR139" s="5880">
        <v>2799</v>
      </c>
      <c r="BS139" s="5880">
        <v>1790</v>
      </c>
      <c r="BT139" s="5881">
        <v>3446</v>
      </c>
      <c r="BU139" s="5881">
        <v>1143</v>
      </c>
      <c r="BV139" s="5880">
        <v>0</v>
      </c>
      <c r="BW139" s="5880">
        <v>0</v>
      </c>
      <c r="BX139" s="5879">
        <v>4589</v>
      </c>
      <c r="BY139" s="5879"/>
      <c r="BZ139" s="5879"/>
      <c r="CA139" s="5879"/>
      <c r="CB139" s="5879"/>
      <c r="CC139" s="5879">
        <v>3892</v>
      </c>
      <c r="CD139" s="5879">
        <v>199</v>
      </c>
      <c r="CE139" s="5879">
        <v>102</v>
      </c>
      <c r="CF139" s="5879">
        <v>14</v>
      </c>
      <c r="CG139" s="5879"/>
      <c r="CH139" s="5879"/>
      <c r="CI139" s="5879">
        <v>0</v>
      </c>
      <c r="CJ139" s="5879">
        <v>13</v>
      </c>
      <c r="CK139" s="5880">
        <v>4053</v>
      </c>
      <c r="CL139" s="5882">
        <v>220</v>
      </c>
      <c r="CM139" s="5882">
        <v>54</v>
      </c>
      <c r="CN139" s="5883">
        <v>0</v>
      </c>
      <c r="CO139" s="5883">
        <v>0</v>
      </c>
      <c r="CP139" s="5883">
        <v>262</v>
      </c>
      <c r="CQ139" s="2765"/>
      <c r="CR139" s="2765"/>
      <c r="CS139" s="2765"/>
      <c r="CT139" s="2765"/>
      <c r="CU139" s="2765"/>
      <c r="CV139" s="2765"/>
      <c r="CW139" s="2765"/>
      <c r="CX139" s="2765"/>
      <c r="CY139" s="2765"/>
      <c r="CZ139" s="2765"/>
      <c r="DA139" s="2765"/>
      <c r="DB139" s="2765"/>
      <c r="DC139" s="2765"/>
      <c r="DD139" s="2765"/>
      <c r="DE139" s="2765"/>
      <c r="DF139" s="2765"/>
      <c r="DG139" s="2765"/>
      <c r="DH139" s="2765"/>
      <c r="DI139" s="2765"/>
      <c r="DJ139" s="2765"/>
      <c r="DK139" s="2765"/>
      <c r="DL139" s="2765"/>
      <c r="DM139" s="2765"/>
      <c r="DN139" s="2765"/>
      <c r="DO139" s="2765"/>
      <c r="DP139" s="2765"/>
      <c r="DQ139" s="2765"/>
      <c r="DR139" s="2765"/>
      <c r="DS139" s="2765"/>
      <c r="DT139" s="2765"/>
      <c r="DU139" s="2765"/>
      <c r="DV139" s="2765"/>
      <c r="DW139" s="2765"/>
      <c r="DX139" s="2765"/>
      <c r="DY139" s="2765"/>
      <c r="DZ139" s="2765"/>
      <c r="EA139" s="2765"/>
      <c r="EB139" s="2765"/>
      <c r="EC139" s="2765"/>
      <c r="ED139" s="2765"/>
      <c r="EE139" s="2765"/>
      <c r="EF139" s="2765"/>
      <c r="EG139" s="2765"/>
      <c r="EH139" s="2765"/>
      <c r="EI139" s="2765"/>
      <c r="EJ139" s="2765"/>
      <c r="EK139" s="2765"/>
      <c r="EL139" s="2765"/>
      <c r="EM139" s="2765"/>
      <c r="EN139" s="2765"/>
      <c r="EO139" s="2765"/>
      <c r="EP139" s="2765"/>
      <c r="EQ139" s="2765"/>
      <c r="ER139" s="2765"/>
      <c r="ES139" s="2765"/>
      <c r="ET139" s="2765"/>
      <c r="EU139" s="2040"/>
    </row>
    <row r="140" spans="1:151" s="2041" customFormat="1" ht="15" customHeight="1">
      <c r="A140" s="16273"/>
      <c r="B140" s="16262"/>
      <c r="C140" s="16277"/>
      <c r="D140" s="5751" t="s">
        <v>2811</v>
      </c>
      <c r="E140" s="5751" t="s">
        <v>2812</v>
      </c>
      <c r="F140" s="5751" t="s">
        <v>2813</v>
      </c>
      <c r="G140" s="16235"/>
      <c r="H140" s="2744" t="s">
        <v>4612</v>
      </c>
      <c r="I140" s="2758" t="s">
        <v>2814</v>
      </c>
      <c r="J140" s="5751" t="s">
        <v>2813</v>
      </c>
      <c r="K140" s="2758" t="s">
        <v>218</v>
      </c>
      <c r="L140" s="5187" t="s">
        <v>2860</v>
      </c>
      <c r="M140" s="5187"/>
      <c r="N140" s="4160">
        <v>1</v>
      </c>
      <c r="O140" s="3439" t="s">
        <v>4065</v>
      </c>
      <c r="P140" s="3224"/>
      <c r="Q140" s="3439" t="s">
        <v>3848</v>
      </c>
      <c r="R140" s="5854">
        <v>141196000</v>
      </c>
      <c r="S140" s="5854">
        <v>141196000</v>
      </c>
      <c r="T140" s="3224"/>
      <c r="U140" s="3224"/>
      <c r="V140" s="3224">
        <v>1202</v>
      </c>
      <c r="W140" s="3224">
        <v>480</v>
      </c>
      <c r="X140" s="3224">
        <v>722</v>
      </c>
      <c r="Y140" s="3224">
        <v>778</v>
      </c>
      <c r="Z140" s="3224">
        <v>424</v>
      </c>
      <c r="AA140" s="3224"/>
      <c r="AB140" s="3224">
        <v>1202</v>
      </c>
      <c r="AC140" s="3224"/>
      <c r="AD140" s="3224"/>
      <c r="AE140" s="3224"/>
      <c r="AF140" s="3224"/>
      <c r="AG140" s="3224"/>
      <c r="AH140" s="3224">
        <v>1149</v>
      </c>
      <c r="AI140" s="3224">
        <v>12</v>
      </c>
      <c r="AJ140" s="3224">
        <v>24</v>
      </c>
      <c r="AK140" s="3224">
        <v>10</v>
      </c>
      <c r="AL140" s="3224"/>
      <c r="AM140" s="3224"/>
      <c r="AN140" s="3224"/>
      <c r="AO140" s="3224">
        <v>7</v>
      </c>
      <c r="AP140" s="3224">
        <v>1087</v>
      </c>
      <c r="AQ140" s="3224">
        <v>88</v>
      </c>
      <c r="AR140" s="3224">
        <v>27</v>
      </c>
      <c r="AS140" s="3224"/>
      <c r="AT140" s="3224"/>
      <c r="AU140" s="3224"/>
      <c r="AV140" s="3224"/>
      <c r="AW140" s="3224"/>
      <c r="AX140" s="3224"/>
      <c r="AY140" s="3224"/>
      <c r="AZ140" s="3224"/>
      <c r="BA140" s="3224"/>
      <c r="BB140" s="2765"/>
      <c r="BC140" s="2765"/>
      <c r="BD140" s="2765"/>
      <c r="BE140" s="2765"/>
      <c r="BF140" s="2765"/>
      <c r="BG140" s="5884">
        <v>1</v>
      </c>
      <c r="BH140" s="5292">
        <v>1</v>
      </c>
      <c r="BI140" s="5855" t="s">
        <v>9188</v>
      </c>
      <c r="BJ140" s="5885" t="s">
        <v>8820</v>
      </c>
      <c r="BK140" s="5886" t="s">
        <v>9185</v>
      </c>
      <c r="BL140" s="5189"/>
      <c r="BM140" s="5189"/>
      <c r="BN140" s="5189"/>
      <c r="BO140" s="2765"/>
      <c r="BP140" s="2765"/>
      <c r="BQ140" s="5189"/>
      <c r="BR140" s="5752"/>
      <c r="BS140" s="5189"/>
      <c r="BT140" s="5189"/>
      <c r="BU140" s="5189"/>
      <c r="BV140" s="2744">
        <v>1603</v>
      </c>
      <c r="BW140" s="2765"/>
      <c r="BX140" s="2765"/>
      <c r="BY140" s="5189"/>
      <c r="BZ140" s="5189"/>
      <c r="CA140" s="2765"/>
      <c r="CB140" s="2765"/>
      <c r="CC140" s="5189"/>
      <c r="CD140" s="2765"/>
      <c r="CE140" s="2765"/>
      <c r="CF140" s="2765"/>
      <c r="CG140" s="2765"/>
      <c r="CH140" s="2765"/>
      <c r="CI140" s="2765"/>
      <c r="CJ140" s="2765"/>
      <c r="CK140" s="5189"/>
      <c r="CL140" s="2765"/>
      <c r="CM140" s="2765"/>
      <c r="CN140" s="2765"/>
      <c r="CO140" s="2765"/>
      <c r="CP140" s="2765"/>
      <c r="CQ140" s="2765"/>
      <c r="CR140" s="2765"/>
      <c r="CS140" s="2765"/>
      <c r="CT140" s="2765"/>
      <c r="CU140" s="2765"/>
      <c r="CV140" s="2765"/>
      <c r="CW140" s="2765"/>
      <c r="CX140" s="2765"/>
      <c r="CY140" s="2765"/>
      <c r="CZ140" s="2765"/>
      <c r="DA140" s="2765"/>
      <c r="DB140" s="2765"/>
      <c r="DC140" s="2765"/>
      <c r="DD140" s="2765"/>
      <c r="DE140" s="2765"/>
      <c r="DF140" s="2765"/>
      <c r="DG140" s="2765"/>
      <c r="DH140" s="2765"/>
      <c r="DI140" s="2765"/>
      <c r="DJ140" s="2765"/>
      <c r="DK140" s="2765"/>
      <c r="DL140" s="2765"/>
      <c r="DM140" s="2765"/>
      <c r="DN140" s="2765"/>
      <c r="DO140" s="2765"/>
      <c r="DP140" s="2765"/>
      <c r="DQ140" s="2765"/>
      <c r="DR140" s="2765"/>
      <c r="DS140" s="2765"/>
      <c r="DT140" s="2765"/>
      <c r="DU140" s="2765"/>
      <c r="DV140" s="2765"/>
      <c r="DW140" s="2765"/>
      <c r="DX140" s="2765"/>
      <c r="DY140" s="2765"/>
      <c r="DZ140" s="2765"/>
      <c r="EA140" s="2765"/>
      <c r="EB140" s="2765"/>
      <c r="EC140" s="2765"/>
      <c r="ED140" s="2765"/>
      <c r="EE140" s="2765"/>
      <c r="EF140" s="2765"/>
      <c r="EG140" s="2765"/>
      <c r="EH140" s="2765"/>
      <c r="EI140" s="2765"/>
      <c r="EJ140" s="2765"/>
      <c r="EK140" s="2765"/>
      <c r="EL140" s="2765"/>
      <c r="EM140" s="2765"/>
      <c r="EN140" s="2765"/>
      <c r="EO140" s="2765"/>
      <c r="EP140" s="2765"/>
      <c r="EQ140" s="2765"/>
      <c r="ER140" s="2765"/>
      <c r="ES140" s="2765"/>
      <c r="ET140" s="2765"/>
      <c r="EU140" s="2040"/>
    </row>
    <row r="141" spans="1:151" s="2041" customFormat="1" ht="15" customHeight="1">
      <c r="A141" s="16273"/>
      <c r="B141" s="16262"/>
      <c r="C141" s="16277"/>
      <c r="D141" s="5751" t="s">
        <v>2815</v>
      </c>
      <c r="E141" s="5751" t="s">
        <v>2816</v>
      </c>
      <c r="F141" s="5751" t="s">
        <v>2817</v>
      </c>
      <c r="G141" s="16235"/>
      <c r="H141" s="2744" t="s">
        <v>4613</v>
      </c>
      <c r="I141" s="2758" t="s">
        <v>2818</v>
      </c>
      <c r="J141" s="5751" t="s">
        <v>2817</v>
      </c>
      <c r="K141" s="2758" t="s">
        <v>218</v>
      </c>
      <c r="L141" s="5187" t="s">
        <v>2860</v>
      </c>
      <c r="M141" s="5187"/>
      <c r="N141" s="4160">
        <v>1</v>
      </c>
      <c r="O141" s="3439" t="s">
        <v>3849</v>
      </c>
      <c r="P141" s="3224"/>
      <c r="Q141" s="3224" t="s">
        <v>3850</v>
      </c>
      <c r="R141" s="5854">
        <v>163936000</v>
      </c>
      <c r="S141" s="5854">
        <v>163936000</v>
      </c>
      <c r="T141" s="3224"/>
      <c r="U141" s="3224"/>
      <c r="V141" s="3221">
        <v>3996</v>
      </c>
      <c r="W141" s="3224">
        <v>1919</v>
      </c>
      <c r="X141" s="3224">
        <v>2077</v>
      </c>
      <c r="Y141" s="3224">
        <v>3643</v>
      </c>
      <c r="Z141" s="3224">
        <v>353</v>
      </c>
      <c r="AA141" s="3224"/>
      <c r="AB141" s="3221">
        <v>3996</v>
      </c>
      <c r="AC141" s="3224"/>
      <c r="AD141" s="3224"/>
      <c r="AE141" s="3224"/>
      <c r="AF141" s="3224"/>
      <c r="AG141" s="3224"/>
      <c r="AH141" s="3224">
        <v>3949</v>
      </c>
      <c r="AI141" s="3224">
        <v>31</v>
      </c>
      <c r="AJ141" s="3224">
        <v>15</v>
      </c>
      <c r="AK141" s="3224"/>
      <c r="AL141" s="3224"/>
      <c r="AM141" s="3224"/>
      <c r="AN141" s="3224"/>
      <c r="AO141" s="3224">
        <v>1</v>
      </c>
      <c r="AP141" s="3224">
        <v>3940</v>
      </c>
      <c r="AQ141" s="3224">
        <v>32</v>
      </c>
      <c r="AR141" s="3224">
        <v>24</v>
      </c>
      <c r="AS141" s="3224"/>
      <c r="AT141" s="3224"/>
      <c r="AU141" s="3224"/>
      <c r="AV141" s="3224"/>
      <c r="AW141" s="3224"/>
      <c r="AX141" s="3224"/>
      <c r="AY141" s="3224"/>
      <c r="AZ141" s="3224"/>
      <c r="BA141" s="3224"/>
      <c r="BB141" s="2765"/>
      <c r="BC141" s="2765"/>
      <c r="BD141" s="2765"/>
      <c r="BE141" s="2765"/>
      <c r="BF141" s="2765"/>
      <c r="BG141" s="5387">
        <v>1</v>
      </c>
      <c r="BH141" s="5292">
        <v>1</v>
      </c>
      <c r="BI141" s="5855" t="s">
        <v>9189</v>
      </c>
      <c r="BJ141" s="5885" t="s">
        <v>8820</v>
      </c>
      <c r="BK141" s="5886" t="s">
        <v>9190</v>
      </c>
      <c r="BL141" s="5189"/>
      <c r="BM141" s="5189"/>
      <c r="BN141" s="5189"/>
      <c r="BO141" s="2765"/>
      <c r="BP141" s="2765"/>
      <c r="BQ141" s="5189"/>
      <c r="BR141" s="5752"/>
      <c r="BS141" s="5189"/>
      <c r="BT141" s="5189"/>
      <c r="BU141" s="5189"/>
      <c r="BV141" s="5189"/>
      <c r="BW141" s="5189">
        <v>3723</v>
      </c>
      <c r="BX141" s="2765"/>
      <c r="BY141" s="5189"/>
      <c r="BZ141" s="5189"/>
      <c r="CA141" s="2765"/>
      <c r="CB141" s="2765"/>
      <c r="CC141" s="5189"/>
      <c r="CD141" s="2765"/>
      <c r="CE141" s="2765"/>
      <c r="CF141" s="2765"/>
      <c r="CG141" s="2765"/>
      <c r="CH141" s="2765"/>
      <c r="CI141" s="2765"/>
      <c r="CJ141" s="2765"/>
      <c r="CK141" s="5189"/>
      <c r="CL141" s="2765"/>
      <c r="CM141" s="2765"/>
      <c r="CN141" s="2765"/>
      <c r="CO141" s="2765"/>
      <c r="CP141" s="2765"/>
      <c r="CQ141" s="2765"/>
      <c r="CR141" s="2765"/>
      <c r="CS141" s="2765"/>
      <c r="CT141" s="2765"/>
      <c r="CU141" s="2765"/>
      <c r="CV141" s="2765"/>
      <c r="CW141" s="2765"/>
      <c r="CX141" s="2765"/>
      <c r="CY141" s="2765"/>
      <c r="CZ141" s="2765"/>
      <c r="DA141" s="2765"/>
      <c r="DB141" s="2765"/>
      <c r="DC141" s="2765"/>
      <c r="DD141" s="2765"/>
      <c r="DE141" s="2765"/>
      <c r="DF141" s="2765"/>
      <c r="DG141" s="2765"/>
      <c r="DH141" s="2765"/>
      <c r="DI141" s="2765"/>
      <c r="DJ141" s="2765"/>
      <c r="DK141" s="2765"/>
      <c r="DL141" s="2765"/>
      <c r="DM141" s="2765"/>
      <c r="DN141" s="2765"/>
      <c r="DO141" s="2765"/>
      <c r="DP141" s="2765"/>
      <c r="DQ141" s="2765"/>
      <c r="DR141" s="2765"/>
      <c r="DS141" s="2765"/>
      <c r="DT141" s="2765"/>
      <c r="DU141" s="2765"/>
      <c r="DV141" s="2765"/>
      <c r="DW141" s="2765"/>
      <c r="DX141" s="2765"/>
      <c r="DY141" s="2765"/>
      <c r="DZ141" s="2765"/>
      <c r="EA141" s="2765"/>
      <c r="EB141" s="2765"/>
      <c r="EC141" s="2765"/>
      <c r="ED141" s="2765"/>
      <c r="EE141" s="2765"/>
      <c r="EF141" s="2765"/>
      <c r="EG141" s="2765"/>
      <c r="EH141" s="2765"/>
      <c r="EI141" s="2765"/>
      <c r="EJ141" s="2765"/>
      <c r="EK141" s="2765"/>
      <c r="EL141" s="2765"/>
      <c r="EM141" s="2765"/>
      <c r="EN141" s="2765"/>
      <c r="EO141" s="2765"/>
      <c r="EP141" s="2765"/>
      <c r="EQ141" s="2765"/>
      <c r="ER141" s="2765"/>
      <c r="ES141" s="2765"/>
      <c r="ET141" s="2765"/>
      <c r="EU141" s="2040"/>
    </row>
    <row r="142" spans="1:151" s="2041" customFormat="1" ht="15" customHeight="1" thickBot="1">
      <c r="A142" s="16273"/>
      <c r="B142" s="16262"/>
      <c r="C142" s="16278"/>
      <c r="D142" s="6049" t="s">
        <v>2819</v>
      </c>
      <c r="E142" s="6049" t="s">
        <v>2820</v>
      </c>
      <c r="F142" s="6049" t="s">
        <v>2821</v>
      </c>
      <c r="G142" s="16251"/>
      <c r="H142" s="5517" t="s">
        <v>8544</v>
      </c>
      <c r="I142" s="6050" t="s">
        <v>10270</v>
      </c>
      <c r="J142" s="6049" t="s">
        <v>2821</v>
      </c>
      <c r="K142" s="6051" t="s">
        <v>218</v>
      </c>
      <c r="L142" s="5515" t="s">
        <v>2860</v>
      </c>
      <c r="M142" s="5515"/>
      <c r="N142" s="4867">
        <v>1</v>
      </c>
      <c r="O142" s="4868" t="s">
        <v>3849</v>
      </c>
      <c r="P142" s="1751"/>
      <c r="Q142" s="1751" t="s">
        <v>3851</v>
      </c>
      <c r="R142" s="1868">
        <v>85728000</v>
      </c>
      <c r="S142" s="1868">
        <v>85728000</v>
      </c>
      <c r="T142" s="1751"/>
      <c r="U142" s="1751"/>
      <c r="V142" s="1751">
        <v>1209</v>
      </c>
      <c r="W142" s="1751">
        <v>581</v>
      </c>
      <c r="X142" s="1751">
        <v>628</v>
      </c>
      <c r="Y142" s="1751">
        <v>1109</v>
      </c>
      <c r="Z142" s="1751">
        <v>120</v>
      </c>
      <c r="AA142" s="1751"/>
      <c r="AB142" s="1751"/>
      <c r="AC142" s="1751">
        <v>1209</v>
      </c>
      <c r="AD142" s="1751"/>
      <c r="AE142" s="1751"/>
      <c r="AF142" s="1751"/>
      <c r="AG142" s="1751"/>
      <c r="AH142" s="1751">
        <v>1167</v>
      </c>
      <c r="AI142" s="1751">
        <v>32</v>
      </c>
      <c r="AJ142" s="1751">
        <v>7</v>
      </c>
      <c r="AK142" s="1751">
        <v>2</v>
      </c>
      <c r="AL142" s="1751"/>
      <c r="AM142" s="1751"/>
      <c r="AN142" s="1751"/>
      <c r="AO142" s="1751">
        <v>1</v>
      </c>
      <c r="AP142" s="1751">
        <v>1173</v>
      </c>
      <c r="AQ142" s="1751">
        <v>18</v>
      </c>
      <c r="AR142" s="1751">
        <v>18</v>
      </c>
      <c r="AS142" s="1751"/>
      <c r="AT142" s="1751"/>
      <c r="AU142" s="1751"/>
      <c r="AV142" s="6051"/>
      <c r="AW142" s="6051"/>
      <c r="AX142" s="6051"/>
      <c r="AY142" s="6051"/>
      <c r="AZ142" s="6051"/>
      <c r="BA142" s="6051"/>
      <c r="BB142" s="6051"/>
      <c r="BC142" s="6051"/>
      <c r="BD142" s="6051"/>
      <c r="BE142" s="6051"/>
      <c r="BF142" s="6051"/>
      <c r="BG142" s="6052">
        <v>1</v>
      </c>
      <c r="BH142" s="5565">
        <v>1</v>
      </c>
      <c r="BI142" s="6053" t="s">
        <v>9191</v>
      </c>
      <c r="BJ142" s="6054" t="s">
        <v>8820</v>
      </c>
      <c r="BK142" s="6054" t="s">
        <v>9192</v>
      </c>
      <c r="BL142" s="5517"/>
      <c r="BM142" s="5517"/>
      <c r="BN142" s="5517"/>
      <c r="BO142" s="6051"/>
      <c r="BP142" s="6051"/>
      <c r="BQ142" s="5515" t="s">
        <v>9192</v>
      </c>
      <c r="BR142" s="6055"/>
      <c r="BS142" s="5517"/>
      <c r="BT142" s="5517"/>
      <c r="BU142" s="5517"/>
      <c r="BV142" s="5517"/>
      <c r="BW142" s="6051"/>
      <c r="BX142" s="6051"/>
      <c r="BY142" s="5517"/>
      <c r="BZ142" s="5517"/>
      <c r="CA142" s="6051"/>
      <c r="CB142" s="6051"/>
      <c r="CC142" s="5517"/>
      <c r="CD142" s="6051"/>
      <c r="CE142" s="6051"/>
      <c r="CF142" s="6051"/>
      <c r="CG142" s="6051"/>
      <c r="CH142" s="6051"/>
      <c r="CI142" s="6051"/>
      <c r="CJ142" s="6051"/>
      <c r="CK142" s="5517"/>
      <c r="CL142" s="6051"/>
      <c r="CM142" s="6051"/>
      <c r="CN142" s="6051"/>
      <c r="CO142" s="6051"/>
      <c r="CP142" s="6051"/>
      <c r="CQ142" s="6051"/>
      <c r="CR142" s="6051"/>
      <c r="CS142" s="6051"/>
      <c r="CT142" s="6051"/>
      <c r="CU142" s="6051"/>
      <c r="CV142" s="6051"/>
      <c r="CW142" s="6051"/>
      <c r="CX142" s="6051"/>
      <c r="CY142" s="6051"/>
      <c r="CZ142" s="6051"/>
      <c r="DA142" s="6051"/>
      <c r="DB142" s="6051"/>
      <c r="DC142" s="6051"/>
      <c r="DD142" s="6051"/>
      <c r="DE142" s="6051"/>
      <c r="DF142" s="6051"/>
      <c r="DG142" s="6051"/>
      <c r="DH142" s="6051"/>
      <c r="DI142" s="6051"/>
      <c r="DJ142" s="6051"/>
      <c r="DK142" s="6051"/>
      <c r="DL142" s="6051"/>
      <c r="DM142" s="6051"/>
      <c r="DN142" s="6051"/>
      <c r="DO142" s="6051"/>
      <c r="DP142" s="6051"/>
      <c r="DQ142" s="6051"/>
      <c r="DR142" s="6051"/>
      <c r="DS142" s="6051"/>
      <c r="DT142" s="6051"/>
      <c r="DU142" s="6051"/>
      <c r="DV142" s="6051"/>
      <c r="DW142" s="6051"/>
      <c r="DX142" s="6051"/>
      <c r="DY142" s="6051"/>
      <c r="DZ142" s="6051"/>
      <c r="EA142" s="6051"/>
      <c r="EB142" s="6051"/>
      <c r="EC142" s="6051"/>
      <c r="ED142" s="6051"/>
      <c r="EE142" s="6051"/>
      <c r="EF142" s="6051"/>
      <c r="EG142" s="6051"/>
      <c r="EH142" s="6051"/>
      <c r="EI142" s="6051"/>
      <c r="EJ142" s="6051"/>
      <c r="EK142" s="6051"/>
      <c r="EL142" s="6051"/>
      <c r="EM142" s="6051"/>
      <c r="EN142" s="6051"/>
      <c r="EO142" s="6051"/>
      <c r="EP142" s="6051"/>
      <c r="EQ142" s="6051"/>
      <c r="ER142" s="6051"/>
      <c r="ES142" s="6051"/>
      <c r="ET142" s="6051"/>
      <c r="EU142" s="6056"/>
    </row>
    <row r="143" spans="1:151" s="2043" customFormat="1" ht="15" customHeight="1">
      <c r="A143" s="16273"/>
      <c r="B143" s="16262"/>
      <c r="C143" s="16389" t="s">
        <v>2822</v>
      </c>
      <c r="D143" s="16224" t="s">
        <v>2823</v>
      </c>
      <c r="E143" s="16224" t="s">
        <v>2824</v>
      </c>
      <c r="F143" s="16224" t="s">
        <v>2825</v>
      </c>
      <c r="G143" s="16224" t="s">
        <v>2826</v>
      </c>
      <c r="H143" s="6039" t="s">
        <v>4614</v>
      </c>
      <c r="I143" s="6040" t="s">
        <v>2827</v>
      </c>
      <c r="J143" s="16224" t="s">
        <v>2825</v>
      </c>
      <c r="K143" s="6040" t="s">
        <v>86</v>
      </c>
      <c r="L143" s="5768" t="s">
        <v>2862</v>
      </c>
      <c r="M143" s="5135"/>
      <c r="N143" s="6041"/>
      <c r="O143" s="6042"/>
      <c r="P143" s="6042"/>
      <c r="Q143" s="6042"/>
      <c r="R143" s="6042"/>
      <c r="S143" s="6042"/>
      <c r="T143" s="6042"/>
      <c r="U143" s="6042"/>
      <c r="V143" s="6042"/>
      <c r="W143" s="6042"/>
      <c r="X143" s="6042"/>
      <c r="Y143" s="6042"/>
      <c r="Z143" s="6042"/>
      <c r="AA143" s="6042"/>
      <c r="AB143" s="6042"/>
      <c r="AC143" s="6042"/>
      <c r="AD143" s="6042"/>
      <c r="AE143" s="6042"/>
      <c r="AF143" s="6042"/>
      <c r="AG143" s="6042"/>
      <c r="AH143" s="6043"/>
      <c r="AI143" s="6039"/>
      <c r="AJ143" s="6043"/>
      <c r="AK143" s="6043"/>
      <c r="AL143" s="6043"/>
      <c r="AM143" s="6043"/>
      <c r="AN143" s="6043"/>
      <c r="AO143" s="6043"/>
      <c r="AP143" s="6043"/>
      <c r="AQ143" s="6039"/>
      <c r="AR143" s="6043"/>
      <c r="AS143" s="6043"/>
      <c r="AT143" s="6043"/>
      <c r="AU143" s="6043"/>
      <c r="AV143" s="6043"/>
      <c r="AW143" s="6043"/>
      <c r="AX143" s="6043"/>
      <c r="AY143" s="6043"/>
      <c r="AZ143" s="6043"/>
      <c r="BA143" s="6043"/>
      <c r="BB143" s="6043"/>
      <c r="BC143" s="6043"/>
      <c r="BD143" s="6043"/>
      <c r="BE143" s="6043"/>
      <c r="BF143" s="6043"/>
      <c r="BG143" s="6044" t="s">
        <v>9835</v>
      </c>
      <c r="BH143" s="6045">
        <v>1</v>
      </c>
      <c r="BI143" s="6046" t="s">
        <v>9193</v>
      </c>
      <c r="BJ143" s="6047" t="s">
        <v>9194</v>
      </c>
      <c r="BK143" s="6047" t="s">
        <v>9195</v>
      </c>
      <c r="BL143" s="6044">
        <v>132000000</v>
      </c>
      <c r="BM143" s="6044"/>
      <c r="BN143" s="6044">
        <v>132000000</v>
      </c>
      <c r="BO143" s="6047"/>
      <c r="BP143" s="6047"/>
      <c r="BQ143" s="6044">
        <v>56086</v>
      </c>
      <c r="BR143" s="6044">
        <v>29613</v>
      </c>
      <c r="BS143" s="6044">
        <v>26473</v>
      </c>
      <c r="BT143" s="6044">
        <v>50479</v>
      </c>
      <c r="BU143" s="6044">
        <v>5607</v>
      </c>
      <c r="BV143" s="6044"/>
      <c r="BW143" s="6047">
        <v>54958</v>
      </c>
      <c r="BX143" s="6047">
        <v>1128</v>
      </c>
      <c r="BY143" s="6044"/>
      <c r="BZ143" s="6039"/>
      <c r="CA143" s="6043"/>
      <c r="CB143" s="6043"/>
      <c r="CC143" s="6039"/>
      <c r="CD143" s="6043"/>
      <c r="CE143" s="6043"/>
      <c r="CF143" s="6043"/>
      <c r="CG143" s="6043"/>
      <c r="CH143" s="6043"/>
      <c r="CI143" s="6043"/>
      <c r="CJ143" s="6043"/>
      <c r="CK143" s="6039"/>
      <c r="CL143" s="6043"/>
      <c r="CM143" s="6043"/>
      <c r="CN143" s="6043"/>
      <c r="CO143" s="6043"/>
      <c r="CP143" s="6043"/>
      <c r="CQ143" s="6043"/>
      <c r="CR143" s="6043"/>
      <c r="CS143" s="6043"/>
      <c r="CT143" s="6043"/>
      <c r="CU143" s="6043"/>
      <c r="CV143" s="6043"/>
      <c r="CW143" s="6043"/>
      <c r="CX143" s="6043"/>
      <c r="CY143" s="6043"/>
      <c r="CZ143" s="6043"/>
      <c r="DA143" s="6043"/>
      <c r="DB143" s="6043"/>
      <c r="DC143" s="6043"/>
      <c r="DD143" s="6043"/>
      <c r="DE143" s="6043"/>
      <c r="DF143" s="6043"/>
      <c r="DG143" s="6043"/>
      <c r="DH143" s="6043"/>
      <c r="DI143" s="6043"/>
      <c r="DJ143" s="6043"/>
      <c r="DK143" s="6043"/>
      <c r="DL143" s="6043"/>
      <c r="DM143" s="6043"/>
      <c r="DN143" s="6043"/>
      <c r="DO143" s="6043"/>
      <c r="DP143" s="6043"/>
      <c r="DQ143" s="6043"/>
      <c r="DR143" s="6043"/>
      <c r="DS143" s="6043"/>
      <c r="DT143" s="6043"/>
      <c r="DU143" s="6043"/>
      <c r="DV143" s="6043"/>
      <c r="DW143" s="6043"/>
      <c r="DX143" s="6043"/>
      <c r="DY143" s="6043"/>
      <c r="DZ143" s="6043"/>
      <c r="EA143" s="6043"/>
      <c r="EB143" s="6043"/>
      <c r="EC143" s="6043"/>
      <c r="ED143" s="6043"/>
      <c r="EE143" s="6043"/>
      <c r="EF143" s="6043"/>
      <c r="EG143" s="6043"/>
      <c r="EH143" s="6043"/>
      <c r="EI143" s="6043"/>
      <c r="EJ143" s="6043"/>
      <c r="EK143" s="6043"/>
      <c r="EL143" s="6043"/>
      <c r="EM143" s="6043"/>
      <c r="EN143" s="6043"/>
      <c r="EO143" s="6043"/>
      <c r="EP143" s="6043"/>
      <c r="EQ143" s="6043"/>
      <c r="ER143" s="6043"/>
      <c r="ES143" s="6043"/>
      <c r="ET143" s="6043"/>
      <c r="EU143" s="6048"/>
    </row>
    <row r="144" spans="1:151" s="2043" customFormat="1" ht="15" customHeight="1" thickBot="1">
      <c r="A144" s="16273"/>
      <c r="B144" s="16262"/>
      <c r="C144" s="16390"/>
      <c r="D144" s="16225"/>
      <c r="E144" s="16225"/>
      <c r="F144" s="16225"/>
      <c r="G144" s="16225"/>
      <c r="H144" s="5992" t="s">
        <v>4615</v>
      </c>
      <c r="I144" s="5992" t="s">
        <v>4616</v>
      </c>
      <c r="J144" s="16225"/>
      <c r="K144" s="5992" t="s">
        <v>2896</v>
      </c>
      <c r="L144" s="5991" t="s">
        <v>2858</v>
      </c>
      <c r="M144" s="5992"/>
      <c r="N144" s="6037"/>
      <c r="O144" s="6038"/>
      <c r="P144" s="6038"/>
      <c r="Q144" s="6038"/>
      <c r="R144" s="6038"/>
      <c r="S144" s="6038"/>
      <c r="T144" s="6038"/>
      <c r="U144" s="6038"/>
      <c r="V144" s="6038"/>
      <c r="W144" s="6038"/>
      <c r="X144" s="6038"/>
      <c r="Y144" s="6038"/>
      <c r="Z144" s="6038"/>
      <c r="AA144" s="6038"/>
      <c r="AB144" s="6038"/>
      <c r="AC144" s="6038"/>
      <c r="AD144" s="6038"/>
      <c r="AE144" s="6038"/>
      <c r="AF144" s="6038"/>
      <c r="AG144" s="6038"/>
      <c r="AH144" s="5998"/>
      <c r="AI144" s="5998"/>
      <c r="AJ144" s="5998"/>
      <c r="AK144" s="5998"/>
      <c r="AL144" s="5998"/>
      <c r="AM144" s="5998"/>
      <c r="AN144" s="5998"/>
      <c r="AO144" s="5998"/>
      <c r="AP144" s="5998"/>
      <c r="AQ144" s="5998"/>
      <c r="AR144" s="5998"/>
      <c r="AS144" s="5998"/>
      <c r="AT144" s="5998"/>
      <c r="AU144" s="5998"/>
      <c r="AV144" s="5998"/>
      <c r="AW144" s="5998"/>
      <c r="AX144" s="5998"/>
      <c r="AY144" s="5998"/>
      <c r="AZ144" s="5998"/>
      <c r="BA144" s="5998"/>
      <c r="BB144" s="5998"/>
      <c r="BC144" s="5998"/>
      <c r="BD144" s="5998"/>
      <c r="BE144" s="5998"/>
      <c r="BF144" s="5998"/>
      <c r="BG144" s="5998"/>
      <c r="BH144" s="6000"/>
      <c r="BI144" s="6038"/>
      <c r="BJ144" s="5998"/>
      <c r="BK144" s="5998"/>
      <c r="BL144" s="5998"/>
      <c r="BM144" s="5998"/>
      <c r="BN144" s="5998"/>
      <c r="BO144" s="5998"/>
      <c r="BP144" s="5998"/>
      <c r="BQ144" s="5998"/>
      <c r="BR144" s="5998"/>
      <c r="BS144" s="5998"/>
      <c r="BT144" s="5998"/>
      <c r="BU144" s="5998"/>
      <c r="BV144" s="5998"/>
      <c r="BW144" s="5998"/>
      <c r="BX144" s="5998"/>
      <c r="BY144" s="5998"/>
      <c r="BZ144" s="5998"/>
      <c r="CA144" s="5998"/>
      <c r="CB144" s="5998"/>
      <c r="CC144" s="5998"/>
      <c r="CD144" s="5998"/>
      <c r="CE144" s="5998"/>
      <c r="CF144" s="5998"/>
      <c r="CG144" s="5998"/>
      <c r="CH144" s="5998"/>
      <c r="CI144" s="5998"/>
      <c r="CJ144" s="5998"/>
      <c r="CK144" s="5998"/>
      <c r="CL144" s="5998"/>
      <c r="CM144" s="5998"/>
      <c r="CN144" s="5998"/>
      <c r="CO144" s="5998"/>
      <c r="CP144" s="5998"/>
      <c r="CQ144" s="5998"/>
      <c r="CR144" s="5998"/>
      <c r="CS144" s="5998"/>
      <c r="CT144" s="5998"/>
      <c r="CU144" s="5998"/>
      <c r="CV144" s="5998"/>
      <c r="CW144" s="5998"/>
      <c r="CX144" s="5998"/>
      <c r="CY144" s="5998"/>
      <c r="CZ144" s="5998"/>
      <c r="DA144" s="5998"/>
      <c r="DB144" s="5998"/>
      <c r="DC144" s="5998"/>
      <c r="DD144" s="5998"/>
      <c r="DE144" s="5998"/>
      <c r="DF144" s="5998"/>
      <c r="DG144" s="5998"/>
      <c r="DH144" s="5998"/>
      <c r="DI144" s="5998"/>
      <c r="DJ144" s="5998"/>
      <c r="DK144" s="5998"/>
      <c r="DL144" s="5998"/>
      <c r="DM144" s="5998"/>
      <c r="DN144" s="5998"/>
      <c r="DO144" s="5998"/>
      <c r="DP144" s="5998"/>
      <c r="DQ144" s="5998"/>
      <c r="DR144" s="5998"/>
      <c r="DS144" s="5998"/>
      <c r="DT144" s="5998"/>
      <c r="DU144" s="5998"/>
      <c r="DV144" s="5998"/>
      <c r="DW144" s="5998"/>
      <c r="DX144" s="5998"/>
      <c r="DY144" s="5998"/>
      <c r="DZ144" s="5998"/>
      <c r="EA144" s="5998"/>
      <c r="EB144" s="5998"/>
      <c r="EC144" s="5998"/>
      <c r="ED144" s="5998"/>
      <c r="EE144" s="5998"/>
      <c r="EF144" s="5998"/>
      <c r="EG144" s="5998"/>
      <c r="EH144" s="5998"/>
      <c r="EI144" s="5998"/>
      <c r="EJ144" s="5998"/>
      <c r="EK144" s="5998"/>
      <c r="EL144" s="5998"/>
      <c r="EM144" s="5998"/>
      <c r="EN144" s="5998"/>
      <c r="EO144" s="5998"/>
      <c r="EP144" s="5998"/>
      <c r="EQ144" s="5998"/>
      <c r="ER144" s="5998"/>
      <c r="ES144" s="5998"/>
      <c r="ET144" s="5998"/>
      <c r="EU144" s="6003"/>
    </row>
    <row r="145" spans="1:151" s="2059" customFormat="1" ht="15" customHeight="1">
      <c r="A145" s="16273"/>
      <c r="B145" s="16262"/>
      <c r="C145" s="16393" t="s">
        <v>2828</v>
      </c>
      <c r="D145" s="6027" t="s">
        <v>8545</v>
      </c>
      <c r="E145" s="6028" t="s">
        <v>2829</v>
      </c>
      <c r="F145" s="6028" t="s">
        <v>2829</v>
      </c>
      <c r="G145" s="16396" t="s">
        <v>2830</v>
      </c>
      <c r="H145" s="16399" t="s">
        <v>4617</v>
      </c>
      <c r="I145" s="16401" t="s">
        <v>4618</v>
      </c>
      <c r="J145" s="6028" t="s">
        <v>2829</v>
      </c>
      <c r="K145" s="5797" t="s">
        <v>2896</v>
      </c>
      <c r="L145" s="5798" t="s">
        <v>2858</v>
      </c>
      <c r="M145" s="5130"/>
      <c r="N145" s="6029"/>
      <c r="O145" s="6030"/>
      <c r="P145" s="6031"/>
      <c r="Q145" s="6031"/>
      <c r="R145" s="6032"/>
      <c r="S145" s="6032"/>
      <c r="T145" s="6032"/>
      <c r="U145" s="6031"/>
      <c r="V145" s="6031"/>
      <c r="W145" s="6032"/>
      <c r="X145" s="6033"/>
      <c r="Y145" s="6032"/>
      <c r="Z145" s="6032"/>
      <c r="AA145" s="6032"/>
      <c r="AB145" s="6032"/>
      <c r="AC145" s="6031"/>
      <c r="AD145" s="6031"/>
      <c r="AE145" s="6032"/>
      <c r="AF145" s="6032"/>
      <c r="AG145" s="6031"/>
      <c r="AH145" s="6031"/>
      <c r="AI145" s="6032"/>
      <c r="AJ145" s="6031"/>
      <c r="AK145" s="6031"/>
      <c r="AL145" s="6031"/>
      <c r="AM145" s="6031"/>
      <c r="AN145" s="6031"/>
      <c r="AO145" s="6031"/>
      <c r="AP145" s="6031"/>
      <c r="AQ145" s="6032"/>
      <c r="AR145" s="6031"/>
      <c r="AS145" s="6031"/>
      <c r="AT145" s="6031"/>
      <c r="AU145" s="6031"/>
      <c r="AV145" s="6031"/>
      <c r="AW145" s="6031"/>
      <c r="AX145" s="6031"/>
      <c r="AY145" s="6031"/>
      <c r="AZ145" s="6031"/>
      <c r="BA145" s="6031"/>
      <c r="BB145" s="6031"/>
      <c r="BC145" s="6031"/>
      <c r="BD145" s="6031"/>
      <c r="BE145" s="6031"/>
      <c r="BF145" s="6031"/>
      <c r="BG145" s="6029">
        <v>1</v>
      </c>
      <c r="BH145" s="6034">
        <v>1</v>
      </c>
      <c r="BI145" s="6035" t="s">
        <v>9196</v>
      </c>
      <c r="BJ145" s="6031"/>
      <c r="BK145" s="6031"/>
      <c r="BL145" s="6032"/>
      <c r="BM145" s="6032"/>
      <c r="BN145" s="6032"/>
      <c r="BO145" s="6031"/>
      <c r="BP145" s="6031"/>
      <c r="BQ145" s="6032"/>
      <c r="BR145" s="6033"/>
      <c r="BS145" s="6032"/>
      <c r="BT145" s="6032"/>
      <c r="BU145" s="6032"/>
      <c r="BV145" s="6032"/>
      <c r="BW145" s="6031"/>
      <c r="BX145" s="6031"/>
      <c r="BY145" s="6032"/>
      <c r="BZ145" s="6032"/>
      <c r="CA145" s="6031"/>
      <c r="CB145" s="6031"/>
      <c r="CC145" s="6032"/>
      <c r="CD145" s="6031"/>
      <c r="CE145" s="6031"/>
      <c r="CF145" s="6031"/>
      <c r="CG145" s="6031"/>
      <c r="CH145" s="6031"/>
      <c r="CI145" s="6031"/>
      <c r="CJ145" s="6031"/>
      <c r="CK145" s="6032"/>
      <c r="CL145" s="6031"/>
      <c r="CM145" s="6031"/>
      <c r="CN145" s="6031"/>
      <c r="CO145" s="6031"/>
      <c r="CP145" s="6031"/>
      <c r="CQ145" s="6031"/>
      <c r="CR145" s="6031"/>
      <c r="CS145" s="6031"/>
      <c r="CT145" s="6031"/>
      <c r="CU145" s="6031"/>
      <c r="CV145" s="6031"/>
      <c r="CW145" s="6031"/>
      <c r="CX145" s="6031"/>
      <c r="CY145" s="6031"/>
      <c r="CZ145" s="6031"/>
      <c r="DA145" s="6031"/>
      <c r="DB145" s="6031"/>
      <c r="DC145" s="6031"/>
      <c r="DD145" s="6031"/>
      <c r="DE145" s="6031"/>
      <c r="DF145" s="6031"/>
      <c r="DG145" s="6031"/>
      <c r="DH145" s="6031"/>
      <c r="DI145" s="6031"/>
      <c r="DJ145" s="6031"/>
      <c r="DK145" s="6031"/>
      <c r="DL145" s="6031"/>
      <c r="DM145" s="6031"/>
      <c r="DN145" s="6031"/>
      <c r="DO145" s="6031"/>
      <c r="DP145" s="6031"/>
      <c r="DQ145" s="6031"/>
      <c r="DR145" s="6031"/>
      <c r="DS145" s="6031"/>
      <c r="DT145" s="6031"/>
      <c r="DU145" s="6031"/>
      <c r="DV145" s="6031"/>
      <c r="DW145" s="6031"/>
      <c r="DX145" s="6031"/>
      <c r="DY145" s="6031"/>
      <c r="DZ145" s="6031"/>
      <c r="EA145" s="6031"/>
      <c r="EB145" s="6031"/>
      <c r="EC145" s="6031"/>
      <c r="ED145" s="6031"/>
      <c r="EE145" s="6031"/>
      <c r="EF145" s="6031"/>
      <c r="EG145" s="6031"/>
      <c r="EH145" s="6031"/>
      <c r="EI145" s="6031"/>
      <c r="EJ145" s="6031"/>
      <c r="EK145" s="6031"/>
      <c r="EL145" s="6031"/>
      <c r="EM145" s="6031"/>
      <c r="EN145" s="6031"/>
      <c r="EO145" s="6031"/>
      <c r="EP145" s="6031"/>
      <c r="EQ145" s="6031"/>
      <c r="ER145" s="6031"/>
      <c r="ES145" s="6031"/>
      <c r="ET145" s="6031"/>
      <c r="EU145" s="6036"/>
    </row>
    <row r="146" spans="1:151" s="2059" customFormat="1" ht="15" customHeight="1">
      <c r="A146" s="16273"/>
      <c r="B146" s="16262"/>
      <c r="C146" s="16394"/>
      <c r="D146" s="5891" t="s">
        <v>8546</v>
      </c>
      <c r="E146" s="5887" t="s">
        <v>2831</v>
      </c>
      <c r="F146" s="5887" t="s">
        <v>2831</v>
      </c>
      <c r="G146" s="16397"/>
      <c r="H146" s="16041"/>
      <c r="I146" s="16402"/>
      <c r="J146" s="5887" t="s">
        <v>2831</v>
      </c>
      <c r="K146" s="5888" t="s">
        <v>10063</v>
      </c>
      <c r="L146" s="5889"/>
      <c r="M146" s="5889" t="s">
        <v>2856</v>
      </c>
      <c r="N146" s="5892">
        <f>+(1)*100%</f>
        <v>1</v>
      </c>
      <c r="O146" s="4017" t="s">
        <v>3172</v>
      </c>
      <c r="P146" s="4018" t="s">
        <v>3173</v>
      </c>
      <c r="Q146" s="4023" t="s">
        <v>2333</v>
      </c>
      <c r="R146" s="4021">
        <f>S146+T146+U146</f>
        <v>216811915.76999998</v>
      </c>
      <c r="S146" s="4021">
        <v>149636639.44</v>
      </c>
      <c r="T146" s="5893">
        <v>67175276.329999998</v>
      </c>
      <c r="U146" s="5894">
        <v>0</v>
      </c>
      <c r="V146" s="4023">
        <v>1</v>
      </c>
      <c r="W146" s="4023">
        <v>1</v>
      </c>
      <c r="X146" s="4023"/>
      <c r="Y146" s="4023">
        <v>1</v>
      </c>
      <c r="Z146" s="3448"/>
      <c r="AA146" s="3448"/>
      <c r="AB146" s="3448"/>
      <c r="AC146" s="3448">
        <v>1</v>
      </c>
      <c r="AD146" s="3448"/>
      <c r="AE146" s="3448"/>
      <c r="AF146" s="3448"/>
      <c r="AG146" s="3448"/>
      <c r="AH146" s="3448">
        <v>1</v>
      </c>
      <c r="AI146" s="3448"/>
      <c r="AJ146" s="3448"/>
      <c r="AK146" s="3448"/>
      <c r="AL146" s="3448"/>
      <c r="AM146" s="3448"/>
      <c r="AN146" s="3448"/>
      <c r="AO146" s="3448"/>
      <c r="AP146" s="3448">
        <v>1</v>
      </c>
      <c r="AQ146" s="3448"/>
      <c r="AR146" s="3448"/>
      <c r="AS146" s="3448"/>
      <c r="AT146" s="3448"/>
      <c r="AU146" s="3448"/>
      <c r="AV146" s="3448"/>
      <c r="AW146" s="3448"/>
      <c r="AX146" s="3448"/>
      <c r="AY146" s="3448"/>
      <c r="AZ146" s="3448"/>
      <c r="BA146" s="3448"/>
      <c r="BB146" s="3448"/>
      <c r="BC146" s="3448"/>
      <c r="BD146" s="3448"/>
      <c r="BE146" s="3448"/>
      <c r="BF146" s="5892"/>
      <c r="BG146" s="4017"/>
      <c r="BH146" s="5377">
        <v>1</v>
      </c>
      <c r="BI146" s="2436" t="s">
        <v>9915</v>
      </c>
      <c r="BJ146" s="4023"/>
      <c r="BK146" s="4021"/>
      <c r="BL146" s="4021"/>
      <c r="BM146" s="5893"/>
      <c r="BN146" s="5894"/>
      <c r="BO146" s="4023"/>
      <c r="BP146" s="4023"/>
      <c r="BQ146" s="4023"/>
      <c r="BR146" s="4023"/>
      <c r="BS146" s="3448"/>
      <c r="BT146" s="3448"/>
      <c r="BU146" s="3448"/>
      <c r="BV146" s="3448"/>
      <c r="BW146" s="3448"/>
      <c r="BX146" s="3448"/>
      <c r="BY146" s="3448"/>
      <c r="BZ146" s="3448"/>
      <c r="CA146" s="3448"/>
      <c r="CB146" s="3448"/>
      <c r="CC146" s="3448"/>
      <c r="CD146" s="3448"/>
      <c r="CE146" s="3448"/>
      <c r="CF146" s="3448"/>
      <c r="CG146" s="3448"/>
      <c r="CH146" s="3448"/>
      <c r="CI146" s="3448"/>
      <c r="CJ146" s="3448"/>
      <c r="CK146" s="3448"/>
      <c r="CL146" s="3448"/>
      <c r="CM146" s="3448"/>
      <c r="CN146" s="3448"/>
      <c r="CO146" s="3448"/>
      <c r="CP146" s="3448"/>
      <c r="CQ146" s="3448"/>
      <c r="CR146" s="3448"/>
      <c r="CS146" s="3448"/>
      <c r="CT146" s="3448"/>
      <c r="CU146" s="3448"/>
      <c r="CV146" s="3448"/>
      <c r="CW146" s="3448"/>
      <c r="CX146" s="3448"/>
      <c r="CY146" s="5890"/>
      <c r="CZ146" s="5890"/>
      <c r="DA146" s="5890"/>
      <c r="DB146" s="5890"/>
      <c r="DC146" s="5890"/>
      <c r="DD146" s="5890"/>
      <c r="DE146" s="5890"/>
      <c r="DF146" s="5890"/>
      <c r="DG146" s="5890"/>
      <c r="DH146" s="5890"/>
      <c r="DI146" s="5890"/>
      <c r="DJ146" s="5890"/>
      <c r="DK146" s="5890"/>
      <c r="DL146" s="5890"/>
      <c r="DM146" s="5890"/>
      <c r="DN146" s="5890"/>
      <c r="DO146" s="5890"/>
      <c r="DP146" s="5890"/>
      <c r="DQ146" s="5890"/>
      <c r="DR146" s="5890"/>
      <c r="DS146" s="5890"/>
      <c r="DT146" s="5890"/>
      <c r="DU146" s="5890"/>
      <c r="DV146" s="5890"/>
      <c r="DW146" s="5890"/>
      <c r="DX146" s="5890"/>
      <c r="DY146" s="5890"/>
      <c r="DZ146" s="5890"/>
      <c r="EA146" s="5890"/>
      <c r="EB146" s="5890"/>
      <c r="EC146" s="5890"/>
      <c r="ED146" s="5890"/>
      <c r="EE146" s="5890"/>
      <c r="EF146" s="5890"/>
      <c r="EG146" s="5890"/>
      <c r="EH146" s="5890"/>
      <c r="EI146" s="5890"/>
      <c r="EJ146" s="5890"/>
      <c r="EK146" s="5890"/>
      <c r="EL146" s="5890"/>
      <c r="EM146" s="5890"/>
      <c r="EN146" s="5890"/>
      <c r="EO146" s="5890"/>
      <c r="EP146" s="5890"/>
      <c r="EQ146" s="5890"/>
      <c r="ER146" s="5890"/>
      <c r="ES146" s="5890"/>
      <c r="ET146" s="5890"/>
      <c r="EU146" s="2058"/>
    </row>
    <row r="147" spans="1:151" s="2059" customFormat="1" ht="15" customHeight="1" thickBot="1">
      <c r="A147" s="16273"/>
      <c r="B147" s="16262"/>
      <c r="C147" s="16395"/>
      <c r="D147" s="6015" t="s">
        <v>8547</v>
      </c>
      <c r="E147" s="6016" t="s">
        <v>2832</v>
      </c>
      <c r="F147" s="6016" t="s">
        <v>2832</v>
      </c>
      <c r="G147" s="16398"/>
      <c r="H147" s="16400"/>
      <c r="I147" s="16403"/>
      <c r="J147" s="6016" t="s">
        <v>2832</v>
      </c>
      <c r="K147" s="6017" t="s">
        <v>10063</v>
      </c>
      <c r="L147" s="6018"/>
      <c r="M147" s="6018"/>
      <c r="N147" s="6019">
        <v>0.5</v>
      </c>
      <c r="O147" s="6020" t="s">
        <v>3076</v>
      </c>
      <c r="P147" s="6020" t="s">
        <v>3077</v>
      </c>
      <c r="Q147" s="1925" t="s">
        <v>2333</v>
      </c>
      <c r="R147" s="6021">
        <f>S147+T147+U147</f>
        <v>0</v>
      </c>
      <c r="S147" s="6021">
        <v>0</v>
      </c>
      <c r="T147" s="6022">
        <v>0</v>
      </c>
      <c r="U147" s="6023">
        <v>0</v>
      </c>
      <c r="V147" s="1925" t="s">
        <v>2333</v>
      </c>
      <c r="W147" s="3815"/>
      <c r="X147" s="3815"/>
      <c r="Y147" s="3815"/>
      <c r="Z147" s="3815"/>
      <c r="AA147" s="3815"/>
      <c r="AB147" s="3815"/>
      <c r="AC147" s="3815"/>
      <c r="AD147" s="3815"/>
      <c r="AE147" s="3815"/>
      <c r="AF147" s="3815"/>
      <c r="AG147" s="3815"/>
      <c r="AH147" s="3815"/>
      <c r="AI147" s="3815"/>
      <c r="AJ147" s="3815"/>
      <c r="AK147" s="3815"/>
      <c r="AL147" s="3815"/>
      <c r="AM147" s="3815"/>
      <c r="AN147" s="3815"/>
      <c r="AO147" s="3815"/>
      <c r="AP147" s="3815"/>
      <c r="AQ147" s="3815"/>
      <c r="AR147" s="3815"/>
      <c r="AS147" s="3815"/>
      <c r="AT147" s="3815"/>
      <c r="AU147" s="3815"/>
      <c r="AV147" s="3815"/>
      <c r="AW147" s="3815"/>
      <c r="AX147" s="3815"/>
      <c r="AY147" s="3815"/>
      <c r="AZ147" s="3815"/>
      <c r="BA147" s="3815"/>
      <c r="BB147" s="3815"/>
      <c r="BC147" s="3815"/>
      <c r="BD147" s="3815"/>
      <c r="BE147" s="3815"/>
      <c r="BF147" s="6019"/>
      <c r="BG147" s="6020"/>
      <c r="BH147" s="5505" t="s">
        <v>9821</v>
      </c>
      <c r="BI147" s="6024" t="s">
        <v>3076</v>
      </c>
      <c r="BJ147" s="1925"/>
      <c r="BK147" s="6021"/>
      <c r="BL147" s="6021"/>
      <c r="BM147" s="6022"/>
      <c r="BN147" s="6023"/>
      <c r="BO147" s="1925"/>
      <c r="BP147" s="3815"/>
      <c r="BQ147" s="3815"/>
      <c r="BR147" s="3815"/>
      <c r="BS147" s="3815"/>
      <c r="BT147" s="3815"/>
      <c r="BU147" s="3815"/>
      <c r="BV147" s="3815"/>
      <c r="BW147" s="3815"/>
      <c r="BX147" s="3815"/>
      <c r="BY147" s="3815"/>
      <c r="BZ147" s="3815"/>
      <c r="CA147" s="3815"/>
      <c r="CB147" s="3815"/>
      <c r="CC147" s="3815"/>
      <c r="CD147" s="3815"/>
      <c r="CE147" s="3815"/>
      <c r="CF147" s="3815"/>
      <c r="CG147" s="3815"/>
      <c r="CH147" s="3815"/>
      <c r="CI147" s="3815"/>
      <c r="CJ147" s="3815"/>
      <c r="CK147" s="3815"/>
      <c r="CL147" s="3815"/>
      <c r="CM147" s="3815"/>
      <c r="CN147" s="3815"/>
      <c r="CO147" s="3815"/>
      <c r="CP147" s="3815"/>
      <c r="CQ147" s="3815"/>
      <c r="CR147" s="3815"/>
      <c r="CS147" s="3815"/>
      <c r="CT147" s="3815"/>
      <c r="CU147" s="3815"/>
      <c r="CV147" s="3815"/>
      <c r="CW147" s="3815"/>
      <c r="CX147" s="3815"/>
      <c r="CY147" s="6025"/>
      <c r="CZ147" s="6025"/>
      <c r="DA147" s="6025"/>
      <c r="DB147" s="6025"/>
      <c r="DC147" s="6025"/>
      <c r="DD147" s="6025"/>
      <c r="DE147" s="6025"/>
      <c r="DF147" s="6025"/>
      <c r="DG147" s="6025"/>
      <c r="DH147" s="6025"/>
      <c r="DI147" s="6025"/>
      <c r="DJ147" s="6025"/>
      <c r="DK147" s="6025"/>
      <c r="DL147" s="6025"/>
      <c r="DM147" s="6025"/>
      <c r="DN147" s="6025"/>
      <c r="DO147" s="6025"/>
      <c r="DP147" s="6025"/>
      <c r="DQ147" s="6025"/>
      <c r="DR147" s="6025"/>
      <c r="DS147" s="6025"/>
      <c r="DT147" s="6025"/>
      <c r="DU147" s="6025"/>
      <c r="DV147" s="6025"/>
      <c r="DW147" s="6025"/>
      <c r="DX147" s="6025"/>
      <c r="DY147" s="6025"/>
      <c r="DZ147" s="6025"/>
      <c r="EA147" s="6025"/>
      <c r="EB147" s="6025"/>
      <c r="EC147" s="6025"/>
      <c r="ED147" s="6025"/>
      <c r="EE147" s="6025"/>
      <c r="EF147" s="6025"/>
      <c r="EG147" s="6025"/>
      <c r="EH147" s="6025"/>
      <c r="EI147" s="6025"/>
      <c r="EJ147" s="6025"/>
      <c r="EK147" s="6025"/>
      <c r="EL147" s="6025"/>
      <c r="EM147" s="6025"/>
      <c r="EN147" s="6025"/>
      <c r="EO147" s="6025"/>
      <c r="EP147" s="6025"/>
      <c r="EQ147" s="6025"/>
      <c r="ER147" s="6025"/>
      <c r="ES147" s="6025"/>
      <c r="ET147" s="6025"/>
      <c r="EU147" s="6026"/>
    </row>
    <row r="148" spans="1:151" s="2036" customFormat="1" ht="15" customHeight="1">
      <c r="A148" s="16271" t="s">
        <v>8551</v>
      </c>
      <c r="B148" s="16262"/>
      <c r="C148" s="16356" t="s">
        <v>8548</v>
      </c>
      <c r="D148" s="6012" t="s">
        <v>8549</v>
      </c>
      <c r="E148" s="6012" t="s">
        <v>8550</v>
      </c>
      <c r="F148" s="6012" t="s">
        <v>8550</v>
      </c>
      <c r="G148" s="6013" t="s">
        <v>2833</v>
      </c>
      <c r="H148" s="5107" t="s">
        <v>4619</v>
      </c>
      <c r="I148" s="5482" t="s">
        <v>2834</v>
      </c>
      <c r="J148" s="6012" t="s">
        <v>8550</v>
      </c>
      <c r="K148" s="2035" t="s">
        <v>10063</v>
      </c>
      <c r="L148" s="5024" t="s">
        <v>2856</v>
      </c>
      <c r="M148" s="5024"/>
      <c r="N148" s="6014">
        <v>1</v>
      </c>
      <c r="O148" s="1877" t="s">
        <v>3174</v>
      </c>
      <c r="P148" s="1877" t="s">
        <v>3175</v>
      </c>
      <c r="Q148" s="1984" t="s">
        <v>2333</v>
      </c>
      <c r="R148" s="5947">
        <f>S148+T148+U148</f>
        <v>24356345.122222222</v>
      </c>
      <c r="S148" s="5947">
        <v>23166511.78888889</v>
      </c>
      <c r="T148" s="5948">
        <v>1189833.3333333333</v>
      </c>
      <c r="U148" s="5949">
        <v>0</v>
      </c>
      <c r="V148" s="1984" t="s">
        <v>2333</v>
      </c>
      <c r="W148" s="1878"/>
      <c r="X148" s="1878"/>
      <c r="Y148" s="1878"/>
      <c r="Z148" s="1878"/>
      <c r="AA148" s="1878"/>
      <c r="AB148" s="1878"/>
      <c r="AC148" s="1878"/>
      <c r="AD148" s="1878"/>
      <c r="AE148" s="1878"/>
      <c r="AF148" s="1878"/>
      <c r="AG148" s="1878"/>
      <c r="AH148" s="1878"/>
      <c r="AI148" s="1878"/>
      <c r="AJ148" s="1878"/>
      <c r="AK148" s="1878"/>
      <c r="AL148" s="1878"/>
      <c r="AM148" s="1878"/>
      <c r="AN148" s="1878"/>
      <c r="AO148" s="1878"/>
      <c r="AP148" s="1878"/>
      <c r="AQ148" s="1878"/>
      <c r="AR148" s="1878"/>
      <c r="AS148" s="1878"/>
      <c r="AT148" s="1878"/>
      <c r="AU148" s="1878"/>
      <c r="AV148" s="1878"/>
      <c r="AW148" s="1878"/>
      <c r="AX148" s="1878"/>
      <c r="AY148" s="1878"/>
      <c r="AZ148" s="1878"/>
      <c r="BA148" s="1878"/>
      <c r="BB148" s="1878"/>
      <c r="BC148" s="1878"/>
      <c r="BD148" s="1878"/>
      <c r="BE148" s="1878"/>
      <c r="BF148" s="6014"/>
      <c r="BG148" s="1877"/>
      <c r="BH148" s="5951">
        <v>0.96550000000000002</v>
      </c>
      <c r="BI148" s="2034" t="s">
        <v>9916</v>
      </c>
      <c r="BJ148" s="1984"/>
      <c r="BK148" s="5947"/>
      <c r="BL148" s="5947"/>
      <c r="BM148" s="5948"/>
      <c r="BN148" s="5949"/>
      <c r="BO148" s="1984"/>
      <c r="BP148" s="1878"/>
      <c r="BQ148" s="1878"/>
      <c r="BR148" s="1878"/>
      <c r="BS148" s="1878"/>
      <c r="BT148" s="5143"/>
      <c r="BU148" s="5143"/>
      <c r="BV148" s="5143"/>
      <c r="BW148" s="2032"/>
      <c r="BX148" s="2032"/>
      <c r="BY148" s="5143"/>
      <c r="BZ148" s="5143"/>
      <c r="CA148" s="2032"/>
      <c r="CB148" s="2032"/>
      <c r="CC148" s="5143"/>
      <c r="CD148" s="2032"/>
      <c r="CE148" s="2032"/>
      <c r="CF148" s="2032"/>
      <c r="CG148" s="2032"/>
      <c r="CH148" s="2032"/>
      <c r="CI148" s="2032"/>
      <c r="CJ148" s="2032"/>
      <c r="CK148" s="5143"/>
      <c r="CL148" s="2032"/>
      <c r="CM148" s="2032"/>
      <c r="CN148" s="2032"/>
      <c r="CO148" s="2032"/>
      <c r="CP148" s="2032"/>
      <c r="CQ148" s="2032"/>
      <c r="CR148" s="2032"/>
      <c r="CS148" s="2032"/>
      <c r="CT148" s="2032"/>
      <c r="CU148" s="2032"/>
      <c r="CV148" s="2032"/>
      <c r="CW148" s="2032"/>
      <c r="CX148" s="2032"/>
      <c r="CY148" s="2032"/>
      <c r="CZ148" s="2032"/>
      <c r="DA148" s="2032"/>
      <c r="DB148" s="2032"/>
      <c r="DC148" s="2032"/>
      <c r="DD148" s="2032"/>
      <c r="DE148" s="2032"/>
      <c r="DF148" s="2032"/>
      <c r="DG148" s="2032"/>
      <c r="DH148" s="2032"/>
      <c r="DI148" s="2032"/>
      <c r="DJ148" s="2032"/>
      <c r="DK148" s="2032"/>
      <c r="DL148" s="2032"/>
      <c r="DM148" s="2032"/>
      <c r="DN148" s="2032"/>
      <c r="DO148" s="2032"/>
      <c r="DP148" s="2032"/>
      <c r="DQ148" s="2032"/>
      <c r="DR148" s="2032"/>
      <c r="DS148" s="2032"/>
      <c r="DT148" s="2032"/>
      <c r="DU148" s="2032"/>
      <c r="DV148" s="2032"/>
      <c r="DW148" s="2032"/>
      <c r="DX148" s="2032"/>
      <c r="DY148" s="2032"/>
      <c r="DZ148" s="2032"/>
      <c r="EA148" s="2032"/>
      <c r="EB148" s="2032"/>
      <c r="EC148" s="2032"/>
      <c r="ED148" s="2032"/>
      <c r="EE148" s="2032"/>
      <c r="EF148" s="2032"/>
      <c r="EG148" s="2032"/>
      <c r="EH148" s="2032"/>
      <c r="EI148" s="2032"/>
      <c r="EJ148" s="2032"/>
      <c r="EK148" s="2032"/>
      <c r="EL148" s="2032"/>
      <c r="EM148" s="2032"/>
      <c r="EN148" s="2032"/>
      <c r="EO148" s="2032"/>
      <c r="EP148" s="2032"/>
      <c r="EQ148" s="2032"/>
      <c r="ER148" s="2032"/>
      <c r="ES148" s="2032"/>
      <c r="ET148" s="2032"/>
      <c r="EU148" s="2033"/>
    </row>
    <row r="149" spans="1:151" s="2036" customFormat="1" ht="15" customHeight="1">
      <c r="A149" s="16271"/>
      <c r="B149" s="16262"/>
      <c r="C149" s="16357"/>
      <c r="D149" s="5895" t="s">
        <v>2835</v>
      </c>
      <c r="E149" s="5394" t="s">
        <v>2836</v>
      </c>
      <c r="F149" s="5394" t="s">
        <v>2837</v>
      </c>
      <c r="G149" s="16387" t="s">
        <v>2838</v>
      </c>
      <c r="H149" s="16230" t="s">
        <v>4620</v>
      </c>
      <c r="I149" s="16230" t="s">
        <v>4621</v>
      </c>
      <c r="J149" s="5394" t="s">
        <v>2837</v>
      </c>
      <c r="K149" s="2773" t="s">
        <v>10063</v>
      </c>
      <c r="L149" s="2773" t="s">
        <v>2856</v>
      </c>
      <c r="M149" s="2774"/>
      <c r="N149" s="5737"/>
      <c r="O149" s="5737"/>
      <c r="P149" s="5737"/>
      <c r="Q149" s="5737"/>
      <c r="R149" s="5737"/>
      <c r="S149" s="5737"/>
      <c r="T149" s="5737"/>
      <c r="U149" s="5737"/>
      <c r="V149" s="5737"/>
      <c r="W149" s="5737"/>
      <c r="X149" s="5737"/>
      <c r="Y149" s="5737"/>
      <c r="Z149" s="5737"/>
      <c r="AA149" s="5737"/>
      <c r="AB149" s="5737"/>
      <c r="AC149" s="5737"/>
      <c r="AD149" s="5737"/>
      <c r="AE149" s="5737"/>
      <c r="AF149" s="5737"/>
      <c r="AG149" s="5737"/>
      <c r="AH149" s="5737"/>
      <c r="AI149" s="5737"/>
      <c r="AJ149" s="5737"/>
      <c r="AK149" s="5737"/>
      <c r="AL149" s="5737"/>
      <c r="AM149" s="5737"/>
      <c r="AN149" s="5737"/>
      <c r="AO149" s="5737"/>
      <c r="AP149" s="5737"/>
      <c r="AQ149" s="5737"/>
      <c r="AR149" s="5737"/>
      <c r="AS149" s="5737"/>
      <c r="AT149" s="5737"/>
      <c r="AU149" s="5737"/>
      <c r="AV149" s="5737"/>
      <c r="AW149" s="5737"/>
      <c r="AX149" s="5737"/>
      <c r="AY149" s="5737"/>
      <c r="AZ149" s="5737"/>
      <c r="BA149" s="5737"/>
      <c r="BB149" s="5737"/>
      <c r="BC149" s="5737"/>
      <c r="BD149" s="5737"/>
      <c r="BE149" s="5737"/>
      <c r="BF149" s="5737"/>
      <c r="BG149" s="5737"/>
      <c r="BH149" s="5275"/>
      <c r="BI149" s="2237"/>
      <c r="BJ149" s="5737"/>
      <c r="BK149" s="5737"/>
      <c r="BL149" s="5737"/>
      <c r="BM149" s="5737"/>
      <c r="BN149" s="5737"/>
      <c r="BO149" s="5737"/>
      <c r="BP149" s="5737"/>
      <c r="BQ149" s="5737"/>
      <c r="BR149" s="5737"/>
      <c r="BS149" s="5737"/>
      <c r="BT149" s="5737"/>
      <c r="BU149" s="5737"/>
      <c r="BV149" s="5737"/>
      <c r="BW149" s="5737"/>
      <c r="BX149" s="5737"/>
      <c r="BY149" s="5737"/>
      <c r="BZ149" s="5737"/>
      <c r="CA149" s="5737"/>
      <c r="CB149" s="5737"/>
      <c r="CC149" s="5737"/>
      <c r="CD149" s="5737"/>
      <c r="CE149" s="5737"/>
      <c r="CF149" s="5737"/>
      <c r="CG149" s="5737"/>
      <c r="CH149" s="5737"/>
      <c r="CI149" s="5737"/>
      <c r="CJ149" s="5737"/>
      <c r="CK149" s="5737"/>
      <c r="CL149" s="5737"/>
      <c r="CM149" s="5737"/>
      <c r="CN149" s="5737"/>
      <c r="CO149" s="5737"/>
      <c r="CP149" s="5737"/>
      <c r="CQ149" s="5737"/>
      <c r="CR149" s="5737"/>
      <c r="CS149" s="5737"/>
      <c r="CT149" s="5737"/>
      <c r="CU149" s="5737"/>
      <c r="CV149" s="5737"/>
      <c r="CW149" s="5737"/>
      <c r="CX149" s="5737"/>
      <c r="CY149" s="5737"/>
      <c r="CZ149" s="5737"/>
      <c r="DA149" s="5737"/>
      <c r="DB149" s="5737"/>
      <c r="DC149" s="5737"/>
      <c r="DD149" s="5737"/>
      <c r="DE149" s="5737"/>
      <c r="DF149" s="5737"/>
      <c r="DG149" s="5737"/>
      <c r="DH149" s="5737"/>
      <c r="DI149" s="5737"/>
      <c r="DJ149" s="5737"/>
      <c r="DK149" s="5737"/>
      <c r="DL149" s="5737"/>
      <c r="DM149" s="5737"/>
      <c r="DN149" s="5737"/>
      <c r="DO149" s="5737"/>
      <c r="DP149" s="5737"/>
      <c r="DQ149" s="5737"/>
      <c r="DR149" s="5737"/>
      <c r="DS149" s="5737"/>
      <c r="DT149" s="5737"/>
      <c r="DU149" s="5737"/>
      <c r="DV149" s="5737"/>
      <c r="DW149" s="5737"/>
      <c r="DX149" s="5737"/>
      <c r="DY149" s="5737"/>
      <c r="DZ149" s="5737"/>
      <c r="EA149" s="5737"/>
      <c r="EB149" s="5737"/>
      <c r="EC149" s="5737"/>
      <c r="ED149" s="5737"/>
      <c r="EE149" s="5737"/>
      <c r="EF149" s="5737"/>
      <c r="EG149" s="5737"/>
      <c r="EH149" s="5737"/>
      <c r="EI149" s="5737"/>
      <c r="EJ149" s="5737"/>
      <c r="EK149" s="5737"/>
      <c r="EL149" s="5737"/>
      <c r="EM149" s="5737"/>
      <c r="EN149" s="5737"/>
      <c r="EO149" s="5737"/>
      <c r="EP149" s="5737"/>
      <c r="EQ149" s="5737"/>
      <c r="ER149" s="5737"/>
      <c r="ES149" s="5737"/>
      <c r="ET149" s="5737"/>
      <c r="EU149" s="2037"/>
    </row>
    <row r="150" spans="1:151" s="2036" customFormat="1" ht="15" customHeight="1">
      <c r="A150" s="16271"/>
      <c r="B150" s="16262"/>
      <c r="C150" s="16357"/>
      <c r="D150" s="5895" t="s">
        <v>2839</v>
      </c>
      <c r="E150" s="5394" t="s">
        <v>2840</v>
      </c>
      <c r="F150" s="5394" t="s">
        <v>2840</v>
      </c>
      <c r="G150" s="16387"/>
      <c r="H150" s="16230"/>
      <c r="I150" s="16230"/>
      <c r="J150" s="5394" t="s">
        <v>2840</v>
      </c>
      <c r="K150" s="2773" t="s">
        <v>10070</v>
      </c>
      <c r="L150" s="2773"/>
      <c r="M150" s="2774" t="s">
        <v>2863</v>
      </c>
      <c r="N150" s="5737"/>
      <c r="O150" s="5737"/>
      <c r="P150" s="5737"/>
      <c r="Q150" s="5737"/>
      <c r="R150" s="5737"/>
      <c r="S150" s="5737"/>
      <c r="T150" s="5737"/>
      <c r="U150" s="5737"/>
      <c r="V150" s="5737"/>
      <c r="W150" s="5737"/>
      <c r="X150" s="5737"/>
      <c r="Y150" s="5737"/>
      <c r="Z150" s="5737"/>
      <c r="AA150" s="5737"/>
      <c r="AB150" s="5737"/>
      <c r="AC150" s="5737"/>
      <c r="AD150" s="5737"/>
      <c r="AE150" s="5737"/>
      <c r="AF150" s="5737"/>
      <c r="AG150" s="5737"/>
      <c r="AH150" s="5737"/>
      <c r="AI150" s="5737"/>
      <c r="AJ150" s="5737"/>
      <c r="AK150" s="5737"/>
      <c r="AL150" s="5737"/>
      <c r="AM150" s="5737"/>
      <c r="AN150" s="5737"/>
      <c r="AO150" s="5737"/>
      <c r="AP150" s="5737"/>
      <c r="AQ150" s="5737"/>
      <c r="AR150" s="5737"/>
      <c r="AS150" s="5737"/>
      <c r="AT150" s="5737"/>
      <c r="AU150" s="5737"/>
      <c r="AV150" s="5737"/>
      <c r="AW150" s="5737"/>
      <c r="AX150" s="5737"/>
      <c r="AY150" s="5737"/>
      <c r="AZ150" s="5737"/>
      <c r="BA150" s="5737"/>
      <c r="BB150" s="5737"/>
      <c r="BC150" s="5737"/>
      <c r="BD150" s="5737"/>
      <c r="BE150" s="5737"/>
      <c r="BF150" s="5737"/>
      <c r="BG150" s="5737"/>
      <c r="BH150" s="5275"/>
      <c r="BI150" s="2237"/>
      <c r="BJ150" s="5737"/>
      <c r="BK150" s="5737"/>
      <c r="BL150" s="5737"/>
      <c r="BM150" s="5737"/>
      <c r="BN150" s="5737"/>
      <c r="BO150" s="5737"/>
      <c r="BP150" s="5737"/>
      <c r="BQ150" s="5737"/>
      <c r="BR150" s="5737"/>
      <c r="BS150" s="5737"/>
      <c r="BT150" s="5737"/>
      <c r="BU150" s="5737"/>
      <c r="BV150" s="5737"/>
      <c r="BW150" s="5737"/>
      <c r="BX150" s="5737"/>
      <c r="BY150" s="5737"/>
      <c r="BZ150" s="5737"/>
      <c r="CA150" s="5737"/>
      <c r="CB150" s="5737"/>
      <c r="CC150" s="5737"/>
      <c r="CD150" s="5737"/>
      <c r="CE150" s="5737"/>
      <c r="CF150" s="5737"/>
      <c r="CG150" s="5737"/>
      <c r="CH150" s="5737"/>
      <c r="CI150" s="5737"/>
      <c r="CJ150" s="5737"/>
      <c r="CK150" s="5737"/>
      <c r="CL150" s="5737"/>
      <c r="CM150" s="5737"/>
      <c r="CN150" s="5737"/>
      <c r="CO150" s="5737"/>
      <c r="CP150" s="5737"/>
      <c r="CQ150" s="5737"/>
      <c r="CR150" s="5737"/>
      <c r="CS150" s="5737"/>
      <c r="CT150" s="5737"/>
      <c r="CU150" s="5737"/>
      <c r="CV150" s="5737"/>
      <c r="CW150" s="5737"/>
      <c r="CX150" s="5737"/>
      <c r="CY150" s="5737"/>
      <c r="CZ150" s="5737"/>
      <c r="DA150" s="5737"/>
      <c r="DB150" s="5737"/>
      <c r="DC150" s="5737"/>
      <c r="DD150" s="5737"/>
      <c r="DE150" s="5737"/>
      <c r="DF150" s="5737"/>
      <c r="DG150" s="5737"/>
      <c r="DH150" s="5737"/>
      <c r="DI150" s="5737"/>
      <c r="DJ150" s="5737"/>
      <c r="DK150" s="5737"/>
      <c r="DL150" s="5737"/>
      <c r="DM150" s="5737"/>
      <c r="DN150" s="5737"/>
      <c r="DO150" s="5737"/>
      <c r="DP150" s="5737"/>
      <c r="DQ150" s="5737"/>
      <c r="DR150" s="5737"/>
      <c r="DS150" s="5737"/>
      <c r="DT150" s="5737"/>
      <c r="DU150" s="5737"/>
      <c r="DV150" s="5737"/>
      <c r="DW150" s="5737"/>
      <c r="DX150" s="5737"/>
      <c r="DY150" s="5737"/>
      <c r="DZ150" s="5737"/>
      <c r="EA150" s="5737"/>
      <c r="EB150" s="5737"/>
      <c r="EC150" s="5737"/>
      <c r="ED150" s="5737"/>
      <c r="EE150" s="5737"/>
      <c r="EF150" s="5737"/>
      <c r="EG150" s="5737"/>
      <c r="EH150" s="5737"/>
      <c r="EI150" s="5737"/>
      <c r="EJ150" s="5737"/>
      <c r="EK150" s="5737"/>
      <c r="EL150" s="5737"/>
      <c r="EM150" s="5737"/>
      <c r="EN150" s="5737"/>
      <c r="EO150" s="5737"/>
      <c r="EP150" s="5737"/>
      <c r="EQ150" s="5737"/>
      <c r="ER150" s="5737"/>
      <c r="ES150" s="5737"/>
      <c r="ET150" s="5737"/>
      <c r="EU150" s="2037"/>
    </row>
    <row r="151" spans="1:151" s="2036" customFormat="1" ht="15" customHeight="1">
      <c r="A151" s="16271"/>
      <c r="B151" s="16262"/>
      <c r="C151" s="16357"/>
      <c r="D151" s="5895" t="s">
        <v>2841</v>
      </c>
      <c r="E151" s="5896" t="s">
        <v>2842</v>
      </c>
      <c r="F151" s="5896" t="s">
        <v>2843</v>
      </c>
      <c r="G151" s="16387"/>
      <c r="H151" s="16230"/>
      <c r="I151" s="16230"/>
      <c r="J151" s="5896" t="s">
        <v>2843</v>
      </c>
      <c r="K151" s="2773" t="s">
        <v>10063</v>
      </c>
      <c r="L151" s="2773"/>
      <c r="M151" s="2742"/>
      <c r="N151" s="3947"/>
      <c r="O151" s="4658" t="s">
        <v>3176</v>
      </c>
      <c r="P151" s="3947" t="s">
        <v>3177</v>
      </c>
      <c r="Q151" s="3947" t="s">
        <v>3178</v>
      </c>
      <c r="R151" s="5790">
        <f>S151+T151</f>
        <v>45575898.672222227</v>
      </c>
      <c r="S151" s="5790">
        <v>33677565.338888891</v>
      </c>
      <c r="T151" s="5791">
        <v>11898333.333333334</v>
      </c>
      <c r="U151" s="4215">
        <v>0</v>
      </c>
      <c r="V151" s="3953" t="s">
        <v>545</v>
      </c>
      <c r="W151" s="3951"/>
      <c r="X151" s="3951"/>
      <c r="Y151" s="3951"/>
      <c r="Z151" s="3951"/>
      <c r="AA151" s="5182"/>
      <c r="AB151" s="5182"/>
      <c r="AC151" s="5737"/>
      <c r="AD151" s="5737"/>
      <c r="AE151" s="5182"/>
      <c r="AF151" s="5182"/>
      <c r="AG151" s="5737"/>
      <c r="AH151" s="5737"/>
      <c r="AI151" s="5182"/>
      <c r="AJ151" s="5737"/>
      <c r="AK151" s="5737"/>
      <c r="AL151" s="5737"/>
      <c r="AM151" s="5737"/>
      <c r="AN151" s="5737"/>
      <c r="AO151" s="5737"/>
      <c r="AP151" s="5737"/>
      <c r="AQ151" s="5182"/>
      <c r="AR151" s="5737"/>
      <c r="AS151" s="5737"/>
      <c r="AT151" s="5737"/>
      <c r="AU151" s="5737"/>
      <c r="AV151" s="5737"/>
      <c r="AW151" s="5737"/>
      <c r="AX151" s="5737"/>
      <c r="AY151" s="5737"/>
      <c r="AZ151" s="5737"/>
      <c r="BA151" s="5737"/>
      <c r="BB151" s="5737"/>
      <c r="BC151" s="5737"/>
      <c r="BD151" s="5737"/>
      <c r="BE151" s="5737"/>
      <c r="BF151" s="5737"/>
      <c r="BG151" s="5801" t="s">
        <v>9197</v>
      </c>
      <c r="BH151" s="5275" t="s">
        <v>9197</v>
      </c>
      <c r="BI151" s="2415" t="s">
        <v>9198</v>
      </c>
      <c r="BJ151" s="2742" t="s">
        <v>3177</v>
      </c>
      <c r="BK151" s="5897" t="s">
        <v>9197</v>
      </c>
      <c r="BL151" s="5182" t="s">
        <v>9199</v>
      </c>
      <c r="BM151" s="5182" t="s">
        <v>9200</v>
      </c>
      <c r="BN151" s="5182" t="s">
        <v>9201</v>
      </c>
      <c r="BO151" s="5182" t="s">
        <v>9068</v>
      </c>
      <c r="BP151" s="5182"/>
      <c r="BQ151" s="5182"/>
      <c r="BR151" s="5739"/>
      <c r="BS151" s="5182"/>
      <c r="BT151" s="5182"/>
      <c r="BU151" s="5182"/>
      <c r="BV151" s="5182"/>
      <c r="BW151" s="5737"/>
      <c r="BX151" s="5737"/>
      <c r="BY151" s="5182"/>
      <c r="BZ151" s="5182"/>
      <c r="CA151" s="5737"/>
      <c r="CB151" s="5737"/>
      <c r="CC151" s="5182"/>
      <c r="CD151" s="5737"/>
      <c r="CE151" s="5737"/>
      <c r="CF151" s="5737"/>
      <c r="CG151" s="5737"/>
      <c r="CH151" s="5737"/>
      <c r="CI151" s="5737"/>
      <c r="CJ151" s="5737"/>
      <c r="CK151" s="5182"/>
      <c r="CL151" s="5737"/>
      <c r="CM151" s="5737"/>
      <c r="CN151" s="5737"/>
      <c r="CO151" s="5737"/>
      <c r="CP151" s="5737"/>
      <c r="CQ151" s="5737"/>
      <c r="CR151" s="5737"/>
      <c r="CS151" s="5737"/>
      <c r="CT151" s="5737"/>
      <c r="CU151" s="5737"/>
      <c r="CV151" s="5737"/>
      <c r="CW151" s="5737"/>
      <c r="CX151" s="5737"/>
      <c r="CY151" s="5737"/>
      <c r="CZ151" s="5737"/>
      <c r="DA151" s="5737"/>
      <c r="DB151" s="5737"/>
      <c r="DC151" s="5737"/>
      <c r="DD151" s="5737"/>
      <c r="DE151" s="5737"/>
      <c r="DF151" s="5737"/>
      <c r="DG151" s="5737"/>
      <c r="DH151" s="5737"/>
      <c r="DI151" s="5737"/>
      <c r="DJ151" s="5737"/>
      <c r="DK151" s="5737"/>
      <c r="DL151" s="5737"/>
      <c r="DM151" s="5737"/>
      <c r="DN151" s="5737"/>
      <c r="DO151" s="5737"/>
      <c r="DP151" s="5737"/>
      <c r="DQ151" s="5737"/>
      <c r="DR151" s="5737"/>
      <c r="DS151" s="5737"/>
      <c r="DT151" s="5737"/>
      <c r="DU151" s="5737"/>
      <c r="DV151" s="5737"/>
      <c r="DW151" s="5737"/>
      <c r="DX151" s="5737"/>
      <c r="DY151" s="5737"/>
      <c r="DZ151" s="5737"/>
      <c r="EA151" s="5737"/>
      <c r="EB151" s="5737"/>
      <c r="EC151" s="5737"/>
      <c r="ED151" s="5737"/>
      <c r="EE151" s="5737"/>
      <c r="EF151" s="5737"/>
      <c r="EG151" s="5737"/>
      <c r="EH151" s="5737"/>
      <c r="EI151" s="5737"/>
      <c r="EJ151" s="5737"/>
      <c r="EK151" s="5737"/>
      <c r="EL151" s="5737"/>
      <c r="EM151" s="5737"/>
      <c r="EN151" s="5737"/>
      <c r="EO151" s="5737"/>
      <c r="EP151" s="5737"/>
      <c r="EQ151" s="5737"/>
      <c r="ER151" s="5737"/>
      <c r="ES151" s="5737"/>
      <c r="ET151" s="5737"/>
      <c r="EU151" s="2037"/>
    </row>
    <row r="152" spans="1:151" s="2036" customFormat="1" ht="15" customHeight="1">
      <c r="A152" s="16271"/>
      <c r="B152" s="16262"/>
      <c r="C152" s="16357"/>
      <c r="D152" s="5895" t="s">
        <v>2844</v>
      </c>
      <c r="E152" s="5394" t="s">
        <v>2845</v>
      </c>
      <c r="F152" s="5394" t="s">
        <v>2845</v>
      </c>
      <c r="G152" s="16387"/>
      <c r="H152" s="2742" t="s">
        <v>4622</v>
      </c>
      <c r="I152" s="2766" t="s">
        <v>2846</v>
      </c>
      <c r="J152" s="5394" t="s">
        <v>2845</v>
      </c>
      <c r="K152" s="2766" t="s">
        <v>10070</v>
      </c>
      <c r="L152" s="5181" t="s">
        <v>2863</v>
      </c>
      <c r="M152" s="2742"/>
      <c r="N152" s="5737"/>
      <c r="O152" s="5737"/>
      <c r="P152" s="5737"/>
      <c r="Q152" s="5737"/>
      <c r="R152" s="5737"/>
      <c r="S152" s="5737"/>
      <c r="T152" s="5737"/>
      <c r="U152" s="5737"/>
      <c r="V152" s="5737"/>
      <c r="W152" s="5737"/>
      <c r="X152" s="5737"/>
      <c r="Y152" s="5737"/>
      <c r="Z152" s="5737"/>
      <c r="AA152" s="5737"/>
      <c r="AB152" s="5737"/>
      <c r="AC152" s="5737"/>
      <c r="AD152" s="5737"/>
      <c r="AE152" s="5737"/>
      <c r="AF152" s="5737"/>
      <c r="AG152" s="5737"/>
      <c r="AH152" s="5737"/>
      <c r="AI152" s="5737"/>
      <c r="AJ152" s="5737"/>
      <c r="AK152" s="5737"/>
      <c r="AL152" s="5737"/>
      <c r="AM152" s="5737"/>
      <c r="AN152" s="5737"/>
      <c r="AO152" s="5737"/>
      <c r="AP152" s="5737"/>
      <c r="AQ152" s="5737"/>
      <c r="AR152" s="5737"/>
      <c r="AS152" s="5737"/>
      <c r="AT152" s="5737"/>
      <c r="AU152" s="5737"/>
      <c r="AV152" s="5737"/>
      <c r="AW152" s="5737"/>
      <c r="AX152" s="5737"/>
      <c r="AY152" s="5737"/>
      <c r="AZ152" s="5737"/>
      <c r="BA152" s="5737"/>
      <c r="BB152" s="5737"/>
      <c r="BC152" s="5737"/>
      <c r="BD152" s="5737"/>
      <c r="BE152" s="5737"/>
      <c r="BF152" s="5737"/>
      <c r="BG152" s="5737"/>
      <c r="BH152" s="5275"/>
      <c r="BI152" s="2237"/>
      <c r="BJ152" s="5737"/>
      <c r="BK152" s="5737"/>
      <c r="BL152" s="5737"/>
      <c r="BM152" s="5737"/>
      <c r="BN152" s="5737"/>
      <c r="BO152" s="5737"/>
      <c r="BP152" s="5737"/>
      <c r="BQ152" s="5737"/>
      <c r="BR152" s="5737"/>
      <c r="BS152" s="5737"/>
      <c r="BT152" s="5737"/>
      <c r="BU152" s="5737"/>
      <c r="BV152" s="5737"/>
      <c r="BW152" s="5737"/>
      <c r="BX152" s="5737"/>
      <c r="BY152" s="5737"/>
      <c r="BZ152" s="5737"/>
      <c r="CA152" s="5737"/>
      <c r="CB152" s="5737"/>
      <c r="CC152" s="5737"/>
      <c r="CD152" s="5737"/>
      <c r="CE152" s="5737"/>
      <c r="CF152" s="5737"/>
      <c r="CG152" s="5737"/>
      <c r="CH152" s="5737"/>
      <c r="CI152" s="5737"/>
      <c r="CJ152" s="5737"/>
      <c r="CK152" s="5737"/>
      <c r="CL152" s="5737"/>
      <c r="CM152" s="5737"/>
      <c r="CN152" s="5737"/>
      <c r="CO152" s="5737"/>
      <c r="CP152" s="5737"/>
      <c r="CQ152" s="5737"/>
      <c r="CR152" s="5737"/>
      <c r="CS152" s="5737"/>
      <c r="CT152" s="5737"/>
      <c r="CU152" s="5737"/>
      <c r="CV152" s="5737"/>
      <c r="CW152" s="5737"/>
      <c r="CX152" s="5737"/>
      <c r="CY152" s="5737"/>
      <c r="CZ152" s="5737"/>
      <c r="DA152" s="5737"/>
      <c r="DB152" s="5737"/>
      <c r="DC152" s="5737"/>
      <c r="DD152" s="5737"/>
      <c r="DE152" s="5737"/>
      <c r="DF152" s="5737"/>
      <c r="DG152" s="5737"/>
      <c r="DH152" s="5737"/>
      <c r="DI152" s="5737"/>
      <c r="DJ152" s="5737"/>
      <c r="DK152" s="5737"/>
      <c r="DL152" s="5737"/>
      <c r="DM152" s="5737"/>
      <c r="DN152" s="5737"/>
      <c r="DO152" s="5737"/>
      <c r="DP152" s="5737"/>
      <c r="DQ152" s="5737"/>
      <c r="DR152" s="5737"/>
      <c r="DS152" s="5737"/>
      <c r="DT152" s="5737"/>
      <c r="DU152" s="5737"/>
      <c r="DV152" s="5737"/>
      <c r="DW152" s="5737"/>
      <c r="DX152" s="5737"/>
      <c r="DY152" s="5737"/>
      <c r="DZ152" s="5737"/>
      <c r="EA152" s="5737"/>
      <c r="EB152" s="5737"/>
      <c r="EC152" s="5737"/>
      <c r="ED152" s="5737"/>
      <c r="EE152" s="5737"/>
      <c r="EF152" s="5737"/>
      <c r="EG152" s="5737"/>
      <c r="EH152" s="5737"/>
      <c r="EI152" s="5737"/>
      <c r="EJ152" s="5737"/>
      <c r="EK152" s="5737"/>
      <c r="EL152" s="5737"/>
      <c r="EM152" s="5737"/>
      <c r="EN152" s="5737"/>
      <c r="EO152" s="5737"/>
      <c r="EP152" s="5737"/>
      <c r="EQ152" s="5737"/>
      <c r="ER152" s="5737"/>
      <c r="ES152" s="5737"/>
      <c r="ET152" s="5737"/>
      <c r="EU152" s="2037"/>
    </row>
    <row r="153" spans="1:151" s="2036" customFormat="1" ht="15" customHeight="1">
      <c r="A153" s="16271"/>
      <c r="B153" s="16262"/>
      <c r="C153" s="16357"/>
      <c r="D153" s="5898" t="s">
        <v>2847</v>
      </c>
      <c r="E153" s="5394" t="s">
        <v>2848</v>
      </c>
      <c r="F153" s="5394" t="s">
        <v>8552</v>
      </c>
      <c r="G153" s="16387"/>
      <c r="H153" s="2742" t="s">
        <v>4623</v>
      </c>
      <c r="I153" s="2766" t="s">
        <v>2849</v>
      </c>
      <c r="J153" s="5394" t="s">
        <v>8552</v>
      </c>
      <c r="K153" s="2766" t="s">
        <v>2896</v>
      </c>
      <c r="L153" s="2742" t="s">
        <v>2858</v>
      </c>
      <c r="M153" s="2742"/>
      <c r="N153" s="5803"/>
      <c r="O153" s="5801"/>
      <c r="P153" s="5737"/>
      <c r="Q153" s="5737"/>
      <c r="R153" s="5182"/>
      <c r="S153" s="5182"/>
      <c r="T153" s="5182"/>
      <c r="U153" s="5737"/>
      <c r="V153" s="5737"/>
      <c r="W153" s="5182"/>
      <c r="X153" s="5739"/>
      <c r="Y153" s="5182"/>
      <c r="Z153" s="5182"/>
      <c r="AA153" s="5182"/>
      <c r="AB153" s="5182"/>
      <c r="AC153" s="5737"/>
      <c r="AD153" s="5737"/>
      <c r="AE153" s="5182"/>
      <c r="AF153" s="5182"/>
      <c r="AG153" s="5737"/>
      <c r="AH153" s="5737"/>
      <c r="AI153" s="5182"/>
      <c r="AJ153" s="5737"/>
      <c r="AK153" s="5737"/>
      <c r="AL153" s="5737"/>
      <c r="AM153" s="5737"/>
      <c r="AN153" s="5737"/>
      <c r="AO153" s="5737"/>
      <c r="AP153" s="5737"/>
      <c r="AQ153" s="5182"/>
      <c r="AR153" s="5737"/>
      <c r="AS153" s="5737"/>
      <c r="AT153" s="5737"/>
      <c r="AU153" s="5737"/>
      <c r="AV153" s="5737"/>
      <c r="AW153" s="5737"/>
      <c r="AX153" s="5737"/>
      <c r="AY153" s="5737"/>
      <c r="AZ153" s="5737"/>
      <c r="BA153" s="5737"/>
      <c r="BB153" s="5737"/>
      <c r="BC153" s="5737"/>
      <c r="BD153" s="5737"/>
      <c r="BE153" s="5737"/>
      <c r="BF153" s="5737"/>
      <c r="BG153" s="5803">
        <v>1</v>
      </c>
      <c r="BH153" s="5275">
        <v>1</v>
      </c>
      <c r="BI153" s="2415" t="s">
        <v>9202</v>
      </c>
      <c r="BJ153" s="5737"/>
      <c r="BK153" s="5737"/>
      <c r="BL153" s="5182"/>
      <c r="BM153" s="5182"/>
      <c r="BN153" s="5182"/>
      <c r="BO153" s="5737"/>
      <c r="BP153" s="5737"/>
      <c r="BQ153" s="5182"/>
      <c r="BR153" s="5739"/>
      <c r="BS153" s="5182"/>
      <c r="BT153" s="5182"/>
      <c r="BU153" s="5182"/>
      <c r="BV153" s="5182"/>
      <c r="BW153" s="5737"/>
      <c r="BX153" s="5737"/>
      <c r="BY153" s="5182"/>
      <c r="BZ153" s="5182"/>
      <c r="CA153" s="5737"/>
      <c r="CB153" s="5737"/>
      <c r="CC153" s="5182"/>
      <c r="CD153" s="5737"/>
      <c r="CE153" s="5737"/>
      <c r="CF153" s="5737"/>
      <c r="CG153" s="5737"/>
      <c r="CH153" s="5737"/>
      <c r="CI153" s="5737"/>
      <c r="CJ153" s="5737"/>
      <c r="CK153" s="5182"/>
      <c r="CL153" s="5737"/>
      <c r="CM153" s="5737"/>
      <c r="CN153" s="5737"/>
      <c r="CO153" s="5737"/>
      <c r="CP153" s="5737"/>
      <c r="CQ153" s="5737"/>
      <c r="CR153" s="5737"/>
      <c r="CS153" s="5737"/>
      <c r="CT153" s="5737"/>
      <c r="CU153" s="5737"/>
      <c r="CV153" s="5737"/>
      <c r="CW153" s="5737"/>
      <c r="CX153" s="5737"/>
      <c r="CY153" s="5737"/>
      <c r="CZ153" s="5737"/>
      <c r="DA153" s="5737"/>
      <c r="DB153" s="5737"/>
      <c r="DC153" s="5737"/>
      <c r="DD153" s="5737"/>
      <c r="DE153" s="5737"/>
      <c r="DF153" s="5737"/>
      <c r="DG153" s="5737"/>
      <c r="DH153" s="5737"/>
      <c r="DI153" s="5737"/>
      <c r="DJ153" s="5737"/>
      <c r="DK153" s="5737"/>
      <c r="DL153" s="5737"/>
      <c r="DM153" s="5737"/>
      <c r="DN153" s="5737"/>
      <c r="DO153" s="5737"/>
      <c r="DP153" s="5737"/>
      <c r="DQ153" s="5737"/>
      <c r="DR153" s="5737"/>
      <c r="DS153" s="5737"/>
      <c r="DT153" s="5737"/>
      <c r="DU153" s="5737"/>
      <c r="DV153" s="5737"/>
      <c r="DW153" s="5737"/>
      <c r="DX153" s="5737"/>
      <c r="DY153" s="5737"/>
      <c r="DZ153" s="5737"/>
      <c r="EA153" s="5737"/>
      <c r="EB153" s="5737"/>
      <c r="EC153" s="5737"/>
      <c r="ED153" s="5737"/>
      <c r="EE153" s="5737"/>
      <c r="EF153" s="5737"/>
      <c r="EG153" s="5737"/>
      <c r="EH153" s="5737"/>
      <c r="EI153" s="5737"/>
      <c r="EJ153" s="5737"/>
      <c r="EK153" s="5737"/>
      <c r="EL153" s="5737"/>
      <c r="EM153" s="5737"/>
      <c r="EN153" s="5737"/>
      <c r="EO153" s="5737"/>
      <c r="EP153" s="5737"/>
      <c r="EQ153" s="5737"/>
      <c r="ER153" s="5737"/>
      <c r="ES153" s="5737"/>
      <c r="ET153" s="5737"/>
      <c r="EU153" s="2037"/>
    </row>
    <row r="154" spans="1:151" s="2036" customFormat="1" ht="15" customHeight="1" thickBot="1">
      <c r="A154" s="16272"/>
      <c r="B154" s="16263"/>
      <c r="C154" s="16358"/>
      <c r="D154" s="2062" t="s">
        <v>2850</v>
      </c>
      <c r="E154" s="2028" t="s">
        <v>8553</v>
      </c>
      <c r="F154" s="2028" t="s">
        <v>8554</v>
      </c>
      <c r="G154" s="16388"/>
      <c r="H154" s="745" t="s">
        <v>4624</v>
      </c>
      <c r="I154" s="2063" t="s">
        <v>2851</v>
      </c>
      <c r="J154" s="2028" t="s">
        <v>8554</v>
      </c>
      <c r="K154" s="5912" t="s">
        <v>10063</v>
      </c>
      <c r="L154" s="745" t="s">
        <v>2856</v>
      </c>
      <c r="M154" s="745"/>
      <c r="N154" s="5913">
        <v>1</v>
      </c>
      <c r="O154" s="1769" t="s">
        <v>3179</v>
      </c>
      <c r="P154" s="1887" t="s">
        <v>3180</v>
      </c>
      <c r="Q154" s="1887" t="s">
        <v>3181</v>
      </c>
      <c r="R154" s="2064">
        <f>S154+T154+U154</f>
        <v>1025908996</v>
      </c>
      <c r="S154" s="2064">
        <v>675908996</v>
      </c>
      <c r="T154" s="2065">
        <v>350000000</v>
      </c>
      <c r="U154" s="5914">
        <v>0</v>
      </c>
      <c r="V154" s="1770">
        <f>+W154+X154+280</f>
        <v>29863</v>
      </c>
      <c r="W154" s="2066">
        <v>10031</v>
      </c>
      <c r="X154" s="2066">
        <v>19552</v>
      </c>
      <c r="Y154" s="1888"/>
      <c r="Z154" s="1888"/>
      <c r="AA154" s="1888"/>
      <c r="AB154" s="1888"/>
      <c r="AC154" s="1888"/>
      <c r="AD154" s="1888"/>
      <c r="AE154" s="1888"/>
      <c r="AF154" s="1888"/>
      <c r="AG154" s="1888"/>
      <c r="AH154" s="1888"/>
      <c r="AI154" s="1888"/>
      <c r="AJ154" s="1888"/>
      <c r="AK154" s="1888"/>
      <c r="AL154" s="1888"/>
      <c r="AM154" s="1888"/>
      <c r="AN154" s="1888"/>
      <c r="AO154" s="1888"/>
      <c r="AP154" s="1888"/>
      <c r="AQ154" s="1888"/>
      <c r="AR154" s="1888"/>
      <c r="AS154" s="1888"/>
      <c r="AT154" s="1888"/>
      <c r="AU154" s="1888"/>
      <c r="AV154" s="1888"/>
      <c r="AW154" s="1888"/>
      <c r="AX154" s="1888"/>
      <c r="AY154" s="1888"/>
      <c r="AZ154" s="1888"/>
      <c r="BA154" s="1888"/>
      <c r="BB154" s="1888"/>
      <c r="BC154" s="1888"/>
      <c r="BD154" s="1888"/>
      <c r="BE154" s="1888"/>
      <c r="BF154" s="5913"/>
      <c r="BG154" s="1769"/>
      <c r="BH154" s="5915" t="s">
        <v>9821</v>
      </c>
      <c r="BI154" s="2067" t="s">
        <v>9917</v>
      </c>
      <c r="BJ154" s="1887"/>
      <c r="BK154" s="2064"/>
      <c r="BL154" s="2064"/>
      <c r="BM154" s="2065"/>
      <c r="BN154" s="5914"/>
      <c r="BO154" s="1770"/>
      <c r="BP154" s="2066"/>
      <c r="BQ154" s="745" t="s">
        <v>9203</v>
      </c>
      <c r="BR154" s="2068"/>
      <c r="BS154" s="2069"/>
      <c r="BT154" s="2069"/>
      <c r="BU154" s="2069"/>
      <c r="BV154" s="2069"/>
      <c r="BW154" s="2070"/>
      <c r="BX154" s="2070"/>
      <c r="BY154" s="2069"/>
      <c r="BZ154" s="2069"/>
      <c r="CA154" s="2070"/>
      <c r="CB154" s="2070"/>
      <c r="CC154" s="2069"/>
      <c r="CD154" s="2070"/>
      <c r="CE154" s="2070"/>
      <c r="CF154" s="2070"/>
      <c r="CG154" s="2070"/>
      <c r="CH154" s="2070"/>
      <c r="CI154" s="2070"/>
      <c r="CJ154" s="2070"/>
      <c r="CK154" s="2069"/>
      <c r="CL154" s="2070"/>
      <c r="CM154" s="2070"/>
      <c r="CN154" s="2070"/>
      <c r="CO154" s="2070"/>
      <c r="CP154" s="2070"/>
      <c r="CQ154" s="2070"/>
      <c r="CR154" s="2070"/>
      <c r="CS154" s="2070"/>
      <c r="CT154" s="2070"/>
      <c r="CU154" s="2070"/>
      <c r="CV154" s="2070"/>
      <c r="CW154" s="2070"/>
      <c r="CX154" s="2070"/>
      <c r="CY154" s="2070"/>
      <c r="CZ154" s="2070"/>
      <c r="DA154" s="2070"/>
      <c r="DB154" s="2070"/>
      <c r="DC154" s="2070"/>
      <c r="DD154" s="2070"/>
      <c r="DE154" s="2070"/>
      <c r="DF154" s="2070"/>
      <c r="DG154" s="2070"/>
      <c r="DH154" s="2070"/>
      <c r="DI154" s="2070"/>
      <c r="DJ154" s="2070"/>
      <c r="DK154" s="2070"/>
      <c r="DL154" s="2070"/>
      <c r="DM154" s="2070"/>
      <c r="DN154" s="2070"/>
      <c r="DO154" s="2070"/>
      <c r="DP154" s="2070"/>
      <c r="DQ154" s="2070"/>
      <c r="DR154" s="2070"/>
      <c r="DS154" s="2070"/>
      <c r="DT154" s="2070"/>
      <c r="DU154" s="2070"/>
      <c r="DV154" s="2070"/>
      <c r="DW154" s="2070"/>
      <c r="DX154" s="2070"/>
      <c r="DY154" s="2070"/>
      <c r="DZ154" s="2070"/>
      <c r="EA154" s="2070"/>
      <c r="EB154" s="2070"/>
      <c r="EC154" s="2070"/>
      <c r="ED154" s="2070"/>
      <c r="EE154" s="2070"/>
      <c r="EF154" s="2070"/>
      <c r="EG154" s="2070"/>
      <c r="EH154" s="2070"/>
      <c r="EI154" s="2070"/>
      <c r="EJ154" s="2070"/>
      <c r="EK154" s="2070"/>
      <c r="EL154" s="2070"/>
      <c r="EM154" s="2070"/>
      <c r="EN154" s="2070"/>
      <c r="EO154" s="2070"/>
      <c r="EP154" s="2070"/>
      <c r="EQ154" s="2070"/>
      <c r="ER154" s="2070"/>
      <c r="ES154" s="2070"/>
      <c r="ET154" s="2070"/>
      <c r="EU154" s="2071"/>
    </row>
    <row r="155" spans="1:151" ht="15" customHeight="1">
      <c r="L155" s="913"/>
      <c r="M155" s="913"/>
    </row>
    <row r="156" spans="1:151" ht="15" customHeight="1">
      <c r="H156" s="602"/>
      <c r="I156" s="915"/>
      <c r="K156" s="915"/>
      <c r="L156" s="913" t="s">
        <v>10051</v>
      </c>
      <c r="M156" s="913"/>
    </row>
    <row r="157" spans="1:151" ht="15" customHeight="1">
      <c r="H157" s="602"/>
      <c r="I157" s="915"/>
      <c r="K157" s="915"/>
      <c r="L157" s="913"/>
      <c r="M157" s="913"/>
      <c r="BL157" s="2957">
        <f>SUM(BL6:BL154)</f>
        <v>4057142585.7543144</v>
      </c>
      <c r="BQ157" s="2957">
        <f>SUM(BQ6:BQ154)</f>
        <v>152614</v>
      </c>
    </row>
    <row r="158" spans="1:151" ht="15" customHeight="1">
      <c r="H158" s="602"/>
      <c r="I158" s="915"/>
      <c r="K158" s="915"/>
      <c r="L158" s="913"/>
      <c r="M158" s="913"/>
    </row>
    <row r="159" spans="1:151" ht="15" customHeight="1">
      <c r="D159" s="918"/>
      <c r="H159" s="602"/>
      <c r="I159" s="915"/>
      <c r="K159" s="915"/>
      <c r="L159" s="913"/>
      <c r="M159" s="913"/>
    </row>
    <row r="160" spans="1:151" ht="15" customHeight="1">
      <c r="H160" s="602"/>
      <c r="I160" s="915"/>
      <c r="K160" s="915"/>
      <c r="L160" s="913"/>
      <c r="M160" s="913"/>
    </row>
    <row r="161" spans="8:59" ht="15" customHeight="1">
      <c r="H161" s="602"/>
      <c r="I161" s="915"/>
      <c r="K161" s="915"/>
      <c r="L161" s="913"/>
      <c r="M161" s="913"/>
    </row>
    <row r="162" spans="8:59" ht="15" customHeight="1">
      <c r="H162" s="602"/>
      <c r="I162" s="915"/>
      <c r="K162" s="915"/>
      <c r="L162" s="913"/>
      <c r="M162" s="913"/>
    </row>
    <row r="163" spans="8:59" ht="15" customHeight="1">
      <c r="H163" s="602"/>
      <c r="I163" s="915"/>
      <c r="K163" s="915"/>
      <c r="L163" s="913"/>
      <c r="M163" s="913"/>
    </row>
    <row r="164" spans="8:59" ht="15" customHeight="1">
      <c r="H164" s="602"/>
      <c r="I164" s="915"/>
      <c r="K164" s="915"/>
      <c r="L164" s="913"/>
      <c r="M164" s="913"/>
    </row>
    <row r="165" spans="8:59" ht="15" customHeight="1">
      <c r="H165" s="602"/>
      <c r="I165" s="915"/>
      <c r="K165" s="915"/>
      <c r="L165" s="913"/>
      <c r="M165" s="913"/>
    </row>
    <row r="166" spans="8:59" ht="15" customHeight="1">
      <c r="H166" s="602"/>
      <c r="I166" s="915"/>
      <c r="J166" s="915"/>
      <c r="K166" s="915"/>
      <c r="L166" s="913"/>
      <c r="M166" s="913"/>
      <c r="N166" s="786">
        <f>SUM(N6:N165)</f>
        <v>139.27000000000001</v>
      </c>
      <c r="BG166" s="786">
        <f>SUM(BG6:BG165)</f>
        <v>13946.337</v>
      </c>
    </row>
    <row r="167" spans="8:59" ht="15" customHeight="1">
      <c r="H167" s="602"/>
      <c r="I167" s="915"/>
      <c r="J167" s="915"/>
      <c r="K167" s="915"/>
      <c r="L167" s="913"/>
      <c r="M167" s="913"/>
    </row>
    <row r="168" spans="8:59" ht="15" customHeight="1">
      <c r="H168" s="602"/>
      <c r="I168" s="915"/>
      <c r="J168" s="915"/>
      <c r="K168" s="915"/>
      <c r="L168" s="913"/>
      <c r="M168" s="913"/>
    </row>
    <row r="169" spans="8:59" ht="15" customHeight="1">
      <c r="H169" s="602"/>
      <c r="I169" s="915"/>
      <c r="J169" s="915"/>
      <c r="K169" s="915"/>
      <c r="L169" s="913"/>
      <c r="M169" s="913"/>
    </row>
    <row r="170" spans="8:59" ht="15" customHeight="1">
      <c r="H170" s="602"/>
      <c r="I170" s="915"/>
      <c r="J170" s="915"/>
      <c r="K170" s="915"/>
      <c r="L170" s="913"/>
      <c r="M170" s="913"/>
    </row>
    <row r="171" spans="8:59" ht="15" customHeight="1">
      <c r="H171" s="602"/>
      <c r="I171" s="915"/>
      <c r="J171" s="915"/>
      <c r="K171" s="915"/>
      <c r="L171" s="913"/>
      <c r="M171" s="913"/>
    </row>
    <row r="172" spans="8:59" ht="15" customHeight="1">
      <c r="H172" s="602"/>
      <c r="I172" s="915"/>
      <c r="J172" s="915"/>
      <c r="K172" s="915"/>
      <c r="L172" s="913"/>
      <c r="M172" s="913"/>
    </row>
    <row r="173" spans="8:59" ht="15" customHeight="1">
      <c r="H173" s="602"/>
      <c r="I173" s="915"/>
      <c r="J173" s="915"/>
      <c r="K173" s="915"/>
      <c r="L173" s="913"/>
      <c r="M173" s="913"/>
    </row>
    <row r="174" spans="8:59" ht="15" customHeight="1">
      <c r="H174" s="602"/>
      <c r="I174" s="915"/>
      <c r="J174" s="915"/>
      <c r="K174" s="915"/>
      <c r="L174" s="913"/>
      <c r="M174" s="913"/>
    </row>
    <row r="175" spans="8:59" ht="15" customHeight="1">
      <c r="H175" s="602"/>
      <c r="I175" s="915"/>
      <c r="J175" s="915"/>
      <c r="K175" s="915"/>
      <c r="L175" s="913"/>
      <c r="M175" s="913"/>
    </row>
    <row r="176" spans="8:59" ht="15" customHeight="1">
      <c r="H176" s="602"/>
      <c r="I176" s="915"/>
      <c r="J176" s="915"/>
      <c r="K176" s="915"/>
      <c r="L176" s="913"/>
      <c r="M176" s="913"/>
    </row>
    <row r="177" spans="8:13" ht="15" customHeight="1">
      <c r="H177" s="602"/>
      <c r="I177" s="915"/>
      <c r="J177" s="915"/>
      <c r="K177" s="915"/>
      <c r="L177" s="913"/>
      <c r="M177" s="913"/>
    </row>
    <row r="178" spans="8:13" ht="15" customHeight="1">
      <c r="H178" s="602"/>
      <c r="I178" s="915"/>
      <c r="J178" s="915"/>
      <c r="K178" s="915"/>
      <c r="L178" s="913"/>
      <c r="M178" s="913"/>
    </row>
    <row r="179" spans="8:13" ht="15" customHeight="1">
      <c r="H179" s="602"/>
      <c r="I179" s="915"/>
      <c r="J179" s="915"/>
      <c r="K179" s="915"/>
      <c r="L179" s="913"/>
      <c r="M179" s="913"/>
    </row>
    <row r="180" spans="8:13" ht="15" customHeight="1">
      <c r="H180" s="602"/>
      <c r="I180" s="915"/>
      <c r="J180" s="915"/>
      <c r="K180" s="915"/>
      <c r="L180" s="913"/>
      <c r="M180" s="913"/>
    </row>
    <row r="181" spans="8:13" ht="15" customHeight="1">
      <c r="H181" s="602"/>
      <c r="I181" s="915"/>
      <c r="J181" s="915"/>
      <c r="K181" s="915"/>
      <c r="L181" s="913"/>
      <c r="M181" s="913"/>
    </row>
    <row r="182" spans="8:13" ht="15" customHeight="1">
      <c r="H182" s="602"/>
      <c r="I182" s="915"/>
      <c r="J182" s="915"/>
      <c r="K182" s="915"/>
      <c r="L182" s="913"/>
      <c r="M182" s="913"/>
    </row>
    <row r="183" spans="8:13" ht="15" customHeight="1">
      <c r="H183" s="602"/>
      <c r="I183" s="915"/>
      <c r="J183" s="915"/>
      <c r="K183" s="915"/>
      <c r="L183" s="913"/>
      <c r="M183" s="913"/>
    </row>
    <row r="184" spans="8:13" ht="15" customHeight="1">
      <c r="H184" s="602"/>
      <c r="I184" s="915"/>
      <c r="J184" s="915"/>
      <c r="K184" s="915"/>
      <c r="L184" s="913"/>
      <c r="M184" s="913"/>
    </row>
    <row r="185" spans="8:13" ht="15" customHeight="1">
      <c r="H185" s="602"/>
      <c r="I185" s="915"/>
      <c r="J185" s="915"/>
      <c r="K185" s="915"/>
      <c r="L185" s="913"/>
      <c r="M185" s="913"/>
    </row>
    <row r="186" spans="8:13" ht="15" customHeight="1">
      <c r="H186" s="602"/>
      <c r="I186" s="915"/>
      <c r="J186" s="915"/>
      <c r="K186" s="915"/>
      <c r="L186" s="913"/>
      <c r="M186" s="913"/>
    </row>
    <row r="187" spans="8:13" ht="15" customHeight="1">
      <c r="H187" s="602"/>
      <c r="I187" s="915"/>
      <c r="J187" s="915"/>
      <c r="K187" s="915"/>
      <c r="L187" s="913"/>
      <c r="M187" s="913"/>
    </row>
    <row r="188" spans="8:13" ht="15" customHeight="1">
      <c r="H188" s="602"/>
      <c r="I188" s="915"/>
      <c r="J188" s="915"/>
      <c r="K188" s="915"/>
      <c r="L188" s="913"/>
      <c r="M188" s="913"/>
    </row>
    <row r="189" spans="8:13" ht="15" customHeight="1">
      <c r="H189" s="602"/>
      <c r="I189" s="915"/>
      <c r="J189" s="915"/>
      <c r="K189" s="915"/>
      <c r="L189" s="913"/>
      <c r="M189" s="913"/>
    </row>
    <row r="190" spans="8:13" ht="15" customHeight="1">
      <c r="H190" s="602"/>
      <c r="I190" s="915"/>
      <c r="J190" s="915"/>
      <c r="K190" s="915"/>
      <c r="L190" s="913"/>
      <c r="M190" s="913"/>
    </row>
    <row r="191" spans="8:13" ht="15" customHeight="1">
      <c r="H191" s="602"/>
      <c r="I191" s="915"/>
      <c r="J191" s="915"/>
      <c r="K191" s="915"/>
      <c r="L191" s="913"/>
      <c r="M191" s="913"/>
    </row>
    <row r="192" spans="8:13" ht="15" customHeight="1">
      <c r="H192" s="602"/>
      <c r="I192" s="915"/>
      <c r="J192" s="915"/>
      <c r="K192" s="915"/>
      <c r="L192" s="913"/>
      <c r="M192" s="913"/>
    </row>
    <row r="193" spans="8:13" ht="15" customHeight="1">
      <c r="H193" s="602"/>
      <c r="I193" s="915"/>
      <c r="J193" s="915"/>
      <c r="K193" s="915"/>
      <c r="L193" s="913"/>
      <c r="M193" s="913"/>
    </row>
    <row r="194" spans="8:13" ht="15" customHeight="1">
      <c r="H194" s="602"/>
      <c r="I194" s="915"/>
      <c r="J194" s="915"/>
      <c r="K194" s="915"/>
      <c r="L194" s="913"/>
      <c r="M194" s="913"/>
    </row>
    <row r="195" spans="8:13" ht="15" customHeight="1">
      <c r="H195" s="602"/>
      <c r="I195" s="915"/>
      <c r="J195" s="915"/>
      <c r="K195" s="915"/>
      <c r="L195" s="913"/>
      <c r="M195" s="913"/>
    </row>
    <row r="196" spans="8:13" ht="15" customHeight="1">
      <c r="H196" s="602"/>
      <c r="I196" s="915"/>
      <c r="J196" s="915"/>
      <c r="K196" s="915"/>
      <c r="L196" s="913"/>
      <c r="M196" s="913"/>
    </row>
    <row r="197" spans="8:13" ht="15" customHeight="1">
      <c r="H197" s="602"/>
      <c r="I197" s="915"/>
      <c r="J197" s="915"/>
      <c r="K197" s="915"/>
      <c r="L197" s="913"/>
      <c r="M197" s="913"/>
    </row>
    <row r="198" spans="8:13" ht="15" customHeight="1">
      <c r="H198" s="602"/>
      <c r="I198" s="915"/>
      <c r="J198" s="915"/>
      <c r="K198" s="915"/>
      <c r="L198" s="913"/>
      <c r="M198" s="913"/>
    </row>
    <row r="199" spans="8:13" ht="15" customHeight="1">
      <c r="H199" s="602"/>
      <c r="I199" s="915"/>
      <c r="J199" s="915"/>
      <c r="K199" s="915"/>
      <c r="L199" s="913"/>
      <c r="M199" s="913"/>
    </row>
    <row r="200" spans="8:13" ht="15" customHeight="1">
      <c r="H200" s="602"/>
      <c r="I200" s="915"/>
      <c r="J200" s="915"/>
      <c r="K200" s="915"/>
      <c r="L200" s="913"/>
      <c r="M200" s="913"/>
    </row>
    <row r="201" spans="8:13" ht="15" customHeight="1">
      <c r="H201" s="602"/>
      <c r="I201" s="915"/>
      <c r="J201" s="915"/>
      <c r="K201" s="915"/>
      <c r="L201" s="913"/>
      <c r="M201" s="913"/>
    </row>
    <row r="202" spans="8:13" ht="15" customHeight="1">
      <c r="H202" s="602"/>
      <c r="I202" s="915"/>
      <c r="J202" s="915"/>
      <c r="K202" s="915"/>
      <c r="L202" s="913"/>
      <c r="M202" s="913"/>
    </row>
    <row r="203" spans="8:13" ht="15" customHeight="1">
      <c r="H203" s="602"/>
      <c r="I203" s="915"/>
      <c r="J203" s="915"/>
      <c r="K203" s="915"/>
      <c r="L203" s="913"/>
      <c r="M203" s="913"/>
    </row>
    <row r="204" spans="8:13" ht="15" customHeight="1">
      <c r="H204" s="602"/>
      <c r="I204" s="915"/>
      <c r="J204" s="915"/>
      <c r="K204" s="915"/>
      <c r="L204" s="913"/>
      <c r="M204" s="913"/>
    </row>
    <row r="205" spans="8:13" ht="15" customHeight="1">
      <c r="H205" s="602"/>
      <c r="I205" s="915"/>
      <c r="J205" s="915"/>
      <c r="K205" s="915"/>
      <c r="L205" s="913"/>
      <c r="M205" s="913"/>
    </row>
    <row r="206" spans="8:13" ht="15" customHeight="1">
      <c r="H206" s="602"/>
      <c r="I206" s="915"/>
      <c r="J206" s="915"/>
      <c r="K206" s="915"/>
      <c r="L206" s="913"/>
      <c r="M206" s="913"/>
    </row>
    <row r="207" spans="8:13" ht="15" customHeight="1">
      <c r="H207" s="602"/>
      <c r="I207" s="915"/>
      <c r="J207" s="915"/>
      <c r="K207" s="915"/>
      <c r="L207" s="913"/>
      <c r="M207" s="913"/>
    </row>
    <row r="208" spans="8:13" ht="15" customHeight="1">
      <c r="H208" s="602"/>
      <c r="I208" s="915"/>
      <c r="J208" s="915"/>
      <c r="K208" s="915"/>
      <c r="L208" s="913"/>
      <c r="M208" s="913"/>
    </row>
    <row r="209" spans="8:13" ht="15" customHeight="1">
      <c r="H209" s="602"/>
      <c r="I209" s="915"/>
      <c r="J209" s="915"/>
      <c r="K209" s="915"/>
      <c r="L209" s="913"/>
      <c r="M209" s="913"/>
    </row>
    <row r="210" spans="8:13" ht="15" customHeight="1">
      <c r="H210" s="602"/>
      <c r="I210" s="915"/>
      <c r="J210" s="915"/>
      <c r="K210" s="915"/>
      <c r="L210" s="913"/>
      <c r="M210" s="913"/>
    </row>
    <row r="211" spans="8:13" ht="15" customHeight="1">
      <c r="H211" s="602"/>
      <c r="I211" s="915"/>
      <c r="J211" s="915"/>
      <c r="K211" s="915"/>
      <c r="L211" s="913"/>
      <c r="M211" s="913"/>
    </row>
    <row r="212" spans="8:13" ht="15" customHeight="1">
      <c r="H212" s="602"/>
      <c r="I212" s="915"/>
      <c r="J212" s="915"/>
      <c r="K212" s="915"/>
      <c r="L212" s="913"/>
      <c r="M212" s="913"/>
    </row>
    <row r="213" spans="8:13" ht="15" customHeight="1">
      <c r="H213" s="602"/>
      <c r="I213" s="915"/>
      <c r="J213" s="915"/>
      <c r="K213" s="915"/>
      <c r="L213" s="913"/>
      <c r="M213" s="913"/>
    </row>
    <row r="214" spans="8:13" ht="15" customHeight="1">
      <c r="H214" s="602"/>
      <c r="I214" s="915"/>
      <c r="J214" s="915"/>
      <c r="K214" s="915"/>
      <c r="L214" s="913"/>
      <c r="M214" s="913"/>
    </row>
    <row r="215" spans="8:13" ht="15" customHeight="1">
      <c r="H215" s="602"/>
      <c r="I215" s="915"/>
      <c r="J215" s="915"/>
      <c r="K215" s="915"/>
      <c r="L215" s="913"/>
      <c r="M215" s="913"/>
    </row>
    <row r="216" spans="8:13" ht="15" customHeight="1">
      <c r="H216" s="602"/>
      <c r="I216" s="915"/>
      <c r="J216" s="915"/>
      <c r="K216" s="915"/>
      <c r="L216" s="913"/>
      <c r="M216" s="913"/>
    </row>
    <row r="217" spans="8:13" ht="15" customHeight="1">
      <c r="H217" s="602"/>
      <c r="I217" s="915"/>
      <c r="J217" s="915"/>
      <c r="K217" s="915"/>
      <c r="L217" s="913"/>
      <c r="M217" s="913"/>
    </row>
    <row r="218" spans="8:13" ht="15" customHeight="1">
      <c r="H218" s="602"/>
      <c r="I218" s="915"/>
      <c r="J218" s="915"/>
      <c r="K218" s="915"/>
      <c r="L218" s="913"/>
      <c r="M218" s="913"/>
    </row>
    <row r="219" spans="8:13" ht="15" customHeight="1">
      <c r="H219" s="602"/>
      <c r="I219" s="915"/>
      <c r="J219" s="915"/>
      <c r="K219" s="915"/>
      <c r="L219" s="913"/>
      <c r="M219" s="913"/>
    </row>
    <row r="220" spans="8:13" ht="15" customHeight="1">
      <c r="H220" s="602"/>
      <c r="I220" s="915"/>
      <c r="J220" s="915"/>
      <c r="K220" s="915"/>
      <c r="L220" s="913"/>
      <c r="M220" s="913"/>
    </row>
    <row r="221" spans="8:13" ht="15" customHeight="1">
      <c r="H221" s="602"/>
      <c r="I221" s="915"/>
      <c r="J221" s="915"/>
      <c r="K221" s="915"/>
      <c r="L221" s="913"/>
      <c r="M221" s="913"/>
    </row>
    <row r="222" spans="8:13" ht="15" customHeight="1">
      <c r="H222" s="602"/>
      <c r="I222" s="915"/>
      <c r="J222" s="915"/>
      <c r="K222" s="915"/>
      <c r="L222" s="913"/>
      <c r="M222" s="913"/>
    </row>
    <row r="223" spans="8:13" ht="15" customHeight="1">
      <c r="H223" s="602"/>
      <c r="I223" s="915"/>
      <c r="J223" s="915"/>
      <c r="K223" s="915"/>
      <c r="L223" s="913"/>
      <c r="M223" s="913"/>
    </row>
    <row r="224" spans="8:13" ht="15" customHeight="1">
      <c r="H224" s="602"/>
      <c r="I224" s="915"/>
      <c r="J224" s="915"/>
      <c r="K224" s="915"/>
      <c r="L224" s="913"/>
      <c r="M224" s="913"/>
    </row>
    <row r="225" spans="8:13" ht="15" customHeight="1">
      <c r="H225" s="602"/>
      <c r="I225" s="915"/>
      <c r="J225" s="915"/>
      <c r="K225" s="915"/>
      <c r="L225" s="913"/>
      <c r="M225" s="913"/>
    </row>
    <row r="226" spans="8:13" ht="15" customHeight="1">
      <c r="H226" s="602"/>
      <c r="I226" s="915"/>
      <c r="J226" s="915"/>
      <c r="K226" s="915"/>
      <c r="L226" s="913"/>
      <c r="M226" s="913"/>
    </row>
    <row r="227" spans="8:13" ht="15" customHeight="1">
      <c r="H227" s="602"/>
      <c r="I227" s="915"/>
      <c r="J227" s="915"/>
      <c r="K227" s="915"/>
      <c r="L227" s="913"/>
      <c r="M227" s="913"/>
    </row>
    <row r="228" spans="8:13" ht="15" customHeight="1">
      <c r="H228" s="602"/>
      <c r="I228" s="915"/>
      <c r="J228" s="915"/>
      <c r="K228" s="915"/>
      <c r="L228" s="913"/>
      <c r="M228" s="913"/>
    </row>
    <row r="229" spans="8:13" ht="15" customHeight="1">
      <c r="H229" s="602"/>
      <c r="I229" s="915"/>
      <c r="J229" s="915"/>
      <c r="K229" s="915"/>
      <c r="L229" s="913"/>
      <c r="M229" s="913"/>
    </row>
    <row r="230" spans="8:13" ht="15" customHeight="1">
      <c r="H230" s="602"/>
      <c r="I230" s="915"/>
      <c r="J230" s="915"/>
      <c r="K230" s="915"/>
      <c r="L230" s="913"/>
      <c r="M230" s="913"/>
    </row>
    <row r="231" spans="8:13" ht="15" customHeight="1">
      <c r="H231" s="602"/>
      <c r="I231" s="915"/>
      <c r="J231" s="915"/>
      <c r="K231" s="915"/>
      <c r="L231" s="913"/>
      <c r="M231" s="913"/>
    </row>
    <row r="232" spans="8:13" ht="15" customHeight="1">
      <c r="H232" s="602"/>
      <c r="I232" s="915"/>
      <c r="J232" s="915"/>
      <c r="K232" s="915"/>
      <c r="L232" s="913"/>
      <c r="M232" s="913"/>
    </row>
    <row r="233" spans="8:13" ht="15" customHeight="1">
      <c r="H233" s="602"/>
      <c r="I233" s="915"/>
      <c r="J233" s="915"/>
      <c r="K233" s="915"/>
      <c r="L233" s="913"/>
      <c r="M233" s="913"/>
    </row>
    <row r="234" spans="8:13" ht="15" customHeight="1">
      <c r="H234" s="602"/>
      <c r="I234" s="915"/>
      <c r="J234" s="915"/>
      <c r="K234" s="915"/>
      <c r="L234" s="913"/>
      <c r="M234" s="913"/>
    </row>
    <row r="235" spans="8:13" ht="15" customHeight="1">
      <c r="H235" s="602"/>
      <c r="I235" s="915"/>
      <c r="J235" s="915"/>
      <c r="K235" s="915"/>
      <c r="L235" s="913"/>
      <c r="M235" s="913"/>
    </row>
    <row r="236" spans="8:13" ht="15" customHeight="1">
      <c r="H236" s="602"/>
      <c r="I236" s="915"/>
      <c r="J236" s="915"/>
      <c r="K236" s="915"/>
      <c r="L236" s="913"/>
      <c r="M236" s="913"/>
    </row>
    <row r="237" spans="8:13" ht="15" customHeight="1">
      <c r="H237" s="602"/>
      <c r="I237" s="915"/>
      <c r="J237" s="915"/>
      <c r="K237" s="915"/>
      <c r="L237" s="913"/>
      <c r="M237" s="913"/>
    </row>
    <row r="238" spans="8:13" ht="15" customHeight="1">
      <c r="H238" s="602"/>
      <c r="I238" s="915"/>
      <c r="J238" s="915"/>
      <c r="K238" s="915"/>
      <c r="L238" s="913"/>
      <c r="M238" s="913"/>
    </row>
    <row r="239" spans="8:13" ht="15" customHeight="1">
      <c r="H239" s="602"/>
      <c r="I239" s="915"/>
      <c r="J239" s="915"/>
      <c r="K239" s="915"/>
      <c r="L239" s="913"/>
      <c r="M239" s="913"/>
    </row>
    <row r="240" spans="8:13" ht="15" customHeight="1">
      <c r="H240" s="602"/>
      <c r="I240" s="915"/>
      <c r="J240" s="915"/>
      <c r="K240" s="915"/>
      <c r="L240" s="913"/>
      <c r="M240" s="913"/>
    </row>
    <row r="241" spans="8:13" ht="15" customHeight="1">
      <c r="H241" s="602"/>
      <c r="I241" s="915"/>
      <c r="J241" s="915"/>
      <c r="K241" s="915"/>
      <c r="L241" s="913"/>
      <c r="M241" s="913"/>
    </row>
    <row r="242" spans="8:13" ht="15" customHeight="1">
      <c r="H242" s="602"/>
      <c r="I242" s="915"/>
      <c r="J242" s="915"/>
      <c r="K242" s="915"/>
      <c r="L242" s="913"/>
      <c r="M242" s="913"/>
    </row>
    <row r="243" spans="8:13" ht="15" customHeight="1">
      <c r="H243" s="602"/>
      <c r="I243" s="915"/>
      <c r="J243" s="915"/>
      <c r="K243" s="915"/>
      <c r="L243" s="913"/>
      <c r="M243" s="913"/>
    </row>
    <row r="244" spans="8:13" ht="15" customHeight="1">
      <c r="H244" s="602"/>
      <c r="I244" s="915"/>
      <c r="J244" s="915"/>
      <c r="K244" s="915"/>
      <c r="L244" s="913"/>
      <c r="M244" s="913"/>
    </row>
    <row r="245" spans="8:13" ht="15" customHeight="1">
      <c r="H245" s="602"/>
      <c r="I245" s="915"/>
      <c r="J245" s="915"/>
      <c r="K245" s="915"/>
      <c r="L245" s="913"/>
      <c r="M245" s="913"/>
    </row>
    <row r="246" spans="8:13" ht="15" customHeight="1">
      <c r="H246" s="602"/>
      <c r="I246" s="915"/>
      <c r="J246" s="915"/>
      <c r="K246" s="915"/>
      <c r="L246" s="913"/>
      <c r="M246" s="913"/>
    </row>
    <row r="247" spans="8:13" ht="15" customHeight="1">
      <c r="H247" s="602"/>
      <c r="I247" s="915"/>
      <c r="J247" s="915"/>
      <c r="K247" s="915"/>
      <c r="L247" s="913"/>
      <c r="M247" s="913"/>
    </row>
    <row r="248" spans="8:13" ht="15" customHeight="1">
      <c r="H248" s="602"/>
      <c r="I248" s="915"/>
      <c r="J248" s="915"/>
      <c r="K248" s="915"/>
      <c r="L248" s="913"/>
      <c r="M248" s="913"/>
    </row>
    <row r="249" spans="8:13" ht="15" customHeight="1">
      <c r="H249" s="602"/>
      <c r="I249" s="915"/>
      <c r="J249" s="915"/>
      <c r="K249" s="915"/>
      <c r="L249" s="913"/>
      <c r="M249" s="913"/>
    </row>
    <row r="250" spans="8:13" ht="15" customHeight="1">
      <c r="H250" s="602"/>
      <c r="I250" s="915"/>
      <c r="J250" s="915"/>
      <c r="K250" s="915"/>
      <c r="L250" s="913"/>
      <c r="M250" s="913"/>
    </row>
    <row r="251" spans="8:13" ht="15" customHeight="1">
      <c r="H251" s="602"/>
      <c r="I251" s="915"/>
      <c r="J251" s="915"/>
      <c r="K251" s="915"/>
      <c r="L251" s="913"/>
      <c r="M251" s="913"/>
    </row>
    <row r="252" spans="8:13" ht="15" customHeight="1">
      <c r="H252" s="602"/>
      <c r="I252" s="915"/>
      <c r="J252" s="915"/>
      <c r="K252" s="915"/>
      <c r="L252" s="913"/>
      <c r="M252" s="913"/>
    </row>
    <row r="253" spans="8:13" ht="15" customHeight="1">
      <c r="H253" s="602"/>
      <c r="I253" s="915"/>
      <c r="J253" s="915"/>
      <c r="K253" s="915"/>
      <c r="L253" s="913"/>
      <c r="M253" s="913"/>
    </row>
    <row r="254" spans="8:13" ht="15" customHeight="1">
      <c r="H254" s="602"/>
      <c r="I254" s="915"/>
      <c r="J254" s="915"/>
      <c r="K254" s="915"/>
      <c r="L254" s="913"/>
      <c r="M254" s="913"/>
    </row>
    <row r="255" spans="8:13" ht="15" customHeight="1">
      <c r="H255" s="602"/>
      <c r="I255" s="915"/>
      <c r="J255" s="915"/>
      <c r="K255" s="915"/>
      <c r="L255" s="913"/>
      <c r="M255" s="913"/>
    </row>
    <row r="256" spans="8:13" ht="15" customHeight="1">
      <c r="H256" s="602"/>
      <c r="I256" s="915"/>
      <c r="J256" s="915"/>
      <c r="K256" s="915"/>
      <c r="L256" s="913"/>
      <c r="M256" s="913"/>
    </row>
    <row r="257" spans="8:13" ht="15" customHeight="1">
      <c r="H257" s="602"/>
      <c r="I257" s="915"/>
      <c r="J257" s="915"/>
      <c r="K257" s="915"/>
      <c r="L257" s="913"/>
      <c r="M257" s="913"/>
    </row>
    <row r="258" spans="8:13" ht="15" customHeight="1">
      <c r="H258" s="602"/>
      <c r="I258" s="915"/>
      <c r="J258" s="915"/>
      <c r="K258" s="915"/>
      <c r="L258" s="913"/>
      <c r="M258" s="913"/>
    </row>
    <row r="259" spans="8:13" ht="15" customHeight="1">
      <c r="H259" s="602"/>
      <c r="I259" s="915"/>
      <c r="J259" s="915"/>
      <c r="K259" s="915"/>
      <c r="L259" s="913"/>
      <c r="M259" s="913"/>
    </row>
    <row r="260" spans="8:13" ht="15" customHeight="1">
      <c r="H260" s="602"/>
      <c r="I260" s="915"/>
      <c r="J260" s="915"/>
      <c r="K260" s="915"/>
      <c r="L260" s="913"/>
      <c r="M260" s="913"/>
    </row>
    <row r="261" spans="8:13" ht="15" customHeight="1">
      <c r="H261" s="602"/>
      <c r="I261" s="915"/>
      <c r="J261" s="915"/>
      <c r="K261" s="915"/>
      <c r="L261" s="913"/>
      <c r="M261" s="913"/>
    </row>
    <row r="262" spans="8:13" ht="15" customHeight="1">
      <c r="H262" s="602"/>
      <c r="I262" s="915"/>
      <c r="J262" s="915"/>
      <c r="K262" s="915"/>
      <c r="L262" s="913"/>
      <c r="M262" s="913"/>
    </row>
    <row r="263" spans="8:13" ht="15" customHeight="1">
      <c r="H263" s="602"/>
      <c r="I263" s="915"/>
      <c r="J263" s="915"/>
      <c r="K263" s="915"/>
      <c r="L263" s="913"/>
      <c r="M263" s="913"/>
    </row>
    <row r="264" spans="8:13" ht="15" customHeight="1">
      <c r="H264" s="602"/>
      <c r="I264" s="915"/>
      <c r="J264" s="915"/>
      <c r="K264" s="915"/>
      <c r="L264" s="913"/>
      <c r="M264" s="913"/>
    </row>
    <row r="265" spans="8:13" ht="15" customHeight="1">
      <c r="H265" s="602"/>
      <c r="I265" s="915"/>
      <c r="J265" s="915"/>
      <c r="K265" s="915"/>
      <c r="L265" s="913"/>
      <c r="M265" s="913"/>
    </row>
    <row r="266" spans="8:13" ht="15" customHeight="1">
      <c r="H266" s="602"/>
      <c r="I266" s="915"/>
      <c r="J266" s="915"/>
      <c r="K266" s="915"/>
      <c r="L266" s="913"/>
      <c r="M266" s="913"/>
    </row>
    <row r="267" spans="8:13" ht="15" customHeight="1">
      <c r="H267" s="602"/>
      <c r="I267" s="915"/>
      <c r="J267" s="915"/>
      <c r="K267" s="915"/>
      <c r="L267" s="913"/>
      <c r="M267" s="913"/>
    </row>
    <row r="268" spans="8:13" ht="15" customHeight="1">
      <c r="H268" s="602"/>
      <c r="I268" s="915"/>
      <c r="J268" s="915"/>
      <c r="K268" s="915"/>
      <c r="L268" s="913"/>
      <c r="M268" s="913"/>
    </row>
    <row r="269" spans="8:13" ht="15" customHeight="1">
      <c r="H269" s="602"/>
      <c r="I269" s="915"/>
      <c r="J269" s="915"/>
      <c r="K269" s="915"/>
      <c r="L269" s="913"/>
      <c r="M269" s="913"/>
    </row>
    <row r="270" spans="8:13" ht="15" customHeight="1">
      <c r="H270" s="602"/>
      <c r="I270" s="915"/>
      <c r="J270" s="915"/>
      <c r="K270" s="915"/>
      <c r="L270" s="913"/>
      <c r="M270" s="913"/>
    </row>
    <row r="271" spans="8:13" ht="15" customHeight="1">
      <c r="H271" s="602"/>
      <c r="I271" s="915"/>
      <c r="J271" s="915"/>
      <c r="K271" s="915"/>
      <c r="L271" s="913"/>
      <c r="M271" s="913"/>
    </row>
    <row r="272" spans="8:13" ht="15" customHeight="1">
      <c r="H272" s="602"/>
      <c r="I272" s="915"/>
      <c r="J272" s="915"/>
      <c r="K272" s="915"/>
    </row>
  </sheetData>
  <autoFilter ref="A5:AAW154" xr:uid="{00000000-0009-0000-0000-000012000000}"/>
  <mergeCells count="468">
    <mergeCell ref="K3:K5"/>
    <mergeCell ref="C145:C147"/>
    <mergeCell ref="G145:G147"/>
    <mergeCell ref="H145:H147"/>
    <mergeCell ref="I145:I147"/>
    <mergeCell ref="D96:D106"/>
    <mergeCell ref="E96:E106"/>
    <mergeCell ref="A107:A116"/>
    <mergeCell ref="B107:B116"/>
    <mergeCell ref="C107:C116"/>
    <mergeCell ref="F12:F14"/>
    <mergeCell ref="D15:D16"/>
    <mergeCell ref="E15:E16"/>
    <mergeCell ref="A137:A147"/>
    <mergeCell ref="I6:I7"/>
    <mergeCell ref="I8:I9"/>
    <mergeCell ref="I10:I11"/>
    <mergeCell ref="I12:I13"/>
    <mergeCell ref="C6:C17"/>
    <mergeCell ref="F15:F17"/>
    <mergeCell ref="G6:G17"/>
    <mergeCell ref="H16:H17"/>
    <mergeCell ref="I16:I17"/>
    <mergeCell ref="B6:B41"/>
    <mergeCell ref="C148:C154"/>
    <mergeCell ref="G149:G154"/>
    <mergeCell ref="H149:H151"/>
    <mergeCell ref="I149:I151"/>
    <mergeCell ref="B137:B154"/>
    <mergeCell ref="C137:C142"/>
    <mergeCell ref="G137:G142"/>
    <mergeCell ref="C143:C144"/>
    <mergeCell ref="D143:D144"/>
    <mergeCell ref="E143:E144"/>
    <mergeCell ref="F143:F144"/>
    <mergeCell ref="G143:G144"/>
    <mergeCell ref="BJ117:BJ123"/>
    <mergeCell ref="H122:H123"/>
    <mergeCell ref="I122:I123"/>
    <mergeCell ref="H117:H118"/>
    <mergeCell ref="I117:I118"/>
    <mergeCell ref="H119:H120"/>
    <mergeCell ref="I119:I120"/>
    <mergeCell ref="A124:A136"/>
    <mergeCell ref="B124:B136"/>
    <mergeCell ref="C124:C136"/>
    <mergeCell ref="G124:G136"/>
    <mergeCell ref="F117:F120"/>
    <mergeCell ref="F122:F123"/>
    <mergeCell ref="BQ107:BQ115"/>
    <mergeCell ref="H115:H116"/>
    <mergeCell ref="I115:I116"/>
    <mergeCell ref="A117:A123"/>
    <mergeCell ref="B117:B123"/>
    <mergeCell ref="C117:C123"/>
    <mergeCell ref="D117:D121"/>
    <mergeCell ref="E117:E121"/>
    <mergeCell ref="BG107:BG115"/>
    <mergeCell ref="BI107:BI115"/>
    <mergeCell ref="BJ107:BJ115"/>
    <mergeCell ref="BK107:BK115"/>
    <mergeCell ref="BL107:BL116"/>
    <mergeCell ref="BM107:BM116"/>
    <mergeCell ref="O107:O115"/>
    <mergeCell ref="O117:O123"/>
    <mergeCell ref="BK117:BK123"/>
    <mergeCell ref="BL117:BL123"/>
    <mergeCell ref="BM117:BM123"/>
    <mergeCell ref="BN117:BN123"/>
    <mergeCell ref="BO117:BO123"/>
    <mergeCell ref="BQ117:BQ123"/>
    <mergeCell ref="G117:G123"/>
    <mergeCell ref="BI117:BI123"/>
    <mergeCell ref="BN83:BN90"/>
    <mergeCell ref="BO83:BO90"/>
    <mergeCell ref="BQ83:BQ90"/>
    <mergeCell ref="A92:A106"/>
    <mergeCell ref="B92:B106"/>
    <mergeCell ref="C92:C106"/>
    <mergeCell ref="G92:G116"/>
    <mergeCell ref="BI92:BI94"/>
    <mergeCell ref="BK92:BK94"/>
    <mergeCell ref="BQ92:BQ94"/>
    <mergeCell ref="BG83:BG90"/>
    <mergeCell ref="BI83:BI90"/>
    <mergeCell ref="BJ83:BJ90"/>
    <mergeCell ref="BK83:BK90"/>
    <mergeCell ref="BL83:BL90"/>
    <mergeCell ref="BM83:BM90"/>
    <mergeCell ref="BN107:BN116"/>
    <mergeCell ref="BO107:BO116"/>
    <mergeCell ref="O96:O106"/>
    <mergeCell ref="V107:V116"/>
    <mergeCell ref="W107:W116"/>
    <mergeCell ref="P109:P111"/>
    <mergeCell ref="Q109:Q111"/>
    <mergeCell ref="P113:P115"/>
    <mergeCell ref="BJ18:BJ22"/>
    <mergeCell ref="BJ24:BJ32"/>
    <mergeCell ref="E18:E32"/>
    <mergeCell ref="BI18:BI32"/>
    <mergeCell ref="R58:R70"/>
    <mergeCell ref="I30:I31"/>
    <mergeCell ref="I32:I33"/>
    <mergeCell ref="I34:I35"/>
    <mergeCell ref="I36:I37"/>
    <mergeCell ref="I38:I39"/>
    <mergeCell ref="I40:I41"/>
    <mergeCell ref="F42:F45"/>
    <mergeCell ref="F46:F47"/>
    <mergeCell ref="F48:F49"/>
    <mergeCell ref="F50:F51"/>
    <mergeCell ref="F52:F53"/>
    <mergeCell ref="F54:F55"/>
    <mergeCell ref="F56:F57"/>
    <mergeCell ref="H42:H43"/>
    <mergeCell ref="I42:I43"/>
    <mergeCell ref="H44:H45"/>
    <mergeCell ref="I44:I45"/>
    <mergeCell ref="H46:H47"/>
    <mergeCell ref="I46:I47"/>
    <mergeCell ref="CE4:CE5"/>
    <mergeCell ref="BN3:BN5"/>
    <mergeCell ref="CW4:CW5"/>
    <mergeCell ref="CX4:CX5"/>
    <mergeCell ref="CY4:CY5"/>
    <mergeCell ref="CF4:CF5"/>
    <mergeCell ref="CR3:CR5"/>
    <mergeCell ref="CS3:CS5"/>
    <mergeCell ref="CV3:CV5"/>
    <mergeCell ref="CW3:CY3"/>
    <mergeCell ref="BP4:BP5"/>
    <mergeCell ref="BR4:BR5"/>
    <mergeCell ref="BS4:BS5"/>
    <mergeCell ref="BT4:BT5"/>
    <mergeCell ref="BU4:BU5"/>
    <mergeCell ref="BV4:BV5"/>
    <mergeCell ref="BR3:BS3"/>
    <mergeCell ref="BT3:BU3"/>
    <mergeCell ref="BV3:CB3"/>
    <mergeCell ref="CC3:CJ3"/>
    <mergeCell ref="BY4:BY5"/>
    <mergeCell ref="BZ4:BZ5"/>
    <mergeCell ref="AT4:AT5"/>
    <mergeCell ref="AU4:AU5"/>
    <mergeCell ref="AB3:AH3"/>
    <mergeCell ref="AI3:AP3"/>
    <mergeCell ref="AQ3:AV3"/>
    <mergeCell ref="CZ4:CZ5"/>
    <mergeCell ref="D12:D14"/>
    <mergeCell ref="E12:E14"/>
    <mergeCell ref="CM4:CM5"/>
    <mergeCell ref="CN4:CN5"/>
    <mergeCell ref="CO4:CO5"/>
    <mergeCell ref="CP4:CP5"/>
    <mergeCell ref="CT4:CT5"/>
    <mergeCell ref="CU4:CU5"/>
    <mergeCell ref="CG4:CG5"/>
    <mergeCell ref="CH4:CH5"/>
    <mergeCell ref="CI4:CI5"/>
    <mergeCell ref="CJ4:CJ5"/>
    <mergeCell ref="CK4:CK5"/>
    <mergeCell ref="CL4:CL5"/>
    <mergeCell ref="CA4:CA5"/>
    <mergeCell ref="CB4:CB5"/>
    <mergeCell ref="CC4:CC5"/>
    <mergeCell ref="CD4:CD5"/>
    <mergeCell ref="M3:M5"/>
    <mergeCell ref="BL3:BL5"/>
    <mergeCell ref="BM3:BM5"/>
    <mergeCell ref="BO3:BO5"/>
    <mergeCell ref="BQ3:BQ5"/>
    <mergeCell ref="AA4:AA5"/>
    <mergeCell ref="AB4:AB5"/>
    <mergeCell ref="AC4:AC5"/>
    <mergeCell ref="AD4:AD5"/>
    <mergeCell ref="AE4:AE5"/>
    <mergeCell ref="AF4:AF5"/>
    <mergeCell ref="AG4:AG5"/>
    <mergeCell ref="AH4:AH5"/>
    <mergeCell ref="AI4:AI5"/>
    <mergeCell ref="AJ4:AJ5"/>
    <mergeCell ref="AK4:AK5"/>
    <mergeCell ref="AL4:AL5"/>
    <mergeCell ref="AO4:AO5"/>
    <mergeCell ref="AP4:AP5"/>
    <mergeCell ref="AQ4:AQ5"/>
    <mergeCell ref="AR4:AR5"/>
    <mergeCell ref="AS4:AS5"/>
    <mergeCell ref="BA4:BA5"/>
    <mergeCell ref="BD4:BD5"/>
    <mergeCell ref="AW2:BA2"/>
    <mergeCell ref="BB2:BF2"/>
    <mergeCell ref="W3:W5"/>
    <mergeCell ref="X3:Y3"/>
    <mergeCell ref="Z3:AA3"/>
    <mergeCell ref="CV2:CZ2"/>
    <mergeCell ref="A3:A5"/>
    <mergeCell ref="B3:B5"/>
    <mergeCell ref="C3:C5"/>
    <mergeCell ref="D3:D5"/>
    <mergeCell ref="E3:F4"/>
    <mergeCell ref="G3:G5"/>
    <mergeCell ref="H3:H5"/>
    <mergeCell ref="I3:I5"/>
    <mergeCell ref="L3:L5"/>
    <mergeCell ref="AW3:AW5"/>
    <mergeCell ref="AX3:AX5"/>
    <mergeCell ref="X4:X5"/>
    <mergeCell ref="Y4:Y5"/>
    <mergeCell ref="Z4:Z5"/>
    <mergeCell ref="CK3:CP3"/>
    <mergeCell ref="CQ3:CQ5"/>
    <mergeCell ref="BW4:BW5"/>
    <mergeCell ref="BX4:BX5"/>
    <mergeCell ref="BE4:BE5"/>
    <mergeCell ref="AM4:AM5"/>
    <mergeCell ref="AN4:AN5"/>
    <mergeCell ref="A1:M1"/>
    <mergeCell ref="BG1:CZ1"/>
    <mergeCell ref="A2:M2"/>
    <mergeCell ref="BG2:BG5"/>
    <mergeCell ref="BI2:BI5"/>
    <mergeCell ref="BJ2:BJ5"/>
    <mergeCell ref="BK2:BK5"/>
    <mergeCell ref="BL2:BO2"/>
    <mergeCell ref="BQ2:CP2"/>
    <mergeCell ref="CQ2:CU2"/>
    <mergeCell ref="N2:N5"/>
    <mergeCell ref="O2:O5"/>
    <mergeCell ref="P2:P5"/>
    <mergeCell ref="Q2:Q5"/>
    <mergeCell ref="R2:U2"/>
    <mergeCell ref="R3:R5"/>
    <mergeCell ref="S3:S5"/>
    <mergeCell ref="N1:BF1"/>
    <mergeCell ref="W2:AV2"/>
    <mergeCell ref="AZ4:AZ5"/>
    <mergeCell ref="BC4:BC5"/>
    <mergeCell ref="O83:O90"/>
    <mergeCell ref="P83:P90"/>
    <mergeCell ref="Q83:Q90"/>
    <mergeCell ref="AE83:AE90"/>
    <mergeCell ref="AF83:AF90"/>
    <mergeCell ref="W83:W90"/>
    <mergeCell ref="O92:O94"/>
    <mergeCell ref="T3:T5"/>
    <mergeCell ref="U3:U5"/>
    <mergeCell ref="P92:P94"/>
    <mergeCell ref="V92:V94"/>
    <mergeCell ref="X92:X94"/>
    <mergeCell ref="Y92:Y94"/>
    <mergeCell ref="Z92:Z94"/>
    <mergeCell ref="AA92:AA94"/>
    <mergeCell ref="AB92:AB94"/>
    <mergeCell ref="AC92:AC94"/>
    <mergeCell ref="AD92:AD94"/>
    <mergeCell ref="V4:V5"/>
    <mergeCell ref="X107:X116"/>
    <mergeCell ref="Y107:Y116"/>
    <mergeCell ref="Z107:Z116"/>
    <mergeCell ref="AA107:AA116"/>
    <mergeCell ref="AB107:AB116"/>
    <mergeCell ref="AC107:AC116"/>
    <mergeCell ref="AD107:AD116"/>
    <mergeCell ref="W92:W94"/>
    <mergeCell ref="V83:V90"/>
    <mergeCell ref="X83:X90"/>
    <mergeCell ref="AA83:AA90"/>
    <mergeCell ref="AB83:AB90"/>
    <mergeCell ref="AC83:AC90"/>
    <mergeCell ref="AD83:AD90"/>
    <mergeCell ref="BH83:BH90"/>
    <mergeCell ref="BH107:BH115"/>
    <mergeCell ref="AE107:AE116"/>
    <mergeCell ref="AF107:AF116"/>
    <mergeCell ref="Y83:Y90"/>
    <mergeCell ref="Z83:Z90"/>
    <mergeCell ref="AG83:AG90"/>
    <mergeCell ref="AH83:AH90"/>
    <mergeCell ref="AI83:AI90"/>
    <mergeCell ref="AJ83:AJ90"/>
    <mergeCell ref="AK83:AK90"/>
    <mergeCell ref="AE92:AE94"/>
    <mergeCell ref="AF92:AF94"/>
    <mergeCell ref="AG92:AG94"/>
    <mergeCell ref="AH92:AH94"/>
    <mergeCell ref="AI92:AI94"/>
    <mergeCell ref="AJ92:AJ94"/>
    <mergeCell ref="AK92:AK94"/>
    <mergeCell ref="A148:A154"/>
    <mergeCell ref="F6:F7"/>
    <mergeCell ref="F8:F9"/>
    <mergeCell ref="F10:F11"/>
    <mergeCell ref="H6:H7"/>
    <mergeCell ref="H8:H9"/>
    <mergeCell ref="H10:H11"/>
    <mergeCell ref="H12:H13"/>
    <mergeCell ref="A18:A41"/>
    <mergeCell ref="H30:H31"/>
    <mergeCell ref="H32:H33"/>
    <mergeCell ref="H34:H35"/>
    <mergeCell ref="H36:H37"/>
    <mergeCell ref="H38:H39"/>
    <mergeCell ref="H40:H41"/>
    <mergeCell ref="G18:G41"/>
    <mergeCell ref="F40:F41"/>
    <mergeCell ref="F38:F39"/>
    <mergeCell ref="F36:F37"/>
    <mergeCell ref="F34:F35"/>
    <mergeCell ref="F18:F33"/>
    <mergeCell ref="C42:C57"/>
    <mergeCell ref="D83:D85"/>
    <mergeCell ref="A6:A17"/>
    <mergeCell ref="H56:H57"/>
    <mergeCell ref="I56:I57"/>
    <mergeCell ref="C18:C41"/>
    <mergeCell ref="H18:H19"/>
    <mergeCell ref="I18:I19"/>
    <mergeCell ref="H20:H21"/>
    <mergeCell ref="I20:I21"/>
    <mergeCell ref="H22:H23"/>
    <mergeCell ref="I22:I23"/>
    <mergeCell ref="H24:H25"/>
    <mergeCell ref="I24:I25"/>
    <mergeCell ref="H26:H27"/>
    <mergeCell ref="I26:I27"/>
    <mergeCell ref="H28:H29"/>
    <mergeCell ref="I28:I29"/>
    <mergeCell ref="A42:A78"/>
    <mergeCell ref="B42:B78"/>
    <mergeCell ref="C58:C78"/>
    <mergeCell ref="F76:F78"/>
    <mergeCell ref="G58:G78"/>
    <mergeCell ref="H76:H78"/>
    <mergeCell ref="I76:I78"/>
    <mergeCell ref="H58:H60"/>
    <mergeCell ref="I58:I60"/>
    <mergeCell ref="H61:H63"/>
    <mergeCell ref="I61:I63"/>
    <mergeCell ref="H64:H66"/>
    <mergeCell ref="I64:I66"/>
    <mergeCell ref="H67:H69"/>
    <mergeCell ref="I67:I69"/>
    <mergeCell ref="H70:H72"/>
    <mergeCell ref="I70:I72"/>
    <mergeCell ref="H73:H75"/>
    <mergeCell ref="I73:I75"/>
    <mergeCell ref="F58:F60"/>
    <mergeCell ref="F61:F63"/>
    <mergeCell ref="F64:F66"/>
    <mergeCell ref="F67:F69"/>
    <mergeCell ref="H48:H49"/>
    <mergeCell ref="A79:A91"/>
    <mergeCell ref="B79:B91"/>
    <mergeCell ref="C79:C91"/>
    <mergeCell ref="F90:F91"/>
    <mergeCell ref="G79:G91"/>
    <mergeCell ref="H90:H91"/>
    <mergeCell ref="I90:I91"/>
    <mergeCell ref="H81:H82"/>
    <mergeCell ref="I81:I82"/>
    <mergeCell ref="H83:H84"/>
    <mergeCell ref="I83:I84"/>
    <mergeCell ref="H86:H87"/>
    <mergeCell ref="I86:I87"/>
    <mergeCell ref="E83:E85"/>
    <mergeCell ref="F83:F85"/>
    <mergeCell ref="D80:D81"/>
    <mergeCell ref="E80:E81"/>
    <mergeCell ref="H88:H89"/>
    <mergeCell ref="I88:I89"/>
    <mergeCell ref="BH2:BH5"/>
    <mergeCell ref="BF4:BF5"/>
    <mergeCell ref="F107:F116"/>
    <mergeCell ref="H107:H108"/>
    <mergeCell ref="I107:I108"/>
    <mergeCell ref="H109:H110"/>
    <mergeCell ref="I109:I110"/>
    <mergeCell ref="H111:H112"/>
    <mergeCell ref="I111:I112"/>
    <mergeCell ref="H113:H114"/>
    <mergeCell ref="I113:I114"/>
    <mergeCell ref="H94:H95"/>
    <mergeCell ref="I94:I95"/>
    <mergeCell ref="F92:F93"/>
    <mergeCell ref="H92:H93"/>
    <mergeCell ref="I92:I93"/>
    <mergeCell ref="G42:G57"/>
    <mergeCell ref="I48:I49"/>
    <mergeCell ref="H50:H51"/>
    <mergeCell ref="I50:I51"/>
    <mergeCell ref="H52:H53"/>
    <mergeCell ref="I52:I53"/>
    <mergeCell ref="H54:H55"/>
    <mergeCell ref="I54:I55"/>
    <mergeCell ref="EL4:EL5"/>
    <mergeCell ref="EM4:EM5"/>
    <mergeCell ref="F70:F72"/>
    <mergeCell ref="F73:F75"/>
    <mergeCell ref="F80:F82"/>
    <mergeCell ref="F86:F87"/>
    <mergeCell ref="F88:F89"/>
    <mergeCell ref="F94:F106"/>
    <mergeCell ref="ER4:ET4"/>
    <mergeCell ref="J12:J14"/>
    <mergeCell ref="J6:J7"/>
    <mergeCell ref="J8:J9"/>
    <mergeCell ref="J10:J11"/>
    <mergeCell ref="J15:J17"/>
    <mergeCell ref="J3:J4"/>
    <mergeCell ref="J18:J33"/>
    <mergeCell ref="J34:J35"/>
    <mergeCell ref="J36:J37"/>
    <mergeCell ref="J38:J39"/>
    <mergeCell ref="J40:J41"/>
    <mergeCell ref="J42:J45"/>
    <mergeCell ref="J46:J47"/>
    <mergeCell ref="J48:J49"/>
    <mergeCell ref="EN4:EN5"/>
    <mergeCell ref="J61:J63"/>
    <mergeCell ref="J64:J66"/>
    <mergeCell ref="DB2:EU2"/>
    <mergeCell ref="DB3:DB5"/>
    <mergeCell ref="DC3:DC5"/>
    <mergeCell ref="DD3:DD5"/>
    <mergeCell ref="DE3:DE5"/>
    <mergeCell ref="DF3:DF5"/>
    <mergeCell ref="DG3:DG5"/>
    <mergeCell ref="DH3:DK3"/>
    <mergeCell ref="DL3:EK3"/>
    <mergeCell ref="EL3:EP3"/>
    <mergeCell ref="EQ3:EU3"/>
    <mergeCell ref="DH4:DH5"/>
    <mergeCell ref="DI4:DI5"/>
    <mergeCell ref="DJ4:DJ5"/>
    <mergeCell ref="DK4:DK5"/>
    <mergeCell ref="DL4:DL5"/>
    <mergeCell ref="DM4:DN4"/>
    <mergeCell ref="EQ4:EQ5"/>
    <mergeCell ref="DO4:DP4"/>
    <mergeCell ref="DQ4:DW4"/>
    <mergeCell ref="DX4:EE4"/>
    <mergeCell ref="EF4:EK4"/>
    <mergeCell ref="J67:J69"/>
    <mergeCell ref="J70:J72"/>
    <mergeCell ref="AY3:AY5"/>
    <mergeCell ref="BB3:BB5"/>
    <mergeCell ref="BC3:BE3"/>
    <mergeCell ref="AV4:AV5"/>
    <mergeCell ref="J143:J144"/>
    <mergeCell ref="J92:J93"/>
    <mergeCell ref="J94:J106"/>
    <mergeCell ref="J107:J116"/>
    <mergeCell ref="J117:J120"/>
    <mergeCell ref="J122:J123"/>
    <mergeCell ref="J83:J85"/>
    <mergeCell ref="J73:J75"/>
    <mergeCell ref="J76:J78"/>
    <mergeCell ref="J80:J82"/>
    <mergeCell ref="J86:J87"/>
    <mergeCell ref="J88:J89"/>
    <mergeCell ref="J90:J91"/>
    <mergeCell ref="J50:J51"/>
    <mergeCell ref="J52:J53"/>
    <mergeCell ref="J54:J55"/>
    <mergeCell ref="J56:J57"/>
    <mergeCell ref="J58:J60"/>
  </mergeCells>
  <phoneticPr fontId="68" type="noConversion"/>
  <conditionalFormatting sqref="BH6:BH82 BH116:BH123 BH126:BH154">
    <cfRule type="cellIs" dxfId="71" priority="37" operator="between">
      <formula>0.805</formula>
      <formula>1</formula>
    </cfRule>
    <cfRule type="cellIs" dxfId="70" priority="38" operator="between">
      <formula>0.605</formula>
      <formula>0.8049</formula>
    </cfRule>
    <cfRule type="cellIs" dxfId="69" priority="39" operator="between">
      <formula>0.305</formula>
      <formula>0.6049</formula>
    </cfRule>
    <cfRule type="cellIs" dxfId="68" priority="40" operator="between">
      <formula>0</formula>
      <formula>0.3049</formula>
    </cfRule>
  </conditionalFormatting>
  <conditionalFormatting sqref="BH83:BH84">
    <cfRule type="cellIs" dxfId="67" priority="29" operator="between">
      <formula>0.805</formula>
      <formula>1</formula>
    </cfRule>
    <cfRule type="cellIs" dxfId="66" priority="30" operator="between">
      <formula>0.605</formula>
      <formula>0.8049</formula>
    </cfRule>
    <cfRule type="cellIs" dxfId="65" priority="31" operator="between">
      <formula>0.305</formula>
      <formula>0.6049</formula>
    </cfRule>
    <cfRule type="cellIs" dxfId="64" priority="32" operator="between">
      <formula>0</formula>
      <formula>0.3049</formula>
    </cfRule>
  </conditionalFormatting>
  <conditionalFormatting sqref="BH92:BH95">
    <cfRule type="cellIs" dxfId="63" priority="25" operator="between">
      <formula>0.805</formula>
      <formula>1</formula>
    </cfRule>
    <cfRule type="cellIs" dxfId="62" priority="26" operator="between">
      <formula>0.605</formula>
      <formula>0.8049</formula>
    </cfRule>
    <cfRule type="cellIs" dxfId="61" priority="27" operator="between">
      <formula>0.305</formula>
      <formula>0.6049</formula>
    </cfRule>
    <cfRule type="cellIs" dxfId="60" priority="28" operator="between">
      <formula>0</formula>
      <formula>0.3049</formula>
    </cfRule>
  </conditionalFormatting>
  <conditionalFormatting sqref="BH107:BH108">
    <cfRule type="cellIs" dxfId="59" priority="17" operator="between">
      <formula>0.805</formula>
      <formula>1</formula>
    </cfRule>
    <cfRule type="cellIs" dxfId="58" priority="18" operator="between">
      <formula>0.605</formula>
      <formula>0.8049</formula>
    </cfRule>
    <cfRule type="cellIs" dxfId="57" priority="19" operator="between">
      <formula>0.305</formula>
      <formula>0.6049</formula>
    </cfRule>
    <cfRule type="cellIs" dxfId="56" priority="20" operator="between">
      <formula>0</formula>
      <formula>0.3049</formula>
    </cfRule>
  </conditionalFormatting>
  <conditionalFormatting sqref="BH124">
    <cfRule type="cellIs" dxfId="55" priority="9" operator="between">
      <formula>0.805</formula>
      <formula>1</formula>
    </cfRule>
    <cfRule type="cellIs" dxfId="54" priority="10" operator="between">
      <formula>0.605</formula>
      <formula>0.8049</formula>
    </cfRule>
    <cfRule type="cellIs" dxfId="53" priority="11" operator="between">
      <formula>0.305</formula>
      <formula>0.6049</formula>
    </cfRule>
    <cfRule type="cellIs" dxfId="52" priority="12" operator="between">
      <formula>0</formula>
      <formula>0.3049</formula>
    </cfRule>
  </conditionalFormatting>
  <conditionalFormatting sqref="BH125">
    <cfRule type="cellIs" dxfId="51" priority="5" operator="between">
      <formula>0.805</formula>
      <formula>1</formula>
    </cfRule>
    <cfRule type="cellIs" dxfId="50" priority="6" operator="between">
      <formula>0.605</formula>
      <formula>0.8049</formula>
    </cfRule>
    <cfRule type="cellIs" dxfId="49" priority="7" operator="between">
      <formula>0.305</formula>
      <formula>0.6049</formula>
    </cfRule>
    <cfRule type="cellIs" dxfId="48" priority="8" operator="between">
      <formula>0</formula>
      <formula>0.3049</formula>
    </cfRule>
  </conditionalFormatting>
  <pageMargins left="0.7" right="0.7" top="0.75" bottom="0.75" header="0.3" footer="0.3"/>
  <pageSetup paperSize="9"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2:U83"/>
  <sheetViews>
    <sheetView showGridLines="0" workbookViewId="0">
      <pane xSplit="8985" topLeftCell="I1"/>
      <selection activeCell="G5" sqref="G5"/>
      <selection pane="topRight" activeCell="J21" sqref="J21"/>
    </sheetView>
  </sheetViews>
  <sheetFormatPr baseColWidth="10" defaultRowHeight="15.75" customHeight="1"/>
  <cols>
    <col min="2" max="2" width="32.42578125" customWidth="1"/>
    <col min="3" max="3" width="6.5703125" bestFit="1" customWidth="1"/>
    <col min="4" max="4" width="8.5703125" hidden="1" customWidth="1"/>
    <col min="5" max="5" width="1.5703125" customWidth="1"/>
    <col min="6" max="6" width="0.7109375" customWidth="1"/>
    <col min="7" max="7" width="14" customWidth="1"/>
    <col min="8" max="9" width="15.140625" customWidth="1"/>
    <col min="10" max="10" width="14.28515625" customWidth="1"/>
    <col min="11" max="11" width="14.140625" customWidth="1"/>
    <col min="12" max="12" width="9.28515625" customWidth="1"/>
    <col min="13" max="13" width="12.5703125" customWidth="1"/>
    <col min="14" max="14" width="10" customWidth="1"/>
    <col min="17" max="17" width="8.28515625" bestFit="1" customWidth="1"/>
  </cols>
  <sheetData>
    <row r="2" spans="1:21" ht="15.75" customHeight="1">
      <c r="A2" s="2191" t="s">
        <v>10028</v>
      </c>
      <c r="B2" s="2191"/>
      <c r="C2" s="2191"/>
      <c r="D2" s="2191"/>
    </row>
    <row r="3" spans="1:21" ht="15.75" customHeight="1">
      <c r="B3" t="s">
        <v>10029</v>
      </c>
    </row>
    <row r="6" spans="1:21" ht="15.75" customHeight="1" thickBot="1">
      <c r="A6" s="2191" t="s">
        <v>10030</v>
      </c>
      <c r="B6" s="2191"/>
      <c r="C6" s="2191"/>
      <c r="D6" s="2191"/>
    </row>
    <row r="7" spans="1:21" ht="15.75" customHeight="1" thickBot="1">
      <c r="B7" s="2176"/>
      <c r="C7" s="2177" t="s">
        <v>2617</v>
      </c>
      <c r="D7" s="2178" t="s">
        <v>10035</v>
      </c>
      <c r="E7" s="2164"/>
      <c r="F7" s="2149" t="s">
        <v>4308</v>
      </c>
      <c r="G7" s="2149" t="s">
        <v>4309</v>
      </c>
      <c r="H7" s="2149" t="s">
        <v>4310</v>
      </c>
      <c r="I7" s="2149" t="s">
        <v>4311</v>
      </c>
      <c r="J7" s="2149" t="s">
        <v>4312</v>
      </c>
      <c r="K7" s="2149" t="s">
        <v>4265</v>
      </c>
      <c r="L7" s="2149" t="s">
        <v>4313</v>
      </c>
      <c r="M7" s="2149" t="s">
        <v>4314</v>
      </c>
      <c r="N7" s="2149" t="s">
        <v>4315</v>
      </c>
      <c r="O7" s="2149" t="s">
        <v>4316</v>
      </c>
      <c r="P7" s="2149" t="s">
        <v>4317</v>
      </c>
      <c r="Q7" s="2155" t="s">
        <v>4318</v>
      </c>
    </row>
    <row r="8" spans="1:21" ht="15.75" customHeight="1" thickBot="1">
      <c r="B8" s="2175" t="s">
        <v>86</v>
      </c>
      <c r="C8" s="2174">
        <f>SUM(F8:Q8)</f>
        <v>256</v>
      </c>
      <c r="D8" s="2180">
        <f>+C8/$C$44</f>
        <v>0.27205100956429329</v>
      </c>
      <c r="E8" s="2179"/>
      <c r="F8" s="2172">
        <v>7</v>
      </c>
      <c r="G8" s="2172">
        <v>15</v>
      </c>
      <c r="H8" s="2172">
        <v>98</v>
      </c>
      <c r="I8" s="2172">
        <v>9</v>
      </c>
      <c r="J8" s="2172">
        <v>19</v>
      </c>
      <c r="K8" s="2172">
        <v>24</v>
      </c>
      <c r="L8" s="2779"/>
      <c r="M8" s="2172">
        <v>33</v>
      </c>
      <c r="N8" s="2172">
        <v>14</v>
      </c>
      <c r="O8" s="2172">
        <v>29</v>
      </c>
      <c r="P8" s="2172">
        <v>5</v>
      </c>
      <c r="Q8" s="2173">
        <v>3</v>
      </c>
      <c r="S8" s="771"/>
    </row>
    <row r="9" spans="1:21" s="2152" customFormat="1" ht="15.75" customHeight="1">
      <c r="B9" s="2192"/>
      <c r="C9" s="2192"/>
      <c r="D9" s="2192"/>
      <c r="E9" s="2192"/>
      <c r="F9" s="2193"/>
      <c r="G9" s="2193"/>
      <c r="H9" s="2193"/>
      <c r="I9" s="2193"/>
      <c r="J9" s="2193"/>
      <c r="K9" s="2193"/>
      <c r="L9" s="2193"/>
      <c r="M9" s="2193"/>
      <c r="N9" s="2193"/>
      <c r="O9" s="2193"/>
      <c r="P9" s="2193"/>
      <c r="Q9" s="2193"/>
      <c r="R9" s="2193"/>
      <c r="S9" s="2193"/>
      <c r="U9" s="2154"/>
    </row>
    <row r="10" spans="1:21" s="2152" customFormat="1" ht="15.75" customHeight="1" thickBot="1">
      <c r="A10" s="2191" t="s">
        <v>10031</v>
      </c>
      <c r="B10" s="2191"/>
      <c r="C10" s="2191"/>
      <c r="D10" s="2191"/>
      <c r="E10" s="2192"/>
      <c r="F10" s="2193"/>
      <c r="G10" s="2193"/>
      <c r="H10" s="2193"/>
      <c r="I10" s="2193"/>
      <c r="J10" s="2193"/>
      <c r="K10" s="2193"/>
      <c r="L10" s="2193"/>
      <c r="M10" s="2193"/>
      <c r="N10" s="2193"/>
      <c r="O10" s="2193"/>
      <c r="P10" s="2193"/>
      <c r="Q10" s="2193"/>
      <c r="R10" s="2193"/>
      <c r="S10" s="2193"/>
      <c r="U10" s="2154"/>
    </row>
    <row r="11" spans="1:21" s="2152" customFormat="1" ht="15.75" customHeight="1" thickBot="1">
      <c r="B11" s="262" t="s">
        <v>4306</v>
      </c>
      <c r="C11" s="2181" t="s">
        <v>2617</v>
      </c>
      <c r="D11" s="2182" t="s">
        <v>10035</v>
      </c>
      <c r="E11" s="2164"/>
      <c r="F11" s="2183" t="s">
        <v>4240</v>
      </c>
      <c r="G11" s="2149" t="s">
        <v>4308</v>
      </c>
      <c r="H11" s="2149" t="s">
        <v>4309</v>
      </c>
      <c r="I11" s="2149" t="s">
        <v>4311</v>
      </c>
      <c r="J11" s="2149" t="s">
        <v>4312</v>
      </c>
      <c r="K11" s="2149" t="s">
        <v>4265</v>
      </c>
      <c r="L11" s="2149" t="s">
        <v>4313</v>
      </c>
      <c r="M11" s="2149" t="s">
        <v>4314</v>
      </c>
      <c r="N11" s="2149" t="s">
        <v>4315</v>
      </c>
      <c r="O11" s="2149" t="s">
        <v>4317</v>
      </c>
      <c r="Q11" s="2153"/>
    </row>
    <row r="12" spans="1:21" s="2152" customFormat="1" ht="15.75" customHeight="1">
      <c r="A12" s="2152">
        <v>2</v>
      </c>
      <c r="B12" s="265" t="s">
        <v>4325</v>
      </c>
      <c r="C12" s="2184">
        <f>SUM(F12:Q12)</f>
        <v>152</v>
      </c>
      <c r="D12" s="2185">
        <f>+C12/$C$44</f>
        <v>0.16153028692879914</v>
      </c>
      <c r="E12" s="2184"/>
      <c r="F12" s="138"/>
      <c r="G12" s="2186">
        <v>5</v>
      </c>
      <c r="H12" s="138"/>
      <c r="I12" s="2186">
        <v>5</v>
      </c>
      <c r="J12" s="2186">
        <v>2</v>
      </c>
      <c r="K12" s="2186">
        <v>15</v>
      </c>
      <c r="L12" s="2186">
        <v>112</v>
      </c>
      <c r="M12" s="2186">
        <v>2</v>
      </c>
      <c r="N12" s="2186">
        <v>8</v>
      </c>
      <c r="O12" s="2187">
        <v>3</v>
      </c>
      <c r="P12"/>
      <c r="Q12" s="771"/>
    </row>
    <row r="13" spans="1:21" s="2152" customFormat="1" ht="15.75" customHeight="1" thickBot="1">
      <c r="A13" s="2152">
        <v>1</v>
      </c>
      <c r="B13" s="2156" t="s">
        <v>4327</v>
      </c>
      <c r="C13" s="2188">
        <f>SUM(F13:Q13)</f>
        <v>127</v>
      </c>
      <c r="D13" s="2189">
        <f>+C13/$C$44</f>
        <v>0.13496280552603612</v>
      </c>
      <c r="E13" s="2188"/>
      <c r="F13" s="156"/>
      <c r="G13" s="2157">
        <v>29</v>
      </c>
      <c r="H13" s="2157">
        <v>5</v>
      </c>
      <c r="I13" s="2157">
        <v>15</v>
      </c>
      <c r="J13" s="2157">
        <v>13</v>
      </c>
      <c r="K13" s="2157">
        <v>9</v>
      </c>
      <c r="L13" s="156"/>
      <c r="M13" s="2157">
        <v>30</v>
      </c>
      <c r="N13" s="2157">
        <v>5</v>
      </c>
      <c r="O13" s="2158">
        <v>21</v>
      </c>
      <c r="P13"/>
      <c r="Q13" s="771"/>
    </row>
    <row r="15" spans="1:21" ht="15.75" customHeight="1" thickBot="1">
      <c r="A15" s="2191" t="s">
        <v>10032</v>
      </c>
      <c r="B15" s="2191"/>
      <c r="C15" s="2191"/>
      <c r="D15" s="2191"/>
    </row>
    <row r="16" spans="1:21" s="2152" customFormat="1" ht="15.75" customHeight="1" thickBot="1">
      <c r="B16" s="262" t="s">
        <v>4306</v>
      </c>
      <c r="C16" s="2181" t="s">
        <v>2617</v>
      </c>
      <c r="D16" s="2182" t="s">
        <v>10035</v>
      </c>
      <c r="E16" s="2164"/>
      <c r="F16" s="2183" t="s">
        <v>4240</v>
      </c>
      <c r="G16" s="2149" t="s">
        <v>4307</v>
      </c>
      <c r="H16" s="2149" t="s">
        <v>4308</v>
      </c>
      <c r="I16" s="2149" t="s">
        <v>4309</v>
      </c>
      <c r="J16" s="2149" t="s">
        <v>4311</v>
      </c>
      <c r="K16" s="2149" t="s">
        <v>4312</v>
      </c>
      <c r="L16" s="2149" t="s">
        <v>4265</v>
      </c>
      <c r="M16" s="2149" t="s">
        <v>4314</v>
      </c>
      <c r="N16" s="2149" t="s">
        <v>4315</v>
      </c>
      <c r="O16" s="2149" t="s">
        <v>4317</v>
      </c>
      <c r="P16" s="2155" t="s">
        <v>4318</v>
      </c>
      <c r="R16" s="2153"/>
    </row>
    <row r="17" spans="1:21" ht="15.75" customHeight="1">
      <c r="B17" s="265" t="s">
        <v>158</v>
      </c>
      <c r="C17" s="2184">
        <f>SUM(F17:Q17)</f>
        <v>97</v>
      </c>
      <c r="D17" s="2185">
        <f>+C17/$C$44</f>
        <v>0.10308182784272051</v>
      </c>
      <c r="E17" s="2184"/>
      <c r="F17" s="2186">
        <v>3</v>
      </c>
      <c r="G17" s="2186">
        <v>5</v>
      </c>
      <c r="H17" s="2186">
        <v>13</v>
      </c>
      <c r="I17" s="2186">
        <v>1</v>
      </c>
      <c r="J17" s="2186">
        <v>18</v>
      </c>
      <c r="K17" s="2186">
        <v>10</v>
      </c>
      <c r="L17" s="2186">
        <v>17</v>
      </c>
      <c r="M17" s="2186">
        <v>14</v>
      </c>
      <c r="N17" s="2186">
        <v>11</v>
      </c>
      <c r="O17" s="2186">
        <v>2</v>
      </c>
      <c r="P17" s="2187">
        <v>3</v>
      </c>
      <c r="R17" s="771"/>
    </row>
    <row r="18" spans="1:21" ht="15.75" customHeight="1">
      <c r="B18" s="267" t="s">
        <v>4326</v>
      </c>
      <c r="C18" s="2170">
        <f t="shared" ref="C18:C19" si="0">SUM(F18:Q18)</f>
        <v>76</v>
      </c>
      <c r="D18" s="2171">
        <f>+C18/$C$44</f>
        <v>8.0765143464399572E-2</v>
      </c>
      <c r="E18" s="2190"/>
      <c r="F18" s="2151"/>
      <c r="G18" s="2147">
        <v>30</v>
      </c>
      <c r="H18" s="2147">
        <v>9</v>
      </c>
      <c r="I18" s="2151"/>
      <c r="J18" s="2147">
        <v>1</v>
      </c>
      <c r="K18" s="2147">
        <v>8</v>
      </c>
      <c r="L18" s="2147">
        <v>11</v>
      </c>
      <c r="M18" s="2147">
        <v>1</v>
      </c>
      <c r="N18" s="2147">
        <v>12</v>
      </c>
      <c r="O18" s="2147">
        <v>4</v>
      </c>
      <c r="P18" s="482"/>
      <c r="R18" s="771"/>
    </row>
    <row r="19" spans="1:21" ht="15.75" customHeight="1" thickBot="1">
      <c r="B19" s="2156" t="s">
        <v>4329</v>
      </c>
      <c r="C19" s="2188">
        <f t="shared" si="0"/>
        <v>55</v>
      </c>
      <c r="D19" s="2189">
        <f>+C19/$C$44</f>
        <v>5.8448459086078638E-2</v>
      </c>
      <c r="E19" s="2188"/>
      <c r="F19" s="2157">
        <v>16</v>
      </c>
      <c r="G19" s="156"/>
      <c r="H19" s="2157">
        <v>8</v>
      </c>
      <c r="I19" s="156"/>
      <c r="J19" s="2157">
        <v>2</v>
      </c>
      <c r="K19" s="2157">
        <v>7</v>
      </c>
      <c r="L19" s="2157">
        <v>8</v>
      </c>
      <c r="M19" s="156"/>
      <c r="N19" s="2157">
        <v>2</v>
      </c>
      <c r="O19" s="2157">
        <v>2</v>
      </c>
      <c r="P19" s="2158">
        <v>10</v>
      </c>
      <c r="R19" s="771"/>
    </row>
    <row r="20" spans="1:21" s="2152" customFormat="1" ht="15.75" customHeight="1">
      <c r="B20" s="2192"/>
      <c r="C20" s="2192"/>
      <c r="D20" s="2192"/>
      <c r="E20" s="2192"/>
      <c r="F20" s="2193"/>
      <c r="G20" s="2193"/>
      <c r="H20" s="2193"/>
      <c r="I20" s="2193"/>
      <c r="J20" s="2193"/>
      <c r="K20" s="2193"/>
      <c r="L20" s="2193"/>
      <c r="M20" s="2193"/>
      <c r="N20" s="2193"/>
      <c r="O20" s="2193"/>
      <c r="P20" s="2193"/>
      <c r="Q20" s="2193"/>
      <c r="R20" s="2193"/>
      <c r="S20" s="2193"/>
      <c r="U20" s="2154"/>
    </row>
    <row r="21" spans="1:21" s="2152" customFormat="1" ht="15.75" customHeight="1" thickBot="1">
      <c r="A21" s="2191" t="s">
        <v>10033</v>
      </c>
      <c r="B21" s="2191"/>
      <c r="C21" s="2191"/>
      <c r="D21" s="2191"/>
      <c r="E21" s="2192"/>
      <c r="F21" s="2193"/>
      <c r="G21" s="2193"/>
      <c r="H21" s="2193"/>
      <c r="I21" s="2193"/>
      <c r="J21" s="2193"/>
      <c r="K21" s="2193"/>
      <c r="L21" s="2193"/>
      <c r="M21" s="2193"/>
      <c r="N21" s="2193"/>
      <c r="O21" s="2193"/>
      <c r="P21" s="2193"/>
      <c r="Q21" s="2193"/>
      <c r="R21" s="2193"/>
      <c r="S21" s="2193"/>
      <c r="U21" s="2154"/>
    </row>
    <row r="22" spans="1:21" s="2152" customFormat="1" ht="15.75" customHeight="1" thickBot="1">
      <c r="B22" s="262" t="s">
        <v>4306</v>
      </c>
      <c r="C22" s="2181" t="s">
        <v>2617</v>
      </c>
      <c r="D22" s="2182" t="s">
        <v>10035</v>
      </c>
      <c r="E22" s="2164"/>
      <c r="F22" s="2183" t="s">
        <v>4240</v>
      </c>
      <c r="G22" s="2149" t="s">
        <v>4307</v>
      </c>
      <c r="H22" s="2149" t="s">
        <v>4308</v>
      </c>
      <c r="I22" s="2149" t="s">
        <v>4309</v>
      </c>
      <c r="J22" s="2149" t="s">
        <v>4311</v>
      </c>
      <c r="K22" s="2149" t="s">
        <v>4312</v>
      </c>
      <c r="L22" s="2149" t="s">
        <v>4265</v>
      </c>
      <c r="M22" s="2149" t="s">
        <v>4314</v>
      </c>
      <c r="N22" s="2149" t="s">
        <v>4315</v>
      </c>
      <c r="O22" s="2149" t="s">
        <v>4317</v>
      </c>
      <c r="P22" s="2155" t="s">
        <v>4318</v>
      </c>
      <c r="R22" s="2153"/>
    </row>
    <row r="23" spans="1:21" ht="15.75" customHeight="1">
      <c r="B23" s="265" t="s">
        <v>4335</v>
      </c>
      <c r="C23" s="2184">
        <f t="shared" ref="C23:C29" si="1">SUM(F23:Q23)</f>
        <v>50</v>
      </c>
      <c r="D23" s="2185">
        <f t="shared" ref="D23:D29" si="2">+C23/$C$44</f>
        <v>5.3134962805526036E-2</v>
      </c>
      <c r="E23" s="2184"/>
      <c r="F23" s="2186">
        <v>1</v>
      </c>
      <c r="G23" s="2186">
        <v>2</v>
      </c>
      <c r="H23" s="2186">
        <v>2</v>
      </c>
      <c r="I23" s="2186">
        <v>25</v>
      </c>
      <c r="J23" s="138"/>
      <c r="K23" s="2186">
        <v>1</v>
      </c>
      <c r="L23" s="138"/>
      <c r="M23" s="138"/>
      <c r="N23" s="138"/>
      <c r="O23" s="2186">
        <v>3</v>
      </c>
      <c r="P23" s="2187">
        <v>16</v>
      </c>
      <c r="R23" s="771"/>
    </row>
    <row r="24" spans="1:21" ht="15.75" customHeight="1">
      <c r="B24" s="266" t="s">
        <v>4324</v>
      </c>
      <c r="C24" s="2170">
        <f t="shared" si="1"/>
        <v>48</v>
      </c>
      <c r="D24" s="2171">
        <f t="shared" si="2"/>
        <v>5.1009564293304992E-2</v>
      </c>
      <c r="E24" s="2170"/>
      <c r="F24" s="2147">
        <v>4</v>
      </c>
      <c r="G24" s="2151"/>
      <c r="H24" s="2151"/>
      <c r="I24" s="2151"/>
      <c r="J24" s="2147">
        <v>5</v>
      </c>
      <c r="K24" s="2147">
        <v>6</v>
      </c>
      <c r="L24" s="2147">
        <v>17</v>
      </c>
      <c r="M24" s="2147">
        <v>6</v>
      </c>
      <c r="N24" s="2147">
        <v>9</v>
      </c>
      <c r="O24" s="2147">
        <v>1</v>
      </c>
      <c r="P24" s="482"/>
      <c r="R24" s="771"/>
    </row>
    <row r="25" spans="1:21" ht="15.75" customHeight="1">
      <c r="B25" s="266" t="s">
        <v>4334</v>
      </c>
      <c r="C25" s="2170">
        <f t="shared" si="1"/>
        <v>23</v>
      </c>
      <c r="D25" s="2171">
        <f t="shared" si="2"/>
        <v>2.4442082890541977E-2</v>
      </c>
      <c r="E25" s="2170"/>
      <c r="F25" s="2147">
        <v>2</v>
      </c>
      <c r="G25" s="2151"/>
      <c r="H25" s="2151"/>
      <c r="I25" s="2151"/>
      <c r="J25" s="2147">
        <v>1</v>
      </c>
      <c r="K25" s="2151">
        <v>0</v>
      </c>
      <c r="L25" s="2147">
        <v>6</v>
      </c>
      <c r="M25" s="2147">
        <v>1</v>
      </c>
      <c r="N25" s="2151"/>
      <c r="O25" s="2147">
        <v>11</v>
      </c>
      <c r="P25" s="2160">
        <v>2</v>
      </c>
      <c r="R25" s="771"/>
    </row>
    <row r="26" spans="1:21" ht="15.75" customHeight="1">
      <c r="B26" s="266" t="s">
        <v>65</v>
      </c>
      <c r="C26" s="2170">
        <f t="shared" si="1"/>
        <v>16</v>
      </c>
      <c r="D26" s="2171">
        <f t="shared" si="2"/>
        <v>1.7003188097768331E-2</v>
      </c>
      <c r="E26" s="2170"/>
      <c r="F26" s="2151"/>
      <c r="G26" s="2151"/>
      <c r="H26" s="2147">
        <v>5</v>
      </c>
      <c r="I26" s="2151"/>
      <c r="J26" s="2151"/>
      <c r="K26" s="2147">
        <v>4</v>
      </c>
      <c r="L26" s="2147">
        <v>2</v>
      </c>
      <c r="M26" s="2151"/>
      <c r="N26" s="2147">
        <v>3</v>
      </c>
      <c r="O26" s="2147">
        <v>2</v>
      </c>
      <c r="P26" s="482"/>
      <c r="R26" s="771"/>
    </row>
    <row r="27" spans="1:21" ht="15.75" customHeight="1">
      <c r="B27" s="266" t="s">
        <v>4331</v>
      </c>
      <c r="C27" s="2170">
        <f t="shared" si="1"/>
        <v>12</v>
      </c>
      <c r="D27" s="2171">
        <f t="shared" si="2"/>
        <v>1.2752391073326248E-2</v>
      </c>
      <c r="E27" s="2170"/>
      <c r="F27" s="2151"/>
      <c r="G27" s="2151"/>
      <c r="H27" s="2151"/>
      <c r="I27" s="2151"/>
      <c r="J27" s="2151"/>
      <c r="K27" s="2151"/>
      <c r="L27" s="2147">
        <v>1</v>
      </c>
      <c r="M27" s="2151"/>
      <c r="N27" s="2151"/>
      <c r="O27" s="2147">
        <v>11</v>
      </c>
      <c r="P27" s="482"/>
      <c r="R27" s="771"/>
    </row>
    <row r="28" spans="1:21" ht="15.75" customHeight="1">
      <c r="B28" s="266" t="s">
        <v>2859</v>
      </c>
      <c r="C28" s="2170">
        <f t="shared" si="1"/>
        <v>7</v>
      </c>
      <c r="D28" s="2171">
        <f t="shared" si="2"/>
        <v>7.4388947927736451E-3</v>
      </c>
      <c r="E28" s="2170"/>
      <c r="F28" s="2147">
        <v>2</v>
      </c>
      <c r="G28" s="2151"/>
      <c r="H28" s="2151"/>
      <c r="I28" s="2151"/>
      <c r="J28" s="2147">
        <v>1</v>
      </c>
      <c r="K28" s="2151"/>
      <c r="L28" s="2147">
        <v>2</v>
      </c>
      <c r="M28" s="2147">
        <v>2</v>
      </c>
      <c r="N28" s="2151"/>
      <c r="O28" s="2151"/>
      <c r="P28" s="482"/>
      <c r="R28" s="771"/>
    </row>
    <row r="29" spans="1:21" ht="15.75" customHeight="1" thickBot="1">
      <c r="B29" s="2156" t="s">
        <v>4337</v>
      </c>
      <c r="C29" s="2188">
        <f t="shared" si="1"/>
        <v>6</v>
      </c>
      <c r="D29" s="2189">
        <f t="shared" si="2"/>
        <v>6.376195536663124E-3</v>
      </c>
      <c r="E29" s="2188"/>
      <c r="F29" s="156"/>
      <c r="G29" s="156"/>
      <c r="H29" s="2157">
        <v>3</v>
      </c>
      <c r="I29" s="156"/>
      <c r="J29" s="156"/>
      <c r="K29" s="156"/>
      <c r="L29" s="2157">
        <v>2</v>
      </c>
      <c r="M29" s="156"/>
      <c r="N29" s="156"/>
      <c r="O29" s="2157">
        <v>1</v>
      </c>
      <c r="P29" s="2159"/>
      <c r="R29" s="771"/>
    </row>
    <row r="30" spans="1:21" s="2152" customFormat="1" ht="15.75" customHeight="1">
      <c r="B30" s="2192"/>
      <c r="C30" s="2192"/>
      <c r="D30" s="2169"/>
      <c r="E30" s="2192"/>
      <c r="F30" s="2193"/>
      <c r="G30" s="2193"/>
      <c r="H30" s="2193"/>
      <c r="I30" s="2193"/>
      <c r="J30" s="2193"/>
      <c r="K30" s="2193"/>
      <c r="L30" s="2193"/>
      <c r="M30" s="2193"/>
      <c r="N30" s="2193"/>
      <c r="O30" s="2193"/>
      <c r="P30" s="2193"/>
      <c r="Q30" s="2193"/>
      <c r="R30" s="2193"/>
      <c r="S30" s="2193"/>
      <c r="U30" s="2154"/>
    </row>
    <row r="31" spans="1:21" s="2152" customFormat="1" ht="15.75" customHeight="1" thickBot="1">
      <c r="A31" s="2191" t="s">
        <v>10036</v>
      </c>
      <c r="B31" s="2191"/>
      <c r="C31" s="2191"/>
      <c r="D31" s="2191"/>
      <c r="E31" s="2192"/>
      <c r="F31" s="2193"/>
      <c r="G31" s="2193"/>
      <c r="H31" s="2193"/>
      <c r="I31" s="2193"/>
      <c r="J31" s="2193"/>
      <c r="K31" s="2193"/>
      <c r="L31" s="2193"/>
      <c r="M31" s="2193"/>
      <c r="N31" s="2193"/>
      <c r="O31" s="2193"/>
      <c r="P31" s="2193"/>
      <c r="Q31" s="2193"/>
      <c r="R31" s="2193"/>
      <c r="S31" s="2193"/>
      <c r="U31" s="2154"/>
    </row>
    <row r="32" spans="1:21" s="2152" customFormat="1" ht="15.75" customHeight="1" thickBot="1">
      <c r="B32" s="262" t="s">
        <v>4306</v>
      </c>
      <c r="C32" s="2177" t="s">
        <v>2617</v>
      </c>
      <c r="D32" s="2178" t="s">
        <v>10035</v>
      </c>
      <c r="E32" s="2164"/>
      <c r="F32" s="263" t="s">
        <v>4240</v>
      </c>
      <c r="G32" s="2149" t="s">
        <v>4307</v>
      </c>
      <c r="H32" s="2149" t="s">
        <v>4308</v>
      </c>
      <c r="I32" s="2149" t="s">
        <v>4311</v>
      </c>
      <c r="J32" s="2149" t="s">
        <v>4265</v>
      </c>
      <c r="K32" s="2149" t="s">
        <v>4313</v>
      </c>
      <c r="L32" s="2149" t="s">
        <v>4314</v>
      </c>
      <c r="M32" s="2149" t="s">
        <v>4317</v>
      </c>
      <c r="N32" s="2155" t="s">
        <v>4318</v>
      </c>
      <c r="P32" s="2153"/>
    </row>
    <row r="33" spans="2:19" ht="15.75" customHeight="1" thickBot="1">
      <c r="B33" s="2161" t="s">
        <v>4336</v>
      </c>
      <c r="C33" s="2165">
        <f t="shared" ref="C33:C42" si="3">SUM(F33:Q33)</f>
        <v>2</v>
      </c>
      <c r="D33" s="2168">
        <f>+C33/$C$44</f>
        <v>2.1253985122210413E-3</v>
      </c>
      <c r="E33" s="2167"/>
      <c r="F33" s="2148"/>
      <c r="G33" s="2148"/>
      <c r="H33" s="2148"/>
      <c r="I33" s="2148"/>
      <c r="J33" s="2778"/>
      <c r="K33" s="2148"/>
      <c r="L33" s="2148"/>
      <c r="M33" s="2162">
        <v>2</v>
      </c>
      <c r="N33" s="2163"/>
      <c r="S33" s="771"/>
    </row>
    <row r="34" spans="2:19" ht="15.75" customHeight="1" thickBot="1">
      <c r="B34" s="266" t="s">
        <v>4323</v>
      </c>
      <c r="C34" s="2165">
        <f t="shared" si="3"/>
        <v>4</v>
      </c>
      <c r="D34" s="2168">
        <f t="shared" ref="D34:D42" si="4">+C34/$C$44</f>
        <v>4.2507970244420826E-3</v>
      </c>
      <c r="E34" s="2166"/>
      <c r="F34" s="2147">
        <v>1</v>
      </c>
      <c r="G34" s="2151"/>
      <c r="H34" s="2151"/>
      <c r="I34" s="2151"/>
      <c r="J34" s="2147">
        <v>1</v>
      </c>
      <c r="K34" s="2151"/>
      <c r="L34" s="2151"/>
      <c r="M34" s="2147">
        <v>1</v>
      </c>
      <c r="N34" s="2160">
        <v>1</v>
      </c>
      <c r="S34" s="771"/>
    </row>
    <row r="35" spans="2:19" ht="15.75" customHeight="1" thickBot="1">
      <c r="B35" s="266" t="s">
        <v>4332</v>
      </c>
      <c r="C35" s="2165">
        <f t="shared" si="3"/>
        <v>1</v>
      </c>
      <c r="D35" s="2168">
        <f t="shared" si="4"/>
        <v>1.0626992561105207E-3</v>
      </c>
      <c r="E35" s="2166"/>
      <c r="F35" s="2151"/>
      <c r="G35" s="2151"/>
      <c r="H35" s="2147">
        <v>1</v>
      </c>
      <c r="I35" s="2151"/>
      <c r="J35" s="2151"/>
      <c r="K35" s="2151"/>
      <c r="L35" s="2151"/>
      <c r="M35" s="2151"/>
      <c r="N35" s="482"/>
      <c r="S35" s="771"/>
    </row>
    <row r="36" spans="2:19" ht="15.75" customHeight="1" thickBot="1">
      <c r="B36" s="266" t="s">
        <v>208</v>
      </c>
      <c r="C36" s="2165">
        <f t="shared" si="3"/>
        <v>3</v>
      </c>
      <c r="D36" s="2168">
        <f t="shared" si="4"/>
        <v>3.188097768331562E-3</v>
      </c>
      <c r="E36" s="2166"/>
      <c r="F36" s="2151"/>
      <c r="G36" s="2151"/>
      <c r="H36" s="2151"/>
      <c r="I36" s="2147">
        <v>1</v>
      </c>
      <c r="J36" s="2151"/>
      <c r="K36" s="2151"/>
      <c r="L36" s="2147">
        <v>2</v>
      </c>
      <c r="M36" s="2151"/>
      <c r="N36" s="482"/>
      <c r="S36" s="771"/>
    </row>
    <row r="37" spans="2:19" ht="15.75" customHeight="1" thickBot="1">
      <c r="B37" s="266" t="s">
        <v>4321</v>
      </c>
      <c r="C37" s="2165">
        <f t="shared" si="3"/>
        <v>1</v>
      </c>
      <c r="D37" s="2168">
        <f t="shared" si="4"/>
        <v>1.0626992561105207E-3</v>
      </c>
      <c r="E37" s="2166"/>
      <c r="F37" s="2147">
        <v>1</v>
      </c>
      <c r="G37" s="2151"/>
      <c r="H37" s="2151"/>
      <c r="I37" s="2151"/>
      <c r="J37" s="2151"/>
      <c r="K37" s="2151"/>
      <c r="L37" s="2151"/>
      <c r="M37" s="2151"/>
      <c r="N37" s="482"/>
      <c r="S37" s="771"/>
    </row>
    <row r="38" spans="2:19" ht="15.75" customHeight="1" thickBot="1">
      <c r="B38" s="266" t="s">
        <v>4328</v>
      </c>
      <c r="C38" s="2165">
        <f t="shared" si="3"/>
        <v>1</v>
      </c>
      <c r="D38" s="2168">
        <f t="shared" si="4"/>
        <v>1.0626992561105207E-3</v>
      </c>
      <c r="E38" s="2166"/>
      <c r="F38" s="2151"/>
      <c r="G38" s="2151"/>
      <c r="H38" s="2151"/>
      <c r="I38" s="2151"/>
      <c r="J38" s="2147">
        <v>1</v>
      </c>
      <c r="K38" s="2151"/>
      <c r="L38" s="2151"/>
      <c r="M38" s="2151"/>
      <c r="N38" s="482"/>
      <c r="S38" s="771"/>
    </row>
    <row r="39" spans="2:19" ht="15.75" customHeight="1" thickBot="1">
      <c r="B39" s="266" t="s">
        <v>4330</v>
      </c>
      <c r="C39" s="2165">
        <f t="shared" si="3"/>
        <v>2</v>
      </c>
      <c r="D39" s="2168">
        <f t="shared" si="4"/>
        <v>2.1253985122210413E-3</v>
      </c>
      <c r="E39" s="2166"/>
      <c r="F39" s="2151"/>
      <c r="G39" s="2147">
        <v>1</v>
      </c>
      <c r="H39" s="2147">
        <v>1</v>
      </c>
      <c r="I39" s="2151"/>
      <c r="J39" s="2151"/>
      <c r="K39" s="2151"/>
      <c r="L39" s="2151"/>
      <c r="M39" s="2151"/>
      <c r="N39" s="482"/>
      <c r="S39" s="771"/>
    </row>
    <row r="40" spans="2:19" ht="15.75" customHeight="1" thickBot="1">
      <c r="B40" s="266" t="s">
        <v>4333</v>
      </c>
      <c r="C40" s="2165">
        <f t="shared" si="3"/>
        <v>2</v>
      </c>
      <c r="D40" s="2168">
        <f t="shared" si="4"/>
        <v>2.1253985122210413E-3</v>
      </c>
      <c r="E40" s="2166"/>
      <c r="F40" s="2151"/>
      <c r="G40" s="2151"/>
      <c r="H40" s="2151"/>
      <c r="I40" s="2151"/>
      <c r="J40" s="2151"/>
      <c r="K40" s="2151"/>
      <c r="L40" s="2151"/>
      <c r="M40" s="2147">
        <v>2</v>
      </c>
      <c r="N40" s="482"/>
      <c r="S40" s="771"/>
    </row>
    <row r="41" spans="2:19" ht="15.75" customHeight="1" thickBot="1">
      <c r="B41" s="266" t="s">
        <v>4338</v>
      </c>
      <c r="C41" s="2165">
        <f t="shared" si="3"/>
        <v>0</v>
      </c>
      <c r="D41" s="2168">
        <f t="shared" si="4"/>
        <v>0</v>
      </c>
      <c r="E41" s="2166"/>
      <c r="F41" s="2151"/>
      <c r="G41" s="2151"/>
      <c r="H41" s="2151"/>
      <c r="I41" s="2151"/>
      <c r="J41" s="2151"/>
      <c r="K41" s="2151"/>
      <c r="L41" s="2151"/>
      <c r="M41" s="2151"/>
      <c r="N41" s="482"/>
      <c r="S41" s="771"/>
    </row>
    <row r="42" spans="2:19" ht="15.75" customHeight="1" thickBot="1">
      <c r="B42" s="2156" t="s">
        <v>4322</v>
      </c>
      <c r="C42" s="2165">
        <f t="shared" si="3"/>
        <v>0</v>
      </c>
      <c r="D42" s="2168">
        <f t="shared" si="4"/>
        <v>0</v>
      </c>
      <c r="E42" s="2165"/>
      <c r="F42" s="156"/>
      <c r="G42" s="156"/>
      <c r="H42" s="156"/>
      <c r="I42" s="156"/>
      <c r="J42" s="156"/>
      <c r="K42" s="156"/>
      <c r="L42" s="156"/>
      <c r="M42" s="156"/>
      <c r="N42" s="2159"/>
      <c r="S42" s="771"/>
    </row>
    <row r="44" spans="2:19" ht="15.75" customHeight="1">
      <c r="C44" s="2192">
        <f>SUM(C8:C42)</f>
        <v>941</v>
      </c>
    </row>
    <row r="46" spans="2:19" ht="15.75" customHeight="1">
      <c r="B46" s="2958">
        <v>44039</v>
      </c>
    </row>
    <row r="47" spans="2:19" ht="15.75" customHeight="1">
      <c r="B47" t="s">
        <v>10138</v>
      </c>
    </row>
    <row r="48" spans="2:19" ht="15.75" customHeight="1">
      <c r="B48" t="s">
        <v>10139</v>
      </c>
    </row>
    <row r="49" spans="2:13" ht="15.75" customHeight="1">
      <c r="B49" t="s">
        <v>10140</v>
      </c>
    </row>
    <row r="50" spans="2:13" ht="15.75" customHeight="1">
      <c r="B50" t="s">
        <v>10142</v>
      </c>
    </row>
    <row r="53" spans="2:13" ht="15.75" customHeight="1">
      <c r="B53" s="2959">
        <v>44040</v>
      </c>
    </row>
    <row r="54" spans="2:13" ht="15.75" customHeight="1">
      <c r="B54" t="s">
        <v>10144</v>
      </c>
    </row>
    <row r="55" spans="2:13" ht="15.75" customHeight="1">
      <c r="B55" t="s">
        <v>10146</v>
      </c>
      <c r="J55" t="s">
        <v>10154</v>
      </c>
    </row>
    <row r="56" spans="2:13" ht="15.75" customHeight="1">
      <c r="B56" t="s">
        <v>10147</v>
      </c>
      <c r="J56" t="s">
        <v>10156</v>
      </c>
    </row>
    <row r="57" spans="2:13" ht="15.75" customHeight="1">
      <c r="J57" t="s">
        <v>10155</v>
      </c>
      <c r="M57" t="s">
        <v>10157</v>
      </c>
    </row>
    <row r="59" spans="2:13" ht="15.75" customHeight="1">
      <c r="B59" s="2958">
        <v>44041</v>
      </c>
    </row>
    <row r="60" spans="2:13" ht="15.75" customHeight="1">
      <c r="B60" t="s">
        <v>10148</v>
      </c>
    </row>
    <row r="61" spans="2:13" ht="15.75" customHeight="1">
      <c r="B61" t="s">
        <v>10149</v>
      </c>
    </row>
    <row r="62" spans="2:13" ht="15.75" customHeight="1">
      <c r="B62" t="s">
        <v>10150</v>
      </c>
    </row>
    <row r="65" spans="2:3" ht="15.75" customHeight="1">
      <c r="B65" s="2958">
        <v>44042</v>
      </c>
    </row>
    <row r="66" spans="2:3" ht="15.75" customHeight="1">
      <c r="B66" t="s">
        <v>10141</v>
      </c>
      <c r="C66" t="s">
        <v>10151</v>
      </c>
    </row>
    <row r="67" spans="2:3" ht="15.75" customHeight="1">
      <c r="B67" t="s">
        <v>10143</v>
      </c>
      <c r="C67" t="s">
        <v>10152</v>
      </c>
    </row>
    <row r="68" spans="2:3" ht="15.75" customHeight="1">
      <c r="B68" t="s">
        <v>10145</v>
      </c>
      <c r="C68" t="s">
        <v>10153</v>
      </c>
    </row>
    <row r="83" spans="2:2" ht="15.75" customHeight="1">
      <c r="B83" t="s">
        <v>10158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9">
    <tabColor theme="2" tint="-0.89999084444715716"/>
  </sheetPr>
  <dimension ref="A1:PP119"/>
  <sheetViews>
    <sheetView showGridLines="0" topLeftCell="A87" zoomScale="80" zoomScaleNormal="80" workbookViewId="0">
      <selection activeCell="F85" sqref="F85:F109"/>
    </sheetView>
  </sheetViews>
  <sheetFormatPr baseColWidth="10" defaultColWidth="11.42578125" defaultRowHeight="15" customHeight="1"/>
  <cols>
    <col min="1" max="1" width="17" style="4" customWidth="1"/>
    <col min="2" max="2" width="20" style="4" customWidth="1"/>
    <col min="3" max="4" width="29.5703125" style="5" customWidth="1"/>
    <col min="5" max="5" width="56.7109375" style="5" customWidth="1"/>
    <col min="6" max="6" width="16.5703125" style="6" customWidth="1"/>
    <col min="7" max="7" width="9.7109375" style="6" customWidth="1"/>
    <col min="8" max="10" width="9.7109375" style="4" customWidth="1"/>
    <col min="11" max="11" width="8.42578125" style="4" customWidth="1"/>
    <col min="12" max="12" width="17.140625" style="4" customWidth="1"/>
    <col min="13" max="13" width="17.28515625" style="4" customWidth="1"/>
    <col min="14" max="14" width="17.7109375" style="4" customWidth="1"/>
    <col min="15" max="15" width="15.7109375" style="4" customWidth="1"/>
    <col min="16" max="16" width="15.28515625" style="4" customWidth="1"/>
    <col min="17" max="17" width="15" style="4" customWidth="1"/>
    <col min="18" max="18" width="16.5703125" style="4" customWidth="1"/>
    <col min="19" max="19" width="14.28515625" style="4" customWidth="1"/>
    <col min="20" max="20" width="17.7109375" style="4" customWidth="1"/>
    <col min="21" max="21" width="21.85546875" style="7" customWidth="1"/>
    <col min="22" max="22" width="20.85546875" style="8" customWidth="1"/>
    <col min="23" max="23" width="30" style="8" customWidth="1"/>
    <col min="24" max="24" width="23.28515625" style="8" customWidth="1"/>
    <col min="25" max="25" width="26" style="8" customWidth="1"/>
    <col min="26" max="26" width="19.28515625" style="8" customWidth="1"/>
    <col min="27" max="27" width="15.28515625" style="8" customWidth="1"/>
    <col min="28" max="28" width="14.5703125" style="8" customWidth="1"/>
    <col min="29" max="29" width="7.7109375" style="8" customWidth="1"/>
    <col min="30" max="30" width="22.28515625" style="8" customWidth="1"/>
    <col min="31" max="45" width="6.140625" style="8" customWidth="1"/>
    <col min="46" max="46" width="5.7109375" style="8" customWidth="1"/>
    <col min="47" max="47" width="6.140625" style="8" customWidth="1"/>
    <col min="48" max="48" width="5.5703125" style="8" customWidth="1"/>
    <col min="49" max="51" width="4.28515625" style="8" customWidth="1"/>
    <col min="52" max="55" width="6.140625" style="8" customWidth="1"/>
    <col min="56" max="56" width="25.7109375" style="8" customWidth="1"/>
    <col min="57" max="57" width="29.5703125" style="8" customWidth="1"/>
    <col min="58" max="58" width="22.140625" style="8" customWidth="1"/>
    <col min="59" max="59" width="23.7109375" style="8" customWidth="1"/>
    <col min="60" max="60" width="20.28515625" style="8" customWidth="1"/>
    <col min="61" max="61" width="20.7109375" style="8" customWidth="1"/>
    <col min="62" max="62" width="14.28515625" style="8" customWidth="1"/>
    <col min="63" max="64" width="11.42578125" style="8" customWidth="1"/>
    <col min="65" max="65" width="22.7109375" style="8" customWidth="1"/>
    <col min="66" max="68" width="11.5703125" style="8" customWidth="1"/>
    <col min="69" max="69" width="17.42578125" style="8" customWidth="1"/>
    <col min="70" max="70" width="11.5703125" style="8" customWidth="1"/>
    <col min="71" max="71" width="18" style="8" customWidth="1"/>
    <col min="72" max="72" width="12.42578125" style="8" customWidth="1"/>
    <col min="73" max="73" width="18.85546875" style="8" customWidth="1"/>
    <col min="74" max="74" width="17.42578125" style="497" customWidth="1"/>
    <col min="75" max="75" width="12.85546875" style="497" customWidth="1"/>
    <col min="76" max="76" width="13.28515625" style="497" customWidth="1"/>
    <col min="77" max="77" width="14.7109375" style="497" customWidth="1"/>
    <col min="78" max="92" width="11.5703125" style="497" customWidth="1"/>
    <col min="93" max="103" width="11.5703125" style="498" customWidth="1"/>
    <col min="104" max="108" width="11.42578125" style="498" customWidth="1"/>
    <col min="109" max="109" width="14.42578125" style="498" customWidth="1"/>
    <col min="110" max="110" width="21.28515625" style="498" customWidth="1"/>
    <col min="111" max="111" width="17" style="498" customWidth="1"/>
    <col min="112" max="113" width="11.42578125" style="498" customWidth="1"/>
    <col min="114" max="114" width="1.42578125" style="8" customWidth="1"/>
    <col min="115" max="16384" width="11.42578125" style="8"/>
  </cols>
  <sheetData>
    <row r="1" spans="1:160" ht="15" customHeight="1" thickBot="1">
      <c r="B1" s="16466" t="s">
        <v>2281</v>
      </c>
      <c r="C1" s="16467"/>
      <c r="D1" s="16467"/>
      <c r="E1" s="16467"/>
      <c r="F1" s="16467"/>
      <c r="G1" s="16467"/>
      <c r="H1" s="16467"/>
      <c r="I1" s="16467"/>
      <c r="J1" s="16467"/>
      <c r="K1" s="16467"/>
      <c r="L1" s="16467"/>
      <c r="M1" s="16467"/>
      <c r="N1" s="16467"/>
      <c r="O1" s="16467"/>
      <c r="P1" s="16467"/>
      <c r="Q1" s="16467"/>
      <c r="R1" s="16467"/>
      <c r="S1" s="16467"/>
      <c r="T1" s="16467"/>
      <c r="U1" s="16468"/>
      <c r="V1" s="16464" t="s">
        <v>0</v>
      </c>
      <c r="W1" s="16464"/>
      <c r="X1" s="16464"/>
      <c r="Y1" s="16464"/>
      <c r="Z1" s="16464"/>
      <c r="AA1" s="16464"/>
      <c r="AB1" s="16464"/>
      <c r="AC1" s="16464"/>
      <c r="AD1" s="16464"/>
      <c r="AE1" s="16464"/>
      <c r="AF1" s="16464"/>
      <c r="AG1" s="16464"/>
      <c r="AH1" s="16464"/>
      <c r="AI1" s="16464"/>
      <c r="AJ1" s="16464"/>
      <c r="AK1" s="16464"/>
      <c r="AL1" s="16464"/>
      <c r="AM1" s="16464"/>
      <c r="AN1" s="16464"/>
      <c r="AO1" s="16464"/>
      <c r="AP1" s="16464"/>
      <c r="AQ1" s="16464"/>
      <c r="AR1" s="16464"/>
      <c r="AS1" s="16464"/>
      <c r="AT1" s="16464"/>
      <c r="AU1" s="16464"/>
      <c r="AV1" s="16464"/>
      <c r="AW1" s="16464"/>
      <c r="AX1" s="16464"/>
      <c r="AY1" s="16464"/>
      <c r="AZ1" s="16464"/>
      <c r="BA1" s="16464"/>
      <c r="BB1" s="16464"/>
      <c r="BC1" s="16464"/>
      <c r="BD1" s="16464"/>
      <c r="BE1" s="16464"/>
      <c r="BF1" s="16464"/>
      <c r="BG1" s="16464"/>
      <c r="BH1" s="16464"/>
      <c r="BI1" s="16464"/>
      <c r="BJ1" s="16464"/>
      <c r="BK1" s="16464"/>
      <c r="BL1" s="16464"/>
      <c r="BM1" s="16464"/>
      <c r="BN1" s="16464" t="s">
        <v>8493</v>
      </c>
      <c r="BO1" s="16464"/>
      <c r="BP1" s="16464"/>
      <c r="BQ1" s="16464"/>
      <c r="BR1" s="16464"/>
      <c r="BS1" s="16464"/>
      <c r="BT1" s="16464"/>
      <c r="BU1" s="16464"/>
      <c r="BV1" s="16464"/>
      <c r="BW1" s="16464"/>
      <c r="BX1" s="16464"/>
      <c r="BY1" s="16464"/>
      <c r="BZ1" s="16464"/>
      <c r="CA1" s="16464"/>
      <c r="CB1" s="16464"/>
      <c r="CC1" s="16464"/>
      <c r="CD1" s="16464"/>
      <c r="CE1" s="16464"/>
      <c r="CF1" s="16464"/>
      <c r="CG1" s="16464"/>
      <c r="CH1" s="16464"/>
      <c r="CI1" s="16464"/>
      <c r="CJ1" s="16464"/>
      <c r="CK1" s="16464"/>
      <c r="CL1" s="16464"/>
      <c r="CM1" s="16464"/>
      <c r="CN1" s="16464"/>
      <c r="CO1" s="16464"/>
      <c r="CP1" s="16464"/>
      <c r="CQ1" s="16464"/>
      <c r="CR1" s="16464"/>
      <c r="CS1" s="16464"/>
      <c r="CT1" s="16464"/>
      <c r="CU1" s="16464"/>
      <c r="CV1" s="16464"/>
      <c r="CW1" s="16464"/>
      <c r="CX1" s="16464"/>
      <c r="CY1" s="16464"/>
      <c r="CZ1" s="16464"/>
      <c r="DA1" s="16464"/>
      <c r="DB1" s="16464"/>
      <c r="DC1" s="16464"/>
      <c r="DD1" s="16464"/>
      <c r="DE1" s="16464"/>
      <c r="DF1" s="16464"/>
      <c r="DG1" s="16464"/>
      <c r="DH1" s="16464"/>
      <c r="DI1" s="16464"/>
    </row>
    <row r="2" spans="1:160" ht="15" customHeight="1" thickBot="1">
      <c r="B2" s="16469" t="s">
        <v>2282</v>
      </c>
      <c r="C2" s="16470"/>
      <c r="D2" s="16471"/>
      <c r="E2" s="16471"/>
      <c r="F2" s="16470"/>
      <c r="G2" s="16470"/>
      <c r="H2" s="16470"/>
      <c r="I2" s="16470"/>
      <c r="J2" s="16470"/>
      <c r="K2" s="16470"/>
      <c r="L2" s="16472"/>
      <c r="M2" s="16470"/>
      <c r="N2" s="16470"/>
      <c r="O2" s="16470"/>
      <c r="P2" s="16470"/>
      <c r="Q2" s="16470"/>
      <c r="R2" s="16470"/>
      <c r="S2" s="16470"/>
      <c r="T2" s="16470"/>
      <c r="U2" s="16473"/>
      <c r="V2" s="16465"/>
      <c r="W2" s="16465"/>
      <c r="X2" s="16465"/>
      <c r="Y2" s="16465"/>
      <c r="Z2" s="16465"/>
      <c r="AA2" s="16465"/>
      <c r="AB2" s="16465"/>
      <c r="AC2" s="16465"/>
      <c r="AD2" s="16465"/>
      <c r="AE2" s="16465"/>
      <c r="AF2" s="16465"/>
      <c r="AG2" s="16465"/>
      <c r="AH2" s="16465"/>
      <c r="AI2" s="16465"/>
      <c r="AJ2" s="16465"/>
      <c r="AK2" s="16465"/>
      <c r="AL2" s="16465"/>
      <c r="AM2" s="16465"/>
      <c r="AN2" s="16465"/>
      <c r="AO2" s="16465"/>
      <c r="AP2" s="16465"/>
      <c r="AQ2" s="16465"/>
      <c r="AR2" s="16465"/>
      <c r="AS2" s="16465"/>
      <c r="AT2" s="16465"/>
      <c r="AU2" s="16465"/>
      <c r="AV2" s="16465"/>
      <c r="AW2" s="16465"/>
      <c r="AX2" s="16465"/>
      <c r="AY2" s="16465"/>
      <c r="AZ2" s="16465"/>
      <c r="BA2" s="16465"/>
      <c r="BB2" s="16465"/>
      <c r="BC2" s="16465"/>
      <c r="BD2" s="16465"/>
      <c r="BE2" s="16465"/>
      <c r="BF2" s="16465"/>
      <c r="BG2" s="16465"/>
      <c r="BH2" s="16465"/>
      <c r="BI2" s="16465"/>
      <c r="BJ2" s="16465"/>
      <c r="BK2" s="16465"/>
      <c r="BL2" s="16465"/>
      <c r="BM2" s="16465"/>
      <c r="BN2" s="16465"/>
      <c r="BO2" s="16465"/>
      <c r="BP2" s="16465"/>
      <c r="BQ2" s="16465"/>
      <c r="BR2" s="16465"/>
      <c r="BS2" s="16465"/>
      <c r="BT2" s="16465"/>
      <c r="BU2" s="16465"/>
      <c r="BV2" s="16465"/>
      <c r="BW2" s="16465"/>
      <c r="BX2" s="16465"/>
      <c r="BY2" s="16465"/>
      <c r="BZ2" s="16465"/>
      <c r="CA2" s="16465"/>
      <c r="CB2" s="16465"/>
      <c r="CC2" s="16465"/>
      <c r="CD2" s="16465"/>
      <c r="CE2" s="16465"/>
      <c r="CF2" s="16465"/>
      <c r="CG2" s="16465"/>
      <c r="CH2" s="16465"/>
      <c r="CI2" s="16465"/>
      <c r="CJ2" s="16465"/>
      <c r="CK2" s="16465"/>
      <c r="CL2" s="16465"/>
      <c r="CM2" s="16465"/>
      <c r="CN2" s="16465"/>
      <c r="CO2" s="16465"/>
      <c r="CP2" s="16465"/>
      <c r="CQ2" s="16465"/>
      <c r="CR2" s="16465"/>
      <c r="CS2" s="16465"/>
      <c r="CT2" s="16465"/>
      <c r="CU2" s="16465"/>
      <c r="CV2" s="16465"/>
      <c r="CW2" s="16465"/>
      <c r="CX2" s="16465"/>
      <c r="CY2" s="16465"/>
      <c r="CZ2" s="16465"/>
      <c r="DA2" s="16465"/>
      <c r="DB2" s="16465"/>
      <c r="DC2" s="16465"/>
      <c r="DD2" s="16465"/>
      <c r="DE2" s="16465"/>
      <c r="DF2" s="16465"/>
      <c r="DG2" s="16465"/>
      <c r="DH2" s="16465"/>
      <c r="DI2" s="16465"/>
      <c r="DK2" s="13291" t="s">
        <v>8497</v>
      </c>
      <c r="DL2" s="13291"/>
      <c r="DM2" s="13291"/>
      <c r="DN2" s="13291"/>
      <c r="DO2" s="13291"/>
      <c r="DP2" s="13291"/>
      <c r="DQ2" s="13618"/>
      <c r="DR2" s="13618"/>
      <c r="DS2" s="13618"/>
      <c r="DT2" s="13618"/>
      <c r="DU2" s="13291"/>
      <c r="DV2" s="13291"/>
      <c r="DW2" s="13291"/>
      <c r="DX2" s="13291"/>
      <c r="DY2" s="13291"/>
      <c r="DZ2" s="13291"/>
      <c r="EA2" s="13291"/>
      <c r="EB2" s="13291"/>
      <c r="EC2" s="13291"/>
      <c r="ED2" s="13291"/>
      <c r="EE2" s="13291"/>
      <c r="EF2" s="13291"/>
      <c r="EG2" s="13291"/>
      <c r="EH2" s="13291"/>
      <c r="EI2" s="13291"/>
      <c r="EJ2" s="13291"/>
      <c r="EK2" s="13291"/>
      <c r="EL2" s="13291"/>
      <c r="EM2" s="13291"/>
      <c r="EN2" s="13291"/>
      <c r="EO2" s="13291"/>
      <c r="EP2" s="13291"/>
      <c r="EQ2" s="13291"/>
      <c r="ER2" s="13291"/>
      <c r="ES2" s="13291"/>
      <c r="ET2" s="13291"/>
      <c r="EU2" s="13291"/>
      <c r="EV2" s="13291"/>
      <c r="EW2" s="13291"/>
      <c r="EX2" s="13291"/>
      <c r="EY2" s="13291"/>
      <c r="EZ2" s="13291"/>
      <c r="FA2" s="13291"/>
      <c r="FB2" s="13291"/>
      <c r="FC2" s="13291"/>
      <c r="FD2" s="13292"/>
    </row>
    <row r="3" spans="1:160" ht="15" customHeight="1" thickBot="1">
      <c r="B3" s="16474" t="s">
        <v>54</v>
      </c>
      <c r="C3" s="16474" t="s">
        <v>55</v>
      </c>
      <c r="D3" s="16476" t="s">
        <v>4635</v>
      </c>
      <c r="E3" s="16492" t="s">
        <v>56</v>
      </c>
      <c r="F3" s="16474" t="s">
        <v>57</v>
      </c>
      <c r="G3" s="134"/>
      <c r="H3" s="134"/>
      <c r="I3" s="134"/>
      <c r="J3" s="16475" t="s">
        <v>61</v>
      </c>
      <c r="K3" s="16478" t="s">
        <v>62</v>
      </c>
      <c r="L3" s="16449" t="s">
        <v>10056</v>
      </c>
      <c r="M3" s="16449" t="s">
        <v>63</v>
      </c>
      <c r="N3" s="16449" t="s">
        <v>64</v>
      </c>
      <c r="O3" s="130"/>
      <c r="P3" s="130"/>
      <c r="Q3" s="130"/>
      <c r="R3" s="130"/>
      <c r="S3" s="130"/>
      <c r="T3" s="130"/>
      <c r="U3" s="16481" t="s">
        <v>2280</v>
      </c>
      <c r="V3" s="15613" t="s">
        <v>1</v>
      </c>
      <c r="W3" s="13295" t="s">
        <v>2</v>
      </c>
      <c r="X3" s="13295" t="s">
        <v>3</v>
      </c>
      <c r="Y3" s="13297" t="s">
        <v>4</v>
      </c>
      <c r="Z3" s="13299" t="s">
        <v>355</v>
      </c>
      <c r="AA3" s="13300"/>
      <c r="AB3" s="13300"/>
      <c r="AC3" s="13301"/>
      <c r="AD3" s="13299" t="s">
        <v>356</v>
      </c>
      <c r="AE3" s="13300"/>
      <c r="AF3" s="13300"/>
      <c r="AG3" s="13300"/>
      <c r="AH3" s="13300"/>
      <c r="AI3" s="13300"/>
      <c r="AJ3" s="13300"/>
      <c r="AK3" s="13300"/>
      <c r="AL3" s="13300"/>
      <c r="AM3" s="13300"/>
      <c r="AN3" s="13300"/>
      <c r="AO3" s="13300"/>
      <c r="AP3" s="13300"/>
      <c r="AQ3" s="13300"/>
      <c r="AR3" s="13300"/>
      <c r="AS3" s="13300"/>
      <c r="AT3" s="13300"/>
      <c r="AU3" s="13300"/>
      <c r="AV3" s="13300"/>
      <c r="AW3" s="13300"/>
      <c r="AX3" s="13300"/>
      <c r="AY3" s="13300"/>
      <c r="AZ3" s="13300"/>
      <c r="BA3" s="13300"/>
      <c r="BB3" s="13300"/>
      <c r="BC3" s="13301"/>
      <c r="BD3" s="13302" t="s">
        <v>357</v>
      </c>
      <c r="BE3" s="13303"/>
      <c r="BF3" s="13303"/>
      <c r="BG3" s="13303"/>
      <c r="BH3" s="13304"/>
      <c r="BI3" s="13305" t="s">
        <v>5</v>
      </c>
      <c r="BJ3" s="13306"/>
      <c r="BK3" s="13306"/>
      <c r="BL3" s="13306"/>
      <c r="BM3" s="13307"/>
      <c r="BN3" s="13293" t="s">
        <v>8490</v>
      </c>
      <c r="BO3" s="13295" t="s">
        <v>2104</v>
      </c>
      <c r="BP3" s="13295" t="s">
        <v>9882</v>
      </c>
      <c r="BQ3" s="13295" t="s">
        <v>9652</v>
      </c>
      <c r="BR3" s="13295" t="s">
        <v>9651</v>
      </c>
      <c r="BS3" s="13295" t="s">
        <v>8491</v>
      </c>
      <c r="BT3" s="13295" t="s">
        <v>8492</v>
      </c>
      <c r="BU3" s="13297" t="s">
        <v>4</v>
      </c>
      <c r="BV3" s="14602" t="s">
        <v>355</v>
      </c>
      <c r="BW3" s="14603"/>
      <c r="BX3" s="14603"/>
      <c r="BY3" s="14604"/>
      <c r="BZ3" s="13299" t="s">
        <v>356</v>
      </c>
      <c r="CA3" s="13300"/>
      <c r="CB3" s="13300"/>
      <c r="CC3" s="13300"/>
      <c r="CD3" s="13300"/>
      <c r="CE3" s="13300"/>
      <c r="CF3" s="13300"/>
      <c r="CG3" s="13300"/>
      <c r="CH3" s="13300"/>
      <c r="CI3" s="13300"/>
      <c r="CJ3" s="13300"/>
      <c r="CK3" s="13300"/>
      <c r="CL3" s="13300"/>
      <c r="CM3" s="13300"/>
      <c r="CN3" s="13300"/>
      <c r="CO3" s="13300"/>
      <c r="CP3" s="13300"/>
      <c r="CQ3" s="13300"/>
      <c r="CR3" s="13300"/>
      <c r="CS3" s="13300"/>
      <c r="CT3" s="13300"/>
      <c r="CU3" s="13300"/>
      <c r="CV3" s="13300"/>
      <c r="CW3" s="13300"/>
      <c r="CX3" s="13300"/>
      <c r="CY3" s="13301"/>
      <c r="CZ3" s="13302" t="s">
        <v>357</v>
      </c>
      <c r="DA3" s="13303"/>
      <c r="DB3" s="13303"/>
      <c r="DC3" s="13303"/>
      <c r="DD3" s="13304"/>
      <c r="DE3" s="13305" t="s">
        <v>5</v>
      </c>
      <c r="DF3" s="13306"/>
      <c r="DG3" s="13306"/>
      <c r="DH3" s="13306"/>
      <c r="DI3" s="13307"/>
      <c r="DK3" s="5000" t="s">
        <v>8498</v>
      </c>
      <c r="DL3" s="5156" t="s">
        <v>10189</v>
      </c>
      <c r="DM3" s="5156" t="s">
        <v>10190</v>
      </c>
      <c r="DN3" s="4984" t="s">
        <v>8499</v>
      </c>
      <c r="DO3" s="4984" t="s">
        <v>8500</v>
      </c>
      <c r="DP3" s="4986" t="s">
        <v>4</v>
      </c>
      <c r="DQ3" s="5002" t="s">
        <v>355</v>
      </c>
      <c r="DR3" s="5003"/>
      <c r="DS3" s="5003"/>
      <c r="DT3" s="5004"/>
      <c r="DU3" s="4988" t="s">
        <v>356</v>
      </c>
      <c r="DV3" s="4989"/>
      <c r="DW3" s="4989"/>
      <c r="DX3" s="4989"/>
      <c r="DY3" s="4989"/>
      <c r="DZ3" s="4989"/>
      <c r="EA3" s="4989"/>
      <c r="EB3" s="4989"/>
      <c r="EC3" s="4989"/>
      <c r="ED3" s="4989"/>
      <c r="EE3" s="4989"/>
      <c r="EF3" s="4989"/>
      <c r="EG3" s="5030"/>
      <c r="EH3" s="5030"/>
      <c r="EI3" s="5030"/>
      <c r="EJ3" s="5030"/>
      <c r="EK3" s="5030"/>
      <c r="EL3" s="5030"/>
      <c r="EM3" s="5030"/>
      <c r="EN3" s="5030"/>
      <c r="EO3" s="5030"/>
      <c r="EP3" s="5030"/>
      <c r="EQ3" s="5030"/>
      <c r="ER3" s="5030"/>
      <c r="ES3" s="5030"/>
      <c r="ET3" s="5031"/>
      <c r="EU3" s="5032" t="s">
        <v>357</v>
      </c>
      <c r="EV3" s="5033"/>
      <c r="EW3" s="5033"/>
      <c r="EX3" s="5033"/>
      <c r="EY3" s="5034"/>
      <c r="EZ3" s="4990" t="s">
        <v>5</v>
      </c>
      <c r="FA3" s="4991"/>
      <c r="FB3" s="4991"/>
      <c r="FC3" s="4991"/>
      <c r="FD3" s="4992"/>
    </row>
    <row r="4" spans="1:160" ht="15" customHeight="1" thickBot="1">
      <c r="A4" s="16484" t="s">
        <v>53</v>
      </c>
      <c r="B4" s="16474"/>
      <c r="C4" s="16474"/>
      <c r="D4" s="16477"/>
      <c r="E4" s="16493"/>
      <c r="F4" s="16474"/>
      <c r="G4" s="16486" t="s">
        <v>58</v>
      </c>
      <c r="H4" s="16488" t="s">
        <v>59</v>
      </c>
      <c r="I4" s="16488" t="s">
        <v>60</v>
      </c>
      <c r="J4" s="16475"/>
      <c r="K4" s="16479"/>
      <c r="L4" s="13335"/>
      <c r="M4" s="13335"/>
      <c r="N4" s="13335"/>
      <c r="O4" s="13335"/>
      <c r="P4" s="13335"/>
      <c r="Q4" s="13335"/>
      <c r="R4" s="13335"/>
      <c r="S4" s="13335"/>
      <c r="T4" s="13335"/>
      <c r="U4" s="16481"/>
      <c r="V4" s="15614"/>
      <c r="W4" s="13296"/>
      <c r="X4" s="13296"/>
      <c r="Y4" s="13298"/>
      <c r="Z4" s="13308" t="s">
        <v>6</v>
      </c>
      <c r="AA4" s="13310" t="s">
        <v>7</v>
      </c>
      <c r="AB4" s="13312" t="s">
        <v>8</v>
      </c>
      <c r="AC4" s="13314" t="s">
        <v>9</v>
      </c>
      <c r="AD4" s="13308" t="s">
        <v>10</v>
      </c>
      <c r="AE4" s="13282" t="s">
        <v>11</v>
      </c>
      <c r="AF4" s="13284"/>
      <c r="AG4" s="13282" t="s">
        <v>12</v>
      </c>
      <c r="AH4" s="13284"/>
      <c r="AI4" s="13282" t="s">
        <v>13</v>
      </c>
      <c r="AJ4" s="13283"/>
      <c r="AK4" s="13283"/>
      <c r="AL4" s="13283"/>
      <c r="AM4" s="13283"/>
      <c r="AN4" s="13283"/>
      <c r="AO4" s="13284"/>
      <c r="AP4" s="13285" t="s">
        <v>14</v>
      </c>
      <c r="AQ4" s="13286"/>
      <c r="AR4" s="13286"/>
      <c r="AS4" s="13286"/>
      <c r="AT4" s="13286"/>
      <c r="AU4" s="13286"/>
      <c r="AV4" s="13286"/>
      <c r="AW4" s="13287"/>
      <c r="AX4" s="13285" t="s">
        <v>15</v>
      </c>
      <c r="AY4" s="13286"/>
      <c r="AZ4" s="13286"/>
      <c r="BA4" s="13286"/>
      <c r="BB4" s="13286"/>
      <c r="BC4" s="13287"/>
      <c r="BD4" s="13288" t="s">
        <v>16</v>
      </c>
      <c r="BE4" s="13288" t="s">
        <v>17</v>
      </c>
      <c r="BF4" s="13275" t="s">
        <v>18</v>
      </c>
      <c r="BG4" s="10" t="s">
        <v>19</v>
      </c>
      <c r="BH4" s="489" t="s">
        <v>20</v>
      </c>
      <c r="BI4" s="13277" t="s">
        <v>21</v>
      </c>
      <c r="BJ4" s="13279" t="s">
        <v>22</v>
      </c>
      <c r="BK4" s="13280"/>
      <c r="BL4" s="13281"/>
      <c r="BM4" s="12" t="s">
        <v>20</v>
      </c>
      <c r="BN4" s="13294"/>
      <c r="BO4" s="13296"/>
      <c r="BP4" s="13296"/>
      <c r="BQ4" s="13296"/>
      <c r="BR4" s="13296"/>
      <c r="BS4" s="13296"/>
      <c r="BT4" s="13296"/>
      <c r="BU4" s="13298"/>
      <c r="BV4" s="14605" t="s">
        <v>6</v>
      </c>
      <c r="BW4" s="14611" t="s">
        <v>7</v>
      </c>
      <c r="BX4" s="14577" t="s">
        <v>8</v>
      </c>
      <c r="BY4" s="14579" t="s">
        <v>9</v>
      </c>
      <c r="BZ4" s="14605" t="s">
        <v>10</v>
      </c>
      <c r="CA4" s="15635" t="s">
        <v>11</v>
      </c>
      <c r="CB4" s="15636"/>
      <c r="CC4" s="15635" t="s">
        <v>12</v>
      </c>
      <c r="CD4" s="15636"/>
      <c r="CE4" s="15635" t="s">
        <v>13</v>
      </c>
      <c r="CF4" s="15644"/>
      <c r="CG4" s="15644"/>
      <c r="CH4" s="15644"/>
      <c r="CI4" s="15644"/>
      <c r="CJ4" s="15644"/>
      <c r="CK4" s="15636"/>
      <c r="CL4" s="13285" t="s">
        <v>14</v>
      </c>
      <c r="CM4" s="13286"/>
      <c r="CN4" s="13286"/>
      <c r="CO4" s="13286"/>
      <c r="CP4" s="13286"/>
      <c r="CQ4" s="13286"/>
      <c r="CR4" s="13286"/>
      <c r="CS4" s="13287"/>
      <c r="CT4" s="13285" t="s">
        <v>15</v>
      </c>
      <c r="CU4" s="13286"/>
      <c r="CV4" s="13286"/>
      <c r="CW4" s="13286"/>
      <c r="CX4" s="13286"/>
      <c r="CY4" s="13287"/>
      <c r="CZ4" s="13288" t="s">
        <v>16</v>
      </c>
      <c r="DA4" s="13288" t="s">
        <v>17</v>
      </c>
      <c r="DB4" s="13275" t="s">
        <v>18</v>
      </c>
      <c r="DC4" s="10" t="s">
        <v>19</v>
      </c>
      <c r="DD4" s="489" t="s">
        <v>20</v>
      </c>
      <c r="DE4" s="13277" t="s">
        <v>21</v>
      </c>
      <c r="DF4" s="13279" t="s">
        <v>22</v>
      </c>
      <c r="DG4" s="13280"/>
      <c r="DH4" s="13281"/>
      <c r="DI4" s="12" t="s">
        <v>20</v>
      </c>
      <c r="DK4" s="5001"/>
      <c r="DL4" s="5156"/>
      <c r="DM4" s="5156"/>
      <c r="DN4" s="4985"/>
      <c r="DO4" s="4985"/>
      <c r="DP4" s="4987"/>
      <c r="DQ4" s="5005" t="s">
        <v>6</v>
      </c>
      <c r="DR4" s="5008" t="s">
        <v>7</v>
      </c>
      <c r="DS4" s="4995" t="s">
        <v>8</v>
      </c>
      <c r="DT4" s="4997" t="s">
        <v>9</v>
      </c>
      <c r="DU4" s="4993" t="s">
        <v>10</v>
      </c>
      <c r="DV4" s="4981" t="s">
        <v>11</v>
      </c>
      <c r="DW4" s="4983"/>
      <c r="DX4" s="4981" t="s">
        <v>12</v>
      </c>
      <c r="DY4" s="4983"/>
      <c r="DZ4" s="4981" t="s">
        <v>13</v>
      </c>
      <c r="EA4" s="4982"/>
      <c r="EB4" s="4982"/>
      <c r="EC4" s="4982"/>
      <c r="ED4" s="4982"/>
      <c r="EE4" s="4982"/>
      <c r="EF4" s="4982"/>
      <c r="EG4" s="5035" t="s">
        <v>14</v>
      </c>
      <c r="EH4" s="5036"/>
      <c r="EI4" s="5036"/>
      <c r="EJ4" s="5036"/>
      <c r="EK4" s="5036"/>
      <c r="EL4" s="5036"/>
      <c r="EM4" s="5036"/>
      <c r="EN4" s="5036"/>
      <c r="EO4" s="5036" t="s">
        <v>15</v>
      </c>
      <c r="EP4" s="5036"/>
      <c r="EQ4" s="5036"/>
      <c r="ER4" s="5036"/>
      <c r="ES4" s="5036"/>
      <c r="ET4" s="5037"/>
      <c r="EU4" s="5038" t="s">
        <v>16</v>
      </c>
      <c r="EV4" s="5040" t="s">
        <v>17</v>
      </c>
      <c r="EW4" s="5042" t="s">
        <v>18</v>
      </c>
      <c r="EX4" s="3375" t="s">
        <v>19</v>
      </c>
      <c r="EY4" s="3376" t="s">
        <v>20</v>
      </c>
      <c r="EZ4" s="5027" t="s">
        <v>21</v>
      </c>
      <c r="FA4" s="4978" t="s">
        <v>22</v>
      </c>
      <c r="FB4" s="4979"/>
      <c r="FC4" s="4980"/>
      <c r="FD4" s="12" t="s">
        <v>20</v>
      </c>
    </row>
    <row r="5" spans="1:160" ht="15" customHeight="1" thickBot="1">
      <c r="A5" s="16485"/>
      <c r="B5" s="16474"/>
      <c r="C5" s="16474"/>
      <c r="D5" s="16477"/>
      <c r="E5" s="16493"/>
      <c r="F5" s="16474"/>
      <c r="G5" s="16487"/>
      <c r="H5" s="16489"/>
      <c r="I5" s="16489"/>
      <c r="J5" s="16475"/>
      <c r="K5" s="16480"/>
      <c r="L5" s="15937"/>
      <c r="M5" s="15937"/>
      <c r="N5" s="15937"/>
      <c r="O5" s="15937">
        <v>2012</v>
      </c>
      <c r="P5" s="15937">
        <v>2013</v>
      </c>
      <c r="Q5" s="15937">
        <v>2014</v>
      </c>
      <c r="R5" s="15937">
        <v>2015</v>
      </c>
      <c r="S5" s="15937">
        <v>2016</v>
      </c>
      <c r="T5" s="15937">
        <v>2017</v>
      </c>
      <c r="U5" s="16481"/>
      <c r="V5" s="15614"/>
      <c r="W5" s="13296"/>
      <c r="X5" s="13296"/>
      <c r="Y5" s="13298"/>
      <c r="Z5" s="13309"/>
      <c r="AA5" s="13311"/>
      <c r="AB5" s="13313"/>
      <c r="AC5" s="13315"/>
      <c r="AD5" s="13309"/>
      <c r="AE5" s="3462" t="s">
        <v>23</v>
      </c>
      <c r="AF5" s="3463" t="s">
        <v>24</v>
      </c>
      <c r="AG5" s="3462" t="s">
        <v>25</v>
      </c>
      <c r="AH5" s="3463" t="s">
        <v>26</v>
      </c>
      <c r="AI5" s="3464" t="s">
        <v>27</v>
      </c>
      <c r="AJ5" s="3465" t="s">
        <v>28</v>
      </c>
      <c r="AK5" s="3466" t="s">
        <v>29</v>
      </c>
      <c r="AL5" s="3466" t="s">
        <v>30</v>
      </c>
      <c r="AM5" s="3466" t="s">
        <v>31</v>
      </c>
      <c r="AN5" s="3466" t="s">
        <v>32</v>
      </c>
      <c r="AO5" s="3467" t="s">
        <v>33</v>
      </c>
      <c r="AP5" s="3464" t="s">
        <v>34</v>
      </c>
      <c r="AQ5" s="3466" t="s">
        <v>35</v>
      </c>
      <c r="AR5" s="3466" t="s">
        <v>36</v>
      </c>
      <c r="AS5" s="3466" t="s">
        <v>37</v>
      </c>
      <c r="AT5" s="3466" t="s">
        <v>38</v>
      </c>
      <c r="AU5" s="3466" t="s">
        <v>39</v>
      </c>
      <c r="AV5" s="3466" t="s">
        <v>40</v>
      </c>
      <c r="AW5" s="3467" t="s">
        <v>41</v>
      </c>
      <c r="AX5" s="4680" t="s">
        <v>42</v>
      </c>
      <c r="AY5" s="3466" t="s">
        <v>43</v>
      </c>
      <c r="AZ5" s="3466" t="s">
        <v>44</v>
      </c>
      <c r="BA5" s="3466" t="s">
        <v>45</v>
      </c>
      <c r="BB5" s="3466" t="s">
        <v>46</v>
      </c>
      <c r="BC5" s="3373" t="s">
        <v>47</v>
      </c>
      <c r="BD5" s="13289"/>
      <c r="BE5" s="13289"/>
      <c r="BF5" s="13276"/>
      <c r="BG5" s="919" t="s">
        <v>48</v>
      </c>
      <c r="BH5" s="21" t="s">
        <v>49</v>
      </c>
      <c r="BI5" s="13278"/>
      <c r="BJ5" s="5041" t="s">
        <v>50</v>
      </c>
      <c r="BK5" s="5041" t="s">
        <v>51</v>
      </c>
      <c r="BL5" s="5041" t="s">
        <v>52</v>
      </c>
      <c r="BM5" s="2217" t="s">
        <v>49</v>
      </c>
      <c r="BN5" s="13294"/>
      <c r="BO5" s="13296"/>
      <c r="BP5" s="13296"/>
      <c r="BQ5" s="13296"/>
      <c r="BR5" s="13296"/>
      <c r="BS5" s="13296"/>
      <c r="BT5" s="13296"/>
      <c r="BU5" s="13298"/>
      <c r="BV5" s="14606"/>
      <c r="BW5" s="14612"/>
      <c r="BX5" s="14578"/>
      <c r="BY5" s="14580"/>
      <c r="BZ5" s="14606"/>
      <c r="CA5" s="4681" t="s">
        <v>23</v>
      </c>
      <c r="CB5" s="4682" t="s">
        <v>24</v>
      </c>
      <c r="CC5" s="4681" t="s">
        <v>25</v>
      </c>
      <c r="CD5" s="4682" t="s">
        <v>26</v>
      </c>
      <c r="CE5" s="4681" t="s">
        <v>27</v>
      </c>
      <c r="CF5" s="4683" t="s">
        <v>28</v>
      </c>
      <c r="CG5" s="4683" t="s">
        <v>29</v>
      </c>
      <c r="CH5" s="4683" t="s">
        <v>30</v>
      </c>
      <c r="CI5" s="4683" t="s">
        <v>31</v>
      </c>
      <c r="CJ5" s="4683" t="s">
        <v>32</v>
      </c>
      <c r="CK5" s="4682" t="s">
        <v>33</v>
      </c>
      <c r="CL5" s="4681" t="s">
        <v>34</v>
      </c>
      <c r="CM5" s="4683" t="s">
        <v>35</v>
      </c>
      <c r="CN5" s="4683" t="s">
        <v>36</v>
      </c>
      <c r="CO5" s="6101" t="s">
        <v>37</v>
      </c>
      <c r="CP5" s="6101" t="s">
        <v>38</v>
      </c>
      <c r="CQ5" s="6101" t="s">
        <v>39</v>
      </c>
      <c r="CR5" s="6101" t="s">
        <v>40</v>
      </c>
      <c r="CS5" s="3463" t="s">
        <v>41</v>
      </c>
      <c r="CT5" s="6102" t="s">
        <v>42</v>
      </c>
      <c r="CU5" s="6101" t="s">
        <v>43</v>
      </c>
      <c r="CV5" s="6101" t="s">
        <v>44</v>
      </c>
      <c r="CW5" s="6101" t="s">
        <v>45</v>
      </c>
      <c r="CX5" s="6101" t="s">
        <v>46</v>
      </c>
      <c r="CY5" s="6103" t="s">
        <v>47</v>
      </c>
      <c r="CZ5" s="13289"/>
      <c r="DA5" s="13289"/>
      <c r="DB5" s="13276"/>
      <c r="DC5" s="919" t="s">
        <v>48</v>
      </c>
      <c r="DD5" s="21" t="s">
        <v>49</v>
      </c>
      <c r="DE5" s="13278"/>
      <c r="DF5" s="5041" t="s">
        <v>50</v>
      </c>
      <c r="DG5" s="5041" t="s">
        <v>51</v>
      </c>
      <c r="DH5" s="5041" t="s">
        <v>52</v>
      </c>
      <c r="DI5" s="2217" t="s">
        <v>49</v>
      </c>
      <c r="DK5" s="5001"/>
      <c r="DL5" s="5029"/>
      <c r="DM5" s="5029"/>
      <c r="DN5" s="4985"/>
      <c r="DO5" s="4985"/>
      <c r="DP5" s="4987"/>
      <c r="DQ5" s="5006"/>
      <c r="DR5" s="5009"/>
      <c r="DS5" s="4996"/>
      <c r="DT5" s="4998"/>
      <c r="DU5" s="4994"/>
      <c r="DV5" s="3462" t="s">
        <v>23</v>
      </c>
      <c r="DW5" s="3463" t="s">
        <v>24</v>
      </c>
      <c r="DX5" s="3462" t="s">
        <v>25</v>
      </c>
      <c r="DY5" s="3463" t="s">
        <v>26</v>
      </c>
      <c r="DZ5" s="3464" t="s">
        <v>27</v>
      </c>
      <c r="EA5" s="3465" t="s">
        <v>28</v>
      </c>
      <c r="EB5" s="3466" t="s">
        <v>29</v>
      </c>
      <c r="EC5" s="3466" t="s">
        <v>30</v>
      </c>
      <c r="ED5" s="3466" t="s">
        <v>31</v>
      </c>
      <c r="EE5" s="3466" t="s">
        <v>32</v>
      </c>
      <c r="EF5" s="3373" t="s">
        <v>33</v>
      </c>
      <c r="EG5" s="3464" t="s">
        <v>34</v>
      </c>
      <c r="EH5" s="3466" t="s">
        <v>35</v>
      </c>
      <c r="EI5" s="3466" t="s">
        <v>36</v>
      </c>
      <c r="EJ5" s="3466" t="s">
        <v>37</v>
      </c>
      <c r="EK5" s="3466" t="s">
        <v>38</v>
      </c>
      <c r="EL5" s="3466" t="s">
        <v>39</v>
      </c>
      <c r="EM5" s="3466" t="s">
        <v>40</v>
      </c>
      <c r="EN5" s="3466" t="s">
        <v>41</v>
      </c>
      <c r="EO5" s="3466" t="s">
        <v>42</v>
      </c>
      <c r="EP5" s="3466" t="s">
        <v>43</v>
      </c>
      <c r="EQ5" s="3466" t="s">
        <v>44</v>
      </c>
      <c r="ER5" s="3466" t="s">
        <v>45</v>
      </c>
      <c r="ES5" s="3466" t="s">
        <v>46</v>
      </c>
      <c r="ET5" s="3467" t="s">
        <v>47</v>
      </c>
      <c r="EU5" s="5039"/>
      <c r="EV5" s="5041"/>
      <c r="EW5" s="5043"/>
      <c r="EX5" s="5043" t="s">
        <v>48</v>
      </c>
      <c r="EY5" s="3469" t="s">
        <v>49</v>
      </c>
      <c r="EZ5" s="5028"/>
      <c r="FA5" s="5041" t="s">
        <v>50</v>
      </c>
      <c r="FB5" s="5041" t="s">
        <v>51</v>
      </c>
      <c r="FC5" s="5041" t="s">
        <v>52</v>
      </c>
      <c r="FD5" s="2217" t="s">
        <v>49</v>
      </c>
    </row>
    <row r="6" spans="1:160" s="2072" customFormat="1" ht="15" customHeight="1">
      <c r="A6" s="16497" t="s">
        <v>65</v>
      </c>
      <c r="B6" s="16500" t="s">
        <v>66</v>
      </c>
      <c r="C6" s="16503" t="s">
        <v>67</v>
      </c>
      <c r="D6" s="1703" t="s">
        <v>5050</v>
      </c>
      <c r="E6" s="1703" t="s">
        <v>68</v>
      </c>
      <c r="F6" s="6163" t="s">
        <v>69</v>
      </c>
      <c r="G6" s="6164" t="s">
        <v>70</v>
      </c>
      <c r="H6" s="6164">
        <v>0</v>
      </c>
      <c r="I6" s="6165" t="s">
        <v>71</v>
      </c>
      <c r="J6" s="6165" t="s">
        <v>72</v>
      </c>
      <c r="K6" s="6165" t="s">
        <v>73</v>
      </c>
      <c r="L6" s="6165" t="s">
        <v>65</v>
      </c>
      <c r="M6" s="6165" t="s">
        <v>74</v>
      </c>
      <c r="N6" s="6163"/>
      <c r="O6" s="6166">
        <v>1000000000</v>
      </c>
      <c r="P6" s="6166">
        <v>1030000000</v>
      </c>
      <c r="Q6" s="6166">
        <v>1060900000</v>
      </c>
      <c r="R6" s="6166">
        <v>1092727000</v>
      </c>
      <c r="S6" s="6166">
        <v>1125508810</v>
      </c>
      <c r="T6" s="6166">
        <v>1159274074.3</v>
      </c>
      <c r="U6" s="6166">
        <v>1194052296.529</v>
      </c>
      <c r="V6" s="6167">
        <v>1</v>
      </c>
      <c r="W6" s="6168" t="s">
        <v>3747</v>
      </c>
      <c r="X6" s="6169" t="s">
        <v>4226</v>
      </c>
      <c r="Y6" s="6168" t="s">
        <v>3749</v>
      </c>
      <c r="Z6" s="6170">
        <v>216637773</v>
      </c>
      <c r="AA6" s="6170">
        <v>216637773</v>
      </c>
      <c r="AB6" s="6170"/>
      <c r="AC6" s="6171"/>
      <c r="AD6" s="6172">
        <v>12</v>
      </c>
      <c r="AE6" s="6171">
        <v>5</v>
      </c>
      <c r="AF6" s="6171">
        <v>7</v>
      </c>
      <c r="AG6" s="6171" t="s">
        <v>2943</v>
      </c>
      <c r="AH6" s="6171"/>
      <c r="AI6" s="6171"/>
      <c r="AJ6" s="6171"/>
      <c r="AK6" s="6171"/>
      <c r="AL6" s="6171"/>
      <c r="AM6" s="6171"/>
      <c r="AN6" s="6171"/>
      <c r="AO6" s="6171"/>
      <c r="AP6" s="6171"/>
      <c r="AQ6" s="6171"/>
      <c r="AR6" s="6171"/>
      <c r="AS6" s="6171"/>
      <c r="AT6" s="6171"/>
      <c r="AU6" s="6171"/>
      <c r="AV6" s="6171"/>
      <c r="AW6" s="6171"/>
      <c r="AX6" s="6171"/>
      <c r="AY6" s="6171" t="s">
        <v>2943</v>
      </c>
      <c r="AZ6" s="6171"/>
      <c r="BA6" s="6171"/>
      <c r="BB6" s="6171"/>
      <c r="BC6" s="6171"/>
      <c r="BD6" s="6171"/>
      <c r="BE6" s="6171"/>
      <c r="BF6" s="6171"/>
      <c r="BG6" s="6171"/>
      <c r="BH6" s="6171"/>
      <c r="BI6" s="6171"/>
      <c r="BJ6" s="6171"/>
      <c r="BK6" s="6171"/>
      <c r="BL6" s="6171"/>
      <c r="BM6" s="6171"/>
      <c r="BN6" s="6173">
        <v>0.1</v>
      </c>
      <c r="BO6" s="1705">
        <v>0.1</v>
      </c>
      <c r="BP6" s="6174">
        <v>0.1</v>
      </c>
      <c r="BQ6" s="6175">
        <v>1</v>
      </c>
      <c r="BR6" s="16511">
        <f>AVERAGE(BQ6:BQ9)</f>
        <v>1</v>
      </c>
      <c r="BS6" s="6176" t="s">
        <v>9057</v>
      </c>
      <c r="BT6" s="6177" t="s">
        <v>9037</v>
      </c>
      <c r="BU6" s="6176" t="s">
        <v>9058</v>
      </c>
      <c r="BV6" s="6178">
        <v>29472000</v>
      </c>
      <c r="BW6" s="6178">
        <v>29472000</v>
      </c>
      <c r="BX6" s="6179"/>
      <c r="BY6" s="6180"/>
      <c r="BZ6" s="6181">
        <v>4</v>
      </c>
      <c r="CA6" s="6181">
        <v>3</v>
      </c>
      <c r="CB6" s="6181">
        <v>1</v>
      </c>
      <c r="CC6" s="6181">
        <v>4</v>
      </c>
      <c r="CD6" s="6181"/>
      <c r="CE6" s="6181"/>
      <c r="CF6" s="6181"/>
      <c r="CG6" s="6181"/>
      <c r="CH6" s="6181"/>
      <c r="CI6" s="6181"/>
      <c r="CJ6" s="6181"/>
      <c r="CK6" s="6181"/>
      <c r="CL6" s="6181"/>
      <c r="CM6" s="6181"/>
      <c r="CN6" s="4233"/>
      <c r="CO6" s="4231"/>
      <c r="CP6" s="4231"/>
      <c r="CQ6" s="4231"/>
      <c r="CR6" s="4231"/>
      <c r="CS6" s="4231"/>
      <c r="CT6" s="4231"/>
      <c r="CU6" s="4231">
        <v>4</v>
      </c>
      <c r="CV6" s="4231"/>
      <c r="CW6" s="4231"/>
      <c r="CX6" s="4231"/>
      <c r="CY6" s="4231"/>
      <c r="CZ6" s="1706"/>
      <c r="DA6" s="2008"/>
      <c r="DB6" s="2008"/>
      <c r="DC6" s="2008"/>
      <c r="DD6" s="2008"/>
      <c r="DE6" s="2008"/>
      <c r="DF6" s="2008"/>
      <c r="DG6" s="2008"/>
      <c r="DH6" s="2008"/>
      <c r="DI6" s="2009"/>
      <c r="DK6" s="6280"/>
      <c r="DL6" s="6171"/>
      <c r="DM6" s="6171"/>
      <c r="DN6" s="6171"/>
      <c r="DO6" s="6171"/>
      <c r="DP6" s="6171"/>
      <c r="DQ6" s="6171"/>
      <c r="DR6" s="6171"/>
      <c r="DS6" s="6171"/>
      <c r="DT6" s="6171"/>
      <c r="DU6" s="6171"/>
      <c r="DV6" s="6171"/>
      <c r="DW6" s="6171"/>
      <c r="DX6" s="6171"/>
      <c r="DY6" s="6171"/>
      <c r="DZ6" s="6171"/>
      <c r="EA6" s="6171"/>
      <c r="EB6" s="6171"/>
      <c r="EC6" s="6171"/>
      <c r="ED6" s="6171"/>
      <c r="EE6" s="6171"/>
      <c r="EF6" s="6171"/>
      <c r="EG6" s="6171"/>
      <c r="EH6" s="6171"/>
      <c r="EI6" s="6171"/>
      <c r="EJ6" s="6171"/>
      <c r="EK6" s="6171"/>
      <c r="EL6" s="6171"/>
      <c r="EM6" s="6171"/>
      <c r="EN6" s="6171"/>
      <c r="EO6" s="6171"/>
      <c r="EP6" s="6171"/>
      <c r="EQ6" s="6171"/>
      <c r="ER6" s="6171"/>
      <c r="ES6" s="6171"/>
      <c r="ET6" s="6171"/>
      <c r="EU6" s="6171"/>
      <c r="EV6" s="6171"/>
      <c r="EW6" s="6171"/>
      <c r="EX6" s="6171"/>
      <c r="EY6" s="6171"/>
      <c r="EZ6" s="6171"/>
      <c r="FA6" s="6171"/>
      <c r="FB6" s="6171"/>
      <c r="FC6" s="6171"/>
      <c r="FD6" s="6281"/>
    </row>
    <row r="7" spans="1:160" s="2072" customFormat="1" ht="15" customHeight="1">
      <c r="A7" s="16498"/>
      <c r="B7" s="16501"/>
      <c r="C7" s="16504"/>
      <c r="D7" s="15350" t="s">
        <v>5051</v>
      </c>
      <c r="E7" s="15350" t="s">
        <v>75</v>
      </c>
      <c r="F7" s="16450" t="s">
        <v>76</v>
      </c>
      <c r="G7" s="16450" t="s">
        <v>70</v>
      </c>
      <c r="H7" s="16450">
        <v>1</v>
      </c>
      <c r="I7" s="16450" t="s">
        <v>77</v>
      </c>
      <c r="J7" s="16450" t="s">
        <v>77</v>
      </c>
      <c r="K7" s="16450" t="s">
        <v>78</v>
      </c>
      <c r="L7" s="2767" t="s">
        <v>65</v>
      </c>
      <c r="M7" s="2767" t="s">
        <v>74</v>
      </c>
      <c r="N7" s="6072"/>
      <c r="O7" s="6073">
        <v>25000000</v>
      </c>
      <c r="P7" s="6073">
        <v>0</v>
      </c>
      <c r="Q7" s="6073">
        <v>0</v>
      </c>
      <c r="R7" s="6073">
        <v>27250000.000000004</v>
      </c>
      <c r="S7" s="6073">
        <v>0</v>
      </c>
      <c r="T7" s="6073">
        <v>0</v>
      </c>
      <c r="U7" s="6073">
        <v>29702500.000000004</v>
      </c>
      <c r="V7" s="6111">
        <v>1</v>
      </c>
      <c r="W7" s="6112" t="s">
        <v>4227</v>
      </c>
      <c r="X7" s="6104" t="s">
        <v>4221</v>
      </c>
      <c r="Y7" s="6106"/>
      <c r="Z7" s="6105">
        <v>29300000</v>
      </c>
      <c r="AA7" s="6105">
        <v>29300000</v>
      </c>
      <c r="AB7" s="6106"/>
      <c r="AC7" s="6106"/>
      <c r="AD7" s="6107">
        <v>49</v>
      </c>
      <c r="AE7" s="6106">
        <v>19</v>
      </c>
      <c r="AF7" s="6106">
        <v>30</v>
      </c>
      <c r="AG7" s="6106" t="s">
        <v>2943</v>
      </c>
      <c r="AH7" s="6106" t="s">
        <v>2943</v>
      </c>
      <c r="AI7" s="6106"/>
      <c r="AJ7" s="6106"/>
      <c r="AK7" s="6106"/>
      <c r="AL7" s="6106"/>
      <c r="AM7" s="6106"/>
      <c r="AN7" s="6106"/>
      <c r="AO7" s="6106"/>
      <c r="AP7" s="6106"/>
      <c r="AQ7" s="6106"/>
      <c r="AR7" s="6106"/>
      <c r="AS7" s="6106"/>
      <c r="AT7" s="6106"/>
      <c r="AU7" s="6106"/>
      <c r="AV7" s="6106"/>
      <c r="AW7" s="6106"/>
      <c r="AX7" s="6106"/>
      <c r="AY7" s="6106" t="s">
        <v>2943</v>
      </c>
      <c r="AZ7" s="6106"/>
      <c r="BA7" s="6106"/>
      <c r="BB7" s="6106"/>
      <c r="BC7" s="6106"/>
      <c r="BD7" s="6106"/>
      <c r="BE7" s="6106"/>
      <c r="BF7" s="6106"/>
      <c r="BG7" s="6106"/>
      <c r="BH7" s="6106"/>
      <c r="BI7" s="6106"/>
      <c r="BJ7" s="6106"/>
      <c r="BK7" s="6106"/>
      <c r="BL7" s="6106"/>
      <c r="BM7" s="6106"/>
      <c r="BN7" s="3922">
        <v>1</v>
      </c>
      <c r="BO7" s="3221">
        <v>1</v>
      </c>
      <c r="BP7" s="5051">
        <v>1</v>
      </c>
      <c r="BQ7" s="5089">
        <v>1</v>
      </c>
      <c r="BR7" s="16512"/>
      <c r="BS7" s="6108" t="s">
        <v>9059</v>
      </c>
      <c r="BT7" s="6108" t="s">
        <v>4221</v>
      </c>
      <c r="BU7" s="6108"/>
      <c r="BV7" s="6109">
        <v>29300000</v>
      </c>
      <c r="BW7" s="6109">
        <v>29300000</v>
      </c>
      <c r="BX7" s="6110"/>
      <c r="BY7" s="6110"/>
      <c r="BZ7" s="4786">
        <v>19</v>
      </c>
      <c r="CA7" s="4786">
        <v>11</v>
      </c>
      <c r="CB7" s="4786">
        <v>8</v>
      </c>
      <c r="CC7" s="4786"/>
      <c r="CD7" s="4786"/>
      <c r="CE7" s="4786"/>
      <c r="CF7" s="4786"/>
      <c r="CG7" s="4786"/>
      <c r="CH7" s="4786"/>
      <c r="CI7" s="4786"/>
      <c r="CJ7" s="4786"/>
      <c r="CK7" s="4786"/>
      <c r="CL7" s="4786"/>
      <c r="CM7" s="4786"/>
      <c r="CN7" s="4786"/>
      <c r="CO7" s="6113"/>
      <c r="CP7" s="6113"/>
      <c r="CQ7" s="6113"/>
      <c r="CR7" s="6113"/>
      <c r="CS7" s="6113"/>
      <c r="CT7" s="6113"/>
      <c r="CU7" s="6113">
        <v>19</v>
      </c>
      <c r="CV7" s="6113"/>
      <c r="CW7" s="6113"/>
      <c r="CX7" s="6113"/>
      <c r="CY7" s="6113"/>
      <c r="CZ7" s="3221"/>
      <c r="DA7" s="3224"/>
      <c r="DB7" s="3224"/>
      <c r="DC7" s="3224"/>
      <c r="DD7" s="3224"/>
      <c r="DE7" s="3224"/>
      <c r="DF7" s="3224"/>
      <c r="DG7" s="3224"/>
      <c r="DH7" s="3224"/>
      <c r="DI7" s="2057"/>
      <c r="DK7" s="6282"/>
      <c r="DL7" s="6106"/>
      <c r="DM7" s="6106"/>
      <c r="DN7" s="6106"/>
      <c r="DO7" s="6106"/>
      <c r="DP7" s="6106"/>
      <c r="DQ7" s="6106"/>
      <c r="DR7" s="6106"/>
      <c r="DS7" s="6106"/>
      <c r="DT7" s="6106"/>
      <c r="DU7" s="6106"/>
      <c r="DV7" s="6106"/>
      <c r="DW7" s="6106"/>
      <c r="DX7" s="6106"/>
      <c r="DY7" s="6106"/>
      <c r="DZ7" s="6106"/>
      <c r="EA7" s="6106"/>
      <c r="EB7" s="6106"/>
      <c r="EC7" s="6106"/>
      <c r="ED7" s="6106"/>
      <c r="EE7" s="6106"/>
      <c r="EF7" s="6106"/>
      <c r="EG7" s="6106"/>
      <c r="EH7" s="6106"/>
      <c r="EI7" s="6106"/>
      <c r="EJ7" s="6106"/>
      <c r="EK7" s="6106"/>
      <c r="EL7" s="6106"/>
      <c r="EM7" s="6106"/>
      <c r="EN7" s="6106"/>
      <c r="EO7" s="6106"/>
      <c r="EP7" s="6106"/>
      <c r="EQ7" s="6106"/>
      <c r="ER7" s="6106"/>
      <c r="ES7" s="6106"/>
      <c r="ET7" s="6106"/>
      <c r="EU7" s="6106"/>
      <c r="EV7" s="6106"/>
      <c r="EW7" s="6106"/>
      <c r="EX7" s="6106"/>
      <c r="EY7" s="6106"/>
      <c r="EZ7" s="6106"/>
      <c r="FA7" s="6106"/>
      <c r="FB7" s="6106"/>
      <c r="FC7" s="6106"/>
      <c r="FD7" s="6283"/>
    </row>
    <row r="8" spans="1:160" s="2072" customFormat="1" ht="15" customHeight="1">
      <c r="A8" s="16498"/>
      <c r="B8" s="16501"/>
      <c r="C8" s="6071"/>
      <c r="D8" s="15350"/>
      <c r="E8" s="15350"/>
      <c r="F8" s="16450"/>
      <c r="G8" s="16450"/>
      <c r="H8" s="16450"/>
      <c r="I8" s="16450"/>
      <c r="J8" s="16450"/>
      <c r="K8" s="16450"/>
      <c r="L8" s="2767" t="s">
        <v>10063</v>
      </c>
      <c r="M8" s="2767"/>
      <c r="N8" s="6072" t="s">
        <v>79</v>
      </c>
      <c r="O8" s="6073"/>
      <c r="P8" s="6073"/>
      <c r="Q8" s="6073"/>
      <c r="R8" s="6073"/>
      <c r="S8" s="6073"/>
      <c r="T8" s="6073"/>
      <c r="U8" s="6073"/>
      <c r="V8" s="6111"/>
      <c r="W8" s="6112"/>
      <c r="X8" s="6104"/>
      <c r="Y8" s="6106"/>
      <c r="Z8" s="6105"/>
      <c r="AA8" s="6105"/>
      <c r="AB8" s="6106"/>
      <c r="AC8" s="6106"/>
      <c r="AD8" s="6107"/>
      <c r="AE8" s="6106"/>
      <c r="AF8" s="6106"/>
      <c r="AG8" s="6106"/>
      <c r="AH8" s="6106"/>
      <c r="AI8" s="6106"/>
      <c r="AJ8" s="6106"/>
      <c r="AK8" s="6106"/>
      <c r="AL8" s="6106"/>
      <c r="AM8" s="6106"/>
      <c r="AN8" s="6106"/>
      <c r="AO8" s="6106"/>
      <c r="AP8" s="6106"/>
      <c r="AQ8" s="6106"/>
      <c r="AR8" s="6106"/>
      <c r="AS8" s="6106"/>
      <c r="AT8" s="6106"/>
      <c r="AU8" s="6106"/>
      <c r="AV8" s="6106"/>
      <c r="AW8" s="6106"/>
      <c r="AX8" s="6106"/>
      <c r="AY8" s="6106"/>
      <c r="AZ8" s="6106"/>
      <c r="BA8" s="6106"/>
      <c r="BB8" s="6106"/>
      <c r="BC8" s="6106"/>
      <c r="BD8" s="6106"/>
      <c r="BE8" s="6106"/>
      <c r="BF8" s="6106"/>
      <c r="BG8" s="6106"/>
      <c r="BH8" s="6106"/>
      <c r="BI8" s="6106"/>
      <c r="BJ8" s="6106"/>
      <c r="BK8" s="6106"/>
      <c r="BL8" s="6106"/>
      <c r="BM8" s="6106"/>
      <c r="BN8" s="3922"/>
      <c r="BO8" s="3221"/>
      <c r="BP8" s="5051"/>
      <c r="BQ8" s="5089"/>
      <c r="BR8" s="16512"/>
      <c r="BS8" s="6108"/>
      <c r="BT8" s="6108"/>
      <c r="BU8" s="6108"/>
      <c r="BV8" s="6109"/>
      <c r="BW8" s="6109"/>
      <c r="BX8" s="6110"/>
      <c r="BY8" s="6110"/>
      <c r="BZ8" s="4786"/>
      <c r="CA8" s="4786"/>
      <c r="CB8" s="4786"/>
      <c r="CC8" s="4786"/>
      <c r="CD8" s="4786"/>
      <c r="CE8" s="4786"/>
      <c r="CF8" s="4786"/>
      <c r="CG8" s="4786"/>
      <c r="CH8" s="4786"/>
      <c r="CI8" s="4786"/>
      <c r="CJ8" s="4786"/>
      <c r="CK8" s="4786"/>
      <c r="CL8" s="4786"/>
      <c r="CM8" s="4786"/>
      <c r="CN8" s="4786"/>
      <c r="CO8" s="6113"/>
      <c r="CP8" s="6113"/>
      <c r="CQ8" s="6113"/>
      <c r="CR8" s="6113"/>
      <c r="CS8" s="6113"/>
      <c r="CT8" s="6113"/>
      <c r="CU8" s="6113"/>
      <c r="CV8" s="6113"/>
      <c r="CW8" s="6113"/>
      <c r="CX8" s="6113"/>
      <c r="CY8" s="6113"/>
      <c r="CZ8" s="3221"/>
      <c r="DA8" s="3224"/>
      <c r="DB8" s="3224"/>
      <c r="DC8" s="3224"/>
      <c r="DD8" s="3224"/>
      <c r="DE8" s="3224"/>
      <c r="DF8" s="3224"/>
      <c r="DG8" s="3224"/>
      <c r="DH8" s="3224"/>
      <c r="DI8" s="2057"/>
      <c r="DK8" s="6282"/>
      <c r="DL8" s="6106"/>
      <c r="DM8" s="6106"/>
      <c r="DN8" s="6106"/>
      <c r="DO8" s="6106"/>
      <c r="DP8" s="6106"/>
      <c r="DQ8" s="6106"/>
      <c r="DR8" s="6106"/>
      <c r="DS8" s="6106"/>
      <c r="DT8" s="6106"/>
      <c r="DU8" s="6106"/>
      <c r="DV8" s="6106"/>
      <c r="DW8" s="6106"/>
      <c r="DX8" s="6106"/>
      <c r="DY8" s="6106"/>
      <c r="DZ8" s="6106"/>
      <c r="EA8" s="6106"/>
      <c r="EB8" s="6106"/>
      <c r="EC8" s="6106"/>
      <c r="ED8" s="6106"/>
      <c r="EE8" s="6106"/>
      <c r="EF8" s="6106"/>
      <c r="EG8" s="6106"/>
      <c r="EH8" s="6106"/>
      <c r="EI8" s="6106"/>
      <c r="EJ8" s="6106"/>
      <c r="EK8" s="6106"/>
      <c r="EL8" s="6106"/>
      <c r="EM8" s="6106"/>
      <c r="EN8" s="6106"/>
      <c r="EO8" s="6106"/>
      <c r="EP8" s="6106"/>
      <c r="EQ8" s="6106"/>
      <c r="ER8" s="6106"/>
      <c r="ES8" s="6106"/>
      <c r="ET8" s="6106"/>
      <c r="EU8" s="6106"/>
      <c r="EV8" s="6106"/>
      <c r="EW8" s="6106"/>
      <c r="EX8" s="6106"/>
      <c r="EY8" s="6106"/>
      <c r="EZ8" s="6106"/>
      <c r="FA8" s="6106"/>
      <c r="FB8" s="6106"/>
      <c r="FC8" s="6106"/>
      <c r="FD8" s="6283"/>
    </row>
    <row r="9" spans="1:160" s="2072" customFormat="1" ht="15" customHeight="1" thickBot="1">
      <c r="A9" s="16499"/>
      <c r="B9" s="16502"/>
      <c r="C9" s="6265" t="s">
        <v>80</v>
      </c>
      <c r="D9" s="5053" t="s">
        <v>5052</v>
      </c>
      <c r="E9" s="5053" t="s">
        <v>81</v>
      </c>
      <c r="F9" s="6266" t="s">
        <v>82</v>
      </c>
      <c r="G9" s="6267" t="s">
        <v>70</v>
      </c>
      <c r="H9" s="6268" t="s">
        <v>83</v>
      </c>
      <c r="I9" s="6268" t="s">
        <v>84</v>
      </c>
      <c r="J9" s="6268" t="s">
        <v>85</v>
      </c>
      <c r="K9" s="6268" t="s">
        <v>73</v>
      </c>
      <c r="L9" s="6268" t="s">
        <v>65</v>
      </c>
      <c r="M9" s="6268" t="s">
        <v>74</v>
      </c>
      <c r="N9" s="6266"/>
      <c r="O9" s="6269">
        <v>500000000</v>
      </c>
      <c r="P9" s="6269">
        <v>515000000</v>
      </c>
      <c r="Q9" s="6269">
        <v>530450000</v>
      </c>
      <c r="R9" s="6269">
        <v>546363500</v>
      </c>
      <c r="S9" s="6269">
        <v>562754405</v>
      </c>
      <c r="T9" s="6269">
        <v>579637037.14999998</v>
      </c>
      <c r="U9" s="6269">
        <v>597026148.26450002</v>
      </c>
      <c r="V9" s="6270">
        <v>1</v>
      </c>
      <c r="W9" s="2073" t="s">
        <v>4228</v>
      </c>
      <c r="X9" s="2074" t="s">
        <v>4229</v>
      </c>
      <c r="Y9" s="2075" t="s">
        <v>4230</v>
      </c>
      <c r="Z9" s="2076">
        <v>5700000</v>
      </c>
      <c r="AA9" s="2076">
        <v>5700000</v>
      </c>
      <c r="AB9" s="2076"/>
      <c r="AC9" s="2076"/>
      <c r="AD9" s="2077">
        <v>6</v>
      </c>
      <c r="AE9" s="2078">
        <v>1</v>
      </c>
      <c r="AF9" s="2078">
        <v>5</v>
      </c>
      <c r="AG9" s="2078" t="s">
        <v>2943</v>
      </c>
      <c r="AH9" s="2078" t="s">
        <v>2943</v>
      </c>
      <c r="AI9" s="2078"/>
      <c r="AJ9" s="2078"/>
      <c r="AK9" s="2078"/>
      <c r="AL9" s="2078"/>
      <c r="AM9" s="2078"/>
      <c r="AN9" s="2078"/>
      <c r="AO9" s="2078"/>
      <c r="AP9" s="2078"/>
      <c r="AQ9" s="2078"/>
      <c r="AR9" s="2078"/>
      <c r="AS9" s="2078"/>
      <c r="AT9" s="2078"/>
      <c r="AU9" s="2078"/>
      <c r="AV9" s="2078"/>
      <c r="AW9" s="2078"/>
      <c r="AX9" s="2078"/>
      <c r="AY9" s="2078" t="s">
        <v>2943</v>
      </c>
      <c r="AZ9" s="2078"/>
      <c r="BA9" s="2078"/>
      <c r="BB9" s="2078" t="s">
        <v>2943</v>
      </c>
      <c r="BC9" s="2078"/>
      <c r="BD9" s="2078"/>
      <c r="BE9" s="2078"/>
      <c r="BF9" s="2078"/>
      <c r="BG9" s="2078"/>
      <c r="BH9" s="2078"/>
      <c r="BI9" s="2078"/>
      <c r="BJ9" s="2078"/>
      <c r="BK9" s="2078"/>
      <c r="BL9" s="2078"/>
      <c r="BM9" s="2078"/>
      <c r="BN9" s="6271">
        <v>0.06</v>
      </c>
      <c r="BO9" s="6272">
        <v>0.06</v>
      </c>
      <c r="BP9" s="4867">
        <v>0.06</v>
      </c>
      <c r="BQ9" s="6271">
        <f t="shared" ref="BQ9:BQ15" si="0">+BP9/BO9</f>
        <v>1</v>
      </c>
      <c r="BR9" s="16513"/>
      <c r="BS9" s="6273" t="s">
        <v>9060</v>
      </c>
      <c r="BT9" s="6274" t="s">
        <v>9037</v>
      </c>
      <c r="BU9" s="6274"/>
      <c r="BV9" s="6275">
        <v>15930000</v>
      </c>
      <c r="BW9" s="6275">
        <v>15930000</v>
      </c>
      <c r="BX9" s="6276"/>
      <c r="BY9" s="6276"/>
      <c r="BZ9" s="6277">
        <v>15</v>
      </c>
      <c r="CA9" s="6277">
        <v>8</v>
      </c>
      <c r="CB9" s="6277">
        <v>7</v>
      </c>
      <c r="CC9" s="6277"/>
      <c r="CD9" s="6277"/>
      <c r="CE9" s="6277"/>
      <c r="CF9" s="6277"/>
      <c r="CG9" s="6277"/>
      <c r="CH9" s="6277"/>
      <c r="CI9" s="6277"/>
      <c r="CJ9" s="6277"/>
      <c r="CK9" s="6277"/>
      <c r="CL9" s="6277"/>
      <c r="CM9" s="6277"/>
      <c r="CN9" s="6277"/>
      <c r="CO9" s="6278"/>
      <c r="CP9" s="6278"/>
      <c r="CQ9" s="6278"/>
      <c r="CR9" s="6278"/>
      <c r="CS9" s="6278"/>
      <c r="CT9" s="5091"/>
      <c r="CU9" s="5091">
        <v>15</v>
      </c>
      <c r="CV9" s="5091"/>
      <c r="CW9" s="5091"/>
      <c r="CX9" s="5091"/>
      <c r="CY9" s="5091"/>
      <c r="CZ9" s="1749"/>
      <c r="DA9" s="1751"/>
      <c r="DB9" s="1751"/>
      <c r="DC9" s="1751"/>
      <c r="DD9" s="1751"/>
      <c r="DE9" s="1751"/>
      <c r="DF9" s="1751"/>
      <c r="DG9" s="1751"/>
      <c r="DH9" s="1751"/>
      <c r="DI9" s="1869"/>
      <c r="DK9" s="6305"/>
      <c r="DL9" s="2078"/>
      <c r="DM9" s="2078"/>
      <c r="DN9" s="2078"/>
      <c r="DO9" s="2078"/>
      <c r="DP9" s="2078"/>
      <c r="DQ9" s="2078"/>
      <c r="DR9" s="2078"/>
      <c r="DS9" s="2078"/>
      <c r="DT9" s="2078"/>
      <c r="DU9" s="2078"/>
      <c r="DV9" s="2078"/>
      <c r="DW9" s="2078"/>
      <c r="DX9" s="2078"/>
      <c r="DY9" s="2078"/>
      <c r="DZ9" s="2078"/>
      <c r="EA9" s="2078"/>
      <c r="EB9" s="2078"/>
      <c r="EC9" s="2078"/>
      <c r="ED9" s="2078"/>
      <c r="EE9" s="2078"/>
      <c r="EF9" s="2078"/>
      <c r="EG9" s="2078"/>
      <c r="EH9" s="2078"/>
      <c r="EI9" s="2078"/>
      <c r="EJ9" s="2078"/>
      <c r="EK9" s="2078"/>
      <c r="EL9" s="2078"/>
      <c r="EM9" s="2078"/>
      <c r="EN9" s="2078"/>
      <c r="EO9" s="2078"/>
      <c r="EP9" s="2078"/>
      <c r="EQ9" s="2078"/>
      <c r="ER9" s="2078"/>
      <c r="ES9" s="2078"/>
      <c r="ET9" s="2078"/>
      <c r="EU9" s="2078"/>
      <c r="EV9" s="2078"/>
      <c r="EW9" s="2078"/>
      <c r="EX9" s="2078"/>
      <c r="EY9" s="2078"/>
      <c r="EZ9" s="2078"/>
      <c r="FA9" s="2078"/>
      <c r="FB9" s="2078"/>
      <c r="FC9" s="2078"/>
      <c r="FD9" s="2079"/>
    </row>
    <row r="10" spans="1:160" s="6319" customFormat="1" ht="15" customHeight="1">
      <c r="A10" s="16505" t="s">
        <v>86</v>
      </c>
      <c r="B10" s="16421" t="s">
        <v>87</v>
      </c>
      <c r="C10" s="16419" t="s">
        <v>88</v>
      </c>
      <c r="D10" s="16451" t="s">
        <v>5053</v>
      </c>
      <c r="E10" s="16446" t="s">
        <v>89</v>
      </c>
      <c r="F10" s="16421" t="s">
        <v>90</v>
      </c>
      <c r="G10" s="16447" t="s">
        <v>70</v>
      </c>
      <c r="H10" s="16447">
        <v>2</v>
      </c>
      <c r="I10" s="16447">
        <v>4</v>
      </c>
      <c r="J10" s="16447">
        <v>6</v>
      </c>
      <c r="K10" s="16447" t="s">
        <v>91</v>
      </c>
      <c r="L10" s="6306" t="s">
        <v>10073</v>
      </c>
      <c r="M10" s="6306" t="s">
        <v>92</v>
      </c>
      <c r="N10" s="6307" t="s">
        <v>93</v>
      </c>
      <c r="O10" s="6308">
        <v>50000000</v>
      </c>
      <c r="P10" s="6308">
        <v>51500000</v>
      </c>
      <c r="Q10" s="6308">
        <v>53045000</v>
      </c>
      <c r="R10" s="6308">
        <v>106090000</v>
      </c>
      <c r="S10" s="6308">
        <v>109272700</v>
      </c>
      <c r="T10" s="6308">
        <v>112550881</v>
      </c>
      <c r="U10" s="6308">
        <v>115927407.43000001</v>
      </c>
      <c r="V10" s="6309">
        <v>1</v>
      </c>
      <c r="W10" s="5175" t="s">
        <v>3586</v>
      </c>
      <c r="X10" s="5175" t="s">
        <v>3564</v>
      </c>
      <c r="Y10" s="6310" t="s">
        <v>3587</v>
      </c>
      <c r="Z10" s="6311">
        <v>22760000</v>
      </c>
      <c r="AA10" s="6312"/>
      <c r="AB10" s="6312"/>
      <c r="AC10" s="6312"/>
      <c r="AD10" s="6312">
        <v>3139</v>
      </c>
      <c r="AE10" s="6312">
        <v>1584</v>
      </c>
      <c r="AF10" s="6312">
        <v>1555</v>
      </c>
      <c r="AG10" s="6312">
        <v>2112</v>
      </c>
      <c r="AH10" s="6312">
        <v>1027</v>
      </c>
      <c r="AI10" s="6312">
        <v>222</v>
      </c>
      <c r="AJ10" s="6312">
        <v>271</v>
      </c>
      <c r="AK10" s="6312">
        <v>498</v>
      </c>
      <c r="AL10" s="6312">
        <v>1102</v>
      </c>
      <c r="AM10" s="6312">
        <v>491</v>
      </c>
      <c r="AN10" s="6312">
        <v>395</v>
      </c>
      <c r="AO10" s="6312">
        <v>160</v>
      </c>
      <c r="AP10" s="6312">
        <v>1221</v>
      </c>
      <c r="AQ10" s="6312">
        <v>41</v>
      </c>
      <c r="AR10" s="6312">
        <v>746</v>
      </c>
      <c r="AS10" s="6312">
        <v>2</v>
      </c>
      <c r="AT10" s="6312">
        <v>4</v>
      </c>
      <c r="AU10" s="6312"/>
      <c r="AV10" s="6312"/>
      <c r="AW10" s="6312"/>
      <c r="AX10" s="6312"/>
      <c r="AY10" s="6312">
        <v>3139</v>
      </c>
      <c r="AZ10" s="6312"/>
      <c r="BA10" s="6312"/>
      <c r="BB10" s="6312"/>
      <c r="BC10" s="6312"/>
      <c r="BD10" s="6313"/>
      <c r="BE10" s="6313"/>
      <c r="BF10" s="6313"/>
      <c r="BG10" s="6313"/>
      <c r="BH10" s="6313"/>
      <c r="BI10" s="6313"/>
      <c r="BJ10" s="6313"/>
      <c r="BK10" s="6313"/>
      <c r="BL10" s="6313"/>
      <c r="BM10" s="6313"/>
      <c r="BN10" s="4355">
        <v>3</v>
      </c>
      <c r="BO10" s="5149">
        <v>3</v>
      </c>
      <c r="BP10" s="5175">
        <v>3</v>
      </c>
      <c r="BQ10" s="6314">
        <f t="shared" si="0"/>
        <v>1</v>
      </c>
      <c r="BR10" s="16514">
        <f>AVERAGE(BQ10:BQ36)</f>
        <v>1</v>
      </c>
      <c r="BS10" s="6315" t="s">
        <v>3586</v>
      </c>
      <c r="BT10" s="6315" t="s">
        <v>3564</v>
      </c>
      <c r="BU10" s="6316"/>
      <c r="BV10" s="6317">
        <v>22760000</v>
      </c>
      <c r="BW10" s="6318"/>
      <c r="BX10" s="6318"/>
      <c r="BY10" s="6318"/>
      <c r="BZ10" s="6317">
        <v>1138</v>
      </c>
      <c r="CA10" s="6317">
        <v>503</v>
      </c>
      <c r="CB10" s="6317">
        <v>635</v>
      </c>
      <c r="CC10" s="6317">
        <v>940</v>
      </c>
      <c r="CD10" s="6317">
        <v>198</v>
      </c>
      <c r="CE10" s="6317">
        <v>222</v>
      </c>
      <c r="CF10" s="6317">
        <v>268</v>
      </c>
      <c r="CG10" s="6317">
        <v>215</v>
      </c>
      <c r="CH10" s="6317">
        <v>432</v>
      </c>
      <c r="CI10" s="6317">
        <v>1</v>
      </c>
      <c r="CJ10" s="6317"/>
      <c r="CK10" s="6317"/>
      <c r="CL10" s="6317"/>
      <c r="CM10" s="6317"/>
      <c r="CN10" s="6317">
        <v>13</v>
      </c>
      <c r="CO10" s="5082"/>
      <c r="CP10" s="5082"/>
      <c r="CQ10" s="5082"/>
      <c r="CR10" s="5082"/>
      <c r="CS10" s="5082"/>
      <c r="CT10" s="5082"/>
      <c r="CU10" s="5082">
        <v>1138</v>
      </c>
      <c r="CV10" s="6316"/>
      <c r="CW10" s="6316"/>
      <c r="CX10" s="6316"/>
      <c r="CY10" s="6316"/>
      <c r="CZ10" s="1932"/>
      <c r="DA10" s="1932"/>
      <c r="DB10" s="1932"/>
      <c r="DC10" s="1932"/>
      <c r="DD10" s="1932"/>
      <c r="DE10" s="1932"/>
      <c r="DF10" s="1932"/>
      <c r="DG10" s="1932"/>
      <c r="DH10" s="1932"/>
      <c r="DI10" s="1933"/>
      <c r="DK10" s="6320"/>
      <c r="DL10" s="6313"/>
      <c r="DM10" s="6313"/>
      <c r="DN10" s="6313"/>
      <c r="DO10" s="6313"/>
      <c r="DP10" s="6313"/>
      <c r="DQ10" s="6313"/>
      <c r="DR10" s="6313"/>
      <c r="DS10" s="6313"/>
      <c r="DT10" s="6313"/>
      <c r="DU10" s="6313"/>
      <c r="DV10" s="6313"/>
      <c r="DW10" s="6313"/>
      <c r="DX10" s="6313"/>
      <c r="DY10" s="6313"/>
      <c r="DZ10" s="6313"/>
      <c r="EA10" s="6313"/>
      <c r="EB10" s="6313"/>
      <c r="EC10" s="6313"/>
      <c r="ED10" s="6313"/>
      <c r="EE10" s="6313"/>
      <c r="EF10" s="6313"/>
      <c r="EG10" s="6313"/>
      <c r="EH10" s="6313"/>
      <c r="EI10" s="6313"/>
      <c r="EJ10" s="6313"/>
      <c r="EK10" s="6313"/>
      <c r="EL10" s="6313"/>
      <c r="EM10" s="6313"/>
      <c r="EN10" s="6313"/>
      <c r="EO10" s="6313"/>
      <c r="EP10" s="6313"/>
      <c r="EQ10" s="6313"/>
      <c r="ER10" s="6313"/>
      <c r="ES10" s="6313"/>
      <c r="ET10" s="6313"/>
      <c r="EU10" s="6313"/>
      <c r="EV10" s="6313"/>
      <c r="EW10" s="6313"/>
      <c r="EX10" s="6313"/>
      <c r="EY10" s="6313"/>
      <c r="EZ10" s="6313"/>
      <c r="FA10" s="6313"/>
      <c r="FB10" s="6313"/>
      <c r="FC10" s="6313"/>
      <c r="FD10" s="6321"/>
    </row>
    <row r="11" spans="1:160" s="6319" customFormat="1" ht="15" customHeight="1">
      <c r="A11" s="16506"/>
      <c r="B11" s="16444"/>
      <c r="C11" s="16420"/>
      <c r="D11" s="16442"/>
      <c r="E11" s="16443"/>
      <c r="F11" s="16444"/>
      <c r="G11" s="16445"/>
      <c r="H11" s="16445"/>
      <c r="I11" s="16445"/>
      <c r="J11" s="16445"/>
      <c r="K11" s="16445"/>
      <c r="L11" s="6323"/>
      <c r="M11" s="6323"/>
      <c r="N11" s="6324"/>
      <c r="O11" s="6325"/>
      <c r="P11" s="6325"/>
      <c r="Q11" s="6325"/>
      <c r="R11" s="6325"/>
      <c r="S11" s="6325"/>
      <c r="T11" s="6325"/>
      <c r="U11" s="6325"/>
      <c r="V11" s="6326"/>
      <c r="W11" s="4058"/>
      <c r="X11" s="4058"/>
      <c r="Y11" s="6327"/>
      <c r="Z11" s="6328"/>
      <c r="AA11" s="6329"/>
      <c r="AB11" s="6329"/>
      <c r="AC11" s="6329"/>
      <c r="AD11" s="6329"/>
      <c r="AE11" s="6329"/>
      <c r="AF11" s="6329"/>
      <c r="AG11" s="6329"/>
      <c r="AH11" s="6329"/>
      <c r="AI11" s="6329"/>
      <c r="AJ11" s="6329"/>
      <c r="AK11" s="6329"/>
      <c r="AL11" s="6329"/>
      <c r="AM11" s="6329"/>
      <c r="AN11" s="6329"/>
      <c r="AO11" s="6329"/>
      <c r="AP11" s="6329"/>
      <c r="AQ11" s="6329"/>
      <c r="AR11" s="6329"/>
      <c r="AS11" s="6329"/>
      <c r="AT11" s="6329"/>
      <c r="AU11" s="6329"/>
      <c r="AV11" s="6329"/>
      <c r="AW11" s="6329"/>
      <c r="AX11" s="6329"/>
      <c r="AY11" s="6329"/>
      <c r="AZ11" s="6329"/>
      <c r="BA11" s="6329"/>
      <c r="BB11" s="6329"/>
      <c r="BC11" s="6329"/>
      <c r="BD11" s="6330"/>
      <c r="BE11" s="6330"/>
      <c r="BF11" s="6330"/>
      <c r="BG11" s="6330"/>
      <c r="BH11" s="6330"/>
      <c r="BI11" s="6330"/>
      <c r="BJ11" s="6330"/>
      <c r="BK11" s="6330"/>
      <c r="BL11" s="6330"/>
      <c r="BM11" s="6330"/>
      <c r="BN11" s="4046"/>
      <c r="BO11" s="4063"/>
      <c r="BP11" s="4058"/>
      <c r="BQ11" s="4274"/>
      <c r="BR11" s="16515"/>
      <c r="BS11" s="6331"/>
      <c r="BT11" s="6331"/>
      <c r="BU11" s="6332"/>
      <c r="BV11" s="6333"/>
      <c r="BW11" s="6334"/>
      <c r="BX11" s="6334"/>
      <c r="BY11" s="6334"/>
      <c r="BZ11" s="6333"/>
      <c r="CA11" s="6333"/>
      <c r="CB11" s="6333"/>
      <c r="CC11" s="6333"/>
      <c r="CD11" s="6333"/>
      <c r="CE11" s="6333"/>
      <c r="CF11" s="6333"/>
      <c r="CG11" s="6333"/>
      <c r="CH11" s="6333"/>
      <c r="CI11" s="6333"/>
      <c r="CJ11" s="6333"/>
      <c r="CK11" s="6333"/>
      <c r="CL11" s="6333"/>
      <c r="CM11" s="6333"/>
      <c r="CN11" s="6333"/>
      <c r="CO11" s="2727"/>
      <c r="CP11" s="2727"/>
      <c r="CQ11" s="2727"/>
      <c r="CR11" s="2727"/>
      <c r="CS11" s="2727"/>
      <c r="CT11" s="2727"/>
      <c r="CU11" s="2727"/>
      <c r="CV11" s="6332"/>
      <c r="CW11" s="6332"/>
      <c r="CX11" s="6332"/>
      <c r="CY11" s="6332"/>
      <c r="CZ11" s="3471"/>
      <c r="DA11" s="3471"/>
      <c r="DB11" s="3471"/>
      <c r="DC11" s="3471"/>
      <c r="DD11" s="3471"/>
      <c r="DE11" s="3471"/>
      <c r="DF11" s="3471"/>
      <c r="DG11" s="3471"/>
      <c r="DH11" s="3471"/>
      <c r="DI11" s="2054"/>
      <c r="DK11" s="6335"/>
      <c r="DL11" s="6330"/>
      <c r="DM11" s="6330"/>
      <c r="DN11" s="6330"/>
      <c r="DO11" s="6330"/>
      <c r="DP11" s="6330"/>
      <c r="DQ11" s="6330"/>
      <c r="DR11" s="6330"/>
      <c r="DS11" s="6330"/>
      <c r="DT11" s="6330"/>
      <c r="DU11" s="6330"/>
      <c r="DV11" s="6330"/>
      <c r="DW11" s="6330"/>
      <c r="DX11" s="6330"/>
      <c r="DY11" s="6330"/>
      <c r="DZ11" s="6330"/>
      <c r="EA11" s="6330"/>
      <c r="EB11" s="6330"/>
      <c r="EC11" s="6330"/>
      <c r="ED11" s="6330"/>
      <c r="EE11" s="6330"/>
      <c r="EF11" s="6330"/>
      <c r="EG11" s="6330"/>
      <c r="EH11" s="6330"/>
      <c r="EI11" s="6330"/>
      <c r="EJ11" s="6330"/>
      <c r="EK11" s="6330"/>
      <c r="EL11" s="6330"/>
      <c r="EM11" s="6330"/>
      <c r="EN11" s="6330"/>
      <c r="EO11" s="6330"/>
      <c r="EP11" s="6330"/>
      <c r="EQ11" s="6330"/>
      <c r="ER11" s="6330"/>
      <c r="ES11" s="6330"/>
      <c r="ET11" s="6330"/>
      <c r="EU11" s="6330"/>
      <c r="EV11" s="6330"/>
      <c r="EW11" s="6330"/>
      <c r="EX11" s="6330"/>
      <c r="EY11" s="6330"/>
      <c r="EZ11" s="6330"/>
      <c r="FA11" s="6330"/>
      <c r="FB11" s="6330"/>
      <c r="FC11" s="6330"/>
      <c r="FD11" s="6336"/>
    </row>
    <row r="12" spans="1:160" s="6319" customFormat="1" ht="15" customHeight="1">
      <c r="A12" s="16506"/>
      <c r="B12" s="16444"/>
      <c r="C12" s="16420"/>
      <c r="D12" s="4058" t="s">
        <v>5054</v>
      </c>
      <c r="E12" s="6337" t="s">
        <v>94</v>
      </c>
      <c r="F12" s="6323" t="s">
        <v>95</v>
      </c>
      <c r="G12" s="6338" t="s">
        <v>70</v>
      </c>
      <c r="H12" s="6323">
        <v>2</v>
      </c>
      <c r="I12" s="6338">
        <v>4</v>
      </c>
      <c r="J12" s="6338">
        <v>6</v>
      </c>
      <c r="K12" s="6323" t="s">
        <v>96</v>
      </c>
      <c r="L12" s="6323" t="s">
        <v>86</v>
      </c>
      <c r="M12" s="6323" t="s">
        <v>97</v>
      </c>
      <c r="N12" s="6339" t="s">
        <v>98</v>
      </c>
      <c r="O12" s="6325">
        <v>50000000</v>
      </c>
      <c r="P12" s="6325">
        <v>51500000</v>
      </c>
      <c r="Q12" s="6325">
        <v>53045000</v>
      </c>
      <c r="R12" s="6325">
        <v>106090000</v>
      </c>
      <c r="S12" s="6325">
        <v>109272700</v>
      </c>
      <c r="T12" s="6325">
        <v>112550881</v>
      </c>
      <c r="U12" s="6325">
        <v>115927407.43000001</v>
      </c>
      <c r="V12" s="6326">
        <v>1</v>
      </c>
      <c r="W12" s="6327" t="s">
        <v>3588</v>
      </c>
      <c r="X12" s="6329" t="s">
        <v>3575</v>
      </c>
      <c r="Y12" s="6329"/>
      <c r="Z12" s="6328">
        <v>11640000</v>
      </c>
      <c r="AA12" s="6329"/>
      <c r="AB12" s="6329"/>
      <c r="AC12" s="6329"/>
      <c r="AD12" s="6329">
        <v>582</v>
      </c>
      <c r="AE12" s="6329">
        <v>126</v>
      </c>
      <c r="AF12" s="6329">
        <v>456</v>
      </c>
      <c r="AG12" s="6329">
        <v>462</v>
      </c>
      <c r="AH12" s="6329">
        <v>120</v>
      </c>
      <c r="AI12" s="6329">
        <v>0</v>
      </c>
      <c r="AJ12" s="6329">
        <v>0</v>
      </c>
      <c r="AK12" s="6329">
        <v>0</v>
      </c>
      <c r="AL12" s="6329">
        <v>230</v>
      </c>
      <c r="AM12" s="6329">
        <v>168</v>
      </c>
      <c r="AN12" s="6329">
        <v>119</v>
      </c>
      <c r="AO12" s="6329">
        <v>65</v>
      </c>
      <c r="AP12" s="6329">
        <v>218</v>
      </c>
      <c r="AQ12" s="6329">
        <v>6</v>
      </c>
      <c r="AR12" s="6329">
        <v>252</v>
      </c>
      <c r="AS12" s="6329">
        <v>29</v>
      </c>
      <c r="AT12" s="6329">
        <v>76</v>
      </c>
      <c r="AU12" s="6329">
        <v>1</v>
      </c>
      <c r="AV12" s="6329"/>
      <c r="AW12" s="6329"/>
      <c r="AX12" s="6329"/>
      <c r="AY12" s="6329">
        <v>582</v>
      </c>
      <c r="AZ12" s="6329"/>
      <c r="BA12" s="6329"/>
      <c r="BB12" s="6329"/>
      <c r="BC12" s="6329"/>
      <c r="BD12" s="6330"/>
      <c r="BE12" s="6330"/>
      <c r="BF12" s="6330"/>
      <c r="BG12" s="6330"/>
      <c r="BH12" s="6330"/>
      <c r="BI12" s="6330"/>
      <c r="BJ12" s="6330"/>
      <c r="BK12" s="6330"/>
      <c r="BL12" s="6330"/>
      <c r="BM12" s="6330"/>
      <c r="BN12" s="4046">
        <v>4</v>
      </c>
      <c r="BO12" s="4063">
        <v>6</v>
      </c>
      <c r="BP12" s="4058">
        <v>6</v>
      </c>
      <c r="BQ12" s="4274">
        <f t="shared" si="0"/>
        <v>1</v>
      </c>
      <c r="BR12" s="16516"/>
      <c r="BS12" s="6331" t="s">
        <v>9061</v>
      </c>
      <c r="BT12" s="6331" t="s">
        <v>3575</v>
      </c>
      <c r="BU12" s="6331"/>
      <c r="BV12" s="6340">
        <v>11640000</v>
      </c>
      <c r="BW12" s="6340"/>
      <c r="BX12" s="6340"/>
      <c r="BY12" s="6340"/>
      <c r="BZ12" s="6340">
        <v>582</v>
      </c>
      <c r="CA12" s="6340">
        <v>126</v>
      </c>
      <c r="CB12" s="6340">
        <v>456</v>
      </c>
      <c r="CC12" s="6340">
        <v>462</v>
      </c>
      <c r="CD12" s="6340">
        <v>120</v>
      </c>
      <c r="CE12" s="6340">
        <v>0</v>
      </c>
      <c r="CF12" s="6340">
        <v>0</v>
      </c>
      <c r="CG12" s="6340">
        <v>0</v>
      </c>
      <c r="CH12" s="6340">
        <v>230</v>
      </c>
      <c r="CI12" s="6340">
        <v>168</v>
      </c>
      <c r="CJ12" s="6340">
        <v>119</v>
      </c>
      <c r="CK12" s="6340">
        <v>65</v>
      </c>
      <c r="CL12" s="6340">
        <v>218</v>
      </c>
      <c r="CM12" s="6340">
        <v>6</v>
      </c>
      <c r="CN12" s="6340">
        <v>252</v>
      </c>
      <c r="CO12" s="6341">
        <v>29</v>
      </c>
      <c r="CP12" s="6341">
        <v>76</v>
      </c>
      <c r="CQ12" s="6341">
        <v>1</v>
      </c>
      <c r="CR12" s="6341"/>
      <c r="CS12" s="6341"/>
      <c r="CT12" s="6341"/>
      <c r="CU12" s="6341">
        <v>582</v>
      </c>
      <c r="CV12" s="6341"/>
      <c r="CW12" s="6341"/>
      <c r="CX12" s="6341"/>
      <c r="CY12" s="6341"/>
      <c r="CZ12" s="3471"/>
      <c r="DA12" s="3471"/>
      <c r="DB12" s="3471"/>
      <c r="DC12" s="3471"/>
      <c r="DD12" s="3471"/>
      <c r="DE12" s="3471"/>
      <c r="DF12" s="3471"/>
      <c r="DG12" s="3471"/>
      <c r="DH12" s="3471"/>
      <c r="DI12" s="2054"/>
      <c r="DK12" s="6335"/>
      <c r="DL12" s="6330"/>
      <c r="DM12" s="6330"/>
      <c r="DN12" s="6330"/>
      <c r="DO12" s="6330"/>
      <c r="DP12" s="6330"/>
      <c r="DQ12" s="6330"/>
      <c r="DR12" s="6330"/>
      <c r="DS12" s="6330"/>
      <c r="DT12" s="6330"/>
      <c r="DU12" s="6330"/>
      <c r="DV12" s="6330"/>
      <c r="DW12" s="6330"/>
      <c r="DX12" s="6330"/>
      <c r="DY12" s="6330"/>
      <c r="DZ12" s="6330"/>
      <c r="EA12" s="6330"/>
      <c r="EB12" s="6330"/>
      <c r="EC12" s="6330"/>
      <c r="ED12" s="6330"/>
      <c r="EE12" s="6330"/>
      <c r="EF12" s="6330"/>
      <c r="EG12" s="6330"/>
      <c r="EH12" s="6330"/>
      <c r="EI12" s="6330"/>
      <c r="EJ12" s="6330"/>
      <c r="EK12" s="6330"/>
      <c r="EL12" s="6330"/>
      <c r="EM12" s="6330"/>
      <c r="EN12" s="6330"/>
      <c r="EO12" s="6330"/>
      <c r="EP12" s="6330"/>
      <c r="EQ12" s="6330"/>
      <c r="ER12" s="6330"/>
      <c r="ES12" s="6330"/>
      <c r="ET12" s="6330"/>
      <c r="EU12" s="6330"/>
      <c r="EV12" s="6330"/>
      <c r="EW12" s="6330"/>
      <c r="EX12" s="6330"/>
      <c r="EY12" s="6330"/>
      <c r="EZ12" s="6330"/>
      <c r="FA12" s="6330"/>
      <c r="FB12" s="6330"/>
      <c r="FC12" s="6330"/>
      <c r="FD12" s="6336"/>
    </row>
    <row r="13" spans="1:160" s="6319" customFormat="1" ht="15" customHeight="1">
      <c r="A13" s="16506"/>
      <c r="B13" s="16444"/>
      <c r="C13" s="16420"/>
      <c r="D13" s="16442" t="s">
        <v>5055</v>
      </c>
      <c r="E13" s="16443" t="s">
        <v>99</v>
      </c>
      <c r="F13" s="16444" t="s">
        <v>95</v>
      </c>
      <c r="G13" s="16445" t="s">
        <v>70</v>
      </c>
      <c r="H13" s="16445">
        <v>10</v>
      </c>
      <c r="I13" s="16445">
        <v>15</v>
      </c>
      <c r="J13" s="16445">
        <v>20</v>
      </c>
      <c r="K13" s="16445" t="s">
        <v>100</v>
      </c>
      <c r="L13" s="6323" t="s">
        <v>86</v>
      </c>
      <c r="M13" s="6323" t="s">
        <v>97</v>
      </c>
      <c r="N13" s="6339"/>
      <c r="O13" s="6325">
        <v>50000000</v>
      </c>
      <c r="P13" s="6325">
        <v>51500000</v>
      </c>
      <c r="Q13" s="6325">
        <v>53045000</v>
      </c>
      <c r="R13" s="6325">
        <v>79567500</v>
      </c>
      <c r="S13" s="6325">
        <v>81954525</v>
      </c>
      <c r="T13" s="6325">
        <v>84413160.75</v>
      </c>
      <c r="U13" s="6325">
        <v>86945555.572500005</v>
      </c>
      <c r="V13" s="6326">
        <v>1</v>
      </c>
      <c r="W13" s="6327" t="s">
        <v>3589</v>
      </c>
      <c r="X13" s="6329" t="s">
        <v>3575</v>
      </c>
      <c r="Y13" s="6327" t="s">
        <v>3590</v>
      </c>
      <c r="Z13" s="6329">
        <v>20192000</v>
      </c>
      <c r="AA13" s="6329"/>
      <c r="AB13" s="6329">
        <v>20192000</v>
      </c>
      <c r="AC13" s="6329"/>
      <c r="AD13" s="6329">
        <v>596</v>
      </c>
      <c r="AE13" s="6329">
        <v>245</v>
      </c>
      <c r="AF13" s="6329">
        <v>351</v>
      </c>
      <c r="AG13" s="6329"/>
      <c r="AH13" s="6329"/>
      <c r="AI13" s="6329">
        <v>0</v>
      </c>
      <c r="AJ13" s="6329">
        <v>61</v>
      </c>
      <c r="AK13" s="6329">
        <v>197</v>
      </c>
      <c r="AL13" s="6329">
        <v>145</v>
      </c>
      <c r="AM13" s="6329">
        <v>101</v>
      </c>
      <c r="AN13" s="6329">
        <v>60</v>
      </c>
      <c r="AO13" s="6329">
        <v>32</v>
      </c>
      <c r="AP13" s="6329"/>
      <c r="AQ13" s="6329"/>
      <c r="AR13" s="6329"/>
      <c r="AS13" s="6329"/>
      <c r="AT13" s="6329"/>
      <c r="AU13" s="6329"/>
      <c r="AV13" s="6329"/>
      <c r="AW13" s="6329"/>
      <c r="AX13" s="6329"/>
      <c r="AY13" s="6329"/>
      <c r="AZ13" s="6329"/>
      <c r="BA13" s="6329">
        <v>596</v>
      </c>
      <c r="BB13" s="6329"/>
      <c r="BC13" s="6329"/>
      <c r="BD13" s="6329"/>
      <c r="BE13" s="6329"/>
      <c r="BF13" s="6329"/>
      <c r="BG13" s="6329"/>
      <c r="BH13" s="6329"/>
      <c r="BI13" s="6329"/>
      <c r="BJ13" s="6329"/>
      <c r="BK13" s="6329"/>
      <c r="BL13" s="6329"/>
      <c r="BM13" s="6329"/>
      <c r="BN13" s="4063">
        <v>2</v>
      </c>
      <c r="BO13" s="4063">
        <v>18</v>
      </c>
      <c r="BP13" s="4058">
        <v>18</v>
      </c>
      <c r="BQ13" s="4274">
        <f t="shared" si="0"/>
        <v>1</v>
      </c>
      <c r="BR13" s="16516"/>
      <c r="BS13" s="5852" t="s">
        <v>3589</v>
      </c>
      <c r="BT13" s="3471"/>
      <c r="BU13" s="3471"/>
      <c r="BV13" s="6342"/>
      <c r="BW13" s="6342"/>
      <c r="BX13" s="6342"/>
      <c r="BY13" s="6342"/>
      <c r="BZ13" s="6342"/>
      <c r="CA13" s="6342"/>
      <c r="CB13" s="6342"/>
      <c r="CC13" s="6342"/>
      <c r="CD13" s="6342"/>
      <c r="CE13" s="6342"/>
      <c r="CF13" s="6342"/>
      <c r="CG13" s="6342"/>
      <c r="CH13" s="6342"/>
      <c r="CI13" s="6342"/>
      <c r="CJ13" s="6342"/>
      <c r="CK13" s="6342"/>
      <c r="CL13" s="6342"/>
      <c r="CM13" s="6342"/>
      <c r="CN13" s="6342"/>
      <c r="CO13" s="4063"/>
      <c r="CP13" s="4063"/>
      <c r="CQ13" s="4063"/>
      <c r="CR13" s="4063"/>
      <c r="CS13" s="4063"/>
      <c r="CT13" s="4063"/>
      <c r="CU13" s="4063"/>
      <c r="CV13" s="4063"/>
      <c r="CW13" s="4063"/>
      <c r="CX13" s="4063"/>
      <c r="CY13" s="4063"/>
      <c r="CZ13" s="3471"/>
      <c r="DA13" s="3471"/>
      <c r="DB13" s="3471"/>
      <c r="DC13" s="3471"/>
      <c r="DD13" s="3471"/>
      <c r="DE13" s="3471"/>
      <c r="DF13" s="3471"/>
      <c r="DG13" s="3471"/>
      <c r="DH13" s="3471"/>
      <c r="DI13" s="2054"/>
      <c r="DK13" s="6335"/>
      <c r="DL13" s="6330"/>
      <c r="DM13" s="6330"/>
      <c r="DN13" s="6330"/>
      <c r="DO13" s="6330"/>
      <c r="DP13" s="6330"/>
      <c r="DQ13" s="6330"/>
      <c r="DR13" s="6330"/>
      <c r="DS13" s="6330"/>
      <c r="DT13" s="6330"/>
      <c r="DU13" s="6330"/>
      <c r="DV13" s="6330"/>
      <c r="DW13" s="6330"/>
      <c r="DX13" s="6330"/>
      <c r="DY13" s="6330"/>
      <c r="DZ13" s="6330"/>
      <c r="EA13" s="6330"/>
      <c r="EB13" s="6330"/>
      <c r="EC13" s="6330"/>
      <c r="ED13" s="6330"/>
      <c r="EE13" s="6330"/>
      <c r="EF13" s="6330"/>
      <c r="EG13" s="6330"/>
      <c r="EH13" s="6330"/>
      <c r="EI13" s="6330"/>
      <c r="EJ13" s="6330"/>
      <c r="EK13" s="6330"/>
      <c r="EL13" s="6330"/>
      <c r="EM13" s="6330"/>
      <c r="EN13" s="6330"/>
      <c r="EO13" s="6330"/>
      <c r="EP13" s="6330"/>
      <c r="EQ13" s="6330"/>
      <c r="ER13" s="6330"/>
      <c r="ES13" s="6330"/>
      <c r="ET13" s="6330"/>
      <c r="EU13" s="6330"/>
      <c r="EV13" s="6330"/>
      <c r="EW13" s="6330"/>
      <c r="EX13" s="6330"/>
      <c r="EY13" s="6330"/>
      <c r="EZ13" s="6330"/>
      <c r="FA13" s="6330"/>
      <c r="FB13" s="6330"/>
      <c r="FC13" s="6330"/>
      <c r="FD13" s="6336"/>
    </row>
    <row r="14" spans="1:160" s="6319" customFormat="1" ht="15" customHeight="1">
      <c r="A14" s="16506"/>
      <c r="B14" s="16444"/>
      <c r="C14" s="16420"/>
      <c r="D14" s="16442"/>
      <c r="E14" s="16443"/>
      <c r="F14" s="16444"/>
      <c r="G14" s="16445"/>
      <c r="H14" s="16445"/>
      <c r="I14" s="16445"/>
      <c r="J14" s="16445"/>
      <c r="K14" s="16445"/>
      <c r="L14" s="6323" t="s">
        <v>10199</v>
      </c>
      <c r="M14" s="6323"/>
      <c r="N14" s="6339" t="s">
        <v>101</v>
      </c>
      <c r="O14" s="6325"/>
      <c r="P14" s="6325"/>
      <c r="Q14" s="6325"/>
      <c r="R14" s="6325"/>
      <c r="S14" s="6325"/>
      <c r="T14" s="6325"/>
      <c r="U14" s="6325"/>
      <c r="V14" s="6326"/>
      <c r="W14" s="6327"/>
      <c r="X14" s="6329"/>
      <c r="Y14" s="6327"/>
      <c r="Z14" s="6329"/>
      <c r="AA14" s="6329"/>
      <c r="AB14" s="6329"/>
      <c r="AC14" s="6329"/>
      <c r="AD14" s="6329"/>
      <c r="AE14" s="6329"/>
      <c r="AF14" s="6329"/>
      <c r="AG14" s="6329"/>
      <c r="AH14" s="6329"/>
      <c r="AI14" s="6329"/>
      <c r="AJ14" s="6329"/>
      <c r="AK14" s="6329"/>
      <c r="AL14" s="6329"/>
      <c r="AM14" s="6329"/>
      <c r="AN14" s="6329"/>
      <c r="AO14" s="6329"/>
      <c r="AP14" s="6329"/>
      <c r="AQ14" s="6329"/>
      <c r="AR14" s="6329"/>
      <c r="AS14" s="6329"/>
      <c r="AT14" s="6329"/>
      <c r="AU14" s="6329"/>
      <c r="AV14" s="6329"/>
      <c r="AW14" s="6329"/>
      <c r="AX14" s="6329"/>
      <c r="AY14" s="6329"/>
      <c r="AZ14" s="6329"/>
      <c r="BA14" s="6329"/>
      <c r="BB14" s="6329"/>
      <c r="BC14" s="6329"/>
      <c r="BD14" s="6329"/>
      <c r="BE14" s="6329"/>
      <c r="BF14" s="6329"/>
      <c r="BG14" s="6329"/>
      <c r="BH14" s="6329"/>
      <c r="BI14" s="6329"/>
      <c r="BJ14" s="6329"/>
      <c r="BK14" s="6329"/>
      <c r="BL14" s="6329"/>
      <c r="BM14" s="6329"/>
      <c r="BN14" s="4063"/>
      <c r="BO14" s="4063"/>
      <c r="BP14" s="4058"/>
      <c r="BQ14" s="4274"/>
      <c r="BR14" s="16516"/>
      <c r="BS14" s="5852"/>
      <c r="BT14" s="3471"/>
      <c r="BU14" s="3471"/>
      <c r="BV14" s="6342"/>
      <c r="BW14" s="6342"/>
      <c r="BX14" s="6342"/>
      <c r="BY14" s="6342"/>
      <c r="BZ14" s="6342"/>
      <c r="CA14" s="6342"/>
      <c r="CB14" s="6342"/>
      <c r="CC14" s="6342"/>
      <c r="CD14" s="6342"/>
      <c r="CE14" s="6342"/>
      <c r="CF14" s="6342"/>
      <c r="CG14" s="6342"/>
      <c r="CH14" s="6342"/>
      <c r="CI14" s="6342"/>
      <c r="CJ14" s="6342"/>
      <c r="CK14" s="6342"/>
      <c r="CL14" s="6342"/>
      <c r="CM14" s="6342"/>
      <c r="CN14" s="6342"/>
      <c r="CO14" s="4063"/>
      <c r="CP14" s="4063"/>
      <c r="CQ14" s="4063"/>
      <c r="CR14" s="4063"/>
      <c r="CS14" s="4063"/>
      <c r="CT14" s="4063"/>
      <c r="CU14" s="4063"/>
      <c r="CV14" s="4063"/>
      <c r="CW14" s="4063"/>
      <c r="CX14" s="4063"/>
      <c r="CY14" s="4063"/>
      <c r="CZ14" s="3471"/>
      <c r="DA14" s="3471"/>
      <c r="DB14" s="3471"/>
      <c r="DC14" s="3471"/>
      <c r="DD14" s="3471"/>
      <c r="DE14" s="3471"/>
      <c r="DF14" s="3471"/>
      <c r="DG14" s="3471"/>
      <c r="DH14" s="3471"/>
      <c r="DI14" s="2054"/>
      <c r="DK14" s="6335"/>
      <c r="DL14" s="6330"/>
      <c r="DM14" s="6330"/>
      <c r="DN14" s="6330"/>
      <c r="DO14" s="6330"/>
      <c r="DP14" s="6330"/>
      <c r="DQ14" s="6330"/>
      <c r="DR14" s="6330"/>
      <c r="DS14" s="6330"/>
      <c r="DT14" s="6330"/>
      <c r="DU14" s="6330"/>
      <c r="DV14" s="6330"/>
      <c r="DW14" s="6330"/>
      <c r="DX14" s="6330"/>
      <c r="DY14" s="6330"/>
      <c r="DZ14" s="6330"/>
      <c r="EA14" s="6330"/>
      <c r="EB14" s="6330"/>
      <c r="EC14" s="6330"/>
      <c r="ED14" s="6330"/>
      <c r="EE14" s="6330"/>
      <c r="EF14" s="6330"/>
      <c r="EG14" s="6330"/>
      <c r="EH14" s="6330"/>
      <c r="EI14" s="6330"/>
      <c r="EJ14" s="6330"/>
      <c r="EK14" s="6330"/>
      <c r="EL14" s="6330"/>
      <c r="EM14" s="6330"/>
      <c r="EN14" s="6330"/>
      <c r="EO14" s="6330"/>
      <c r="EP14" s="6330"/>
      <c r="EQ14" s="6330"/>
      <c r="ER14" s="6330"/>
      <c r="ES14" s="6330"/>
      <c r="ET14" s="6330"/>
      <c r="EU14" s="6330"/>
      <c r="EV14" s="6330"/>
      <c r="EW14" s="6330"/>
      <c r="EX14" s="6330"/>
      <c r="EY14" s="6330"/>
      <c r="EZ14" s="6330"/>
      <c r="FA14" s="6330"/>
      <c r="FB14" s="6330"/>
      <c r="FC14" s="6330"/>
      <c r="FD14" s="6336"/>
    </row>
    <row r="15" spans="1:160" s="6319" customFormat="1" ht="15" customHeight="1">
      <c r="A15" s="16506"/>
      <c r="B15" s="16444"/>
      <c r="C15" s="16420"/>
      <c r="D15" s="16442" t="s">
        <v>5056</v>
      </c>
      <c r="E15" s="16443" t="s">
        <v>102</v>
      </c>
      <c r="F15" s="16444" t="s">
        <v>103</v>
      </c>
      <c r="G15" s="16445" t="s">
        <v>70</v>
      </c>
      <c r="H15" s="16445">
        <v>1</v>
      </c>
      <c r="I15" s="16445" t="s">
        <v>104</v>
      </c>
      <c r="J15" s="16445" t="s">
        <v>104</v>
      </c>
      <c r="K15" s="16445" t="s">
        <v>105</v>
      </c>
      <c r="L15" s="6323" t="s">
        <v>86</v>
      </c>
      <c r="M15" s="6323" t="s">
        <v>106</v>
      </c>
      <c r="N15" s="6324"/>
      <c r="O15" s="6325">
        <v>20000000</v>
      </c>
      <c r="P15" s="6325">
        <v>0</v>
      </c>
      <c r="Q15" s="6325">
        <v>0</v>
      </c>
      <c r="R15" s="6325">
        <v>21800000</v>
      </c>
      <c r="S15" s="6325">
        <v>0</v>
      </c>
      <c r="T15" s="6325">
        <v>0</v>
      </c>
      <c r="U15" s="6325">
        <v>0</v>
      </c>
      <c r="V15" s="6326">
        <v>1</v>
      </c>
      <c r="W15" s="6327" t="s">
        <v>3591</v>
      </c>
      <c r="X15" s="6327" t="s">
        <v>3592</v>
      </c>
      <c r="Y15" s="6329"/>
      <c r="Z15" s="6328">
        <v>25270000</v>
      </c>
      <c r="AA15" s="6329"/>
      <c r="AB15" s="6329"/>
      <c r="AC15" s="6329"/>
      <c r="AD15" s="6327" t="s">
        <v>3593</v>
      </c>
      <c r="AE15" s="6329">
        <v>544</v>
      </c>
      <c r="AF15" s="6329">
        <v>812</v>
      </c>
      <c r="AG15" s="6329">
        <v>1106</v>
      </c>
      <c r="AH15" s="6329">
        <v>250</v>
      </c>
      <c r="AI15" s="6329">
        <v>171</v>
      </c>
      <c r="AJ15" s="6329">
        <v>176</v>
      </c>
      <c r="AK15" s="6329">
        <v>215</v>
      </c>
      <c r="AL15" s="6329">
        <v>432</v>
      </c>
      <c r="AM15" s="6329">
        <v>20</v>
      </c>
      <c r="AN15" s="6329">
        <v>247</v>
      </c>
      <c r="AO15" s="6329">
        <v>95</v>
      </c>
      <c r="AP15" s="6329">
        <v>679</v>
      </c>
      <c r="AQ15" s="6329">
        <v>37</v>
      </c>
      <c r="AR15" s="6329">
        <v>633</v>
      </c>
      <c r="AS15" s="6329">
        <v>7</v>
      </c>
      <c r="AT15" s="6329"/>
      <c r="AU15" s="6329"/>
      <c r="AV15" s="6329"/>
      <c r="AW15" s="6329"/>
      <c r="AX15" s="6329"/>
      <c r="AY15" s="6329">
        <v>1356</v>
      </c>
      <c r="AZ15" s="6329"/>
      <c r="BA15" s="6329"/>
      <c r="BB15" s="6329"/>
      <c r="BC15" s="6329"/>
      <c r="BD15" s="6330"/>
      <c r="BE15" s="6330"/>
      <c r="BF15" s="6330"/>
      <c r="BG15" s="6330"/>
      <c r="BH15" s="6330"/>
      <c r="BI15" s="6330"/>
      <c r="BJ15" s="6330"/>
      <c r="BK15" s="6330"/>
      <c r="BL15" s="6330"/>
      <c r="BM15" s="6330"/>
      <c r="BN15" s="4046">
        <v>1</v>
      </c>
      <c r="BO15" s="4063">
        <v>1</v>
      </c>
      <c r="BP15" s="4058">
        <v>1</v>
      </c>
      <c r="BQ15" s="4274">
        <f t="shared" si="0"/>
        <v>1</v>
      </c>
      <c r="BR15" s="16516"/>
      <c r="BS15" s="6331" t="s">
        <v>9062</v>
      </c>
      <c r="BT15" s="6331" t="s">
        <v>3592</v>
      </c>
      <c r="BU15" s="6331"/>
      <c r="BV15" s="6340">
        <v>25270000</v>
      </c>
      <c r="BW15" s="6340"/>
      <c r="BX15" s="6340"/>
      <c r="BY15" s="6340"/>
      <c r="BZ15" s="6340">
        <v>1356</v>
      </c>
      <c r="CA15" s="6340">
        <v>544</v>
      </c>
      <c r="CB15" s="6340">
        <v>812</v>
      </c>
      <c r="CC15" s="6340">
        <v>1106</v>
      </c>
      <c r="CD15" s="6340">
        <v>250</v>
      </c>
      <c r="CE15" s="6340">
        <v>171</v>
      </c>
      <c r="CF15" s="6340">
        <v>176</v>
      </c>
      <c r="CG15" s="6340">
        <v>215</v>
      </c>
      <c r="CH15" s="6340">
        <v>432</v>
      </c>
      <c r="CI15" s="6340">
        <v>20</v>
      </c>
      <c r="CJ15" s="6340">
        <v>247</v>
      </c>
      <c r="CK15" s="6340">
        <v>95</v>
      </c>
      <c r="CL15" s="6340">
        <v>679</v>
      </c>
      <c r="CM15" s="6340">
        <v>37</v>
      </c>
      <c r="CN15" s="6340">
        <v>633</v>
      </c>
      <c r="CO15" s="6341">
        <v>7</v>
      </c>
      <c r="CP15" s="6341"/>
      <c r="CQ15" s="6341"/>
      <c r="CR15" s="6341"/>
      <c r="CS15" s="6341"/>
      <c r="CT15" s="6341"/>
      <c r="CU15" s="6341">
        <v>1356</v>
      </c>
      <c r="CV15" s="6341"/>
      <c r="CW15" s="6341"/>
      <c r="CX15" s="6341"/>
      <c r="CY15" s="6341"/>
      <c r="CZ15" s="3471"/>
      <c r="DA15" s="3471"/>
      <c r="DB15" s="3471"/>
      <c r="DC15" s="3471"/>
      <c r="DD15" s="3471"/>
      <c r="DE15" s="3471"/>
      <c r="DF15" s="3471"/>
      <c r="DG15" s="3471"/>
      <c r="DH15" s="3471"/>
      <c r="DI15" s="2054"/>
      <c r="DK15" s="6335"/>
      <c r="DL15" s="6330"/>
      <c r="DM15" s="6330"/>
      <c r="DN15" s="6330"/>
      <c r="DO15" s="6330"/>
      <c r="DP15" s="6330"/>
      <c r="DQ15" s="6330"/>
      <c r="DR15" s="6330"/>
      <c r="DS15" s="6330"/>
      <c r="DT15" s="6330"/>
      <c r="DU15" s="6330"/>
      <c r="DV15" s="6330"/>
      <c r="DW15" s="6330"/>
      <c r="DX15" s="6330"/>
      <c r="DY15" s="6330"/>
      <c r="DZ15" s="6330"/>
      <c r="EA15" s="6330"/>
      <c r="EB15" s="6330"/>
      <c r="EC15" s="6330"/>
      <c r="ED15" s="6330"/>
      <c r="EE15" s="6330"/>
      <c r="EF15" s="6330"/>
      <c r="EG15" s="6330"/>
      <c r="EH15" s="6330"/>
      <c r="EI15" s="6330"/>
      <c r="EJ15" s="6330"/>
      <c r="EK15" s="6330"/>
      <c r="EL15" s="6330"/>
      <c r="EM15" s="6330"/>
      <c r="EN15" s="6330"/>
      <c r="EO15" s="6330"/>
      <c r="EP15" s="6330"/>
      <c r="EQ15" s="6330"/>
      <c r="ER15" s="6330"/>
      <c r="ES15" s="6330"/>
      <c r="ET15" s="6330"/>
      <c r="EU15" s="6330"/>
      <c r="EV15" s="6330"/>
      <c r="EW15" s="6330"/>
      <c r="EX15" s="6330"/>
      <c r="EY15" s="6330"/>
      <c r="EZ15" s="6330"/>
      <c r="FA15" s="6330"/>
      <c r="FB15" s="6330"/>
      <c r="FC15" s="6330"/>
      <c r="FD15" s="6336"/>
    </row>
    <row r="16" spans="1:160" s="6319" customFormat="1" ht="15" customHeight="1">
      <c r="A16" s="16506"/>
      <c r="B16" s="16444"/>
      <c r="C16" s="16421"/>
      <c r="D16" s="16442"/>
      <c r="E16" s="16443"/>
      <c r="F16" s="16444"/>
      <c r="G16" s="16445"/>
      <c r="H16" s="16445"/>
      <c r="I16" s="16445"/>
      <c r="J16" s="16445"/>
      <c r="K16" s="16445"/>
      <c r="L16" s="6323" t="s">
        <v>10063</v>
      </c>
      <c r="M16" s="6323"/>
      <c r="N16" s="6324" t="s">
        <v>107</v>
      </c>
      <c r="O16" s="6325"/>
      <c r="P16" s="6325"/>
      <c r="Q16" s="6325"/>
      <c r="R16" s="6325"/>
      <c r="S16" s="6325"/>
      <c r="T16" s="6325"/>
      <c r="U16" s="6325"/>
      <c r="V16" s="6326"/>
      <c r="W16" s="6327"/>
      <c r="X16" s="6327"/>
      <c r="Y16" s="6329"/>
      <c r="Z16" s="6328"/>
      <c r="AA16" s="6329"/>
      <c r="AB16" s="6329"/>
      <c r="AC16" s="6329"/>
      <c r="AD16" s="6327"/>
      <c r="AE16" s="6329"/>
      <c r="AF16" s="6329"/>
      <c r="AG16" s="6329"/>
      <c r="AH16" s="6329"/>
      <c r="AI16" s="6329"/>
      <c r="AJ16" s="6329"/>
      <c r="AK16" s="6329"/>
      <c r="AL16" s="6329"/>
      <c r="AM16" s="6329"/>
      <c r="AN16" s="6329"/>
      <c r="AO16" s="6329"/>
      <c r="AP16" s="6329"/>
      <c r="AQ16" s="6329"/>
      <c r="AR16" s="6329"/>
      <c r="AS16" s="6329"/>
      <c r="AT16" s="6329"/>
      <c r="AU16" s="6329"/>
      <c r="AV16" s="6329"/>
      <c r="AW16" s="6329"/>
      <c r="AX16" s="6329"/>
      <c r="AY16" s="6329"/>
      <c r="AZ16" s="6329"/>
      <c r="BA16" s="6329"/>
      <c r="BB16" s="6329"/>
      <c r="BC16" s="6329"/>
      <c r="BD16" s="6330"/>
      <c r="BE16" s="6330"/>
      <c r="BF16" s="6330"/>
      <c r="BG16" s="6330"/>
      <c r="BH16" s="6330"/>
      <c r="BI16" s="6330"/>
      <c r="BJ16" s="6330"/>
      <c r="BK16" s="6330"/>
      <c r="BL16" s="6330"/>
      <c r="BM16" s="6330"/>
      <c r="BN16" s="4046"/>
      <c r="BO16" s="4063"/>
      <c r="BP16" s="4058"/>
      <c r="BQ16" s="4274"/>
      <c r="BR16" s="16516"/>
      <c r="BS16" s="6331"/>
      <c r="BT16" s="6331"/>
      <c r="BU16" s="6331"/>
      <c r="BV16" s="6340"/>
      <c r="BW16" s="6340"/>
      <c r="BX16" s="6340"/>
      <c r="BY16" s="6340"/>
      <c r="BZ16" s="6340"/>
      <c r="CA16" s="6340"/>
      <c r="CB16" s="6340"/>
      <c r="CC16" s="6340"/>
      <c r="CD16" s="6340"/>
      <c r="CE16" s="6340"/>
      <c r="CF16" s="6340"/>
      <c r="CG16" s="6340"/>
      <c r="CH16" s="6340"/>
      <c r="CI16" s="6340"/>
      <c r="CJ16" s="6340"/>
      <c r="CK16" s="6340"/>
      <c r="CL16" s="6340"/>
      <c r="CM16" s="6340"/>
      <c r="CN16" s="6340"/>
      <c r="CO16" s="6341"/>
      <c r="CP16" s="6341"/>
      <c r="CQ16" s="6341"/>
      <c r="CR16" s="6341"/>
      <c r="CS16" s="6341"/>
      <c r="CT16" s="6341"/>
      <c r="CU16" s="6341"/>
      <c r="CV16" s="6341"/>
      <c r="CW16" s="6341"/>
      <c r="CX16" s="6341"/>
      <c r="CY16" s="6341"/>
      <c r="CZ16" s="3471"/>
      <c r="DA16" s="3471"/>
      <c r="DB16" s="3471"/>
      <c r="DC16" s="3471"/>
      <c r="DD16" s="3471"/>
      <c r="DE16" s="3471"/>
      <c r="DF16" s="3471"/>
      <c r="DG16" s="3471"/>
      <c r="DH16" s="3471"/>
      <c r="DI16" s="2054"/>
      <c r="DK16" s="6335"/>
      <c r="DL16" s="6330"/>
      <c r="DM16" s="6330"/>
      <c r="DN16" s="6330"/>
      <c r="DO16" s="6330"/>
      <c r="DP16" s="6330"/>
      <c r="DQ16" s="6330"/>
      <c r="DR16" s="6330"/>
      <c r="DS16" s="6330"/>
      <c r="DT16" s="6330"/>
      <c r="DU16" s="6330"/>
      <c r="DV16" s="6330"/>
      <c r="DW16" s="6330"/>
      <c r="DX16" s="6330"/>
      <c r="DY16" s="6330"/>
      <c r="DZ16" s="6330"/>
      <c r="EA16" s="6330"/>
      <c r="EB16" s="6330"/>
      <c r="EC16" s="6330"/>
      <c r="ED16" s="6330"/>
      <c r="EE16" s="6330"/>
      <c r="EF16" s="6330"/>
      <c r="EG16" s="6330"/>
      <c r="EH16" s="6330"/>
      <c r="EI16" s="6330"/>
      <c r="EJ16" s="6330"/>
      <c r="EK16" s="6330"/>
      <c r="EL16" s="6330"/>
      <c r="EM16" s="6330"/>
      <c r="EN16" s="6330"/>
      <c r="EO16" s="6330"/>
      <c r="EP16" s="6330"/>
      <c r="EQ16" s="6330"/>
      <c r="ER16" s="6330"/>
      <c r="ES16" s="6330"/>
      <c r="ET16" s="6330"/>
      <c r="EU16" s="6330"/>
      <c r="EV16" s="6330"/>
      <c r="EW16" s="6330"/>
      <c r="EX16" s="6330"/>
      <c r="EY16" s="6330"/>
      <c r="EZ16" s="6330"/>
      <c r="FA16" s="6330"/>
      <c r="FB16" s="6330"/>
      <c r="FC16" s="6330"/>
      <c r="FD16" s="6336"/>
    </row>
    <row r="17" spans="1:160" s="6319" customFormat="1" ht="15" customHeight="1">
      <c r="A17" s="16506"/>
      <c r="B17" s="16444"/>
      <c r="C17" s="16422" t="s">
        <v>108</v>
      </c>
      <c r="D17" s="16442" t="s">
        <v>5057</v>
      </c>
      <c r="E17" s="16443" t="s">
        <v>109</v>
      </c>
      <c r="F17" s="16444" t="s">
        <v>110</v>
      </c>
      <c r="G17" s="16445" t="s">
        <v>70</v>
      </c>
      <c r="H17" s="16445">
        <v>1</v>
      </c>
      <c r="I17" s="16445">
        <v>1</v>
      </c>
      <c r="J17" s="16445" t="s">
        <v>111</v>
      </c>
      <c r="K17" s="16445" t="s">
        <v>110</v>
      </c>
      <c r="L17" s="6323" t="s">
        <v>86</v>
      </c>
      <c r="M17" s="6323" t="s">
        <v>112</v>
      </c>
      <c r="N17" s="6324"/>
      <c r="O17" s="6325">
        <v>20000000</v>
      </c>
      <c r="P17" s="6325">
        <v>0</v>
      </c>
      <c r="Q17" s="6325">
        <v>0</v>
      </c>
      <c r="R17" s="6325">
        <v>21800000</v>
      </c>
      <c r="S17" s="6325">
        <v>0</v>
      </c>
      <c r="T17" s="6325">
        <v>0</v>
      </c>
      <c r="U17" s="6325">
        <v>0</v>
      </c>
      <c r="V17" s="6329" t="s">
        <v>1732</v>
      </c>
      <c r="W17" s="6329"/>
      <c r="X17" s="6329"/>
      <c r="Y17" s="2564" t="s">
        <v>3594</v>
      </c>
      <c r="Z17" s="6330"/>
      <c r="AA17" s="6330"/>
      <c r="AB17" s="6330"/>
      <c r="AC17" s="6330"/>
      <c r="AD17" s="6330"/>
      <c r="AE17" s="6330"/>
      <c r="AF17" s="6330"/>
      <c r="AG17" s="6330"/>
      <c r="AH17" s="6330"/>
      <c r="AI17" s="6330"/>
      <c r="AJ17" s="6330"/>
      <c r="AK17" s="6330"/>
      <c r="AL17" s="6330"/>
      <c r="AM17" s="6330"/>
      <c r="AN17" s="6330"/>
      <c r="AO17" s="6330"/>
      <c r="AP17" s="6330"/>
      <c r="AQ17" s="6330"/>
      <c r="AR17" s="6330"/>
      <c r="AS17" s="6330"/>
      <c r="AT17" s="6330"/>
      <c r="AU17" s="6330"/>
      <c r="AV17" s="6330"/>
      <c r="AW17" s="6330"/>
      <c r="AX17" s="6330"/>
      <c r="AY17" s="6330"/>
      <c r="AZ17" s="6330"/>
      <c r="BA17" s="6330"/>
      <c r="BB17" s="6330"/>
      <c r="BC17" s="6330"/>
      <c r="BD17" s="6330"/>
      <c r="BE17" s="6330"/>
      <c r="BF17" s="6330"/>
      <c r="BG17" s="6330"/>
      <c r="BH17" s="6330"/>
      <c r="BI17" s="6330"/>
      <c r="BJ17" s="6330"/>
      <c r="BK17" s="6330"/>
      <c r="BL17" s="6330"/>
      <c r="BM17" s="6330"/>
      <c r="BN17" s="4063" t="s">
        <v>3781</v>
      </c>
      <c r="BO17" s="4063" t="s">
        <v>3781</v>
      </c>
      <c r="BP17" s="4058">
        <v>0</v>
      </c>
      <c r="BQ17" s="4063" t="s">
        <v>3781</v>
      </c>
      <c r="BR17" s="16516"/>
      <c r="BS17" s="3471"/>
      <c r="BT17" s="3471"/>
      <c r="BU17" s="3471"/>
      <c r="BV17" s="4451"/>
      <c r="BW17" s="4451"/>
      <c r="BX17" s="4451"/>
      <c r="BY17" s="4451"/>
      <c r="BZ17" s="4451"/>
      <c r="CA17" s="4451"/>
      <c r="CB17" s="4451"/>
      <c r="CC17" s="4451"/>
      <c r="CD17" s="4451"/>
      <c r="CE17" s="4451"/>
      <c r="CF17" s="4451"/>
      <c r="CG17" s="4451"/>
      <c r="CH17" s="4451"/>
      <c r="CI17" s="4451"/>
      <c r="CJ17" s="4451"/>
      <c r="CK17" s="4451"/>
      <c r="CL17" s="4451"/>
      <c r="CM17" s="4451"/>
      <c r="CN17" s="4451"/>
      <c r="CO17" s="3471"/>
      <c r="CP17" s="3471"/>
      <c r="CQ17" s="3471"/>
      <c r="CR17" s="3471"/>
      <c r="CS17" s="3471"/>
      <c r="CT17" s="3471"/>
      <c r="CU17" s="3471"/>
      <c r="CV17" s="3471"/>
      <c r="CW17" s="3471"/>
      <c r="CX17" s="3471"/>
      <c r="CY17" s="3471"/>
      <c r="CZ17" s="3471"/>
      <c r="DA17" s="3471"/>
      <c r="DB17" s="3471"/>
      <c r="DC17" s="3471"/>
      <c r="DD17" s="3471"/>
      <c r="DE17" s="3471"/>
      <c r="DF17" s="3471"/>
      <c r="DG17" s="3471"/>
      <c r="DH17" s="3471"/>
      <c r="DI17" s="2054"/>
      <c r="DK17" s="6335"/>
      <c r="DL17" s="6330"/>
      <c r="DM17" s="6330"/>
      <c r="DN17" s="6330"/>
      <c r="DO17" s="6330"/>
      <c r="DP17" s="6330"/>
      <c r="DQ17" s="6330"/>
      <c r="DR17" s="6330"/>
      <c r="DS17" s="6330"/>
      <c r="DT17" s="6330"/>
      <c r="DU17" s="6330"/>
      <c r="DV17" s="6330"/>
      <c r="DW17" s="6330"/>
      <c r="DX17" s="6330"/>
      <c r="DY17" s="6330"/>
      <c r="DZ17" s="6330"/>
      <c r="EA17" s="6330"/>
      <c r="EB17" s="6330"/>
      <c r="EC17" s="6330"/>
      <c r="ED17" s="6330"/>
      <c r="EE17" s="6330"/>
      <c r="EF17" s="6330"/>
      <c r="EG17" s="6330"/>
      <c r="EH17" s="6330"/>
      <c r="EI17" s="6330"/>
      <c r="EJ17" s="6330"/>
      <c r="EK17" s="6330"/>
      <c r="EL17" s="6330"/>
      <c r="EM17" s="6330"/>
      <c r="EN17" s="6330"/>
      <c r="EO17" s="6330"/>
      <c r="EP17" s="6330"/>
      <c r="EQ17" s="6330"/>
      <c r="ER17" s="6330"/>
      <c r="ES17" s="6330"/>
      <c r="ET17" s="6330"/>
      <c r="EU17" s="6330"/>
      <c r="EV17" s="6330"/>
      <c r="EW17" s="6330"/>
      <c r="EX17" s="6330"/>
      <c r="EY17" s="6330"/>
      <c r="EZ17" s="6330"/>
      <c r="FA17" s="6330"/>
      <c r="FB17" s="6330"/>
      <c r="FC17" s="6330"/>
      <c r="FD17" s="6336"/>
    </row>
    <row r="18" spans="1:160" s="6319" customFormat="1" ht="15" customHeight="1">
      <c r="A18" s="16506"/>
      <c r="B18" s="16444"/>
      <c r="C18" s="16420"/>
      <c r="D18" s="16442"/>
      <c r="E18" s="16443"/>
      <c r="F18" s="16444"/>
      <c r="G18" s="16445"/>
      <c r="H18" s="16445"/>
      <c r="I18" s="16445"/>
      <c r="J18" s="16445"/>
      <c r="K18" s="16445"/>
      <c r="L18" s="6323" t="s">
        <v>10063</v>
      </c>
      <c r="M18" s="6323"/>
      <c r="N18" s="6324" t="s">
        <v>107</v>
      </c>
      <c r="O18" s="6325"/>
      <c r="P18" s="6325"/>
      <c r="Q18" s="6325"/>
      <c r="R18" s="6325"/>
      <c r="S18" s="6325"/>
      <c r="T18" s="6325"/>
      <c r="U18" s="6325"/>
      <c r="V18" s="6329"/>
      <c r="W18" s="6329"/>
      <c r="X18" s="6329"/>
      <c r="Y18" s="2564"/>
      <c r="Z18" s="6330"/>
      <c r="AA18" s="6330"/>
      <c r="AB18" s="6330"/>
      <c r="AC18" s="6330"/>
      <c r="AD18" s="6330"/>
      <c r="AE18" s="6330"/>
      <c r="AF18" s="6330"/>
      <c r="AG18" s="6330"/>
      <c r="AH18" s="6330"/>
      <c r="AI18" s="6330"/>
      <c r="AJ18" s="6330"/>
      <c r="AK18" s="6330"/>
      <c r="AL18" s="6330"/>
      <c r="AM18" s="6330"/>
      <c r="AN18" s="6330"/>
      <c r="AO18" s="6330"/>
      <c r="AP18" s="6330"/>
      <c r="AQ18" s="6330"/>
      <c r="AR18" s="6330"/>
      <c r="AS18" s="6330"/>
      <c r="AT18" s="6330"/>
      <c r="AU18" s="6330"/>
      <c r="AV18" s="6330"/>
      <c r="AW18" s="6330"/>
      <c r="AX18" s="6330"/>
      <c r="AY18" s="6330"/>
      <c r="AZ18" s="6330"/>
      <c r="BA18" s="6330"/>
      <c r="BB18" s="6330"/>
      <c r="BC18" s="6330"/>
      <c r="BD18" s="6330"/>
      <c r="BE18" s="6330"/>
      <c r="BF18" s="6330"/>
      <c r="BG18" s="6330"/>
      <c r="BH18" s="6330"/>
      <c r="BI18" s="6330"/>
      <c r="BJ18" s="6330"/>
      <c r="BK18" s="6330"/>
      <c r="BL18" s="6330"/>
      <c r="BM18" s="6330"/>
      <c r="BN18" s="4063"/>
      <c r="BO18" s="4063"/>
      <c r="BP18" s="4058"/>
      <c r="BQ18" s="4063"/>
      <c r="BR18" s="16516"/>
      <c r="BS18" s="3471"/>
      <c r="BT18" s="3471"/>
      <c r="BU18" s="3471"/>
      <c r="BV18" s="4451"/>
      <c r="BW18" s="4451"/>
      <c r="BX18" s="4451"/>
      <c r="BY18" s="4451"/>
      <c r="BZ18" s="4451"/>
      <c r="CA18" s="4451"/>
      <c r="CB18" s="4451"/>
      <c r="CC18" s="4451"/>
      <c r="CD18" s="4451"/>
      <c r="CE18" s="4451"/>
      <c r="CF18" s="4451"/>
      <c r="CG18" s="4451"/>
      <c r="CH18" s="4451"/>
      <c r="CI18" s="4451"/>
      <c r="CJ18" s="4451"/>
      <c r="CK18" s="4451"/>
      <c r="CL18" s="4451"/>
      <c r="CM18" s="4451"/>
      <c r="CN18" s="4451"/>
      <c r="CO18" s="3471"/>
      <c r="CP18" s="3471"/>
      <c r="CQ18" s="3471"/>
      <c r="CR18" s="3471"/>
      <c r="CS18" s="3471"/>
      <c r="CT18" s="3471"/>
      <c r="CU18" s="3471"/>
      <c r="CV18" s="3471"/>
      <c r="CW18" s="3471"/>
      <c r="CX18" s="3471"/>
      <c r="CY18" s="3471"/>
      <c r="CZ18" s="3471"/>
      <c r="DA18" s="3471"/>
      <c r="DB18" s="3471"/>
      <c r="DC18" s="3471"/>
      <c r="DD18" s="3471"/>
      <c r="DE18" s="3471"/>
      <c r="DF18" s="3471"/>
      <c r="DG18" s="3471"/>
      <c r="DH18" s="3471"/>
      <c r="DI18" s="2054"/>
      <c r="DK18" s="6335"/>
      <c r="DL18" s="6330"/>
      <c r="DM18" s="6330"/>
      <c r="DN18" s="6330"/>
      <c r="DO18" s="6330"/>
      <c r="DP18" s="6330"/>
      <c r="DQ18" s="6330"/>
      <c r="DR18" s="6330"/>
      <c r="DS18" s="6330"/>
      <c r="DT18" s="6330"/>
      <c r="DU18" s="6330"/>
      <c r="DV18" s="6330"/>
      <c r="DW18" s="6330"/>
      <c r="DX18" s="6330"/>
      <c r="DY18" s="6330"/>
      <c r="DZ18" s="6330"/>
      <c r="EA18" s="6330"/>
      <c r="EB18" s="6330"/>
      <c r="EC18" s="6330"/>
      <c r="ED18" s="6330"/>
      <c r="EE18" s="6330"/>
      <c r="EF18" s="6330"/>
      <c r="EG18" s="6330"/>
      <c r="EH18" s="6330"/>
      <c r="EI18" s="6330"/>
      <c r="EJ18" s="6330"/>
      <c r="EK18" s="6330"/>
      <c r="EL18" s="6330"/>
      <c r="EM18" s="6330"/>
      <c r="EN18" s="6330"/>
      <c r="EO18" s="6330"/>
      <c r="EP18" s="6330"/>
      <c r="EQ18" s="6330"/>
      <c r="ER18" s="6330"/>
      <c r="ES18" s="6330"/>
      <c r="ET18" s="6330"/>
      <c r="EU18" s="6330"/>
      <c r="EV18" s="6330"/>
      <c r="EW18" s="6330"/>
      <c r="EX18" s="6330"/>
      <c r="EY18" s="6330"/>
      <c r="EZ18" s="6330"/>
      <c r="FA18" s="6330"/>
      <c r="FB18" s="6330"/>
      <c r="FC18" s="6330"/>
      <c r="FD18" s="6336"/>
    </row>
    <row r="19" spans="1:160" s="6319" customFormat="1" ht="15" customHeight="1">
      <c r="A19" s="16506"/>
      <c r="B19" s="16444"/>
      <c r="C19" s="16420"/>
      <c r="D19" s="16442" t="s">
        <v>5058</v>
      </c>
      <c r="E19" s="16443" t="s">
        <v>113</v>
      </c>
      <c r="F19" s="16444" t="s">
        <v>110</v>
      </c>
      <c r="G19" s="16445" t="s">
        <v>70</v>
      </c>
      <c r="H19" s="16445">
        <v>1</v>
      </c>
      <c r="I19" s="16445" t="s">
        <v>114</v>
      </c>
      <c r="J19" s="16445" t="s">
        <v>115</v>
      </c>
      <c r="K19" s="16445" t="s">
        <v>110</v>
      </c>
      <c r="L19" s="6323" t="s">
        <v>86</v>
      </c>
      <c r="M19" s="6323" t="s">
        <v>112</v>
      </c>
      <c r="N19" s="6324"/>
      <c r="O19" s="6325">
        <v>20000000</v>
      </c>
      <c r="P19" s="6325">
        <v>0</v>
      </c>
      <c r="Q19" s="6325">
        <v>0</v>
      </c>
      <c r="R19" s="6325">
        <v>21800000</v>
      </c>
      <c r="S19" s="6325">
        <v>0</v>
      </c>
      <c r="T19" s="6325">
        <v>0</v>
      </c>
      <c r="U19" s="6325">
        <v>0</v>
      </c>
      <c r="V19" s="6329" t="s">
        <v>1732</v>
      </c>
      <c r="W19" s="6329"/>
      <c r="X19" s="6329"/>
      <c r="Y19" s="2564" t="s">
        <v>3594</v>
      </c>
      <c r="Z19" s="6330"/>
      <c r="AA19" s="6330"/>
      <c r="AB19" s="6330"/>
      <c r="AC19" s="6330"/>
      <c r="AD19" s="6330"/>
      <c r="AE19" s="6330"/>
      <c r="AF19" s="6330"/>
      <c r="AG19" s="6330"/>
      <c r="AH19" s="6330"/>
      <c r="AI19" s="6330"/>
      <c r="AJ19" s="6330"/>
      <c r="AK19" s="6330"/>
      <c r="AL19" s="6330"/>
      <c r="AM19" s="6330"/>
      <c r="AN19" s="6330"/>
      <c r="AO19" s="6330"/>
      <c r="AP19" s="6330"/>
      <c r="AQ19" s="6330"/>
      <c r="AR19" s="6330"/>
      <c r="AS19" s="6330"/>
      <c r="AT19" s="6330"/>
      <c r="AU19" s="6330"/>
      <c r="AV19" s="6330"/>
      <c r="AW19" s="6330"/>
      <c r="AX19" s="6330"/>
      <c r="AY19" s="6330"/>
      <c r="AZ19" s="6330"/>
      <c r="BA19" s="6330"/>
      <c r="BB19" s="6330"/>
      <c r="BC19" s="6330"/>
      <c r="BD19" s="6330"/>
      <c r="BE19" s="6330"/>
      <c r="BF19" s="6330"/>
      <c r="BG19" s="6330"/>
      <c r="BH19" s="6330"/>
      <c r="BI19" s="6330"/>
      <c r="BJ19" s="6330"/>
      <c r="BK19" s="6330"/>
      <c r="BL19" s="6330"/>
      <c r="BM19" s="6330"/>
      <c r="BN19" s="4063" t="s">
        <v>3781</v>
      </c>
      <c r="BO19" s="4063" t="s">
        <v>3781</v>
      </c>
      <c r="BP19" s="4058">
        <v>0</v>
      </c>
      <c r="BQ19" s="4063" t="s">
        <v>3781</v>
      </c>
      <c r="BR19" s="16516"/>
      <c r="BS19" s="3471"/>
      <c r="BT19" s="3471"/>
      <c r="BU19" s="3471"/>
      <c r="BV19" s="4451"/>
      <c r="BW19" s="4451"/>
      <c r="BX19" s="4451"/>
      <c r="BY19" s="4451"/>
      <c r="BZ19" s="4451"/>
      <c r="CA19" s="4451"/>
      <c r="CB19" s="4451"/>
      <c r="CC19" s="4451"/>
      <c r="CD19" s="4451"/>
      <c r="CE19" s="4451"/>
      <c r="CF19" s="4451"/>
      <c r="CG19" s="4451"/>
      <c r="CH19" s="4451"/>
      <c r="CI19" s="4451"/>
      <c r="CJ19" s="4451"/>
      <c r="CK19" s="4451"/>
      <c r="CL19" s="4451"/>
      <c r="CM19" s="4451"/>
      <c r="CN19" s="4451"/>
      <c r="CO19" s="3471"/>
      <c r="CP19" s="3471"/>
      <c r="CQ19" s="3471"/>
      <c r="CR19" s="3471"/>
      <c r="CS19" s="3471"/>
      <c r="CT19" s="3471"/>
      <c r="CU19" s="3471"/>
      <c r="CV19" s="3471"/>
      <c r="CW19" s="3471"/>
      <c r="CX19" s="3471"/>
      <c r="CY19" s="3471"/>
      <c r="CZ19" s="3471"/>
      <c r="DA19" s="3471"/>
      <c r="DB19" s="3471"/>
      <c r="DC19" s="3471"/>
      <c r="DD19" s="3471"/>
      <c r="DE19" s="3471"/>
      <c r="DF19" s="3471"/>
      <c r="DG19" s="3471"/>
      <c r="DH19" s="3471"/>
      <c r="DI19" s="2054"/>
      <c r="DK19" s="6335"/>
      <c r="DL19" s="6330"/>
      <c r="DM19" s="6330"/>
      <c r="DN19" s="6330"/>
      <c r="DO19" s="6330"/>
      <c r="DP19" s="6330"/>
      <c r="DQ19" s="6330"/>
      <c r="DR19" s="6330"/>
      <c r="DS19" s="6330"/>
      <c r="DT19" s="6330"/>
      <c r="DU19" s="6330"/>
      <c r="DV19" s="6330"/>
      <c r="DW19" s="6330"/>
      <c r="DX19" s="6330"/>
      <c r="DY19" s="6330"/>
      <c r="DZ19" s="6330"/>
      <c r="EA19" s="6330"/>
      <c r="EB19" s="6330"/>
      <c r="EC19" s="6330"/>
      <c r="ED19" s="6330"/>
      <c r="EE19" s="6330"/>
      <c r="EF19" s="6330"/>
      <c r="EG19" s="6330"/>
      <c r="EH19" s="6330"/>
      <c r="EI19" s="6330"/>
      <c r="EJ19" s="6330"/>
      <c r="EK19" s="6330"/>
      <c r="EL19" s="6330"/>
      <c r="EM19" s="6330"/>
      <c r="EN19" s="6330"/>
      <c r="EO19" s="6330"/>
      <c r="EP19" s="6330"/>
      <c r="EQ19" s="6330"/>
      <c r="ER19" s="6330"/>
      <c r="ES19" s="6330"/>
      <c r="ET19" s="6330"/>
      <c r="EU19" s="6330"/>
      <c r="EV19" s="6330"/>
      <c r="EW19" s="6330"/>
      <c r="EX19" s="6330"/>
      <c r="EY19" s="6330"/>
      <c r="EZ19" s="6330"/>
      <c r="FA19" s="6330"/>
      <c r="FB19" s="6330"/>
      <c r="FC19" s="6330"/>
      <c r="FD19" s="6336"/>
    </row>
    <row r="20" spans="1:160" s="6319" customFormat="1" ht="15" customHeight="1">
      <c r="A20" s="16506"/>
      <c r="B20" s="16444"/>
      <c r="C20" s="16420"/>
      <c r="D20" s="16442"/>
      <c r="E20" s="16443"/>
      <c r="F20" s="16444"/>
      <c r="G20" s="16445"/>
      <c r="H20" s="16445"/>
      <c r="I20" s="16445"/>
      <c r="J20" s="16445"/>
      <c r="K20" s="16445"/>
      <c r="L20" s="6323" t="s">
        <v>10063</v>
      </c>
      <c r="M20" s="6323"/>
      <c r="N20" s="6324" t="s">
        <v>107</v>
      </c>
      <c r="O20" s="6325"/>
      <c r="P20" s="6325"/>
      <c r="Q20" s="6325"/>
      <c r="R20" s="6325"/>
      <c r="S20" s="6325"/>
      <c r="T20" s="6325"/>
      <c r="U20" s="6325"/>
      <c r="V20" s="6329"/>
      <c r="W20" s="6329"/>
      <c r="X20" s="6329"/>
      <c r="Y20" s="2564"/>
      <c r="Z20" s="6330"/>
      <c r="AA20" s="6330"/>
      <c r="AB20" s="6330"/>
      <c r="AC20" s="6330"/>
      <c r="AD20" s="6330"/>
      <c r="AE20" s="6330"/>
      <c r="AF20" s="6330"/>
      <c r="AG20" s="6330"/>
      <c r="AH20" s="6330"/>
      <c r="AI20" s="6330"/>
      <c r="AJ20" s="6330"/>
      <c r="AK20" s="6330"/>
      <c r="AL20" s="6330"/>
      <c r="AM20" s="6330"/>
      <c r="AN20" s="6330"/>
      <c r="AO20" s="6330"/>
      <c r="AP20" s="6330"/>
      <c r="AQ20" s="6330"/>
      <c r="AR20" s="6330"/>
      <c r="AS20" s="6330"/>
      <c r="AT20" s="6330"/>
      <c r="AU20" s="6330"/>
      <c r="AV20" s="6330"/>
      <c r="AW20" s="6330"/>
      <c r="AX20" s="6330"/>
      <c r="AY20" s="6330"/>
      <c r="AZ20" s="6330"/>
      <c r="BA20" s="6330"/>
      <c r="BB20" s="6330"/>
      <c r="BC20" s="6330"/>
      <c r="BD20" s="6330"/>
      <c r="BE20" s="6330"/>
      <c r="BF20" s="6330"/>
      <c r="BG20" s="6330"/>
      <c r="BH20" s="6330"/>
      <c r="BI20" s="6330"/>
      <c r="BJ20" s="6330"/>
      <c r="BK20" s="6330"/>
      <c r="BL20" s="6330"/>
      <c r="BM20" s="6330"/>
      <c r="BN20" s="4063"/>
      <c r="BO20" s="4063"/>
      <c r="BP20" s="4058"/>
      <c r="BQ20" s="4063"/>
      <c r="BR20" s="16516"/>
      <c r="BS20" s="3471"/>
      <c r="BT20" s="3471"/>
      <c r="BU20" s="3471"/>
      <c r="BV20" s="4451"/>
      <c r="BW20" s="4451"/>
      <c r="BX20" s="4451"/>
      <c r="BY20" s="4451"/>
      <c r="BZ20" s="4451"/>
      <c r="CA20" s="4451"/>
      <c r="CB20" s="4451"/>
      <c r="CC20" s="4451"/>
      <c r="CD20" s="4451"/>
      <c r="CE20" s="4451"/>
      <c r="CF20" s="4451"/>
      <c r="CG20" s="4451"/>
      <c r="CH20" s="4451"/>
      <c r="CI20" s="4451"/>
      <c r="CJ20" s="4451"/>
      <c r="CK20" s="4451"/>
      <c r="CL20" s="4451"/>
      <c r="CM20" s="4451"/>
      <c r="CN20" s="4451"/>
      <c r="CO20" s="3471"/>
      <c r="CP20" s="3471"/>
      <c r="CQ20" s="3471"/>
      <c r="CR20" s="3471"/>
      <c r="CS20" s="3471"/>
      <c r="CT20" s="3471"/>
      <c r="CU20" s="3471"/>
      <c r="CV20" s="3471"/>
      <c r="CW20" s="3471"/>
      <c r="CX20" s="3471"/>
      <c r="CY20" s="3471"/>
      <c r="CZ20" s="3471"/>
      <c r="DA20" s="3471"/>
      <c r="DB20" s="3471"/>
      <c r="DC20" s="3471"/>
      <c r="DD20" s="3471"/>
      <c r="DE20" s="3471"/>
      <c r="DF20" s="3471"/>
      <c r="DG20" s="3471"/>
      <c r="DH20" s="3471"/>
      <c r="DI20" s="2054"/>
      <c r="DK20" s="6335"/>
      <c r="DL20" s="6330"/>
      <c r="DM20" s="6330"/>
      <c r="DN20" s="6330"/>
      <c r="DO20" s="6330"/>
      <c r="DP20" s="6330"/>
      <c r="DQ20" s="6330"/>
      <c r="DR20" s="6330"/>
      <c r="DS20" s="6330"/>
      <c r="DT20" s="6330"/>
      <c r="DU20" s="6330"/>
      <c r="DV20" s="6330"/>
      <c r="DW20" s="6330"/>
      <c r="DX20" s="6330"/>
      <c r="DY20" s="6330"/>
      <c r="DZ20" s="6330"/>
      <c r="EA20" s="6330"/>
      <c r="EB20" s="6330"/>
      <c r="EC20" s="6330"/>
      <c r="ED20" s="6330"/>
      <c r="EE20" s="6330"/>
      <c r="EF20" s="6330"/>
      <c r="EG20" s="6330"/>
      <c r="EH20" s="6330"/>
      <c r="EI20" s="6330"/>
      <c r="EJ20" s="6330"/>
      <c r="EK20" s="6330"/>
      <c r="EL20" s="6330"/>
      <c r="EM20" s="6330"/>
      <c r="EN20" s="6330"/>
      <c r="EO20" s="6330"/>
      <c r="EP20" s="6330"/>
      <c r="EQ20" s="6330"/>
      <c r="ER20" s="6330"/>
      <c r="ES20" s="6330"/>
      <c r="ET20" s="6330"/>
      <c r="EU20" s="6330"/>
      <c r="EV20" s="6330"/>
      <c r="EW20" s="6330"/>
      <c r="EX20" s="6330"/>
      <c r="EY20" s="6330"/>
      <c r="EZ20" s="6330"/>
      <c r="FA20" s="6330"/>
      <c r="FB20" s="6330"/>
      <c r="FC20" s="6330"/>
      <c r="FD20" s="6336"/>
    </row>
    <row r="21" spans="1:160" s="6319" customFormat="1" ht="15" customHeight="1">
      <c r="A21" s="16506"/>
      <c r="B21" s="16444"/>
      <c r="C21" s="16420"/>
      <c r="D21" s="16442" t="s">
        <v>5059</v>
      </c>
      <c r="E21" s="16443" t="s">
        <v>116</v>
      </c>
      <c r="F21" s="16444" t="s">
        <v>117</v>
      </c>
      <c r="G21" s="16445" t="s">
        <v>70</v>
      </c>
      <c r="H21" s="16445" t="s">
        <v>118</v>
      </c>
      <c r="I21" s="16445" t="s">
        <v>119</v>
      </c>
      <c r="J21" s="16445" t="s">
        <v>120</v>
      </c>
      <c r="K21" s="16445" t="s">
        <v>121</v>
      </c>
      <c r="L21" s="6323" t="s">
        <v>86</v>
      </c>
      <c r="M21" s="6323" t="s">
        <v>112</v>
      </c>
      <c r="N21" s="6330"/>
      <c r="O21" s="6325">
        <v>10000000</v>
      </c>
      <c r="P21" s="6325">
        <v>0</v>
      </c>
      <c r="Q21" s="6325">
        <v>0</v>
      </c>
      <c r="R21" s="6325">
        <v>10900000</v>
      </c>
      <c r="S21" s="6325">
        <v>0</v>
      </c>
      <c r="T21" s="6325">
        <v>0</v>
      </c>
      <c r="U21" s="6325">
        <v>0</v>
      </c>
      <c r="V21" s="6329" t="s">
        <v>1732</v>
      </c>
      <c r="W21" s="6329"/>
      <c r="X21" s="6329"/>
      <c r="Y21" s="2564" t="s">
        <v>3595</v>
      </c>
      <c r="Z21" s="6330"/>
      <c r="AA21" s="6330"/>
      <c r="AB21" s="6330"/>
      <c r="AC21" s="6330"/>
      <c r="AD21" s="6330"/>
      <c r="AE21" s="6330"/>
      <c r="AF21" s="6330"/>
      <c r="AG21" s="6330"/>
      <c r="AH21" s="6330"/>
      <c r="AI21" s="6330"/>
      <c r="AJ21" s="6330"/>
      <c r="AK21" s="6330"/>
      <c r="AL21" s="6330"/>
      <c r="AM21" s="6330"/>
      <c r="AN21" s="6330"/>
      <c r="AO21" s="6330"/>
      <c r="AP21" s="6330"/>
      <c r="AQ21" s="6330"/>
      <c r="AR21" s="6330"/>
      <c r="AS21" s="6330"/>
      <c r="AT21" s="6330"/>
      <c r="AU21" s="6330"/>
      <c r="AV21" s="6330"/>
      <c r="AW21" s="6330"/>
      <c r="AX21" s="6330"/>
      <c r="AY21" s="6330"/>
      <c r="AZ21" s="6330"/>
      <c r="BA21" s="6330"/>
      <c r="BB21" s="6330"/>
      <c r="BC21" s="6330"/>
      <c r="BD21" s="6330"/>
      <c r="BE21" s="6330"/>
      <c r="BF21" s="6330"/>
      <c r="BG21" s="6330"/>
      <c r="BH21" s="6330"/>
      <c r="BI21" s="6330"/>
      <c r="BJ21" s="6330"/>
      <c r="BK21" s="6330"/>
      <c r="BL21" s="6330"/>
      <c r="BM21" s="6330"/>
      <c r="BN21" s="4063" t="s">
        <v>3781</v>
      </c>
      <c r="BO21" s="4063" t="s">
        <v>3781</v>
      </c>
      <c r="BP21" s="4058">
        <v>80</v>
      </c>
      <c r="BQ21" s="4063" t="s">
        <v>3781</v>
      </c>
      <c r="BR21" s="16516"/>
      <c r="BS21" s="3471"/>
      <c r="BT21" s="3471"/>
      <c r="BU21" s="3471"/>
      <c r="BV21" s="4451"/>
      <c r="BW21" s="4451"/>
      <c r="BX21" s="4451"/>
      <c r="BY21" s="4451"/>
      <c r="BZ21" s="4451"/>
      <c r="CA21" s="4451"/>
      <c r="CB21" s="4451"/>
      <c r="CC21" s="4451"/>
      <c r="CD21" s="4451"/>
      <c r="CE21" s="4451"/>
      <c r="CF21" s="4451"/>
      <c r="CG21" s="4451"/>
      <c r="CH21" s="4451"/>
      <c r="CI21" s="4451"/>
      <c r="CJ21" s="4451"/>
      <c r="CK21" s="4451"/>
      <c r="CL21" s="4451"/>
      <c r="CM21" s="4451"/>
      <c r="CN21" s="4451"/>
      <c r="CO21" s="3471"/>
      <c r="CP21" s="3471"/>
      <c r="CQ21" s="3471"/>
      <c r="CR21" s="3471"/>
      <c r="CS21" s="3471"/>
      <c r="CT21" s="3471"/>
      <c r="CU21" s="3471"/>
      <c r="CV21" s="3471"/>
      <c r="CW21" s="3471"/>
      <c r="CX21" s="3471"/>
      <c r="CY21" s="3471"/>
      <c r="CZ21" s="3471"/>
      <c r="DA21" s="3471"/>
      <c r="DB21" s="3471"/>
      <c r="DC21" s="3471"/>
      <c r="DD21" s="3471"/>
      <c r="DE21" s="3471"/>
      <c r="DF21" s="3471"/>
      <c r="DG21" s="3471"/>
      <c r="DH21" s="3471"/>
      <c r="DI21" s="2054"/>
      <c r="DK21" s="6335"/>
      <c r="DL21" s="6330"/>
      <c r="DM21" s="6330"/>
      <c r="DN21" s="6330"/>
      <c r="DO21" s="6330"/>
      <c r="DP21" s="6330"/>
      <c r="DQ21" s="6330"/>
      <c r="DR21" s="6330"/>
      <c r="DS21" s="6330"/>
      <c r="DT21" s="6330"/>
      <c r="DU21" s="6330"/>
      <c r="DV21" s="6330"/>
      <c r="DW21" s="6330"/>
      <c r="DX21" s="6330"/>
      <c r="DY21" s="6330"/>
      <c r="DZ21" s="6330"/>
      <c r="EA21" s="6330"/>
      <c r="EB21" s="6330"/>
      <c r="EC21" s="6330"/>
      <c r="ED21" s="6330"/>
      <c r="EE21" s="6330"/>
      <c r="EF21" s="6330"/>
      <c r="EG21" s="6330"/>
      <c r="EH21" s="6330"/>
      <c r="EI21" s="6330"/>
      <c r="EJ21" s="6330"/>
      <c r="EK21" s="6330"/>
      <c r="EL21" s="6330"/>
      <c r="EM21" s="6330"/>
      <c r="EN21" s="6330"/>
      <c r="EO21" s="6330"/>
      <c r="EP21" s="6330"/>
      <c r="EQ21" s="6330"/>
      <c r="ER21" s="6330"/>
      <c r="ES21" s="6330"/>
      <c r="ET21" s="6330"/>
      <c r="EU21" s="6330"/>
      <c r="EV21" s="6330"/>
      <c r="EW21" s="6330"/>
      <c r="EX21" s="6330"/>
      <c r="EY21" s="6330"/>
      <c r="EZ21" s="6330"/>
      <c r="FA21" s="6330"/>
      <c r="FB21" s="6330"/>
      <c r="FC21" s="6330"/>
      <c r="FD21" s="6336"/>
    </row>
    <row r="22" spans="1:160" s="6319" customFormat="1" ht="15" customHeight="1">
      <c r="A22" s="16506"/>
      <c r="B22" s="16444"/>
      <c r="C22" s="16421"/>
      <c r="D22" s="16442"/>
      <c r="E22" s="16443"/>
      <c r="F22" s="16444"/>
      <c r="G22" s="16445"/>
      <c r="H22" s="16445"/>
      <c r="I22" s="16445"/>
      <c r="J22" s="16445"/>
      <c r="K22" s="16445"/>
      <c r="L22" s="6323" t="s">
        <v>10063</v>
      </c>
      <c r="M22" s="6323"/>
      <c r="N22" s="6324" t="s">
        <v>107</v>
      </c>
      <c r="O22" s="6325"/>
      <c r="P22" s="6325"/>
      <c r="Q22" s="6325"/>
      <c r="R22" s="6325"/>
      <c r="S22" s="6325"/>
      <c r="T22" s="6325"/>
      <c r="U22" s="6325"/>
      <c r="V22" s="6329"/>
      <c r="W22" s="6329"/>
      <c r="X22" s="6329"/>
      <c r="Y22" s="2564"/>
      <c r="Z22" s="6330"/>
      <c r="AA22" s="6330"/>
      <c r="AB22" s="6330"/>
      <c r="AC22" s="6330"/>
      <c r="AD22" s="6330"/>
      <c r="AE22" s="6330"/>
      <c r="AF22" s="6330"/>
      <c r="AG22" s="6330"/>
      <c r="AH22" s="6330"/>
      <c r="AI22" s="6330"/>
      <c r="AJ22" s="6330"/>
      <c r="AK22" s="6330"/>
      <c r="AL22" s="6330"/>
      <c r="AM22" s="6330"/>
      <c r="AN22" s="6330"/>
      <c r="AO22" s="6330"/>
      <c r="AP22" s="6330"/>
      <c r="AQ22" s="6330"/>
      <c r="AR22" s="6330"/>
      <c r="AS22" s="6330"/>
      <c r="AT22" s="6330"/>
      <c r="AU22" s="6330"/>
      <c r="AV22" s="6330"/>
      <c r="AW22" s="6330"/>
      <c r="AX22" s="6330"/>
      <c r="AY22" s="6330"/>
      <c r="AZ22" s="6330"/>
      <c r="BA22" s="6330"/>
      <c r="BB22" s="6330"/>
      <c r="BC22" s="6330"/>
      <c r="BD22" s="6330"/>
      <c r="BE22" s="6330"/>
      <c r="BF22" s="6330"/>
      <c r="BG22" s="6330"/>
      <c r="BH22" s="6330"/>
      <c r="BI22" s="6330"/>
      <c r="BJ22" s="6330"/>
      <c r="BK22" s="6330"/>
      <c r="BL22" s="6330"/>
      <c r="BM22" s="6330"/>
      <c r="BN22" s="4063"/>
      <c r="BO22" s="4063"/>
      <c r="BP22" s="4058"/>
      <c r="BQ22" s="4063"/>
      <c r="BR22" s="16516"/>
      <c r="BS22" s="3471"/>
      <c r="BT22" s="3471"/>
      <c r="BU22" s="3471"/>
      <c r="BV22" s="4451"/>
      <c r="BW22" s="4451"/>
      <c r="BX22" s="4451"/>
      <c r="BY22" s="4451"/>
      <c r="BZ22" s="4451"/>
      <c r="CA22" s="4451"/>
      <c r="CB22" s="4451"/>
      <c r="CC22" s="4451"/>
      <c r="CD22" s="4451"/>
      <c r="CE22" s="4451"/>
      <c r="CF22" s="4451"/>
      <c r="CG22" s="4451"/>
      <c r="CH22" s="4451"/>
      <c r="CI22" s="4451"/>
      <c r="CJ22" s="4451"/>
      <c r="CK22" s="4451"/>
      <c r="CL22" s="4451"/>
      <c r="CM22" s="4451"/>
      <c r="CN22" s="4451"/>
      <c r="CO22" s="3471"/>
      <c r="CP22" s="3471"/>
      <c r="CQ22" s="3471"/>
      <c r="CR22" s="3471"/>
      <c r="CS22" s="3471"/>
      <c r="CT22" s="3471"/>
      <c r="CU22" s="3471"/>
      <c r="CV22" s="3471"/>
      <c r="CW22" s="3471"/>
      <c r="CX22" s="3471"/>
      <c r="CY22" s="3471"/>
      <c r="CZ22" s="3471"/>
      <c r="DA22" s="3471"/>
      <c r="DB22" s="3471"/>
      <c r="DC22" s="3471"/>
      <c r="DD22" s="3471"/>
      <c r="DE22" s="3471"/>
      <c r="DF22" s="3471"/>
      <c r="DG22" s="3471"/>
      <c r="DH22" s="3471"/>
      <c r="DI22" s="2054"/>
      <c r="DK22" s="6335"/>
      <c r="DL22" s="6330"/>
      <c r="DM22" s="6330"/>
      <c r="DN22" s="6330"/>
      <c r="DO22" s="6330"/>
      <c r="DP22" s="6330"/>
      <c r="DQ22" s="6330"/>
      <c r="DR22" s="6330"/>
      <c r="DS22" s="6330"/>
      <c r="DT22" s="6330"/>
      <c r="DU22" s="6330"/>
      <c r="DV22" s="6330"/>
      <c r="DW22" s="6330"/>
      <c r="DX22" s="6330"/>
      <c r="DY22" s="6330"/>
      <c r="DZ22" s="6330"/>
      <c r="EA22" s="6330"/>
      <c r="EB22" s="6330"/>
      <c r="EC22" s="6330"/>
      <c r="ED22" s="6330"/>
      <c r="EE22" s="6330"/>
      <c r="EF22" s="6330"/>
      <c r="EG22" s="6330"/>
      <c r="EH22" s="6330"/>
      <c r="EI22" s="6330"/>
      <c r="EJ22" s="6330"/>
      <c r="EK22" s="6330"/>
      <c r="EL22" s="6330"/>
      <c r="EM22" s="6330"/>
      <c r="EN22" s="6330"/>
      <c r="EO22" s="6330"/>
      <c r="EP22" s="6330"/>
      <c r="EQ22" s="6330"/>
      <c r="ER22" s="6330"/>
      <c r="ES22" s="6330"/>
      <c r="ET22" s="6330"/>
      <c r="EU22" s="6330"/>
      <c r="EV22" s="6330"/>
      <c r="EW22" s="6330"/>
      <c r="EX22" s="6330"/>
      <c r="EY22" s="6330"/>
      <c r="EZ22" s="6330"/>
      <c r="FA22" s="6330"/>
      <c r="FB22" s="6330"/>
      <c r="FC22" s="6330"/>
      <c r="FD22" s="6336"/>
    </row>
    <row r="23" spans="1:160" s="6319" customFormat="1" ht="15" customHeight="1">
      <c r="A23" s="16506"/>
      <c r="B23" s="16444"/>
      <c r="C23" s="16444" t="s">
        <v>122</v>
      </c>
      <c r="D23" s="4058" t="s">
        <v>5060</v>
      </c>
      <c r="E23" s="6337" t="s">
        <v>123</v>
      </c>
      <c r="F23" s="6323" t="s">
        <v>95</v>
      </c>
      <c r="G23" s="6338" t="s">
        <v>70</v>
      </c>
      <c r="H23" s="6338">
        <v>1</v>
      </c>
      <c r="I23" s="6338">
        <v>2</v>
      </c>
      <c r="J23" s="6338">
        <v>4</v>
      </c>
      <c r="K23" s="6323" t="s">
        <v>124</v>
      </c>
      <c r="L23" s="6323" t="s">
        <v>86</v>
      </c>
      <c r="M23" s="6323" t="s">
        <v>112</v>
      </c>
      <c r="N23" s="6324"/>
      <c r="O23" s="6325">
        <v>10000000</v>
      </c>
      <c r="P23" s="6325">
        <v>0</v>
      </c>
      <c r="Q23" s="6325">
        <v>0</v>
      </c>
      <c r="R23" s="6325">
        <v>10900000</v>
      </c>
      <c r="S23" s="6325">
        <v>0</v>
      </c>
      <c r="T23" s="6325">
        <v>0</v>
      </c>
      <c r="U23" s="6325">
        <v>0</v>
      </c>
      <c r="V23" s="6329" t="s">
        <v>1732</v>
      </c>
      <c r="W23" s="6329"/>
      <c r="X23" s="6329"/>
      <c r="Y23" s="6329"/>
      <c r="Z23" s="6330"/>
      <c r="AA23" s="6330"/>
      <c r="AB23" s="6330"/>
      <c r="AC23" s="6330"/>
      <c r="AD23" s="6330"/>
      <c r="AE23" s="6330"/>
      <c r="AF23" s="6330"/>
      <c r="AG23" s="6330"/>
      <c r="AH23" s="6330"/>
      <c r="AI23" s="6330"/>
      <c r="AJ23" s="6330"/>
      <c r="AK23" s="6330"/>
      <c r="AL23" s="6330"/>
      <c r="AM23" s="6330"/>
      <c r="AN23" s="6330"/>
      <c r="AO23" s="6330"/>
      <c r="AP23" s="6330"/>
      <c r="AQ23" s="6330"/>
      <c r="AR23" s="6330"/>
      <c r="AS23" s="6330"/>
      <c r="AT23" s="6330"/>
      <c r="AU23" s="6330"/>
      <c r="AV23" s="6330"/>
      <c r="AW23" s="6330"/>
      <c r="AX23" s="6330"/>
      <c r="AY23" s="6330"/>
      <c r="AZ23" s="6330"/>
      <c r="BA23" s="6330"/>
      <c r="BB23" s="6330"/>
      <c r="BC23" s="6330"/>
      <c r="BD23" s="6330"/>
      <c r="BE23" s="6330"/>
      <c r="BF23" s="6330"/>
      <c r="BG23" s="6330"/>
      <c r="BH23" s="6330"/>
      <c r="BI23" s="6330"/>
      <c r="BJ23" s="6330"/>
      <c r="BK23" s="6330"/>
      <c r="BL23" s="6330"/>
      <c r="BM23" s="6330"/>
      <c r="BN23" s="4063" t="s">
        <v>3781</v>
      </c>
      <c r="BO23" s="4063" t="s">
        <v>3781</v>
      </c>
      <c r="BP23" s="4058">
        <v>2</v>
      </c>
      <c r="BQ23" s="4063" t="s">
        <v>3781</v>
      </c>
      <c r="BR23" s="16516"/>
      <c r="BS23" s="3471"/>
      <c r="BT23" s="3471"/>
      <c r="BU23" s="3471"/>
      <c r="BV23" s="4451"/>
      <c r="BW23" s="4451"/>
      <c r="BX23" s="4451"/>
      <c r="BY23" s="4451"/>
      <c r="BZ23" s="4451"/>
      <c r="CA23" s="4451"/>
      <c r="CB23" s="4451"/>
      <c r="CC23" s="4451"/>
      <c r="CD23" s="4451"/>
      <c r="CE23" s="4451"/>
      <c r="CF23" s="4451"/>
      <c r="CG23" s="4451"/>
      <c r="CH23" s="4451"/>
      <c r="CI23" s="4451"/>
      <c r="CJ23" s="4451"/>
      <c r="CK23" s="4451"/>
      <c r="CL23" s="4451"/>
      <c r="CM23" s="4451"/>
      <c r="CN23" s="4451"/>
      <c r="CO23" s="3471"/>
      <c r="CP23" s="3471"/>
      <c r="CQ23" s="3471"/>
      <c r="CR23" s="3471"/>
      <c r="CS23" s="3471"/>
      <c r="CT23" s="3471"/>
      <c r="CU23" s="3471"/>
      <c r="CV23" s="3471"/>
      <c r="CW23" s="3471"/>
      <c r="CX23" s="3471"/>
      <c r="CY23" s="3471"/>
      <c r="CZ23" s="3471"/>
      <c r="DA23" s="3471"/>
      <c r="DB23" s="3471"/>
      <c r="DC23" s="3471"/>
      <c r="DD23" s="3471"/>
      <c r="DE23" s="3471"/>
      <c r="DF23" s="3471"/>
      <c r="DG23" s="3471"/>
      <c r="DH23" s="3471"/>
      <c r="DI23" s="2054"/>
      <c r="DK23" s="6335"/>
      <c r="DL23" s="6330"/>
      <c r="DM23" s="6330"/>
      <c r="DN23" s="6330"/>
      <c r="DO23" s="6330"/>
      <c r="DP23" s="6330"/>
      <c r="DQ23" s="6330"/>
      <c r="DR23" s="6330"/>
      <c r="DS23" s="6330"/>
      <c r="DT23" s="6330"/>
      <c r="DU23" s="6330"/>
      <c r="DV23" s="6330"/>
      <c r="DW23" s="6330"/>
      <c r="DX23" s="6330"/>
      <c r="DY23" s="6330"/>
      <c r="DZ23" s="6330"/>
      <c r="EA23" s="6330"/>
      <c r="EB23" s="6330"/>
      <c r="EC23" s="6330"/>
      <c r="ED23" s="6330"/>
      <c r="EE23" s="6330"/>
      <c r="EF23" s="6330"/>
      <c r="EG23" s="6330"/>
      <c r="EH23" s="6330"/>
      <c r="EI23" s="6330"/>
      <c r="EJ23" s="6330"/>
      <c r="EK23" s="6330"/>
      <c r="EL23" s="6330"/>
      <c r="EM23" s="6330"/>
      <c r="EN23" s="6330"/>
      <c r="EO23" s="6330"/>
      <c r="EP23" s="6330"/>
      <c r="EQ23" s="6330"/>
      <c r="ER23" s="6330"/>
      <c r="ES23" s="6330"/>
      <c r="ET23" s="6330"/>
      <c r="EU23" s="6330"/>
      <c r="EV23" s="6330"/>
      <c r="EW23" s="6330"/>
      <c r="EX23" s="6330"/>
      <c r="EY23" s="6330"/>
      <c r="EZ23" s="6330"/>
      <c r="FA23" s="6330"/>
      <c r="FB23" s="6330"/>
      <c r="FC23" s="6330"/>
      <c r="FD23" s="6336"/>
    </row>
    <row r="24" spans="1:160" s="6319" customFormat="1" ht="15" customHeight="1">
      <c r="A24" s="16506"/>
      <c r="B24" s="16444"/>
      <c r="C24" s="16444"/>
      <c r="D24" s="4058" t="s">
        <v>5061</v>
      </c>
      <c r="E24" s="6337" t="s">
        <v>125</v>
      </c>
      <c r="F24" s="6323" t="s">
        <v>126</v>
      </c>
      <c r="G24" s="6338" t="s">
        <v>70</v>
      </c>
      <c r="H24" s="6338">
        <v>1</v>
      </c>
      <c r="I24" s="6338">
        <v>1</v>
      </c>
      <c r="J24" s="6338">
        <v>1</v>
      </c>
      <c r="K24" s="6323" t="s">
        <v>127</v>
      </c>
      <c r="L24" s="6323" t="s">
        <v>86</v>
      </c>
      <c r="M24" s="6323" t="s">
        <v>128</v>
      </c>
      <c r="N24" s="6339" t="s">
        <v>129</v>
      </c>
      <c r="O24" s="6325">
        <v>10000000</v>
      </c>
      <c r="P24" s="6325">
        <v>10300000</v>
      </c>
      <c r="Q24" s="6325">
        <v>10609000</v>
      </c>
      <c r="R24" s="6325">
        <v>10927270</v>
      </c>
      <c r="S24" s="6325">
        <v>11255088.1</v>
      </c>
      <c r="T24" s="6325">
        <v>11592740.743000001</v>
      </c>
      <c r="U24" s="6325">
        <v>11940522.965290001</v>
      </c>
      <c r="V24" s="6329" t="s">
        <v>1732</v>
      </c>
      <c r="W24" s="6329"/>
      <c r="X24" s="6329"/>
      <c r="Y24" s="6329"/>
      <c r="Z24" s="6330"/>
      <c r="AA24" s="6330"/>
      <c r="AB24" s="6330"/>
      <c r="AC24" s="6330"/>
      <c r="AD24" s="6330"/>
      <c r="AE24" s="6330"/>
      <c r="AF24" s="6330"/>
      <c r="AG24" s="6330"/>
      <c r="AH24" s="6330"/>
      <c r="AI24" s="6330"/>
      <c r="AJ24" s="6330"/>
      <c r="AK24" s="6330"/>
      <c r="AL24" s="6330"/>
      <c r="AM24" s="6330"/>
      <c r="AN24" s="6330"/>
      <c r="AO24" s="6330"/>
      <c r="AP24" s="6330"/>
      <c r="AQ24" s="6330"/>
      <c r="AR24" s="6330"/>
      <c r="AS24" s="6330"/>
      <c r="AT24" s="6330"/>
      <c r="AU24" s="6330"/>
      <c r="AV24" s="6330"/>
      <c r="AW24" s="6330"/>
      <c r="AX24" s="6330"/>
      <c r="AY24" s="6330"/>
      <c r="AZ24" s="6330"/>
      <c r="BA24" s="6330"/>
      <c r="BB24" s="6330"/>
      <c r="BC24" s="6330"/>
      <c r="BD24" s="6330"/>
      <c r="BE24" s="6330"/>
      <c r="BF24" s="6330"/>
      <c r="BG24" s="6330"/>
      <c r="BH24" s="6330"/>
      <c r="BI24" s="6330"/>
      <c r="BJ24" s="6330"/>
      <c r="BK24" s="6330"/>
      <c r="BL24" s="6330"/>
      <c r="BM24" s="6330"/>
      <c r="BN24" s="4063">
        <v>1</v>
      </c>
      <c r="BO24" s="4063">
        <v>1</v>
      </c>
      <c r="BP24" s="4058">
        <v>1</v>
      </c>
      <c r="BQ24" s="4274">
        <f t="shared" ref="BQ24:BQ30" si="1">+BP24/BO24</f>
        <v>1</v>
      </c>
      <c r="BR24" s="16516"/>
      <c r="BS24" s="4058" t="s">
        <v>9668</v>
      </c>
      <c r="BT24" s="3471"/>
      <c r="BU24" s="3471"/>
      <c r="BV24" s="4451"/>
      <c r="BW24" s="4451"/>
      <c r="BX24" s="4451"/>
      <c r="BY24" s="4451"/>
      <c r="BZ24" s="4451"/>
      <c r="CA24" s="4451"/>
      <c r="CB24" s="4451"/>
      <c r="CC24" s="4451"/>
      <c r="CD24" s="4451"/>
      <c r="CE24" s="4451"/>
      <c r="CF24" s="4451"/>
      <c r="CG24" s="4451"/>
      <c r="CH24" s="4451"/>
      <c r="CI24" s="4451"/>
      <c r="CJ24" s="4451"/>
      <c r="CK24" s="4451"/>
      <c r="CL24" s="4451"/>
      <c r="CM24" s="4451"/>
      <c r="CN24" s="4451"/>
      <c r="CO24" s="3471"/>
      <c r="CP24" s="3471"/>
      <c r="CQ24" s="3471"/>
      <c r="CR24" s="3471"/>
      <c r="CS24" s="3471"/>
      <c r="CT24" s="3471"/>
      <c r="CU24" s="3471"/>
      <c r="CV24" s="3471"/>
      <c r="CW24" s="3471"/>
      <c r="CX24" s="3471"/>
      <c r="CY24" s="3471"/>
      <c r="CZ24" s="3471"/>
      <c r="DA24" s="3471"/>
      <c r="DB24" s="3471"/>
      <c r="DC24" s="3471"/>
      <c r="DD24" s="3471"/>
      <c r="DE24" s="3471"/>
      <c r="DF24" s="3471"/>
      <c r="DG24" s="3471"/>
      <c r="DH24" s="3471"/>
      <c r="DI24" s="2054"/>
      <c r="DK24" s="6335"/>
      <c r="DL24" s="6330"/>
      <c r="DM24" s="6330"/>
      <c r="DN24" s="6330"/>
      <c r="DO24" s="6330"/>
      <c r="DP24" s="6330"/>
      <c r="DQ24" s="6330"/>
      <c r="DR24" s="6330"/>
      <c r="DS24" s="6330"/>
      <c r="DT24" s="6330"/>
      <c r="DU24" s="6330"/>
      <c r="DV24" s="6330"/>
      <c r="DW24" s="6330"/>
      <c r="DX24" s="6330"/>
      <c r="DY24" s="6330"/>
      <c r="DZ24" s="6330"/>
      <c r="EA24" s="6330"/>
      <c r="EB24" s="6330"/>
      <c r="EC24" s="6330"/>
      <c r="ED24" s="6330"/>
      <c r="EE24" s="6330"/>
      <c r="EF24" s="6330"/>
      <c r="EG24" s="6330"/>
      <c r="EH24" s="6330"/>
      <c r="EI24" s="6330"/>
      <c r="EJ24" s="6330"/>
      <c r="EK24" s="6330"/>
      <c r="EL24" s="6330"/>
      <c r="EM24" s="6330"/>
      <c r="EN24" s="6330"/>
      <c r="EO24" s="6330"/>
      <c r="EP24" s="6330"/>
      <c r="EQ24" s="6330"/>
      <c r="ER24" s="6330"/>
      <c r="ES24" s="6330"/>
      <c r="ET24" s="6330"/>
      <c r="EU24" s="6330"/>
      <c r="EV24" s="6330"/>
      <c r="EW24" s="6330"/>
      <c r="EX24" s="6330"/>
      <c r="EY24" s="6330"/>
      <c r="EZ24" s="6330"/>
      <c r="FA24" s="6330"/>
      <c r="FB24" s="6330"/>
      <c r="FC24" s="6330"/>
      <c r="FD24" s="6336"/>
    </row>
    <row r="25" spans="1:160" s="6319" customFormat="1" ht="15" customHeight="1">
      <c r="A25" s="16506"/>
      <c r="B25" s="16444"/>
      <c r="C25" s="16422" t="s">
        <v>130</v>
      </c>
      <c r="D25" s="16442" t="s">
        <v>5062</v>
      </c>
      <c r="E25" s="16443" t="s">
        <v>131</v>
      </c>
      <c r="F25" s="16443" t="s">
        <v>132</v>
      </c>
      <c r="G25" s="16443" t="s">
        <v>70</v>
      </c>
      <c r="H25" s="16443">
        <v>15</v>
      </c>
      <c r="I25" s="16443">
        <v>30</v>
      </c>
      <c r="J25" s="16443">
        <v>50</v>
      </c>
      <c r="K25" s="16443" t="s">
        <v>124</v>
      </c>
      <c r="L25" s="6323" t="s">
        <v>86</v>
      </c>
      <c r="M25" s="6323" t="s">
        <v>106</v>
      </c>
      <c r="N25" s="6324"/>
      <c r="O25" s="6325">
        <v>5000000</v>
      </c>
      <c r="P25" s="6325">
        <v>5150000</v>
      </c>
      <c r="Q25" s="6325">
        <v>5304500</v>
      </c>
      <c r="R25" s="6325">
        <v>5463635</v>
      </c>
      <c r="S25" s="6325">
        <v>5627544.0499999998</v>
      </c>
      <c r="T25" s="6325">
        <v>5796370.3715000004</v>
      </c>
      <c r="U25" s="6325">
        <v>5970261.4826450003</v>
      </c>
      <c r="V25" s="6326">
        <v>1</v>
      </c>
      <c r="W25" s="6343" t="s">
        <v>3596</v>
      </c>
      <c r="X25" s="6327" t="s">
        <v>3597</v>
      </c>
      <c r="Y25" s="6329"/>
      <c r="Z25" s="6328">
        <v>3120000</v>
      </c>
      <c r="AA25" s="6329"/>
      <c r="AB25" s="6329"/>
      <c r="AC25" s="6329"/>
      <c r="AD25" s="6329">
        <v>46</v>
      </c>
      <c r="AE25" s="6329">
        <v>5</v>
      </c>
      <c r="AF25" s="6329">
        <v>41</v>
      </c>
      <c r="AG25" s="6329">
        <v>32</v>
      </c>
      <c r="AH25" s="6329">
        <v>14</v>
      </c>
      <c r="AI25" s="6329">
        <v>0</v>
      </c>
      <c r="AJ25" s="6329">
        <v>0</v>
      </c>
      <c r="AK25" s="6329">
        <v>0</v>
      </c>
      <c r="AL25" s="6329">
        <v>19</v>
      </c>
      <c r="AM25" s="6329">
        <v>15</v>
      </c>
      <c r="AN25" s="6329">
        <v>6</v>
      </c>
      <c r="AO25" s="6329">
        <v>6</v>
      </c>
      <c r="AP25" s="6329">
        <v>24</v>
      </c>
      <c r="AQ25" s="6329"/>
      <c r="AR25" s="6329">
        <v>13</v>
      </c>
      <c r="AS25" s="6329">
        <v>3</v>
      </c>
      <c r="AT25" s="6329">
        <v>6</v>
      </c>
      <c r="AU25" s="6329"/>
      <c r="AV25" s="6329"/>
      <c r="AW25" s="6329"/>
      <c r="AX25" s="6329"/>
      <c r="AY25" s="6329">
        <v>46</v>
      </c>
      <c r="AZ25" s="6329"/>
      <c r="BA25" s="6329"/>
      <c r="BB25" s="6329"/>
      <c r="BC25" s="6329"/>
      <c r="BD25" s="6330"/>
      <c r="BE25" s="6330"/>
      <c r="BF25" s="6330"/>
      <c r="BG25" s="6330"/>
      <c r="BH25" s="6330"/>
      <c r="BI25" s="6330"/>
      <c r="BJ25" s="6330"/>
      <c r="BK25" s="6330"/>
      <c r="BL25" s="6330"/>
      <c r="BM25" s="6330"/>
      <c r="BN25" s="4046">
        <v>46</v>
      </c>
      <c r="BO25" s="4058">
        <v>146</v>
      </c>
      <c r="BP25" s="4058">
        <v>146</v>
      </c>
      <c r="BQ25" s="4274">
        <f t="shared" si="1"/>
        <v>1</v>
      </c>
      <c r="BR25" s="16516"/>
      <c r="BS25" s="6331" t="s">
        <v>3596</v>
      </c>
      <c r="BT25" s="6331" t="s">
        <v>3597</v>
      </c>
      <c r="BU25" s="6331"/>
      <c r="BV25" s="6340">
        <v>3120000</v>
      </c>
      <c r="BW25" s="6340"/>
      <c r="BX25" s="6340"/>
      <c r="BY25" s="6340"/>
      <c r="BZ25" s="6340">
        <v>46</v>
      </c>
      <c r="CA25" s="6340">
        <v>5</v>
      </c>
      <c r="CB25" s="6340">
        <v>41</v>
      </c>
      <c r="CC25" s="6340">
        <v>32</v>
      </c>
      <c r="CD25" s="6340">
        <v>14</v>
      </c>
      <c r="CE25" s="6340">
        <v>0</v>
      </c>
      <c r="CF25" s="6340">
        <v>0</v>
      </c>
      <c r="CG25" s="6340">
        <v>0</v>
      </c>
      <c r="CH25" s="6340">
        <v>19</v>
      </c>
      <c r="CI25" s="6340">
        <v>15</v>
      </c>
      <c r="CJ25" s="6340">
        <v>6</v>
      </c>
      <c r="CK25" s="6340">
        <v>6</v>
      </c>
      <c r="CL25" s="6340">
        <v>24</v>
      </c>
      <c r="CM25" s="6340"/>
      <c r="CN25" s="6340">
        <v>13</v>
      </c>
      <c r="CO25" s="6341">
        <v>3</v>
      </c>
      <c r="CP25" s="6341">
        <v>6</v>
      </c>
      <c r="CQ25" s="6341"/>
      <c r="CR25" s="6341"/>
      <c r="CS25" s="6341"/>
      <c r="CT25" s="6341"/>
      <c r="CU25" s="6341">
        <v>46</v>
      </c>
      <c r="CV25" s="6341"/>
      <c r="CW25" s="6341"/>
      <c r="CX25" s="6341"/>
      <c r="CY25" s="6341"/>
      <c r="CZ25" s="3471"/>
      <c r="DA25" s="3471"/>
      <c r="DB25" s="3471"/>
      <c r="DC25" s="3471"/>
      <c r="DD25" s="3471"/>
      <c r="DE25" s="3471"/>
      <c r="DF25" s="3471"/>
      <c r="DG25" s="3471"/>
      <c r="DH25" s="3471"/>
      <c r="DI25" s="2054"/>
      <c r="DK25" s="6335"/>
      <c r="DL25" s="6330"/>
      <c r="DM25" s="6330"/>
      <c r="DN25" s="6330"/>
      <c r="DO25" s="6330"/>
      <c r="DP25" s="6330"/>
      <c r="DQ25" s="6330"/>
      <c r="DR25" s="6330"/>
      <c r="DS25" s="6330"/>
      <c r="DT25" s="6330"/>
      <c r="DU25" s="6330"/>
      <c r="DV25" s="6330"/>
      <c r="DW25" s="6330"/>
      <c r="DX25" s="6330"/>
      <c r="DY25" s="6330"/>
      <c r="DZ25" s="6330"/>
      <c r="EA25" s="6330"/>
      <c r="EB25" s="6330"/>
      <c r="EC25" s="6330"/>
      <c r="ED25" s="6330"/>
      <c r="EE25" s="6330"/>
      <c r="EF25" s="6330"/>
      <c r="EG25" s="6330"/>
      <c r="EH25" s="6330"/>
      <c r="EI25" s="6330"/>
      <c r="EJ25" s="6330"/>
      <c r="EK25" s="6330"/>
      <c r="EL25" s="6330"/>
      <c r="EM25" s="6330"/>
      <c r="EN25" s="6330"/>
      <c r="EO25" s="6330"/>
      <c r="EP25" s="6330"/>
      <c r="EQ25" s="6330"/>
      <c r="ER25" s="6330"/>
      <c r="ES25" s="6330"/>
      <c r="ET25" s="6330"/>
      <c r="EU25" s="6330"/>
      <c r="EV25" s="6330"/>
      <c r="EW25" s="6330"/>
      <c r="EX25" s="6330"/>
      <c r="EY25" s="6330"/>
      <c r="EZ25" s="6330"/>
      <c r="FA25" s="6330"/>
      <c r="FB25" s="6330"/>
      <c r="FC25" s="6330"/>
      <c r="FD25" s="6336"/>
    </row>
    <row r="26" spans="1:160" s="6319" customFormat="1" ht="15" customHeight="1">
      <c r="A26" s="16506"/>
      <c r="B26" s="16444"/>
      <c r="C26" s="16420"/>
      <c r="D26" s="16442"/>
      <c r="E26" s="16443"/>
      <c r="F26" s="16443"/>
      <c r="G26" s="16443"/>
      <c r="H26" s="16443"/>
      <c r="I26" s="16443"/>
      <c r="J26" s="16443"/>
      <c r="K26" s="16443"/>
      <c r="L26" s="6323" t="s">
        <v>329</v>
      </c>
      <c r="M26" s="6323"/>
      <c r="N26" s="6324" t="s">
        <v>329</v>
      </c>
      <c r="O26" s="6325"/>
      <c r="P26" s="6325"/>
      <c r="Q26" s="6325"/>
      <c r="R26" s="6325"/>
      <c r="S26" s="6325"/>
      <c r="T26" s="6325"/>
      <c r="U26" s="6325"/>
      <c r="V26" s="6326"/>
      <c r="W26" s="6343"/>
      <c r="X26" s="6327"/>
      <c r="Y26" s="6329"/>
      <c r="Z26" s="6328"/>
      <c r="AA26" s="6329"/>
      <c r="AB26" s="6329"/>
      <c r="AC26" s="6329"/>
      <c r="AD26" s="6329"/>
      <c r="AE26" s="6329"/>
      <c r="AF26" s="6329"/>
      <c r="AG26" s="6329"/>
      <c r="AH26" s="6329"/>
      <c r="AI26" s="6329"/>
      <c r="AJ26" s="6329"/>
      <c r="AK26" s="6329"/>
      <c r="AL26" s="6329"/>
      <c r="AM26" s="6329"/>
      <c r="AN26" s="6329"/>
      <c r="AO26" s="6329"/>
      <c r="AP26" s="6329"/>
      <c r="AQ26" s="6329"/>
      <c r="AR26" s="6329"/>
      <c r="AS26" s="6329"/>
      <c r="AT26" s="6329"/>
      <c r="AU26" s="6329"/>
      <c r="AV26" s="6329"/>
      <c r="AW26" s="6329"/>
      <c r="AX26" s="6329"/>
      <c r="AY26" s="6329"/>
      <c r="AZ26" s="6329"/>
      <c r="BA26" s="6329"/>
      <c r="BB26" s="6329"/>
      <c r="BC26" s="6329"/>
      <c r="BD26" s="6330"/>
      <c r="BE26" s="6330"/>
      <c r="BF26" s="6330"/>
      <c r="BG26" s="6330"/>
      <c r="BH26" s="6330"/>
      <c r="BI26" s="6330"/>
      <c r="BJ26" s="6330"/>
      <c r="BK26" s="6330"/>
      <c r="BL26" s="6330"/>
      <c r="BM26" s="6330"/>
      <c r="BN26" s="4046"/>
      <c r="BO26" s="4058"/>
      <c r="BP26" s="4058"/>
      <c r="BQ26" s="4274"/>
      <c r="BR26" s="16516"/>
      <c r="BS26" s="6331"/>
      <c r="BT26" s="6331"/>
      <c r="BU26" s="6331"/>
      <c r="BV26" s="6340"/>
      <c r="BW26" s="6340"/>
      <c r="BX26" s="6340"/>
      <c r="BY26" s="6340"/>
      <c r="BZ26" s="6340"/>
      <c r="CA26" s="6340"/>
      <c r="CB26" s="6340"/>
      <c r="CC26" s="6340"/>
      <c r="CD26" s="6340"/>
      <c r="CE26" s="6340"/>
      <c r="CF26" s="6340"/>
      <c r="CG26" s="6340"/>
      <c r="CH26" s="6340"/>
      <c r="CI26" s="6340"/>
      <c r="CJ26" s="6340"/>
      <c r="CK26" s="6340"/>
      <c r="CL26" s="6340"/>
      <c r="CM26" s="6340"/>
      <c r="CN26" s="6340"/>
      <c r="CO26" s="6341"/>
      <c r="CP26" s="6341"/>
      <c r="CQ26" s="6341"/>
      <c r="CR26" s="6341"/>
      <c r="CS26" s="6341"/>
      <c r="CT26" s="6341"/>
      <c r="CU26" s="6341"/>
      <c r="CV26" s="6341"/>
      <c r="CW26" s="6341"/>
      <c r="CX26" s="6341"/>
      <c r="CY26" s="6341"/>
      <c r="CZ26" s="3471"/>
      <c r="DA26" s="3471"/>
      <c r="DB26" s="3471"/>
      <c r="DC26" s="3471"/>
      <c r="DD26" s="3471"/>
      <c r="DE26" s="3471"/>
      <c r="DF26" s="3471"/>
      <c r="DG26" s="3471"/>
      <c r="DH26" s="3471"/>
      <c r="DI26" s="2054"/>
      <c r="DK26" s="6335"/>
      <c r="DL26" s="6330"/>
      <c r="DM26" s="6330"/>
      <c r="DN26" s="6330"/>
      <c r="DO26" s="6330"/>
      <c r="DP26" s="6330"/>
      <c r="DQ26" s="6330"/>
      <c r="DR26" s="6330"/>
      <c r="DS26" s="6330"/>
      <c r="DT26" s="6330"/>
      <c r="DU26" s="6330"/>
      <c r="DV26" s="6330"/>
      <c r="DW26" s="6330"/>
      <c r="DX26" s="6330"/>
      <c r="DY26" s="6330"/>
      <c r="DZ26" s="6330"/>
      <c r="EA26" s="6330"/>
      <c r="EB26" s="6330"/>
      <c r="EC26" s="6330"/>
      <c r="ED26" s="6330"/>
      <c r="EE26" s="6330"/>
      <c r="EF26" s="6330"/>
      <c r="EG26" s="6330"/>
      <c r="EH26" s="6330"/>
      <c r="EI26" s="6330"/>
      <c r="EJ26" s="6330"/>
      <c r="EK26" s="6330"/>
      <c r="EL26" s="6330"/>
      <c r="EM26" s="6330"/>
      <c r="EN26" s="6330"/>
      <c r="EO26" s="6330"/>
      <c r="EP26" s="6330"/>
      <c r="EQ26" s="6330"/>
      <c r="ER26" s="6330"/>
      <c r="ES26" s="6330"/>
      <c r="ET26" s="6330"/>
      <c r="EU26" s="6330"/>
      <c r="EV26" s="6330"/>
      <c r="EW26" s="6330"/>
      <c r="EX26" s="6330"/>
      <c r="EY26" s="6330"/>
      <c r="EZ26" s="6330"/>
      <c r="FA26" s="6330"/>
      <c r="FB26" s="6330"/>
      <c r="FC26" s="6330"/>
      <c r="FD26" s="6336"/>
    </row>
    <row r="27" spans="1:160" s="6319" customFormat="1" ht="15" customHeight="1">
      <c r="A27" s="16506"/>
      <c r="B27" s="16444"/>
      <c r="C27" s="16420"/>
      <c r="D27" s="16442"/>
      <c r="E27" s="16443"/>
      <c r="F27" s="16443"/>
      <c r="G27" s="16443"/>
      <c r="H27" s="16443"/>
      <c r="I27" s="16443"/>
      <c r="J27" s="16443"/>
      <c r="K27" s="16443"/>
      <c r="L27" s="6323" t="s">
        <v>10194</v>
      </c>
      <c r="M27" s="6323"/>
      <c r="N27" s="6324" t="s">
        <v>733</v>
      </c>
      <c r="O27" s="6325"/>
      <c r="P27" s="6325"/>
      <c r="Q27" s="6325"/>
      <c r="R27" s="6325"/>
      <c r="S27" s="6325"/>
      <c r="T27" s="6325"/>
      <c r="U27" s="6325"/>
      <c r="V27" s="6326"/>
      <c r="W27" s="6343"/>
      <c r="X27" s="6327"/>
      <c r="Y27" s="6329"/>
      <c r="Z27" s="6328"/>
      <c r="AA27" s="6329"/>
      <c r="AB27" s="6329"/>
      <c r="AC27" s="6329"/>
      <c r="AD27" s="6329"/>
      <c r="AE27" s="6329"/>
      <c r="AF27" s="6329"/>
      <c r="AG27" s="6329"/>
      <c r="AH27" s="6329"/>
      <c r="AI27" s="6329"/>
      <c r="AJ27" s="6329"/>
      <c r="AK27" s="6329"/>
      <c r="AL27" s="6329"/>
      <c r="AM27" s="6329"/>
      <c r="AN27" s="6329"/>
      <c r="AO27" s="6329"/>
      <c r="AP27" s="6329"/>
      <c r="AQ27" s="6329"/>
      <c r="AR27" s="6329"/>
      <c r="AS27" s="6329"/>
      <c r="AT27" s="6329"/>
      <c r="AU27" s="6329"/>
      <c r="AV27" s="6329"/>
      <c r="AW27" s="6329"/>
      <c r="AX27" s="6329"/>
      <c r="AY27" s="6329"/>
      <c r="AZ27" s="6329"/>
      <c r="BA27" s="6329"/>
      <c r="BB27" s="6329"/>
      <c r="BC27" s="6329"/>
      <c r="BD27" s="6330"/>
      <c r="BE27" s="6330"/>
      <c r="BF27" s="6330"/>
      <c r="BG27" s="6330"/>
      <c r="BH27" s="6330"/>
      <c r="BI27" s="6330"/>
      <c r="BJ27" s="6330"/>
      <c r="BK27" s="6330"/>
      <c r="BL27" s="6330"/>
      <c r="BM27" s="6330"/>
      <c r="BN27" s="4046"/>
      <c r="BO27" s="4058"/>
      <c r="BP27" s="4058"/>
      <c r="BQ27" s="4274"/>
      <c r="BR27" s="16516"/>
      <c r="BS27" s="6331"/>
      <c r="BT27" s="6331"/>
      <c r="BU27" s="6331"/>
      <c r="BV27" s="6340"/>
      <c r="BW27" s="6340"/>
      <c r="BX27" s="6340"/>
      <c r="BY27" s="6340"/>
      <c r="BZ27" s="6340"/>
      <c r="CA27" s="6340"/>
      <c r="CB27" s="6340"/>
      <c r="CC27" s="6340"/>
      <c r="CD27" s="6340"/>
      <c r="CE27" s="6340"/>
      <c r="CF27" s="6340"/>
      <c r="CG27" s="6340"/>
      <c r="CH27" s="6340"/>
      <c r="CI27" s="6340"/>
      <c r="CJ27" s="6340"/>
      <c r="CK27" s="6340"/>
      <c r="CL27" s="6340"/>
      <c r="CM27" s="6340"/>
      <c r="CN27" s="6340"/>
      <c r="CO27" s="6341"/>
      <c r="CP27" s="6341"/>
      <c r="CQ27" s="6341"/>
      <c r="CR27" s="6341"/>
      <c r="CS27" s="6341"/>
      <c r="CT27" s="6341"/>
      <c r="CU27" s="6341"/>
      <c r="CV27" s="6341"/>
      <c r="CW27" s="6341"/>
      <c r="CX27" s="6341"/>
      <c r="CY27" s="6341"/>
      <c r="CZ27" s="3471"/>
      <c r="DA27" s="3471"/>
      <c r="DB27" s="3471"/>
      <c r="DC27" s="3471"/>
      <c r="DD27" s="3471"/>
      <c r="DE27" s="3471"/>
      <c r="DF27" s="3471"/>
      <c r="DG27" s="3471"/>
      <c r="DH27" s="3471"/>
      <c r="DI27" s="2054"/>
      <c r="DK27" s="6335"/>
      <c r="DL27" s="6330"/>
      <c r="DM27" s="6330"/>
      <c r="DN27" s="6330"/>
      <c r="DO27" s="6330"/>
      <c r="DP27" s="6330"/>
      <c r="DQ27" s="6330"/>
      <c r="DR27" s="6330"/>
      <c r="DS27" s="6330"/>
      <c r="DT27" s="6330"/>
      <c r="DU27" s="6330"/>
      <c r="DV27" s="6330"/>
      <c r="DW27" s="6330"/>
      <c r="DX27" s="6330"/>
      <c r="DY27" s="6330"/>
      <c r="DZ27" s="6330"/>
      <c r="EA27" s="6330"/>
      <c r="EB27" s="6330"/>
      <c r="EC27" s="6330"/>
      <c r="ED27" s="6330"/>
      <c r="EE27" s="6330"/>
      <c r="EF27" s="6330"/>
      <c r="EG27" s="6330"/>
      <c r="EH27" s="6330"/>
      <c r="EI27" s="6330"/>
      <c r="EJ27" s="6330"/>
      <c r="EK27" s="6330"/>
      <c r="EL27" s="6330"/>
      <c r="EM27" s="6330"/>
      <c r="EN27" s="6330"/>
      <c r="EO27" s="6330"/>
      <c r="EP27" s="6330"/>
      <c r="EQ27" s="6330"/>
      <c r="ER27" s="6330"/>
      <c r="ES27" s="6330"/>
      <c r="ET27" s="6330"/>
      <c r="EU27" s="6330"/>
      <c r="EV27" s="6330"/>
      <c r="EW27" s="6330"/>
      <c r="EX27" s="6330"/>
      <c r="EY27" s="6330"/>
      <c r="EZ27" s="6330"/>
      <c r="FA27" s="6330"/>
      <c r="FB27" s="6330"/>
      <c r="FC27" s="6330"/>
      <c r="FD27" s="6336"/>
    </row>
    <row r="28" spans="1:160" s="6319" customFormat="1" ht="15" customHeight="1">
      <c r="A28" s="16506"/>
      <c r="B28" s="16444"/>
      <c r="C28" s="16420"/>
      <c r="D28" s="16442" t="s">
        <v>5063</v>
      </c>
      <c r="E28" s="16443" t="s">
        <v>133</v>
      </c>
      <c r="F28" s="16444" t="s">
        <v>134</v>
      </c>
      <c r="G28" s="16445" t="s">
        <v>70</v>
      </c>
      <c r="H28" s="16445" t="s">
        <v>135</v>
      </c>
      <c r="I28" s="16445" t="s">
        <v>136</v>
      </c>
      <c r="J28" s="16445" t="s">
        <v>137</v>
      </c>
      <c r="K28" s="16445" t="s">
        <v>138</v>
      </c>
      <c r="L28" s="6323" t="s">
        <v>86</v>
      </c>
      <c r="M28" s="6323" t="s">
        <v>97</v>
      </c>
      <c r="N28" s="6330"/>
      <c r="O28" s="6325">
        <v>50000000</v>
      </c>
      <c r="P28" s="6325">
        <v>51500000</v>
      </c>
      <c r="Q28" s="6325">
        <v>53045000</v>
      </c>
      <c r="R28" s="6325">
        <v>54636350</v>
      </c>
      <c r="S28" s="6325">
        <v>56275440.5</v>
      </c>
      <c r="T28" s="6325">
        <v>57963703.715000004</v>
      </c>
      <c r="U28" s="6325">
        <v>59702614.826450005</v>
      </c>
      <c r="V28" s="6326">
        <v>1</v>
      </c>
      <c r="W28" s="6327" t="s">
        <v>3598</v>
      </c>
      <c r="X28" s="6329" t="s">
        <v>3575</v>
      </c>
      <c r="Y28" s="6329"/>
      <c r="Z28" s="6328">
        <v>60000000</v>
      </c>
      <c r="AA28" s="6329"/>
      <c r="AB28" s="6329"/>
      <c r="AC28" s="6329"/>
      <c r="AD28" s="6329">
        <v>41</v>
      </c>
      <c r="AE28" s="6329">
        <v>3</v>
      </c>
      <c r="AF28" s="6329">
        <v>38</v>
      </c>
      <c r="AG28" s="6329">
        <v>23</v>
      </c>
      <c r="AH28" s="6329">
        <v>18</v>
      </c>
      <c r="AI28" s="6329">
        <v>0</v>
      </c>
      <c r="AJ28" s="6329">
        <v>0</v>
      </c>
      <c r="AK28" s="6329">
        <v>0</v>
      </c>
      <c r="AL28" s="6329">
        <v>16</v>
      </c>
      <c r="AM28" s="6329">
        <v>16</v>
      </c>
      <c r="AN28" s="6329">
        <v>6</v>
      </c>
      <c r="AO28" s="6329">
        <v>3</v>
      </c>
      <c r="AP28" s="6329">
        <v>25</v>
      </c>
      <c r="AQ28" s="6329"/>
      <c r="AR28" s="6329">
        <v>11</v>
      </c>
      <c r="AS28" s="6329">
        <v>2</v>
      </c>
      <c r="AT28" s="6329">
        <v>3</v>
      </c>
      <c r="AU28" s="6329"/>
      <c r="AV28" s="6329"/>
      <c r="AW28" s="6329"/>
      <c r="AX28" s="6329"/>
      <c r="AY28" s="6329">
        <v>41</v>
      </c>
      <c r="AZ28" s="6329"/>
      <c r="BA28" s="6329"/>
      <c r="BB28" s="6329"/>
      <c r="BC28" s="6329"/>
      <c r="BD28" s="6330"/>
      <c r="BE28" s="6330"/>
      <c r="BF28" s="6330"/>
      <c r="BG28" s="6330"/>
      <c r="BH28" s="6330"/>
      <c r="BI28" s="6330"/>
      <c r="BJ28" s="6330"/>
      <c r="BK28" s="6330"/>
      <c r="BL28" s="6330"/>
      <c r="BM28" s="6330"/>
      <c r="BN28" s="4046">
        <v>15</v>
      </c>
      <c r="BO28" s="4063">
        <v>15</v>
      </c>
      <c r="BP28" s="4058">
        <v>15</v>
      </c>
      <c r="BQ28" s="4274">
        <f t="shared" si="1"/>
        <v>1</v>
      </c>
      <c r="BR28" s="16516"/>
      <c r="BS28" s="6331" t="s">
        <v>3598</v>
      </c>
      <c r="BT28" s="6331" t="s">
        <v>3575</v>
      </c>
      <c r="BU28" s="6331"/>
      <c r="BV28" s="6340">
        <v>60000000</v>
      </c>
      <c r="BW28" s="6340"/>
      <c r="BX28" s="6340"/>
      <c r="BY28" s="6340"/>
      <c r="BZ28" s="6340">
        <v>41</v>
      </c>
      <c r="CA28" s="6340">
        <v>3</v>
      </c>
      <c r="CB28" s="6340">
        <v>38</v>
      </c>
      <c r="CC28" s="6340">
        <v>23</v>
      </c>
      <c r="CD28" s="6340">
        <v>18</v>
      </c>
      <c r="CE28" s="6340">
        <v>0</v>
      </c>
      <c r="CF28" s="6340">
        <v>0</v>
      </c>
      <c r="CG28" s="6340">
        <v>0</v>
      </c>
      <c r="CH28" s="6340">
        <v>16</v>
      </c>
      <c r="CI28" s="6340">
        <v>16</v>
      </c>
      <c r="CJ28" s="6340">
        <v>6</v>
      </c>
      <c r="CK28" s="6340">
        <v>3</v>
      </c>
      <c r="CL28" s="6340">
        <v>25</v>
      </c>
      <c r="CM28" s="6340"/>
      <c r="CN28" s="6340">
        <v>11</v>
      </c>
      <c r="CO28" s="6341">
        <v>2</v>
      </c>
      <c r="CP28" s="6341">
        <v>3</v>
      </c>
      <c r="CQ28" s="6341"/>
      <c r="CR28" s="6341"/>
      <c r="CS28" s="6341"/>
      <c r="CT28" s="6341"/>
      <c r="CU28" s="6341">
        <v>41</v>
      </c>
      <c r="CV28" s="6341"/>
      <c r="CW28" s="6341"/>
      <c r="CX28" s="6341"/>
      <c r="CY28" s="6341"/>
      <c r="CZ28" s="3471"/>
      <c r="DA28" s="3471"/>
      <c r="DB28" s="3471"/>
      <c r="DC28" s="3471"/>
      <c r="DD28" s="3471"/>
      <c r="DE28" s="3471"/>
      <c r="DF28" s="3471"/>
      <c r="DG28" s="3471"/>
      <c r="DH28" s="3471"/>
      <c r="DI28" s="2054"/>
      <c r="DK28" s="6335"/>
      <c r="DL28" s="6330"/>
      <c r="DM28" s="6330"/>
      <c r="DN28" s="6330"/>
      <c r="DO28" s="6330"/>
      <c r="DP28" s="6330"/>
      <c r="DQ28" s="6330"/>
      <c r="DR28" s="6330"/>
      <c r="DS28" s="6330"/>
      <c r="DT28" s="6330"/>
      <c r="DU28" s="6330"/>
      <c r="DV28" s="6330"/>
      <c r="DW28" s="6330"/>
      <c r="DX28" s="6330"/>
      <c r="DY28" s="6330"/>
      <c r="DZ28" s="6330"/>
      <c r="EA28" s="6330"/>
      <c r="EB28" s="6330"/>
      <c r="EC28" s="6330"/>
      <c r="ED28" s="6330"/>
      <c r="EE28" s="6330"/>
      <c r="EF28" s="6330"/>
      <c r="EG28" s="6330"/>
      <c r="EH28" s="6330"/>
      <c r="EI28" s="6330"/>
      <c r="EJ28" s="6330"/>
      <c r="EK28" s="6330"/>
      <c r="EL28" s="6330"/>
      <c r="EM28" s="6330"/>
      <c r="EN28" s="6330"/>
      <c r="EO28" s="6330"/>
      <c r="EP28" s="6330"/>
      <c r="EQ28" s="6330"/>
      <c r="ER28" s="6330"/>
      <c r="ES28" s="6330"/>
      <c r="ET28" s="6330"/>
      <c r="EU28" s="6330"/>
      <c r="EV28" s="6330"/>
      <c r="EW28" s="6330"/>
      <c r="EX28" s="6330"/>
      <c r="EY28" s="6330"/>
      <c r="EZ28" s="6330"/>
      <c r="FA28" s="6330"/>
      <c r="FB28" s="6330"/>
      <c r="FC28" s="6330"/>
      <c r="FD28" s="6336"/>
    </row>
    <row r="29" spans="1:160" s="6319" customFormat="1" ht="15" customHeight="1">
      <c r="A29" s="16506"/>
      <c r="B29" s="16444"/>
      <c r="C29" s="16420"/>
      <c r="D29" s="16442"/>
      <c r="E29" s="16443"/>
      <c r="F29" s="16444"/>
      <c r="G29" s="16445"/>
      <c r="H29" s="16445"/>
      <c r="I29" s="16445"/>
      <c r="J29" s="16445"/>
      <c r="K29" s="16445"/>
      <c r="L29" s="6323" t="s">
        <v>8644</v>
      </c>
      <c r="M29" s="6323"/>
      <c r="N29" s="6324" t="s">
        <v>139</v>
      </c>
      <c r="O29" s="6325"/>
      <c r="P29" s="6325"/>
      <c r="Q29" s="6325"/>
      <c r="R29" s="6325"/>
      <c r="S29" s="6325"/>
      <c r="T29" s="6325"/>
      <c r="U29" s="6325"/>
      <c r="V29" s="6326"/>
      <c r="W29" s="6327"/>
      <c r="X29" s="6329"/>
      <c r="Y29" s="6329"/>
      <c r="Z29" s="6328"/>
      <c r="AA29" s="6329"/>
      <c r="AB29" s="6329"/>
      <c r="AC29" s="6329"/>
      <c r="AD29" s="6329"/>
      <c r="AE29" s="6329"/>
      <c r="AF29" s="6329"/>
      <c r="AG29" s="6329"/>
      <c r="AH29" s="6329"/>
      <c r="AI29" s="6329"/>
      <c r="AJ29" s="6329"/>
      <c r="AK29" s="6329"/>
      <c r="AL29" s="6329"/>
      <c r="AM29" s="6329"/>
      <c r="AN29" s="6329"/>
      <c r="AO29" s="6329"/>
      <c r="AP29" s="6329"/>
      <c r="AQ29" s="6329"/>
      <c r="AR29" s="6329"/>
      <c r="AS29" s="6329"/>
      <c r="AT29" s="6329"/>
      <c r="AU29" s="6329"/>
      <c r="AV29" s="6329"/>
      <c r="AW29" s="6329"/>
      <c r="AX29" s="6329"/>
      <c r="AY29" s="6329"/>
      <c r="AZ29" s="6329"/>
      <c r="BA29" s="6329"/>
      <c r="BB29" s="6329"/>
      <c r="BC29" s="6329"/>
      <c r="BD29" s="6330"/>
      <c r="BE29" s="6330"/>
      <c r="BF29" s="6330"/>
      <c r="BG29" s="6330"/>
      <c r="BH29" s="6330"/>
      <c r="BI29" s="6330"/>
      <c r="BJ29" s="6330"/>
      <c r="BK29" s="6330"/>
      <c r="BL29" s="6330"/>
      <c r="BM29" s="6330"/>
      <c r="BN29" s="4046"/>
      <c r="BO29" s="4063"/>
      <c r="BP29" s="4058"/>
      <c r="BQ29" s="4274"/>
      <c r="BR29" s="16516"/>
      <c r="BS29" s="6331"/>
      <c r="BT29" s="6331"/>
      <c r="BU29" s="6331"/>
      <c r="BV29" s="6340"/>
      <c r="BW29" s="6340"/>
      <c r="BX29" s="6340"/>
      <c r="BY29" s="6340"/>
      <c r="BZ29" s="6340"/>
      <c r="CA29" s="6340"/>
      <c r="CB29" s="6340"/>
      <c r="CC29" s="6340"/>
      <c r="CD29" s="6340"/>
      <c r="CE29" s="6340"/>
      <c r="CF29" s="6340"/>
      <c r="CG29" s="6340"/>
      <c r="CH29" s="6340"/>
      <c r="CI29" s="6340"/>
      <c r="CJ29" s="6340"/>
      <c r="CK29" s="6340"/>
      <c r="CL29" s="6340"/>
      <c r="CM29" s="6340"/>
      <c r="CN29" s="6340"/>
      <c r="CO29" s="6341"/>
      <c r="CP29" s="6341"/>
      <c r="CQ29" s="6341"/>
      <c r="CR29" s="6341"/>
      <c r="CS29" s="6341"/>
      <c r="CT29" s="6341"/>
      <c r="CU29" s="6341"/>
      <c r="CV29" s="6341"/>
      <c r="CW29" s="6341"/>
      <c r="CX29" s="6341"/>
      <c r="CY29" s="6341"/>
      <c r="CZ29" s="3471"/>
      <c r="DA29" s="3471"/>
      <c r="DB29" s="3471"/>
      <c r="DC29" s="3471"/>
      <c r="DD29" s="3471"/>
      <c r="DE29" s="3471"/>
      <c r="DF29" s="3471"/>
      <c r="DG29" s="3471"/>
      <c r="DH29" s="3471"/>
      <c r="DI29" s="2054"/>
      <c r="DK29" s="6335"/>
      <c r="DL29" s="6330"/>
      <c r="DM29" s="6330"/>
      <c r="DN29" s="6330"/>
      <c r="DO29" s="6330"/>
      <c r="DP29" s="6330"/>
      <c r="DQ29" s="6330"/>
      <c r="DR29" s="6330"/>
      <c r="DS29" s="6330"/>
      <c r="DT29" s="6330"/>
      <c r="DU29" s="6330"/>
      <c r="DV29" s="6330"/>
      <c r="DW29" s="6330"/>
      <c r="DX29" s="6330"/>
      <c r="DY29" s="6330"/>
      <c r="DZ29" s="6330"/>
      <c r="EA29" s="6330"/>
      <c r="EB29" s="6330"/>
      <c r="EC29" s="6330"/>
      <c r="ED29" s="6330"/>
      <c r="EE29" s="6330"/>
      <c r="EF29" s="6330"/>
      <c r="EG29" s="6330"/>
      <c r="EH29" s="6330"/>
      <c r="EI29" s="6330"/>
      <c r="EJ29" s="6330"/>
      <c r="EK29" s="6330"/>
      <c r="EL29" s="6330"/>
      <c r="EM29" s="6330"/>
      <c r="EN29" s="6330"/>
      <c r="EO29" s="6330"/>
      <c r="EP29" s="6330"/>
      <c r="EQ29" s="6330"/>
      <c r="ER29" s="6330"/>
      <c r="ES29" s="6330"/>
      <c r="ET29" s="6330"/>
      <c r="EU29" s="6330"/>
      <c r="EV29" s="6330"/>
      <c r="EW29" s="6330"/>
      <c r="EX29" s="6330"/>
      <c r="EY29" s="6330"/>
      <c r="EZ29" s="6330"/>
      <c r="FA29" s="6330"/>
      <c r="FB29" s="6330"/>
      <c r="FC29" s="6330"/>
      <c r="FD29" s="6336"/>
    </row>
    <row r="30" spans="1:160" s="6319" customFormat="1" ht="15" customHeight="1">
      <c r="A30" s="16506"/>
      <c r="B30" s="16444"/>
      <c r="C30" s="16420"/>
      <c r="D30" s="16442" t="s">
        <v>5064</v>
      </c>
      <c r="E30" s="16443" t="s">
        <v>140</v>
      </c>
      <c r="F30" s="16443" t="s">
        <v>141</v>
      </c>
      <c r="G30" s="16443" t="s">
        <v>70</v>
      </c>
      <c r="H30" s="16443" t="s">
        <v>142</v>
      </c>
      <c r="I30" s="16443" t="s">
        <v>142</v>
      </c>
      <c r="J30" s="16443" t="s">
        <v>142</v>
      </c>
      <c r="K30" s="16443" t="s">
        <v>143</v>
      </c>
      <c r="L30" s="6323" t="s">
        <v>10090</v>
      </c>
      <c r="M30" s="6324" t="s">
        <v>144</v>
      </c>
      <c r="N30" s="6330"/>
      <c r="O30" s="6325">
        <v>14500000</v>
      </c>
      <c r="P30" s="6325">
        <v>14935000</v>
      </c>
      <c r="Q30" s="6325">
        <v>15383050</v>
      </c>
      <c r="R30" s="6325">
        <v>15844541.5</v>
      </c>
      <c r="S30" s="6325">
        <v>16319877.745000001</v>
      </c>
      <c r="T30" s="6325">
        <v>16809474.077350002</v>
      </c>
      <c r="U30" s="6325">
        <v>17313758.299670503</v>
      </c>
      <c r="V30" s="6344">
        <v>1</v>
      </c>
      <c r="W30" s="6345" t="s">
        <v>3002</v>
      </c>
      <c r="X30" s="6327" t="s">
        <v>3003</v>
      </c>
      <c r="Y30" s="6329"/>
      <c r="Z30" s="6329">
        <v>17620000</v>
      </c>
      <c r="AA30" s="6329">
        <v>17620000</v>
      </c>
      <c r="AB30" s="6329"/>
      <c r="AC30" s="6329"/>
      <c r="AD30" s="6329">
        <v>354</v>
      </c>
      <c r="AE30" s="6329"/>
      <c r="AF30" s="6329"/>
      <c r="AG30" s="6329"/>
      <c r="AH30" s="6329"/>
      <c r="AI30" s="6329"/>
      <c r="AJ30" s="6329"/>
      <c r="AK30" s="6329"/>
      <c r="AL30" s="6329"/>
      <c r="AM30" s="6329"/>
      <c r="AN30" s="6329"/>
      <c r="AO30" s="6329"/>
      <c r="AP30" s="6329"/>
      <c r="AQ30" s="6329"/>
      <c r="AR30" s="6329"/>
      <c r="AS30" s="6329"/>
      <c r="AT30" s="6329"/>
      <c r="AU30" s="6329"/>
      <c r="AV30" s="6329"/>
      <c r="AW30" s="6329"/>
      <c r="AX30" s="6329"/>
      <c r="AY30" s="6329"/>
      <c r="AZ30" s="6330"/>
      <c r="BA30" s="6330"/>
      <c r="BB30" s="6330"/>
      <c r="BC30" s="6330"/>
      <c r="BD30" s="6330"/>
      <c r="BE30" s="6330"/>
      <c r="BF30" s="6330"/>
      <c r="BG30" s="6330"/>
      <c r="BH30" s="6330"/>
      <c r="BI30" s="6330"/>
      <c r="BJ30" s="6330"/>
      <c r="BK30" s="6330"/>
      <c r="BL30" s="6330"/>
      <c r="BM30" s="6330"/>
      <c r="BN30" s="6346">
        <v>1</v>
      </c>
      <c r="BO30" s="6347">
        <v>1</v>
      </c>
      <c r="BP30" s="6348">
        <v>1</v>
      </c>
      <c r="BQ30" s="6349">
        <f t="shared" si="1"/>
        <v>1</v>
      </c>
      <c r="BR30" s="16516"/>
      <c r="BS30" s="6332" t="s">
        <v>9669</v>
      </c>
      <c r="BT30" s="6332" t="s">
        <v>9670</v>
      </c>
      <c r="BU30" s="6332" t="s">
        <v>2951</v>
      </c>
      <c r="BV30" s="6350">
        <v>31167040.149999999</v>
      </c>
      <c r="BW30" s="6350">
        <v>17633440.149999999</v>
      </c>
      <c r="BX30" s="6350">
        <v>13533600</v>
      </c>
      <c r="BY30" s="6333"/>
      <c r="BZ30" s="6333">
        <v>547</v>
      </c>
      <c r="CA30" s="6333">
        <v>162</v>
      </c>
      <c r="CB30" s="6333">
        <v>385</v>
      </c>
      <c r="CC30" s="6333">
        <v>329</v>
      </c>
      <c r="CD30" s="6333">
        <v>218</v>
      </c>
      <c r="CE30" s="6333">
        <v>32</v>
      </c>
      <c r="CF30" s="6333">
        <v>45</v>
      </c>
      <c r="CG30" s="6333">
        <v>39</v>
      </c>
      <c r="CH30" s="6333">
        <v>162</v>
      </c>
      <c r="CI30" s="6333">
        <v>128</v>
      </c>
      <c r="CJ30" s="6333">
        <v>103</v>
      </c>
      <c r="CK30" s="6333">
        <v>38</v>
      </c>
      <c r="CL30" s="6333">
        <v>356</v>
      </c>
      <c r="CM30" s="6333">
        <v>9</v>
      </c>
      <c r="CN30" s="6333">
        <v>0</v>
      </c>
      <c r="CO30" s="2727">
        <v>0</v>
      </c>
      <c r="CP30" s="2727">
        <v>179</v>
      </c>
      <c r="CQ30" s="2727">
        <v>0</v>
      </c>
      <c r="CR30" s="2727">
        <v>0</v>
      </c>
      <c r="CS30" s="2727">
        <v>3</v>
      </c>
      <c r="CT30" s="2727">
        <v>0</v>
      </c>
      <c r="CU30" s="2727">
        <v>547</v>
      </c>
      <c r="CV30" s="2727">
        <v>0</v>
      </c>
      <c r="CW30" s="2727">
        <v>0</v>
      </c>
      <c r="CX30" s="2727">
        <v>0</v>
      </c>
      <c r="CY30" s="2727">
        <v>0</v>
      </c>
      <c r="CZ30" s="6332"/>
      <c r="DA30" s="6332"/>
      <c r="DB30" s="6332"/>
      <c r="DC30" s="3471"/>
      <c r="DD30" s="3471"/>
      <c r="DE30" s="3471"/>
      <c r="DF30" s="3471"/>
      <c r="DG30" s="3471"/>
      <c r="DH30" s="3471"/>
      <c r="DI30" s="2054"/>
      <c r="DK30" s="6335"/>
      <c r="DL30" s="6330"/>
      <c r="DM30" s="6330"/>
      <c r="DN30" s="6330"/>
      <c r="DO30" s="6330"/>
      <c r="DP30" s="6330"/>
      <c r="DQ30" s="6330"/>
      <c r="DR30" s="6330"/>
      <c r="DS30" s="6330"/>
      <c r="DT30" s="6330"/>
      <c r="DU30" s="6330"/>
      <c r="DV30" s="6330"/>
      <c r="DW30" s="6330"/>
      <c r="DX30" s="6330"/>
      <c r="DY30" s="6330"/>
      <c r="DZ30" s="6330"/>
      <c r="EA30" s="6330"/>
      <c r="EB30" s="6330"/>
      <c r="EC30" s="6330"/>
      <c r="ED30" s="6330"/>
      <c r="EE30" s="6330"/>
      <c r="EF30" s="6330"/>
      <c r="EG30" s="6330"/>
      <c r="EH30" s="6330"/>
      <c r="EI30" s="6330"/>
      <c r="EJ30" s="6330"/>
      <c r="EK30" s="6330"/>
      <c r="EL30" s="6330"/>
      <c r="EM30" s="6330"/>
      <c r="EN30" s="6330"/>
      <c r="EO30" s="6330"/>
      <c r="EP30" s="6330"/>
      <c r="EQ30" s="6330"/>
      <c r="ER30" s="6330"/>
      <c r="ES30" s="6330"/>
      <c r="ET30" s="6330"/>
      <c r="EU30" s="6330"/>
      <c r="EV30" s="6330"/>
      <c r="EW30" s="6330"/>
      <c r="EX30" s="6330"/>
      <c r="EY30" s="6330"/>
      <c r="EZ30" s="6330"/>
      <c r="FA30" s="6330"/>
      <c r="FB30" s="6330"/>
      <c r="FC30" s="6330"/>
      <c r="FD30" s="6336"/>
    </row>
    <row r="31" spans="1:160" s="6319" customFormat="1" ht="15" customHeight="1">
      <c r="A31" s="16506"/>
      <c r="B31" s="16444"/>
      <c r="C31" s="16420"/>
      <c r="D31" s="16442"/>
      <c r="E31" s="16443"/>
      <c r="F31" s="16443"/>
      <c r="G31" s="16443"/>
      <c r="H31" s="16443"/>
      <c r="I31" s="16443"/>
      <c r="J31" s="16443"/>
      <c r="K31" s="16443"/>
      <c r="L31" s="6323" t="s">
        <v>10273</v>
      </c>
      <c r="M31" s="6324"/>
      <c r="N31" s="6324" t="s">
        <v>10271</v>
      </c>
      <c r="O31" s="6325"/>
      <c r="P31" s="6325"/>
      <c r="Q31" s="6325"/>
      <c r="R31" s="6325"/>
      <c r="S31" s="6325"/>
      <c r="T31" s="6325"/>
      <c r="U31" s="6325"/>
      <c r="V31" s="6344"/>
      <c r="W31" s="6345"/>
      <c r="X31" s="6327"/>
      <c r="Y31" s="6329"/>
      <c r="Z31" s="6329"/>
      <c r="AA31" s="6329"/>
      <c r="AB31" s="6329"/>
      <c r="AC31" s="6329"/>
      <c r="AD31" s="6329"/>
      <c r="AE31" s="6329"/>
      <c r="AF31" s="6329"/>
      <c r="AG31" s="6329"/>
      <c r="AH31" s="6329"/>
      <c r="AI31" s="6329"/>
      <c r="AJ31" s="6329"/>
      <c r="AK31" s="6329"/>
      <c r="AL31" s="6329"/>
      <c r="AM31" s="6329"/>
      <c r="AN31" s="6329"/>
      <c r="AO31" s="6329"/>
      <c r="AP31" s="6329"/>
      <c r="AQ31" s="6329"/>
      <c r="AR31" s="6329"/>
      <c r="AS31" s="6329"/>
      <c r="AT31" s="6329"/>
      <c r="AU31" s="6329"/>
      <c r="AV31" s="6329"/>
      <c r="AW31" s="6329"/>
      <c r="AX31" s="6329"/>
      <c r="AY31" s="6329"/>
      <c r="AZ31" s="6330"/>
      <c r="BA31" s="6330"/>
      <c r="BB31" s="6330"/>
      <c r="BC31" s="6330"/>
      <c r="BD31" s="6330"/>
      <c r="BE31" s="6330"/>
      <c r="BF31" s="6330"/>
      <c r="BG31" s="6330"/>
      <c r="BH31" s="6330"/>
      <c r="BI31" s="6330"/>
      <c r="BJ31" s="6330"/>
      <c r="BK31" s="6330"/>
      <c r="BL31" s="6330"/>
      <c r="BM31" s="6330"/>
      <c r="BN31" s="6346"/>
      <c r="BO31" s="6347"/>
      <c r="BP31" s="6348"/>
      <c r="BQ31" s="6349"/>
      <c r="BR31" s="16516"/>
      <c r="BS31" s="6332"/>
      <c r="BT31" s="6332"/>
      <c r="BU31" s="6332"/>
      <c r="BV31" s="6350"/>
      <c r="BW31" s="6350"/>
      <c r="BX31" s="6350"/>
      <c r="BY31" s="6333"/>
      <c r="BZ31" s="6333"/>
      <c r="CA31" s="6333"/>
      <c r="CB31" s="6333"/>
      <c r="CC31" s="6333"/>
      <c r="CD31" s="6333"/>
      <c r="CE31" s="6333"/>
      <c r="CF31" s="6333"/>
      <c r="CG31" s="6333"/>
      <c r="CH31" s="6333"/>
      <c r="CI31" s="6333"/>
      <c r="CJ31" s="6333"/>
      <c r="CK31" s="6333"/>
      <c r="CL31" s="6333"/>
      <c r="CM31" s="6333"/>
      <c r="CN31" s="6333"/>
      <c r="CO31" s="2727"/>
      <c r="CP31" s="2727"/>
      <c r="CQ31" s="2727"/>
      <c r="CR31" s="2727"/>
      <c r="CS31" s="2727"/>
      <c r="CT31" s="2727"/>
      <c r="CU31" s="2727"/>
      <c r="CV31" s="2727"/>
      <c r="CW31" s="2727"/>
      <c r="CX31" s="2727"/>
      <c r="CY31" s="2727"/>
      <c r="CZ31" s="6332"/>
      <c r="DA31" s="6332"/>
      <c r="DB31" s="6332"/>
      <c r="DC31" s="3471"/>
      <c r="DD31" s="3471"/>
      <c r="DE31" s="3471"/>
      <c r="DF31" s="3471"/>
      <c r="DG31" s="3471"/>
      <c r="DH31" s="3471"/>
      <c r="DI31" s="2054"/>
      <c r="DK31" s="6335"/>
      <c r="DL31" s="6330"/>
      <c r="DM31" s="6330"/>
      <c r="DN31" s="6330"/>
      <c r="DO31" s="6330"/>
      <c r="DP31" s="6330"/>
      <c r="DQ31" s="6330"/>
      <c r="DR31" s="6330"/>
      <c r="DS31" s="6330"/>
      <c r="DT31" s="6330"/>
      <c r="DU31" s="6330"/>
      <c r="DV31" s="6330"/>
      <c r="DW31" s="6330"/>
      <c r="DX31" s="6330"/>
      <c r="DY31" s="6330"/>
      <c r="DZ31" s="6330"/>
      <c r="EA31" s="6330"/>
      <c r="EB31" s="6330"/>
      <c r="EC31" s="6330"/>
      <c r="ED31" s="6330"/>
      <c r="EE31" s="6330"/>
      <c r="EF31" s="6330"/>
      <c r="EG31" s="6330"/>
      <c r="EH31" s="6330"/>
      <c r="EI31" s="6330"/>
      <c r="EJ31" s="6330"/>
      <c r="EK31" s="6330"/>
      <c r="EL31" s="6330"/>
      <c r="EM31" s="6330"/>
      <c r="EN31" s="6330"/>
      <c r="EO31" s="6330"/>
      <c r="EP31" s="6330"/>
      <c r="EQ31" s="6330"/>
      <c r="ER31" s="6330"/>
      <c r="ES31" s="6330"/>
      <c r="ET31" s="6330"/>
      <c r="EU31" s="6330"/>
      <c r="EV31" s="6330"/>
      <c r="EW31" s="6330"/>
      <c r="EX31" s="6330"/>
      <c r="EY31" s="6330"/>
      <c r="EZ31" s="6330"/>
      <c r="FA31" s="6330"/>
      <c r="FB31" s="6330"/>
      <c r="FC31" s="6330"/>
      <c r="FD31" s="6336"/>
    </row>
    <row r="32" spans="1:160" s="6319" customFormat="1" ht="15" customHeight="1">
      <c r="A32" s="16506"/>
      <c r="B32" s="16444"/>
      <c r="C32" s="16421"/>
      <c r="D32" s="16442"/>
      <c r="E32" s="16443"/>
      <c r="F32" s="16443"/>
      <c r="G32" s="16443"/>
      <c r="H32" s="16443"/>
      <c r="I32" s="16443"/>
      <c r="J32" s="16443"/>
      <c r="K32" s="16443"/>
      <c r="L32" s="6323" t="s">
        <v>208</v>
      </c>
      <c r="M32" s="6324"/>
      <c r="N32" s="6324" t="s">
        <v>10272</v>
      </c>
      <c r="O32" s="6325"/>
      <c r="P32" s="6325"/>
      <c r="Q32" s="6325"/>
      <c r="R32" s="6325"/>
      <c r="S32" s="6325"/>
      <c r="T32" s="6325"/>
      <c r="U32" s="6325"/>
      <c r="V32" s="6344"/>
      <c r="W32" s="6345"/>
      <c r="X32" s="6327"/>
      <c r="Y32" s="6329"/>
      <c r="Z32" s="6329"/>
      <c r="AA32" s="6329"/>
      <c r="AB32" s="6329"/>
      <c r="AC32" s="6329"/>
      <c r="AD32" s="6329"/>
      <c r="AE32" s="6329"/>
      <c r="AF32" s="6329"/>
      <c r="AG32" s="6329"/>
      <c r="AH32" s="6329"/>
      <c r="AI32" s="6329"/>
      <c r="AJ32" s="6329"/>
      <c r="AK32" s="6329"/>
      <c r="AL32" s="6329"/>
      <c r="AM32" s="6329"/>
      <c r="AN32" s="6329"/>
      <c r="AO32" s="6329"/>
      <c r="AP32" s="6329"/>
      <c r="AQ32" s="6329"/>
      <c r="AR32" s="6329"/>
      <c r="AS32" s="6329"/>
      <c r="AT32" s="6329"/>
      <c r="AU32" s="6329"/>
      <c r="AV32" s="6329"/>
      <c r="AW32" s="6329"/>
      <c r="AX32" s="6329"/>
      <c r="AY32" s="6329"/>
      <c r="AZ32" s="6330"/>
      <c r="BA32" s="6330"/>
      <c r="BB32" s="6330"/>
      <c r="BC32" s="6330"/>
      <c r="BD32" s="6330"/>
      <c r="BE32" s="6330"/>
      <c r="BF32" s="6330"/>
      <c r="BG32" s="6330"/>
      <c r="BH32" s="6330"/>
      <c r="BI32" s="6330"/>
      <c r="BJ32" s="6330"/>
      <c r="BK32" s="6330"/>
      <c r="BL32" s="6330"/>
      <c r="BM32" s="6330"/>
      <c r="BN32" s="6346"/>
      <c r="BO32" s="6347"/>
      <c r="BP32" s="6348"/>
      <c r="BQ32" s="6349"/>
      <c r="BR32" s="16516"/>
      <c r="BS32" s="6332"/>
      <c r="BT32" s="6332"/>
      <c r="BU32" s="6332"/>
      <c r="BV32" s="6350"/>
      <c r="BW32" s="6350"/>
      <c r="BX32" s="6350"/>
      <c r="BY32" s="6333"/>
      <c r="BZ32" s="6333"/>
      <c r="CA32" s="6333"/>
      <c r="CB32" s="6333"/>
      <c r="CC32" s="6333"/>
      <c r="CD32" s="6333"/>
      <c r="CE32" s="6333"/>
      <c r="CF32" s="6333"/>
      <c r="CG32" s="6333"/>
      <c r="CH32" s="6333"/>
      <c r="CI32" s="6333"/>
      <c r="CJ32" s="6333"/>
      <c r="CK32" s="6333"/>
      <c r="CL32" s="6333"/>
      <c r="CM32" s="6333"/>
      <c r="CN32" s="6333"/>
      <c r="CO32" s="2727"/>
      <c r="CP32" s="2727"/>
      <c r="CQ32" s="2727"/>
      <c r="CR32" s="2727"/>
      <c r="CS32" s="2727"/>
      <c r="CT32" s="2727"/>
      <c r="CU32" s="2727"/>
      <c r="CV32" s="2727"/>
      <c r="CW32" s="2727"/>
      <c r="CX32" s="2727"/>
      <c r="CY32" s="2727"/>
      <c r="CZ32" s="6332"/>
      <c r="DA32" s="6332"/>
      <c r="DB32" s="6332"/>
      <c r="DC32" s="3471"/>
      <c r="DD32" s="3471"/>
      <c r="DE32" s="3471"/>
      <c r="DF32" s="3471"/>
      <c r="DG32" s="3471"/>
      <c r="DH32" s="3471"/>
      <c r="DI32" s="2054"/>
      <c r="DK32" s="6335"/>
      <c r="DL32" s="6330"/>
      <c r="DM32" s="6330"/>
      <c r="DN32" s="6330"/>
      <c r="DO32" s="6330"/>
      <c r="DP32" s="6330"/>
      <c r="DQ32" s="6330"/>
      <c r="DR32" s="6330"/>
      <c r="DS32" s="6330"/>
      <c r="DT32" s="6330"/>
      <c r="DU32" s="6330"/>
      <c r="DV32" s="6330"/>
      <c r="DW32" s="6330"/>
      <c r="DX32" s="6330"/>
      <c r="DY32" s="6330"/>
      <c r="DZ32" s="6330"/>
      <c r="EA32" s="6330"/>
      <c r="EB32" s="6330"/>
      <c r="EC32" s="6330"/>
      <c r="ED32" s="6330"/>
      <c r="EE32" s="6330"/>
      <c r="EF32" s="6330"/>
      <c r="EG32" s="6330"/>
      <c r="EH32" s="6330"/>
      <c r="EI32" s="6330"/>
      <c r="EJ32" s="6330"/>
      <c r="EK32" s="6330"/>
      <c r="EL32" s="6330"/>
      <c r="EM32" s="6330"/>
      <c r="EN32" s="6330"/>
      <c r="EO32" s="6330"/>
      <c r="EP32" s="6330"/>
      <c r="EQ32" s="6330"/>
      <c r="ER32" s="6330"/>
      <c r="ES32" s="6330"/>
      <c r="ET32" s="6330"/>
      <c r="EU32" s="6330"/>
      <c r="EV32" s="6330"/>
      <c r="EW32" s="6330"/>
      <c r="EX32" s="6330"/>
      <c r="EY32" s="6330"/>
      <c r="EZ32" s="6330"/>
      <c r="FA32" s="6330"/>
      <c r="FB32" s="6330"/>
      <c r="FC32" s="6330"/>
      <c r="FD32" s="6336"/>
    </row>
    <row r="33" spans="1:160" s="6319" customFormat="1" ht="15" customHeight="1">
      <c r="A33" s="16506"/>
      <c r="B33" s="16444"/>
      <c r="C33" s="16444" t="s">
        <v>145</v>
      </c>
      <c r="D33" s="4058" t="s">
        <v>5065</v>
      </c>
      <c r="E33" s="6337" t="s">
        <v>146</v>
      </c>
      <c r="F33" s="6323" t="s">
        <v>147</v>
      </c>
      <c r="G33" s="6338" t="s">
        <v>70</v>
      </c>
      <c r="H33" s="6338">
        <v>0</v>
      </c>
      <c r="I33" s="6338">
        <v>10</v>
      </c>
      <c r="J33" s="6338">
        <v>10</v>
      </c>
      <c r="K33" s="6323" t="s">
        <v>148</v>
      </c>
      <c r="L33" s="6323" t="s">
        <v>86</v>
      </c>
      <c r="M33" s="6323" t="s">
        <v>149</v>
      </c>
      <c r="N33" s="6324"/>
      <c r="O33" s="6325">
        <v>2000000</v>
      </c>
      <c r="P33" s="6325">
        <v>2060000</v>
      </c>
      <c r="Q33" s="6325">
        <v>2121800</v>
      </c>
      <c r="R33" s="6325">
        <v>2185454</v>
      </c>
      <c r="S33" s="6325">
        <v>2251017.62</v>
      </c>
      <c r="T33" s="6325">
        <v>2318548.1486</v>
      </c>
      <c r="U33" s="6325">
        <v>2388104.5930579999</v>
      </c>
      <c r="V33" s="6329" t="s">
        <v>1732</v>
      </c>
      <c r="W33" s="6329"/>
      <c r="X33" s="6329"/>
      <c r="Y33" s="6327" t="s">
        <v>3562</v>
      </c>
      <c r="Z33" s="6330"/>
      <c r="AA33" s="6330"/>
      <c r="AB33" s="6330"/>
      <c r="AC33" s="6330"/>
      <c r="AD33" s="6330"/>
      <c r="AE33" s="6330"/>
      <c r="AF33" s="6330"/>
      <c r="AG33" s="6330"/>
      <c r="AH33" s="6330"/>
      <c r="AI33" s="6330"/>
      <c r="AJ33" s="6330"/>
      <c r="AK33" s="6330"/>
      <c r="AL33" s="6330"/>
      <c r="AM33" s="6330"/>
      <c r="AN33" s="6330"/>
      <c r="AO33" s="6330"/>
      <c r="AP33" s="6330"/>
      <c r="AQ33" s="6330"/>
      <c r="AR33" s="6330"/>
      <c r="AS33" s="6330"/>
      <c r="AT33" s="6330"/>
      <c r="AU33" s="6330"/>
      <c r="AV33" s="6330"/>
      <c r="AW33" s="6330"/>
      <c r="AX33" s="6330"/>
      <c r="AY33" s="6330"/>
      <c r="AZ33" s="6330"/>
      <c r="BA33" s="6330"/>
      <c r="BB33" s="6330"/>
      <c r="BC33" s="6330"/>
      <c r="BD33" s="6330"/>
      <c r="BE33" s="6330"/>
      <c r="BF33" s="6330"/>
      <c r="BG33" s="6330"/>
      <c r="BH33" s="6330"/>
      <c r="BI33" s="6330"/>
      <c r="BJ33" s="6330"/>
      <c r="BK33" s="6330"/>
      <c r="BL33" s="6330"/>
      <c r="BM33" s="6330"/>
      <c r="BN33" s="4063" t="s">
        <v>3781</v>
      </c>
      <c r="BO33" s="4063" t="s">
        <v>3781</v>
      </c>
      <c r="BP33" s="4058">
        <v>0</v>
      </c>
      <c r="BQ33" s="4063" t="s">
        <v>3781</v>
      </c>
      <c r="BR33" s="16516"/>
      <c r="BS33" s="3471"/>
      <c r="BT33" s="3471"/>
      <c r="BU33" s="3471"/>
      <c r="BV33" s="6342"/>
      <c r="BW33" s="6342"/>
      <c r="BX33" s="6342"/>
      <c r="BY33" s="6342"/>
      <c r="BZ33" s="6342"/>
      <c r="CA33" s="6342"/>
      <c r="CB33" s="6342"/>
      <c r="CC33" s="6342"/>
      <c r="CD33" s="6342"/>
      <c r="CE33" s="6342"/>
      <c r="CF33" s="6342"/>
      <c r="CG33" s="6342"/>
      <c r="CH33" s="6342"/>
      <c r="CI33" s="6342"/>
      <c r="CJ33" s="6342"/>
      <c r="CK33" s="6342"/>
      <c r="CL33" s="6342"/>
      <c r="CM33" s="6342"/>
      <c r="CN33" s="6342"/>
      <c r="CO33" s="4063"/>
      <c r="CP33" s="4063"/>
      <c r="CQ33" s="4063"/>
      <c r="CR33" s="4063"/>
      <c r="CS33" s="4063"/>
      <c r="CT33" s="4063"/>
      <c r="CU33" s="4063"/>
      <c r="CV33" s="4063"/>
      <c r="CW33" s="4063"/>
      <c r="CX33" s="4063"/>
      <c r="CY33" s="4063"/>
      <c r="CZ33" s="3471"/>
      <c r="DA33" s="3471"/>
      <c r="DB33" s="3471"/>
      <c r="DC33" s="3471"/>
      <c r="DD33" s="3471"/>
      <c r="DE33" s="3471"/>
      <c r="DF33" s="3471"/>
      <c r="DG33" s="3471"/>
      <c r="DH33" s="3471"/>
      <c r="DI33" s="2054"/>
      <c r="DK33" s="6335"/>
      <c r="DL33" s="6330"/>
      <c r="DM33" s="6330"/>
      <c r="DN33" s="6330"/>
      <c r="DO33" s="6330"/>
      <c r="DP33" s="6330"/>
      <c r="DQ33" s="6330"/>
      <c r="DR33" s="6330"/>
      <c r="DS33" s="6330"/>
      <c r="DT33" s="6330"/>
      <c r="DU33" s="6330"/>
      <c r="DV33" s="6330"/>
      <c r="DW33" s="6330"/>
      <c r="DX33" s="6330"/>
      <c r="DY33" s="6330"/>
      <c r="DZ33" s="6330"/>
      <c r="EA33" s="6330"/>
      <c r="EB33" s="6330"/>
      <c r="EC33" s="6330"/>
      <c r="ED33" s="6330"/>
      <c r="EE33" s="6330"/>
      <c r="EF33" s="6330"/>
      <c r="EG33" s="6330"/>
      <c r="EH33" s="6330"/>
      <c r="EI33" s="6330"/>
      <c r="EJ33" s="6330"/>
      <c r="EK33" s="6330"/>
      <c r="EL33" s="6330"/>
      <c r="EM33" s="6330"/>
      <c r="EN33" s="6330"/>
      <c r="EO33" s="6330"/>
      <c r="EP33" s="6330"/>
      <c r="EQ33" s="6330"/>
      <c r="ER33" s="6330"/>
      <c r="ES33" s="6330"/>
      <c r="ET33" s="6330"/>
      <c r="EU33" s="6330"/>
      <c r="EV33" s="6330"/>
      <c r="EW33" s="6330"/>
      <c r="EX33" s="6330"/>
      <c r="EY33" s="6330"/>
      <c r="EZ33" s="6330"/>
      <c r="FA33" s="6330"/>
      <c r="FB33" s="6330"/>
      <c r="FC33" s="6330"/>
      <c r="FD33" s="6336"/>
    </row>
    <row r="34" spans="1:160" s="6319" customFormat="1" ht="15" customHeight="1">
      <c r="A34" s="16506"/>
      <c r="B34" s="16444"/>
      <c r="C34" s="16444"/>
      <c r="D34" s="16442" t="s">
        <v>5066</v>
      </c>
      <c r="E34" s="16443" t="s">
        <v>150</v>
      </c>
      <c r="F34" s="16444" t="s">
        <v>151</v>
      </c>
      <c r="G34" s="16445" t="s">
        <v>70</v>
      </c>
      <c r="H34" s="16445">
        <v>0</v>
      </c>
      <c r="I34" s="16445">
        <v>1</v>
      </c>
      <c r="J34" s="16445">
        <v>2</v>
      </c>
      <c r="K34" s="16445" t="s">
        <v>152</v>
      </c>
      <c r="L34" s="6323" t="s">
        <v>86</v>
      </c>
      <c r="M34" s="6323" t="s">
        <v>149</v>
      </c>
      <c r="N34" s="6324"/>
      <c r="O34" s="6325">
        <v>5000000</v>
      </c>
      <c r="P34" s="6325">
        <v>5150000</v>
      </c>
      <c r="Q34" s="6325">
        <v>5304500</v>
      </c>
      <c r="R34" s="6325">
        <v>5463635</v>
      </c>
      <c r="S34" s="6325">
        <v>5627544.0499999998</v>
      </c>
      <c r="T34" s="6325">
        <v>5796370.3715000004</v>
      </c>
      <c r="U34" s="6325">
        <v>5970261.4826450003</v>
      </c>
      <c r="V34" s="6329" t="s">
        <v>1732</v>
      </c>
      <c r="W34" s="6329"/>
      <c r="X34" s="6329"/>
      <c r="Y34" s="6327" t="s">
        <v>3599</v>
      </c>
      <c r="Z34" s="6330"/>
      <c r="AA34" s="6330"/>
      <c r="AB34" s="6330"/>
      <c r="AC34" s="6330"/>
      <c r="AD34" s="6330"/>
      <c r="AE34" s="6330"/>
      <c r="AF34" s="6330"/>
      <c r="AG34" s="6330"/>
      <c r="AH34" s="6330"/>
      <c r="AI34" s="6330"/>
      <c r="AJ34" s="6330"/>
      <c r="AK34" s="6330"/>
      <c r="AL34" s="6330"/>
      <c r="AM34" s="6330"/>
      <c r="AN34" s="6330"/>
      <c r="AO34" s="6330"/>
      <c r="AP34" s="6330"/>
      <c r="AQ34" s="6330"/>
      <c r="AR34" s="6330"/>
      <c r="AS34" s="6330"/>
      <c r="AT34" s="6330"/>
      <c r="AU34" s="6330"/>
      <c r="AV34" s="6330"/>
      <c r="AW34" s="6330"/>
      <c r="AX34" s="6330"/>
      <c r="AY34" s="6330"/>
      <c r="AZ34" s="6330"/>
      <c r="BA34" s="6330"/>
      <c r="BB34" s="6330"/>
      <c r="BC34" s="6330"/>
      <c r="BD34" s="6330"/>
      <c r="BE34" s="6330"/>
      <c r="BF34" s="6330"/>
      <c r="BG34" s="6330"/>
      <c r="BH34" s="6330"/>
      <c r="BI34" s="6330"/>
      <c r="BJ34" s="6330"/>
      <c r="BK34" s="6330"/>
      <c r="BL34" s="6330"/>
      <c r="BM34" s="6330"/>
      <c r="BN34" s="4063" t="s">
        <v>3781</v>
      </c>
      <c r="BO34" s="4063" t="s">
        <v>3781</v>
      </c>
      <c r="BP34" s="4058">
        <v>0</v>
      </c>
      <c r="BQ34" s="4063" t="s">
        <v>3781</v>
      </c>
      <c r="BR34" s="16516"/>
      <c r="BS34" s="3471"/>
      <c r="BT34" s="3471"/>
      <c r="BU34" s="3471"/>
      <c r="BV34" s="6342"/>
      <c r="BW34" s="6342"/>
      <c r="BX34" s="6342"/>
      <c r="BY34" s="6342"/>
      <c r="BZ34" s="6342"/>
      <c r="CA34" s="6342"/>
      <c r="CB34" s="6342"/>
      <c r="CC34" s="6342"/>
      <c r="CD34" s="6342"/>
      <c r="CE34" s="6342"/>
      <c r="CF34" s="6342"/>
      <c r="CG34" s="6342"/>
      <c r="CH34" s="6342"/>
      <c r="CI34" s="6342"/>
      <c r="CJ34" s="6342"/>
      <c r="CK34" s="6342"/>
      <c r="CL34" s="6342"/>
      <c r="CM34" s="6342"/>
      <c r="CN34" s="6342"/>
      <c r="CO34" s="4063"/>
      <c r="CP34" s="4063"/>
      <c r="CQ34" s="4063"/>
      <c r="CR34" s="4063"/>
      <c r="CS34" s="4063"/>
      <c r="CT34" s="4063"/>
      <c r="CU34" s="4063"/>
      <c r="CV34" s="4063"/>
      <c r="CW34" s="4063"/>
      <c r="CX34" s="4063"/>
      <c r="CY34" s="4063"/>
      <c r="CZ34" s="3471"/>
      <c r="DA34" s="3471"/>
      <c r="DB34" s="3471"/>
      <c r="DC34" s="3471"/>
      <c r="DD34" s="3471"/>
      <c r="DE34" s="3471"/>
      <c r="DF34" s="3471"/>
      <c r="DG34" s="3471"/>
      <c r="DH34" s="3471"/>
      <c r="DI34" s="2054"/>
      <c r="DK34" s="6335"/>
      <c r="DL34" s="6330"/>
      <c r="DM34" s="6330"/>
      <c r="DN34" s="6330"/>
      <c r="DO34" s="6330"/>
      <c r="DP34" s="6330"/>
      <c r="DQ34" s="6330"/>
      <c r="DR34" s="6330"/>
      <c r="DS34" s="6330"/>
      <c r="DT34" s="6330"/>
      <c r="DU34" s="6330"/>
      <c r="DV34" s="6330"/>
      <c r="DW34" s="6330"/>
      <c r="DX34" s="6330"/>
      <c r="DY34" s="6330"/>
      <c r="DZ34" s="6330"/>
      <c r="EA34" s="6330"/>
      <c r="EB34" s="6330"/>
      <c r="EC34" s="6330"/>
      <c r="ED34" s="6330"/>
      <c r="EE34" s="6330"/>
      <c r="EF34" s="6330"/>
      <c r="EG34" s="6330"/>
      <c r="EH34" s="6330"/>
      <c r="EI34" s="6330"/>
      <c r="EJ34" s="6330"/>
      <c r="EK34" s="6330"/>
      <c r="EL34" s="6330"/>
      <c r="EM34" s="6330"/>
      <c r="EN34" s="6330"/>
      <c r="EO34" s="6330"/>
      <c r="EP34" s="6330"/>
      <c r="EQ34" s="6330"/>
      <c r="ER34" s="6330"/>
      <c r="ES34" s="6330"/>
      <c r="ET34" s="6330"/>
      <c r="EU34" s="6330"/>
      <c r="EV34" s="6330"/>
      <c r="EW34" s="6330"/>
      <c r="EX34" s="6330"/>
      <c r="EY34" s="6330"/>
      <c r="EZ34" s="6330"/>
      <c r="FA34" s="6330"/>
      <c r="FB34" s="6330"/>
      <c r="FC34" s="6330"/>
      <c r="FD34" s="6336"/>
    </row>
    <row r="35" spans="1:160" s="6319" customFormat="1" ht="15" customHeight="1">
      <c r="A35" s="16506"/>
      <c r="B35" s="16444"/>
      <c r="C35" s="16444"/>
      <c r="D35" s="16442"/>
      <c r="E35" s="16443"/>
      <c r="F35" s="16444"/>
      <c r="G35" s="16445"/>
      <c r="H35" s="16445"/>
      <c r="I35" s="16445"/>
      <c r="J35" s="16445"/>
      <c r="K35" s="16445"/>
      <c r="L35" s="6323" t="s">
        <v>10194</v>
      </c>
      <c r="M35" s="6323"/>
      <c r="N35" s="6324" t="s">
        <v>153</v>
      </c>
      <c r="O35" s="6325"/>
      <c r="P35" s="6325"/>
      <c r="Q35" s="6325"/>
      <c r="R35" s="6325"/>
      <c r="S35" s="6325"/>
      <c r="T35" s="6325"/>
      <c r="U35" s="6325"/>
      <c r="V35" s="6329"/>
      <c r="W35" s="6329"/>
      <c r="X35" s="6329"/>
      <c r="Y35" s="6327"/>
      <c r="Z35" s="6330"/>
      <c r="AA35" s="6330"/>
      <c r="AB35" s="6330"/>
      <c r="AC35" s="6330"/>
      <c r="AD35" s="6330"/>
      <c r="AE35" s="6330"/>
      <c r="AF35" s="6330"/>
      <c r="AG35" s="6330"/>
      <c r="AH35" s="6330"/>
      <c r="AI35" s="6330"/>
      <c r="AJ35" s="6330"/>
      <c r="AK35" s="6330"/>
      <c r="AL35" s="6330"/>
      <c r="AM35" s="6330"/>
      <c r="AN35" s="6330"/>
      <c r="AO35" s="6330"/>
      <c r="AP35" s="6330"/>
      <c r="AQ35" s="6330"/>
      <c r="AR35" s="6330"/>
      <c r="AS35" s="6330"/>
      <c r="AT35" s="6330"/>
      <c r="AU35" s="6330"/>
      <c r="AV35" s="6330"/>
      <c r="AW35" s="6330"/>
      <c r="AX35" s="6330"/>
      <c r="AY35" s="6330"/>
      <c r="AZ35" s="6330"/>
      <c r="BA35" s="6330"/>
      <c r="BB35" s="6330"/>
      <c r="BC35" s="6330"/>
      <c r="BD35" s="6330"/>
      <c r="BE35" s="6330"/>
      <c r="BF35" s="6330"/>
      <c r="BG35" s="6330"/>
      <c r="BH35" s="6330"/>
      <c r="BI35" s="6330"/>
      <c r="BJ35" s="6330"/>
      <c r="BK35" s="6330"/>
      <c r="BL35" s="6330"/>
      <c r="BM35" s="6330"/>
      <c r="BN35" s="4063"/>
      <c r="BO35" s="4063"/>
      <c r="BP35" s="4058"/>
      <c r="BQ35" s="4063"/>
      <c r="BR35" s="16516"/>
      <c r="BS35" s="3471"/>
      <c r="BT35" s="3471"/>
      <c r="BU35" s="3471"/>
      <c r="BV35" s="6342"/>
      <c r="BW35" s="6342"/>
      <c r="BX35" s="6342"/>
      <c r="BY35" s="6342"/>
      <c r="BZ35" s="6342"/>
      <c r="CA35" s="6342"/>
      <c r="CB35" s="6342"/>
      <c r="CC35" s="6342"/>
      <c r="CD35" s="6342"/>
      <c r="CE35" s="6342"/>
      <c r="CF35" s="6342"/>
      <c r="CG35" s="6342"/>
      <c r="CH35" s="6342"/>
      <c r="CI35" s="6342"/>
      <c r="CJ35" s="6342"/>
      <c r="CK35" s="6342"/>
      <c r="CL35" s="6342"/>
      <c r="CM35" s="6342"/>
      <c r="CN35" s="6342"/>
      <c r="CO35" s="4063"/>
      <c r="CP35" s="4063"/>
      <c r="CQ35" s="4063"/>
      <c r="CR35" s="4063"/>
      <c r="CS35" s="4063"/>
      <c r="CT35" s="4063"/>
      <c r="CU35" s="4063"/>
      <c r="CV35" s="4063"/>
      <c r="CW35" s="4063"/>
      <c r="CX35" s="4063"/>
      <c r="CY35" s="4063"/>
      <c r="CZ35" s="3471"/>
      <c r="DA35" s="3471"/>
      <c r="DB35" s="3471"/>
      <c r="DC35" s="3471"/>
      <c r="DD35" s="3471"/>
      <c r="DE35" s="3471"/>
      <c r="DF35" s="3471"/>
      <c r="DG35" s="3471"/>
      <c r="DH35" s="3471"/>
      <c r="DI35" s="2054"/>
      <c r="DK35" s="6335"/>
      <c r="DL35" s="6330"/>
      <c r="DM35" s="6330"/>
      <c r="DN35" s="6330"/>
      <c r="DO35" s="6330"/>
      <c r="DP35" s="6330"/>
      <c r="DQ35" s="6330"/>
      <c r="DR35" s="6330"/>
      <c r="DS35" s="6330"/>
      <c r="DT35" s="6330"/>
      <c r="DU35" s="6330"/>
      <c r="DV35" s="6330"/>
      <c r="DW35" s="6330"/>
      <c r="DX35" s="6330"/>
      <c r="DY35" s="6330"/>
      <c r="DZ35" s="6330"/>
      <c r="EA35" s="6330"/>
      <c r="EB35" s="6330"/>
      <c r="EC35" s="6330"/>
      <c r="ED35" s="6330"/>
      <c r="EE35" s="6330"/>
      <c r="EF35" s="6330"/>
      <c r="EG35" s="6330"/>
      <c r="EH35" s="6330"/>
      <c r="EI35" s="6330"/>
      <c r="EJ35" s="6330"/>
      <c r="EK35" s="6330"/>
      <c r="EL35" s="6330"/>
      <c r="EM35" s="6330"/>
      <c r="EN35" s="6330"/>
      <c r="EO35" s="6330"/>
      <c r="EP35" s="6330"/>
      <c r="EQ35" s="6330"/>
      <c r="ER35" s="6330"/>
      <c r="ES35" s="6330"/>
      <c r="ET35" s="6330"/>
      <c r="EU35" s="6330"/>
      <c r="EV35" s="6330"/>
      <c r="EW35" s="6330"/>
      <c r="EX35" s="6330"/>
      <c r="EY35" s="6330"/>
      <c r="EZ35" s="6330"/>
      <c r="FA35" s="6330"/>
      <c r="FB35" s="6330"/>
      <c r="FC35" s="6330"/>
      <c r="FD35" s="6336"/>
    </row>
    <row r="36" spans="1:160" s="6319" customFormat="1" ht="15" customHeight="1" thickBot="1">
      <c r="A36" s="16507"/>
      <c r="B36" s="16448"/>
      <c r="C36" s="16448"/>
      <c r="D36" s="1786" t="s">
        <v>5067</v>
      </c>
      <c r="E36" s="6351" t="s">
        <v>154</v>
      </c>
      <c r="F36" s="6352" t="s">
        <v>155</v>
      </c>
      <c r="G36" s="6352" t="s">
        <v>70</v>
      </c>
      <c r="H36" s="6352">
        <v>1</v>
      </c>
      <c r="I36" s="6352">
        <v>1</v>
      </c>
      <c r="J36" s="6352">
        <v>1</v>
      </c>
      <c r="K36" s="6353" t="s">
        <v>156</v>
      </c>
      <c r="L36" s="6353" t="s">
        <v>86</v>
      </c>
      <c r="M36" s="6353" t="s">
        <v>149</v>
      </c>
      <c r="N36" s="6354" t="s">
        <v>157</v>
      </c>
      <c r="O36" s="6355">
        <v>30000000</v>
      </c>
      <c r="P36" s="6355">
        <v>30900000</v>
      </c>
      <c r="Q36" s="6355">
        <v>31827000</v>
      </c>
      <c r="R36" s="6355">
        <v>32781810</v>
      </c>
      <c r="S36" s="6355">
        <v>33765264.300000004</v>
      </c>
      <c r="T36" s="6355">
        <v>34778222.229000002</v>
      </c>
      <c r="U36" s="6355">
        <v>35821568.89587</v>
      </c>
      <c r="V36" s="6356" t="s">
        <v>1732</v>
      </c>
      <c r="W36" s="6356"/>
      <c r="X36" s="6356"/>
      <c r="Y36" s="6357" t="s">
        <v>3569</v>
      </c>
      <c r="Z36" s="6358"/>
      <c r="AA36" s="6358"/>
      <c r="AB36" s="6358"/>
      <c r="AC36" s="6358"/>
      <c r="AD36" s="6358"/>
      <c r="AE36" s="6358"/>
      <c r="AF36" s="6358"/>
      <c r="AG36" s="6358"/>
      <c r="AH36" s="6358"/>
      <c r="AI36" s="6358"/>
      <c r="AJ36" s="6358"/>
      <c r="AK36" s="6358"/>
      <c r="AL36" s="6358"/>
      <c r="AM36" s="6358"/>
      <c r="AN36" s="6358"/>
      <c r="AO36" s="6358"/>
      <c r="AP36" s="6358"/>
      <c r="AQ36" s="6358"/>
      <c r="AR36" s="6358"/>
      <c r="AS36" s="6358"/>
      <c r="AT36" s="6358"/>
      <c r="AU36" s="6358"/>
      <c r="AV36" s="6358"/>
      <c r="AW36" s="6358"/>
      <c r="AX36" s="6358"/>
      <c r="AY36" s="6358"/>
      <c r="AZ36" s="6358"/>
      <c r="BA36" s="6358"/>
      <c r="BB36" s="6358"/>
      <c r="BC36" s="6358"/>
      <c r="BD36" s="6358"/>
      <c r="BE36" s="6358"/>
      <c r="BF36" s="6358"/>
      <c r="BG36" s="6358"/>
      <c r="BH36" s="6358"/>
      <c r="BI36" s="6358"/>
      <c r="BJ36" s="6358"/>
      <c r="BK36" s="6358"/>
      <c r="BL36" s="6358"/>
      <c r="BM36" s="6358"/>
      <c r="BN36" s="6359" t="s">
        <v>3781</v>
      </c>
      <c r="BO36" s="6359" t="s">
        <v>3781</v>
      </c>
      <c r="BP36" s="1786">
        <v>0</v>
      </c>
      <c r="BQ36" s="6359" t="s">
        <v>3781</v>
      </c>
      <c r="BR36" s="16517"/>
      <c r="BS36" s="1943"/>
      <c r="BT36" s="1943"/>
      <c r="BU36" s="1943"/>
      <c r="BV36" s="6360"/>
      <c r="BW36" s="6360"/>
      <c r="BX36" s="6360"/>
      <c r="BY36" s="6360"/>
      <c r="BZ36" s="6360"/>
      <c r="CA36" s="6360"/>
      <c r="CB36" s="6360"/>
      <c r="CC36" s="6360"/>
      <c r="CD36" s="6360"/>
      <c r="CE36" s="6360"/>
      <c r="CF36" s="6360"/>
      <c r="CG36" s="6360"/>
      <c r="CH36" s="6360"/>
      <c r="CI36" s="6360"/>
      <c r="CJ36" s="6360"/>
      <c r="CK36" s="6360"/>
      <c r="CL36" s="6360"/>
      <c r="CM36" s="6360"/>
      <c r="CN36" s="6360"/>
      <c r="CO36" s="6359"/>
      <c r="CP36" s="6359"/>
      <c r="CQ36" s="6359"/>
      <c r="CR36" s="6359"/>
      <c r="CS36" s="6359"/>
      <c r="CT36" s="6359"/>
      <c r="CU36" s="6359"/>
      <c r="CV36" s="6359"/>
      <c r="CW36" s="6359"/>
      <c r="CX36" s="6359"/>
      <c r="CY36" s="6359"/>
      <c r="CZ36" s="1943"/>
      <c r="DA36" s="1943"/>
      <c r="DB36" s="1943"/>
      <c r="DC36" s="1943"/>
      <c r="DD36" s="1943"/>
      <c r="DE36" s="1943"/>
      <c r="DF36" s="1943"/>
      <c r="DG36" s="1943"/>
      <c r="DH36" s="1943"/>
      <c r="DI36" s="1944"/>
      <c r="DK36" s="6361"/>
      <c r="DL36" s="6358"/>
      <c r="DM36" s="6358"/>
      <c r="DN36" s="6358"/>
      <c r="DO36" s="6358"/>
      <c r="DP36" s="6358"/>
      <c r="DQ36" s="6358"/>
      <c r="DR36" s="6358"/>
      <c r="DS36" s="6358"/>
      <c r="DT36" s="6358"/>
      <c r="DU36" s="6358"/>
      <c r="DV36" s="6358"/>
      <c r="DW36" s="6358"/>
      <c r="DX36" s="6358"/>
      <c r="DY36" s="6358"/>
      <c r="DZ36" s="6358"/>
      <c r="EA36" s="6358"/>
      <c r="EB36" s="6358"/>
      <c r="EC36" s="6358"/>
      <c r="ED36" s="6358"/>
      <c r="EE36" s="6358"/>
      <c r="EF36" s="6358"/>
      <c r="EG36" s="6358"/>
      <c r="EH36" s="6358"/>
      <c r="EI36" s="6358"/>
      <c r="EJ36" s="6358"/>
      <c r="EK36" s="6358"/>
      <c r="EL36" s="6358"/>
      <c r="EM36" s="6358"/>
      <c r="EN36" s="6358"/>
      <c r="EO36" s="6358"/>
      <c r="EP36" s="6358"/>
      <c r="EQ36" s="6358"/>
      <c r="ER36" s="6358"/>
      <c r="ES36" s="6358"/>
      <c r="ET36" s="6358"/>
      <c r="EU36" s="6358"/>
      <c r="EV36" s="6358"/>
      <c r="EW36" s="6358"/>
      <c r="EX36" s="6358"/>
      <c r="EY36" s="6358"/>
      <c r="EZ36" s="6358"/>
      <c r="FA36" s="6358"/>
      <c r="FB36" s="6358"/>
      <c r="FC36" s="6358"/>
      <c r="FD36" s="6362"/>
    </row>
    <row r="37" spans="1:160" s="6075" customFormat="1" ht="15" customHeight="1">
      <c r="A37" s="16461" t="s">
        <v>158</v>
      </c>
      <c r="B37" s="16418" t="s">
        <v>159</v>
      </c>
      <c r="C37" s="16418" t="s">
        <v>160</v>
      </c>
      <c r="D37" s="5047" t="s">
        <v>5068</v>
      </c>
      <c r="E37" s="6249" t="s">
        <v>5069</v>
      </c>
      <c r="F37" s="6250" t="s">
        <v>161</v>
      </c>
      <c r="G37" s="6250" t="s">
        <v>70</v>
      </c>
      <c r="H37" s="6251">
        <v>2</v>
      </c>
      <c r="I37" s="6251">
        <v>2</v>
      </c>
      <c r="J37" s="6251">
        <v>2</v>
      </c>
      <c r="K37" s="6250" t="s">
        <v>162</v>
      </c>
      <c r="L37" s="6250" t="s">
        <v>2896</v>
      </c>
      <c r="M37" s="6250" t="s">
        <v>163</v>
      </c>
      <c r="N37" s="6252"/>
      <c r="O37" s="6253">
        <v>44000000</v>
      </c>
      <c r="P37" s="6254">
        <v>45320000</v>
      </c>
      <c r="Q37" s="6254">
        <v>46679600</v>
      </c>
      <c r="R37" s="6254">
        <v>48079988</v>
      </c>
      <c r="S37" s="6254">
        <v>49522387.640000001</v>
      </c>
      <c r="T37" s="6254">
        <v>51008059.269200005</v>
      </c>
      <c r="U37" s="6254">
        <v>52538301.047276005</v>
      </c>
      <c r="V37" s="6255">
        <v>1</v>
      </c>
      <c r="W37" s="5084" t="s">
        <v>2889</v>
      </c>
      <c r="X37" s="6256"/>
      <c r="Y37" s="6256"/>
      <c r="Z37" s="6257" t="s">
        <v>2890</v>
      </c>
      <c r="AA37" s="6258"/>
      <c r="AB37" s="6259" t="s">
        <v>2890</v>
      </c>
      <c r="AC37" s="6258"/>
      <c r="AD37" s="6256">
        <v>2</v>
      </c>
      <c r="AE37" s="6256">
        <v>2</v>
      </c>
      <c r="AF37" s="6256"/>
      <c r="AG37" s="6256">
        <v>2</v>
      </c>
      <c r="AH37" s="6256"/>
      <c r="AI37" s="6256"/>
      <c r="AJ37" s="6256"/>
      <c r="AK37" s="6256"/>
      <c r="AL37" s="6256"/>
      <c r="AM37" s="6256" t="s">
        <v>2891</v>
      </c>
      <c r="AN37" s="6256" t="s">
        <v>2891</v>
      </c>
      <c r="AO37" s="6256"/>
      <c r="AP37" s="6256" t="s">
        <v>2891</v>
      </c>
      <c r="AQ37" s="6256"/>
      <c r="AR37" s="6256"/>
      <c r="AS37" s="6256"/>
      <c r="AT37" s="6256"/>
      <c r="AU37" s="6256"/>
      <c r="AV37" s="6256"/>
      <c r="AW37" s="6256"/>
      <c r="AX37" s="6256"/>
      <c r="AY37" s="6256" t="s">
        <v>2891</v>
      </c>
      <c r="AZ37" s="6256"/>
      <c r="BA37" s="6256"/>
      <c r="BB37" s="6256"/>
      <c r="BC37" s="6256"/>
      <c r="BD37" s="6260" t="s">
        <v>2892</v>
      </c>
      <c r="BE37" s="6256"/>
      <c r="BF37" s="6256"/>
      <c r="BG37" s="6256"/>
      <c r="BH37" s="6256"/>
      <c r="BI37" s="6256"/>
      <c r="BJ37" s="6256"/>
      <c r="BK37" s="6256"/>
      <c r="BL37" s="6256"/>
      <c r="BM37" s="6256"/>
      <c r="BN37" s="5084">
        <v>2</v>
      </c>
      <c r="BO37" s="6261">
        <v>2</v>
      </c>
      <c r="BP37" s="5103">
        <v>2</v>
      </c>
      <c r="BQ37" s="5085">
        <v>1</v>
      </c>
      <c r="BR37" s="15624">
        <f>AVERAGE(BQ37:BQ49)</f>
        <v>0.66666666666666663</v>
      </c>
      <c r="BS37" s="6262" t="s">
        <v>9063</v>
      </c>
      <c r="BT37" s="6262" t="s">
        <v>9064</v>
      </c>
      <c r="BU37" s="6262" t="s">
        <v>9065</v>
      </c>
      <c r="BV37" s="6263">
        <v>103000000</v>
      </c>
      <c r="BW37" s="4344"/>
      <c r="BX37" s="6263">
        <v>103000000</v>
      </c>
      <c r="BY37" s="4344"/>
      <c r="BZ37" s="6264">
        <v>2</v>
      </c>
      <c r="CA37" s="4908"/>
      <c r="CB37" s="4908"/>
      <c r="CC37" s="4908"/>
      <c r="CD37" s="4908"/>
      <c r="CE37" s="6264"/>
      <c r="CF37" s="6264"/>
      <c r="CG37" s="6264"/>
      <c r="CH37" s="6264"/>
      <c r="CI37" s="6264"/>
      <c r="CJ37" s="6264"/>
      <c r="CK37" s="6264"/>
      <c r="CL37" s="4908"/>
      <c r="CM37" s="4908"/>
      <c r="CN37" s="4344"/>
      <c r="CO37" s="5084"/>
      <c r="CP37" s="5084"/>
      <c r="CQ37" s="5084"/>
      <c r="CR37" s="5084"/>
      <c r="CS37" s="5084"/>
      <c r="CT37" s="5084"/>
      <c r="CU37" s="5084">
        <v>2</v>
      </c>
      <c r="CV37" s="5084"/>
      <c r="CW37" s="5084"/>
      <c r="CX37" s="5084"/>
      <c r="CY37" s="5084"/>
      <c r="CZ37" s="1950"/>
      <c r="DA37" s="1950"/>
      <c r="DB37" s="1950"/>
      <c r="DC37" s="1950"/>
      <c r="DD37" s="1950"/>
      <c r="DE37" s="1950"/>
      <c r="DF37" s="1950"/>
      <c r="DG37" s="1950"/>
      <c r="DH37" s="1950"/>
      <c r="DI37" s="1952"/>
      <c r="DK37" s="6302"/>
      <c r="DL37" s="6303"/>
      <c r="DM37" s="6303"/>
      <c r="DN37" s="6303"/>
      <c r="DO37" s="6303"/>
      <c r="DP37" s="6303"/>
      <c r="DQ37" s="6303"/>
      <c r="DR37" s="6303"/>
      <c r="DS37" s="6303"/>
      <c r="DT37" s="6303"/>
      <c r="DU37" s="6303"/>
      <c r="DV37" s="6303"/>
      <c r="DW37" s="6303"/>
      <c r="DX37" s="6303"/>
      <c r="DY37" s="6303"/>
      <c r="DZ37" s="6303"/>
      <c r="EA37" s="6303"/>
      <c r="EB37" s="6303"/>
      <c r="EC37" s="6303"/>
      <c r="ED37" s="6303"/>
      <c r="EE37" s="6303"/>
      <c r="EF37" s="6303"/>
      <c r="EG37" s="6303"/>
      <c r="EH37" s="6303"/>
      <c r="EI37" s="6303"/>
      <c r="EJ37" s="6303"/>
      <c r="EK37" s="6303"/>
      <c r="EL37" s="6303"/>
      <c r="EM37" s="6303"/>
      <c r="EN37" s="6303"/>
      <c r="EO37" s="6303"/>
      <c r="EP37" s="6303"/>
      <c r="EQ37" s="6303"/>
      <c r="ER37" s="6303"/>
      <c r="ES37" s="6303"/>
      <c r="ET37" s="6303"/>
      <c r="EU37" s="6303"/>
      <c r="EV37" s="6303"/>
      <c r="EW37" s="6303"/>
      <c r="EX37" s="6303"/>
      <c r="EY37" s="6303"/>
      <c r="EZ37" s="6303"/>
      <c r="FA37" s="6303"/>
      <c r="FB37" s="6303"/>
      <c r="FC37" s="6303"/>
      <c r="FD37" s="6304"/>
    </row>
    <row r="38" spans="1:160" s="6075" customFormat="1" ht="15" customHeight="1">
      <c r="A38" s="16462"/>
      <c r="B38" s="16430"/>
      <c r="C38" s="16430"/>
      <c r="D38" s="5048" t="s">
        <v>5070</v>
      </c>
      <c r="E38" s="6114" t="s">
        <v>164</v>
      </c>
      <c r="F38" s="6074" t="s">
        <v>165</v>
      </c>
      <c r="G38" s="6074">
        <v>1</v>
      </c>
      <c r="H38" s="6115">
        <v>1</v>
      </c>
      <c r="I38" s="6115">
        <v>2</v>
      </c>
      <c r="J38" s="6115">
        <v>3</v>
      </c>
      <c r="K38" s="6074" t="s">
        <v>166</v>
      </c>
      <c r="L38" s="6074" t="s">
        <v>2896</v>
      </c>
      <c r="M38" s="6074" t="s">
        <v>167</v>
      </c>
      <c r="N38" s="6120" t="s">
        <v>168</v>
      </c>
      <c r="O38" s="6076">
        <v>5000000</v>
      </c>
      <c r="P38" s="6121">
        <v>0</v>
      </c>
      <c r="Q38" s="6121">
        <v>0</v>
      </c>
      <c r="R38" s="6121">
        <v>0</v>
      </c>
      <c r="S38" s="6121">
        <v>0</v>
      </c>
      <c r="T38" s="6121">
        <v>0</v>
      </c>
      <c r="U38" s="6076">
        <v>5900000</v>
      </c>
      <c r="V38" s="6078">
        <v>100</v>
      </c>
      <c r="W38" s="5083" t="s">
        <v>2904</v>
      </c>
      <c r="X38" s="6078"/>
      <c r="Y38" s="6078"/>
      <c r="Z38" s="6118"/>
      <c r="AA38" s="6080"/>
      <c r="AB38" s="6079"/>
      <c r="AC38" s="6080"/>
      <c r="AD38" s="6078"/>
      <c r="AE38" s="6078"/>
      <c r="AF38" s="6078"/>
      <c r="AG38" s="6078"/>
      <c r="AH38" s="6078"/>
      <c r="AI38" s="6078"/>
      <c r="AJ38" s="6078"/>
      <c r="AK38" s="6078"/>
      <c r="AL38" s="6078"/>
      <c r="AM38" s="6078"/>
      <c r="AN38" s="6078"/>
      <c r="AO38" s="6078"/>
      <c r="AP38" s="6078"/>
      <c r="AQ38" s="6078"/>
      <c r="AR38" s="6078"/>
      <c r="AS38" s="6078"/>
      <c r="AT38" s="6078"/>
      <c r="AU38" s="6078"/>
      <c r="AV38" s="6078"/>
      <c r="AW38" s="6078"/>
      <c r="AX38" s="6078"/>
      <c r="AY38" s="6078"/>
      <c r="AZ38" s="6078"/>
      <c r="BA38" s="6078"/>
      <c r="BB38" s="6078"/>
      <c r="BC38" s="6078"/>
      <c r="BD38" s="6078"/>
      <c r="BE38" s="6078"/>
      <c r="BF38" s="6078"/>
      <c r="BG38" s="6078"/>
      <c r="BH38" s="6078"/>
      <c r="BI38" s="6078"/>
      <c r="BJ38" s="6078"/>
      <c r="BK38" s="6078"/>
      <c r="BL38" s="6078"/>
      <c r="BM38" s="6078"/>
      <c r="BN38" s="5007" t="s">
        <v>3781</v>
      </c>
      <c r="BO38" s="5007" t="s">
        <v>3781</v>
      </c>
      <c r="BP38" s="5104">
        <v>1</v>
      </c>
      <c r="BQ38" s="5007" t="s">
        <v>3781</v>
      </c>
      <c r="BR38" s="16510"/>
      <c r="BS38" s="3470"/>
      <c r="BT38" s="3470"/>
      <c r="BU38" s="6119" t="s">
        <v>9671</v>
      </c>
      <c r="BV38" s="3150"/>
      <c r="BW38" s="3150"/>
      <c r="BX38" s="3150"/>
      <c r="BY38" s="3150"/>
      <c r="BZ38" s="3150"/>
      <c r="CA38" s="3150"/>
      <c r="CB38" s="3150"/>
      <c r="CC38" s="3150"/>
      <c r="CD38" s="3150"/>
      <c r="CE38" s="3150"/>
      <c r="CF38" s="3150"/>
      <c r="CG38" s="3150"/>
      <c r="CH38" s="3150"/>
      <c r="CI38" s="3150"/>
      <c r="CJ38" s="3150"/>
      <c r="CK38" s="3150"/>
      <c r="CL38" s="3150"/>
      <c r="CM38" s="3150"/>
      <c r="CN38" s="3150"/>
      <c r="CO38" s="5007"/>
      <c r="CP38" s="5007"/>
      <c r="CQ38" s="5007"/>
      <c r="CR38" s="5007"/>
      <c r="CS38" s="5007"/>
      <c r="CT38" s="5007"/>
      <c r="CU38" s="5007"/>
      <c r="CV38" s="5007"/>
      <c r="CW38" s="5007"/>
      <c r="CX38" s="5007"/>
      <c r="CY38" s="5007"/>
      <c r="CZ38" s="3470"/>
      <c r="DA38" s="3470"/>
      <c r="DB38" s="3470"/>
      <c r="DC38" s="3470"/>
      <c r="DD38" s="3470"/>
      <c r="DE38" s="3470"/>
      <c r="DF38" s="3470"/>
      <c r="DG38" s="3470"/>
      <c r="DH38" s="3470"/>
      <c r="DI38" s="3475"/>
      <c r="DK38" s="6284"/>
      <c r="DL38" s="6135"/>
      <c r="DM38" s="6135"/>
      <c r="DN38" s="6135"/>
      <c r="DO38" s="6135"/>
      <c r="DP38" s="6135"/>
      <c r="DQ38" s="6135"/>
      <c r="DR38" s="6135"/>
      <c r="DS38" s="6135"/>
      <c r="DT38" s="6135"/>
      <c r="DU38" s="6135"/>
      <c r="DV38" s="6135"/>
      <c r="DW38" s="6135"/>
      <c r="DX38" s="6135"/>
      <c r="DY38" s="6135"/>
      <c r="DZ38" s="6135"/>
      <c r="EA38" s="6135"/>
      <c r="EB38" s="6135"/>
      <c r="EC38" s="6135"/>
      <c r="ED38" s="6135"/>
      <c r="EE38" s="6135"/>
      <c r="EF38" s="6135"/>
      <c r="EG38" s="6135"/>
      <c r="EH38" s="6135"/>
      <c r="EI38" s="6135"/>
      <c r="EJ38" s="6135"/>
      <c r="EK38" s="6135"/>
      <c r="EL38" s="6135"/>
      <c r="EM38" s="6135"/>
      <c r="EN38" s="6135"/>
      <c r="EO38" s="6135"/>
      <c r="EP38" s="6135"/>
      <c r="EQ38" s="6135"/>
      <c r="ER38" s="6135"/>
      <c r="ES38" s="6135"/>
      <c r="ET38" s="6135"/>
      <c r="EU38" s="6135"/>
      <c r="EV38" s="6135"/>
      <c r="EW38" s="6135"/>
      <c r="EX38" s="6135"/>
      <c r="EY38" s="6135"/>
      <c r="EZ38" s="6135"/>
      <c r="FA38" s="6135"/>
      <c r="FB38" s="6135"/>
      <c r="FC38" s="6135"/>
      <c r="FD38" s="6285"/>
    </row>
    <row r="39" spans="1:160" s="6075" customFormat="1" ht="15" customHeight="1">
      <c r="A39" s="16462"/>
      <c r="B39" s="16430"/>
      <c r="C39" s="16430"/>
      <c r="D39" s="5048" t="s">
        <v>5071</v>
      </c>
      <c r="E39" s="6114" t="s">
        <v>5072</v>
      </c>
      <c r="F39" s="6074" t="s">
        <v>169</v>
      </c>
      <c r="G39" s="6074" t="s">
        <v>170</v>
      </c>
      <c r="H39" s="6115">
        <v>1</v>
      </c>
      <c r="I39" s="6115">
        <v>1</v>
      </c>
      <c r="J39" s="6115">
        <v>1</v>
      </c>
      <c r="K39" s="6074" t="s">
        <v>171</v>
      </c>
      <c r="L39" s="6074" t="s">
        <v>2896</v>
      </c>
      <c r="M39" s="6074" t="s">
        <v>172</v>
      </c>
      <c r="N39" s="6120" t="s">
        <v>168</v>
      </c>
      <c r="O39" s="6076">
        <v>150000000</v>
      </c>
      <c r="P39" s="6076">
        <v>0</v>
      </c>
      <c r="Q39" s="6076">
        <v>0</v>
      </c>
      <c r="R39" s="6076">
        <v>0</v>
      </c>
      <c r="S39" s="6076">
        <v>0</v>
      </c>
      <c r="T39" s="6076">
        <v>0</v>
      </c>
      <c r="U39" s="6076">
        <v>177000000</v>
      </c>
      <c r="V39" s="6117">
        <v>0.6</v>
      </c>
      <c r="W39" s="6081" t="s">
        <v>2893</v>
      </c>
      <c r="X39" s="6078"/>
      <c r="Y39" s="6078"/>
      <c r="Z39" s="6079">
        <v>7452000</v>
      </c>
      <c r="AA39" s="6080"/>
      <c r="AB39" s="6079">
        <v>7452000</v>
      </c>
      <c r="AC39" s="6080"/>
      <c r="AD39" s="6123"/>
      <c r="AE39" s="6123"/>
      <c r="AF39" s="6123"/>
      <c r="AG39" s="6123"/>
      <c r="AH39" s="6123"/>
      <c r="AI39" s="6123"/>
      <c r="AJ39" s="6123"/>
      <c r="AK39" s="6123"/>
      <c r="AL39" s="6123"/>
      <c r="AM39" s="6123"/>
      <c r="AN39" s="6123"/>
      <c r="AO39" s="6123"/>
      <c r="AP39" s="6123"/>
      <c r="AQ39" s="6123"/>
      <c r="AR39" s="6123"/>
      <c r="AS39" s="6123"/>
      <c r="AT39" s="6123"/>
      <c r="AU39" s="6123"/>
      <c r="AV39" s="6123"/>
      <c r="AW39" s="6123"/>
      <c r="AX39" s="6123"/>
      <c r="AY39" s="6123"/>
      <c r="AZ39" s="6078"/>
      <c r="BA39" s="6078"/>
      <c r="BB39" s="6078"/>
      <c r="BC39" s="6078"/>
      <c r="BD39" s="6078"/>
      <c r="BE39" s="6078"/>
      <c r="BF39" s="6078"/>
      <c r="BG39" s="6078"/>
      <c r="BH39" s="6078"/>
      <c r="BI39" s="6078"/>
      <c r="BJ39" s="6078"/>
      <c r="BK39" s="6078"/>
      <c r="BL39" s="6078"/>
      <c r="BM39" s="6078"/>
      <c r="BN39" s="2611">
        <v>1</v>
      </c>
      <c r="BO39" s="5104">
        <v>1</v>
      </c>
      <c r="BP39" s="5104">
        <v>1</v>
      </c>
      <c r="BQ39" s="5092">
        <v>1</v>
      </c>
      <c r="BR39" s="16510"/>
      <c r="BS39" s="6119" t="s">
        <v>8906</v>
      </c>
      <c r="BT39" s="6119" t="s">
        <v>9066</v>
      </c>
      <c r="BU39" s="6119" t="s">
        <v>9067</v>
      </c>
      <c r="BV39" s="4081"/>
      <c r="BW39" s="4277"/>
      <c r="BX39" s="4277"/>
      <c r="BY39" s="4277"/>
      <c r="BZ39" s="6124"/>
      <c r="CA39" s="6125"/>
      <c r="CB39" s="6125"/>
      <c r="CC39" s="6125"/>
      <c r="CD39" s="6125"/>
      <c r="CE39" s="6124"/>
      <c r="CF39" s="6124"/>
      <c r="CG39" s="6124"/>
      <c r="CH39" s="6124"/>
      <c r="CI39" s="6124"/>
      <c r="CJ39" s="6124"/>
      <c r="CK39" s="6124"/>
      <c r="CL39" s="6125"/>
      <c r="CM39" s="6125"/>
      <c r="CN39" s="6125"/>
      <c r="CO39" s="5007"/>
      <c r="CP39" s="5007"/>
      <c r="CQ39" s="5007"/>
      <c r="CR39" s="5007"/>
      <c r="CS39" s="5007"/>
      <c r="CT39" s="5007"/>
      <c r="CU39" s="5007"/>
      <c r="CV39" s="5007"/>
      <c r="CW39" s="5007"/>
      <c r="CX39" s="5007"/>
      <c r="CY39" s="5007"/>
      <c r="CZ39" s="3470"/>
      <c r="DA39" s="3470"/>
      <c r="DB39" s="3470"/>
      <c r="DC39" s="3470"/>
      <c r="DD39" s="3470"/>
      <c r="DE39" s="3470"/>
      <c r="DF39" s="3470"/>
      <c r="DG39" s="3470"/>
      <c r="DH39" s="3470"/>
      <c r="DI39" s="3475"/>
      <c r="DK39" s="6284"/>
      <c r="DL39" s="6135"/>
      <c r="DM39" s="6135"/>
      <c r="DN39" s="6135"/>
      <c r="DO39" s="6135"/>
      <c r="DP39" s="6135"/>
      <c r="DQ39" s="6135"/>
      <c r="DR39" s="6135"/>
      <c r="DS39" s="6135"/>
      <c r="DT39" s="6135"/>
      <c r="DU39" s="6135"/>
      <c r="DV39" s="6135"/>
      <c r="DW39" s="6135"/>
      <c r="DX39" s="6135"/>
      <c r="DY39" s="6135"/>
      <c r="DZ39" s="6135"/>
      <c r="EA39" s="6135"/>
      <c r="EB39" s="6135"/>
      <c r="EC39" s="6135"/>
      <c r="ED39" s="6135"/>
      <c r="EE39" s="6135"/>
      <c r="EF39" s="6135"/>
      <c r="EG39" s="6135"/>
      <c r="EH39" s="6135"/>
      <c r="EI39" s="6135"/>
      <c r="EJ39" s="6135"/>
      <c r="EK39" s="6135"/>
      <c r="EL39" s="6135"/>
      <c r="EM39" s="6135"/>
      <c r="EN39" s="6135"/>
      <c r="EO39" s="6135"/>
      <c r="EP39" s="6135"/>
      <c r="EQ39" s="6135"/>
      <c r="ER39" s="6135"/>
      <c r="ES39" s="6135"/>
      <c r="ET39" s="6135"/>
      <c r="EU39" s="6135"/>
      <c r="EV39" s="6135"/>
      <c r="EW39" s="6135"/>
      <c r="EX39" s="6135"/>
      <c r="EY39" s="6135"/>
      <c r="EZ39" s="6135"/>
      <c r="FA39" s="6135"/>
      <c r="FB39" s="6135"/>
      <c r="FC39" s="6135"/>
      <c r="FD39" s="6285"/>
    </row>
    <row r="40" spans="1:160" s="6075" customFormat="1" ht="15" customHeight="1">
      <c r="A40" s="16462"/>
      <c r="B40" s="16430"/>
      <c r="C40" s="16430"/>
      <c r="D40" s="5048" t="s">
        <v>5073</v>
      </c>
      <c r="E40" s="6114" t="s">
        <v>173</v>
      </c>
      <c r="F40" s="6074" t="s">
        <v>174</v>
      </c>
      <c r="G40" s="6074" t="s">
        <v>70</v>
      </c>
      <c r="H40" s="6126">
        <v>0.05</v>
      </c>
      <c r="I40" s="6126">
        <v>0.5</v>
      </c>
      <c r="J40" s="6126">
        <v>1</v>
      </c>
      <c r="K40" s="6074" t="s">
        <v>175</v>
      </c>
      <c r="L40" s="6074" t="s">
        <v>2896</v>
      </c>
      <c r="M40" s="6074" t="s">
        <v>167</v>
      </c>
      <c r="N40" s="6120" t="s">
        <v>176</v>
      </c>
      <c r="O40" s="6076">
        <v>100000000</v>
      </c>
      <c r="P40" s="6076">
        <v>0</v>
      </c>
      <c r="Q40" s="6076">
        <v>0</v>
      </c>
      <c r="R40" s="6076">
        <v>0</v>
      </c>
      <c r="S40" s="6076">
        <v>0</v>
      </c>
      <c r="T40" s="6076">
        <v>0</v>
      </c>
      <c r="U40" s="6076">
        <v>118000000</v>
      </c>
      <c r="V40" s="6117">
        <v>0.6</v>
      </c>
      <c r="W40" s="5083" t="s">
        <v>2894</v>
      </c>
      <c r="X40" s="6078"/>
      <c r="Y40" s="6078"/>
      <c r="Z40" s="6079"/>
      <c r="AA40" s="6080"/>
      <c r="AB40" s="6079"/>
      <c r="AC40" s="6080"/>
      <c r="AD40" s="6078">
        <v>316</v>
      </c>
      <c r="AE40" s="5048">
        <v>148</v>
      </c>
      <c r="AF40" s="5048">
        <v>168</v>
      </c>
      <c r="AG40" s="5048">
        <v>291</v>
      </c>
      <c r="AH40" s="5048">
        <v>25</v>
      </c>
      <c r="AI40" s="5048">
        <v>43</v>
      </c>
      <c r="AJ40" s="5048">
        <v>165</v>
      </c>
      <c r="AK40" s="5048">
        <v>95</v>
      </c>
      <c r="AL40" s="5048">
        <v>11</v>
      </c>
      <c r="AM40" s="5048">
        <v>1</v>
      </c>
      <c r="AN40" s="5048">
        <v>1</v>
      </c>
      <c r="AO40" s="5048">
        <v>0</v>
      </c>
      <c r="AP40" s="5048">
        <v>221</v>
      </c>
      <c r="AQ40" s="5048">
        <v>24</v>
      </c>
      <c r="AR40" s="5048">
        <v>70</v>
      </c>
      <c r="AS40" s="5048">
        <v>1</v>
      </c>
      <c r="AT40" s="5048">
        <v>0</v>
      </c>
      <c r="AU40" s="5048">
        <v>0</v>
      </c>
      <c r="AV40" s="5048">
        <v>0</v>
      </c>
      <c r="AW40" s="5048">
        <v>0</v>
      </c>
      <c r="AX40" s="5048">
        <v>0</v>
      </c>
      <c r="AY40" s="5048">
        <v>316</v>
      </c>
      <c r="AZ40" s="5048">
        <v>0</v>
      </c>
      <c r="BA40" s="5048">
        <v>0</v>
      </c>
      <c r="BB40" s="5048">
        <v>0</v>
      </c>
      <c r="BC40" s="5048">
        <v>0</v>
      </c>
      <c r="BD40" s="6078"/>
      <c r="BE40" s="6078"/>
      <c r="BF40" s="6078"/>
      <c r="BG40" s="6078"/>
      <c r="BH40" s="6078"/>
      <c r="BI40" s="6078"/>
      <c r="BJ40" s="6078"/>
      <c r="BK40" s="6078"/>
      <c r="BL40" s="6078"/>
      <c r="BM40" s="6078"/>
      <c r="BN40" s="5092">
        <v>0.6</v>
      </c>
      <c r="BO40" s="2720">
        <v>0.6</v>
      </c>
      <c r="BP40" s="6127">
        <v>0.6</v>
      </c>
      <c r="BQ40" s="5092">
        <v>1</v>
      </c>
      <c r="BR40" s="16510"/>
      <c r="BS40" s="6119" t="s">
        <v>9069</v>
      </c>
      <c r="BT40" s="6119" t="s">
        <v>9070</v>
      </c>
      <c r="BU40" s="6119"/>
      <c r="BV40" s="4081"/>
      <c r="BW40" s="4277"/>
      <c r="BX40" s="4277"/>
      <c r="BY40" s="4277"/>
      <c r="BZ40" s="4081"/>
      <c r="CA40" s="4277"/>
      <c r="CB40" s="4277"/>
      <c r="CC40" s="4277"/>
      <c r="CD40" s="3150"/>
      <c r="CE40" s="3150"/>
      <c r="CF40" s="3150"/>
      <c r="CG40" s="3150"/>
      <c r="CH40" s="3150"/>
      <c r="CI40" s="3150"/>
      <c r="CJ40" s="3150"/>
      <c r="CK40" s="3150"/>
      <c r="CL40" s="3150"/>
      <c r="CM40" s="3150"/>
      <c r="CN40" s="3150"/>
      <c r="CO40" s="5007"/>
      <c r="CP40" s="5007"/>
      <c r="CQ40" s="5007"/>
      <c r="CR40" s="5007"/>
      <c r="CS40" s="5007"/>
      <c r="CT40" s="5007"/>
      <c r="CU40" s="5007"/>
      <c r="CV40" s="5007"/>
      <c r="CW40" s="5007"/>
      <c r="CX40" s="5007"/>
      <c r="CY40" s="5007"/>
      <c r="CZ40" s="3470"/>
      <c r="DA40" s="3470"/>
      <c r="DB40" s="3470"/>
      <c r="DC40" s="3470"/>
      <c r="DD40" s="3470"/>
      <c r="DE40" s="3470"/>
      <c r="DF40" s="3470"/>
      <c r="DG40" s="3470"/>
      <c r="DH40" s="3470"/>
      <c r="DI40" s="3475"/>
      <c r="DK40" s="6284"/>
      <c r="DL40" s="6135"/>
      <c r="DM40" s="6135"/>
      <c r="DN40" s="6135"/>
      <c r="DO40" s="6135"/>
      <c r="DP40" s="6135"/>
      <c r="DQ40" s="6135"/>
      <c r="DR40" s="6135"/>
      <c r="DS40" s="6135"/>
      <c r="DT40" s="6135"/>
      <c r="DU40" s="6135"/>
      <c r="DV40" s="6135"/>
      <c r="DW40" s="6135"/>
      <c r="DX40" s="6135"/>
      <c r="DY40" s="6135"/>
      <c r="DZ40" s="6135"/>
      <c r="EA40" s="6135"/>
      <c r="EB40" s="6135"/>
      <c r="EC40" s="6135"/>
      <c r="ED40" s="6135"/>
      <c r="EE40" s="6135"/>
      <c r="EF40" s="6135"/>
      <c r="EG40" s="6135"/>
      <c r="EH40" s="6135"/>
      <c r="EI40" s="6135"/>
      <c r="EJ40" s="6135"/>
      <c r="EK40" s="6135"/>
      <c r="EL40" s="6135"/>
      <c r="EM40" s="6135"/>
      <c r="EN40" s="6135"/>
      <c r="EO40" s="6135"/>
      <c r="EP40" s="6135"/>
      <c r="EQ40" s="6135"/>
      <c r="ER40" s="6135"/>
      <c r="ES40" s="6135"/>
      <c r="ET40" s="6135"/>
      <c r="EU40" s="6135"/>
      <c r="EV40" s="6135"/>
      <c r="EW40" s="6135"/>
      <c r="EX40" s="6135"/>
      <c r="EY40" s="6135"/>
      <c r="EZ40" s="6135"/>
      <c r="FA40" s="6135"/>
      <c r="FB40" s="6135"/>
      <c r="FC40" s="6135"/>
      <c r="FD40" s="6285"/>
    </row>
    <row r="41" spans="1:160" s="6075" customFormat="1" ht="15" customHeight="1">
      <c r="A41" s="16462"/>
      <c r="B41" s="16430"/>
      <c r="C41" s="6074" t="s">
        <v>177</v>
      </c>
      <c r="D41" s="5048" t="s">
        <v>5074</v>
      </c>
      <c r="E41" s="6114" t="s">
        <v>178</v>
      </c>
      <c r="F41" s="6074" t="s">
        <v>179</v>
      </c>
      <c r="G41" s="6128" t="s">
        <v>70</v>
      </c>
      <c r="H41" s="6074" t="s">
        <v>180</v>
      </c>
      <c r="I41" s="6074" t="s">
        <v>181</v>
      </c>
      <c r="J41" s="6074" t="s">
        <v>182</v>
      </c>
      <c r="K41" s="6074" t="s">
        <v>183</v>
      </c>
      <c r="L41" s="6074" t="s">
        <v>2896</v>
      </c>
      <c r="M41" s="6074" t="s">
        <v>172</v>
      </c>
      <c r="N41" s="6129"/>
      <c r="O41" s="6077">
        <v>15000000</v>
      </c>
      <c r="P41" s="6077">
        <v>15450000</v>
      </c>
      <c r="Q41" s="6077">
        <v>15913500</v>
      </c>
      <c r="R41" s="6077">
        <v>16390905</v>
      </c>
      <c r="S41" s="6077">
        <v>16882632.150000002</v>
      </c>
      <c r="T41" s="6077">
        <v>17389111.114500001</v>
      </c>
      <c r="U41" s="6077">
        <v>17910784.447935</v>
      </c>
      <c r="V41" s="6127">
        <v>1</v>
      </c>
      <c r="W41" s="5083" t="s">
        <v>2895</v>
      </c>
      <c r="X41" s="6078"/>
      <c r="Y41" s="6078"/>
      <c r="Z41" s="6079">
        <v>7452000</v>
      </c>
      <c r="AA41" s="6080"/>
      <c r="AB41" s="6079">
        <v>7452000</v>
      </c>
      <c r="AC41" s="6080"/>
      <c r="AD41" s="5048">
        <v>300</v>
      </c>
      <c r="AE41" s="5048">
        <v>165</v>
      </c>
      <c r="AF41" s="5048">
        <v>135</v>
      </c>
      <c r="AG41" s="5048">
        <v>200</v>
      </c>
      <c r="AH41" s="5048">
        <v>100</v>
      </c>
      <c r="AI41" s="5048">
        <v>0</v>
      </c>
      <c r="AJ41" s="5048">
        <v>0</v>
      </c>
      <c r="AK41" s="5048">
        <v>0</v>
      </c>
      <c r="AL41" s="5048">
        <v>55</v>
      </c>
      <c r="AM41" s="5048">
        <v>245</v>
      </c>
      <c r="AN41" s="5048">
        <v>0</v>
      </c>
      <c r="AO41" s="5048">
        <v>0</v>
      </c>
      <c r="AP41" s="5048">
        <v>0</v>
      </c>
      <c r="AQ41" s="5048">
        <v>0</v>
      </c>
      <c r="AR41" s="5048">
        <v>0</v>
      </c>
      <c r="AS41" s="5048">
        <v>0</v>
      </c>
      <c r="AT41" s="5048">
        <v>0</v>
      </c>
      <c r="AU41" s="5048">
        <v>0</v>
      </c>
      <c r="AV41" s="5048">
        <v>0</v>
      </c>
      <c r="AW41" s="5048"/>
      <c r="AX41" s="5048">
        <v>0</v>
      </c>
      <c r="AY41" s="5048">
        <v>0</v>
      </c>
      <c r="AZ41" s="5048">
        <v>0</v>
      </c>
      <c r="BA41" s="5048">
        <v>0</v>
      </c>
      <c r="BB41" s="5048">
        <v>0</v>
      </c>
      <c r="BC41" s="5048">
        <v>0</v>
      </c>
      <c r="BD41" s="6078" t="s">
        <v>2896</v>
      </c>
      <c r="BE41" s="6078"/>
      <c r="BF41" s="6078"/>
      <c r="BG41" s="6078"/>
      <c r="BH41" s="6078"/>
      <c r="BI41" s="6078"/>
      <c r="BJ41" s="6078"/>
      <c r="BK41" s="6078"/>
      <c r="BL41" s="6078"/>
      <c r="BM41" s="6078"/>
      <c r="BN41" s="5083">
        <v>0</v>
      </c>
      <c r="BO41" s="6127">
        <v>0</v>
      </c>
      <c r="BP41" s="6130">
        <v>0</v>
      </c>
      <c r="BQ41" s="5092">
        <v>0</v>
      </c>
      <c r="BR41" s="16510"/>
      <c r="BS41" s="3470"/>
      <c r="BT41" s="3470"/>
      <c r="BU41" s="6119" t="s">
        <v>9071</v>
      </c>
      <c r="BV41" s="3150"/>
      <c r="BW41" s="3150"/>
      <c r="BX41" s="3150"/>
      <c r="BY41" s="3150"/>
      <c r="BZ41" s="3150"/>
      <c r="CA41" s="3150"/>
      <c r="CB41" s="3150"/>
      <c r="CC41" s="3150"/>
      <c r="CD41" s="3150"/>
      <c r="CE41" s="3150"/>
      <c r="CF41" s="3150"/>
      <c r="CG41" s="3150"/>
      <c r="CH41" s="3150"/>
      <c r="CI41" s="3150"/>
      <c r="CJ41" s="3150"/>
      <c r="CK41" s="3150"/>
      <c r="CL41" s="3150"/>
      <c r="CM41" s="3150"/>
      <c r="CN41" s="3150"/>
      <c r="CO41" s="5007"/>
      <c r="CP41" s="5007"/>
      <c r="CQ41" s="5007"/>
      <c r="CR41" s="5007"/>
      <c r="CS41" s="5007"/>
      <c r="CT41" s="5007"/>
      <c r="CU41" s="5007"/>
      <c r="CV41" s="5007"/>
      <c r="CW41" s="5007"/>
      <c r="CX41" s="5007"/>
      <c r="CY41" s="5007"/>
      <c r="CZ41" s="3470"/>
      <c r="DA41" s="3470"/>
      <c r="DB41" s="3470"/>
      <c r="DC41" s="3470"/>
      <c r="DD41" s="3470"/>
      <c r="DE41" s="3470"/>
      <c r="DF41" s="3470"/>
      <c r="DG41" s="3470"/>
      <c r="DH41" s="3470"/>
      <c r="DI41" s="3475"/>
      <c r="DK41" s="6284"/>
      <c r="DL41" s="6135"/>
      <c r="DM41" s="6135"/>
      <c r="DN41" s="6135"/>
      <c r="DO41" s="6135"/>
      <c r="DP41" s="6135"/>
      <c r="DQ41" s="6135"/>
      <c r="DR41" s="6135"/>
      <c r="DS41" s="6135"/>
      <c r="DT41" s="6135"/>
      <c r="DU41" s="6135"/>
      <c r="DV41" s="6135"/>
      <c r="DW41" s="6135"/>
      <c r="DX41" s="6135"/>
      <c r="DY41" s="6135"/>
      <c r="DZ41" s="6135"/>
      <c r="EA41" s="6135"/>
      <c r="EB41" s="6135"/>
      <c r="EC41" s="6135"/>
      <c r="ED41" s="6135"/>
      <c r="EE41" s="6135"/>
      <c r="EF41" s="6135"/>
      <c r="EG41" s="6135"/>
      <c r="EH41" s="6135"/>
      <c r="EI41" s="6135"/>
      <c r="EJ41" s="6135"/>
      <c r="EK41" s="6135"/>
      <c r="EL41" s="6135"/>
      <c r="EM41" s="6135"/>
      <c r="EN41" s="6135"/>
      <c r="EO41" s="6135"/>
      <c r="EP41" s="6135"/>
      <c r="EQ41" s="6135"/>
      <c r="ER41" s="6135"/>
      <c r="ES41" s="6135"/>
      <c r="ET41" s="6135"/>
      <c r="EU41" s="6135"/>
      <c r="EV41" s="6135"/>
      <c r="EW41" s="6135"/>
      <c r="EX41" s="6135"/>
      <c r="EY41" s="6135"/>
      <c r="EZ41" s="6135"/>
      <c r="FA41" s="6135"/>
      <c r="FB41" s="6135"/>
      <c r="FC41" s="6135"/>
      <c r="FD41" s="6285"/>
    </row>
    <row r="42" spans="1:160" s="6075" customFormat="1" ht="15" customHeight="1">
      <c r="A42" s="16462"/>
      <c r="B42" s="16430"/>
      <c r="C42" s="6074" t="s">
        <v>184</v>
      </c>
      <c r="D42" s="5048" t="s">
        <v>5075</v>
      </c>
      <c r="E42" s="6114" t="s">
        <v>185</v>
      </c>
      <c r="F42" s="6074" t="s">
        <v>186</v>
      </c>
      <c r="G42" s="6128" t="s">
        <v>70</v>
      </c>
      <c r="H42" s="6128">
        <v>2</v>
      </c>
      <c r="I42" s="6128">
        <v>10</v>
      </c>
      <c r="J42" s="6128">
        <v>15</v>
      </c>
      <c r="K42" s="6074" t="s">
        <v>187</v>
      </c>
      <c r="L42" s="6074" t="s">
        <v>2896</v>
      </c>
      <c r="M42" s="6074" t="s">
        <v>188</v>
      </c>
      <c r="N42" s="6129"/>
      <c r="O42" s="6077">
        <v>12000000</v>
      </c>
      <c r="P42" s="6077">
        <v>12360000</v>
      </c>
      <c r="Q42" s="6077">
        <v>12730800</v>
      </c>
      <c r="R42" s="6077">
        <v>63654000</v>
      </c>
      <c r="S42" s="6077">
        <v>65563620</v>
      </c>
      <c r="T42" s="6077">
        <v>67530528.600000009</v>
      </c>
      <c r="U42" s="6077">
        <v>69556444.458000004</v>
      </c>
      <c r="V42" s="6078"/>
      <c r="W42" s="5083" t="s">
        <v>2897</v>
      </c>
      <c r="X42" s="6078"/>
      <c r="Y42" s="6078"/>
      <c r="Z42" s="6079"/>
      <c r="AA42" s="6080"/>
      <c r="AB42" s="6079"/>
      <c r="AC42" s="6080"/>
      <c r="AD42" s="6078"/>
      <c r="AE42" s="6078"/>
      <c r="AF42" s="6078"/>
      <c r="AG42" s="6078"/>
      <c r="AH42" s="6078"/>
      <c r="AI42" s="6078"/>
      <c r="AJ42" s="6078"/>
      <c r="AK42" s="6078"/>
      <c r="AL42" s="6078"/>
      <c r="AM42" s="6078"/>
      <c r="AN42" s="6078"/>
      <c r="AO42" s="6078"/>
      <c r="AP42" s="6078"/>
      <c r="AQ42" s="6078"/>
      <c r="AR42" s="6078"/>
      <c r="AS42" s="6078"/>
      <c r="AT42" s="6078"/>
      <c r="AU42" s="6078"/>
      <c r="AV42" s="6078"/>
      <c r="AW42" s="6078"/>
      <c r="AX42" s="6078"/>
      <c r="AY42" s="6078"/>
      <c r="AZ42" s="6078"/>
      <c r="BA42" s="6078"/>
      <c r="BB42" s="6078"/>
      <c r="BC42" s="6078"/>
      <c r="BD42" s="6078"/>
      <c r="BE42" s="6078"/>
      <c r="BF42" s="6078"/>
      <c r="BG42" s="6078"/>
      <c r="BH42" s="6078"/>
      <c r="BI42" s="6078"/>
      <c r="BJ42" s="6078"/>
      <c r="BK42" s="6078"/>
      <c r="BL42" s="6078"/>
      <c r="BM42" s="6078"/>
      <c r="BN42" s="5083">
        <v>0</v>
      </c>
      <c r="BO42" s="5007">
        <v>0</v>
      </c>
      <c r="BP42" s="5048">
        <v>0</v>
      </c>
      <c r="BQ42" s="5092">
        <v>0</v>
      </c>
      <c r="BR42" s="16510"/>
      <c r="BS42" s="3470"/>
      <c r="BT42" s="3470"/>
      <c r="BU42" s="6119" t="s">
        <v>9072</v>
      </c>
      <c r="BV42" s="3150"/>
      <c r="BW42" s="3150"/>
      <c r="BX42" s="3150"/>
      <c r="BY42" s="3150"/>
      <c r="BZ42" s="3150"/>
      <c r="CA42" s="3150"/>
      <c r="CB42" s="3150"/>
      <c r="CC42" s="3150"/>
      <c r="CD42" s="3150"/>
      <c r="CE42" s="3150"/>
      <c r="CF42" s="3150"/>
      <c r="CG42" s="3150"/>
      <c r="CH42" s="3150"/>
      <c r="CI42" s="3150"/>
      <c r="CJ42" s="3150"/>
      <c r="CK42" s="3150"/>
      <c r="CL42" s="3150"/>
      <c r="CM42" s="3150"/>
      <c r="CN42" s="3150"/>
      <c r="CO42" s="5007"/>
      <c r="CP42" s="5007"/>
      <c r="CQ42" s="5007"/>
      <c r="CR42" s="5007"/>
      <c r="CS42" s="5007"/>
      <c r="CT42" s="5007"/>
      <c r="CU42" s="5007"/>
      <c r="CV42" s="5007"/>
      <c r="CW42" s="5007"/>
      <c r="CX42" s="5007"/>
      <c r="CY42" s="5007"/>
      <c r="CZ42" s="3470"/>
      <c r="DA42" s="3470"/>
      <c r="DB42" s="3470"/>
      <c r="DC42" s="3470"/>
      <c r="DD42" s="3470"/>
      <c r="DE42" s="3470"/>
      <c r="DF42" s="3470"/>
      <c r="DG42" s="3470"/>
      <c r="DH42" s="3470"/>
      <c r="DI42" s="3475"/>
      <c r="DK42" s="6284"/>
      <c r="DL42" s="6135"/>
      <c r="DM42" s="6135"/>
      <c r="DN42" s="6135"/>
      <c r="DO42" s="6135"/>
      <c r="DP42" s="6135"/>
      <c r="DQ42" s="6135"/>
      <c r="DR42" s="6135"/>
      <c r="DS42" s="6135"/>
      <c r="DT42" s="6135"/>
      <c r="DU42" s="6135"/>
      <c r="DV42" s="6135"/>
      <c r="DW42" s="6135"/>
      <c r="DX42" s="6135"/>
      <c r="DY42" s="6135"/>
      <c r="DZ42" s="6135"/>
      <c r="EA42" s="6135"/>
      <c r="EB42" s="6135"/>
      <c r="EC42" s="6135"/>
      <c r="ED42" s="6135"/>
      <c r="EE42" s="6135"/>
      <c r="EF42" s="6135"/>
      <c r="EG42" s="6135"/>
      <c r="EH42" s="6135"/>
      <c r="EI42" s="6135"/>
      <c r="EJ42" s="6135"/>
      <c r="EK42" s="6135"/>
      <c r="EL42" s="6135"/>
      <c r="EM42" s="6135"/>
      <c r="EN42" s="6135"/>
      <c r="EO42" s="6135"/>
      <c r="EP42" s="6135"/>
      <c r="EQ42" s="6135"/>
      <c r="ER42" s="6135"/>
      <c r="ES42" s="6135"/>
      <c r="ET42" s="6135"/>
      <c r="EU42" s="6135"/>
      <c r="EV42" s="6135"/>
      <c r="EW42" s="6135"/>
      <c r="EX42" s="6135"/>
      <c r="EY42" s="6135"/>
      <c r="EZ42" s="6135"/>
      <c r="FA42" s="6135"/>
      <c r="FB42" s="6135"/>
      <c r="FC42" s="6135"/>
      <c r="FD42" s="6285"/>
    </row>
    <row r="43" spans="1:160" s="6075" customFormat="1" ht="15" customHeight="1">
      <c r="A43" s="16462"/>
      <c r="B43" s="16430"/>
      <c r="C43" s="16416" t="s">
        <v>189</v>
      </c>
      <c r="D43" s="5048" t="s">
        <v>5076</v>
      </c>
      <c r="E43" s="6114" t="s">
        <v>190</v>
      </c>
      <c r="F43" s="6074" t="s">
        <v>191</v>
      </c>
      <c r="G43" s="6074" t="s">
        <v>192</v>
      </c>
      <c r="H43" s="6074" t="s">
        <v>193</v>
      </c>
      <c r="I43" s="6074" t="s">
        <v>194</v>
      </c>
      <c r="J43" s="6074" t="s">
        <v>195</v>
      </c>
      <c r="K43" s="6074" t="s">
        <v>196</v>
      </c>
      <c r="L43" s="6074" t="s">
        <v>2896</v>
      </c>
      <c r="M43" s="6074" t="s">
        <v>188</v>
      </c>
      <c r="N43" s="6129"/>
      <c r="O43" s="6077">
        <v>10000000</v>
      </c>
      <c r="P43" s="6077">
        <v>10300000</v>
      </c>
      <c r="Q43" s="6077">
        <v>10609000</v>
      </c>
      <c r="R43" s="6077">
        <v>15913500</v>
      </c>
      <c r="S43" s="6077">
        <v>16390905</v>
      </c>
      <c r="T43" s="6077">
        <v>16882632.150000002</v>
      </c>
      <c r="U43" s="6077">
        <v>17389111.114500001</v>
      </c>
      <c r="V43" s="6117">
        <v>1</v>
      </c>
      <c r="W43" s="6131" t="s">
        <v>2898</v>
      </c>
      <c r="X43" s="6078"/>
      <c r="Y43" s="6078"/>
      <c r="Z43" s="6079"/>
      <c r="AA43" s="6080"/>
      <c r="AB43" s="6079"/>
      <c r="AC43" s="6080"/>
      <c r="AD43" s="6078"/>
      <c r="AE43" s="6078"/>
      <c r="AF43" s="6078"/>
      <c r="AG43" s="6078"/>
      <c r="AH43" s="6078"/>
      <c r="AI43" s="6078"/>
      <c r="AJ43" s="6078"/>
      <c r="AK43" s="6078"/>
      <c r="AL43" s="6078"/>
      <c r="AM43" s="6078"/>
      <c r="AN43" s="6078"/>
      <c r="AO43" s="6078"/>
      <c r="AP43" s="6078"/>
      <c r="AQ43" s="6078"/>
      <c r="AR43" s="6078"/>
      <c r="AS43" s="6078"/>
      <c r="AT43" s="6078"/>
      <c r="AU43" s="6078"/>
      <c r="AV43" s="6078"/>
      <c r="AW43" s="6078"/>
      <c r="AX43" s="6078"/>
      <c r="AY43" s="6078"/>
      <c r="AZ43" s="6078"/>
      <c r="BA43" s="6078"/>
      <c r="BB43" s="6078"/>
      <c r="BC43" s="6078"/>
      <c r="BD43" s="6078"/>
      <c r="BE43" s="6078"/>
      <c r="BF43" s="6078"/>
      <c r="BG43" s="6078"/>
      <c r="BH43" s="6078"/>
      <c r="BI43" s="6078"/>
      <c r="BJ43" s="6078"/>
      <c r="BK43" s="6078"/>
      <c r="BL43" s="6078"/>
      <c r="BM43" s="6078"/>
      <c r="BN43" s="6132">
        <v>1305</v>
      </c>
      <c r="BO43" s="6132">
        <v>1305</v>
      </c>
      <c r="BP43" s="6132">
        <v>1305</v>
      </c>
      <c r="BQ43" s="5092">
        <v>1</v>
      </c>
      <c r="BR43" s="16510"/>
      <c r="BS43" s="6119" t="s">
        <v>9073</v>
      </c>
      <c r="BT43" s="6133" t="s">
        <v>9074</v>
      </c>
      <c r="BU43" s="6133"/>
      <c r="BV43" s="4081">
        <v>1376745200</v>
      </c>
      <c r="BW43" s="4277">
        <v>96272400</v>
      </c>
      <c r="BX43" s="4277">
        <v>99844800</v>
      </c>
      <c r="BY43" s="4081">
        <v>1180628000</v>
      </c>
      <c r="BZ43" s="4082">
        <v>1305</v>
      </c>
      <c r="CA43" s="4277">
        <v>652</v>
      </c>
      <c r="CB43" s="4277">
        <v>653</v>
      </c>
      <c r="CC43" s="4277">
        <v>1050</v>
      </c>
      <c r="CD43" s="4277">
        <v>255</v>
      </c>
      <c r="CE43" s="4081"/>
      <c r="CF43" s="4081"/>
      <c r="CG43" s="4081"/>
      <c r="CH43" s="4081"/>
      <c r="CI43" s="4081"/>
      <c r="CJ43" s="4081"/>
      <c r="CK43" s="4081"/>
      <c r="CL43" s="4277"/>
      <c r="CM43" s="4277"/>
      <c r="CN43" s="3150"/>
      <c r="CO43" s="5007"/>
      <c r="CP43" s="5007"/>
      <c r="CQ43" s="5007"/>
      <c r="CR43" s="5007"/>
      <c r="CS43" s="5007"/>
      <c r="CT43" s="5007"/>
      <c r="CU43" s="5007">
        <v>1305</v>
      </c>
      <c r="CV43" s="5007"/>
      <c r="CW43" s="5007"/>
      <c r="CX43" s="5007"/>
      <c r="CY43" s="5007"/>
      <c r="CZ43" s="3470"/>
      <c r="DA43" s="3470"/>
      <c r="DB43" s="3470"/>
      <c r="DC43" s="3470"/>
      <c r="DD43" s="3470"/>
      <c r="DE43" s="3470"/>
      <c r="DF43" s="3470"/>
      <c r="DG43" s="3470"/>
      <c r="DH43" s="3470"/>
      <c r="DI43" s="3475"/>
      <c r="DK43" s="6284"/>
      <c r="DL43" s="6135"/>
      <c r="DM43" s="6135"/>
      <c r="DN43" s="6135"/>
      <c r="DO43" s="6135"/>
      <c r="DP43" s="6135"/>
      <c r="DQ43" s="6135"/>
      <c r="DR43" s="6135"/>
      <c r="DS43" s="6135"/>
      <c r="DT43" s="6135"/>
      <c r="DU43" s="6135"/>
      <c r="DV43" s="6135"/>
      <c r="DW43" s="6135"/>
      <c r="DX43" s="6135"/>
      <c r="DY43" s="6135"/>
      <c r="DZ43" s="6135"/>
      <c r="EA43" s="6135"/>
      <c r="EB43" s="6135"/>
      <c r="EC43" s="6135"/>
      <c r="ED43" s="6135"/>
      <c r="EE43" s="6135"/>
      <c r="EF43" s="6135"/>
      <c r="EG43" s="6135"/>
      <c r="EH43" s="6135"/>
      <c r="EI43" s="6135"/>
      <c r="EJ43" s="6135"/>
      <c r="EK43" s="6135"/>
      <c r="EL43" s="6135"/>
      <c r="EM43" s="6135"/>
      <c r="EN43" s="6135"/>
      <c r="EO43" s="6135"/>
      <c r="EP43" s="6135"/>
      <c r="EQ43" s="6135"/>
      <c r="ER43" s="6135"/>
      <c r="ES43" s="6135"/>
      <c r="ET43" s="6135"/>
      <c r="EU43" s="6135"/>
      <c r="EV43" s="6135"/>
      <c r="EW43" s="6135"/>
      <c r="EX43" s="6135"/>
      <c r="EY43" s="6135"/>
      <c r="EZ43" s="6135"/>
      <c r="FA43" s="6135"/>
      <c r="FB43" s="6135"/>
      <c r="FC43" s="6135"/>
      <c r="FD43" s="6285"/>
    </row>
    <row r="44" spans="1:160" s="6075" customFormat="1" ht="15" customHeight="1">
      <c r="A44" s="16462"/>
      <c r="B44" s="16430"/>
      <c r="C44" s="16417"/>
      <c r="D44" s="5048" t="s">
        <v>5077</v>
      </c>
      <c r="E44" s="6114" t="s">
        <v>197</v>
      </c>
      <c r="F44" s="6074" t="s">
        <v>198</v>
      </c>
      <c r="G44" s="6128" t="s">
        <v>70</v>
      </c>
      <c r="H44" s="6074" t="s">
        <v>199</v>
      </c>
      <c r="I44" s="6074" t="s">
        <v>200</v>
      </c>
      <c r="J44" s="6074" t="s">
        <v>201</v>
      </c>
      <c r="K44" s="6074" t="s">
        <v>202</v>
      </c>
      <c r="L44" s="6074" t="s">
        <v>2896</v>
      </c>
      <c r="M44" s="6074" t="s">
        <v>203</v>
      </c>
      <c r="N44" s="6120" t="s">
        <v>204</v>
      </c>
      <c r="O44" s="6076">
        <v>100000000</v>
      </c>
      <c r="P44" s="6077">
        <v>103000000</v>
      </c>
      <c r="Q44" s="6077">
        <v>106090000</v>
      </c>
      <c r="R44" s="6077">
        <v>109272700</v>
      </c>
      <c r="S44" s="6077">
        <v>112550881</v>
      </c>
      <c r="T44" s="6077">
        <v>115927407.43000001</v>
      </c>
      <c r="U44" s="6077">
        <v>119405229.65290001</v>
      </c>
      <c r="V44" s="6117">
        <v>0.6</v>
      </c>
      <c r="W44" s="6081" t="s">
        <v>2899</v>
      </c>
      <c r="X44" s="6078"/>
      <c r="Y44" s="6078"/>
      <c r="Z44" s="6079">
        <v>7452000</v>
      </c>
      <c r="AA44" s="6080"/>
      <c r="AB44" s="6079">
        <v>7452000</v>
      </c>
      <c r="AC44" s="6080"/>
      <c r="AD44" s="6134">
        <v>11593</v>
      </c>
      <c r="AE44" s="5048">
        <v>5732</v>
      </c>
      <c r="AF44" s="5048">
        <v>5861</v>
      </c>
      <c r="AG44" s="5048">
        <v>9810</v>
      </c>
      <c r="AH44" s="5048">
        <v>1783</v>
      </c>
      <c r="AI44" s="5048">
        <v>1249</v>
      </c>
      <c r="AJ44" s="5048">
        <v>4963</v>
      </c>
      <c r="AK44" s="5048">
        <v>4109</v>
      </c>
      <c r="AL44" s="5048">
        <v>999</v>
      </c>
      <c r="AM44" s="5048">
        <v>204</v>
      </c>
      <c r="AN44" s="5048">
        <v>65</v>
      </c>
      <c r="AO44" s="5048">
        <v>4</v>
      </c>
      <c r="AP44" s="5048">
        <v>10001</v>
      </c>
      <c r="AQ44" s="5048">
        <v>851</v>
      </c>
      <c r="AR44" s="5048">
        <v>728</v>
      </c>
      <c r="AS44" s="5048">
        <v>13</v>
      </c>
      <c r="AT44" s="5048">
        <v>0</v>
      </c>
      <c r="AU44" s="5048">
        <v>0</v>
      </c>
      <c r="AV44" s="5048">
        <v>0</v>
      </c>
      <c r="AW44" s="5048">
        <v>0</v>
      </c>
      <c r="AX44" s="5048">
        <v>0</v>
      </c>
      <c r="AY44" s="5048">
        <v>316</v>
      </c>
      <c r="AZ44" s="5048">
        <v>0</v>
      </c>
      <c r="BA44" s="5048">
        <v>0</v>
      </c>
      <c r="BB44" s="5048">
        <v>0</v>
      </c>
      <c r="BC44" s="5048">
        <v>0</v>
      </c>
      <c r="BD44" s="6078"/>
      <c r="BE44" s="6078"/>
      <c r="BF44" s="6078"/>
      <c r="BG44" s="6078"/>
      <c r="BH44" s="6078"/>
      <c r="BI44" s="6078"/>
      <c r="BJ44" s="6078"/>
      <c r="BK44" s="6078"/>
      <c r="BL44" s="6078"/>
      <c r="BM44" s="6078"/>
      <c r="BN44" s="5083">
        <v>144</v>
      </c>
      <c r="BO44" s="5083">
        <v>144</v>
      </c>
      <c r="BP44" s="5083">
        <v>144</v>
      </c>
      <c r="BQ44" s="5092">
        <f t="shared" ref="BQ44:BQ45" si="2">+BP44/BO44</f>
        <v>1</v>
      </c>
      <c r="BR44" s="16510"/>
      <c r="BS44" s="6119" t="s">
        <v>9075</v>
      </c>
      <c r="BT44" s="6119" t="s">
        <v>8908</v>
      </c>
      <c r="BU44" s="6119" t="s">
        <v>8909</v>
      </c>
      <c r="BV44" s="4081"/>
      <c r="BW44" s="4277"/>
      <c r="BX44" s="4277"/>
      <c r="BY44" s="4277"/>
      <c r="BZ44" s="4081">
        <v>2138</v>
      </c>
      <c r="CA44" s="4277">
        <v>1014</v>
      </c>
      <c r="CB44" s="4277">
        <v>1123</v>
      </c>
      <c r="CC44" s="4277">
        <v>1830</v>
      </c>
      <c r="CD44" s="4277">
        <v>308</v>
      </c>
      <c r="CE44" s="4081">
        <v>112</v>
      </c>
      <c r="CF44" s="4081">
        <v>847</v>
      </c>
      <c r="CG44" s="4081">
        <v>984</v>
      </c>
      <c r="CH44" s="4081">
        <v>177</v>
      </c>
      <c r="CI44" s="4081">
        <v>16</v>
      </c>
      <c r="CJ44" s="4081">
        <v>2</v>
      </c>
      <c r="CK44" s="4081">
        <v>0</v>
      </c>
      <c r="CL44" s="4277">
        <v>1961</v>
      </c>
      <c r="CM44" s="4277">
        <v>177</v>
      </c>
      <c r="CN44" s="4277">
        <v>0</v>
      </c>
      <c r="CO44" s="5083">
        <v>0</v>
      </c>
      <c r="CP44" s="5083">
        <v>0</v>
      </c>
      <c r="CQ44" s="5007"/>
      <c r="CR44" s="5007"/>
      <c r="CS44" s="5007"/>
      <c r="CT44" s="5007"/>
      <c r="CU44" s="5007"/>
      <c r="CV44" s="5007"/>
      <c r="CW44" s="5007"/>
      <c r="CX44" s="5007"/>
      <c r="CY44" s="5007"/>
      <c r="CZ44" s="3470"/>
      <c r="DA44" s="3470"/>
      <c r="DB44" s="3470"/>
      <c r="DC44" s="3470"/>
      <c r="DD44" s="3470"/>
      <c r="DE44" s="3470"/>
      <c r="DF44" s="3470"/>
      <c r="DG44" s="3470"/>
      <c r="DH44" s="3470"/>
      <c r="DI44" s="3475"/>
      <c r="DK44" s="6284"/>
      <c r="DL44" s="6135"/>
      <c r="DM44" s="6135"/>
      <c r="DN44" s="6135"/>
      <c r="DO44" s="6135"/>
      <c r="DP44" s="6135"/>
      <c r="DQ44" s="6135"/>
      <c r="DR44" s="6135"/>
      <c r="DS44" s="6135"/>
      <c r="DT44" s="6135"/>
      <c r="DU44" s="6135"/>
      <c r="DV44" s="6135"/>
      <c r="DW44" s="6135"/>
      <c r="DX44" s="6135"/>
      <c r="DY44" s="6135"/>
      <c r="DZ44" s="6135"/>
      <c r="EA44" s="6135"/>
      <c r="EB44" s="6135"/>
      <c r="EC44" s="6135"/>
      <c r="ED44" s="6135"/>
      <c r="EE44" s="6135"/>
      <c r="EF44" s="6135"/>
      <c r="EG44" s="6135"/>
      <c r="EH44" s="6135"/>
      <c r="EI44" s="6135"/>
      <c r="EJ44" s="6135"/>
      <c r="EK44" s="6135"/>
      <c r="EL44" s="6135"/>
      <c r="EM44" s="6135"/>
      <c r="EN44" s="6135"/>
      <c r="EO44" s="6135"/>
      <c r="EP44" s="6135"/>
      <c r="EQ44" s="6135"/>
      <c r="ER44" s="6135"/>
      <c r="ES44" s="6135"/>
      <c r="ET44" s="6135"/>
      <c r="EU44" s="6135"/>
      <c r="EV44" s="6135"/>
      <c r="EW44" s="6135"/>
      <c r="EX44" s="6135"/>
      <c r="EY44" s="6135"/>
      <c r="EZ44" s="6135"/>
      <c r="FA44" s="6135"/>
      <c r="FB44" s="6135"/>
      <c r="FC44" s="6135"/>
      <c r="FD44" s="6285"/>
    </row>
    <row r="45" spans="1:160" s="6075" customFormat="1" ht="15" customHeight="1">
      <c r="A45" s="16462"/>
      <c r="B45" s="16430"/>
      <c r="C45" s="16417"/>
      <c r="D45" s="15340" t="s">
        <v>5078</v>
      </c>
      <c r="E45" s="16435" t="s">
        <v>5079</v>
      </c>
      <c r="F45" s="16430" t="s">
        <v>95</v>
      </c>
      <c r="G45" s="16436" t="s">
        <v>70</v>
      </c>
      <c r="H45" s="16436" t="s">
        <v>205</v>
      </c>
      <c r="I45" s="16436" t="s">
        <v>206</v>
      </c>
      <c r="J45" s="16436" t="s">
        <v>207</v>
      </c>
      <c r="K45" s="16436" t="s">
        <v>202</v>
      </c>
      <c r="L45" s="6074" t="s">
        <v>2896</v>
      </c>
      <c r="M45" s="6074" t="s">
        <v>188</v>
      </c>
      <c r="N45" s="6135"/>
      <c r="O45" s="6076">
        <v>50000000</v>
      </c>
      <c r="P45" s="6077">
        <v>51500000</v>
      </c>
      <c r="Q45" s="6077">
        <v>53045000</v>
      </c>
      <c r="R45" s="6077">
        <v>54636350</v>
      </c>
      <c r="S45" s="6077">
        <v>56275440.5</v>
      </c>
      <c r="T45" s="6077">
        <v>57963703.715000004</v>
      </c>
      <c r="U45" s="6077">
        <v>59702614.826450005</v>
      </c>
      <c r="V45" s="6117">
        <v>1</v>
      </c>
      <c r="W45" s="6136" t="s">
        <v>2900</v>
      </c>
      <c r="X45" s="6078"/>
      <c r="Y45" s="6078"/>
      <c r="Z45" s="6079"/>
      <c r="AA45" s="6080"/>
      <c r="AB45" s="6079"/>
      <c r="AC45" s="6080"/>
      <c r="AD45" s="6078"/>
      <c r="AE45" s="6078"/>
      <c r="AF45" s="6078"/>
      <c r="AG45" s="6078"/>
      <c r="AH45" s="6078"/>
      <c r="AI45" s="6078"/>
      <c r="AJ45" s="6078"/>
      <c r="AK45" s="6078"/>
      <c r="AL45" s="6078"/>
      <c r="AM45" s="6078"/>
      <c r="AN45" s="6078"/>
      <c r="AO45" s="6078"/>
      <c r="AP45" s="6078"/>
      <c r="AQ45" s="6078"/>
      <c r="AR45" s="6078"/>
      <c r="AS45" s="6078"/>
      <c r="AT45" s="6078"/>
      <c r="AU45" s="6078"/>
      <c r="AV45" s="6078"/>
      <c r="AW45" s="6078"/>
      <c r="AX45" s="6078"/>
      <c r="AY45" s="6078"/>
      <c r="AZ45" s="6078"/>
      <c r="BA45" s="6078"/>
      <c r="BB45" s="6078"/>
      <c r="BC45" s="6078"/>
      <c r="BD45" s="6081" t="s">
        <v>2901</v>
      </c>
      <c r="BE45" s="6078"/>
      <c r="BF45" s="6078"/>
      <c r="BG45" s="6078"/>
      <c r="BH45" s="6078"/>
      <c r="BI45" s="6078"/>
      <c r="BJ45" s="6078"/>
      <c r="BK45" s="6078"/>
      <c r="BL45" s="6078"/>
      <c r="BM45" s="6078"/>
      <c r="BN45" s="2611">
        <v>5</v>
      </c>
      <c r="BO45" s="5007">
        <v>5</v>
      </c>
      <c r="BP45" s="5007">
        <v>5</v>
      </c>
      <c r="BQ45" s="5092">
        <f t="shared" si="2"/>
        <v>1</v>
      </c>
      <c r="BR45" s="16510"/>
      <c r="BS45" s="4776" t="s">
        <v>9076</v>
      </c>
      <c r="BT45" s="6119" t="s">
        <v>9077</v>
      </c>
      <c r="BU45" s="6119" t="s">
        <v>9078</v>
      </c>
      <c r="BV45" s="4081"/>
      <c r="BW45" s="4277"/>
      <c r="BX45" s="4277"/>
      <c r="BY45" s="4277"/>
      <c r="BZ45" s="4081">
        <v>50</v>
      </c>
      <c r="CA45" s="4277">
        <v>21</v>
      </c>
      <c r="CB45" s="4277">
        <v>29</v>
      </c>
      <c r="CC45" s="4277">
        <v>44</v>
      </c>
      <c r="CD45" s="4277">
        <v>6</v>
      </c>
      <c r="CE45" s="4081"/>
      <c r="CF45" s="4081"/>
      <c r="CG45" s="4081"/>
      <c r="CH45" s="4081"/>
      <c r="CI45" s="4081"/>
      <c r="CJ45" s="4081"/>
      <c r="CK45" s="4081"/>
      <c r="CL45" s="4277"/>
      <c r="CM45" s="4277"/>
      <c r="CN45" s="4277"/>
      <c r="CO45" s="5083"/>
      <c r="CP45" s="5083"/>
      <c r="CQ45" s="5083"/>
      <c r="CR45" s="5007"/>
      <c r="CS45" s="5007"/>
      <c r="CT45" s="5007"/>
      <c r="CU45" s="5007">
        <v>50</v>
      </c>
      <c r="CV45" s="5007"/>
      <c r="CW45" s="5007"/>
      <c r="CX45" s="5007"/>
      <c r="CY45" s="5007"/>
      <c r="CZ45" s="3470"/>
      <c r="DA45" s="3470"/>
      <c r="DB45" s="3470"/>
      <c r="DC45" s="3470"/>
      <c r="DD45" s="3470"/>
      <c r="DE45" s="3470"/>
      <c r="DF45" s="3470"/>
      <c r="DG45" s="3470"/>
      <c r="DH45" s="3470"/>
      <c r="DI45" s="3475"/>
      <c r="DK45" s="6284"/>
      <c r="DL45" s="6135"/>
      <c r="DM45" s="6135"/>
      <c r="DN45" s="6135"/>
      <c r="DO45" s="6135"/>
      <c r="DP45" s="6135"/>
      <c r="DQ45" s="6135"/>
      <c r="DR45" s="6135"/>
      <c r="DS45" s="6135"/>
      <c r="DT45" s="6135"/>
      <c r="DU45" s="6135"/>
      <c r="DV45" s="6135"/>
      <c r="DW45" s="6135"/>
      <c r="DX45" s="6135"/>
      <c r="DY45" s="6135"/>
      <c r="DZ45" s="6135"/>
      <c r="EA45" s="6135"/>
      <c r="EB45" s="6135"/>
      <c r="EC45" s="6135"/>
      <c r="ED45" s="6135"/>
      <c r="EE45" s="6135"/>
      <c r="EF45" s="6135"/>
      <c r="EG45" s="6135"/>
      <c r="EH45" s="6135"/>
      <c r="EI45" s="6135"/>
      <c r="EJ45" s="6135"/>
      <c r="EK45" s="6135"/>
      <c r="EL45" s="6135"/>
      <c r="EM45" s="6135"/>
      <c r="EN45" s="6135"/>
      <c r="EO45" s="6135"/>
      <c r="EP45" s="6135"/>
      <c r="EQ45" s="6135"/>
      <c r="ER45" s="6135"/>
      <c r="ES45" s="6135"/>
      <c r="ET45" s="6135"/>
      <c r="EU45" s="6135"/>
      <c r="EV45" s="6135"/>
      <c r="EW45" s="6135"/>
      <c r="EX45" s="6135"/>
      <c r="EY45" s="6135"/>
      <c r="EZ45" s="6135"/>
      <c r="FA45" s="6135"/>
      <c r="FB45" s="6135"/>
      <c r="FC45" s="6135"/>
      <c r="FD45" s="6285"/>
    </row>
    <row r="46" spans="1:160" s="6075" customFormat="1" ht="15" customHeight="1">
      <c r="A46" s="16462"/>
      <c r="B46" s="16430"/>
      <c r="C46" s="16417"/>
      <c r="D46" s="15340"/>
      <c r="E46" s="16435"/>
      <c r="F46" s="16430"/>
      <c r="G46" s="16436"/>
      <c r="H46" s="16436"/>
      <c r="I46" s="16436"/>
      <c r="J46" s="16436"/>
      <c r="K46" s="16436"/>
      <c r="L46" s="6074" t="s">
        <v>208</v>
      </c>
      <c r="M46" s="6074"/>
      <c r="N46" s="6129" t="s">
        <v>208</v>
      </c>
      <c r="O46" s="6076"/>
      <c r="P46" s="6077"/>
      <c r="Q46" s="6077"/>
      <c r="R46" s="6077"/>
      <c r="S46" s="6077"/>
      <c r="T46" s="6077"/>
      <c r="U46" s="6077"/>
      <c r="V46" s="6117"/>
      <c r="W46" s="6136"/>
      <c r="X46" s="6078"/>
      <c r="Y46" s="6078"/>
      <c r="Z46" s="6079"/>
      <c r="AA46" s="6080"/>
      <c r="AB46" s="6079"/>
      <c r="AC46" s="6080"/>
      <c r="AD46" s="6078"/>
      <c r="AE46" s="6078"/>
      <c r="AF46" s="6078"/>
      <c r="AG46" s="6078"/>
      <c r="AH46" s="6078"/>
      <c r="AI46" s="6078"/>
      <c r="AJ46" s="6078"/>
      <c r="AK46" s="6078"/>
      <c r="AL46" s="6078"/>
      <c r="AM46" s="6078"/>
      <c r="AN46" s="6078"/>
      <c r="AO46" s="6078"/>
      <c r="AP46" s="6078"/>
      <c r="AQ46" s="6078"/>
      <c r="AR46" s="6078"/>
      <c r="AS46" s="6078"/>
      <c r="AT46" s="6078"/>
      <c r="AU46" s="6078"/>
      <c r="AV46" s="6078"/>
      <c r="AW46" s="6078"/>
      <c r="AX46" s="6078"/>
      <c r="AY46" s="6078"/>
      <c r="AZ46" s="6078"/>
      <c r="BA46" s="6078"/>
      <c r="BB46" s="6078"/>
      <c r="BC46" s="6078"/>
      <c r="BD46" s="6081"/>
      <c r="BE46" s="6078"/>
      <c r="BF46" s="6078"/>
      <c r="BG46" s="6078"/>
      <c r="BH46" s="6078"/>
      <c r="BI46" s="6078"/>
      <c r="BJ46" s="6078"/>
      <c r="BK46" s="6078"/>
      <c r="BL46" s="6078"/>
      <c r="BM46" s="6078"/>
      <c r="BN46" s="2611"/>
      <c r="BO46" s="5007"/>
      <c r="BP46" s="5007"/>
      <c r="BQ46" s="5092"/>
      <c r="BR46" s="16510"/>
      <c r="BS46" s="4776"/>
      <c r="BT46" s="6119"/>
      <c r="BU46" s="6119"/>
      <c r="BV46" s="4081"/>
      <c r="BW46" s="4277"/>
      <c r="BX46" s="4277"/>
      <c r="BY46" s="4277"/>
      <c r="BZ46" s="4081"/>
      <c r="CA46" s="4277"/>
      <c r="CB46" s="4277"/>
      <c r="CC46" s="4277"/>
      <c r="CD46" s="4277"/>
      <c r="CE46" s="4081"/>
      <c r="CF46" s="4081"/>
      <c r="CG46" s="4081"/>
      <c r="CH46" s="4081"/>
      <c r="CI46" s="4081"/>
      <c r="CJ46" s="4081"/>
      <c r="CK46" s="4081"/>
      <c r="CL46" s="4277"/>
      <c r="CM46" s="4277"/>
      <c r="CN46" s="4277"/>
      <c r="CO46" s="5083"/>
      <c r="CP46" s="5083"/>
      <c r="CQ46" s="5083"/>
      <c r="CR46" s="5007"/>
      <c r="CS46" s="5007"/>
      <c r="CT46" s="5007"/>
      <c r="CU46" s="5007"/>
      <c r="CV46" s="5007"/>
      <c r="CW46" s="5007"/>
      <c r="CX46" s="5007"/>
      <c r="CY46" s="5007"/>
      <c r="CZ46" s="3470"/>
      <c r="DA46" s="3470"/>
      <c r="DB46" s="3470"/>
      <c r="DC46" s="3470"/>
      <c r="DD46" s="3470"/>
      <c r="DE46" s="3470"/>
      <c r="DF46" s="3470"/>
      <c r="DG46" s="3470"/>
      <c r="DH46" s="3470"/>
      <c r="DI46" s="3475"/>
      <c r="DK46" s="6284"/>
      <c r="DL46" s="6135"/>
      <c r="DM46" s="6135"/>
      <c r="DN46" s="6135"/>
      <c r="DO46" s="6135"/>
      <c r="DP46" s="6135"/>
      <c r="DQ46" s="6135"/>
      <c r="DR46" s="6135"/>
      <c r="DS46" s="6135"/>
      <c r="DT46" s="6135"/>
      <c r="DU46" s="6135"/>
      <c r="DV46" s="6135"/>
      <c r="DW46" s="6135"/>
      <c r="DX46" s="6135"/>
      <c r="DY46" s="6135"/>
      <c r="DZ46" s="6135"/>
      <c r="EA46" s="6135"/>
      <c r="EB46" s="6135"/>
      <c r="EC46" s="6135"/>
      <c r="ED46" s="6135"/>
      <c r="EE46" s="6135"/>
      <c r="EF46" s="6135"/>
      <c r="EG46" s="6135"/>
      <c r="EH46" s="6135"/>
      <c r="EI46" s="6135"/>
      <c r="EJ46" s="6135"/>
      <c r="EK46" s="6135"/>
      <c r="EL46" s="6135"/>
      <c r="EM46" s="6135"/>
      <c r="EN46" s="6135"/>
      <c r="EO46" s="6135"/>
      <c r="EP46" s="6135"/>
      <c r="EQ46" s="6135"/>
      <c r="ER46" s="6135"/>
      <c r="ES46" s="6135"/>
      <c r="ET46" s="6135"/>
      <c r="EU46" s="6135"/>
      <c r="EV46" s="6135"/>
      <c r="EW46" s="6135"/>
      <c r="EX46" s="6135"/>
      <c r="EY46" s="6135"/>
      <c r="EZ46" s="6135"/>
      <c r="FA46" s="6135"/>
      <c r="FB46" s="6135"/>
      <c r="FC46" s="6135"/>
      <c r="FD46" s="6285"/>
    </row>
    <row r="47" spans="1:160" s="6075" customFormat="1" ht="15" customHeight="1">
      <c r="A47" s="16462"/>
      <c r="B47" s="16430"/>
      <c r="C47" s="16417"/>
      <c r="D47" s="16439" t="s">
        <v>5080</v>
      </c>
      <c r="E47" s="16440" t="s">
        <v>5081</v>
      </c>
      <c r="F47" s="16416" t="s">
        <v>209</v>
      </c>
      <c r="G47" s="16414" t="s">
        <v>70</v>
      </c>
      <c r="H47" s="16414" t="s">
        <v>210</v>
      </c>
      <c r="I47" s="16414" t="s">
        <v>211</v>
      </c>
      <c r="J47" s="16414" t="s">
        <v>211</v>
      </c>
      <c r="K47" s="16414" t="s">
        <v>212</v>
      </c>
      <c r="L47" s="6074" t="s">
        <v>2896</v>
      </c>
      <c r="M47" s="6074" t="s">
        <v>188</v>
      </c>
      <c r="N47" s="6129"/>
      <c r="O47" s="6076">
        <v>5000000</v>
      </c>
      <c r="P47" s="6077">
        <v>5150000</v>
      </c>
      <c r="Q47" s="6077">
        <v>5304500</v>
      </c>
      <c r="R47" s="6077">
        <v>5463635</v>
      </c>
      <c r="S47" s="6077">
        <v>5627544.0499999998</v>
      </c>
      <c r="T47" s="6077">
        <v>5796370.3715000004</v>
      </c>
      <c r="U47" s="6077">
        <v>5970261.4826450003</v>
      </c>
      <c r="V47" s="6117">
        <v>0.3</v>
      </c>
      <c r="W47" s="2646" t="s">
        <v>2902</v>
      </c>
      <c r="X47" s="6078"/>
      <c r="Y47" s="6078"/>
      <c r="Z47" s="6079"/>
      <c r="AA47" s="6080"/>
      <c r="AB47" s="6079"/>
      <c r="AC47" s="6080"/>
      <c r="AD47" s="6137">
        <v>303</v>
      </c>
      <c r="AE47" s="5072">
        <v>140</v>
      </c>
      <c r="AF47" s="5072">
        <v>163</v>
      </c>
      <c r="AG47" s="5072">
        <v>290</v>
      </c>
      <c r="AH47" s="5072">
        <v>13</v>
      </c>
      <c r="AI47" s="5072">
        <v>43</v>
      </c>
      <c r="AJ47" s="5072">
        <v>165</v>
      </c>
      <c r="AK47" s="5072">
        <v>95</v>
      </c>
      <c r="AL47" s="5072">
        <v>0</v>
      </c>
      <c r="AM47" s="5072">
        <v>0</v>
      </c>
      <c r="AN47" s="5072">
        <v>0</v>
      </c>
      <c r="AO47" s="5072">
        <v>0</v>
      </c>
      <c r="AP47" s="5072">
        <v>221</v>
      </c>
      <c r="AQ47" s="5072">
        <v>12</v>
      </c>
      <c r="AR47" s="5072">
        <v>69</v>
      </c>
      <c r="AS47" s="5072">
        <v>1</v>
      </c>
      <c r="AT47" s="5072">
        <v>0</v>
      </c>
      <c r="AU47" s="5072">
        <v>0</v>
      </c>
      <c r="AV47" s="5072">
        <v>0</v>
      </c>
      <c r="AW47" s="5072">
        <v>0</v>
      </c>
      <c r="AX47" s="5072">
        <v>0</v>
      </c>
      <c r="AY47" s="5072">
        <v>2521</v>
      </c>
      <c r="AZ47" s="5072">
        <v>0</v>
      </c>
      <c r="BA47" s="5072">
        <v>0</v>
      </c>
      <c r="BB47" s="5072">
        <v>0</v>
      </c>
      <c r="BC47" s="5072">
        <v>0</v>
      </c>
      <c r="BD47" s="6078" t="s">
        <v>2896</v>
      </c>
      <c r="BE47" s="6078"/>
      <c r="BF47" s="6078"/>
      <c r="BG47" s="6078"/>
      <c r="BH47" s="6078"/>
      <c r="BI47" s="6078"/>
      <c r="BJ47" s="6078"/>
      <c r="BK47" s="6078"/>
      <c r="BL47" s="6078"/>
      <c r="BM47" s="6078"/>
      <c r="BN47" s="2611">
        <v>0</v>
      </c>
      <c r="BO47" s="6138">
        <v>0</v>
      </c>
      <c r="BP47" s="6139">
        <v>0</v>
      </c>
      <c r="BQ47" s="5092">
        <v>0</v>
      </c>
      <c r="BR47" s="16510"/>
      <c r="BS47" s="3470"/>
      <c r="BT47" s="3470"/>
      <c r="BU47" s="4776" t="s">
        <v>9079</v>
      </c>
      <c r="BV47" s="3150"/>
      <c r="BW47" s="3150"/>
      <c r="BX47" s="3150"/>
      <c r="BY47" s="3150"/>
      <c r="BZ47" s="3150"/>
      <c r="CA47" s="3150"/>
      <c r="CB47" s="3150"/>
      <c r="CC47" s="3150"/>
      <c r="CD47" s="3150"/>
      <c r="CE47" s="3150"/>
      <c r="CF47" s="3150"/>
      <c r="CG47" s="3150"/>
      <c r="CH47" s="3150"/>
      <c r="CI47" s="3150"/>
      <c r="CJ47" s="3150"/>
      <c r="CK47" s="3150"/>
      <c r="CL47" s="3150"/>
      <c r="CM47" s="3150"/>
      <c r="CN47" s="3150"/>
      <c r="CO47" s="5007"/>
      <c r="CP47" s="5007"/>
      <c r="CQ47" s="5007"/>
      <c r="CR47" s="5007"/>
      <c r="CS47" s="5007"/>
      <c r="CT47" s="5007"/>
      <c r="CU47" s="5007"/>
      <c r="CV47" s="5007"/>
      <c r="CW47" s="5007"/>
      <c r="CX47" s="5007"/>
      <c r="CY47" s="5007"/>
      <c r="CZ47" s="3470"/>
      <c r="DA47" s="3470"/>
      <c r="DB47" s="3470"/>
      <c r="DC47" s="3470"/>
      <c r="DD47" s="3470"/>
      <c r="DE47" s="3470"/>
      <c r="DF47" s="3470"/>
      <c r="DG47" s="3470"/>
      <c r="DH47" s="3470"/>
      <c r="DI47" s="3475"/>
      <c r="DK47" s="6284"/>
      <c r="DL47" s="6135"/>
      <c r="DM47" s="6135"/>
      <c r="DN47" s="6135"/>
      <c r="DO47" s="6135"/>
      <c r="DP47" s="6135"/>
      <c r="DQ47" s="6135"/>
      <c r="DR47" s="6135"/>
      <c r="DS47" s="6135"/>
      <c r="DT47" s="6135"/>
      <c r="DU47" s="6135"/>
      <c r="DV47" s="6135"/>
      <c r="DW47" s="6135"/>
      <c r="DX47" s="6135"/>
      <c r="DY47" s="6135"/>
      <c r="DZ47" s="6135"/>
      <c r="EA47" s="6135"/>
      <c r="EB47" s="6135"/>
      <c r="EC47" s="6135"/>
      <c r="ED47" s="6135"/>
      <c r="EE47" s="6135"/>
      <c r="EF47" s="6135"/>
      <c r="EG47" s="6135"/>
      <c r="EH47" s="6135"/>
      <c r="EI47" s="6135"/>
      <c r="EJ47" s="6135"/>
      <c r="EK47" s="6135"/>
      <c r="EL47" s="6135"/>
      <c r="EM47" s="6135"/>
      <c r="EN47" s="6135"/>
      <c r="EO47" s="6135"/>
      <c r="EP47" s="6135"/>
      <c r="EQ47" s="6135"/>
      <c r="ER47" s="6135"/>
      <c r="ES47" s="6135"/>
      <c r="ET47" s="6135"/>
      <c r="EU47" s="6135"/>
      <c r="EV47" s="6135"/>
      <c r="EW47" s="6135"/>
      <c r="EX47" s="6135"/>
      <c r="EY47" s="6135"/>
      <c r="EZ47" s="6135"/>
      <c r="FA47" s="6135"/>
      <c r="FB47" s="6135"/>
      <c r="FC47" s="6135"/>
      <c r="FD47" s="6285"/>
    </row>
    <row r="48" spans="1:160" s="6075" customFormat="1" ht="15" customHeight="1">
      <c r="A48" s="16490"/>
      <c r="B48" s="16416"/>
      <c r="C48" s="16418"/>
      <c r="D48" s="14665"/>
      <c r="E48" s="16441"/>
      <c r="F48" s="16418"/>
      <c r="G48" s="16415"/>
      <c r="H48" s="16415"/>
      <c r="I48" s="16415"/>
      <c r="J48" s="16415"/>
      <c r="K48" s="16415"/>
      <c r="L48" s="7601" t="s">
        <v>208</v>
      </c>
      <c r="M48" s="7601"/>
      <c r="N48" s="6129" t="s">
        <v>213</v>
      </c>
      <c r="O48" s="7796"/>
      <c r="P48" s="7797"/>
      <c r="Q48" s="7797"/>
      <c r="R48" s="7797"/>
      <c r="S48" s="7797"/>
      <c r="T48" s="7797"/>
      <c r="U48" s="7797"/>
      <c r="V48" s="7798"/>
      <c r="W48" s="7632"/>
      <c r="X48" s="7799"/>
      <c r="Y48" s="7799"/>
      <c r="Z48" s="7800"/>
      <c r="AA48" s="7801"/>
      <c r="AB48" s="7800"/>
      <c r="AC48" s="7801"/>
      <c r="AD48" s="7802"/>
      <c r="AE48" s="7592"/>
      <c r="AF48" s="7592"/>
      <c r="AG48" s="7592"/>
      <c r="AH48" s="7592"/>
      <c r="AI48" s="7592"/>
      <c r="AJ48" s="7592"/>
      <c r="AK48" s="7592"/>
      <c r="AL48" s="7592"/>
      <c r="AM48" s="7592"/>
      <c r="AN48" s="7592"/>
      <c r="AO48" s="7592"/>
      <c r="AP48" s="7592"/>
      <c r="AQ48" s="7592"/>
      <c r="AR48" s="7592"/>
      <c r="AS48" s="7592"/>
      <c r="AT48" s="7592"/>
      <c r="AU48" s="7592"/>
      <c r="AV48" s="7592"/>
      <c r="AW48" s="7592"/>
      <c r="AX48" s="7592"/>
      <c r="AY48" s="7592"/>
      <c r="AZ48" s="7592"/>
      <c r="BA48" s="7592"/>
      <c r="BB48" s="7592"/>
      <c r="BC48" s="7592"/>
      <c r="BD48" s="7799"/>
      <c r="BE48" s="7799"/>
      <c r="BF48" s="7799"/>
      <c r="BG48" s="7799"/>
      <c r="BH48" s="7799"/>
      <c r="BI48" s="7799"/>
      <c r="BJ48" s="7799"/>
      <c r="BK48" s="7799"/>
      <c r="BL48" s="7799"/>
      <c r="BM48" s="7799"/>
      <c r="BN48" s="7803"/>
      <c r="BO48" s="7804"/>
      <c r="BP48" s="7805"/>
      <c r="BQ48" s="7806"/>
      <c r="BR48" s="16518"/>
      <c r="BS48" s="7807"/>
      <c r="BT48" s="7807"/>
      <c r="BU48" s="7808"/>
      <c r="BV48" s="7809"/>
      <c r="BW48" s="7809"/>
      <c r="BX48" s="7809"/>
      <c r="BY48" s="7809"/>
      <c r="BZ48" s="7809"/>
      <c r="CA48" s="7809"/>
      <c r="CB48" s="7809"/>
      <c r="CC48" s="7809"/>
      <c r="CD48" s="7809"/>
      <c r="CE48" s="7809"/>
      <c r="CF48" s="7809"/>
      <c r="CG48" s="7809"/>
      <c r="CH48" s="7809"/>
      <c r="CI48" s="7809"/>
      <c r="CJ48" s="7809"/>
      <c r="CK48" s="7809"/>
      <c r="CL48" s="7809"/>
      <c r="CM48" s="7809"/>
      <c r="CN48" s="7809"/>
      <c r="CO48" s="7810"/>
      <c r="CP48" s="7810"/>
      <c r="CQ48" s="7810"/>
      <c r="CR48" s="7810"/>
      <c r="CS48" s="7810"/>
      <c r="CT48" s="7810"/>
      <c r="CU48" s="7810"/>
      <c r="CV48" s="7810"/>
      <c r="CW48" s="7810"/>
      <c r="CX48" s="7810"/>
      <c r="CY48" s="7810"/>
      <c r="CZ48" s="7807"/>
      <c r="DA48" s="7807"/>
      <c r="DB48" s="7807"/>
      <c r="DC48" s="7807"/>
      <c r="DD48" s="7807"/>
      <c r="DE48" s="7807"/>
      <c r="DF48" s="7807"/>
      <c r="DG48" s="7807"/>
      <c r="DH48" s="7807"/>
      <c r="DI48" s="7811"/>
      <c r="DK48" s="7812"/>
      <c r="DL48" s="7813"/>
      <c r="DM48" s="7813"/>
      <c r="DN48" s="7813"/>
      <c r="DO48" s="7813"/>
      <c r="DP48" s="7813"/>
      <c r="DQ48" s="7813"/>
      <c r="DR48" s="7813"/>
      <c r="DS48" s="7813"/>
      <c r="DT48" s="7813"/>
      <c r="DU48" s="7813"/>
      <c r="DV48" s="7813"/>
      <c r="DW48" s="7813"/>
      <c r="DX48" s="7813"/>
      <c r="DY48" s="7813"/>
      <c r="DZ48" s="7813"/>
      <c r="EA48" s="7813"/>
      <c r="EB48" s="7813"/>
      <c r="EC48" s="7813"/>
      <c r="ED48" s="7813"/>
      <c r="EE48" s="7813"/>
      <c r="EF48" s="7813"/>
      <c r="EG48" s="7813"/>
      <c r="EH48" s="7813"/>
      <c r="EI48" s="7813"/>
      <c r="EJ48" s="7813"/>
      <c r="EK48" s="7813"/>
      <c r="EL48" s="7813"/>
      <c r="EM48" s="7813"/>
      <c r="EN48" s="7813"/>
      <c r="EO48" s="7813"/>
      <c r="EP48" s="7813"/>
      <c r="EQ48" s="7813"/>
      <c r="ER48" s="7813"/>
      <c r="ES48" s="7813"/>
      <c r="ET48" s="7813"/>
      <c r="EU48" s="7813"/>
      <c r="EV48" s="7813"/>
      <c r="EW48" s="7813"/>
      <c r="EX48" s="7813"/>
      <c r="EY48" s="7813"/>
      <c r="EZ48" s="7813"/>
      <c r="FA48" s="7813"/>
      <c r="FB48" s="7813"/>
      <c r="FC48" s="7813"/>
      <c r="FD48" s="7814"/>
    </row>
    <row r="49" spans="1:432" s="6075" customFormat="1" ht="15" customHeight="1" thickBot="1">
      <c r="A49" s="16463"/>
      <c r="B49" s="16431"/>
      <c r="C49" s="6238" t="s">
        <v>214</v>
      </c>
      <c r="D49" s="1634" t="s">
        <v>5082</v>
      </c>
      <c r="E49" s="1634" t="s">
        <v>215</v>
      </c>
      <c r="F49" s="6238" t="s">
        <v>216</v>
      </c>
      <c r="G49" s="6239" t="s">
        <v>70</v>
      </c>
      <c r="H49" s="6238">
        <v>2</v>
      </c>
      <c r="I49" s="6238">
        <v>10</v>
      </c>
      <c r="J49" s="6238">
        <v>15</v>
      </c>
      <c r="K49" s="6238" t="s">
        <v>152</v>
      </c>
      <c r="L49" s="6238" t="s">
        <v>2896</v>
      </c>
      <c r="M49" s="6238" t="s">
        <v>188</v>
      </c>
      <c r="N49" s="6240" t="s">
        <v>217</v>
      </c>
      <c r="O49" s="6241">
        <v>2000000</v>
      </c>
      <c r="P49" s="6242">
        <v>2060000</v>
      </c>
      <c r="Q49" s="6242">
        <v>2121800</v>
      </c>
      <c r="R49" s="6242">
        <v>2185454</v>
      </c>
      <c r="S49" s="6242">
        <v>2251017.62</v>
      </c>
      <c r="T49" s="6242">
        <v>2318548.1486</v>
      </c>
      <c r="U49" s="6242">
        <v>2388104.5930579999</v>
      </c>
      <c r="V49" s="6243">
        <v>0.6</v>
      </c>
      <c r="W49" s="6244" t="s">
        <v>2903</v>
      </c>
      <c r="X49" s="6245"/>
      <c r="Y49" s="6245"/>
      <c r="Z49" s="6246"/>
      <c r="AA49" s="6247"/>
      <c r="AB49" s="6246"/>
      <c r="AC49" s="6247"/>
      <c r="AD49" s="6245"/>
      <c r="AE49" s="6245"/>
      <c r="AF49" s="6245"/>
      <c r="AG49" s="6245"/>
      <c r="AH49" s="6245"/>
      <c r="AI49" s="6245"/>
      <c r="AJ49" s="6245"/>
      <c r="AK49" s="6245"/>
      <c r="AL49" s="6245"/>
      <c r="AM49" s="6245"/>
      <c r="AN49" s="6245"/>
      <c r="AO49" s="6245"/>
      <c r="AP49" s="6245"/>
      <c r="AQ49" s="6245"/>
      <c r="AR49" s="6245"/>
      <c r="AS49" s="6245"/>
      <c r="AT49" s="6245"/>
      <c r="AU49" s="6245"/>
      <c r="AV49" s="6245"/>
      <c r="AW49" s="6245"/>
      <c r="AX49" s="6245"/>
      <c r="AY49" s="6245"/>
      <c r="AZ49" s="6245"/>
      <c r="BA49" s="6245"/>
      <c r="BB49" s="6245"/>
      <c r="BC49" s="6245"/>
      <c r="BD49" s="6245"/>
      <c r="BE49" s="6245"/>
      <c r="BF49" s="6245"/>
      <c r="BG49" s="6245"/>
      <c r="BH49" s="6245"/>
      <c r="BI49" s="6245"/>
      <c r="BJ49" s="6245"/>
      <c r="BK49" s="6245"/>
      <c r="BL49" s="6245"/>
      <c r="BM49" s="6245"/>
      <c r="BN49" s="1635" t="s">
        <v>3781</v>
      </c>
      <c r="BO49" s="1635" t="s">
        <v>3781</v>
      </c>
      <c r="BP49" s="1634">
        <v>7</v>
      </c>
      <c r="BQ49" s="1635" t="s">
        <v>3781</v>
      </c>
      <c r="BR49" s="16519"/>
      <c r="BS49" s="1643"/>
      <c r="BT49" s="1643"/>
      <c r="BU49" s="6248" t="s">
        <v>9080</v>
      </c>
      <c r="BV49" s="1646"/>
      <c r="BW49" s="1646"/>
      <c r="BX49" s="1646"/>
      <c r="BY49" s="1646"/>
      <c r="BZ49" s="1646"/>
      <c r="CA49" s="1646"/>
      <c r="CB49" s="1646"/>
      <c r="CC49" s="1646"/>
      <c r="CD49" s="1646"/>
      <c r="CE49" s="1646"/>
      <c r="CF49" s="1646"/>
      <c r="CG49" s="1646"/>
      <c r="CH49" s="1646"/>
      <c r="CI49" s="1646"/>
      <c r="CJ49" s="1646"/>
      <c r="CK49" s="1646"/>
      <c r="CL49" s="1646"/>
      <c r="CM49" s="1646"/>
      <c r="CN49" s="1646"/>
      <c r="CO49" s="1635"/>
      <c r="CP49" s="1635"/>
      <c r="CQ49" s="1635"/>
      <c r="CR49" s="1635"/>
      <c r="CS49" s="1635"/>
      <c r="CT49" s="1635"/>
      <c r="CU49" s="1635"/>
      <c r="CV49" s="1635"/>
      <c r="CW49" s="1635"/>
      <c r="CX49" s="1635"/>
      <c r="CY49" s="1635"/>
      <c r="CZ49" s="1643"/>
      <c r="DA49" s="1643"/>
      <c r="DB49" s="1643"/>
      <c r="DC49" s="1643"/>
      <c r="DD49" s="1643"/>
      <c r="DE49" s="1643"/>
      <c r="DF49" s="1643"/>
      <c r="DG49" s="1643"/>
      <c r="DH49" s="1643"/>
      <c r="DI49" s="1958"/>
      <c r="DK49" s="6299"/>
      <c r="DL49" s="6300"/>
      <c r="DM49" s="6300"/>
      <c r="DN49" s="6300"/>
      <c r="DO49" s="6300"/>
      <c r="DP49" s="6300"/>
      <c r="DQ49" s="6300"/>
      <c r="DR49" s="6300"/>
      <c r="DS49" s="6300"/>
      <c r="DT49" s="6300"/>
      <c r="DU49" s="6300"/>
      <c r="DV49" s="6300"/>
      <c r="DW49" s="6300"/>
      <c r="DX49" s="6300"/>
      <c r="DY49" s="6300"/>
      <c r="DZ49" s="6300"/>
      <c r="EA49" s="6300"/>
      <c r="EB49" s="6300"/>
      <c r="EC49" s="6300"/>
      <c r="ED49" s="6300"/>
      <c r="EE49" s="6300"/>
      <c r="EF49" s="6300"/>
      <c r="EG49" s="6300"/>
      <c r="EH49" s="6300"/>
      <c r="EI49" s="6300"/>
      <c r="EJ49" s="6300"/>
      <c r="EK49" s="6300"/>
      <c r="EL49" s="6300"/>
      <c r="EM49" s="6300"/>
      <c r="EN49" s="6300"/>
      <c r="EO49" s="6300"/>
      <c r="EP49" s="6300"/>
      <c r="EQ49" s="6300"/>
      <c r="ER49" s="6300"/>
      <c r="ES49" s="6300"/>
      <c r="ET49" s="6300"/>
      <c r="EU49" s="6300"/>
      <c r="EV49" s="6300"/>
      <c r="EW49" s="6300"/>
      <c r="EX49" s="6300"/>
      <c r="EY49" s="6300"/>
      <c r="EZ49" s="6300"/>
      <c r="FA49" s="6300"/>
      <c r="FB49" s="6300"/>
      <c r="FC49" s="6300"/>
      <c r="FD49" s="6301"/>
    </row>
    <row r="50" spans="1:432" s="6376" customFormat="1" ht="15" customHeight="1">
      <c r="A50" s="16494" t="s">
        <v>218</v>
      </c>
      <c r="B50" s="16437" t="s">
        <v>219</v>
      </c>
      <c r="C50" s="16437" t="s">
        <v>220</v>
      </c>
      <c r="D50" s="16438" t="s">
        <v>5083</v>
      </c>
      <c r="E50" s="16438" t="s">
        <v>220</v>
      </c>
      <c r="F50" s="16438" t="s">
        <v>221</v>
      </c>
      <c r="G50" s="16438" t="s">
        <v>70</v>
      </c>
      <c r="H50" s="16438">
        <v>2</v>
      </c>
      <c r="I50" s="16438">
        <v>3</v>
      </c>
      <c r="J50" s="16438">
        <v>4</v>
      </c>
      <c r="K50" s="16437" t="s">
        <v>222</v>
      </c>
      <c r="L50" s="6363" t="s">
        <v>218</v>
      </c>
      <c r="M50" s="6363" t="s">
        <v>223</v>
      </c>
      <c r="N50" s="6364"/>
      <c r="O50" s="6365">
        <v>60000000</v>
      </c>
      <c r="P50" s="6366">
        <v>61800000</v>
      </c>
      <c r="Q50" s="6366">
        <v>63654000</v>
      </c>
      <c r="R50" s="6366">
        <v>95481000</v>
      </c>
      <c r="S50" s="6366">
        <v>98345430</v>
      </c>
      <c r="T50" s="6366">
        <v>101295792.90000001</v>
      </c>
      <c r="U50" s="6366">
        <v>104334666.68700001</v>
      </c>
      <c r="V50" s="6367">
        <v>1</v>
      </c>
      <c r="W50" s="6368" t="s">
        <v>3805</v>
      </c>
      <c r="X50" s="6369" t="s">
        <v>3806</v>
      </c>
      <c r="Y50" s="6364"/>
      <c r="Z50" s="6370">
        <v>19800000</v>
      </c>
      <c r="AA50" s="6370">
        <v>19800000</v>
      </c>
      <c r="AB50" s="6364"/>
      <c r="AC50" s="6364"/>
      <c r="AD50" s="6364">
        <v>191</v>
      </c>
      <c r="AE50" s="6364">
        <v>60</v>
      </c>
      <c r="AF50" s="6364">
        <v>131</v>
      </c>
      <c r="AG50" s="6364">
        <v>191</v>
      </c>
      <c r="AH50" s="6364"/>
      <c r="AI50" s="6364">
        <v>2</v>
      </c>
      <c r="AJ50" s="6364">
        <v>85</v>
      </c>
      <c r="AK50" s="6364">
        <v>88</v>
      </c>
      <c r="AL50" s="6364">
        <v>16</v>
      </c>
      <c r="AM50" s="6364"/>
      <c r="AN50" s="6364"/>
      <c r="AO50" s="6364"/>
      <c r="AP50" s="6364">
        <v>5</v>
      </c>
      <c r="AQ50" s="6364">
        <v>4</v>
      </c>
      <c r="AR50" s="6364">
        <v>90</v>
      </c>
      <c r="AS50" s="6364">
        <v>12</v>
      </c>
      <c r="AT50" s="6364"/>
      <c r="AU50" s="6364"/>
      <c r="AV50" s="6364"/>
      <c r="AW50" s="6364">
        <v>1</v>
      </c>
      <c r="AX50" s="6364"/>
      <c r="AY50" s="6364">
        <v>191</v>
      </c>
      <c r="AZ50" s="6364"/>
      <c r="BA50" s="6364"/>
      <c r="BB50" s="6364"/>
      <c r="BC50" s="6364"/>
      <c r="BD50" s="6364"/>
      <c r="BE50" s="6364"/>
      <c r="BF50" s="6364"/>
      <c r="BG50" s="6364"/>
      <c r="BH50" s="6364"/>
      <c r="BI50" s="6364"/>
      <c r="BJ50" s="6364"/>
      <c r="BK50" s="6364"/>
      <c r="BL50" s="6364"/>
      <c r="BM50" s="6364"/>
      <c r="BN50" s="6371">
        <v>2</v>
      </c>
      <c r="BO50" s="4999">
        <v>2</v>
      </c>
      <c r="BP50" s="4999">
        <v>2</v>
      </c>
      <c r="BQ50" s="6372">
        <f>+BP50/BO50</f>
        <v>1</v>
      </c>
      <c r="BR50" s="16520">
        <f>AVERAGE(BQ50:BQ63)</f>
        <v>1</v>
      </c>
      <c r="BS50" s="6373" t="s">
        <v>9081</v>
      </c>
      <c r="BT50" s="6373" t="s">
        <v>3806</v>
      </c>
      <c r="BU50" s="6373"/>
      <c r="BV50" s="6374">
        <v>22000000</v>
      </c>
      <c r="BW50" s="6374">
        <v>22000000</v>
      </c>
      <c r="BX50" s="6374"/>
      <c r="BY50" s="6374"/>
      <c r="BZ50" s="6374">
        <v>422</v>
      </c>
      <c r="CA50" s="6374">
        <v>172</v>
      </c>
      <c r="CB50" s="6374">
        <v>250</v>
      </c>
      <c r="CC50" s="6374">
        <v>400</v>
      </c>
      <c r="CD50" s="6374">
        <v>22</v>
      </c>
      <c r="CE50" s="6374">
        <v>7</v>
      </c>
      <c r="CF50" s="6374">
        <v>123</v>
      </c>
      <c r="CG50" s="6374">
        <v>149</v>
      </c>
      <c r="CH50" s="6374">
        <v>143</v>
      </c>
      <c r="CI50" s="6374"/>
      <c r="CJ50" s="6374"/>
      <c r="CK50" s="6374"/>
      <c r="CL50" s="6374">
        <v>5</v>
      </c>
      <c r="CM50" s="6374">
        <v>17</v>
      </c>
      <c r="CN50" s="6374">
        <v>89</v>
      </c>
      <c r="CO50" s="6371">
        <v>12</v>
      </c>
      <c r="CP50" s="6371"/>
      <c r="CQ50" s="6371"/>
      <c r="CR50" s="6371"/>
      <c r="CS50" s="6371"/>
      <c r="CT50" s="6371"/>
      <c r="CU50" s="6371">
        <v>422</v>
      </c>
      <c r="CV50" s="6371"/>
      <c r="CW50" s="6371"/>
      <c r="CX50" s="6371"/>
      <c r="CY50" s="6371"/>
      <c r="CZ50" s="6373"/>
      <c r="DA50" s="6373"/>
      <c r="DB50" s="6373"/>
      <c r="DC50" s="6373"/>
      <c r="DD50" s="6373"/>
      <c r="DE50" s="6373"/>
      <c r="DF50" s="6373"/>
      <c r="DG50" s="6373"/>
      <c r="DH50" s="6373"/>
      <c r="DI50" s="6375"/>
      <c r="DK50" s="6377"/>
      <c r="DL50" s="6364"/>
      <c r="DM50" s="6364"/>
      <c r="DN50" s="6364"/>
      <c r="DO50" s="6364"/>
      <c r="DP50" s="6364"/>
      <c r="DQ50" s="6364"/>
      <c r="DR50" s="6364"/>
      <c r="DS50" s="6364"/>
      <c r="DT50" s="6364"/>
      <c r="DU50" s="6364"/>
      <c r="DV50" s="6364"/>
      <c r="DW50" s="6364"/>
      <c r="DX50" s="6364"/>
      <c r="DY50" s="6364"/>
      <c r="DZ50" s="6364"/>
      <c r="EA50" s="6364"/>
      <c r="EB50" s="6364"/>
      <c r="EC50" s="6364"/>
      <c r="ED50" s="6364"/>
      <c r="EE50" s="6364"/>
      <c r="EF50" s="6364"/>
      <c r="EG50" s="6364"/>
      <c r="EH50" s="6364"/>
      <c r="EI50" s="6364"/>
      <c r="EJ50" s="6364"/>
      <c r="EK50" s="6364"/>
      <c r="EL50" s="6364"/>
      <c r="EM50" s="6364"/>
      <c r="EN50" s="6364"/>
      <c r="EO50" s="6364"/>
      <c r="EP50" s="6364"/>
      <c r="EQ50" s="6364"/>
      <c r="ER50" s="6364"/>
      <c r="ES50" s="6364"/>
      <c r="ET50" s="6364"/>
      <c r="EU50" s="6364"/>
      <c r="EV50" s="6364"/>
      <c r="EW50" s="6364"/>
      <c r="EX50" s="6364"/>
      <c r="EY50" s="6364"/>
      <c r="EZ50" s="6364"/>
      <c r="FA50" s="6364"/>
      <c r="FB50" s="6364"/>
      <c r="FC50" s="6364"/>
      <c r="FD50" s="6378"/>
    </row>
    <row r="51" spans="1:432" s="6376" customFormat="1" ht="15" customHeight="1">
      <c r="A51" s="16495"/>
      <c r="B51" s="16434"/>
      <c r="C51" s="16434"/>
      <c r="D51" s="16354"/>
      <c r="E51" s="16354"/>
      <c r="F51" s="16354"/>
      <c r="G51" s="16354"/>
      <c r="H51" s="16354"/>
      <c r="I51" s="16354"/>
      <c r="J51" s="16354"/>
      <c r="K51" s="16434"/>
      <c r="L51" s="6379" t="s">
        <v>10251</v>
      </c>
      <c r="M51" s="6379"/>
      <c r="N51" s="6380" t="s">
        <v>224</v>
      </c>
      <c r="O51" s="6381"/>
      <c r="P51" s="6382"/>
      <c r="Q51" s="6382"/>
      <c r="R51" s="6382"/>
      <c r="S51" s="6382"/>
      <c r="T51" s="6382"/>
      <c r="U51" s="6382"/>
      <c r="V51" s="6383"/>
      <c r="W51" s="6384"/>
      <c r="X51" s="6385"/>
      <c r="Y51" s="6386"/>
      <c r="Z51" s="6387"/>
      <c r="AA51" s="6387"/>
      <c r="AB51" s="6386"/>
      <c r="AC51" s="6386"/>
      <c r="AD51" s="6386"/>
      <c r="AE51" s="6386"/>
      <c r="AF51" s="6386"/>
      <c r="AG51" s="6386"/>
      <c r="AH51" s="6386"/>
      <c r="AI51" s="6386"/>
      <c r="AJ51" s="6386"/>
      <c r="AK51" s="6386"/>
      <c r="AL51" s="6386"/>
      <c r="AM51" s="6386"/>
      <c r="AN51" s="6386"/>
      <c r="AO51" s="6386"/>
      <c r="AP51" s="6386"/>
      <c r="AQ51" s="6386"/>
      <c r="AR51" s="6386"/>
      <c r="AS51" s="6386"/>
      <c r="AT51" s="6386"/>
      <c r="AU51" s="6386"/>
      <c r="AV51" s="6386"/>
      <c r="AW51" s="6386"/>
      <c r="AX51" s="6386"/>
      <c r="AY51" s="6386"/>
      <c r="AZ51" s="6386"/>
      <c r="BA51" s="6386"/>
      <c r="BB51" s="6386"/>
      <c r="BC51" s="6386"/>
      <c r="BD51" s="6386"/>
      <c r="BE51" s="6386"/>
      <c r="BF51" s="6386"/>
      <c r="BG51" s="6386"/>
      <c r="BH51" s="6386"/>
      <c r="BI51" s="6386"/>
      <c r="BJ51" s="6386"/>
      <c r="BK51" s="6386"/>
      <c r="BL51" s="6386"/>
      <c r="BM51" s="6386"/>
      <c r="BN51" s="6388"/>
      <c r="BO51" s="5010"/>
      <c r="BP51" s="5010"/>
      <c r="BQ51" s="6389"/>
      <c r="BR51" s="16521"/>
      <c r="BS51" s="6390"/>
      <c r="BT51" s="6390"/>
      <c r="BU51" s="6390"/>
      <c r="BV51" s="6391"/>
      <c r="BW51" s="6391"/>
      <c r="BX51" s="6391"/>
      <c r="BY51" s="6391"/>
      <c r="BZ51" s="6391"/>
      <c r="CA51" s="6391"/>
      <c r="CB51" s="6391"/>
      <c r="CC51" s="6391"/>
      <c r="CD51" s="6391"/>
      <c r="CE51" s="6391"/>
      <c r="CF51" s="6391"/>
      <c r="CG51" s="6391"/>
      <c r="CH51" s="6391"/>
      <c r="CI51" s="6391"/>
      <c r="CJ51" s="6391"/>
      <c r="CK51" s="6391"/>
      <c r="CL51" s="6391"/>
      <c r="CM51" s="6391"/>
      <c r="CN51" s="6391"/>
      <c r="CO51" s="6388"/>
      <c r="CP51" s="6388"/>
      <c r="CQ51" s="6388"/>
      <c r="CR51" s="6388"/>
      <c r="CS51" s="6388"/>
      <c r="CT51" s="6388"/>
      <c r="CU51" s="6388"/>
      <c r="CV51" s="6388"/>
      <c r="CW51" s="6388"/>
      <c r="CX51" s="6388"/>
      <c r="CY51" s="6388"/>
      <c r="CZ51" s="6390"/>
      <c r="DA51" s="6390"/>
      <c r="DB51" s="6390"/>
      <c r="DC51" s="6390"/>
      <c r="DD51" s="6390"/>
      <c r="DE51" s="6390"/>
      <c r="DF51" s="6390"/>
      <c r="DG51" s="6390"/>
      <c r="DH51" s="6390"/>
      <c r="DI51" s="6392"/>
      <c r="DK51" s="6393"/>
      <c r="DL51" s="6386"/>
      <c r="DM51" s="6386"/>
      <c r="DN51" s="6386"/>
      <c r="DO51" s="6386"/>
      <c r="DP51" s="6386"/>
      <c r="DQ51" s="6386"/>
      <c r="DR51" s="6386"/>
      <c r="DS51" s="6386"/>
      <c r="DT51" s="6386"/>
      <c r="DU51" s="6386"/>
      <c r="DV51" s="6386"/>
      <c r="DW51" s="6386"/>
      <c r="DX51" s="6386"/>
      <c r="DY51" s="6386"/>
      <c r="DZ51" s="6386"/>
      <c r="EA51" s="6386"/>
      <c r="EB51" s="6386"/>
      <c r="EC51" s="6386"/>
      <c r="ED51" s="6386"/>
      <c r="EE51" s="6386"/>
      <c r="EF51" s="6386"/>
      <c r="EG51" s="6386"/>
      <c r="EH51" s="6386"/>
      <c r="EI51" s="6386"/>
      <c r="EJ51" s="6386"/>
      <c r="EK51" s="6386"/>
      <c r="EL51" s="6386"/>
      <c r="EM51" s="6386"/>
      <c r="EN51" s="6386"/>
      <c r="EO51" s="6386"/>
      <c r="EP51" s="6386"/>
      <c r="EQ51" s="6386"/>
      <c r="ER51" s="6386"/>
      <c r="ES51" s="6386"/>
      <c r="ET51" s="6386"/>
      <c r="EU51" s="6386"/>
      <c r="EV51" s="6386"/>
      <c r="EW51" s="6386"/>
      <c r="EX51" s="6386"/>
      <c r="EY51" s="6386"/>
      <c r="EZ51" s="6386"/>
      <c r="FA51" s="6386"/>
      <c r="FB51" s="6386"/>
      <c r="FC51" s="6386"/>
      <c r="FD51" s="6394"/>
    </row>
    <row r="52" spans="1:432" s="6376" customFormat="1" ht="15" customHeight="1">
      <c r="A52" s="16495"/>
      <c r="B52" s="16434"/>
      <c r="C52" s="16434" t="s">
        <v>225</v>
      </c>
      <c r="D52" s="16354" t="s">
        <v>5084</v>
      </c>
      <c r="E52" s="16354" t="s">
        <v>225</v>
      </c>
      <c r="F52" s="16354" t="s">
        <v>226</v>
      </c>
      <c r="G52" s="16354" t="s">
        <v>70</v>
      </c>
      <c r="H52" s="16354">
        <v>5</v>
      </c>
      <c r="I52" s="16354">
        <v>6</v>
      </c>
      <c r="J52" s="16354">
        <v>8</v>
      </c>
      <c r="K52" s="16434" t="s">
        <v>227</v>
      </c>
      <c r="L52" s="6379" t="s">
        <v>218</v>
      </c>
      <c r="M52" s="6379" t="s">
        <v>223</v>
      </c>
      <c r="N52" s="6380"/>
      <c r="O52" s="6381">
        <v>120000000</v>
      </c>
      <c r="P52" s="6382">
        <v>123600000</v>
      </c>
      <c r="Q52" s="6382">
        <v>127308000</v>
      </c>
      <c r="R52" s="6382">
        <v>152769600</v>
      </c>
      <c r="S52" s="6382">
        <v>157352688</v>
      </c>
      <c r="T52" s="6382">
        <v>162073268.64000002</v>
      </c>
      <c r="U52" s="6382">
        <v>166935466.69920003</v>
      </c>
      <c r="V52" s="6395">
        <v>0.8</v>
      </c>
      <c r="W52" s="6384" t="s">
        <v>3807</v>
      </c>
      <c r="X52" s="6396" t="s">
        <v>3808</v>
      </c>
      <c r="Y52" s="6386"/>
      <c r="Z52" s="6387">
        <v>114000000</v>
      </c>
      <c r="AA52" s="6387">
        <v>114000000</v>
      </c>
      <c r="AB52" s="6386"/>
      <c r="AC52" s="6386"/>
      <c r="AD52" s="6386">
        <v>1153</v>
      </c>
      <c r="AE52" s="6386">
        <v>497</v>
      </c>
      <c r="AF52" s="6386">
        <v>656</v>
      </c>
      <c r="AG52" s="6386">
        <v>1090</v>
      </c>
      <c r="AH52" s="6386">
        <v>63</v>
      </c>
      <c r="AI52" s="6386">
        <v>135</v>
      </c>
      <c r="AJ52" s="6386">
        <v>587</v>
      </c>
      <c r="AK52" s="6386">
        <v>358</v>
      </c>
      <c r="AL52" s="6386">
        <v>73</v>
      </c>
      <c r="AM52" s="6386"/>
      <c r="AN52" s="6386"/>
      <c r="AO52" s="6386"/>
      <c r="AP52" s="6386"/>
      <c r="AQ52" s="6386">
        <v>17</v>
      </c>
      <c r="AR52" s="6386">
        <v>73</v>
      </c>
      <c r="AS52" s="6386">
        <v>22</v>
      </c>
      <c r="AT52" s="6386">
        <v>5</v>
      </c>
      <c r="AU52" s="6386">
        <v>1</v>
      </c>
      <c r="AV52" s="6386">
        <v>1</v>
      </c>
      <c r="AW52" s="6386">
        <v>1</v>
      </c>
      <c r="AX52" s="6386"/>
      <c r="AY52" s="6386">
        <v>1153</v>
      </c>
      <c r="AZ52" s="6386"/>
      <c r="BA52" s="6386"/>
      <c r="BB52" s="6386"/>
      <c r="BC52" s="6386"/>
      <c r="BD52" s="6386"/>
      <c r="BE52" s="6386"/>
      <c r="BF52" s="6386"/>
      <c r="BG52" s="6386"/>
      <c r="BH52" s="6386"/>
      <c r="BI52" s="6386"/>
      <c r="BJ52" s="6386"/>
      <c r="BK52" s="6386"/>
      <c r="BL52" s="6386"/>
      <c r="BM52" s="6386"/>
      <c r="BN52" s="6388">
        <v>1</v>
      </c>
      <c r="BO52" s="5011">
        <v>1</v>
      </c>
      <c r="BP52" s="5010">
        <v>8</v>
      </c>
      <c r="BQ52" s="6389">
        <v>1</v>
      </c>
      <c r="BR52" s="16522"/>
      <c r="BS52" s="6397" t="s">
        <v>3807</v>
      </c>
      <c r="BT52" s="6397" t="s">
        <v>3808</v>
      </c>
      <c r="BU52" s="6397"/>
      <c r="BV52" s="6391">
        <v>117000000</v>
      </c>
      <c r="BW52" s="6391">
        <v>117000000</v>
      </c>
      <c r="BX52" s="6391"/>
      <c r="BY52" s="6391"/>
      <c r="BZ52" s="6391"/>
      <c r="CA52" s="6391"/>
      <c r="CB52" s="6391"/>
      <c r="CC52" s="6391"/>
      <c r="CD52" s="6391"/>
      <c r="CE52" s="6391"/>
      <c r="CF52" s="6391"/>
      <c r="CG52" s="6391"/>
      <c r="CH52" s="6391"/>
      <c r="CI52" s="6391"/>
      <c r="CJ52" s="6391"/>
      <c r="CK52" s="6391"/>
      <c r="CL52" s="6391"/>
      <c r="CM52" s="6391"/>
      <c r="CN52" s="6391"/>
      <c r="CO52" s="6388"/>
      <c r="CP52" s="6388"/>
      <c r="CQ52" s="6388"/>
      <c r="CR52" s="6388"/>
      <c r="CS52" s="6388"/>
      <c r="CT52" s="6388"/>
      <c r="CU52" s="6388"/>
      <c r="CV52" s="6388"/>
      <c r="CW52" s="6388"/>
      <c r="CX52" s="6388"/>
      <c r="CY52" s="6388"/>
      <c r="CZ52" s="6397"/>
      <c r="DA52" s="6397"/>
      <c r="DB52" s="6397"/>
      <c r="DC52" s="6397"/>
      <c r="DD52" s="6397"/>
      <c r="DE52" s="6397"/>
      <c r="DF52" s="6397"/>
      <c r="DG52" s="6397"/>
      <c r="DH52" s="6397"/>
      <c r="DI52" s="6398"/>
      <c r="DK52" s="6393"/>
      <c r="DL52" s="6386"/>
      <c r="DM52" s="6386"/>
      <c r="DN52" s="6386"/>
      <c r="DO52" s="6386"/>
      <c r="DP52" s="6386"/>
      <c r="DQ52" s="6386"/>
      <c r="DR52" s="6386"/>
      <c r="DS52" s="6386"/>
      <c r="DT52" s="6386"/>
      <c r="DU52" s="6386"/>
      <c r="DV52" s="6386"/>
      <c r="DW52" s="6386"/>
      <c r="DX52" s="6386"/>
      <c r="DY52" s="6386"/>
      <c r="DZ52" s="6386"/>
      <c r="EA52" s="6386"/>
      <c r="EB52" s="6386"/>
      <c r="EC52" s="6386"/>
      <c r="ED52" s="6386"/>
      <c r="EE52" s="6386"/>
      <c r="EF52" s="6386"/>
      <c r="EG52" s="6386"/>
      <c r="EH52" s="6386"/>
      <c r="EI52" s="6386"/>
      <c r="EJ52" s="6386"/>
      <c r="EK52" s="6386"/>
      <c r="EL52" s="6386"/>
      <c r="EM52" s="6386"/>
      <c r="EN52" s="6386"/>
      <c r="EO52" s="6386"/>
      <c r="EP52" s="6386"/>
      <c r="EQ52" s="6386"/>
      <c r="ER52" s="6386"/>
      <c r="ES52" s="6386"/>
      <c r="ET52" s="6386"/>
      <c r="EU52" s="6386"/>
      <c r="EV52" s="6386"/>
      <c r="EW52" s="6386"/>
      <c r="EX52" s="6386"/>
      <c r="EY52" s="6386"/>
      <c r="EZ52" s="6386"/>
      <c r="FA52" s="6386"/>
      <c r="FB52" s="6386"/>
      <c r="FC52" s="6386"/>
      <c r="FD52" s="6394"/>
    </row>
    <row r="53" spans="1:432" s="6376" customFormat="1" ht="15" customHeight="1">
      <c r="A53" s="16495"/>
      <c r="B53" s="16434"/>
      <c r="C53" s="16434"/>
      <c r="D53" s="16354"/>
      <c r="E53" s="16354"/>
      <c r="F53" s="16354"/>
      <c r="G53" s="16354"/>
      <c r="H53" s="16354"/>
      <c r="I53" s="16354"/>
      <c r="J53" s="16354"/>
      <c r="K53" s="16434"/>
      <c r="L53" s="6379" t="s">
        <v>10251</v>
      </c>
      <c r="M53" s="6379"/>
      <c r="N53" s="6380" t="s">
        <v>228</v>
      </c>
      <c r="O53" s="6381"/>
      <c r="P53" s="6382"/>
      <c r="Q53" s="6382"/>
      <c r="R53" s="6382"/>
      <c r="S53" s="6382"/>
      <c r="T53" s="6382"/>
      <c r="U53" s="6382"/>
      <c r="V53" s="6395"/>
      <c r="W53" s="6384"/>
      <c r="X53" s="6396"/>
      <c r="Y53" s="6386"/>
      <c r="Z53" s="6387"/>
      <c r="AA53" s="6387"/>
      <c r="AB53" s="6386"/>
      <c r="AC53" s="6386"/>
      <c r="AD53" s="6386"/>
      <c r="AE53" s="6386"/>
      <c r="AF53" s="6386"/>
      <c r="AG53" s="6386"/>
      <c r="AH53" s="6386"/>
      <c r="AI53" s="6386"/>
      <c r="AJ53" s="6386"/>
      <c r="AK53" s="6386"/>
      <c r="AL53" s="6386"/>
      <c r="AM53" s="6386"/>
      <c r="AN53" s="6386"/>
      <c r="AO53" s="6386"/>
      <c r="AP53" s="6386"/>
      <c r="AQ53" s="6386"/>
      <c r="AR53" s="6386"/>
      <c r="AS53" s="6386"/>
      <c r="AT53" s="6386"/>
      <c r="AU53" s="6386"/>
      <c r="AV53" s="6386"/>
      <c r="AW53" s="6386"/>
      <c r="AX53" s="6386"/>
      <c r="AY53" s="6386"/>
      <c r="AZ53" s="6386"/>
      <c r="BA53" s="6386"/>
      <c r="BB53" s="6386"/>
      <c r="BC53" s="6386"/>
      <c r="BD53" s="6386"/>
      <c r="BE53" s="6386"/>
      <c r="BF53" s="6386"/>
      <c r="BG53" s="6386"/>
      <c r="BH53" s="6386"/>
      <c r="BI53" s="6386"/>
      <c r="BJ53" s="6386"/>
      <c r="BK53" s="6386"/>
      <c r="BL53" s="6386"/>
      <c r="BM53" s="6386"/>
      <c r="BN53" s="6388"/>
      <c r="BO53" s="5011"/>
      <c r="BP53" s="5010"/>
      <c r="BQ53" s="6389"/>
      <c r="BR53" s="16522"/>
      <c r="BS53" s="6397"/>
      <c r="BT53" s="6397"/>
      <c r="BU53" s="6397"/>
      <c r="BV53" s="6391"/>
      <c r="BW53" s="6391"/>
      <c r="BX53" s="6391"/>
      <c r="BY53" s="6391"/>
      <c r="BZ53" s="6391"/>
      <c r="CA53" s="6391"/>
      <c r="CB53" s="6391"/>
      <c r="CC53" s="6391"/>
      <c r="CD53" s="6391"/>
      <c r="CE53" s="6391"/>
      <c r="CF53" s="6391"/>
      <c r="CG53" s="6391"/>
      <c r="CH53" s="6391"/>
      <c r="CI53" s="6391"/>
      <c r="CJ53" s="6391"/>
      <c r="CK53" s="6391"/>
      <c r="CL53" s="6391"/>
      <c r="CM53" s="6391"/>
      <c r="CN53" s="6391"/>
      <c r="CO53" s="6388"/>
      <c r="CP53" s="6388"/>
      <c r="CQ53" s="6388"/>
      <c r="CR53" s="6388"/>
      <c r="CS53" s="6388"/>
      <c r="CT53" s="6388"/>
      <c r="CU53" s="6388"/>
      <c r="CV53" s="6388"/>
      <c r="CW53" s="6388"/>
      <c r="CX53" s="6388"/>
      <c r="CY53" s="6388"/>
      <c r="CZ53" s="6397"/>
      <c r="DA53" s="6397"/>
      <c r="DB53" s="6397"/>
      <c r="DC53" s="6397"/>
      <c r="DD53" s="6397"/>
      <c r="DE53" s="6397"/>
      <c r="DF53" s="6397"/>
      <c r="DG53" s="6397"/>
      <c r="DH53" s="6397"/>
      <c r="DI53" s="6398"/>
      <c r="DK53" s="6393"/>
      <c r="DL53" s="6386"/>
      <c r="DM53" s="6386"/>
      <c r="DN53" s="6386"/>
      <c r="DO53" s="6386"/>
      <c r="DP53" s="6386"/>
      <c r="DQ53" s="6386"/>
      <c r="DR53" s="6386"/>
      <c r="DS53" s="6386"/>
      <c r="DT53" s="6386"/>
      <c r="DU53" s="6386"/>
      <c r="DV53" s="6386"/>
      <c r="DW53" s="6386"/>
      <c r="DX53" s="6386"/>
      <c r="DY53" s="6386"/>
      <c r="DZ53" s="6386"/>
      <c r="EA53" s="6386"/>
      <c r="EB53" s="6386"/>
      <c r="EC53" s="6386"/>
      <c r="ED53" s="6386"/>
      <c r="EE53" s="6386"/>
      <c r="EF53" s="6386"/>
      <c r="EG53" s="6386"/>
      <c r="EH53" s="6386"/>
      <c r="EI53" s="6386"/>
      <c r="EJ53" s="6386"/>
      <c r="EK53" s="6386"/>
      <c r="EL53" s="6386"/>
      <c r="EM53" s="6386"/>
      <c r="EN53" s="6386"/>
      <c r="EO53" s="6386"/>
      <c r="EP53" s="6386"/>
      <c r="EQ53" s="6386"/>
      <c r="ER53" s="6386"/>
      <c r="ES53" s="6386"/>
      <c r="ET53" s="6386"/>
      <c r="EU53" s="6386"/>
      <c r="EV53" s="6386"/>
      <c r="EW53" s="6386"/>
      <c r="EX53" s="6386"/>
      <c r="EY53" s="6386"/>
      <c r="EZ53" s="6386"/>
      <c r="FA53" s="6386"/>
      <c r="FB53" s="6386"/>
      <c r="FC53" s="6386"/>
      <c r="FD53" s="6394"/>
    </row>
    <row r="54" spans="1:432" s="6376" customFormat="1" ht="15" customHeight="1">
      <c r="A54" s="16495"/>
      <c r="B54" s="16434"/>
      <c r="C54" s="16434" t="s">
        <v>229</v>
      </c>
      <c r="D54" s="16354" t="s">
        <v>5085</v>
      </c>
      <c r="E54" s="16354" t="s">
        <v>229</v>
      </c>
      <c r="F54" s="16354" t="s">
        <v>230</v>
      </c>
      <c r="G54" s="16354" t="s">
        <v>70</v>
      </c>
      <c r="H54" s="16354">
        <v>1</v>
      </c>
      <c r="I54" s="16354">
        <v>1</v>
      </c>
      <c r="J54" s="16354">
        <v>1</v>
      </c>
      <c r="K54" s="16434" t="s">
        <v>231</v>
      </c>
      <c r="L54" s="6379" t="s">
        <v>218</v>
      </c>
      <c r="M54" s="6379" t="s">
        <v>223</v>
      </c>
      <c r="N54" s="6380"/>
      <c r="O54" s="6381">
        <v>5000000</v>
      </c>
      <c r="P54" s="6382">
        <v>5150000</v>
      </c>
      <c r="Q54" s="6382">
        <v>5304500</v>
      </c>
      <c r="R54" s="6382">
        <v>5463635</v>
      </c>
      <c r="S54" s="6382">
        <v>5627544.0499999998</v>
      </c>
      <c r="T54" s="6382">
        <v>5796370.3715000004</v>
      </c>
      <c r="U54" s="6382">
        <v>5970261.4826450003</v>
      </c>
      <c r="V54" s="6399"/>
      <c r="W54" s="6399">
        <v>0</v>
      </c>
      <c r="X54" s="6396" t="s">
        <v>3809</v>
      </c>
      <c r="Y54" s="6386"/>
      <c r="Z54" s="6386"/>
      <c r="AA54" s="6386"/>
      <c r="AB54" s="6386"/>
      <c r="AC54" s="6386"/>
      <c r="AD54" s="6386"/>
      <c r="AE54" s="6386"/>
      <c r="AF54" s="6386"/>
      <c r="AG54" s="6386"/>
      <c r="AH54" s="6386"/>
      <c r="AI54" s="6386"/>
      <c r="AJ54" s="6386"/>
      <c r="AK54" s="6386"/>
      <c r="AL54" s="6386"/>
      <c r="AM54" s="6386"/>
      <c r="AN54" s="6386"/>
      <c r="AO54" s="6386"/>
      <c r="AP54" s="6386"/>
      <c r="AQ54" s="6386"/>
      <c r="AR54" s="6386"/>
      <c r="AS54" s="6386"/>
      <c r="AT54" s="6386"/>
      <c r="AU54" s="6386"/>
      <c r="AV54" s="6386"/>
      <c r="AW54" s="6386"/>
      <c r="AX54" s="6386"/>
      <c r="AY54" s="6386"/>
      <c r="AZ54" s="6386"/>
      <c r="BA54" s="6386"/>
      <c r="BB54" s="6386"/>
      <c r="BC54" s="6386"/>
      <c r="BD54" s="6386"/>
      <c r="BE54" s="6386"/>
      <c r="BF54" s="6386"/>
      <c r="BG54" s="6386"/>
      <c r="BH54" s="6386"/>
      <c r="BI54" s="6386"/>
      <c r="BJ54" s="6386"/>
      <c r="BK54" s="6386"/>
      <c r="BL54" s="6386"/>
      <c r="BM54" s="6386"/>
      <c r="BN54" s="5011" t="s">
        <v>3781</v>
      </c>
      <c r="BO54" s="5011" t="s">
        <v>3781</v>
      </c>
      <c r="BP54" s="5010">
        <v>0</v>
      </c>
      <c r="BQ54" s="5011" t="s">
        <v>3781</v>
      </c>
      <c r="BR54" s="16522"/>
      <c r="BS54" s="3056"/>
      <c r="BT54" s="3056"/>
      <c r="BU54" s="6390" t="s">
        <v>9082</v>
      </c>
      <c r="BV54" s="6400"/>
      <c r="BW54" s="6400"/>
      <c r="BX54" s="6400"/>
      <c r="BY54" s="6400"/>
      <c r="BZ54" s="6400"/>
      <c r="CA54" s="6400"/>
      <c r="CB54" s="6400"/>
      <c r="CC54" s="6400"/>
      <c r="CD54" s="6400"/>
      <c r="CE54" s="6400"/>
      <c r="CF54" s="6400"/>
      <c r="CG54" s="6400"/>
      <c r="CH54" s="6400"/>
      <c r="CI54" s="6400"/>
      <c r="CJ54" s="6400"/>
      <c r="CK54" s="6400"/>
      <c r="CL54" s="6400"/>
      <c r="CM54" s="6400"/>
      <c r="CN54" s="6400"/>
      <c r="CO54" s="5011"/>
      <c r="CP54" s="5011"/>
      <c r="CQ54" s="5011"/>
      <c r="CR54" s="5011"/>
      <c r="CS54" s="5011"/>
      <c r="CT54" s="5011"/>
      <c r="CU54" s="5011"/>
      <c r="CV54" s="5011"/>
      <c r="CW54" s="5011"/>
      <c r="CX54" s="5011"/>
      <c r="CY54" s="5011"/>
      <c r="CZ54" s="3056"/>
      <c r="DA54" s="3056"/>
      <c r="DB54" s="3056"/>
      <c r="DC54" s="3056"/>
      <c r="DD54" s="3056"/>
      <c r="DE54" s="3056"/>
      <c r="DF54" s="3056"/>
      <c r="DG54" s="3056"/>
      <c r="DH54" s="3056"/>
      <c r="DI54" s="3057"/>
      <c r="DK54" s="6393"/>
      <c r="DL54" s="6386"/>
      <c r="DM54" s="6386"/>
      <c r="DN54" s="6386"/>
      <c r="DO54" s="6386"/>
      <c r="DP54" s="6386"/>
      <c r="DQ54" s="6386"/>
      <c r="DR54" s="6386"/>
      <c r="DS54" s="6386"/>
      <c r="DT54" s="6386"/>
      <c r="DU54" s="6386"/>
      <c r="DV54" s="6386"/>
      <c r="DW54" s="6386"/>
      <c r="DX54" s="6386"/>
      <c r="DY54" s="6386"/>
      <c r="DZ54" s="6386"/>
      <c r="EA54" s="6386"/>
      <c r="EB54" s="6386"/>
      <c r="EC54" s="6386"/>
      <c r="ED54" s="6386"/>
      <c r="EE54" s="6386"/>
      <c r="EF54" s="6386"/>
      <c r="EG54" s="6386"/>
      <c r="EH54" s="6386"/>
      <c r="EI54" s="6386"/>
      <c r="EJ54" s="6386"/>
      <c r="EK54" s="6386"/>
      <c r="EL54" s="6386"/>
      <c r="EM54" s="6386"/>
      <c r="EN54" s="6386"/>
      <c r="EO54" s="6386"/>
      <c r="EP54" s="6386"/>
      <c r="EQ54" s="6386"/>
      <c r="ER54" s="6386"/>
      <c r="ES54" s="6386"/>
      <c r="ET54" s="6386"/>
      <c r="EU54" s="6386"/>
      <c r="EV54" s="6386"/>
      <c r="EW54" s="6386"/>
      <c r="EX54" s="6386"/>
      <c r="EY54" s="6386"/>
      <c r="EZ54" s="6386"/>
      <c r="FA54" s="6386"/>
      <c r="FB54" s="6386"/>
      <c r="FC54" s="6386"/>
      <c r="FD54" s="6394"/>
    </row>
    <row r="55" spans="1:432" s="6376" customFormat="1" ht="15" customHeight="1">
      <c r="A55" s="16495"/>
      <c r="B55" s="16434"/>
      <c r="C55" s="16434"/>
      <c r="D55" s="16354"/>
      <c r="E55" s="16354"/>
      <c r="F55" s="16354"/>
      <c r="G55" s="16354"/>
      <c r="H55" s="16354"/>
      <c r="I55" s="16354"/>
      <c r="J55" s="16354"/>
      <c r="K55" s="16434"/>
      <c r="L55" s="6379" t="s">
        <v>10251</v>
      </c>
      <c r="M55" s="6379"/>
      <c r="N55" s="6380" t="s">
        <v>224</v>
      </c>
      <c r="O55" s="6381"/>
      <c r="P55" s="6382"/>
      <c r="Q55" s="6382"/>
      <c r="R55" s="6382"/>
      <c r="S55" s="6382"/>
      <c r="T55" s="6382"/>
      <c r="U55" s="6382"/>
      <c r="V55" s="6399"/>
      <c r="W55" s="6399"/>
      <c r="X55" s="6396"/>
      <c r="Y55" s="6386"/>
      <c r="Z55" s="6386"/>
      <c r="AA55" s="6386"/>
      <c r="AB55" s="6386"/>
      <c r="AC55" s="6386"/>
      <c r="AD55" s="6386"/>
      <c r="AE55" s="6386"/>
      <c r="AF55" s="6386"/>
      <c r="AG55" s="6386"/>
      <c r="AH55" s="6386"/>
      <c r="AI55" s="6386"/>
      <c r="AJ55" s="6386"/>
      <c r="AK55" s="6386"/>
      <c r="AL55" s="6386"/>
      <c r="AM55" s="6386"/>
      <c r="AN55" s="6386"/>
      <c r="AO55" s="6386"/>
      <c r="AP55" s="6386"/>
      <c r="AQ55" s="6386"/>
      <c r="AR55" s="6386"/>
      <c r="AS55" s="6386"/>
      <c r="AT55" s="6386"/>
      <c r="AU55" s="6386"/>
      <c r="AV55" s="6386"/>
      <c r="AW55" s="6386"/>
      <c r="AX55" s="6386"/>
      <c r="AY55" s="6386"/>
      <c r="AZ55" s="6386"/>
      <c r="BA55" s="6386"/>
      <c r="BB55" s="6386"/>
      <c r="BC55" s="6386"/>
      <c r="BD55" s="6386"/>
      <c r="BE55" s="6386"/>
      <c r="BF55" s="6386"/>
      <c r="BG55" s="6386"/>
      <c r="BH55" s="6386"/>
      <c r="BI55" s="6386"/>
      <c r="BJ55" s="6386"/>
      <c r="BK55" s="6386"/>
      <c r="BL55" s="6386"/>
      <c r="BM55" s="6386"/>
      <c r="BN55" s="5011"/>
      <c r="BO55" s="5011"/>
      <c r="BP55" s="5010"/>
      <c r="BQ55" s="5011"/>
      <c r="BR55" s="16522"/>
      <c r="BS55" s="3056"/>
      <c r="BT55" s="3056"/>
      <c r="BU55" s="6390"/>
      <c r="BV55" s="6400"/>
      <c r="BW55" s="6400"/>
      <c r="BX55" s="6400"/>
      <c r="BY55" s="6400"/>
      <c r="BZ55" s="6400"/>
      <c r="CA55" s="6400"/>
      <c r="CB55" s="6400"/>
      <c r="CC55" s="6400"/>
      <c r="CD55" s="6400"/>
      <c r="CE55" s="6400"/>
      <c r="CF55" s="6400"/>
      <c r="CG55" s="6400"/>
      <c r="CH55" s="6400"/>
      <c r="CI55" s="6400"/>
      <c r="CJ55" s="6400"/>
      <c r="CK55" s="6400"/>
      <c r="CL55" s="6400"/>
      <c r="CM55" s="6400"/>
      <c r="CN55" s="6400"/>
      <c r="CO55" s="5011"/>
      <c r="CP55" s="5011"/>
      <c r="CQ55" s="5011"/>
      <c r="CR55" s="5011"/>
      <c r="CS55" s="5011"/>
      <c r="CT55" s="5011"/>
      <c r="CU55" s="5011"/>
      <c r="CV55" s="5011"/>
      <c r="CW55" s="5011"/>
      <c r="CX55" s="5011"/>
      <c r="CY55" s="5011"/>
      <c r="CZ55" s="3056"/>
      <c r="DA55" s="3056"/>
      <c r="DB55" s="3056"/>
      <c r="DC55" s="3056"/>
      <c r="DD55" s="3056"/>
      <c r="DE55" s="3056"/>
      <c r="DF55" s="3056"/>
      <c r="DG55" s="3056"/>
      <c r="DH55" s="3056"/>
      <c r="DI55" s="3057"/>
      <c r="DK55" s="6393"/>
      <c r="DL55" s="6386"/>
      <c r="DM55" s="6386"/>
      <c r="DN55" s="6386"/>
      <c r="DO55" s="6386"/>
      <c r="DP55" s="6386"/>
      <c r="DQ55" s="6386"/>
      <c r="DR55" s="6386"/>
      <c r="DS55" s="6386"/>
      <c r="DT55" s="6386"/>
      <c r="DU55" s="6386"/>
      <c r="DV55" s="6386"/>
      <c r="DW55" s="6386"/>
      <c r="DX55" s="6386"/>
      <c r="DY55" s="6386"/>
      <c r="DZ55" s="6386"/>
      <c r="EA55" s="6386"/>
      <c r="EB55" s="6386"/>
      <c r="EC55" s="6386"/>
      <c r="ED55" s="6386"/>
      <c r="EE55" s="6386"/>
      <c r="EF55" s="6386"/>
      <c r="EG55" s="6386"/>
      <c r="EH55" s="6386"/>
      <c r="EI55" s="6386"/>
      <c r="EJ55" s="6386"/>
      <c r="EK55" s="6386"/>
      <c r="EL55" s="6386"/>
      <c r="EM55" s="6386"/>
      <c r="EN55" s="6386"/>
      <c r="EO55" s="6386"/>
      <c r="EP55" s="6386"/>
      <c r="EQ55" s="6386"/>
      <c r="ER55" s="6386"/>
      <c r="ES55" s="6386"/>
      <c r="ET55" s="6386"/>
      <c r="EU55" s="6386"/>
      <c r="EV55" s="6386"/>
      <c r="EW55" s="6386"/>
      <c r="EX55" s="6386"/>
      <c r="EY55" s="6386"/>
      <c r="EZ55" s="6386"/>
      <c r="FA55" s="6386"/>
      <c r="FB55" s="6386"/>
      <c r="FC55" s="6386"/>
      <c r="FD55" s="6394"/>
    </row>
    <row r="56" spans="1:432" s="6376" customFormat="1" ht="15" customHeight="1">
      <c r="A56" s="16495"/>
      <c r="B56" s="16434"/>
      <c r="C56" s="16434" t="s">
        <v>232</v>
      </c>
      <c r="D56" s="16354" t="s">
        <v>5086</v>
      </c>
      <c r="E56" s="16354" t="s">
        <v>232</v>
      </c>
      <c r="F56" s="16354" t="s">
        <v>233</v>
      </c>
      <c r="G56" s="16354" t="s">
        <v>70</v>
      </c>
      <c r="H56" s="16354">
        <v>6</v>
      </c>
      <c r="I56" s="16354">
        <v>6</v>
      </c>
      <c r="J56" s="16354">
        <v>6</v>
      </c>
      <c r="K56" s="16434" t="s">
        <v>234</v>
      </c>
      <c r="L56" s="6379" t="s">
        <v>218</v>
      </c>
      <c r="M56" s="6379" t="s">
        <v>223</v>
      </c>
      <c r="N56" s="6380"/>
      <c r="O56" s="6381">
        <v>75000000</v>
      </c>
      <c r="P56" s="6382">
        <v>77250000</v>
      </c>
      <c r="Q56" s="6382">
        <v>79567500</v>
      </c>
      <c r="R56" s="6382">
        <v>81954525</v>
      </c>
      <c r="S56" s="6382">
        <v>84413160.75</v>
      </c>
      <c r="T56" s="6382">
        <v>86945555.572500005</v>
      </c>
      <c r="U56" s="6382">
        <v>89553922.239675015</v>
      </c>
      <c r="V56" s="6401">
        <v>1</v>
      </c>
      <c r="W56" s="6385" t="s">
        <v>3810</v>
      </c>
      <c r="X56" s="6386"/>
      <c r="Y56" s="6386"/>
      <c r="Z56" s="6387">
        <v>19800000</v>
      </c>
      <c r="AA56" s="6387">
        <v>19800000</v>
      </c>
      <c r="AB56" s="6386"/>
      <c r="AC56" s="6386"/>
      <c r="AD56" s="6386"/>
      <c r="AE56" s="6386"/>
      <c r="AF56" s="6386"/>
      <c r="AG56" s="6386"/>
      <c r="AH56" s="6386"/>
      <c r="AI56" s="6386"/>
      <c r="AJ56" s="6386"/>
      <c r="AK56" s="6386"/>
      <c r="AL56" s="6386"/>
      <c r="AM56" s="6386"/>
      <c r="AN56" s="6386"/>
      <c r="AO56" s="6386"/>
      <c r="AP56" s="6386"/>
      <c r="AQ56" s="6386"/>
      <c r="AR56" s="6386"/>
      <c r="AS56" s="6386"/>
      <c r="AT56" s="6386"/>
      <c r="AU56" s="6386"/>
      <c r="AV56" s="6386"/>
      <c r="AW56" s="6386"/>
      <c r="AX56" s="6386"/>
      <c r="AY56" s="6386"/>
      <c r="AZ56" s="6386"/>
      <c r="BA56" s="6386"/>
      <c r="BB56" s="6386"/>
      <c r="BC56" s="6386"/>
      <c r="BD56" s="6386"/>
      <c r="BE56" s="6386"/>
      <c r="BF56" s="6386"/>
      <c r="BG56" s="6386"/>
      <c r="BH56" s="6386"/>
      <c r="BI56" s="6386"/>
      <c r="BJ56" s="6386"/>
      <c r="BK56" s="6386"/>
      <c r="BL56" s="6386"/>
      <c r="BM56" s="6386"/>
      <c r="BN56" s="6402">
        <v>1</v>
      </c>
      <c r="BO56" s="5011">
        <v>1</v>
      </c>
      <c r="BP56" s="5010">
        <v>1</v>
      </c>
      <c r="BQ56" s="6389">
        <f t="shared" ref="BQ56:BQ71" si="3">+BP56/BO56</f>
        <v>1</v>
      </c>
      <c r="BR56" s="16522"/>
      <c r="BS56" s="6390" t="s">
        <v>3810</v>
      </c>
      <c r="BT56" s="6390"/>
      <c r="BU56" s="6390"/>
      <c r="BV56" s="6391">
        <v>22000000</v>
      </c>
      <c r="BW56" s="6391">
        <v>22000000</v>
      </c>
      <c r="BX56" s="6391"/>
      <c r="BY56" s="6391"/>
      <c r="BZ56" s="6391">
        <v>1</v>
      </c>
      <c r="CA56" s="6391"/>
      <c r="CB56" s="6391"/>
      <c r="CC56" s="6391"/>
      <c r="CD56" s="6391"/>
      <c r="CE56" s="6391"/>
      <c r="CF56" s="6391"/>
      <c r="CG56" s="6391"/>
      <c r="CH56" s="6391"/>
      <c r="CI56" s="6391"/>
      <c r="CJ56" s="6391"/>
      <c r="CK56" s="6391"/>
      <c r="CL56" s="6391"/>
      <c r="CM56" s="6391"/>
      <c r="CN56" s="6391"/>
      <c r="CO56" s="6388"/>
      <c r="CP56" s="6388"/>
      <c r="CQ56" s="6388"/>
      <c r="CR56" s="6388"/>
      <c r="CS56" s="6388"/>
      <c r="CT56" s="6388"/>
      <c r="CU56" s="6388">
        <v>1</v>
      </c>
      <c r="CV56" s="6388"/>
      <c r="CW56" s="6388"/>
      <c r="CX56" s="6388"/>
      <c r="CY56" s="6388"/>
      <c r="CZ56" s="6390"/>
      <c r="DA56" s="6390"/>
      <c r="DB56" s="6390"/>
      <c r="DC56" s="6390"/>
      <c r="DD56" s="6390"/>
      <c r="DE56" s="6390"/>
      <c r="DF56" s="6390"/>
      <c r="DG56" s="6390"/>
      <c r="DH56" s="6390"/>
      <c r="DI56" s="6392"/>
      <c r="DK56" s="6393"/>
      <c r="DL56" s="6386"/>
      <c r="DM56" s="6386"/>
      <c r="DN56" s="6386"/>
      <c r="DO56" s="6386"/>
      <c r="DP56" s="6386"/>
      <c r="DQ56" s="6386"/>
      <c r="DR56" s="6386"/>
      <c r="DS56" s="6386"/>
      <c r="DT56" s="6386"/>
      <c r="DU56" s="6386"/>
      <c r="DV56" s="6386"/>
      <c r="DW56" s="6386"/>
      <c r="DX56" s="6386"/>
      <c r="DY56" s="6386"/>
      <c r="DZ56" s="6386"/>
      <c r="EA56" s="6386"/>
      <c r="EB56" s="6386"/>
      <c r="EC56" s="6386"/>
      <c r="ED56" s="6386"/>
      <c r="EE56" s="6386"/>
      <c r="EF56" s="6386"/>
      <c r="EG56" s="6386"/>
      <c r="EH56" s="6386"/>
      <c r="EI56" s="6386"/>
      <c r="EJ56" s="6386"/>
      <c r="EK56" s="6386"/>
      <c r="EL56" s="6386"/>
      <c r="EM56" s="6386"/>
      <c r="EN56" s="6386"/>
      <c r="EO56" s="6386"/>
      <c r="EP56" s="6386"/>
      <c r="EQ56" s="6386"/>
      <c r="ER56" s="6386"/>
      <c r="ES56" s="6386"/>
      <c r="ET56" s="6386"/>
      <c r="EU56" s="6386"/>
      <c r="EV56" s="6386"/>
      <c r="EW56" s="6386"/>
      <c r="EX56" s="6386"/>
      <c r="EY56" s="6386"/>
      <c r="EZ56" s="6386"/>
      <c r="FA56" s="6386"/>
      <c r="FB56" s="6386"/>
      <c r="FC56" s="6386"/>
      <c r="FD56" s="6394"/>
    </row>
    <row r="57" spans="1:432" s="6376" customFormat="1" ht="15" customHeight="1">
      <c r="A57" s="16495"/>
      <c r="B57" s="16434"/>
      <c r="C57" s="16434"/>
      <c r="D57" s="16354"/>
      <c r="E57" s="16354"/>
      <c r="F57" s="16354"/>
      <c r="G57" s="16354"/>
      <c r="H57" s="16354"/>
      <c r="I57" s="16354"/>
      <c r="J57" s="16354"/>
      <c r="K57" s="16434"/>
      <c r="L57" s="6379" t="s">
        <v>10251</v>
      </c>
      <c r="M57" s="6379"/>
      <c r="N57" s="6380" t="s">
        <v>235</v>
      </c>
      <c r="O57" s="6381"/>
      <c r="P57" s="6382"/>
      <c r="Q57" s="6382"/>
      <c r="R57" s="6382"/>
      <c r="S57" s="6382"/>
      <c r="T57" s="6382"/>
      <c r="U57" s="6382"/>
      <c r="V57" s="6401"/>
      <c r="W57" s="6385"/>
      <c r="X57" s="6386"/>
      <c r="Y57" s="6386"/>
      <c r="Z57" s="6387"/>
      <c r="AA57" s="6387"/>
      <c r="AB57" s="6386"/>
      <c r="AC57" s="6386"/>
      <c r="AD57" s="6386"/>
      <c r="AE57" s="6386"/>
      <c r="AF57" s="6386"/>
      <c r="AG57" s="6386"/>
      <c r="AH57" s="6386"/>
      <c r="AI57" s="6386"/>
      <c r="AJ57" s="6386"/>
      <c r="AK57" s="6386"/>
      <c r="AL57" s="6386"/>
      <c r="AM57" s="6386"/>
      <c r="AN57" s="6386"/>
      <c r="AO57" s="6386"/>
      <c r="AP57" s="6386"/>
      <c r="AQ57" s="6386"/>
      <c r="AR57" s="6386"/>
      <c r="AS57" s="6386"/>
      <c r="AT57" s="6386"/>
      <c r="AU57" s="6386"/>
      <c r="AV57" s="6386"/>
      <c r="AW57" s="6386"/>
      <c r="AX57" s="6386"/>
      <c r="AY57" s="6386"/>
      <c r="AZ57" s="6386"/>
      <c r="BA57" s="6386"/>
      <c r="BB57" s="6386"/>
      <c r="BC57" s="6386"/>
      <c r="BD57" s="6386"/>
      <c r="BE57" s="6386"/>
      <c r="BF57" s="6386"/>
      <c r="BG57" s="6386"/>
      <c r="BH57" s="6386"/>
      <c r="BI57" s="6386"/>
      <c r="BJ57" s="6386"/>
      <c r="BK57" s="6386"/>
      <c r="BL57" s="6386"/>
      <c r="BM57" s="6386"/>
      <c r="BN57" s="6402"/>
      <c r="BO57" s="5011"/>
      <c r="BP57" s="5010"/>
      <c r="BQ57" s="6389"/>
      <c r="BR57" s="16522"/>
      <c r="BS57" s="6390"/>
      <c r="BT57" s="6390"/>
      <c r="BU57" s="6390"/>
      <c r="BV57" s="6391"/>
      <c r="BW57" s="6391"/>
      <c r="BX57" s="6391"/>
      <c r="BY57" s="6391"/>
      <c r="BZ57" s="6391"/>
      <c r="CA57" s="6391"/>
      <c r="CB57" s="6391"/>
      <c r="CC57" s="6391"/>
      <c r="CD57" s="6391"/>
      <c r="CE57" s="6391"/>
      <c r="CF57" s="6391"/>
      <c r="CG57" s="6391"/>
      <c r="CH57" s="6391"/>
      <c r="CI57" s="6391"/>
      <c r="CJ57" s="6391"/>
      <c r="CK57" s="6391"/>
      <c r="CL57" s="6391"/>
      <c r="CM57" s="6391"/>
      <c r="CN57" s="6391"/>
      <c r="CO57" s="6388"/>
      <c r="CP57" s="6388"/>
      <c r="CQ57" s="6388"/>
      <c r="CR57" s="6388"/>
      <c r="CS57" s="6388"/>
      <c r="CT57" s="6388"/>
      <c r="CU57" s="6388"/>
      <c r="CV57" s="6388"/>
      <c r="CW57" s="6388"/>
      <c r="CX57" s="6388"/>
      <c r="CY57" s="6388"/>
      <c r="CZ57" s="6390"/>
      <c r="DA57" s="6390"/>
      <c r="DB57" s="6390"/>
      <c r="DC57" s="6390"/>
      <c r="DD57" s="6390"/>
      <c r="DE57" s="6390"/>
      <c r="DF57" s="6390"/>
      <c r="DG57" s="6390"/>
      <c r="DH57" s="6390"/>
      <c r="DI57" s="6392"/>
      <c r="DK57" s="6393"/>
      <c r="DL57" s="6386"/>
      <c r="DM57" s="6386"/>
      <c r="DN57" s="6386"/>
      <c r="DO57" s="6386"/>
      <c r="DP57" s="6386"/>
      <c r="DQ57" s="6386"/>
      <c r="DR57" s="6386"/>
      <c r="DS57" s="6386"/>
      <c r="DT57" s="6386"/>
      <c r="DU57" s="6386"/>
      <c r="DV57" s="6386"/>
      <c r="DW57" s="6386"/>
      <c r="DX57" s="6386"/>
      <c r="DY57" s="6386"/>
      <c r="DZ57" s="6386"/>
      <c r="EA57" s="6386"/>
      <c r="EB57" s="6386"/>
      <c r="EC57" s="6386"/>
      <c r="ED57" s="6386"/>
      <c r="EE57" s="6386"/>
      <c r="EF57" s="6386"/>
      <c r="EG57" s="6386"/>
      <c r="EH57" s="6386"/>
      <c r="EI57" s="6386"/>
      <c r="EJ57" s="6386"/>
      <c r="EK57" s="6386"/>
      <c r="EL57" s="6386"/>
      <c r="EM57" s="6386"/>
      <c r="EN57" s="6386"/>
      <c r="EO57" s="6386"/>
      <c r="EP57" s="6386"/>
      <c r="EQ57" s="6386"/>
      <c r="ER57" s="6386"/>
      <c r="ES57" s="6386"/>
      <c r="ET57" s="6386"/>
      <c r="EU57" s="6386"/>
      <c r="EV57" s="6386"/>
      <c r="EW57" s="6386"/>
      <c r="EX57" s="6386"/>
      <c r="EY57" s="6386"/>
      <c r="EZ57" s="6386"/>
      <c r="FA57" s="6386"/>
      <c r="FB57" s="6386"/>
      <c r="FC57" s="6386"/>
      <c r="FD57" s="6394"/>
    </row>
    <row r="58" spans="1:432" s="6376" customFormat="1" ht="15" customHeight="1">
      <c r="A58" s="16495"/>
      <c r="B58" s="16434"/>
      <c r="C58" s="6379" t="s">
        <v>236</v>
      </c>
      <c r="D58" s="5010" t="s">
        <v>5087</v>
      </c>
      <c r="E58" s="5010" t="s">
        <v>236</v>
      </c>
      <c r="F58" s="6379" t="s">
        <v>237</v>
      </c>
      <c r="G58" s="6379" t="s">
        <v>70</v>
      </c>
      <c r="H58" s="6403">
        <v>2</v>
      </c>
      <c r="I58" s="6403">
        <v>2</v>
      </c>
      <c r="J58" s="6403">
        <v>2</v>
      </c>
      <c r="K58" s="6379" t="s">
        <v>238</v>
      </c>
      <c r="L58" s="6379" t="s">
        <v>218</v>
      </c>
      <c r="M58" s="6379" t="s">
        <v>223</v>
      </c>
      <c r="N58" s="6380"/>
      <c r="O58" s="6381">
        <v>20000000</v>
      </c>
      <c r="P58" s="6382">
        <v>20600000</v>
      </c>
      <c r="Q58" s="6382">
        <v>21218000</v>
      </c>
      <c r="R58" s="6382">
        <v>21854540</v>
      </c>
      <c r="S58" s="6382">
        <v>22510176.199999999</v>
      </c>
      <c r="T58" s="6382">
        <v>23185481.486000001</v>
      </c>
      <c r="U58" s="6382">
        <v>23881045.930580001</v>
      </c>
      <c r="V58" s="6383">
        <v>1</v>
      </c>
      <c r="W58" s="6385" t="s">
        <v>3823</v>
      </c>
      <c r="X58" s="6386"/>
      <c r="Y58" s="6386"/>
      <c r="Z58" s="6386"/>
      <c r="AA58" s="6386"/>
      <c r="AB58" s="6386"/>
      <c r="AC58" s="6386"/>
      <c r="AD58" s="6386"/>
      <c r="AE58" s="6386"/>
      <c r="AF58" s="6386"/>
      <c r="AG58" s="6386"/>
      <c r="AH58" s="6386"/>
      <c r="AI58" s="6386"/>
      <c r="AJ58" s="6386"/>
      <c r="AK58" s="6386"/>
      <c r="AL58" s="6386"/>
      <c r="AM58" s="6386"/>
      <c r="AN58" s="6386"/>
      <c r="AO58" s="6386"/>
      <c r="AP58" s="6386"/>
      <c r="AQ58" s="6386"/>
      <c r="AR58" s="6386"/>
      <c r="AS58" s="6386"/>
      <c r="AT58" s="6386"/>
      <c r="AU58" s="6386"/>
      <c r="AV58" s="6386"/>
      <c r="AW58" s="6386"/>
      <c r="AX58" s="6386"/>
      <c r="AY58" s="6386"/>
      <c r="AZ58" s="6386"/>
      <c r="BA58" s="6386"/>
      <c r="BB58" s="6386"/>
      <c r="BC58" s="6386"/>
      <c r="BD58" s="6386"/>
      <c r="BE58" s="6386"/>
      <c r="BF58" s="6386"/>
      <c r="BG58" s="6386"/>
      <c r="BH58" s="6386"/>
      <c r="BI58" s="6386"/>
      <c r="BJ58" s="6386"/>
      <c r="BK58" s="6386"/>
      <c r="BL58" s="6386"/>
      <c r="BM58" s="6386"/>
      <c r="BN58" s="6388">
        <v>2</v>
      </c>
      <c r="BO58" s="5010">
        <v>2</v>
      </c>
      <c r="BP58" s="5010">
        <v>2</v>
      </c>
      <c r="BQ58" s="6389">
        <f t="shared" si="3"/>
        <v>1</v>
      </c>
      <c r="BR58" s="16522"/>
      <c r="BS58" s="6390" t="s">
        <v>9083</v>
      </c>
      <c r="BT58" s="6390"/>
      <c r="BU58" s="6404"/>
      <c r="BV58" s="6405">
        <v>48400000</v>
      </c>
      <c r="BW58" s="6405">
        <v>48400000</v>
      </c>
      <c r="BX58" s="6391"/>
      <c r="BY58" s="6391"/>
      <c r="BZ58" s="6391"/>
      <c r="CA58" s="6391"/>
      <c r="CB58" s="6391"/>
      <c r="CC58" s="6391"/>
      <c r="CD58" s="6391"/>
      <c r="CE58" s="6391"/>
      <c r="CF58" s="6391"/>
      <c r="CG58" s="6391"/>
      <c r="CH58" s="6391"/>
      <c r="CI58" s="6391"/>
      <c r="CJ58" s="6391"/>
      <c r="CK58" s="6391"/>
      <c r="CL58" s="6391"/>
      <c r="CM58" s="6391"/>
      <c r="CN58" s="6391"/>
      <c r="CO58" s="6388"/>
      <c r="CP58" s="6388"/>
      <c r="CQ58" s="6388"/>
      <c r="CR58" s="6388"/>
      <c r="CS58" s="6388"/>
      <c r="CT58" s="6388"/>
      <c r="CU58" s="6388"/>
      <c r="CV58" s="6388"/>
      <c r="CW58" s="6388"/>
      <c r="CX58" s="5011"/>
      <c r="CY58" s="5011"/>
      <c r="CZ58" s="3056"/>
      <c r="DA58" s="3056"/>
      <c r="DB58" s="3056"/>
      <c r="DC58" s="3056"/>
      <c r="DD58" s="3056"/>
      <c r="DE58" s="3056"/>
      <c r="DF58" s="3056"/>
      <c r="DG58" s="3056"/>
      <c r="DH58" s="3056"/>
      <c r="DI58" s="3057"/>
      <c r="DK58" s="6393"/>
      <c r="DL58" s="6386"/>
      <c r="DM58" s="6386"/>
      <c r="DN58" s="6386"/>
      <c r="DO58" s="6386"/>
      <c r="DP58" s="6386"/>
      <c r="DQ58" s="6386"/>
      <c r="DR58" s="6386"/>
      <c r="DS58" s="6386"/>
      <c r="DT58" s="6386"/>
      <c r="DU58" s="6386"/>
      <c r="DV58" s="6386"/>
      <c r="DW58" s="6386"/>
      <c r="DX58" s="6386"/>
      <c r="DY58" s="6386"/>
      <c r="DZ58" s="6386"/>
      <c r="EA58" s="6386"/>
      <c r="EB58" s="6386"/>
      <c r="EC58" s="6386"/>
      <c r="ED58" s="6386"/>
      <c r="EE58" s="6386"/>
      <c r="EF58" s="6386"/>
      <c r="EG58" s="6386"/>
      <c r="EH58" s="6386"/>
      <c r="EI58" s="6386"/>
      <c r="EJ58" s="6386"/>
      <c r="EK58" s="6386"/>
      <c r="EL58" s="6386"/>
      <c r="EM58" s="6386"/>
      <c r="EN58" s="6386"/>
      <c r="EO58" s="6386"/>
      <c r="EP58" s="6386"/>
      <c r="EQ58" s="6386"/>
      <c r="ER58" s="6386"/>
      <c r="ES58" s="6386"/>
      <c r="ET58" s="6386"/>
      <c r="EU58" s="6386"/>
      <c r="EV58" s="6386"/>
      <c r="EW58" s="6386"/>
      <c r="EX58" s="6386"/>
      <c r="EY58" s="6386"/>
      <c r="EZ58" s="6386"/>
      <c r="FA58" s="6386"/>
      <c r="FB58" s="6386"/>
      <c r="FC58" s="6386"/>
      <c r="FD58" s="6394"/>
    </row>
    <row r="59" spans="1:432" s="6376" customFormat="1" ht="15" customHeight="1">
      <c r="A59" s="16495"/>
      <c r="B59" s="16434"/>
      <c r="C59" s="6379" t="s">
        <v>239</v>
      </c>
      <c r="D59" s="5010" t="s">
        <v>5088</v>
      </c>
      <c r="E59" s="5010" t="s">
        <v>239</v>
      </c>
      <c r="F59" s="6379" t="s">
        <v>240</v>
      </c>
      <c r="G59" s="6379" t="s">
        <v>70</v>
      </c>
      <c r="H59" s="6403">
        <v>1</v>
      </c>
      <c r="I59" s="6403">
        <v>1</v>
      </c>
      <c r="J59" s="6403">
        <v>1</v>
      </c>
      <c r="K59" s="6379" t="s">
        <v>238</v>
      </c>
      <c r="L59" s="6379" t="s">
        <v>218</v>
      </c>
      <c r="M59" s="6379" t="s">
        <v>223</v>
      </c>
      <c r="N59" s="6380"/>
      <c r="O59" s="6381">
        <v>20000000</v>
      </c>
      <c r="P59" s="6382">
        <v>20600000</v>
      </c>
      <c r="Q59" s="6382">
        <v>21218000</v>
      </c>
      <c r="R59" s="6382">
        <v>21854540</v>
      </c>
      <c r="S59" s="6382">
        <v>22510176.199999999</v>
      </c>
      <c r="T59" s="6382">
        <v>23185481.486000001</v>
      </c>
      <c r="U59" s="6382">
        <v>23881045.930580001</v>
      </c>
      <c r="V59" s="6406">
        <v>1</v>
      </c>
      <c r="W59" s="6407" t="s">
        <v>3811</v>
      </c>
      <c r="X59" s="6386"/>
      <c r="Y59" s="6386"/>
      <c r="Z59" s="6408" t="s">
        <v>3812</v>
      </c>
      <c r="AA59" s="6408" t="s">
        <v>3812</v>
      </c>
      <c r="AB59" s="6386"/>
      <c r="AC59" s="6386"/>
      <c r="AD59" s="6386"/>
      <c r="AE59" s="6386"/>
      <c r="AF59" s="6386"/>
      <c r="AG59" s="6386"/>
      <c r="AH59" s="6386"/>
      <c r="AI59" s="6386"/>
      <c r="AJ59" s="6386"/>
      <c r="AK59" s="6386"/>
      <c r="AL59" s="6386"/>
      <c r="AM59" s="6386"/>
      <c r="AN59" s="6386"/>
      <c r="AO59" s="6386"/>
      <c r="AP59" s="6386"/>
      <c r="AQ59" s="6386"/>
      <c r="AR59" s="6386"/>
      <c r="AS59" s="6386"/>
      <c r="AT59" s="6386"/>
      <c r="AU59" s="6386"/>
      <c r="AV59" s="6386"/>
      <c r="AW59" s="6386"/>
      <c r="AX59" s="6386"/>
      <c r="AY59" s="6386"/>
      <c r="AZ59" s="6386"/>
      <c r="BA59" s="6386"/>
      <c r="BB59" s="6386"/>
      <c r="BC59" s="6386"/>
      <c r="BD59" s="6386"/>
      <c r="BE59" s="6386"/>
      <c r="BF59" s="6386"/>
      <c r="BG59" s="6386"/>
      <c r="BH59" s="6386"/>
      <c r="BI59" s="6386"/>
      <c r="BJ59" s="6386"/>
      <c r="BK59" s="6386"/>
      <c r="BL59" s="6386"/>
      <c r="BM59" s="6386"/>
      <c r="BN59" s="6402">
        <v>1</v>
      </c>
      <c r="BO59" s="5011">
        <v>1</v>
      </c>
      <c r="BP59" s="5010">
        <v>1</v>
      </c>
      <c r="BQ59" s="6389">
        <f t="shared" si="3"/>
        <v>1</v>
      </c>
      <c r="BR59" s="16522"/>
      <c r="BS59" s="6390" t="s">
        <v>9084</v>
      </c>
      <c r="BT59" s="6390"/>
      <c r="BU59" s="6390"/>
      <c r="BV59" s="6391">
        <v>3840000</v>
      </c>
      <c r="BW59" s="6391">
        <v>3840000</v>
      </c>
      <c r="BX59" s="6391"/>
      <c r="BY59" s="6391"/>
      <c r="BZ59" s="6391">
        <v>80</v>
      </c>
      <c r="CA59" s="6391">
        <v>36</v>
      </c>
      <c r="CB59" s="6391">
        <v>44</v>
      </c>
      <c r="CC59" s="6391">
        <v>80</v>
      </c>
      <c r="CD59" s="6391"/>
      <c r="CE59" s="6391"/>
      <c r="CF59" s="6391">
        <v>80</v>
      </c>
      <c r="CG59" s="6391"/>
      <c r="CH59" s="6391"/>
      <c r="CI59" s="6391"/>
      <c r="CJ59" s="6391"/>
      <c r="CK59" s="6391"/>
      <c r="CL59" s="6391"/>
      <c r="CM59" s="6391"/>
      <c r="CN59" s="6391"/>
      <c r="CO59" s="6388"/>
      <c r="CP59" s="6388"/>
      <c r="CQ59" s="6388"/>
      <c r="CR59" s="6388"/>
      <c r="CS59" s="6388"/>
      <c r="CT59" s="6388">
        <v>23</v>
      </c>
      <c r="CU59" s="6388">
        <v>35</v>
      </c>
      <c r="CV59" s="6388">
        <v>22</v>
      </c>
      <c r="CW59" s="6388"/>
      <c r="CX59" s="6388"/>
      <c r="CY59" s="6388"/>
      <c r="CZ59" s="6390"/>
      <c r="DA59" s="6390"/>
      <c r="DB59" s="3056"/>
      <c r="DC59" s="3056"/>
      <c r="DD59" s="3056"/>
      <c r="DE59" s="3056"/>
      <c r="DF59" s="3056"/>
      <c r="DG59" s="3056"/>
      <c r="DH59" s="3056"/>
      <c r="DI59" s="3057"/>
      <c r="DK59" s="6393"/>
      <c r="DL59" s="6386"/>
      <c r="DM59" s="6386"/>
      <c r="DN59" s="6386"/>
      <c r="DO59" s="6386"/>
      <c r="DP59" s="6386"/>
      <c r="DQ59" s="6386"/>
      <c r="DR59" s="6386"/>
      <c r="DS59" s="6386"/>
      <c r="DT59" s="6386"/>
      <c r="DU59" s="6386"/>
      <c r="DV59" s="6386"/>
      <c r="DW59" s="6386"/>
      <c r="DX59" s="6386"/>
      <c r="DY59" s="6386"/>
      <c r="DZ59" s="6386"/>
      <c r="EA59" s="6386"/>
      <c r="EB59" s="6386"/>
      <c r="EC59" s="6386"/>
      <c r="ED59" s="6386"/>
      <c r="EE59" s="6386"/>
      <c r="EF59" s="6386"/>
      <c r="EG59" s="6386"/>
      <c r="EH59" s="6386"/>
      <c r="EI59" s="6386"/>
      <c r="EJ59" s="6386"/>
      <c r="EK59" s="6386"/>
      <c r="EL59" s="6386"/>
      <c r="EM59" s="6386"/>
      <c r="EN59" s="6386"/>
      <c r="EO59" s="6386"/>
      <c r="EP59" s="6386"/>
      <c r="EQ59" s="6386"/>
      <c r="ER59" s="6386"/>
      <c r="ES59" s="6386"/>
      <c r="ET59" s="6386"/>
      <c r="EU59" s="6386"/>
      <c r="EV59" s="6386"/>
      <c r="EW59" s="6386"/>
      <c r="EX59" s="6386"/>
      <c r="EY59" s="6386"/>
      <c r="EZ59" s="6386"/>
      <c r="FA59" s="6386"/>
      <c r="FB59" s="6386"/>
      <c r="FC59" s="6386"/>
      <c r="FD59" s="6394"/>
    </row>
    <row r="60" spans="1:432" s="6376" customFormat="1" ht="15" customHeight="1">
      <c r="A60" s="16495"/>
      <c r="B60" s="16434"/>
      <c r="C60" s="6379" t="s">
        <v>241</v>
      </c>
      <c r="D60" s="5010" t="s">
        <v>5089</v>
      </c>
      <c r="E60" s="5010" t="s">
        <v>241</v>
      </c>
      <c r="F60" s="6379" t="s">
        <v>242</v>
      </c>
      <c r="G60" s="6379" t="s">
        <v>70</v>
      </c>
      <c r="H60" s="6403">
        <v>1</v>
      </c>
      <c r="I60" s="6403">
        <v>2</v>
      </c>
      <c r="J60" s="6403">
        <v>3</v>
      </c>
      <c r="K60" s="6379" t="s">
        <v>222</v>
      </c>
      <c r="L60" s="6379" t="s">
        <v>218</v>
      </c>
      <c r="M60" s="6379" t="s">
        <v>223</v>
      </c>
      <c r="N60" s="6380"/>
      <c r="O60" s="6381">
        <v>20000000</v>
      </c>
      <c r="P60" s="6382">
        <v>20600000</v>
      </c>
      <c r="Q60" s="6382">
        <v>21218000</v>
      </c>
      <c r="R60" s="6382">
        <v>43709080</v>
      </c>
      <c r="S60" s="6382">
        <v>45020352.399999999</v>
      </c>
      <c r="T60" s="6382">
        <v>46370962.972000003</v>
      </c>
      <c r="U60" s="6382">
        <v>47762091.861160003</v>
      </c>
      <c r="V60" s="6401">
        <v>1</v>
      </c>
      <c r="W60" s="6396" t="s">
        <v>3813</v>
      </c>
      <c r="X60" s="6385" t="s">
        <v>3814</v>
      </c>
      <c r="Y60" s="6385" t="s">
        <v>3815</v>
      </c>
      <c r="Z60" s="6408">
        <v>15000000</v>
      </c>
      <c r="AA60" s="6386">
        <v>15000000</v>
      </c>
      <c r="AB60" s="6408"/>
      <c r="AC60" s="6386"/>
      <c r="AD60" s="6386"/>
      <c r="AE60" s="6386"/>
      <c r="AF60" s="6386"/>
      <c r="AG60" s="6386"/>
      <c r="AH60" s="6386"/>
      <c r="AI60" s="6386"/>
      <c r="AJ60" s="6386"/>
      <c r="AK60" s="6386"/>
      <c r="AL60" s="6386"/>
      <c r="AM60" s="6386"/>
      <c r="AN60" s="6386"/>
      <c r="AO60" s="6386"/>
      <c r="AP60" s="6386"/>
      <c r="AQ60" s="6386"/>
      <c r="AR60" s="6386"/>
      <c r="AS60" s="6386"/>
      <c r="AT60" s="6386"/>
      <c r="AU60" s="6386"/>
      <c r="AV60" s="6386"/>
      <c r="AW60" s="6386"/>
      <c r="AX60" s="6386"/>
      <c r="AY60" s="6386"/>
      <c r="AZ60" s="6386"/>
      <c r="BA60" s="6386"/>
      <c r="BB60" s="6386"/>
      <c r="BC60" s="6386"/>
      <c r="BD60" s="6386"/>
      <c r="BE60" s="6386"/>
      <c r="BF60" s="6386"/>
      <c r="BG60" s="6386"/>
      <c r="BH60" s="6386"/>
      <c r="BI60" s="6386"/>
      <c r="BJ60" s="6386"/>
      <c r="BK60" s="6386"/>
      <c r="BL60" s="6386"/>
      <c r="BM60" s="6386"/>
      <c r="BN60" s="6388">
        <v>1</v>
      </c>
      <c r="BO60" s="5011">
        <v>1</v>
      </c>
      <c r="BP60" s="5010">
        <v>1</v>
      </c>
      <c r="BQ60" s="6389">
        <f t="shared" si="3"/>
        <v>1</v>
      </c>
      <c r="BR60" s="16522"/>
      <c r="BS60" s="6390" t="s">
        <v>9085</v>
      </c>
      <c r="BT60" s="6390" t="s">
        <v>9086</v>
      </c>
      <c r="BU60" s="6390" t="s">
        <v>9087</v>
      </c>
      <c r="BV60" s="6391">
        <v>16700000</v>
      </c>
      <c r="BW60" s="6391">
        <v>16700000</v>
      </c>
      <c r="BX60" s="6391"/>
      <c r="BY60" s="6391"/>
      <c r="BZ60" s="6391"/>
      <c r="CA60" s="6391"/>
      <c r="CB60" s="6391"/>
      <c r="CC60" s="6391"/>
      <c r="CD60" s="6391"/>
      <c r="CE60" s="6391"/>
      <c r="CF60" s="6391"/>
      <c r="CG60" s="6391"/>
      <c r="CH60" s="6391"/>
      <c r="CI60" s="6391"/>
      <c r="CJ60" s="6391"/>
      <c r="CK60" s="6391"/>
      <c r="CL60" s="6391"/>
      <c r="CM60" s="6400"/>
      <c r="CN60" s="6400"/>
      <c r="CO60" s="5011"/>
      <c r="CP60" s="5011"/>
      <c r="CQ60" s="5011"/>
      <c r="CR60" s="5011"/>
      <c r="CS60" s="5011"/>
      <c r="CT60" s="5011"/>
      <c r="CU60" s="5011"/>
      <c r="CV60" s="5011"/>
      <c r="CW60" s="5011"/>
      <c r="CX60" s="5011"/>
      <c r="CY60" s="5011"/>
      <c r="CZ60" s="3056"/>
      <c r="DA60" s="3056"/>
      <c r="DB60" s="3056"/>
      <c r="DC60" s="3056"/>
      <c r="DD60" s="3056"/>
      <c r="DE60" s="3056"/>
      <c r="DF60" s="3056"/>
      <c r="DG60" s="3056"/>
      <c r="DH60" s="3056"/>
      <c r="DI60" s="3057"/>
      <c r="DK60" s="6393"/>
      <c r="DL60" s="6386"/>
      <c r="DM60" s="6386"/>
      <c r="DN60" s="6386"/>
      <c r="DO60" s="6386"/>
      <c r="DP60" s="6386"/>
      <c r="DQ60" s="6386"/>
      <c r="DR60" s="6386"/>
      <c r="DS60" s="6386"/>
      <c r="DT60" s="6386"/>
      <c r="DU60" s="6386"/>
      <c r="DV60" s="6386"/>
      <c r="DW60" s="6386"/>
      <c r="DX60" s="6386"/>
      <c r="DY60" s="6386"/>
      <c r="DZ60" s="6386"/>
      <c r="EA60" s="6386"/>
      <c r="EB60" s="6386"/>
      <c r="EC60" s="6386"/>
      <c r="ED60" s="6386"/>
      <c r="EE60" s="6386"/>
      <c r="EF60" s="6386"/>
      <c r="EG60" s="6386"/>
      <c r="EH60" s="6386"/>
      <c r="EI60" s="6386"/>
      <c r="EJ60" s="6386"/>
      <c r="EK60" s="6386"/>
      <c r="EL60" s="6386"/>
      <c r="EM60" s="6386"/>
      <c r="EN60" s="6386"/>
      <c r="EO60" s="6386"/>
      <c r="EP60" s="6386"/>
      <c r="EQ60" s="6386"/>
      <c r="ER60" s="6386"/>
      <c r="ES60" s="6386"/>
      <c r="ET60" s="6386"/>
      <c r="EU60" s="6386"/>
      <c r="EV60" s="6386"/>
      <c r="EW60" s="6386"/>
      <c r="EX60" s="6386"/>
      <c r="EY60" s="6386"/>
      <c r="EZ60" s="6386"/>
      <c r="FA60" s="6386"/>
      <c r="FB60" s="6386"/>
      <c r="FC60" s="6386"/>
      <c r="FD60" s="6394"/>
    </row>
    <row r="61" spans="1:432" s="6376" customFormat="1" ht="15" customHeight="1">
      <c r="A61" s="16495"/>
      <c r="B61" s="16434" t="s">
        <v>243</v>
      </c>
      <c r="C61" s="16434" t="s">
        <v>244</v>
      </c>
      <c r="D61" s="16354" t="s">
        <v>5090</v>
      </c>
      <c r="E61" s="16354" t="s">
        <v>244</v>
      </c>
      <c r="F61" s="16354" t="s">
        <v>245</v>
      </c>
      <c r="G61" s="16354" t="s">
        <v>70</v>
      </c>
      <c r="H61" s="16354">
        <v>4</v>
      </c>
      <c r="I61" s="16354">
        <v>4</v>
      </c>
      <c r="J61" s="16354">
        <v>4</v>
      </c>
      <c r="K61" s="16434" t="s">
        <v>222</v>
      </c>
      <c r="L61" s="6379" t="s">
        <v>218</v>
      </c>
      <c r="M61" s="6379" t="s">
        <v>223</v>
      </c>
      <c r="N61" s="6386"/>
      <c r="O61" s="6381">
        <v>120000000</v>
      </c>
      <c r="P61" s="6382">
        <v>123600000</v>
      </c>
      <c r="Q61" s="6382">
        <v>127308000</v>
      </c>
      <c r="R61" s="6382">
        <v>131127240</v>
      </c>
      <c r="S61" s="6382">
        <v>135061057.20000002</v>
      </c>
      <c r="T61" s="6382">
        <v>139112888.91600001</v>
      </c>
      <c r="U61" s="6382">
        <v>143286275.58348</v>
      </c>
      <c r="V61" s="6409">
        <v>1</v>
      </c>
      <c r="W61" s="6410" t="s">
        <v>3816</v>
      </c>
      <c r="X61" s="6399" t="s">
        <v>3817</v>
      </c>
      <c r="Y61" s="6384" t="s">
        <v>3818</v>
      </c>
      <c r="Z61" s="6411">
        <v>27007000</v>
      </c>
      <c r="AA61" s="6386"/>
      <c r="AB61" s="6411">
        <v>27007000</v>
      </c>
      <c r="AC61" s="6386"/>
      <c r="AD61" s="6399">
        <v>1734</v>
      </c>
      <c r="AE61" s="6412">
        <v>5</v>
      </c>
      <c r="AF61" s="6412">
        <v>29</v>
      </c>
      <c r="AG61" s="6412">
        <v>34</v>
      </c>
      <c r="AH61" s="6412"/>
      <c r="AI61" s="6386"/>
      <c r="AJ61" s="6386"/>
      <c r="AK61" s="6386"/>
      <c r="AL61" s="6386"/>
      <c r="AM61" s="6412">
        <v>34</v>
      </c>
      <c r="AN61" s="6386"/>
      <c r="AO61" s="6386"/>
      <c r="AP61" s="6386"/>
      <c r="AQ61" s="6386"/>
      <c r="AR61" s="6386"/>
      <c r="AS61" s="6386"/>
      <c r="AT61" s="6386"/>
      <c r="AU61" s="6386"/>
      <c r="AV61" s="6386"/>
      <c r="AW61" s="6386"/>
      <c r="AX61" s="6386"/>
      <c r="AY61" s="6412">
        <v>34</v>
      </c>
      <c r="AZ61" s="6386"/>
      <c r="BA61" s="6386"/>
      <c r="BB61" s="6386"/>
      <c r="BC61" s="6386"/>
      <c r="BD61" s="6399" t="s">
        <v>3819</v>
      </c>
      <c r="BE61" s="6385" t="s">
        <v>3820</v>
      </c>
      <c r="BF61" s="6386"/>
      <c r="BG61" s="6386"/>
      <c r="BH61" s="6386"/>
      <c r="BI61" s="6386"/>
      <c r="BJ61" s="6386"/>
      <c r="BK61" s="6386"/>
      <c r="BL61" s="6386"/>
      <c r="BM61" s="6386"/>
      <c r="BN61" s="6402">
        <v>8</v>
      </c>
      <c r="BO61" s="5011">
        <v>8</v>
      </c>
      <c r="BP61" s="5010">
        <v>8</v>
      </c>
      <c r="BQ61" s="6389">
        <f t="shared" si="3"/>
        <v>1</v>
      </c>
      <c r="BR61" s="16522"/>
      <c r="BS61" s="6390" t="s">
        <v>9707</v>
      </c>
      <c r="BT61" s="6390" t="s">
        <v>9672</v>
      </c>
      <c r="BU61" s="6413" t="s">
        <v>9673</v>
      </c>
      <c r="BV61" s="6414">
        <v>60858074.518749997</v>
      </c>
      <c r="BW61" s="6414">
        <v>31911349.518750001</v>
      </c>
      <c r="BX61" s="6414">
        <v>28946725</v>
      </c>
      <c r="BY61" s="6414">
        <v>0</v>
      </c>
      <c r="BZ61" s="6414">
        <v>2000</v>
      </c>
      <c r="CA61" s="6414"/>
      <c r="CB61" s="6414"/>
      <c r="CC61" s="6414"/>
      <c r="CD61" s="6414"/>
      <c r="CE61" s="6414"/>
      <c r="CF61" s="6414"/>
      <c r="CG61" s="6414"/>
      <c r="CH61" s="6414"/>
      <c r="CI61" s="6414"/>
      <c r="CJ61" s="6414"/>
      <c r="CK61" s="6414"/>
      <c r="CL61" s="6414"/>
      <c r="CM61" s="6414"/>
      <c r="CN61" s="6414"/>
      <c r="CO61" s="5010"/>
      <c r="CP61" s="5010"/>
      <c r="CQ61" s="5010"/>
      <c r="CR61" s="5010"/>
      <c r="CS61" s="5010"/>
      <c r="CT61" s="5010"/>
      <c r="CU61" s="5010">
        <v>2000</v>
      </c>
      <c r="CV61" s="5010"/>
      <c r="CW61" s="5010"/>
      <c r="CX61" s="5010"/>
      <c r="CY61" s="5010"/>
      <c r="CZ61" s="6413" t="s">
        <v>3819</v>
      </c>
      <c r="DA61" s="6413" t="s">
        <v>3820</v>
      </c>
      <c r="DB61" s="6413"/>
      <c r="DC61" s="6413"/>
      <c r="DD61" s="6413"/>
      <c r="DE61" s="6413"/>
      <c r="DF61" s="6413"/>
      <c r="DG61" s="6413"/>
      <c r="DH61" s="6413"/>
      <c r="DI61" s="6415"/>
      <c r="DK61" s="6393"/>
      <c r="DL61" s="6386"/>
      <c r="DM61" s="6386"/>
      <c r="DN61" s="6386"/>
      <c r="DO61" s="6386"/>
      <c r="DP61" s="6386"/>
      <c r="DQ61" s="6386"/>
      <c r="DR61" s="6386"/>
      <c r="DS61" s="6386"/>
      <c r="DT61" s="6386"/>
      <c r="DU61" s="6386"/>
      <c r="DV61" s="6386"/>
      <c r="DW61" s="6386"/>
      <c r="DX61" s="6386"/>
      <c r="DY61" s="6386"/>
      <c r="DZ61" s="6386"/>
      <c r="EA61" s="6386"/>
      <c r="EB61" s="6386"/>
      <c r="EC61" s="6386"/>
      <c r="ED61" s="6386"/>
      <c r="EE61" s="6386"/>
      <c r="EF61" s="6386"/>
      <c r="EG61" s="6386"/>
      <c r="EH61" s="6386"/>
      <c r="EI61" s="6386"/>
      <c r="EJ61" s="6386"/>
      <c r="EK61" s="6386"/>
      <c r="EL61" s="6386"/>
      <c r="EM61" s="6386"/>
      <c r="EN61" s="6386"/>
      <c r="EO61" s="6386"/>
      <c r="EP61" s="6386"/>
      <c r="EQ61" s="6386"/>
      <c r="ER61" s="6386"/>
      <c r="ES61" s="6386"/>
      <c r="ET61" s="6386"/>
      <c r="EU61" s="6386"/>
      <c r="EV61" s="6386"/>
      <c r="EW61" s="6386"/>
      <c r="EX61" s="6386"/>
      <c r="EY61" s="6386"/>
      <c r="EZ61" s="6386"/>
      <c r="FA61" s="6386"/>
      <c r="FB61" s="6386"/>
      <c r="FC61" s="6386"/>
      <c r="FD61" s="6394"/>
    </row>
    <row r="62" spans="1:432" s="6376" customFormat="1" ht="15" customHeight="1">
      <c r="A62" s="16495"/>
      <c r="B62" s="16434"/>
      <c r="C62" s="16434"/>
      <c r="D62" s="16354"/>
      <c r="E62" s="16354"/>
      <c r="F62" s="16354"/>
      <c r="G62" s="16354"/>
      <c r="H62" s="16354"/>
      <c r="I62" s="16354"/>
      <c r="J62" s="16354"/>
      <c r="K62" s="16434"/>
      <c r="L62" s="6379" t="s">
        <v>10063</v>
      </c>
      <c r="M62" s="6379"/>
      <c r="N62" s="6380" t="s">
        <v>79</v>
      </c>
      <c r="O62" s="6381"/>
      <c r="P62" s="6382"/>
      <c r="Q62" s="6382"/>
      <c r="R62" s="6382"/>
      <c r="S62" s="6382"/>
      <c r="T62" s="6382"/>
      <c r="U62" s="6382"/>
      <c r="V62" s="6409"/>
      <c r="W62" s="6410"/>
      <c r="X62" s="6399"/>
      <c r="Y62" s="6384"/>
      <c r="Z62" s="6411"/>
      <c r="AA62" s="6386"/>
      <c r="AB62" s="6411"/>
      <c r="AC62" s="6386"/>
      <c r="AD62" s="6399"/>
      <c r="AE62" s="6412"/>
      <c r="AF62" s="6412"/>
      <c r="AG62" s="6412"/>
      <c r="AH62" s="6412"/>
      <c r="AI62" s="6386"/>
      <c r="AJ62" s="6386"/>
      <c r="AK62" s="6386"/>
      <c r="AL62" s="6386"/>
      <c r="AM62" s="6412"/>
      <c r="AN62" s="6386"/>
      <c r="AO62" s="6386"/>
      <c r="AP62" s="6386"/>
      <c r="AQ62" s="6386"/>
      <c r="AR62" s="6386"/>
      <c r="AS62" s="6386"/>
      <c r="AT62" s="6386"/>
      <c r="AU62" s="6386"/>
      <c r="AV62" s="6386"/>
      <c r="AW62" s="6386"/>
      <c r="AX62" s="6386"/>
      <c r="AY62" s="6412"/>
      <c r="AZ62" s="6386"/>
      <c r="BA62" s="6386"/>
      <c r="BB62" s="6386"/>
      <c r="BC62" s="6386"/>
      <c r="BD62" s="6399"/>
      <c r="BE62" s="6385"/>
      <c r="BF62" s="6386"/>
      <c r="BG62" s="6386"/>
      <c r="BH62" s="6386"/>
      <c r="BI62" s="6386"/>
      <c r="BJ62" s="6386"/>
      <c r="BK62" s="6386"/>
      <c r="BL62" s="6386"/>
      <c r="BM62" s="6386"/>
      <c r="BN62" s="6402"/>
      <c r="BO62" s="5011"/>
      <c r="BP62" s="5010"/>
      <c r="BQ62" s="6389"/>
      <c r="BR62" s="16522"/>
      <c r="BS62" s="6390"/>
      <c r="BT62" s="6390"/>
      <c r="BU62" s="6413"/>
      <c r="BV62" s="6414"/>
      <c r="BW62" s="6414"/>
      <c r="BX62" s="6414"/>
      <c r="BY62" s="6414"/>
      <c r="BZ62" s="6414"/>
      <c r="CA62" s="6414"/>
      <c r="CB62" s="6414"/>
      <c r="CC62" s="6414"/>
      <c r="CD62" s="6414"/>
      <c r="CE62" s="6414"/>
      <c r="CF62" s="6414"/>
      <c r="CG62" s="6414"/>
      <c r="CH62" s="6414"/>
      <c r="CI62" s="6414"/>
      <c r="CJ62" s="6414"/>
      <c r="CK62" s="6414"/>
      <c r="CL62" s="6414"/>
      <c r="CM62" s="6414"/>
      <c r="CN62" s="6414"/>
      <c r="CO62" s="5010"/>
      <c r="CP62" s="5010"/>
      <c r="CQ62" s="5010"/>
      <c r="CR62" s="5010"/>
      <c r="CS62" s="5010"/>
      <c r="CT62" s="5010"/>
      <c r="CU62" s="5010"/>
      <c r="CV62" s="5010"/>
      <c r="CW62" s="5010"/>
      <c r="CX62" s="5010"/>
      <c r="CY62" s="5010"/>
      <c r="CZ62" s="6413"/>
      <c r="DA62" s="6413"/>
      <c r="DB62" s="6413"/>
      <c r="DC62" s="6413"/>
      <c r="DD62" s="6413"/>
      <c r="DE62" s="6413"/>
      <c r="DF62" s="6413"/>
      <c r="DG62" s="6413"/>
      <c r="DH62" s="6413"/>
      <c r="DI62" s="6415"/>
      <c r="DK62" s="6393"/>
      <c r="DL62" s="6386"/>
      <c r="DM62" s="6386"/>
      <c r="DN62" s="6386"/>
      <c r="DO62" s="6386"/>
      <c r="DP62" s="6386"/>
      <c r="DQ62" s="6386"/>
      <c r="DR62" s="6386"/>
      <c r="DS62" s="6386"/>
      <c r="DT62" s="6386"/>
      <c r="DU62" s="6386"/>
      <c r="DV62" s="6386"/>
      <c r="DW62" s="6386"/>
      <c r="DX62" s="6386"/>
      <c r="DY62" s="6386"/>
      <c r="DZ62" s="6386"/>
      <c r="EA62" s="6386"/>
      <c r="EB62" s="6386"/>
      <c r="EC62" s="6386"/>
      <c r="ED62" s="6386"/>
      <c r="EE62" s="6386"/>
      <c r="EF62" s="6386"/>
      <c r="EG62" s="6386"/>
      <c r="EH62" s="6386"/>
      <c r="EI62" s="6386"/>
      <c r="EJ62" s="6386"/>
      <c r="EK62" s="6386"/>
      <c r="EL62" s="6386"/>
      <c r="EM62" s="6386"/>
      <c r="EN62" s="6386"/>
      <c r="EO62" s="6386"/>
      <c r="EP62" s="6386"/>
      <c r="EQ62" s="6386"/>
      <c r="ER62" s="6386"/>
      <c r="ES62" s="6386"/>
      <c r="ET62" s="6386"/>
      <c r="EU62" s="6386"/>
      <c r="EV62" s="6386"/>
      <c r="EW62" s="6386"/>
      <c r="EX62" s="6386"/>
      <c r="EY62" s="6386"/>
      <c r="EZ62" s="6386"/>
      <c r="FA62" s="6386"/>
      <c r="FB62" s="6386"/>
      <c r="FC62" s="6386"/>
      <c r="FD62" s="6394"/>
    </row>
    <row r="63" spans="1:432" s="6376" customFormat="1" ht="15" customHeight="1" thickBot="1">
      <c r="A63" s="16496"/>
      <c r="B63" s="16491"/>
      <c r="C63" s="6416" t="s">
        <v>246</v>
      </c>
      <c r="D63" s="5013" t="s">
        <v>5091</v>
      </c>
      <c r="E63" s="5013" t="s">
        <v>246</v>
      </c>
      <c r="F63" s="6416" t="s">
        <v>247</v>
      </c>
      <c r="G63" s="6416" t="s">
        <v>70</v>
      </c>
      <c r="H63" s="6417">
        <v>10</v>
      </c>
      <c r="I63" s="6417">
        <v>10</v>
      </c>
      <c r="J63" s="6417">
        <v>10</v>
      </c>
      <c r="K63" s="6416" t="s">
        <v>248</v>
      </c>
      <c r="L63" s="6416" t="s">
        <v>218</v>
      </c>
      <c r="M63" s="6416" t="s">
        <v>223</v>
      </c>
      <c r="N63" s="6418"/>
      <c r="O63" s="6419">
        <v>20000000</v>
      </c>
      <c r="P63" s="6420">
        <v>20600000</v>
      </c>
      <c r="Q63" s="6420">
        <v>21218000</v>
      </c>
      <c r="R63" s="6420">
        <v>21854540</v>
      </c>
      <c r="S63" s="6420">
        <v>22510176.199999999</v>
      </c>
      <c r="T63" s="6420">
        <v>23185481.486000001</v>
      </c>
      <c r="U63" s="6420">
        <v>23881045.930580001</v>
      </c>
      <c r="V63" s="6421">
        <v>1</v>
      </c>
      <c r="W63" s="6422" t="s">
        <v>3821</v>
      </c>
      <c r="X63" s="6423"/>
      <c r="Y63" s="6424" t="s">
        <v>3822</v>
      </c>
      <c r="Z63" s="6423"/>
      <c r="AA63" s="6423"/>
      <c r="AB63" s="6423"/>
      <c r="AC63" s="6423"/>
      <c r="AD63" s="6423"/>
      <c r="AE63" s="6423"/>
      <c r="AF63" s="6423"/>
      <c r="AG63" s="6423"/>
      <c r="AH63" s="6423"/>
      <c r="AI63" s="6423"/>
      <c r="AJ63" s="6423"/>
      <c r="AK63" s="6423"/>
      <c r="AL63" s="6423"/>
      <c r="AM63" s="6423"/>
      <c r="AN63" s="6423"/>
      <c r="AO63" s="6423"/>
      <c r="AP63" s="6423"/>
      <c r="AQ63" s="6423"/>
      <c r="AR63" s="6423"/>
      <c r="AS63" s="6423"/>
      <c r="AT63" s="6423"/>
      <c r="AU63" s="6423"/>
      <c r="AV63" s="6423"/>
      <c r="AW63" s="6423"/>
      <c r="AX63" s="6423"/>
      <c r="AY63" s="6423"/>
      <c r="AZ63" s="6423"/>
      <c r="BA63" s="6423"/>
      <c r="BB63" s="6423"/>
      <c r="BC63" s="6423"/>
      <c r="BD63" s="6423"/>
      <c r="BE63" s="6423"/>
      <c r="BF63" s="6423"/>
      <c r="BG63" s="6423"/>
      <c r="BH63" s="6423"/>
      <c r="BI63" s="6423"/>
      <c r="BJ63" s="6423"/>
      <c r="BK63" s="6423"/>
      <c r="BL63" s="6423"/>
      <c r="BM63" s="6423"/>
      <c r="BN63" s="6425">
        <v>25</v>
      </c>
      <c r="BO63" s="6426">
        <v>25</v>
      </c>
      <c r="BP63" s="5013">
        <v>25</v>
      </c>
      <c r="BQ63" s="6427">
        <f t="shared" si="3"/>
        <v>1</v>
      </c>
      <c r="BR63" s="16523"/>
      <c r="BS63" s="6428" t="s">
        <v>9088</v>
      </c>
      <c r="BT63" s="6428"/>
      <c r="BU63" s="6428" t="s">
        <v>3822</v>
      </c>
      <c r="BV63" s="6429"/>
      <c r="BW63" s="6429"/>
      <c r="BX63" s="6429"/>
      <c r="BY63" s="6429"/>
      <c r="BZ63" s="6429"/>
      <c r="CA63" s="6429"/>
      <c r="CB63" s="6429"/>
      <c r="CC63" s="6429"/>
      <c r="CD63" s="6429"/>
      <c r="CE63" s="6429"/>
      <c r="CF63" s="6429"/>
      <c r="CG63" s="6429"/>
      <c r="CH63" s="6429"/>
      <c r="CI63" s="6429"/>
      <c r="CJ63" s="6429"/>
      <c r="CK63" s="6429"/>
      <c r="CL63" s="6429"/>
      <c r="CM63" s="6429"/>
      <c r="CN63" s="6430"/>
      <c r="CO63" s="6426"/>
      <c r="CP63" s="6426"/>
      <c r="CQ63" s="6426"/>
      <c r="CR63" s="6426"/>
      <c r="CS63" s="6426"/>
      <c r="CT63" s="6426"/>
      <c r="CU63" s="6426"/>
      <c r="CV63" s="6426"/>
      <c r="CW63" s="6426"/>
      <c r="CX63" s="6426"/>
      <c r="CY63" s="6426"/>
      <c r="CZ63" s="3058"/>
      <c r="DA63" s="3058"/>
      <c r="DB63" s="3058"/>
      <c r="DC63" s="3058"/>
      <c r="DD63" s="3058"/>
      <c r="DE63" s="3058"/>
      <c r="DF63" s="3058"/>
      <c r="DG63" s="3058"/>
      <c r="DH63" s="3058"/>
      <c r="DI63" s="3059"/>
      <c r="DK63" s="6431"/>
      <c r="DL63" s="6423"/>
      <c r="DM63" s="6423"/>
      <c r="DN63" s="6423"/>
      <c r="DO63" s="6423"/>
      <c r="DP63" s="6423"/>
      <c r="DQ63" s="6423"/>
      <c r="DR63" s="6423"/>
      <c r="DS63" s="6423"/>
      <c r="DT63" s="6423"/>
      <c r="DU63" s="6423"/>
      <c r="DV63" s="6423"/>
      <c r="DW63" s="6423"/>
      <c r="DX63" s="6423"/>
      <c r="DY63" s="6423"/>
      <c r="DZ63" s="6423"/>
      <c r="EA63" s="6423"/>
      <c r="EB63" s="6423"/>
      <c r="EC63" s="6423"/>
      <c r="ED63" s="6423"/>
      <c r="EE63" s="6423"/>
      <c r="EF63" s="6423"/>
      <c r="EG63" s="6423"/>
      <c r="EH63" s="6423"/>
      <c r="EI63" s="6423"/>
      <c r="EJ63" s="6423"/>
      <c r="EK63" s="6423"/>
      <c r="EL63" s="6423"/>
      <c r="EM63" s="6423"/>
      <c r="EN63" s="6423"/>
      <c r="EO63" s="6423"/>
      <c r="EP63" s="6423"/>
      <c r="EQ63" s="6423"/>
      <c r="ER63" s="6423"/>
      <c r="ES63" s="6423"/>
      <c r="ET63" s="6423"/>
      <c r="EU63" s="6423"/>
      <c r="EV63" s="6423"/>
      <c r="EW63" s="6423"/>
      <c r="EX63" s="6423"/>
      <c r="EY63" s="6423"/>
      <c r="EZ63" s="6423"/>
      <c r="FA63" s="6423"/>
      <c r="FB63" s="6423"/>
      <c r="FC63" s="6423"/>
      <c r="FD63" s="6432"/>
    </row>
    <row r="64" spans="1:432" s="2086" customFormat="1" ht="15" customHeight="1">
      <c r="A64" s="16452" t="s">
        <v>249</v>
      </c>
      <c r="B64" s="16455" t="s">
        <v>250</v>
      </c>
      <c r="C64" s="16455" t="s">
        <v>251</v>
      </c>
      <c r="D64" s="16433" t="s">
        <v>5092</v>
      </c>
      <c r="E64" s="16433" t="s">
        <v>252</v>
      </c>
      <c r="F64" s="16433" t="s">
        <v>253</v>
      </c>
      <c r="G64" s="16433" t="s">
        <v>254</v>
      </c>
      <c r="H64" s="16433">
        <v>5</v>
      </c>
      <c r="I64" s="16433">
        <v>6</v>
      </c>
      <c r="J64" s="16433">
        <v>7</v>
      </c>
      <c r="K64" s="16433" t="s">
        <v>255</v>
      </c>
      <c r="L64" s="6229" t="s">
        <v>10072</v>
      </c>
      <c r="M64" s="6229" t="s">
        <v>256</v>
      </c>
      <c r="N64" s="6230"/>
      <c r="O64" s="6231">
        <v>5000000</v>
      </c>
      <c r="P64" s="6231">
        <v>5150000</v>
      </c>
      <c r="Q64" s="6231">
        <v>5304500</v>
      </c>
      <c r="R64" s="6231">
        <v>5463635</v>
      </c>
      <c r="S64" s="6231">
        <v>5627544.0499999998</v>
      </c>
      <c r="T64" s="6231">
        <v>5796370.3715000004</v>
      </c>
      <c r="U64" s="6231">
        <v>5970261.4826450003</v>
      </c>
      <c r="V64" s="6232" t="s">
        <v>1732</v>
      </c>
      <c r="W64" s="6232" t="s">
        <v>4015</v>
      </c>
      <c r="X64" s="6233" t="s">
        <v>4016</v>
      </c>
      <c r="Y64" s="6234"/>
      <c r="Z64" s="6234"/>
      <c r="AA64" s="6235"/>
      <c r="AB64" s="6235"/>
      <c r="AC64" s="6235"/>
      <c r="AD64" s="6234"/>
      <c r="AE64" s="3898"/>
      <c r="AF64" s="3898"/>
      <c r="AG64" s="3898"/>
      <c r="AH64" s="3898"/>
      <c r="AI64" s="3898"/>
      <c r="AJ64" s="3898"/>
      <c r="AK64" s="3898"/>
      <c r="AL64" s="3898"/>
      <c r="AM64" s="3898"/>
      <c r="AN64" s="3898"/>
      <c r="AO64" s="3898"/>
      <c r="AP64" s="3898"/>
      <c r="AQ64" s="3898"/>
      <c r="AR64" s="3898"/>
      <c r="AS64" s="3898"/>
      <c r="AT64" s="3898"/>
      <c r="AU64" s="3898"/>
      <c r="AV64" s="3898"/>
      <c r="AW64" s="3898"/>
      <c r="AX64" s="3898"/>
      <c r="AY64" s="3898"/>
      <c r="AZ64" s="3898"/>
      <c r="BA64" s="3898"/>
      <c r="BB64" s="3898"/>
      <c r="BC64" s="3898"/>
      <c r="BD64" s="3898"/>
      <c r="BE64" s="3898"/>
      <c r="BF64" s="3898"/>
      <c r="BG64" s="3898"/>
      <c r="BH64" s="3898"/>
      <c r="BI64" s="3898"/>
      <c r="BJ64" s="6232"/>
      <c r="BK64" s="6232"/>
      <c r="BL64" s="6232"/>
      <c r="BM64" s="6232"/>
      <c r="BN64" s="3898">
        <v>1</v>
      </c>
      <c r="BO64" s="4944">
        <v>1</v>
      </c>
      <c r="BP64" s="3898">
        <v>1</v>
      </c>
      <c r="BQ64" s="6236">
        <f t="shared" si="3"/>
        <v>1</v>
      </c>
      <c r="BR64" s="16524">
        <f>AVERAGE(BQ64:BQ72)</f>
        <v>1</v>
      </c>
      <c r="BS64" s="4947" t="s">
        <v>9089</v>
      </c>
      <c r="BT64" s="4947" t="s">
        <v>9090</v>
      </c>
      <c r="BU64" s="4947"/>
      <c r="BV64" s="4949"/>
      <c r="BW64" s="4949"/>
      <c r="BX64" s="4949"/>
      <c r="BY64" s="4949"/>
      <c r="BZ64" s="4949"/>
      <c r="CA64" s="4949"/>
      <c r="CB64" s="4949"/>
      <c r="CC64" s="4949"/>
      <c r="CD64" s="6237"/>
      <c r="CE64" s="6237"/>
      <c r="CF64" s="6237"/>
      <c r="CG64" s="6237"/>
      <c r="CH64" s="6237"/>
      <c r="CI64" s="6237"/>
      <c r="CJ64" s="6237"/>
      <c r="CK64" s="6237"/>
      <c r="CL64" s="6237"/>
      <c r="CM64" s="6237"/>
      <c r="CN64" s="6237"/>
      <c r="CO64" s="4634"/>
      <c r="CP64" s="4634"/>
      <c r="CQ64" s="4634"/>
      <c r="CR64" s="4634"/>
      <c r="CS64" s="4634"/>
      <c r="CT64" s="4634"/>
      <c r="CU64" s="4634"/>
      <c r="CV64" s="4634"/>
      <c r="CW64" s="4634"/>
      <c r="CX64" s="4634"/>
      <c r="CY64" s="4634"/>
      <c r="CZ64" s="3838"/>
      <c r="DA64" s="3838"/>
      <c r="DB64" s="3838"/>
      <c r="DC64" s="3838"/>
      <c r="DD64" s="3838"/>
      <c r="DE64" s="3838"/>
      <c r="DF64" s="3838"/>
      <c r="DG64" s="3838"/>
      <c r="DH64" s="3838"/>
      <c r="DI64" s="3839"/>
      <c r="DJ64" s="2094"/>
      <c r="DK64" s="6297"/>
      <c r="DL64" s="6232"/>
      <c r="DM64" s="6232"/>
      <c r="DN64" s="6232"/>
      <c r="DO64" s="6232"/>
      <c r="DP64" s="6232"/>
      <c r="DQ64" s="6232"/>
      <c r="DR64" s="6232"/>
      <c r="DS64" s="6232"/>
      <c r="DT64" s="6232"/>
      <c r="DU64" s="6232"/>
      <c r="DV64" s="6232"/>
      <c r="DW64" s="6232"/>
      <c r="DX64" s="6232"/>
      <c r="DY64" s="6232"/>
      <c r="DZ64" s="6232"/>
      <c r="EA64" s="6232"/>
      <c r="EB64" s="6232"/>
      <c r="EC64" s="6232"/>
      <c r="ED64" s="6232"/>
      <c r="EE64" s="6232"/>
      <c r="EF64" s="6232"/>
      <c r="EG64" s="6232"/>
      <c r="EH64" s="6232"/>
      <c r="EI64" s="6232"/>
      <c r="EJ64" s="6232"/>
      <c r="EK64" s="6232"/>
      <c r="EL64" s="6232"/>
      <c r="EM64" s="6232"/>
      <c r="EN64" s="6232"/>
      <c r="EO64" s="6232"/>
      <c r="EP64" s="6232"/>
      <c r="EQ64" s="6232"/>
      <c r="ER64" s="6232"/>
      <c r="ES64" s="6232"/>
      <c r="ET64" s="6232"/>
      <c r="EU64" s="6232"/>
      <c r="EV64" s="6232"/>
      <c r="EW64" s="6232"/>
      <c r="EX64" s="6232"/>
      <c r="EY64" s="6232"/>
      <c r="EZ64" s="6232"/>
      <c r="FA64" s="6232"/>
      <c r="FB64" s="6232"/>
      <c r="FC64" s="6232"/>
      <c r="FD64" s="6298"/>
      <c r="FE64" s="2081"/>
      <c r="FF64" s="2080"/>
      <c r="FG64" s="2080"/>
      <c r="FH64" s="2080"/>
      <c r="FI64" s="2080"/>
      <c r="FJ64" s="2080"/>
      <c r="FK64" s="2080"/>
      <c r="FL64" s="2080"/>
      <c r="FM64" s="2080"/>
      <c r="FN64" s="2080"/>
      <c r="FO64" s="2080"/>
      <c r="FP64" s="2080"/>
      <c r="FQ64" s="2080"/>
      <c r="FR64" s="2080"/>
      <c r="FS64" s="2080"/>
      <c r="FT64" s="2080"/>
      <c r="FU64" s="2080"/>
      <c r="FV64" s="2080"/>
      <c r="FW64" s="2080"/>
      <c r="FX64" s="2080"/>
      <c r="FY64" s="2080"/>
      <c r="FZ64" s="2080"/>
      <c r="GA64" s="2080"/>
      <c r="GB64" s="2080"/>
      <c r="GC64" s="2080"/>
      <c r="GD64" s="2080"/>
      <c r="GE64" s="2080"/>
      <c r="GF64" s="2080"/>
      <c r="GG64" s="2080"/>
      <c r="GH64" s="2080"/>
      <c r="GI64" s="2080"/>
      <c r="GJ64" s="2080"/>
      <c r="GK64" s="2080"/>
      <c r="GL64" s="2080"/>
      <c r="GM64" s="2080"/>
      <c r="GN64" s="2080"/>
      <c r="GO64" s="2080"/>
      <c r="GP64" s="2080"/>
      <c r="GQ64" s="2080"/>
      <c r="GR64" s="2080"/>
      <c r="GS64" s="2080"/>
      <c r="GT64" s="2080"/>
      <c r="GU64" s="2080"/>
      <c r="GV64" s="2080"/>
      <c r="GW64" s="2080"/>
      <c r="GX64" s="2080"/>
      <c r="GY64" s="2080"/>
      <c r="GZ64" s="2080"/>
      <c r="HA64" s="2080"/>
      <c r="HB64" s="2080"/>
      <c r="HC64" s="2080"/>
      <c r="HD64" s="2080"/>
      <c r="HE64" s="2080"/>
      <c r="HF64" s="2080"/>
      <c r="HG64" s="2080"/>
      <c r="HH64" s="2080"/>
      <c r="HI64" s="2080"/>
      <c r="HJ64" s="2080"/>
      <c r="HK64" s="2080"/>
      <c r="HL64" s="2080"/>
      <c r="HM64" s="2080"/>
      <c r="HN64" s="2080"/>
      <c r="HO64" s="2080"/>
      <c r="HP64" s="2080"/>
      <c r="HQ64" s="2080"/>
      <c r="HR64" s="2080"/>
      <c r="HS64" s="2080"/>
      <c r="HT64" s="2080"/>
      <c r="HU64" s="2080"/>
      <c r="HV64" s="2080"/>
      <c r="HW64" s="2080"/>
      <c r="HX64" s="2080"/>
      <c r="HY64" s="2080"/>
      <c r="HZ64" s="2080"/>
      <c r="IA64" s="2080"/>
      <c r="IB64" s="2080"/>
      <c r="IC64" s="2080"/>
      <c r="ID64" s="2080"/>
      <c r="IE64" s="2080"/>
      <c r="IF64" s="2080"/>
      <c r="IG64" s="2080"/>
      <c r="IH64" s="2080"/>
      <c r="II64" s="2080"/>
      <c r="IJ64" s="2080"/>
      <c r="IK64" s="2080"/>
      <c r="IL64" s="2080"/>
      <c r="IM64" s="2080"/>
      <c r="IN64" s="2080"/>
      <c r="IO64" s="2080"/>
      <c r="IP64" s="2080"/>
      <c r="IQ64" s="2080"/>
      <c r="IR64" s="2080"/>
      <c r="IS64" s="2080"/>
      <c r="IT64" s="2080"/>
      <c r="IU64" s="2080"/>
      <c r="IV64" s="2080"/>
      <c r="IW64" s="2080"/>
      <c r="IX64" s="2080"/>
      <c r="IY64" s="2080"/>
      <c r="IZ64" s="2080"/>
      <c r="JA64" s="2080"/>
      <c r="JB64" s="2080"/>
      <c r="JC64" s="2080"/>
      <c r="JD64" s="2080"/>
      <c r="JE64" s="2080"/>
      <c r="JF64" s="2080"/>
      <c r="JG64" s="2080"/>
      <c r="JH64" s="2080"/>
      <c r="JI64" s="2080"/>
      <c r="JJ64" s="2080"/>
      <c r="JK64" s="2080"/>
      <c r="JL64" s="2080"/>
      <c r="JM64" s="2080"/>
      <c r="JN64" s="2080"/>
      <c r="JO64" s="2080"/>
      <c r="JP64" s="2080"/>
      <c r="JQ64" s="2080"/>
      <c r="JR64" s="2080"/>
      <c r="JS64" s="2080"/>
      <c r="JT64" s="2080"/>
      <c r="JU64" s="2080"/>
      <c r="JV64" s="2080"/>
      <c r="JW64" s="2080"/>
      <c r="JX64" s="2080"/>
      <c r="JY64" s="2080"/>
      <c r="JZ64" s="2080"/>
      <c r="KA64" s="2080"/>
      <c r="KB64" s="2080"/>
      <c r="KC64" s="2080"/>
      <c r="KD64" s="2080"/>
      <c r="KE64" s="2080"/>
      <c r="KF64" s="2080"/>
      <c r="KG64" s="2080"/>
      <c r="KH64" s="2080"/>
      <c r="KI64" s="2080"/>
      <c r="KJ64" s="2080"/>
      <c r="KK64" s="2080"/>
      <c r="KL64" s="2080"/>
      <c r="KM64" s="2080"/>
      <c r="KN64" s="2080"/>
      <c r="KO64" s="2080"/>
      <c r="KP64" s="2080"/>
      <c r="KQ64" s="2080"/>
      <c r="KR64" s="2080"/>
      <c r="KS64" s="2080"/>
      <c r="KT64" s="2080"/>
      <c r="KU64" s="2080"/>
      <c r="KV64" s="2080"/>
      <c r="KW64" s="2080"/>
      <c r="KX64" s="2080"/>
      <c r="KY64" s="2080"/>
      <c r="KZ64" s="2080"/>
      <c r="LA64" s="2080"/>
      <c r="LB64" s="2080"/>
      <c r="LC64" s="2080"/>
      <c r="LD64" s="2080"/>
      <c r="LE64" s="2080"/>
      <c r="LF64" s="2080"/>
      <c r="LG64" s="2080"/>
      <c r="LH64" s="2080"/>
      <c r="LI64" s="2080"/>
      <c r="LJ64" s="2080"/>
      <c r="LK64" s="2080"/>
      <c r="LL64" s="2080"/>
      <c r="LM64" s="2080"/>
      <c r="LN64" s="2080"/>
      <c r="LO64" s="2080"/>
      <c r="LP64" s="2080"/>
      <c r="LQ64" s="2080"/>
      <c r="LR64" s="2080"/>
      <c r="LS64" s="2080"/>
      <c r="LT64" s="2080"/>
      <c r="LU64" s="2080"/>
      <c r="LV64" s="2080"/>
      <c r="LW64" s="2080"/>
      <c r="LX64" s="2080"/>
      <c r="LY64" s="2080"/>
      <c r="LZ64" s="2080"/>
      <c r="MA64" s="2080"/>
      <c r="MB64" s="2080"/>
      <c r="MC64" s="2080"/>
      <c r="MD64" s="2080"/>
      <c r="ME64" s="2080"/>
      <c r="MF64" s="2080"/>
      <c r="MG64" s="2080"/>
      <c r="MH64" s="2080"/>
      <c r="MI64" s="2080"/>
      <c r="MJ64" s="2080"/>
      <c r="MK64" s="2080"/>
      <c r="ML64" s="2080"/>
      <c r="MM64" s="2080"/>
      <c r="MN64" s="2080"/>
      <c r="MO64" s="2080"/>
      <c r="MP64" s="2080"/>
      <c r="MQ64" s="2080"/>
      <c r="MR64" s="2080"/>
      <c r="MS64" s="2080"/>
      <c r="MT64" s="2080"/>
      <c r="MU64" s="2080"/>
      <c r="MV64" s="2080"/>
      <c r="MW64" s="2080"/>
      <c r="MX64" s="2080"/>
      <c r="MY64" s="2080"/>
      <c r="MZ64" s="2080"/>
      <c r="NA64" s="2080"/>
      <c r="NB64" s="2080"/>
      <c r="NC64" s="2080"/>
      <c r="ND64" s="2080"/>
      <c r="NE64" s="2080"/>
      <c r="NF64" s="2080"/>
      <c r="NG64" s="2080"/>
      <c r="NH64" s="2080"/>
      <c r="NI64" s="2080"/>
      <c r="NJ64" s="2080"/>
      <c r="NK64" s="2080"/>
      <c r="NL64" s="2080"/>
      <c r="NM64" s="2080"/>
      <c r="NN64" s="2080"/>
      <c r="NO64" s="2080"/>
      <c r="NP64" s="2080"/>
      <c r="NQ64" s="2080"/>
      <c r="NR64" s="2080"/>
      <c r="NS64" s="2080"/>
      <c r="NT64" s="2080"/>
      <c r="NU64" s="2080"/>
      <c r="NV64" s="2080"/>
      <c r="NW64" s="2080"/>
      <c r="NX64" s="2080"/>
      <c r="NY64" s="2080"/>
      <c r="NZ64" s="2080"/>
      <c r="OA64" s="2080"/>
      <c r="OB64" s="2080"/>
      <c r="OC64" s="2080"/>
      <c r="OD64" s="2080"/>
      <c r="OE64" s="2080"/>
      <c r="OF64" s="2080"/>
      <c r="OG64" s="2080"/>
      <c r="OH64" s="2080"/>
      <c r="OI64" s="2080"/>
      <c r="OJ64" s="2080"/>
      <c r="OK64" s="2080"/>
      <c r="OL64" s="2002"/>
      <c r="OM64" s="2002"/>
      <c r="ON64" s="2002"/>
      <c r="OO64" s="2002"/>
      <c r="OP64" s="2002"/>
      <c r="OQ64" s="2082"/>
      <c r="OR64" s="2083"/>
      <c r="OS64" s="2084"/>
      <c r="OT64" s="2084"/>
      <c r="OU64" s="2084"/>
      <c r="OV64" s="2084" t="s">
        <v>2891</v>
      </c>
      <c r="OW64" s="2084"/>
      <c r="OX64" s="2084"/>
      <c r="OY64" s="2084"/>
      <c r="OZ64" s="2084"/>
      <c r="PA64" s="2084"/>
      <c r="PB64" s="2084"/>
      <c r="PC64" s="2084"/>
      <c r="PD64" s="2084"/>
      <c r="PE64" s="2084"/>
      <c r="PF64" s="2084"/>
      <c r="PG64" s="2084"/>
      <c r="PH64" s="2084"/>
      <c r="PI64" s="2084"/>
      <c r="PJ64" s="2084"/>
      <c r="PK64" s="2084"/>
      <c r="PL64" s="2084"/>
      <c r="PM64" s="2084"/>
      <c r="PN64" s="2084"/>
      <c r="PO64" s="2084"/>
      <c r="PP64" s="2085"/>
    </row>
    <row r="65" spans="1:432" s="2086" customFormat="1" ht="15" customHeight="1">
      <c r="A65" s="16453"/>
      <c r="B65" s="16456"/>
      <c r="C65" s="16456"/>
      <c r="D65" s="15930"/>
      <c r="E65" s="15930"/>
      <c r="F65" s="15930"/>
      <c r="G65" s="15930"/>
      <c r="H65" s="15930"/>
      <c r="I65" s="15930"/>
      <c r="J65" s="15930"/>
      <c r="K65" s="15930"/>
      <c r="L65" s="2768" t="s">
        <v>10194</v>
      </c>
      <c r="M65" s="2768"/>
      <c r="N65" s="6083" t="s">
        <v>257</v>
      </c>
      <c r="O65" s="6084"/>
      <c r="P65" s="6084"/>
      <c r="Q65" s="6084"/>
      <c r="R65" s="6084"/>
      <c r="S65" s="6084"/>
      <c r="T65" s="6084"/>
      <c r="U65" s="6084"/>
      <c r="V65" s="6141"/>
      <c r="W65" s="6141"/>
      <c r="X65" s="6142"/>
      <c r="Y65" s="6143"/>
      <c r="Z65" s="6143"/>
      <c r="AA65" s="6144"/>
      <c r="AB65" s="6144"/>
      <c r="AC65" s="6144"/>
      <c r="AD65" s="6143"/>
      <c r="AE65" s="5094"/>
      <c r="AF65" s="5094"/>
      <c r="AG65" s="5094"/>
      <c r="AH65" s="5094"/>
      <c r="AI65" s="5094"/>
      <c r="AJ65" s="5094"/>
      <c r="AK65" s="5094"/>
      <c r="AL65" s="5094"/>
      <c r="AM65" s="5094"/>
      <c r="AN65" s="5094"/>
      <c r="AO65" s="5094"/>
      <c r="AP65" s="5094"/>
      <c r="AQ65" s="5094"/>
      <c r="AR65" s="5094"/>
      <c r="AS65" s="5094"/>
      <c r="AT65" s="5094"/>
      <c r="AU65" s="5094"/>
      <c r="AV65" s="5094"/>
      <c r="AW65" s="5094"/>
      <c r="AX65" s="5094"/>
      <c r="AY65" s="5094"/>
      <c r="AZ65" s="5094"/>
      <c r="BA65" s="5094"/>
      <c r="BB65" s="5094"/>
      <c r="BC65" s="5094"/>
      <c r="BD65" s="5094"/>
      <c r="BE65" s="5094"/>
      <c r="BF65" s="5094"/>
      <c r="BG65" s="5094"/>
      <c r="BH65" s="5094"/>
      <c r="BI65" s="5094"/>
      <c r="BJ65" s="6141"/>
      <c r="BK65" s="6141"/>
      <c r="BL65" s="6141"/>
      <c r="BM65" s="6141"/>
      <c r="BN65" s="5094"/>
      <c r="BO65" s="5096"/>
      <c r="BP65" s="5094"/>
      <c r="BQ65" s="4720"/>
      <c r="BR65" s="16525"/>
      <c r="BS65" s="4714"/>
      <c r="BT65" s="4714"/>
      <c r="BU65" s="4714"/>
      <c r="BV65" s="4716"/>
      <c r="BW65" s="4716"/>
      <c r="BX65" s="4716"/>
      <c r="BY65" s="4716"/>
      <c r="BZ65" s="4716"/>
      <c r="CA65" s="4716"/>
      <c r="CB65" s="4716"/>
      <c r="CC65" s="4716"/>
      <c r="CD65" s="4728"/>
      <c r="CE65" s="4728"/>
      <c r="CF65" s="4728"/>
      <c r="CG65" s="4728"/>
      <c r="CH65" s="4728"/>
      <c r="CI65" s="4728"/>
      <c r="CJ65" s="4728"/>
      <c r="CK65" s="4728"/>
      <c r="CL65" s="4728"/>
      <c r="CM65" s="4728"/>
      <c r="CN65" s="4728"/>
      <c r="CO65" s="4625"/>
      <c r="CP65" s="4625"/>
      <c r="CQ65" s="4625"/>
      <c r="CR65" s="4625"/>
      <c r="CS65" s="4625"/>
      <c r="CT65" s="4625"/>
      <c r="CU65" s="4625"/>
      <c r="CV65" s="4625"/>
      <c r="CW65" s="4625"/>
      <c r="CX65" s="4625"/>
      <c r="CY65" s="4625"/>
      <c r="CZ65" s="3437"/>
      <c r="DA65" s="3437"/>
      <c r="DB65" s="3437"/>
      <c r="DC65" s="3437"/>
      <c r="DD65" s="3437"/>
      <c r="DE65" s="3437"/>
      <c r="DF65" s="3437"/>
      <c r="DG65" s="3437"/>
      <c r="DH65" s="3437"/>
      <c r="DI65" s="3473"/>
      <c r="DJ65" s="2094"/>
      <c r="DK65" s="6286"/>
      <c r="DL65" s="6141"/>
      <c r="DM65" s="6141"/>
      <c r="DN65" s="6141"/>
      <c r="DO65" s="6141"/>
      <c r="DP65" s="6141"/>
      <c r="DQ65" s="6141"/>
      <c r="DR65" s="6141"/>
      <c r="DS65" s="6141"/>
      <c r="DT65" s="6141"/>
      <c r="DU65" s="6141"/>
      <c r="DV65" s="6141"/>
      <c r="DW65" s="6141"/>
      <c r="DX65" s="6141"/>
      <c r="DY65" s="6141"/>
      <c r="DZ65" s="6141"/>
      <c r="EA65" s="6141"/>
      <c r="EB65" s="6141"/>
      <c r="EC65" s="6141"/>
      <c r="ED65" s="6141"/>
      <c r="EE65" s="6141"/>
      <c r="EF65" s="6141"/>
      <c r="EG65" s="6141"/>
      <c r="EH65" s="6141"/>
      <c r="EI65" s="6141"/>
      <c r="EJ65" s="6141"/>
      <c r="EK65" s="6141"/>
      <c r="EL65" s="6141"/>
      <c r="EM65" s="6141"/>
      <c r="EN65" s="6141"/>
      <c r="EO65" s="6141"/>
      <c r="EP65" s="6141"/>
      <c r="EQ65" s="6141"/>
      <c r="ER65" s="6141"/>
      <c r="ES65" s="6141"/>
      <c r="ET65" s="6141"/>
      <c r="EU65" s="6141"/>
      <c r="EV65" s="6141"/>
      <c r="EW65" s="6141"/>
      <c r="EX65" s="6141"/>
      <c r="EY65" s="6141"/>
      <c r="EZ65" s="6141"/>
      <c r="FA65" s="6141"/>
      <c r="FB65" s="6141"/>
      <c r="FC65" s="6141"/>
      <c r="FD65" s="6287"/>
      <c r="FE65" s="2081"/>
      <c r="FF65" s="2080"/>
      <c r="FG65" s="2080"/>
      <c r="FH65" s="2080"/>
      <c r="FI65" s="2080"/>
      <c r="FJ65" s="2080"/>
      <c r="FK65" s="2080"/>
      <c r="FL65" s="2080"/>
      <c r="FM65" s="2080"/>
      <c r="FN65" s="2080"/>
      <c r="FO65" s="2080"/>
      <c r="FP65" s="2080"/>
      <c r="FQ65" s="2080"/>
      <c r="FR65" s="2080"/>
      <c r="FS65" s="2080"/>
      <c r="FT65" s="2080"/>
      <c r="FU65" s="2080"/>
      <c r="FV65" s="2080"/>
      <c r="FW65" s="2080"/>
      <c r="FX65" s="2080"/>
      <c r="FY65" s="2080"/>
      <c r="FZ65" s="2080"/>
      <c r="GA65" s="2080"/>
      <c r="GB65" s="2080"/>
      <c r="GC65" s="2080"/>
      <c r="GD65" s="2080"/>
      <c r="GE65" s="2080"/>
      <c r="GF65" s="2080"/>
      <c r="GG65" s="2080"/>
      <c r="GH65" s="2080"/>
      <c r="GI65" s="2080"/>
      <c r="GJ65" s="2080"/>
      <c r="GK65" s="2080"/>
      <c r="GL65" s="2080"/>
      <c r="GM65" s="2080"/>
      <c r="GN65" s="2080"/>
      <c r="GO65" s="2080"/>
      <c r="GP65" s="2080"/>
      <c r="GQ65" s="2080"/>
      <c r="GR65" s="2080"/>
      <c r="GS65" s="2080"/>
      <c r="GT65" s="2080"/>
      <c r="GU65" s="2080"/>
      <c r="GV65" s="2080"/>
      <c r="GW65" s="2080"/>
      <c r="GX65" s="2080"/>
      <c r="GY65" s="2080"/>
      <c r="GZ65" s="2080"/>
      <c r="HA65" s="2080"/>
      <c r="HB65" s="2080"/>
      <c r="HC65" s="2080"/>
      <c r="HD65" s="2080"/>
      <c r="HE65" s="2080"/>
      <c r="HF65" s="2080"/>
      <c r="HG65" s="2080"/>
      <c r="HH65" s="2080"/>
      <c r="HI65" s="2080"/>
      <c r="HJ65" s="2080"/>
      <c r="HK65" s="2080"/>
      <c r="HL65" s="2080"/>
      <c r="HM65" s="2080"/>
      <c r="HN65" s="2080"/>
      <c r="HO65" s="2080"/>
      <c r="HP65" s="2080"/>
      <c r="HQ65" s="2080"/>
      <c r="HR65" s="2080"/>
      <c r="HS65" s="2080"/>
      <c r="HT65" s="2080"/>
      <c r="HU65" s="2080"/>
      <c r="HV65" s="2080"/>
      <c r="HW65" s="2080"/>
      <c r="HX65" s="2080"/>
      <c r="HY65" s="2080"/>
      <c r="HZ65" s="2080"/>
      <c r="IA65" s="2080"/>
      <c r="IB65" s="2080"/>
      <c r="IC65" s="2080"/>
      <c r="ID65" s="2080"/>
      <c r="IE65" s="2080"/>
      <c r="IF65" s="2080"/>
      <c r="IG65" s="2080"/>
      <c r="IH65" s="2080"/>
      <c r="II65" s="2080"/>
      <c r="IJ65" s="2080"/>
      <c r="IK65" s="2080"/>
      <c r="IL65" s="2080"/>
      <c r="IM65" s="2080"/>
      <c r="IN65" s="2080"/>
      <c r="IO65" s="2080"/>
      <c r="IP65" s="2080"/>
      <c r="IQ65" s="2080"/>
      <c r="IR65" s="2080"/>
      <c r="IS65" s="2080"/>
      <c r="IT65" s="2080"/>
      <c r="IU65" s="2080"/>
      <c r="IV65" s="2080"/>
      <c r="IW65" s="2080"/>
      <c r="IX65" s="2080"/>
      <c r="IY65" s="2080"/>
      <c r="IZ65" s="2080"/>
      <c r="JA65" s="2080"/>
      <c r="JB65" s="2080"/>
      <c r="JC65" s="2080"/>
      <c r="JD65" s="2080"/>
      <c r="JE65" s="2080"/>
      <c r="JF65" s="2080"/>
      <c r="JG65" s="2080"/>
      <c r="JH65" s="2080"/>
      <c r="JI65" s="2080"/>
      <c r="JJ65" s="2080"/>
      <c r="JK65" s="2080"/>
      <c r="JL65" s="2080"/>
      <c r="JM65" s="2080"/>
      <c r="JN65" s="2080"/>
      <c r="JO65" s="2080"/>
      <c r="JP65" s="2080"/>
      <c r="JQ65" s="2080"/>
      <c r="JR65" s="2080"/>
      <c r="JS65" s="2080"/>
      <c r="JT65" s="2080"/>
      <c r="JU65" s="2080"/>
      <c r="JV65" s="2080"/>
      <c r="JW65" s="2080"/>
      <c r="JX65" s="2080"/>
      <c r="JY65" s="2080"/>
      <c r="JZ65" s="2080"/>
      <c r="KA65" s="2080"/>
      <c r="KB65" s="2080"/>
      <c r="KC65" s="2080"/>
      <c r="KD65" s="2080"/>
      <c r="KE65" s="2080"/>
      <c r="KF65" s="2080"/>
      <c r="KG65" s="2080"/>
      <c r="KH65" s="2080"/>
      <c r="KI65" s="2080"/>
      <c r="KJ65" s="2080"/>
      <c r="KK65" s="2080"/>
      <c r="KL65" s="2080"/>
      <c r="KM65" s="2080"/>
      <c r="KN65" s="2080"/>
      <c r="KO65" s="2080"/>
      <c r="KP65" s="2080"/>
      <c r="KQ65" s="2080"/>
      <c r="KR65" s="2080"/>
      <c r="KS65" s="2080"/>
      <c r="KT65" s="2080"/>
      <c r="KU65" s="2080"/>
      <c r="KV65" s="2080"/>
      <c r="KW65" s="2080"/>
      <c r="KX65" s="2080"/>
      <c r="KY65" s="2080"/>
      <c r="KZ65" s="2080"/>
      <c r="LA65" s="2080"/>
      <c r="LB65" s="2080"/>
      <c r="LC65" s="2080"/>
      <c r="LD65" s="2080"/>
      <c r="LE65" s="2080"/>
      <c r="LF65" s="2080"/>
      <c r="LG65" s="2080"/>
      <c r="LH65" s="2080"/>
      <c r="LI65" s="2080"/>
      <c r="LJ65" s="2080"/>
      <c r="LK65" s="2080"/>
      <c r="LL65" s="2080"/>
      <c r="LM65" s="2080"/>
      <c r="LN65" s="2080"/>
      <c r="LO65" s="2080"/>
      <c r="LP65" s="2080"/>
      <c r="LQ65" s="2080"/>
      <c r="LR65" s="2080"/>
      <c r="LS65" s="2080"/>
      <c r="LT65" s="2080"/>
      <c r="LU65" s="2080"/>
      <c r="LV65" s="2080"/>
      <c r="LW65" s="2080"/>
      <c r="LX65" s="2080"/>
      <c r="LY65" s="2080"/>
      <c r="LZ65" s="2080"/>
      <c r="MA65" s="2080"/>
      <c r="MB65" s="2080"/>
      <c r="MC65" s="2080"/>
      <c r="MD65" s="2080"/>
      <c r="ME65" s="2080"/>
      <c r="MF65" s="2080"/>
      <c r="MG65" s="2080"/>
      <c r="MH65" s="2080"/>
      <c r="MI65" s="2080"/>
      <c r="MJ65" s="2080"/>
      <c r="MK65" s="2080"/>
      <c r="ML65" s="2080"/>
      <c r="MM65" s="2080"/>
      <c r="MN65" s="2080"/>
      <c r="MO65" s="2080"/>
      <c r="MP65" s="2080"/>
      <c r="MQ65" s="2080"/>
      <c r="MR65" s="2080"/>
      <c r="MS65" s="2080"/>
      <c r="MT65" s="2080"/>
      <c r="MU65" s="2080"/>
      <c r="MV65" s="2080"/>
      <c r="MW65" s="2080"/>
      <c r="MX65" s="2080"/>
      <c r="MY65" s="2080"/>
      <c r="MZ65" s="2080"/>
      <c r="NA65" s="2080"/>
      <c r="NB65" s="2080"/>
      <c r="NC65" s="2080"/>
      <c r="ND65" s="2080"/>
      <c r="NE65" s="2080"/>
      <c r="NF65" s="2080"/>
      <c r="NG65" s="2080"/>
      <c r="NH65" s="2080"/>
      <c r="NI65" s="2080"/>
      <c r="NJ65" s="2080"/>
      <c r="NK65" s="2080"/>
      <c r="NL65" s="2080"/>
      <c r="NM65" s="2080"/>
      <c r="NN65" s="2080"/>
      <c r="NO65" s="2080"/>
      <c r="NP65" s="2080"/>
      <c r="NQ65" s="2080"/>
      <c r="NR65" s="2080"/>
      <c r="NS65" s="2080"/>
      <c r="NT65" s="2080"/>
      <c r="NU65" s="2080"/>
      <c r="NV65" s="2080"/>
      <c r="NW65" s="2080"/>
      <c r="NX65" s="2080"/>
      <c r="NY65" s="2080"/>
      <c r="NZ65" s="2080"/>
      <c r="OA65" s="2080"/>
      <c r="OB65" s="2080"/>
      <c r="OC65" s="2080"/>
      <c r="OD65" s="2080"/>
      <c r="OE65" s="2080"/>
      <c r="OF65" s="2080"/>
      <c r="OG65" s="2080"/>
      <c r="OH65" s="2080"/>
      <c r="OI65" s="2080"/>
      <c r="OJ65" s="2080"/>
      <c r="OK65" s="2080"/>
      <c r="OL65" s="2002"/>
      <c r="OM65" s="2002"/>
      <c r="ON65" s="2002"/>
      <c r="OO65" s="2002"/>
      <c r="OP65" s="2002"/>
      <c r="OQ65" s="2082"/>
      <c r="OR65" s="2083"/>
      <c r="OS65" s="2084"/>
      <c r="OT65" s="2084"/>
      <c r="OU65" s="2084"/>
      <c r="OV65" s="2084"/>
      <c r="OW65" s="2084"/>
      <c r="OX65" s="2084"/>
      <c r="OY65" s="2084"/>
      <c r="OZ65" s="2084"/>
      <c r="PA65" s="2084"/>
      <c r="PB65" s="2084"/>
      <c r="PC65" s="2084"/>
      <c r="PD65" s="2084"/>
      <c r="PE65" s="2084"/>
      <c r="PF65" s="2084"/>
      <c r="PG65" s="2084"/>
      <c r="PH65" s="2084"/>
      <c r="PI65" s="2084"/>
      <c r="PJ65" s="2084"/>
      <c r="PK65" s="2084"/>
      <c r="PL65" s="2084"/>
      <c r="PM65" s="2084"/>
      <c r="PN65" s="2084"/>
      <c r="PO65" s="2084"/>
      <c r="PP65" s="2085"/>
    </row>
    <row r="66" spans="1:432" s="2086" customFormat="1" ht="15" customHeight="1">
      <c r="A66" s="16453"/>
      <c r="B66" s="16456"/>
      <c r="C66" s="16456"/>
      <c r="D66" s="5096" t="s">
        <v>5093</v>
      </c>
      <c r="E66" s="5096" t="s">
        <v>258</v>
      </c>
      <c r="F66" s="2768" t="s">
        <v>253</v>
      </c>
      <c r="G66" s="6082" t="s">
        <v>254</v>
      </c>
      <c r="H66" s="6082">
        <v>5</v>
      </c>
      <c r="I66" s="6082">
        <v>5</v>
      </c>
      <c r="J66" s="6082">
        <v>5</v>
      </c>
      <c r="K66" s="2768" t="s">
        <v>259</v>
      </c>
      <c r="L66" s="2768" t="s">
        <v>10072</v>
      </c>
      <c r="M66" s="2768" t="s">
        <v>256</v>
      </c>
      <c r="N66" s="6146" t="s">
        <v>260</v>
      </c>
      <c r="O66" s="6084">
        <v>5000000</v>
      </c>
      <c r="P66" s="6084">
        <v>5150000</v>
      </c>
      <c r="Q66" s="6084">
        <v>5304500</v>
      </c>
      <c r="R66" s="6084">
        <v>5463635</v>
      </c>
      <c r="S66" s="6084">
        <v>5627544.0499999998</v>
      </c>
      <c r="T66" s="6084">
        <v>5796370.3715000004</v>
      </c>
      <c r="U66" s="6084">
        <v>5970261.4826450003</v>
      </c>
      <c r="V66" s="6141" t="s">
        <v>1732</v>
      </c>
      <c r="W66" s="6141" t="s">
        <v>4017</v>
      </c>
      <c r="X66" s="6142" t="s">
        <v>4016</v>
      </c>
      <c r="Y66" s="6143"/>
      <c r="Z66" s="6143"/>
      <c r="AA66" s="6144"/>
      <c r="AB66" s="6144"/>
      <c r="AC66" s="6144"/>
      <c r="AD66" s="6143"/>
      <c r="AE66" s="5094"/>
      <c r="AF66" s="5094"/>
      <c r="AG66" s="5094"/>
      <c r="AH66" s="5094"/>
      <c r="AI66" s="5094"/>
      <c r="AJ66" s="5094"/>
      <c r="AK66" s="5094"/>
      <c r="AL66" s="5094"/>
      <c r="AM66" s="5094"/>
      <c r="AN66" s="5094"/>
      <c r="AO66" s="5094"/>
      <c r="AP66" s="5094"/>
      <c r="AQ66" s="5094"/>
      <c r="AR66" s="5094"/>
      <c r="AS66" s="5094"/>
      <c r="AT66" s="5094"/>
      <c r="AU66" s="5094"/>
      <c r="AV66" s="5094"/>
      <c r="AW66" s="5094"/>
      <c r="AX66" s="5094"/>
      <c r="AY66" s="5094"/>
      <c r="AZ66" s="5094"/>
      <c r="BA66" s="5094"/>
      <c r="BB66" s="5094"/>
      <c r="BC66" s="5094"/>
      <c r="BD66" s="5094"/>
      <c r="BE66" s="5094"/>
      <c r="BF66" s="5094"/>
      <c r="BG66" s="5094"/>
      <c r="BH66" s="5094"/>
      <c r="BI66" s="5094"/>
      <c r="BJ66" s="6141"/>
      <c r="BK66" s="6141"/>
      <c r="BL66" s="6141"/>
      <c r="BM66" s="6141"/>
      <c r="BN66" s="5096">
        <v>5</v>
      </c>
      <c r="BO66" s="5096">
        <v>5</v>
      </c>
      <c r="BP66" s="5094">
        <v>5</v>
      </c>
      <c r="BQ66" s="4720">
        <f t="shared" si="3"/>
        <v>1</v>
      </c>
      <c r="BR66" s="16526"/>
      <c r="BS66" s="4714" t="s">
        <v>9091</v>
      </c>
      <c r="BT66" s="4714" t="s">
        <v>9092</v>
      </c>
      <c r="BU66" s="4714"/>
      <c r="BV66" s="4716"/>
      <c r="BW66" s="4728"/>
      <c r="BX66" s="4728"/>
      <c r="BY66" s="4728"/>
      <c r="BZ66" s="4728"/>
      <c r="CA66" s="4728"/>
      <c r="CB66" s="4728"/>
      <c r="CC66" s="4728"/>
      <c r="CD66" s="4728"/>
      <c r="CE66" s="4728"/>
      <c r="CF66" s="4728"/>
      <c r="CG66" s="4728"/>
      <c r="CH66" s="4728"/>
      <c r="CI66" s="4728"/>
      <c r="CJ66" s="4728"/>
      <c r="CK66" s="4728"/>
      <c r="CL66" s="4728"/>
      <c r="CM66" s="4728"/>
      <c r="CN66" s="4728"/>
      <c r="CO66" s="4625"/>
      <c r="CP66" s="4625"/>
      <c r="CQ66" s="4625"/>
      <c r="CR66" s="4625"/>
      <c r="CS66" s="4625"/>
      <c r="CT66" s="4625"/>
      <c r="CU66" s="4625"/>
      <c r="CV66" s="4625"/>
      <c r="CW66" s="4625"/>
      <c r="CX66" s="4625"/>
      <c r="CY66" s="4625"/>
      <c r="CZ66" s="3437"/>
      <c r="DA66" s="3437"/>
      <c r="DB66" s="3437"/>
      <c r="DC66" s="3437"/>
      <c r="DD66" s="3437"/>
      <c r="DE66" s="3437"/>
      <c r="DF66" s="3437"/>
      <c r="DG66" s="3437"/>
      <c r="DH66" s="3437"/>
      <c r="DI66" s="3473"/>
      <c r="DJ66" s="2094"/>
      <c r="DK66" s="6286"/>
      <c r="DL66" s="6141"/>
      <c r="DM66" s="6141"/>
      <c r="DN66" s="6141"/>
      <c r="DO66" s="6141"/>
      <c r="DP66" s="6141"/>
      <c r="DQ66" s="6141"/>
      <c r="DR66" s="6141"/>
      <c r="DS66" s="6141"/>
      <c r="DT66" s="6141"/>
      <c r="DU66" s="6141"/>
      <c r="DV66" s="6141"/>
      <c r="DW66" s="6141"/>
      <c r="DX66" s="6141"/>
      <c r="DY66" s="6141"/>
      <c r="DZ66" s="6141"/>
      <c r="EA66" s="6141"/>
      <c r="EB66" s="6141"/>
      <c r="EC66" s="6141"/>
      <c r="ED66" s="6141"/>
      <c r="EE66" s="6141"/>
      <c r="EF66" s="6141"/>
      <c r="EG66" s="6141"/>
      <c r="EH66" s="6141"/>
      <c r="EI66" s="6141"/>
      <c r="EJ66" s="6141"/>
      <c r="EK66" s="6141"/>
      <c r="EL66" s="6141"/>
      <c r="EM66" s="6141"/>
      <c r="EN66" s="6141"/>
      <c r="EO66" s="6141"/>
      <c r="EP66" s="6141"/>
      <c r="EQ66" s="6141"/>
      <c r="ER66" s="6141"/>
      <c r="ES66" s="6141"/>
      <c r="ET66" s="6141"/>
      <c r="EU66" s="6141"/>
      <c r="EV66" s="6141"/>
      <c r="EW66" s="6141"/>
      <c r="EX66" s="6141"/>
      <c r="EY66" s="6141"/>
      <c r="EZ66" s="6141"/>
      <c r="FA66" s="6141"/>
      <c r="FB66" s="6141"/>
      <c r="FC66" s="6141"/>
      <c r="FD66" s="6287"/>
      <c r="FE66" s="2081"/>
      <c r="FF66" s="2080"/>
      <c r="FG66" s="2080"/>
      <c r="FH66" s="2080"/>
      <c r="FI66" s="2080"/>
      <c r="FJ66" s="2080"/>
      <c r="FK66" s="2080"/>
      <c r="FL66" s="2080"/>
      <c r="FM66" s="2080"/>
      <c r="FN66" s="2080"/>
      <c r="FO66" s="2080"/>
      <c r="FP66" s="2080"/>
      <c r="FQ66" s="2080"/>
      <c r="FR66" s="2080"/>
      <c r="FS66" s="2080"/>
      <c r="FT66" s="2080"/>
      <c r="FU66" s="2080"/>
      <c r="FV66" s="2080"/>
      <c r="FW66" s="2080"/>
      <c r="FX66" s="2080"/>
      <c r="FY66" s="2080"/>
      <c r="FZ66" s="2080"/>
      <c r="GA66" s="2080"/>
      <c r="GB66" s="2080"/>
      <c r="GC66" s="2080"/>
      <c r="GD66" s="2080"/>
      <c r="GE66" s="2080"/>
      <c r="GF66" s="2080"/>
      <c r="GG66" s="2080"/>
      <c r="GH66" s="2080"/>
      <c r="GI66" s="2080"/>
      <c r="GJ66" s="2080"/>
      <c r="GK66" s="2080"/>
      <c r="GL66" s="2080"/>
      <c r="GM66" s="2080"/>
      <c r="GN66" s="2080"/>
      <c r="GO66" s="2080"/>
      <c r="GP66" s="2080"/>
      <c r="GQ66" s="2080"/>
      <c r="GR66" s="2080"/>
      <c r="GS66" s="2080"/>
      <c r="GT66" s="2080"/>
      <c r="GU66" s="2080"/>
      <c r="GV66" s="2080"/>
      <c r="GW66" s="2080"/>
      <c r="GX66" s="2080"/>
      <c r="GY66" s="2080"/>
      <c r="GZ66" s="2080"/>
      <c r="HA66" s="2080"/>
      <c r="HB66" s="2080"/>
      <c r="HC66" s="2080"/>
      <c r="HD66" s="2080"/>
      <c r="HE66" s="2080"/>
      <c r="HF66" s="2080"/>
      <c r="HG66" s="2080"/>
      <c r="HH66" s="2080"/>
      <c r="HI66" s="2080"/>
      <c r="HJ66" s="2080"/>
      <c r="HK66" s="2080"/>
      <c r="HL66" s="2080"/>
      <c r="HM66" s="2080"/>
      <c r="HN66" s="2080"/>
      <c r="HO66" s="2080"/>
      <c r="HP66" s="2080"/>
      <c r="HQ66" s="2080"/>
      <c r="HR66" s="2080"/>
      <c r="HS66" s="2080"/>
      <c r="HT66" s="2080"/>
      <c r="HU66" s="2080"/>
      <c r="HV66" s="2080"/>
      <c r="HW66" s="2080"/>
      <c r="HX66" s="2080"/>
      <c r="HY66" s="2080"/>
      <c r="HZ66" s="2080"/>
      <c r="IA66" s="2080"/>
      <c r="IB66" s="2080"/>
      <c r="IC66" s="2080"/>
      <c r="ID66" s="2080"/>
      <c r="IE66" s="2080"/>
      <c r="IF66" s="2080"/>
      <c r="IG66" s="2080"/>
      <c r="IH66" s="2080"/>
      <c r="II66" s="2080"/>
      <c r="IJ66" s="2080"/>
      <c r="IK66" s="2080"/>
      <c r="IL66" s="2080"/>
      <c r="IM66" s="2080"/>
      <c r="IN66" s="2080"/>
      <c r="IO66" s="2080"/>
      <c r="IP66" s="2080"/>
      <c r="IQ66" s="2080"/>
      <c r="IR66" s="2080"/>
      <c r="IS66" s="2080"/>
      <c r="IT66" s="2080"/>
      <c r="IU66" s="2080"/>
      <c r="IV66" s="2080"/>
      <c r="IW66" s="2080"/>
      <c r="IX66" s="2080"/>
      <c r="IY66" s="2080"/>
      <c r="IZ66" s="2080"/>
      <c r="JA66" s="2080"/>
      <c r="JB66" s="2080"/>
      <c r="JC66" s="2080"/>
      <c r="JD66" s="2080"/>
      <c r="JE66" s="2080"/>
      <c r="JF66" s="2080"/>
      <c r="JG66" s="2080"/>
      <c r="JH66" s="2080"/>
      <c r="JI66" s="2080"/>
      <c r="JJ66" s="2080"/>
      <c r="JK66" s="2080"/>
      <c r="JL66" s="2080"/>
      <c r="JM66" s="2080"/>
      <c r="JN66" s="2080"/>
      <c r="JO66" s="2080"/>
      <c r="JP66" s="2080"/>
      <c r="JQ66" s="2080"/>
      <c r="JR66" s="2080"/>
      <c r="JS66" s="2080"/>
      <c r="JT66" s="2080"/>
      <c r="JU66" s="2080"/>
      <c r="JV66" s="2080"/>
      <c r="JW66" s="2080"/>
      <c r="JX66" s="2080"/>
      <c r="JY66" s="2080"/>
      <c r="JZ66" s="2080"/>
      <c r="KA66" s="2080"/>
      <c r="KB66" s="2080"/>
      <c r="KC66" s="2080"/>
      <c r="KD66" s="2080"/>
      <c r="KE66" s="2080"/>
      <c r="KF66" s="2080"/>
      <c r="KG66" s="2080"/>
      <c r="KH66" s="2080"/>
      <c r="KI66" s="2080"/>
      <c r="KJ66" s="2080"/>
      <c r="KK66" s="2080"/>
      <c r="KL66" s="2080"/>
      <c r="KM66" s="2080"/>
      <c r="KN66" s="2080"/>
      <c r="KO66" s="2080"/>
      <c r="KP66" s="2080"/>
      <c r="KQ66" s="2080"/>
      <c r="KR66" s="2080"/>
      <c r="KS66" s="2080"/>
      <c r="KT66" s="2080"/>
      <c r="KU66" s="2080"/>
      <c r="KV66" s="2080"/>
      <c r="KW66" s="2080"/>
      <c r="KX66" s="2080"/>
      <c r="KY66" s="2080"/>
      <c r="KZ66" s="2080"/>
      <c r="LA66" s="2080"/>
      <c r="LB66" s="2080"/>
      <c r="LC66" s="2080"/>
      <c r="LD66" s="2080"/>
      <c r="LE66" s="2080"/>
      <c r="LF66" s="2080"/>
      <c r="LG66" s="2080"/>
      <c r="LH66" s="2080"/>
      <c r="LI66" s="2080"/>
      <c r="LJ66" s="2080"/>
      <c r="LK66" s="2080"/>
      <c r="LL66" s="2080"/>
      <c r="LM66" s="2080"/>
      <c r="LN66" s="2080"/>
      <c r="LO66" s="2080"/>
      <c r="LP66" s="2080"/>
      <c r="LQ66" s="2080"/>
      <c r="LR66" s="2080"/>
      <c r="LS66" s="2080"/>
      <c r="LT66" s="2080"/>
      <c r="LU66" s="2080"/>
      <c r="LV66" s="2080"/>
      <c r="LW66" s="2080"/>
      <c r="LX66" s="2080"/>
      <c r="LY66" s="2080"/>
      <c r="LZ66" s="2080"/>
      <c r="MA66" s="2080"/>
      <c r="MB66" s="2080"/>
      <c r="MC66" s="2080"/>
      <c r="MD66" s="2080"/>
      <c r="ME66" s="2080"/>
      <c r="MF66" s="2080"/>
      <c r="MG66" s="2080"/>
      <c r="MH66" s="2080"/>
      <c r="MI66" s="2080"/>
      <c r="MJ66" s="2080"/>
      <c r="MK66" s="2080"/>
      <c r="ML66" s="2080"/>
      <c r="MM66" s="2080"/>
      <c r="MN66" s="2080"/>
      <c r="MO66" s="2080"/>
      <c r="MP66" s="2080"/>
      <c r="MQ66" s="2080"/>
      <c r="MR66" s="2080"/>
      <c r="MS66" s="2080"/>
      <c r="MT66" s="2080"/>
      <c r="MU66" s="2080"/>
      <c r="MV66" s="2080"/>
      <c r="MW66" s="2080"/>
      <c r="MX66" s="2080"/>
      <c r="MY66" s="2080"/>
      <c r="MZ66" s="2080"/>
      <c r="NA66" s="2080"/>
      <c r="NB66" s="2080"/>
      <c r="NC66" s="2080"/>
      <c r="ND66" s="2080"/>
      <c r="NE66" s="2080"/>
      <c r="NF66" s="2080"/>
      <c r="NG66" s="2080"/>
      <c r="NH66" s="2080"/>
      <c r="NI66" s="2080"/>
      <c r="NJ66" s="2080"/>
      <c r="NK66" s="2080"/>
      <c r="NL66" s="2080"/>
      <c r="NM66" s="2080"/>
      <c r="NN66" s="2080"/>
      <c r="NO66" s="2080"/>
      <c r="NP66" s="2080"/>
      <c r="NQ66" s="2080"/>
      <c r="NR66" s="2080"/>
      <c r="NS66" s="2080"/>
      <c r="NT66" s="2080"/>
      <c r="NU66" s="2080"/>
      <c r="NV66" s="2080"/>
      <c r="NW66" s="2080"/>
      <c r="NX66" s="2080"/>
      <c r="NY66" s="2080"/>
      <c r="NZ66" s="2080"/>
      <c r="OA66" s="2080"/>
      <c r="OB66" s="2080"/>
      <c r="OC66" s="2080"/>
      <c r="OD66" s="2080"/>
      <c r="OE66" s="2080"/>
      <c r="OF66" s="2080"/>
      <c r="OG66" s="2080"/>
      <c r="OH66" s="2080"/>
      <c r="OI66" s="2080"/>
      <c r="OJ66" s="2080"/>
      <c r="OK66" s="2080"/>
      <c r="OL66" s="2002"/>
      <c r="OM66" s="2002"/>
      <c r="ON66" s="2002"/>
      <c r="OO66" s="2002"/>
      <c r="OP66" s="2002"/>
      <c r="OQ66" s="2082"/>
      <c r="OR66" s="2083"/>
      <c r="OS66" s="2084"/>
      <c r="OT66" s="2084"/>
      <c r="OU66" s="2084"/>
      <c r="OV66" s="2084" t="s">
        <v>2891</v>
      </c>
      <c r="OW66" s="2084"/>
      <c r="OX66" s="2084"/>
      <c r="OY66" s="2084"/>
      <c r="OZ66" s="2084"/>
      <c r="PA66" s="2084"/>
      <c r="PB66" s="2084"/>
      <c r="PC66" s="2084"/>
      <c r="PD66" s="2084"/>
      <c r="PE66" s="2084"/>
      <c r="PF66" s="2084"/>
      <c r="PG66" s="2084"/>
      <c r="PH66" s="2084"/>
      <c r="PI66" s="2084"/>
      <c r="PJ66" s="2084"/>
      <c r="PK66" s="2084"/>
      <c r="PL66" s="2084"/>
      <c r="PM66" s="2084"/>
      <c r="PN66" s="2084"/>
      <c r="PO66" s="2084"/>
      <c r="PP66" s="2085"/>
    </row>
    <row r="67" spans="1:432" s="2086" customFormat="1" ht="15" customHeight="1">
      <c r="A67" s="16453"/>
      <c r="B67" s="16456"/>
      <c r="C67" s="16456" t="s">
        <v>261</v>
      </c>
      <c r="D67" s="5096" t="s">
        <v>5094</v>
      </c>
      <c r="E67" s="5096" t="s">
        <v>262</v>
      </c>
      <c r="F67" s="2768" t="s">
        <v>263</v>
      </c>
      <c r="G67" s="2768" t="s">
        <v>264</v>
      </c>
      <c r="H67" s="6082">
        <v>1</v>
      </c>
      <c r="I67" s="6082">
        <v>1</v>
      </c>
      <c r="J67" s="6082">
        <v>1</v>
      </c>
      <c r="K67" s="2768" t="s">
        <v>259</v>
      </c>
      <c r="L67" s="2768" t="s">
        <v>10072</v>
      </c>
      <c r="M67" s="2768" t="s">
        <v>256</v>
      </c>
      <c r="N67" s="6146" t="s">
        <v>260</v>
      </c>
      <c r="O67" s="6084">
        <v>60000000</v>
      </c>
      <c r="P67" s="6084">
        <v>61800000</v>
      </c>
      <c r="Q67" s="6084">
        <v>63654000</v>
      </c>
      <c r="R67" s="6084">
        <v>65563620</v>
      </c>
      <c r="S67" s="6084">
        <v>67530528.600000009</v>
      </c>
      <c r="T67" s="6084">
        <v>69556444.458000004</v>
      </c>
      <c r="U67" s="6084">
        <v>71643137.79174</v>
      </c>
      <c r="V67" s="6141" t="s">
        <v>1732</v>
      </c>
      <c r="W67" s="6141" t="s">
        <v>4018</v>
      </c>
      <c r="X67" s="6143"/>
      <c r="Y67" s="6143"/>
      <c r="Z67" s="6143"/>
      <c r="AA67" s="6144"/>
      <c r="AB67" s="6144"/>
      <c r="AC67" s="6143"/>
      <c r="AD67" s="6143"/>
      <c r="AE67" s="5094"/>
      <c r="AF67" s="5094"/>
      <c r="AG67" s="5094"/>
      <c r="AH67" s="5094"/>
      <c r="AI67" s="5094"/>
      <c r="AJ67" s="5094"/>
      <c r="AK67" s="5094"/>
      <c r="AL67" s="5094"/>
      <c r="AM67" s="5094"/>
      <c r="AN67" s="5094"/>
      <c r="AO67" s="5094"/>
      <c r="AP67" s="5094"/>
      <c r="AQ67" s="5094"/>
      <c r="AR67" s="5094"/>
      <c r="AS67" s="5094"/>
      <c r="AT67" s="5094"/>
      <c r="AU67" s="5094"/>
      <c r="AV67" s="5094"/>
      <c r="AW67" s="5094"/>
      <c r="AX67" s="5094"/>
      <c r="AY67" s="5094"/>
      <c r="AZ67" s="5094"/>
      <c r="BA67" s="5094"/>
      <c r="BB67" s="5094"/>
      <c r="BC67" s="5094"/>
      <c r="BD67" s="5094"/>
      <c r="BE67" s="5094"/>
      <c r="BF67" s="5094"/>
      <c r="BG67" s="5094"/>
      <c r="BH67" s="5094"/>
      <c r="BI67" s="5094"/>
      <c r="BJ67" s="6141"/>
      <c r="BK67" s="6141"/>
      <c r="BL67" s="6141"/>
      <c r="BM67" s="6141"/>
      <c r="BN67" s="5096">
        <v>1</v>
      </c>
      <c r="BO67" s="5096">
        <v>1</v>
      </c>
      <c r="BP67" s="5094">
        <v>1</v>
      </c>
      <c r="BQ67" s="4720">
        <f t="shared" si="3"/>
        <v>1</v>
      </c>
      <c r="BR67" s="16526"/>
      <c r="BS67" s="4714" t="s">
        <v>9093</v>
      </c>
      <c r="BT67" s="4714"/>
      <c r="BU67" s="6147"/>
      <c r="BV67" s="4716">
        <v>10000000</v>
      </c>
      <c r="BW67" s="4716">
        <v>10000000</v>
      </c>
      <c r="BX67" s="4716"/>
      <c r="BY67" s="4716"/>
      <c r="BZ67" s="4716">
        <v>200</v>
      </c>
      <c r="CA67" s="4716"/>
      <c r="CB67" s="4716"/>
      <c r="CC67" s="4716"/>
      <c r="CD67" s="4716"/>
      <c r="CE67" s="4728"/>
      <c r="CF67" s="4728"/>
      <c r="CG67" s="4728"/>
      <c r="CH67" s="4728"/>
      <c r="CI67" s="4728"/>
      <c r="CJ67" s="4728"/>
      <c r="CK67" s="4728"/>
      <c r="CL67" s="4728"/>
      <c r="CM67" s="4728"/>
      <c r="CN67" s="4728"/>
      <c r="CO67" s="4625"/>
      <c r="CP67" s="4625"/>
      <c r="CQ67" s="4625"/>
      <c r="CR67" s="4625"/>
      <c r="CS67" s="4625"/>
      <c r="CT67" s="4625"/>
      <c r="CU67" s="4625">
        <v>200</v>
      </c>
      <c r="CV67" s="4625"/>
      <c r="CW67" s="4625"/>
      <c r="CX67" s="4625"/>
      <c r="CY67" s="4625"/>
      <c r="CZ67" s="3437"/>
      <c r="DA67" s="3437"/>
      <c r="DB67" s="3437"/>
      <c r="DC67" s="3437"/>
      <c r="DD67" s="3437"/>
      <c r="DE67" s="3437"/>
      <c r="DF67" s="3437"/>
      <c r="DG67" s="3437"/>
      <c r="DH67" s="3437"/>
      <c r="DI67" s="3473"/>
      <c r="DJ67" s="2094"/>
      <c r="DK67" s="6286"/>
      <c r="DL67" s="6141"/>
      <c r="DM67" s="6141"/>
      <c r="DN67" s="6141"/>
      <c r="DO67" s="6141"/>
      <c r="DP67" s="6141"/>
      <c r="DQ67" s="6141"/>
      <c r="DR67" s="6141"/>
      <c r="DS67" s="6141"/>
      <c r="DT67" s="6141"/>
      <c r="DU67" s="6141"/>
      <c r="DV67" s="6141"/>
      <c r="DW67" s="6141"/>
      <c r="DX67" s="6141"/>
      <c r="DY67" s="6141"/>
      <c r="DZ67" s="6141"/>
      <c r="EA67" s="6141"/>
      <c r="EB67" s="6141"/>
      <c r="EC67" s="6141"/>
      <c r="ED67" s="6141"/>
      <c r="EE67" s="6141"/>
      <c r="EF67" s="6141"/>
      <c r="EG67" s="6141"/>
      <c r="EH67" s="6141"/>
      <c r="EI67" s="6141"/>
      <c r="EJ67" s="6141"/>
      <c r="EK67" s="6141"/>
      <c r="EL67" s="6141"/>
      <c r="EM67" s="6141"/>
      <c r="EN67" s="6141"/>
      <c r="EO67" s="6141"/>
      <c r="EP67" s="6141"/>
      <c r="EQ67" s="6141"/>
      <c r="ER67" s="6141"/>
      <c r="ES67" s="6141"/>
      <c r="ET67" s="6141"/>
      <c r="EU67" s="6141"/>
      <c r="EV67" s="6141"/>
      <c r="EW67" s="6141"/>
      <c r="EX67" s="6141"/>
      <c r="EY67" s="6141"/>
      <c r="EZ67" s="6141"/>
      <c r="FA67" s="6141"/>
      <c r="FB67" s="6141"/>
      <c r="FC67" s="6141"/>
      <c r="FD67" s="6287"/>
      <c r="FE67" s="2081"/>
      <c r="FF67" s="2080"/>
      <c r="FG67" s="2080"/>
      <c r="FH67" s="2080"/>
      <c r="FI67" s="2080"/>
      <c r="FJ67" s="2080"/>
      <c r="FK67" s="2080"/>
      <c r="FL67" s="2080"/>
      <c r="FM67" s="2080"/>
      <c r="FN67" s="2080"/>
      <c r="FO67" s="2080"/>
      <c r="FP67" s="2080"/>
      <c r="FQ67" s="2080"/>
      <c r="FR67" s="2080"/>
      <c r="FS67" s="2080"/>
      <c r="FT67" s="2080"/>
      <c r="FU67" s="2080"/>
      <c r="FV67" s="2080"/>
      <c r="FW67" s="2080"/>
      <c r="FX67" s="2080"/>
      <c r="FY67" s="2080"/>
      <c r="FZ67" s="2080"/>
      <c r="GA67" s="2080"/>
      <c r="GB67" s="2080"/>
      <c r="GC67" s="2080"/>
      <c r="GD67" s="2080"/>
      <c r="GE67" s="2080"/>
      <c r="GF67" s="2080"/>
      <c r="GG67" s="2080"/>
      <c r="GH67" s="2080"/>
      <c r="GI67" s="2080"/>
      <c r="GJ67" s="2080"/>
      <c r="GK67" s="2080"/>
      <c r="GL67" s="2080"/>
      <c r="GM67" s="2080"/>
      <c r="GN67" s="2080"/>
      <c r="GO67" s="2080"/>
      <c r="GP67" s="2080"/>
      <c r="GQ67" s="2080"/>
      <c r="GR67" s="2080"/>
      <c r="GS67" s="2080"/>
      <c r="GT67" s="2080"/>
      <c r="GU67" s="2080"/>
      <c r="GV67" s="2080"/>
      <c r="GW67" s="2080"/>
      <c r="GX67" s="2080"/>
      <c r="GY67" s="2080"/>
      <c r="GZ67" s="2080"/>
      <c r="HA67" s="2080"/>
      <c r="HB67" s="2080"/>
      <c r="HC67" s="2080"/>
      <c r="HD67" s="2080"/>
      <c r="HE67" s="2080"/>
      <c r="HF67" s="2080"/>
      <c r="HG67" s="2080"/>
      <c r="HH67" s="2080"/>
      <c r="HI67" s="2080"/>
      <c r="HJ67" s="2080"/>
      <c r="HK67" s="2080"/>
      <c r="HL67" s="2080"/>
      <c r="HM67" s="2080"/>
      <c r="HN67" s="2080"/>
      <c r="HO67" s="2080"/>
      <c r="HP67" s="2080"/>
      <c r="HQ67" s="2080"/>
      <c r="HR67" s="2080"/>
      <c r="HS67" s="2080"/>
      <c r="HT67" s="2080"/>
      <c r="HU67" s="2080"/>
      <c r="HV67" s="2080"/>
      <c r="HW67" s="2080"/>
      <c r="HX67" s="2080"/>
      <c r="HY67" s="2080"/>
      <c r="HZ67" s="2080"/>
      <c r="IA67" s="2080"/>
      <c r="IB67" s="2080"/>
      <c r="IC67" s="2080"/>
      <c r="ID67" s="2080"/>
      <c r="IE67" s="2080"/>
      <c r="IF67" s="2080"/>
      <c r="IG67" s="2080"/>
      <c r="IH67" s="2080"/>
      <c r="II67" s="2080"/>
      <c r="IJ67" s="2080"/>
      <c r="IK67" s="2080"/>
      <c r="IL67" s="2080"/>
      <c r="IM67" s="2080"/>
      <c r="IN67" s="2080"/>
      <c r="IO67" s="2080"/>
      <c r="IP67" s="2080"/>
      <c r="IQ67" s="2080"/>
      <c r="IR67" s="2080"/>
      <c r="IS67" s="2080"/>
      <c r="IT67" s="2080"/>
      <c r="IU67" s="2080"/>
      <c r="IV67" s="2080"/>
      <c r="IW67" s="2080"/>
      <c r="IX67" s="2080"/>
      <c r="IY67" s="2080"/>
      <c r="IZ67" s="2080"/>
      <c r="JA67" s="2080"/>
      <c r="JB67" s="2080"/>
      <c r="JC67" s="2080"/>
      <c r="JD67" s="2080"/>
      <c r="JE67" s="2080"/>
      <c r="JF67" s="2080"/>
      <c r="JG67" s="2080"/>
      <c r="JH67" s="2080"/>
      <c r="JI67" s="2080"/>
      <c r="JJ67" s="2080"/>
      <c r="JK67" s="2080"/>
      <c r="JL67" s="2080"/>
      <c r="JM67" s="2080"/>
      <c r="JN67" s="2080"/>
      <c r="JO67" s="2080"/>
      <c r="JP67" s="2080"/>
      <c r="JQ67" s="2080"/>
      <c r="JR67" s="2080"/>
      <c r="JS67" s="2080"/>
      <c r="JT67" s="2080"/>
      <c r="JU67" s="2080"/>
      <c r="JV67" s="2080"/>
      <c r="JW67" s="2080"/>
      <c r="JX67" s="2080"/>
      <c r="JY67" s="2080"/>
      <c r="JZ67" s="2080"/>
      <c r="KA67" s="2080"/>
      <c r="KB67" s="2080"/>
      <c r="KC67" s="2080"/>
      <c r="KD67" s="2080"/>
      <c r="KE67" s="2080"/>
      <c r="KF67" s="2080"/>
      <c r="KG67" s="2080"/>
      <c r="KH67" s="2080"/>
      <c r="KI67" s="2080"/>
      <c r="KJ67" s="2080"/>
      <c r="KK67" s="2080"/>
      <c r="KL67" s="2080"/>
      <c r="KM67" s="2080"/>
      <c r="KN67" s="2080"/>
      <c r="KO67" s="2080"/>
      <c r="KP67" s="2080"/>
      <c r="KQ67" s="2080"/>
      <c r="KR67" s="2080"/>
      <c r="KS67" s="2080"/>
      <c r="KT67" s="2080"/>
      <c r="KU67" s="2080"/>
      <c r="KV67" s="2080"/>
      <c r="KW67" s="2080"/>
      <c r="KX67" s="2080"/>
      <c r="KY67" s="2080"/>
      <c r="KZ67" s="2080"/>
      <c r="LA67" s="2080"/>
      <c r="LB67" s="2080"/>
      <c r="LC67" s="2080"/>
      <c r="LD67" s="2080"/>
      <c r="LE67" s="2080"/>
      <c r="LF67" s="2080"/>
      <c r="LG67" s="2080"/>
      <c r="LH67" s="2080"/>
      <c r="LI67" s="2080"/>
      <c r="LJ67" s="2080"/>
      <c r="LK67" s="2080"/>
      <c r="LL67" s="2080"/>
      <c r="LM67" s="2080"/>
      <c r="LN67" s="2080"/>
      <c r="LO67" s="2080"/>
      <c r="LP67" s="2080"/>
      <c r="LQ67" s="2080"/>
      <c r="LR67" s="2080"/>
      <c r="LS67" s="2080"/>
      <c r="LT67" s="2080"/>
      <c r="LU67" s="2080"/>
      <c r="LV67" s="2080"/>
      <c r="LW67" s="2080"/>
      <c r="LX67" s="2080"/>
      <c r="LY67" s="2080"/>
      <c r="LZ67" s="2080"/>
      <c r="MA67" s="2080"/>
      <c r="MB67" s="2080"/>
      <c r="MC67" s="2080"/>
      <c r="MD67" s="2080"/>
      <c r="ME67" s="2080"/>
      <c r="MF67" s="2080"/>
      <c r="MG67" s="2080"/>
      <c r="MH67" s="2080"/>
      <c r="MI67" s="2080"/>
      <c r="MJ67" s="2080"/>
      <c r="MK67" s="2080"/>
      <c r="ML67" s="2080"/>
      <c r="MM67" s="2080"/>
      <c r="MN67" s="2080"/>
      <c r="MO67" s="2080"/>
      <c r="MP67" s="2080"/>
      <c r="MQ67" s="2080"/>
      <c r="MR67" s="2080"/>
      <c r="MS67" s="2080"/>
      <c r="MT67" s="2080"/>
      <c r="MU67" s="2080"/>
      <c r="MV67" s="2080"/>
      <c r="MW67" s="2080"/>
      <c r="MX67" s="2080"/>
      <c r="MY67" s="2080"/>
      <c r="MZ67" s="2080"/>
      <c r="NA67" s="2080"/>
      <c r="NB67" s="2080"/>
      <c r="NC67" s="2080"/>
      <c r="ND67" s="2080"/>
      <c r="NE67" s="2080"/>
      <c r="NF67" s="2080"/>
      <c r="NG67" s="2080"/>
      <c r="NH67" s="2080"/>
      <c r="NI67" s="2080"/>
      <c r="NJ67" s="2080"/>
      <c r="NK67" s="2080"/>
      <c r="NL67" s="2080"/>
      <c r="NM67" s="2080"/>
      <c r="NN67" s="2080"/>
      <c r="NO67" s="2080"/>
      <c r="NP67" s="2080"/>
      <c r="NQ67" s="2080"/>
      <c r="NR67" s="2080"/>
      <c r="NS67" s="2080"/>
      <c r="NT67" s="2080"/>
      <c r="NU67" s="2080"/>
      <c r="NV67" s="2080"/>
      <c r="NW67" s="2080"/>
      <c r="NX67" s="2080"/>
      <c r="NY67" s="2080"/>
      <c r="NZ67" s="2080"/>
      <c r="OA67" s="2080"/>
      <c r="OB67" s="2080"/>
      <c r="OC67" s="2080"/>
      <c r="OD67" s="2080"/>
      <c r="OE67" s="2080"/>
      <c r="OF67" s="2080"/>
      <c r="OG67" s="2080"/>
      <c r="OH67" s="2080"/>
      <c r="OI67" s="2080"/>
      <c r="OJ67" s="2080"/>
      <c r="OK67" s="2080"/>
      <c r="OL67" s="2002"/>
      <c r="OM67" s="2002"/>
      <c r="ON67" s="2002"/>
      <c r="OO67" s="2002"/>
      <c r="OP67" s="2002"/>
      <c r="OQ67" s="2082"/>
      <c r="OR67" s="2083"/>
      <c r="OS67" s="2084"/>
      <c r="OT67" s="2084"/>
      <c r="OU67" s="2084"/>
      <c r="OV67" s="2084" t="s">
        <v>2891</v>
      </c>
      <c r="OW67" s="2084"/>
      <c r="OX67" s="2084"/>
      <c r="OY67" s="2084"/>
      <c r="OZ67" s="2084"/>
      <c r="PA67" s="2084"/>
      <c r="PB67" s="2084"/>
      <c r="PC67" s="2084"/>
      <c r="PD67" s="2084"/>
      <c r="PE67" s="2084"/>
      <c r="PF67" s="2084"/>
      <c r="PG67" s="2084"/>
      <c r="PH67" s="2084"/>
      <c r="PI67" s="2084"/>
      <c r="PJ67" s="2084"/>
      <c r="PK67" s="2084"/>
      <c r="PL67" s="2084"/>
      <c r="PM67" s="2084"/>
      <c r="PN67" s="2084"/>
      <c r="PO67" s="2084"/>
      <c r="PP67" s="2085"/>
    </row>
    <row r="68" spans="1:432" s="2086" customFormat="1" ht="15" customHeight="1">
      <c r="A68" s="16453"/>
      <c r="B68" s="16456"/>
      <c r="C68" s="16456"/>
      <c r="D68" s="5096" t="s">
        <v>5095</v>
      </c>
      <c r="E68" s="5096" t="s">
        <v>265</v>
      </c>
      <c r="F68" s="2768" t="s">
        <v>266</v>
      </c>
      <c r="G68" s="6082" t="s">
        <v>254</v>
      </c>
      <c r="H68" s="6082">
        <v>1</v>
      </c>
      <c r="I68" s="6082">
        <v>1</v>
      </c>
      <c r="J68" s="6082">
        <v>1</v>
      </c>
      <c r="K68" s="2768" t="s">
        <v>259</v>
      </c>
      <c r="L68" s="2768" t="s">
        <v>10072</v>
      </c>
      <c r="M68" s="2768" t="s">
        <v>256</v>
      </c>
      <c r="N68" s="6146" t="s">
        <v>260</v>
      </c>
      <c r="O68" s="6084">
        <v>30000000</v>
      </c>
      <c r="P68" s="6084">
        <v>30900000</v>
      </c>
      <c r="Q68" s="6084">
        <v>31827000</v>
      </c>
      <c r="R68" s="6084">
        <v>32781810</v>
      </c>
      <c r="S68" s="6084">
        <v>33765264.300000004</v>
      </c>
      <c r="T68" s="6084">
        <v>34778222.229000002</v>
      </c>
      <c r="U68" s="6084">
        <v>35821568.89587</v>
      </c>
      <c r="V68" s="6148">
        <v>1</v>
      </c>
      <c r="W68" s="6149" t="s">
        <v>4019</v>
      </c>
      <c r="X68" s="6142" t="s">
        <v>4020</v>
      </c>
      <c r="Y68" s="6143"/>
      <c r="Z68" s="6143"/>
      <c r="AA68" s="6144"/>
      <c r="AB68" s="6144"/>
      <c r="AC68" s="6144"/>
      <c r="AD68" s="6143"/>
      <c r="AE68" s="5094"/>
      <c r="AF68" s="5094"/>
      <c r="AG68" s="5094"/>
      <c r="AH68" s="5094"/>
      <c r="AI68" s="5094"/>
      <c r="AJ68" s="5094"/>
      <c r="AK68" s="5094"/>
      <c r="AL68" s="5094"/>
      <c r="AM68" s="5094"/>
      <c r="AN68" s="5094"/>
      <c r="AO68" s="5094"/>
      <c r="AP68" s="5094"/>
      <c r="AQ68" s="5094"/>
      <c r="AR68" s="5094"/>
      <c r="AS68" s="5094"/>
      <c r="AT68" s="5094"/>
      <c r="AU68" s="5094"/>
      <c r="AV68" s="5094"/>
      <c r="AW68" s="5094"/>
      <c r="AX68" s="5094"/>
      <c r="AY68" s="5094"/>
      <c r="AZ68" s="5094"/>
      <c r="BA68" s="5094"/>
      <c r="BB68" s="5094"/>
      <c r="BC68" s="5094"/>
      <c r="BD68" s="5094"/>
      <c r="BE68" s="5094"/>
      <c r="BF68" s="5094"/>
      <c r="BG68" s="5094"/>
      <c r="BH68" s="5094"/>
      <c r="BI68" s="5094"/>
      <c r="BJ68" s="6141"/>
      <c r="BK68" s="6141"/>
      <c r="BL68" s="6141"/>
      <c r="BM68" s="6141"/>
      <c r="BN68" s="5096">
        <v>1</v>
      </c>
      <c r="BO68" s="5096">
        <v>1</v>
      </c>
      <c r="BP68" s="5094">
        <v>1</v>
      </c>
      <c r="BQ68" s="4720">
        <f t="shared" si="3"/>
        <v>1</v>
      </c>
      <c r="BR68" s="16526"/>
      <c r="BS68" s="4714" t="s">
        <v>9094</v>
      </c>
      <c r="BT68" s="3437"/>
      <c r="BU68" s="3437"/>
      <c r="BV68" s="4728"/>
      <c r="BW68" s="4728"/>
      <c r="BX68" s="4728"/>
      <c r="BY68" s="4728"/>
      <c r="BZ68" s="4728"/>
      <c r="CA68" s="4728"/>
      <c r="CB68" s="4728"/>
      <c r="CC68" s="4728"/>
      <c r="CD68" s="4728"/>
      <c r="CE68" s="4728"/>
      <c r="CF68" s="4728"/>
      <c r="CG68" s="4728"/>
      <c r="CH68" s="4728"/>
      <c r="CI68" s="4728"/>
      <c r="CJ68" s="4728"/>
      <c r="CK68" s="4728"/>
      <c r="CL68" s="4728"/>
      <c r="CM68" s="4728"/>
      <c r="CN68" s="4728"/>
      <c r="CO68" s="4625"/>
      <c r="CP68" s="4625"/>
      <c r="CQ68" s="4625"/>
      <c r="CR68" s="4625"/>
      <c r="CS68" s="4625"/>
      <c r="CT68" s="4625"/>
      <c r="CU68" s="4625"/>
      <c r="CV68" s="4625"/>
      <c r="CW68" s="4625"/>
      <c r="CX68" s="4625"/>
      <c r="CY68" s="4625"/>
      <c r="CZ68" s="3437"/>
      <c r="DA68" s="3437"/>
      <c r="DB68" s="3437"/>
      <c r="DC68" s="3437"/>
      <c r="DD68" s="3437"/>
      <c r="DE68" s="3437"/>
      <c r="DF68" s="3437"/>
      <c r="DG68" s="3437"/>
      <c r="DH68" s="3437"/>
      <c r="DI68" s="3473"/>
      <c r="DJ68" s="2094"/>
      <c r="DK68" s="6286"/>
      <c r="DL68" s="6141"/>
      <c r="DM68" s="6141"/>
      <c r="DN68" s="6141"/>
      <c r="DO68" s="6141"/>
      <c r="DP68" s="6141"/>
      <c r="DQ68" s="6141"/>
      <c r="DR68" s="6141"/>
      <c r="DS68" s="6141"/>
      <c r="DT68" s="6141"/>
      <c r="DU68" s="6141"/>
      <c r="DV68" s="6141"/>
      <c r="DW68" s="6141"/>
      <c r="DX68" s="6141"/>
      <c r="DY68" s="6141"/>
      <c r="DZ68" s="6141"/>
      <c r="EA68" s="6141"/>
      <c r="EB68" s="6141"/>
      <c r="EC68" s="6141"/>
      <c r="ED68" s="6141"/>
      <c r="EE68" s="6141"/>
      <c r="EF68" s="6141"/>
      <c r="EG68" s="6141"/>
      <c r="EH68" s="6141"/>
      <c r="EI68" s="6141"/>
      <c r="EJ68" s="6141"/>
      <c r="EK68" s="6141"/>
      <c r="EL68" s="6141"/>
      <c r="EM68" s="6141"/>
      <c r="EN68" s="6141"/>
      <c r="EO68" s="6141"/>
      <c r="EP68" s="6141"/>
      <c r="EQ68" s="6141"/>
      <c r="ER68" s="6141"/>
      <c r="ES68" s="6141"/>
      <c r="ET68" s="6141"/>
      <c r="EU68" s="6141"/>
      <c r="EV68" s="6141"/>
      <c r="EW68" s="6141"/>
      <c r="EX68" s="6141"/>
      <c r="EY68" s="6141"/>
      <c r="EZ68" s="6141"/>
      <c r="FA68" s="6141"/>
      <c r="FB68" s="6141"/>
      <c r="FC68" s="6141"/>
      <c r="FD68" s="6287"/>
      <c r="FE68" s="2081"/>
      <c r="FF68" s="2080"/>
      <c r="FG68" s="2080"/>
      <c r="FH68" s="2080"/>
      <c r="FI68" s="2080"/>
      <c r="FJ68" s="2080"/>
      <c r="FK68" s="2080"/>
      <c r="FL68" s="2080"/>
      <c r="FM68" s="2080"/>
      <c r="FN68" s="2080"/>
      <c r="FO68" s="2080"/>
      <c r="FP68" s="2080"/>
      <c r="FQ68" s="2080"/>
      <c r="FR68" s="2080"/>
      <c r="FS68" s="2080"/>
      <c r="FT68" s="2080"/>
      <c r="FU68" s="2080"/>
      <c r="FV68" s="2080"/>
      <c r="FW68" s="2080"/>
      <c r="FX68" s="2080"/>
      <c r="FY68" s="2080"/>
      <c r="FZ68" s="2080"/>
      <c r="GA68" s="2080"/>
      <c r="GB68" s="2080"/>
      <c r="GC68" s="2080"/>
      <c r="GD68" s="2080"/>
      <c r="GE68" s="2080"/>
      <c r="GF68" s="2080"/>
      <c r="GG68" s="2080"/>
      <c r="GH68" s="2080"/>
      <c r="GI68" s="2080"/>
      <c r="GJ68" s="2080"/>
      <c r="GK68" s="2080"/>
      <c r="GL68" s="2080"/>
      <c r="GM68" s="2080"/>
      <c r="GN68" s="2080"/>
      <c r="GO68" s="2080"/>
      <c r="GP68" s="2080"/>
      <c r="GQ68" s="2080"/>
      <c r="GR68" s="2080"/>
      <c r="GS68" s="2080"/>
      <c r="GT68" s="2080"/>
      <c r="GU68" s="2080"/>
      <c r="GV68" s="2080"/>
      <c r="GW68" s="2080"/>
      <c r="GX68" s="2080"/>
      <c r="GY68" s="2080"/>
      <c r="GZ68" s="2080"/>
      <c r="HA68" s="2080"/>
      <c r="HB68" s="2080"/>
      <c r="HC68" s="2080"/>
      <c r="HD68" s="2080"/>
      <c r="HE68" s="2080"/>
      <c r="HF68" s="2080"/>
      <c r="HG68" s="2080"/>
      <c r="HH68" s="2080"/>
      <c r="HI68" s="2080"/>
      <c r="HJ68" s="2080"/>
      <c r="HK68" s="2080"/>
      <c r="HL68" s="2080"/>
      <c r="HM68" s="2080"/>
      <c r="HN68" s="2080"/>
      <c r="HO68" s="2080"/>
      <c r="HP68" s="2080"/>
      <c r="HQ68" s="2080"/>
      <c r="HR68" s="2080"/>
      <c r="HS68" s="2080"/>
      <c r="HT68" s="2080"/>
      <c r="HU68" s="2080"/>
      <c r="HV68" s="2080"/>
      <c r="HW68" s="2080"/>
      <c r="HX68" s="2080"/>
      <c r="HY68" s="2080"/>
      <c r="HZ68" s="2080"/>
      <c r="IA68" s="2080"/>
      <c r="IB68" s="2080"/>
      <c r="IC68" s="2080"/>
      <c r="ID68" s="2080"/>
      <c r="IE68" s="2080"/>
      <c r="IF68" s="2080"/>
      <c r="IG68" s="2080"/>
      <c r="IH68" s="2080"/>
      <c r="II68" s="2080"/>
      <c r="IJ68" s="2080"/>
      <c r="IK68" s="2080"/>
      <c r="IL68" s="2080"/>
      <c r="IM68" s="2080"/>
      <c r="IN68" s="2080"/>
      <c r="IO68" s="2080"/>
      <c r="IP68" s="2080"/>
      <c r="IQ68" s="2080"/>
      <c r="IR68" s="2080"/>
      <c r="IS68" s="2080"/>
      <c r="IT68" s="2080"/>
      <c r="IU68" s="2080"/>
      <c r="IV68" s="2080"/>
      <c r="IW68" s="2080"/>
      <c r="IX68" s="2080"/>
      <c r="IY68" s="2080"/>
      <c r="IZ68" s="2080"/>
      <c r="JA68" s="2080"/>
      <c r="JB68" s="2080"/>
      <c r="JC68" s="2080"/>
      <c r="JD68" s="2080"/>
      <c r="JE68" s="2080"/>
      <c r="JF68" s="2080"/>
      <c r="JG68" s="2080"/>
      <c r="JH68" s="2080"/>
      <c r="JI68" s="2080"/>
      <c r="JJ68" s="2080"/>
      <c r="JK68" s="2080"/>
      <c r="JL68" s="2080"/>
      <c r="JM68" s="2080"/>
      <c r="JN68" s="2080"/>
      <c r="JO68" s="2080"/>
      <c r="JP68" s="2080"/>
      <c r="JQ68" s="2080"/>
      <c r="JR68" s="2080"/>
      <c r="JS68" s="2080"/>
      <c r="JT68" s="2080"/>
      <c r="JU68" s="2080"/>
      <c r="JV68" s="2080"/>
      <c r="JW68" s="2080"/>
      <c r="JX68" s="2080"/>
      <c r="JY68" s="2080"/>
      <c r="JZ68" s="2080"/>
      <c r="KA68" s="2080"/>
      <c r="KB68" s="2080"/>
      <c r="KC68" s="2080"/>
      <c r="KD68" s="2080"/>
      <c r="KE68" s="2080"/>
      <c r="KF68" s="2080"/>
      <c r="KG68" s="2080"/>
      <c r="KH68" s="2080"/>
      <c r="KI68" s="2080"/>
      <c r="KJ68" s="2080"/>
      <c r="KK68" s="2080"/>
      <c r="KL68" s="2080"/>
      <c r="KM68" s="2080"/>
      <c r="KN68" s="2080"/>
      <c r="KO68" s="2080"/>
      <c r="KP68" s="2080"/>
      <c r="KQ68" s="2080"/>
      <c r="KR68" s="2080"/>
      <c r="KS68" s="2080"/>
      <c r="KT68" s="2080"/>
      <c r="KU68" s="2080"/>
      <c r="KV68" s="2080"/>
      <c r="KW68" s="2080"/>
      <c r="KX68" s="2080"/>
      <c r="KY68" s="2080"/>
      <c r="KZ68" s="2080"/>
      <c r="LA68" s="2080"/>
      <c r="LB68" s="2080"/>
      <c r="LC68" s="2080"/>
      <c r="LD68" s="2080"/>
      <c r="LE68" s="2080"/>
      <c r="LF68" s="2080"/>
      <c r="LG68" s="2080"/>
      <c r="LH68" s="2080"/>
      <c r="LI68" s="2080"/>
      <c r="LJ68" s="2080"/>
      <c r="LK68" s="2080"/>
      <c r="LL68" s="2080"/>
      <c r="LM68" s="2080"/>
      <c r="LN68" s="2080"/>
      <c r="LO68" s="2080"/>
      <c r="LP68" s="2080"/>
      <c r="LQ68" s="2080"/>
      <c r="LR68" s="2080"/>
      <c r="LS68" s="2080"/>
      <c r="LT68" s="2080"/>
      <c r="LU68" s="2080"/>
      <c r="LV68" s="2080"/>
      <c r="LW68" s="2080"/>
      <c r="LX68" s="2080"/>
      <c r="LY68" s="2080"/>
      <c r="LZ68" s="2080"/>
      <c r="MA68" s="2080"/>
      <c r="MB68" s="2080"/>
      <c r="MC68" s="2080"/>
      <c r="MD68" s="2080"/>
      <c r="ME68" s="2080"/>
      <c r="MF68" s="2080"/>
      <c r="MG68" s="2080"/>
      <c r="MH68" s="2080"/>
      <c r="MI68" s="2080"/>
      <c r="MJ68" s="2080"/>
      <c r="MK68" s="2080"/>
      <c r="ML68" s="2080"/>
      <c r="MM68" s="2080"/>
      <c r="MN68" s="2080"/>
      <c r="MO68" s="2080"/>
      <c r="MP68" s="2080"/>
      <c r="MQ68" s="2080"/>
      <c r="MR68" s="2080"/>
      <c r="MS68" s="2080"/>
      <c r="MT68" s="2080"/>
      <c r="MU68" s="2080"/>
      <c r="MV68" s="2080"/>
      <c r="MW68" s="2080"/>
      <c r="MX68" s="2080"/>
      <c r="MY68" s="2080"/>
      <c r="MZ68" s="2080"/>
      <c r="NA68" s="2080"/>
      <c r="NB68" s="2080"/>
      <c r="NC68" s="2080"/>
      <c r="ND68" s="2080"/>
      <c r="NE68" s="2080"/>
      <c r="NF68" s="2080"/>
      <c r="NG68" s="2080"/>
      <c r="NH68" s="2080"/>
      <c r="NI68" s="2080"/>
      <c r="NJ68" s="2080"/>
      <c r="NK68" s="2080"/>
      <c r="NL68" s="2080"/>
      <c r="NM68" s="2080"/>
      <c r="NN68" s="2080"/>
      <c r="NO68" s="2080"/>
      <c r="NP68" s="2080"/>
      <c r="NQ68" s="2080"/>
      <c r="NR68" s="2080"/>
      <c r="NS68" s="2080"/>
      <c r="NT68" s="2080"/>
      <c r="NU68" s="2080"/>
      <c r="NV68" s="2080"/>
      <c r="NW68" s="2080"/>
      <c r="NX68" s="2080"/>
      <c r="NY68" s="2080"/>
      <c r="NZ68" s="2080"/>
      <c r="OA68" s="2080"/>
      <c r="OB68" s="2080"/>
      <c r="OC68" s="2080"/>
      <c r="OD68" s="2080"/>
      <c r="OE68" s="2080"/>
      <c r="OF68" s="2080"/>
      <c r="OG68" s="2080"/>
      <c r="OH68" s="2080"/>
      <c r="OI68" s="2080"/>
      <c r="OJ68" s="2080"/>
      <c r="OK68" s="2080"/>
      <c r="OL68" s="2002"/>
      <c r="OM68" s="2002"/>
      <c r="ON68" s="2002"/>
      <c r="OO68" s="2002"/>
      <c r="OP68" s="2002"/>
      <c r="OQ68" s="2082"/>
      <c r="OR68" s="2083"/>
      <c r="OS68" s="2084"/>
      <c r="OT68" s="2084"/>
      <c r="OU68" s="2084"/>
      <c r="OV68" s="2084" t="s">
        <v>2891</v>
      </c>
      <c r="OW68" s="2084"/>
      <c r="OX68" s="2084"/>
      <c r="OY68" s="2084"/>
      <c r="OZ68" s="2084"/>
      <c r="PA68" s="2084"/>
      <c r="PB68" s="2084"/>
      <c r="PC68" s="2084"/>
      <c r="PD68" s="2084"/>
      <c r="PE68" s="2084"/>
      <c r="PF68" s="2084"/>
      <c r="PG68" s="2084"/>
      <c r="PH68" s="2084"/>
      <c r="PI68" s="2084"/>
      <c r="PJ68" s="2084"/>
      <c r="PK68" s="2084"/>
      <c r="PL68" s="2084"/>
      <c r="PM68" s="2084"/>
      <c r="PN68" s="2084"/>
      <c r="PO68" s="2084"/>
      <c r="PP68" s="2085"/>
    </row>
    <row r="69" spans="1:432" s="2086" customFormat="1" ht="15" customHeight="1">
      <c r="A69" s="16453"/>
      <c r="B69" s="16456"/>
      <c r="C69" s="16456"/>
      <c r="D69" s="5096" t="s">
        <v>5096</v>
      </c>
      <c r="E69" s="5096" t="s">
        <v>267</v>
      </c>
      <c r="F69" s="2768" t="s">
        <v>268</v>
      </c>
      <c r="G69" s="6082" t="s">
        <v>254</v>
      </c>
      <c r="H69" s="2768" t="s">
        <v>269</v>
      </c>
      <c r="I69" s="2768" t="s">
        <v>269</v>
      </c>
      <c r="J69" s="2768" t="s">
        <v>269</v>
      </c>
      <c r="K69" s="2768" t="s">
        <v>259</v>
      </c>
      <c r="L69" s="2768" t="s">
        <v>10072</v>
      </c>
      <c r="M69" s="2768" t="s">
        <v>256</v>
      </c>
      <c r="N69" s="6146" t="s">
        <v>260</v>
      </c>
      <c r="O69" s="6084">
        <v>25000000</v>
      </c>
      <c r="P69" s="6084">
        <v>25750000</v>
      </c>
      <c r="Q69" s="6084">
        <v>26522500</v>
      </c>
      <c r="R69" s="6084">
        <v>27318175</v>
      </c>
      <c r="S69" s="6084">
        <v>28137720.25</v>
      </c>
      <c r="T69" s="6084">
        <v>28981851.857500002</v>
      </c>
      <c r="U69" s="6084">
        <v>29851307.413225003</v>
      </c>
      <c r="V69" s="6148">
        <v>1</v>
      </c>
      <c r="W69" s="6150" t="s">
        <v>4021</v>
      </c>
      <c r="X69" s="6142" t="s">
        <v>4022</v>
      </c>
      <c r="Y69" s="6151"/>
      <c r="Z69" s="6151">
        <v>113338486</v>
      </c>
      <c r="AA69" s="6152">
        <v>45000000</v>
      </c>
      <c r="AB69" s="6152">
        <v>35000000</v>
      </c>
      <c r="AC69" s="6152">
        <v>33338486</v>
      </c>
      <c r="AD69" s="6151">
        <v>1036</v>
      </c>
      <c r="AE69" s="6153">
        <v>471</v>
      </c>
      <c r="AF69" s="6153">
        <v>565</v>
      </c>
      <c r="AG69" s="6153">
        <v>923</v>
      </c>
      <c r="AH69" s="6153">
        <v>113</v>
      </c>
      <c r="AI69" s="6153">
        <v>104</v>
      </c>
      <c r="AJ69" s="6153">
        <v>246</v>
      </c>
      <c r="AK69" s="6153">
        <v>373</v>
      </c>
      <c r="AL69" s="6153">
        <v>162</v>
      </c>
      <c r="AM69" s="6153">
        <v>0</v>
      </c>
      <c r="AN69" s="6153">
        <v>126</v>
      </c>
      <c r="AO69" s="6153">
        <v>25</v>
      </c>
      <c r="AP69" s="6153">
        <v>694</v>
      </c>
      <c r="AQ69" s="6153">
        <v>34</v>
      </c>
      <c r="AR69" s="6153">
        <v>226</v>
      </c>
      <c r="AS69" s="6153">
        <v>46</v>
      </c>
      <c r="AT69" s="6153">
        <v>28</v>
      </c>
      <c r="AU69" s="6153">
        <v>0</v>
      </c>
      <c r="AV69" s="6153">
        <v>0</v>
      </c>
      <c r="AW69" s="6153">
        <v>1</v>
      </c>
      <c r="AX69" s="6153">
        <v>0</v>
      </c>
      <c r="AY69" s="6153">
        <v>0</v>
      </c>
      <c r="AZ69" s="6153">
        <v>0</v>
      </c>
      <c r="BA69" s="6153">
        <v>0</v>
      </c>
      <c r="BB69" s="6153">
        <v>26</v>
      </c>
      <c r="BC69" s="6153">
        <v>45</v>
      </c>
      <c r="BD69" s="6153">
        <v>0</v>
      </c>
      <c r="BE69" s="6153">
        <v>1036</v>
      </c>
      <c r="BF69" s="6153">
        <v>0</v>
      </c>
      <c r="BG69" s="6153">
        <v>0</v>
      </c>
      <c r="BH69" s="6153">
        <v>0</v>
      </c>
      <c r="BI69" s="6153">
        <v>0</v>
      </c>
      <c r="BJ69" s="6150">
        <v>0</v>
      </c>
      <c r="BK69" s="6150"/>
      <c r="BL69" s="6150"/>
      <c r="BM69" s="6150"/>
      <c r="BN69" s="6154">
        <v>5</v>
      </c>
      <c r="BO69" s="5096">
        <v>5</v>
      </c>
      <c r="BP69" s="5094">
        <v>5</v>
      </c>
      <c r="BQ69" s="4720">
        <f t="shared" si="3"/>
        <v>1</v>
      </c>
      <c r="BR69" s="16526"/>
      <c r="BS69" s="6155" t="s">
        <v>9095</v>
      </c>
      <c r="BT69" s="6155" t="s">
        <v>9096</v>
      </c>
      <c r="BU69" s="6156"/>
      <c r="BV69" s="6157">
        <v>50355951</v>
      </c>
      <c r="BW69" s="6157">
        <v>21581122</v>
      </c>
      <c r="BX69" s="6157"/>
      <c r="BY69" s="6158"/>
      <c r="BZ69" s="6157">
        <v>508</v>
      </c>
      <c r="CA69" s="6157">
        <v>258</v>
      </c>
      <c r="CB69" s="6157">
        <v>250</v>
      </c>
      <c r="CC69" s="6157">
        <v>453</v>
      </c>
      <c r="CD69" s="6157">
        <v>55</v>
      </c>
      <c r="CE69" s="6157">
        <v>127</v>
      </c>
      <c r="CF69" s="6157">
        <v>139</v>
      </c>
      <c r="CG69" s="6157">
        <v>126</v>
      </c>
      <c r="CH69" s="6157">
        <v>38</v>
      </c>
      <c r="CI69" s="6157">
        <v>37</v>
      </c>
      <c r="CJ69" s="6157">
        <v>32</v>
      </c>
      <c r="CK69" s="6157">
        <v>8</v>
      </c>
      <c r="CL69" s="6157">
        <v>356</v>
      </c>
      <c r="CM69" s="6157">
        <v>18</v>
      </c>
      <c r="CN69" s="6157">
        <v>100</v>
      </c>
      <c r="CO69" s="6154">
        <v>16</v>
      </c>
      <c r="CP69" s="6154">
        <v>8</v>
      </c>
      <c r="CQ69" s="6154">
        <v>0</v>
      </c>
      <c r="CR69" s="6154">
        <v>1</v>
      </c>
      <c r="CS69" s="6154">
        <v>0</v>
      </c>
      <c r="CT69" s="6154"/>
      <c r="CU69" s="6154">
        <v>508</v>
      </c>
      <c r="CV69" s="6154"/>
      <c r="CW69" s="6154"/>
      <c r="CX69" s="6154"/>
      <c r="CY69" s="6159"/>
      <c r="CZ69" s="6160"/>
      <c r="DA69" s="6160"/>
      <c r="DB69" s="6160"/>
      <c r="DC69" s="6160" t="s">
        <v>2891</v>
      </c>
      <c r="DD69" s="6160"/>
      <c r="DE69" s="6160"/>
      <c r="DF69" s="6160"/>
      <c r="DG69" s="6160"/>
      <c r="DH69" s="6160"/>
      <c r="DI69" s="6182"/>
      <c r="DJ69" s="6279"/>
      <c r="DK69" s="6288"/>
      <c r="DL69" s="6150"/>
      <c r="DM69" s="6150"/>
      <c r="DN69" s="6150"/>
      <c r="DO69" s="6150"/>
      <c r="DP69" s="6150"/>
      <c r="DQ69" s="6150"/>
      <c r="DR69" s="6150"/>
      <c r="DS69" s="6150"/>
      <c r="DT69" s="6150"/>
      <c r="DU69" s="6150"/>
      <c r="DV69" s="6150"/>
      <c r="DW69" s="6150"/>
      <c r="DX69" s="6150"/>
      <c r="DY69" s="6150"/>
      <c r="DZ69" s="6150"/>
      <c r="EA69" s="6150"/>
      <c r="EB69" s="6150"/>
      <c r="EC69" s="6150"/>
      <c r="ED69" s="6150"/>
      <c r="EE69" s="6150"/>
      <c r="EF69" s="6150"/>
      <c r="EG69" s="6150"/>
      <c r="EH69" s="6150"/>
      <c r="EI69" s="6150"/>
      <c r="EJ69" s="6150"/>
      <c r="EK69" s="6150"/>
      <c r="EL69" s="6150"/>
      <c r="EM69" s="6150"/>
      <c r="EN69" s="6150"/>
      <c r="EO69" s="6150"/>
      <c r="EP69" s="6150"/>
      <c r="EQ69" s="6150"/>
      <c r="ER69" s="6150"/>
      <c r="ES69" s="6150"/>
      <c r="ET69" s="6150"/>
      <c r="EU69" s="6150"/>
      <c r="EV69" s="6150"/>
      <c r="EW69" s="6150"/>
      <c r="EX69" s="6150"/>
      <c r="EY69" s="6150"/>
      <c r="EZ69" s="6150"/>
      <c r="FA69" s="6150"/>
      <c r="FB69" s="6150"/>
      <c r="FC69" s="6150"/>
      <c r="FD69" s="6289"/>
      <c r="FE69" s="2089"/>
      <c r="FF69" s="2087"/>
      <c r="FG69" s="2087"/>
      <c r="FH69" s="2087"/>
      <c r="FI69" s="2087"/>
      <c r="FJ69" s="2087"/>
      <c r="FK69" s="2087"/>
      <c r="FL69" s="2087"/>
      <c r="FM69" s="2087"/>
      <c r="FN69" s="2087"/>
      <c r="FO69" s="2087"/>
      <c r="FP69" s="2087"/>
      <c r="FQ69" s="2087"/>
      <c r="FR69" s="2087"/>
      <c r="FS69" s="2087"/>
      <c r="FT69" s="2087"/>
      <c r="FU69" s="2087"/>
      <c r="FV69" s="2087"/>
      <c r="FW69" s="2087"/>
      <c r="FX69" s="2087"/>
      <c r="FY69" s="2087"/>
      <c r="FZ69" s="2087"/>
      <c r="GA69" s="2087"/>
      <c r="GB69" s="2087"/>
      <c r="GC69" s="2087"/>
      <c r="GD69" s="2087"/>
      <c r="GE69" s="2087"/>
      <c r="GF69" s="2087"/>
      <c r="GG69" s="2087"/>
      <c r="GH69" s="2087"/>
      <c r="GI69" s="2087"/>
      <c r="GJ69" s="2087"/>
      <c r="GK69" s="2087"/>
      <c r="GL69" s="2087"/>
      <c r="GM69" s="2087"/>
      <c r="GN69" s="2087"/>
      <c r="GO69" s="2087"/>
      <c r="GP69" s="2087"/>
      <c r="GQ69" s="2087"/>
      <c r="GR69" s="2087"/>
      <c r="GS69" s="2087"/>
      <c r="GT69" s="2087"/>
      <c r="GU69" s="2087"/>
      <c r="GV69" s="2087"/>
      <c r="GW69" s="2087"/>
      <c r="GX69" s="2087"/>
      <c r="GY69" s="2087"/>
      <c r="GZ69" s="2087"/>
      <c r="HA69" s="2087"/>
      <c r="HB69" s="2087"/>
      <c r="HC69" s="2087"/>
      <c r="HD69" s="2087"/>
      <c r="HE69" s="2087"/>
      <c r="HF69" s="2087"/>
      <c r="HG69" s="2087"/>
      <c r="HH69" s="2087"/>
      <c r="HI69" s="2087"/>
      <c r="HJ69" s="2087"/>
      <c r="HK69" s="2087"/>
      <c r="HL69" s="2087"/>
      <c r="HM69" s="2087"/>
      <c r="HN69" s="2087"/>
      <c r="HO69" s="2087"/>
      <c r="HP69" s="2087"/>
      <c r="HQ69" s="2087"/>
      <c r="HR69" s="2087"/>
      <c r="HS69" s="2087"/>
      <c r="HT69" s="2087"/>
      <c r="HU69" s="2087"/>
      <c r="HV69" s="2087"/>
      <c r="HW69" s="2087"/>
      <c r="HX69" s="2087"/>
      <c r="HY69" s="2087"/>
      <c r="HZ69" s="2087"/>
      <c r="IA69" s="2087"/>
      <c r="IB69" s="2087"/>
      <c r="IC69" s="2087"/>
      <c r="ID69" s="2087"/>
      <c r="IE69" s="2087"/>
      <c r="IF69" s="2087"/>
      <c r="IG69" s="2087"/>
      <c r="IH69" s="2087"/>
      <c r="II69" s="2087"/>
      <c r="IJ69" s="2087"/>
      <c r="IK69" s="2087"/>
      <c r="IL69" s="2087"/>
      <c r="IM69" s="2087"/>
      <c r="IN69" s="2087"/>
      <c r="IO69" s="2087"/>
      <c r="IP69" s="2087"/>
      <c r="IQ69" s="2087"/>
      <c r="IR69" s="2087"/>
      <c r="IS69" s="2087"/>
      <c r="IT69" s="2087"/>
      <c r="IU69" s="2087"/>
      <c r="IV69" s="2087"/>
      <c r="IW69" s="2087"/>
      <c r="IX69" s="2087"/>
      <c r="IY69" s="2087"/>
      <c r="IZ69" s="2087"/>
      <c r="JA69" s="2087"/>
      <c r="JB69" s="2087"/>
      <c r="JC69" s="2087"/>
      <c r="JD69" s="2087"/>
      <c r="JE69" s="2087"/>
      <c r="JF69" s="2087"/>
      <c r="JG69" s="2087"/>
      <c r="JH69" s="2087"/>
      <c r="JI69" s="2087"/>
      <c r="JJ69" s="2087"/>
      <c r="JK69" s="2087"/>
      <c r="JL69" s="2087"/>
      <c r="JM69" s="2087"/>
      <c r="JN69" s="2087"/>
      <c r="JO69" s="2087"/>
      <c r="JP69" s="2087"/>
      <c r="JQ69" s="2087"/>
      <c r="JR69" s="2087"/>
      <c r="JS69" s="2087"/>
      <c r="JT69" s="2087"/>
      <c r="JU69" s="2087"/>
      <c r="JV69" s="2087"/>
      <c r="JW69" s="2087"/>
      <c r="JX69" s="2087"/>
      <c r="JY69" s="2087"/>
      <c r="JZ69" s="2087"/>
      <c r="KA69" s="2087"/>
      <c r="KB69" s="2087"/>
      <c r="KC69" s="2087"/>
      <c r="KD69" s="2087"/>
      <c r="KE69" s="2087"/>
      <c r="KF69" s="2087"/>
      <c r="KG69" s="2087"/>
      <c r="KH69" s="2087"/>
      <c r="KI69" s="2087"/>
      <c r="KJ69" s="2087"/>
      <c r="KK69" s="2087"/>
      <c r="KL69" s="2087"/>
      <c r="KM69" s="2087"/>
      <c r="KN69" s="2087"/>
      <c r="KO69" s="2087"/>
      <c r="KP69" s="2087"/>
      <c r="KQ69" s="2087"/>
      <c r="KR69" s="2087"/>
      <c r="KS69" s="2087"/>
      <c r="KT69" s="2087"/>
      <c r="KU69" s="2087"/>
      <c r="KV69" s="2087"/>
      <c r="KW69" s="2087"/>
      <c r="KX69" s="2087"/>
      <c r="KY69" s="2087"/>
      <c r="KZ69" s="2087"/>
      <c r="LA69" s="2087"/>
      <c r="LB69" s="2087"/>
      <c r="LC69" s="2087"/>
      <c r="LD69" s="2087"/>
      <c r="LE69" s="2087"/>
      <c r="LF69" s="2087"/>
      <c r="LG69" s="2087"/>
      <c r="LH69" s="2087"/>
      <c r="LI69" s="2087"/>
      <c r="LJ69" s="2087"/>
      <c r="LK69" s="2087"/>
      <c r="LL69" s="2087"/>
      <c r="LM69" s="2087"/>
      <c r="LN69" s="2087"/>
      <c r="LO69" s="2087"/>
      <c r="LP69" s="2087"/>
      <c r="LQ69" s="2087"/>
      <c r="LR69" s="2087"/>
      <c r="LS69" s="2087"/>
      <c r="LT69" s="2087"/>
      <c r="LU69" s="2087"/>
      <c r="LV69" s="2087"/>
      <c r="LW69" s="2087"/>
      <c r="LX69" s="2087"/>
      <c r="LY69" s="2087"/>
      <c r="LZ69" s="2087"/>
      <c r="MA69" s="2087"/>
      <c r="MB69" s="2087"/>
      <c r="MC69" s="2087"/>
      <c r="MD69" s="2087"/>
      <c r="ME69" s="2087"/>
      <c r="MF69" s="2087"/>
      <c r="MG69" s="2087"/>
      <c r="MH69" s="2087"/>
      <c r="MI69" s="2087"/>
      <c r="MJ69" s="2087"/>
      <c r="MK69" s="2087"/>
      <c r="ML69" s="2087"/>
      <c r="MM69" s="2087"/>
      <c r="MN69" s="2087"/>
      <c r="MO69" s="2087"/>
      <c r="MP69" s="2087"/>
      <c r="MQ69" s="2087"/>
      <c r="MR69" s="2087"/>
      <c r="MS69" s="2087"/>
      <c r="MT69" s="2087"/>
      <c r="MU69" s="2087"/>
      <c r="MV69" s="2087"/>
      <c r="MW69" s="2087"/>
      <c r="MX69" s="2087"/>
      <c r="MY69" s="2087"/>
      <c r="MZ69" s="2087"/>
      <c r="NA69" s="2087"/>
      <c r="NB69" s="2087"/>
      <c r="NC69" s="2087"/>
      <c r="ND69" s="2087"/>
      <c r="NE69" s="2087"/>
      <c r="NF69" s="2087"/>
      <c r="NG69" s="2087"/>
      <c r="NH69" s="2087"/>
      <c r="NI69" s="2087"/>
      <c r="NJ69" s="2087"/>
      <c r="NK69" s="2087"/>
      <c r="NL69" s="2087"/>
      <c r="NM69" s="2087"/>
      <c r="NN69" s="2087"/>
      <c r="NO69" s="2087"/>
      <c r="NP69" s="2087"/>
      <c r="NQ69" s="2087"/>
      <c r="NR69" s="2087"/>
      <c r="NS69" s="2087"/>
      <c r="NT69" s="2087"/>
      <c r="NU69" s="2087"/>
      <c r="NV69" s="2087"/>
      <c r="NW69" s="2087"/>
      <c r="NX69" s="2087"/>
      <c r="NY69" s="2087"/>
      <c r="NZ69" s="2087"/>
      <c r="OA69" s="2087"/>
      <c r="OB69" s="2087"/>
      <c r="OC69" s="2087"/>
      <c r="OD69" s="2087"/>
      <c r="OE69" s="2087"/>
      <c r="OF69" s="2087"/>
      <c r="OG69" s="2087"/>
      <c r="OH69" s="2087"/>
      <c r="OI69" s="2087"/>
      <c r="OJ69" s="2087"/>
      <c r="OK69" s="2087"/>
      <c r="OL69" s="2088"/>
      <c r="OM69" s="2088"/>
      <c r="ON69" s="2088"/>
      <c r="OO69" s="2088"/>
      <c r="OP69" s="2088"/>
      <c r="OQ69" s="2090"/>
      <c r="OR69" s="2091"/>
      <c r="OS69" s="2092"/>
      <c r="OT69" s="2092"/>
      <c r="OU69" s="2092"/>
      <c r="OV69" s="2092" t="s">
        <v>2891</v>
      </c>
      <c r="OW69" s="2092"/>
      <c r="OX69" s="2092"/>
      <c r="OY69" s="2092"/>
      <c r="OZ69" s="2092"/>
      <c r="PA69" s="2092"/>
      <c r="PB69" s="2092"/>
      <c r="PC69" s="2092"/>
      <c r="PD69" s="2092"/>
      <c r="PE69" s="2092"/>
      <c r="PF69" s="2092"/>
      <c r="PG69" s="2092"/>
      <c r="PH69" s="2092"/>
      <c r="PI69" s="2092"/>
      <c r="PJ69" s="2092"/>
      <c r="PK69" s="2092"/>
      <c r="PL69" s="2092"/>
      <c r="PM69" s="2092"/>
      <c r="PN69" s="2092"/>
      <c r="PO69" s="2092"/>
      <c r="PP69" s="2093"/>
    </row>
    <row r="70" spans="1:432" s="2086" customFormat="1" ht="15" customHeight="1">
      <c r="A70" s="16453"/>
      <c r="B70" s="16456"/>
      <c r="C70" s="16456"/>
      <c r="D70" s="5096" t="s">
        <v>5097</v>
      </c>
      <c r="E70" s="5096" t="s">
        <v>270</v>
      </c>
      <c r="F70" s="2768" t="s">
        <v>268</v>
      </c>
      <c r="G70" s="6082" t="s">
        <v>254</v>
      </c>
      <c r="H70" s="2768" t="s">
        <v>269</v>
      </c>
      <c r="I70" s="2768" t="s">
        <v>269</v>
      </c>
      <c r="J70" s="2768" t="s">
        <v>269</v>
      </c>
      <c r="K70" s="2768" t="s">
        <v>259</v>
      </c>
      <c r="L70" s="2768" t="s">
        <v>10072</v>
      </c>
      <c r="M70" s="2768" t="s">
        <v>256</v>
      </c>
      <c r="N70" s="6083" t="s">
        <v>260</v>
      </c>
      <c r="O70" s="6084">
        <v>25000000</v>
      </c>
      <c r="P70" s="6084">
        <v>25750000</v>
      </c>
      <c r="Q70" s="6084">
        <v>26522500</v>
      </c>
      <c r="R70" s="6084">
        <v>27318175</v>
      </c>
      <c r="S70" s="6084">
        <v>28137720.25</v>
      </c>
      <c r="T70" s="6084">
        <v>28981851.857500002</v>
      </c>
      <c r="U70" s="6084">
        <v>29851307.413225003</v>
      </c>
      <c r="V70" s="6148">
        <v>1</v>
      </c>
      <c r="W70" s="6149" t="s">
        <v>4023</v>
      </c>
      <c r="X70" s="6142" t="s">
        <v>4022</v>
      </c>
      <c r="Y70" s="6143"/>
      <c r="Z70" s="6143"/>
      <c r="AA70" s="6144"/>
      <c r="AB70" s="6144"/>
      <c r="AC70" s="6144"/>
      <c r="AD70" s="6143"/>
      <c r="AE70" s="5094"/>
      <c r="AF70" s="5094"/>
      <c r="AG70" s="5094"/>
      <c r="AH70" s="5094"/>
      <c r="AI70" s="5094"/>
      <c r="AJ70" s="5094"/>
      <c r="AK70" s="5094"/>
      <c r="AL70" s="5094"/>
      <c r="AM70" s="5094"/>
      <c r="AN70" s="5094"/>
      <c r="AO70" s="5094"/>
      <c r="AP70" s="5094"/>
      <c r="AQ70" s="5094"/>
      <c r="AR70" s="5094"/>
      <c r="AS70" s="5094"/>
      <c r="AT70" s="5094"/>
      <c r="AU70" s="5094"/>
      <c r="AV70" s="5094"/>
      <c r="AW70" s="5094"/>
      <c r="AX70" s="5094"/>
      <c r="AY70" s="5094"/>
      <c r="AZ70" s="5094"/>
      <c r="BA70" s="5094"/>
      <c r="BB70" s="5094"/>
      <c r="BC70" s="5094"/>
      <c r="BD70" s="5094"/>
      <c r="BE70" s="5094"/>
      <c r="BF70" s="5094"/>
      <c r="BG70" s="5094"/>
      <c r="BH70" s="5094"/>
      <c r="BI70" s="5094"/>
      <c r="BJ70" s="6141"/>
      <c r="BK70" s="6141"/>
      <c r="BL70" s="6141"/>
      <c r="BM70" s="6141"/>
      <c r="BN70" s="6154">
        <v>6</v>
      </c>
      <c r="BO70" s="5096">
        <v>6</v>
      </c>
      <c r="BP70" s="5096">
        <v>6</v>
      </c>
      <c r="BQ70" s="4720">
        <f t="shared" si="3"/>
        <v>1</v>
      </c>
      <c r="BR70" s="16526"/>
      <c r="BS70" s="6155" t="s">
        <v>9097</v>
      </c>
      <c r="BT70" s="6155" t="s">
        <v>9098</v>
      </c>
      <c r="BU70" s="6155"/>
      <c r="BV70" s="6157"/>
      <c r="BW70" s="6157"/>
      <c r="BX70" s="6157"/>
      <c r="BY70" s="6157"/>
      <c r="BZ70" s="6157"/>
      <c r="CA70" s="6157"/>
      <c r="CB70" s="6157"/>
      <c r="CC70" s="6157"/>
      <c r="CD70" s="6157"/>
      <c r="CE70" s="6157"/>
      <c r="CF70" s="6157"/>
      <c r="CG70" s="6157"/>
      <c r="CH70" s="6157"/>
      <c r="CI70" s="6157"/>
      <c r="CJ70" s="6157"/>
      <c r="CK70" s="6157"/>
      <c r="CL70" s="6157"/>
      <c r="CM70" s="6157"/>
      <c r="CN70" s="6157"/>
      <c r="CO70" s="6154"/>
      <c r="CP70" s="6154"/>
      <c r="CQ70" s="6154"/>
      <c r="CR70" s="6154"/>
      <c r="CS70" s="6154"/>
      <c r="CT70" s="6154"/>
      <c r="CU70" s="6154"/>
      <c r="CV70" s="6154"/>
      <c r="CW70" s="6154"/>
      <c r="CX70" s="6154"/>
      <c r="CY70" s="6159"/>
      <c r="CZ70" s="6160"/>
      <c r="DA70" s="6160"/>
      <c r="DB70" s="6160"/>
      <c r="DC70" s="6160" t="s">
        <v>2891</v>
      </c>
      <c r="DD70" s="6160"/>
      <c r="DE70" s="6160"/>
      <c r="DF70" s="6160"/>
      <c r="DG70" s="6160"/>
      <c r="DH70" s="6160"/>
      <c r="DI70" s="6182"/>
      <c r="DJ70" s="2094"/>
      <c r="DK70" s="6286"/>
      <c r="DL70" s="6141"/>
      <c r="DM70" s="6141"/>
      <c r="DN70" s="6141"/>
      <c r="DO70" s="6141"/>
      <c r="DP70" s="6141"/>
      <c r="DQ70" s="6141"/>
      <c r="DR70" s="6141"/>
      <c r="DS70" s="6141"/>
      <c r="DT70" s="6141"/>
      <c r="DU70" s="6141"/>
      <c r="DV70" s="6141"/>
      <c r="DW70" s="6141"/>
      <c r="DX70" s="6141"/>
      <c r="DY70" s="6141"/>
      <c r="DZ70" s="6141"/>
      <c r="EA70" s="6141"/>
      <c r="EB70" s="6141"/>
      <c r="EC70" s="6141"/>
      <c r="ED70" s="6141"/>
      <c r="EE70" s="6141"/>
      <c r="EF70" s="6141"/>
      <c r="EG70" s="6141"/>
      <c r="EH70" s="6141"/>
      <c r="EI70" s="6141"/>
      <c r="EJ70" s="6141"/>
      <c r="EK70" s="6141"/>
      <c r="EL70" s="6141"/>
      <c r="EM70" s="6141"/>
      <c r="EN70" s="6141"/>
      <c r="EO70" s="6141"/>
      <c r="EP70" s="6141"/>
      <c r="EQ70" s="6141"/>
      <c r="ER70" s="6141"/>
      <c r="ES70" s="6141"/>
      <c r="ET70" s="6141"/>
      <c r="EU70" s="6141"/>
      <c r="EV70" s="6141"/>
      <c r="EW70" s="6141"/>
      <c r="EX70" s="6141"/>
      <c r="EY70" s="6141"/>
      <c r="EZ70" s="6141"/>
      <c r="FA70" s="6141"/>
      <c r="FB70" s="6141"/>
      <c r="FC70" s="6141"/>
      <c r="FD70" s="6287"/>
      <c r="FE70" s="2081"/>
      <c r="FF70" s="2080"/>
      <c r="FG70" s="2080"/>
      <c r="FH70" s="2080"/>
      <c r="FI70" s="2080"/>
      <c r="FJ70" s="2080"/>
      <c r="FK70" s="2080"/>
      <c r="FL70" s="2080"/>
      <c r="FM70" s="2080"/>
      <c r="FN70" s="2080"/>
      <c r="FO70" s="2080"/>
      <c r="FP70" s="2080"/>
      <c r="FQ70" s="2080"/>
      <c r="FR70" s="2080"/>
      <c r="FS70" s="2080"/>
      <c r="FT70" s="2080"/>
      <c r="FU70" s="2080"/>
      <c r="FV70" s="2080"/>
      <c r="FW70" s="2080"/>
      <c r="FX70" s="2080"/>
      <c r="FY70" s="2080"/>
      <c r="FZ70" s="2080"/>
      <c r="GA70" s="2080"/>
      <c r="GB70" s="2080"/>
      <c r="GC70" s="2080"/>
      <c r="GD70" s="2080"/>
      <c r="GE70" s="2080"/>
      <c r="GF70" s="2080"/>
      <c r="GG70" s="2080"/>
      <c r="GH70" s="2080"/>
      <c r="GI70" s="2080"/>
      <c r="GJ70" s="2080"/>
      <c r="GK70" s="2080"/>
      <c r="GL70" s="2080"/>
      <c r="GM70" s="2080"/>
      <c r="GN70" s="2080"/>
      <c r="GO70" s="2080"/>
      <c r="GP70" s="2080"/>
      <c r="GQ70" s="2080"/>
      <c r="GR70" s="2080"/>
      <c r="GS70" s="2080"/>
      <c r="GT70" s="2080"/>
      <c r="GU70" s="2080"/>
      <c r="GV70" s="2080"/>
      <c r="GW70" s="2080"/>
      <c r="GX70" s="2080"/>
      <c r="GY70" s="2080"/>
      <c r="GZ70" s="2080"/>
      <c r="HA70" s="2080"/>
      <c r="HB70" s="2080"/>
      <c r="HC70" s="2080"/>
      <c r="HD70" s="2080"/>
      <c r="HE70" s="2080"/>
      <c r="HF70" s="2080"/>
      <c r="HG70" s="2080"/>
      <c r="HH70" s="2080"/>
      <c r="HI70" s="2080"/>
      <c r="HJ70" s="2080"/>
      <c r="HK70" s="2080"/>
      <c r="HL70" s="2080"/>
      <c r="HM70" s="2080"/>
      <c r="HN70" s="2080"/>
      <c r="HO70" s="2080"/>
      <c r="HP70" s="2080"/>
      <c r="HQ70" s="2080"/>
      <c r="HR70" s="2080"/>
      <c r="HS70" s="2080"/>
      <c r="HT70" s="2080"/>
      <c r="HU70" s="2080"/>
      <c r="HV70" s="2080"/>
      <c r="HW70" s="2080"/>
      <c r="HX70" s="2080"/>
      <c r="HY70" s="2080"/>
      <c r="HZ70" s="2080"/>
      <c r="IA70" s="2080"/>
      <c r="IB70" s="2080"/>
      <c r="IC70" s="2080"/>
      <c r="ID70" s="2080"/>
      <c r="IE70" s="2080"/>
      <c r="IF70" s="2080"/>
      <c r="IG70" s="2080"/>
      <c r="IH70" s="2080"/>
      <c r="II70" s="2080"/>
      <c r="IJ70" s="2080"/>
      <c r="IK70" s="2080"/>
      <c r="IL70" s="2080"/>
      <c r="IM70" s="2080"/>
      <c r="IN70" s="2080"/>
      <c r="IO70" s="2080"/>
      <c r="IP70" s="2080"/>
      <c r="IQ70" s="2080"/>
      <c r="IR70" s="2080"/>
      <c r="IS70" s="2080"/>
      <c r="IT70" s="2080"/>
      <c r="IU70" s="2080"/>
      <c r="IV70" s="2080"/>
      <c r="IW70" s="2080"/>
      <c r="IX70" s="2080"/>
      <c r="IY70" s="2080"/>
      <c r="IZ70" s="2080"/>
      <c r="JA70" s="2080"/>
      <c r="JB70" s="2080"/>
      <c r="JC70" s="2080"/>
      <c r="JD70" s="2080"/>
      <c r="JE70" s="2080"/>
      <c r="JF70" s="2080"/>
      <c r="JG70" s="2080"/>
      <c r="JH70" s="2080"/>
      <c r="JI70" s="2080"/>
      <c r="JJ70" s="2080"/>
      <c r="JK70" s="2080"/>
      <c r="JL70" s="2080"/>
      <c r="JM70" s="2080"/>
      <c r="JN70" s="2080"/>
      <c r="JO70" s="2080"/>
      <c r="JP70" s="2080"/>
      <c r="JQ70" s="2080"/>
      <c r="JR70" s="2080"/>
      <c r="JS70" s="2080"/>
      <c r="JT70" s="2080"/>
      <c r="JU70" s="2080"/>
      <c r="JV70" s="2080"/>
      <c r="JW70" s="2080"/>
      <c r="JX70" s="2080"/>
      <c r="JY70" s="2080"/>
      <c r="JZ70" s="2080"/>
      <c r="KA70" s="2080"/>
      <c r="KB70" s="2080"/>
      <c r="KC70" s="2080"/>
      <c r="KD70" s="2080"/>
      <c r="KE70" s="2080"/>
      <c r="KF70" s="2080"/>
      <c r="KG70" s="2080"/>
      <c r="KH70" s="2080"/>
      <c r="KI70" s="2080"/>
      <c r="KJ70" s="2080"/>
      <c r="KK70" s="2080"/>
      <c r="KL70" s="2080"/>
      <c r="KM70" s="2080"/>
      <c r="KN70" s="2080"/>
      <c r="KO70" s="2080"/>
      <c r="KP70" s="2080"/>
      <c r="KQ70" s="2080"/>
      <c r="KR70" s="2080"/>
      <c r="KS70" s="2080"/>
      <c r="KT70" s="2080"/>
      <c r="KU70" s="2080"/>
      <c r="KV70" s="2080"/>
      <c r="KW70" s="2080"/>
      <c r="KX70" s="2080"/>
      <c r="KY70" s="2080"/>
      <c r="KZ70" s="2080"/>
      <c r="LA70" s="2080"/>
      <c r="LB70" s="2080"/>
      <c r="LC70" s="2080"/>
      <c r="LD70" s="2080"/>
      <c r="LE70" s="2080"/>
      <c r="LF70" s="2080"/>
      <c r="LG70" s="2080"/>
      <c r="LH70" s="2080"/>
      <c r="LI70" s="2080"/>
      <c r="LJ70" s="2080"/>
      <c r="LK70" s="2080"/>
      <c r="LL70" s="2080"/>
      <c r="LM70" s="2080"/>
      <c r="LN70" s="2080"/>
      <c r="LO70" s="2080"/>
      <c r="LP70" s="2080"/>
      <c r="LQ70" s="2080"/>
      <c r="LR70" s="2080"/>
      <c r="LS70" s="2080"/>
      <c r="LT70" s="2080"/>
      <c r="LU70" s="2080"/>
      <c r="LV70" s="2080"/>
      <c r="LW70" s="2080"/>
      <c r="LX70" s="2080"/>
      <c r="LY70" s="2080"/>
      <c r="LZ70" s="2080"/>
      <c r="MA70" s="2080"/>
      <c r="MB70" s="2080"/>
      <c r="MC70" s="2080"/>
      <c r="MD70" s="2080"/>
      <c r="ME70" s="2080"/>
      <c r="MF70" s="2080"/>
      <c r="MG70" s="2080"/>
      <c r="MH70" s="2080"/>
      <c r="MI70" s="2080"/>
      <c r="MJ70" s="2080"/>
      <c r="MK70" s="2080"/>
      <c r="ML70" s="2080"/>
      <c r="MM70" s="2080"/>
      <c r="MN70" s="2080"/>
      <c r="MO70" s="2080"/>
      <c r="MP70" s="2080"/>
      <c r="MQ70" s="2080"/>
      <c r="MR70" s="2080"/>
      <c r="MS70" s="2080"/>
      <c r="MT70" s="2080"/>
      <c r="MU70" s="2080"/>
      <c r="MV70" s="2080"/>
      <c r="MW70" s="2080"/>
      <c r="MX70" s="2080"/>
      <c r="MY70" s="2080"/>
      <c r="MZ70" s="2080"/>
      <c r="NA70" s="2080"/>
      <c r="NB70" s="2080"/>
      <c r="NC70" s="2080"/>
      <c r="ND70" s="2080"/>
      <c r="NE70" s="2080"/>
      <c r="NF70" s="2080"/>
      <c r="NG70" s="2080"/>
      <c r="NH70" s="2080"/>
      <c r="NI70" s="2080"/>
      <c r="NJ70" s="2080"/>
      <c r="NK70" s="2080"/>
      <c r="NL70" s="2080"/>
      <c r="NM70" s="2080"/>
      <c r="NN70" s="2080"/>
      <c r="NO70" s="2080"/>
      <c r="NP70" s="2080"/>
      <c r="NQ70" s="2080"/>
      <c r="NR70" s="2080"/>
      <c r="NS70" s="2080"/>
      <c r="NT70" s="2080"/>
      <c r="NU70" s="2080"/>
      <c r="NV70" s="2080"/>
      <c r="NW70" s="2080"/>
      <c r="NX70" s="2080"/>
      <c r="NY70" s="2080"/>
      <c r="NZ70" s="2080"/>
      <c r="OA70" s="2080"/>
      <c r="OB70" s="2080"/>
      <c r="OC70" s="2080"/>
      <c r="OD70" s="2080"/>
      <c r="OE70" s="2080"/>
      <c r="OF70" s="2080"/>
      <c r="OG70" s="2080"/>
      <c r="OH70" s="2080"/>
      <c r="OI70" s="2080"/>
      <c r="OJ70" s="2080"/>
      <c r="OK70" s="2080"/>
      <c r="OL70" s="2002"/>
      <c r="OM70" s="2002"/>
      <c r="ON70" s="2002"/>
      <c r="OO70" s="2002"/>
      <c r="OP70" s="2002"/>
      <c r="OQ70" s="2082"/>
      <c r="OR70" s="2083"/>
      <c r="OS70" s="2084"/>
      <c r="OT70" s="2084"/>
      <c r="OU70" s="2084"/>
      <c r="OV70" s="2084" t="s">
        <v>2891</v>
      </c>
      <c r="OW70" s="2084"/>
      <c r="OX70" s="2084"/>
      <c r="OY70" s="2084"/>
      <c r="OZ70" s="2084"/>
      <c r="PA70" s="2084"/>
      <c r="PB70" s="2084"/>
      <c r="PC70" s="2084"/>
      <c r="PD70" s="2084"/>
      <c r="PE70" s="2084"/>
      <c r="PF70" s="2084"/>
      <c r="PG70" s="2084"/>
      <c r="PH70" s="2084"/>
      <c r="PI70" s="2084"/>
      <c r="PJ70" s="2084"/>
      <c r="PK70" s="2084"/>
      <c r="PL70" s="2084"/>
      <c r="PM70" s="2084"/>
      <c r="PN70" s="2084"/>
      <c r="PO70" s="2084"/>
      <c r="PP70" s="2085"/>
    </row>
    <row r="71" spans="1:432" s="2086" customFormat="1" ht="15" customHeight="1">
      <c r="A71" s="16453"/>
      <c r="B71" s="16456"/>
      <c r="C71" s="16456"/>
      <c r="D71" s="5096" t="s">
        <v>5098</v>
      </c>
      <c r="E71" s="5096" t="s">
        <v>271</v>
      </c>
      <c r="F71" s="2768" t="s">
        <v>272</v>
      </c>
      <c r="G71" s="6082" t="s">
        <v>254</v>
      </c>
      <c r="H71" s="2768" t="s">
        <v>269</v>
      </c>
      <c r="I71" s="2768" t="s">
        <v>269</v>
      </c>
      <c r="J71" s="2768" t="s">
        <v>269</v>
      </c>
      <c r="K71" s="2768" t="s">
        <v>259</v>
      </c>
      <c r="L71" s="2768" t="s">
        <v>10072</v>
      </c>
      <c r="M71" s="2768" t="s">
        <v>256</v>
      </c>
      <c r="N71" s="6146" t="s">
        <v>260</v>
      </c>
      <c r="O71" s="6084">
        <v>80000000</v>
      </c>
      <c r="P71" s="6084">
        <v>82400000</v>
      </c>
      <c r="Q71" s="6084">
        <v>84872000</v>
      </c>
      <c r="R71" s="6084">
        <v>87418160</v>
      </c>
      <c r="S71" s="6084">
        <v>90040704.799999997</v>
      </c>
      <c r="T71" s="6084">
        <v>92741925.944000006</v>
      </c>
      <c r="U71" s="6084">
        <v>95524183.722320005</v>
      </c>
      <c r="V71" s="6148">
        <v>1</v>
      </c>
      <c r="W71" s="6149" t="s">
        <v>4024</v>
      </c>
      <c r="X71" s="6142" t="s">
        <v>4025</v>
      </c>
      <c r="Y71" s="6143"/>
      <c r="Z71" s="6143"/>
      <c r="AA71" s="6144"/>
      <c r="AB71" s="6144"/>
      <c r="AC71" s="6144"/>
      <c r="AD71" s="6143">
        <v>214</v>
      </c>
      <c r="AE71" s="5094">
        <v>150</v>
      </c>
      <c r="AF71" s="5094">
        <v>64</v>
      </c>
      <c r="AG71" s="5094">
        <v>169</v>
      </c>
      <c r="AH71" s="5094">
        <v>45</v>
      </c>
      <c r="AI71" s="5094">
        <v>0</v>
      </c>
      <c r="AJ71" s="5094">
        <v>154</v>
      </c>
      <c r="AK71" s="5094">
        <v>60</v>
      </c>
      <c r="AL71" s="5094">
        <v>0</v>
      </c>
      <c r="AM71" s="5094">
        <v>0</v>
      </c>
      <c r="AN71" s="5094">
        <v>0</v>
      </c>
      <c r="AO71" s="5094">
        <v>0</v>
      </c>
      <c r="AP71" s="5094">
        <v>214</v>
      </c>
      <c r="AQ71" s="5094">
        <v>0</v>
      </c>
      <c r="AR71" s="5094">
        <v>0</v>
      </c>
      <c r="AS71" s="5094">
        <v>0</v>
      </c>
      <c r="AT71" s="5094">
        <v>0</v>
      </c>
      <c r="AU71" s="5094">
        <v>0</v>
      </c>
      <c r="AV71" s="5094">
        <v>0</v>
      </c>
      <c r="AW71" s="5094">
        <v>0</v>
      </c>
      <c r="AX71" s="5094">
        <v>0</v>
      </c>
      <c r="AY71" s="5094">
        <v>0</v>
      </c>
      <c r="AZ71" s="5094">
        <v>0</v>
      </c>
      <c r="BA71" s="5094">
        <v>0</v>
      </c>
      <c r="BB71" s="5094">
        <v>0</v>
      </c>
      <c r="BC71" s="5094">
        <v>0</v>
      </c>
      <c r="BD71" s="5094">
        <v>0</v>
      </c>
      <c r="BE71" s="5094">
        <v>214</v>
      </c>
      <c r="BF71" s="5094">
        <v>0</v>
      </c>
      <c r="BG71" s="5094">
        <v>0</v>
      </c>
      <c r="BH71" s="5094">
        <v>0</v>
      </c>
      <c r="BI71" s="5094">
        <v>0</v>
      </c>
      <c r="BJ71" s="6141"/>
      <c r="BK71" s="6141"/>
      <c r="BL71" s="6141"/>
      <c r="BM71" s="6141"/>
      <c r="BN71" s="5096">
        <v>7</v>
      </c>
      <c r="BO71" s="5096">
        <v>7</v>
      </c>
      <c r="BP71" s="5096">
        <v>7</v>
      </c>
      <c r="BQ71" s="4720">
        <f t="shared" si="3"/>
        <v>1</v>
      </c>
      <c r="BR71" s="16526"/>
      <c r="BS71" s="6155" t="s">
        <v>9099</v>
      </c>
      <c r="BT71" s="6155" t="s">
        <v>9100</v>
      </c>
      <c r="BU71" s="6155"/>
      <c r="BV71" s="6157"/>
      <c r="BW71" s="6157"/>
      <c r="BX71" s="6157"/>
      <c r="BY71" s="6157"/>
      <c r="BZ71" s="6157"/>
      <c r="CA71" s="6157"/>
      <c r="CB71" s="6157"/>
      <c r="CC71" s="6157"/>
      <c r="CD71" s="6157"/>
      <c r="CE71" s="6157"/>
      <c r="CF71" s="6157"/>
      <c r="CG71" s="6157"/>
      <c r="CH71" s="6157"/>
      <c r="CI71" s="6157"/>
      <c r="CJ71" s="6157"/>
      <c r="CK71" s="6157"/>
      <c r="CL71" s="6157"/>
      <c r="CM71" s="6157"/>
      <c r="CN71" s="6157"/>
      <c r="CO71" s="6154"/>
      <c r="CP71" s="6154"/>
      <c r="CQ71" s="6154"/>
      <c r="CR71" s="6154"/>
      <c r="CS71" s="6154"/>
      <c r="CT71" s="6154"/>
      <c r="CU71" s="6154"/>
      <c r="CV71" s="6154"/>
      <c r="CW71" s="6154"/>
      <c r="CX71" s="6154"/>
      <c r="CY71" s="6159"/>
      <c r="CZ71" s="6160"/>
      <c r="DA71" s="6160"/>
      <c r="DB71" s="6160"/>
      <c r="DC71" s="6160" t="s">
        <v>2891</v>
      </c>
      <c r="DD71" s="6160"/>
      <c r="DE71" s="6160"/>
      <c r="DF71" s="6160"/>
      <c r="DG71" s="6160"/>
      <c r="DH71" s="6160"/>
      <c r="DI71" s="6182"/>
      <c r="DJ71" s="2094"/>
      <c r="DK71" s="6286"/>
      <c r="DL71" s="6141"/>
      <c r="DM71" s="6141"/>
      <c r="DN71" s="6141"/>
      <c r="DO71" s="6141"/>
      <c r="DP71" s="6141"/>
      <c r="DQ71" s="6141"/>
      <c r="DR71" s="6141"/>
      <c r="DS71" s="6141"/>
      <c r="DT71" s="6141"/>
      <c r="DU71" s="6141"/>
      <c r="DV71" s="6141"/>
      <c r="DW71" s="6141"/>
      <c r="DX71" s="6141"/>
      <c r="DY71" s="6141"/>
      <c r="DZ71" s="6141"/>
      <c r="EA71" s="6141"/>
      <c r="EB71" s="6141"/>
      <c r="EC71" s="6141"/>
      <c r="ED71" s="6141"/>
      <c r="EE71" s="6141"/>
      <c r="EF71" s="6141"/>
      <c r="EG71" s="6141"/>
      <c r="EH71" s="6141"/>
      <c r="EI71" s="6141"/>
      <c r="EJ71" s="6141"/>
      <c r="EK71" s="6141"/>
      <c r="EL71" s="6141"/>
      <c r="EM71" s="6141"/>
      <c r="EN71" s="6141"/>
      <c r="EO71" s="6141"/>
      <c r="EP71" s="6141"/>
      <c r="EQ71" s="6141"/>
      <c r="ER71" s="6141"/>
      <c r="ES71" s="6141"/>
      <c r="ET71" s="6141"/>
      <c r="EU71" s="6141"/>
      <c r="EV71" s="6141"/>
      <c r="EW71" s="6141"/>
      <c r="EX71" s="6141"/>
      <c r="EY71" s="6141"/>
      <c r="EZ71" s="6141"/>
      <c r="FA71" s="6141"/>
      <c r="FB71" s="6141"/>
      <c r="FC71" s="6141"/>
      <c r="FD71" s="6287"/>
      <c r="FE71" s="2081"/>
      <c r="FF71" s="2080"/>
      <c r="FG71" s="2080"/>
      <c r="FH71" s="2080"/>
      <c r="FI71" s="2080"/>
      <c r="FJ71" s="2080"/>
      <c r="FK71" s="2080"/>
      <c r="FL71" s="2080"/>
      <c r="FM71" s="2080"/>
      <c r="FN71" s="2080"/>
      <c r="FO71" s="2080"/>
      <c r="FP71" s="2080"/>
      <c r="FQ71" s="2080"/>
      <c r="FR71" s="2080"/>
      <c r="FS71" s="2080"/>
      <c r="FT71" s="2080"/>
      <c r="FU71" s="2080"/>
      <c r="FV71" s="2080"/>
      <c r="FW71" s="2080"/>
      <c r="FX71" s="2080"/>
      <c r="FY71" s="2080"/>
      <c r="FZ71" s="2080"/>
      <c r="GA71" s="2080"/>
      <c r="GB71" s="2080"/>
      <c r="GC71" s="2080"/>
      <c r="GD71" s="2080"/>
      <c r="GE71" s="2080"/>
      <c r="GF71" s="2080"/>
      <c r="GG71" s="2080"/>
      <c r="GH71" s="2080"/>
      <c r="GI71" s="2080"/>
      <c r="GJ71" s="2080"/>
      <c r="GK71" s="2080"/>
      <c r="GL71" s="2080"/>
      <c r="GM71" s="2080"/>
      <c r="GN71" s="2080"/>
      <c r="GO71" s="2080"/>
      <c r="GP71" s="2080"/>
      <c r="GQ71" s="2080"/>
      <c r="GR71" s="2080"/>
      <c r="GS71" s="2080"/>
      <c r="GT71" s="2080"/>
      <c r="GU71" s="2080"/>
      <c r="GV71" s="2080"/>
      <c r="GW71" s="2080"/>
      <c r="GX71" s="2080"/>
      <c r="GY71" s="2080"/>
      <c r="GZ71" s="2080"/>
      <c r="HA71" s="2080"/>
      <c r="HB71" s="2080"/>
      <c r="HC71" s="2080"/>
      <c r="HD71" s="2080"/>
      <c r="HE71" s="2080"/>
      <c r="HF71" s="2080"/>
      <c r="HG71" s="2080"/>
      <c r="HH71" s="2080"/>
      <c r="HI71" s="2080"/>
      <c r="HJ71" s="2080"/>
      <c r="HK71" s="2080"/>
      <c r="HL71" s="2080"/>
      <c r="HM71" s="2080"/>
      <c r="HN71" s="2080"/>
      <c r="HO71" s="2080"/>
      <c r="HP71" s="2080"/>
      <c r="HQ71" s="2080"/>
      <c r="HR71" s="2080"/>
      <c r="HS71" s="2080"/>
      <c r="HT71" s="2080"/>
      <c r="HU71" s="2080"/>
      <c r="HV71" s="2080"/>
      <c r="HW71" s="2080"/>
      <c r="HX71" s="2080"/>
      <c r="HY71" s="2080"/>
      <c r="HZ71" s="2080"/>
      <c r="IA71" s="2080"/>
      <c r="IB71" s="2080"/>
      <c r="IC71" s="2080"/>
      <c r="ID71" s="2080"/>
      <c r="IE71" s="2080"/>
      <c r="IF71" s="2080"/>
      <c r="IG71" s="2080"/>
      <c r="IH71" s="2080"/>
      <c r="II71" s="2080"/>
      <c r="IJ71" s="2080"/>
      <c r="IK71" s="2080"/>
      <c r="IL71" s="2080"/>
      <c r="IM71" s="2080"/>
      <c r="IN71" s="2080"/>
      <c r="IO71" s="2080"/>
      <c r="IP71" s="2080"/>
      <c r="IQ71" s="2080"/>
      <c r="IR71" s="2080"/>
      <c r="IS71" s="2080"/>
      <c r="IT71" s="2080"/>
      <c r="IU71" s="2080"/>
      <c r="IV71" s="2080"/>
      <c r="IW71" s="2080"/>
      <c r="IX71" s="2080"/>
      <c r="IY71" s="2080"/>
      <c r="IZ71" s="2080"/>
      <c r="JA71" s="2080"/>
      <c r="JB71" s="2080"/>
      <c r="JC71" s="2080"/>
      <c r="JD71" s="2080"/>
      <c r="JE71" s="2080"/>
      <c r="JF71" s="2080"/>
      <c r="JG71" s="2080"/>
      <c r="JH71" s="2080"/>
      <c r="JI71" s="2080"/>
      <c r="JJ71" s="2080"/>
      <c r="JK71" s="2080"/>
      <c r="JL71" s="2080"/>
      <c r="JM71" s="2080"/>
      <c r="JN71" s="2080"/>
      <c r="JO71" s="2080"/>
      <c r="JP71" s="2080"/>
      <c r="JQ71" s="2080"/>
      <c r="JR71" s="2080"/>
      <c r="JS71" s="2080"/>
      <c r="JT71" s="2080"/>
      <c r="JU71" s="2080"/>
      <c r="JV71" s="2080"/>
      <c r="JW71" s="2080"/>
      <c r="JX71" s="2080"/>
      <c r="JY71" s="2080"/>
      <c r="JZ71" s="2080"/>
      <c r="KA71" s="2080"/>
      <c r="KB71" s="2080"/>
      <c r="KC71" s="2080"/>
      <c r="KD71" s="2080"/>
      <c r="KE71" s="2080"/>
      <c r="KF71" s="2080"/>
      <c r="KG71" s="2080"/>
      <c r="KH71" s="2080"/>
      <c r="KI71" s="2080"/>
      <c r="KJ71" s="2080"/>
      <c r="KK71" s="2080"/>
      <c r="KL71" s="2080"/>
      <c r="KM71" s="2080"/>
      <c r="KN71" s="2080"/>
      <c r="KO71" s="2080"/>
      <c r="KP71" s="2080"/>
      <c r="KQ71" s="2080"/>
      <c r="KR71" s="2080"/>
      <c r="KS71" s="2080"/>
      <c r="KT71" s="2080"/>
      <c r="KU71" s="2080"/>
      <c r="KV71" s="2080"/>
      <c r="KW71" s="2080"/>
      <c r="KX71" s="2080"/>
      <c r="KY71" s="2080"/>
      <c r="KZ71" s="2080"/>
      <c r="LA71" s="2080"/>
      <c r="LB71" s="2080"/>
      <c r="LC71" s="2080"/>
      <c r="LD71" s="2080"/>
      <c r="LE71" s="2080"/>
      <c r="LF71" s="2080"/>
      <c r="LG71" s="2080"/>
      <c r="LH71" s="2080"/>
      <c r="LI71" s="2080"/>
      <c r="LJ71" s="2080"/>
      <c r="LK71" s="2080"/>
      <c r="LL71" s="2080"/>
      <c r="LM71" s="2080"/>
      <c r="LN71" s="2080"/>
      <c r="LO71" s="2080"/>
      <c r="LP71" s="2080"/>
      <c r="LQ71" s="2080"/>
      <c r="LR71" s="2080"/>
      <c r="LS71" s="2080"/>
      <c r="LT71" s="2080"/>
      <c r="LU71" s="2080"/>
      <c r="LV71" s="2080"/>
      <c r="LW71" s="2080"/>
      <c r="LX71" s="2080"/>
      <c r="LY71" s="2080"/>
      <c r="LZ71" s="2080"/>
      <c r="MA71" s="2080"/>
      <c r="MB71" s="2080"/>
      <c r="MC71" s="2080"/>
      <c r="MD71" s="2080"/>
      <c r="ME71" s="2080"/>
      <c r="MF71" s="2080"/>
      <c r="MG71" s="2080"/>
      <c r="MH71" s="2080"/>
      <c r="MI71" s="2080"/>
      <c r="MJ71" s="2080"/>
      <c r="MK71" s="2080"/>
      <c r="ML71" s="2080"/>
      <c r="MM71" s="2080"/>
      <c r="MN71" s="2080"/>
      <c r="MO71" s="2080"/>
      <c r="MP71" s="2080"/>
      <c r="MQ71" s="2080"/>
      <c r="MR71" s="2080"/>
      <c r="MS71" s="2080"/>
      <c r="MT71" s="2080"/>
      <c r="MU71" s="2080"/>
      <c r="MV71" s="2080"/>
      <c r="MW71" s="2080"/>
      <c r="MX71" s="2080"/>
      <c r="MY71" s="2080"/>
      <c r="MZ71" s="2080"/>
      <c r="NA71" s="2080"/>
      <c r="NB71" s="2080"/>
      <c r="NC71" s="2080"/>
      <c r="ND71" s="2080"/>
      <c r="NE71" s="2080"/>
      <c r="NF71" s="2080"/>
      <c r="NG71" s="2080"/>
      <c r="NH71" s="2080"/>
      <c r="NI71" s="2080"/>
      <c r="NJ71" s="2080"/>
      <c r="NK71" s="2080"/>
      <c r="NL71" s="2080"/>
      <c r="NM71" s="2080"/>
      <c r="NN71" s="2080"/>
      <c r="NO71" s="2080"/>
      <c r="NP71" s="2080"/>
      <c r="NQ71" s="2080"/>
      <c r="NR71" s="2080"/>
      <c r="NS71" s="2080"/>
      <c r="NT71" s="2080"/>
      <c r="NU71" s="2080"/>
      <c r="NV71" s="2080"/>
      <c r="NW71" s="2080"/>
      <c r="NX71" s="2080"/>
      <c r="NY71" s="2080"/>
      <c r="NZ71" s="2080"/>
      <c r="OA71" s="2080"/>
      <c r="OB71" s="2080"/>
      <c r="OC71" s="2080"/>
      <c r="OD71" s="2080"/>
      <c r="OE71" s="2080"/>
      <c r="OF71" s="2080"/>
      <c r="OG71" s="2080"/>
      <c r="OH71" s="2080"/>
      <c r="OI71" s="2080"/>
      <c r="OJ71" s="2080"/>
      <c r="OK71" s="2080"/>
      <c r="OL71" s="2002"/>
      <c r="OM71" s="2002"/>
      <c r="ON71" s="2002"/>
      <c r="OO71" s="2002"/>
      <c r="OP71" s="2002"/>
      <c r="OQ71" s="2082"/>
      <c r="OR71" s="2083"/>
      <c r="OS71" s="2084"/>
      <c r="OT71" s="2084"/>
      <c r="OU71" s="2084"/>
      <c r="OV71" s="2084" t="s">
        <v>2891</v>
      </c>
      <c r="OW71" s="2084"/>
      <c r="OX71" s="2084"/>
      <c r="OY71" s="2084"/>
      <c r="OZ71" s="2084"/>
      <c r="PA71" s="2084"/>
      <c r="PB71" s="2084"/>
      <c r="PC71" s="2084"/>
      <c r="PD71" s="2084"/>
      <c r="PE71" s="2084"/>
      <c r="PF71" s="2084"/>
      <c r="PG71" s="2084"/>
      <c r="PH71" s="2084"/>
      <c r="PI71" s="2084"/>
      <c r="PJ71" s="2084"/>
      <c r="PK71" s="2084"/>
      <c r="PL71" s="2084"/>
      <c r="PM71" s="2084"/>
      <c r="PN71" s="2084"/>
      <c r="PO71" s="2084"/>
      <c r="PP71" s="2085"/>
    </row>
    <row r="72" spans="1:432" s="2086" customFormat="1" ht="15" customHeight="1" thickBot="1">
      <c r="A72" s="16454"/>
      <c r="B72" s="16457"/>
      <c r="C72" s="16457"/>
      <c r="D72" s="4931" t="s">
        <v>5099</v>
      </c>
      <c r="E72" s="4931" t="s">
        <v>273</v>
      </c>
      <c r="F72" s="6215" t="s">
        <v>274</v>
      </c>
      <c r="G72" s="6216" t="s">
        <v>254</v>
      </c>
      <c r="H72" s="6216" t="s">
        <v>275</v>
      </c>
      <c r="I72" s="6216" t="s">
        <v>276</v>
      </c>
      <c r="J72" s="6216" t="s">
        <v>277</v>
      </c>
      <c r="K72" s="6215" t="s">
        <v>278</v>
      </c>
      <c r="L72" s="6215" t="s">
        <v>10072</v>
      </c>
      <c r="M72" s="6215" t="s">
        <v>256</v>
      </c>
      <c r="N72" s="6217" t="s">
        <v>260</v>
      </c>
      <c r="O72" s="6218">
        <v>55000000</v>
      </c>
      <c r="P72" s="6218">
        <v>56650000</v>
      </c>
      <c r="Q72" s="6218">
        <v>58349500</v>
      </c>
      <c r="R72" s="6218">
        <v>87524250</v>
      </c>
      <c r="S72" s="6218">
        <v>90149977.5</v>
      </c>
      <c r="T72" s="6218">
        <v>92854476.825000003</v>
      </c>
      <c r="U72" s="6218">
        <v>95640111.129749998</v>
      </c>
      <c r="V72" s="6219" t="s">
        <v>1732</v>
      </c>
      <c r="W72" s="6219" t="s">
        <v>4026</v>
      </c>
      <c r="X72" s="6220"/>
      <c r="Y72" s="6220"/>
      <c r="Z72" s="6220"/>
      <c r="AA72" s="6221"/>
      <c r="AB72" s="6221"/>
      <c r="AC72" s="6221"/>
      <c r="AD72" s="6220"/>
      <c r="AE72" s="5095"/>
      <c r="AF72" s="5095"/>
      <c r="AG72" s="5095"/>
      <c r="AH72" s="5095"/>
      <c r="AI72" s="5095"/>
      <c r="AJ72" s="5095"/>
      <c r="AK72" s="5095"/>
      <c r="AL72" s="5095"/>
      <c r="AM72" s="5095"/>
      <c r="AN72" s="5095"/>
      <c r="AO72" s="5095"/>
      <c r="AP72" s="5095"/>
      <c r="AQ72" s="5095"/>
      <c r="AR72" s="5095"/>
      <c r="AS72" s="5095"/>
      <c r="AT72" s="5095"/>
      <c r="AU72" s="5095"/>
      <c r="AV72" s="5095"/>
      <c r="AW72" s="5095"/>
      <c r="AX72" s="6219"/>
      <c r="AY72" s="6219"/>
      <c r="AZ72" s="6219"/>
      <c r="BA72" s="6219"/>
      <c r="BB72" s="6219"/>
      <c r="BC72" s="6219"/>
      <c r="BD72" s="6219"/>
      <c r="BE72" s="6219"/>
      <c r="BF72" s="6219"/>
      <c r="BG72" s="6219"/>
      <c r="BH72" s="6219"/>
      <c r="BI72" s="6219"/>
      <c r="BJ72" s="6219"/>
      <c r="BK72" s="6219"/>
      <c r="BL72" s="6219"/>
      <c r="BM72" s="6219"/>
      <c r="BN72" s="6222" t="s">
        <v>3781</v>
      </c>
      <c r="BO72" s="6222" t="s">
        <v>3781</v>
      </c>
      <c r="BP72" s="4931">
        <v>0</v>
      </c>
      <c r="BQ72" s="6222" t="s">
        <v>3781</v>
      </c>
      <c r="BR72" s="16527"/>
      <c r="BS72" s="6223" t="s">
        <v>4026</v>
      </c>
      <c r="BT72" s="6223"/>
      <c r="BU72" s="6223" t="s">
        <v>9101</v>
      </c>
      <c r="BV72" s="6224"/>
      <c r="BW72" s="6224"/>
      <c r="BX72" s="6224"/>
      <c r="BY72" s="6224"/>
      <c r="BZ72" s="6224"/>
      <c r="CA72" s="6224"/>
      <c r="CB72" s="6224"/>
      <c r="CC72" s="6224"/>
      <c r="CD72" s="6224"/>
      <c r="CE72" s="6224"/>
      <c r="CF72" s="6224"/>
      <c r="CG72" s="6224"/>
      <c r="CH72" s="6224"/>
      <c r="CI72" s="6224"/>
      <c r="CJ72" s="6224"/>
      <c r="CK72" s="6224"/>
      <c r="CL72" s="6224"/>
      <c r="CM72" s="6224"/>
      <c r="CN72" s="6224"/>
      <c r="CO72" s="6225"/>
      <c r="CP72" s="6225"/>
      <c r="CQ72" s="6225"/>
      <c r="CR72" s="6225"/>
      <c r="CS72" s="6225"/>
      <c r="CT72" s="6225"/>
      <c r="CU72" s="6225"/>
      <c r="CV72" s="6225"/>
      <c r="CW72" s="6225"/>
      <c r="CX72" s="6225"/>
      <c r="CY72" s="6226"/>
      <c r="CZ72" s="6227"/>
      <c r="DA72" s="6227"/>
      <c r="DB72" s="6227"/>
      <c r="DC72" s="6227" t="s">
        <v>2891</v>
      </c>
      <c r="DD72" s="6227"/>
      <c r="DE72" s="6227"/>
      <c r="DF72" s="6227"/>
      <c r="DG72" s="6227"/>
      <c r="DH72" s="6227"/>
      <c r="DI72" s="6228"/>
      <c r="DJ72" s="2094"/>
      <c r="DK72" s="6295"/>
      <c r="DL72" s="6219"/>
      <c r="DM72" s="6219"/>
      <c r="DN72" s="6219"/>
      <c r="DO72" s="6219"/>
      <c r="DP72" s="6219"/>
      <c r="DQ72" s="6219"/>
      <c r="DR72" s="6219"/>
      <c r="DS72" s="6219"/>
      <c r="DT72" s="6219"/>
      <c r="DU72" s="6219"/>
      <c r="DV72" s="6219"/>
      <c r="DW72" s="6219"/>
      <c r="DX72" s="6219"/>
      <c r="DY72" s="6219"/>
      <c r="DZ72" s="6219"/>
      <c r="EA72" s="6219"/>
      <c r="EB72" s="6219"/>
      <c r="EC72" s="6219"/>
      <c r="ED72" s="6219"/>
      <c r="EE72" s="6219"/>
      <c r="EF72" s="6219"/>
      <c r="EG72" s="6219"/>
      <c r="EH72" s="6219"/>
      <c r="EI72" s="6219"/>
      <c r="EJ72" s="6219"/>
      <c r="EK72" s="6219"/>
      <c r="EL72" s="6219"/>
      <c r="EM72" s="6219"/>
      <c r="EN72" s="6219"/>
      <c r="EO72" s="6219"/>
      <c r="EP72" s="6219"/>
      <c r="EQ72" s="6219"/>
      <c r="ER72" s="6219"/>
      <c r="ES72" s="6219"/>
      <c r="ET72" s="6219"/>
      <c r="EU72" s="6219"/>
      <c r="EV72" s="6219"/>
      <c r="EW72" s="6219"/>
      <c r="EX72" s="6219"/>
      <c r="EY72" s="6219"/>
      <c r="EZ72" s="6219"/>
      <c r="FA72" s="6219"/>
      <c r="FB72" s="6219"/>
      <c r="FC72" s="6219"/>
      <c r="FD72" s="6296"/>
      <c r="FE72" s="2081"/>
      <c r="FF72" s="2080"/>
      <c r="FG72" s="2080"/>
      <c r="FH72" s="2080"/>
      <c r="FI72" s="2080"/>
      <c r="FJ72" s="2080"/>
      <c r="FK72" s="2080"/>
      <c r="FL72" s="2080"/>
      <c r="FM72" s="2080"/>
      <c r="FN72" s="2080"/>
      <c r="FO72" s="2080"/>
      <c r="FP72" s="2080"/>
      <c r="FQ72" s="2080"/>
      <c r="FR72" s="2080"/>
      <c r="FS72" s="2080"/>
      <c r="FT72" s="2080"/>
      <c r="FU72" s="2080"/>
      <c r="FV72" s="2080"/>
      <c r="FW72" s="2080"/>
      <c r="FX72" s="2080"/>
      <c r="FY72" s="2080"/>
      <c r="FZ72" s="2080"/>
      <c r="GA72" s="2080"/>
      <c r="GB72" s="2080"/>
      <c r="GC72" s="2080"/>
      <c r="GD72" s="2080"/>
      <c r="GE72" s="2080"/>
      <c r="GF72" s="2080"/>
      <c r="GG72" s="2080"/>
      <c r="GH72" s="2080"/>
      <c r="GI72" s="2080"/>
      <c r="GJ72" s="2080"/>
      <c r="GK72" s="2080"/>
      <c r="GL72" s="2080"/>
      <c r="GM72" s="2080"/>
      <c r="GN72" s="2080"/>
      <c r="GO72" s="2080"/>
      <c r="GP72" s="2080"/>
      <c r="GQ72" s="2080"/>
      <c r="GR72" s="2080"/>
      <c r="GS72" s="2080"/>
      <c r="GT72" s="2080"/>
      <c r="GU72" s="2080"/>
      <c r="GV72" s="2080"/>
      <c r="GW72" s="2080"/>
      <c r="GX72" s="2080"/>
      <c r="GY72" s="2080"/>
      <c r="GZ72" s="2080"/>
      <c r="HA72" s="2080"/>
      <c r="HB72" s="2080"/>
      <c r="HC72" s="2080"/>
      <c r="HD72" s="2080"/>
      <c r="HE72" s="2080"/>
      <c r="HF72" s="2080"/>
      <c r="HG72" s="2080"/>
      <c r="HH72" s="2080"/>
      <c r="HI72" s="2080"/>
      <c r="HJ72" s="2080"/>
      <c r="HK72" s="2080"/>
      <c r="HL72" s="2080"/>
      <c r="HM72" s="2080"/>
      <c r="HN72" s="2080"/>
      <c r="HO72" s="2080"/>
      <c r="HP72" s="2080"/>
      <c r="HQ72" s="2080"/>
      <c r="HR72" s="2080"/>
      <c r="HS72" s="2080"/>
      <c r="HT72" s="2080"/>
      <c r="HU72" s="2080"/>
      <c r="HV72" s="2080"/>
      <c r="HW72" s="2080"/>
      <c r="HX72" s="2080"/>
      <c r="HY72" s="2080"/>
      <c r="HZ72" s="2080"/>
      <c r="IA72" s="2080"/>
      <c r="IB72" s="2080"/>
      <c r="IC72" s="2080"/>
      <c r="ID72" s="2080"/>
      <c r="IE72" s="2080"/>
      <c r="IF72" s="2080"/>
      <c r="IG72" s="2080"/>
      <c r="IH72" s="2080"/>
      <c r="II72" s="2080"/>
      <c r="IJ72" s="2080"/>
      <c r="IK72" s="2080"/>
      <c r="IL72" s="2080"/>
      <c r="IM72" s="2080"/>
      <c r="IN72" s="2080"/>
      <c r="IO72" s="2080"/>
      <c r="IP72" s="2080"/>
      <c r="IQ72" s="2080"/>
      <c r="IR72" s="2080"/>
      <c r="IS72" s="2080"/>
      <c r="IT72" s="2080"/>
      <c r="IU72" s="2080"/>
      <c r="IV72" s="2080"/>
      <c r="IW72" s="2080"/>
      <c r="IX72" s="2080"/>
      <c r="IY72" s="2080"/>
      <c r="IZ72" s="2080"/>
      <c r="JA72" s="2080"/>
      <c r="JB72" s="2080"/>
      <c r="JC72" s="2080"/>
      <c r="JD72" s="2080"/>
      <c r="JE72" s="2080"/>
      <c r="JF72" s="2080"/>
      <c r="JG72" s="2080"/>
      <c r="JH72" s="2080"/>
      <c r="JI72" s="2080"/>
      <c r="JJ72" s="2080"/>
      <c r="JK72" s="2080"/>
      <c r="JL72" s="2080"/>
      <c r="JM72" s="2080"/>
      <c r="JN72" s="2080"/>
      <c r="JO72" s="2080"/>
      <c r="JP72" s="2080"/>
      <c r="JQ72" s="2080"/>
      <c r="JR72" s="2080"/>
      <c r="JS72" s="2080"/>
      <c r="JT72" s="2080"/>
      <c r="JU72" s="2080"/>
      <c r="JV72" s="2080"/>
      <c r="JW72" s="2080"/>
      <c r="JX72" s="2080"/>
      <c r="JY72" s="2080"/>
      <c r="JZ72" s="2080"/>
      <c r="KA72" s="2080"/>
      <c r="KB72" s="2080"/>
      <c r="KC72" s="2080"/>
      <c r="KD72" s="2080"/>
      <c r="KE72" s="2080"/>
      <c r="KF72" s="2080"/>
      <c r="KG72" s="2080"/>
      <c r="KH72" s="2080"/>
      <c r="KI72" s="2080"/>
      <c r="KJ72" s="2080"/>
      <c r="KK72" s="2080"/>
      <c r="KL72" s="2080"/>
      <c r="KM72" s="2080"/>
      <c r="KN72" s="2080"/>
      <c r="KO72" s="2080"/>
      <c r="KP72" s="2080"/>
      <c r="KQ72" s="2080"/>
      <c r="KR72" s="2080"/>
      <c r="KS72" s="2080"/>
      <c r="KT72" s="2080"/>
      <c r="KU72" s="2080"/>
      <c r="KV72" s="2080"/>
      <c r="KW72" s="2080"/>
      <c r="KX72" s="2080"/>
      <c r="KY72" s="2080"/>
      <c r="KZ72" s="2080"/>
      <c r="LA72" s="2080"/>
      <c r="LB72" s="2080"/>
      <c r="LC72" s="2080"/>
      <c r="LD72" s="2080"/>
      <c r="LE72" s="2080"/>
      <c r="LF72" s="2080"/>
      <c r="LG72" s="2080"/>
      <c r="LH72" s="2080"/>
      <c r="LI72" s="2080"/>
      <c r="LJ72" s="2080"/>
      <c r="LK72" s="2080"/>
      <c r="LL72" s="2080"/>
      <c r="LM72" s="2080"/>
      <c r="LN72" s="2080"/>
      <c r="LO72" s="2080"/>
      <c r="LP72" s="2080"/>
      <c r="LQ72" s="2080"/>
      <c r="LR72" s="2080"/>
      <c r="LS72" s="2080"/>
      <c r="LT72" s="2080"/>
      <c r="LU72" s="2080"/>
      <c r="LV72" s="2080"/>
      <c r="LW72" s="2080"/>
      <c r="LX72" s="2080"/>
      <c r="LY72" s="2080"/>
      <c r="LZ72" s="2080"/>
      <c r="MA72" s="2080"/>
      <c r="MB72" s="2080"/>
      <c r="MC72" s="2080"/>
      <c r="MD72" s="2080"/>
      <c r="ME72" s="2080"/>
      <c r="MF72" s="2080"/>
      <c r="MG72" s="2080"/>
      <c r="MH72" s="2080"/>
      <c r="MI72" s="2080"/>
      <c r="MJ72" s="2080"/>
      <c r="MK72" s="2080"/>
      <c r="ML72" s="2080"/>
      <c r="MM72" s="2080"/>
      <c r="MN72" s="2080"/>
      <c r="MO72" s="2080"/>
      <c r="MP72" s="2080"/>
      <c r="MQ72" s="2080"/>
      <c r="MR72" s="2080"/>
      <c r="MS72" s="2080"/>
      <c r="MT72" s="2080"/>
      <c r="MU72" s="2080"/>
      <c r="MV72" s="2080"/>
      <c r="MW72" s="2080"/>
      <c r="MX72" s="2080"/>
      <c r="MY72" s="2080"/>
      <c r="MZ72" s="2080"/>
      <c r="NA72" s="2080"/>
      <c r="NB72" s="2080"/>
      <c r="NC72" s="2080"/>
      <c r="ND72" s="2080"/>
      <c r="NE72" s="2080"/>
      <c r="NF72" s="2080"/>
      <c r="NG72" s="2080"/>
      <c r="NH72" s="2080"/>
      <c r="NI72" s="2080"/>
      <c r="NJ72" s="2080"/>
      <c r="NK72" s="2080"/>
      <c r="NL72" s="2080"/>
      <c r="NM72" s="2080"/>
      <c r="NN72" s="2080"/>
      <c r="NO72" s="2080"/>
      <c r="NP72" s="2080"/>
      <c r="NQ72" s="2080"/>
      <c r="NR72" s="2080"/>
      <c r="NS72" s="2080"/>
      <c r="NT72" s="2080"/>
      <c r="NU72" s="2080"/>
      <c r="NV72" s="2080"/>
      <c r="NW72" s="2080"/>
      <c r="NX72" s="2080"/>
      <c r="NY72" s="2080"/>
      <c r="NZ72" s="2080"/>
      <c r="OA72" s="2080"/>
      <c r="OB72" s="2080"/>
      <c r="OC72" s="2080"/>
      <c r="OD72" s="2080"/>
      <c r="OE72" s="2080"/>
      <c r="OF72" s="2080"/>
      <c r="OG72" s="2080"/>
      <c r="OH72" s="2080"/>
      <c r="OI72" s="2080"/>
      <c r="OJ72" s="2080"/>
      <c r="OK72" s="2080"/>
      <c r="OL72" s="2002"/>
      <c r="OM72" s="2002"/>
      <c r="ON72" s="2002"/>
      <c r="OO72" s="2002"/>
      <c r="OP72" s="2002"/>
      <c r="OQ72" s="2082"/>
      <c r="OR72" s="2083"/>
      <c r="OS72" s="2084"/>
      <c r="OT72" s="2084"/>
      <c r="OU72" s="2084"/>
      <c r="OV72" s="2084" t="s">
        <v>2891</v>
      </c>
      <c r="OW72" s="2084"/>
      <c r="OX72" s="2084"/>
      <c r="OY72" s="2084"/>
      <c r="OZ72" s="2084"/>
      <c r="PA72" s="2084"/>
      <c r="PB72" s="2084"/>
      <c r="PC72" s="2084"/>
      <c r="PD72" s="2084"/>
      <c r="PE72" s="2084"/>
      <c r="PF72" s="2084"/>
      <c r="PG72" s="2084"/>
      <c r="PH72" s="2084"/>
      <c r="PI72" s="2084"/>
      <c r="PJ72" s="2084"/>
      <c r="PK72" s="2084"/>
      <c r="PL72" s="2084"/>
      <c r="PM72" s="2084"/>
      <c r="PN72" s="2084"/>
      <c r="PO72" s="2084"/>
      <c r="PP72" s="2085"/>
    </row>
    <row r="73" spans="1:432" s="2095" customFormat="1" ht="15" customHeight="1">
      <c r="A73" s="16423" t="s">
        <v>279</v>
      </c>
      <c r="B73" s="16458" t="s">
        <v>280</v>
      </c>
      <c r="C73" s="16458" t="s">
        <v>281</v>
      </c>
      <c r="D73" s="5044" t="s">
        <v>5100</v>
      </c>
      <c r="E73" s="5044" t="s">
        <v>282</v>
      </c>
      <c r="F73" s="6199" t="s">
        <v>283</v>
      </c>
      <c r="G73" s="6200" t="s">
        <v>70</v>
      </c>
      <c r="H73" s="6200">
        <v>1</v>
      </c>
      <c r="I73" s="6200">
        <v>1</v>
      </c>
      <c r="J73" s="6200">
        <v>1</v>
      </c>
      <c r="K73" s="6200" t="s">
        <v>284</v>
      </c>
      <c r="L73" s="6200" t="s">
        <v>10063</v>
      </c>
      <c r="M73" s="6201" t="s">
        <v>144</v>
      </c>
      <c r="N73" s="6202" t="s">
        <v>285</v>
      </c>
      <c r="O73" s="6203">
        <v>250000000</v>
      </c>
      <c r="P73" s="6203">
        <v>0</v>
      </c>
      <c r="Q73" s="6203">
        <v>0</v>
      </c>
      <c r="R73" s="6203">
        <v>0</v>
      </c>
      <c r="S73" s="6203">
        <v>0</v>
      </c>
      <c r="T73" s="6203">
        <v>0</v>
      </c>
      <c r="U73" s="6203">
        <v>0</v>
      </c>
      <c r="V73" s="6204">
        <v>1</v>
      </c>
      <c r="W73" s="6205" t="s">
        <v>3004</v>
      </c>
      <c r="X73" s="6206" t="s">
        <v>3005</v>
      </c>
      <c r="Y73" s="6207"/>
      <c r="Z73" s="6208">
        <v>150</v>
      </c>
      <c r="AA73" s="6207">
        <v>52</v>
      </c>
      <c r="AB73" s="6207">
        <v>98</v>
      </c>
      <c r="AC73" s="6207">
        <v>149</v>
      </c>
      <c r="AD73" s="6207">
        <v>1</v>
      </c>
      <c r="AE73" s="6207">
        <v>2</v>
      </c>
      <c r="AF73" s="6207">
        <v>6</v>
      </c>
      <c r="AG73" s="6207">
        <v>32</v>
      </c>
      <c r="AH73" s="6207">
        <v>49</v>
      </c>
      <c r="AI73" s="6207">
        <v>31</v>
      </c>
      <c r="AJ73" s="6207">
        <v>19</v>
      </c>
      <c r="AK73" s="6207">
        <v>11</v>
      </c>
      <c r="AL73" s="6207">
        <v>135</v>
      </c>
      <c r="AM73" s="6207">
        <v>2</v>
      </c>
      <c r="AN73" s="6207"/>
      <c r="AO73" s="6207"/>
      <c r="AP73" s="6207">
        <v>13</v>
      </c>
      <c r="AQ73" s="6207"/>
      <c r="AR73" s="6207"/>
      <c r="AS73" s="6207"/>
      <c r="AT73" s="6207"/>
      <c r="AU73" s="6207">
        <v>150</v>
      </c>
      <c r="AV73" s="6207"/>
      <c r="AW73" s="6207"/>
      <c r="AX73" s="6207"/>
      <c r="AY73" s="6207"/>
      <c r="AZ73" s="6209"/>
      <c r="BA73" s="6209"/>
      <c r="BB73" s="6209"/>
      <c r="BC73" s="6209"/>
      <c r="BD73" s="6209"/>
      <c r="BE73" s="6209"/>
      <c r="BF73" s="6209"/>
      <c r="BG73" s="6209"/>
      <c r="BH73" s="6209"/>
      <c r="BI73" s="6209"/>
      <c r="BJ73" s="6209"/>
      <c r="BK73" s="6209"/>
      <c r="BL73" s="6209"/>
      <c r="BM73" s="6209"/>
      <c r="BN73" s="6210">
        <v>1</v>
      </c>
      <c r="BO73" s="5044">
        <v>1</v>
      </c>
      <c r="BP73" s="5044">
        <v>1</v>
      </c>
      <c r="BQ73" s="6211">
        <f t="shared" ref="BQ73:BQ76" si="4">+BP73/BO73</f>
        <v>1</v>
      </c>
      <c r="BR73" s="16508">
        <f>AVERAGE(BQ73:BQ83)</f>
        <v>1</v>
      </c>
      <c r="BS73" s="6212" t="s">
        <v>9674</v>
      </c>
      <c r="BT73" s="6212" t="s">
        <v>9675</v>
      </c>
      <c r="BU73" s="6212" t="s">
        <v>2951</v>
      </c>
      <c r="BV73" s="6213">
        <v>26902120.118749999</v>
      </c>
      <c r="BW73" s="6213">
        <v>24309995.118749999</v>
      </c>
      <c r="BX73" s="6213">
        <v>2592125</v>
      </c>
      <c r="BY73" s="6214">
        <v>0</v>
      </c>
      <c r="BZ73" s="6214">
        <v>913</v>
      </c>
      <c r="CA73" s="6214">
        <v>327</v>
      </c>
      <c r="CB73" s="6214">
        <v>586</v>
      </c>
      <c r="CC73" s="5045">
        <v>771</v>
      </c>
      <c r="CD73" s="5045">
        <v>142</v>
      </c>
      <c r="CE73" s="6214">
        <v>24</v>
      </c>
      <c r="CF73" s="6214">
        <v>130</v>
      </c>
      <c r="CG73" s="6214">
        <v>347</v>
      </c>
      <c r="CH73" s="6214">
        <v>169</v>
      </c>
      <c r="CI73" s="6214">
        <v>105</v>
      </c>
      <c r="CJ73" s="6214">
        <v>101</v>
      </c>
      <c r="CK73" s="6214">
        <v>37</v>
      </c>
      <c r="CL73" s="6214">
        <v>728</v>
      </c>
      <c r="CM73" s="6214">
        <v>16</v>
      </c>
      <c r="CN73" s="6214">
        <v>0</v>
      </c>
      <c r="CO73" s="3053">
        <v>0</v>
      </c>
      <c r="CP73" s="3053">
        <v>157</v>
      </c>
      <c r="CQ73" s="3053">
        <v>0</v>
      </c>
      <c r="CR73" s="3053">
        <v>0</v>
      </c>
      <c r="CS73" s="3053">
        <v>12</v>
      </c>
      <c r="CT73" s="3053">
        <v>0</v>
      </c>
      <c r="CU73" s="3053">
        <v>913</v>
      </c>
      <c r="CV73" s="3053">
        <v>0</v>
      </c>
      <c r="CW73" s="3053">
        <v>0</v>
      </c>
      <c r="CX73" s="3053">
        <v>0</v>
      </c>
      <c r="CY73" s="3053">
        <v>0</v>
      </c>
      <c r="CZ73" s="6212"/>
      <c r="DA73" s="3848"/>
      <c r="DB73" s="3848"/>
      <c r="DC73" s="3848"/>
      <c r="DD73" s="3848"/>
      <c r="DE73" s="3848"/>
      <c r="DF73" s="3848"/>
      <c r="DG73" s="3848"/>
      <c r="DH73" s="3848"/>
      <c r="DI73" s="3849"/>
      <c r="DK73" s="6293"/>
      <c r="DL73" s="6209"/>
      <c r="DM73" s="6209"/>
      <c r="DN73" s="6209"/>
      <c r="DO73" s="6209"/>
      <c r="DP73" s="6209"/>
      <c r="DQ73" s="6209"/>
      <c r="DR73" s="6209"/>
      <c r="DS73" s="6209"/>
      <c r="DT73" s="6209"/>
      <c r="DU73" s="6209"/>
      <c r="DV73" s="6209"/>
      <c r="DW73" s="6209"/>
      <c r="DX73" s="6209"/>
      <c r="DY73" s="6209"/>
      <c r="DZ73" s="6209"/>
      <c r="EA73" s="6209"/>
      <c r="EB73" s="6209"/>
      <c r="EC73" s="6209"/>
      <c r="ED73" s="6209"/>
      <c r="EE73" s="6209"/>
      <c r="EF73" s="6209"/>
      <c r="EG73" s="6209"/>
      <c r="EH73" s="6209"/>
      <c r="EI73" s="6209"/>
      <c r="EJ73" s="6209"/>
      <c r="EK73" s="6209"/>
      <c r="EL73" s="6209"/>
      <c r="EM73" s="6209"/>
      <c r="EN73" s="6209"/>
      <c r="EO73" s="6209"/>
      <c r="EP73" s="6209"/>
      <c r="EQ73" s="6209"/>
      <c r="ER73" s="6209"/>
      <c r="ES73" s="6209"/>
      <c r="ET73" s="6209"/>
      <c r="EU73" s="6209"/>
      <c r="EV73" s="6209"/>
      <c r="EW73" s="6209"/>
      <c r="EX73" s="6209"/>
      <c r="EY73" s="6209"/>
      <c r="EZ73" s="6209"/>
      <c r="FA73" s="6209"/>
      <c r="FB73" s="6209"/>
      <c r="FC73" s="6209"/>
      <c r="FD73" s="6294"/>
    </row>
    <row r="74" spans="1:432" s="2095" customFormat="1" ht="15" customHeight="1">
      <c r="A74" s="16424"/>
      <c r="B74" s="16459"/>
      <c r="C74" s="16459"/>
      <c r="D74" s="15342" t="s">
        <v>5101</v>
      </c>
      <c r="E74" s="15342" t="s">
        <v>286</v>
      </c>
      <c r="F74" s="15342" t="s">
        <v>287</v>
      </c>
      <c r="G74" s="15342" t="s">
        <v>70</v>
      </c>
      <c r="H74" s="15342">
        <v>1</v>
      </c>
      <c r="I74" s="15342">
        <v>1</v>
      </c>
      <c r="J74" s="15342">
        <v>1</v>
      </c>
      <c r="K74" s="15342" t="s">
        <v>288</v>
      </c>
      <c r="L74" s="2769" t="s">
        <v>10063</v>
      </c>
      <c r="M74" s="6085" t="s">
        <v>144</v>
      </c>
      <c r="N74" s="6090"/>
      <c r="O74" s="6086">
        <v>60000000</v>
      </c>
      <c r="P74" s="6086">
        <v>61800000</v>
      </c>
      <c r="Q74" s="6086">
        <v>63654000</v>
      </c>
      <c r="R74" s="6086">
        <v>65563620</v>
      </c>
      <c r="S74" s="6086">
        <v>67530528.600000009</v>
      </c>
      <c r="T74" s="6086">
        <v>69556444.458000004</v>
      </c>
      <c r="U74" s="6086">
        <v>71643137.79174</v>
      </c>
      <c r="V74" s="6161">
        <v>1</v>
      </c>
      <c r="W74" s="6087" t="s">
        <v>3006</v>
      </c>
      <c r="X74" s="6088" t="s">
        <v>3007</v>
      </c>
      <c r="Y74" s="6089"/>
      <c r="Z74" s="6089">
        <v>276</v>
      </c>
      <c r="AA74" s="6089">
        <v>83</v>
      </c>
      <c r="AB74" s="6089">
        <v>193</v>
      </c>
      <c r="AC74" s="6089">
        <v>255</v>
      </c>
      <c r="AD74" s="6089">
        <v>21</v>
      </c>
      <c r="AE74" s="6089">
        <v>4</v>
      </c>
      <c r="AF74" s="6089">
        <v>3</v>
      </c>
      <c r="AG74" s="6089">
        <v>9</v>
      </c>
      <c r="AH74" s="6089">
        <v>82</v>
      </c>
      <c r="AI74" s="6089">
        <v>102</v>
      </c>
      <c r="AJ74" s="6089">
        <v>53</v>
      </c>
      <c r="AK74" s="6089">
        <v>23</v>
      </c>
      <c r="AL74" s="6089">
        <v>149</v>
      </c>
      <c r="AM74" s="6089">
        <v>14</v>
      </c>
      <c r="AN74" s="6089"/>
      <c r="AO74" s="6089"/>
      <c r="AP74" s="6089">
        <v>102</v>
      </c>
      <c r="AQ74" s="6089"/>
      <c r="AR74" s="6089"/>
      <c r="AS74" s="6089">
        <v>11</v>
      </c>
      <c r="AT74" s="6089"/>
      <c r="AU74" s="6089">
        <v>276</v>
      </c>
      <c r="AV74" s="6089"/>
      <c r="AW74" s="6089"/>
      <c r="AX74" s="6089"/>
      <c r="AY74" s="6089"/>
      <c r="AZ74" s="6090"/>
      <c r="BA74" s="6090"/>
      <c r="BB74" s="6090"/>
      <c r="BC74" s="6090"/>
      <c r="BD74" s="6090"/>
      <c r="BE74" s="6090"/>
      <c r="BF74" s="6090"/>
      <c r="BG74" s="6090"/>
      <c r="BH74" s="6090"/>
      <c r="BI74" s="6090"/>
      <c r="BJ74" s="6090"/>
      <c r="BK74" s="6090"/>
      <c r="BL74" s="6090"/>
      <c r="BM74" s="6090"/>
      <c r="BN74" s="5097">
        <v>1</v>
      </c>
      <c r="BO74" s="5049">
        <v>1</v>
      </c>
      <c r="BP74" s="5049">
        <v>1</v>
      </c>
      <c r="BQ74" s="5098">
        <f t="shared" si="4"/>
        <v>1</v>
      </c>
      <c r="BR74" s="16509"/>
      <c r="BS74" s="4691" t="s">
        <v>9676</v>
      </c>
      <c r="BT74" s="4691" t="s">
        <v>3007</v>
      </c>
      <c r="BU74" s="4691" t="s">
        <v>2951</v>
      </c>
      <c r="BV74" s="6162">
        <v>26902120.118749999</v>
      </c>
      <c r="BW74" s="6162">
        <v>24309995.118749999</v>
      </c>
      <c r="BX74" s="6162">
        <v>2592125</v>
      </c>
      <c r="BY74" s="4699">
        <v>0</v>
      </c>
      <c r="BZ74" s="4699">
        <v>238</v>
      </c>
      <c r="CA74" s="4699">
        <v>69</v>
      </c>
      <c r="CB74" s="4699">
        <v>169</v>
      </c>
      <c r="CC74" s="4699">
        <v>170</v>
      </c>
      <c r="CD74" s="4699">
        <v>68</v>
      </c>
      <c r="CE74" s="4699">
        <v>4</v>
      </c>
      <c r="CF74" s="4699">
        <v>7</v>
      </c>
      <c r="CG74" s="4699">
        <v>19</v>
      </c>
      <c r="CH74" s="4699">
        <v>71</v>
      </c>
      <c r="CI74" s="4699">
        <v>69</v>
      </c>
      <c r="CJ74" s="4699">
        <v>50</v>
      </c>
      <c r="CK74" s="4699">
        <v>18</v>
      </c>
      <c r="CL74" s="4699">
        <v>131</v>
      </c>
      <c r="CM74" s="4699">
        <v>6</v>
      </c>
      <c r="CN74" s="4699">
        <v>0</v>
      </c>
      <c r="CO74" s="5097">
        <v>0</v>
      </c>
      <c r="CP74" s="5097">
        <v>100</v>
      </c>
      <c r="CQ74" s="5097">
        <v>0</v>
      </c>
      <c r="CR74" s="5097">
        <v>0</v>
      </c>
      <c r="CS74" s="5097">
        <v>1</v>
      </c>
      <c r="CT74" s="5097">
        <v>0</v>
      </c>
      <c r="CU74" s="5097">
        <v>238</v>
      </c>
      <c r="CV74" s="5097">
        <v>0</v>
      </c>
      <c r="CW74" s="5097">
        <v>0</v>
      </c>
      <c r="CX74" s="5097">
        <v>0</v>
      </c>
      <c r="CY74" s="5097">
        <v>0</v>
      </c>
      <c r="CZ74" s="4691"/>
      <c r="DA74" s="4691"/>
      <c r="DB74" s="3193"/>
      <c r="DC74" s="3193"/>
      <c r="DD74" s="3193"/>
      <c r="DE74" s="3193"/>
      <c r="DF74" s="3193"/>
      <c r="DG74" s="3193"/>
      <c r="DH74" s="3193"/>
      <c r="DI74" s="3477"/>
      <c r="DK74" s="6290"/>
      <c r="DL74" s="6090"/>
      <c r="DM74" s="6090"/>
      <c r="DN74" s="6090"/>
      <c r="DO74" s="6090"/>
      <c r="DP74" s="6090"/>
      <c r="DQ74" s="6090"/>
      <c r="DR74" s="6090"/>
      <c r="DS74" s="6090"/>
      <c r="DT74" s="6090"/>
      <c r="DU74" s="6090"/>
      <c r="DV74" s="6090"/>
      <c r="DW74" s="6090"/>
      <c r="DX74" s="6090"/>
      <c r="DY74" s="6090"/>
      <c r="DZ74" s="6090"/>
      <c r="EA74" s="6090"/>
      <c r="EB74" s="6090"/>
      <c r="EC74" s="6090"/>
      <c r="ED74" s="6090"/>
      <c r="EE74" s="6090"/>
      <c r="EF74" s="6090"/>
      <c r="EG74" s="6090"/>
      <c r="EH74" s="6090"/>
      <c r="EI74" s="6090"/>
      <c r="EJ74" s="6090"/>
      <c r="EK74" s="6090"/>
      <c r="EL74" s="6090"/>
      <c r="EM74" s="6090"/>
      <c r="EN74" s="6090"/>
      <c r="EO74" s="6090"/>
      <c r="EP74" s="6090"/>
      <c r="EQ74" s="6090"/>
      <c r="ER74" s="6090"/>
      <c r="ES74" s="6090"/>
      <c r="ET74" s="6090"/>
      <c r="EU74" s="6090"/>
      <c r="EV74" s="6090"/>
      <c r="EW74" s="6090"/>
      <c r="EX74" s="6090"/>
      <c r="EY74" s="6090"/>
      <c r="EZ74" s="6090"/>
      <c r="FA74" s="6090"/>
      <c r="FB74" s="6090"/>
      <c r="FC74" s="6090"/>
      <c r="FD74" s="6091"/>
    </row>
    <row r="75" spans="1:432" s="2095" customFormat="1" ht="15" customHeight="1">
      <c r="A75" s="16424"/>
      <c r="B75" s="16459"/>
      <c r="C75" s="16459"/>
      <c r="D75" s="15342"/>
      <c r="E75" s="15342"/>
      <c r="F75" s="15342"/>
      <c r="G75" s="15342"/>
      <c r="H75" s="15342"/>
      <c r="I75" s="15342"/>
      <c r="J75" s="15342"/>
      <c r="K75" s="15342"/>
      <c r="L75" s="2769" t="s">
        <v>10251</v>
      </c>
      <c r="M75" s="6085"/>
      <c r="N75" s="2770" t="s">
        <v>289</v>
      </c>
      <c r="O75" s="6086"/>
      <c r="P75" s="6086"/>
      <c r="Q75" s="6086"/>
      <c r="R75" s="6086"/>
      <c r="S75" s="6086"/>
      <c r="T75" s="6086"/>
      <c r="U75" s="6086"/>
      <c r="V75" s="6161"/>
      <c r="W75" s="6087"/>
      <c r="X75" s="6088"/>
      <c r="Y75" s="6089"/>
      <c r="Z75" s="6089"/>
      <c r="AA75" s="6089"/>
      <c r="AB75" s="6089"/>
      <c r="AC75" s="6089"/>
      <c r="AD75" s="6089"/>
      <c r="AE75" s="6089"/>
      <c r="AF75" s="6089"/>
      <c r="AG75" s="6089"/>
      <c r="AH75" s="6089"/>
      <c r="AI75" s="6089"/>
      <c r="AJ75" s="6089"/>
      <c r="AK75" s="6089"/>
      <c r="AL75" s="6089"/>
      <c r="AM75" s="6089"/>
      <c r="AN75" s="6089"/>
      <c r="AO75" s="6089"/>
      <c r="AP75" s="6089"/>
      <c r="AQ75" s="6089"/>
      <c r="AR75" s="6089"/>
      <c r="AS75" s="6089"/>
      <c r="AT75" s="6089"/>
      <c r="AU75" s="6089"/>
      <c r="AV75" s="6089"/>
      <c r="AW75" s="6089"/>
      <c r="AX75" s="6089"/>
      <c r="AY75" s="6089"/>
      <c r="AZ75" s="6090"/>
      <c r="BA75" s="6090"/>
      <c r="BB75" s="6090"/>
      <c r="BC75" s="6090"/>
      <c r="BD75" s="6090"/>
      <c r="BE75" s="6090"/>
      <c r="BF75" s="6090"/>
      <c r="BG75" s="6090"/>
      <c r="BH75" s="6090"/>
      <c r="BI75" s="6090"/>
      <c r="BJ75" s="6090"/>
      <c r="BK75" s="6090"/>
      <c r="BL75" s="6090"/>
      <c r="BM75" s="6090"/>
      <c r="BN75" s="5097"/>
      <c r="BO75" s="5049"/>
      <c r="BP75" s="5049"/>
      <c r="BQ75" s="5098"/>
      <c r="BR75" s="16509"/>
      <c r="BS75" s="4691"/>
      <c r="BT75" s="4691"/>
      <c r="BU75" s="4691"/>
      <c r="BV75" s="6162"/>
      <c r="BW75" s="6162"/>
      <c r="BX75" s="6162"/>
      <c r="BY75" s="4699"/>
      <c r="BZ75" s="4699"/>
      <c r="CA75" s="4699"/>
      <c r="CB75" s="4699"/>
      <c r="CC75" s="4699"/>
      <c r="CD75" s="4699"/>
      <c r="CE75" s="4699"/>
      <c r="CF75" s="4699"/>
      <c r="CG75" s="4699"/>
      <c r="CH75" s="4699"/>
      <c r="CI75" s="4699"/>
      <c r="CJ75" s="4699"/>
      <c r="CK75" s="4699"/>
      <c r="CL75" s="4699"/>
      <c r="CM75" s="4699"/>
      <c r="CN75" s="4699"/>
      <c r="CO75" s="5097"/>
      <c r="CP75" s="5097"/>
      <c r="CQ75" s="5097"/>
      <c r="CR75" s="5097"/>
      <c r="CS75" s="5097"/>
      <c r="CT75" s="5097"/>
      <c r="CU75" s="5097"/>
      <c r="CV75" s="5097"/>
      <c r="CW75" s="5097"/>
      <c r="CX75" s="5097"/>
      <c r="CY75" s="5097"/>
      <c r="CZ75" s="4691"/>
      <c r="DA75" s="4691"/>
      <c r="DB75" s="3193"/>
      <c r="DC75" s="3193"/>
      <c r="DD75" s="3193"/>
      <c r="DE75" s="3193"/>
      <c r="DF75" s="3193"/>
      <c r="DG75" s="3193"/>
      <c r="DH75" s="3193"/>
      <c r="DI75" s="3477"/>
      <c r="DK75" s="6290"/>
      <c r="DL75" s="6090"/>
      <c r="DM75" s="6090"/>
      <c r="DN75" s="6090"/>
      <c r="DO75" s="6090"/>
      <c r="DP75" s="6090"/>
      <c r="DQ75" s="6090"/>
      <c r="DR75" s="6090"/>
      <c r="DS75" s="6090"/>
      <c r="DT75" s="6090"/>
      <c r="DU75" s="6090"/>
      <c r="DV75" s="6090"/>
      <c r="DW75" s="6090"/>
      <c r="DX75" s="6090"/>
      <c r="DY75" s="6090"/>
      <c r="DZ75" s="6090"/>
      <c r="EA75" s="6090"/>
      <c r="EB75" s="6090"/>
      <c r="EC75" s="6090"/>
      <c r="ED75" s="6090"/>
      <c r="EE75" s="6090"/>
      <c r="EF75" s="6090"/>
      <c r="EG75" s="6090"/>
      <c r="EH75" s="6090"/>
      <c r="EI75" s="6090"/>
      <c r="EJ75" s="6090"/>
      <c r="EK75" s="6090"/>
      <c r="EL75" s="6090"/>
      <c r="EM75" s="6090"/>
      <c r="EN75" s="6090"/>
      <c r="EO75" s="6090"/>
      <c r="EP75" s="6090"/>
      <c r="EQ75" s="6090"/>
      <c r="ER75" s="6090"/>
      <c r="ES75" s="6090"/>
      <c r="ET75" s="6090"/>
      <c r="EU75" s="6090"/>
      <c r="EV75" s="6090"/>
      <c r="EW75" s="6090"/>
      <c r="EX75" s="6090"/>
      <c r="EY75" s="6090"/>
      <c r="EZ75" s="6090"/>
      <c r="FA75" s="6090"/>
      <c r="FB75" s="6090"/>
      <c r="FC75" s="6090"/>
      <c r="FD75" s="6091"/>
    </row>
    <row r="76" spans="1:432" s="2095" customFormat="1" ht="15" customHeight="1">
      <c r="A76" s="16424"/>
      <c r="B76" s="16459"/>
      <c r="C76" s="16459"/>
      <c r="D76" s="15342" t="s">
        <v>5102</v>
      </c>
      <c r="E76" s="15342" t="s">
        <v>290</v>
      </c>
      <c r="F76" s="15342" t="s">
        <v>291</v>
      </c>
      <c r="G76" s="15342" t="s">
        <v>70</v>
      </c>
      <c r="H76" s="15342">
        <v>1</v>
      </c>
      <c r="I76" s="15342">
        <v>1</v>
      </c>
      <c r="J76" s="15342">
        <v>1</v>
      </c>
      <c r="K76" s="15342" t="s">
        <v>124</v>
      </c>
      <c r="L76" s="2770" t="s">
        <v>10063</v>
      </c>
      <c r="M76" s="2770" t="s">
        <v>144</v>
      </c>
      <c r="N76" s="6090"/>
      <c r="O76" s="6086">
        <v>10000000</v>
      </c>
      <c r="P76" s="6086">
        <v>10300000</v>
      </c>
      <c r="Q76" s="6086">
        <v>10609000</v>
      </c>
      <c r="R76" s="6086">
        <v>10927270</v>
      </c>
      <c r="S76" s="6086">
        <v>11255088.1</v>
      </c>
      <c r="T76" s="6086">
        <v>11592740.743000001</v>
      </c>
      <c r="U76" s="6086">
        <v>11940522.965290001</v>
      </c>
      <c r="V76" s="6161">
        <v>1</v>
      </c>
      <c r="W76" s="6087" t="s">
        <v>3008</v>
      </c>
      <c r="X76" s="6088" t="s">
        <v>3009</v>
      </c>
      <c r="Y76" s="6088"/>
      <c r="Z76" s="6089">
        <v>213</v>
      </c>
      <c r="AA76" s="6089">
        <v>61</v>
      </c>
      <c r="AB76" s="6089">
        <v>152</v>
      </c>
      <c r="AC76" s="6089">
        <v>210</v>
      </c>
      <c r="AD76" s="6089">
        <v>3</v>
      </c>
      <c r="AE76" s="6089">
        <v>1</v>
      </c>
      <c r="AF76" s="6089">
        <v>12</v>
      </c>
      <c r="AG76" s="6089">
        <v>77</v>
      </c>
      <c r="AH76" s="6089">
        <v>81</v>
      </c>
      <c r="AI76" s="6089">
        <v>26</v>
      </c>
      <c r="AJ76" s="6089">
        <v>8</v>
      </c>
      <c r="AK76" s="6089">
        <v>8</v>
      </c>
      <c r="AL76" s="6089">
        <v>212</v>
      </c>
      <c r="AM76" s="6089">
        <v>1</v>
      </c>
      <c r="AN76" s="6089"/>
      <c r="AO76" s="6089"/>
      <c r="AP76" s="6089"/>
      <c r="AQ76" s="6089"/>
      <c r="AR76" s="6089"/>
      <c r="AS76" s="6089"/>
      <c r="AT76" s="6089">
        <v>1</v>
      </c>
      <c r="AU76" s="6089">
        <v>212</v>
      </c>
      <c r="AV76" s="6089"/>
      <c r="AW76" s="6089"/>
      <c r="AX76" s="6089"/>
      <c r="AY76" s="6089"/>
      <c r="AZ76" s="6090"/>
      <c r="BA76" s="6090"/>
      <c r="BB76" s="6090"/>
      <c r="BC76" s="6090"/>
      <c r="BD76" s="6090"/>
      <c r="BE76" s="6090"/>
      <c r="BF76" s="6090"/>
      <c r="BG76" s="6090"/>
      <c r="BH76" s="6090"/>
      <c r="BI76" s="6090"/>
      <c r="BJ76" s="6090"/>
      <c r="BK76" s="6090"/>
      <c r="BL76" s="6090"/>
      <c r="BM76" s="6090"/>
      <c r="BN76" s="5097">
        <v>1</v>
      </c>
      <c r="BO76" s="5050">
        <v>1</v>
      </c>
      <c r="BP76" s="5049">
        <v>1</v>
      </c>
      <c r="BQ76" s="5098">
        <f t="shared" si="4"/>
        <v>1</v>
      </c>
      <c r="BR76" s="16509"/>
      <c r="BS76" s="4691" t="s">
        <v>9677</v>
      </c>
      <c r="BT76" s="4691" t="s">
        <v>9678</v>
      </c>
      <c r="BU76" s="4691" t="s">
        <v>2951</v>
      </c>
      <c r="BV76" s="6162">
        <v>49344663.418750003</v>
      </c>
      <c r="BW76" s="6162">
        <v>37230438.418750003</v>
      </c>
      <c r="BX76" s="6162">
        <v>12114225</v>
      </c>
      <c r="BY76" s="4699">
        <v>0</v>
      </c>
      <c r="BZ76" s="4699">
        <v>408</v>
      </c>
      <c r="CA76" s="4699">
        <v>123</v>
      </c>
      <c r="CB76" s="4699">
        <v>285</v>
      </c>
      <c r="CC76" s="4699">
        <v>374</v>
      </c>
      <c r="CD76" s="4699">
        <v>34</v>
      </c>
      <c r="CE76" s="4699">
        <v>0</v>
      </c>
      <c r="CF76" s="4699">
        <v>14</v>
      </c>
      <c r="CG76" s="4699">
        <v>97</v>
      </c>
      <c r="CH76" s="4699">
        <v>119</v>
      </c>
      <c r="CI76" s="4699">
        <v>110</v>
      </c>
      <c r="CJ76" s="4699">
        <v>49</v>
      </c>
      <c r="CK76" s="4699">
        <v>19</v>
      </c>
      <c r="CL76" s="4699">
        <v>201</v>
      </c>
      <c r="CM76" s="4699">
        <v>10</v>
      </c>
      <c r="CN76" s="4699">
        <v>0</v>
      </c>
      <c r="CO76" s="5097">
        <v>0</v>
      </c>
      <c r="CP76" s="5097">
        <v>181</v>
      </c>
      <c r="CQ76" s="5097">
        <v>0</v>
      </c>
      <c r="CR76" s="5097">
        <v>0</v>
      </c>
      <c r="CS76" s="5097">
        <v>16</v>
      </c>
      <c r="CT76" s="5097">
        <v>0</v>
      </c>
      <c r="CU76" s="5097">
        <v>408</v>
      </c>
      <c r="CV76" s="5097">
        <v>0</v>
      </c>
      <c r="CW76" s="5097">
        <v>0</v>
      </c>
      <c r="CX76" s="5097">
        <v>0</v>
      </c>
      <c r="CY76" s="5097">
        <v>0</v>
      </c>
      <c r="CZ76" s="4691"/>
      <c r="DA76" s="4691"/>
      <c r="DB76" s="4691"/>
      <c r="DC76" s="4691"/>
      <c r="DD76" s="3193"/>
      <c r="DE76" s="3193"/>
      <c r="DF76" s="3193"/>
      <c r="DG76" s="3193"/>
      <c r="DH76" s="3193"/>
      <c r="DI76" s="3477"/>
      <c r="DK76" s="6290"/>
      <c r="DL76" s="6090"/>
      <c r="DM76" s="6090"/>
      <c r="DN76" s="6090"/>
      <c r="DO76" s="6090"/>
      <c r="DP76" s="6090"/>
      <c r="DQ76" s="6090"/>
      <c r="DR76" s="6090"/>
      <c r="DS76" s="6090"/>
      <c r="DT76" s="6090"/>
      <c r="DU76" s="6090"/>
      <c r="DV76" s="6090"/>
      <c r="DW76" s="6090"/>
      <c r="DX76" s="6090"/>
      <c r="DY76" s="6090"/>
      <c r="DZ76" s="6090"/>
      <c r="EA76" s="6090"/>
      <c r="EB76" s="6090"/>
      <c r="EC76" s="6090"/>
      <c r="ED76" s="6090"/>
      <c r="EE76" s="6090"/>
      <c r="EF76" s="6090"/>
      <c r="EG76" s="6090"/>
      <c r="EH76" s="6090"/>
      <c r="EI76" s="6090"/>
      <c r="EJ76" s="6090"/>
      <c r="EK76" s="6090"/>
      <c r="EL76" s="6090"/>
      <c r="EM76" s="6090"/>
      <c r="EN76" s="6090"/>
      <c r="EO76" s="6090"/>
      <c r="EP76" s="6090"/>
      <c r="EQ76" s="6090"/>
      <c r="ER76" s="6090"/>
      <c r="ES76" s="6090"/>
      <c r="ET76" s="6090"/>
      <c r="EU76" s="6090"/>
      <c r="EV76" s="6090"/>
      <c r="EW76" s="6090"/>
      <c r="EX76" s="6090"/>
      <c r="EY76" s="6090"/>
      <c r="EZ76" s="6090"/>
      <c r="FA76" s="6090"/>
      <c r="FB76" s="6090"/>
      <c r="FC76" s="6090"/>
      <c r="FD76" s="6091"/>
    </row>
    <row r="77" spans="1:432" s="2095" customFormat="1" ht="15" customHeight="1">
      <c r="A77" s="16424"/>
      <c r="B77" s="16459"/>
      <c r="C77" s="16459"/>
      <c r="D77" s="15342"/>
      <c r="E77" s="15342"/>
      <c r="F77" s="15342"/>
      <c r="G77" s="15342"/>
      <c r="H77" s="15342"/>
      <c r="I77" s="15342"/>
      <c r="J77" s="15342"/>
      <c r="K77" s="15342"/>
      <c r="L77" s="2770" t="s">
        <v>329</v>
      </c>
      <c r="M77" s="2770"/>
      <c r="N77" s="6085" t="s">
        <v>329</v>
      </c>
      <c r="O77" s="6086"/>
      <c r="P77" s="6086"/>
      <c r="Q77" s="6086"/>
      <c r="R77" s="6086"/>
      <c r="S77" s="6086"/>
      <c r="T77" s="6086"/>
      <c r="U77" s="6086"/>
      <c r="V77" s="6161"/>
      <c r="W77" s="6087"/>
      <c r="X77" s="6088"/>
      <c r="Y77" s="6088"/>
      <c r="Z77" s="6089"/>
      <c r="AA77" s="6089"/>
      <c r="AB77" s="6089"/>
      <c r="AC77" s="6089"/>
      <c r="AD77" s="6089"/>
      <c r="AE77" s="6089"/>
      <c r="AF77" s="6089"/>
      <c r="AG77" s="6089"/>
      <c r="AH77" s="6089"/>
      <c r="AI77" s="6089"/>
      <c r="AJ77" s="6089"/>
      <c r="AK77" s="6089"/>
      <c r="AL77" s="6089"/>
      <c r="AM77" s="6089"/>
      <c r="AN77" s="6089"/>
      <c r="AO77" s="6089"/>
      <c r="AP77" s="6089"/>
      <c r="AQ77" s="6089"/>
      <c r="AR77" s="6089"/>
      <c r="AS77" s="6089"/>
      <c r="AT77" s="6089"/>
      <c r="AU77" s="6089"/>
      <c r="AV77" s="6089"/>
      <c r="AW77" s="6089"/>
      <c r="AX77" s="6089"/>
      <c r="AY77" s="6089"/>
      <c r="AZ77" s="6090"/>
      <c r="BA77" s="6090"/>
      <c r="BB77" s="6090"/>
      <c r="BC77" s="6090"/>
      <c r="BD77" s="6090"/>
      <c r="BE77" s="6090"/>
      <c r="BF77" s="6090"/>
      <c r="BG77" s="6090"/>
      <c r="BH77" s="6090"/>
      <c r="BI77" s="6090"/>
      <c r="BJ77" s="6090"/>
      <c r="BK77" s="6090"/>
      <c r="BL77" s="6090"/>
      <c r="BM77" s="6090"/>
      <c r="BN77" s="5097"/>
      <c r="BO77" s="5050"/>
      <c r="BP77" s="5049"/>
      <c r="BQ77" s="5098"/>
      <c r="BR77" s="16509"/>
      <c r="BS77" s="4691"/>
      <c r="BT77" s="4691"/>
      <c r="BU77" s="4691"/>
      <c r="BV77" s="6162"/>
      <c r="BW77" s="6162"/>
      <c r="BX77" s="6162"/>
      <c r="BY77" s="4699"/>
      <c r="BZ77" s="4699"/>
      <c r="CA77" s="4699"/>
      <c r="CB77" s="4699"/>
      <c r="CC77" s="4699"/>
      <c r="CD77" s="4699"/>
      <c r="CE77" s="4699"/>
      <c r="CF77" s="4699"/>
      <c r="CG77" s="4699"/>
      <c r="CH77" s="4699"/>
      <c r="CI77" s="4699"/>
      <c r="CJ77" s="4699"/>
      <c r="CK77" s="4699"/>
      <c r="CL77" s="4699"/>
      <c r="CM77" s="4699"/>
      <c r="CN77" s="4699"/>
      <c r="CO77" s="5097"/>
      <c r="CP77" s="5097"/>
      <c r="CQ77" s="5097"/>
      <c r="CR77" s="5097"/>
      <c r="CS77" s="5097"/>
      <c r="CT77" s="5097"/>
      <c r="CU77" s="5097"/>
      <c r="CV77" s="5097"/>
      <c r="CW77" s="5097"/>
      <c r="CX77" s="5097"/>
      <c r="CY77" s="5097"/>
      <c r="CZ77" s="4691"/>
      <c r="DA77" s="4691"/>
      <c r="DB77" s="4691"/>
      <c r="DC77" s="4691"/>
      <c r="DD77" s="3193"/>
      <c r="DE77" s="3193"/>
      <c r="DF77" s="3193"/>
      <c r="DG77" s="3193"/>
      <c r="DH77" s="3193"/>
      <c r="DI77" s="3477"/>
      <c r="DK77" s="6290"/>
      <c r="DL77" s="6090"/>
      <c r="DM77" s="6090"/>
      <c r="DN77" s="6090"/>
      <c r="DO77" s="6090"/>
      <c r="DP77" s="6090"/>
      <c r="DQ77" s="6090"/>
      <c r="DR77" s="6090"/>
      <c r="DS77" s="6090"/>
      <c r="DT77" s="6090"/>
      <c r="DU77" s="6090"/>
      <c r="DV77" s="6090"/>
      <c r="DW77" s="6090"/>
      <c r="DX77" s="6090"/>
      <c r="DY77" s="6090"/>
      <c r="DZ77" s="6090"/>
      <c r="EA77" s="6090"/>
      <c r="EB77" s="6090"/>
      <c r="EC77" s="6090"/>
      <c r="ED77" s="6090"/>
      <c r="EE77" s="6090"/>
      <c r="EF77" s="6090"/>
      <c r="EG77" s="6090"/>
      <c r="EH77" s="6090"/>
      <c r="EI77" s="6090"/>
      <c r="EJ77" s="6090"/>
      <c r="EK77" s="6090"/>
      <c r="EL77" s="6090"/>
      <c r="EM77" s="6090"/>
      <c r="EN77" s="6090"/>
      <c r="EO77" s="6090"/>
      <c r="EP77" s="6090"/>
      <c r="EQ77" s="6090"/>
      <c r="ER77" s="6090"/>
      <c r="ES77" s="6090"/>
      <c r="ET77" s="6090"/>
      <c r="EU77" s="6090"/>
      <c r="EV77" s="6090"/>
      <c r="EW77" s="6090"/>
      <c r="EX77" s="6090"/>
      <c r="EY77" s="6090"/>
      <c r="EZ77" s="6090"/>
      <c r="FA77" s="6090"/>
      <c r="FB77" s="6090"/>
      <c r="FC77" s="6090"/>
      <c r="FD77" s="6091"/>
    </row>
    <row r="78" spans="1:432" s="2095" customFormat="1" ht="15" customHeight="1">
      <c r="A78" s="16424"/>
      <c r="B78" s="16459"/>
      <c r="C78" s="16459"/>
      <c r="D78" s="15342"/>
      <c r="E78" s="15342"/>
      <c r="F78" s="15342"/>
      <c r="G78" s="15342"/>
      <c r="H78" s="15342"/>
      <c r="I78" s="15342"/>
      <c r="J78" s="15342"/>
      <c r="K78" s="15342"/>
      <c r="L78" s="2770" t="s">
        <v>10194</v>
      </c>
      <c r="M78" s="2770"/>
      <c r="N78" s="6085" t="s">
        <v>10210</v>
      </c>
      <c r="O78" s="6086"/>
      <c r="P78" s="6086"/>
      <c r="Q78" s="6086"/>
      <c r="R78" s="6086"/>
      <c r="S78" s="6086"/>
      <c r="T78" s="6086"/>
      <c r="U78" s="6086"/>
      <c r="V78" s="6161"/>
      <c r="W78" s="6087"/>
      <c r="X78" s="6088"/>
      <c r="Y78" s="6088"/>
      <c r="Z78" s="6089"/>
      <c r="AA78" s="6089"/>
      <c r="AB78" s="6089"/>
      <c r="AC78" s="6089"/>
      <c r="AD78" s="6089"/>
      <c r="AE78" s="6089"/>
      <c r="AF78" s="6089"/>
      <c r="AG78" s="6089"/>
      <c r="AH78" s="6089"/>
      <c r="AI78" s="6089"/>
      <c r="AJ78" s="6089"/>
      <c r="AK78" s="6089"/>
      <c r="AL78" s="6089"/>
      <c r="AM78" s="6089"/>
      <c r="AN78" s="6089"/>
      <c r="AO78" s="6089"/>
      <c r="AP78" s="6089"/>
      <c r="AQ78" s="6089"/>
      <c r="AR78" s="6089"/>
      <c r="AS78" s="6089"/>
      <c r="AT78" s="6089"/>
      <c r="AU78" s="6089"/>
      <c r="AV78" s="6089"/>
      <c r="AW78" s="6089"/>
      <c r="AX78" s="6089"/>
      <c r="AY78" s="6089"/>
      <c r="AZ78" s="6090"/>
      <c r="BA78" s="6090"/>
      <c r="BB78" s="6090"/>
      <c r="BC78" s="6090"/>
      <c r="BD78" s="6090"/>
      <c r="BE78" s="6090"/>
      <c r="BF78" s="6090"/>
      <c r="BG78" s="6090"/>
      <c r="BH78" s="6090"/>
      <c r="BI78" s="6090"/>
      <c r="BJ78" s="6090"/>
      <c r="BK78" s="6090"/>
      <c r="BL78" s="6090"/>
      <c r="BM78" s="6090"/>
      <c r="BN78" s="5097"/>
      <c r="BO78" s="5050"/>
      <c r="BP78" s="5049"/>
      <c r="BQ78" s="5098"/>
      <c r="BR78" s="16509"/>
      <c r="BS78" s="4691"/>
      <c r="BT78" s="4691"/>
      <c r="BU78" s="4691"/>
      <c r="BV78" s="6162"/>
      <c r="BW78" s="6162"/>
      <c r="BX78" s="6162"/>
      <c r="BY78" s="4699"/>
      <c r="BZ78" s="4699"/>
      <c r="CA78" s="4699"/>
      <c r="CB78" s="4699"/>
      <c r="CC78" s="4699"/>
      <c r="CD78" s="4699"/>
      <c r="CE78" s="4699"/>
      <c r="CF78" s="4699"/>
      <c r="CG78" s="4699"/>
      <c r="CH78" s="4699"/>
      <c r="CI78" s="4699"/>
      <c r="CJ78" s="4699"/>
      <c r="CK78" s="4699"/>
      <c r="CL78" s="4699"/>
      <c r="CM78" s="4699"/>
      <c r="CN78" s="4699"/>
      <c r="CO78" s="5097"/>
      <c r="CP78" s="5097"/>
      <c r="CQ78" s="5097"/>
      <c r="CR78" s="5097"/>
      <c r="CS78" s="5097"/>
      <c r="CT78" s="5097"/>
      <c r="CU78" s="5097"/>
      <c r="CV78" s="5097"/>
      <c r="CW78" s="5097"/>
      <c r="CX78" s="5097"/>
      <c r="CY78" s="5097"/>
      <c r="CZ78" s="4691"/>
      <c r="DA78" s="4691"/>
      <c r="DB78" s="4691"/>
      <c r="DC78" s="4691"/>
      <c r="DD78" s="3193"/>
      <c r="DE78" s="3193"/>
      <c r="DF78" s="3193"/>
      <c r="DG78" s="3193"/>
      <c r="DH78" s="3193"/>
      <c r="DI78" s="3477"/>
      <c r="DK78" s="6290"/>
      <c r="DL78" s="6090"/>
      <c r="DM78" s="6090"/>
      <c r="DN78" s="6090"/>
      <c r="DO78" s="6090"/>
      <c r="DP78" s="6090"/>
      <c r="DQ78" s="6090"/>
      <c r="DR78" s="6090"/>
      <c r="DS78" s="6090"/>
      <c r="DT78" s="6090"/>
      <c r="DU78" s="6090"/>
      <c r="DV78" s="6090"/>
      <c r="DW78" s="6090"/>
      <c r="DX78" s="6090"/>
      <c r="DY78" s="6090"/>
      <c r="DZ78" s="6090"/>
      <c r="EA78" s="6090"/>
      <c r="EB78" s="6090"/>
      <c r="EC78" s="6090"/>
      <c r="ED78" s="6090"/>
      <c r="EE78" s="6090"/>
      <c r="EF78" s="6090"/>
      <c r="EG78" s="6090"/>
      <c r="EH78" s="6090"/>
      <c r="EI78" s="6090"/>
      <c r="EJ78" s="6090"/>
      <c r="EK78" s="6090"/>
      <c r="EL78" s="6090"/>
      <c r="EM78" s="6090"/>
      <c r="EN78" s="6090"/>
      <c r="EO78" s="6090"/>
      <c r="EP78" s="6090"/>
      <c r="EQ78" s="6090"/>
      <c r="ER78" s="6090"/>
      <c r="ES78" s="6090"/>
      <c r="ET78" s="6090"/>
      <c r="EU78" s="6090"/>
      <c r="EV78" s="6090"/>
      <c r="EW78" s="6090"/>
      <c r="EX78" s="6090"/>
      <c r="EY78" s="6090"/>
      <c r="EZ78" s="6090"/>
      <c r="FA78" s="6090"/>
      <c r="FB78" s="6090"/>
      <c r="FC78" s="6090"/>
      <c r="FD78" s="6091"/>
    </row>
    <row r="79" spans="1:432" s="2095" customFormat="1" ht="15" customHeight="1">
      <c r="A79" s="16424"/>
      <c r="B79" s="16459"/>
      <c r="C79" s="16459" t="s">
        <v>292</v>
      </c>
      <c r="D79" s="15342" t="s">
        <v>5103</v>
      </c>
      <c r="E79" s="15342" t="s">
        <v>293</v>
      </c>
      <c r="F79" s="15342" t="s">
        <v>294</v>
      </c>
      <c r="G79" s="15342" t="s">
        <v>70</v>
      </c>
      <c r="H79" s="15342">
        <v>2</v>
      </c>
      <c r="I79" s="15342">
        <v>3</v>
      </c>
      <c r="J79" s="15342">
        <v>4</v>
      </c>
      <c r="K79" s="15342" t="s">
        <v>124</v>
      </c>
      <c r="L79" s="2770" t="s">
        <v>10063</v>
      </c>
      <c r="M79" s="2770" t="s">
        <v>144</v>
      </c>
      <c r="N79" s="6090"/>
      <c r="O79" s="6093">
        <v>2000000</v>
      </c>
      <c r="P79" s="6086">
        <v>2060000</v>
      </c>
      <c r="Q79" s="6086">
        <v>2121800</v>
      </c>
      <c r="R79" s="6086">
        <v>3182700</v>
      </c>
      <c r="S79" s="6086">
        <v>3278181</v>
      </c>
      <c r="T79" s="6086">
        <v>3376526.43</v>
      </c>
      <c r="U79" s="6086">
        <v>3477822.2229000004</v>
      </c>
      <c r="V79" s="6161">
        <v>1</v>
      </c>
      <c r="W79" s="6087" t="s">
        <v>3010</v>
      </c>
      <c r="X79" s="6088" t="s">
        <v>3011</v>
      </c>
      <c r="Y79" s="6089"/>
      <c r="Z79" s="6089">
        <v>588</v>
      </c>
      <c r="AA79" s="6089">
        <v>196</v>
      </c>
      <c r="AB79" s="6089">
        <v>392</v>
      </c>
      <c r="AC79" s="6089">
        <v>587</v>
      </c>
      <c r="AD79" s="6089">
        <v>1</v>
      </c>
      <c r="AE79" s="6089">
        <v>2</v>
      </c>
      <c r="AF79" s="6089">
        <v>68</v>
      </c>
      <c r="AG79" s="6089">
        <v>241</v>
      </c>
      <c r="AH79" s="6089">
        <v>137</v>
      </c>
      <c r="AI79" s="6089">
        <v>81</v>
      </c>
      <c r="AJ79" s="6089">
        <v>37</v>
      </c>
      <c r="AK79" s="6089">
        <v>22</v>
      </c>
      <c r="AL79" s="6089">
        <v>545</v>
      </c>
      <c r="AM79" s="6089">
        <v>4</v>
      </c>
      <c r="AN79" s="6089"/>
      <c r="AO79" s="6089"/>
      <c r="AP79" s="6089">
        <v>39</v>
      </c>
      <c r="AQ79" s="6089"/>
      <c r="AR79" s="6089"/>
      <c r="AS79" s="6089"/>
      <c r="AT79" s="6089">
        <v>9</v>
      </c>
      <c r="AU79" s="6089">
        <v>578</v>
      </c>
      <c r="AV79" s="6089">
        <v>1</v>
      </c>
      <c r="AW79" s="6089"/>
      <c r="AX79" s="6089"/>
      <c r="AY79" s="6089"/>
      <c r="AZ79" s="6090"/>
      <c r="BA79" s="6090"/>
      <c r="BB79" s="6090"/>
      <c r="BC79" s="6090"/>
      <c r="BD79" s="6090"/>
      <c r="BE79" s="6090"/>
      <c r="BF79" s="6090"/>
      <c r="BG79" s="6090"/>
      <c r="BH79" s="6090"/>
      <c r="BI79" s="6090"/>
      <c r="BJ79" s="6090"/>
      <c r="BK79" s="6090"/>
      <c r="BL79" s="6090"/>
      <c r="BM79" s="6090"/>
      <c r="BN79" s="4614">
        <v>4</v>
      </c>
      <c r="BO79" s="5050">
        <v>4</v>
      </c>
      <c r="BP79" s="5049">
        <v>4</v>
      </c>
      <c r="BQ79" s="5098">
        <v>1</v>
      </c>
      <c r="BR79" s="16509"/>
      <c r="BS79" s="4691" t="s">
        <v>9679</v>
      </c>
      <c r="BT79" s="4691" t="s">
        <v>3011</v>
      </c>
      <c r="BU79" s="4691" t="s">
        <v>2951</v>
      </c>
      <c r="BV79" s="6162">
        <v>49344663.418750003</v>
      </c>
      <c r="BW79" s="6162">
        <v>37230438.418750003</v>
      </c>
      <c r="BX79" s="6162">
        <v>12114225</v>
      </c>
      <c r="BY79" s="4699">
        <v>0</v>
      </c>
      <c r="BZ79" s="4699">
        <v>255</v>
      </c>
      <c r="CA79" s="4699">
        <v>68</v>
      </c>
      <c r="CB79" s="4699">
        <v>187</v>
      </c>
      <c r="CC79" s="4699">
        <v>253</v>
      </c>
      <c r="CD79" s="4699">
        <v>2</v>
      </c>
      <c r="CE79" s="4699">
        <v>0</v>
      </c>
      <c r="CF79" s="4699">
        <v>2</v>
      </c>
      <c r="CG79" s="4699">
        <v>12</v>
      </c>
      <c r="CH79" s="4699">
        <v>82</v>
      </c>
      <c r="CI79" s="4699">
        <v>92</v>
      </c>
      <c r="CJ79" s="4699">
        <v>38</v>
      </c>
      <c r="CK79" s="4699">
        <v>15</v>
      </c>
      <c r="CL79" s="4699">
        <v>103</v>
      </c>
      <c r="CM79" s="4699">
        <v>7</v>
      </c>
      <c r="CN79" s="4699">
        <v>0</v>
      </c>
      <c r="CO79" s="5097">
        <v>0</v>
      </c>
      <c r="CP79" s="5097">
        <v>133</v>
      </c>
      <c r="CQ79" s="5097">
        <v>0</v>
      </c>
      <c r="CR79" s="5097">
        <v>0</v>
      </c>
      <c r="CS79" s="5097">
        <v>12</v>
      </c>
      <c r="CT79" s="5097">
        <v>0</v>
      </c>
      <c r="CU79" s="5097">
        <v>255</v>
      </c>
      <c r="CV79" s="5097">
        <v>0</v>
      </c>
      <c r="CW79" s="5097">
        <v>0</v>
      </c>
      <c r="CX79" s="5097">
        <v>0</v>
      </c>
      <c r="CY79" s="5097">
        <v>0</v>
      </c>
      <c r="CZ79" s="4691"/>
      <c r="DA79" s="4691"/>
      <c r="DB79" s="4691"/>
      <c r="DC79" s="4691"/>
      <c r="DD79" s="4691"/>
      <c r="DE79" s="4691"/>
      <c r="DF79" s="3193"/>
      <c r="DG79" s="3193"/>
      <c r="DH79" s="3193"/>
      <c r="DI79" s="3477"/>
      <c r="DK79" s="6290"/>
      <c r="DL79" s="6090"/>
      <c r="DM79" s="6090"/>
      <c r="DN79" s="6090"/>
      <c r="DO79" s="6090"/>
      <c r="DP79" s="6090"/>
      <c r="DQ79" s="6090"/>
      <c r="DR79" s="6090"/>
      <c r="DS79" s="6090"/>
      <c r="DT79" s="6090"/>
      <c r="DU79" s="6090"/>
      <c r="DV79" s="6090"/>
      <c r="DW79" s="6090"/>
      <c r="DX79" s="6090"/>
      <c r="DY79" s="6090"/>
      <c r="DZ79" s="6090"/>
      <c r="EA79" s="6090"/>
      <c r="EB79" s="6090"/>
      <c r="EC79" s="6090"/>
      <c r="ED79" s="6090"/>
      <c r="EE79" s="6090"/>
      <c r="EF79" s="6090"/>
      <c r="EG79" s="6090"/>
      <c r="EH79" s="6090"/>
      <c r="EI79" s="6090"/>
      <c r="EJ79" s="6090"/>
      <c r="EK79" s="6090"/>
      <c r="EL79" s="6090"/>
      <c r="EM79" s="6090"/>
      <c r="EN79" s="6090"/>
      <c r="EO79" s="6090"/>
      <c r="EP79" s="6090"/>
      <c r="EQ79" s="6090"/>
      <c r="ER79" s="6090"/>
      <c r="ES79" s="6090"/>
      <c r="ET79" s="6090"/>
      <c r="EU79" s="6090"/>
      <c r="EV79" s="6090"/>
      <c r="EW79" s="6090"/>
      <c r="EX79" s="6090"/>
      <c r="EY79" s="6090"/>
      <c r="EZ79" s="6090"/>
      <c r="FA79" s="6090"/>
      <c r="FB79" s="6090"/>
      <c r="FC79" s="6090"/>
      <c r="FD79" s="6091"/>
    </row>
    <row r="80" spans="1:432" s="2095" customFormat="1" ht="15" customHeight="1">
      <c r="A80" s="16424"/>
      <c r="B80" s="16459"/>
      <c r="C80" s="16459"/>
      <c r="D80" s="15342"/>
      <c r="E80" s="15342"/>
      <c r="F80" s="15342"/>
      <c r="G80" s="15342"/>
      <c r="H80" s="15342"/>
      <c r="I80" s="15342"/>
      <c r="J80" s="15342"/>
      <c r="K80" s="15342"/>
      <c r="L80" s="2770" t="s">
        <v>295</v>
      </c>
      <c r="M80" s="2770"/>
      <c r="N80" s="6092" t="s">
        <v>295</v>
      </c>
      <c r="O80" s="6093"/>
      <c r="P80" s="6086"/>
      <c r="Q80" s="6086"/>
      <c r="R80" s="6086"/>
      <c r="S80" s="6086"/>
      <c r="T80" s="6086"/>
      <c r="U80" s="6086"/>
      <c r="V80" s="6161"/>
      <c r="W80" s="6087"/>
      <c r="X80" s="6088"/>
      <c r="Y80" s="6089"/>
      <c r="Z80" s="6089"/>
      <c r="AA80" s="6089"/>
      <c r="AB80" s="6089"/>
      <c r="AC80" s="6089"/>
      <c r="AD80" s="6089"/>
      <c r="AE80" s="6089"/>
      <c r="AF80" s="6089"/>
      <c r="AG80" s="6089"/>
      <c r="AH80" s="6089"/>
      <c r="AI80" s="6089"/>
      <c r="AJ80" s="6089"/>
      <c r="AK80" s="6089"/>
      <c r="AL80" s="6089"/>
      <c r="AM80" s="6089"/>
      <c r="AN80" s="6089"/>
      <c r="AO80" s="6089"/>
      <c r="AP80" s="6089"/>
      <c r="AQ80" s="6089"/>
      <c r="AR80" s="6089"/>
      <c r="AS80" s="6089"/>
      <c r="AT80" s="6089"/>
      <c r="AU80" s="6089"/>
      <c r="AV80" s="6089"/>
      <c r="AW80" s="6089"/>
      <c r="AX80" s="6089"/>
      <c r="AY80" s="6089"/>
      <c r="AZ80" s="6090"/>
      <c r="BA80" s="6090"/>
      <c r="BB80" s="6090"/>
      <c r="BC80" s="6090"/>
      <c r="BD80" s="6090"/>
      <c r="BE80" s="6090"/>
      <c r="BF80" s="6090"/>
      <c r="BG80" s="6090"/>
      <c r="BH80" s="6090"/>
      <c r="BI80" s="6090"/>
      <c r="BJ80" s="6090"/>
      <c r="BK80" s="6090"/>
      <c r="BL80" s="6090"/>
      <c r="BM80" s="6090"/>
      <c r="BN80" s="4614"/>
      <c r="BO80" s="5050"/>
      <c r="BP80" s="5049"/>
      <c r="BQ80" s="5098"/>
      <c r="BR80" s="16509"/>
      <c r="BS80" s="4691"/>
      <c r="BT80" s="4691"/>
      <c r="BU80" s="4691"/>
      <c r="BV80" s="6162"/>
      <c r="BW80" s="6162"/>
      <c r="BX80" s="6162"/>
      <c r="BY80" s="4699"/>
      <c r="BZ80" s="4699"/>
      <c r="CA80" s="4699"/>
      <c r="CB80" s="4699"/>
      <c r="CC80" s="4699"/>
      <c r="CD80" s="4699"/>
      <c r="CE80" s="4699"/>
      <c r="CF80" s="4699"/>
      <c r="CG80" s="4699"/>
      <c r="CH80" s="4699"/>
      <c r="CI80" s="4699"/>
      <c r="CJ80" s="4699"/>
      <c r="CK80" s="4699"/>
      <c r="CL80" s="4699"/>
      <c r="CM80" s="4699"/>
      <c r="CN80" s="4699"/>
      <c r="CO80" s="5097"/>
      <c r="CP80" s="5097"/>
      <c r="CQ80" s="5097"/>
      <c r="CR80" s="5097"/>
      <c r="CS80" s="5097"/>
      <c r="CT80" s="5097"/>
      <c r="CU80" s="5097"/>
      <c r="CV80" s="5097"/>
      <c r="CW80" s="5097"/>
      <c r="CX80" s="5097"/>
      <c r="CY80" s="5097"/>
      <c r="CZ80" s="4691"/>
      <c r="DA80" s="4691"/>
      <c r="DB80" s="4691"/>
      <c r="DC80" s="4691"/>
      <c r="DD80" s="4691"/>
      <c r="DE80" s="4691"/>
      <c r="DF80" s="3193"/>
      <c r="DG80" s="3193"/>
      <c r="DH80" s="3193"/>
      <c r="DI80" s="3477"/>
      <c r="DK80" s="6290"/>
      <c r="DL80" s="6090"/>
      <c r="DM80" s="6090"/>
      <c r="DN80" s="6090"/>
      <c r="DO80" s="6090"/>
      <c r="DP80" s="6090"/>
      <c r="DQ80" s="6090"/>
      <c r="DR80" s="6090"/>
      <c r="DS80" s="6090"/>
      <c r="DT80" s="6090"/>
      <c r="DU80" s="6090"/>
      <c r="DV80" s="6090"/>
      <c r="DW80" s="6090"/>
      <c r="DX80" s="6090"/>
      <c r="DY80" s="6090"/>
      <c r="DZ80" s="6090"/>
      <c r="EA80" s="6090"/>
      <c r="EB80" s="6090"/>
      <c r="EC80" s="6090"/>
      <c r="ED80" s="6090"/>
      <c r="EE80" s="6090"/>
      <c r="EF80" s="6090"/>
      <c r="EG80" s="6090"/>
      <c r="EH80" s="6090"/>
      <c r="EI80" s="6090"/>
      <c r="EJ80" s="6090"/>
      <c r="EK80" s="6090"/>
      <c r="EL80" s="6090"/>
      <c r="EM80" s="6090"/>
      <c r="EN80" s="6090"/>
      <c r="EO80" s="6090"/>
      <c r="EP80" s="6090"/>
      <c r="EQ80" s="6090"/>
      <c r="ER80" s="6090"/>
      <c r="ES80" s="6090"/>
      <c r="ET80" s="6090"/>
      <c r="EU80" s="6090"/>
      <c r="EV80" s="6090"/>
      <c r="EW80" s="6090"/>
      <c r="EX80" s="6090"/>
      <c r="EY80" s="6090"/>
      <c r="EZ80" s="6090"/>
      <c r="FA80" s="6090"/>
      <c r="FB80" s="6090"/>
      <c r="FC80" s="6090"/>
      <c r="FD80" s="6091"/>
    </row>
    <row r="81" spans="1:160" s="2095" customFormat="1" ht="15" customHeight="1">
      <c r="A81" s="16424"/>
      <c r="B81" s="16459"/>
      <c r="C81" s="16459"/>
      <c r="D81" s="15342" t="s">
        <v>5104</v>
      </c>
      <c r="E81" s="15342" t="s">
        <v>296</v>
      </c>
      <c r="F81" s="15342" t="s">
        <v>297</v>
      </c>
      <c r="G81" s="15342" t="s">
        <v>70</v>
      </c>
      <c r="H81" s="15342">
        <v>4</v>
      </c>
      <c r="I81" s="15342">
        <v>6</v>
      </c>
      <c r="J81" s="15342">
        <v>8</v>
      </c>
      <c r="K81" s="15342" t="s">
        <v>124</v>
      </c>
      <c r="L81" s="2770" t="s">
        <v>10066</v>
      </c>
      <c r="M81" s="2770" t="s">
        <v>298</v>
      </c>
      <c r="N81" s="6092"/>
      <c r="O81" s="6093">
        <v>2000000</v>
      </c>
      <c r="P81" s="6086">
        <v>2060000</v>
      </c>
      <c r="Q81" s="6086">
        <v>2121800</v>
      </c>
      <c r="R81" s="6086">
        <v>3182700</v>
      </c>
      <c r="S81" s="6086">
        <v>3278181</v>
      </c>
      <c r="T81" s="6086">
        <v>3376526.43</v>
      </c>
      <c r="U81" s="6086">
        <v>3477822.2229000004</v>
      </c>
      <c r="V81" s="6161">
        <v>1</v>
      </c>
      <c r="W81" s="6094" t="s">
        <v>3012</v>
      </c>
      <c r="X81" s="6095" t="s">
        <v>3013</v>
      </c>
      <c r="Y81" s="6089"/>
      <c r="Z81" s="6096">
        <f>23452368.2125+4950000</f>
        <v>28402368.212499999</v>
      </c>
      <c r="AA81" s="6096">
        <f>17611368.2125+4950000</f>
        <v>22561368.212499999</v>
      </c>
      <c r="AB81" s="6096">
        <v>5841000</v>
      </c>
      <c r="AC81" s="6089"/>
      <c r="AD81" s="6089">
        <f>190+53</f>
        <v>243</v>
      </c>
      <c r="AE81" s="6089">
        <f>110+25</f>
        <v>135</v>
      </c>
      <c r="AF81" s="6089">
        <f>80+28</f>
        <v>108</v>
      </c>
      <c r="AG81" s="6089">
        <f>158+53</f>
        <v>211</v>
      </c>
      <c r="AH81" s="6089">
        <v>32</v>
      </c>
      <c r="AI81" s="6089">
        <v>6</v>
      </c>
      <c r="AJ81" s="6089">
        <v>13</v>
      </c>
      <c r="AK81" s="6089">
        <f>17+63</f>
        <v>80</v>
      </c>
      <c r="AL81" s="6089">
        <v>31</v>
      </c>
      <c r="AM81" s="6089">
        <v>44</v>
      </c>
      <c r="AN81" s="6089">
        <v>42</v>
      </c>
      <c r="AO81" s="6089">
        <v>37</v>
      </c>
      <c r="AP81" s="6089">
        <v>114</v>
      </c>
      <c r="AQ81" s="6089">
        <v>28</v>
      </c>
      <c r="AR81" s="6089"/>
      <c r="AS81" s="6089"/>
      <c r="AT81" s="6089">
        <v>48</v>
      </c>
      <c r="AU81" s="6089"/>
      <c r="AV81" s="6089"/>
      <c r="AW81" s="6089"/>
      <c r="AX81" s="6089"/>
      <c r="AY81" s="6089">
        <v>190</v>
      </c>
      <c r="AZ81" s="6090"/>
      <c r="BA81" s="6090"/>
      <c r="BB81" s="6090"/>
      <c r="BC81" s="6090"/>
      <c r="BD81" s="6090"/>
      <c r="BE81" s="6090"/>
      <c r="BF81" s="6090"/>
      <c r="BG81" s="6090"/>
      <c r="BH81" s="6090"/>
      <c r="BI81" s="6090"/>
      <c r="BJ81" s="6090"/>
      <c r="BK81" s="6090"/>
      <c r="BL81" s="6090"/>
      <c r="BM81" s="6090"/>
      <c r="BN81" s="5050">
        <v>1</v>
      </c>
      <c r="BO81" s="5050">
        <v>1</v>
      </c>
      <c r="BP81" s="5049">
        <v>7</v>
      </c>
      <c r="BQ81" s="5098">
        <v>1</v>
      </c>
      <c r="BR81" s="16509"/>
      <c r="BS81" s="6097" t="s">
        <v>9680</v>
      </c>
      <c r="BT81" s="3182" t="s">
        <v>9681</v>
      </c>
      <c r="BU81" s="6097"/>
      <c r="BV81" s="6098">
        <v>23251318.493749999</v>
      </c>
      <c r="BW81" s="6098">
        <v>20604493.493749999</v>
      </c>
      <c r="BX81" s="6098">
        <v>2646825</v>
      </c>
      <c r="BY81" s="6099">
        <v>0</v>
      </c>
      <c r="BZ81" s="3195">
        <v>217</v>
      </c>
      <c r="CA81" s="3195">
        <v>53</v>
      </c>
      <c r="CB81" s="3195">
        <v>164</v>
      </c>
      <c r="CC81" s="3195">
        <v>190</v>
      </c>
      <c r="CD81" s="3195">
        <v>27</v>
      </c>
      <c r="CE81" s="3195">
        <v>4</v>
      </c>
      <c r="CF81" s="3195">
        <v>6</v>
      </c>
      <c r="CG81" s="3195">
        <v>33</v>
      </c>
      <c r="CH81" s="3195">
        <v>71</v>
      </c>
      <c r="CI81" s="3195">
        <v>66</v>
      </c>
      <c r="CJ81" s="3195">
        <v>24</v>
      </c>
      <c r="CK81" s="3195">
        <v>13</v>
      </c>
      <c r="CL81" s="3195">
        <v>181</v>
      </c>
      <c r="CM81" s="3195">
        <v>1</v>
      </c>
      <c r="CN81" s="3195">
        <v>0</v>
      </c>
      <c r="CO81" s="5049">
        <v>0</v>
      </c>
      <c r="CP81" s="5049">
        <v>21</v>
      </c>
      <c r="CQ81" s="5049">
        <v>0</v>
      </c>
      <c r="CR81" s="5049">
        <v>0</v>
      </c>
      <c r="CS81" s="5049">
        <v>14</v>
      </c>
      <c r="CT81" s="5049">
        <v>0</v>
      </c>
      <c r="CU81" s="5049">
        <v>217</v>
      </c>
      <c r="CV81" s="5049">
        <v>0</v>
      </c>
      <c r="CW81" s="5049">
        <v>0</v>
      </c>
      <c r="CX81" s="5049">
        <v>0</v>
      </c>
      <c r="CY81" s="5049">
        <v>0</v>
      </c>
      <c r="CZ81" s="3193"/>
      <c r="DA81" s="3193"/>
      <c r="DB81" s="3193"/>
      <c r="DC81" s="3193"/>
      <c r="DD81" s="3193"/>
      <c r="DE81" s="3193"/>
      <c r="DF81" s="3193"/>
      <c r="DG81" s="3193"/>
      <c r="DH81" s="3193"/>
      <c r="DI81" s="3477"/>
      <c r="DK81" s="6290"/>
      <c r="DL81" s="6090"/>
      <c r="DM81" s="6090"/>
      <c r="DN81" s="6090"/>
      <c r="DO81" s="6090"/>
      <c r="DP81" s="6090"/>
      <c r="DQ81" s="6090"/>
      <c r="DR81" s="6090"/>
      <c r="DS81" s="6090"/>
      <c r="DT81" s="6090"/>
      <c r="DU81" s="6090"/>
      <c r="DV81" s="6090"/>
      <c r="DW81" s="6090"/>
      <c r="DX81" s="6090"/>
      <c r="DY81" s="6090"/>
      <c r="DZ81" s="6090"/>
      <c r="EA81" s="6090"/>
      <c r="EB81" s="6090"/>
      <c r="EC81" s="6090"/>
      <c r="ED81" s="6090"/>
      <c r="EE81" s="6090"/>
      <c r="EF81" s="6090"/>
      <c r="EG81" s="6090"/>
      <c r="EH81" s="6090"/>
      <c r="EI81" s="6090"/>
      <c r="EJ81" s="6090"/>
      <c r="EK81" s="6090"/>
      <c r="EL81" s="6090"/>
      <c r="EM81" s="6090"/>
      <c r="EN81" s="6090"/>
      <c r="EO81" s="6090"/>
      <c r="EP81" s="6090"/>
      <c r="EQ81" s="6090"/>
      <c r="ER81" s="6090"/>
      <c r="ES81" s="6090"/>
      <c r="ET81" s="6090"/>
      <c r="EU81" s="6090"/>
      <c r="EV81" s="6090"/>
      <c r="EW81" s="6090"/>
      <c r="EX81" s="6090"/>
      <c r="EY81" s="6090"/>
      <c r="EZ81" s="6090"/>
      <c r="FA81" s="6090"/>
      <c r="FB81" s="6090"/>
      <c r="FC81" s="6090"/>
      <c r="FD81" s="6091"/>
    </row>
    <row r="82" spans="1:160" s="2095" customFormat="1" ht="15" customHeight="1">
      <c r="A82" s="16424"/>
      <c r="B82" s="16459"/>
      <c r="C82" s="16459"/>
      <c r="D82" s="15342"/>
      <c r="E82" s="15342"/>
      <c r="F82" s="15342"/>
      <c r="G82" s="15342"/>
      <c r="H82" s="15342"/>
      <c r="I82" s="15342"/>
      <c r="J82" s="15342"/>
      <c r="K82" s="15342"/>
      <c r="L82" s="2770" t="s">
        <v>295</v>
      </c>
      <c r="M82" s="2770"/>
      <c r="N82" s="6092" t="s">
        <v>299</v>
      </c>
      <c r="O82" s="6093"/>
      <c r="P82" s="6086"/>
      <c r="Q82" s="6086"/>
      <c r="R82" s="6086"/>
      <c r="S82" s="6086"/>
      <c r="T82" s="6086"/>
      <c r="U82" s="6086"/>
      <c r="V82" s="6161"/>
      <c r="W82" s="6094"/>
      <c r="X82" s="6095"/>
      <c r="Y82" s="6089"/>
      <c r="Z82" s="6096"/>
      <c r="AA82" s="6096"/>
      <c r="AB82" s="6096"/>
      <c r="AC82" s="6089"/>
      <c r="AD82" s="6089"/>
      <c r="AE82" s="6089"/>
      <c r="AF82" s="6089"/>
      <c r="AG82" s="6089"/>
      <c r="AH82" s="6089"/>
      <c r="AI82" s="6089"/>
      <c r="AJ82" s="6089"/>
      <c r="AK82" s="6089"/>
      <c r="AL82" s="6089"/>
      <c r="AM82" s="6089"/>
      <c r="AN82" s="6089"/>
      <c r="AO82" s="6089"/>
      <c r="AP82" s="6089"/>
      <c r="AQ82" s="6089"/>
      <c r="AR82" s="6089"/>
      <c r="AS82" s="6089"/>
      <c r="AT82" s="6089"/>
      <c r="AU82" s="6089"/>
      <c r="AV82" s="6089"/>
      <c r="AW82" s="6089"/>
      <c r="AX82" s="6089"/>
      <c r="AY82" s="6089"/>
      <c r="AZ82" s="6090"/>
      <c r="BA82" s="6090"/>
      <c r="BB82" s="6090"/>
      <c r="BC82" s="6090"/>
      <c r="BD82" s="6090"/>
      <c r="BE82" s="6090"/>
      <c r="BF82" s="6090"/>
      <c r="BG82" s="6090"/>
      <c r="BH82" s="6090"/>
      <c r="BI82" s="6090"/>
      <c r="BJ82" s="6090"/>
      <c r="BK82" s="6090"/>
      <c r="BL82" s="6090"/>
      <c r="BM82" s="6090"/>
      <c r="BN82" s="5050"/>
      <c r="BO82" s="5050"/>
      <c r="BP82" s="5049"/>
      <c r="BQ82" s="5098"/>
      <c r="BR82" s="16509"/>
      <c r="BS82" s="6097"/>
      <c r="BT82" s="3182"/>
      <c r="BU82" s="6097"/>
      <c r="BV82" s="6098"/>
      <c r="BW82" s="6098"/>
      <c r="BX82" s="6098"/>
      <c r="BY82" s="6099"/>
      <c r="BZ82" s="3195"/>
      <c r="CA82" s="3195"/>
      <c r="CB82" s="3195"/>
      <c r="CC82" s="3195"/>
      <c r="CD82" s="3195"/>
      <c r="CE82" s="3195"/>
      <c r="CF82" s="3195"/>
      <c r="CG82" s="3195"/>
      <c r="CH82" s="3195"/>
      <c r="CI82" s="3195"/>
      <c r="CJ82" s="3195"/>
      <c r="CK82" s="3195"/>
      <c r="CL82" s="3195"/>
      <c r="CM82" s="3195"/>
      <c r="CN82" s="3195"/>
      <c r="CO82" s="5049"/>
      <c r="CP82" s="5049"/>
      <c r="CQ82" s="5049"/>
      <c r="CR82" s="5049"/>
      <c r="CS82" s="5049"/>
      <c r="CT82" s="5049"/>
      <c r="CU82" s="5049"/>
      <c r="CV82" s="5049"/>
      <c r="CW82" s="5049"/>
      <c r="CX82" s="5049"/>
      <c r="CY82" s="5049"/>
      <c r="CZ82" s="3193"/>
      <c r="DA82" s="3193"/>
      <c r="DB82" s="3193"/>
      <c r="DC82" s="3193"/>
      <c r="DD82" s="3193"/>
      <c r="DE82" s="3193"/>
      <c r="DF82" s="3193"/>
      <c r="DG82" s="3193"/>
      <c r="DH82" s="3193"/>
      <c r="DI82" s="3477"/>
      <c r="DK82" s="6290"/>
      <c r="DL82" s="6090"/>
      <c r="DM82" s="6090"/>
      <c r="DN82" s="6090"/>
      <c r="DO82" s="6090"/>
      <c r="DP82" s="6090"/>
      <c r="DQ82" s="6090"/>
      <c r="DR82" s="6090"/>
      <c r="DS82" s="6090"/>
      <c r="DT82" s="6090"/>
      <c r="DU82" s="6090"/>
      <c r="DV82" s="6090"/>
      <c r="DW82" s="6090"/>
      <c r="DX82" s="6090"/>
      <c r="DY82" s="6090"/>
      <c r="DZ82" s="6090"/>
      <c r="EA82" s="6090"/>
      <c r="EB82" s="6090"/>
      <c r="EC82" s="6090"/>
      <c r="ED82" s="6090"/>
      <c r="EE82" s="6090"/>
      <c r="EF82" s="6090"/>
      <c r="EG82" s="6090"/>
      <c r="EH82" s="6090"/>
      <c r="EI82" s="6090"/>
      <c r="EJ82" s="6090"/>
      <c r="EK82" s="6090"/>
      <c r="EL82" s="6090"/>
      <c r="EM82" s="6090"/>
      <c r="EN82" s="6090"/>
      <c r="EO82" s="6090"/>
      <c r="EP82" s="6090"/>
      <c r="EQ82" s="6090"/>
      <c r="ER82" s="6090"/>
      <c r="ES82" s="6090"/>
      <c r="ET82" s="6090"/>
      <c r="EU82" s="6090"/>
      <c r="EV82" s="6090"/>
      <c r="EW82" s="6090"/>
      <c r="EX82" s="6090"/>
      <c r="EY82" s="6090"/>
      <c r="EZ82" s="6090"/>
      <c r="FA82" s="6090"/>
      <c r="FB82" s="6090"/>
      <c r="FC82" s="6090"/>
      <c r="FD82" s="6091"/>
    </row>
    <row r="83" spans="1:160" s="2095" customFormat="1" ht="15" customHeight="1">
      <c r="A83" s="16424"/>
      <c r="B83" s="16459"/>
      <c r="C83" s="16459"/>
      <c r="D83" s="15342" t="s">
        <v>5105</v>
      </c>
      <c r="E83" s="15342" t="s">
        <v>300</v>
      </c>
      <c r="F83" s="15342" t="s">
        <v>301</v>
      </c>
      <c r="G83" s="15342" t="s">
        <v>70</v>
      </c>
      <c r="H83" s="15342">
        <v>4</v>
      </c>
      <c r="I83" s="15342">
        <v>6</v>
      </c>
      <c r="J83" s="15342">
        <v>8</v>
      </c>
      <c r="K83" s="15342" t="s">
        <v>124</v>
      </c>
      <c r="L83" s="2770" t="s">
        <v>10066</v>
      </c>
      <c r="M83" s="2770" t="s">
        <v>298</v>
      </c>
      <c r="N83" s="6092"/>
      <c r="O83" s="6093">
        <v>2000000</v>
      </c>
      <c r="P83" s="6086">
        <v>2060000</v>
      </c>
      <c r="Q83" s="6086">
        <v>2121800</v>
      </c>
      <c r="R83" s="6086">
        <v>3182700</v>
      </c>
      <c r="S83" s="6086">
        <v>3278181</v>
      </c>
      <c r="T83" s="6086">
        <v>3376526.43</v>
      </c>
      <c r="U83" s="6086">
        <v>3477822.2229000004</v>
      </c>
      <c r="V83" s="6161">
        <v>1</v>
      </c>
      <c r="W83" s="6094" t="s">
        <v>3014</v>
      </c>
      <c r="X83" s="6095" t="s">
        <v>3015</v>
      </c>
      <c r="Y83" s="6089"/>
      <c r="Z83" s="6096">
        <f>23452368.2125+4950000</f>
        <v>28402368.212499999</v>
      </c>
      <c r="AA83" s="6096">
        <f>17611368.2125+4950000</f>
        <v>22561368.212499999</v>
      </c>
      <c r="AB83" s="6096">
        <v>5841000</v>
      </c>
      <c r="AC83" s="6100"/>
      <c r="AD83" s="6100">
        <f>179+72</f>
        <v>251</v>
      </c>
      <c r="AE83" s="6100">
        <f>82+35</f>
        <v>117</v>
      </c>
      <c r="AF83" s="6100">
        <f>97+37</f>
        <v>134</v>
      </c>
      <c r="AG83" s="6100">
        <f>178+72</f>
        <v>250</v>
      </c>
      <c r="AH83" s="6100">
        <v>1</v>
      </c>
      <c r="AI83" s="6100">
        <v>2</v>
      </c>
      <c r="AJ83" s="6100">
        <v>41</v>
      </c>
      <c r="AK83" s="6100">
        <f>110+72</f>
        <v>182</v>
      </c>
      <c r="AL83" s="6100">
        <v>11</v>
      </c>
      <c r="AM83" s="6089">
        <v>8</v>
      </c>
      <c r="AN83" s="6089">
        <v>6</v>
      </c>
      <c r="AO83" s="6089">
        <v>1</v>
      </c>
      <c r="AP83" s="6089">
        <v>168</v>
      </c>
      <c r="AQ83" s="6089">
        <v>1</v>
      </c>
      <c r="AR83" s="6089"/>
      <c r="AS83" s="6089"/>
      <c r="AT83" s="6089">
        <v>10</v>
      </c>
      <c r="AU83" s="6089"/>
      <c r="AV83" s="6089"/>
      <c r="AW83" s="6089"/>
      <c r="AX83" s="6089"/>
      <c r="AY83" s="6089">
        <v>179</v>
      </c>
      <c r="AZ83" s="6090"/>
      <c r="BA83" s="6090"/>
      <c r="BB83" s="6090"/>
      <c r="BC83" s="6090"/>
      <c r="BD83" s="6090"/>
      <c r="BE83" s="6090"/>
      <c r="BF83" s="6090"/>
      <c r="BG83" s="6090"/>
      <c r="BH83" s="6090"/>
      <c r="BI83" s="6090"/>
      <c r="BJ83" s="6090"/>
      <c r="BK83" s="6090"/>
      <c r="BL83" s="6090"/>
      <c r="BM83" s="6090"/>
      <c r="BN83" s="5050">
        <v>1</v>
      </c>
      <c r="BO83" s="5050">
        <v>1</v>
      </c>
      <c r="BP83" s="5049">
        <v>7</v>
      </c>
      <c r="BQ83" s="5098">
        <v>1</v>
      </c>
      <c r="BR83" s="16509"/>
      <c r="BS83" s="6097" t="s">
        <v>9682</v>
      </c>
      <c r="BT83" s="3182" t="s">
        <v>9681</v>
      </c>
      <c r="BU83" s="6097"/>
      <c r="BV83" s="6098">
        <v>23251318.493749999</v>
      </c>
      <c r="BW83" s="6098">
        <v>20604493.493749999</v>
      </c>
      <c r="BX83" s="6098">
        <v>2646825</v>
      </c>
      <c r="BY83" s="6099">
        <v>0</v>
      </c>
      <c r="BZ83" s="3195">
        <v>144</v>
      </c>
      <c r="CA83" s="3195">
        <v>60</v>
      </c>
      <c r="CB83" s="3195">
        <v>84</v>
      </c>
      <c r="CC83" s="3195">
        <v>135</v>
      </c>
      <c r="CD83" s="3195">
        <v>9</v>
      </c>
      <c r="CE83" s="3195">
        <v>0</v>
      </c>
      <c r="CF83" s="3195">
        <v>54</v>
      </c>
      <c r="CG83" s="3195">
        <v>74</v>
      </c>
      <c r="CH83" s="3195">
        <v>15</v>
      </c>
      <c r="CI83" s="3195">
        <v>1</v>
      </c>
      <c r="CJ83" s="3195">
        <v>0</v>
      </c>
      <c r="CK83" s="3195">
        <v>0</v>
      </c>
      <c r="CL83" s="3195">
        <v>142</v>
      </c>
      <c r="CM83" s="3195">
        <v>0</v>
      </c>
      <c r="CN83" s="3195">
        <v>0</v>
      </c>
      <c r="CO83" s="5049">
        <v>0</v>
      </c>
      <c r="CP83" s="5049">
        <v>0</v>
      </c>
      <c r="CQ83" s="5049">
        <v>0</v>
      </c>
      <c r="CR83" s="5049">
        <v>0</v>
      </c>
      <c r="CS83" s="5049">
        <v>2</v>
      </c>
      <c r="CT83" s="5049">
        <v>0</v>
      </c>
      <c r="CU83" s="5049">
        <v>144</v>
      </c>
      <c r="CV83" s="5049">
        <v>0</v>
      </c>
      <c r="CW83" s="5049">
        <v>0</v>
      </c>
      <c r="CX83" s="5049">
        <v>0</v>
      </c>
      <c r="CY83" s="5049">
        <v>0</v>
      </c>
      <c r="CZ83" s="3193"/>
      <c r="DA83" s="3193"/>
      <c r="DB83" s="3193"/>
      <c r="DC83" s="3193"/>
      <c r="DD83" s="3193"/>
      <c r="DE83" s="3193"/>
      <c r="DF83" s="3193"/>
      <c r="DG83" s="3193"/>
      <c r="DH83" s="3193"/>
      <c r="DI83" s="3477"/>
      <c r="DK83" s="6290"/>
      <c r="DL83" s="6090"/>
      <c r="DM83" s="6090"/>
      <c r="DN83" s="6090"/>
      <c r="DO83" s="6090"/>
      <c r="DP83" s="6090"/>
      <c r="DQ83" s="6090"/>
      <c r="DR83" s="6090"/>
      <c r="DS83" s="6090"/>
      <c r="DT83" s="6090"/>
      <c r="DU83" s="6090"/>
      <c r="DV83" s="6090"/>
      <c r="DW83" s="6090"/>
      <c r="DX83" s="6090"/>
      <c r="DY83" s="6090"/>
      <c r="DZ83" s="6090"/>
      <c r="EA83" s="6090"/>
      <c r="EB83" s="6090"/>
      <c r="EC83" s="6090"/>
      <c r="ED83" s="6090"/>
      <c r="EE83" s="6090"/>
      <c r="EF83" s="6090"/>
      <c r="EG83" s="6090"/>
      <c r="EH83" s="6090"/>
      <c r="EI83" s="6090"/>
      <c r="EJ83" s="6090"/>
      <c r="EK83" s="6090"/>
      <c r="EL83" s="6090"/>
      <c r="EM83" s="6090"/>
      <c r="EN83" s="6090"/>
      <c r="EO83" s="6090"/>
      <c r="EP83" s="6090"/>
      <c r="EQ83" s="6090"/>
      <c r="ER83" s="6090"/>
      <c r="ES83" s="6090"/>
      <c r="ET83" s="6090"/>
      <c r="EU83" s="6090"/>
      <c r="EV83" s="6090"/>
      <c r="EW83" s="6090"/>
      <c r="EX83" s="6090"/>
      <c r="EY83" s="6090"/>
      <c r="EZ83" s="6090"/>
      <c r="FA83" s="6090"/>
      <c r="FB83" s="6090"/>
      <c r="FC83" s="6090"/>
      <c r="FD83" s="6091"/>
    </row>
    <row r="84" spans="1:160" s="2095" customFormat="1" ht="15" customHeight="1" thickBot="1">
      <c r="A84" s="16425"/>
      <c r="B84" s="16460"/>
      <c r="C84" s="16460"/>
      <c r="D84" s="16432"/>
      <c r="E84" s="16432"/>
      <c r="F84" s="16432"/>
      <c r="G84" s="16432"/>
      <c r="H84" s="16432"/>
      <c r="I84" s="16432"/>
      <c r="J84" s="16432"/>
      <c r="K84" s="16432"/>
      <c r="L84" s="6183" t="s">
        <v>295</v>
      </c>
      <c r="M84" s="6183"/>
      <c r="N84" s="6184" t="s">
        <v>299</v>
      </c>
      <c r="O84" s="6185"/>
      <c r="P84" s="6186"/>
      <c r="Q84" s="6186"/>
      <c r="R84" s="6186"/>
      <c r="S84" s="6186"/>
      <c r="T84" s="6186"/>
      <c r="U84" s="6186"/>
      <c r="V84" s="6187"/>
      <c r="W84" s="6188"/>
      <c r="X84" s="6189"/>
      <c r="Y84" s="6190"/>
      <c r="Z84" s="6191"/>
      <c r="AA84" s="6191"/>
      <c r="AB84" s="6191"/>
      <c r="AC84" s="6192"/>
      <c r="AD84" s="6192"/>
      <c r="AE84" s="6192"/>
      <c r="AF84" s="6192"/>
      <c r="AG84" s="6192"/>
      <c r="AH84" s="6192"/>
      <c r="AI84" s="6192"/>
      <c r="AJ84" s="6192"/>
      <c r="AK84" s="6192"/>
      <c r="AL84" s="6192"/>
      <c r="AM84" s="6190"/>
      <c r="AN84" s="6190"/>
      <c r="AO84" s="6190"/>
      <c r="AP84" s="6190"/>
      <c r="AQ84" s="6190"/>
      <c r="AR84" s="6190"/>
      <c r="AS84" s="6190"/>
      <c r="AT84" s="6190"/>
      <c r="AU84" s="6190"/>
      <c r="AV84" s="6190"/>
      <c r="AW84" s="6190"/>
      <c r="AX84" s="6190"/>
      <c r="AY84" s="6190"/>
      <c r="AZ84" s="6193"/>
      <c r="BA84" s="6193"/>
      <c r="BB84" s="6193"/>
      <c r="BC84" s="6193"/>
      <c r="BD84" s="6193"/>
      <c r="BE84" s="6193"/>
      <c r="BF84" s="6193"/>
      <c r="BG84" s="6193"/>
      <c r="BH84" s="6193"/>
      <c r="BI84" s="6193"/>
      <c r="BJ84" s="6193"/>
      <c r="BK84" s="6193"/>
      <c r="BL84" s="6193"/>
      <c r="BM84" s="6193"/>
      <c r="BN84" s="1698"/>
      <c r="BO84" s="1698"/>
      <c r="BP84" s="3020"/>
      <c r="BQ84" s="6194"/>
      <c r="BR84" s="1699"/>
      <c r="BS84" s="6195"/>
      <c r="BT84" s="6196"/>
      <c r="BU84" s="6195"/>
      <c r="BV84" s="6197"/>
      <c r="BW84" s="6197"/>
      <c r="BX84" s="6197"/>
      <c r="BY84" s="6198"/>
      <c r="BZ84" s="4965"/>
      <c r="CA84" s="4965"/>
      <c r="CB84" s="4965"/>
      <c r="CC84" s="4965"/>
      <c r="CD84" s="4965"/>
      <c r="CE84" s="4965"/>
      <c r="CF84" s="4965"/>
      <c r="CG84" s="4965"/>
      <c r="CH84" s="4965"/>
      <c r="CI84" s="4965"/>
      <c r="CJ84" s="4965"/>
      <c r="CK84" s="4965"/>
      <c r="CL84" s="4965"/>
      <c r="CM84" s="4965"/>
      <c r="CN84" s="4965"/>
      <c r="CO84" s="3020"/>
      <c r="CP84" s="3020"/>
      <c r="CQ84" s="3020"/>
      <c r="CR84" s="3020"/>
      <c r="CS84" s="3020"/>
      <c r="CT84" s="3020"/>
      <c r="CU84" s="3020"/>
      <c r="CV84" s="3020"/>
      <c r="CW84" s="3020"/>
      <c r="CX84" s="3020"/>
      <c r="CY84" s="3020"/>
      <c r="CZ84" s="3843"/>
      <c r="DA84" s="3843"/>
      <c r="DB84" s="3843"/>
      <c r="DC84" s="3843"/>
      <c r="DD84" s="3843"/>
      <c r="DE84" s="3843"/>
      <c r="DF84" s="3843"/>
      <c r="DG84" s="3843"/>
      <c r="DH84" s="3843"/>
      <c r="DI84" s="3844"/>
      <c r="DK84" s="6291"/>
      <c r="DL84" s="6193"/>
      <c r="DM84" s="6193"/>
      <c r="DN84" s="6193"/>
      <c r="DO84" s="6193"/>
      <c r="DP84" s="6193"/>
      <c r="DQ84" s="6193"/>
      <c r="DR84" s="6193"/>
      <c r="DS84" s="6193"/>
      <c r="DT84" s="6193"/>
      <c r="DU84" s="6193"/>
      <c r="DV84" s="6193"/>
      <c r="DW84" s="6193"/>
      <c r="DX84" s="6193"/>
      <c r="DY84" s="6193"/>
      <c r="DZ84" s="6193"/>
      <c r="EA84" s="6193"/>
      <c r="EB84" s="6193"/>
      <c r="EC84" s="6193"/>
      <c r="ED84" s="6193"/>
      <c r="EE84" s="6193"/>
      <c r="EF84" s="6193"/>
      <c r="EG84" s="6193"/>
      <c r="EH84" s="6193"/>
      <c r="EI84" s="6193"/>
      <c r="EJ84" s="6193"/>
      <c r="EK84" s="6193"/>
      <c r="EL84" s="6193"/>
      <c r="EM84" s="6193"/>
      <c r="EN84" s="6193"/>
      <c r="EO84" s="6193"/>
      <c r="EP84" s="6193"/>
      <c r="EQ84" s="6193"/>
      <c r="ER84" s="6193"/>
      <c r="ES84" s="6193"/>
      <c r="ET84" s="6193"/>
      <c r="EU84" s="6193"/>
      <c r="EV84" s="6193"/>
      <c r="EW84" s="6193"/>
      <c r="EX84" s="6193"/>
      <c r="EY84" s="6193"/>
      <c r="EZ84" s="6193"/>
      <c r="FA84" s="6193"/>
      <c r="FB84" s="6193"/>
      <c r="FC84" s="6193"/>
      <c r="FD84" s="6292"/>
    </row>
    <row r="85" spans="1:160" s="6075" customFormat="1" ht="15" customHeight="1">
      <c r="A85" s="16461" t="s">
        <v>302</v>
      </c>
      <c r="B85" s="16418" t="s">
        <v>303</v>
      </c>
      <c r="C85" s="16426" t="s">
        <v>304</v>
      </c>
      <c r="D85" s="5047" t="s">
        <v>5106</v>
      </c>
      <c r="E85" s="6433" t="s">
        <v>5107</v>
      </c>
      <c r="F85" s="6250" t="s">
        <v>305</v>
      </c>
      <c r="G85" s="6250" t="s">
        <v>306</v>
      </c>
      <c r="H85" s="6250" t="s">
        <v>307</v>
      </c>
      <c r="I85" s="6250" t="s">
        <v>308</v>
      </c>
      <c r="J85" s="6250" t="s">
        <v>309</v>
      </c>
      <c r="K85" s="6250" t="s">
        <v>310</v>
      </c>
      <c r="L85" s="6250" t="s">
        <v>4305</v>
      </c>
      <c r="M85" s="6250" t="s">
        <v>311</v>
      </c>
      <c r="N85" s="6434" t="s">
        <v>260</v>
      </c>
      <c r="O85" s="6253">
        <v>20000000</v>
      </c>
      <c r="P85" s="6254">
        <v>20600000</v>
      </c>
      <c r="Q85" s="6254">
        <v>21218000</v>
      </c>
      <c r="R85" s="6254">
        <v>21854540</v>
      </c>
      <c r="S85" s="6254">
        <v>22510176.199999999</v>
      </c>
      <c r="T85" s="6254">
        <v>23185481.486000001</v>
      </c>
      <c r="U85" s="6254">
        <v>23881045.930580001</v>
      </c>
      <c r="V85" s="6435">
        <v>1</v>
      </c>
      <c r="W85" s="6260" t="s">
        <v>2963</v>
      </c>
      <c r="X85" s="6260" t="s">
        <v>2964</v>
      </c>
      <c r="Y85" s="16482" t="s">
        <v>2965</v>
      </c>
      <c r="Z85" s="6436">
        <f>17478*AD85</f>
        <v>244692</v>
      </c>
      <c r="AA85" s="6303"/>
      <c r="AB85" s="6303"/>
      <c r="AC85" s="6303"/>
      <c r="AD85" s="6256">
        <v>14</v>
      </c>
      <c r="AE85" s="6256">
        <v>5</v>
      </c>
      <c r="AF85" s="6256">
        <v>9</v>
      </c>
      <c r="AG85" s="6256"/>
      <c r="AH85" s="6256"/>
      <c r="AI85" s="6256"/>
      <c r="AJ85" s="6256"/>
      <c r="AK85" s="6303"/>
      <c r="AL85" s="6303"/>
      <c r="AM85" s="6303"/>
      <c r="AN85" s="6303"/>
      <c r="AO85" s="6303"/>
      <c r="AP85" s="6303"/>
      <c r="AQ85" s="6303"/>
      <c r="AR85" s="6303"/>
      <c r="AS85" s="6303"/>
      <c r="AT85" s="6303"/>
      <c r="AU85" s="6303"/>
      <c r="AV85" s="6303"/>
      <c r="AW85" s="6303"/>
      <c r="AX85" s="6303"/>
      <c r="AY85" s="6303"/>
      <c r="AZ85" s="6303"/>
      <c r="BA85" s="6303"/>
      <c r="BB85" s="6303"/>
      <c r="BC85" s="6303"/>
      <c r="BD85" s="6303"/>
      <c r="BE85" s="6303"/>
      <c r="BF85" s="6303"/>
      <c r="BG85" s="6303"/>
      <c r="BH85" s="6303"/>
      <c r="BI85" s="6303"/>
      <c r="BJ85" s="6303"/>
      <c r="BK85" s="6303"/>
      <c r="BL85" s="6303"/>
      <c r="BM85" s="6303"/>
      <c r="BN85" s="1951" t="s">
        <v>3781</v>
      </c>
      <c r="BO85" s="1951" t="s">
        <v>3781</v>
      </c>
      <c r="BP85" s="5047">
        <v>2</v>
      </c>
      <c r="BQ85" s="1951" t="s">
        <v>3781</v>
      </c>
      <c r="BR85" s="15624">
        <f>AVERAGE(BQ85:BQ106)</f>
        <v>0.6</v>
      </c>
      <c r="BS85" s="1950"/>
      <c r="BT85" s="1950"/>
      <c r="BU85" s="6262" t="s">
        <v>9102</v>
      </c>
      <c r="BV85" s="1595"/>
      <c r="BW85" s="1595"/>
      <c r="BX85" s="1595"/>
      <c r="BY85" s="1595"/>
      <c r="BZ85" s="1595"/>
      <c r="CA85" s="1595"/>
      <c r="CB85" s="1595"/>
      <c r="CC85" s="1595"/>
      <c r="CD85" s="1595"/>
      <c r="CE85" s="1595"/>
      <c r="CF85" s="1595"/>
      <c r="CG85" s="1595"/>
      <c r="CH85" s="1595"/>
      <c r="CI85" s="1595"/>
      <c r="CJ85" s="1595"/>
      <c r="CK85" s="1595"/>
      <c r="CL85" s="1595"/>
      <c r="CM85" s="1595"/>
      <c r="CN85" s="1595"/>
      <c r="CO85" s="1951"/>
      <c r="CP85" s="1951"/>
      <c r="CQ85" s="1951"/>
      <c r="CR85" s="1951"/>
      <c r="CS85" s="1951"/>
      <c r="CT85" s="1951"/>
      <c r="CU85" s="1951"/>
      <c r="CV85" s="1951"/>
      <c r="CW85" s="1951"/>
      <c r="CX85" s="1951"/>
      <c r="CY85" s="1951"/>
      <c r="CZ85" s="1950"/>
      <c r="DA85" s="1950"/>
      <c r="DB85" s="1950"/>
      <c r="DC85" s="1950"/>
      <c r="DD85" s="1950"/>
      <c r="DE85" s="1950"/>
      <c r="DF85" s="1950"/>
      <c r="DG85" s="1950"/>
      <c r="DH85" s="1950"/>
      <c r="DI85" s="1952"/>
      <c r="DK85" s="6302"/>
      <c r="DL85" s="6303"/>
      <c r="DM85" s="6303"/>
      <c r="DN85" s="6303"/>
      <c r="DO85" s="6303"/>
      <c r="DP85" s="6303"/>
      <c r="DQ85" s="6303"/>
      <c r="DR85" s="6303"/>
      <c r="DS85" s="6303"/>
      <c r="DT85" s="6303"/>
      <c r="DU85" s="6303"/>
      <c r="DV85" s="6303"/>
      <c r="DW85" s="6303"/>
      <c r="DX85" s="6303"/>
      <c r="DY85" s="6303"/>
      <c r="DZ85" s="6303"/>
      <c r="EA85" s="6303"/>
      <c r="EB85" s="6303"/>
      <c r="EC85" s="6303"/>
      <c r="ED85" s="6303"/>
      <c r="EE85" s="6303"/>
      <c r="EF85" s="6303"/>
      <c r="EG85" s="6303"/>
      <c r="EH85" s="6303"/>
      <c r="EI85" s="6303"/>
      <c r="EJ85" s="6303"/>
      <c r="EK85" s="6303"/>
      <c r="EL85" s="6303"/>
      <c r="EM85" s="6303"/>
      <c r="EN85" s="6303"/>
      <c r="EO85" s="6303"/>
      <c r="EP85" s="6303"/>
      <c r="EQ85" s="6303"/>
      <c r="ER85" s="6303"/>
      <c r="ES85" s="6303"/>
      <c r="ET85" s="6303"/>
      <c r="EU85" s="6303"/>
      <c r="EV85" s="6303"/>
      <c r="EW85" s="6303"/>
      <c r="EX85" s="6303"/>
      <c r="EY85" s="6303"/>
      <c r="EZ85" s="6303"/>
      <c r="FA85" s="6303"/>
      <c r="FB85" s="6303"/>
      <c r="FC85" s="6303"/>
      <c r="FD85" s="6304"/>
    </row>
    <row r="86" spans="1:160" s="6075" customFormat="1" ht="15" customHeight="1">
      <c r="A86" s="16462"/>
      <c r="B86" s="16430"/>
      <c r="C86" s="16417"/>
      <c r="D86" s="15340" t="s">
        <v>5108</v>
      </c>
      <c r="E86" s="16427" t="s">
        <v>312</v>
      </c>
      <c r="F86" s="16427" t="s">
        <v>313</v>
      </c>
      <c r="G86" s="16427" t="s">
        <v>314</v>
      </c>
      <c r="H86" s="16427" t="s">
        <v>315</v>
      </c>
      <c r="I86" s="16427">
        <v>0</v>
      </c>
      <c r="J86" s="16427">
        <v>0</v>
      </c>
      <c r="K86" s="16427" t="s">
        <v>313</v>
      </c>
      <c r="L86" s="6074" t="s">
        <v>4305</v>
      </c>
      <c r="M86" s="6074" t="s">
        <v>311</v>
      </c>
      <c r="N86" s="6135"/>
      <c r="O86" s="6076">
        <v>20000000</v>
      </c>
      <c r="P86" s="6077">
        <v>20600000</v>
      </c>
      <c r="Q86" s="6077">
        <v>21218000</v>
      </c>
      <c r="R86" s="6077">
        <v>21854540</v>
      </c>
      <c r="S86" s="6077">
        <v>22510176.199999999</v>
      </c>
      <c r="T86" s="6077">
        <v>23185481.486000001</v>
      </c>
      <c r="U86" s="6077">
        <v>23881045.930580001</v>
      </c>
      <c r="V86" s="6437">
        <v>1</v>
      </c>
      <c r="W86" s="6081" t="s">
        <v>2966</v>
      </c>
      <c r="X86" s="6081" t="s">
        <v>2964</v>
      </c>
      <c r="Y86" s="16483"/>
      <c r="Z86" s="6438">
        <f>17478*AD86</f>
        <v>209736</v>
      </c>
      <c r="AA86" s="6135"/>
      <c r="AB86" s="6135"/>
      <c r="AC86" s="6135"/>
      <c r="AD86" s="6078">
        <v>12</v>
      </c>
      <c r="AE86" s="6078">
        <v>4</v>
      </c>
      <c r="AF86" s="6078">
        <v>8</v>
      </c>
      <c r="AG86" s="6135"/>
      <c r="AH86" s="6135"/>
      <c r="AI86" s="6135"/>
      <c r="AJ86" s="6135"/>
      <c r="AK86" s="6078"/>
      <c r="AL86" s="6078">
        <v>5</v>
      </c>
      <c r="AM86" s="6078">
        <v>3</v>
      </c>
      <c r="AN86" s="6078">
        <v>3</v>
      </c>
      <c r="AO86" s="6078">
        <v>1</v>
      </c>
      <c r="AP86" s="6078"/>
      <c r="AQ86" s="6078"/>
      <c r="AR86" s="6078">
        <v>7</v>
      </c>
      <c r="AS86" s="6078">
        <v>1</v>
      </c>
      <c r="AT86" s="6078">
        <v>3</v>
      </c>
      <c r="AU86" s="6078"/>
      <c r="AV86" s="6078"/>
      <c r="AW86" s="6078"/>
      <c r="AX86" s="6078"/>
      <c r="AY86" s="6078">
        <v>12</v>
      </c>
      <c r="AZ86" s="6078"/>
      <c r="BA86" s="6078"/>
      <c r="BB86" s="6135"/>
      <c r="BC86" s="6135"/>
      <c r="BD86" s="6135"/>
      <c r="BE86" s="6135"/>
      <c r="BF86" s="6135"/>
      <c r="BG86" s="6135"/>
      <c r="BH86" s="6135"/>
      <c r="BI86" s="6135"/>
      <c r="BJ86" s="6135"/>
      <c r="BK86" s="6135"/>
      <c r="BL86" s="6135"/>
      <c r="BM86" s="6135"/>
      <c r="BN86" s="5007" t="s">
        <v>3781</v>
      </c>
      <c r="BO86" s="5007" t="s">
        <v>3781</v>
      </c>
      <c r="BP86" s="5048">
        <v>1</v>
      </c>
      <c r="BQ86" s="5007" t="s">
        <v>3781</v>
      </c>
      <c r="BR86" s="16510"/>
      <c r="BS86" s="3470"/>
      <c r="BT86" s="3470"/>
      <c r="BU86" s="3899" t="s">
        <v>8890</v>
      </c>
      <c r="BV86" s="3150"/>
      <c r="BW86" s="3150"/>
      <c r="BX86" s="3150"/>
      <c r="BY86" s="3150"/>
      <c r="BZ86" s="3150"/>
      <c r="CA86" s="3150"/>
      <c r="CB86" s="3150"/>
      <c r="CC86" s="3150"/>
      <c r="CD86" s="3150"/>
      <c r="CE86" s="3150"/>
      <c r="CF86" s="3150"/>
      <c r="CG86" s="3150"/>
      <c r="CH86" s="3150"/>
      <c r="CI86" s="3150"/>
      <c r="CJ86" s="3150"/>
      <c r="CK86" s="3150"/>
      <c r="CL86" s="3150"/>
      <c r="CM86" s="3150"/>
      <c r="CN86" s="3150"/>
      <c r="CO86" s="5007"/>
      <c r="CP86" s="5007"/>
      <c r="CQ86" s="5007"/>
      <c r="CR86" s="5007"/>
      <c r="CS86" s="5007"/>
      <c r="CT86" s="5007"/>
      <c r="CU86" s="5007"/>
      <c r="CV86" s="5007"/>
      <c r="CW86" s="5007"/>
      <c r="CX86" s="5007"/>
      <c r="CY86" s="5007"/>
      <c r="CZ86" s="3470"/>
      <c r="DA86" s="3470"/>
      <c r="DB86" s="3470"/>
      <c r="DC86" s="3470"/>
      <c r="DD86" s="3470"/>
      <c r="DE86" s="3470"/>
      <c r="DF86" s="3470"/>
      <c r="DG86" s="3470"/>
      <c r="DH86" s="3470"/>
      <c r="DI86" s="3475"/>
      <c r="DK86" s="6284"/>
      <c r="DL86" s="6135"/>
      <c r="DM86" s="6135"/>
      <c r="DN86" s="6135"/>
      <c r="DO86" s="6135"/>
      <c r="DP86" s="6135"/>
      <c r="DQ86" s="6135"/>
      <c r="DR86" s="6135"/>
      <c r="DS86" s="6135"/>
      <c r="DT86" s="6135"/>
      <c r="DU86" s="6135"/>
      <c r="DV86" s="6135"/>
      <c r="DW86" s="6135"/>
      <c r="DX86" s="6135"/>
      <c r="DY86" s="6135"/>
      <c r="DZ86" s="6135"/>
      <c r="EA86" s="6135"/>
      <c r="EB86" s="6135"/>
      <c r="EC86" s="6135"/>
      <c r="ED86" s="6135"/>
      <c r="EE86" s="6135"/>
      <c r="EF86" s="6135"/>
      <c r="EG86" s="6135"/>
      <c r="EH86" s="6135"/>
      <c r="EI86" s="6135"/>
      <c r="EJ86" s="6135"/>
      <c r="EK86" s="6135"/>
      <c r="EL86" s="6135"/>
      <c r="EM86" s="6135"/>
      <c r="EN86" s="6135"/>
      <c r="EO86" s="6135"/>
      <c r="EP86" s="6135"/>
      <c r="EQ86" s="6135"/>
      <c r="ER86" s="6135"/>
      <c r="ES86" s="6135"/>
      <c r="ET86" s="6135"/>
      <c r="EU86" s="6135"/>
      <c r="EV86" s="6135"/>
      <c r="EW86" s="6135"/>
      <c r="EX86" s="6135"/>
      <c r="EY86" s="6135"/>
      <c r="EZ86" s="6135"/>
      <c r="FA86" s="6135"/>
      <c r="FB86" s="6135"/>
      <c r="FC86" s="6135"/>
      <c r="FD86" s="6285"/>
    </row>
    <row r="87" spans="1:160" s="6075" customFormat="1" ht="15" customHeight="1">
      <c r="A87" s="16462"/>
      <c r="B87" s="16430"/>
      <c r="C87" s="16417"/>
      <c r="D87" s="15340"/>
      <c r="E87" s="16427"/>
      <c r="F87" s="16427"/>
      <c r="G87" s="16427"/>
      <c r="H87" s="16427"/>
      <c r="I87" s="16427"/>
      <c r="J87" s="16427"/>
      <c r="K87" s="16427"/>
      <c r="L87" s="6074" t="s">
        <v>10063</v>
      </c>
      <c r="M87" s="6074"/>
      <c r="N87" s="6074" t="s">
        <v>316</v>
      </c>
      <c r="O87" s="6076"/>
      <c r="P87" s="6077"/>
      <c r="Q87" s="6077"/>
      <c r="R87" s="6077"/>
      <c r="S87" s="6077"/>
      <c r="T87" s="6077"/>
      <c r="U87" s="6077"/>
      <c r="V87" s="6437"/>
      <c r="W87" s="6081"/>
      <c r="X87" s="6081"/>
      <c r="Y87" s="6081"/>
      <c r="Z87" s="6438"/>
      <c r="AA87" s="6135"/>
      <c r="AB87" s="6135"/>
      <c r="AC87" s="6135"/>
      <c r="AD87" s="6078"/>
      <c r="AE87" s="6078"/>
      <c r="AF87" s="6078"/>
      <c r="AG87" s="6135"/>
      <c r="AH87" s="6135"/>
      <c r="AI87" s="6135"/>
      <c r="AJ87" s="6135"/>
      <c r="AK87" s="6078"/>
      <c r="AL87" s="6078"/>
      <c r="AM87" s="6078"/>
      <c r="AN87" s="6078"/>
      <c r="AO87" s="6078"/>
      <c r="AP87" s="6078"/>
      <c r="AQ87" s="6078"/>
      <c r="AR87" s="6078"/>
      <c r="AS87" s="6078"/>
      <c r="AT87" s="6078"/>
      <c r="AU87" s="6078"/>
      <c r="AV87" s="6078"/>
      <c r="AW87" s="6078"/>
      <c r="AX87" s="6078"/>
      <c r="AY87" s="6078"/>
      <c r="AZ87" s="6078"/>
      <c r="BA87" s="6078"/>
      <c r="BB87" s="6135"/>
      <c r="BC87" s="6135"/>
      <c r="BD87" s="6135"/>
      <c r="BE87" s="6135"/>
      <c r="BF87" s="6135"/>
      <c r="BG87" s="6135"/>
      <c r="BH87" s="6135"/>
      <c r="BI87" s="6135"/>
      <c r="BJ87" s="6135"/>
      <c r="BK87" s="6135"/>
      <c r="BL87" s="6135"/>
      <c r="BM87" s="6135"/>
      <c r="BN87" s="5007"/>
      <c r="BO87" s="5007"/>
      <c r="BP87" s="5048"/>
      <c r="BQ87" s="5007"/>
      <c r="BR87" s="16510"/>
      <c r="BS87" s="3470"/>
      <c r="BT87" s="3470"/>
      <c r="BU87" s="3899"/>
      <c r="BV87" s="3150"/>
      <c r="BW87" s="3150"/>
      <c r="BX87" s="3150"/>
      <c r="BY87" s="3150"/>
      <c r="BZ87" s="3150"/>
      <c r="CA87" s="3150"/>
      <c r="CB87" s="3150"/>
      <c r="CC87" s="3150"/>
      <c r="CD87" s="3150"/>
      <c r="CE87" s="3150"/>
      <c r="CF87" s="3150"/>
      <c r="CG87" s="3150"/>
      <c r="CH87" s="3150"/>
      <c r="CI87" s="3150"/>
      <c r="CJ87" s="3150"/>
      <c r="CK87" s="3150"/>
      <c r="CL87" s="3150"/>
      <c r="CM87" s="3150"/>
      <c r="CN87" s="3150"/>
      <c r="CO87" s="5007"/>
      <c r="CP87" s="5007"/>
      <c r="CQ87" s="5007"/>
      <c r="CR87" s="5007"/>
      <c r="CS87" s="5007"/>
      <c r="CT87" s="5007"/>
      <c r="CU87" s="5007"/>
      <c r="CV87" s="5007"/>
      <c r="CW87" s="5007"/>
      <c r="CX87" s="5007"/>
      <c r="CY87" s="5007"/>
      <c r="CZ87" s="3470"/>
      <c r="DA87" s="3470"/>
      <c r="DB87" s="3470"/>
      <c r="DC87" s="3470"/>
      <c r="DD87" s="3470"/>
      <c r="DE87" s="3470"/>
      <c r="DF87" s="3470"/>
      <c r="DG87" s="3470"/>
      <c r="DH87" s="3470"/>
      <c r="DI87" s="3475"/>
      <c r="DK87" s="6284"/>
      <c r="DL87" s="6135"/>
      <c r="DM87" s="6135"/>
      <c r="DN87" s="6135"/>
      <c r="DO87" s="6135"/>
      <c r="DP87" s="6135"/>
      <c r="DQ87" s="6135"/>
      <c r="DR87" s="6135"/>
      <c r="DS87" s="6135"/>
      <c r="DT87" s="6135"/>
      <c r="DU87" s="6135"/>
      <c r="DV87" s="6135"/>
      <c r="DW87" s="6135"/>
      <c r="DX87" s="6135"/>
      <c r="DY87" s="6135"/>
      <c r="DZ87" s="6135"/>
      <c r="EA87" s="6135"/>
      <c r="EB87" s="6135"/>
      <c r="EC87" s="6135"/>
      <c r="ED87" s="6135"/>
      <c r="EE87" s="6135"/>
      <c r="EF87" s="6135"/>
      <c r="EG87" s="6135"/>
      <c r="EH87" s="6135"/>
      <c r="EI87" s="6135"/>
      <c r="EJ87" s="6135"/>
      <c r="EK87" s="6135"/>
      <c r="EL87" s="6135"/>
      <c r="EM87" s="6135"/>
      <c r="EN87" s="6135"/>
      <c r="EO87" s="6135"/>
      <c r="EP87" s="6135"/>
      <c r="EQ87" s="6135"/>
      <c r="ER87" s="6135"/>
      <c r="ES87" s="6135"/>
      <c r="ET87" s="6135"/>
      <c r="EU87" s="6135"/>
      <c r="EV87" s="6135"/>
      <c r="EW87" s="6135"/>
      <c r="EX87" s="6135"/>
      <c r="EY87" s="6135"/>
      <c r="EZ87" s="6135"/>
      <c r="FA87" s="6135"/>
      <c r="FB87" s="6135"/>
      <c r="FC87" s="6135"/>
      <c r="FD87" s="6285"/>
    </row>
    <row r="88" spans="1:160" s="6075" customFormat="1" ht="15" customHeight="1">
      <c r="A88" s="16462"/>
      <c r="B88" s="16430"/>
      <c r="C88" s="16417"/>
      <c r="D88" s="15340" t="s">
        <v>5109</v>
      </c>
      <c r="E88" s="16427" t="s">
        <v>317</v>
      </c>
      <c r="F88" s="16427" t="s">
        <v>318</v>
      </c>
      <c r="G88" s="16427" t="s">
        <v>254</v>
      </c>
      <c r="H88" s="16427">
        <v>1</v>
      </c>
      <c r="I88" s="16427">
        <v>1</v>
      </c>
      <c r="J88" s="16427">
        <v>2</v>
      </c>
      <c r="K88" s="16427" t="s">
        <v>319</v>
      </c>
      <c r="L88" s="6439" t="s">
        <v>4305</v>
      </c>
      <c r="M88" s="6074" t="s">
        <v>311</v>
      </c>
      <c r="N88" s="6074"/>
      <c r="O88" s="6440">
        <v>30000000</v>
      </c>
      <c r="P88" s="6077">
        <v>30900000</v>
      </c>
      <c r="Q88" s="6077">
        <v>31827000</v>
      </c>
      <c r="R88" s="6077">
        <v>32781810</v>
      </c>
      <c r="S88" s="6077">
        <v>33765264.300000004</v>
      </c>
      <c r="T88" s="6077">
        <v>34778222.229000002</v>
      </c>
      <c r="U88" s="6077">
        <v>35821568.89587</v>
      </c>
      <c r="V88" s="6135">
        <v>0</v>
      </c>
      <c r="W88" s="6078"/>
      <c r="X88" s="6078"/>
      <c r="Y88" s="6135"/>
      <c r="Z88" s="6078"/>
      <c r="AA88" s="6135"/>
      <c r="AB88" s="6135"/>
      <c r="AC88" s="6135"/>
      <c r="AD88" s="6135"/>
      <c r="AE88" s="6135"/>
      <c r="AF88" s="6135"/>
      <c r="AG88" s="6135"/>
      <c r="AH88" s="6135"/>
      <c r="AI88" s="6135"/>
      <c r="AJ88" s="6135"/>
      <c r="AK88" s="6135"/>
      <c r="AL88" s="6135"/>
      <c r="AM88" s="6135"/>
      <c r="AN88" s="6135"/>
      <c r="AO88" s="6135"/>
      <c r="AP88" s="6135"/>
      <c r="AQ88" s="6135"/>
      <c r="AR88" s="6135"/>
      <c r="AS88" s="6135"/>
      <c r="AT88" s="6135"/>
      <c r="AU88" s="6135"/>
      <c r="AV88" s="6135"/>
      <c r="AW88" s="6135"/>
      <c r="AX88" s="6135"/>
      <c r="AY88" s="6135"/>
      <c r="AZ88" s="6135"/>
      <c r="BA88" s="6135"/>
      <c r="BB88" s="6135"/>
      <c r="BC88" s="6135"/>
      <c r="BD88" s="6135"/>
      <c r="BE88" s="6135"/>
      <c r="BF88" s="6135"/>
      <c r="BG88" s="6135"/>
      <c r="BH88" s="6135"/>
      <c r="BI88" s="6135"/>
      <c r="BJ88" s="6135"/>
      <c r="BK88" s="6135"/>
      <c r="BL88" s="6135"/>
      <c r="BM88" s="6135"/>
      <c r="BN88" s="5083">
        <v>0</v>
      </c>
      <c r="BO88" s="5007">
        <v>2</v>
      </c>
      <c r="BP88" s="5048">
        <v>0</v>
      </c>
      <c r="BQ88" s="5092">
        <f t="shared" ref="BQ88" si="5">+BP88/BO88</f>
        <v>0</v>
      </c>
      <c r="BR88" s="16510"/>
      <c r="BS88" s="3470"/>
      <c r="BT88" s="3470"/>
      <c r="BU88" s="6140" t="s">
        <v>9103</v>
      </c>
      <c r="BV88" s="3150"/>
      <c r="BW88" s="3150"/>
      <c r="BX88" s="3150"/>
      <c r="BY88" s="3150"/>
      <c r="BZ88" s="3150"/>
      <c r="CA88" s="3150"/>
      <c r="CB88" s="3150"/>
      <c r="CC88" s="3150"/>
      <c r="CD88" s="3150"/>
      <c r="CE88" s="3150"/>
      <c r="CF88" s="3150"/>
      <c r="CG88" s="3150"/>
      <c r="CH88" s="3150"/>
      <c r="CI88" s="3150"/>
      <c r="CJ88" s="3150"/>
      <c r="CK88" s="3150"/>
      <c r="CL88" s="3150"/>
      <c r="CM88" s="3150"/>
      <c r="CN88" s="3150"/>
      <c r="CO88" s="5007"/>
      <c r="CP88" s="5007"/>
      <c r="CQ88" s="5007"/>
      <c r="CR88" s="5007"/>
      <c r="CS88" s="5007"/>
      <c r="CT88" s="5007"/>
      <c r="CU88" s="5007"/>
      <c r="CV88" s="5007"/>
      <c r="CW88" s="5007"/>
      <c r="CX88" s="5007"/>
      <c r="CY88" s="5007"/>
      <c r="CZ88" s="3470"/>
      <c r="DA88" s="3470"/>
      <c r="DB88" s="3470"/>
      <c r="DC88" s="3470"/>
      <c r="DD88" s="3470"/>
      <c r="DE88" s="3470"/>
      <c r="DF88" s="3470"/>
      <c r="DG88" s="3470"/>
      <c r="DH88" s="3470"/>
      <c r="DI88" s="3475"/>
      <c r="DK88" s="6284"/>
      <c r="DL88" s="6135"/>
      <c r="DM88" s="6135"/>
      <c r="DN88" s="6135"/>
      <c r="DO88" s="6135"/>
      <c r="DP88" s="6135"/>
      <c r="DQ88" s="6135"/>
      <c r="DR88" s="6135"/>
      <c r="DS88" s="6135"/>
      <c r="DT88" s="6135"/>
      <c r="DU88" s="6135"/>
      <c r="DV88" s="6135"/>
      <c r="DW88" s="6135"/>
      <c r="DX88" s="6135"/>
      <c r="DY88" s="6135"/>
      <c r="DZ88" s="6135"/>
      <c r="EA88" s="6135"/>
      <c r="EB88" s="6135"/>
      <c r="EC88" s="6135"/>
      <c r="ED88" s="6135"/>
      <c r="EE88" s="6135"/>
      <c r="EF88" s="6135"/>
      <c r="EG88" s="6135"/>
      <c r="EH88" s="6135"/>
      <c r="EI88" s="6135"/>
      <c r="EJ88" s="6135"/>
      <c r="EK88" s="6135"/>
      <c r="EL88" s="6135"/>
      <c r="EM88" s="6135"/>
      <c r="EN88" s="6135"/>
      <c r="EO88" s="6135"/>
      <c r="EP88" s="6135"/>
      <c r="EQ88" s="6135"/>
      <c r="ER88" s="6135"/>
      <c r="ES88" s="6135"/>
      <c r="ET88" s="6135"/>
      <c r="EU88" s="6135"/>
      <c r="EV88" s="6135"/>
      <c r="EW88" s="6135"/>
      <c r="EX88" s="6135"/>
      <c r="EY88" s="6135"/>
      <c r="EZ88" s="6135"/>
      <c r="FA88" s="6135"/>
      <c r="FB88" s="6135"/>
      <c r="FC88" s="6135"/>
      <c r="FD88" s="6285"/>
    </row>
    <row r="89" spans="1:160" s="6075" customFormat="1" ht="15" customHeight="1">
      <c r="A89" s="16462"/>
      <c r="B89" s="16430"/>
      <c r="C89" s="16417"/>
      <c r="D89" s="15340"/>
      <c r="E89" s="16427"/>
      <c r="F89" s="16427"/>
      <c r="G89" s="16427"/>
      <c r="H89" s="16427"/>
      <c r="I89" s="16427"/>
      <c r="J89" s="16427"/>
      <c r="K89" s="16427"/>
      <c r="L89" s="6439" t="s">
        <v>329</v>
      </c>
      <c r="M89" s="6074"/>
      <c r="N89" s="6116" t="s">
        <v>320</v>
      </c>
      <c r="O89" s="6440"/>
      <c r="P89" s="6077"/>
      <c r="Q89" s="6077"/>
      <c r="R89" s="6077"/>
      <c r="S89" s="6077"/>
      <c r="T89" s="6077"/>
      <c r="U89" s="6077"/>
      <c r="V89" s="6135"/>
      <c r="W89" s="6078"/>
      <c r="X89" s="6078"/>
      <c r="Y89" s="6135"/>
      <c r="Z89" s="6078"/>
      <c r="AA89" s="6135"/>
      <c r="AB89" s="6135"/>
      <c r="AC89" s="6135"/>
      <c r="AD89" s="6135"/>
      <c r="AE89" s="6135"/>
      <c r="AF89" s="6135"/>
      <c r="AG89" s="6135"/>
      <c r="AH89" s="6135"/>
      <c r="AI89" s="6135"/>
      <c r="AJ89" s="6135"/>
      <c r="AK89" s="6135"/>
      <c r="AL89" s="6135"/>
      <c r="AM89" s="6135"/>
      <c r="AN89" s="6135"/>
      <c r="AO89" s="6135"/>
      <c r="AP89" s="6135"/>
      <c r="AQ89" s="6135"/>
      <c r="AR89" s="6135"/>
      <c r="AS89" s="6135"/>
      <c r="AT89" s="6135"/>
      <c r="AU89" s="6135"/>
      <c r="AV89" s="6135"/>
      <c r="AW89" s="6135"/>
      <c r="AX89" s="6135"/>
      <c r="AY89" s="6135"/>
      <c r="AZ89" s="6135"/>
      <c r="BA89" s="6135"/>
      <c r="BB89" s="6135"/>
      <c r="BC89" s="6135"/>
      <c r="BD89" s="6135"/>
      <c r="BE89" s="6135"/>
      <c r="BF89" s="6135"/>
      <c r="BG89" s="6135"/>
      <c r="BH89" s="6135"/>
      <c r="BI89" s="6135"/>
      <c r="BJ89" s="6135"/>
      <c r="BK89" s="6135"/>
      <c r="BL89" s="6135"/>
      <c r="BM89" s="6135"/>
      <c r="BN89" s="5083"/>
      <c r="BO89" s="5007"/>
      <c r="BP89" s="5048"/>
      <c r="BQ89" s="5092"/>
      <c r="BR89" s="16510"/>
      <c r="BS89" s="3470"/>
      <c r="BT89" s="3470"/>
      <c r="BU89" s="6140"/>
      <c r="BV89" s="3150"/>
      <c r="BW89" s="3150"/>
      <c r="BX89" s="3150"/>
      <c r="BY89" s="3150"/>
      <c r="BZ89" s="3150"/>
      <c r="CA89" s="3150"/>
      <c r="CB89" s="3150"/>
      <c r="CC89" s="3150"/>
      <c r="CD89" s="3150"/>
      <c r="CE89" s="3150"/>
      <c r="CF89" s="3150"/>
      <c r="CG89" s="3150"/>
      <c r="CH89" s="3150"/>
      <c r="CI89" s="3150"/>
      <c r="CJ89" s="3150"/>
      <c r="CK89" s="3150"/>
      <c r="CL89" s="3150"/>
      <c r="CM89" s="3150"/>
      <c r="CN89" s="3150"/>
      <c r="CO89" s="5007"/>
      <c r="CP89" s="5007"/>
      <c r="CQ89" s="5007"/>
      <c r="CR89" s="5007"/>
      <c r="CS89" s="5007"/>
      <c r="CT89" s="5007"/>
      <c r="CU89" s="5007"/>
      <c r="CV89" s="5007"/>
      <c r="CW89" s="5007"/>
      <c r="CX89" s="5007"/>
      <c r="CY89" s="5007"/>
      <c r="CZ89" s="3470"/>
      <c r="DA89" s="3470"/>
      <c r="DB89" s="3470"/>
      <c r="DC89" s="3470"/>
      <c r="DD89" s="3470"/>
      <c r="DE89" s="3470"/>
      <c r="DF89" s="3470"/>
      <c r="DG89" s="3470"/>
      <c r="DH89" s="3470"/>
      <c r="DI89" s="3475"/>
      <c r="DK89" s="6284"/>
      <c r="DL89" s="6135"/>
      <c r="DM89" s="6135"/>
      <c r="DN89" s="6135"/>
      <c r="DO89" s="6135"/>
      <c r="DP89" s="6135"/>
      <c r="DQ89" s="6135"/>
      <c r="DR89" s="6135"/>
      <c r="DS89" s="6135"/>
      <c r="DT89" s="6135"/>
      <c r="DU89" s="6135"/>
      <c r="DV89" s="6135"/>
      <c r="DW89" s="6135"/>
      <c r="DX89" s="6135"/>
      <c r="DY89" s="6135"/>
      <c r="DZ89" s="6135"/>
      <c r="EA89" s="6135"/>
      <c r="EB89" s="6135"/>
      <c r="EC89" s="6135"/>
      <c r="ED89" s="6135"/>
      <c r="EE89" s="6135"/>
      <c r="EF89" s="6135"/>
      <c r="EG89" s="6135"/>
      <c r="EH89" s="6135"/>
      <c r="EI89" s="6135"/>
      <c r="EJ89" s="6135"/>
      <c r="EK89" s="6135"/>
      <c r="EL89" s="6135"/>
      <c r="EM89" s="6135"/>
      <c r="EN89" s="6135"/>
      <c r="EO89" s="6135"/>
      <c r="EP89" s="6135"/>
      <c r="EQ89" s="6135"/>
      <c r="ER89" s="6135"/>
      <c r="ES89" s="6135"/>
      <c r="ET89" s="6135"/>
      <c r="EU89" s="6135"/>
      <c r="EV89" s="6135"/>
      <c r="EW89" s="6135"/>
      <c r="EX89" s="6135"/>
      <c r="EY89" s="6135"/>
      <c r="EZ89" s="6135"/>
      <c r="FA89" s="6135"/>
      <c r="FB89" s="6135"/>
      <c r="FC89" s="6135"/>
      <c r="FD89" s="6285"/>
    </row>
    <row r="90" spans="1:160" s="6075" customFormat="1" ht="15" customHeight="1">
      <c r="A90" s="16462"/>
      <c r="B90" s="16430"/>
      <c r="C90" s="16417"/>
      <c r="D90" s="5048" t="s">
        <v>5110</v>
      </c>
      <c r="E90" s="4076" t="s">
        <v>321</v>
      </c>
      <c r="F90" s="6074" t="s">
        <v>322</v>
      </c>
      <c r="G90" s="6074" t="s">
        <v>323</v>
      </c>
      <c r="H90" s="6074">
        <v>2</v>
      </c>
      <c r="I90" s="6074">
        <v>3</v>
      </c>
      <c r="J90" s="6074">
        <v>4</v>
      </c>
      <c r="K90" s="6074" t="s">
        <v>324</v>
      </c>
      <c r="L90" s="6074" t="s">
        <v>4305</v>
      </c>
      <c r="M90" s="6074" t="s">
        <v>311</v>
      </c>
      <c r="N90" s="6120" t="s">
        <v>325</v>
      </c>
      <c r="O90" s="6076">
        <v>10000000</v>
      </c>
      <c r="P90" s="6076">
        <v>10000001</v>
      </c>
      <c r="Q90" s="6076">
        <v>10000002</v>
      </c>
      <c r="R90" s="6076">
        <v>10000003</v>
      </c>
      <c r="S90" s="6076">
        <v>10000004</v>
      </c>
      <c r="T90" s="6076">
        <v>10000005</v>
      </c>
      <c r="U90" s="6076">
        <v>10000006</v>
      </c>
      <c r="V90" s="6135"/>
      <c r="W90" s="6081" t="s">
        <v>2966</v>
      </c>
      <c r="X90" s="6081" t="s">
        <v>2964</v>
      </c>
      <c r="Y90" s="6081" t="s">
        <v>2967</v>
      </c>
      <c r="Z90" s="6078" t="s">
        <v>2951</v>
      </c>
      <c r="AA90" s="6135"/>
      <c r="AB90" s="6135"/>
      <c r="AC90" s="6135"/>
      <c r="AD90" s="6078" t="s">
        <v>2951</v>
      </c>
      <c r="AE90" s="6135"/>
      <c r="AF90" s="6135"/>
      <c r="AG90" s="6135"/>
      <c r="AH90" s="6135"/>
      <c r="AI90" s="6135"/>
      <c r="AJ90" s="6135"/>
      <c r="AK90" s="6135"/>
      <c r="AL90" s="6135"/>
      <c r="AM90" s="6135"/>
      <c r="AN90" s="6135"/>
      <c r="AO90" s="6135"/>
      <c r="AP90" s="6135"/>
      <c r="AQ90" s="6135"/>
      <c r="AR90" s="6135"/>
      <c r="AS90" s="6135"/>
      <c r="AT90" s="6135"/>
      <c r="AU90" s="6135"/>
      <c r="AV90" s="6135"/>
      <c r="AW90" s="6135"/>
      <c r="AX90" s="6135"/>
      <c r="AY90" s="6135"/>
      <c r="AZ90" s="6135"/>
      <c r="BA90" s="6135"/>
      <c r="BB90" s="6135"/>
      <c r="BC90" s="6135"/>
      <c r="BD90" s="6135"/>
      <c r="BE90" s="6135"/>
      <c r="BF90" s="6135"/>
      <c r="BG90" s="6135"/>
      <c r="BH90" s="6135"/>
      <c r="BI90" s="6135"/>
      <c r="BJ90" s="6135"/>
      <c r="BK90" s="6135"/>
      <c r="BL90" s="6135"/>
      <c r="BM90" s="6135"/>
      <c r="BN90" s="5083">
        <v>11</v>
      </c>
      <c r="BO90" s="5007">
        <v>11</v>
      </c>
      <c r="BP90" s="5083">
        <v>11</v>
      </c>
      <c r="BQ90" s="5092">
        <v>1</v>
      </c>
      <c r="BR90" s="16510"/>
      <c r="BS90" s="6119" t="s">
        <v>9104</v>
      </c>
      <c r="BT90" s="6119" t="s">
        <v>9105</v>
      </c>
      <c r="BU90" s="6119" t="s">
        <v>9106</v>
      </c>
      <c r="BV90" s="4277">
        <v>196317</v>
      </c>
      <c r="BW90" s="4277">
        <v>196317</v>
      </c>
      <c r="BX90" s="4277"/>
      <c r="BY90" s="4277"/>
      <c r="BZ90" s="4277">
        <v>11</v>
      </c>
      <c r="CA90" s="4277">
        <v>3</v>
      </c>
      <c r="CB90" s="4277">
        <v>8</v>
      </c>
      <c r="CC90" s="4277"/>
      <c r="CD90" s="4277"/>
      <c r="CE90" s="4277"/>
      <c r="CF90" s="4277"/>
      <c r="CG90" s="4277"/>
      <c r="CH90" s="4277">
        <v>4</v>
      </c>
      <c r="CI90" s="4277">
        <v>3</v>
      </c>
      <c r="CJ90" s="4277">
        <v>4</v>
      </c>
      <c r="CK90" s="4277"/>
      <c r="CL90" s="4277">
        <v>5</v>
      </c>
      <c r="CM90" s="4277">
        <v>4</v>
      </c>
      <c r="CN90" s="4277"/>
      <c r="CO90" s="5083"/>
      <c r="CP90" s="5083">
        <v>2</v>
      </c>
      <c r="CQ90" s="5083"/>
      <c r="CR90" s="5083"/>
      <c r="CS90" s="5083"/>
      <c r="CT90" s="5083"/>
      <c r="CU90" s="5083">
        <v>11</v>
      </c>
      <c r="CV90" s="5083"/>
      <c r="CW90" s="5083"/>
      <c r="CX90" s="5083"/>
      <c r="CY90" s="5083"/>
      <c r="CZ90" s="6119"/>
      <c r="DA90" s="6119"/>
      <c r="DB90" s="6119"/>
      <c r="DC90" s="6119"/>
      <c r="DD90" s="6119"/>
      <c r="DE90" s="6119"/>
      <c r="DF90" s="6119"/>
      <c r="DG90" s="6119"/>
      <c r="DH90" s="6119"/>
      <c r="DI90" s="6441"/>
      <c r="DK90" s="6284"/>
      <c r="DL90" s="6135"/>
      <c r="DM90" s="6135"/>
      <c r="DN90" s="6135"/>
      <c r="DO90" s="6135"/>
      <c r="DP90" s="6135"/>
      <c r="DQ90" s="6135"/>
      <c r="DR90" s="6135"/>
      <c r="DS90" s="6135"/>
      <c r="DT90" s="6135"/>
      <c r="DU90" s="6135"/>
      <c r="DV90" s="6135"/>
      <c r="DW90" s="6135"/>
      <c r="DX90" s="6135"/>
      <c r="DY90" s="6135"/>
      <c r="DZ90" s="6135"/>
      <c r="EA90" s="6135"/>
      <c r="EB90" s="6135"/>
      <c r="EC90" s="6135"/>
      <c r="ED90" s="6135"/>
      <c r="EE90" s="6135"/>
      <c r="EF90" s="6135"/>
      <c r="EG90" s="6135"/>
      <c r="EH90" s="6135"/>
      <c r="EI90" s="6135"/>
      <c r="EJ90" s="6135"/>
      <c r="EK90" s="6135"/>
      <c r="EL90" s="6135"/>
      <c r="EM90" s="6135"/>
      <c r="EN90" s="6135"/>
      <c r="EO90" s="6135"/>
      <c r="EP90" s="6135"/>
      <c r="EQ90" s="6135"/>
      <c r="ER90" s="6135"/>
      <c r="ES90" s="6135"/>
      <c r="ET90" s="6135"/>
      <c r="EU90" s="6135"/>
      <c r="EV90" s="6135"/>
      <c r="EW90" s="6135"/>
      <c r="EX90" s="6135"/>
      <c r="EY90" s="6135"/>
      <c r="EZ90" s="6135"/>
      <c r="FA90" s="6135"/>
      <c r="FB90" s="6135"/>
      <c r="FC90" s="6135"/>
      <c r="FD90" s="6285"/>
    </row>
    <row r="91" spans="1:160" s="6075" customFormat="1" ht="15" customHeight="1">
      <c r="A91" s="16462"/>
      <c r="B91" s="16430"/>
      <c r="C91" s="16417"/>
      <c r="D91" s="15340" t="s">
        <v>5111</v>
      </c>
      <c r="E91" s="16427" t="s">
        <v>326</v>
      </c>
      <c r="F91" s="16427" t="s">
        <v>327</v>
      </c>
      <c r="G91" s="16427" t="s">
        <v>254</v>
      </c>
      <c r="H91" s="16427">
        <v>1</v>
      </c>
      <c r="I91" s="16427">
        <v>1</v>
      </c>
      <c r="J91" s="16427">
        <v>1</v>
      </c>
      <c r="K91" s="16427" t="s">
        <v>328</v>
      </c>
      <c r="L91" s="6074" t="s">
        <v>4305</v>
      </c>
      <c r="M91" s="6074" t="s">
        <v>311</v>
      </c>
      <c r="N91" s="6135"/>
      <c r="O91" s="6077">
        <v>15000000</v>
      </c>
      <c r="P91" s="6077">
        <v>0</v>
      </c>
      <c r="Q91" s="6077">
        <v>0</v>
      </c>
      <c r="R91" s="6077">
        <v>16350000.000000002</v>
      </c>
      <c r="S91" s="6077">
        <v>0</v>
      </c>
      <c r="T91" s="6077">
        <v>0</v>
      </c>
      <c r="U91" s="6077">
        <v>0</v>
      </c>
      <c r="V91" s="6135"/>
      <c r="W91" s="6081" t="s">
        <v>2968</v>
      </c>
      <c r="X91" s="6442" t="s">
        <v>2969</v>
      </c>
      <c r="Y91" s="6135"/>
      <c r="Z91" s="6438">
        <f>17478*AD91</f>
        <v>8092314</v>
      </c>
      <c r="AA91" s="6438" t="s">
        <v>2954</v>
      </c>
      <c r="AB91" s="6135"/>
      <c r="AC91" s="6135"/>
      <c r="AD91" s="6078">
        <v>463</v>
      </c>
      <c r="AE91" s="6078">
        <v>200</v>
      </c>
      <c r="AF91" s="6078">
        <v>263</v>
      </c>
      <c r="AG91" s="6078">
        <v>453</v>
      </c>
      <c r="AH91" s="6078">
        <v>10</v>
      </c>
      <c r="AI91" s="6135"/>
      <c r="AJ91" s="6135"/>
      <c r="AK91" s="6078">
        <v>2</v>
      </c>
      <c r="AL91" s="6078">
        <v>299</v>
      </c>
      <c r="AM91" s="6078">
        <v>148</v>
      </c>
      <c r="AN91" s="6078">
        <v>12</v>
      </c>
      <c r="AO91" s="6078">
        <v>2</v>
      </c>
      <c r="AP91" s="6078">
        <f>+AY91-AR91-AS91-AT91</f>
        <v>197</v>
      </c>
      <c r="AQ91" s="6078"/>
      <c r="AR91" s="6078">
        <v>169</v>
      </c>
      <c r="AS91" s="6078">
        <v>23</v>
      </c>
      <c r="AT91" s="6078">
        <v>74</v>
      </c>
      <c r="AU91" s="6078"/>
      <c r="AV91" s="6078"/>
      <c r="AW91" s="6078"/>
      <c r="AX91" s="6078"/>
      <c r="AY91" s="6078">
        <v>463</v>
      </c>
      <c r="AZ91" s="6135"/>
      <c r="BA91" s="6135"/>
      <c r="BB91" s="6135"/>
      <c r="BC91" s="6135"/>
      <c r="BD91" s="6135"/>
      <c r="BE91" s="6135"/>
      <c r="BF91" s="6135"/>
      <c r="BG91" s="6135"/>
      <c r="BH91" s="6135"/>
      <c r="BI91" s="6135"/>
      <c r="BJ91" s="6135"/>
      <c r="BK91" s="6135"/>
      <c r="BL91" s="6135"/>
      <c r="BM91" s="6135"/>
      <c r="BN91" s="5092">
        <v>1</v>
      </c>
      <c r="BO91" s="5092">
        <v>1</v>
      </c>
      <c r="BP91" s="5092">
        <v>1</v>
      </c>
      <c r="BQ91" s="5092">
        <f t="shared" ref="BQ91:BQ93" si="6">+BP91/BO91</f>
        <v>1</v>
      </c>
      <c r="BR91" s="16510"/>
      <c r="BS91" s="6119" t="s">
        <v>9107</v>
      </c>
      <c r="BT91" s="6119" t="s">
        <v>9108</v>
      </c>
      <c r="BU91" s="6119" t="s">
        <v>9109</v>
      </c>
      <c r="BV91" s="4277">
        <v>1106514</v>
      </c>
      <c r="BW91" s="4277">
        <v>1106514</v>
      </c>
      <c r="BX91" s="4277"/>
      <c r="BY91" s="4277"/>
      <c r="BZ91" s="4277">
        <v>62</v>
      </c>
      <c r="CA91" s="4277"/>
      <c r="CB91" s="4277"/>
      <c r="CC91" s="4277"/>
      <c r="CD91" s="4277"/>
      <c r="CE91" s="4277"/>
      <c r="CF91" s="4277"/>
      <c r="CG91" s="4277"/>
      <c r="CH91" s="4277"/>
      <c r="CI91" s="4277"/>
      <c r="CJ91" s="4277"/>
      <c r="CK91" s="4277"/>
      <c r="CL91" s="4277"/>
      <c r="CM91" s="4277"/>
      <c r="CN91" s="4277"/>
      <c r="CO91" s="5083"/>
      <c r="CP91" s="5083"/>
      <c r="CQ91" s="5083"/>
      <c r="CR91" s="5083"/>
      <c r="CS91" s="5083"/>
      <c r="CT91" s="5083"/>
      <c r="CU91" s="5083">
        <v>62</v>
      </c>
      <c r="CV91" s="5083"/>
      <c r="CW91" s="5083"/>
      <c r="CX91" s="5083"/>
      <c r="CY91" s="5083"/>
      <c r="CZ91" s="6119"/>
      <c r="DA91" s="6119"/>
      <c r="DB91" s="6119"/>
      <c r="DC91" s="6119"/>
      <c r="DD91" s="3470"/>
      <c r="DE91" s="3470"/>
      <c r="DF91" s="3470"/>
      <c r="DG91" s="3470"/>
      <c r="DH91" s="3470"/>
      <c r="DI91" s="3475"/>
      <c r="DK91" s="6284"/>
      <c r="DL91" s="6135"/>
      <c r="DM91" s="6135"/>
      <c r="DN91" s="6135"/>
      <c r="DO91" s="6135"/>
      <c r="DP91" s="6135"/>
      <c r="DQ91" s="6135"/>
      <c r="DR91" s="6135"/>
      <c r="DS91" s="6135"/>
      <c r="DT91" s="6135"/>
      <c r="DU91" s="6135"/>
      <c r="DV91" s="6135"/>
      <c r="DW91" s="6135"/>
      <c r="DX91" s="6135"/>
      <c r="DY91" s="6135"/>
      <c r="DZ91" s="6135"/>
      <c r="EA91" s="6135"/>
      <c r="EB91" s="6135"/>
      <c r="EC91" s="6135"/>
      <c r="ED91" s="6135"/>
      <c r="EE91" s="6135"/>
      <c r="EF91" s="6135"/>
      <c r="EG91" s="6135"/>
      <c r="EH91" s="6135"/>
      <c r="EI91" s="6135"/>
      <c r="EJ91" s="6135"/>
      <c r="EK91" s="6135"/>
      <c r="EL91" s="6135"/>
      <c r="EM91" s="6135"/>
      <c r="EN91" s="6135"/>
      <c r="EO91" s="6135"/>
      <c r="EP91" s="6135"/>
      <c r="EQ91" s="6135"/>
      <c r="ER91" s="6135"/>
      <c r="ES91" s="6135"/>
      <c r="ET91" s="6135"/>
      <c r="EU91" s="6135"/>
      <c r="EV91" s="6135"/>
      <c r="EW91" s="6135"/>
      <c r="EX91" s="6135"/>
      <c r="EY91" s="6135"/>
      <c r="EZ91" s="6135"/>
      <c r="FA91" s="6135"/>
      <c r="FB91" s="6135"/>
      <c r="FC91" s="6135"/>
      <c r="FD91" s="6285"/>
    </row>
    <row r="92" spans="1:160" s="6075" customFormat="1" ht="15" customHeight="1">
      <c r="A92" s="16462"/>
      <c r="B92" s="16430"/>
      <c r="C92" s="16418"/>
      <c r="D92" s="15340"/>
      <c r="E92" s="16427"/>
      <c r="F92" s="16427"/>
      <c r="G92" s="16427"/>
      <c r="H92" s="16427"/>
      <c r="I92" s="16427"/>
      <c r="J92" s="16427"/>
      <c r="K92" s="16427"/>
      <c r="L92" s="6074" t="s">
        <v>329</v>
      </c>
      <c r="M92" s="6135"/>
      <c r="N92" s="6116" t="s">
        <v>329</v>
      </c>
      <c r="O92" s="6077"/>
      <c r="P92" s="6077"/>
      <c r="Q92" s="6077"/>
      <c r="R92" s="6077"/>
      <c r="S92" s="6077"/>
      <c r="T92" s="6077"/>
      <c r="U92" s="6077"/>
      <c r="V92" s="6135"/>
      <c r="W92" s="6081"/>
      <c r="X92" s="6442"/>
      <c r="Y92" s="6135"/>
      <c r="Z92" s="6438"/>
      <c r="AA92" s="6438"/>
      <c r="AB92" s="6135"/>
      <c r="AC92" s="6135"/>
      <c r="AD92" s="6078"/>
      <c r="AE92" s="6078"/>
      <c r="AF92" s="6078"/>
      <c r="AG92" s="6078"/>
      <c r="AH92" s="6078"/>
      <c r="AI92" s="6135"/>
      <c r="AJ92" s="6135"/>
      <c r="AK92" s="6078"/>
      <c r="AL92" s="6078"/>
      <c r="AM92" s="6078"/>
      <c r="AN92" s="6078"/>
      <c r="AO92" s="6078"/>
      <c r="AP92" s="6078"/>
      <c r="AQ92" s="6078"/>
      <c r="AR92" s="6078"/>
      <c r="AS92" s="6078"/>
      <c r="AT92" s="6078"/>
      <c r="AU92" s="6078"/>
      <c r="AV92" s="6078"/>
      <c r="AW92" s="6078"/>
      <c r="AX92" s="6078"/>
      <c r="AY92" s="6078"/>
      <c r="AZ92" s="6135"/>
      <c r="BA92" s="6135"/>
      <c r="BB92" s="6135"/>
      <c r="BC92" s="6135"/>
      <c r="BD92" s="6135"/>
      <c r="BE92" s="6135"/>
      <c r="BF92" s="6135"/>
      <c r="BG92" s="6135"/>
      <c r="BH92" s="6135"/>
      <c r="BI92" s="6135"/>
      <c r="BJ92" s="6135"/>
      <c r="BK92" s="6135"/>
      <c r="BL92" s="6135"/>
      <c r="BM92" s="6135"/>
      <c r="BN92" s="5092"/>
      <c r="BO92" s="5092"/>
      <c r="BP92" s="5092"/>
      <c r="BQ92" s="5092"/>
      <c r="BR92" s="16510"/>
      <c r="BS92" s="6119"/>
      <c r="BT92" s="6119"/>
      <c r="BU92" s="6119"/>
      <c r="BV92" s="4277"/>
      <c r="BW92" s="4277"/>
      <c r="BX92" s="4277"/>
      <c r="BY92" s="4277"/>
      <c r="BZ92" s="4277"/>
      <c r="CA92" s="4277"/>
      <c r="CB92" s="4277"/>
      <c r="CC92" s="4277"/>
      <c r="CD92" s="4277"/>
      <c r="CE92" s="4277"/>
      <c r="CF92" s="4277"/>
      <c r="CG92" s="4277"/>
      <c r="CH92" s="4277"/>
      <c r="CI92" s="4277"/>
      <c r="CJ92" s="4277"/>
      <c r="CK92" s="4277"/>
      <c r="CL92" s="4277"/>
      <c r="CM92" s="4277"/>
      <c r="CN92" s="4277"/>
      <c r="CO92" s="5083"/>
      <c r="CP92" s="5083"/>
      <c r="CQ92" s="5083"/>
      <c r="CR92" s="5083"/>
      <c r="CS92" s="5083"/>
      <c r="CT92" s="5083"/>
      <c r="CU92" s="5083"/>
      <c r="CV92" s="5083"/>
      <c r="CW92" s="5083"/>
      <c r="CX92" s="5083"/>
      <c r="CY92" s="5083"/>
      <c r="CZ92" s="6119"/>
      <c r="DA92" s="6119"/>
      <c r="DB92" s="6119"/>
      <c r="DC92" s="6119"/>
      <c r="DD92" s="3470"/>
      <c r="DE92" s="3470"/>
      <c r="DF92" s="3470"/>
      <c r="DG92" s="3470"/>
      <c r="DH92" s="3470"/>
      <c r="DI92" s="3475"/>
      <c r="DK92" s="6284"/>
      <c r="DL92" s="6135"/>
      <c r="DM92" s="6135"/>
      <c r="DN92" s="6135"/>
      <c r="DO92" s="6135"/>
      <c r="DP92" s="6135"/>
      <c r="DQ92" s="6135"/>
      <c r="DR92" s="6135"/>
      <c r="DS92" s="6135"/>
      <c r="DT92" s="6135"/>
      <c r="DU92" s="6135"/>
      <c r="DV92" s="6135"/>
      <c r="DW92" s="6135"/>
      <c r="DX92" s="6135"/>
      <c r="DY92" s="6135"/>
      <c r="DZ92" s="6135"/>
      <c r="EA92" s="6135"/>
      <c r="EB92" s="6135"/>
      <c r="EC92" s="6135"/>
      <c r="ED92" s="6135"/>
      <c r="EE92" s="6135"/>
      <c r="EF92" s="6135"/>
      <c r="EG92" s="6135"/>
      <c r="EH92" s="6135"/>
      <c r="EI92" s="6135"/>
      <c r="EJ92" s="6135"/>
      <c r="EK92" s="6135"/>
      <c r="EL92" s="6135"/>
      <c r="EM92" s="6135"/>
      <c r="EN92" s="6135"/>
      <c r="EO92" s="6135"/>
      <c r="EP92" s="6135"/>
      <c r="EQ92" s="6135"/>
      <c r="ER92" s="6135"/>
      <c r="ES92" s="6135"/>
      <c r="ET92" s="6135"/>
      <c r="EU92" s="6135"/>
      <c r="EV92" s="6135"/>
      <c r="EW92" s="6135"/>
      <c r="EX92" s="6135"/>
      <c r="EY92" s="6135"/>
      <c r="EZ92" s="6135"/>
      <c r="FA92" s="6135"/>
      <c r="FB92" s="6135"/>
      <c r="FC92" s="6135"/>
      <c r="FD92" s="6285"/>
    </row>
    <row r="93" spans="1:160" s="6075" customFormat="1" ht="15" customHeight="1">
      <c r="A93" s="16462"/>
      <c r="B93" s="16430"/>
      <c r="C93" s="16430" t="s">
        <v>330</v>
      </c>
      <c r="D93" s="15340" t="s">
        <v>5112</v>
      </c>
      <c r="E93" s="16427" t="s">
        <v>331</v>
      </c>
      <c r="F93" s="16427" t="s">
        <v>332</v>
      </c>
      <c r="G93" s="16427" t="s">
        <v>254</v>
      </c>
      <c r="H93" s="16427">
        <v>1</v>
      </c>
      <c r="I93" s="16427">
        <v>1</v>
      </c>
      <c r="J93" s="16427">
        <v>1</v>
      </c>
      <c r="K93" s="16427" t="s">
        <v>333</v>
      </c>
      <c r="L93" s="6074" t="s">
        <v>4305</v>
      </c>
      <c r="M93" s="6074" t="s">
        <v>311</v>
      </c>
      <c r="N93" s="6116"/>
      <c r="O93" s="6077">
        <v>15000000</v>
      </c>
      <c r="P93" s="6077">
        <v>0</v>
      </c>
      <c r="Q93" s="6077">
        <v>0</v>
      </c>
      <c r="R93" s="6077">
        <v>16350000.000000002</v>
      </c>
      <c r="S93" s="6077">
        <v>0</v>
      </c>
      <c r="T93" s="6077">
        <v>0</v>
      </c>
      <c r="U93" s="6077">
        <v>0</v>
      </c>
      <c r="V93" s="6135"/>
      <c r="W93" s="5048" t="s">
        <v>2970</v>
      </c>
      <c r="X93" s="6442" t="s">
        <v>2959</v>
      </c>
      <c r="Y93" s="6135"/>
      <c r="Z93" s="6438">
        <f>17487*AD93</f>
        <v>297279</v>
      </c>
      <c r="AA93" s="6438"/>
      <c r="AB93" s="6135"/>
      <c r="AC93" s="6135"/>
      <c r="AD93" s="6078">
        <v>17</v>
      </c>
      <c r="AE93" s="6078">
        <v>10</v>
      </c>
      <c r="AF93" s="6078">
        <v>7</v>
      </c>
      <c r="AG93" s="6078">
        <v>17</v>
      </c>
      <c r="AH93" s="6078"/>
      <c r="AI93" s="6135"/>
      <c r="AJ93" s="6135"/>
      <c r="AK93" s="6078"/>
      <c r="AL93" s="6078">
        <v>13</v>
      </c>
      <c r="AM93" s="6078">
        <v>4</v>
      </c>
      <c r="AN93" s="6078"/>
      <c r="AO93" s="6078"/>
      <c r="AP93" s="6078"/>
      <c r="AQ93" s="6078"/>
      <c r="AR93" s="6078">
        <v>4</v>
      </c>
      <c r="AS93" s="6078"/>
      <c r="AT93" s="6078"/>
      <c r="AU93" s="6078"/>
      <c r="AV93" s="6078"/>
      <c r="AW93" s="6078"/>
      <c r="AX93" s="6078"/>
      <c r="AY93" s="6078">
        <v>17</v>
      </c>
      <c r="AZ93" s="6078"/>
      <c r="BA93" s="6135"/>
      <c r="BB93" s="6135"/>
      <c r="BC93" s="6135"/>
      <c r="BD93" s="6135"/>
      <c r="BE93" s="6135"/>
      <c r="BF93" s="6135"/>
      <c r="BG93" s="6135"/>
      <c r="BH93" s="6135"/>
      <c r="BI93" s="6135"/>
      <c r="BJ93" s="6135"/>
      <c r="BK93" s="6135"/>
      <c r="BL93" s="6135"/>
      <c r="BM93" s="6135"/>
      <c r="BN93" s="5092">
        <v>1</v>
      </c>
      <c r="BO93" s="5092">
        <v>1</v>
      </c>
      <c r="BP93" s="5092">
        <v>1</v>
      </c>
      <c r="BQ93" s="5092">
        <f t="shared" si="6"/>
        <v>1</v>
      </c>
      <c r="BR93" s="16510"/>
      <c r="BS93" s="6119" t="s">
        <v>9110</v>
      </c>
      <c r="BT93" s="3470"/>
      <c r="BU93" s="3470"/>
      <c r="BV93" s="3150"/>
      <c r="BW93" s="3150"/>
      <c r="BX93" s="3150"/>
      <c r="BY93" s="3150"/>
      <c r="BZ93" s="3150"/>
      <c r="CA93" s="3150"/>
      <c r="CB93" s="3150"/>
      <c r="CC93" s="3150"/>
      <c r="CD93" s="3150"/>
      <c r="CE93" s="3150"/>
      <c r="CF93" s="3150"/>
      <c r="CG93" s="3150"/>
      <c r="CH93" s="3150"/>
      <c r="CI93" s="3150"/>
      <c r="CJ93" s="3150"/>
      <c r="CK93" s="3150"/>
      <c r="CL93" s="3150"/>
      <c r="CM93" s="3150"/>
      <c r="CN93" s="3150"/>
      <c r="CO93" s="5007"/>
      <c r="CP93" s="5007"/>
      <c r="CQ93" s="5007"/>
      <c r="CR93" s="5007"/>
      <c r="CS93" s="5007"/>
      <c r="CT93" s="5007"/>
      <c r="CU93" s="5007"/>
      <c r="CV93" s="5007"/>
      <c r="CW93" s="5007"/>
      <c r="CX93" s="5007"/>
      <c r="CY93" s="5007"/>
      <c r="CZ93" s="3470"/>
      <c r="DA93" s="3470"/>
      <c r="DB93" s="3470"/>
      <c r="DC93" s="3470"/>
      <c r="DD93" s="3470"/>
      <c r="DE93" s="3470"/>
      <c r="DF93" s="3470"/>
      <c r="DG93" s="3470"/>
      <c r="DH93" s="3470"/>
      <c r="DI93" s="3475"/>
      <c r="DK93" s="6284"/>
      <c r="DL93" s="6135"/>
      <c r="DM93" s="6135"/>
      <c r="DN93" s="6135"/>
      <c r="DO93" s="6135"/>
      <c r="DP93" s="6135"/>
      <c r="DQ93" s="6135"/>
      <c r="DR93" s="6135"/>
      <c r="DS93" s="6135"/>
      <c r="DT93" s="6135"/>
      <c r="DU93" s="6135"/>
      <c r="DV93" s="6135"/>
      <c r="DW93" s="6135"/>
      <c r="DX93" s="6135"/>
      <c r="DY93" s="6135"/>
      <c r="DZ93" s="6135"/>
      <c r="EA93" s="6135"/>
      <c r="EB93" s="6135"/>
      <c r="EC93" s="6135"/>
      <c r="ED93" s="6135"/>
      <c r="EE93" s="6135"/>
      <c r="EF93" s="6135"/>
      <c r="EG93" s="6135"/>
      <c r="EH93" s="6135"/>
      <c r="EI93" s="6135"/>
      <c r="EJ93" s="6135"/>
      <c r="EK93" s="6135"/>
      <c r="EL93" s="6135"/>
      <c r="EM93" s="6135"/>
      <c r="EN93" s="6135"/>
      <c r="EO93" s="6135"/>
      <c r="EP93" s="6135"/>
      <c r="EQ93" s="6135"/>
      <c r="ER93" s="6135"/>
      <c r="ES93" s="6135"/>
      <c r="ET93" s="6135"/>
      <c r="EU93" s="6135"/>
      <c r="EV93" s="6135"/>
      <c r="EW93" s="6135"/>
      <c r="EX93" s="6135"/>
      <c r="EY93" s="6135"/>
      <c r="EZ93" s="6135"/>
      <c r="FA93" s="6135"/>
      <c r="FB93" s="6135"/>
      <c r="FC93" s="6135"/>
      <c r="FD93" s="6285"/>
    </row>
    <row r="94" spans="1:160" s="6075" customFormat="1" ht="15" customHeight="1">
      <c r="A94" s="16462"/>
      <c r="B94" s="16430"/>
      <c r="C94" s="16430"/>
      <c r="D94" s="15340"/>
      <c r="E94" s="16427"/>
      <c r="F94" s="16427"/>
      <c r="G94" s="16427"/>
      <c r="H94" s="16427"/>
      <c r="I94" s="16427"/>
      <c r="J94" s="16427"/>
      <c r="K94" s="16427"/>
      <c r="L94" s="6074" t="s">
        <v>329</v>
      </c>
      <c r="M94" s="6135"/>
      <c r="N94" s="6116" t="s">
        <v>329</v>
      </c>
      <c r="O94" s="6077"/>
      <c r="P94" s="6077"/>
      <c r="Q94" s="6077"/>
      <c r="R94" s="6077"/>
      <c r="S94" s="6077"/>
      <c r="T94" s="6077"/>
      <c r="U94" s="6077"/>
      <c r="V94" s="6135"/>
      <c r="W94" s="5048"/>
      <c r="X94" s="6442"/>
      <c r="Y94" s="6135"/>
      <c r="Z94" s="6438"/>
      <c r="AA94" s="6438"/>
      <c r="AB94" s="6135"/>
      <c r="AC94" s="6135"/>
      <c r="AD94" s="6078"/>
      <c r="AE94" s="6078"/>
      <c r="AF94" s="6078"/>
      <c r="AG94" s="6078"/>
      <c r="AH94" s="6078"/>
      <c r="AI94" s="6135"/>
      <c r="AJ94" s="6135"/>
      <c r="AK94" s="6078"/>
      <c r="AL94" s="6078"/>
      <c r="AM94" s="6078"/>
      <c r="AN94" s="6078"/>
      <c r="AO94" s="6078"/>
      <c r="AP94" s="6078"/>
      <c r="AQ94" s="6078"/>
      <c r="AR94" s="6078"/>
      <c r="AS94" s="6078"/>
      <c r="AT94" s="6078"/>
      <c r="AU94" s="6078"/>
      <c r="AV94" s="6078"/>
      <c r="AW94" s="6078"/>
      <c r="AX94" s="6078"/>
      <c r="AY94" s="6078"/>
      <c r="AZ94" s="6078"/>
      <c r="BA94" s="6135"/>
      <c r="BB94" s="6135"/>
      <c r="BC94" s="6135"/>
      <c r="BD94" s="6135"/>
      <c r="BE94" s="6135"/>
      <c r="BF94" s="6135"/>
      <c r="BG94" s="6135"/>
      <c r="BH94" s="6135"/>
      <c r="BI94" s="6135"/>
      <c r="BJ94" s="6135"/>
      <c r="BK94" s="6135"/>
      <c r="BL94" s="6135"/>
      <c r="BM94" s="6135"/>
      <c r="BN94" s="5092"/>
      <c r="BO94" s="5092"/>
      <c r="BP94" s="5092"/>
      <c r="BQ94" s="5092"/>
      <c r="BR94" s="16510"/>
      <c r="BS94" s="6119"/>
      <c r="BT94" s="3470"/>
      <c r="BU94" s="3470"/>
      <c r="BV94" s="3150"/>
      <c r="BW94" s="3150"/>
      <c r="BX94" s="3150"/>
      <c r="BY94" s="3150"/>
      <c r="BZ94" s="3150"/>
      <c r="CA94" s="3150"/>
      <c r="CB94" s="3150"/>
      <c r="CC94" s="3150"/>
      <c r="CD94" s="3150"/>
      <c r="CE94" s="3150"/>
      <c r="CF94" s="3150"/>
      <c r="CG94" s="3150"/>
      <c r="CH94" s="3150"/>
      <c r="CI94" s="3150"/>
      <c r="CJ94" s="3150"/>
      <c r="CK94" s="3150"/>
      <c r="CL94" s="3150"/>
      <c r="CM94" s="3150"/>
      <c r="CN94" s="3150"/>
      <c r="CO94" s="5007"/>
      <c r="CP94" s="5007"/>
      <c r="CQ94" s="5007"/>
      <c r="CR94" s="5007"/>
      <c r="CS94" s="5007"/>
      <c r="CT94" s="5007"/>
      <c r="CU94" s="5007"/>
      <c r="CV94" s="5007"/>
      <c r="CW94" s="5007"/>
      <c r="CX94" s="5007"/>
      <c r="CY94" s="5007"/>
      <c r="CZ94" s="3470"/>
      <c r="DA94" s="3470"/>
      <c r="DB94" s="3470"/>
      <c r="DC94" s="3470"/>
      <c r="DD94" s="3470"/>
      <c r="DE94" s="3470"/>
      <c r="DF94" s="3470"/>
      <c r="DG94" s="3470"/>
      <c r="DH94" s="3470"/>
      <c r="DI94" s="3475"/>
      <c r="DK94" s="6284"/>
      <c r="DL94" s="6135"/>
      <c r="DM94" s="6135"/>
      <c r="DN94" s="6135"/>
      <c r="DO94" s="6135"/>
      <c r="DP94" s="6135"/>
      <c r="DQ94" s="6135"/>
      <c r="DR94" s="6135"/>
      <c r="DS94" s="6135"/>
      <c r="DT94" s="6135"/>
      <c r="DU94" s="6135"/>
      <c r="DV94" s="6135"/>
      <c r="DW94" s="6135"/>
      <c r="DX94" s="6135"/>
      <c r="DY94" s="6135"/>
      <c r="DZ94" s="6135"/>
      <c r="EA94" s="6135"/>
      <c r="EB94" s="6135"/>
      <c r="EC94" s="6135"/>
      <c r="ED94" s="6135"/>
      <c r="EE94" s="6135"/>
      <c r="EF94" s="6135"/>
      <c r="EG94" s="6135"/>
      <c r="EH94" s="6135"/>
      <c r="EI94" s="6135"/>
      <c r="EJ94" s="6135"/>
      <c r="EK94" s="6135"/>
      <c r="EL94" s="6135"/>
      <c r="EM94" s="6135"/>
      <c r="EN94" s="6135"/>
      <c r="EO94" s="6135"/>
      <c r="EP94" s="6135"/>
      <c r="EQ94" s="6135"/>
      <c r="ER94" s="6135"/>
      <c r="ES94" s="6135"/>
      <c r="ET94" s="6135"/>
      <c r="EU94" s="6135"/>
      <c r="EV94" s="6135"/>
      <c r="EW94" s="6135"/>
      <c r="EX94" s="6135"/>
      <c r="EY94" s="6135"/>
      <c r="EZ94" s="6135"/>
      <c r="FA94" s="6135"/>
      <c r="FB94" s="6135"/>
      <c r="FC94" s="6135"/>
      <c r="FD94" s="6285"/>
    </row>
    <row r="95" spans="1:160" s="6075" customFormat="1" ht="15" customHeight="1">
      <c r="A95" s="16462"/>
      <c r="B95" s="16430"/>
      <c r="C95" s="16430"/>
      <c r="D95" s="15340" t="s">
        <v>5113</v>
      </c>
      <c r="E95" s="16427" t="s">
        <v>334</v>
      </c>
      <c r="F95" s="16427" t="s">
        <v>335</v>
      </c>
      <c r="G95" s="16427" t="s">
        <v>336</v>
      </c>
      <c r="H95" s="16427">
        <v>200</v>
      </c>
      <c r="I95" s="16427">
        <v>500</v>
      </c>
      <c r="J95" s="16427">
        <v>1000</v>
      </c>
      <c r="K95" s="16427" t="s">
        <v>337</v>
      </c>
      <c r="L95" s="6074" t="s">
        <v>4305</v>
      </c>
      <c r="M95" s="6074" t="s">
        <v>311</v>
      </c>
      <c r="N95" s="6135"/>
      <c r="O95" s="6077">
        <v>10000000</v>
      </c>
      <c r="P95" s="6077">
        <v>10300000</v>
      </c>
      <c r="Q95" s="6077">
        <v>10609000</v>
      </c>
      <c r="R95" s="6077">
        <v>26522500</v>
      </c>
      <c r="S95" s="6077">
        <v>27318175</v>
      </c>
      <c r="T95" s="6077">
        <v>28137720.25</v>
      </c>
      <c r="U95" s="6077">
        <v>28981851.857500002</v>
      </c>
      <c r="V95" s="6135"/>
      <c r="W95" s="5048" t="s">
        <v>2952</v>
      </c>
      <c r="X95" s="5048" t="s">
        <v>2953</v>
      </c>
      <c r="Y95" s="6135"/>
      <c r="Z95" s="6443">
        <f>17478*AD95</f>
        <v>2709090</v>
      </c>
      <c r="AA95" s="6078" t="s">
        <v>2954</v>
      </c>
      <c r="AB95" s="6135"/>
      <c r="AC95" s="6135"/>
      <c r="AD95" s="6078">
        <v>155</v>
      </c>
      <c r="AE95" s="6078">
        <v>36</v>
      </c>
      <c r="AF95" s="6078">
        <v>119</v>
      </c>
      <c r="AG95" s="6078">
        <v>155</v>
      </c>
      <c r="AH95" s="6444"/>
      <c r="AI95" s="6444"/>
      <c r="AJ95" s="6078"/>
      <c r="AK95" s="6078">
        <v>12</v>
      </c>
      <c r="AL95" s="6078">
        <v>19</v>
      </c>
      <c r="AM95" s="6078">
        <v>54</v>
      </c>
      <c r="AN95" s="6078">
        <v>19</v>
      </c>
      <c r="AO95" s="6078">
        <v>1</v>
      </c>
      <c r="AP95" s="6444">
        <f>155-AQ95-AR95-AS95-AT95</f>
        <v>57</v>
      </c>
      <c r="AQ95" s="6078">
        <v>1</v>
      </c>
      <c r="AR95" s="6078">
        <v>63</v>
      </c>
      <c r="AS95" s="6078">
        <v>10</v>
      </c>
      <c r="AT95" s="6078">
        <v>24</v>
      </c>
      <c r="AU95" s="6135"/>
      <c r="AV95" s="6135"/>
      <c r="AW95" s="6135"/>
      <c r="AX95" s="6135"/>
      <c r="AY95" s="6078">
        <v>155</v>
      </c>
      <c r="AZ95" s="6135"/>
      <c r="BA95" s="6135"/>
      <c r="BB95" s="6135"/>
      <c r="BC95" s="6135"/>
      <c r="BD95" s="6135"/>
      <c r="BE95" s="6135"/>
      <c r="BF95" s="6135"/>
      <c r="BG95" s="6135"/>
      <c r="BH95" s="6135"/>
      <c r="BI95" s="6135"/>
      <c r="BJ95" s="6135"/>
      <c r="BK95" s="6135"/>
      <c r="BL95" s="6135"/>
      <c r="BM95" s="6135"/>
      <c r="BN95" s="5083">
        <v>163</v>
      </c>
      <c r="BO95" s="5083">
        <v>163</v>
      </c>
      <c r="BP95" s="5007">
        <f>676+73+163</f>
        <v>912</v>
      </c>
      <c r="BQ95" s="5092">
        <v>1</v>
      </c>
      <c r="BR95" s="16510"/>
      <c r="BS95" s="6119" t="s">
        <v>9046</v>
      </c>
      <c r="BT95" s="6119" t="s">
        <v>9047</v>
      </c>
      <c r="BU95" s="6119" t="s">
        <v>9111</v>
      </c>
      <c r="BV95" s="4277">
        <v>2909061</v>
      </c>
      <c r="BW95" s="4277">
        <v>2909061</v>
      </c>
      <c r="BX95" s="4277"/>
      <c r="BY95" s="4277"/>
      <c r="BZ95" s="4277">
        <v>163</v>
      </c>
      <c r="CA95" s="4277">
        <v>61</v>
      </c>
      <c r="CB95" s="4277">
        <v>102</v>
      </c>
      <c r="CC95" s="4277"/>
      <c r="CD95" s="4277"/>
      <c r="CE95" s="4277"/>
      <c r="CF95" s="4277"/>
      <c r="CG95" s="4277"/>
      <c r="CH95" s="4277">
        <v>70</v>
      </c>
      <c r="CI95" s="4277">
        <v>70</v>
      </c>
      <c r="CJ95" s="4277">
        <v>23</v>
      </c>
      <c r="CK95" s="4277"/>
      <c r="CL95" s="4277"/>
      <c r="CM95" s="4277"/>
      <c r="CN95" s="4277">
        <v>74</v>
      </c>
      <c r="CO95" s="5083">
        <v>4</v>
      </c>
      <c r="CP95" s="5083">
        <v>20</v>
      </c>
      <c r="CQ95" s="5083"/>
      <c r="CR95" s="5083"/>
      <c r="CS95" s="5083"/>
      <c r="CT95" s="5083"/>
      <c r="CU95" s="5083">
        <v>163</v>
      </c>
      <c r="CV95" s="5083"/>
      <c r="CW95" s="5083"/>
      <c r="CX95" s="5083"/>
      <c r="CY95" s="5083"/>
      <c r="CZ95" s="6119"/>
      <c r="DA95" s="6119"/>
      <c r="DB95" s="6119"/>
      <c r="DC95" s="6119"/>
      <c r="DD95" s="6119"/>
      <c r="DE95" s="6119"/>
      <c r="DF95" s="6119"/>
      <c r="DG95" s="6119"/>
      <c r="DH95" s="6119"/>
      <c r="DI95" s="6441"/>
      <c r="DK95" s="6284"/>
      <c r="DL95" s="6135"/>
      <c r="DM95" s="6135"/>
      <c r="DN95" s="6135"/>
      <c r="DO95" s="6135"/>
      <c r="DP95" s="6135"/>
      <c r="DQ95" s="6135"/>
      <c r="DR95" s="6135"/>
      <c r="DS95" s="6135"/>
      <c r="DT95" s="6135"/>
      <c r="DU95" s="6135"/>
      <c r="DV95" s="6135"/>
      <c r="DW95" s="6135"/>
      <c r="DX95" s="6135"/>
      <c r="DY95" s="6135"/>
      <c r="DZ95" s="6135"/>
      <c r="EA95" s="6135"/>
      <c r="EB95" s="6135"/>
      <c r="EC95" s="6135"/>
      <c r="ED95" s="6135"/>
      <c r="EE95" s="6135"/>
      <c r="EF95" s="6135"/>
      <c r="EG95" s="6135"/>
      <c r="EH95" s="6135"/>
      <c r="EI95" s="6135"/>
      <c r="EJ95" s="6135"/>
      <c r="EK95" s="6135"/>
      <c r="EL95" s="6135"/>
      <c r="EM95" s="6135"/>
      <c r="EN95" s="6135"/>
      <c r="EO95" s="6135"/>
      <c r="EP95" s="6135"/>
      <c r="EQ95" s="6135"/>
      <c r="ER95" s="6135"/>
      <c r="ES95" s="6135"/>
      <c r="ET95" s="6135"/>
      <c r="EU95" s="6135"/>
      <c r="EV95" s="6135"/>
      <c r="EW95" s="6135"/>
      <c r="EX95" s="6135"/>
      <c r="EY95" s="6135"/>
      <c r="EZ95" s="6135"/>
      <c r="FA95" s="6135"/>
      <c r="FB95" s="6135"/>
      <c r="FC95" s="6135"/>
      <c r="FD95" s="6285"/>
    </row>
    <row r="96" spans="1:160" s="6075" customFormat="1" ht="15" customHeight="1">
      <c r="A96" s="16462"/>
      <c r="B96" s="16430"/>
      <c r="C96" s="16430"/>
      <c r="D96" s="15340"/>
      <c r="E96" s="16427"/>
      <c r="F96" s="16427"/>
      <c r="G96" s="16427"/>
      <c r="H96" s="16427"/>
      <c r="I96" s="16427"/>
      <c r="J96" s="16427"/>
      <c r="K96" s="16427"/>
      <c r="L96" s="6074" t="s">
        <v>329</v>
      </c>
      <c r="M96" s="6074"/>
      <c r="N96" s="6116" t="s">
        <v>350</v>
      </c>
      <c r="O96" s="6077"/>
      <c r="P96" s="6077"/>
      <c r="Q96" s="6077"/>
      <c r="R96" s="6077"/>
      <c r="S96" s="6077"/>
      <c r="T96" s="6077"/>
      <c r="U96" s="6077"/>
      <c r="V96" s="6135"/>
      <c r="W96" s="5048"/>
      <c r="X96" s="5048"/>
      <c r="Y96" s="6135"/>
      <c r="Z96" s="6443"/>
      <c r="AA96" s="6078"/>
      <c r="AB96" s="6135"/>
      <c r="AC96" s="6135"/>
      <c r="AD96" s="6078"/>
      <c r="AE96" s="6078"/>
      <c r="AF96" s="6078"/>
      <c r="AG96" s="6078"/>
      <c r="AH96" s="6444"/>
      <c r="AI96" s="6444"/>
      <c r="AJ96" s="6078"/>
      <c r="AK96" s="6078"/>
      <c r="AL96" s="6078"/>
      <c r="AM96" s="6078"/>
      <c r="AN96" s="6078"/>
      <c r="AO96" s="6078"/>
      <c r="AP96" s="6444"/>
      <c r="AQ96" s="6078"/>
      <c r="AR96" s="6078"/>
      <c r="AS96" s="6078"/>
      <c r="AT96" s="6078"/>
      <c r="AU96" s="6135"/>
      <c r="AV96" s="6135"/>
      <c r="AW96" s="6135"/>
      <c r="AX96" s="6135"/>
      <c r="AY96" s="6078"/>
      <c r="AZ96" s="6135"/>
      <c r="BA96" s="6135"/>
      <c r="BB96" s="6135"/>
      <c r="BC96" s="6135"/>
      <c r="BD96" s="6135"/>
      <c r="BE96" s="6135"/>
      <c r="BF96" s="6135"/>
      <c r="BG96" s="6135"/>
      <c r="BH96" s="6135"/>
      <c r="BI96" s="6135"/>
      <c r="BJ96" s="6135"/>
      <c r="BK96" s="6135"/>
      <c r="BL96" s="6135"/>
      <c r="BM96" s="6135"/>
      <c r="BN96" s="5083"/>
      <c r="BO96" s="5083"/>
      <c r="BP96" s="5007"/>
      <c r="BQ96" s="5092"/>
      <c r="BR96" s="16510"/>
      <c r="BS96" s="6119"/>
      <c r="BT96" s="6119"/>
      <c r="BU96" s="6119"/>
      <c r="BV96" s="4277"/>
      <c r="BW96" s="4277"/>
      <c r="BX96" s="4277"/>
      <c r="BY96" s="4277"/>
      <c r="BZ96" s="4277"/>
      <c r="CA96" s="4277"/>
      <c r="CB96" s="4277"/>
      <c r="CC96" s="4277"/>
      <c r="CD96" s="4277"/>
      <c r="CE96" s="4277"/>
      <c r="CF96" s="4277"/>
      <c r="CG96" s="4277"/>
      <c r="CH96" s="4277"/>
      <c r="CI96" s="4277"/>
      <c r="CJ96" s="4277"/>
      <c r="CK96" s="4277"/>
      <c r="CL96" s="4277"/>
      <c r="CM96" s="4277"/>
      <c r="CN96" s="4277"/>
      <c r="CO96" s="5083"/>
      <c r="CP96" s="5083"/>
      <c r="CQ96" s="5083"/>
      <c r="CR96" s="5083"/>
      <c r="CS96" s="5083"/>
      <c r="CT96" s="5083"/>
      <c r="CU96" s="5083"/>
      <c r="CV96" s="5083"/>
      <c r="CW96" s="5083"/>
      <c r="CX96" s="5083"/>
      <c r="CY96" s="5083"/>
      <c r="CZ96" s="6119"/>
      <c r="DA96" s="6119"/>
      <c r="DB96" s="6119"/>
      <c r="DC96" s="6119"/>
      <c r="DD96" s="6119"/>
      <c r="DE96" s="6119"/>
      <c r="DF96" s="6119"/>
      <c r="DG96" s="6119"/>
      <c r="DH96" s="6119"/>
      <c r="DI96" s="6441"/>
      <c r="DK96" s="6284"/>
      <c r="DL96" s="6135"/>
      <c r="DM96" s="6135"/>
      <c r="DN96" s="6135"/>
      <c r="DO96" s="6135"/>
      <c r="DP96" s="6135"/>
      <c r="DQ96" s="6135"/>
      <c r="DR96" s="6135"/>
      <c r="DS96" s="6135"/>
      <c r="DT96" s="6135"/>
      <c r="DU96" s="6135"/>
      <c r="DV96" s="6135"/>
      <c r="DW96" s="6135"/>
      <c r="DX96" s="6135"/>
      <c r="DY96" s="6135"/>
      <c r="DZ96" s="6135"/>
      <c r="EA96" s="6135"/>
      <c r="EB96" s="6135"/>
      <c r="EC96" s="6135"/>
      <c r="ED96" s="6135"/>
      <c r="EE96" s="6135"/>
      <c r="EF96" s="6135"/>
      <c r="EG96" s="6135"/>
      <c r="EH96" s="6135"/>
      <c r="EI96" s="6135"/>
      <c r="EJ96" s="6135"/>
      <c r="EK96" s="6135"/>
      <c r="EL96" s="6135"/>
      <c r="EM96" s="6135"/>
      <c r="EN96" s="6135"/>
      <c r="EO96" s="6135"/>
      <c r="EP96" s="6135"/>
      <c r="EQ96" s="6135"/>
      <c r="ER96" s="6135"/>
      <c r="ES96" s="6135"/>
      <c r="ET96" s="6135"/>
      <c r="EU96" s="6135"/>
      <c r="EV96" s="6135"/>
      <c r="EW96" s="6135"/>
      <c r="EX96" s="6135"/>
      <c r="EY96" s="6135"/>
      <c r="EZ96" s="6135"/>
      <c r="FA96" s="6135"/>
      <c r="FB96" s="6135"/>
      <c r="FC96" s="6135"/>
      <c r="FD96" s="6285"/>
    </row>
    <row r="97" spans="1:160" s="6075" customFormat="1" ht="15" customHeight="1">
      <c r="A97" s="16462"/>
      <c r="B97" s="16430"/>
      <c r="C97" s="16430"/>
      <c r="D97" s="15340"/>
      <c r="E97" s="16427"/>
      <c r="F97" s="16427"/>
      <c r="G97" s="16427"/>
      <c r="H97" s="16427"/>
      <c r="I97" s="16427"/>
      <c r="J97" s="16427"/>
      <c r="K97" s="16427"/>
      <c r="L97" s="6074" t="s">
        <v>10194</v>
      </c>
      <c r="M97" s="6074"/>
      <c r="N97" s="6116" t="s">
        <v>10274</v>
      </c>
      <c r="O97" s="6077"/>
      <c r="P97" s="6077"/>
      <c r="Q97" s="6077"/>
      <c r="R97" s="6077"/>
      <c r="S97" s="6077"/>
      <c r="T97" s="6077"/>
      <c r="U97" s="6077"/>
      <c r="V97" s="6135"/>
      <c r="W97" s="5048"/>
      <c r="X97" s="5048"/>
      <c r="Y97" s="6135"/>
      <c r="Z97" s="6443"/>
      <c r="AA97" s="6078"/>
      <c r="AB97" s="6135"/>
      <c r="AC97" s="6135"/>
      <c r="AD97" s="6078"/>
      <c r="AE97" s="6078"/>
      <c r="AF97" s="6078"/>
      <c r="AG97" s="6078"/>
      <c r="AH97" s="6444"/>
      <c r="AI97" s="6444"/>
      <c r="AJ97" s="6078"/>
      <c r="AK97" s="6078"/>
      <c r="AL97" s="6078"/>
      <c r="AM97" s="6078"/>
      <c r="AN97" s="6078"/>
      <c r="AO97" s="6078"/>
      <c r="AP97" s="6444"/>
      <c r="AQ97" s="6078"/>
      <c r="AR97" s="6078"/>
      <c r="AS97" s="6078"/>
      <c r="AT97" s="6078"/>
      <c r="AU97" s="6135"/>
      <c r="AV97" s="6135"/>
      <c r="AW97" s="6135"/>
      <c r="AX97" s="6135"/>
      <c r="AY97" s="6078"/>
      <c r="AZ97" s="6135"/>
      <c r="BA97" s="6135"/>
      <c r="BB97" s="6135"/>
      <c r="BC97" s="6135"/>
      <c r="BD97" s="6135"/>
      <c r="BE97" s="6135"/>
      <c r="BF97" s="6135"/>
      <c r="BG97" s="6135"/>
      <c r="BH97" s="6135"/>
      <c r="BI97" s="6135"/>
      <c r="BJ97" s="6135"/>
      <c r="BK97" s="6135"/>
      <c r="BL97" s="6135"/>
      <c r="BM97" s="6135"/>
      <c r="BN97" s="5083"/>
      <c r="BO97" s="5083"/>
      <c r="BP97" s="5007"/>
      <c r="BQ97" s="5092"/>
      <c r="BR97" s="16510"/>
      <c r="BS97" s="6119"/>
      <c r="BT97" s="6119"/>
      <c r="BU97" s="6119"/>
      <c r="BV97" s="4277"/>
      <c r="BW97" s="4277"/>
      <c r="BX97" s="4277"/>
      <c r="BY97" s="4277"/>
      <c r="BZ97" s="4277"/>
      <c r="CA97" s="4277"/>
      <c r="CB97" s="4277"/>
      <c r="CC97" s="4277"/>
      <c r="CD97" s="4277"/>
      <c r="CE97" s="4277"/>
      <c r="CF97" s="4277"/>
      <c r="CG97" s="4277"/>
      <c r="CH97" s="4277"/>
      <c r="CI97" s="4277"/>
      <c r="CJ97" s="4277"/>
      <c r="CK97" s="4277"/>
      <c r="CL97" s="4277"/>
      <c r="CM97" s="4277"/>
      <c r="CN97" s="4277"/>
      <c r="CO97" s="5083"/>
      <c r="CP97" s="5083"/>
      <c r="CQ97" s="5083"/>
      <c r="CR97" s="5083"/>
      <c r="CS97" s="5083"/>
      <c r="CT97" s="5083"/>
      <c r="CU97" s="5083"/>
      <c r="CV97" s="5083"/>
      <c r="CW97" s="5083"/>
      <c r="CX97" s="5083"/>
      <c r="CY97" s="5083"/>
      <c r="CZ97" s="6119"/>
      <c r="DA97" s="6119"/>
      <c r="DB97" s="6119"/>
      <c r="DC97" s="6119"/>
      <c r="DD97" s="6119"/>
      <c r="DE97" s="6119"/>
      <c r="DF97" s="6119"/>
      <c r="DG97" s="6119"/>
      <c r="DH97" s="6119"/>
      <c r="DI97" s="6441"/>
      <c r="DK97" s="6284"/>
      <c r="DL97" s="6135"/>
      <c r="DM97" s="6135"/>
      <c r="DN97" s="6135"/>
      <c r="DO97" s="6135"/>
      <c r="DP97" s="6135"/>
      <c r="DQ97" s="6135"/>
      <c r="DR97" s="6135"/>
      <c r="DS97" s="6135"/>
      <c r="DT97" s="6135"/>
      <c r="DU97" s="6135"/>
      <c r="DV97" s="6135"/>
      <c r="DW97" s="6135"/>
      <c r="DX97" s="6135"/>
      <c r="DY97" s="6135"/>
      <c r="DZ97" s="6135"/>
      <c r="EA97" s="6135"/>
      <c r="EB97" s="6135"/>
      <c r="EC97" s="6135"/>
      <c r="ED97" s="6135"/>
      <c r="EE97" s="6135"/>
      <c r="EF97" s="6135"/>
      <c r="EG97" s="6135"/>
      <c r="EH97" s="6135"/>
      <c r="EI97" s="6135"/>
      <c r="EJ97" s="6135"/>
      <c r="EK97" s="6135"/>
      <c r="EL97" s="6135"/>
      <c r="EM97" s="6135"/>
      <c r="EN97" s="6135"/>
      <c r="EO97" s="6135"/>
      <c r="EP97" s="6135"/>
      <c r="EQ97" s="6135"/>
      <c r="ER97" s="6135"/>
      <c r="ES97" s="6135"/>
      <c r="ET97" s="6135"/>
      <c r="EU97" s="6135"/>
      <c r="EV97" s="6135"/>
      <c r="EW97" s="6135"/>
      <c r="EX97" s="6135"/>
      <c r="EY97" s="6135"/>
      <c r="EZ97" s="6135"/>
      <c r="FA97" s="6135"/>
      <c r="FB97" s="6135"/>
      <c r="FC97" s="6135"/>
      <c r="FD97" s="6285"/>
    </row>
    <row r="98" spans="1:160" s="6075" customFormat="1" ht="15" customHeight="1">
      <c r="A98" s="16462"/>
      <c r="B98" s="16430"/>
      <c r="C98" s="16430"/>
      <c r="D98" s="15340" t="s">
        <v>5114</v>
      </c>
      <c r="E98" s="16427" t="s">
        <v>338</v>
      </c>
      <c r="F98" s="16427" t="s">
        <v>117</v>
      </c>
      <c r="G98" s="16427" t="s">
        <v>254</v>
      </c>
      <c r="H98" s="16427">
        <v>1</v>
      </c>
      <c r="I98" s="16427">
        <v>1</v>
      </c>
      <c r="J98" s="16427">
        <v>1</v>
      </c>
      <c r="K98" s="16427" t="s">
        <v>339</v>
      </c>
      <c r="L98" s="6074" t="s">
        <v>4305</v>
      </c>
      <c r="M98" s="6074" t="s">
        <v>311</v>
      </c>
      <c r="N98" s="6135"/>
      <c r="O98" s="6077">
        <v>30000000</v>
      </c>
      <c r="P98" s="6077">
        <v>30900000</v>
      </c>
      <c r="Q98" s="6077">
        <v>31827000</v>
      </c>
      <c r="R98" s="6077">
        <v>32781810</v>
      </c>
      <c r="S98" s="6077">
        <v>33765264.300000004</v>
      </c>
      <c r="T98" s="6077">
        <v>34778222.229000002</v>
      </c>
      <c r="U98" s="6077">
        <v>35821568.89587</v>
      </c>
      <c r="V98" s="6135"/>
      <c r="W98" s="6081" t="s">
        <v>2971</v>
      </c>
      <c r="X98" s="6078" t="s">
        <v>2951</v>
      </c>
      <c r="Y98" s="6444"/>
      <c r="Z98" s="6078" t="s">
        <v>2951</v>
      </c>
      <c r="AA98" s="6135"/>
      <c r="AB98" s="6135"/>
      <c r="AC98" s="6135"/>
      <c r="AD98" s="6135"/>
      <c r="AE98" s="6135"/>
      <c r="AF98" s="6135"/>
      <c r="AG98" s="6135"/>
      <c r="AH98" s="6135"/>
      <c r="AI98" s="6135"/>
      <c r="AJ98" s="6135"/>
      <c r="AK98" s="6135"/>
      <c r="AL98" s="6135"/>
      <c r="AM98" s="6135"/>
      <c r="AN98" s="6135"/>
      <c r="AO98" s="6135"/>
      <c r="AP98" s="6135"/>
      <c r="AQ98" s="6135"/>
      <c r="AR98" s="6135"/>
      <c r="AS98" s="6135"/>
      <c r="AT98" s="6135"/>
      <c r="AU98" s="6135"/>
      <c r="AV98" s="6135"/>
      <c r="AW98" s="6135"/>
      <c r="AX98" s="6135"/>
      <c r="AY98" s="6135"/>
      <c r="AZ98" s="6135"/>
      <c r="BA98" s="6135"/>
      <c r="BB98" s="6135"/>
      <c r="BC98" s="6135"/>
      <c r="BD98" s="6135"/>
      <c r="BE98" s="6135"/>
      <c r="BF98" s="6135"/>
      <c r="BG98" s="6135"/>
      <c r="BH98" s="6135"/>
      <c r="BI98" s="6135"/>
      <c r="BJ98" s="6135"/>
      <c r="BK98" s="6135"/>
      <c r="BL98" s="6135"/>
      <c r="BM98" s="6135"/>
      <c r="BN98" s="5083">
        <v>0</v>
      </c>
      <c r="BO98" s="5007">
        <v>1</v>
      </c>
      <c r="BP98" s="5007">
        <v>0</v>
      </c>
      <c r="BQ98" s="5092">
        <f t="shared" ref="BQ98:BQ104" si="7">+BP98/BO98</f>
        <v>0</v>
      </c>
      <c r="BR98" s="16510"/>
      <c r="BS98" s="3470"/>
      <c r="BT98" s="3470"/>
      <c r="BU98" s="3899" t="s">
        <v>9112</v>
      </c>
      <c r="BV98" s="3150"/>
      <c r="BW98" s="3150"/>
      <c r="BX98" s="3150"/>
      <c r="BY98" s="3150"/>
      <c r="BZ98" s="3150"/>
      <c r="CA98" s="3150"/>
      <c r="CB98" s="3150"/>
      <c r="CC98" s="3150"/>
      <c r="CD98" s="3150"/>
      <c r="CE98" s="3150"/>
      <c r="CF98" s="3150"/>
      <c r="CG98" s="3150"/>
      <c r="CH98" s="3150"/>
      <c r="CI98" s="3150"/>
      <c r="CJ98" s="3150"/>
      <c r="CK98" s="3150"/>
      <c r="CL98" s="3150"/>
      <c r="CM98" s="3150"/>
      <c r="CN98" s="3150"/>
      <c r="CO98" s="5007"/>
      <c r="CP98" s="5007"/>
      <c r="CQ98" s="5007"/>
      <c r="CR98" s="5007"/>
      <c r="CS98" s="5007"/>
      <c r="CT98" s="5007"/>
      <c r="CU98" s="5007"/>
      <c r="CV98" s="5007"/>
      <c r="CW98" s="5007"/>
      <c r="CX98" s="5007"/>
      <c r="CY98" s="5007"/>
      <c r="CZ98" s="3470"/>
      <c r="DA98" s="3470"/>
      <c r="DB98" s="3470"/>
      <c r="DC98" s="3470"/>
      <c r="DD98" s="3470"/>
      <c r="DE98" s="3470"/>
      <c r="DF98" s="3470"/>
      <c r="DG98" s="3470"/>
      <c r="DH98" s="3470"/>
      <c r="DI98" s="3475"/>
      <c r="DK98" s="6284"/>
      <c r="DL98" s="6135"/>
      <c r="DM98" s="6135"/>
      <c r="DN98" s="6135"/>
      <c r="DO98" s="6135"/>
      <c r="DP98" s="6135"/>
      <c r="DQ98" s="6135"/>
      <c r="DR98" s="6135"/>
      <c r="DS98" s="6135"/>
      <c r="DT98" s="6135"/>
      <c r="DU98" s="6135"/>
      <c r="DV98" s="6135"/>
      <c r="DW98" s="6135"/>
      <c r="DX98" s="6135"/>
      <c r="DY98" s="6135"/>
      <c r="DZ98" s="6135"/>
      <c r="EA98" s="6135"/>
      <c r="EB98" s="6135"/>
      <c r="EC98" s="6135"/>
      <c r="ED98" s="6135"/>
      <c r="EE98" s="6135"/>
      <c r="EF98" s="6135"/>
      <c r="EG98" s="6135"/>
      <c r="EH98" s="6135"/>
      <c r="EI98" s="6135"/>
      <c r="EJ98" s="6135"/>
      <c r="EK98" s="6135"/>
      <c r="EL98" s="6135"/>
      <c r="EM98" s="6135"/>
      <c r="EN98" s="6135"/>
      <c r="EO98" s="6135"/>
      <c r="EP98" s="6135"/>
      <c r="EQ98" s="6135"/>
      <c r="ER98" s="6135"/>
      <c r="ES98" s="6135"/>
      <c r="ET98" s="6135"/>
      <c r="EU98" s="6135"/>
      <c r="EV98" s="6135"/>
      <c r="EW98" s="6135"/>
      <c r="EX98" s="6135"/>
      <c r="EY98" s="6135"/>
      <c r="EZ98" s="6135"/>
      <c r="FA98" s="6135"/>
      <c r="FB98" s="6135"/>
      <c r="FC98" s="6135"/>
      <c r="FD98" s="6285"/>
    </row>
    <row r="99" spans="1:160" s="6075" customFormat="1" ht="15" customHeight="1">
      <c r="A99" s="16462"/>
      <c r="B99" s="16430"/>
      <c r="C99" s="16430"/>
      <c r="D99" s="15340"/>
      <c r="E99" s="16427"/>
      <c r="F99" s="16427"/>
      <c r="G99" s="16427"/>
      <c r="H99" s="16427"/>
      <c r="I99" s="16427"/>
      <c r="J99" s="16427"/>
      <c r="K99" s="16427"/>
      <c r="L99" s="6074" t="s">
        <v>10063</v>
      </c>
      <c r="M99" s="6074"/>
      <c r="N99" s="6074" t="s">
        <v>316</v>
      </c>
      <c r="O99" s="6077"/>
      <c r="P99" s="6077"/>
      <c r="Q99" s="6077"/>
      <c r="R99" s="6077"/>
      <c r="S99" s="6077"/>
      <c r="T99" s="6077"/>
      <c r="U99" s="6077"/>
      <c r="V99" s="6135"/>
      <c r="W99" s="6081"/>
      <c r="X99" s="6078"/>
      <c r="Y99" s="6444"/>
      <c r="Z99" s="6078"/>
      <c r="AA99" s="6135"/>
      <c r="AB99" s="6135"/>
      <c r="AC99" s="6135"/>
      <c r="AD99" s="6135"/>
      <c r="AE99" s="6135"/>
      <c r="AF99" s="6135"/>
      <c r="AG99" s="6135"/>
      <c r="AH99" s="6135"/>
      <c r="AI99" s="6135"/>
      <c r="AJ99" s="6135"/>
      <c r="AK99" s="6135"/>
      <c r="AL99" s="6135"/>
      <c r="AM99" s="6135"/>
      <c r="AN99" s="6135"/>
      <c r="AO99" s="6135"/>
      <c r="AP99" s="6135"/>
      <c r="AQ99" s="6135"/>
      <c r="AR99" s="6135"/>
      <c r="AS99" s="6135"/>
      <c r="AT99" s="6135"/>
      <c r="AU99" s="6135"/>
      <c r="AV99" s="6135"/>
      <c r="AW99" s="6135"/>
      <c r="AX99" s="6135"/>
      <c r="AY99" s="6135"/>
      <c r="AZ99" s="6135"/>
      <c r="BA99" s="6135"/>
      <c r="BB99" s="6135"/>
      <c r="BC99" s="6135"/>
      <c r="BD99" s="6135"/>
      <c r="BE99" s="6135"/>
      <c r="BF99" s="6135"/>
      <c r="BG99" s="6135"/>
      <c r="BH99" s="6135"/>
      <c r="BI99" s="6135"/>
      <c r="BJ99" s="6135"/>
      <c r="BK99" s="6135"/>
      <c r="BL99" s="6135"/>
      <c r="BM99" s="6135"/>
      <c r="BN99" s="5083"/>
      <c r="BO99" s="5007"/>
      <c r="BP99" s="5007"/>
      <c r="BQ99" s="5092"/>
      <c r="BR99" s="16510"/>
      <c r="BS99" s="3470"/>
      <c r="BT99" s="3470"/>
      <c r="BU99" s="3899"/>
      <c r="BV99" s="3150"/>
      <c r="BW99" s="3150"/>
      <c r="BX99" s="3150"/>
      <c r="BY99" s="3150"/>
      <c r="BZ99" s="3150"/>
      <c r="CA99" s="3150"/>
      <c r="CB99" s="3150"/>
      <c r="CC99" s="3150"/>
      <c r="CD99" s="3150"/>
      <c r="CE99" s="3150"/>
      <c r="CF99" s="3150"/>
      <c r="CG99" s="3150"/>
      <c r="CH99" s="3150"/>
      <c r="CI99" s="3150"/>
      <c r="CJ99" s="3150"/>
      <c r="CK99" s="3150"/>
      <c r="CL99" s="3150"/>
      <c r="CM99" s="3150"/>
      <c r="CN99" s="3150"/>
      <c r="CO99" s="5007"/>
      <c r="CP99" s="5007"/>
      <c r="CQ99" s="5007"/>
      <c r="CR99" s="5007"/>
      <c r="CS99" s="5007"/>
      <c r="CT99" s="5007"/>
      <c r="CU99" s="5007"/>
      <c r="CV99" s="5007"/>
      <c r="CW99" s="5007"/>
      <c r="CX99" s="5007"/>
      <c r="CY99" s="5007"/>
      <c r="CZ99" s="3470"/>
      <c r="DA99" s="3470"/>
      <c r="DB99" s="3470"/>
      <c r="DC99" s="3470"/>
      <c r="DD99" s="3470"/>
      <c r="DE99" s="3470"/>
      <c r="DF99" s="3470"/>
      <c r="DG99" s="3470"/>
      <c r="DH99" s="3470"/>
      <c r="DI99" s="3475"/>
      <c r="DK99" s="6284"/>
      <c r="DL99" s="6135"/>
      <c r="DM99" s="6135"/>
      <c r="DN99" s="6135"/>
      <c r="DO99" s="6135"/>
      <c r="DP99" s="6135"/>
      <c r="DQ99" s="6135"/>
      <c r="DR99" s="6135"/>
      <c r="DS99" s="6135"/>
      <c r="DT99" s="6135"/>
      <c r="DU99" s="6135"/>
      <c r="DV99" s="6135"/>
      <c r="DW99" s="6135"/>
      <c r="DX99" s="6135"/>
      <c r="DY99" s="6135"/>
      <c r="DZ99" s="6135"/>
      <c r="EA99" s="6135"/>
      <c r="EB99" s="6135"/>
      <c r="EC99" s="6135"/>
      <c r="ED99" s="6135"/>
      <c r="EE99" s="6135"/>
      <c r="EF99" s="6135"/>
      <c r="EG99" s="6135"/>
      <c r="EH99" s="6135"/>
      <c r="EI99" s="6135"/>
      <c r="EJ99" s="6135"/>
      <c r="EK99" s="6135"/>
      <c r="EL99" s="6135"/>
      <c r="EM99" s="6135"/>
      <c r="EN99" s="6135"/>
      <c r="EO99" s="6135"/>
      <c r="EP99" s="6135"/>
      <c r="EQ99" s="6135"/>
      <c r="ER99" s="6135"/>
      <c r="ES99" s="6135"/>
      <c r="ET99" s="6135"/>
      <c r="EU99" s="6135"/>
      <c r="EV99" s="6135"/>
      <c r="EW99" s="6135"/>
      <c r="EX99" s="6135"/>
      <c r="EY99" s="6135"/>
      <c r="EZ99" s="6135"/>
      <c r="FA99" s="6135"/>
      <c r="FB99" s="6135"/>
      <c r="FC99" s="6135"/>
      <c r="FD99" s="6285"/>
    </row>
    <row r="100" spans="1:160" s="6075" customFormat="1" ht="15" customHeight="1">
      <c r="A100" s="16462"/>
      <c r="B100" s="16430"/>
      <c r="C100" s="16430"/>
      <c r="D100" s="15340" t="s">
        <v>5115</v>
      </c>
      <c r="E100" s="16427" t="s">
        <v>340</v>
      </c>
      <c r="F100" s="16427" t="s">
        <v>341</v>
      </c>
      <c r="G100" s="16427" t="s">
        <v>342</v>
      </c>
      <c r="H100" s="16427">
        <v>1</v>
      </c>
      <c r="I100" s="16427">
        <v>1</v>
      </c>
      <c r="J100" s="16427">
        <v>1</v>
      </c>
      <c r="K100" s="16427" t="s">
        <v>343</v>
      </c>
      <c r="L100" s="6074" t="s">
        <v>4305</v>
      </c>
      <c r="M100" s="6074" t="s">
        <v>311</v>
      </c>
      <c r="N100" s="6135"/>
      <c r="O100" s="6077">
        <v>20000000</v>
      </c>
      <c r="P100" s="6077">
        <v>20600000</v>
      </c>
      <c r="Q100" s="6077">
        <v>21218000</v>
      </c>
      <c r="R100" s="6077">
        <v>21854540</v>
      </c>
      <c r="S100" s="6077">
        <v>22510176.199999999</v>
      </c>
      <c r="T100" s="6077">
        <v>23185481.486000001</v>
      </c>
      <c r="U100" s="6077">
        <v>23881045.930580001</v>
      </c>
      <c r="V100" s="6135"/>
      <c r="W100" s="6445" t="s">
        <v>2972</v>
      </c>
      <c r="X100" s="6081" t="s">
        <v>2973</v>
      </c>
      <c r="Y100" s="6135"/>
      <c r="Z100" s="6438">
        <f>17487*AD100</f>
        <v>944298</v>
      </c>
      <c r="AA100" s="6135"/>
      <c r="AB100" s="6135"/>
      <c r="AC100" s="6135"/>
      <c r="AD100" s="6078">
        <v>54</v>
      </c>
      <c r="AE100" s="6078">
        <v>13</v>
      </c>
      <c r="AF100" s="6078">
        <v>41</v>
      </c>
      <c r="AG100" s="6078"/>
      <c r="AH100" s="6078"/>
      <c r="AI100" s="6078"/>
      <c r="AJ100" s="6078"/>
      <c r="AK100" s="6078">
        <v>11</v>
      </c>
      <c r="AL100" s="6078">
        <v>15</v>
      </c>
      <c r="AM100" s="6078">
        <v>13</v>
      </c>
      <c r="AN100" s="6078">
        <v>14</v>
      </c>
      <c r="AO100" s="6078">
        <v>1</v>
      </c>
      <c r="AP100" s="6078">
        <v>21</v>
      </c>
      <c r="AQ100" s="6078"/>
      <c r="AR100" s="6078">
        <v>22</v>
      </c>
      <c r="AS100" s="6078">
        <v>5</v>
      </c>
      <c r="AT100" s="6078">
        <v>14</v>
      </c>
      <c r="AU100" s="6078"/>
      <c r="AV100" s="6078"/>
      <c r="AW100" s="6078"/>
      <c r="AX100" s="6078"/>
      <c r="AY100" s="6078">
        <v>54</v>
      </c>
      <c r="AZ100" s="6078"/>
      <c r="BA100" s="6078"/>
      <c r="BB100" s="6078"/>
      <c r="BC100" s="6135"/>
      <c r="BD100" s="6135"/>
      <c r="BE100" s="6135"/>
      <c r="BF100" s="6135"/>
      <c r="BG100" s="6135"/>
      <c r="BH100" s="6135"/>
      <c r="BI100" s="6135"/>
      <c r="BJ100" s="6135"/>
      <c r="BK100" s="6135"/>
      <c r="BL100" s="6135"/>
      <c r="BM100" s="6135"/>
      <c r="BN100" s="5083">
        <v>1</v>
      </c>
      <c r="BO100" s="5007">
        <v>1</v>
      </c>
      <c r="BP100" s="5048">
        <v>1</v>
      </c>
      <c r="BQ100" s="5092">
        <f t="shared" si="7"/>
        <v>1</v>
      </c>
      <c r="BR100" s="16510"/>
      <c r="BS100" s="6119" t="s">
        <v>9113</v>
      </c>
      <c r="BT100" s="6119" t="s">
        <v>8894</v>
      </c>
      <c r="BU100" s="3470"/>
      <c r="BV100" s="3150"/>
      <c r="BW100" s="3150"/>
      <c r="BX100" s="3150"/>
      <c r="BY100" s="3150"/>
      <c r="BZ100" s="3150"/>
      <c r="CA100" s="3150"/>
      <c r="CB100" s="3150"/>
      <c r="CC100" s="3150"/>
      <c r="CD100" s="3150"/>
      <c r="CE100" s="3150"/>
      <c r="CF100" s="3150"/>
      <c r="CG100" s="3150"/>
      <c r="CH100" s="3150"/>
      <c r="CI100" s="3150"/>
      <c r="CJ100" s="3150"/>
      <c r="CK100" s="3150"/>
      <c r="CL100" s="3150"/>
      <c r="CM100" s="3150"/>
      <c r="CN100" s="3150"/>
      <c r="CO100" s="5007"/>
      <c r="CP100" s="5007"/>
      <c r="CQ100" s="5007"/>
      <c r="CR100" s="5007"/>
      <c r="CS100" s="5007"/>
      <c r="CT100" s="5007"/>
      <c r="CU100" s="5007"/>
      <c r="CV100" s="5007"/>
      <c r="CW100" s="5007"/>
      <c r="CX100" s="5007"/>
      <c r="CY100" s="5007"/>
      <c r="CZ100" s="3470"/>
      <c r="DA100" s="3470"/>
      <c r="DB100" s="3470"/>
      <c r="DC100" s="3470"/>
      <c r="DD100" s="3470"/>
      <c r="DE100" s="3470"/>
      <c r="DF100" s="3470"/>
      <c r="DG100" s="3470"/>
      <c r="DH100" s="3470"/>
      <c r="DI100" s="3475"/>
      <c r="DK100" s="6284"/>
      <c r="DL100" s="6135"/>
      <c r="DM100" s="6135"/>
      <c r="DN100" s="6135"/>
      <c r="DO100" s="6135"/>
      <c r="DP100" s="6135"/>
      <c r="DQ100" s="6135"/>
      <c r="DR100" s="6135"/>
      <c r="DS100" s="6135"/>
      <c r="DT100" s="6135"/>
      <c r="DU100" s="6135"/>
      <c r="DV100" s="6135"/>
      <c r="DW100" s="6135"/>
      <c r="DX100" s="6135"/>
      <c r="DY100" s="6135"/>
      <c r="DZ100" s="6135"/>
      <c r="EA100" s="6135"/>
      <c r="EB100" s="6135"/>
      <c r="EC100" s="6135"/>
      <c r="ED100" s="6135"/>
      <c r="EE100" s="6135"/>
      <c r="EF100" s="6135"/>
      <c r="EG100" s="6135"/>
      <c r="EH100" s="6135"/>
      <c r="EI100" s="6135"/>
      <c r="EJ100" s="6135"/>
      <c r="EK100" s="6135"/>
      <c r="EL100" s="6135"/>
      <c r="EM100" s="6135"/>
      <c r="EN100" s="6135"/>
      <c r="EO100" s="6135"/>
      <c r="EP100" s="6135"/>
      <c r="EQ100" s="6135"/>
      <c r="ER100" s="6135"/>
      <c r="ES100" s="6135"/>
      <c r="ET100" s="6135"/>
      <c r="EU100" s="6135"/>
      <c r="EV100" s="6135"/>
      <c r="EW100" s="6135"/>
      <c r="EX100" s="6135"/>
      <c r="EY100" s="6135"/>
      <c r="EZ100" s="6135"/>
      <c r="FA100" s="6135"/>
      <c r="FB100" s="6135"/>
      <c r="FC100" s="6135"/>
      <c r="FD100" s="6285"/>
    </row>
    <row r="101" spans="1:160" s="6075" customFormat="1" ht="15" customHeight="1">
      <c r="A101" s="16462"/>
      <c r="B101" s="16430"/>
      <c r="C101" s="16430"/>
      <c r="D101" s="15340"/>
      <c r="E101" s="16427"/>
      <c r="F101" s="16427"/>
      <c r="G101" s="16427"/>
      <c r="H101" s="16427"/>
      <c r="I101" s="16427"/>
      <c r="J101" s="16427"/>
      <c r="K101" s="16427"/>
      <c r="L101" s="6074" t="s">
        <v>329</v>
      </c>
      <c r="M101" s="6074"/>
      <c r="N101" s="6116" t="s">
        <v>329</v>
      </c>
      <c r="O101" s="6077"/>
      <c r="P101" s="6077"/>
      <c r="Q101" s="6077"/>
      <c r="R101" s="6077"/>
      <c r="S101" s="6077"/>
      <c r="T101" s="6077"/>
      <c r="U101" s="6077"/>
      <c r="V101" s="6135"/>
      <c r="W101" s="6445"/>
      <c r="X101" s="6081"/>
      <c r="Y101" s="6135"/>
      <c r="Z101" s="6438"/>
      <c r="AA101" s="6135"/>
      <c r="AB101" s="6135"/>
      <c r="AC101" s="6135"/>
      <c r="AD101" s="6078"/>
      <c r="AE101" s="6078"/>
      <c r="AF101" s="6078"/>
      <c r="AG101" s="6078"/>
      <c r="AH101" s="6078"/>
      <c r="AI101" s="6078"/>
      <c r="AJ101" s="6078"/>
      <c r="AK101" s="6078"/>
      <c r="AL101" s="6078"/>
      <c r="AM101" s="6078"/>
      <c r="AN101" s="6078"/>
      <c r="AO101" s="6078"/>
      <c r="AP101" s="6078"/>
      <c r="AQ101" s="6078"/>
      <c r="AR101" s="6078"/>
      <c r="AS101" s="6078"/>
      <c r="AT101" s="6078"/>
      <c r="AU101" s="6078"/>
      <c r="AV101" s="6078"/>
      <c r="AW101" s="6078"/>
      <c r="AX101" s="6078"/>
      <c r="AY101" s="6078"/>
      <c r="AZ101" s="6078"/>
      <c r="BA101" s="6078"/>
      <c r="BB101" s="6078"/>
      <c r="BC101" s="6135"/>
      <c r="BD101" s="6135"/>
      <c r="BE101" s="6135"/>
      <c r="BF101" s="6135"/>
      <c r="BG101" s="6135"/>
      <c r="BH101" s="6135"/>
      <c r="BI101" s="6135"/>
      <c r="BJ101" s="6135"/>
      <c r="BK101" s="6135"/>
      <c r="BL101" s="6135"/>
      <c r="BM101" s="6135"/>
      <c r="BN101" s="5083"/>
      <c r="BO101" s="5007"/>
      <c r="BP101" s="5048"/>
      <c r="BQ101" s="5092"/>
      <c r="BR101" s="16510"/>
      <c r="BS101" s="6119"/>
      <c r="BT101" s="6119"/>
      <c r="BU101" s="3470"/>
      <c r="BV101" s="3150"/>
      <c r="BW101" s="3150"/>
      <c r="BX101" s="3150"/>
      <c r="BY101" s="3150"/>
      <c r="BZ101" s="3150"/>
      <c r="CA101" s="3150"/>
      <c r="CB101" s="3150"/>
      <c r="CC101" s="3150"/>
      <c r="CD101" s="3150"/>
      <c r="CE101" s="3150"/>
      <c r="CF101" s="3150"/>
      <c r="CG101" s="3150"/>
      <c r="CH101" s="3150"/>
      <c r="CI101" s="3150"/>
      <c r="CJ101" s="3150"/>
      <c r="CK101" s="3150"/>
      <c r="CL101" s="3150"/>
      <c r="CM101" s="3150"/>
      <c r="CN101" s="3150"/>
      <c r="CO101" s="5007"/>
      <c r="CP101" s="5007"/>
      <c r="CQ101" s="5007"/>
      <c r="CR101" s="5007"/>
      <c r="CS101" s="5007"/>
      <c r="CT101" s="5007"/>
      <c r="CU101" s="5007"/>
      <c r="CV101" s="5007"/>
      <c r="CW101" s="5007"/>
      <c r="CX101" s="5007"/>
      <c r="CY101" s="5007"/>
      <c r="CZ101" s="3470"/>
      <c r="DA101" s="3470"/>
      <c r="DB101" s="3470"/>
      <c r="DC101" s="3470"/>
      <c r="DD101" s="3470"/>
      <c r="DE101" s="3470"/>
      <c r="DF101" s="3470"/>
      <c r="DG101" s="3470"/>
      <c r="DH101" s="3470"/>
      <c r="DI101" s="3475"/>
      <c r="DK101" s="6284"/>
      <c r="DL101" s="6135"/>
      <c r="DM101" s="6135"/>
      <c r="DN101" s="6135"/>
      <c r="DO101" s="6135"/>
      <c r="DP101" s="6135"/>
      <c r="DQ101" s="6135"/>
      <c r="DR101" s="6135"/>
      <c r="DS101" s="6135"/>
      <c r="DT101" s="6135"/>
      <c r="DU101" s="6135"/>
      <c r="DV101" s="6135"/>
      <c r="DW101" s="6135"/>
      <c r="DX101" s="6135"/>
      <c r="DY101" s="6135"/>
      <c r="DZ101" s="6135"/>
      <c r="EA101" s="6135"/>
      <c r="EB101" s="6135"/>
      <c r="EC101" s="6135"/>
      <c r="ED101" s="6135"/>
      <c r="EE101" s="6135"/>
      <c r="EF101" s="6135"/>
      <c r="EG101" s="6135"/>
      <c r="EH101" s="6135"/>
      <c r="EI101" s="6135"/>
      <c r="EJ101" s="6135"/>
      <c r="EK101" s="6135"/>
      <c r="EL101" s="6135"/>
      <c r="EM101" s="6135"/>
      <c r="EN101" s="6135"/>
      <c r="EO101" s="6135"/>
      <c r="EP101" s="6135"/>
      <c r="EQ101" s="6135"/>
      <c r="ER101" s="6135"/>
      <c r="ES101" s="6135"/>
      <c r="ET101" s="6135"/>
      <c r="EU101" s="6135"/>
      <c r="EV101" s="6135"/>
      <c r="EW101" s="6135"/>
      <c r="EX101" s="6135"/>
      <c r="EY101" s="6135"/>
      <c r="EZ101" s="6135"/>
      <c r="FA101" s="6135"/>
      <c r="FB101" s="6135"/>
      <c r="FC101" s="6135"/>
      <c r="FD101" s="6285"/>
    </row>
    <row r="102" spans="1:160" s="6075" customFormat="1" ht="15" customHeight="1">
      <c r="A102" s="16462"/>
      <c r="B102" s="16430"/>
      <c r="C102" s="16430"/>
      <c r="D102" s="15340"/>
      <c r="E102" s="16427"/>
      <c r="F102" s="16427"/>
      <c r="G102" s="16427"/>
      <c r="H102" s="16427"/>
      <c r="I102" s="16427"/>
      <c r="J102" s="16427"/>
      <c r="K102" s="16427"/>
      <c r="L102" s="6074" t="s">
        <v>10194</v>
      </c>
      <c r="M102" s="6074"/>
      <c r="N102" s="6116" t="s">
        <v>10275</v>
      </c>
      <c r="O102" s="6077"/>
      <c r="P102" s="6077"/>
      <c r="Q102" s="6077"/>
      <c r="R102" s="6077"/>
      <c r="S102" s="6077"/>
      <c r="T102" s="6077"/>
      <c r="U102" s="6077"/>
      <c r="V102" s="6135"/>
      <c r="W102" s="6445"/>
      <c r="X102" s="6081"/>
      <c r="Y102" s="6135"/>
      <c r="Z102" s="6438"/>
      <c r="AA102" s="6135"/>
      <c r="AB102" s="6135"/>
      <c r="AC102" s="6135"/>
      <c r="AD102" s="6078"/>
      <c r="AE102" s="6078"/>
      <c r="AF102" s="6078"/>
      <c r="AG102" s="6078"/>
      <c r="AH102" s="6078"/>
      <c r="AI102" s="6078"/>
      <c r="AJ102" s="6078"/>
      <c r="AK102" s="6078"/>
      <c r="AL102" s="6078"/>
      <c r="AM102" s="6078"/>
      <c r="AN102" s="6078"/>
      <c r="AO102" s="6078"/>
      <c r="AP102" s="6078"/>
      <c r="AQ102" s="6078"/>
      <c r="AR102" s="6078"/>
      <c r="AS102" s="6078"/>
      <c r="AT102" s="6078"/>
      <c r="AU102" s="6078"/>
      <c r="AV102" s="6078"/>
      <c r="AW102" s="6078"/>
      <c r="AX102" s="6078"/>
      <c r="AY102" s="6078"/>
      <c r="AZ102" s="6078"/>
      <c r="BA102" s="6078"/>
      <c r="BB102" s="6078"/>
      <c r="BC102" s="6135"/>
      <c r="BD102" s="6135"/>
      <c r="BE102" s="6135"/>
      <c r="BF102" s="6135"/>
      <c r="BG102" s="6135"/>
      <c r="BH102" s="6135"/>
      <c r="BI102" s="6135"/>
      <c r="BJ102" s="6135"/>
      <c r="BK102" s="6135"/>
      <c r="BL102" s="6135"/>
      <c r="BM102" s="6135"/>
      <c r="BN102" s="5083"/>
      <c r="BO102" s="5007"/>
      <c r="BP102" s="5048"/>
      <c r="BQ102" s="5092"/>
      <c r="BR102" s="16510"/>
      <c r="BS102" s="6119"/>
      <c r="BT102" s="6119"/>
      <c r="BU102" s="3470"/>
      <c r="BV102" s="3150"/>
      <c r="BW102" s="3150"/>
      <c r="BX102" s="3150"/>
      <c r="BY102" s="3150"/>
      <c r="BZ102" s="3150"/>
      <c r="CA102" s="3150"/>
      <c r="CB102" s="3150"/>
      <c r="CC102" s="3150"/>
      <c r="CD102" s="3150"/>
      <c r="CE102" s="3150"/>
      <c r="CF102" s="3150"/>
      <c r="CG102" s="3150"/>
      <c r="CH102" s="3150"/>
      <c r="CI102" s="3150"/>
      <c r="CJ102" s="3150"/>
      <c r="CK102" s="3150"/>
      <c r="CL102" s="3150"/>
      <c r="CM102" s="3150"/>
      <c r="CN102" s="3150"/>
      <c r="CO102" s="5007"/>
      <c r="CP102" s="5007"/>
      <c r="CQ102" s="5007"/>
      <c r="CR102" s="5007"/>
      <c r="CS102" s="5007"/>
      <c r="CT102" s="5007"/>
      <c r="CU102" s="5007"/>
      <c r="CV102" s="5007"/>
      <c r="CW102" s="5007"/>
      <c r="CX102" s="5007"/>
      <c r="CY102" s="5007"/>
      <c r="CZ102" s="3470"/>
      <c r="DA102" s="3470"/>
      <c r="DB102" s="3470"/>
      <c r="DC102" s="3470"/>
      <c r="DD102" s="3470"/>
      <c r="DE102" s="3470"/>
      <c r="DF102" s="3470"/>
      <c r="DG102" s="3470"/>
      <c r="DH102" s="3470"/>
      <c r="DI102" s="3475"/>
      <c r="DK102" s="6284"/>
      <c r="DL102" s="6135"/>
      <c r="DM102" s="6135"/>
      <c r="DN102" s="6135"/>
      <c r="DO102" s="6135"/>
      <c r="DP102" s="6135"/>
      <c r="DQ102" s="6135"/>
      <c r="DR102" s="6135"/>
      <c r="DS102" s="6135"/>
      <c r="DT102" s="6135"/>
      <c r="DU102" s="6135"/>
      <c r="DV102" s="6135"/>
      <c r="DW102" s="6135"/>
      <c r="DX102" s="6135"/>
      <c r="DY102" s="6135"/>
      <c r="DZ102" s="6135"/>
      <c r="EA102" s="6135"/>
      <c r="EB102" s="6135"/>
      <c r="EC102" s="6135"/>
      <c r="ED102" s="6135"/>
      <c r="EE102" s="6135"/>
      <c r="EF102" s="6135"/>
      <c r="EG102" s="6135"/>
      <c r="EH102" s="6135"/>
      <c r="EI102" s="6135"/>
      <c r="EJ102" s="6135"/>
      <c r="EK102" s="6135"/>
      <c r="EL102" s="6135"/>
      <c r="EM102" s="6135"/>
      <c r="EN102" s="6135"/>
      <c r="EO102" s="6135"/>
      <c r="EP102" s="6135"/>
      <c r="EQ102" s="6135"/>
      <c r="ER102" s="6135"/>
      <c r="ES102" s="6135"/>
      <c r="ET102" s="6135"/>
      <c r="EU102" s="6135"/>
      <c r="EV102" s="6135"/>
      <c r="EW102" s="6135"/>
      <c r="EX102" s="6135"/>
      <c r="EY102" s="6135"/>
      <c r="EZ102" s="6135"/>
      <c r="FA102" s="6135"/>
      <c r="FB102" s="6135"/>
      <c r="FC102" s="6135"/>
      <c r="FD102" s="6285"/>
    </row>
    <row r="103" spans="1:160" s="6075" customFormat="1" ht="15" customHeight="1">
      <c r="A103" s="16462"/>
      <c r="B103" s="16430"/>
      <c r="C103" s="16430"/>
      <c r="D103" s="5048" t="s">
        <v>5116</v>
      </c>
      <c r="E103" s="4076" t="s">
        <v>344</v>
      </c>
      <c r="F103" s="4076" t="s">
        <v>175</v>
      </c>
      <c r="G103" s="4076" t="s">
        <v>254</v>
      </c>
      <c r="H103" s="4076">
        <v>1</v>
      </c>
      <c r="I103" s="4076">
        <v>1</v>
      </c>
      <c r="J103" s="4076">
        <v>1</v>
      </c>
      <c r="K103" s="4076" t="s">
        <v>345</v>
      </c>
      <c r="L103" s="6074" t="s">
        <v>4305</v>
      </c>
      <c r="M103" s="6074" t="s">
        <v>311</v>
      </c>
      <c r="N103" s="6129"/>
      <c r="O103" s="6077">
        <v>20000000</v>
      </c>
      <c r="P103" s="6077">
        <v>0</v>
      </c>
      <c r="Q103" s="6077">
        <v>0</v>
      </c>
      <c r="R103" s="6077">
        <v>0</v>
      </c>
      <c r="S103" s="6077">
        <v>0</v>
      </c>
      <c r="T103" s="6077">
        <v>0</v>
      </c>
      <c r="U103" s="6077">
        <v>0</v>
      </c>
      <c r="V103" s="6135"/>
      <c r="W103" s="6078"/>
      <c r="X103" s="6078"/>
      <c r="Y103" s="5048" t="s">
        <v>2962</v>
      </c>
      <c r="Z103" s="6078"/>
      <c r="AA103" s="6135"/>
      <c r="AB103" s="6135"/>
      <c r="AC103" s="6135"/>
      <c r="AD103" s="6135"/>
      <c r="AE103" s="6135"/>
      <c r="AF103" s="6135"/>
      <c r="AG103" s="6135"/>
      <c r="AH103" s="6135"/>
      <c r="AI103" s="6135"/>
      <c r="AJ103" s="6135"/>
      <c r="AK103" s="6135"/>
      <c r="AL103" s="6135"/>
      <c r="AM103" s="6135"/>
      <c r="AN103" s="6135"/>
      <c r="AO103" s="6135"/>
      <c r="AP103" s="6135"/>
      <c r="AQ103" s="6135"/>
      <c r="AR103" s="6135"/>
      <c r="AS103" s="6135"/>
      <c r="AT103" s="6135"/>
      <c r="AU103" s="6135"/>
      <c r="AV103" s="6135"/>
      <c r="AW103" s="6135"/>
      <c r="AX103" s="6135"/>
      <c r="AY103" s="6135"/>
      <c r="AZ103" s="6135"/>
      <c r="BA103" s="6135"/>
      <c r="BB103" s="6135"/>
      <c r="BC103" s="6135"/>
      <c r="BD103" s="6135"/>
      <c r="BE103" s="6135"/>
      <c r="BF103" s="6135"/>
      <c r="BG103" s="6135"/>
      <c r="BH103" s="6135"/>
      <c r="BI103" s="6135"/>
      <c r="BJ103" s="6135"/>
      <c r="BK103" s="6135"/>
      <c r="BL103" s="6135"/>
      <c r="BM103" s="6135"/>
      <c r="BN103" s="5083">
        <v>0</v>
      </c>
      <c r="BO103" s="5007">
        <v>1</v>
      </c>
      <c r="BP103" s="5048">
        <v>0</v>
      </c>
      <c r="BQ103" s="5092">
        <f t="shared" si="7"/>
        <v>0</v>
      </c>
      <c r="BR103" s="16510"/>
      <c r="BS103" s="3470"/>
      <c r="BT103" s="3470"/>
      <c r="BU103" s="6140" t="s">
        <v>9103</v>
      </c>
      <c r="BV103" s="3150"/>
      <c r="BW103" s="3150"/>
      <c r="BX103" s="3150"/>
      <c r="BY103" s="3150"/>
      <c r="BZ103" s="3150"/>
      <c r="CA103" s="3150"/>
      <c r="CB103" s="3150"/>
      <c r="CC103" s="3150"/>
      <c r="CD103" s="3150"/>
      <c r="CE103" s="3150"/>
      <c r="CF103" s="3150"/>
      <c r="CG103" s="3150"/>
      <c r="CH103" s="3150"/>
      <c r="CI103" s="3150"/>
      <c r="CJ103" s="3150"/>
      <c r="CK103" s="3150"/>
      <c r="CL103" s="3150"/>
      <c r="CM103" s="3150"/>
      <c r="CN103" s="3150"/>
      <c r="CO103" s="5007"/>
      <c r="CP103" s="5007"/>
      <c r="CQ103" s="5007"/>
      <c r="CR103" s="5007"/>
      <c r="CS103" s="5007"/>
      <c r="CT103" s="5007"/>
      <c r="CU103" s="5007"/>
      <c r="CV103" s="5007"/>
      <c r="CW103" s="5007"/>
      <c r="CX103" s="5007"/>
      <c r="CY103" s="5007"/>
      <c r="CZ103" s="3470"/>
      <c r="DA103" s="3470"/>
      <c r="DB103" s="3470"/>
      <c r="DC103" s="3470"/>
      <c r="DD103" s="3470"/>
      <c r="DE103" s="3470"/>
      <c r="DF103" s="3470"/>
      <c r="DG103" s="3470"/>
      <c r="DH103" s="3470"/>
      <c r="DI103" s="3475"/>
      <c r="DK103" s="6284"/>
      <c r="DL103" s="6135"/>
      <c r="DM103" s="6135"/>
      <c r="DN103" s="6135"/>
      <c r="DO103" s="6135"/>
      <c r="DP103" s="6135"/>
      <c r="DQ103" s="6135"/>
      <c r="DR103" s="6135"/>
      <c r="DS103" s="6135"/>
      <c r="DT103" s="6135"/>
      <c r="DU103" s="6135"/>
      <c r="DV103" s="6135"/>
      <c r="DW103" s="6135"/>
      <c r="DX103" s="6135"/>
      <c r="DY103" s="6135"/>
      <c r="DZ103" s="6135"/>
      <c r="EA103" s="6135"/>
      <c r="EB103" s="6135"/>
      <c r="EC103" s="6135"/>
      <c r="ED103" s="6135"/>
      <c r="EE103" s="6135"/>
      <c r="EF103" s="6135"/>
      <c r="EG103" s="6135"/>
      <c r="EH103" s="6135"/>
      <c r="EI103" s="6135"/>
      <c r="EJ103" s="6135"/>
      <c r="EK103" s="6135"/>
      <c r="EL103" s="6135"/>
      <c r="EM103" s="6135"/>
      <c r="EN103" s="6135"/>
      <c r="EO103" s="6135"/>
      <c r="EP103" s="6135"/>
      <c r="EQ103" s="6135"/>
      <c r="ER103" s="6135"/>
      <c r="ES103" s="6135"/>
      <c r="ET103" s="6135"/>
      <c r="EU103" s="6135"/>
      <c r="EV103" s="6135"/>
      <c r="EW103" s="6135"/>
      <c r="EX103" s="6135"/>
      <c r="EY103" s="6135"/>
      <c r="EZ103" s="6135"/>
      <c r="FA103" s="6135"/>
      <c r="FB103" s="6135"/>
      <c r="FC103" s="6135"/>
      <c r="FD103" s="6285"/>
    </row>
    <row r="104" spans="1:160" s="6075" customFormat="1" ht="15" customHeight="1">
      <c r="A104" s="16462"/>
      <c r="B104" s="16430"/>
      <c r="C104" s="16430" t="s">
        <v>346</v>
      </c>
      <c r="D104" s="15340" t="s">
        <v>5117</v>
      </c>
      <c r="E104" s="16427" t="s">
        <v>347</v>
      </c>
      <c r="F104" s="16427" t="s">
        <v>348</v>
      </c>
      <c r="G104" s="16427" t="s">
        <v>254</v>
      </c>
      <c r="H104" s="16427">
        <v>0</v>
      </c>
      <c r="I104" s="16427">
        <v>2</v>
      </c>
      <c r="J104" s="16427">
        <v>3</v>
      </c>
      <c r="K104" s="16427" t="s">
        <v>349</v>
      </c>
      <c r="L104" s="6074" t="s">
        <v>4305</v>
      </c>
      <c r="M104" s="6074" t="s">
        <v>311</v>
      </c>
      <c r="N104" s="6135"/>
      <c r="O104" s="6077">
        <v>10000000</v>
      </c>
      <c r="P104" s="6077">
        <v>10300000</v>
      </c>
      <c r="Q104" s="6077">
        <v>10609000</v>
      </c>
      <c r="R104" s="6077">
        <v>10927270</v>
      </c>
      <c r="S104" s="6077">
        <v>11255088.1</v>
      </c>
      <c r="T104" s="6077">
        <v>11592740.743000001</v>
      </c>
      <c r="U104" s="6077">
        <v>11940522.965290001</v>
      </c>
      <c r="V104" s="6437">
        <v>1</v>
      </c>
      <c r="W104" s="6446" t="s">
        <v>3016</v>
      </c>
      <c r="X104" s="6447" t="s">
        <v>3015</v>
      </c>
      <c r="Y104" s="6078"/>
      <c r="Z104" s="6137">
        <v>41</v>
      </c>
      <c r="AA104" s="6137">
        <v>6</v>
      </c>
      <c r="AB104" s="6137">
        <v>35</v>
      </c>
      <c r="AC104" s="6137">
        <v>41</v>
      </c>
      <c r="AD104" s="6137"/>
      <c r="AE104" s="6137"/>
      <c r="AF104" s="6137"/>
      <c r="AG104" s="6137">
        <v>6</v>
      </c>
      <c r="AH104" s="6137">
        <v>14</v>
      </c>
      <c r="AI104" s="6137">
        <v>13</v>
      </c>
      <c r="AJ104" s="6137">
        <v>6</v>
      </c>
      <c r="AK104" s="6137">
        <v>2</v>
      </c>
      <c r="AL104" s="6137">
        <v>41</v>
      </c>
      <c r="AM104" s="6137"/>
      <c r="AN104" s="6137"/>
      <c r="AO104" s="6137"/>
      <c r="AP104" s="6137"/>
      <c r="AQ104" s="6137"/>
      <c r="AR104" s="6137"/>
      <c r="AS104" s="6137"/>
      <c r="AT104" s="6137"/>
      <c r="AU104" s="6137">
        <v>41</v>
      </c>
      <c r="AV104" s="6137"/>
      <c r="AW104" s="6137"/>
      <c r="AX104" s="6137"/>
      <c r="AY104" s="6137"/>
      <c r="AZ104" s="6135"/>
      <c r="BA104" s="6135"/>
      <c r="BB104" s="6135"/>
      <c r="BC104" s="6135"/>
      <c r="BD104" s="6135"/>
      <c r="BE104" s="6135"/>
      <c r="BF104" s="6135"/>
      <c r="BG104" s="6135"/>
      <c r="BH104" s="6135"/>
      <c r="BI104" s="6135"/>
      <c r="BJ104" s="6135"/>
      <c r="BK104" s="6135"/>
      <c r="BL104" s="6135"/>
      <c r="BM104" s="6135"/>
      <c r="BN104" s="5083">
        <v>11</v>
      </c>
      <c r="BO104" s="5007">
        <v>11</v>
      </c>
      <c r="BP104" s="5048">
        <v>11</v>
      </c>
      <c r="BQ104" s="5092">
        <f t="shared" si="7"/>
        <v>1</v>
      </c>
      <c r="BR104" s="16510"/>
      <c r="BS104" s="4491" t="s">
        <v>9683</v>
      </c>
      <c r="BT104" s="4073" t="s">
        <v>9681</v>
      </c>
      <c r="BU104" s="4073"/>
      <c r="BV104" s="6448">
        <v>24950573.418749999</v>
      </c>
      <c r="BW104" s="6448">
        <v>23603648.418749999</v>
      </c>
      <c r="BX104" s="6448">
        <v>1346925</v>
      </c>
      <c r="BY104" s="6449">
        <v>0</v>
      </c>
      <c r="BZ104" s="3151">
        <v>241</v>
      </c>
      <c r="CA104" s="3151">
        <v>64</v>
      </c>
      <c r="CB104" s="3151">
        <v>177</v>
      </c>
      <c r="CC104" s="3151">
        <v>239</v>
      </c>
      <c r="CD104" s="3151">
        <v>2</v>
      </c>
      <c r="CE104" s="3151">
        <v>0</v>
      </c>
      <c r="CF104" s="3151">
        <v>2</v>
      </c>
      <c r="CG104" s="3151">
        <v>12</v>
      </c>
      <c r="CH104" s="3151">
        <v>82</v>
      </c>
      <c r="CI104" s="3151">
        <v>92</v>
      </c>
      <c r="CJ104" s="3151">
        <v>38</v>
      </c>
      <c r="CK104" s="3151">
        <v>15</v>
      </c>
      <c r="CL104" s="3151">
        <v>100</v>
      </c>
      <c r="CM104" s="3151">
        <v>5</v>
      </c>
      <c r="CN104" s="3151">
        <v>0</v>
      </c>
      <c r="CO104" s="5048">
        <v>0</v>
      </c>
      <c r="CP104" s="5048">
        <v>124</v>
      </c>
      <c r="CQ104" s="5048">
        <v>0</v>
      </c>
      <c r="CR104" s="5048">
        <v>0</v>
      </c>
      <c r="CS104" s="5048">
        <v>12</v>
      </c>
      <c r="CT104" s="5048">
        <v>0</v>
      </c>
      <c r="CU104" s="5048">
        <v>241</v>
      </c>
      <c r="CV104" s="5048">
        <v>0</v>
      </c>
      <c r="CW104" s="5048">
        <v>0</v>
      </c>
      <c r="CX104" s="5048">
        <v>0</v>
      </c>
      <c r="CY104" s="5048">
        <v>0</v>
      </c>
      <c r="CZ104" s="3470"/>
      <c r="DA104" s="3470"/>
      <c r="DB104" s="3470"/>
      <c r="DC104" s="3470"/>
      <c r="DD104" s="3470"/>
      <c r="DE104" s="3470"/>
      <c r="DF104" s="3470"/>
      <c r="DG104" s="3470"/>
      <c r="DH104" s="3470"/>
      <c r="DI104" s="3475"/>
      <c r="DK104" s="6284"/>
      <c r="DL104" s="6135"/>
      <c r="DM104" s="6135"/>
      <c r="DN104" s="6135"/>
      <c r="DO104" s="6135"/>
      <c r="DP104" s="6135"/>
      <c r="DQ104" s="6135"/>
      <c r="DR104" s="6135"/>
      <c r="DS104" s="6135"/>
      <c r="DT104" s="6135"/>
      <c r="DU104" s="6135"/>
      <c r="DV104" s="6135"/>
      <c r="DW104" s="6135"/>
      <c r="DX104" s="6135"/>
      <c r="DY104" s="6135"/>
      <c r="DZ104" s="6135"/>
      <c r="EA104" s="6135"/>
      <c r="EB104" s="6135"/>
      <c r="EC104" s="6135"/>
      <c r="ED104" s="6135"/>
      <c r="EE104" s="6135"/>
      <c r="EF104" s="6135"/>
      <c r="EG104" s="6135"/>
      <c r="EH104" s="6135"/>
      <c r="EI104" s="6135"/>
      <c r="EJ104" s="6135"/>
      <c r="EK104" s="6135"/>
      <c r="EL104" s="6135"/>
      <c r="EM104" s="6135"/>
      <c r="EN104" s="6135"/>
      <c r="EO104" s="6135"/>
      <c r="EP104" s="6135"/>
      <c r="EQ104" s="6135"/>
      <c r="ER104" s="6135"/>
      <c r="ES104" s="6135"/>
      <c r="ET104" s="6135"/>
      <c r="EU104" s="6135"/>
      <c r="EV104" s="6135"/>
      <c r="EW104" s="6135"/>
      <c r="EX104" s="6135"/>
      <c r="EY104" s="6135"/>
      <c r="EZ104" s="6135"/>
      <c r="FA104" s="6135"/>
      <c r="FB104" s="6135"/>
      <c r="FC104" s="6135"/>
      <c r="FD104" s="6285"/>
    </row>
    <row r="105" spans="1:160" s="6075" customFormat="1" ht="15" customHeight="1">
      <c r="A105" s="16462"/>
      <c r="B105" s="16430"/>
      <c r="C105" s="16430"/>
      <c r="D105" s="15340"/>
      <c r="E105" s="16427"/>
      <c r="F105" s="16427"/>
      <c r="G105" s="16427"/>
      <c r="H105" s="16427"/>
      <c r="I105" s="16427"/>
      <c r="J105" s="16427"/>
      <c r="K105" s="16427"/>
      <c r="L105" s="6074" t="s">
        <v>329</v>
      </c>
      <c r="M105" s="6074"/>
      <c r="N105" s="6116" t="s">
        <v>350</v>
      </c>
      <c r="O105" s="6077"/>
      <c r="P105" s="6077"/>
      <c r="Q105" s="6077"/>
      <c r="R105" s="6077"/>
      <c r="S105" s="6077"/>
      <c r="T105" s="6077"/>
      <c r="U105" s="6077"/>
      <c r="V105" s="6437"/>
      <c r="W105" s="6446"/>
      <c r="X105" s="6447"/>
      <c r="Y105" s="6078"/>
      <c r="Z105" s="6137"/>
      <c r="AA105" s="6137"/>
      <c r="AB105" s="6137"/>
      <c r="AC105" s="6137"/>
      <c r="AD105" s="6137"/>
      <c r="AE105" s="6137"/>
      <c r="AF105" s="6137"/>
      <c r="AG105" s="6137"/>
      <c r="AH105" s="6137"/>
      <c r="AI105" s="6137"/>
      <c r="AJ105" s="6137"/>
      <c r="AK105" s="6137"/>
      <c r="AL105" s="6137"/>
      <c r="AM105" s="6137"/>
      <c r="AN105" s="6137"/>
      <c r="AO105" s="6137"/>
      <c r="AP105" s="6137"/>
      <c r="AQ105" s="6137"/>
      <c r="AR105" s="6137"/>
      <c r="AS105" s="6137"/>
      <c r="AT105" s="6137"/>
      <c r="AU105" s="6137"/>
      <c r="AV105" s="6137"/>
      <c r="AW105" s="6137"/>
      <c r="AX105" s="6137"/>
      <c r="AY105" s="6137"/>
      <c r="AZ105" s="6135"/>
      <c r="BA105" s="6135"/>
      <c r="BB105" s="6135"/>
      <c r="BC105" s="6135"/>
      <c r="BD105" s="6135"/>
      <c r="BE105" s="6135"/>
      <c r="BF105" s="6135"/>
      <c r="BG105" s="6135"/>
      <c r="BH105" s="6135"/>
      <c r="BI105" s="6135"/>
      <c r="BJ105" s="6135"/>
      <c r="BK105" s="6135"/>
      <c r="BL105" s="6135"/>
      <c r="BM105" s="6135"/>
      <c r="BN105" s="5083"/>
      <c r="BO105" s="5007"/>
      <c r="BP105" s="5048"/>
      <c r="BQ105" s="5092"/>
      <c r="BR105" s="16510"/>
      <c r="BS105" s="4491"/>
      <c r="BT105" s="4073"/>
      <c r="BU105" s="4073"/>
      <c r="BV105" s="6448"/>
      <c r="BW105" s="6448"/>
      <c r="BX105" s="6448"/>
      <c r="BY105" s="6449"/>
      <c r="BZ105" s="3151"/>
      <c r="CA105" s="3151"/>
      <c r="CB105" s="3151"/>
      <c r="CC105" s="3151"/>
      <c r="CD105" s="3151"/>
      <c r="CE105" s="3151"/>
      <c r="CF105" s="3151"/>
      <c r="CG105" s="3151"/>
      <c r="CH105" s="3151"/>
      <c r="CI105" s="3151"/>
      <c r="CJ105" s="3151"/>
      <c r="CK105" s="3151"/>
      <c r="CL105" s="3151"/>
      <c r="CM105" s="3151"/>
      <c r="CN105" s="3151"/>
      <c r="CO105" s="5048"/>
      <c r="CP105" s="5048"/>
      <c r="CQ105" s="5048"/>
      <c r="CR105" s="5048"/>
      <c r="CS105" s="5048"/>
      <c r="CT105" s="5048"/>
      <c r="CU105" s="5048"/>
      <c r="CV105" s="5048"/>
      <c r="CW105" s="5048"/>
      <c r="CX105" s="5048"/>
      <c r="CY105" s="5048"/>
      <c r="CZ105" s="3470"/>
      <c r="DA105" s="3470"/>
      <c r="DB105" s="3470"/>
      <c r="DC105" s="3470"/>
      <c r="DD105" s="3470"/>
      <c r="DE105" s="3470"/>
      <c r="DF105" s="3470"/>
      <c r="DG105" s="3470"/>
      <c r="DH105" s="3470"/>
      <c r="DI105" s="3475"/>
      <c r="DK105" s="6284"/>
      <c r="DL105" s="6135"/>
      <c r="DM105" s="6135"/>
      <c r="DN105" s="6135"/>
      <c r="DO105" s="6135"/>
      <c r="DP105" s="6135"/>
      <c r="DQ105" s="6135"/>
      <c r="DR105" s="6135"/>
      <c r="DS105" s="6135"/>
      <c r="DT105" s="6135"/>
      <c r="DU105" s="6135"/>
      <c r="DV105" s="6135"/>
      <c r="DW105" s="6135"/>
      <c r="DX105" s="6135"/>
      <c r="DY105" s="6135"/>
      <c r="DZ105" s="6135"/>
      <c r="EA105" s="6135"/>
      <c r="EB105" s="6135"/>
      <c r="EC105" s="6135"/>
      <c r="ED105" s="6135"/>
      <c r="EE105" s="6135"/>
      <c r="EF105" s="6135"/>
      <c r="EG105" s="6135"/>
      <c r="EH105" s="6135"/>
      <c r="EI105" s="6135"/>
      <c r="EJ105" s="6135"/>
      <c r="EK105" s="6135"/>
      <c r="EL105" s="6135"/>
      <c r="EM105" s="6135"/>
      <c r="EN105" s="6135"/>
      <c r="EO105" s="6135"/>
      <c r="EP105" s="6135"/>
      <c r="EQ105" s="6135"/>
      <c r="ER105" s="6135"/>
      <c r="ES105" s="6135"/>
      <c r="ET105" s="6135"/>
      <c r="EU105" s="6135"/>
      <c r="EV105" s="6135"/>
      <c r="EW105" s="6135"/>
      <c r="EX105" s="6135"/>
      <c r="EY105" s="6135"/>
      <c r="EZ105" s="6135"/>
      <c r="FA105" s="6135"/>
      <c r="FB105" s="6135"/>
      <c r="FC105" s="6135"/>
      <c r="FD105" s="6285"/>
    </row>
    <row r="106" spans="1:160" s="6075" customFormat="1" ht="15" customHeight="1">
      <c r="A106" s="16462"/>
      <c r="B106" s="16430"/>
      <c r="C106" s="16430"/>
      <c r="D106" s="15340" t="s">
        <v>5118</v>
      </c>
      <c r="E106" s="16427" t="s">
        <v>351</v>
      </c>
      <c r="F106" s="16427" t="s">
        <v>352</v>
      </c>
      <c r="G106" s="16427" t="s">
        <v>254</v>
      </c>
      <c r="H106" s="16427">
        <v>4</v>
      </c>
      <c r="I106" s="16427">
        <v>4</v>
      </c>
      <c r="J106" s="16427">
        <v>4</v>
      </c>
      <c r="K106" s="16427" t="s">
        <v>353</v>
      </c>
      <c r="L106" s="6074" t="s">
        <v>4305</v>
      </c>
      <c r="M106" s="6074" t="s">
        <v>311</v>
      </c>
      <c r="N106" s="6116" t="s">
        <v>354</v>
      </c>
      <c r="O106" s="6077">
        <v>10000000</v>
      </c>
      <c r="P106" s="6077">
        <v>10300000</v>
      </c>
      <c r="Q106" s="6077">
        <v>10609000</v>
      </c>
      <c r="R106" s="6077">
        <v>10927270</v>
      </c>
      <c r="S106" s="6077">
        <v>11255088.1</v>
      </c>
      <c r="T106" s="6077">
        <v>11592740.743000001</v>
      </c>
      <c r="U106" s="6077">
        <v>11940522.965290001</v>
      </c>
      <c r="V106" s="6450"/>
      <c r="W106" s="6446"/>
      <c r="X106" s="6447"/>
      <c r="Y106" s="6078"/>
      <c r="Z106" s="6137"/>
      <c r="AA106" s="6137"/>
      <c r="AB106" s="6137"/>
      <c r="AC106" s="6137"/>
      <c r="AD106" s="6137"/>
      <c r="AE106" s="6137"/>
      <c r="AF106" s="6137"/>
      <c r="AG106" s="6137"/>
      <c r="AH106" s="6137"/>
      <c r="AI106" s="6137"/>
      <c r="AJ106" s="6137"/>
      <c r="AK106" s="6137"/>
      <c r="AL106" s="6137"/>
      <c r="AM106" s="6137"/>
      <c r="AN106" s="6137"/>
      <c r="AO106" s="6137"/>
      <c r="AP106" s="6137"/>
      <c r="AQ106" s="6137"/>
      <c r="AR106" s="6137"/>
      <c r="AS106" s="6137"/>
      <c r="AT106" s="6137"/>
      <c r="AU106" s="6137"/>
      <c r="AV106" s="6137"/>
      <c r="AW106" s="6137"/>
      <c r="AX106" s="6137"/>
      <c r="AY106" s="6137"/>
      <c r="AZ106" s="6135"/>
      <c r="BA106" s="6135"/>
      <c r="BB106" s="6135"/>
      <c r="BC106" s="6135"/>
      <c r="BD106" s="6135"/>
      <c r="BE106" s="6135"/>
      <c r="BF106" s="6135"/>
      <c r="BG106" s="6135"/>
      <c r="BH106" s="6135"/>
      <c r="BI106" s="6135"/>
      <c r="BJ106" s="6135"/>
      <c r="BK106" s="6135"/>
      <c r="BL106" s="6135"/>
      <c r="BM106" s="6135"/>
      <c r="BN106" s="5007">
        <v>0</v>
      </c>
      <c r="BO106" s="5007">
        <v>0</v>
      </c>
      <c r="BP106" s="5007">
        <v>0</v>
      </c>
      <c r="BQ106" s="5092">
        <v>0</v>
      </c>
      <c r="BR106" s="16510"/>
      <c r="BS106" s="3470"/>
      <c r="BT106" s="3470"/>
      <c r="BU106" s="6140" t="s">
        <v>9103</v>
      </c>
      <c r="BV106" s="3150"/>
      <c r="BW106" s="3150"/>
      <c r="BX106" s="3150"/>
      <c r="BY106" s="3150"/>
      <c r="BZ106" s="3150"/>
      <c r="CA106" s="3150"/>
      <c r="CB106" s="3150"/>
      <c r="CC106" s="3150"/>
      <c r="CD106" s="3150"/>
      <c r="CE106" s="3150"/>
      <c r="CF106" s="3150"/>
      <c r="CG106" s="3150"/>
      <c r="CH106" s="3150"/>
      <c r="CI106" s="3150"/>
      <c r="CJ106" s="3150"/>
      <c r="CK106" s="3150"/>
      <c r="CL106" s="3150"/>
      <c r="CM106" s="3150"/>
      <c r="CN106" s="3150"/>
      <c r="CO106" s="5007"/>
      <c r="CP106" s="5007"/>
      <c r="CQ106" s="5007"/>
      <c r="CR106" s="5007"/>
      <c r="CS106" s="5007"/>
      <c r="CT106" s="5007"/>
      <c r="CU106" s="5007"/>
      <c r="CV106" s="5007"/>
      <c r="CW106" s="5007"/>
      <c r="CX106" s="5007"/>
      <c r="CY106" s="5007"/>
      <c r="CZ106" s="3470"/>
      <c r="DA106" s="3470"/>
      <c r="DB106" s="3470"/>
      <c r="DC106" s="3470"/>
      <c r="DD106" s="3470"/>
      <c r="DE106" s="3470"/>
      <c r="DF106" s="3470"/>
      <c r="DG106" s="3470"/>
      <c r="DH106" s="3470"/>
      <c r="DI106" s="3475"/>
      <c r="DK106" s="6284"/>
      <c r="DL106" s="6135"/>
      <c r="DM106" s="6135"/>
      <c r="DN106" s="6135"/>
      <c r="DO106" s="6135"/>
      <c r="DP106" s="6135"/>
      <c r="DQ106" s="6135"/>
      <c r="DR106" s="6135"/>
      <c r="DS106" s="6135"/>
      <c r="DT106" s="6135"/>
      <c r="DU106" s="6135"/>
      <c r="DV106" s="6135"/>
      <c r="DW106" s="6135"/>
      <c r="DX106" s="6135"/>
      <c r="DY106" s="6135"/>
      <c r="DZ106" s="6135"/>
      <c r="EA106" s="6135"/>
      <c r="EB106" s="6135"/>
      <c r="EC106" s="6135"/>
      <c r="ED106" s="6135"/>
      <c r="EE106" s="6135"/>
      <c r="EF106" s="6135"/>
      <c r="EG106" s="6135"/>
      <c r="EH106" s="6135"/>
      <c r="EI106" s="6135"/>
      <c r="EJ106" s="6135"/>
      <c r="EK106" s="6135"/>
      <c r="EL106" s="6135"/>
      <c r="EM106" s="6135"/>
      <c r="EN106" s="6135"/>
      <c r="EO106" s="6135"/>
      <c r="EP106" s="6135"/>
      <c r="EQ106" s="6135"/>
      <c r="ER106" s="6135"/>
      <c r="ES106" s="6135"/>
      <c r="ET106" s="6135"/>
      <c r="EU106" s="6135"/>
      <c r="EV106" s="6135"/>
      <c r="EW106" s="6135"/>
      <c r="EX106" s="6135"/>
      <c r="EY106" s="6135"/>
      <c r="EZ106" s="6135"/>
      <c r="FA106" s="6135"/>
      <c r="FB106" s="6135"/>
      <c r="FC106" s="6135"/>
      <c r="FD106" s="6285"/>
    </row>
    <row r="107" spans="1:160" s="6075" customFormat="1" ht="15" customHeight="1">
      <c r="A107" s="16462"/>
      <c r="B107" s="16430"/>
      <c r="C107" s="16430"/>
      <c r="D107" s="15340"/>
      <c r="E107" s="16427"/>
      <c r="F107" s="16427"/>
      <c r="G107" s="16427"/>
      <c r="H107" s="16427"/>
      <c r="I107" s="16427"/>
      <c r="J107" s="16427"/>
      <c r="K107" s="16427"/>
      <c r="L107" s="6074" t="s">
        <v>26</v>
      </c>
      <c r="M107" s="6451"/>
      <c r="N107" s="6451"/>
      <c r="O107" s="6451"/>
      <c r="P107" s="6451"/>
      <c r="Q107" s="6451"/>
      <c r="R107" s="6451"/>
      <c r="S107" s="6451"/>
      <c r="T107" s="6451"/>
      <c r="U107" s="6452"/>
      <c r="V107" s="6135"/>
      <c r="W107" s="6135"/>
      <c r="X107" s="6135"/>
      <c r="Y107" s="6135"/>
      <c r="Z107" s="6135"/>
      <c r="AA107" s="6135"/>
      <c r="AB107" s="6135"/>
      <c r="AC107" s="6135"/>
      <c r="AD107" s="6135"/>
      <c r="AE107" s="6135"/>
      <c r="AF107" s="6135"/>
      <c r="AG107" s="6135"/>
      <c r="AH107" s="6135"/>
      <c r="AI107" s="6135"/>
      <c r="AJ107" s="6135"/>
      <c r="AK107" s="6135"/>
      <c r="AL107" s="6135"/>
      <c r="AM107" s="6135"/>
      <c r="AN107" s="6135"/>
      <c r="AO107" s="6135"/>
      <c r="AP107" s="6135"/>
      <c r="AQ107" s="6135"/>
      <c r="AR107" s="6135"/>
      <c r="AS107" s="6135"/>
      <c r="AT107" s="6135"/>
      <c r="AU107" s="6135"/>
      <c r="AV107" s="6135"/>
      <c r="AW107" s="6135"/>
      <c r="AX107" s="6135"/>
      <c r="AY107" s="6135"/>
      <c r="AZ107" s="6135"/>
      <c r="BA107" s="6135"/>
      <c r="BB107" s="6135"/>
      <c r="BC107" s="6135"/>
      <c r="BD107" s="6135"/>
      <c r="BE107" s="6135"/>
      <c r="BF107" s="6135"/>
      <c r="BG107" s="6135"/>
      <c r="BH107" s="6135"/>
      <c r="BI107" s="6135"/>
      <c r="BJ107" s="6135"/>
      <c r="BK107" s="6135"/>
      <c r="BL107" s="6135"/>
      <c r="BM107" s="6135"/>
      <c r="BN107" s="6135"/>
      <c r="BO107" s="6135"/>
      <c r="BP107" s="6135"/>
      <c r="BQ107" s="6135"/>
      <c r="BR107" s="6135"/>
      <c r="BS107" s="6453"/>
      <c r="BT107" s="6453"/>
      <c r="BU107" s="6453"/>
      <c r="BV107" s="6454"/>
      <c r="BW107" s="6454"/>
      <c r="BX107" s="6454"/>
      <c r="BY107" s="6454"/>
      <c r="BZ107" s="6454"/>
      <c r="CA107" s="6454"/>
      <c r="CB107" s="6454"/>
      <c r="CC107" s="6454"/>
      <c r="CD107" s="6454"/>
      <c r="CE107" s="6454"/>
      <c r="CF107" s="6454"/>
      <c r="CG107" s="6454"/>
      <c r="CH107" s="6454"/>
      <c r="CI107" s="6454"/>
      <c r="CJ107" s="6454"/>
      <c r="CK107" s="6454"/>
      <c r="CL107" s="6454"/>
      <c r="CM107" s="6454"/>
      <c r="CN107" s="6454"/>
      <c r="CO107" s="6453"/>
      <c r="CP107" s="6453"/>
      <c r="CQ107" s="6453"/>
      <c r="CR107" s="6453"/>
      <c r="CS107" s="6453"/>
      <c r="CT107" s="6453"/>
      <c r="CU107" s="6453"/>
      <c r="CV107" s="6453"/>
      <c r="CW107" s="6453"/>
      <c r="CX107" s="6453"/>
      <c r="CY107" s="6453"/>
      <c r="CZ107" s="6453"/>
      <c r="DA107" s="6453"/>
      <c r="DB107" s="6453"/>
      <c r="DC107" s="6453"/>
      <c r="DD107" s="6453"/>
      <c r="DE107" s="6453"/>
      <c r="DF107" s="6453"/>
      <c r="DG107" s="6453"/>
      <c r="DH107" s="6453"/>
      <c r="DI107" s="6455"/>
      <c r="DK107" s="6284"/>
      <c r="DL107" s="6135"/>
      <c r="DM107" s="6135"/>
      <c r="DN107" s="6135"/>
      <c r="DO107" s="6135"/>
      <c r="DP107" s="6135"/>
      <c r="DQ107" s="6135"/>
      <c r="DR107" s="6135"/>
      <c r="DS107" s="6135"/>
      <c r="DT107" s="6135"/>
      <c r="DU107" s="6135"/>
      <c r="DV107" s="6135"/>
      <c r="DW107" s="6135"/>
      <c r="DX107" s="6135"/>
      <c r="DY107" s="6135"/>
      <c r="DZ107" s="6135"/>
      <c r="EA107" s="6135"/>
      <c r="EB107" s="6135"/>
      <c r="EC107" s="6135"/>
      <c r="ED107" s="6135"/>
      <c r="EE107" s="6135"/>
      <c r="EF107" s="6135"/>
      <c r="EG107" s="6135"/>
      <c r="EH107" s="6135"/>
      <c r="EI107" s="6135"/>
      <c r="EJ107" s="6135"/>
      <c r="EK107" s="6135"/>
      <c r="EL107" s="6135"/>
      <c r="EM107" s="6135"/>
      <c r="EN107" s="6135"/>
      <c r="EO107" s="6135"/>
      <c r="EP107" s="6135"/>
      <c r="EQ107" s="6135"/>
      <c r="ER107" s="6135"/>
      <c r="ES107" s="6135"/>
      <c r="ET107" s="6135"/>
      <c r="EU107" s="6135"/>
      <c r="EV107" s="6135"/>
      <c r="EW107" s="6135"/>
      <c r="EX107" s="6135"/>
      <c r="EY107" s="6135"/>
      <c r="EZ107" s="6135"/>
      <c r="FA107" s="6135"/>
      <c r="FB107" s="6135"/>
      <c r="FC107" s="6135"/>
      <c r="FD107" s="6285"/>
    </row>
    <row r="108" spans="1:160" s="6075" customFormat="1" ht="15" customHeight="1">
      <c r="A108" s="16462"/>
      <c r="B108" s="16430"/>
      <c r="C108" s="16430"/>
      <c r="D108" s="15340"/>
      <c r="E108" s="16427"/>
      <c r="F108" s="16427"/>
      <c r="G108" s="16427"/>
      <c r="H108" s="16427"/>
      <c r="I108" s="16427"/>
      <c r="J108" s="16427"/>
      <c r="K108" s="16427"/>
      <c r="L108" s="6074" t="s">
        <v>10063</v>
      </c>
      <c r="M108" s="6451"/>
      <c r="N108" s="6451"/>
      <c r="O108" s="6451"/>
      <c r="P108" s="6451"/>
      <c r="Q108" s="6451"/>
      <c r="R108" s="6451"/>
      <c r="S108" s="6451"/>
      <c r="T108" s="6451"/>
      <c r="U108" s="6452"/>
      <c r="V108" s="6135"/>
      <c r="W108" s="6135"/>
      <c r="X108" s="6135"/>
      <c r="Y108" s="6135"/>
      <c r="Z108" s="6135"/>
      <c r="AA108" s="6135"/>
      <c r="AB108" s="6135"/>
      <c r="AC108" s="6135"/>
      <c r="AD108" s="6135"/>
      <c r="AE108" s="6135"/>
      <c r="AF108" s="6135"/>
      <c r="AG108" s="6135"/>
      <c r="AH108" s="6135"/>
      <c r="AI108" s="6135"/>
      <c r="AJ108" s="6135"/>
      <c r="AK108" s="6135"/>
      <c r="AL108" s="6135"/>
      <c r="AM108" s="6135"/>
      <c r="AN108" s="6135"/>
      <c r="AO108" s="6135"/>
      <c r="AP108" s="6135"/>
      <c r="AQ108" s="6135"/>
      <c r="AR108" s="6135"/>
      <c r="AS108" s="6135"/>
      <c r="AT108" s="6135"/>
      <c r="AU108" s="6135"/>
      <c r="AV108" s="6135"/>
      <c r="AW108" s="6135"/>
      <c r="AX108" s="6135"/>
      <c r="AY108" s="6135"/>
      <c r="AZ108" s="6135"/>
      <c r="BA108" s="6135"/>
      <c r="BB108" s="6135"/>
      <c r="BC108" s="6135"/>
      <c r="BD108" s="6135"/>
      <c r="BE108" s="6135"/>
      <c r="BF108" s="6135"/>
      <c r="BG108" s="6135"/>
      <c r="BH108" s="6135"/>
      <c r="BI108" s="6135"/>
      <c r="BJ108" s="6135"/>
      <c r="BK108" s="6135"/>
      <c r="BL108" s="6135"/>
      <c r="BM108" s="6135"/>
      <c r="BN108" s="6135"/>
      <c r="BO108" s="6135"/>
      <c r="BP108" s="6135"/>
      <c r="BQ108" s="6135"/>
      <c r="BR108" s="6135"/>
      <c r="BS108" s="6453"/>
      <c r="BT108" s="6453"/>
      <c r="BU108" s="6453"/>
      <c r="BV108" s="6454"/>
      <c r="BW108" s="6454"/>
      <c r="BX108" s="6454"/>
      <c r="BY108" s="6454"/>
      <c r="BZ108" s="6454"/>
      <c r="CA108" s="6454"/>
      <c r="CB108" s="6454"/>
      <c r="CC108" s="6454"/>
      <c r="CD108" s="6454"/>
      <c r="CE108" s="6454"/>
      <c r="CF108" s="6454"/>
      <c r="CG108" s="6454"/>
      <c r="CH108" s="6454"/>
      <c r="CI108" s="6454"/>
      <c r="CJ108" s="6454"/>
      <c r="CK108" s="6454"/>
      <c r="CL108" s="6454"/>
      <c r="CM108" s="6454"/>
      <c r="CN108" s="6454"/>
      <c r="CO108" s="6453"/>
      <c r="CP108" s="6453"/>
      <c r="CQ108" s="6453"/>
      <c r="CR108" s="6453"/>
      <c r="CS108" s="6453"/>
      <c r="CT108" s="6453"/>
      <c r="CU108" s="6453"/>
      <c r="CV108" s="6453"/>
      <c r="CW108" s="6453"/>
      <c r="CX108" s="6453"/>
      <c r="CY108" s="6453"/>
      <c r="CZ108" s="6453"/>
      <c r="DA108" s="6453"/>
      <c r="DB108" s="6453"/>
      <c r="DC108" s="6453"/>
      <c r="DD108" s="6453"/>
      <c r="DE108" s="6453"/>
      <c r="DF108" s="6453"/>
      <c r="DG108" s="6453"/>
      <c r="DH108" s="6453"/>
      <c r="DI108" s="6455"/>
      <c r="DK108" s="6284"/>
      <c r="DL108" s="6135"/>
      <c r="DM108" s="6135"/>
      <c r="DN108" s="6135"/>
      <c r="DO108" s="6135"/>
      <c r="DP108" s="6135"/>
      <c r="DQ108" s="6135"/>
      <c r="DR108" s="6135"/>
      <c r="DS108" s="6135"/>
      <c r="DT108" s="6135"/>
      <c r="DU108" s="6135"/>
      <c r="DV108" s="6135"/>
      <c r="DW108" s="6135"/>
      <c r="DX108" s="6135"/>
      <c r="DY108" s="6135"/>
      <c r="DZ108" s="6135"/>
      <c r="EA108" s="6135"/>
      <c r="EB108" s="6135"/>
      <c r="EC108" s="6135"/>
      <c r="ED108" s="6135"/>
      <c r="EE108" s="6135"/>
      <c r="EF108" s="6135"/>
      <c r="EG108" s="6135"/>
      <c r="EH108" s="6135"/>
      <c r="EI108" s="6135"/>
      <c r="EJ108" s="6135"/>
      <c r="EK108" s="6135"/>
      <c r="EL108" s="6135"/>
      <c r="EM108" s="6135"/>
      <c r="EN108" s="6135"/>
      <c r="EO108" s="6135"/>
      <c r="EP108" s="6135"/>
      <c r="EQ108" s="6135"/>
      <c r="ER108" s="6135"/>
      <c r="ES108" s="6135"/>
      <c r="ET108" s="6135"/>
      <c r="EU108" s="6135"/>
      <c r="EV108" s="6135"/>
      <c r="EW108" s="6135"/>
      <c r="EX108" s="6135"/>
      <c r="EY108" s="6135"/>
      <c r="EZ108" s="6135"/>
      <c r="FA108" s="6135"/>
      <c r="FB108" s="6135"/>
      <c r="FC108" s="6135"/>
      <c r="FD108" s="6285"/>
    </row>
    <row r="109" spans="1:160" s="6075" customFormat="1" ht="15" customHeight="1" thickBot="1">
      <c r="A109" s="16463"/>
      <c r="B109" s="16431"/>
      <c r="C109" s="16431"/>
      <c r="D109" s="16429"/>
      <c r="E109" s="16428"/>
      <c r="F109" s="16428"/>
      <c r="G109" s="16428"/>
      <c r="H109" s="16428"/>
      <c r="I109" s="16428"/>
      <c r="J109" s="16428"/>
      <c r="K109" s="16428"/>
      <c r="L109" s="6238" t="s">
        <v>329</v>
      </c>
      <c r="M109" s="6456"/>
      <c r="N109" s="6456"/>
      <c r="O109" s="6456"/>
      <c r="P109" s="6456"/>
      <c r="Q109" s="6456"/>
      <c r="R109" s="6456"/>
      <c r="S109" s="6456"/>
      <c r="T109" s="6456"/>
      <c r="U109" s="6457"/>
      <c r="V109" s="6300"/>
      <c r="W109" s="6300"/>
      <c r="X109" s="6300"/>
      <c r="Y109" s="6300"/>
      <c r="Z109" s="6300"/>
      <c r="AA109" s="6300"/>
      <c r="AB109" s="6300"/>
      <c r="AC109" s="6300"/>
      <c r="AD109" s="6300"/>
      <c r="AE109" s="6300"/>
      <c r="AF109" s="6300"/>
      <c r="AG109" s="6300"/>
      <c r="AH109" s="6300"/>
      <c r="AI109" s="6300"/>
      <c r="AJ109" s="6300"/>
      <c r="AK109" s="6300"/>
      <c r="AL109" s="6300"/>
      <c r="AM109" s="6300"/>
      <c r="AN109" s="6300"/>
      <c r="AO109" s="6300"/>
      <c r="AP109" s="6300"/>
      <c r="AQ109" s="6300"/>
      <c r="AR109" s="6300"/>
      <c r="AS109" s="6300"/>
      <c r="AT109" s="6300"/>
      <c r="AU109" s="6300"/>
      <c r="AV109" s="6300"/>
      <c r="AW109" s="6300"/>
      <c r="AX109" s="6300"/>
      <c r="AY109" s="6300"/>
      <c r="AZ109" s="6300"/>
      <c r="BA109" s="6300"/>
      <c r="BB109" s="6300"/>
      <c r="BC109" s="6300"/>
      <c r="BD109" s="6300"/>
      <c r="BE109" s="6300"/>
      <c r="BF109" s="6300"/>
      <c r="BG109" s="6300"/>
      <c r="BH109" s="6300"/>
      <c r="BI109" s="6300"/>
      <c r="BJ109" s="6300"/>
      <c r="BK109" s="6300"/>
      <c r="BL109" s="6300"/>
      <c r="BM109" s="6300"/>
      <c r="BN109" s="6300"/>
      <c r="BO109" s="6300"/>
      <c r="BP109" s="6300"/>
      <c r="BQ109" s="6300"/>
      <c r="BR109" s="6300"/>
      <c r="BS109" s="6458"/>
      <c r="BT109" s="6458"/>
      <c r="BU109" s="6458"/>
      <c r="BV109" s="6459">
        <f>SUM(BV6:BV106)</f>
        <v>2287716935.1500001</v>
      </c>
      <c r="BW109" s="6460"/>
      <c r="BX109" s="6460"/>
      <c r="BY109" s="6460"/>
      <c r="BZ109" s="6459">
        <f>SUM(BZ6:BZ106)</f>
        <v>13106</v>
      </c>
      <c r="CA109" s="6460"/>
      <c r="CB109" s="6460"/>
      <c r="CC109" s="6460"/>
      <c r="CD109" s="6460"/>
      <c r="CE109" s="6460"/>
      <c r="CF109" s="6460"/>
      <c r="CG109" s="6460"/>
      <c r="CH109" s="6460"/>
      <c r="CI109" s="6460"/>
      <c r="CJ109" s="6460"/>
      <c r="CK109" s="6460"/>
      <c r="CL109" s="6460"/>
      <c r="CM109" s="6460"/>
      <c r="CN109" s="6460"/>
      <c r="CO109" s="6458"/>
      <c r="CP109" s="6458"/>
      <c r="CQ109" s="6458"/>
      <c r="CR109" s="6458"/>
      <c r="CS109" s="6458"/>
      <c r="CT109" s="6458"/>
      <c r="CU109" s="6461">
        <f>SUM(CU6:CU106)</f>
        <v>10923</v>
      </c>
      <c r="CV109" s="6458"/>
      <c r="CW109" s="6458"/>
      <c r="CX109" s="6458"/>
      <c r="CY109" s="6458"/>
      <c r="CZ109" s="6458"/>
      <c r="DA109" s="6458"/>
      <c r="DB109" s="6458"/>
      <c r="DC109" s="6458"/>
      <c r="DD109" s="6458"/>
      <c r="DE109" s="6458"/>
      <c r="DF109" s="6458"/>
      <c r="DG109" s="6458"/>
      <c r="DH109" s="6458"/>
      <c r="DI109" s="6462"/>
      <c r="DK109" s="6299"/>
      <c r="DL109" s="6300"/>
      <c r="DM109" s="6300"/>
      <c r="DN109" s="6300"/>
      <c r="DO109" s="6300"/>
      <c r="DP109" s="6300"/>
      <c r="DQ109" s="6300"/>
      <c r="DR109" s="6300"/>
      <c r="DS109" s="6300"/>
      <c r="DT109" s="6300"/>
      <c r="DU109" s="6300"/>
      <c r="DV109" s="6300"/>
      <c r="DW109" s="6300"/>
      <c r="DX109" s="6300"/>
      <c r="DY109" s="6300"/>
      <c r="DZ109" s="6300"/>
      <c r="EA109" s="6300"/>
      <c r="EB109" s="6300"/>
      <c r="EC109" s="6300"/>
      <c r="ED109" s="6300"/>
      <c r="EE109" s="6300"/>
      <c r="EF109" s="6300"/>
      <c r="EG109" s="6300"/>
      <c r="EH109" s="6300"/>
      <c r="EI109" s="6300"/>
      <c r="EJ109" s="6300"/>
      <c r="EK109" s="6300"/>
      <c r="EL109" s="6300"/>
      <c r="EM109" s="6300"/>
      <c r="EN109" s="6300"/>
      <c r="EO109" s="6300"/>
      <c r="EP109" s="6300"/>
      <c r="EQ109" s="6300"/>
      <c r="ER109" s="6300"/>
      <c r="ES109" s="6300"/>
      <c r="ET109" s="6300"/>
      <c r="EU109" s="6300"/>
      <c r="EV109" s="6300"/>
      <c r="EW109" s="6300"/>
      <c r="EX109" s="6300"/>
      <c r="EY109" s="6300"/>
      <c r="EZ109" s="6300"/>
      <c r="FA109" s="6300"/>
      <c r="FB109" s="6300"/>
      <c r="FC109" s="6300"/>
      <c r="FD109" s="6301"/>
    </row>
    <row r="110" spans="1:160" ht="15" customHeight="1">
      <c r="D110" s="32"/>
      <c r="E110" s="32"/>
    </row>
    <row r="111" spans="1:160" ht="15" customHeight="1">
      <c r="D111" s="32"/>
      <c r="E111" s="32"/>
    </row>
    <row r="112" spans="1:160" ht="15" customHeight="1">
      <c r="D112" s="32"/>
      <c r="E112" s="32"/>
    </row>
    <row r="113" spans="4:5" ht="15" customHeight="1">
      <c r="D113" s="32"/>
      <c r="E113" s="32"/>
    </row>
    <row r="114" spans="4:5" ht="15" customHeight="1">
      <c r="D114" s="32"/>
      <c r="E114" s="32"/>
    </row>
    <row r="115" spans="4:5" ht="15" customHeight="1">
      <c r="D115" s="32"/>
      <c r="E115" s="32"/>
    </row>
    <row r="116" spans="4:5" ht="15" customHeight="1">
      <c r="D116" s="32"/>
      <c r="E116" s="32"/>
    </row>
    <row r="117" spans="4:5" ht="15" customHeight="1">
      <c r="D117" s="32"/>
      <c r="E117" s="32"/>
    </row>
    <row r="118" spans="4:5" ht="15" customHeight="1">
      <c r="D118" s="32"/>
      <c r="E118" s="32"/>
    </row>
    <row r="119" spans="4:5" ht="15" customHeight="1">
      <c r="D119" s="32"/>
      <c r="E119" s="32"/>
    </row>
  </sheetData>
  <autoFilter ref="A5:PP106" xr:uid="{00000000-0009-0000-0000-000013000000}"/>
  <mergeCells count="383">
    <mergeCell ref="BR73:BR83"/>
    <mergeCell ref="BR85:BR106"/>
    <mergeCell ref="BO3:BO5"/>
    <mergeCell ref="BP3:BP5"/>
    <mergeCell ref="BQ3:BQ5"/>
    <mergeCell ref="BR3:BR5"/>
    <mergeCell ref="BR6:BR9"/>
    <mergeCell ref="BR10:BR36"/>
    <mergeCell ref="BR37:BR49"/>
    <mergeCell ref="BR50:BR63"/>
    <mergeCell ref="BR64:BR72"/>
    <mergeCell ref="CE4:CK4"/>
    <mergeCell ref="CL4:CS4"/>
    <mergeCell ref="CT4:CY4"/>
    <mergeCell ref="CZ4:CZ5"/>
    <mergeCell ref="DA4:DA5"/>
    <mergeCell ref="BN1:DI2"/>
    <mergeCell ref="BN3:BN5"/>
    <mergeCell ref="BS3:BS5"/>
    <mergeCell ref="BT3:BT5"/>
    <mergeCell ref="BU3:BU5"/>
    <mergeCell ref="BV3:BY3"/>
    <mergeCell ref="BZ3:CY3"/>
    <mergeCell ref="CZ3:DD3"/>
    <mergeCell ref="DE3:DI3"/>
    <mergeCell ref="BV4:BV5"/>
    <mergeCell ref="BW4:BW5"/>
    <mergeCell ref="BX4:BX5"/>
    <mergeCell ref="BY4:BY5"/>
    <mergeCell ref="BZ4:BZ5"/>
    <mergeCell ref="CA4:CB4"/>
    <mergeCell ref="CC4:CD4"/>
    <mergeCell ref="DB4:DB5"/>
    <mergeCell ref="DE4:DE5"/>
    <mergeCell ref="DF4:DH4"/>
    <mergeCell ref="Y85:Y86"/>
    <mergeCell ref="A4:A5"/>
    <mergeCell ref="G4:G5"/>
    <mergeCell ref="H4:H5"/>
    <mergeCell ref="I4:I5"/>
    <mergeCell ref="V3:V5"/>
    <mergeCell ref="O4:O5"/>
    <mergeCell ref="C33:C36"/>
    <mergeCell ref="A37:A49"/>
    <mergeCell ref="B37:B49"/>
    <mergeCell ref="C37:C40"/>
    <mergeCell ref="M3:M5"/>
    <mergeCell ref="N3:N5"/>
    <mergeCell ref="B50:B60"/>
    <mergeCell ref="B61:B63"/>
    <mergeCell ref="E3:E5"/>
    <mergeCell ref="P4:P5"/>
    <mergeCell ref="Q4:Q5"/>
    <mergeCell ref="T4:T5"/>
    <mergeCell ref="A50:A63"/>
    <mergeCell ref="A6:A9"/>
    <mergeCell ref="B6:B9"/>
    <mergeCell ref="C6:C7"/>
    <mergeCell ref="A10:A36"/>
    <mergeCell ref="V1:BM2"/>
    <mergeCell ref="B1:U1"/>
    <mergeCell ref="B2:U2"/>
    <mergeCell ref="W3:W5"/>
    <mergeCell ref="X3:X5"/>
    <mergeCell ref="Y3:Y5"/>
    <mergeCell ref="Z3:AC3"/>
    <mergeCell ref="AD3:BC3"/>
    <mergeCell ref="BD3:BH3"/>
    <mergeCell ref="BI3:BM3"/>
    <mergeCell ref="Z4:Z5"/>
    <mergeCell ref="AB4:AB5"/>
    <mergeCell ref="AC4:AC5"/>
    <mergeCell ref="AD4:AD5"/>
    <mergeCell ref="R4:R5"/>
    <mergeCell ref="S4:S5"/>
    <mergeCell ref="B3:B5"/>
    <mergeCell ref="C3:C5"/>
    <mergeCell ref="F3:F5"/>
    <mergeCell ref="J3:J5"/>
    <mergeCell ref="D3:D5"/>
    <mergeCell ref="AE4:AF4"/>
    <mergeCell ref="K3:K5"/>
    <mergeCell ref="U3:U5"/>
    <mergeCell ref="C93:C103"/>
    <mergeCell ref="A64:A72"/>
    <mergeCell ref="B64:B72"/>
    <mergeCell ref="C64:C66"/>
    <mergeCell ref="C67:C72"/>
    <mergeCell ref="C73:C78"/>
    <mergeCell ref="C79:C84"/>
    <mergeCell ref="B73:B84"/>
    <mergeCell ref="A85:A109"/>
    <mergeCell ref="AA4:AA5"/>
    <mergeCell ref="BI4:BI5"/>
    <mergeCell ref="BJ4:BL4"/>
    <mergeCell ref="AG4:AH4"/>
    <mergeCell ref="AI4:AO4"/>
    <mergeCell ref="AP4:AW4"/>
    <mergeCell ref="AX4:BC4"/>
    <mergeCell ref="BD4:BD5"/>
    <mergeCell ref="BE4:BE5"/>
    <mergeCell ref="BF4:BF5"/>
    <mergeCell ref="B10:B36"/>
    <mergeCell ref="C23:C24"/>
    <mergeCell ref="L3:L5"/>
    <mergeCell ref="D7:D8"/>
    <mergeCell ref="E7:E8"/>
    <mergeCell ref="F7:F8"/>
    <mergeCell ref="G7:G8"/>
    <mergeCell ref="H7:H8"/>
    <mergeCell ref="I7:I8"/>
    <mergeCell ref="J7:J8"/>
    <mergeCell ref="K7:K8"/>
    <mergeCell ref="D10:D11"/>
    <mergeCell ref="D13:D14"/>
    <mergeCell ref="D15:D16"/>
    <mergeCell ref="D17:D18"/>
    <mergeCell ref="G17:G18"/>
    <mergeCell ref="H17:H18"/>
    <mergeCell ref="I17:I18"/>
    <mergeCell ref="J17:J18"/>
    <mergeCell ref="K17:K18"/>
    <mergeCell ref="E15:E16"/>
    <mergeCell ref="F15:F16"/>
    <mergeCell ref="G15:G16"/>
    <mergeCell ref="H15:H16"/>
    <mergeCell ref="I15:I16"/>
    <mergeCell ref="J15:J16"/>
    <mergeCell ref="K15:K16"/>
    <mergeCell ref="E17:E18"/>
    <mergeCell ref="F17:F18"/>
    <mergeCell ref="E10:E11"/>
    <mergeCell ref="F10:F11"/>
    <mergeCell ref="G10:G11"/>
    <mergeCell ref="H10:H11"/>
    <mergeCell ref="I10:I11"/>
    <mergeCell ref="J10:J11"/>
    <mergeCell ref="K10:K11"/>
    <mergeCell ref="E13:E14"/>
    <mergeCell ref="F13:F14"/>
    <mergeCell ref="G13:G14"/>
    <mergeCell ref="H13:H14"/>
    <mergeCell ref="I13:I14"/>
    <mergeCell ref="J13:J14"/>
    <mergeCell ref="K13:K14"/>
    <mergeCell ref="E19:E20"/>
    <mergeCell ref="F19:F20"/>
    <mergeCell ref="G19:G20"/>
    <mergeCell ref="H19:H20"/>
    <mergeCell ref="I19:I20"/>
    <mergeCell ref="J19:J20"/>
    <mergeCell ref="K19:K20"/>
    <mergeCell ref="D21:D22"/>
    <mergeCell ref="E21:E22"/>
    <mergeCell ref="F21:F22"/>
    <mergeCell ref="G21:G22"/>
    <mergeCell ref="H21:H22"/>
    <mergeCell ref="I21:I22"/>
    <mergeCell ref="J21:J22"/>
    <mergeCell ref="K21:K22"/>
    <mergeCell ref="D19:D20"/>
    <mergeCell ref="D25:D27"/>
    <mergeCell ref="E25:E27"/>
    <mergeCell ref="F25:F27"/>
    <mergeCell ref="G25:G27"/>
    <mergeCell ref="H25:H27"/>
    <mergeCell ref="I25:I27"/>
    <mergeCell ref="J25:J27"/>
    <mergeCell ref="K25:K27"/>
    <mergeCell ref="D28:D29"/>
    <mergeCell ref="E28:E29"/>
    <mergeCell ref="F28:F29"/>
    <mergeCell ref="G28:G29"/>
    <mergeCell ref="H28:H29"/>
    <mergeCell ref="I28:I29"/>
    <mergeCell ref="J28:J29"/>
    <mergeCell ref="K28:K29"/>
    <mergeCell ref="D30:D32"/>
    <mergeCell ref="E30:E32"/>
    <mergeCell ref="F30:F32"/>
    <mergeCell ref="G30:G32"/>
    <mergeCell ref="H30:H32"/>
    <mergeCell ref="I30:I32"/>
    <mergeCell ref="J30:J32"/>
    <mergeCell ref="K30:K32"/>
    <mergeCell ref="D34:D35"/>
    <mergeCell ref="E34:E35"/>
    <mergeCell ref="F34:F35"/>
    <mergeCell ref="G34:G35"/>
    <mergeCell ref="H34:H35"/>
    <mergeCell ref="I34:I35"/>
    <mergeCell ref="J34:J35"/>
    <mergeCell ref="K34:K35"/>
    <mergeCell ref="D45:D46"/>
    <mergeCell ref="E45:E46"/>
    <mergeCell ref="F45:F46"/>
    <mergeCell ref="G45:G46"/>
    <mergeCell ref="H45:H46"/>
    <mergeCell ref="I45:I46"/>
    <mergeCell ref="J45:J46"/>
    <mergeCell ref="K45:K46"/>
    <mergeCell ref="C50:C51"/>
    <mergeCell ref="D50:D51"/>
    <mergeCell ref="E50:E51"/>
    <mergeCell ref="F50:F51"/>
    <mergeCell ref="G50:G51"/>
    <mergeCell ref="H50:H51"/>
    <mergeCell ref="I50:I51"/>
    <mergeCell ref="J50:J51"/>
    <mergeCell ref="K50:K51"/>
    <mergeCell ref="D47:D48"/>
    <mergeCell ref="E47:E48"/>
    <mergeCell ref="F47:F48"/>
    <mergeCell ref="G47:G48"/>
    <mergeCell ref="H47:H48"/>
    <mergeCell ref="I47:I48"/>
    <mergeCell ref="J47:J48"/>
    <mergeCell ref="C52:C53"/>
    <mergeCell ref="D52:D53"/>
    <mergeCell ref="E52:E53"/>
    <mergeCell ref="F52:F53"/>
    <mergeCell ref="G52:G53"/>
    <mergeCell ref="H52:H53"/>
    <mergeCell ref="I52:I53"/>
    <mergeCell ref="J52:J53"/>
    <mergeCell ref="K52:K53"/>
    <mergeCell ref="C54:C55"/>
    <mergeCell ref="D54:D55"/>
    <mergeCell ref="E54:E55"/>
    <mergeCell ref="F54:F55"/>
    <mergeCell ref="G54:G55"/>
    <mergeCell ref="H54:H55"/>
    <mergeCell ref="I54:I55"/>
    <mergeCell ref="J54:J55"/>
    <mergeCell ref="K54:K55"/>
    <mergeCell ref="C56:C57"/>
    <mergeCell ref="D56:D57"/>
    <mergeCell ref="E56:E57"/>
    <mergeCell ref="F56:F57"/>
    <mergeCell ref="G56:G57"/>
    <mergeCell ref="H56:H57"/>
    <mergeCell ref="I56:I57"/>
    <mergeCell ref="J56:J57"/>
    <mergeCell ref="K56:K57"/>
    <mergeCell ref="C61:C62"/>
    <mergeCell ref="D61:D62"/>
    <mergeCell ref="E61:E62"/>
    <mergeCell ref="F61:F62"/>
    <mergeCell ref="G61:G62"/>
    <mergeCell ref="H61:H62"/>
    <mergeCell ref="I61:I62"/>
    <mergeCell ref="J61:J62"/>
    <mergeCell ref="K61:K62"/>
    <mergeCell ref="D64:D65"/>
    <mergeCell ref="E64:E65"/>
    <mergeCell ref="F64:F65"/>
    <mergeCell ref="G64:G65"/>
    <mergeCell ref="H64:H65"/>
    <mergeCell ref="I64:I65"/>
    <mergeCell ref="J64:J65"/>
    <mergeCell ref="K64:K65"/>
    <mergeCell ref="D74:D75"/>
    <mergeCell ref="E74:E75"/>
    <mergeCell ref="F74:F75"/>
    <mergeCell ref="G74:G75"/>
    <mergeCell ref="H74:H75"/>
    <mergeCell ref="I74:I75"/>
    <mergeCell ref="J74:J75"/>
    <mergeCell ref="K74:K75"/>
    <mergeCell ref="D76:D78"/>
    <mergeCell ref="E76:E78"/>
    <mergeCell ref="F76:F78"/>
    <mergeCell ref="G76:G78"/>
    <mergeCell ref="H76:H78"/>
    <mergeCell ref="I76:I78"/>
    <mergeCell ref="J76:J78"/>
    <mergeCell ref="K76:K78"/>
    <mergeCell ref="D79:D80"/>
    <mergeCell ref="E79:E80"/>
    <mergeCell ref="F79:F80"/>
    <mergeCell ref="G79:G80"/>
    <mergeCell ref="H79:H80"/>
    <mergeCell ref="I79:I80"/>
    <mergeCell ref="J79:J80"/>
    <mergeCell ref="K79:K80"/>
    <mergeCell ref="D81:D82"/>
    <mergeCell ref="E81:E82"/>
    <mergeCell ref="F81:F82"/>
    <mergeCell ref="G81:G82"/>
    <mergeCell ref="H81:H82"/>
    <mergeCell ref="I81:I82"/>
    <mergeCell ref="J81:J82"/>
    <mergeCell ref="K81:K82"/>
    <mergeCell ref="D83:D84"/>
    <mergeCell ref="E83:E84"/>
    <mergeCell ref="F83:F84"/>
    <mergeCell ref="G83:G84"/>
    <mergeCell ref="H83:H84"/>
    <mergeCell ref="I83:I84"/>
    <mergeCell ref="J83:J84"/>
    <mergeCell ref="K83:K84"/>
    <mergeCell ref="D86:D87"/>
    <mergeCell ref="E86:E87"/>
    <mergeCell ref="F86:F87"/>
    <mergeCell ref="G86:G87"/>
    <mergeCell ref="H86:H87"/>
    <mergeCell ref="I86:I87"/>
    <mergeCell ref="J86:J87"/>
    <mergeCell ref="K86:K87"/>
    <mergeCell ref="D88:D89"/>
    <mergeCell ref="E88:E89"/>
    <mergeCell ref="F88:F89"/>
    <mergeCell ref="G88:G89"/>
    <mergeCell ref="H88:H89"/>
    <mergeCell ref="I88:I89"/>
    <mergeCell ref="J88:J89"/>
    <mergeCell ref="K88:K89"/>
    <mergeCell ref="J98:J99"/>
    <mergeCell ref="K98:K99"/>
    <mergeCell ref="D91:D92"/>
    <mergeCell ref="E91:E92"/>
    <mergeCell ref="F91:F92"/>
    <mergeCell ref="G91:G92"/>
    <mergeCell ref="H91:H92"/>
    <mergeCell ref="I91:I92"/>
    <mergeCell ref="J91:J92"/>
    <mergeCell ref="K91:K92"/>
    <mergeCell ref="D93:D94"/>
    <mergeCell ref="E93:E94"/>
    <mergeCell ref="F93:F94"/>
    <mergeCell ref="G93:G94"/>
    <mergeCell ref="H93:H94"/>
    <mergeCell ref="I93:I94"/>
    <mergeCell ref="J93:J94"/>
    <mergeCell ref="K93:K94"/>
    <mergeCell ref="K104:K105"/>
    <mergeCell ref="K106:K109"/>
    <mergeCell ref="D95:D97"/>
    <mergeCell ref="E95:E97"/>
    <mergeCell ref="F95:F97"/>
    <mergeCell ref="G95:G97"/>
    <mergeCell ref="H95:H97"/>
    <mergeCell ref="I95:I97"/>
    <mergeCell ref="J95:J97"/>
    <mergeCell ref="K95:K97"/>
    <mergeCell ref="D100:D102"/>
    <mergeCell ref="E100:E102"/>
    <mergeCell ref="F100:F102"/>
    <mergeCell ref="G100:G102"/>
    <mergeCell ref="H100:H102"/>
    <mergeCell ref="I100:I102"/>
    <mergeCell ref="J100:J102"/>
    <mergeCell ref="K100:K102"/>
    <mergeCell ref="D98:D99"/>
    <mergeCell ref="E98:E99"/>
    <mergeCell ref="F98:F99"/>
    <mergeCell ref="G98:G99"/>
    <mergeCell ref="H98:H99"/>
    <mergeCell ref="I98:I99"/>
    <mergeCell ref="K47:K48"/>
    <mergeCell ref="C43:C48"/>
    <mergeCell ref="C10:C16"/>
    <mergeCell ref="C17:C22"/>
    <mergeCell ref="C25:C32"/>
    <mergeCell ref="A73:A84"/>
    <mergeCell ref="C85:C92"/>
    <mergeCell ref="DK2:FD2"/>
    <mergeCell ref="J106:J109"/>
    <mergeCell ref="E106:E109"/>
    <mergeCell ref="F106:F109"/>
    <mergeCell ref="G106:G109"/>
    <mergeCell ref="H106:H109"/>
    <mergeCell ref="I106:I109"/>
    <mergeCell ref="D106:D109"/>
    <mergeCell ref="C104:C109"/>
    <mergeCell ref="B85:B109"/>
    <mergeCell ref="D104:D105"/>
    <mergeCell ref="E104:E105"/>
    <mergeCell ref="F104:F105"/>
    <mergeCell ref="G104:G105"/>
    <mergeCell ref="H104:H105"/>
    <mergeCell ref="I104:I105"/>
    <mergeCell ref="J104:J105"/>
  </mergeCells>
  <conditionalFormatting sqref="BQ7:BQ16 BQ24:BQ32 BQ37 BQ50:BQ53 BQ39:BQ48 BQ56:BQ71 BQ73:BQ84 BQ88:BQ106">
    <cfRule type="cellIs" dxfId="47" priority="9" operator="between">
      <formula>0.81</formula>
      <formula>9999.99</formula>
    </cfRule>
  </conditionalFormatting>
  <conditionalFormatting sqref="BQ7:BQ16 BQ24:BQ32 BQ37 BQ50:BQ53 BQ39:BQ48 BQ56:BQ71 BQ73:BQ84 BQ88:BQ106">
    <cfRule type="cellIs" dxfId="46" priority="10" operator="between">
      <formula>0.61</formula>
      <formula>0.8</formula>
    </cfRule>
  </conditionalFormatting>
  <conditionalFormatting sqref="BQ7:BQ16 BQ24:BQ32 BQ37 BQ50:BQ53 BQ39:BQ48 BQ56:BQ71 BQ73:BQ84 BQ88:BQ106">
    <cfRule type="cellIs" dxfId="45" priority="11" operator="between">
      <formula>0.31</formula>
      <formula>0.6</formula>
    </cfRule>
  </conditionalFormatting>
  <conditionalFormatting sqref="BQ7:BQ16 BQ24:BQ32 BQ37 BQ50:BQ53 BQ39:BQ48 BQ56:BQ71 BQ73:BQ84 BQ88:BQ106">
    <cfRule type="cellIs" dxfId="44" priority="12" operator="between">
      <formula>-9999.99</formula>
      <formula>0.3</formula>
    </cfRule>
  </conditionalFormatting>
  <conditionalFormatting sqref="BR6">
    <cfRule type="cellIs" dxfId="43" priority="13" operator="between">
      <formula>0.81</formula>
      <formula>9999.99</formula>
    </cfRule>
  </conditionalFormatting>
  <conditionalFormatting sqref="BR6">
    <cfRule type="cellIs" dxfId="42" priority="14" operator="between">
      <formula>0.61</formula>
      <formula>0.8</formula>
    </cfRule>
  </conditionalFormatting>
  <conditionalFormatting sqref="BR6">
    <cfRule type="cellIs" dxfId="41" priority="15" operator="between">
      <formula>0.31</formula>
      <formula>0.6</formula>
    </cfRule>
  </conditionalFormatting>
  <conditionalFormatting sqref="BR6">
    <cfRule type="cellIs" dxfId="40" priority="16" operator="between">
      <formula>-9999.99</formula>
      <formula>0.3</formula>
    </cfRule>
  </conditionalFormatting>
  <conditionalFormatting sqref="BR10:BR11">
    <cfRule type="cellIs" dxfId="39" priority="17" operator="between">
      <formula>0.81</formula>
      <formula>9999.99</formula>
    </cfRule>
  </conditionalFormatting>
  <conditionalFormatting sqref="BR10:BR11">
    <cfRule type="cellIs" dxfId="38" priority="18" operator="between">
      <formula>0.61</formula>
      <formula>0.8</formula>
    </cfRule>
  </conditionalFormatting>
  <conditionalFormatting sqref="BR10:BR11">
    <cfRule type="cellIs" dxfId="37" priority="19" operator="between">
      <formula>0.31</formula>
      <formula>0.6</formula>
    </cfRule>
  </conditionalFormatting>
  <conditionalFormatting sqref="BR10:BR11">
    <cfRule type="cellIs" dxfId="36" priority="20" operator="between">
      <formula>-9999.99</formula>
      <formula>0.3</formula>
    </cfRule>
  </conditionalFormatting>
  <conditionalFormatting sqref="BR37">
    <cfRule type="cellIs" dxfId="35" priority="21" operator="between">
      <formula>0.81</formula>
      <formula>9999.99</formula>
    </cfRule>
  </conditionalFormatting>
  <conditionalFormatting sqref="BR37">
    <cfRule type="cellIs" dxfId="34" priority="22" operator="between">
      <formula>0.61</formula>
      <formula>0.8</formula>
    </cfRule>
  </conditionalFormatting>
  <conditionalFormatting sqref="BR37">
    <cfRule type="cellIs" dxfId="33" priority="23" operator="between">
      <formula>0.31</formula>
      <formula>0.6</formula>
    </cfRule>
  </conditionalFormatting>
  <conditionalFormatting sqref="BR37">
    <cfRule type="cellIs" dxfId="32" priority="24" operator="between">
      <formula>-9999.99</formula>
      <formula>0.3</formula>
    </cfRule>
  </conditionalFormatting>
  <conditionalFormatting sqref="BR50:BR51">
    <cfRule type="cellIs" dxfId="31" priority="25" operator="between">
      <formula>0.81</formula>
      <formula>9999.99</formula>
    </cfRule>
  </conditionalFormatting>
  <conditionalFormatting sqref="BR50:BR51">
    <cfRule type="cellIs" dxfId="30" priority="26" operator="between">
      <formula>0.61</formula>
      <formula>0.8</formula>
    </cfRule>
  </conditionalFormatting>
  <conditionalFormatting sqref="BR50:BR51">
    <cfRule type="cellIs" dxfId="29" priority="27" operator="between">
      <formula>0.31</formula>
      <formula>0.6</formula>
    </cfRule>
  </conditionalFormatting>
  <conditionalFormatting sqref="BR50:BR51">
    <cfRule type="cellIs" dxfId="28" priority="28" operator="between">
      <formula>-9999.99</formula>
      <formula>0.3</formula>
    </cfRule>
  </conditionalFormatting>
  <conditionalFormatting sqref="BR64:BR65">
    <cfRule type="cellIs" dxfId="27" priority="29" operator="between">
      <formula>0.81</formula>
      <formula>9999.99</formula>
    </cfRule>
  </conditionalFormatting>
  <conditionalFormatting sqref="BR64:BR65">
    <cfRule type="cellIs" dxfId="26" priority="30" operator="between">
      <formula>0.61</formula>
      <formula>0.8</formula>
    </cfRule>
  </conditionalFormatting>
  <conditionalFormatting sqref="BR64:BR65">
    <cfRule type="cellIs" dxfId="25" priority="31" operator="between">
      <formula>0.31</formula>
      <formula>0.6</formula>
    </cfRule>
  </conditionalFormatting>
  <conditionalFormatting sqref="BR64:BR65">
    <cfRule type="cellIs" dxfId="24" priority="32" operator="between">
      <formula>-9999.99</formula>
      <formula>0.3</formula>
    </cfRule>
  </conditionalFormatting>
  <conditionalFormatting sqref="BR73">
    <cfRule type="cellIs" dxfId="23" priority="33" operator="between">
      <formula>0.81</formula>
      <formula>9999.99</formula>
    </cfRule>
  </conditionalFormatting>
  <conditionalFormatting sqref="BR73">
    <cfRule type="cellIs" dxfId="22" priority="34" operator="between">
      <formula>0.61</formula>
      <formula>0.8</formula>
    </cfRule>
  </conditionalFormatting>
  <conditionalFormatting sqref="BR73">
    <cfRule type="cellIs" dxfId="21" priority="35" operator="between">
      <formula>0.31</formula>
      <formula>0.6</formula>
    </cfRule>
  </conditionalFormatting>
  <conditionalFormatting sqref="BR73">
    <cfRule type="cellIs" dxfId="20" priority="36" operator="between">
      <formula>-9999.99</formula>
      <formula>0.3</formula>
    </cfRule>
  </conditionalFormatting>
  <conditionalFormatting sqref="BR85">
    <cfRule type="cellIs" dxfId="19" priority="37" operator="between">
      <formula>0.81</formula>
      <formula>9999.99</formula>
    </cfRule>
  </conditionalFormatting>
  <conditionalFormatting sqref="BR85">
    <cfRule type="cellIs" dxfId="18" priority="38" operator="between">
      <formula>0.61</formula>
      <formula>0.8</formula>
    </cfRule>
  </conditionalFormatting>
  <conditionalFormatting sqref="BR85">
    <cfRule type="cellIs" dxfId="17" priority="39" operator="between">
      <formula>0.31</formula>
      <formula>0.6</formula>
    </cfRule>
  </conditionalFormatting>
  <conditionalFormatting sqref="BR85">
    <cfRule type="cellIs" dxfId="16" priority="40" operator="between">
      <formula>-9999.99</formula>
      <formula>0.3</formula>
    </cfRule>
  </conditionalFormatting>
  <conditionalFormatting sqref="BQ6">
    <cfRule type="cellIs" dxfId="15" priority="1" operator="between">
      <formula>0.805</formula>
      <formula>1</formula>
    </cfRule>
    <cfRule type="cellIs" dxfId="14" priority="2" operator="between">
      <formula>0.605</formula>
      <formula>0.8049</formula>
    </cfRule>
    <cfRule type="cellIs" dxfId="13" priority="3" operator="between">
      <formula>0.305</formula>
      <formula>0.6049</formula>
    </cfRule>
    <cfRule type="cellIs" dxfId="12" priority="4" operator="between">
      <formula>0</formula>
      <formula>0.3049</formula>
    </cfRule>
  </conditionalFormatting>
  <pageMargins left="0.7" right="0.7" top="0.75" bottom="0.75" header="0.3" footer="0.3"/>
  <pageSetup paperSize="9" orientation="portrait" horizontalDpi="4294967293" verticalDpi="4294967293"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0">
    <tabColor theme="2" tint="-0.89999084444715716"/>
  </sheetPr>
  <dimension ref="A1:FG1022"/>
  <sheetViews>
    <sheetView showGridLines="0" topLeftCell="A16" zoomScale="80" zoomScaleNormal="80" workbookViewId="0">
      <selection activeCell="E27" sqref="E27:E40"/>
    </sheetView>
  </sheetViews>
  <sheetFormatPr baseColWidth="10" defaultColWidth="11.42578125" defaultRowHeight="15" customHeight="1"/>
  <cols>
    <col min="1" max="1" width="11" style="123" customWidth="1"/>
    <col min="2" max="2" width="14.85546875" style="123" customWidth="1"/>
    <col min="3" max="3" width="20" style="123" customWidth="1"/>
    <col min="4" max="4" width="71.42578125" style="123" customWidth="1"/>
    <col min="5" max="5" width="27.5703125" style="123" customWidth="1"/>
    <col min="6" max="6" width="15.28515625" style="123" customWidth="1"/>
    <col min="7" max="7" width="17.140625" style="123" customWidth="1"/>
    <col min="8" max="8" width="16" style="191" customWidth="1"/>
    <col min="9" max="9" width="15.42578125" style="191" customWidth="1"/>
    <col min="10" max="10" width="8.7109375" style="191" customWidth="1"/>
    <col min="11" max="11" width="12" style="191" customWidth="1"/>
    <col min="12" max="18" width="9.5703125" style="191" customWidth="1"/>
    <col min="19" max="20" width="14.7109375" style="123" customWidth="1"/>
    <col min="21" max="21" width="21.5703125" style="123" customWidth="1"/>
    <col min="22" max="23" width="23.28515625" style="123" customWidth="1"/>
    <col min="24" max="24" width="20.85546875" customWidth="1"/>
    <col min="25" max="25" width="30" customWidth="1"/>
    <col min="26" max="26" width="23.28515625" customWidth="1"/>
    <col min="27" max="27" width="26" customWidth="1"/>
    <col min="28" max="28" width="19.28515625" customWidth="1"/>
    <col min="29" max="31" width="7.7109375" customWidth="1"/>
    <col min="32" max="32" width="15" customWidth="1"/>
    <col min="33" max="47" width="6.140625" customWidth="1"/>
    <col min="48" max="48" width="5.7109375" customWidth="1"/>
    <col min="49" max="49" width="6.140625" customWidth="1"/>
    <col min="50" max="50" width="5.5703125" customWidth="1"/>
    <col min="51" max="53" width="4.28515625" customWidth="1"/>
    <col min="54" max="57" width="6.140625" customWidth="1"/>
    <col min="58" max="58" width="25.7109375" customWidth="1"/>
    <col min="59" max="59" width="29.5703125" customWidth="1"/>
    <col min="60" max="60" width="19.42578125" customWidth="1"/>
    <col min="61" max="61" width="23.7109375" customWidth="1"/>
    <col min="62" max="62" width="20.28515625" customWidth="1"/>
    <col min="63" max="63" width="20.7109375" customWidth="1"/>
    <col min="64" max="64" width="14.28515625" customWidth="1"/>
    <col min="65" max="66" width="11.42578125" customWidth="1"/>
    <col min="67" max="68" width="20.7109375" customWidth="1"/>
    <col min="69" max="69" width="17.140625" customWidth="1"/>
    <col min="70" max="71" width="17.140625" style="771" customWidth="1"/>
    <col min="72" max="72" width="21.85546875" customWidth="1"/>
    <col min="73" max="73" width="18" customWidth="1"/>
    <col min="74" max="74" width="11.42578125" customWidth="1"/>
    <col min="75" max="75" width="17.85546875" customWidth="1"/>
    <col min="76" max="76" width="16.5703125" customWidth="1"/>
    <col min="77" max="77" width="21.42578125" customWidth="1"/>
    <col min="78" max="107" width="11.42578125" customWidth="1"/>
    <col min="108" max="108" width="34.28515625" customWidth="1"/>
    <col min="109" max="109" width="18.42578125" customWidth="1"/>
    <col min="110" max="110" width="21.5703125" customWidth="1"/>
    <col min="111" max="111" width="15.5703125" customWidth="1"/>
    <col min="112" max="113" width="11.42578125" customWidth="1"/>
    <col min="114" max="114" width="28.7109375" customWidth="1"/>
    <col min="115" max="116" width="11.42578125" customWidth="1"/>
    <col min="117" max="117" width="1.42578125" customWidth="1"/>
  </cols>
  <sheetData>
    <row r="1" spans="1:163" ht="15" customHeight="1" thickBot="1">
      <c r="A1" s="16602" t="s">
        <v>8503</v>
      </c>
      <c r="B1" s="16603"/>
      <c r="C1" s="16603"/>
      <c r="D1" s="16603"/>
      <c r="E1" s="16603"/>
      <c r="F1" s="16603"/>
      <c r="G1" s="16603"/>
      <c r="H1" s="16603"/>
      <c r="I1" s="16603"/>
      <c r="J1" s="16603"/>
      <c r="K1" s="16603"/>
      <c r="L1" s="16603"/>
      <c r="M1" s="16603"/>
      <c r="N1" s="16603"/>
      <c r="O1" s="16603"/>
      <c r="P1" s="16603"/>
      <c r="Q1" s="16603"/>
      <c r="R1" s="16603"/>
      <c r="S1" s="16603"/>
      <c r="T1" s="16603"/>
      <c r="U1" s="16603"/>
      <c r="V1" s="16603"/>
      <c r="W1" s="16604"/>
      <c r="X1" s="16610" t="s">
        <v>0</v>
      </c>
      <c r="Y1" s="16610"/>
      <c r="Z1" s="16610"/>
      <c r="AA1" s="16610"/>
      <c r="AB1" s="16610"/>
      <c r="AC1" s="16610"/>
      <c r="AD1" s="16610"/>
      <c r="AE1" s="16610"/>
      <c r="AF1" s="16610"/>
      <c r="AG1" s="16610"/>
      <c r="AH1" s="16610"/>
      <c r="AI1" s="16610"/>
      <c r="AJ1" s="16610"/>
      <c r="AK1" s="16610"/>
      <c r="AL1" s="16610"/>
      <c r="AM1" s="16610"/>
      <c r="AN1" s="16610"/>
      <c r="AO1" s="16610"/>
      <c r="AP1" s="16610"/>
      <c r="AQ1" s="16610"/>
      <c r="AR1" s="16610"/>
      <c r="AS1" s="16610"/>
      <c r="AT1" s="16610"/>
      <c r="AU1" s="16610"/>
      <c r="AV1" s="16610"/>
      <c r="AW1" s="16610"/>
      <c r="AX1" s="16610"/>
      <c r="AY1" s="16610"/>
      <c r="AZ1" s="16610"/>
      <c r="BA1" s="16610"/>
      <c r="BB1" s="16610"/>
      <c r="BC1" s="16610"/>
      <c r="BD1" s="16610"/>
      <c r="BE1" s="16610"/>
      <c r="BF1" s="16610"/>
      <c r="BG1" s="16610"/>
      <c r="BH1" s="16610"/>
      <c r="BI1" s="16610"/>
      <c r="BJ1" s="16610"/>
      <c r="BK1" s="16610"/>
      <c r="BL1" s="16610"/>
      <c r="BM1" s="16610"/>
      <c r="BN1" s="16610"/>
      <c r="BO1" s="16610"/>
      <c r="BP1" s="16600" t="s">
        <v>8493</v>
      </c>
      <c r="BQ1" s="16601"/>
      <c r="BR1" s="16601"/>
      <c r="BS1" s="16601"/>
      <c r="BT1" s="16601"/>
      <c r="BU1" s="16601"/>
      <c r="BV1" s="16601"/>
      <c r="BW1" s="16601"/>
      <c r="BX1" s="16601"/>
      <c r="BY1" s="16601"/>
      <c r="BZ1" s="16601"/>
      <c r="CA1" s="16601"/>
      <c r="CB1" s="16601"/>
      <c r="CC1" s="16601"/>
      <c r="CD1" s="16601"/>
      <c r="CE1" s="16601"/>
      <c r="CF1" s="16601"/>
      <c r="CG1" s="16601"/>
      <c r="CH1" s="16601"/>
      <c r="CI1" s="16601"/>
      <c r="CJ1" s="16601"/>
      <c r="CK1" s="16601"/>
      <c r="CL1" s="16601"/>
      <c r="CM1" s="16601"/>
      <c r="CN1" s="16601"/>
      <c r="CO1" s="16601"/>
      <c r="CP1" s="16601"/>
      <c r="CQ1" s="16601"/>
      <c r="CR1" s="16601"/>
      <c r="CS1" s="16601"/>
      <c r="CT1" s="16601"/>
      <c r="CU1" s="16601"/>
      <c r="CV1" s="16601"/>
      <c r="CW1" s="16601"/>
      <c r="CX1" s="16601"/>
      <c r="CY1" s="16601"/>
      <c r="CZ1" s="16601"/>
      <c r="DA1" s="16601"/>
      <c r="DB1" s="16601"/>
      <c r="DC1" s="16601"/>
      <c r="DD1" s="16601"/>
      <c r="DE1" s="16601"/>
      <c r="DF1" s="16601"/>
      <c r="DG1" s="16601"/>
      <c r="DH1" s="16601"/>
      <c r="DI1" s="16601"/>
      <c r="DJ1" s="16601"/>
      <c r="DK1" s="16601"/>
      <c r="DL1" s="16601"/>
    </row>
    <row r="2" spans="1:163" ht="15" customHeight="1" thickBot="1">
      <c r="A2" s="16602" t="s">
        <v>8504</v>
      </c>
      <c r="B2" s="16603"/>
      <c r="C2" s="16603"/>
      <c r="D2" s="16603"/>
      <c r="E2" s="16603"/>
      <c r="F2" s="16603"/>
      <c r="G2" s="16603"/>
      <c r="H2" s="16603"/>
      <c r="I2" s="16603"/>
      <c r="J2" s="16603"/>
      <c r="K2" s="16603"/>
      <c r="L2" s="16603"/>
      <c r="M2" s="16603"/>
      <c r="N2" s="16603"/>
      <c r="O2" s="16603"/>
      <c r="P2" s="16603"/>
      <c r="Q2" s="16603"/>
      <c r="R2" s="16603"/>
      <c r="S2" s="16603"/>
      <c r="T2" s="16603"/>
      <c r="U2" s="16603"/>
      <c r="V2" s="16603"/>
      <c r="W2" s="16604"/>
      <c r="X2" s="6491"/>
      <c r="Y2" s="6491"/>
      <c r="Z2" s="6491"/>
      <c r="AA2" s="6491"/>
      <c r="AB2" s="6491"/>
      <c r="AC2" s="6491"/>
      <c r="AD2" s="6491"/>
      <c r="AE2" s="6491"/>
      <c r="AF2" s="6491"/>
      <c r="AG2" s="6491"/>
      <c r="AH2" s="6491"/>
      <c r="AI2" s="6491"/>
      <c r="AJ2" s="6491"/>
      <c r="AK2" s="6491"/>
      <c r="AL2" s="6491"/>
      <c r="AM2" s="6491"/>
      <c r="AN2" s="6491"/>
      <c r="AO2" s="6491"/>
      <c r="AP2" s="6491"/>
      <c r="AQ2" s="6491"/>
      <c r="AR2" s="6491"/>
      <c r="AS2" s="6491"/>
      <c r="AT2" s="6491"/>
      <c r="AU2" s="6491"/>
      <c r="AV2" s="6491"/>
      <c r="AW2" s="6491"/>
      <c r="AX2" s="6491"/>
      <c r="AY2" s="6491"/>
      <c r="AZ2" s="6491"/>
      <c r="BA2" s="6491"/>
      <c r="BB2" s="6491"/>
      <c r="BC2" s="6491"/>
      <c r="BD2" s="6491"/>
      <c r="BE2" s="6491"/>
      <c r="BF2" s="6491"/>
      <c r="BG2" s="6491"/>
      <c r="BH2" s="6491"/>
      <c r="BI2" s="6491"/>
      <c r="BJ2" s="6491"/>
      <c r="BK2" s="6491"/>
      <c r="BL2" s="6491"/>
      <c r="BM2" s="6491"/>
      <c r="BN2" s="6491"/>
      <c r="BO2" s="6491"/>
      <c r="BP2" s="16600"/>
      <c r="BQ2" s="16464"/>
      <c r="BR2" s="16464"/>
      <c r="BS2" s="16464"/>
      <c r="BT2" s="16464"/>
      <c r="BU2" s="16464"/>
      <c r="BV2" s="16464"/>
      <c r="BW2" s="16464"/>
      <c r="BX2" s="16464"/>
      <c r="BY2" s="16464"/>
      <c r="BZ2" s="16464"/>
      <c r="CA2" s="16464"/>
      <c r="CB2" s="16464"/>
      <c r="CC2" s="16464"/>
      <c r="CD2" s="16464"/>
      <c r="CE2" s="16464"/>
      <c r="CF2" s="16464"/>
      <c r="CG2" s="16464"/>
      <c r="CH2" s="16464"/>
      <c r="CI2" s="16464"/>
      <c r="CJ2" s="16464"/>
      <c r="CK2" s="16464"/>
      <c r="CL2" s="16464"/>
      <c r="CM2" s="16464"/>
      <c r="CN2" s="16464"/>
      <c r="CO2" s="16464"/>
      <c r="CP2" s="16464"/>
      <c r="CQ2" s="16464"/>
      <c r="CR2" s="16464"/>
      <c r="CS2" s="16464"/>
      <c r="CT2" s="16464"/>
      <c r="CU2" s="16464"/>
      <c r="CV2" s="16464"/>
      <c r="CW2" s="16464"/>
      <c r="CX2" s="16464"/>
      <c r="CY2" s="16464"/>
      <c r="CZ2" s="16464"/>
      <c r="DA2" s="16464"/>
      <c r="DB2" s="16464"/>
      <c r="DC2" s="16464"/>
      <c r="DD2" s="16464"/>
      <c r="DE2" s="16464"/>
      <c r="DF2" s="16464"/>
      <c r="DG2" s="16464"/>
      <c r="DH2" s="16464"/>
      <c r="DI2" s="16464"/>
      <c r="DJ2" s="16464"/>
      <c r="DK2" s="16464"/>
      <c r="DL2" s="16464"/>
      <c r="DN2" s="13291" t="s">
        <v>8497</v>
      </c>
      <c r="DO2" s="13291"/>
      <c r="DP2" s="13291"/>
      <c r="DQ2" s="13291"/>
      <c r="DR2" s="13291"/>
      <c r="DS2" s="13291"/>
      <c r="DT2" s="13618"/>
      <c r="DU2" s="13618"/>
      <c r="DV2" s="13618"/>
      <c r="DW2" s="13618"/>
      <c r="DX2" s="13291"/>
      <c r="DY2" s="13291"/>
      <c r="DZ2" s="13291"/>
      <c r="EA2" s="13291"/>
      <c r="EB2" s="13291"/>
      <c r="EC2" s="13291"/>
      <c r="ED2" s="13291"/>
      <c r="EE2" s="13291"/>
      <c r="EF2" s="13291"/>
      <c r="EG2" s="13291"/>
      <c r="EH2" s="13291"/>
      <c r="EI2" s="13291"/>
      <c r="EJ2" s="13291"/>
      <c r="EK2" s="13291"/>
      <c r="EL2" s="13291"/>
      <c r="EM2" s="13291"/>
      <c r="EN2" s="13291"/>
      <c r="EO2" s="13291"/>
      <c r="EP2" s="13291"/>
      <c r="EQ2" s="13291"/>
      <c r="ER2" s="13291"/>
      <c r="ES2" s="13291"/>
      <c r="ET2" s="13291"/>
      <c r="EU2" s="13291"/>
      <c r="EV2" s="13291"/>
      <c r="EW2" s="13291"/>
      <c r="EX2" s="13291"/>
      <c r="EY2" s="13291"/>
      <c r="EZ2" s="13291"/>
      <c r="FA2" s="13291"/>
      <c r="FB2" s="13291"/>
      <c r="FC2" s="13291"/>
      <c r="FD2" s="13291"/>
      <c r="FE2" s="13291"/>
      <c r="FF2" s="13291"/>
      <c r="FG2" s="13292"/>
    </row>
    <row r="3" spans="1:163" ht="15" customHeight="1" thickBot="1">
      <c r="A3" s="16605" t="s">
        <v>8502</v>
      </c>
      <c r="B3" s="16606"/>
      <c r="C3" s="16606"/>
      <c r="D3" s="16606"/>
      <c r="E3" s="16606"/>
      <c r="F3" s="16606"/>
      <c r="G3" s="16606"/>
      <c r="H3" s="16606"/>
      <c r="I3" s="16606"/>
      <c r="J3" s="16606"/>
      <c r="K3" s="16606"/>
      <c r="L3" s="16606"/>
      <c r="M3" s="16606"/>
      <c r="N3" s="16606"/>
      <c r="O3" s="16606"/>
      <c r="P3" s="16606"/>
      <c r="Q3" s="16606"/>
      <c r="R3" s="16606"/>
      <c r="S3" s="16606"/>
      <c r="T3" s="16606"/>
      <c r="U3" s="16606"/>
      <c r="V3" s="16606"/>
      <c r="W3" s="16607"/>
      <c r="X3" s="13295" t="s">
        <v>1</v>
      </c>
      <c r="Y3" s="16547" t="s">
        <v>2</v>
      </c>
      <c r="Z3" s="16547" t="s">
        <v>3</v>
      </c>
      <c r="AA3" s="16547" t="s">
        <v>4</v>
      </c>
      <c r="AB3" s="16547" t="s">
        <v>355</v>
      </c>
      <c r="AC3" s="16547"/>
      <c r="AD3" s="16547"/>
      <c r="AE3" s="16547"/>
      <c r="AF3" s="16547" t="s">
        <v>356</v>
      </c>
      <c r="AG3" s="16547"/>
      <c r="AH3" s="16547"/>
      <c r="AI3" s="16547"/>
      <c r="AJ3" s="16547"/>
      <c r="AK3" s="16547"/>
      <c r="AL3" s="16547"/>
      <c r="AM3" s="16547"/>
      <c r="AN3" s="16547"/>
      <c r="AO3" s="16547"/>
      <c r="AP3" s="16547"/>
      <c r="AQ3" s="16547"/>
      <c r="AR3" s="16547"/>
      <c r="AS3" s="16547"/>
      <c r="AT3" s="16547"/>
      <c r="AU3" s="16547"/>
      <c r="AV3" s="16547"/>
      <c r="AW3" s="16547"/>
      <c r="AX3" s="16547"/>
      <c r="AY3" s="16547"/>
      <c r="AZ3" s="16547"/>
      <c r="BA3" s="16547"/>
      <c r="BB3" s="16547"/>
      <c r="BC3" s="16547"/>
      <c r="BD3" s="16547"/>
      <c r="BE3" s="16547"/>
      <c r="BF3" s="16548" t="s">
        <v>357</v>
      </c>
      <c r="BG3" s="16548"/>
      <c r="BH3" s="16548"/>
      <c r="BI3" s="16548"/>
      <c r="BJ3" s="16548"/>
      <c r="BK3" s="16577" t="s">
        <v>5</v>
      </c>
      <c r="BL3" s="16577"/>
      <c r="BM3" s="16577"/>
      <c r="BN3" s="16577"/>
      <c r="BO3" s="16577"/>
      <c r="BP3" s="16592" t="s">
        <v>367</v>
      </c>
      <c r="BQ3" s="16594" t="s">
        <v>8490</v>
      </c>
      <c r="BR3" s="16596" t="s">
        <v>9652</v>
      </c>
      <c r="BS3" s="16596" t="s">
        <v>9651</v>
      </c>
      <c r="BT3" s="16547" t="s">
        <v>8491</v>
      </c>
      <c r="BU3" s="16547" t="s">
        <v>8492</v>
      </c>
      <c r="BV3" s="16547" t="s">
        <v>4</v>
      </c>
      <c r="BW3" s="16547" t="s">
        <v>355</v>
      </c>
      <c r="BX3" s="16547"/>
      <c r="BY3" s="16547"/>
      <c r="BZ3" s="16547"/>
      <c r="CA3" s="16547" t="s">
        <v>356</v>
      </c>
      <c r="CB3" s="16547"/>
      <c r="CC3" s="16547"/>
      <c r="CD3" s="16547"/>
      <c r="CE3" s="16547"/>
      <c r="CF3" s="16547"/>
      <c r="CG3" s="16547"/>
      <c r="CH3" s="16547"/>
      <c r="CI3" s="16547"/>
      <c r="CJ3" s="16547"/>
      <c r="CK3" s="16547"/>
      <c r="CL3" s="16547"/>
      <c r="CM3" s="16547"/>
      <c r="CN3" s="16547"/>
      <c r="CO3" s="16547"/>
      <c r="CP3" s="16547"/>
      <c r="CQ3" s="16547"/>
      <c r="CR3" s="16547"/>
      <c r="CS3" s="16547"/>
      <c r="CT3" s="16547"/>
      <c r="CU3" s="16547"/>
      <c r="CV3" s="16547"/>
      <c r="CW3" s="16547"/>
      <c r="CX3" s="16547"/>
      <c r="CY3" s="16547"/>
      <c r="CZ3" s="16547"/>
      <c r="DA3" s="16548" t="s">
        <v>357</v>
      </c>
      <c r="DB3" s="16548"/>
      <c r="DC3" s="16548"/>
      <c r="DD3" s="16548"/>
      <c r="DE3" s="16548"/>
      <c r="DF3" s="16554" t="s">
        <v>5</v>
      </c>
      <c r="DG3" s="16555"/>
      <c r="DH3" s="16555"/>
      <c r="DI3" s="16555"/>
      <c r="DJ3" s="16555"/>
      <c r="DK3" s="16555"/>
      <c r="DL3" s="16556"/>
      <c r="DN3" s="5000" t="s">
        <v>8498</v>
      </c>
      <c r="DO3" s="5156" t="s">
        <v>10189</v>
      </c>
      <c r="DP3" s="5156" t="s">
        <v>10190</v>
      </c>
      <c r="DQ3" s="4984" t="s">
        <v>8499</v>
      </c>
      <c r="DR3" s="4984" t="s">
        <v>8500</v>
      </c>
      <c r="DS3" s="4986" t="s">
        <v>4</v>
      </c>
      <c r="DT3" s="5002" t="s">
        <v>355</v>
      </c>
      <c r="DU3" s="5003"/>
      <c r="DV3" s="5003"/>
      <c r="DW3" s="5004"/>
      <c r="DX3" s="4988" t="s">
        <v>356</v>
      </c>
      <c r="DY3" s="4989"/>
      <c r="DZ3" s="4989"/>
      <c r="EA3" s="4989"/>
      <c r="EB3" s="4989"/>
      <c r="EC3" s="4989"/>
      <c r="ED3" s="4989"/>
      <c r="EE3" s="4989"/>
      <c r="EF3" s="4989"/>
      <c r="EG3" s="4989"/>
      <c r="EH3" s="4989"/>
      <c r="EI3" s="4989"/>
      <c r="EJ3" s="5030"/>
      <c r="EK3" s="5030"/>
      <c r="EL3" s="5030"/>
      <c r="EM3" s="5030"/>
      <c r="EN3" s="5030"/>
      <c r="EO3" s="5030"/>
      <c r="EP3" s="5030"/>
      <c r="EQ3" s="5030"/>
      <c r="ER3" s="5030"/>
      <c r="ES3" s="5030"/>
      <c r="ET3" s="5030"/>
      <c r="EU3" s="5030"/>
      <c r="EV3" s="5030"/>
      <c r="EW3" s="5031"/>
      <c r="EX3" s="5032" t="s">
        <v>357</v>
      </c>
      <c r="EY3" s="5033"/>
      <c r="EZ3" s="5033"/>
      <c r="FA3" s="5033"/>
      <c r="FB3" s="5034"/>
      <c r="FC3" s="4990" t="s">
        <v>5</v>
      </c>
      <c r="FD3" s="4991"/>
      <c r="FE3" s="4991"/>
      <c r="FF3" s="4991"/>
      <c r="FG3" s="4992"/>
    </row>
    <row r="4" spans="1:163" ht="15" customHeight="1">
      <c r="A4" s="16564" t="s">
        <v>1997</v>
      </c>
      <c r="B4" s="16564" t="s">
        <v>1998</v>
      </c>
      <c r="C4" s="16608" t="s">
        <v>4635</v>
      </c>
      <c r="D4" s="16564" t="s">
        <v>56</v>
      </c>
      <c r="E4" s="16564" t="s">
        <v>1999</v>
      </c>
      <c r="F4" s="16584" t="s">
        <v>1797</v>
      </c>
      <c r="G4" s="16584" t="s">
        <v>58</v>
      </c>
      <c r="H4" s="5174" t="s">
        <v>8589</v>
      </c>
      <c r="I4" s="5174" t="s">
        <v>8589</v>
      </c>
      <c r="J4" s="5174" t="s">
        <v>366</v>
      </c>
      <c r="K4" s="5174" t="s">
        <v>366</v>
      </c>
      <c r="L4" s="5174" t="s">
        <v>366</v>
      </c>
      <c r="M4" s="5174" t="s">
        <v>366</v>
      </c>
      <c r="N4" s="5174" t="s">
        <v>366</v>
      </c>
      <c r="O4" s="5174" t="s">
        <v>366</v>
      </c>
      <c r="P4" s="5174" t="s">
        <v>366</v>
      </c>
      <c r="Q4" s="5174" t="s">
        <v>366</v>
      </c>
      <c r="R4" s="5174" t="s">
        <v>366</v>
      </c>
      <c r="S4" s="16584" t="s">
        <v>2000</v>
      </c>
      <c r="T4" s="16586" t="s">
        <v>10056</v>
      </c>
      <c r="U4" s="16586" t="s">
        <v>1799</v>
      </c>
      <c r="V4" s="16588" t="s">
        <v>2001</v>
      </c>
      <c r="W4" s="16586" t="s">
        <v>367</v>
      </c>
      <c r="X4" s="13296"/>
      <c r="Y4" s="16573"/>
      <c r="Z4" s="16573"/>
      <c r="AA4" s="16573"/>
      <c r="AB4" s="16549" t="s">
        <v>6</v>
      </c>
      <c r="AC4" s="16551" t="s">
        <v>7</v>
      </c>
      <c r="AD4" s="16551" t="s">
        <v>8</v>
      </c>
      <c r="AE4" s="16551" t="s">
        <v>9</v>
      </c>
      <c r="AF4" s="16549" t="s">
        <v>10</v>
      </c>
      <c r="AG4" s="16553" t="s">
        <v>11</v>
      </c>
      <c r="AH4" s="16553"/>
      <c r="AI4" s="16553" t="s">
        <v>12</v>
      </c>
      <c r="AJ4" s="16553"/>
      <c r="AK4" s="16553" t="s">
        <v>13</v>
      </c>
      <c r="AL4" s="16553"/>
      <c r="AM4" s="16553"/>
      <c r="AN4" s="16553"/>
      <c r="AO4" s="16553"/>
      <c r="AP4" s="16553"/>
      <c r="AQ4" s="16553"/>
      <c r="AR4" s="16560" t="s">
        <v>14</v>
      </c>
      <c r="AS4" s="16560"/>
      <c r="AT4" s="16560"/>
      <c r="AU4" s="16560"/>
      <c r="AV4" s="16560"/>
      <c r="AW4" s="16560"/>
      <c r="AX4" s="16560"/>
      <c r="AY4" s="16560"/>
      <c r="AZ4" s="16560" t="s">
        <v>15</v>
      </c>
      <c r="BA4" s="16560"/>
      <c r="BB4" s="16560"/>
      <c r="BC4" s="16560"/>
      <c r="BD4" s="16560"/>
      <c r="BE4" s="16560"/>
      <c r="BF4" s="15530" t="s">
        <v>16</v>
      </c>
      <c r="BG4" s="15530" t="s">
        <v>17</v>
      </c>
      <c r="BH4" s="15561" t="s">
        <v>18</v>
      </c>
      <c r="BI4" s="2676" t="s">
        <v>19</v>
      </c>
      <c r="BJ4" s="2676" t="s">
        <v>20</v>
      </c>
      <c r="BK4" s="15530" t="s">
        <v>21</v>
      </c>
      <c r="BL4" s="16576" t="s">
        <v>22</v>
      </c>
      <c r="BM4" s="16576"/>
      <c r="BN4" s="16576"/>
      <c r="BO4" s="5151" t="s">
        <v>20</v>
      </c>
      <c r="BP4" s="16593"/>
      <c r="BQ4" s="16595"/>
      <c r="BR4" s="16032"/>
      <c r="BS4" s="16032"/>
      <c r="BT4" s="16573"/>
      <c r="BU4" s="16573"/>
      <c r="BV4" s="16573"/>
      <c r="BW4" s="16549" t="s">
        <v>6</v>
      </c>
      <c r="BX4" s="16551" t="s">
        <v>7</v>
      </c>
      <c r="BY4" s="16551" t="s">
        <v>8</v>
      </c>
      <c r="BZ4" s="16551" t="s">
        <v>9</v>
      </c>
      <c r="CA4" s="16549" t="s">
        <v>10</v>
      </c>
      <c r="CB4" s="16553" t="s">
        <v>11</v>
      </c>
      <c r="CC4" s="16553"/>
      <c r="CD4" s="16553" t="s">
        <v>12</v>
      </c>
      <c r="CE4" s="16553"/>
      <c r="CF4" s="16553" t="s">
        <v>13</v>
      </c>
      <c r="CG4" s="16553"/>
      <c r="CH4" s="16553"/>
      <c r="CI4" s="16553"/>
      <c r="CJ4" s="16553"/>
      <c r="CK4" s="16553"/>
      <c r="CL4" s="16553"/>
      <c r="CM4" s="16560" t="s">
        <v>14</v>
      </c>
      <c r="CN4" s="16560"/>
      <c r="CO4" s="16560"/>
      <c r="CP4" s="16560"/>
      <c r="CQ4" s="16560"/>
      <c r="CR4" s="16560"/>
      <c r="CS4" s="16560"/>
      <c r="CT4" s="16560"/>
      <c r="CU4" s="16560" t="s">
        <v>15</v>
      </c>
      <c r="CV4" s="16560"/>
      <c r="CW4" s="16560"/>
      <c r="CX4" s="16560"/>
      <c r="CY4" s="16560"/>
      <c r="CZ4" s="16560"/>
      <c r="DA4" s="15530" t="s">
        <v>16</v>
      </c>
      <c r="DB4" s="15530" t="s">
        <v>17</v>
      </c>
      <c r="DC4" s="15561" t="s">
        <v>18</v>
      </c>
      <c r="DD4" s="2676" t="s">
        <v>19</v>
      </c>
      <c r="DE4" s="2676" t="s">
        <v>20</v>
      </c>
      <c r="DF4" s="16545" t="s">
        <v>21</v>
      </c>
      <c r="DG4" s="16557" t="s">
        <v>22</v>
      </c>
      <c r="DH4" s="16559"/>
      <c r="DI4" s="16558"/>
      <c r="DJ4" s="16557" t="s">
        <v>18</v>
      </c>
      <c r="DK4" s="16558"/>
      <c r="DL4" s="753" t="s">
        <v>20</v>
      </c>
      <c r="DN4" s="5001"/>
      <c r="DO4" s="5156"/>
      <c r="DP4" s="5156"/>
      <c r="DQ4" s="4985"/>
      <c r="DR4" s="4985"/>
      <c r="DS4" s="4987"/>
      <c r="DT4" s="5005" t="s">
        <v>6</v>
      </c>
      <c r="DU4" s="5008" t="s">
        <v>7</v>
      </c>
      <c r="DV4" s="4995" t="s">
        <v>8</v>
      </c>
      <c r="DW4" s="4997" t="s">
        <v>9</v>
      </c>
      <c r="DX4" s="4993" t="s">
        <v>10</v>
      </c>
      <c r="DY4" s="4981" t="s">
        <v>11</v>
      </c>
      <c r="DZ4" s="4983"/>
      <c r="EA4" s="4981" t="s">
        <v>12</v>
      </c>
      <c r="EB4" s="4983"/>
      <c r="EC4" s="4981" t="s">
        <v>13</v>
      </c>
      <c r="ED4" s="4982"/>
      <c r="EE4" s="4982"/>
      <c r="EF4" s="4982"/>
      <c r="EG4" s="4982"/>
      <c r="EH4" s="4982"/>
      <c r="EI4" s="4982"/>
      <c r="EJ4" s="5035" t="s">
        <v>14</v>
      </c>
      <c r="EK4" s="5036"/>
      <c r="EL4" s="5036"/>
      <c r="EM4" s="5036"/>
      <c r="EN4" s="5036"/>
      <c r="EO4" s="5036"/>
      <c r="EP4" s="5036"/>
      <c r="EQ4" s="5036"/>
      <c r="ER4" s="5036" t="s">
        <v>15</v>
      </c>
      <c r="ES4" s="5036"/>
      <c r="ET4" s="5036"/>
      <c r="EU4" s="5036"/>
      <c r="EV4" s="5036"/>
      <c r="EW4" s="5037"/>
      <c r="EX4" s="5038" t="s">
        <v>16</v>
      </c>
      <c r="EY4" s="5040" t="s">
        <v>17</v>
      </c>
      <c r="EZ4" s="5042" t="s">
        <v>18</v>
      </c>
      <c r="FA4" s="3375" t="s">
        <v>19</v>
      </c>
      <c r="FB4" s="3376" t="s">
        <v>20</v>
      </c>
      <c r="FC4" s="5027" t="s">
        <v>21</v>
      </c>
      <c r="FD4" s="4978" t="s">
        <v>22</v>
      </c>
      <c r="FE4" s="4979"/>
      <c r="FF4" s="4980"/>
      <c r="FG4" s="12" t="s">
        <v>20</v>
      </c>
    </row>
    <row r="5" spans="1:163" ht="15" customHeight="1" thickBot="1">
      <c r="A5" s="16565"/>
      <c r="B5" s="16565"/>
      <c r="C5" s="16609"/>
      <c r="D5" s="16565"/>
      <c r="E5" s="16565"/>
      <c r="F5" s="16585"/>
      <c r="G5" s="16585"/>
      <c r="H5" s="5152">
        <v>2017</v>
      </c>
      <c r="I5" s="5177">
        <v>2018</v>
      </c>
      <c r="J5" s="5152">
        <v>2019</v>
      </c>
      <c r="K5" s="5177">
        <v>2020</v>
      </c>
      <c r="L5" s="5152">
        <v>2021</v>
      </c>
      <c r="M5" s="5177">
        <v>2022</v>
      </c>
      <c r="N5" s="5152">
        <v>2023</v>
      </c>
      <c r="O5" s="5177">
        <v>2024</v>
      </c>
      <c r="P5" s="5152">
        <v>2025</v>
      </c>
      <c r="Q5" s="5177">
        <v>2026</v>
      </c>
      <c r="R5" s="5152">
        <v>2027</v>
      </c>
      <c r="S5" s="16585"/>
      <c r="T5" s="16587"/>
      <c r="U5" s="16587"/>
      <c r="V5" s="16589"/>
      <c r="W5" s="16587"/>
      <c r="X5" s="13296"/>
      <c r="Y5" s="16574"/>
      <c r="Z5" s="16574"/>
      <c r="AA5" s="16574"/>
      <c r="AB5" s="16550"/>
      <c r="AC5" s="16552"/>
      <c r="AD5" s="16552"/>
      <c r="AE5" s="16552"/>
      <c r="AF5" s="16550"/>
      <c r="AG5" s="6463" t="s">
        <v>23</v>
      </c>
      <c r="AH5" s="6463" t="s">
        <v>24</v>
      </c>
      <c r="AI5" s="6463" t="s">
        <v>25</v>
      </c>
      <c r="AJ5" s="6463" t="s">
        <v>26</v>
      </c>
      <c r="AK5" s="2212" t="s">
        <v>27</v>
      </c>
      <c r="AL5" s="2211" t="s">
        <v>28</v>
      </c>
      <c r="AM5" s="2212" t="s">
        <v>29</v>
      </c>
      <c r="AN5" s="2212" t="s">
        <v>30</v>
      </c>
      <c r="AO5" s="2212" t="s">
        <v>31</v>
      </c>
      <c r="AP5" s="2212" t="s">
        <v>32</v>
      </c>
      <c r="AQ5" s="2212" t="s">
        <v>33</v>
      </c>
      <c r="AR5" s="2212" t="s">
        <v>34</v>
      </c>
      <c r="AS5" s="2212" t="s">
        <v>35</v>
      </c>
      <c r="AT5" s="2212" t="s">
        <v>36</v>
      </c>
      <c r="AU5" s="2212" t="s">
        <v>37</v>
      </c>
      <c r="AV5" s="2212" t="s">
        <v>38</v>
      </c>
      <c r="AW5" s="2212" t="s">
        <v>39</v>
      </c>
      <c r="AX5" s="2212" t="s">
        <v>40</v>
      </c>
      <c r="AY5" s="2212" t="s">
        <v>41</v>
      </c>
      <c r="AZ5" s="2212" t="s">
        <v>42</v>
      </c>
      <c r="BA5" s="2212" t="s">
        <v>43</v>
      </c>
      <c r="BB5" s="2212" t="s">
        <v>44</v>
      </c>
      <c r="BC5" s="2212" t="s">
        <v>45</v>
      </c>
      <c r="BD5" s="2212" t="s">
        <v>46</v>
      </c>
      <c r="BE5" s="2212" t="s">
        <v>47</v>
      </c>
      <c r="BF5" s="15184"/>
      <c r="BG5" s="15184"/>
      <c r="BH5" s="15146"/>
      <c r="BI5" s="5043" t="s">
        <v>48</v>
      </c>
      <c r="BJ5" s="5043" t="s">
        <v>49</v>
      </c>
      <c r="BK5" s="15184"/>
      <c r="BL5" s="5041" t="s">
        <v>50</v>
      </c>
      <c r="BM5" s="5041" t="s">
        <v>51</v>
      </c>
      <c r="BN5" s="5041" t="s">
        <v>52</v>
      </c>
      <c r="BO5" s="6464" t="s">
        <v>49</v>
      </c>
      <c r="BP5" s="16593"/>
      <c r="BQ5" s="16595"/>
      <c r="BR5" s="15137"/>
      <c r="BS5" s="15137"/>
      <c r="BT5" s="16574"/>
      <c r="BU5" s="16574"/>
      <c r="BV5" s="16574"/>
      <c r="BW5" s="16550"/>
      <c r="BX5" s="16552"/>
      <c r="BY5" s="16552"/>
      <c r="BZ5" s="16552"/>
      <c r="CA5" s="16550"/>
      <c r="CB5" s="6463" t="s">
        <v>23</v>
      </c>
      <c r="CC5" s="6463" t="s">
        <v>24</v>
      </c>
      <c r="CD5" s="6463" t="s">
        <v>25</v>
      </c>
      <c r="CE5" s="6463" t="s">
        <v>26</v>
      </c>
      <c r="CF5" s="2212" t="s">
        <v>27</v>
      </c>
      <c r="CG5" s="2211" t="s">
        <v>28</v>
      </c>
      <c r="CH5" s="2212" t="s">
        <v>29</v>
      </c>
      <c r="CI5" s="2212" t="s">
        <v>30</v>
      </c>
      <c r="CJ5" s="2212" t="s">
        <v>31</v>
      </c>
      <c r="CK5" s="2212" t="s">
        <v>32</v>
      </c>
      <c r="CL5" s="2212" t="s">
        <v>33</v>
      </c>
      <c r="CM5" s="2212" t="s">
        <v>34</v>
      </c>
      <c r="CN5" s="2212" t="s">
        <v>35</v>
      </c>
      <c r="CO5" s="2212" t="s">
        <v>36</v>
      </c>
      <c r="CP5" s="2212" t="s">
        <v>37</v>
      </c>
      <c r="CQ5" s="2212" t="s">
        <v>38</v>
      </c>
      <c r="CR5" s="2212" t="s">
        <v>39</v>
      </c>
      <c r="CS5" s="2212" t="s">
        <v>40</v>
      </c>
      <c r="CT5" s="2212" t="s">
        <v>41</v>
      </c>
      <c r="CU5" s="2212" t="s">
        <v>42</v>
      </c>
      <c r="CV5" s="2212" t="s">
        <v>43</v>
      </c>
      <c r="CW5" s="2212" t="s">
        <v>44</v>
      </c>
      <c r="CX5" s="2212" t="s">
        <v>45</v>
      </c>
      <c r="CY5" s="2212" t="s">
        <v>46</v>
      </c>
      <c r="CZ5" s="2212" t="s">
        <v>47</v>
      </c>
      <c r="DA5" s="15184"/>
      <c r="DB5" s="15184"/>
      <c r="DC5" s="15146"/>
      <c r="DD5" s="5043" t="s">
        <v>48</v>
      </c>
      <c r="DE5" s="5043" t="s">
        <v>49</v>
      </c>
      <c r="DF5" s="16546"/>
      <c r="DG5" s="5150" t="s">
        <v>50</v>
      </c>
      <c r="DH5" s="5150" t="s">
        <v>51</v>
      </c>
      <c r="DI5" s="5150" t="s">
        <v>52</v>
      </c>
      <c r="DJ5" s="5150" t="s">
        <v>8652</v>
      </c>
      <c r="DK5" s="5150" t="s">
        <v>8653</v>
      </c>
      <c r="DL5" s="2677" t="s">
        <v>49</v>
      </c>
      <c r="DN5" s="5001"/>
      <c r="DO5" s="5029"/>
      <c r="DP5" s="5029"/>
      <c r="DQ5" s="4985"/>
      <c r="DR5" s="4985"/>
      <c r="DS5" s="4987"/>
      <c r="DT5" s="5006"/>
      <c r="DU5" s="5009"/>
      <c r="DV5" s="4996"/>
      <c r="DW5" s="4998"/>
      <c r="DX5" s="4994"/>
      <c r="DY5" s="3462" t="s">
        <v>23</v>
      </c>
      <c r="DZ5" s="3463" t="s">
        <v>24</v>
      </c>
      <c r="EA5" s="3462" t="s">
        <v>25</v>
      </c>
      <c r="EB5" s="3463" t="s">
        <v>26</v>
      </c>
      <c r="EC5" s="3464" t="s">
        <v>27</v>
      </c>
      <c r="ED5" s="3465" t="s">
        <v>28</v>
      </c>
      <c r="EE5" s="3466" t="s">
        <v>29</v>
      </c>
      <c r="EF5" s="3466" t="s">
        <v>30</v>
      </c>
      <c r="EG5" s="3466" t="s">
        <v>31</v>
      </c>
      <c r="EH5" s="3466" t="s">
        <v>32</v>
      </c>
      <c r="EI5" s="3373" t="s">
        <v>33</v>
      </c>
      <c r="EJ5" s="3464" t="s">
        <v>34</v>
      </c>
      <c r="EK5" s="3466" t="s">
        <v>35</v>
      </c>
      <c r="EL5" s="3466" t="s">
        <v>36</v>
      </c>
      <c r="EM5" s="3466" t="s">
        <v>37</v>
      </c>
      <c r="EN5" s="3466" t="s">
        <v>38</v>
      </c>
      <c r="EO5" s="3466" t="s">
        <v>39</v>
      </c>
      <c r="EP5" s="3466" t="s">
        <v>40</v>
      </c>
      <c r="EQ5" s="3466" t="s">
        <v>41</v>
      </c>
      <c r="ER5" s="3466" t="s">
        <v>42</v>
      </c>
      <c r="ES5" s="3466" t="s">
        <v>43</v>
      </c>
      <c r="ET5" s="3466" t="s">
        <v>44</v>
      </c>
      <c r="EU5" s="3466" t="s">
        <v>45</v>
      </c>
      <c r="EV5" s="3466" t="s">
        <v>46</v>
      </c>
      <c r="EW5" s="3467" t="s">
        <v>47</v>
      </c>
      <c r="EX5" s="5039"/>
      <c r="EY5" s="5041"/>
      <c r="EZ5" s="5043"/>
      <c r="FA5" s="5043" t="s">
        <v>48</v>
      </c>
      <c r="FB5" s="3469" t="s">
        <v>49</v>
      </c>
      <c r="FC5" s="5028"/>
      <c r="FD5" s="5041" t="s">
        <v>50</v>
      </c>
      <c r="FE5" s="5041" t="s">
        <v>51</v>
      </c>
      <c r="FF5" s="5041" t="s">
        <v>52</v>
      </c>
      <c r="FG5" s="2217" t="s">
        <v>49</v>
      </c>
    </row>
    <row r="6" spans="1:163" s="2233" customFormat="1" ht="15" customHeight="1">
      <c r="A6" s="16566" t="s">
        <v>2002</v>
      </c>
      <c r="B6" s="15446" t="s">
        <v>2003</v>
      </c>
      <c r="C6" s="2096" t="s">
        <v>8207</v>
      </c>
      <c r="D6" s="2097" t="s">
        <v>2285</v>
      </c>
      <c r="E6" s="5066" t="s">
        <v>2004</v>
      </c>
      <c r="F6" s="2098" t="s">
        <v>2005</v>
      </c>
      <c r="G6" s="6469">
        <v>15</v>
      </c>
      <c r="H6" s="2099">
        <v>30</v>
      </c>
      <c r="I6" s="2099">
        <v>45</v>
      </c>
      <c r="J6" s="2099">
        <v>60</v>
      </c>
      <c r="K6" s="2099">
        <v>75</v>
      </c>
      <c r="L6" s="2099">
        <v>90</v>
      </c>
      <c r="M6" s="2099">
        <v>105</v>
      </c>
      <c r="N6" s="2099">
        <v>120</v>
      </c>
      <c r="O6" s="2099">
        <v>135</v>
      </c>
      <c r="P6" s="2099">
        <v>150</v>
      </c>
      <c r="Q6" s="2099">
        <v>165</v>
      </c>
      <c r="R6" s="2099">
        <v>180</v>
      </c>
      <c r="S6" s="2099">
        <v>180</v>
      </c>
      <c r="T6" s="2099" t="s">
        <v>86</v>
      </c>
      <c r="U6" s="5066" t="s">
        <v>2006</v>
      </c>
      <c r="V6" s="2680"/>
      <c r="W6" s="5066" t="s">
        <v>8590</v>
      </c>
      <c r="X6" s="2407">
        <v>1</v>
      </c>
      <c r="Y6" s="5076" t="s">
        <v>3542</v>
      </c>
      <c r="Z6" s="5076" t="s">
        <v>3543</v>
      </c>
      <c r="AA6" s="5076" t="s">
        <v>3544</v>
      </c>
      <c r="AB6" s="6470" t="s">
        <v>3600</v>
      </c>
      <c r="AC6" s="6470"/>
      <c r="AD6" s="6471" t="s">
        <v>3600</v>
      </c>
      <c r="AE6" s="5076"/>
      <c r="AF6" s="5076">
        <v>81</v>
      </c>
      <c r="AG6" s="5076">
        <v>40</v>
      </c>
      <c r="AH6" s="5076">
        <v>41</v>
      </c>
      <c r="AI6" s="5076"/>
      <c r="AJ6" s="5076"/>
      <c r="AK6" s="5076">
        <v>0</v>
      </c>
      <c r="AL6" s="5076">
        <v>33</v>
      </c>
      <c r="AM6" s="5076">
        <v>29</v>
      </c>
      <c r="AN6" s="5076">
        <v>15</v>
      </c>
      <c r="AO6" s="5076">
        <v>2</v>
      </c>
      <c r="AP6" s="5076">
        <v>1</v>
      </c>
      <c r="AQ6" s="5076">
        <v>1</v>
      </c>
      <c r="AR6" s="5076">
        <v>54</v>
      </c>
      <c r="AS6" s="5076">
        <v>2</v>
      </c>
      <c r="AT6" s="5076">
        <v>15</v>
      </c>
      <c r="AU6" s="5076">
        <v>4</v>
      </c>
      <c r="AV6" s="5076">
        <v>6</v>
      </c>
      <c r="AW6" s="5076"/>
      <c r="AX6" s="5076"/>
      <c r="AY6" s="5076"/>
      <c r="AZ6" s="5076">
        <v>74</v>
      </c>
      <c r="BA6" s="5076">
        <v>5</v>
      </c>
      <c r="BB6" s="5076">
        <v>2</v>
      </c>
      <c r="BC6" s="5076"/>
      <c r="BD6" s="5076"/>
      <c r="BE6" s="5076"/>
      <c r="BF6" s="2231"/>
      <c r="BG6" s="2231"/>
      <c r="BH6" s="2231"/>
      <c r="BI6" s="2231"/>
      <c r="BJ6" s="2231"/>
      <c r="BK6" s="2231"/>
      <c r="BL6" s="2231"/>
      <c r="BM6" s="2231"/>
      <c r="BN6" s="2231"/>
      <c r="BO6" s="2231"/>
      <c r="BP6" s="5066" t="s">
        <v>8590</v>
      </c>
      <c r="BQ6" s="5066">
        <v>60</v>
      </c>
      <c r="BR6" s="6472">
        <f>BQ6/J6</f>
        <v>1</v>
      </c>
      <c r="BS6" s="16611">
        <f>AVERAGE(BR6:BR13)</f>
        <v>1</v>
      </c>
      <c r="BT6" s="6473" t="s">
        <v>8592</v>
      </c>
      <c r="BU6" s="6473" t="s">
        <v>8593</v>
      </c>
      <c r="BV6" s="6473" t="s">
        <v>8594</v>
      </c>
      <c r="BW6" s="6474">
        <f>SUM(BX6:BY6)</f>
        <v>37788000</v>
      </c>
      <c r="BX6" s="6475">
        <v>7788000</v>
      </c>
      <c r="BY6" s="6475">
        <v>30000000</v>
      </c>
      <c r="BZ6" s="5076"/>
      <c r="CA6" s="2230">
        <f>SUM(CB6:CC6)</f>
        <v>2802</v>
      </c>
      <c r="CB6" s="2230">
        <v>1255</v>
      </c>
      <c r="CC6" s="2230">
        <v>1547</v>
      </c>
      <c r="CD6" s="2230">
        <v>1894</v>
      </c>
      <c r="CE6" s="2230">
        <v>908</v>
      </c>
      <c r="CF6" s="5076">
        <v>0</v>
      </c>
      <c r="CG6" s="2230">
        <v>523</v>
      </c>
      <c r="CH6" s="2230">
        <v>445</v>
      </c>
      <c r="CI6" s="2230">
        <v>689</v>
      </c>
      <c r="CJ6" s="2230">
        <v>486</v>
      </c>
      <c r="CK6" s="2230">
        <v>442</v>
      </c>
      <c r="CL6" s="2230">
        <v>217</v>
      </c>
      <c r="CM6" s="2230">
        <v>1908</v>
      </c>
      <c r="CN6" s="2230">
        <v>85</v>
      </c>
      <c r="CO6" s="5076">
        <v>158</v>
      </c>
      <c r="CP6" s="5076">
        <v>212</v>
      </c>
      <c r="CQ6" s="2230">
        <v>154</v>
      </c>
      <c r="CR6" s="2230">
        <v>55</v>
      </c>
      <c r="CS6" s="2230">
        <v>25</v>
      </c>
      <c r="CT6" s="2230">
        <v>205</v>
      </c>
      <c r="CU6" s="2230">
        <v>2609</v>
      </c>
      <c r="CV6" s="2230">
        <v>67</v>
      </c>
      <c r="CW6" s="2230">
        <v>70</v>
      </c>
      <c r="CX6" s="2230">
        <v>56</v>
      </c>
      <c r="CY6" s="2230">
        <v>0</v>
      </c>
      <c r="CZ6" s="5076">
        <v>0</v>
      </c>
      <c r="DA6" s="2230"/>
      <c r="DB6" s="2230"/>
      <c r="DC6" s="2230"/>
      <c r="DD6" s="5076"/>
      <c r="DE6" s="2230"/>
      <c r="DF6" s="2230"/>
      <c r="DG6" s="2230"/>
      <c r="DH6" s="2230"/>
      <c r="DI6" s="2230"/>
      <c r="DJ6" s="2230"/>
      <c r="DK6" s="2098"/>
      <c r="DL6" s="6476"/>
      <c r="DN6" s="6612"/>
      <c r="DO6" s="2231"/>
      <c r="DP6" s="2231"/>
      <c r="DQ6" s="2231"/>
      <c r="DR6" s="2231"/>
      <c r="DS6" s="2231"/>
      <c r="DT6" s="2231"/>
      <c r="DU6" s="2231"/>
      <c r="DV6" s="2231"/>
      <c r="DW6" s="2231"/>
      <c r="DX6" s="2231"/>
      <c r="DY6" s="2231"/>
      <c r="DZ6" s="2231"/>
      <c r="EA6" s="2231"/>
      <c r="EB6" s="2231"/>
      <c r="EC6" s="2231"/>
      <c r="ED6" s="2231"/>
      <c r="EE6" s="2231"/>
      <c r="EF6" s="2231"/>
      <c r="EG6" s="2231"/>
      <c r="EH6" s="2231"/>
      <c r="EI6" s="2231"/>
      <c r="EJ6" s="2231"/>
      <c r="EK6" s="2231"/>
      <c r="EL6" s="2231"/>
      <c r="EM6" s="2231"/>
      <c r="EN6" s="2231"/>
      <c r="EO6" s="2231"/>
      <c r="EP6" s="2231"/>
      <c r="EQ6" s="2231"/>
      <c r="ER6" s="2231"/>
      <c r="ES6" s="2231"/>
      <c r="ET6" s="2231"/>
      <c r="EU6" s="2231"/>
      <c r="EV6" s="2231"/>
      <c r="EW6" s="2231"/>
      <c r="EX6" s="2231"/>
      <c r="EY6" s="2231"/>
      <c r="EZ6" s="2231"/>
      <c r="FA6" s="2231"/>
      <c r="FB6" s="2231"/>
      <c r="FC6" s="2231"/>
      <c r="FD6" s="2231"/>
      <c r="FE6" s="2231"/>
      <c r="FF6" s="2231"/>
      <c r="FG6" s="6613"/>
    </row>
    <row r="7" spans="1:163" s="2233" customFormat="1" ht="15" customHeight="1">
      <c r="A7" s="16567"/>
      <c r="B7" s="15447"/>
      <c r="C7" s="16542" t="s">
        <v>8208</v>
      </c>
      <c r="D7" s="15447" t="s">
        <v>2007</v>
      </c>
      <c r="E7" s="16531" t="s">
        <v>2008</v>
      </c>
      <c r="F7" s="5067" t="s">
        <v>2009</v>
      </c>
      <c r="G7" s="2678">
        <v>0</v>
      </c>
      <c r="H7" s="2687">
        <v>0.3</v>
      </c>
      <c r="I7" s="2687">
        <v>0.6</v>
      </c>
      <c r="J7" s="16543">
        <v>0.9</v>
      </c>
      <c r="K7" s="2687">
        <v>1</v>
      </c>
      <c r="L7" s="2687">
        <v>1</v>
      </c>
      <c r="M7" s="2687">
        <v>1</v>
      </c>
      <c r="N7" s="2687">
        <v>1</v>
      </c>
      <c r="O7" s="2687">
        <v>1</v>
      </c>
      <c r="P7" s="2687">
        <v>1</v>
      </c>
      <c r="Q7" s="2687">
        <v>1</v>
      </c>
      <c r="R7" s="2687">
        <v>1</v>
      </c>
      <c r="S7" s="2687">
        <v>1</v>
      </c>
      <c r="T7" s="2687" t="s">
        <v>86</v>
      </c>
      <c r="U7" s="5067" t="s">
        <v>2006</v>
      </c>
      <c r="V7" s="2237"/>
      <c r="W7" s="5067" t="s">
        <v>2010</v>
      </c>
      <c r="X7" s="2688">
        <v>0.6</v>
      </c>
      <c r="Y7" s="2423" t="s">
        <v>3601</v>
      </c>
      <c r="Z7" s="2689" t="s">
        <v>3602</v>
      </c>
      <c r="AA7" s="2423" t="s">
        <v>3603</v>
      </c>
      <c r="AB7" s="2238">
        <v>1328421</v>
      </c>
      <c r="AC7" s="2690">
        <v>1328421</v>
      </c>
      <c r="AD7" s="2237"/>
      <c r="AE7" s="2237"/>
      <c r="AF7" s="2235"/>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5067" t="s">
        <v>2010</v>
      </c>
      <c r="BQ7" s="2692">
        <v>0.9</v>
      </c>
      <c r="BR7" s="4801">
        <f t="shared" ref="BR7:BR39" si="0">BQ7/J7</f>
        <v>1</v>
      </c>
      <c r="BS7" s="16612"/>
      <c r="BT7" s="2682" t="s">
        <v>8595</v>
      </c>
      <c r="BU7" s="2693" t="s">
        <v>3602</v>
      </c>
      <c r="BV7" s="2682" t="s">
        <v>8596</v>
      </c>
      <c r="BW7" s="2683">
        <f t="shared" ref="BW7:BW39" si="1">SUM(BX7:BY7)</f>
        <v>1328421</v>
      </c>
      <c r="BX7" s="2694">
        <v>1328421</v>
      </c>
      <c r="BY7" s="2694"/>
      <c r="BZ7" s="2237"/>
      <c r="CA7" s="2235" t="s">
        <v>3604</v>
      </c>
      <c r="CB7" s="2235" t="s">
        <v>3604</v>
      </c>
      <c r="CC7" s="2235" t="s">
        <v>3604</v>
      </c>
      <c r="CD7" s="2235" t="s">
        <v>3604</v>
      </c>
      <c r="CE7" s="2235" t="s">
        <v>3604</v>
      </c>
      <c r="CF7" s="2235" t="s">
        <v>3604</v>
      </c>
      <c r="CG7" s="2235" t="s">
        <v>3604</v>
      </c>
      <c r="CH7" s="2235" t="s">
        <v>3604</v>
      </c>
      <c r="CI7" s="2235" t="s">
        <v>3604</v>
      </c>
      <c r="CJ7" s="2235" t="s">
        <v>3604</v>
      </c>
      <c r="CK7" s="2235" t="s">
        <v>3604</v>
      </c>
      <c r="CL7" s="2235" t="s">
        <v>3604</v>
      </c>
      <c r="CM7" s="2235" t="s">
        <v>3604</v>
      </c>
      <c r="CN7" s="2235" t="s">
        <v>3604</v>
      </c>
      <c r="CO7" s="2235" t="s">
        <v>3604</v>
      </c>
      <c r="CP7" s="2235" t="s">
        <v>3604</v>
      </c>
      <c r="CQ7" s="2235" t="s">
        <v>3604</v>
      </c>
      <c r="CR7" s="2235" t="s">
        <v>3604</v>
      </c>
      <c r="CS7" s="2235" t="s">
        <v>3604</v>
      </c>
      <c r="CT7" s="2235" t="s">
        <v>3604</v>
      </c>
      <c r="CU7" s="2235" t="s">
        <v>3604</v>
      </c>
      <c r="CV7" s="2235" t="s">
        <v>3604</v>
      </c>
      <c r="CW7" s="2235" t="s">
        <v>3604</v>
      </c>
      <c r="CX7" s="2235" t="s">
        <v>3604</v>
      </c>
      <c r="CY7" s="2235" t="s">
        <v>3604</v>
      </c>
      <c r="CZ7" s="2235" t="s">
        <v>3604</v>
      </c>
      <c r="DA7" s="5068" t="s">
        <v>8629</v>
      </c>
      <c r="DB7" s="5068" t="s">
        <v>8630</v>
      </c>
      <c r="DC7" s="2235">
        <v>12</v>
      </c>
      <c r="DD7" s="5068" t="s">
        <v>3613</v>
      </c>
      <c r="DE7" s="5068" t="s">
        <v>3613</v>
      </c>
      <c r="DF7" s="2235"/>
      <c r="DG7" s="2235"/>
      <c r="DH7" s="2235"/>
      <c r="DI7" s="2235"/>
      <c r="DJ7" s="2235"/>
      <c r="DK7" s="2685"/>
      <c r="DL7" s="6477"/>
      <c r="DN7" s="6614"/>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691"/>
    </row>
    <row r="8" spans="1:163" s="2233" customFormat="1" ht="15" customHeight="1">
      <c r="A8" s="16567"/>
      <c r="B8" s="15447"/>
      <c r="C8" s="16542"/>
      <c r="D8" s="15447"/>
      <c r="E8" s="16532"/>
      <c r="F8" s="5067"/>
      <c r="G8" s="2678"/>
      <c r="H8" s="2687"/>
      <c r="I8" s="2687"/>
      <c r="J8" s="16543"/>
      <c r="K8" s="2687"/>
      <c r="L8" s="2687"/>
      <c r="M8" s="2687"/>
      <c r="N8" s="2687"/>
      <c r="O8" s="2687"/>
      <c r="P8" s="2687"/>
      <c r="Q8" s="2687"/>
      <c r="R8" s="2687"/>
      <c r="S8" s="2687"/>
      <c r="T8" s="2687" t="s">
        <v>10273</v>
      </c>
      <c r="U8" s="5067"/>
      <c r="V8" s="5067" t="s">
        <v>2011</v>
      </c>
      <c r="W8" s="5067"/>
      <c r="X8" s="2688"/>
      <c r="Y8" s="2423"/>
      <c r="Z8" s="2689"/>
      <c r="AA8" s="2423"/>
      <c r="AB8" s="2238"/>
      <c r="AC8" s="2690"/>
      <c r="AD8" s="2237"/>
      <c r="AE8" s="2237"/>
      <c r="AF8" s="2235"/>
      <c r="AG8" s="2237"/>
      <c r="AH8" s="2237"/>
      <c r="AI8" s="2237"/>
      <c r="AJ8" s="2237"/>
      <c r="AK8" s="2237"/>
      <c r="AL8" s="2237"/>
      <c r="AM8" s="2237"/>
      <c r="AN8" s="2237"/>
      <c r="AO8" s="2237"/>
      <c r="AP8" s="2237"/>
      <c r="AQ8" s="2237"/>
      <c r="AR8" s="2237"/>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c r="BP8" s="5067"/>
      <c r="BQ8" s="2692"/>
      <c r="BR8" s="4801"/>
      <c r="BS8" s="16612"/>
      <c r="BT8" s="2682"/>
      <c r="BU8" s="2693"/>
      <c r="BV8" s="2682"/>
      <c r="BW8" s="2683"/>
      <c r="BX8" s="2694"/>
      <c r="BY8" s="2694"/>
      <c r="BZ8" s="2237"/>
      <c r="CA8" s="2235"/>
      <c r="CB8" s="2235"/>
      <c r="CC8" s="2235"/>
      <c r="CD8" s="2235"/>
      <c r="CE8" s="2235"/>
      <c r="CF8" s="2235"/>
      <c r="CG8" s="2235"/>
      <c r="CH8" s="2235"/>
      <c r="CI8" s="2235"/>
      <c r="CJ8" s="2235"/>
      <c r="CK8" s="2235"/>
      <c r="CL8" s="2235"/>
      <c r="CM8" s="2235"/>
      <c r="CN8" s="2235"/>
      <c r="CO8" s="2235"/>
      <c r="CP8" s="2235"/>
      <c r="CQ8" s="2235"/>
      <c r="CR8" s="2235"/>
      <c r="CS8" s="2235"/>
      <c r="CT8" s="2235"/>
      <c r="CU8" s="2235"/>
      <c r="CV8" s="2235"/>
      <c r="CW8" s="2235"/>
      <c r="CX8" s="2235"/>
      <c r="CY8" s="2235"/>
      <c r="CZ8" s="2235"/>
      <c r="DA8" s="5068"/>
      <c r="DB8" s="5068"/>
      <c r="DC8" s="2235"/>
      <c r="DD8" s="5068"/>
      <c r="DE8" s="5068"/>
      <c r="DF8" s="2235"/>
      <c r="DG8" s="2235"/>
      <c r="DH8" s="2235"/>
      <c r="DI8" s="2235"/>
      <c r="DJ8" s="2235"/>
      <c r="DK8" s="2685"/>
      <c r="DL8" s="6477"/>
      <c r="DN8" s="6614"/>
      <c r="DO8" s="2237"/>
      <c r="DP8" s="2237"/>
      <c r="DQ8" s="2237"/>
      <c r="DR8" s="2237"/>
      <c r="DS8" s="2237"/>
      <c r="DT8" s="2237"/>
      <c r="DU8" s="2237"/>
      <c r="DV8" s="2237"/>
      <c r="DW8" s="2237"/>
      <c r="DX8" s="2237"/>
      <c r="DY8" s="2237"/>
      <c r="DZ8" s="2237"/>
      <c r="EA8" s="2237"/>
      <c r="EB8" s="2237"/>
      <c r="EC8" s="2237"/>
      <c r="ED8" s="2237"/>
      <c r="EE8" s="2237"/>
      <c r="EF8" s="2237"/>
      <c r="EG8" s="2237"/>
      <c r="EH8" s="2237"/>
      <c r="EI8" s="2237"/>
      <c r="EJ8" s="2237"/>
      <c r="EK8" s="2237"/>
      <c r="EL8" s="2237"/>
      <c r="EM8" s="2237"/>
      <c r="EN8" s="2237"/>
      <c r="EO8" s="2237"/>
      <c r="EP8" s="2237"/>
      <c r="EQ8" s="2237"/>
      <c r="ER8" s="2237"/>
      <c r="ES8" s="2237"/>
      <c r="ET8" s="2237"/>
      <c r="EU8" s="2237"/>
      <c r="EV8" s="2237"/>
      <c r="EW8" s="2237"/>
      <c r="EX8" s="2237"/>
      <c r="EY8" s="2237"/>
      <c r="EZ8" s="2237"/>
      <c r="FA8" s="2237"/>
      <c r="FB8" s="2237"/>
      <c r="FC8" s="2237"/>
      <c r="FD8" s="2237"/>
      <c r="FE8" s="2237"/>
      <c r="FF8" s="2237"/>
      <c r="FG8" s="2691"/>
    </row>
    <row r="9" spans="1:163" s="2233" customFormat="1" ht="15" customHeight="1">
      <c r="A9" s="16567"/>
      <c r="B9" s="15447"/>
      <c r="C9" s="6465" t="s">
        <v>8209</v>
      </c>
      <c r="D9" s="2242" t="s">
        <v>2012</v>
      </c>
      <c r="E9" s="5067" t="s">
        <v>2013</v>
      </c>
      <c r="F9" s="5067" t="s">
        <v>2009</v>
      </c>
      <c r="G9" s="2678">
        <v>0</v>
      </c>
      <c r="H9" s="2692">
        <v>0.5</v>
      </c>
      <c r="I9" s="2692">
        <v>1</v>
      </c>
      <c r="J9" s="2692">
        <v>1</v>
      </c>
      <c r="K9" s="2692">
        <v>1</v>
      </c>
      <c r="L9" s="2692">
        <v>1</v>
      </c>
      <c r="M9" s="2692">
        <v>1</v>
      </c>
      <c r="N9" s="2692">
        <v>1</v>
      </c>
      <c r="O9" s="2692">
        <v>1</v>
      </c>
      <c r="P9" s="2692">
        <v>1</v>
      </c>
      <c r="Q9" s="2692">
        <v>1</v>
      </c>
      <c r="R9" s="2692">
        <v>1</v>
      </c>
      <c r="S9" s="2692">
        <v>1</v>
      </c>
      <c r="T9" s="2692" t="s">
        <v>86</v>
      </c>
      <c r="U9" s="5067" t="s">
        <v>2015</v>
      </c>
      <c r="V9" s="2686"/>
      <c r="W9" s="5067" t="s">
        <v>2014</v>
      </c>
      <c r="X9" s="2688">
        <v>1</v>
      </c>
      <c r="Y9" s="2423" t="s">
        <v>3605</v>
      </c>
      <c r="Z9" s="2689" t="s">
        <v>3602</v>
      </c>
      <c r="AA9" s="2423" t="s">
        <v>3606</v>
      </c>
      <c r="AB9" s="2238">
        <v>1328421</v>
      </c>
      <c r="AC9" s="2690">
        <v>1328421</v>
      </c>
      <c r="AD9" s="2237"/>
      <c r="AE9" s="2237"/>
      <c r="AF9" s="2235"/>
      <c r="AG9" s="2237"/>
      <c r="AH9" s="2237"/>
      <c r="AI9" s="2237"/>
      <c r="AJ9" s="2237"/>
      <c r="AK9" s="2237"/>
      <c r="AL9" s="2237"/>
      <c r="AM9" s="2237"/>
      <c r="AN9" s="2237"/>
      <c r="AO9" s="2237"/>
      <c r="AP9" s="2237"/>
      <c r="AQ9" s="2237"/>
      <c r="AR9" s="2237"/>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c r="BP9" s="5067" t="s">
        <v>2014</v>
      </c>
      <c r="BQ9" s="2692">
        <v>1</v>
      </c>
      <c r="BR9" s="4801">
        <f t="shared" si="0"/>
        <v>1</v>
      </c>
      <c r="BS9" s="16612"/>
      <c r="BT9" s="2682" t="s">
        <v>8597</v>
      </c>
      <c r="BU9" s="2689" t="s">
        <v>3602</v>
      </c>
      <c r="BV9" s="5068" t="s">
        <v>3606</v>
      </c>
      <c r="BW9" s="2683">
        <f t="shared" si="1"/>
        <v>1328421</v>
      </c>
      <c r="BX9" s="2694">
        <v>1328421</v>
      </c>
      <c r="BY9" s="2694"/>
      <c r="BZ9" s="2237"/>
      <c r="CA9" s="2235" t="s">
        <v>3604</v>
      </c>
      <c r="CB9" s="2235" t="s">
        <v>3604</v>
      </c>
      <c r="CC9" s="2235" t="s">
        <v>3604</v>
      </c>
      <c r="CD9" s="2235" t="s">
        <v>3604</v>
      </c>
      <c r="CE9" s="2235" t="s">
        <v>3604</v>
      </c>
      <c r="CF9" s="2235" t="s">
        <v>3604</v>
      </c>
      <c r="CG9" s="2235" t="s">
        <v>3604</v>
      </c>
      <c r="CH9" s="2235" t="s">
        <v>3604</v>
      </c>
      <c r="CI9" s="2235" t="s">
        <v>3604</v>
      </c>
      <c r="CJ9" s="2235" t="s">
        <v>3604</v>
      </c>
      <c r="CK9" s="2235" t="s">
        <v>3604</v>
      </c>
      <c r="CL9" s="2235" t="s">
        <v>3604</v>
      </c>
      <c r="CM9" s="2235" t="s">
        <v>3604</v>
      </c>
      <c r="CN9" s="2235" t="s">
        <v>3604</v>
      </c>
      <c r="CO9" s="2235" t="s">
        <v>3604</v>
      </c>
      <c r="CP9" s="2235" t="s">
        <v>3604</v>
      </c>
      <c r="CQ9" s="2235" t="s">
        <v>3604</v>
      </c>
      <c r="CR9" s="2235" t="s">
        <v>3604</v>
      </c>
      <c r="CS9" s="2235" t="s">
        <v>3604</v>
      </c>
      <c r="CT9" s="2235" t="s">
        <v>3604</v>
      </c>
      <c r="CU9" s="2235" t="s">
        <v>3604</v>
      </c>
      <c r="CV9" s="2235" t="s">
        <v>3604</v>
      </c>
      <c r="CW9" s="2235" t="s">
        <v>3604</v>
      </c>
      <c r="CX9" s="2235" t="s">
        <v>3604</v>
      </c>
      <c r="CY9" s="2235" t="s">
        <v>3604</v>
      </c>
      <c r="CZ9" s="2235" t="s">
        <v>3604</v>
      </c>
      <c r="DA9" s="5068" t="s">
        <v>8631</v>
      </c>
      <c r="DB9" s="5068" t="s">
        <v>8632</v>
      </c>
      <c r="DC9" s="2235">
        <v>16</v>
      </c>
      <c r="DD9" s="5068" t="s">
        <v>3613</v>
      </c>
      <c r="DE9" s="5068" t="s">
        <v>3613</v>
      </c>
      <c r="DF9" s="2235"/>
      <c r="DG9" s="2235"/>
      <c r="DH9" s="2235"/>
      <c r="DI9" s="2235"/>
      <c r="DJ9" s="2235"/>
      <c r="DK9" s="2685"/>
      <c r="DL9" s="6477"/>
      <c r="DN9" s="6614"/>
      <c r="DO9" s="2237"/>
      <c r="DP9" s="2237"/>
      <c r="DQ9" s="2237"/>
      <c r="DR9" s="2237"/>
      <c r="DS9" s="2237"/>
      <c r="DT9" s="2237"/>
      <c r="DU9" s="2237"/>
      <c r="DV9" s="2237"/>
      <c r="DW9" s="2237"/>
      <c r="DX9" s="2237"/>
      <c r="DY9" s="2237"/>
      <c r="DZ9" s="2237"/>
      <c r="EA9" s="2237"/>
      <c r="EB9" s="2237"/>
      <c r="EC9" s="2237"/>
      <c r="ED9" s="2237"/>
      <c r="EE9" s="2237"/>
      <c r="EF9" s="2237"/>
      <c r="EG9" s="2237"/>
      <c r="EH9" s="2237"/>
      <c r="EI9" s="2237"/>
      <c r="EJ9" s="2237"/>
      <c r="EK9" s="2237"/>
      <c r="EL9" s="2237"/>
      <c r="EM9" s="2237"/>
      <c r="EN9" s="2237"/>
      <c r="EO9" s="2237"/>
      <c r="EP9" s="2237"/>
      <c r="EQ9" s="2237"/>
      <c r="ER9" s="2237"/>
      <c r="ES9" s="2237"/>
      <c r="ET9" s="2237"/>
      <c r="EU9" s="2237"/>
      <c r="EV9" s="2237"/>
      <c r="EW9" s="2237"/>
      <c r="EX9" s="2237"/>
      <c r="EY9" s="2237"/>
      <c r="EZ9" s="2237"/>
      <c r="FA9" s="2237"/>
      <c r="FB9" s="2237"/>
      <c r="FC9" s="2237"/>
      <c r="FD9" s="2237"/>
      <c r="FE9" s="2237"/>
      <c r="FF9" s="2237"/>
      <c r="FG9" s="2691"/>
    </row>
    <row r="10" spans="1:163" s="2233" customFormat="1" ht="15" customHeight="1">
      <c r="A10" s="16567"/>
      <c r="B10" s="15447"/>
      <c r="C10" s="6465" t="s">
        <v>8210</v>
      </c>
      <c r="D10" s="2242" t="s">
        <v>2016</v>
      </c>
      <c r="E10" s="5067" t="s">
        <v>2017</v>
      </c>
      <c r="F10" s="5067" t="s">
        <v>2018</v>
      </c>
      <c r="G10" s="2678">
        <v>0</v>
      </c>
      <c r="H10" s="2679">
        <v>40</v>
      </c>
      <c r="I10" s="2679">
        <v>60</v>
      </c>
      <c r="J10" s="2679">
        <v>80</v>
      </c>
      <c r="K10" s="2679">
        <v>100</v>
      </c>
      <c r="L10" s="2679">
        <v>120</v>
      </c>
      <c r="M10" s="2679">
        <v>140</v>
      </c>
      <c r="N10" s="2679">
        <v>160</v>
      </c>
      <c r="O10" s="2679">
        <v>180</v>
      </c>
      <c r="P10" s="2679">
        <v>200</v>
      </c>
      <c r="Q10" s="2679">
        <v>220</v>
      </c>
      <c r="R10" s="2679">
        <v>240</v>
      </c>
      <c r="S10" s="2679">
        <v>240</v>
      </c>
      <c r="T10" s="2679" t="s">
        <v>86</v>
      </c>
      <c r="U10" s="5067" t="s">
        <v>2006</v>
      </c>
      <c r="V10" s="2686"/>
      <c r="W10" s="5067" t="s">
        <v>2019</v>
      </c>
      <c r="X10" s="2695">
        <v>1</v>
      </c>
      <c r="Y10" s="2423" t="s">
        <v>3607</v>
      </c>
      <c r="Z10" s="2423" t="s">
        <v>3585</v>
      </c>
      <c r="AA10" s="2423" t="s">
        <v>3608</v>
      </c>
      <c r="AB10" s="2681" t="s">
        <v>3600</v>
      </c>
      <c r="AC10" s="2681" t="s">
        <v>3600</v>
      </c>
      <c r="AD10" s="2237"/>
      <c r="AE10" s="2237"/>
      <c r="AF10" s="2235">
        <v>121</v>
      </c>
      <c r="AG10" s="2237">
        <v>35</v>
      </c>
      <c r="AH10" s="2237">
        <v>86</v>
      </c>
      <c r="AI10" s="2237">
        <v>121</v>
      </c>
      <c r="AJ10" s="2237"/>
      <c r="AK10" s="2237">
        <v>0</v>
      </c>
      <c r="AL10" s="2237">
        <v>0</v>
      </c>
      <c r="AM10" s="2237">
        <v>19</v>
      </c>
      <c r="AN10" s="2237">
        <v>72</v>
      </c>
      <c r="AO10" s="2237">
        <v>28</v>
      </c>
      <c r="AP10" s="2237">
        <v>2</v>
      </c>
      <c r="AQ10" s="2237"/>
      <c r="AR10" s="2237">
        <v>117</v>
      </c>
      <c r="AS10" s="2237">
        <v>2</v>
      </c>
      <c r="AT10" s="2237">
        <v>2</v>
      </c>
      <c r="AU10" s="2237"/>
      <c r="AV10" s="2237"/>
      <c r="AW10" s="2237"/>
      <c r="AX10" s="2237"/>
      <c r="AY10" s="2237"/>
      <c r="AZ10" s="2237">
        <v>116</v>
      </c>
      <c r="BA10" s="2237">
        <v>5</v>
      </c>
      <c r="BB10" s="2237"/>
      <c r="BC10" s="2237"/>
      <c r="BD10" s="2237"/>
      <c r="BE10" s="2237"/>
      <c r="BF10" s="2237"/>
      <c r="BG10" s="2237"/>
      <c r="BH10" s="2237"/>
      <c r="BI10" s="2237"/>
      <c r="BJ10" s="2237"/>
      <c r="BK10" s="2237"/>
      <c r="BL10" s="2237"/>
      <c r="BM10" s="2237"/>
      <c r="BN10" s="2237"/>
      <c r="BO10" s="2237"/>
      <c r="BP10" s="5067" t="s">
        <v>2019</v>
      </c>
      <c r="BQ10" s="2696">
        <v>80</v>
      </c>
      <c r="BR10" s="4801">
        <f t="shared" si="0"/>
        <v>1</v>
      </c>
      <c r="BS10" s="16612"/>
      <c r="BT10" s="2682" t="s">
        <v>8598</v>
      </c>
      <c r="BU10" s="2423" t="s">
        <v>3585</v>
      </c>
      <c r="BV10" s="2682" t="s">
        <v>3608</v>
      </c>
      <c r="BW10" s="2683">
        <f t="shared" si="1"/>
        <v>4800000</v>
      </c>
      <c r="BX10" s="2684">
        <v>4800000</v>
      </c>
      <c r="BY10" s="2694"/>
      <c r="BZ10" s="2237"/>
      <c r="CA10" s="2235">
        <f>SUM(CB10:CC10)</f>
        <v>324</v>
      </c>
      <c r="CB10" s="2235">
        <v>158</v>
      </c>
      <c r="CC10" s="2235">
        <v>166</v>
      </c>
      <c r="CD10" s="2235">
        <v>178</v>
      </c>
      <c r="CE10" s="5068">
        <v>146</v>
      </c>
      <c r="CF10" s="5068">
        <v>0</v>
      </c>
      <c r="CG10" s="2235">
        <v>0</v>
      </c>
      <c r="CH10" s="2235">
        <v>0</v>
      </c>
      <c r="CI10" s="2235">
        <v>78</v>
      </c>
      <c r="CJ10" s="2235">
        <v>105</v>
      </c>
      <c r="CK10" s="2235">
        <v>56</v>
      </c>
      <c r="CL10" s="2235">
        <v>85</v>
      </c>
      <c r="CM10" s="2235">
        <v>114</v>
      </c>
      <c r="CN10" s="2235">
        <v>0</v>
      </c>
      <c r="CO10" s="2235">
        <v>59</v>
      </c>
      <c r="CP10" s="5068">
        <v>14</v>
      </c>
      <c r="CQ10" s="2235">
        <v>59</v>
      </c>
      <c r="CR10" s="2235">
        <v>0</v>
      </c>
      <c r="CS10" s="2235">
        <v>0</v>
      </c>
      <c r="CT10" s="2235">
        <v>78</v>
      </c>
      <c r="CU10" s="2235">
        <v>316</v>
      </c>
      <c r="CV10" s="2235">
        <v>8</v>
      </c>
      <c r="CW10" s="2235">
        <v>0</v>
      </c>
      <c r="CX10" s="2235">
        <v>0</v>
      </c>
      <c r="CY10" s="5068">
        <v>0</v>
      </c>
      <c r="CZ10" s="2235">
        <v>0</v>
      </c>
      <c r="DA10" s="2235"/>
      <c r="DB10" s="2235"/>
      <c r="DC10" s="2235"/>
      <c r="DD10" s="2235"/>
      <c r="DE10" s="2235"/>
      <c r="DF10" s="2235"/>
      <c r="DG10" s="2235"/>
      <c r="DH10" s="2235"/>
      <c r="DI10" s="2235"/>
      <c r="DJ10" s="2235"/>
      <c r="DK10" s="2685"/>
      <c r="DL10" s="6477"/>
      <c r="DN10" s="6614"/>
      <c r="DO10" s="2237"/>
      <c r="DP10" s="2237"/>
      <c r="DQ10" s="2237"/>
      <c r="DR10" s="2237"/>
      <c r="DS10" s="2237"/>
      <c r="DT10" s="2237"/>
      <c r="DU10" s="2237"/>
      <c r="DV10" s="2237"/>
      <c r="DW10" s="2237"/>
      <c r="DX10" s="2237"/>
      <c r="DY10" s="2237"/>
      <c r="DZ10" s="2237"/>
      <c r="EA10" s="2237"/>
      <c r="EB10" s="2237"/>
      <c r="EC10" s="2237"/>
      <c r="ED10" s="2237"/>
      <c r="EE10" s="2237"/>
      <c r="EF10" s="2237"/>
      <c r="EG10" s="2237"/>
      <c r="EH10" s="2237"/>
      <c r="EI10" s="2237"/>
      <c r="EJ10" s="2237"/>
      <c r="EK10" s="2237"/>
      <c r="EL10" s="2237"/>
      <c r="EM10" s="2237"/>
      <c r="EN10" s="2237"/>
      <c r="EO10" s="2237"/>
      <c r="EP10" s="2237"/>
      <c r="EQ10" s="2237"/>
      <c r="ER10" s="2237"/>
      <c r="ES10" s="2237"/>
      <c r="ET10" s="2237"/>
      <c r="EU10" s="2237"/>
      <c r="EV10" s="2237"/>
      <c r="EW10" s="2237"/>
      <c r="EX10" s="2237"/>
      <c r="EY10" s="2237"/>
      <c r="EZ10" s="2237"/>
      <c r="FA10" s="2237"/>
      <c r="FB10" s="2237"/>
      <c r="FC10" s="2237"/>
      <c r="FD10" s="2237"/>
      <c r="FE10" s="2237"/>
      <c r="FF10" s="2237"/>
      <c r="FG10" s="2691"/>
    </row>
    <row r="11" spans="1:163" s="2233" customFormat="1" ht="15" customHeight="1">
      <c r="A11" s="16567"/>
      <c r="B11" s="15447"/>
      <c r="C11" s="6465" t="s">
        <v>8211</v>
      </c>
      <c r="D11" s="2242" t="s">
        <v>2020</v>
      </c>
      <c r="E11" s="5067" t="s">
        <v>2021</v>
      </c>
      <c r="F11" s="5067" t="s">
        <v>2018</v>
      </c>
      <c r="G11" s="2678">
        <v>18</v>
      </c>
      <c r="H11" s="2679">
        <v>58</v>
      </c>
      <c r="I11" s="2679">
        <v>78</v>
      </c>
      <c r="J11" s="2679">
        <v>98</v>
      </c>
      <c r="K11" s="2679">
        <v>118</v>
      </c>
      <c r="L11" s="2679">
        <v>138</v>
      </c>
      <c r="M11" s="2679">
        <v>158</v>
      </c>
      <c r="N11" s="2679">
        <v>178</v>
      </c>
      <c r="O11" s="2679">
        <v>198</v>
      </c>
      <c r="P11" s="2679">
        <v>218</v>
      </c>
      <c r="Q11" s="2679">
        <v>238</v>
      </c>
      <c r="R11" s="2679">
        <v>258</v>
      </c>
      <c r="S11" s="2679">
        <v>258</v>
      </c>
      <c r="T11" s="2679" t="s">
        <v>86</v>
      </c>
      <c r="U11" s="5067" t="s">
        <v>2006</v>
      </c>
      <c r="V11" s="2686"/>
      <c r="W11" s="5067" t="s">
        <v>2022</v>
      </c>
      <c r="X11" s="2695">
        <v>1</v>
      </c>
      <c r="Y11" s="2423" t="s">
        <v>3609</v>
      </c>
      <c r="Z11" s="5067" t="s">
        <v>2022</v>
      </c>
      <c r="AA11" s="2423" t="s">
        <v>3610</v>
      </c>
      <c r="AB11" s="2238">
        <v>1328421</v>
      </c>
      <c r="AC11" s="2690">
        <v>1328421</v>
      </c>
      <c r="AD11" s="2235"/>
      <c r="AE11" s="2235"/>
      <c r="AF11" s="2235"/>
      <c r="AG11" s="2235"/>
      <c r="AH11" s="2235"/>
      <c r="AI11" s="2235"/>
      <c r="AJ11" s="2235"/>
      <c r="AK11" s="2235"/>
      <c r="AL11" s="2235"/>
      <c r="AM11" s="2235"/>
      <c r="AN11" s="2235"/>
      <c r="AO11" s="2235"/>
      <c r="AP11" s="2235"/>
      <c r="AQ11" s="2235"/>
      <c r="AR11" s="2235"/>
      <c r="AS11" s="2235"/>
      <c r="AT11" s="2235"/>
      <c r="AU11" s="2235"/>
      <c r="AV11" s="2235"/>
      <c r="AW11" s="2235"/>
      <c r="AX11" s="2235"/>
      <c r="AY11" s="2235"/>
      <c r="AZ11" s="2235"/>
      <c r="BA11" s="2235"/>
      <c r="BB11" s="2235"/>
      <c r="BC11" s="2235"/>
      <c r="BD11" s="2235"/>
      <c r="BE11" s="2235"/>
      <c r="BF11" s="2423" t="s">
        <v>3611</v>
      </c>
      <c r="BG11" s="2423" t="s">
        <v>3612</v>
      </c>
      <c r="BH11" s="2423">
        <v>81</v>
      </c>
      <c r="BI11" s="2423" t="s">
        <v>3613</v>
      </c>
      <c r="BJ11" s="2423" t="s">
        <v>3613</v>
      </c>
      <c r="BK11" s="2423"/>
      <c r="BL11" s="2423"/>
      <c r="BM11" s="2423"/>
      <c r="BN11" s="2423"/>
      <c r="BO11" s="2423"/>
      <c r="BP11" s="5067" t="s">
        <v>2022</v>
      </c>
      <c r="BQ11" s="2696">
        <v>98</v>
      </c>
      <c r="BR11" s="4801">
        <f t="shared" si="0"/>
        <v>1</v>
      </c>
      <c r="BS11" s="16612"/>
      <c r="BT11" s="6466" t="s">
        <v>8599</v>
      </c>
      <c r="BU11" s="5067" t="s">
        <v>2022</v>
      </c>
      <c r="BV11" s="5067" t="s">
        <v>3610</v>
      </c>
      <c r="BW11" s="2683">
        <f t="shared" si="1"/>
        <v>1328421</v>
      </c>
      <c r="BX11" s="2697">
        <v>1328421</v>
      </c>
      <c r="BY11" s="2697"/>
      <c r="BZ11" s="2235"/>
      <c r="CA11" s="2685" t="s">
        <v>3604</v>
      </c>
      <c r="CB11" s="2685" t="s">
        <v>3604</v>
      </c>
      <c r="CC11" s="2685" t="s">
        <v>3604</v>
      </c>
      <c r="CD11" s="2685" t="s">
        <v>3604</v>
      </c>
      <c r="CE11" s="2685" t="s">
        <v>3604</v>
      </c>
      <c r="CF11" s="2685" t="s">
        <v>3604</v>
      </c>
      <c r="CG11" s="2685" t="s">
        <v>3604</v>
      </c>
      <c r="CH11" s="2685" t="s">
        <v>3604</v>
      </c>
      <c r="CI11" s="2685" t="s">
        <v>3604</v>
      </c>
      <c r="CJ11" s="2685" t="s">
        <v>3604</v>
      </c>
      <c r="CK11" s="2685" t="s">
        <v>3604</v>
      </c>
      <c r="CL11" s="2685" t="s">
        <v>3604</v>
      </c>
      <c r="CM11" s="2685" t="s">
        <v>3604</v>
      </c>
      <c r="CN11" s="2685" t="s">
        <v>3604</v>
      </c>
      <c r="CO11" s="2685" t="s">
        <v>3604</v>
      </c>
      <c r="CP11" s="2685" t="s">
        <v>3604</v>
      </c>
      <c r="CQ11" s="2685" t="s">
        <v>3604</v>
      </c>
      <c r="CR11" s="2685" t="s">
        <v>3604</v>
      </c>
      <c r="CS11" s="2685" t="s">
        <v>3604</v>
      </c>
      <c r="CT11" s="2685" t="s">
        <v>3604</v>
      </c>
      <c r="CU11" s="2685" t="s">
        <v>3604</v>
      </c>
      <c r="CV11" s="2685" t="s">
        <v>3604</v>
      </c>
      <c r="CW11" s="2685" t="s">
        <v>3604</v>
      </c>
      <c r="CX11" s="2685" t="s">
        <v>3604</v>
      </c>
      <c r="CY11" s="2685" t="s">
        <v>3604</v>
      </c>
      <c r="CZ11" s="2685" t="s">
        <v>3604</v>
      </c>
      <c r="DA11" s="5067" t="s">
        <v>3611</v>
      </c>
      <c r="DB11" s="5067" t="s">
        <v>3612</v>
      </c>
      <c r="DC11" s="5067">
        <v>81</v>
      </c>
      <c r="DD11" s="5067" t="s">
        <v>3613</v>
      </c>
      <c r="DE11" s="5067" t="s">
        <v>3613</v>
      </c>
      <c r="DF11" s="2422"/>
      <c r="DG11" s="5067"/>
      <c r="DH11" s="5067"/>
      <c r="DI11" s="5067"/>
      <c r="DJ11" s="5067"/>
      <c r="DK11" s="5067"/>
      <c r="DL11" s="6477"/>
      <c r="DN11" s="6614"/>
      <c r="DO11" s="2237"/>
      <c r="DP11" s="2237"/>
      <c r="DQ11" s="2237"/>
      <c r="DR11" s="2237"/>
      <c r="DS11" s="2237"/>
      <c r="DT11" s="2237"/>
      <c r="DU11" s="2237"/>
      <c r="DV11" s="2237"/>
      <c r="DW11" s="2237"/>
      <c r="DX11" s="2237"/>
      <c r="DY11" s="2237"/>
      <c r="DZ11" s="2237"/>
      <c r="EA11" s="2237"/>
      <c r="EB11" s="2237"/>
      <c r="EC11" s="2237"/>
      <c r="ED11" s="2237"/>
      <c r="EE11" s="2237"/>
      <c r="EF11" s="2237"/>
      <c r="EG11" s="2237"/>
      <c r="EH11" s="2237"/>
      <c r="EI11" s="2237"/>
      <c r="EJ11" s="2237"/>
      <c r="EK11" s="2237"/>
      <c r="EL11" s="2237"/>
      <c r="EM11" s="2237"/>
      <c r="EN11" s="2237"/>
      <c r="EO11" s="2237"/>
      <c r="EP11" s="2237"/>
      <c r="EQ11" s="2237"/>
      <c r="ER11" s="2237"/>
      <c r="ES11" s="2237"/>
      <c r="ET11" s="2237"/>
      <c r="EU11" s="2237"/>
      <c r="EV11" s="2237"/>
      <c r="EW11" s="2237"/>
      <c r="EX11" s="2237"/>
      <c r="EY11" s="2237"/>
      <c r="EZ11" s="2237"/>
      <c r="FA11" s="2237"/>
      <c r="FB11" s="2237"/>
      <c r="FC11" s="2237"/>
      <c r="FD11" s="2237"/>
      <c r="FE11" s="2237"/>
      <c r="FF11" s="2237"/>
      <c r="FG11" s="2691"/>
    </row>
    <row r="12" spans="1:163" s="2233" customFormat="1" ht="15" customHeight="1">
      <c r="A12" s="16567"/>
      <c r="B12" s="15447"/>
      <c r="C12" s="6465" t="s">
        <v>8212</v>
      </c>
      <c r="D12" s="2242" t="s">
        <v>2023</v>
      </c>
      <c r="E12" s="5067" t="s">
        <v>2024</v>
      </c>
      <c r="F12" s="5067" t="s">
        <v>2025</v>
      </c>
      <c r="G12" s="2678">
        <v>2</v>
      </c>
      <c r="H12" s="2679">
        <v>3</v>
      </c>
      <c r="I12" s="2679">
        <v>3</v>
      </c>
      <c r="J12" s="2679">
        <v>3</v>
      </c>
      <c r="K12" s="2679">
        <v>4</v>
      </c>
      <c r="L12" s="2679">
        <v>4</v>
      </c>
      <c r="M12" s="2679">
        <v>4</v>
      </c>
      <c r="N12" s="2679">
        <v>5</v>
      </c>
      <c r="O12" s="2679">
        <v>5</v>
      </c>
      <c r="P12" s="2679">
        <v>5</v>
      </c>
      <c r="Q12" s="2679">
        <v>5</v>
      </c>
      <c r="R12" s="2679">
        <v>5</v>
      </c>
      <c r="S12" s="2679">
        <v>5</v>
      </c>
      <c r="T12" s="2679" t="s">
        <v>86</v>
      </c>
      <c r="U12" s="5067" t="s">
        <v>2006</v>
      </c>
      <c r="V12" s="2686"/>
      <c r="W12" s="5067" t="s">
        <v>2026</v>
      </c>
      <c r="X12" s="2695">
        <v>1</v>
      </c>
      <c r="Y12" s="2423" t="s">
        <v>3614</v>
      </c>
      <c r="Z12" s="5067" t="s">
        <v>2022</v>
      </c>
      <c r="AA12" s="2423" t="s">
        <v>3615</v>
      </c>
      <c r="AB12" s="2238">
        <v>1328421</v>
      </c>
      <c r="AC12" s="2690">
        <v>1328421</v>
      </c>
      <c r="AD12" s="2235"/>
      <c r="AE12" s="2235"/>
      <c r="AF12" s="2235"/>
      <c r="AG12" s="2235"/>
      <c r="AH12" s="2235"/>
      <c r="AI12" s="2235"/>
      <c r="AJ12" s="2235"/>
      <c r="AK12" s="2235"/>
      <c r="AL12" s="2235"/>
      <c r="AM12" s="2235"/>
      <c r="AN12" s="2235"/>
      <c r="AO12" s="2235"/>
      <c r="AP12" s="2235"/>
      <c r="AQ12" s="2235"/>
      <c r="AR12" s="2235"/>
      <c r="AS12" s="2235"/>
      <c r="AT12" s="2235"/>
      <c r="AU12" s="2235"/>
      <c r="AV12" s="2235"/>
      <c r="AW12" s="2235"/>
      <c r="AX12" s="2235"/>
      <c r="AY12" s="2235"/>
      <c r="AZ12" s="2235"/>
      <c r="BA12" s="2235"/>
      <c r="BB12" s="2235"/>
      <c r="BC12" s="2235"/>
      <c r="BD12" s="2235"/>
      <c r="BE12" s="2235"/>
      <c r="BF12" s="2422" t="s">
        <v>3616</v>
      </c>
      <c r="BG12" s="2422" t="s">
        <v>3617</v>
      </c>
      <c r="BH12" s="2237">
        <v>3</v>
      </c>
      <c r="BI12" s="2423" t="s">
        <v>3613</v>
      </c>
      <c r="BJ12" s="2423" t="s">
        <v>3613</v>
      </c>
      <c r="BK12" s="2237"/>
      <c r="BL12" s="2237"/>
      <c r="BM12" s="2237"/>
      <c r="BN12" s="2237"/>
      <c r="BO12" s="2237"/>
      <c r="BP12" s="5067" t="s">
        <v>2026</v>
      </c>
      <c r="BQ12" s="2679">
        <v>3</v>
      </c>
      <c r="BR12" s="4801">
        <f t="shared" si="0"/>
        <v>1</v>
      </c>
      <c r="BS12" s="16612"/>
      <c r="BT12" s="6466" t="s">
        <v>8600</v>
      </c>
      <c r="BU12" s="5067" t="s">
        <v>2022</v>
      </c>
      <c r="BV12" s="5067" t="s">
        <v>3615</v>
      </c>
      <c r="BW12" s="2683">
        <f t="shared" si="1"/>
        <v>1328421</v>
      </c>
      <c r="BX12" s="2697">
        <v>1328421</v>
      </c>
      <c r="BY12" s="2697"/>
      <c r="BZ12" s="2235"/>
      <c r="CA12" s="2685" t="s">
        <v>3604</v>
      </c>
      <c r="CB12" s="2685" t="s">
        <v>3604</v>
      </c>
      <c r="CC12" s="2685" t="s">
        <v>3604</v>
      </c>
      <c r="CD12" s="2685" t="s">
        <v>3604</v>
      </c>
      <c r="CE12" s="2685" t="s">
        <v>3604</v>
      </c>
      <c r="CF12" s="2685" t="s">
        <v>3604</v>
      </c>
      <c r="CG12" s="2685" t="s">
        <v>3604</v>
      </c>
      <c r="CH12" s="2685" t="s">
        <v>3604</v>
      </c>
      <c r="CI12" s="2685" t="s">
        <v>3604</v>
      </c>
      <c r="CJ12" s="2685" t="s">
        <v>3604</v>
      </c>
      <c r="CK12" s="2685" t="s">
        <v>3604</v>
      </c>
      <c r="CL12" s="2685" t="s">
        <v>3604</v>
      </c>
      <c r="CM12" s="2685" t="s">
        <v>3604</v>
      </c>
      <c r="CN12" s="2685" t="s">
        <v>3604</v>
      </c>
      <c r="CO12" s="2685" t="s">
        <v>3604</v>
      </c>
      <c r="CP12" s="2685" t="s">
        <v>3604</v>
      </c>
      <c r="CQ12" s="2685" t="s">
        <v>3604</v>
      </c>
      <c r="CR12" s="2685" t="s">
        <v>3604</v>
      </c>
      <c r="CS12" s="2685" t="s">
        <v>3604</v>
      </c>
      <c r="CT12" s="2685" t="s">
        <v>3604</v>
      </c>
      <c r="CU12" s="2685" t="s">
        <v>3604</v>
      </c>
      <c r="CV12" s="2685" t="s">
        <v>3604</v>
      </c>
      <c r="CW12" s="2685" t="s">
        <v>3604</v>
      </c>
      <c r="CX12" s="2685" t="s">
        <v>3604</v>
      </c>
      <c r="CY12" s="2685" t="s">
        <v>3604</v>
      </c>
      <c r="CZ12" s="2685" t="s">
        <v>3604</v>
      </c>
      <c r="DA12" s="5067" t="s">
        <v>3616</v>
      </c>
      <c r="DB12" s="5067" t="s">
        <v>3617</v>
      </c>
      <c r="DC12" s="2685">
        <v>3</v>
      </c>
      <c r="DD12" s="5067" t="s">
        <v>3613</v>
      </c>
      <c r="DE12" s="5067" t="s">
        <v>3613</v>
      </c>
      <c r="DF12" s="2422"/>
      <c r="DG12" s="2685"/>
      <c r="DH12" s="2685"/>
      <c r="DI12" s="2685"/>
      <c r="DJ12" s="2685"/>
      <c r="DK12" s="2685"/>
      <c r="DL12" s="6477"/>
      <c r="DN12" s="6614"/>
      <c r="DO12" s="2237"/>
      <c r="DP12" s="2237"/>
      <c r="DQ12" s="2237"/>
      <c r="DR12" s="2237"/>
      <c r="DS12" s="2237"/>
      <c r="DT12" s="2237"/>
      <c r="DU12" s="2237"/>
      <c r="DV12" s="2237"/>
      <c r="DW12" s="2237"/>
      <c r="DX12" s="2237"/>
      <c r="DY12" s="2237"/>
      <c r="DZ12" s="2237"/>
      <c r="EA12" s="2237"/>
      <c r="EB12" s="2237"/>
      <c r="EC12" s="2237"/>
      <c r="ED12" s="2237"/>
      <c r="EE12" s="2237"/>
      <c r="EF12" s="2237"/>
      <c r="EG12" s="2237"/>
      <c r="EH12" s="2237"/>
      <c r="EI12" s="2237"/>
      <c r="EJ12" s="2237"/>
      <c r="EK12" s="2237"/>
      <c r="EL12" s="2237"/>
      <c r="EM12" s="2237"/>
      <c r="EN12" s="2237"/>
      <c r="EO12" s="2237"/>
      <c r="EP12" s="2237"/>
      <c r="EQ12" s="2237"/>
      <c r="ER12" s="2237"/>
      <c r="ES12" s="2237"/>
      <c r="ET12" s="2237"/>
      <c r="EU12" s="2237"/>
      <c r="EV12" s="2237"/>
      <c r="EW12" s="2237"/>
      <c r="EX12" s="2237"/>
      <c r="EY12" s="2237"/>
      <c r="EZ12" s="2237"/>
      <c r="FA12" s="2237"/>
      <c r="FB12" s="2237"/>
      <c r="FC12" s="2237"/>
      <c r="FD12" s="2237"/>
      <c r="FE12" s="2237"/>
      <c r="FF12" s="2237"/>
      <c r="FG12" s="2691"/>
    </row>
    <row r="13" spans="1:163" s="2233" customFormat="1" ht="15" customHeight="1" thickBot="1">
      <c r="A13" s="16568"/>
      <c r="B13" s="15449"/>
      <c r="C13" s="6479" t="s">
        <v>8213</v>
      </c>
      <c r="D13" s="2100" t="s">
        <v>2027</v>
      </c>
      <c r="E13" s="5069" t="s">
        <v>2028</v>
      </c>
      <c r="F13" s="5069" t="s">
        <v>2025</v>
      </c>
      <c r="G13" s="6480">
        <v>16</v>
      </c>
      <c r="H13" s="2101">
        <v>16</v>
      </c>
      <c r="I13" s="2101">
        <v>16</v>
      </c>
      <c r="J13" s="2101">
        <v>16</v>
      </c>
      <c r="K13" s="2101">
        <v>17</v>
      </c>
      <c r="L13" s="2101">
        <v>17</v>
      </c>
      <c r="M13" s="2101">
        <v>17</v>
      </c>
      <c r="N13" s="2101">
        <v>17</v>
      </c>
      <c r="O13" s="2101">
        <v>18</v>
      </c>
      <c r="P13" s="2101">
        <v>18</v>
      </c>
      <c r="Q13" s="2101">
        <v>18</v>
      </c>
      <c r="R13" s="2101">
        <v>18</v>
      </c>
      <c r="S13" s="2101">
        <v>18</v>
      </c>
      <c r="T13" s="2101" t="s">
        <v>86</v>
      </c>
      <c r="U13" s="5069" t="s">
        <v>2006</v>
      </c>
      <c r="V13" s="2698"/>
      <c r="W13" s="5069" t="s">
        <v>2029</v>
      </c>
      <c r="X13" s="6481">
        <v>1</v>
      </c>
      <c r="Y13" s="2699" t="s">
        <v>3618</v>
      </c>
      <c r="Z13" s="2700" t="s">
        <v>3537</v>
      </c>
      <c r="AA13" s="2699" t="s">
        <v>3619</v>
      </c>
      <c r="AB13" s="6482" t="s">
        <v>3600</v>
      </c>
      <c r="AC13" s="2102"/>
      <c r="AD13" s="6483" t="s">
        <v>3600</v>
      </c>
      <c r="AE13" s="2700"/>
      <c r="AF13" s="2701">
        <v>4035</v>
      </c>
      <c r="AG13" s="2700">
        <v>1339</v>
      </c>
      <c r="AH13" s="2700">
        <v>2697</v>
      </c>
      <c r="AI13" s="2700"/>
      <c r="AJ13" s="2700"/>
      <c r="AK13" s="2700">
        <v>16</v>
      </c>
      <c r="AL13" s="2700">
        <v>176</v>
      </c>
      <c r="AM13" s="2700">
        <v>659</v>
      </c>
      <c r="AN13" s="2700">
        <v>489</v>
      </c>
      <c r="AO13" s="2700">
        <v>592</v>
      </c>
      <c r="AP13" s="2700">
        <v>1221</v>
      </c>
      <c r="AQ13" s="2700">
        <v>882</v>
      </c>
      <c r="AR13" s="2700">
        <v>3239</v>
      </c>
      <c r="AS13" s="2700">
        <v>59</v>
      </c>
      <c r="AT13" s="2700">
        <v>349</v>
      </c>
      <c r="AU13" s="2700">
        <v>54</v>
      </c>
      <c r="AV13" s="2700">
        <v>318</v>
      </c>
      <c r="AW13" s="2700"/>
      <c r="AX13" s="2700"/>
      <c r="AY13" s="2700">
        <v>16</v>
      </c>
      <c r="AZ13" s="2700">
        <v>3746</v>
      </c>
      <c r="BA13" s="2700">
        <v>186</v>
      </c>
      <c r="BB13" s="2700">
        <v>99</v>
      </c>
      <c r="BC13" s="2700">
        <v>4</v>
      </c>
      <c r="BD13" s="2700"/>
      <c r="BE13" s="2700"/>
      <c r="BF13" s="2700"/>
      <c r="BG13" s="2700"/>
      <c r="BH13" s="2700"/>
      <c r="BI13" s="2700"/>
      <c r="BJ13" s="2700"/>
      <c r="BK13" s="2700"/>
      <c r="BL13" s="2700"/>
      <c r="BM13" s="2700"/>
      <c r="BN13" s="2700"/>
      <c r="BO13" s="2700"/>
      <c r="BP13" s="5069" t="s">
        <v>2029</v>
      </c>
      <c r="BQ13" s="2101">
        <v>16</v>
      </c>
      <c r="BR13" s="6484">
        <f t="shared" si="0"/>
        <v>1</v>
      </c>
      <c r="BS13" s="16613"/>
      <c r="BT13" s="6485" t="s">
        <v>8601</v>
      </c>
      <c r="BU13" s="6486" t="s">
        <v>3537</v>
      </c>
      <c r="BV13" s="5069" t="s">
        <v>8602</v>
      </c>
      <c r="BW13" s="4854">
        <f t="shared" si="1"/>
        <v>4800000</v>
      </c>
      <c r="BX13" s="6487"/>
      <c r="BY13" s="6488">
        <v>4800000</v>
      </c>
      <c r="BZ13" s="2700"/>
      <c r="CA13" s="6489">
        <f>SUM(CB13:CC13)</f>
        <v>4035</v>
      </c>
      <c r="CB13" s="6489">
        <v>1339</v>
      </c>
      <c r="CC13" s="6489">
        <v>2696</v>
      </c>
      <c r="CD13" s="6489">
        <v>1028</v>
      </c>
      <c r="CE13" s="6489">
        <v>3007</v>
      </c>
      <c r="CF13" s="6489" t="s">
        <v>8633</v>
      </c>
      <c r="CG13" s="6489">
        <v>298</v>
      </c>
      <c r="CH13" s="6489">
        <v>376</v>
      </c>
      <c r="CI13" s="6489">
        <v>759</v>
      </c>
      <c r="CJ13" s="6489">
        <v>589</v>
      </c>
      <c r="CK13" s="6489">
        <v>792</v>
      </c>
      <c r="CL13" s="6489">
        <v>1221</v>
      </c>
      <c r="CM13" s="6489">
        <v>2544</v>
      </c>
      <c r="CN13" s="6489">
        <v>90</v>
      </c>
      <c r="CO13" s="6489">
        <v>59</v>
      </c>
      <c r="CP13" s="6489">
        <v>349</v>
      </c>
      <c r="CQ13" s="6489">
        <v>54</v>
      </c>
      <c r="CR13" s="6489">
        <v>318</v>
      </c>
      <c r="CS13" s="6489">
        <v>331</v>
      </c>
      <c r="CT13" s="6489">
        <v>290</v>
      </c>
      <c r="CU13" s="6489">
        <v>3746</v>
      </c>
      <c r="CV13" s="5074">
        <v>103</v>
      </c>
      <c r="CW13" s="6489">
        <v>186</v>
      </c>
      <c r="CX13" s="6489">
        <v>0</v>
      </c>
      <c r="CY13" s="6489">
        <v>0</v>
      </c>
      <c r="CZ13" s="6489">
        <v>0</v>
      </c>
      <c r="DA13" s="6489"/>
      <c r="DB13" s="6489"/>
      <c r="DC13" s="6489"/>
      <c r="DD13" s="6489"/>
      <c r="DE13" s="6489"/>
      <c r="DF13" s="6489"/>
      <c r="DG13" s="6489"/>
      <c r="DH13" s="6489"/>
      <c r="DI13" s="6489"/>
      <c r="DJ13" s="6489"/>
      <c r="DK13" s="6489"/>
      <c r="DL13" s="6490"/>
      <c r="DN13" s="6628"/>
      <c r="DO13" s="2244"/>
      <c r="DP13" s="2244"/>
      <c r="DQ13" s="2244"/>
      <c r="DR13" s="2244"/>
      <c r="DS13" s="2244"/>
      <c r="DT13" s="2244"/>
      <c r="DU13" s="2244"/>
      <c r="DV13" s="2244"/>
      <c r="DW13" s="2244"/>
      <c r="DX13" s="2244"/>
      <c r="DY13" s="2244"/>
      <c r="DZ13" s="2244"/>
      <c r="EA13" s="2244"/>
      <c r="EB13" s="2244"/>
      <c r="EC13" s="2244"/>
      <c r="ED13" s="2244"/>
      <c r="EE13" s="2244"/>
      <c r="EF13" s="2244"/>
      <c r="EG13" s="2244"/>
      <c r="EH13" s="2244"/>
      <c r="EI13" s="2244"/>
      <c r="EJ13" s="2244"/>
      <c r="EK13" s="2244"/>
      <c r="EL13" s="2244"/>
      <c r="EM13" s="2244"/>
      <c r="EN13" s="2244"/>
      <c r="EO13" s="2244"/>
      <c r="EP13" s="2244"/>
      <c r="EQ13" s="2244"/>
      <c r="ER13" s="2244"/>
      <c r="ES13" s="2244"/>
      <c r="ET13" s="2244"/>
      <c r="EU13" s="2244"/>
      <c r="EV13" s="2244"/>
      <c r="EW13" s="2244"/>
      <c r="EX13" s="2244"/>
      <c r="EY13" s="2244"/>
      <c r="EZ13" s="2244"/>
      <c r="FA13" s="2244"/>
      <c r="FB13" s="2244"/>
      <c r="FC13" s="2244"/>
      <c r="FD13" s="2244"/>
      <c r="FE13" s="2244"/>
      <c r="FF13" s="2244"/>
      <c r="FG13" s="6629"/>
    </row>
    <row r="14" spans="1:163" s="6509" customFormat="1" ht="15" customHeight="1">
      <c r="A14" s="16569" t="s">
        <v>2030</v>
      </c>
      <c r="B14" s="15375" t="s">
        <v>2031</v>
      </c>
      <c r="C14" s="6492" t="s">
        <v>8214</v>
      </c>
      <c r="D14" s="6493" t="s">
        <v>2032</v>
      </c>
      <c r="E14" s="5061" t="s">
        <v>2033</v>
      </c>
      <c r="F14" s="5061" t="s">
        <v>2009</v>
      </c>
      <c r="G14" s="6494">
        <v>0.2</v>
      </c>
      <c r="H14" s="6495">
        <v>0.3</v>
      </c>
      <c r="I14" s="6495">
        <v>0.4</v>
      </c>
      <c r="J14" s="6495">
        <v>0.5</v>
      </c>
      <c r="K14" s="6495">
        <v>0.6</v>
      </c>
      <c r="L14" s="6495">
        <v>0.7</v>
      </c>
      <c r="M14" s="6495">
        <v>0.8</v>
      </c>
      <c r="N14" s="6495">
        <v>0.9</v>
      </c>
      <c r="O14" s="6495">
        <v>1</v>
      </c>
      <c r="P14" s="6495">
        <v>1</v>
      </c>
      <c r="Q14" s="6495">
        <v>1</v>
      </c>
      <c r="R14" s="6495">
        <v>1</v>
      </c>
      <c r="S14" s="6495">
        <v>1</v>
      </c>
      <c r="T14" s="6495" t="s">
        <v>86</v>
      </c>
      <c r="U14" s="5061" t="s">
        <v>2006</v>
      </c>
      <c r="V14" s="6496"/>
      <c r="W14" s="5061" t="s">
        <v>2034</v>
      </c>
      <c r="X14" s="6497">
        <v>0.4</v>
      </c>
      <c r="Y14" s="6498" t="s">
        <v>3620</v>
      </c>
      <c r="Z14" s="6498" t="s">
        <v>2022</v>
      </c>
      <c r="AA14" s="6498" t="s">
        <v>3621</v>
      </c>
      <c r="AB14" s="6499">
        <v>1328421</v>
      </c>
      <c r="AC14" s="6500">
        <v>1328421</v>
      </c>
      <c r="AD14" s="6501"/>
      <c r="AE14" s="6501"/>
      <c r="AF14" s="6502"/>
      <c r="AG14" s="6502"/>
      <c r="AH14" s="6502"/>
      <c r="AI14" s="6502"/>
      <c r="AJ14" s="6502"/>
      <c r="AK14" s="6502"/>
      <c r="AL14" s="6502"/>
      <c r="AM14" s="6502"/>
      <c r="AN14" s="6502"/>
      <c r="AO14" s="6502"/>
      <c r="AP14" s="6502"/>
      <c r="AQ14" s="6502"/>
      <c r="AR14" s="6502"/>
      <c r="AS14" s="6502"/>
      <c r="AT14" s="6502"/>
      <c r="AU14" s="6502"/>
      <c r="AV14" s="6502"/>
      <c r="AW14" s="6502"/>
      <c r="AX14" s="6502"/>
      <c r="AY14" s="6502"/>
      <c r="AZ14" s="6502"/>
      <c r="BA14" s="6502"/>
      <c r="BB14" s="6502"/>
      <c r="BC14" s="6502"/>
      <c r="BD14" s="6502"/>
      <c r="BE14" s="6502"/>
      <c r="BF14" s="6501"/>
      <c r="BG14" s="6501"/>
      <c r="BH14" s="6501"/>
      <c r="BI14" s="6501"/>
      <c r="BJ14" s="6501"/>
      <c r="BK14" s="6501"/>
      <c r="BL14" s="6501"/>
      <c r="BM14" s="6501"/>
      <c r="BN14" s="6501"/>
      <c r="BO14" s="6501"/>
      <c r="BP14" s="5061" t="s">
        <v>2034</v>
      </c>
      <c r="BQ14" s="6495">
        <v>0.5</v>
      </c>
      <c r="BR14" s="6236">
        <f t="shared" si="0"/>
        <v>1</v>
      </c>
      <c r="BS14" s="16578">
        <f>AVERAGE(BR14:BR17)</f>
        <v>1</v>
      </c>
      <c r="BT14" s="6503" t="s">
        <v>8603</v>
      </c>
      <c r="BU14" s="6504" t="s">
        <v>2022</v>
      </c>
      <c r="BV14" s="5061" t="s">
        <v>3621</v>
      </c>
      <c r="BW14" s="6505">
        <f t="shared" si="1"/>
        <v>1328421</v>
      </c>
      <c r="BX14" s="6506">
        <v>1328421</v>
      </c>
      <c r="BY14" s="6506"/>
      <c r="BZ14" s="6501"/>
      <c r="CA14" s="6507" t="s">
        <v>3604</v>
      </c>
      <c r="CB14" s="6507" t="s">
        <v>3604</v>
      </c>
      <c r="CC14" s="6507" t="s">
        <v>3604</v>
      </c>
      <c r="CD14" s="6507" t="s">
        <v>3604</v>
      </c>
      <c r="CE14" s="6507" t="s">
        <v>3604</v>
      </c>
      <c r="CF14" s="6507" t="s">
        <v>3604</v>
      </c>
      <c r="CG14" s="6507" t="s">
        <v>3604</v>
      </c>
      <c r="CH14" s="6507" t="s">
        <v>3604</v>
      </c>
      <c r="CI14" s="6507" t="s">
        <v>3604</v>
      </c>
      <c r="CJ14" s="6507" t="s">
        <v>3604</v>
      </c>
      <c r="CK14" s="6507" t="s">
        <v>3604</v>
      </c>
      <c r="CL14" s="6507" t="s">
        <v>3604</v>
      </c>
      <c r="CM14" s="6507" t="s">
        <v>3604</v>
      </c>
      <c r="CN14" s="6507" t="s">
        <v>3604</v>
      </c>
      <c r="CO14" s="6507" t="s">
        <v>3604</v>
      </c>
      <c r="CP14" s="6507" t="s">
        <v>3604</v>
      </c>
      <c r="CQ14" s="6507" t="s">
        <v>3604</v>
      </c>
      <c r="CR14" s="6507" t="s">
        <v>3604</v>
      </c>
      <c r="CS14" s="6507" t="s">
        <v>3604</v>
      </c>
      <c r="CT14" s="6507" t="s">
        <v>3604</v>
      </c>
      <c r="CU14" s="6507" t="s">
        <v>3604</v>
      </c>
      <c r="CV14" s="6507" t="s">
        <v>3604</v>
      </c>
      <c r="CW14" s="6507" t="s">
        <v>3604</v>
      </c>
      <c r="CX14" s="6507" t="s">
        <v>3604</v>
      </c>
      <c r="CY14" s="6507" t="s">
        <v>3604</v>
      </c>
      <c r="CZ14" s="6507" t="s">
        <v>3604</v>
      </c>
      <c r="DA14" s="5061" t="s">
        <v>8634</v>
      </c>
      <c r="DB14" s="5061" t="s">
        <v>3621</v>
      </c>
      <c r="DC14" s="6507">
        <v>81</v>
      </c>
      <c r="DD14" s="6507" t="s">
        <v>3613</v>
      </c>
      <c r="DE14" s="6507" t="s">
        <v>3613</v>
      </c>
      <c r="DF14" s="6507"/>
      <c r="DG14" s="6507"/>
      <c r="DH14" s="6507"/>
      <c r="DI14" s="6507"/>
      <c r="DJ14" s="6507"/>
      <c r="DK14" s="6507"/>
      <c r="DL14" s="6508"/>
      <c r="DN14" s="6626"/>
      <c r="DO14" s="6501"/>
      <c r="DP14" s="6501"/>
      <c r="DQ14" s="6501"/>
      <c r="DR14" s="6501"/>
      <c r="DS14" s="6501"/>
      <c r="DT14" s="6501"/>
      <c r="DU14" s="6501"/>
      <c r="DV14" s="6501"/>
      <c r="DW14" s="6501"/>
      <c r="DX14" s="6501"/>
      <c r="DY14" s="6501"/>
      <c r="DZ14" s="6501"/>
      <c r="EA14" s="6501"/>
      <c r="EB14" s="6501"/>
      <c r="EC14" s="6501"/>
      <c r="ED14" s="6501"/>
      <c r="EE14" s="6501"/>
      <c r="EF14" s="6501"/>
      <c r="EG14" s="6501"/>
      <c r="EH14" s="6501"/>
      <c r="EI14" s="6501"/>
      <c r="EJ14" s="6501"/>
      <c r="EK14" s="6501"/>
      <c r="EL14" s="6501"/>
      <c r="EM14" s="6501"/>
      <c r="EN14" s="6501"/>
      <c r="EO14" s="6501"/>
      <c r="EP14" s="6501"/>
      <c r="EQ14" s="6501"/>
      <c r="ER14" s="6501"/>
      <c r="ES14" s="6501"/>
      <c r="ET14" s="6501"/>
      <c r="EU14" s="6501"/>
      <c r="EV14" s="6501"/>
      <c r="EW14" s="6501"/>
      <c r="EX14" s="6501"/>
      <c r="EY14" s="6501"/>
      <c r="EZ14" s="6501"/>
      <c r="FA14" s="6501"/>
      <c r="FB14" s="6501"/>
      <c r="FC14" s="6501"/>
      <c r="FD14" s="6501"/>
      <c r="FE14" s="6501"/>
      <c r="FF14" s="6501"/>
      <c r="FG14" s="6627"/>
    </row>
    <row r="15" spans="1:163" s="6509" customFormat="1" ht="15" customHeight="1">
      <c r="A15" s="16570"/>
      <c r="B15" s="15376"/>
      <c r="C15" s="16544" t="s">
        <v>8215</v>
      </c>
      <c r="D15" s="15376" t="s">
        <v>2035</v>
      </c>
      <c r="E15" s="16530" t="s">
        <v>2036</v>
      </c>
      <c r="F15" s="5062" t="s">
        <v>2025</v>
      </c>
      <c r="G15" s="6510">
        <v>2</v>
      </c>
      <c r="H15" s="6511">
        <v>3</v>
      </c>
      <c r="I15" s="6511">
        <v>4</v>
      </c>
      <c r="J15" s="16575">
        <v>5</v>
      </c>
      <c r="K15" s="6511">
        <v>6</v>
      </c>
      <c r="L15" s="6511">
        <v>7</v>
      </c>
      <c r="M15" s="6511">
        <v>8</v>
      </c>
      <c r="N15" s="6511">
        <v>9</v>
      </c>
      <c r="O15" s="6511">
        <v>10</v>
      </c>
      <c r="P15" s="6511">
        <v>11</v>
      </c>
      <c r="Q15" s="6511">
        <v>12</v>
      </c>
      <c r="R15" s="6511">
        <v>13</v>
      </c>
      <c r="S15" s="6511">
        <v>13</v>
      </c>
      <c r="T15" s="6511" t="s">
        <v>86</v>
      </c>
      <c r="U15" s="5062" t="s">
        <v>2006</v>
      </c>
      <c r="V15" s="6512"/>
      <c r="W15" s="5062" t="s">
        <v>2037</v>
      </c>
      <c r="X15" s="6513">
        <v>1</v>
      </c>
      <c r="Y15" s="6514" t="s">
        <v>3622</v>
      </c>
      <c r="Z15" s="6515"/>
      <c r="AA15" s="6514" t="s">
        <v>3623</v>
      </c>
      <c r="AB15" s="6516" t="s">
        <v>3600</v>
      </c>
      <c r="AC15" s="6517"/>
      <c r="AD15" s="6518" t="s">
        <v>3600</v>
      </c>
      <c r="AE15" s="6512"/>
      <c r="AF15" s="2349">
        <v>415</v>
      </c>
      <c r="AG15" s="2349">
        <v>157</v>
      </c>
      <c r="AH15" s="2349">
        <v>259</v>
      </c>
      <c r="AI15" s="2349"/>
      <c r="AJ15" s="2349"/>
      <c r="AK15" s="2349">
        <v>12</v>
      </c>
      <c r="AL15" s="2349">
        <v>41</v>
      </c>
      <c r="AM15" s="2349">
        <v>98</v>
      </c>
      <c r="AN15" s="2349">
        <v>264</v>
      </c>
      <c r="AO15" s="2349">
        <v>0</v>
      </c>
      <c r="AP15" s="2349">
        <v>0</v>
      </c>
      <c r="AQ15" s="2349">
        <v>0</v>
      </c>
      <c r="AR15" s="2349">
        <v>389</v>
      </c>
      <c r="AS15" s="2349">
        <v>1</v>
      </c>
      <c r="AT15" s="2349">
        <v>17</v>
      </c>
      <c r="AU15" s="2349"/>
      <c r="AV15" s="2349">
        <v>8</v>
      </c>
      <c r="AW15" s="2349"/>
      <c r="AX15" s="2349"/>
      <c r="AY15" s="2349"/>
      <c r="AZ15" s="2349">
        <v>393</v>
      </c>
      <c r="BA15" s="2349">
        <v>12</v>
      </c>
      <c r="BB15" s="2349">
        <v>10</v>
      </c>
      <c r="BC15" s="2349"/>
      <c r="BD15" s="2349"/>
      <c r="BE15" s="2349"/>
      <c r="BF15" s="6512"/>
      <c r="BG15" s="6512"/>
      <c r="BH15" s="6512"/>
      <c r="BI15" s="6512"/>
      <c r="BJ15" s="6512"/>
      <c r="BK15" s="6512"/>
      <c r="BL15" s="6512"/>
      <c r="BM15" s="6512"/>
      <c r="BN15" s="6512"/>
      <c r="BO15" s="6512"/>
      <c r="BP15" s="5062" t="s">
        <v>2037</v>
      </c>
      <c r="BQ15" s="6511">
        <v>5</v>
      </c>
      <c r="BR15" s="4720">
        <f t="shared" si="0"/>
        <v>1</v>
      </c>
      <c r="BS15" s="16579"/>
      <c r="BT15" s="6519" t="s">
        <v>8604</v>
      </c>
      <c r="BU15" s="6520" t="s">
        <v>8605</v>
      </c>
      <c r="BV15" s="5062" t="s">
        <v>8606</v>
      </c>
      <c r="BW15" s="6521">
        <f t="shared" si="1"/>
        <v>4800000</v>
      </c>
      <c r="BX15" s="6522"/>
      <c r="BY15" s="6523">
        <v>4800000</v>
      </c>
      <c r="BZ15" s="6512"/>
      <c r="CA15" s="6524" t="s">
        <v>3604</v>
      </c>
      <c r="CB15" s="6524" t="s">
        <v>3604</v>
      </c>
      <c r="CC15" s="6524" t="s">
        <v>3604</v>
      </c>
      <c r="CD15" s="6524" t="s">
        <v>3604</v>
      </c>
      <c r="CE15" s="6524" t="s">
        <v>3604</v>
      </c>
      <c r="CF15" s="6524" t="s">
        <v>3604</v>
      </c>
      <c r="CG15" s="6524" t="s">
        <v>3604</v>
      </c>
      <c r="CH15" s="6524" t="s">
        <v>3604</v>
      </c>
      <c r="CI15" s="6524" t="s">
        <v>3604</v>
      </c>
      <c r="CJ15" s="6524" t="s">
        <v>3604</v>
      </c>
      <c r="CK15" s="6524" t="s">
        <v>3604</v>
      </c>
      <c r="CL15" s="6524" t="s">
        <v>3604</v>
      </c>
      <c r="CM15" s="6524" t="s">
        <v>3604</v>
      </c>
      <c r="CN15" s="6524" t="s">
        <v>3604</v>
      </c>
      <c r="CO15" s="6524" t="s">
        <v>3604</v>
      </c>
      <c r="CP15" s="6524" t="s">
        <v>3604</v>
      </c>
      <c r="CQ15" s="6524" t="s">
        <v>3604</v>
      </c>
      <c r="CR15" s="6524" t="s">
        <v>3604</v>
      </c>
      <c r="CS15" s="6524" t="s">
        <v>3604</v>
      </c>
      <c r="CT15" s="6524" t="s">
        <v>3604</v>
      </c>
      <c r="CU15" s="6524" t="s">
        <v>3604</v>
      </c>
      <c r="CV15" s="6524" t="s">
        <v>3604</v>
      </c>
      <c r="CW15" s="6524" t="s">
        <v>3604</v>
      </c>
      <c r="CX15" s="6524" t="s">
        <v>3604</v>
      </c>
      <c r="CY15" s="6524" t="s">
        <v>3604</v>
      </c>
      <c r="CZ15" s="6524" t="s">
        <v>3604</v>
      </c>
      <c r="DA15" s="5062" t="s">
        <v>8635</v>
      </c>
      <c r="DB15" s="5062" t="s">
        <v>8636</v>
      </c>
      <c r="DC15" s="5062" t="s">
        <v>8637</v>
      </c>
      <c r="DD15" s="6524" t="s">
        <v>3613</v>
      </c>
      <c r="DE15" s="6524" t="s">
        <v>3613</v>
      </c>
      <c r="DF15" s="6524"/>
      <c r="DG15" s="6524"/>
      <c r="DH15" s="6524"/>
      <c r="DI15" s="6524"/>
      <c r="DJ15" s="6524"/>
      <c r="DK15" s="6524"/>
      <c r="DL15" s="6525"/>
      <c r="DN15" s="6615"/>
      <c r="DO15" s="6512"/>
      <c r="DP15" s="6512"/>
      <c r="DQ15" s="6512"/>
      <c r="DR15" s="6512"/>
      <c r="DS15" s="6512"/>
      <c r="DT15" s="6512"/>
      <c r="DU15" s="6512"/>
      <c r="DV15" s="6512"/>
      <c r="DW15" s="6512"/>
      <c r="DX15" s="6512"/>
      <c r="DY15" s="6512"/>
      <c r="DZ15" s="6512"/>
      <c r="EA15" s="6512"/>
      <c r="EB15" s="6512"/>
      <c r="EC15" s="6512"/>
      <c r="ED15" s="6512"/>
      <c r="EE15" s="6512"/>
      <c r="EF15" s="6512"/>
      <c r="EG15" s="6512"/>
      <c r="EH15" s="6512"/>
      <c r="EI15" s="6512"/>
      <c r="EJ15" s="6512"/>
      <c r="EK15" s="6512"/>
      <c r="EL15" s="6512"/>
      <c r="EM15" s="6512"/>
      <c r="EN15" s="6512"/>
      <c r="EO15" s="6512"/>
      <c r="EP15" s="6512"/>
      <c r="EQ15" s="6512"/>
      <c r="ER15" s="6512"/>
      <c r="ES15" s="6512"/>
      <c r="ET15" s="6512"/>
      <c r="EU15" s="6512"/>
      <c r="EV15" s="6512"/>
      <c r="EW15" s="6512"/>
      <c r="EX15" s="6512"/>
      <c r="EY15" s="6512"/>
      <c r="EZ15" s="6512"/>
      <c r="FA15" s="6512"/>
      <c r="FB15" s="6512"/>
      <c r="FC15" s="6512"/>
      <c r="FD15" s="6512"/>
      <c r="FE15" s="6512"/>
      <c r="FF15" s="6512"/>
      <c r="FG15" s="6616"/>
    </row>
    <row r="16" spans="1:163" s="6509" customFormat="1" ht="15" customHeight="1">
      <c r="A16" s="16570"/>
      <c r="B16" s="15376"/>
      <c r="C16" s="16544"/>
      <c r="D16" s="15376"/>
      <c r="E16" s="15375"/>
      <c r="F16" s="5062"/>
      <c r="G16" s="6510"/>
      <c r="H16" s="6511"/>
      <c r="I16" s="6511"/>
      <c r="J16" s="16575"/>
      <c r="K16" s="6511"/>
      <c r="L16" s="6511"/>
      <c r="M16" s="6511"/>
      <c r="N16" s="6511"/>
      <c r="O16" s="6511"/>
      <c r="P16" s="6511"/>
      <c r="Q16" s="6511"/>
      <c r="R16" s="6511"/>
      <c r="S16" s="6511"/>
      <c r="T16" s="6511" t="s">
        <v>10276</v>
      </c>
      <c r="U16" s="5062"/>
      <c r="V16" s="5062" t="s">
        <v>2038</v>
      </c>
      <c r="W16" s="5062"/>
      <c r="X16" s="6513"/>
      <c r="Y16" s="6514"/>
      <c r="Z16" s="6515"/>
      <c r="AA16" s="6514"/>
      <c r="AB16" s="6516"/>
      <c r="AC16" s="6517"/>
      <c r="AD16" s="6518"/>
      <c r="AE16" s="6512"/>
      <c r="AF16" s="2349"/>
      <c r="AG16" s="2349"/>
      <c r="AH16" s="2349"/>
      <c r="AI16" s="2349"/>
      <c r="AJ16" s="2349"/>
      <c r="AK16" s="2349"/>
      <c r="AL16" s="2349"/>
      <c r="AM16" s="2349"/>
      <c r="AN16" s="2349"/>
      <c r="AO16" s="2349"/>
      <c r="AP16" s="2349"/>
      <c r="AQ16" s="2349"/>
      <c r="AR16" s="2349"/>
      <c r="AS16" s="2349"/>
      <c r="AT16" s="2349"/>
      <c r="AU16" s="2349"/>
      <c r="AV16" s="2349"/>
      <c r="AW16" s="2349"/>
      <c r="AX16" s="2349"/>
      <c r="AY16" s="2349"/>
      <c r="AZ16" s="2349"/>
      <c r="BA16" s="2349"/>
      <c r="BB16" s="2349"/>
      <c r="BC16" s="2349"/>
      <c r="BD16" s="2349"/>
      <c r="BE16" s="2349"/>
      <c r="BF16" s="6512"/>
      <c r="BG16" s="6512"/>
      <c r="BH16" s="6512"/>
      <c r="BI16" s="6512"/>
      <c r="BJ16" s="6512"/>
      <c r="BK16" s="6512"/>
      <c r="BL16" s="6512"/>
      <c r="BM16" s="6512"/>
      <c r="BN16" s="6512"/>
      <c r="BO16" s="6512"/>
      <c r="BP16" s="5062"/>
      <c r="BQ16" s="6511"/>
      <c r="BR16" s="4720"/>
      <c r="BS16" s="16579"/>
      <c r="BT16" s="6519"/>
      <c r="BU16" s="6520"/>
      <c r="BV16" s="5062"/>
      <c r="BW16" s="6521"/>
      <c r="BX16" s="6522"/>
      <c r="BY16" s="6523"/>
      <c r="BZ16" s="6512"/>
      <c r="CA16" s="6524"/>
      <c r="CB16" s="6524"/>
      <c r="CC16" s="6524"/>
      <c r="CD16" s="6524"/>
      <c r="CE16" s="6524"/>
      <c r="CF16" s="6524"/>
      <c r="CG16" s="6524"/>
      <c r="CH16" s="6524"/>
      <c r="CI16" s="6524"/>
      <c r="CJ16" s="6524"/>
      <c r="CK16" s="6524"/>
      <c r="CL16" s="6524"/>
      <c r="CM16" s="6524"/>
      <c r="CN16" s="6524"/>
      <c r="CO16" s="6524"/>
      <c r="CP16" s="6524"/>
      <c r="CQ16" s="6524"/>
      <c r="CR16" s="6524"/>
      <c r="CS16" s="6524"/>
      <c r="CT16" s="6524"/>
      <c r="CU16" s="6524"/>
      <c r="CV16" s="6524"/>
      <c r="CW16" s="6524"/>
      <c r="CX16" s="6524"/>
      <c r="CY16" s="6524"/>
      <c r="CZ16" s="6524"/>
      <c r="DA16" s="5062"/>
      <c r="DB16" s="5062"/>
      <c r="DC16" s="5062"/>
      <c r="DD16" s="6524"/>
      <c r="DE16" s="6524"/>
      <c r="DF16" s="6524"/>
      <c r="DG16" s="6524"/>
      <c r="DH16" s="6524"/>
      <c r="DI16" s="6524"/>
      <c r="DJ16" s="6524"/>
      <c r="DK16" s="6524"/>
      <c r="DL16" s="6525"/>
      <c r="DN16" s="6615"/>
      <c r="DO16" s="6512"/>
      <c r="DP16" s="6512"/>
      <c r="DQ16" s="6512"/>
      <c r="DR16" s="6512"/>
      <c r="DS16" s="6512"/>
      <c r="DT16" s="6512"/>
      <c r="DU16" s="6512"/>
      <c r="DV16" s="6512"/>
      <c r="DW16" s="6512"/>
      <c r="DX16" s="6512"/>
      <c r="DY16" s="6512"/>
      <c r="DZ16" s="6512"/>
      <c r="EA16" s="6512"/>
      <c r="EB16" s="6512"/>
      <c r="EC16" s="6512"/>
      <c r="ED16" s="6512"/>
      <c r="EE16" s="6512"/>
      <c r="EF16" s="6512"/>
      <c r="EG16" s="6512"/>
      <c r="EH16" s="6512"/>
      <c r="EI16" s="6512"/>
      <c r="EJ16" s="6512"/>
      <c r="EK16" s="6512"/>
      <c r="EL16" s="6512"/>
      <c r="EM16" s="6512"/>
      <c r="EN16" s="6512"/>
      <c r="EO16" s="6512"/>
      <c r="EP16" s="6512"/>
      <c r="EQ16" s="6512"/>
      <c r="ER16" s="6512"/>
      <c r="ES16" s="6512"/>
      <c r="ET16" s="6512"/>
      <c r="EU16" s="6512"/>
      <c r="EV16" s="6512"/>
      <c r="EW16" s="6512"/>
      <c r="EX16" s="6512"/>
      <c r="EY16" s="6512"/>
      <c r="EZ16" s="6512"/>
      <c r="FA16" s="6512"/>
      <c r="FB16" s="6512"/>
      <c r="FC16" s="6512"/>
      <c r="FD16" s="6512"/>
      <c r="FE16" s="6512"/>
      <c r="FF16" s="6512"/>
      <c r="FG16" s="6616"/>
    </row>
    <row r="17" spans="1:163" s="6509" customFormat="1" ht="15" customHeight="1" thickBot="1">
      <c r="A17" s="16571"/>
      <c r="B17" s="16572"/>
      <c r="C17" s="6526" t="s">
        <v>8216</v>
      </c>
      <c r="D17" s="6527" t="s">
        <v>2039</v>
      </c>
      <c r="E17" s="6528" t="s">
        <v>2040</v>
      </c>
      <c r="F17" s="6528">
        <v>1</v>
      </c>
      <c r="G17" s="6529">
        <v>1</v>
      </c>
      <c r="H17" s="6530">
        <v>1</v>
      </c>
      <c r="I17" s="6530">
        <v>1</v>
      </c>
      <c r="J17" s="6530">
        <v>1</v>
      </c>
      <c r="K17" s="6530">
        <v>1</v>
      </c>
      <c r="L17" s="6530">
        <v>1</v>
      </c>
      <c r="M17" s="6530">
        <v>1</v>
      </c>
      <c r="N17" s="6530">
        <v>1</v>
      </c>
      <c r="O17" s="6530">
        <v>1</v>
      </c>
      <c r="P17" s="6530">
        <v>1</v>
      </c>
      <c r="Q17" s="6530">
        <v>1</v>
      </c>
      <c r="R17" s="6530">
        <v>1</v>
      </c>
      <c r="S17" s="6530">
        <v>1</v>
      </c>
      <c r="T17" s="6530" t="s">
        <v>86</v>
      </c>
      <c r="U17" s="6528" t="s">
        <v>2006</v>
      </c>
      <c r="V17" s="6531"/>
      <c r="W17" s="6528" t="s">
        <v>8591</v>
      </c>
      <c r="X17" s="6532">
        <v>1</v>
      </c>
      <c r="Y17" s="6533" t="s">
        <v>3624</v>
      </c>
      <c r="Z17" s="6534" t="s">
        <v>3585</v>
      </c>
      <c r="AA17" s="6533" t="s">
        <v>3625</v>
      </c>
      <c r="AB17" s="6535" t="s">
        <v>3600</v>
      </c>
      <c r="AC17" s="6535" t="s">
        <v>3600</v>
      </c>
      <c r="AD17" s="6536"/>
      <c r="AE17" s="6536"/>
      <c r="AF17" s="6534">
        <v>121</v>
      </c>
      <c r="AG17" s="6536">
        <v>35</v>
      </c>
      <c r="AH17" s="6536">
        <v>86</v>
      </c>
      <c r="AI17" s="6536">
        <v>121</v>
      </c>
      <c r="AJ17" s="6536"/>
      <c r="AK17" s="6536">
        <v>0</v>
      </c>
      <c r="AL17" s="6536">
        <v>0</v>
      </c>
      <c r="AM17" s="6536">
        <v>19</v>
      </c>
      <c r="AN17" s="6536">
        <v>72</v>
      </c>
      <c r="AO17" s="6536">
        <v>28</v>
      </c>
      <c r="AP17" s="6536">
        <v>2</v>
      </c>
      <c r="AQ17" s="6536"/>
      <c r="AR17" s="6536">
        <v>117</v>
      </c>
      <c r="AS17" s="6536">
        <v>2</v>
      </c>
      <c r="AT17" s="6536">
        <v>2</v>
      </c>
      <c r="AU17" s="6536"/>
      <c r="AV17" s="6536"/>
      <c r="AW17" s="6536"/>
      <c r="AX17" s="6536"/>
      <c r="AY17" s="6536"/>
      <c r="AZ17" s="6536">
        <v>116</v>
      </c>
      <c r="BA17" s="6536">
        <v>5</v>
      </c>
      <c r="BB17" s="6536"/>
      <c r="BC17" s="6536"/>
      <c r="BD17" s="6536"/>
      <c r="BE17" s="6536"/>
      <c r="BF17" s="6536"/>
      <c r="BG17" s="6536"/>
      <c r="BH17" s="6536"/>
      <c r="BI17" s="6536"/>
      <c r="BJ17" s="6536"/>
      <c r="BK17" s="6536"/>
      <c r="BL17" s="6536"/>
      <c r="BM17" s="6536"/>
      <c r="BN17" s="6536"/>
      <c r="BO17" s="6536"/>
      <c r="BP17" s="6528" t="s">
        <v>8591</v>
      </c>
      <c r="BQ17" s="6530">
        <v>1</v>
      </c>
      <c r="BR17" s="4937">
        <f t="shared" si="0"/>
        <v>1</v>
      </c>
      <c r="BS17" s="16580"/>
      <c r="BT17" s="6537" t="s">
        <v>8607</v>
      </c>
      <c r="BU17" s="6528" t="s">
        <v>8605</v>
      </c>
      <c r="BV17" s="6528" t="s">
        <v>8608</v>
      </c>
      <c r="BW17" s="6538">
        <f t="shared" si="1"/>
        <v>4800000</v>
      </c>
      <c r="BX17" s="6539">
        <v>4800000</v>
      </c>
      <c r="BY17" s="6540"/>
      <c r="BZ17" s="6536"/>
      <c r="CA17" s="6541" t="s">
        <v>3604</v>
      </c>
      <c r="CB17" s="6541" t="s">
        <v>3604</v>
      </c>
      <c r="CC17" s="6541" t="s">
        <v>3604</v>
      </c>
      <c r="CD17" s="6541" t="s">
        <v>3604</v>
      </c>
      <c r="CE17" s="6541" t="s">
        <v>3604</v>
      </c>
      <c r="CF17" s="6541" t="s">
        <v>3604</v>
      </c>
      <c r="CG17" s="6541" t="s">
        <v>3604</v>
      </c>
      <c r="CH17" s="6541" t="s">
        <v>3604</v>
      </c>
      <c r="CI17" s="6541" t="s">
        <v>3604</v>
      </c>
      <c r="CJ17" s="6541" t="s">
        <v>3604</v>
      </c>
      <c r="CK17" s="6541" t="s">
        <v>3604</v>
      </c>
      <c r="CL17" s="6541" t="s">
        <v>3604</v>
      </c>
      <c r="CM17" s="6541" t="s">
        <v>3604</v>
      </c>
      <c r="CN17" s="6541" t="s">
        <v>3604</v>
      </c>
      <c r="CO17" s="6541" t="s">
        <v>3604</v>
      </c>
      <c r="CP17" s="6541" t="s">
        <v>3604</v>
      </c>
      <c r="CQ17" s="6541" t="s">
        <v>3604</v>
      </c>
      <c r="CR17" s="6541" t="s">
        <v>3604</v>
      </c>
      <c r="CS17" s="6541" t="s">
        <v>3604</v>
      </c>
      <c r="CT17" s="6541" t="s">
        <v>3604</v>
      </c>
      <c r="CU17" s="6541" t="s">
        <v>3604</v>
      </c>
      <c r="CV17" s="6541" t="s">
        <v>3604</v>
      </c>
      <c r="CW17" s="6541" t="s">
        <v>3604</v>
      </c>
      <c r="CX17" s="6541" t="s">
        <v>3604</v>
      </c>
      <c r="CY17" s="6541" t="s">
        <v>3604</v>
      </c>
      <c r="CZ17" s="6541" t="s">
        <v>3604</v>
      </c>
      <c r="DA17" s="2339" t="s">
        <v>8631</v>
      </c>
      <c r="DB17" s="2339" t="s">
        <v>8638</v>
      </c>
      <c r="DC17" s="6534">
        <v>16</v>
      </c>
      <c r="DD17" s="2339" t="s">
        <v>3613</v>
      </c>
      <c r="DE17" s="2339" t="s">
        <v>3613</v>
      </c>
      <c r="DF17" s="6541"/>
      <c r="DG17" s="6541"/>
      <c r="DH17" s="6541"/>
      <c r="DI17" s="6541"/>
      <c r="DJ17" s="6541"/>
      <c r="DK17" s="6541"/>
      <c r="DL17" s="6542"/>
      <c r="DN17" s="6624"/>
      <c r="DO17" s="6536"/>
      <c r="DP17" s="6536"/>
      <c r="DQ17" s="6536"/>
      <c r="DR17" s="6536"/>
      <c r="DS17" s="6536"/>
      <c r="DT17" s="6536"/>
      <c r="DU17" s="6536"/>
      <c r="DV17" s="6536"/>
      <c r="DW17" s="6536"/>
      <c r="DX17" s="6536"/>
      <c r="DY17" s="6536"/>
      <c r="DZ17" s="6536"/>
      <c r="EA17" s="6536"/>
      <c r="EB17" s="6536"/>
      <c r="EC17" s="6536"/>
      <c r="ED17" s="6536"/>
      <c r="EE17" s="6536"/>
      <c r="EF17" s="6536"/>
      <c r="EG17" s="6536"/>
      <c r="EH17" s="6536"/>
      <c r="EI17" s="6536"/>
      <c r="EJ17" s="6536"/>
      <c r="EK17" s="6536"/>
      <c r="EL17" s="6536"/>
      <c r="EM17" s="6536"/>
      <c r="EN17" s="6536"/>
      <c r="EO17" s="6536"/>
      <c r="EP17" s="6536"/>
      <c r="EQ17" s="6536"/>
      <c r="ER17" s="6536"/>
      <c r="ES17" s="6536"/>
      <c r="ET17" s="6536"/>
      <c r="EU17" s="6536"/>
      <c r="EV17" s="6536"/>
      <c r="EW17" s="6536"/>
      <c r="EX17" s="6536"/>
      <c r="EY17" s="6536"/>
      <c r="EZ17" s="6536"/>
      <c r="FA17" s="6536"/>
      <c r="FB17" s="6536"/>
      <c r="FC17" s="6536"/>
      <c r="FD17" s="6536"/>
      <c r="FE17" s="6536"/>
      <c r="FF17" s="6536"/>
      <c r="FG17" s="6625"/>
    </row>
    <row r="18" spans="1:163" s="2578" customFormat="1" ht="15" customHeight="1">
      <c r="A18" s="16561" t="s">
        <v>2041</v>
      </c>
      <c r="B18" s="16534" t="s">
        <v>2042</v>
      </c>
      <c r="C18" s="769" t="s">
        <v>8217</v>
      </c>
      <c r="D18" s="6543" t="s">
        <v>2043</v>
      </c>
      <c r="E18" s="5176" t="s">
        <v>2044</v>
      </c>
      <c r="F18" s="5176" t="s">
        <v>2009</v>
      </c>
      <c r="G18" s="6544">
        <v>0</v>
      </c>
      <c r="H18" s="6545">
        <v>0.5</v>
      </c>
      <c r="I18" s="6545">
        <v>0.8</v>
      </c>
      <c r="J18" s="6546">
        <v>1</v>
      </c>
      <c r="K18" s="6546">
        <v>1</v>
      </c>
      <c r="L18" s="6546">
        <v>1</v>
      </c>
      <c r="M18" s="6546">
        <v>1</v>
      </c>
      <c r="N18" s="6546">
        <v>1</v>
      </c>
      <c r="O18" s="6546">
        <v>1</v>
      </c>
      <c r="P18" s="6546">
        <v>1</v>
      </c>
      <c r="Q18" s="6546">
        <v>1</v>
      </c>
      <c r="R18" s="6546">
        <v>1</v>
      </c>
      <c r="S18" s="6546">
        <v>1</v>
      </c>
      <c r="T18" s="6546" t="s">
        <v>86</v>
      </c>
      <c r="U18" s="5176" t="s">
        <v>2006</v>
      </c>
      <c r="V18" s="4602"/>
      <c r="W18" s="5176" t="s">
        <v>2045</v>
      </c>
      <c r="X18" s="6547">
        <v>0.8</v>
      </c>
      <c r="Y18" s="6548" t="s">
        <v>3626</v>
      </c>
      <c r="Z18" s="6548"/>
      <c r="AA18" s="6548" t="s">
        <v>3626</v>
      </c>
      <c r="AB18" s="5064">
        <v>1328421</v>
      </c>
      <c r="AC18" s="6549">
        <v>1328421</v>
      </c>
      <c r="AD18" s="6550"/>
      <c r="AE18" s="6550"/>
      <c r="AF18" s="6551" t="s">
        <v>3604</v>
      </c>
      <c r="AG18" s="6551" t="s">
        <v>3604</v>
      </c>
      <c r="AH18" s="6551" t="s">
        <v>3604</v>
      </c>
      <c r="AI18" s="6551" t="s">
        <v>3604</v>
      </c>
      <c r="AJ18" s="6551" t="s">
        <v>3604</v>
      </c>
      <c r="AK18" s="6551" t="s">
        <v>3604</v>
      </c>
      <c r="AL18" s="6551" t="s">
        <v>3604</v>
      </c>
      <c r="AM18" s="6551" t="s">
        <v>3604</v>
      </c>
      <c r="AN18" s="6551" t="s">
        <v>3604</v>
      </c>
      <c r="AO18" s="6551" t="s">
        <v>3604</v>
      </c>
      <c r="AP18" s="6551" t="s">
        <v>3604</v>
      </c>
      <c r="AQ18" s="6551" t="s">
        <v>3604</v>
      </c>
      <c r="AR18" s="6551" t="s">
        <v>3604</v>
      </c>
      <c r="AS18" s="6551" t="s">
        <v>3604</v>
      </c>
      <c r="AT18" s="6551" t="s">
        <v>3604</v>
      </c>
      <c r="AU18" s="6551" t="s">
        <v>3604</v>
      </c>
      <c r="AV18" s="6551" t="s">
        <v>3604</v>
      </c>
      <c r="AW18" s="6551" t="s">
        <v>3604</v>
      </c>
      <c r="AX18" s="6551" t="s">
        <v>3604</v>
      </c>
      <c r="AY18" s="6551" t="s">
        <v>3604</v>
      </c>
      <c r="AZ18" s="6551" t="s">
        <v>3604</v>
      </c>
      <c r="BA18" s="6551" t="s">
        <v>3604</v>
      </c>
      <c r="BB18" s="6551" t="s">
        <v>3604</v>
      </c>
      <c r="BC18" s="6551" t="s">
        <v>3604</v>
      </c>
      <c r="BD18" s="6551" t="s">
        <v>3604</v>
      </c>
      <c r="BE18" s="6551" t="s">
        <v>3604</v>
      </c>
      <c r="BF18" s="6550"/>
      <c r="BG18" s="6550"/>
      <c r="BH18" s="6550"/>
      <c r="BI18" s="6550"/>
      <c r="BJ18" s="6550"/>
      <c r="BK18" s="6550"/>
      <c r="BL18" s="6550"/>
      <c r="BM18" s="6550"/>
      <c r="BN18" s="6550"/>
      <c r="BO18" s="6550"/>
      <c r="BP18" s="5176" t="s">
        <v>2045</v>
      </c>
      <c r="BQ18" s="6546">
        <v>1</v>
      </c>
      <c r="BR18" s="5085">
        <f t="shared" si="0"/>
        <v>1</v>
      </c>
      <c r="BS18" s="16581">
        <f>AVERAGE(BR18:BR26)</f>
        <v>1</v>
      </c>
      <c r="BT18" s="1585" t="s">
        <v>8609</v>
      </c>
      <c r="BU18" s="6552" t="s">
        <v>3628</v>
      </c>
      <c r="BV18" s="5176" t="s">
        <v>8610</v>
      </c>
      <c r="BW18" s="4342">
        <f t="shared" si="1"/>
        <v>1328421</v>
      </c>
      <c r="BX18" s="6553">
        <v>1328421</v>
      </c>
      <c r="BY18" s="6553"/>
      <c r="BZ18" s="6550"/>
      <c r="CA18" s="6554" t="s">
        <v>3604</v>
      </c>
      <c r="CB18" s="6554" t="s">
        <v>3604</v>
      </c>
      <c r="CC18" s="6554" t="s">
        <v>3604</v>
      </c>
      <c r="CD18" s="6554" t="s">
        <v>3604</v>
      </c>
      <c r="CE18" s="6554" t="s">
        <v>3604</v>
      </c>
      <c r="CF18" s="6554" t="s">
        <v>3604</v>
      </c>
      <c r="CG18" s="6554" t="s">
        <v>3604</v>
      </c>
      <c r="CH18" s="6554" t="s">
        <v>3604</v>
      </c>
      <c r="CI18" s="6554" t="s">
        <v>3604</v>
      </c>
      <c r="CJ18" s="6554" t="s">
        <v>3604</v>
      </c>
      <c r="CK18" s="6554" t="s">
        <v>3604</v>
      </c>
      <c r="CL18" s="6554" t="s">
        <v>3604</v>
      </c>
      <c r="CM18" s="6554" t="s">
        <v>3604</v>
      </c>
      <c r="CN18" s="6554" t="s">
        <v>3604</v>
      </c>
      <c r="CO18" s="6554" t="s">
        <v>3604</v>
      </c>
      <c r="CP18" s="6554" t="s">
        <v>3604</v>
      </c>
      <c r="CQ18" s="6554" t="s">
        <v>3604</v>
      </c>
      <c r="CR18" s="6554" t="s">
        <v>3604</v>
      </c>
      <c r="CS18" s="6554" t="s">
        <v>3604</v>
      </c>
      <c r="CT18" s="6554" t="s">
        <v>3604</v>
      </c>
      <c r="CU18" s="6554" t="s">
        <v>3604</v>
      </c>
      <c r="CV18" s="6554" t="s">
        <v>3604</v>
      </c>
      <c r="CW18" s="6554" t="s">
        <v>3604</v>
      </c>
      <c r="CX18" s="6554" t="s">
        <v>3604</v>
      </c>
      <c r="CY18" s="6554" t="s">
        <v>3604</v>
      </c>
      <c r="CZ18" s="6554" t="s">
        <v>3604</v>
      </c>
      <c r="DA18" s="3404" t="s">
        <v>8631</v>
      </c>
      <c r="DB18" s="3404" t="s">
        <v>8639</v>
      </c>
      <c r="DC18" s="6551">
        <v>16</v>
      </c>
      <c r="DD18" s="3404" t="s">
        <v>3613</v>
      </c>
      <c r="DE18" s="3404" t="s">
        <v>3613</v>
      </c>
      <c r="DF18" s="6554"/>
      <c r="DG18" s="6554"/>
      <c r="DH18" s="6554"/>
      <c r="DI18" s="6554"/>
      <c r="DJ18" s="6554"/>
      <c r="DK18" s="6554"/>
      <c r="DL18" s="4603"/>
      <c r="DN18" s="6622"/>
      <c r="DO18" s="6550"/>
      <c r="DP18" s="6550"/>
      <c r="DQ18" s="6550"/>
      <c r="DR18" s="6550"/>
      <c r="DS18" s="6550"/>
      <c r="DT18" s="6550"/>
      <c r="DU18" s="6550"/>
      <c r="DV18" s="6550"/>
      <c r="DW18" s="6550"/>
      <c r="DX18" s="6550"/>
      <c r="DY18" s="6550"/>
      <c r="DZ18" s="6550"/>
      <c r="EA18" s="6550"/>
      <c r="EB18" s="6550"/>
      <c r="EC18" s="6550"/>
      <c r="ED18" s="6550"/>
      <c r="EE18" s="6550"/>
      <c r="EF18" s="6550"/>
      <c r="EG18" s="6550"/>
      <c r="EH18" s="6550"/>
      <c r="EI18" s="6550"/>
      <c r="EJ18" s="6550"/>
      <c r="EK18" s="6550"/>
      <c r="EL18" s="6550"/>
      <c r="EM18" s="6550"/>
      <c r="EN18" s="6550"/>
      <c r="EO18" s="6550"/>
      <c r="EP18" s="6550"/>
      <c r="EQ18" s="6550"/>
      <c r="ER18" s="6550"/>
      <c r="ES18" s="6550"/>
      <c r="ET18" s="6550"/>
      <c r="EU18" s="6550"/>
      <c r="EV18" s="6550"/>
      <c r="EW18" s="6550"/>
      <c r="EX18" s="6550"/>
      <c r="EY18" s="6550"/>
      <c r="EZ18" s="6550"/>
      <c r="FA18" s="6550"/>
      <c r="FB18" s="6550"/>
      <c r="FC18" s="6550"/>
      <c r="FD18" s="6550"/>
      <c r="FE18" s="6550"/>
      <c r="FF18" s="6550"/>
      <c r="FG18" s="6623"/>
    </row>
    <row r="19" spans="1:163" s="2578" customFormat="1" ht="15" customHeight="1">
      <c r="A19" s="16562"/>
      <c r="B19" s="15456"/>
      <c r="C19" s="5163" t="s">
        <v>8218</v>
      </c>
      <c r="D19" s="6555" t="s">
        <v>2046</v>
      </c>
      <c r="E19" s="5072" t="s">
        <v>2047</v>
      </c>
      <c r="F19" s="5072" t="s">
        <v>2005</v>
      </c>
      <c r="G19" s="6556">
        <v>10</v>
      </c>
      <c r="H19" s="6557">
        <v>12</v>
      </c>
      <c r="I19" s="6557">
        <v>14</v>
      </c>
      <c r="J19" s="6557">
        <v>16</v>
      </c>
      <c r="K19" s="6557">
        <v>18</v>
      </c>
      <c r="L19" s="6557">
        <v>20</v>
      </c>
      <c r="M19" s="6557">
        <v>22</v>
      </c>
      <c r="N19" s="6557">
        <v>24</v>
      </c>
      <c r="O19" s="6557">
        <v>26</v>
      </c>
      <c r="P19" s="6557">
        <v>28</v>
      </c>
      <c r="Q19" s="6557">
        <v>30</v>
      </c>
      <c r="R19" s="6557">
        <v>32</v>
      </c>
      <c r="S19" s="6557">
        <v>32</v>
      </c>
      <c r="T19" s="6557" t="s">
        <v>86</v>
      </c>
      <c r="U19" s="5072" t="s">
        <v>2006</v>
      </c>
      <c r="V19" s="2602"/>
      <c r="W19" s="5072" t="s">
        <v>2048</v>
      </c>
      <c r="X19" s="6558">
        <v>1</v>
      </c>
      <c r="Y19" s="2653" t="s">
        <v>3626</v>
      </c>
      <c r="Z19" s="6559"/>
      <c r="AA19" s="2653" t="s">
        <v>3626</v>
      </c>
      <c r="AB19" s="2589">
        <v>1328421</v>
      </c>
      <c r="AC19" s="2600">
        <v>1328421</v>
      </c>
      <c r="AD19" s="2584"/>
      <c r="AE19" s="2584"/>
      <c r="AF19" s="2588" t="s">
        <v>3604</v>
      </c>
      <c r="AG19" s="2588" t="s">
        <v>3604</v>
      </c>
      <c r="AH19" s="2588" t="s">
        <v>3604</v>
      </c>
      <c r="AI19" s="2588" t="s">
        <v>3604</v>
      </c>
      <c r="AJ19" s="2588" t="s">
        <v>3604</v>
      </c>
      <c r="AK19" s="2588" t="s">
        <v>3604</v>
      </c>
      <c r="AL19" s="2588" t="s">
        <v>3604</v>
      </c>
      <c r="AM19" s="2588" t="s">
        <v>3604</v>
      </c>
      <c r="AN19" s="2588" t="s">
        <v>3604</v>
      </c>
      <c r="AO19" s="2588" t="s">
        <v>3604</v>
      </c>
      <c r="AP19" s="2588" t="s">
        <v>3604</v>
      </c>
      <c r="AQ19" s="2588" t="s">
        <v>3604</v>
      </c>
      <c r="AR19" s="2588" t="s">
        <v>3604</v>
      </c>
      <c r="AS19" s="2588" t="s">
        <v>3604</v>
      </c>
      <c r="AT19" s="2588" t="s">
        <v>3604</v>
      </c>
      <c r="AU19" s="2588" t="s">
        <v>3604</v>
      </c>
      <c r="AV19" s="2588" t="s">
        <v>3604</v>
      </c>
      <c r="AW19" s="2588" t="s">
        <v>3604</v>
      </c>
      <c r="AX19" s="2588" t="s">
        <v>3604</v>
      </c>
      <c r="AY19" s="2588" t="s">
        <v>3604</v>
      </c>
      <c r="AZ19" s="2588" t="s">
        <v>3604</v>
      </c>
      <c r="BA19" s="2588" t="s">
        <v>3604</v>
      </c>
      <c r="BB19" s="2588" t="s">
        <v>3604</v>
      </c>
      <c r="BC19" s="2588" t="s">
        <v>3604</v>
      </c>
      <c r="BD19" s="2588" t="s">
        <v>3604</v>
      </c>
      <c r="BE19" s="2588" t="s">
        <v>3604</v>
      </c>
      <c r="BF19" s="2584"/>
      <c r="BG19" s="2584"/>
      <c r="BH19" s="2584"/>
      <c r="BI19" s="2584"/>
      <c r="BJ19" s="2584"/>
      <c r="BK19" s="2584"/>
      <c r="BL19" s="2584"/>
      <c r="BM19" s="2584"/>
      <c r="BN19" s="2584"/>
      <c r="BO19" s="2584"/>
      <c r="BP19" s="5072" t="s">
        <v>2048</v>
      </c>
      <c r="BQ19" s="6557">
        <v>16</v>
      </c>
      <c r="BR19" s="5092">
        <f t="shared" si="0"/>
        <v>1</v>
      </c>
      <c r="BS19" s="16582"/>
      <c r="BT19" s="2656" t="s">
        <v>8611</v>
      </c>
      <c r="BU19" s="2615" t="s">
        <v>3585</v>
      </c>
      <c r="BV19" s="2656" t="s">
        <v>3629</v>
      </c>
      <c r="BW19" s="4765">
        <f t="shared" si="1"/>
        <v>1328421</v>
      </c>
      <c r="BX19" s="2623">
        <v>1328421</v>
      </c>
      <c r="BY19" s="2623"/>
      <c r="BZ19" s="2584"/>
      <c r="CA19" s="2621">
        <v>158</v>
      </c>
      <c r="CB19" s="2621">
        <v>52</v>
      </c>
      <c r="CC19" s="2621">
        <v>106</v>
      </c>
      <c r="CD19" s="2621">
        <v>150</v>
      </c>
      <c r="CE19" s="2621">
        <v>58</v>
      </c>
      <c r="CF19" s="2621">
        <v>0</v>
      </c>
      <c r="CG19" s="2621">
        <v>0</v>
      </c>
      <c r="CH19" s="2621">
        <v>0</v>
      </c>
      <c r="CI19" s="2621">
        <v>58</v>
      </c>
      <c r="CJ19" s="2621">
        <v>61</v>
      </c>
      <c r="CK19" s="2621">
        <v>31</v>
      </c>
      <c r="CL19" s="2621">
        <v>8</v>
      </c>
      <c r="CM19" s="2621">
        <v>148</v>
      </c>
      <c r="CN19" s="2621">
        <v>2</v>
      </c>
      <c r="CO19" s="2621">
        <v>0</v>
      </c>
      <c r="CP19" s="2621">
        <v>0</v>
      </c>
      <c r="CQ19" s="2621">
        <v>5</v>
      </c>
      <c r="CR19" s="2621">
        <v>0</v>
      </c>
      <c r="CS19" s="2621">
        <v>0</v>
      </c>
      <c r="CT19" s="2621">
        <v>3</v>
      </c>
      <c r="CU19" s="2621">
        <v>155</v>
      </c>
      <c r="CV19" s="2621">
        <v>1</v>
      </c>
      <c r="CW19" s="2621">
        <v>2</v>
      </c>
      <c r="CX19" s="2621">
        <v>0</v>
      </c>
      <c r="CY19" s="2621">
        <v>0</v>
      </c>
      <c r="CZ19" s="2621">
        <v>0</v>
      </c>
      <c r="DA19" s="5072"/>
      <c r="DB19" s="5072"/>
      <c r="DC19" s="2621"/>
      <c r="DD19" s="2621"/>
      <c r="DE19" s="2621"/>
      <c r="DF19" s="2621"/>
      <c r="DG19" s="2621"/>
      <c r="DH19" s="2621"/>
      <c r="DI19" s="2621"/>
      <c r="DJ19" s="2621"/>
      <c r="DK19" s="2621"/>
      <c r="DL19" s="4589"/>
      <c r="DN19" s="6617"/>
      <c r="DO19" s="2584"/>
      <c r="DP19" s="2584"/>
      <c r="DQ19" s="2584"/>
      <c r="DR19" s="2584"/>
      <c r="DS19" s="2584"/>
      <c r="DT19" s="2584"/>
      <c r="DU19" s="2584"/>
      <c r="DV19" s="2584"/>
      <c r="DW19" s="2584"/>
      <c r="DX19" s="2584"/>
      <c r="DY19" s="2584"/>
      <c r="DZ19" s="2584"/>
      <c r="EA19" s="2584"/>
      <c r="EB19" s="2584"/>
      <c r="EC19" s="2584"/>
      <c r="ED19" s="2584"/>
      <c r="EE19" s="2584"/>
      <c r="EF19" s="2584"/>
      <c r="EG19" s="2584"/>
      <c r="EH19" s="2584"/>
      <c r="EI19" s="2584"/>
      <c r="EJ19" s="2584"/>
      <c r="EK19" s="2584"/>
      <c r="EL19" s="2584"/>
      <c r="EM19" s="2584"/>
      <c r="EN19" s="2584"/>
      <c r="EO19" s="2584"/>
      <c r="EP19" s="2584"/>
      <c r="EQ19" s="2584"/>
      <c r="ER19" s="2584"/>
      <c r="ES19" s="2584"/>
      <c r="ET19" s="2584"/>
      <c r="EU19" s="2584"/>
      <c r="EV19" s="2584"/>
      <c r="EW19" s="2584"/>
      <c r="EX19" s="2584"/>
      <c r="EY19" s="2584"/>
      <c r="EZ19" s="2584"/>
      <c r="FA19" s="2584"/>
      <c r="FB19" s="2584"/>
      <c r="FC19" s="2584"/>
      <c r="FD19" s="2584"/>
      <c r="FE19" s="2584"/>
      <c r="FF19" s="2584"/>
      <c r="FG19" s="6618"/>
    </row>
    <row r="20" spans="1:163" s="2578" customFormat="1" ht="15" customHeight="1">
      <c r="A20" s="16562"/>
      <c r="B20" s="15456"/>
      <c r="C20" s="5163" t="s">
        <v>8219</v>
      </c>
      <c r="D20" s="6555" t="s">
        <v>2049</v>
      </c>
      <c r="E20" s="5072" t="s">
        <v>2017</v>
      </c>
      <c r="F20" s="5072" t="s">
        <v>2025</v>
      </c>
      <c r="G20" s="6556">
        <v>0</v>
      </c>
      <c r="H20" s="6557">
        <v>12</v>
      </c>
      <c r="I20" s="6557">
        <v>12</v>
      </c>
      <c r="J20" s="6557">
        <v>12</v>
      </c>
      <c r="K20" s="6557">
        <v>12</v>
      </c>
      <c r="L20" s="6557">
        <v>12</v>
      </c>
      <c r="M20" s="6557">
        <v>12</v>
      </c>
      <c r="N20" s="6557">
        <v>12</v>
      </c>
      <c r="O20" s="6557">
        <v>12</v>
      </c>
      <c r="P20" s="6557">
        <v>12</v>
      </c>
      <c r="Q20" s="6557">
        <v>12</v>
      </c>
      <c r="R20" s="6557">
        <v>12</v>
      </c>
      <c r="S20" s="6557">
        <v>120</v>
      </c>
      <c r="T20" s="6557" t="s">
        <v>86</v>
      </c>
      <c r="U20" s="5072" t="s">
        <v>2006</v>
      </c>
      <c r="V20" s="2602"/>
      <c r="W20" s="5072" t="s">
        <v>2048</v>
      </c>
      <c r="X20" s="6558">
        <v>1</v>
      </c>
      <c r="Y20" s="5070" t="s">
        <v>3627</v>
      </c>
      <c r="Z20" s="2588" t="s">
        <v>3628</v>
      </c>
      <c r="AA20" s="5070" t="s">
        <v>3629</v>
      </c>
      <c r="AB20" s="2589">
        <v>1328421</v>
      </c>
      <c r="AC20" s="2600">
        <v>1328421</v>
      </c>
      <c r="AD20" s="2588"/>
      <c r="AE20" s="2588"/>
      <c r="AF20" s="2588" t="s">
        <v>3604</v>
      </c>
      <c r="AG20" s="2588" t="s">
        <v>3604</v>
      </c>
      <c r="AH20" s="2588" t="s">
        <v>3604</v>
      </c>
      <c r="AI20" s="2588" t="s">
        <v>3604</v>
      </c>
      <c r="AJ20" s="2588" t="s">
        <v>3604</v>
      </c>
      <c r="AK20" s="2588" t="s">
        <v>3604</v>
      </c>
      <c r="AL20" s="2588" t="s">
        <v>3604</v>
      </c>
      <c r="AM20" s="2588" t="s">
        <v>3604</v>
      </c>
      <c r="AN20" s="2588" t="s">
        <v>3604</v>
      </c>
      <c r="AO20" s="2588" t="s">
        <v>3604</v>
      </c>
      <c r="AP20" s="2588" t="s">
        <v>3604</v>
      </c>
      <c r="AQ20" s="2588" t="s">
        <v>3604</v>
      </c>
      <c r="AR20" s="2588" t="s">
        <v>3604</v>
      </c>
      <c r="AS20" s="2588" t="s">
        <v>3604</v>
      </c>
      <c r="AT20" s="2588" t="s">
        <v>3604</v>
      </c>
      <c r="AU20" s="2588" t="s">
        <v>3604</v>
      </c>
      <c r="AV20" s="2588" t="s">
        <v>3604</v>
      </c>
      <c r="AW20" s="2588" t="s">
        <v>3604</v>
      </c>
      <c r="AX20" s="2588" t="s">
        <v>3604</v>
      </c>
      <c r="AY20" s="2588" t="s">
        <v>3604</v>
      </c>
      <c r="AZ20" s="2588" t="s">
        <v>3604</v>
      </c>
      <c r="BA20" s="2588" t="s">
        <v>3604</v>
      </c>
      <c r="BB20" s="2588" t="s">
        <v>3604</v>
      </c>
      <c r="BC20" s="2588" t="s">
        <v>3604</v>
      </c>
      <c r="BD20" s="2588" t="s">
        <v>3604</v>
      </c>
      <c r="BE20" s="2588" t="s">
        <v>3604</v>
      </c>
      <c r="BF20" s="5070" t="s">
        <v>3611</v>
      </c>
      <c r="BG20" s="5070" t="s">
        <v>3612</v>
      </c>
      <c r="BH20" s="5070">
        <v>12</v>
      </c>
      <c r="BI20" s="5070" t="s">
        <v>3613</v>
      </c>
      <c r="BJ20" s="5070" t="s">
        <v>3613</v>
      </c>
      <c r="BK20" s="2588"/>
      <c r="BL20" s="2588"/>
      <c r="BM20" s="2588"/>
      <c r="BN20" s="2588"/>
      <c r="BO20" s="2588"/>
      <c r="BP20" s="5072" t="s">
        <v>2048</v>
      </c>
      <c r="BQ20" s="6557">
        <v>12</v>
      </c>
      <c r="BR20" s="5092">
        <f t="shared" si="0"/>
        <v>1</v>
      </c>
      <c r="BS20" s="16582"/>
      <c r="BT20" s="2656" t="s">
        <v>3627</v>
      </c>
      <c r="BU20" s="6559" t="s">
        <v>3585</v>
      </c>
      <c r="BV20" s="5072" t="s">
        <v>3629</v>
      </c>
      <c r="BW20" s="4765">
        <f t="shared" si="1"/>
        <v>1328421</v>
      </c>
      <c r="BX20" s="2623">
        <v>1328421</v>
      </c>
      <c r="BY20" s="2623"/>
      <c r="BZ20" s="2588"/>
      <c r="CA20" s="2621">
        <v>563</v>
      </c>
      <c r="CB20" s="2621">
        <v>187</v>
      </c>
      <c r="CC20" s="2621">
        <v>376</v>
      </c>
      <c r="CD20" s="2621">
        <v>543</v>
      </c>
      <c r="CE20" s="2621">
        <v>20</v>
      </c>
      <c r="CF20" s="2621">
        <v>0</v>
      </c>
      <c r="CG20" s="2621">
        <v>0</v>
      </c>
      <c r="CH20" s="2621">
        <v>6</v>
      </c>
      <c r="CI20" s="2621">
        <v>144</v>
      </c>
      <c r="CJ20" s="2621">
        <v>268</v>
      </c>
      <c r="CK20" s="2621">
        <v>134</v>
      </c>
      <c r="CL20" s="2621">
        <v>11</v>
      </c>
      <c r="CM20" s="2621">
        <v>516</v>
      </c>
      <c r="CN20" s="2621">
        <v>2</v>
      </c>
      <c r="CO20" s="2621">
        <v>7</v>
      </c>
      <c r="CP20" s="2621">
        <v>25</v>
      </c>
      <c r="CQ20" s="2621">
        <v>8</v>
      </c>
      <c r="CR20" s="2621">
        <v>0</v>
      </c>
      <c r="CS20" s="2621">
        <v>0</v>
      </c>
      <c r="CT20" s="2621">
        <v>5</v>
      </c>
      <c r="CU20" s="2621">
        <v>546</v>
      </c>
      <c r="CV20" s="2621">
        <v>9</v>
      </c>
      <c r="CW20" s="2621">
        <v>8</v>
      </c>
      <c r="CX20" s="2621">
        <v>0</v>
      </c>
      <c r="CY20" s="2621">
        <v>0</v>
      </c>
      <c r="CZ20" s="2621">
        <v>0</v>
      </c>
      <c r="DA20" s="5072"/>
      <c r="DB20" s="5072"/>
      <c r="DC20" s="5072"/>
      <c r="DD20" s="5072"/>
      <c r="DE20" s="5072"/>
      <c r="DF20" s="5072"/>
      <c r="DG20" s="2621"/>
      <c r="DH20" s="2621"/>
      <c r="DI20" s="2621"/>
      <c r="DJ20" s="2621"/>
      <c r="DK20" s="2621"/>
      <c r="DL20" s="4589"/>
      <c r="DN20" s="6617"/>
      <c r="DO20" s="2584"/>
      <c r="DP20" s="2584"/>
      <c r="DQ20" s="2584"/>
      <c r="DR20" s="2584"/>
      <c r="DS20" s="2584"/>
      <c r="DT20" s="2584"/>
      <c r="DU20" s="2584"/>
      <c r="DV20" s="2584"/>
      <c r="DW20" s="2584"/>
      <c r="DX20" s="2584"/>
      <c r="DY20" s="2584"/>
      <c r="DZ20" s="2584"/>
      <c r="EA20" s="2584"/>
      <c r="EB20" s="2584"/>
      <c r="EC20" s="2584"/>
      <c r="ED20" s="2584"/>
      <c r="EE20" s="2584"/>
      <c r="EF20" s="2584"/>
      <c r="EG20" s="2584"/>
      <c r="EH20" s="2584"/>
      <c r="EI20" s="2584"/>
      <c r="EJ20" s="2584"/>
      <c r="EK20" s="2584"/>
      <c r="EL20" s="2584"/>
      <c r="EM20" s="2584"/>
      <c r="EN20" s="2584"/>
      <c r="EO20" s="2584"/>
      <c r="EP20" s="2584"/>
      <c r="EQ20" s="2584"/>
      <c r="ER20" s="2584"/>
      <c r="ES20" s="2584"/>
      <c r="ET20" s="2584"/>
      <c r="EU20" s="2584"/>
      <c r="EV20" s="2584"/>
      <c r="EW20" s="2584"/>
      <c r="EX20" s="2584"/>
      <c r="EY20" s="2584"/>
      <c r="EZ20" s="2584"/>
      <c r="FA20" s="2584"/>
      <c r="FB20" s="2584"/>
      <c r="FC20" s="2584"/>
      <c r="FD20" s="2584"/>
      <c r="FE20" s="2584"/>
      <c r="FF20" s="2584"/>
      <c r="FG20" s="6618"/>
    </row>
    <row r="21" spans="1:163" s="2578" customFormat="1" ht="15" customHeight="1">
      <c r="A21" s="16562"/>
      <c r="B21" s="15456"/>
      <c r="C21" s="5163" t="s">
        <v>8220</v>
      </c>
      <c r="D21" s="6555" t="s">
        <v>2050</v>
      </c>
      <c r="E21" s="5072" t="s">
        <v>2017</v>
      </c>
      <c r="F21" s="5072" t="s">
        <v>2025</v>
      </c>
      <c r="G21" s="6556">
        <v>0</v>
      </c>
      <c r="H21" s="6557">
        <v>6</v>
      </c>
      <c r="I21" s="6557">
        <v>6</v>
      </c>
      <c r="J21" s="6557">
        <v>6</v>
      </c>
      <c r="K21" s="6557">
        <v>6</v>
      </c>
      <c r="L21" s="6557">
        <v>6</v>
      </c>
      <c r="M21" s="6557">
        <v>6</v>
      </c>
      <c r="N21" s="6557">
        <v>6</v>
      </c>
      <c r="O21" s="6557">
        <v>6</v>
      </c>
      <c r="P21" s="6557">
        <v>6</v>
      </c>
      <c r="Q21" s="6557">
        <v>6</v>
      </c>
      <c r="R21" s="6557">
        <v>6</v>
      </c>
      <c r="S21" s="6557">
        <v>60</v>
      </c>
      <c r="T21" s="6557" t="s">
        <v>86</v>
      </c>
      <c r="U21" s="5072" t="s">
        <v>2006</v>
      </c>
      <c r="V21" s="2602"/>
      <c r="W21" s="5072" t="s">
        <v>2051</v>
      </c>
      <c r="X21" s="6558">
        <v>1</v>
      </c>
      <c r="Y21" s="5070" t="s">
        <v>3630</v>
      </c>
      <c r="Z21" s="2588" t="s">
        <v>3585</v>
      </c>
      <c r="AA21" s="5070" t="s">
        <v>3631</v>
      </c>
      <c r="AB21" s="6560" t="s">
        <v>3600</v>
      </c>
      <c r="AC21" s="6561"/>
      <c r="AD21" s="6562" t="s">
        <v>3600</v>
      </c>
      <c r="AE21" s="2588"/>
      <c r="AF21" s="2588">
        <v>1036</v>
      </c>
      <c r="AG21" s="2588">
        <v>556</v>
      </c>
      <c r="AH21" s="2588">
        <v>480</v>
      </c>
      <c r="AI21" s="2588"/>
      <c r="AJ21" s="2588"/>
      <c r="AK21" s="2588">
        <v>0</v>
      </c>
      <c r="AL21" s="2588">
        <v>116</v>
      </c>
      <c r="AM21" s="2588">
        <v>735</v>
      </c>
      <c r="AN21" s="2588">
        <v>115</v>
      </c>
      <c r="AO21" s="2588">
        <v>38</v>
      </c>
      <c r="AP21" s="2588">
        <v>25</v>
      </c>
      <c r="AQ21" s="2588">
        <v>7</v>
      </c>
      <c r="AR21" s="2588">
        <v>956</v>
      </c>
      <c r="AS21" s="2588">
        <v>12</v>
      </c>
      <c r="AT21" s="2588">
        <v>43</v>
      </c>
      <c r="AU21" s="2588">
        <v>11</v>
      </c>
      <c r="AV21" s="2588">
        <v>9</v>
      </c>
      <c r="AW21" s="2588"/>
      <c r="AX21" s="2588"/>
      <c r="AY21" s="2588">
        <v>5</v>
      </c>
      <c r="AZ21" s="2588">
        <v>984</v>
      </c>
      <c r="BA21" s="2588">
        <v>43</v>
      </c>
      <c r="BB21" s="2588">
        <v>9</v>
      </c>
      <c r="BC21" s="2588"/>
      <c r="BD21" s="2588"/>
      <c r="BE21" s="2588"/>
      <c r="BF21" s="2588"/>
      <c r="BG21" s="2588"/>
      <c r="BH21" s="2588"/>
      <c r="BI21" s="2588"/>
      <c r="BJ21" s="2588"/>
      <c r="BK21" s="2588"/>
      <c r="BL21" s="2588"/>
      <c r="BM21" s="2588"/>
      <c r="BN21" s="2588"/>
      <c r="BO21" s="2588"/>
      <c r="BP21" s="5072" t="s">
        <v>2051</v>
      </c>
      <c r="BQ21" s="6557">
        <v>6</v>
      </c>
      <c r="BR21" s="5092">
        <f t="shared" si="0"/>
        <v>1</v>
      </c>
      <c r="BS21" s="16582"/>
      <c r="BT21" s="2656" t="s">
        <v>8612</v>
      </c>
      <c r="BU21" s="2621" t="s">
        <v>3585</v>
      </c>
      <c r="BV21" s="5072" t="s">
        <v>8613</v>
      </c>
      <c r="BW21" s="4765">
        <f t="shared" si="1"/>
        <v>4800000</v>
      </c>
      <c r="BX21" s="2623"/>
      <c r="BY21" s="6563">
        <v>4800000</v>
      </c>
      <c r="BZ21" s="2588"/>
      <c r="CA21" s="2621">
        <f>SUM(CB21:CC21)</f>
        <v>81</v>
      </c>
      <c r="CB21" s="2621">
        <v>40</v>
      </c>
      <c r="CC21" s="2621">
        <v>41</v>
      </c>
      <c r="CD21" s="2621">
        <v>66</v>
      </c>
      <c r="CE21" s="2588">
        <v>15</v>
      </c>
      <c r="CF21" s="2621">
        <v>0</v>
      </c>
      <c r="CG21" s="2621">
        <v>0</v>
      </c>
      <c r="CH21" s="2621">
        <v>33</v>
      </c>
      <c r="CI21" s="2621">
        <v>29</v>
      </c>
      <c r="CJ21" s="2621">
        <v>15</v>
      </c>
      <c r="CK21" s="2621">
        <v>2</v>
      </c>
      <c r="CL21" s="2621">
        <v>2</v>
      </c>
      <c r="CM21" s="2621">
        <v>68</v>
      </c>
      <c r="CN21" s="5070">
        <v>0</v>
      </c>
      <c r="CO21" s="2621">
        <v>2</v>
      </c>
      <c r="CP21" s="2621">
        <v>7</v>
      </c>
      <c r="CQ21" s="2621">
        <v>4</v>
      </c>
      <c r="CR21" s="2621">
        <v>0</v>
      </c>
      <c r="CS21" s="2621">
        <v>0</v>
      </c>
      <c r="CT21" s="2621">
        <v>0</v>
      </c>
      <c r="CU21" s="2621">
        <v>64</v>
      </c>
      <c r="CV21" s="2621">
        <v>10</v>
      </c>
      <c r="CW21" s="2621">
        <v>5</v>
      </c>
      <c r="CX21" s="2621">
        <v>2</v>
      </c>
      <c r="CY21" s="2621">
        <v>0</v>
      </c>
      <c r="CZ21" s="2621">
        <v>0</v>
      </c>
      <c r="DA21" s="2621"/>
      <c r="DB21" s="2621"/>
      <c r="DC21" s="2621"/>
      <c r="DD21" s="2621"/>
      <c r="DE21" s="2621"/>
      <c r="DF21" s="2621"/>
      <c r="DG21" s="2621"/>
      <c r="DH21" s="2621"/>
      <c r="DI21" s="2621"/>
      <c r="DJ21" s="2621"/>
      <c r="DK21" s="2621"/>
      <c r="DL21" s="4589"/>
      <c r="DN21" s="6617"/>
      <c r="DO21" s="2584"/>
      <c r="DP21" s="2584"/>
      <c r="DQ21" s="2584"/>
      <c r="DR21" s="2584"/>
      <c r="DS21" s="2584"/>
      <c r="DT21" s="2584"/>
      <c r="DU21" s="2584"/>
      <c r="DV21" s="2584"/>
      <c r="DW21" s="2584"/>
      <c r="DX21" s="2584"/>
      <c r="DY21" s="2584"/>
      <c r="DZ21" s="2584"/>
      <c r="EA21" s="2584"/>
      <c r="EB21" s="2584"/>
      <c r="EC21" s="2584"/>
      <c r="ED21" s="2584"/>
      <c r="EE21" s="2584"/>
      <c r="EF21" s="2584"/>
      <c r="EG21" s="2584"/>
      <c r="EH21" s="2584"/>
      <c r="EI21" s="2584"/>
      <c r="EJ21" s="2584"/>
      <c r="EK21" s="2584"/>
      <c r="EL21" s="2584"/>
      <c r="EM21" s="2584"/>
      <c r="EN21" s="2584"/>
      <c r="EO21" s="2584"/>
      <c r="EP21" s="2584"/>
      <c r="EQ21" s="2584"/>
      <c r="ER21" s="2584"/>
      <c r="ES21" s="2584"/>
      <c r="ET21" s="2584"/>
      <c r="EU21" s="2584"/>
      <c r="EV21" s="2584"/>
      <c r="EW21" s="2584"/>
      <c r="EX21" s="2584"/>
      <c r="EY21" s="2584"/>
      <c r="EZ21" s="2584"/>
      <c r="FA21" s="2584"/>
      <c r="FB21" s="2584"/>
      <c r="FC21" s="2584"/>
      <c r="FD21" s="2584"/>
      <c r="FE21" s="2584"/>
      <c r="FF21" s="2584"/>
      <c r="FG21" s="6618"/>
    </row>
    <row r="22" spans="1:163" s="2578" customFormat="1" ht="15" customHeight="1">
      <c r="A22" s="16562"/>
      <c r="B22" s="15456"/>
      <c r="C22" s="5163" t="s">
        <v>8221</v>
      </c>
      <c r="D22" s="6555" t="s">
        <v>2052</v>
      </c>
      <c r="E22" s="5072" t="s">
        <v>2053</v>
      </c>
      <c r="F22" s="5072" t="s">
        <v>2025</v>
      </c>
      <c r="G22" s="6556">
        <v>0</v>
      </c>
      <c r="H22" s="6557">
        <v>2</v>
      </c>
      <c r="I22" s="6557">
        <v>2</v>
      </c>
      <c r="J22" s="6557">
        <v>2</v>
      </c>
      <c r="K22" s="6557">
        <v>2</v>
      </c>
      <c r="L22" s="6557">
        <v>4</v>
      </c>
      <c r="M22" s="6557">
        <v>4</v>
      </c>
      <c r="N22" s="6557">
        <v>4</v>
      </c>
      <c r="O22" s="6557">
        <v>4</v>
      </c>
      <c r="P22" s="6557">
        <v>4</v>
      </c>
      <c r="Q22" s="6557">
        <v>5</v>
      </c>
      <c r="R22" s="6557">
        <v>5</v>
      </c>
      <c r="S22" s="6557">
        <v>5</v>
      </c>
      <c r="T22" s="6557" t="s">
        <v>86</v>
      </c>
      <c r="U22" s="5072" t="s">
        <v>2006</v>
      </c>
      <c r="V22" s="2602"/>
      <c r="W22" s="5072" t="s">
        <v>2054</v>
      </c>
      <c r="X22" s="6558">
        <v>1</v>
      </c>
      <c r="Y22" s="5070" t="s">
        <v>3632</v>
      </c>
      <c r="Z22" s="2588" t="s">
        <v>3628</v>
      </c>
      <c r="AA22" s="2588"/>
      <c r="AB22" s="2589">
        <v>1328421</v>
      </c>
      <c r="AC22" s="2600">
        <v>1328421</v>
      </c>
      <c r="AD22" s="2588"/>
      <c r="AE22" s="2588"/>
      <c r="AF22" s="2588" t="s">
        <v>3604</v>
      </c>
      <c r="AG22" s="2588" t="s">
        <v>3604</v>
      </c>
      <c r="AH22" s="2588" t="s">
        <v>3604</v>
      </c>
      <c r="AI22" s="2588" t="s">
        <v>3604</v>
      </c>
      <c r="AJ22" s="2588" t="s">
        <v>3604</v>
      </c>
      <c r="AK22" s="2588" t="s">
        <v>3604</v>
      </c>
      <c r="AL22" s="2588" t="s">
        <v>3604</v>
      </c>
      <c r="AM22" s="2588" t="s">
        <v>3604</v>
      </c>
      <c r="AN22" s="2588" t="s">
        <v>3604</v>
      </c>
      <c r="AO22" s="2588" t="s">
        <v>3604</v>
      </c>
      <c r="AP22" s="2588" t="s">
        <v>3604</v>
      </c>
      <c r="AQ22" s="2588" t="s">
        <v>3604</v>
      </c>
      <c r="AR22" s="2588" t="s">
        <v>3604</v>
      </c>
      <c r="AS22" s="2588" t="s">
        <v>3604</v>
      </c>
      <c r="AT22" s="2588" t="s">
        <v>3604</v>
      </c>
      <c r="AU22" s="2588" t="s">
        <v>3604</v>
      </c>
      <c r="AV22" s="2588" t="s">
        <v>3604</v>
      </c>
      <c r="AW22" s="2588" t="s">
        <v>3604</v>
      </c>
      <c r="AX22" s="2588" t="s">
        <v>3604</v>
      </c>
      <c r="AY22" s="2588" t="s">
        <v>3604</v>
      </c>
      <c r="AZ22" s="2588" t="s">
        <v>3604</v>
      </c>
      <c r="BA22" s="2588" t="s">
        <v>3604</v>
      </c>
      <c r="BB22" s="2588" t="s">
        <v>3604</v>
      </c>
      <c r="BC22" s="2588" t="s">
        <v>3604</v>
      </c>
      <c r="BD22" s="2588" t="s">
        <v>3604</v>
      </c>
      <c r="BE22" s="2588" t="s">
        <v>3604</v>
      </c>
      <c r="BF22" s="2588"/>
      <c r="BG22" s="2588"/>
      <c r="BH22" s="2588"/>
      <c r="BI22" s="2588"/>
      <c r="BJ22" s="2588"/>
      <c r="BK22" s="2588"/>
      <c r="BL22" s="2588"/>
      <c r="BM22" s="2588"/>
      <c r="BN22" s="2588"/>
      <c r="BO22" s="2588"/>
      <c r="BP22" s="5072" t="s">
        <v>2054</v>
      </c>
      <c r="BQ22" s="6557">
        <v>2</v>
      </c>
      <c r="BR22" s="5092">
        <f t="shared" si="0"/>
        <v>1</v>
      </c>
      <c r="BS22" s="16582"/>
      <c r="BT22" s="6564" t="s">
        <v>8614</v>
      </c>
      <c r="BU22" s="6565" t="s">
        <v>3628</v>
      </c>
      <c r="BV22" s="6565"/>
      <c r="BW22" s="4765">
        <f t="shared" si="1"/>
        <v>1328421</v>
      </c>
      <c r="BX22" s="3492">
        <v>1328421</v>
      </c>
      <c r="BY22" s="3492"/>
      <c r="BZ22" s="2588"/>
      <c r="CA22" s="6565" t="s">
        <v>3604</v>
      </c>
      <c r="CB22" s="6565" t="s">
        <v>3604</v>
      </c>
      <c r="CC22" s="6565" t="s">
        <v>3604</v>
      </c>
      <c r="CD22" s="6565" t="s">
        <v>3604</v>
      </c>
      <c r="CE22" s="6565" t="s">
        <v>3604</v>
      </c>
      <c r="CF22" s="6565" t="s">
        <v>3604</v>
      </c>
      <c r="CG22" s="6565" t="s">
        <v>3604</v>
      </c>
      <c r="CH22" s="6565" t="s">
        <v>3604</v>
      </c>
      <c r="CI22" s="6565" t="s">
        <v>3604</v>
      </c>
      <c r="CJ22" s="6565" t="s">
        <v>3604</v>
      </c>
      <c r="CK22" s="6565" t="s">
        <v>3604</v>
      </c>
      <c r="CL22" s="6565" t="s">
        <v>3604</v>
      </c>
      <c r="CM22" s="6565" t="s">
        <v>3604</v>
      </c>
      <c r="CN22" s="6565" t="s">
        <v>3604</v>
      </c>
      <c r="CO22" s="6565" t="s">
        <v>3604</v>
      </c>
      <c r="CP22" s="6565" t="s">
        <v>3604</v>
      </c>
      <c r="CQ22" s="6565" t="s">
        <v>3604</v>
      </c>
      <c r="CR22" s="6565" t="s">
        <v>3604</v>
      </c>
      <c r="CS22" s="6565" t="s">
        <v>3604</v>
      </c>
      <c r="CT22" s="6565" t="s">
        <v>3604</v>
      </c>
      <c r="CU22" s="6565" t="s">
        <v>3604</v>
      </c>
      <c r="CV22" s="6565" t="s">
        <v>3604</v>
      </c>
      <c r="CW22" s="6565" t="s">
        <v>3604</v>
      </c>
      <c r="CX22" s="6565" t="s">
        <v>3604</v>
      </c>
      <c r="CY22" s="6565" t="s">
        <v>3604</v>
      </c>
      <c r="CZ22" s="6565" t="s">
        <v>3604</v>
      </c>
      <c r="DA22" s="4078" t="s">
        <v>8631</v>
      </c>
      <c r="DB22" s="4077" t="s">
        <v>8640</v>
      </c>
      <c r="DC22" s="6566">
        <v>16</v>
      </c>
      <c r="DD22" s="4078" t="s">
        <v>3613</v>
      </c>
      <c r="DE22" s="4078" t="s">
        <v>3613</v>
      </c>
      <c r="DF22" s="6565"/>
      <c r="DG22" s="6565"/>
      <c r="DH22" s="6565"/>
      <c r="DI22" s="6565"/>
      <c r="DJ22" s="6565"/>
      <c r="DK22" s="6565"/>
      <c r="DL22" s="6567"/>
      <c r="DN22" s="6617"/>
      <c r="DO22" s="2584"/>
      <c r="DP22" s="2584"/>
      <c r="DQ22" s="2584"/>
      <c r="DR22" s="2584"/>
      <c r="DS22" s="2584"/>
      <c r="DT22" s="2584"/>
      <c r="DU22" s="2584"/>
      <c r="DV22" s="2584"/>
      <c r="DW22" s="2584"/>
      <c r="DX22" s="2584"/>
      <c r="DY22" s="2584"/>
      <c r="DZ22" s="2584"/>
      <c r="EA22" s="2584"/>
      <c r="EB22" s="2584"/>
      <c r="EC22" s="2584"/>
      <c r="ED22" s="2584"/>
      <c r="EE22" s="2584"/>
      <c r="EF22" s="2584"/>
      <c r="EG22" s="2584"/>
      <c r="EH22" s="2584"/>
      <c r="EI22" s="2584"/>
      <c r="EJ22" s="2584"/>
      <c r="EK22" s="2584"/>
      <c r="EL22" s="2584"/>
      <c r="EM22" s="2584"/>
      <c r="EN22" s="2584"/>
      <c r="EO22" s="2584"/>
      <c r="EP22" s="2584"/>
      <c r="EQ22" s="2584"/>
      <c r="ER22" s="2584"/>
      <c r="ES22" s="2584"/>
      <c r="ET22" s="2584"/>
      <c r="EU22" s="2584"/>
      <c r="EV22" s="2584"/>
      <c r="EW22" s="2584"/>
      <c r="EX22" s="2584"/>
      <c r="EY22" s="2584"/>
      <c r="EZ22" s="2584"/>
      <c r="FA22" s="2584"/>
      <c r="FB22" s="2584"/>
      <c r="FC22" s="2584"/>
      <c r="FD22" s="2584"/>
      <c r="FE22" s="2584"/>
      <c r="FF22" s="2584"/>
      <c r="FG22" s="6618"/>
    </row>
    <row r="23" spans="1:163" s="2578" customFormat="1" ht="15" customHeight="1">
      <c r="A23" s="16562"/>
      <c r="B23" s="15456"/>
      <c r="C23" s="5163" t="s">
        <v>8222</v>
      </c>
      <c r="D23" s="6555" t="s">
        <v>2055</v>
      </c>
      <c r="E23" s="5072" t="s">
        <v>2056</v>
      </c>
      <c r="F23" s="5072" t="s">
        <v>2025</v>
      </c>
      <c r="G23" s="6556">
        <v>15</v>
      </c>
      <c r="H23" s="6557">
        <v>18</v>
      </c>
      <c r="I23" s="6557">
        <v>21</v>
      </c>
      <c r="J23" s="6557">
        <v>24</v>
      </c>
      <c r="K23" s="6557">
        <v>27</v>
      </c>
      <c r="L23" s="6557">
        <v>30</v>
      </c>
      <c r="M23" s="6557">
        <v>33</v>
      </c>
      <c r="N23" s="6557">
        <v>36</v>
      </c>
      <c r="O23" s="6557">
        <v>39</v>
      </c>
      <c r="P23" s="6557">
        <v>42</v>
      </c>
      <c r="Q23" s="6557">
        <v>45</v>
      </c>
      <c r="R23" s="6557">
        <v>48</v>
      </c>
      <c r="S23" s="6557">
        <v>48</v>
      </c>
      <c r="T23" s="6557" t="s">
        <v>86</v>
      </c>
      <c r="U23" s="5072" t="s">
        <v>2006</v>
      </c>
      <c r="V23" s="2602"/>
      <c r="W23" s="5072" t="s">
        <v>2057</v>
      </c>
      <c r="X23" s="6558">
        <v>1</v>
      </c>
      <c r="Y23" s="5070" t="s">
        <v>3633</v>
      </c>
      <c r="Z23" s="5070" t="s">
        <v>3543</v>
      </c>
      <c r="AA23" s="2588"/>
      <c r="AB23" s="6560" t="s">
        <v>3600</v>
      </c>
      <c r="AC23" s="6561"/>
      <c r="AD23" s="6562" t="s">
        <v>3600</v>
      </c>
      <c r="AE23" s="2588"/>
      <c r="AF23" s="2588">
        <v>81</v>
      </c>
      <c r="AG23" s="2588">
        <v>40</v>
      </c>
      <c r="AH23" s="2588">
        <v>41</v>
      </c>
      <c r="AI23" s="2588"/>
      <c r="AJ23" s="2588"/>
      <c r="AK23" s="2588">
        <v>0</v>
      </c>
      <c r="AL23" s="2588">
        <v>33</v>
      </c>
      <c r="AM23" s="2588">
        <v>29</v>
      </c>
      <c r="AN23" s="2588">
        <v>15</v>
      </c>
      <c r="AO23" s="2588">
        <v>2</v>
      </c>
      <c r="AP23" s="2588">
        <v>1</v>
      </c>
      <c r="AQ23" s="2588">
        <v>1</v>
      </c>
      <c r="AR23" s="2588">
        <v>54</v>
      </c>
      <c r="AS23" s="2588">
        <v>2</v>
      </c>
      <c r="AT23" s="2588">
        <v>15</v>
      </c>
      <c r="AU23" s="2588">
        <v>4</v>
      </c>
      <c r="AV23" s="2588">
        <v>6</v>
      </c>
      <c r="AW23" s="2588"/>
      <c r="AX23" s="2588"/>
      <c r="AY23" s="2588"/>
      <c r="AZ23" s="2588">
        <v>74</v>
      </c>
      <c r="BA23" s="2588">
        <v>5</v>
      </c>
      <c r="BB23" s="2588">
        <v>2</v>
      </c>
      <c r="BC23" s="2588"/>
      <c r="BD23" s="2588"/>
      <c r="BE23" s="2588"/>
      <c r="BF23" s="2588"/>
      <c r="BG23" s="2588"/>
      <c r="BH23" s="2588"/>
      <c r="BI23" s="2588"/>
      <c r="BJ23" s="2588"/>
      <c r="BK23" s="2588"/>
      <c r="BL23" s="2588"/>
      <c r="BM23" s="2588"/>
      <c r="BN23" s="2588"/>
      <c r="BO23" s="2588"/>
      <c r="BP23" s="5072" t="s">
        <v>2057</v>
      </c>
      <c r="BQ23" s="6557">
        <v>24</v>
      </c>
      <c r="BR23" s="5092">
        <f t="shared" si="0"/>
        <v>1</v>
      </c>
      <c r="BS23" s="16582"/>
      <c r="BT23" s="2656" t="s">
        <v>3633</v>
      </c>
      <c r="BU23" s="2595" t="s">
        <v>8593</v>
      </c>
      <c r="BV23" s="5072"/>
      <c r="BW23" s="4765">
        <f t="shared" si="1"/>
        <v>4800000</v>
      </c>
      <c r="BX23" s="2623"/>
      <c r="BY23" s="6563">
        <v>4800000</v>
      </c>
      <c r="BZ23" s="2588"/>
      <c r="CA23" s="2621">
        <f>SUM(CB23:CC23)</f>
        <v>91</v>
      </c>
      <c r="CB23" s="2621">
        <v>40</v>
      </c>
      <c r="CC23" s="2621">
        <v>51</v>
      </c>
      <c r="CD23" s="2621">
        <v>90</v>
      </c>
      <c r="CE23" s="5070">
        <v>1</v>
      </c>
      <c r="CF23" s="2621">
        <v>0</v>
      </c>
      <c r="CG23" s="2621">
        <v>0</v>
      </c>
      <c r="CH23" s="2621">
        <v>34</v>
      </c>
      <c r="CI23" s="2621">
        <v>30</v>
      </c>
      <c r="CJ23" s="2621">
        <v>15</v>
      </c>
      <c r="CK23" s="2621">
        <v>10</v>
      </c>
      <c r="CL23" s="2621">
        <v>2</v>
      </c>
      <c r="CM23" s="2621">
        <v>68</v>
      </c>
      <c r="CN23" s="2621">
        <v>0</v>
      </c>
      <c r="CO23" s="2621">
        <v>2</v>
      </c>
      <c r="CP23" s="2621">
        <v>7</v>
      </c>
      <c r="CQ23" s="2621">
        <v>4</v>
      </c>
      <c r="CR23" s="2621">
        <v>0</v>
      </c>
      <c r="CS23" s="2621">
        <v>10</v>
      </c>
      <c r="CT23" s="2621">
        <v>0</v>
      </c>
      <c r="CU23" s="2621">
        <v>75</v>
      </c>
      <c r="CV23" s="2621">
        <v>9</v>
      </c>
      <c r="CW23" s="2621">
        <v>5</v>
      </c>
      <c r="CX23" s="2621">
        <v>2</v>
      </c>
      <c r="CY23" s="2621">
        <v>0</v>
      </c>
      <c r="CZ23" s="2621">
        <v>0</v>
      </c>
      <c r="DA23" s="2621"/>
      <c r="DB23" s="2621"/>
      <c r="DC23" s="2621"/>
      <c r="DD23" s="2621"/>
      <c r="DE23" s="2621"/>
      <c r="DF23" s="2621"/>
      <c r="DG23" s="2621"/>
      <c r="DH23" s="2621"/>
      <c r="DI23" s="2621"/>
      <c r="DJ23" s="2621"/>
      <c r="DK23" s="2621"/>
      <c r="DL23" s="4589"/>
      <c r="DN23" s="6617"/>
      <c r="DO23" s="2584"/>
      <c r="DP23" s="2584"/>
      <c r="DQ23" s="2584"/>
      <c r="DR23" s="2584"/>
      <c r="DS23" s="2584"/>
      <c r="DT23" s="2584"/>
      <c r="DU23" s="2584"/>
      <c r="DV23" s="2584"/>
      <c r="DW23" s="2584"/>
      <c r="DX23" s="2584"/>
      <c r="DY23" s="2584"/>
      <c r="DZ23" s="2584"/>
      <c r="EA23" s="2584"/>
      <c r="EB23" s="2584"/>
      <c r="EC23" s="2584"/>
      <c r="ED23" s="2584"/>
      <c r="EE23" s="2584"/>
      <c r="EF23" s="2584"/>
      <c r="EG23" s="2584"/>
      <c r="EH23" s="2584"/>
      <c r="EI23" s="2584"/>
      <c r="EJ23" s="2584"/>
      <c r="EK23" s="2584"/>
      <c r="EL23" s="2584"/>
      <c r="EM23" s="2584"/>
      <c r="EN23" s="2584"/>
      <c r="EO23" s="2584"/>
      <c r="EP23" s="2584"/>
      <c r="EQ23" s="2584"/>
      <c r="ER23" s="2584"/>
      <c r="ES23" s="2584"/>
      <c r="ET23" s="2584"/>
      <c r="EU23" s="2584"/>
      <c r="EV23" s="2584"/>
      <c r="EW23" s="2584"/>
      <c r="EX23" s="2584"/>
      <c r="EY23" s="2584"/>
      <c r="EZ23" s="2584"/>
      <c r="FA23" s="2584"/>
      <c r="FB23" s="2584"/>
      <c r="FC23" s="2584"/>
      <c r="FD23" s="2584"/>
      <c r="FE23" s="2584"/>
      <c r="FF23" s="2584"/>
      <c r="FG23" s="6618"/>
    </row>
    <row r="24" spans="1:163" s="2578" customFormat="1" ht="15" customHeight="1">
      <c r="A24" s="16562"/>
      <c r="B24" s="15456"/>
      <c r="C24" s="16540" t="s">
        <v>8223</v>
      </c>
      <c r="D24" s="15456" t="s">
        <v>2058</v>
      </c>
      <c r="E24" s="16533" t="s">
        <v>2059</v>
      </c>
      <c r="F24" s="5072" t="s">
        <v>2025</v>
      </c>
      <c r="G24" s="6556">
        <v>17</v>
      </c>
      <c r="H24" s="6557">
        <v>18</v>
      </c>
      <c r="I24" s="6557">
        <v>18</v>
      </c>
      <c r="J24" s="16541">
        <v>20</v>
      </c>
      <c r="K24" s="6557">
        <v>21</v>
      </c>
      <c r="L24" s="6557">
        <v>22</v>
      </c>
      <c r="M24" s="6557">
        <v>23</v>
      </c>
      <c r="N24" s="6557">
        <v>24</v>
      </c>
      <c r="O24" s="6557">
        <v>25</v>
      </c>
      <c r="P24" s="6557">
        <v>26</v>
      </c>
      <c r="Q24" s="6557">
        <v>27</v>
      </c>
      <c r="R24" s="6557">
        <v>28</v>
      </c>
      <c r="S24" s="6557">
        <v>28</v>
      </c>
      <c r="T24" s="6557" t="s">
        <v>86</v>
      </c>
      <c r="U24" s="5072" t="s">
        <v>2006</v>
      </c>
      <c r="V24" s="2584"/>
      <c r="W24" s="5072" t="s">
        <v>2060</v>
      </c>
      <c r="X24" s="6558">
        <v>1</v>
      </c>
      <c r="Y24" s="5070" t="s">
        <v>3634</v>
      </c>
      <c r="Z24" s="5070" t="s">
        <v>3585</v>
      </c>
      <c r="AA24" s="5070" t="s">
        <v>3608</v>
      </c>
      <c r="AB24" s="6560" t="s">
        <v>3600</v>
      </c>
      <c r="AC24" s="6560" t="s">
        <v>3600</v>
      </c>
      <c r="AD24" s="2588"/>
      <c r="AE24" s="2588"/>
      <c r="AF24" s="2588">
        <v>121</v>
      </c>
      <c r="AG24" s="2588">
        <v>35</v>
      </c>
      <c r="AH24" s="2588">
        <v>86</v>
      </c>
      <c r="AI24" s="2588">
        <v>121</v>
      </c>
      <c r="AJ24" s="2588"/>
      <c r="AK24" s="2588">
        <v>0</v>
      </c>
      <c r="AL24" s="2588">
        <v>0</v>
      </c>
      <c r="AM24" s="2588">
        <v>19</v>
      </c>
      <c r="AN24" s="2588">
        <v>72</v>
      </c>
      <c r="AO24" s="2588">
        <v>28</v>
      </c>
      <c r="AP24" s="2588">
        <v>2</v>
      </c>
      <c r="AQ24" s="2588"/>
      <c r="AR24" s="2588">
        <v>117</v>
      </c>
      <c r="AS24" s="2588">
        <v>2</v>
      </c>
      <c r="AT24" s="2588">
        <v>2</v>
      </c>
      <c r="AU24" s="2588"/>
      <c r="AV24" s="2588"/>
      <c r="AW24" s="2588"/>
      <c r="AX24" s="2588"/>
      <c r="AY24" s="2588"/>
      <c r="AZ24" s="2588">
        <v>116</v>
      </c>
      <c r="BA24" s="2588">
        <v>5</v>
      </c>
      <c r="BB24" s="2588"/>
      <c r="BC24" s="2588"/>
      <c r="BD24" s="2588"/>
      <c r="BE24" s="2588"/>
      <c r="BF24" s="2588"/>
      <c r="BG24" s="2588"/>
      <c r="BH24" s="2588"/>
      <c r="BI24" s="2588"/>
      <c r="BJ24" s="2588"/>
      <c r="BK24" s="2588"/>
      <c r="BL24" s="2588"/>
      <c r="BM24" s="2588"/>
      <c r="BN24" s="2588"/>
      <c r="BO24" s="2588"/>
      <c r="BP24" s="5072" t="s">
        <v>2060</v>
      </c>
      <c r="BQ24" s="6557">
        <v>20</v>
      </c>
      <c r="BR24" s="5092">
        <f t="shared" si="0"/>
        <v>1</v>
      </c>
      <c r="BS24" s="16582"/>
      <c r="BT24" s="2656" t="s">
        <v>8615</v>
      </c>
      <c r="BU24" s="2656" t="s">
        <v>8616</v>
      </c>
      <c r="BV24" s="2656" t="s">
        <v>3608</v>
      </c>
      <c r="BW24" s="4765">
        <f t="shared" si="1"/>
        <v>4800000</v>
      </c>
      <c r="BX24" s="6563">
        <v>4800000</v>
      </c>
      <c r="BY24" s="2623"/>
      <c r="BZ24" s="2588"/>
      <c r="CA24" s="2621">
        <f>SUM(CB24:CC24)</f>
        <v>777</v>
      </c>
      <c r="CB24" s="2621">
        <v>400</v>
      </c>
      <c r="CC24" s="2621">
        <v>377</v>
      </c>
      <c r="CD24" s="2621">
        <v>714</v>
      </c>
      <c r="CE24" s="2621">
        <v>63</v>
      </c>
      <c r="CF24" s="2621">
        <v>0</v>
      </c>
      <c r="CG24" s="2621">
        <v>0</v>
      </c>
      <c r="CH24" s="2621">
        <v>0</v>
      </c>
      <c r="CI24" s="2621">
        <v>112</v>
      </c>
      <c r="CJ24" s="2621">
        <v>355</v>
      </c>
      <c r="CK24" s="2621">
        <v>287</v>
      </c>
      <c r="CL24" s="2621">
        <v>23</v>
      </c>
      <c r="CM24" s="2621">
        <v>777</v>
      </c>
      <c r="CN24" s="2621">
        <v>0</v>
      </c>
      <c r="CO24" s="2621">
        <v>0</v>
      </c>
      <c r="CP24" s="2621">
        <v>0</v>
      </c>
      <c r="CQ24" s="2621">
        <v>0</v>
      </c>
      <c r="CR24" s="2621">
        <v>0</v>
      </c>
      <c r="CS24" s="2621">
        <v>0</v>
      </c>
      <c r="CT24" s="2621">
        <v>0</v>
      </c>
      <c r="CU24" s="2621">
        <v>686</v>
      </c>
      <c r="CV24" s="2621">
        <v>90</v>
      </c>
      <c r="CW24" s="2621">
        <v>1</v>
      </c>
      <c r="CX24" s="2621">
        <v>0</v>
      </c>
      <c r="CY24" s="2621">
        <v>0</v>
      </c>
      <c r="CZ24" s="2621">
        <v>0</v>
      </c>
      <c r="DA24" s="2621"/>
      <c r="DB24" s="2621"/>
      <c r="DC24" s="2621"/>
      <c r="DD24" s="2621"/>
      <c r="DE24" s="2621"/>
      <c r="DF24" s="2621"/>
      <c r="DG24" s="2621"/>
      <c r="DH24" s="2621"/>
      <c r="DI24" s="2621"/>
      <c r="DJ24" s="2621"/>
      <c r="DK24" s="2621"/>
      <c r="DL24" s="6568"/>
      <c r="DN24" s="6617"/>
      <c r="DO24" s="2584"/>
      <c r="DP24" s="2584"/>
      <c r="DQ24" s="2584"/>
      <c r="DR24" s="2584"/>
      <c r="DS24" s="2584"/>
      <c r="DT24" s="2584"/>
      <c r="DU24" s="2584"/>
      <c r="DV24" s="2584"/>
      <c r="DW24" s="2584"/>
      <c r="DX24" s="2584"/>
      <c r="DY24" s="2584"/>
      <c r="DZ24" s="2584"/>
      <c r="EA24" s="2584"/>
      <c r="EB24" s="2584"/>
      <c r="EC24" s="2584"/>
      <c r="ED24" s="2584"/>
      <c r="EE24" s="2584"/>
      <c r="EF24" s="2584"/>
      <c r="EG24" s="2584"/>
      <c r="EH24" s="2584"/>
      <c r="EI24" s="2584"/>
      <c r="EJ24" s="2584"/>
      <c r="EK24" s="2584"/>
      <c r="EL24" s="2584"/>
      <c r="EM24" s="2584"/>
      <c r="EN24" s="2584"/>
      <c r="EO24" s="2584"/>
      <c r="EP24" s="2584"/>
      <c r="EQ24" s="2584"/>
      <c r="ER24" s="2584"/>
      <c r="ES24" s="2584"/>
      <c r="ET24" s="2584"/>
      <c r="EU24" s="2584"/>
      <c r="EV24" s="2584"/>
      <c r="EW24" s="2584"/>
      <c r="EX24" s="2584"/>
      <c r="EY24" s="2584"/>
      <c r="EZ24" s="2584"/>
      <c r="FA24" s="2584"/>
      <c r="FB24" s="2584"/>
      <c r="FC24" s="2584"/>
      <c r="FD24" s="2584"/>
      <c r="FE24" s="2584"/>
      <c r="FF24" s="2584"/>
      <c r="FG24" s="6618"/>
    </row>
    <row r="25" spans="1:163" s="2578" customFormat="1" ht="15" customHeight="1">
      <c r="A25" s="16562"/>
      <c r="B25" s="15456"/>
      <c r="C25" s="16540"/>
      <c r="D25" s="15456"/>
      <c r="E25" s="16534"/>
      <c r="F25" s="5072"/>
      <c r="G25" s="6556"/>
      <c r="H25" s="6557"/>
      <c r="I25" s="6557"/>
      <c r="J25" s="16541"/>
      <c r="K25" s="6557"/>
      <c r="L25" s="6557"/>
      <c r="M25" s="6557"/>
      <c r="N25" s="6557"/>
      <c r="O25" s="6557"/>
      <c r="P25" s="6557"/>
      <c r="Q25" s="6557"/>
      <c r="R25" s="6557"/>
      <c r="S25" s="6557"/>
      <c r="T25" s="6557" t="s">
        <v>2896</v>
      </c>
      <c r="U25" s="5072"/>
      <c r="V25" s="5072" t="s">
        <v>163</v>
      </c>
      <c r="W25" s="5072"/>
      <c r="X25" s="6558"/>
      <c r="Y25" s="5070"/>
      <c r="Z25" s="5070"/>
      <c r="AA25" s="5070"/>
      <c r="AB25" s="6560"/>
      <c r="AC25" s="6560"/>
      <c r="AD25" s="2588"/>
      <c r="AE25" s="2588"/>
      <c r="AF25" s="2588"/>
      <c r="AG25" s="2588"/>
      <c r="AH25" s="2588"/>
      <c r="AI25" s="2588"/>
      <c r="AJ25" s="2588"/>
      <c r="AK25" s="2588"/>
      <c r="AL25" s="2588"/>
      <c r="AM25" s="2588"/>
      <c r="AN25" s="2588"/>
      <c r="AO25" s="2588"/>
      <c r="AP25" s="2588"/>
      <c r="AQ25" s="2588"/>
      <c r="AR25" s="2588"/>
      <c r="AS25" s="2588"/>
      <c r="AT25" s="2588"/>
      <c r="AU25" s="2588"/>
      <c r="AV25" s="2588"/>
      <c r="AW25" s="2588"/>
      <c r="AX25" s="2588"/>
      <c r="AY25" s="2588"/>
      <c r="AZ25" s="2588"/>
      <c r="BA25" s="2588"/>
      <c r="BB25" s="2588"/>
      <c r="BC25" s="2588"/>
      <c r="BD25" s="2588"/>
      <c r="BE25" s="2588"/>
      <c r="BF25" s="2588"/>
      <c r="BG25" s="2588"/>
      <c r="BH25" s="2588"/>
      <c r="BI25" s="2588"/>
      <c r="BJ25" s="2588"/>
      <c r="BK25" s="2588"/>
      <c r="BL25" s="2588"/>
      <c r="BM25" s="2588"/>
      <c r="BN25" s="2588"/>
      <c r="BO25" s="2588"/>
      <c r="BP25" s="5072"/>
      <c r="BQ25" s="6557"/>
      <c r="BR25" s="5092"/>
      <c r="BS25" s="16582"/>
      <c r="BT25" s="2656"/>
      <c r="BU25" s="2656"/>
      <c r="BV25" s="2656"/>
      <c r="BW25" s="4765"/>
      <c r="BX25" s="6563"/>
      <c r="BY25" s="2623"/>
      <c r="BZ25" s="2588"/>
      <c r="CA25" s="2621"/>
      <c r="CB25" s="2621"/>
      <c r="CC25" s="2621"/>
      <c r="CD25" s="2621"/>
      <c r="CE25" s="2621"/>
      <c r="CF25" s="2621"/>
      <c r="CG25" s="2621"/>
      <c r="CH25" s="2621"/>
      <c r="CI25" s="2621"/>
      <c r="CJ25" s="2621"/>
      <c r="CK25" s="2621"/>
      <c r="CL25" s="2621"/>
      <c r="CM25" s="2621"/>
      <c r="CN25" s="2621"/>
      <c r="CO25" s="2621"/>
      <c r="CP25" s="2621"/>
      <c r="CQ25" s="2621"/>
      <c r="CR25" s="2621"/>
      <c r="CS25" s="2621"/>
      <c r="CT25" s="2621"/>
      <c r="CU25" s="2621"/>
      <c r="CV25" s="2621"/>
      <c r="CW25" s="2621"/>
      <c r="CX25" s="2621"/>
      <c r="CY25" s="2621"/>
      <c r="CZ25" s="2621"/>
      <c r="DA25" s="2621"/>
      <c r="DB25" s="2621"/>
      <c r="DC25" s="2621"/>
      <c r="DD25" s="2621"/>
      <c r="DE25" s="2621"/>
      <c r="DF25" s="2621"/>
      <c r="DG25" s="2621"/>
      <c r="DH25" s="2621"/>
      <c r="DI25" s="2621"/>
      <c r="DJ25" s="2621"/>
      <c r="DK25" s="2621"/>
      <c r="DL25" s="6568"/>
      <c r="DN25" s="6617"/>
      <c r="DO25" s="2584"/>
      <c r="DP25" s="2584"/>
      <c r="DQ25" s="2584"/>
      <c r="DR25" s="2584"/>
      <c r="DS25" s="2584"/>
      <c r="DT25" s="2584"/>
      <c r="DU25" s="2584"/>
      <c r="DV25" s="2584"/>
      <c r="DW25" s="2584"/>
      <c r="DX25" s="2584"/>
      <c r="DY25" s="2584"/>
      <c r="DZ25" s="2584"/>
      <c r="EA25" s="2584"/>
      <c r="EB25" s="2584"/>
      <c r="EC25" s="2584"/>
      <c r="ED25" s="2584"/>
      <c r="EE25" s="2584"/>
      <c r="EF25" s="2584"/>
      <c r="EG25" s="2584"/>
      <c r="EH25" s="2584"/>
      <c r="EI25" s="2584"/>
      <c r="EJ25" s="2584"/>
      <c r="EK25" s="2584"/>
      <c r="EL25" s="2584"/>
      <c r="EM25" s="2584"/>
      <c r="EN25" s="2584"/>
      <c r="EO25" s="2584"/>
      <c r="EP25" s="2584"/>
      <c r="EQ25" s="2584"/>
      <c r="ER25" s="2584"/>
      <c r="ES25" s="2584"/>
      <c r="ET25" s="2584"/>
      <c r="EU25" s="2584"/>
      <c r="EV25" s="2584"/>
      <c r="EW25" s="2584"/>
      <c r="EX25" s="2584"/>
      <c r="EY25" s="2584"/>
      <c r="EZ25" s="2584"/>
      <c r="FA25" s="2584"/>
      <c r="FB25" s="2584"/>
      <c r="FC25" s="2584"/>
      <c r="FD25" s="2584"/>
      <c r="FE25" s="2584"/>
      <c r="FF25" s="2584"/>
      <c r="FG25" s="6618"/>
    </row>
    <row r="26" spans="1:163" s="2578" customFormat="1" ht="15" customHeight="1" thickBot="1">
      <c r="A26" s="16563"/>
      <c r="B26" s="15457"/>
      <c r="C26" s="5164" t="s">
        <v>8224</v>
      </c>
      <c r="D26" s="6569" t="s">
        <v>2061</v>
      </c>
      <c r="E26" s="5073" t="s">
        <v>2062</v>
      </c>
      <c r="F26" s="5073" t="s">
        <v>2025</v>
      </c>
      <c r="G26" s="6570">
        <v>5</v>
      </c>
      <c r="H26" s="6571">
        <v>7</v>
      </c>
      <c r="I26" s="6571">
        <v>9</v>
      </c>
      <c r="J26" s="6571">
        <v>11</v>
      </c>
      <c r="K26" s="6571">
        <v>13</v>
      </c>
      <c r="L26" s="6571">
        <v>15</v>
      </c>
      <c r="M26" s="6571">
        <v>17</v>
      </c>
      <c r="N26" s="6571">
        <v>19</v>
      </c>
      <c r="O26" s="6571">
        <v>21</v>
      </c>
      <c r="P26" s="6571">
        <v>23</v>
      </c>
      <c r="Q26" s="6571">
        <v>25</v>
      </c>
      <c r="R26" s="6571">
        <v>27</v>
      </c>
      <c r="S26" s="6571">
        <v>27</v>
      </c>
      <c r="T26" s="6571" t="s">
        <v>86</v>
      </c>
      <c r="U26" s="5073" t="s">
        <v>2006</v>
      </c>
      <c r="V26" s="4599"/>
      <c r="W26" s="5073" t="s">
        <v>2060</v>
      </c>
      <c r="X26" s="6572">
        <v>1</v>
      </c>
      <c r="Y26" s="5073" t="s">
        <v>3635</v>
      </c>
      <c r="Z26" s="5073"/>
      <c r="AA26" s="5073" t="s">
        <v>3635</v>
      </c>
      <c r="AB26" s="2144" t="s">
        <v>3604</v>
      </c>
      <c r="AC26" s="2144" t="s">
        <v>3604</v>
      </c>
      <c r="AD26" s="2144" t="s">
        <v>3604</v>
      </c>
      <c r="AE26" s="2144" t="s">
        <v>3604</v>
      </c>
      <c r="AF26" s="2144" t="s">
        <v>3604</v>
      </c>
      <c r="AG26" s="2144" t="s">
        <v>3604</v>
      </c>
      <c r="AH26" s="2144" t="s">
        <v>3604</v>
      </c>
      <c r="AI26" s="2144" t="s">
        <v>3604</v>
      </c>
      <c r="AJ26" s="2144" t="s">
        <v>3604</v>
      </c>
      <c r="AK26" s="2144" t="s">
        <v>3604</v>
      </c>
      <c r="AL26" s="2144" t="s">
        <v>3604</v>
      </c>
      <c r="AM26" s="2144" t="s">
        <v>3604</v>
      </c>
      <c r="AN26" s="2144" t="s">
        <v>3604</v>
      </c>
      <c r="AO26" s="2144" t="s">
        <v>3604</v>
      </c>
      <c r="AP26" s="2144" t="s">
        <v>3604</v>
      </c>
      <c r="AQ26" s="2144" t="s">
        <v>3604</v>
      </c>
      <c r="AR26" s="2144" t="s">
        <v>3604</v>
      </c>
      <c r="AS26" s="2144" t="s">
        <v>3604</v>
      </c>
      <c r="AT26" s="2144" t="s">
        <v>3604</v>
      </c>
      <c r="AU26" s="2144" t="s">
        <v>3604</v>
      </c>
      <c r="AV26" s="2144" t="s">
        <v>3604</v>
      </c>
      <c r="AW26" s="2144" t="s">
        <v>3604</v>
      </c>
      <c r="AX26" s="2144" t="s">
        <v>3604</v>
      </c>
      <c r="AY26" s="2144" t="s">
        <v>3604</v>
      </c>
      <c r="AZ26" s="2144" t="s">
        <v>3604</v>
      </c>
      <c r="BA26" s="2144" t="s">
        <v>3604</v>
      </c>
      <c r="BB26" s="2144" t="s">
        <v>3604</v>
      </c>
      <c r="BC26" s="2144" t="s">
        <v>3604</v>
      </c>
      <c r="BD26" s="2144" t="s">
        <v>3604</v>
      </c>
      <c r="BE26" s="2144" t="s">
        <v>3604</v>
      </c>
      <c r="BF26" s="5073"/>
      <c r="BG26" s="5073"/>
      <c r="BH26" s="5073"/>
      <c r="BI26" s="5073"/>
      <c r="BJ26" s="5073"/>
      <c r="BK26" s="5073"/>
      <c r="BL26" s="5073"/>
      <c r="BM26" s="5073"/>
      <c r="BN26" s="5073"/>
      <c r="BO26" s="5073"/>
      <c r="BP26" s="5073" t="s">
        <v>2060</v>
      </c>
      <c r="BQ26" s="6571">
        <v>11</v>
      </c>
      <c r="BR26" s="5093">
        <f t="shared" si="0"/>
        <v>1</v>
      </c>
      <c r="BS26" s="16583"/>
      <c r="BT26" s="1639" t="s">
        <v>8617</v>
      </c>
      <c r="BU26" s="5073" t="s">
        <v>3585</v>
      </c>
      <c r="BV26" s="5073" t="s">
        <v>8618</v>
      </c>
      <c r="BW26" s="4326">
        <f t="shared" si="1"/>
        <v>4800000</v>
      </c>
      <c r="BX26" s="6573">
        <v>4800000</v>
      </c>
      <c r="BY26" s="6574"/>
      <c r="BZ26" s="2144"/>
      <c r="CA26" s="2144">
        <f>SUM(CB26:CC26)</f>
        <v>1008</v>
      </c>
      <c r="CB26" s="2144">
        <v>152</v>
      </c>
      <c r="CC26" s="2144">
        <v>856</v>
      </c>
      <c r="CD26" s="2144">
        <v>915</v>
      </c>
      <c r="CE26" s="2144">
        <v>93</v>
      </c>
      <c r="CF26" s="2144">
        <v>0</v>
      </c>
      <c r="CG26" s="2144">
        <v>0</v>
      </c>
      <c r="CH26" s="5071">
        <v>0</v>
      </c>
      <c r="CI26" s="2144">
        <v>495</v>
      </c>
      <c r="CJ26" s="2144">
        <v>242</v>
      </c>
      <c r="CK26" s="2144">
        <v>175</v>
      </c>
      <c r="CL26" s="2144">
        <v>96</v>
      </c>
      <c r="CM26" s="2144">
        <v>835</v>
      </c>
      <c r="CN26" s="2144">
        <v>30</v>
      </c>
      <c r="CO26" s="2144">
        <v>89</v>
      </c>
      <c r="CP26" s="2144">
        <v>8</v>
      </c>
      <c r="CQ26" s="2144">
        <v>46</v>
      </c>
      <c r="CR26" s="2144">
        <v>0</v>
      </c>
      <c r="CS26" s="2144">
        <v>0</v>
      </c>
      <c r="CT26" s="2144">
        <v>0</v>
      </c>
      <c r="CU26" s="2144">
        <v>936</v>
      </c>
      <c r="CV26" s="2144">
        <v>65</v>
      </c>
      <c r="CW26" s="2144">
        <v>7</v>
      </c>
      <c r="CX26" s="2144">
        <v>0</v>
      </c>
      <c r="CY26" s="2144">
        <v>0</v>
      </c>
      <c r="CZ26" s="2144">
        <v>0</v>
      </c>
      <c r="DA26" s="2144"/>
      <c r="DB26" s="5073"/>
      <c r="DC26" s="5073"/>
      <c r="DD26" s="5073"/>
      <c r="DE26" s="5073"/>
      <c r="DF26" s="5073"/>
      <c r="DG26" s="5073"/>
      <c r="DH26" s="5073"/>
      <c r="DI26" s="5073"/>
      <c r="DJ26" s="5073"/>
      <c r="DK26" s="5073"/>
      <c r="DL26" s="4600"/>
      <c r="DN26" s="6619"/>
      <c r="DO26" s="6620"/>
      <c r="DP26" s="6620"/>
      <c r="DQ26" s="6620"/>
      <c r="DR26" s="6620"/>
      <c r="DS26" s="6620"/>
      <c r="DT26" s="6620"/>
      <c r="DU26" s="6620"/>
      <c r="DV26" s="6620"/>
      <c r="DW26" s="6620"/>
      <c r="DX26" s="6620"/>
      <c r="DY26" s="6620"/>
      <c r="DZ26" s="6620"/>
      <c r="EA26" s="6620"/>
      <c r="EB26" s="6620"/>
      <c r="EC26" s="6620"/>
      <c r="ED26" s="6620"/>
      <c r="EE26" s="6620"/>
      <c r="EF26" s="6620"/>
      <c r="EG26" s="6620"/>
      <c r="EH26" s="6620"/>
      <c r="EI26" s="6620"/>
      <c r="EJ26" s="6620"/>
      <c r="EK26" s="6620"/>
      <c r="EL26" s="6620"/>
      <c r="EM26" s="6620"/>
      <c r="EN26" s="6620"/>
      <c r="EO26" s="6620"/>
      <c r="EP26" s="6620"/>
      <c r="EQ26" s="6620"/>
      <c r="ER26" s="6620"/>
      <c r="ES26" s="6620"/>
      <c r="ET26" s="6620"/>
      <c r="EU26" s="6620"/>
      <c r="EV26" s="6620"/>
      <c r="EW26" s="6620"/>
      <c r="EX26" s="6620"/>
      <c r="EY26" s="6620"/>
      <c r="EZ26" s="6620"/>
      <c r="FA26" s="6620"/>
      <c r="FB26" s="6620"/>
      <c r="FC26" s="6620"/>
      <c r="FD26" s="6620"/>
      <c r="FE26" s="6620"/>
      <c r="FF26" s="6620"/>
      <c r="FG26" s="6621"/>
    </row>
    <row r="27" spans="1:163" s="2459" customFormat="1" ht="15" customHeight="1">
      <c r="A27" s="16597" t="s">
        <v>2063</v>
      </c>
      <c r="B27" s="16535" t="s">
        <v>2064</v>
      </c>
      <c r="C27" s="770" t="s">
        <v>8225</v>
      </c>
      <c r="D27" s="6575" t="s">
        <v>2065</v>
      </c>
      <c r="E27" s="391" t="s">
        <v>2066</v>
      </c>
      <c r="F27" s="391" t="s">
        <v>2025</v>
      </c>
      <c r="G27" s="6576">
        <v>0</v>
      </c>
      <c r="H27" s="6577">
        <v>2</v>
      </c>
      <c r="I27" s="6577">
        <v>3</v>
      </c>
      <c r="J27" s="6578">
        <v>3</v>
      </c>
      <c r="K27" s="6577">
        <v>4</v>
      </c>
      <c r="L27" s="6577">
        <v>4</v>
      </c>
      <c r="M27" s="6577">
        <v>5</v>
      </c>
      <c r="N27" s="6577">
        <v>5</v>
      </c>
      <c r="O27" s="6577">
        <v>6</v>
      </c>
      <c r="P27" s="6577">
        <v>6</v>
      </c>
      <c r="Q27" s="6577">
        <v>7</v>
      </c>
      <c r="R27" s="6577">
        <v>7</v>
      </c>
      <c r="S27" s="6577">
        <v>7</v>
      </c>
      <c r="T27" s="6577" t="s">
        <v>86</v>
      </c>
      <c r="U27" s="391" t="s">
        <v>2006</v>
      </c>
      <c r="V27" s="6579"/>
      <c r="W27" s="391" t="s">
        <v>2067</v>
      </c>
      <c r="X27" s="6580">
        <v>1</v>
      </c>
      <c r="Y27" s="391" t="s">
        <v>3635</v>
      </c>
      <c r="Z27" s="6581"/>
      <c r="AA27" s="391" t="s">
        <v>3635</v>
      </c>
      <c r="AB27" s="6581" t="s">
        <v>3604</v>
      </c>
      <c r="AC27" s="6581" t="s">
        <v>3604</v>
      </c>
      <c r="AD27" s="6581" t="s">
        <v>3604</v>
      </c>
      <c r="AE27" s="6581" t="s">
        <v>3604</v>
      </c>
      <c r="AF27" s="6581" t="s">
        <v>3604</v>
      </c>
      <c r="AG27" s="6581" t="s">
        <v>3604</v>
      </c>
      <c r="AH27" s="6581" t="s">
        <v>3604</v>
      </c>
      <c r="AI27" s="6581" t="s">
        <v>3604</v>
      </c>
      <c r="AJ27" s="6581" t="s">
        <v>3604</v>
      </c>
      <c r="AK27" s="6581" t="s">
        <v>3604</v>
      </c>
      <c r="AL27" s="6581" t="s">
        <v>3604</v>
      </c>
      <c r="AM27" s="6581" t="s">
        <v>3604</v>
      </c>
      <c r="AN27" s="6581" t="s">
        <v>3604</v>
      </c>
      <c r="AO27" s="6581" t="s">
        <v>3604</v>
      </c>
      <c r="AP27" s="6581" t="s">
        <v>3604</v>
      </c>
      <c r="AQ27" s="6581" t="s">
        <v>3604</v>
      </c>
      <c r="AR27" s="6581" t="s">
        <v>3604</v>
      </c>
      <c r="AS27" s="6581" t="s">
        <v>3604</v>
      </c>
      <c r="AT27" s="6581" t="s">
        <v>3604</v>
      </c>
      <c r="AU27" s="6581" t="s">
        <v>3604</v>
      </c>
      <c r="AV27" s="6581" t="s">
        <v>3604</v>
      </c>
      <c r="AW27" s="6581" t="s">
        <v>3604</v>
      </c>
      <c r="AX27" s="6581" t="s">
        <v>3604</v>
      </c>
      <c r="AY27" s="6581" t="s">
        <v>3604</v>
      </c>
      <c r="AZ27" s="6581" t="s">
        <v>3604</v>
      </c>
      <c r="BA27" s="6581" t="s">
        <v>3604</v>
      </c>
      <c r="BB27" s="6581" t="s">
        <v>3604</v>
      </c>
      <c r="BC27" s="6581" t="s">
        <v>3604</v>
      </c>
      <c r="BD27" s="6581" t="s">
        <v>3604</v>
      </c>
      <c r="BE27" s="6581" t="s">
        <v>3604</v>
      </c>
      <c r="BF27" s="6581"/>
      <c r="BG27" s="6581"/>
      <c r="BH27" s="6581"/>
      <c r="BI27" s="6581"/>
      <c r="BJ27" s="6581"/>
      <c r="BK27" s="6581"/>
      <c r="BL27" s="6581"/>
      <c r="BM27" s="6581"/>
      <c r="BN27" s="6581"/>
      <c r="BO27" s="6581"/>
      <c r="BP27" s="391" t="s">
        <v>2067</v>
      </c>
      <c r="BQ27" s="6577">
        <v>1</v>
      </c>
      <c r="BR27" s="6314">
        <f t="shared" si="0"/>
        <v>0.33333333333333331</v>
      </c>
      <c r="BS27" s="16590">
        <f>AVERAGE(BR27:BR39)</f>
        <v>0.93939393939393934</v>
      </c>
      <c r="BT27" s="6582" t="s">
        <v>8617</v>
      </c>
      <c r="BU27" s="6581" t="s">
        <v>3585</v>
      </c>
      <c r="BV27" s="6582" t="s">
        <v>8618</v>
      </c>
      <c r="BW27" s="6583">
        <f t="shared" si="1"/>
        <v>4800000</v>
      </c>
      <c r="BX27" s="6584">
        <v>4800000</v>
      </c>
      <c r="BY27" s="6585"/>
      <c r="BZ27" s="6581"/>
      <c r="CA27" s="6581">
        <f>SUM(CB27:CC27)</f>
        <v>416</v>
      </c>
      <c r="CB27" s="6581">
        <v>157</v>
      </c>
      <c r="CC27" s="6581">
        <v>259</v>
      </c>
      <c r="CD27" s="6581">
        <v>416</v>
      </c>
      <c r="CE27" s="6581">
        <v>0</v>
      </c>
      <c r="CF27" s="6581">
        <v>0</v>
      </c>
      <c r="CG27" s="6581">
        <v>0</v>
      </c>
      <c r="CH27" s="6581">
        <v>0</v>
      </c>
      <c r="CI27" s="6581">
        <v>264</v>
      </c>
      <c r="CJ27" s="6581">
        <v>126</v>
      </c>
      <c r="CK27" s="6581">
        <v>26</v>
      </c>
      <c r="CL27" s="6581">
        <v>0</v>
      </c>
      <c r="CM27" s="6581">
        <v>390</v>
      </c>
      <c r="CN27" s="6581">
        <v>1</v>
      </c>
      <c r="CO27" s="6581">
        <v>17</v>
      </c>
      <c r="CP27" s="6581">
        <v>0</v>
      </c>
      <c r="CQ27" s="6581">
        <v>8</v>
      </c>
      <c r="CR27" s="6581">
        <v>0</v>
      </c>
      <c r="CS27" s="6581">
        <v>0</v>
      </c>
      <c r="CT27" s="6581">
        <v>0</v>
      </c>
      <c r="CU27" s="6581">
        <v>397</v>
      </c>
      <c r="CV27" s="6581">
        <v>12</v>
      </c>
      <c r="CW27" s="6581">
        <v>7</v>
      </c>
      <c r="CX27" s="6581">
        <v>0</v>
      </c>
      <c r="CY27" s="6581">
        <v>0</v>
      </c>
      <c r="CZ27" s="6581">
        <v>0</v>
      </c>
      <c r="DA27" s="6581"/>
      <c r="DB27" s="6581"/>
      <c r="DC27" s="6581"/>
      <c r="DD27" s="6581"/>
      <c r="DE27" s="6581"/>
      <c r="DF27" s="6581"/>
      <c r="DG27" s="6581"/>
      <c r="DH27" s="6581"/>
      <c r="DI27" s="6581"/>
      <c r="DJ27" s="6581"/>
      <c r="DK27" s="6581"/>
      <c r="DL27" s="6586"/>
      <c r="DN27" s="3305"/>
      <c r="DO27" s="2557"/>
      <c r="DP27" s="2557"/>
      <c r="DQ27" s="2557"/>
      <c r="DR27" s="2557"/>
      <c r="DS27" s="2557"/>
      <c r="DT27" s="2557"/>
      <c r="DU27" s="2557"/>
      <c r="DV27" s="2557"/>
      <c r="DW27" s="2557"/>
      <c r="DX27" s="2557"/>
      <c r="DY27" s="2557"/>
      <c r="DZ27" s="2557"/>
      <c r="EA27" s="2557"/>
      <c r="EB27" s="2557"/>
      <c r="EC27" s="2557"/>
      <c r="ED27" s="2557"/>
      <c r="EE27" s="2557"/>
      <c r="EF27" s="2557"/>
      <c r="EG27" s="2557"/>
      <c r="EH27" s="2557"/>
      <c r="EI27" s="2557"/>
      <c r="EJ27" s="2557"/>
      <c r="EK27" s="2557"/>
      <c r="EL27" s="2557"/>
      <c r="EM27" s="2557"/>
      <c r="EN27" s="2557"/>
      <c r="EO27" s="2557"/>
      <c r="EP27" s="2557"/>
      <c r="EQ27" s="2557"/>
      <c r="ER27" s="2557"/>
      <c r="ES27" s="2557"/>
      <c r="ET27" s="2557"/>
      <c r="EU27" s="2557"/>
      <c r="EV27" s="2557"/>
      <c r="EW27" s="2557"/>
      <c r="EX27" s="2557"/>
      <c r="EY27" s="2557"/>
      <c r="EZ27" s="2557"/>
      <c r="FA27" s="2557"/>
      <c r="FB27" s="2557"/>
      <c r="FC27" s="2557"/>
      <c r="FD27" s="2557"/>
      <c r="FE27" s="2557"/>
      <c r="FF27" s="2557"/>
      <c r="FG27" s="3306"/>
    </row>
    <row r="28" spans="1:163" s="2459" customFormat="1" ht="15" customHeight="1">
      <c r="A28" s="16598"/>
      <c r="B28" s="15359"/>
      <c r="C28" s="5168" t="s">
        <v>8226</v>
      </c>
      <c r="D28" s="6587" t="s">
        <v>2068</v>
      </c>
      <c r="E28" s="5055" t="s">
        <v>2069</v>
      </c>
      <c r="F28" s="5055" t="s">
        <v>2025</v>
      </c>
      <c r="G28" s="6588">
        <v>0</v>
      </c>
      <c r="H28" s="6589">
        <v>2</v>
      </c>
      <c r="I28" s="6589">
        <v>4</v>
      </c>
      <c r="J28" s="6589">
        <v>6</v>
      </c>
      <c r="K28" s="6589">
        <v>6</v>
      </c>
      <c r="L28" s="6589">
        <v>6</v>
      </c>
      <c r="M28" s="6589">
        <v>6</v>
      </c>
      <c r="N28" s="6589">
        <v>6</v>
      </c>
      <c r="O28" s="6589">
        <v>6</v>
      </c>
      <c r="P28" s="6589">
        <v>6</v>
      </c>
      <c r="Q28" s="6589">
        <v>6</v>
      </c>
      <c r="R28" s="6589">
        <v>6</v>
      </c>
      <c r="S28" s="6589">
        <v>58</v>
      </c>
      <c r="T28" s="6589" t="s">
        <v>86</v>
      </c>
      <c r="U28" s="5055" t="s">
        <v>2006</v>
      </c>
      <c r="V28" s="6590"/>
      <c r="W28" s="5055" t="s">
        <v>2070</v>
      </c>
      <c r="X28" s="6591">
        <v>1</v>
      </c>
      <c r="Y28" s="5057" t="s">
        <v>3636</v>
      </c>
      <c r="Z28" s="2457" t="s">
        <v>3585</v>
      </c>
      <c r="AA28" s="2457"/>
      <c r="AB28" s="6592">
        <v>1328421</v>
      </c>
      <c r="AC28" s="5832">
        <v>1328421</v>
      </c>
      <c r="AD28" s="6593"/>
      <c r="AE28" s="2457"/>
      <c r="AF28" s="6594">
        <v>596</v>
      </c>
      <c r="AG28" s="6594">
        <v>245</v>
      </c>
      <c r="AH28" s="6594">
        <v>351</v>
      </c>
      <c r="AI28" s="6594"/>
      <c r="AJ28" s="6594"/>
      <c r="AK28" s="6594">
        <v>0</v>
      </c>
      <c r="AL28" s="6594">
        <v>61</v>
      </c>
      <c r="AM28" s="6594">
        <v>197</v>
      </c>
      <c r="AN28" s="6594">
        <v>145</v>
      </c>
      <c r="AO28" s="6594">
        <v>101</v>
      </c>
      <c r="AP28" s="6594">
        <v>60</v>
      </c>
      <c r="AQ28" s="6594">
        <v>32</v>
      </c>
      <c r="AR28" s="6594">
        <v>530</v>
      </c>
      <c r="AS28" s="6594">
        <v>10</v>
      </c>
      <c r="AT28" s="6594">
        <v>32</v>
      </c>
      <c r="AU28" s="6594"/>
      <c r="AV28" s="6594">
        <v>18</v>
      </c>
      <c r="AW28" s="6594"/>
      <c r="AX28" s="6594"/>
      <c r="AY28" s="6594">
        <v>6</v>
      </c>
      <c r="AZ28" s="6594">
        <v>485</v>
      </c>
      <c r="BA28" s="6594">
        <v>105</v>
      </c>
      <c r="BB28" s="6594">
        <v>6</v>
      </c>
      <c r="BC28" s="6594"/>
      <c r="BD28" s="6594"/>
      <c r="BE28" s="6594"/>
      <c r="BF28" s="2457"/>
      <c r="BG28" s="2457"/>
      <c r="BH28" s="2457"/>
      <c r="BI28" s="2457"/>
      <c r="BJ28" s="2457"/>
      <c r="BK28" s="2457"/>
      <c r="BL28" s="2457"/>
      <c r="BM28" s="2457"/>
      <c r="BN28" s="2457"/>
      <c r="BO28" s="2457"/>
      <c r="BP28" s="5055" t="s">
        <v>2070</v>
      </c>
      <c r="BQ28" s="6589">
        <v>6</v>
      </c>
      <c r="BR28" s="4274">
        <f t="shared" si="0"/>
        <v>1</v>
      </c>
      <c r="BS28" s="16591"/>
      <c r="BT28" s="6595" t="s">
        <v>8619</v>
      </c>
      <c r="BU28" s="5055" t="s">
        <v>8620</v>
      </c>
      <c r="BV28" s="2547"/>
      <c r="BW28" s="6596">
        <f t="shared" si="1"/>
        <v>1328421</v>
      </c>
      <c r="BX28" s="6597">
        <v>1328421</v>
      </c>
      <c r="BY28" s="6598"/>
      <c r="BZ28" s="2457"/>
      <c r="CA28" s="2547">
        <f>SUM(CB28:CC28)</f>
        <v>983</v>
      </c>
      <c r="CB28" s="2547">
        <v>528</v>
      </c>
      <c r="CC28" s="2547">
        <v>455</v>
      </c>
      <c r="CD28" s="2547">
        <v>675</v>
      </c>
      <c r="CE28" s="2547">
        <v>308</v>
      </c>
      <c r="CF28" s="2547">
        <v>0</v>
      </c>
      <c r="CG28" s="2547">
        <v>0</v>
      </c>
      <c r="CH28" s="2547">
        <v>0</v>
      </c>
      <c r="CI28" s="2547">
        <v>379</v>
      </c>
      <c r="CJ28" s="2547">
        <v>417</v>
      </c>
      <c r="CK28" s="2547">
        <v>171</v>
      </c>
      <c r="CL28" s="2547">
        <v>16</v>
      </c>
      <c r="CM28" s="2547">
        <v>841</v>
      </c>
      <c r="CN28" s="2547">
        <v>13</v>
      </c>
      <c r="CO28" s="2547">
        <v>103</v>
      </c>
      <c r="CP28" s="2547">
        <v>15</v>
      </c>
      <c r="CQ28" s="2547">
        <v>8</v>
      </c>
      <c r="CR28" s="2547">
        <v>0</v>
      </c>
      <c r="CS28" s="2547">
        <v>0</v>
      </c>
      <c r="CT28" s="2547">
        <v>3</v>
      </c>
      <c r="CU28" s="6599">
        <v>969</v>
      </c>
      <c r="CV28" s="2547">
        <v>9</v>
      </c>
      <c r="CW28" s="5055">
        <v>2</v>
      </c>
      <c r="CX28" s="6599">
        <v>3</v>
      </c>
      <c r="CY28" s="2547">
        <v>0</v>
      </c>
      <c r="CZ28" s="2547">
        <v>0</v>
      </c>
      <c r="DA28" s="5055"/>
      <c r="DB28" s="5055"/>
      <c r="DC28" s="2547"/>
      <c r="DD28" s="2547"/>
      <c r="DE28" s="2547"/>
      <c r="DF28" s="2547"/>
      <c r="DG28" s="2547"/>
      <c r="DH28" s="2547"/>
      <c r="DI28" s="2547"/>
      <c r="DJ28" s="2547"/>
      <c r="DK28" s="2547"/>
      <c r="DL28" s="6600"/>
      <c r="DN28" s="3301"/>
      <c r="DO28" s="2463"/>
      <c r="DP28" s="2463"/>
      <c r="DQ28" s="2463"/>
      <c r="DR28" s="2463"/>
      <c r="DS28" s="2463"/>
      <c r="DT28" s="2463"/>
      <c r="DU28" s="2463"/>
      <c r="DV28" s="2463"/>
      <c r="DW28" s="2463"/>
      <c r="DX28" s="2463"/>
      <c r="DY28" s="2463"/>
      <c r="DZ28" s="2463"/>
      <c r="EA28" s="2463"/>
      <c r="EB28" s="2463"/>
      <c r="EC28" s="2463"/>
      <c r="ED28" s="2463"/>
      <c r="EE28" s="2463"/>
      <c r="EF28" s="2463"/>
      <c r="EG28" s="2463"/>
      <c r="EH28" s="2463"/>
      <c r="EI28" s="2463"/>
      <c r="EJ28" s="2463"/>
      <c r="EK28" s="2463"/>
      <c r="EL28" s="2463"/>
      <c r="EM28" s="2463"/>
      <c r="EN28" s="2463"/>
      <c r="EO28" s="2463"/>
      <c r="EP28" s="2463"/>
      <c r="EQ28" s="2463"/>
      <c r="ER28" s="2463"/>
      <c r="ES28" s="2463"/>
      <c r="ET28" s="2463"/>
      <c r="EU28" s="2463"/>
      <c r="EV28" s="2463"/>
      <c r="EW28" s="2463"/>
      <c r="EX28" s="2463"/>
      <c r="EY28" s="2463"/>
      <c r="EZ28" s="2463"/>
      <c r="FA28" s="2463"/>
      <c r="FB28" s="2463"/>
      <c r="FC28" s="2463"/>
      <c r="FD28" s="2463"/>
      <c r="FE28" s="2463"/>
      <c r="FF28" s="2463"/>
      <c r="FG28" s="3302"/>
    </row>
    <row r="29" spans="1:163" s="2459" customFormat="1" ht="15" customHeight="1">
      <c r="A29" s="16598"/>
      <c r="B29" s="15359"/>
      <c r="C29" s="5168" t="s">
        <v>8227</v>
      </c>
      <c r="D29" s="6587" t="s">
        <v>2071</v>
      </c>
      <c r="E29" s="5055" t="s">
        <v>479</v>
      </c>
      <c r="F29" s="5055" t="s">
        <v>2025</v>
      </c>
      <c r="G29" s="6601">
        <v>0</v>
      </c>
      <c r="H29" s="6589">
        <v>1</v>
      </c>
      <c r="I29" s="6589">
        <v>1</v>
      </c>
      <c r="J29" s="6589">
        <v>1</v>
      </c>
      <c r="K29" s="6589">
        <v>1</v>
      </c>
      <c r="L29" s="6589">
        <v>1</v>
      </c>
      <c r="M29" s="6589">
        <v>1</v>
      </c>
      <c r="N29" s="6589">
        <v>1</v>
      </c>
      <c r="O29" s="6589">
        <v>1</v>
      </c>
      <c r="P29" s="6589">
        <v>1</v>
      </c>
      <c r="Q29" s="6589">
        <v>1</v>
      </c>
      <c r="R29" s="6589">
        <v>1</v>
      </c>
      <c r="S29" s="6589">
        <v>10</v>
      </c>
      <c r="T29" s="6589" t="s">
        <v>86</v>
      </c>
      <c r="U29" s="5055" t="s">
        <v>2006</v>
      </c>
      <c r="V29" s="6590"/>
      <c r="W29" s="5055" t="s">
        <v>2072</v>
      </c>
      <c r="X29" s="2565">
        <v>1</v>
      </c>
      <c r="Y29" s="5057" t="s">
        <v>3637</v>
      </c>
      <c r="Z29" s="2457" t="s">
        <v>3602</v>
      </c>
      <c r="AA29" s="2457"/>
      <c r="AB29" s="2556">
        <v>1328421</v>
      </c>
      <c r="AC29" s="2561">
        <v>1328421</v>
      </c>
      <c r="AD29" s="2457"/>
      <c r="AE29" s="2457"/>
      <c r="AF29" s="2457" t="s">
        <v>3604</v>
      </c>
      <c r="AG29" s="2457" t="s">
        <v>3604</v>
      </c>
      <c r="AH29" s="2457" t="s">
        <v>3604</v>
      </c>
      <c r="AI29" s="2457" t="s">
        <v>3604</v>
      </c>
      <c r="AJ29" s="2457" t="s">
        <v>3604</v>
      </c>
      <c r="AK29" s="2457" t="s">
        <v>3604</v>
      </c>
      <c r="AL29" s="2457" t="s">
        <v>3604</v>
      </c>
      <c r="AM29" s="2457" t="s">
        <v>3604</v>
      </c>
      <c r="AN29" s="2457" t="s">
        <v>3604</v>
      </c>
      <c r="AO29" s="2457" t="s">
        <v>3604</v>
      </c>
      <c r="AP29" s="2457" t="s">
        <v>3604</v>
      </c>
      <c r="AQ29" s="2457" t="s">
        <v>3604</v>
      </c>
      <c r="AR29" s="2457" t="s">
        <v>3604</v>
      </c>
      <c r="AS29" s="2457" t="s">
        <v>3604</v>
      </c>
      <c r="AT29" s="2457" t="s">
        <v>3604</v>
      </c>
      <c r="AU29" s="2457" t="s">
        <v>3604</v>
      </c>
      <c r="AV29" s="2457" t="s">
        <v>3604</v>
      </c>
      <c r="AW29" s="2457" t="s">
        <v>3604</v>
      </c>
      <c r="AX29" s="2457" t="s">
        <v>3604</v>
      </c>
      <c r="AY29" s="2457" t="s">
        <v>3604</v>
      </c>
      <c r="AZ29" s="2457" t="s">
        <v>3604</v>
      </c>
      <c r="BA29" s="2457" t="s">
        <v>3604</v>
      </c>
      <c r="BB29" s="2457" t="s">
        <v>3604</v>
      </c>
      <c r="BC29" s="2457" t="s">
        <v>3604</v>
      </c>
      <c r="BD29" s="2457" t="s">
        <v>3604</v>
      </c>
      <c r="BE29" s="2457" t="s">
        <v>3604</v>
      </c>
      <c r="BF29" s="2457"/>
      <c r="BG29" s="2457"/>
      <c r="BH29" s="2457"/>
      <c r="BI29" s="2457"/>
      <c r="BJ29" s="2457"/>
      <c r="BK29" s="2457"/>
      <c r="BL29" s="2457"/>
      <c r="BM29" s="2457"/>
      <c r="BN29" s="2457"/>
      <c r="BO29" s="2457"/>
      <c r="BP29" s="5055" t="s">
        <v>2072</v>
      </c>
      <c r="BQ29" s="6589">
        <v>1</v>
      </c>
      <c r="BR29" s="4274">
        <f t="shared" si="0"/>
        <v>1</v>
      </c>
      <c r="BS29" s="16591"/>
      <c r="BT29" s="6595" t="s">
        <v>8621</v>
      </c>
      <c r="BU29" s="2547" t="s">
        <v>3602</v>
      </c>
      <c r="BV29" s="2547"/>
      <c r="BW29" s="6596">
        <f t="shared" si="1"/>
        <v>1328421</v>
      </c>
      <c r="BX29" s="6597">
        <v>1328421</v>
      </c>
      <c r="BY29" s="6597"/>
      <c r="BZ29" s="2457"/>
      <c r="CA29" s="2547" t="s">
        <v>3604</v>
      </c>
      <c r="CB29" s="2547" t="s">
        <v>3604</v>
      </c>
      <c r="CC29" s="2547" t="s">
        <v>3604</v>
      </c>
      <c r="CD29" s="2547" t="s">
        <v>3604</v>
      </c>
      <c r="CE29" s="2547" t="s">
        <v>3604</v>
      </c>
      <c r="CF29" s="2547" t="s">
        <v>3604</v>
      </c>
      <c r="CG29" s="2547" t="s">
        <v>3604</v>
      </c>
      <c r="CH29" s="2547" t="s">
        <v>3604</v>
      </c>
      <c r="CI29" s="2547" t="s">
        <v>3604</v>
      </c>
      <c r="CJ29" s="2547" t="s">
        <v>3604</v>
      </c>
      <c r="CK29" s="2547" t="s">
        <v>3604</v>
      </c>
      <c r="CL29" s="2547" t="s">
        <v>3604</v>
      </c>
      <c r="CM29" s="2547" t="s">
        <v>3604</v>
      </c>
      <c r="CN29" s="2547" t="s">
        <v>3604</v>
      </c>
      <c r="CO29" s="2547" t="s">
        <v>3604</v>
      </c>
      <c r="CP29" s="2547" t="s">
        <v>3604</v>
      </c>
      <c r="CQ29" s="2547" t="s">
        <v>3604</v>
      </c>
      <c r="CR29" s="2547" t="s">
        <v>3604</v>
      </c>
      <c r="CS29" s="2547" t="s">
        <v>3604</v>
      </c>
      <c r="CT29" s="2547" t="s">
        <v>3604</v>
      </c>
      <c r="CU29" s="2547" t="s">
        <v>3604</v>
      </c>
      <c r="CV29" s="2547" t="s">
        <v>3604</v>
      </c>
      <c r="CW29" s="2547" t="s">
        <v>3604</v>
      </c>
      <c r="CX29" s="2547" t="s">
        <v>3604</v>
      </c>
      <c r="CY29" s="2547" t="s">
        <v>3604</v>
      </c>
      <c r="CZ29" s="2547" t="s">
        <v>3604</v>
      </c>
      <c r="DA29" s="5055" t="s">
        <v>8641</v>
      </c>
      <c r="DB29" s="6595" t="s">
        <v>8642</v>
      </c>
      <c r="DC29" s="2547">
        <v>90</v>
      </c>
      <c r="DD29" s="2547" t="s">
        <v>3613</v>
      </c>
      <c r="DE29" s="2547" t="s">
        <v>3613</v>
      </c>
      <c r="DF29" s="2547"/>
      <c r="DG29" s="2547"/>
      <c r="DH29" s="2547"/>
      <c r="DI29" s="2547"/>
      <c r="DJ29" s="2547"/>
      <c r="DK29" s="2547"/>
      <c r="DL29" s="6600"/>
      <c r="DN29" s="3301"/>
      <c r="DO29" s="2463"/>
      <c r="DP29" s="2463"/>
      <c r="DQ29" s="2463"/>
      <c r="DR29" s="2463"/>
      <c r="DS29" s="2463"/>
      <c r="DT29" s="2463"/>
      <c r="DU29" s="2463"/>
      <c r="DV29" s="2463"/>
      <c r="DW29" s="2463"/>
      <c r="DX29" s="2463"/>
      <c r="DY29" s="2463"/>
      <c r="DZ29" s="2463"/>
      <c r="EA29" s="2463"/>
      <c r="EB29" s="2463"/>
      <c r="EC29" s="2463"/>
      <c r="ED29" s="2463"/>
      <c r="EE29" s="2463"/>
      <c r="EF29" s="2463"/>
      <c r="EG29" s="2463"/>
      <c r="EH29" s="2463"/>
      <c r="EI29" s="2463"/>
      <c r="EJ29" s="2463"/>
      <c r="EK29" s="2463"/>
      <c r="EL29" s="2463"/>
      <c r="EM29" s="2463"/>
      <c r="EN29" s="2463"/>
      <c r="EO29" s="2463"/>
      <c r="EP29" s="2463"/>
      <c r="EQ29" s="2463"/>
      <c r="ER29" s="2463"/>
      <c r="ES29" s="2463"/>
      <c r="ET29" s="2463"/>
      <c r="EU29" s="2463"/>
      <c r="EV29" s="2463"/>
      <c r="EW29" s="2463"/>
      <c r="EX29" s="2463"/>
      <c r="EY29" s="2463"/>
      <c r="EZ29" s="2463"/>
      <c r="FA29" s="2463"/>
      <c r="FB29" s="2463"/>
      <c r="FC29" s="2463"/>
      <c r="FD29" s="2463"/>
      <c r="FE29" s="2463"/>
      <c r="FF29" s="2463"/>
      <c r="FG29" s="3302"/>
    </row>
    <row r="30" spans="1:163" s="2459" customFormat="1" ht="15" customHeight="1">
      <c r="A30" s="16598"/>
      <c r="B30" s="15359"/>
      <c r="C30" s="5168" t="s">
        <v>8228</v>
      </c>
      <c r="D30" s="6587" t="s">
        <v>2073</v>
      </c>
      <c r="E30" s="5055" t="s">
        <v>2074</v>
      </c>
      <c r="F30" s="5055" t="s">
        <v>2025</v>
      </c>
      <c r="G30" s="6601">
        <v>4</v>
      </c>
      <c r="H30" s="6589">
        <v>4</v>
      </c>
      <c r="I30" s="6589">
        <v>4</v>
      </c>
      <c r="J30" s="6589">
        <v>4</v>
      </c>
      <c r="K30" s="6589">
        <v>4</v>
      </c>
      <c r="L30" s="6589">
        <v>4</v>
      </c>
      <c r="M30" s="6589">
        <v>4</v>
      </c>
      <c r="N30" s="6589">
        <v>4</v>
      </c>
      <c r="O30" s="6589">
        <v>4</v>
      </c>
      <c r="P30" s="6589">
        <v>4</v>
      </c>
      <c r="Q30" s="6589">
        <v>4</v>
      </c>
      <c r="R30" s="6589">
        <v>4</v>
      </c>
      <c r="S30" s="6589">
        <v>40</v>
      </c>
      <c r="T30" s="6589" t="s">
        <v>86</v>
      </c>
      <c r="U30" s="5055" t="s">
        <v>2006</v>
      </c>
      <c r="V30" s="6590"/>
      <c r="W30" s="5055" t="s">
        <v>2075</v>
      </c>
      <c r="X30" s="6591">
        <v>1</v>
      </c>
      <c r="Y30" s="5057" t="s">
        <v>3638</v>
      </c>
      <c r="Z30" s="2457" t="s">
        <v>3602</v>
      </c>
      <c r="AA30" s="5057" t="s">
        <v>3638</v>
      </c>
      <c r="AB30" s="2556">
        <v>1328421</v>
      </c>
      <c r="AC30" s="2561">
        <v>1328421</v>
      </c>
      <c r="AD30" s="2457"/>
      <c r="AE30" s="2457"/>
      <c r="AF30" s="2457" t="s">
        <v>3604</v>
      </c>
      <c r="AG30" s="2457" t="s">
        <v>3604</v>
      </c>
      <c r="AH30" s="2457" t="s">
        <v>3604</v>
      </c>
      <c r="AI30" s="2457" t="s">
        <v>3604</v>
      </c>
      <c r="AJ30" s="2457" t="s">
        <v>3604</v>
      </c>
      <c r="AK30" s="2457" t="s">
        <v>3604</v>
      </c>
      <c r="AL30" s="2457" t="s">
        <v>3604</v>
      </c>
      <c r="AM30" s="2457" t="s">
        <v>3604</v>
      </c>
      <c r="AN30" s="2457" t="s">
        <v>3604</v>
      </c>
      <c r="AO30" s="2457" t="s">
        <v>3604</v>
      </c>
      <c r="AP30" s="2457" t="s">
        <v>3604</v>
      </c>
      <c r="AQ30" s="2457" t="s">
        <v>3604</v>
      </c>
      <c r="AR30" s="2457" t="s">
        <v>3604</v>
      </c>
      <c r="AS30" s="2457" t="s">
        <v>3604</v>
      </c>
      <c r="AT30" s="2457" t="s">
        <v>3604</v>
      </c>
      <c r="AU30" s="2457" t="s">
        <v>3604</v>
      </c>
      <c r="AV30" s="2457" t="s">
        <v>3604</v>
      </c>
      <c r="AW30" s="2457" t="s">
        <v>3604</v>
      </c>
      <c r="AX30" s="2457" t="s">
        <v>3604</v>
      </c>
      <c r="AY30" s="2457" t="s">
        <v>3604</v>
      </c>
      <c r="AZ30" s="2457" t="s">
        <v>3604</v>
      </c>
      <c r="BA30" s="2457" t="s">
        <v>3604</v>
      </c>
      <c r="BB30" s="2457" t="s">
        <v>3604</v>
      </c>
      <c r="BC30" s="2457" t="s">
        <v>3604</v>
      </c>
      <c r="BD30" s="2457" t="s">
        <v>3604</v>
      </c>
      <c r="BE30" s="2457" t="s">
        <v>3604</v>
      </c>
      <c r="BF30" s="2457"/>
      <c r="BG30" s="2457"/>
      <c r="BH30" s="2457"/>
      <c r="BI30" s="2457"/>
      <c r="BJ30" s="2457"/>
      <c r="BK30" s="2457"/>
      <c r="BL30" s="2457"/>
      <c r="BM30" s="2457"/>
      <c r="BN30" s="2457"/>
      <c r="BO30" s="2457"/>
      <c r="BP30" s="5055" t="s">
        <v>2075</v>
      </c>
      <c r="BQ30" s="6589">
        <v>4</v>
      </c>
      <c r="BR30" s="4274">
        <f t="shared" si="0"/>
        <v>1</v>
      </c>
      <c r="BS30" s="16591"/>
      <c r="BT30" s="6595" t="s">
        <v>3638</v>
      </c>
      <c r="BU30" s="2547" t="s">
        <v>3602</v>
      </c>
      <c r="BV30" s="6595" t="s">
        <v>3638</v>
      </c>
      <c r="BW30" s="6596">
        <f t="shared" si="1"/>
        <v>1328421</v>
      </c>
      <c r="BX30" s="6597">
        <v>1328421</v>
      </c>
      <c r="BY30" s="6597"/>
      <c r="BZ30" s="2457"/>
      <c r="CA30" s="2547" t="s">
        <v>3604</v>
      </c>
      <c r="CB30" s="2547" t="s">
        <v>3604</v>
      </c>
      <c r="CC30" s="2547" t="s">
        <v>3604</v>
      </c>
      <c r="CD30" s="2547" t="s">
        <v>3604</v>
      </c>
      <c r="CE30" s="2547" t="s">
        <v>3604</v>
      </c>
      <c r="CF30" s="2547" t="s">
        <v>3604</v>
      </c>
      <c r="CG30" s="2547" t="s">
        <v>3604</v>
      </c>
      <c r="CH30" s="2547" t="s">
        <v>3604</v>
      </c>
      <c r="CI30" s="2547" t="s">
        <v>3604</v>
      </c>
      <c r="CJ30" s="2547" t="s">
        <v>3604</v>
      </c>
      <c r="CK30" s="2547" t="s">
        <v>3604</v>
      </c>
      <c r="CL30" s="2547" t="s">
        <v>3604</v>
      </c>
      <c r="CM30" s="2547" t="s">
        <v>3604</v>
      </c>
      <c r="CN30" s="2547" t="s">
        <v>3604</v>
      </c>
      <c r="CO30" s="2547" t="s">
        <v>3604</v>
      </c>
      <c r="CP30" s="2547" t="s">
        <v>3604</v>
      </c>
      <c r="CQ30" s="2547" t="s">
        <v>3604</v>
      </c>
      <c r="CR30" s="2547" t="s">
        <v>3604</v>
      </c>
      <c r="CS30" s="2547" t="s">
        <v>3604</v>
      </c>
      <c r="CT30" s="2547" t="s">
        <v>3604</v>
      </c>
      <c r="CU30" s="2547" t="s">
        <v>3604</v>
      </c>
      <c r="CV30" s="2547" t="s">
        <v>3604</v>
      </c>
      <c r="CW30" s="2547" t="s">
        <v>3604</v>
      </c>
      <c r="CX30" s="2547" t="s">
        <v>3604</v>
      </c>
      <c r="CY30" s="2547" t="s">
        <v>3604</v>
      </c>
      <c r="CZ30" s="2547" t="s">
        <v>3604</v>
      </c>
      <c r="DA30" s="5055" t="s">
        <v>2195</v>
      </c>
      <c r="DB30" s="6595" t="s">
        <v>8643</v>
      </c>
      <c r="DC30" s="2547">
        <v>2</v>
      </c>
      <c r="DD30" s="2547" t="s">
        <v>3613</v>
      </c>
      <c r="DE30" s="2547" t="s">
        <v>3613</v>
      </c>
      <c r="DF30" s="2547"/>
      <c r="DG30" s="2547"/>
      <c r="DH30" s="2547"/>
      <c r="DI30" s="2547"/>
      <c r="DJ30" s="2547"/>
      <c r="DK30" s="2547"/>
      <c r="DL30" s="6600"/>
      <c r="DN30" s="3301"/>
      <c r="DO30" s="2463"/>
      <c r="DP30" s="2463"/>
      <c r="DQ30" s="2463"/>
      <c r="DR30" s="2463"/>
      <c r="DS30" s="2463"/>
      <c r="DT30" s="2463"/>
      <c r="DU30" s="2463"/>
      <c r="DV30" s="2463"/>
      <c r="DW30" s="2463"/>
      <c r="DX30" s="2463"/>
      <c r="DY30" s="2463"/>
      <c r="DZ30" s="2463"/>
      <c r="EA30" s="2463"/>
      <c r="EB30" s="2463"/>
      <c r="EC30" s="2463"/>
      <c r="ED30" s="2463"/>
      <c r="EE30" s="2463"/>
      <c r="EF30" s="2463"/>
      <c r="EG30" s="2463"/>
      <c r="EH30" s="2463"/>
      <c r="EI30" s="2463"/>
      <c r="EJ30" s="2463"/>
      <c r="EK30" s="2463"/>
      <c r="EL30" s="2463"/>
      <c r="EM30" s="2463"/>
      <c r="EN30" s="2463"/>
      <c r="EO30" s="2463"/>
      <c r="EP30" s="2463"/>
      <c r="EQ30" s="2463"/>
      <c r="ER30" s="2463"/>
      <c r="ES30" s="2463"/>
      <c r="ET30" s="2463"/>
      <c r="EU30" s="2463"/>
      <c r="EV30" s="2463"/>
      <c r="EW30" s="2463"/>
      <c r="EX30" s="2463"/>
      <c r="EY30" s="2463"/>
      <c r="EZ30" s="2463"/>
      <c r="FA30" s="2463"/>
      <c r="FB30" s="2463"/>
      <c r="FC30" s="2463"/>
      <c r="FD30" s="2463"/>
      <c r="FE30" s="2463"/>
      <c r="FF30" s="2463"/>
      <c r="FG30" s="3302"/>
    </row>
    <row r="31" spans="1:163" s="2459" customFormat="1" ht="15" customHeight="1">
      <c r="A31" s="16598"/>
      <c r="B31" s="15359"/>
      <c r="C31" s="5168" t="s">
        <v>8229</v>
      </c>
      <c r="D31" s="6587" t="s">
        <v>2076</v>
      </c>
      <c r="E31" s="5055" t="s">
        <v>2077</v>
      </c>
      <c r="F31" s="5055" t="s">
        <v>2009</v>
      </c>
      <c r="G31" s="6601">
        <v>0</v>
      </c>
      <c r="H31" s="6602">
        <v>1</v>
      </c>
      <c r="I31" s="6602">
        <v>1</v>
      </c>
      <c r="J31" s="6603">
        <v>1</v>
      </c>
      <c r="K31" s="6602">
        <v>1</v>
      </c>
      <c r="L31" s="6602">
        <v>1</v>
      </c>
      <c r="M31" s="6602">
        <v>1</v>
      </c>
      <c r="N31" s="6602">
        <v>1</v>
      </c>
      <c r="O31" s="6602">
        <v>1</v>
      </c>
      <c r="P31" s="6602">
        <v>1</v>
      </c>
      <c r="Q31" s="6602">
        <v>1</v>
      </c>
      <c r="R31" s="6602">
        <v>1</v>
      </c>
      <c r="S31" s="6602">
        <v>1</v>
      </c>
      <c r="T31" s="6602" t="s">
        <v>86</v>
      </c>
      <c r="U31" s="5055" t="s">
        <v>2006</v>
      </c>
      <c r="V31" s="6590"/>
      <c r="W31" s="5055" t="s">
        <v>2078</v>
      </c>
      <c r="X31" s="2565">
        <v>1</v>
      </c>
      <c r="Y31" s="5057" t="s">
        <v>3639</v>
      </c>
      <c r="Z31" s="2457" t="s">
        <v>3602</v>
      </c>
      <c r="AA31" s="2457"/>
      <c r="AB31" s="2556">
        <v>1328421</v>
      </c>
      <c r="AC31" s="2561">
        <v>1328421</v>
      </c>
      <c r="AD31" s="2457"/>
      <c r="AE31" s="2457"/>
      <c r="AF31" s="2457" t="s">
        <v>3604</v>
      </c>
      <c r="AG31" s="2457" t="s">
        <v>3604</v>
      </c>
      <c r="AH31" s="2457" t="s">
        <v>3604</v>
      </c>
      <c r="AI31" s="2457" t="s">
        <v>3604</v>
      </c>
      <c r="AJ31" s="2457" t="s">
        <v>3604</v>
      </c>
      <c r="AK31" s="2457" t="s">
        <v>3604</v>
      </c>
      <c r="AL31" s="2457" t="s">
        <v>3604</v>
      </c>
      <c r="AM31" s="2457" t="s">
        <v>3604</v>
      </c>
      <c r="AN31" s="2457" t="s">
        <v>3604</v>
      </c>
      <c r="AO31" s="2457" t="s">
        <v>3604</v>
      </c>
      <c r="AP31" s="2457" t="s">
        <v>3604</v>
      </c>
      <c r="AQ31" s="2457" t="s">
        <v>3604</v>
      </c>
      <c r="AR31" s="2457" t="s">
        <v>3604</v>
      </c>
      <c r="AS31" s="2457" t="s">
        <v>3604</v>
      </c>
      <c r="AT31" s="2457" t="s">
        <v>3604</v>
      </c>
      <c r="AU31" s="2457" t="s">
        <v>3604</v>
      </c>
      <c r="AV31" s="2457" t="s">
        <v>3604</v>
      </c>
      <c r="AW31" s="2457" t="s">
        <v>3604</v>
      </c>
      <c r="AX31" s="2457" t="s">
        <v>3604</v>
      </c>
      <c r="AY31" s="2457" t="s">
        <v>3604</v>
      </c>
      <c r="AZ31" s="2457" t="s">
        <v>3604</v>
      </c>
      <c r="BA31" s="2457" t="s">
        <v>3604</v>
      </c>
      <c r="BB31" s="2457" t="s">
        <v>3604</v>
      </c>
      <c r="BC31" s="2457" t="s">
        <v>3604</v>
      </c>
      <c r="BD31" s="2457" t="s">
        <v>3604</v>
      </c>
      <c r="BE31" s="2457" t="s">
        <v>3604</v>
      </c>
      <c r="BF31" s="2457"/>
      <c r="BG31" s="2457"/>
      <c r="BH31" s="2457"/>
      <c r="BI31" s="2457"/>
      <c r="BJ31" s="2457"/>
      <c r="BK31" s="2457"/>
      <c r="BL31" s="2457"/>
      <c r="BM31" s="2457"/>
      <c r="BN31" s="2457"/>
      <c r="BO31" s="2457"/>
      <c r="BP31" s="5055" t="s">
        <v>2078</v>
      </c>
      <c r="BQ31" s="6603">
        <v>1</v>
      </c>
      <c r="BR31" s="4274">
        <f t="shared" si="0"/>
        <v>1</v>
      </c>
      <c r="BS31" s="16591"/>
      <c r="BT31" s="6595" t="s">
        <v>8622</v>
      </c>
      <c r="BU31" s="5055" t="s">
        <v>8623</v>
      </c>
      <c r="BV31" s="2547"/>
      <c r="BW31" s="6596">
        <f t="shared" si="1"/>
        <v>23428421</v>
      </c>
      <c r="BX31" s="6597">
        <v>23428421</v>
      </c>
      <c r="BY31" s="6597"/>
      <c r="BZ31" s="2457"/>
      <c r="CA31" s="2547" t="s">
        <v>3604</v>
      </c>
      <c r="CB31" s="2547" t="s">
        <v>3604</v>
      </c>
      <c r="CC31" s="2547" t="s">
        <v>3604</v>
      </c>
      <c r="CD31" s="2547" t="s">
        <v>3604</v>
      </c>
      <c r="CE31" s="2547" t="s">
        <v>3604</v>
      </c>
      <c r="CF31" s="2547" t="s">
        <v>3604</v>
      </c>
      <c r="CG31" s="2547" t="s">
        <v>3604</v>
      </c>
      <c r="CH31" s="2547" t="s">
        <v>3604</v>
      </c>
      <c r="CI31" s="2547" t="s">
        <v>3604</v>
      </c>
      <c r="CJ31" s="2547" t="s">
        <v>3604</v>
      </c>
      <c r="CK31" s="2547" t="s">
        <v>3604</v>
      </c>
      <c r="CL31" s="2547" t="s">
        <v>3604</v>
      </c>
      <c r="CM31" s="2547" t="s">
        <v>3604</v>
      </c>
      <c r="CN31" s="2547" t="s">
        <v>3604</v>
      </c>
      <c r="CO31" s="2547" t="s">
        <v>3604</v>
      </c>
      <c r="CP31" s="2547" t="s">
        <v>3604</v>
      </c>
      <c r="CQ31" s="2547" t="s">
        <v>3604</v>
      </c>
      <c r="CR31" s="2547" t="s">
        <v>3604</v>
      </c>
      <c r="CS31" s="2547" t="s">
        <v>3604</v>
      </c>
      <c r="CT31" s="2547" t="s">
        <v>3604</v>
      </c>
      <c r="CU31" s="2547" t="s">
        <v>3604</v>
      </c>
      <c r="CV31" s="2547" t="s">
        <v>3604</v>
      </c>
      <c r="CW31" s="2547" t="s">
        <v>3604</v>
      </c>
      <c r="CX31" s="2547" t="s">
        <v>3604</v>
      </c>
      <c r="CY31" s="2547" t="s">
        <v>3604</v>
      </c>
      <c r="CZ31" s="2547" t="s">
        <v>3604</v>
      </c>
      <c r="DA31" s="5055" t="s">
        <v>8644</v>
      </c>
      <c r="DB31" s="5055" t="s">
        <v>8645</v>
      </c>
      <c r="DC31" s="5055">
        <v>9</v>
      </c>
      <c r="DD31" s="5055" t="s">
        <v>3613</v>
      </c>
      <c r="DE31" s="2547" t="s">
        <v>3613</v>
      </c>
      <c r="DF31" s="2547"/>
      <c r="DG31" s="2547"/>
      <c r="DH31" s="2547"/>
      <c r="DI31" s="2547"/>
      <c r="DJ31" s="2547"/>
      <c r="DK31" s="2547"/>
      <c r="DL31" s="6600"/>
      <c r="DN31" s="3301"/>
      <c r="DO31" s="2463"/>
      <c r="DP31" s="2463"/>
      <c r="DQ31" s="2463"/>
      <c r="DR31" s="2463"/>
      <c r="DS31" s="2463"/>
      <c r="DT31" s="2463"/>
      <c r="DU31" s="2463"/>
      <c r="DV31" s="2463"/>
      <c r="DW31" s="2463"/>
      <c r="DX31" s="2463"/>
      <c r="DY31" s="2463"/>
      <c r="DZ31" s="2463"/>
      <c r="EA31" s="2463"/>
      <c r="EB31" s="2463"/>
      <c r="EC31" s="2463"/>
      <c r="ED31" s="2463"/>
      <c r="EE31" s="2463"/>
      <c r="EF31" s="2463"/>
      <c r="EG31" s="2463"/>
      <c r="EH31" s="2463"/>
      <c r="EI31" s="2463"/>
      <c r="EJ31" s="2463"/>
      <c r="EK31" s="2463"/>
      <c r="EL31" s="2463"/>
      <c r="EM31" s="2463"/>
      <c r="EN31" s="2463"/>
      <c r="EO31" s="2463"/>
      <c r="EP31" s="2463"/>
      <c r="EQ31" s="2463"/>
      <c r="ER31" s="2463"/>
      <c r="ES31" s="2463"/>
      <c r="ET31" s="2463"/>
      <c r="EU31" s="2463"/>
      <c r="EV31" s="2463"/>
      <c r="EW31" s="2463"/>
      <c r="EX31" s="2463"/>
      <c r="EY31" s="2463"/>
      <c r="EZ31" s="2463"/>
      <c r="FA31" s="2463"/>
      <c r="FB31" s="2463"/>
      <c r="FC31" s="2463"/>
      <c r="FD31" s="2463"/>
      <c r="FE31" s="2463"/>
      <c r="FF31" s="2463"/>
      <c r="FG31" s="3302"/>
    </row>
    <row r="32" spans="1:163" s="2459" customFormat="1" ht="15" customHeight="1">
      <c r="A32" s="16598"/>
      <c r="B32" s="15359"/>
      <c r="C32" s="5168" t="s">
        <v>8230</v>
      </c>
      <c r="D32" s="6587" t="s">
        <v>2079</v>
      </c>
      <c r="E32" s="5055" t="s">
        <v>2080</v>
      </c>
      <c r="F32" s="5055" t="s">
        <v>2025</v>
      </c>
      <c r="G32" s="6601">
        <v>0</v>
      </c>
      <c r="H32" s="6589">
        <v>1</v>
      </c>
      <c r="I32" s="6589">
        <v>1</v>
      </c>
      <c r="J32" s="6589">
        <v>1</v>
      </c>
      <c r="K32" s="6589">
        <v>1</v>
      </c>
      <c r="L32" s="6589">
        <v>1</v>
      </c>
      <c r="M32" s="6589">
        <v>1</v>
      </c>
      <c r="N32" s="6589">
        <v>1</v>
      </c>
      <c r="O32" s="6589">
        <v>1</v>
      </c>
      <c r="P32" s="6589">
        <v>1</v>
      </c>
      <c r="Q32" s="6589">
        <v>1</v>
      </c>
      <c r="R32" s="6589">
        <v>1</v>
      </c>
      <c r="S32" s="6589">
        <v>10</v>
      </c>
      <c r="T32" s="6589" t="s">
        <v>86</v>
      </c>
      <c r="U32" s="5055" t="s">
        <v>2006</v>
      </c>
      <c r="V32" s="6590"/>
      <c r="W32" s="5055" t="s">
        <v>2081</v>
      </c>
      <c r="X32" s="6604">
        <v>1</v>
      </c>
      <c r="Y32" s="5057" t="s">
        <v>3640</v>
      </c>
      <c r="Z32" s="2457" t="s">
        <v>3602</v>
      </c>
      <c r="AA32" s="2457"/>
      <c r="AB32" s="2556">
        <v>1328421</v>
      </c>
      <c r="AC32" s="2561">
        <v>1328421</v>
      </c>
      <c r="AD32" s="2457"/>
      <c r="AE32" s="2457"/>
      <c r="AF32" s="2457" t="s">
        <v>3604</v>
      </c>
      <c r="AG32" s="2457" t="s">
        <v>3604</v>
      </c>
      <c r="AH32" s="2457" t="s">
        <v>3604</v>
      </c>
      <c r="AI32" s="2457" t="s">
        <v>3604</v>
      </c>
      <c r="AJ32" s="2457" t="s">
        <v>3604</v>
      </c>
      <c r="AK32" s="2457" t="s">
        <v>3604</v>
      </c>
      <c r="AL32" s="2457" t="s">
        <v>3604</v>
      </c>
      <c r="AM32" s="2457" t="s">
        <v>3604</v>
      </c>
      <c r="AN32" s="2457" t="s">
        <v>3604</v>
      </c>
      <c r="AO32" s="2457" t="s">
        <v>3604</v>
      </c>
      <c r="AP32" s="2457" t="s">
        <v>3604</v>
      </c>
      <c r="AQ32" s="2457" t="s">
        <v>3604</v>
      </c>
      <c r="AR32" s="2457" t="s">
        <v>3604</v>
      </c>
      <c r="AS32" s="2457" t="s">
        <v>3604</v>
      </c>
      <c r="AT32" s="2457" t="s">
        <v>3604</v>
      </c>
      <c r="AU32" s="2457" t="s">
        <v>3604</v>
      </c>
      <c r="AV32" s="2457" t="s">
        <v>3604</v>
      </c>
      <c r="AW32" s="2457" t="s">
        <v>3604</v>
      </c>
      <c r="AX32" s="2457" t="s">
        <v>3604</v>
      </c>
      <c r="AY32" s="2457" t="s">
        <v>3604</v>
      </c>
      <c r="AZ32" s="2457" t="s">
        <v>3604</v>
      </c>
      <c r="BA32" s="2457" t="s">
        <v>3604</v>
      </c>
      <c r="BB32" s="2457" t="s">
        <v>3604</v>
      </c>
      <c r="BC32" s="2457" t="s">
        <v>3604</v>
      </c>
      <c r="BD32" s="2457" t="s">
        <v>3604</v>
      </c>
      <c r="BE32" s="2457" t="s">
        <v>3604</v>
      </c>
      <c r="BF32" s="2457"/>
      <c r="BG32" s="2457"/>
      <c r="BH32" s="2457"/>
      <c r="BI32" s="2457"/>
      <c r="BJ32" s="2457"/>
      <c r="BK32" s="2457"/>
      <c r="BL32" s="2457"/>
      <c r="BM32" s="2457"/>
      <c r="BN32" s="2457"/>
      <c r="BO32" s="2457"/>
      <c r="BP32" s="5055" t="s">
        <v>2081</v>
      </c>
      <c r="BQ32" s="6589">
        <v>1</v>
      </c>
      <c r="BR32" s="4274">
        <f t="shared" si="0"/>
        <v>1</v>
      </c>
      <c r="BS32" s="16591"/>
      <c r="BT32" s="6595" t="s">
        <v>3640</v>
      </c>
      <c r="BU32" s="2547" t="s">
        <v>3602</v>
      </c>
      <c r="BV32" s="2547"/>
      <c r="BW32" s="6596">
        <f t="shared" si="1"/>
        <v>1328421</v>
      </c>
      <c r="BX32" s="6597">
        <v>1328421</v>
      </c>
      <c r="BY32" s="6597"/>
      <c r="BZ32" s="2457"/>
      <c r="CA32" s="2547" t="s">
        <v>3604</v>
      </c>
      <c r="CB32" s="2547" t="s">
        <v>3604</v>
      </c>
      <c r="CC32" s="2547" t="s">
        <v>3604</v>
      </c>
      <c r="CD32" s="2547" t="s">
        <v>3604</v>
      </c>
      <c r="CE32" s="2547" t="s">
        <v>3604</v>
      </c>
      <c r="CF32" s="2547" t="s">
        <v>3604</v>
      </c>
      <c r="CG32" s="2547" t="s">
        <v>3604</v>
      </c>
      <c r="CH32" s="2547" t="s">
        <v>3604</v>
      </c>
      <c r="CI32" s="2547" t="s">
        <v>3604</v>
      </c>
      <c r="CJ32" s="2547" t="s">
        <v>3604</v>
      </c>
      <c r="CK32" s="2547" t="s">
        <v>3604</v>
      </c>
      <c r="CL32" s="2547" t="s">
        <v>3604</v>
      </c>
      <c r="CM32" s="2547" t="s">
        <v>3604</v>
      </c>
      <c r="CN32" s="2547" t="s">
        <v>3604</v>
      </c>
      <c r="CO32" s="2547" t="s">
        <v>3604</v>
      </c>
      <c r="CP32" s="2547" t="s">
        <v>3604</v>
      </c>
      <c r="CQ32" s="2547" t="s">
        <v>3604</v>
      </c>
      <c r="CR32" s="2547" t="s">
        <v>3604</v>
      </c>
      <c r="CS32" s="2547" t="s">
        <v>3604</v>
      </c>
      <c r="CT32" s="2547" t="s">
        <v>3604</v>
      </c>
      <c r="CU32" s="2547" t="s">
        <v>3604</v>
      </c>
      <c r="CV32" s="2547" t="s">
        <v>3604</v>
      </c>
      <c r="CW32" s="2547" t="s">
        <v>3604</v>
      </c>
      <c r="CX32" s="2547" t="s">
        <v>3604</v>
      </c>
      <c r="CY32" s="2547" t="s">
        <v>3604</v>
      </c>
      <c r="CZ32" s="2547" t="s">
        <v>3604</v>
      </c>
      <c r="DA32" s="5055" t="s">
        <v>8646</v>
      </c>
      <c r="DB32" s="5055" t="s">
        <v>8647</v>
      </c>
      <c r="DC32" s="5055">
        <v>5</v>
      </c>
      <c r="DD32" s="5055" t="s">
        <v>3613</v>
      </c>
      <c r="DE32" s="2547" t="s">
        <v>3613</v>
      </c>
      <c r="DF32" s="2547"/>
      <c r="DG32" s="2547"/>
      <c r="DH32" s="2547"/>
      <c r="DI32" s="2547"/>
      <c r="DJ32" s="2547"/>
      <c r="DK32" s="2547"/>
      <c r="DL32" s="6600"/>
      <c r="DN32" s="3301"/>
      <c r="DO32" s="2463"/>
      <c r="DP32" s="2463"/>
      <c r="DQ32" s="2463"/>
      <c r="DR32" s="2463"/>
      <c r="DS32" s="2463"/>
      <c r="DT32" s="2463"/>
      <c r="DU32" s="2463"/>
      <c r="DV32" s="2463"/>
      <c r="DW32" s="2463"/>
      <c r="DX32" s="2463"/>
      <c r="DY32" s="2463"/>
      <c r="DZ32" s="2463"/>
      <c r="EA32" s="2463"/>
      <c r="EB32" s="2463"/>
      <c r="EC32" s="2463"/>
      <c r="ED32" s="2463"/>
      <c r="EE32" s="2463"/>
      <c r="EF32" s="2463"/>
      <c r="EG32" s="2463"/>
      <c r="EH32" s="2463"/>
      <c r="EI32" s="2463"/>
      <c r="EJ32" s="2463"/>
      <c r="EK32" s="2463"/>
      <c r="EL32" s="2463"/>
      <c r="EM32" s="2463"/>
      <c r="EN32" s="2463"/>
      <c r="EO32" s="2463"/>
      <c r="EP32" s="2463"/>
      <c r="EQ32" s="2463"/>
      <c r="ER32" s="2463"/>
      <c r="ES32" s="2463"/>
      <c r="ET32" s="2463"/>
      <c r="EU32" s="2463"/>
      <c r="EV32" s="2463"/>
      <c r="EW32" s="2463"/>
      <c r="EX32" s="2463"/>
      <c r="EY32" s="2463"/>
      <c r="EZ32" s="2463"/>
      <c r="FA32" s="2463"/>
      <c r="FB32" s="2463"/>
      <c r="FC32" s="2463"/>
      <c r="FD32" s="2463"/>
      <c r="FE32" s="2463"/>
      <c r="FF32" s="2463"/>
      <c r="FG32" s="3302"/>
    </row>
    <row r="33" spans="1:163" s="2459" customFormat="1" ht="15" customHeight="1">
      <c r="A33" s="16598"/>
      <c r="B33" s="15359"/>
      <c r="C33" s="16536" t="s">
        <v>8231</v>
      </c>
      <c r="D33" s="15359" t="s">
        <v>2082</v>
      </c>
      <c r="E33" s="16528" t="s">
        <v>2083</v>
      </c>
      <c r="F33" s="5055" t="s">
        <v>2009</v>
      </c>
      <c r="G33" s="6601">
        <v>0</v>
      </c>
      <c r="H33" s="6589">
        <v>0.2</v>
      </c>
      <c r="I33" s="6589">
        <v>0.4</v>
      </c>
      <c r="J33" s="16537">
        <v>0.6</v>
      </c>
      <c r="K33" s="6602">
        <v>0.8</v>
      </c>
      <c r="L33" s="6602">
        <v>1</v>
      </c>
      <c r="M33" s="6602">
        <v>1</v>
      </c>
      <c r="N33" s="6602">
        <v>1</v>
      </c>
      <c r="O33" s="6602">
        <v>1</v>
      </c>
      <c r="P33" s="6602">
        <v>1</v>
      </c>
      <c r="Q33" s="6602">
        <v>1</v>
      </c>
      <c r="R33" s="6602">
        <v>1</v>
      </c>
      <c r="S33" s="6602">
        <v>1</v>
      </c>
      <c r="T33" s="6602" t="s">
        <v>86</v>
      </c>
      <c r="U33" s="5055" t="s">
        <v>2006</v>
      </c>
      <c r="V33" s="2463"/>
      <c r="W33" s="5055" t="s">
        <v>2081</v>
      </c>
      <c r="X33" s="6591">
        <v>0.6</v>
      </c>
      <c r="Y33" s="5057" t="s">
        <v>3641</v>
      </c>
      <c r="Z33" s="2457" t="s">
        <v>3585</v>
      </c>
      <c r="AA33" s="5057" t="s">
        <v>3642</v>
      </c>
      <c r="AB33" s="6592">
        <v>1328421</v>
      </c>
      <c r="AC33" s="5832">
        <v>1328421</v>
      </c>
      <c r="AD33" s="6593"/>
      <c r="AE33" s="2458"/>
      <c r="AF33" s="2457">
        <v>415</v>
      </c>
      <c r="AG33" s="2457">
        <v>157</v>
      </c>
      <c r="AH33" s="2457">
        <v>259</v>
      </c>
      <c r="AI33" s="2457"/>
      <c r="AJ33" s="2457"/>
      <c r="AK33" s="2457">
        <v>12</v>
      </c>
      <c r="AL33" s="2457">
        <v>41</v>
      </c>
      <c r="AM33" s="2457">
        <v>98</v>
      </c>
      <c r="AN33" s="2457">
        <v>264</v>
      </c>
      <c r="AO33" s="2457">
        <v>0</v>
      </c>
      <c r="AP33" s="2457">
        <v>0</v>
      </c>
      <c r="AQ33" s="2457">
        <v>0</v>
      </c>
      <c r="AR33" s="2457">
        <v>389</v>
      </c>
      <c r="AS33" s="2457">
        <v>1</v>
      </c>
      <c r="AT33" s="2457">
        <v>17</v>
      </c>
      <c r="AU33" s="2457"/>
      <c r="AV33" s="2457">
        <v>8</v>
      </c>
      <c r="AW33" s="2457"/>
      <c r="AX33" s="2457"/>
      <c r="AY33" s="2457"/>
      <c r="AZ33" s="2457">
        <v>393</v>
      </c>
      <c r="BA33" s="2457">
        <v>12</v>
      </c>
      <c r="BB33" s="2457">
        <v>10</v>
      </c>
      <c r="BC33" s="2457"/>
      <c r="BD33" s="2457"/>
      <c r="BE33" s="2457"/>
      <c r="BF33" s="2457"/>
      <c r="BG33" s="2457"/>
      <c r="BH33" s="2457"/>
      <c r="BI33" s="2457"/>
      <c r="BJ33" s="2457"/>
      <c r="BK33" s="2457"/>
      <c r="BL33" s="2457"/>
      <c r="BM33" s="2457"/>
      <c r="BN33" s="2457"/>
      <c r="BO33" s="2457"/>
      <c r="BP33" s="5055" t="s">
        <v>2081</v>
      </c>
      <c r="BQ33" s="6603">
        <v>0.6</v>
      </c>
      <c r="BR33" s="4274">
        <f t="shared" si="0"/>
        <v>1</v>
      </c>
      <c r="BS33" s="16591"/>
      <c r="BT33" s="6595" t="s">
        <v>8624</v>
      </c>
      <c r="BU33" s="2547" t="s">
        <v>8625</v>
      </c>
      <c r="BV33" s="6595" t="s">
        <v>8626</v>
      </c>
      <c r="BW33" s="6596">
        <f t="shared" si="1"/>
        <v>8828421</v>
      </c>
      <c r="BX33" s="6597">
        <v>8828421</v>
      </c>
      <c r="BY33" s="6598"/>
      <c r="BZ33" s="2458"/>
      <c r="CA33" s="2547">
        <f>SUM(CB33:CC33)</f>
        <v>596</v>
      </c>
      <c r="CB33" s="6599">
        <v>279</v>
      </c>
      <c r="CC33" s="6599">
        <v>317</v>
      </c>
      <c r="CD33" s="6599">
        <v>489</v>
      </c>
      <c r="CE33" s="6599">
        <v>107</v>
      </c>
      <c r="CF33" s="6599">
        <v>0</v>
      </c>
      <c r="CG33" s="6599">
        <v>61</v>
      </c>
      <c r="CH33" s="6599">
        <v>197</v>
      </c>
      <c r="CI33" s="6599">
        <v>145</v>
      </c>
      <c r="CJ33" s="6599">
        <v>101</v>
      </c>
      <c r="CK33" s="6599">
        <v>60</v>
      </c>
      <c r="CL33" s="6599">
        <v>32</v>
      </c>
      <c r="CM33" s="6599">
        <v>587</v>
      </c>
      <c r="CN33" s="2547">
        <v>0</v>
      </c>
      <c r="CO33" s="2547">
        <v>3</v>
      </c>
      <c r="CP33" s="2547">
        <v>6</v>
      </c>
      <c r="CQ33" s="2547">
        <v>0</v>
      </c>
      <c r="CR33" s="2547">
        <v>0</v>
      </c>
      <c r="CS33" s="2547">
        <v>0</v>
      </c>
      <c r="CT33" s="2547">
        <v>0</v>
      </c>
      <c r="CU33" s="6599">
        <v>572</v>
      </c>
      <c r="CV33" s="2547">
        <v>18</v>
      </c>
      <c r="CW33" s="2547">
        <v>6</v>
      </c>
      <c r="CX33" s="2547">
        <v>0</v>
      </c>
      <c r="CY33" s="2547">
        <v>0</v>
      </c>
      <c r="CZ33" s="2547">
        <v>0</v>
      </c>
      <c r="DA33" s="2547"/>
      <c r="DB33" s="2547"/>
      <c r="DC33" s="2547"/>
      <c r="DD33" s="2547"/>
      <c r="DE33" s="2547"/>
      <c r="DF33" s="2547"/>
      <c r="DG33" s="2547"/>
      <c r="DH33" s="2547"/>
      <c r="DI33" s="2547"/>
      <c r="DJ33" s="2547"/>
      <c r="DK33" s="2547"/>
      <c r="DL33" s="6600"/>
      <c r="DN33" s="3301"/>
      <c r="DO33" s="2463"/>
      <c r="DP33" s="2463"/>
      <c r="DQ33" s="2463"/>
      <c r="DR33" s="2463"/>
      <c r="DS33" s="2463"/>
      <c r="DT33" s="2463"/>
      <c r="DU33" s="2463"/>
      <c r="DV33" s="2463"/>
      <c r="DW33" s="2463"/>
      <c r="DX33" s="2463"/>
      <c r="DY33" s="2463"/>
      <c r="DZ33" s="2463"/>
      <c r="EA33" s="2463"/>
      <c r="EB33" s="2463"/>
      <c r="EC33" s="2463"/>
      <c r="ED33" s="2463"/>
      <c r="EE33" s="2463"/>
      <c r="EF33" s="2463"/>
      <c r="EG33" s="2463"/>
      <c r="EH33" s="2463"/>
      <c r="EI33" s="2463"/>
      <c r="EJ33" s="2463"/>
      <c r="EK33" s="2463"/>
      <c r="EL33" s="2463"/>
      <c r="EM33" s="2463"/>
      <c r="EN33" s="2463"/>
      <c r="EO33" s="2463"/>
      <c r="EP33" s="2463"/>
      <c r="EQ33" s="2463"/>
      <c r="ER33" s="2463"/>
      <c r="ES33" s="2463"/>
      <c r="ET33" s="2463"/>
      <c r="EU33" s="2463"/>
      <c r="EV33" s="2463"/>
      <c r="EW33" s="2463"/>
      <c r="EX33" s="2463"/>
      <c r="EY33" s="2463"/>
      <c r="EZ33" s="2463"/>
      <c r="FA33" s="2463"/>
      <c r="FB33" s="2463"/>
      <c r="FC33" s="2463"/>
      <c r="FD33" s="2463"/>
      <c r="FE33" s="2463"/>
      <c r="FF33" s="2463"/>
      <c r="FG33" s="3302"/>
    </row>
    <row r="34" spans="1:163" s="2459" customFormat="1" ht="15" customHeight="1">
      <c r="A34" s="16598"/>
      <c r="B34" s="15359"/>
      <c r="C34" s="16536"/>
      <c r="D34" s="15359"/>
      <c r="E34" s="16535"/>
      <c r="F34" s="5055"/>
      <c r="G34" s="6601"/>
      <c r="H34" s="6589"/>
      <c r="I34" s="6589"/>
      <c r="J34" s="16537"/>
      <c r="K34" s="6602"/>
      <c r="L34" s="6602"/>
      <c r="M34" s="6602"/>
      <c r="N34" s="6602"/>
      <c r="O34" s="6602"/>
      <c r="P34" s="6602"/>
      <c r="Q34" s="6602"/>
      <c r="R34" s="6602"/>
      <c r="S34" s="6602"/>
      <c r="T34" s="6602" t="s">
        <v>2896</v>
      </c>
      <c r="U34" s="5055"/>
      <c r="V34" s="5055" t="s">
        <v>163</v>
      </c>
      <c r="W34" s="5055"/>
      <c r="X34" s="6591"/>
      <c r="Y34" s="5057"/>
      <c r="Z34" s="2457"/>
      <c r="AA34" s="5057"/>
      <c r="AB34" s="6592"/>
      <c r="AC34" s="5832"/>
      <c r="AD34" s="6593"/>
      <c r="AE34" s="2458"/>
      <c r="AF34" s="2457"/>
      <c r="AG34" s="2457"/>
      <c r="AH34" s="2457"/>
      <c r="AI34" s="2457"/>
      <c r="AJ34" s="2457"/>
      <c r="AK34" s="2457"/>
      <c r="AL34" s="2457"/>
      <c r="AM34" s="2457"/>
      <c r="AN34" s="2457"/>
      <c r="AO34" s="2457"/>
      <c r="AP34" s="2457"/>
      <c r="AQ34" s="2457"/>
      <c r="AR34" s="2457"/>
      <c r="AS34" s="2457"/>
      <c r="AT34" s="2457"/>
      <c r="AU34" s="2457"/>
      <c r="AV34" s="2457"/>
      <c r="AW34" s="2457"/>
      <c r="AX34" s="2457"/>
      <c r="AY34" s="2457"/>
      <c r="AZ34" s="2457"/>
      <c r="BA34" s="2457"/>
      <c r="BB34" s="2457"/>
      <c r="BC34" s="2457"/>
      <c r="BD34" s="2457"/>
      <c r="BE34" s="2457"/>
      <c r="BF34" s="2457"/>
      <c r="BG34" s="2457"/>
      <c r="BH34" s="2457"/>
      <c r="BI34" s="2457"/>
      <c r="BJ34" s="2457"/>
      <c r="BK34" s="2457"/>
      <c r="BL34" s="2457"/>
      <c r="BM34" s="2457"/>
      <c r="BN34" s="2457"/>
      <c r="BO34" s="2457"/>
      <c r="BP34" s="5055"/>
      <c r="BQ34" s="6603"/>
      <c r="BR34" s="4274"/>
      <c r="BS34" s="16591"/>
      <c r="BT34" s="6595"/>
      <c r="BU34" s="2547"/>
      <c r="BV34" s="6595"/>
      <c r="BW34" s="6596"/>
      <c r="BX34" s="6597"/>
      <c r="BY34" s="6598"/>
      <c r="BZ34" s="2458"/>
      <c r="CA34" s="2547"/>
      <c r="CB34" s="6599"/>
      <c r="CC34" s="6599"/>
      <c r="CD34" s="6599"/>
      <c r="CE34" s="6599"/>
      <c r="CF34" s="6599"/>
      <c r="CG34" s="6599"/>
      <c r="CH34" s="6599"/>
      <c r="CI34" s="6599"/>
      <c r="CJ34" s="6599"/>
      <c r="CK34" s="6599"/>
      <c r="CL34" s="6599"/>
      <c r="CM34" s="6599"/>
      <c r="CN34" s="2547"/>
      <c r="CO34" s="2547"/>
      <c r="CP34" s="2547"/>
      <c r="CQ34" s="2547"/>
      <c r="CR34" s="2547"/>
      <c r="CS34" s="2547"/>
      <c r="CT34" s="2547"/>
      <c r="CU34" s="6599"/>
      <c r="CV34" s="2547"/>
      <c r="CW34" s="2547"/>
      <c r="CX34" s="2547"/>
      <c r="CY34" s="2547"/>
      <c r="CZ34" s="2547"/>
      <c r="DA34" s="2547"/>
      <c r="DB34" s="2547"/>
      <c r="DC34" s="2547"/>
      <c r="DD34" s="2547"/>
      <c r="DE34" s="2547"/>
      <c r="DF34" s="2547"/>
      <c r="DG34" s="2547"/>
      <c r="DH34" s="2547"/>
      <c r="DI34" s="2547"/>
      <c r="DJ34" s="2547"/>
      <c r="DK34" s="2547"/>
      <c r="DL34" s="6600"/>
      <c r="DN34" s="3301"/>
      <c r="DO34" s="2463"/>
      <c r="DP34" s="2463"/>
      <c r="DQ34" s="2463"/>
      <c r="DR34" s="2463"/>
      <c r="DS34" s="2463"/>
      <c r="DT34" s="2463"/>
      <c r="DU34" s="2463"/>
      <c r="DV34" s="2463"/>
      <c r="DW34" s="2463"/>
      <c r="DX34" s="2463"/>
      <c r="DY34" s="2463"/>
      <c r="DZ34" s="2463"/>
      <c r="EA34" s="2463"/>
      <c r="EB34" s="2463"/>
      <c r="EC34" s="2463"/>
      <c r="ED34" s="2463"/>
      <c r="EE34" s="2463"/>
      <c r="EF34" s="2463"/>
      <c r="EG34" s="2463"/>
      <c r="EH34" s="2463"/>
      <c r="EI34" s="2463"/>
      <c r="EJ34" s="2463"/>
      <c r="EK34" s="2463"/>
      <c r="EL34" s="2463"/>
      <c r="EM34" s="2463"/>
      <c r="EN34" s="2463"/>
      <c r="EO34" s="2463"/>
      <c r="EP34" s="2463"/>
      <c r="EQ34" s="2463"/>
      <c r="ER34" s="2463"/>
      <c r="ES34" s="2463"/>
      <c r="ET34" s="2463"/>
      <c r="EU34" s="2463"/>
      <c r="EV34" s="2463"/>
      <c r="EW34" s="2463"/>
      <c r="EX34" s="2463"/>
      <c r="EY34" s="2463"/>
      <c r="EZ34" s="2463"/>
      <c r="FA34" s="2463"/>
      <c r="FB34" s="2463"/>
      <c r="FC34" s="2463"/>
      <c r="FD34" s="2463"/>
      <c r="FE34" s="2463"/>
      <c r="FF34" s="2463"/>
      <c r="FG34" s="3302"/>
    </row>
    <row r="35" spans="1:163" s="2459" customFormat="1" ht="15" customHeight="1">
      <c r="A35" s="16598"/>
      <c r="B35" s="15359"/>
      <c r="C35" s="5168" t="s">
        <v>8232</v>
      </c>
      <c r="D35" s="6587" t="s">
        <v>2084</v>
      </c>
      <c r="E35" s="5055" t="s">
        <v>2085</v>
      </c>
      <c r="F35" s="5055" t="s">
        <v>2009</v>
      </c>
      <c r="G35" s="6601">
        <v>0</v>
      </c>
      <c r="H35" s="6602">
        <v>0.1</v>
      </c>
      <c r="I35" s="6602">
        <v>0.2</v>
      </c>
      <c r="J35" s="6602">
        <v>0.3</v>
      </c>
      <c r="K35" s="6602">
        <v>0.4</v>
      </c>
      <c r="L35" s="6602">
        <v>0.5</v>
      </c>
      <c r="M35" s="6602">
        <v>0.6</v>
      </c>
      <c r="N35" s="6602">
        <v>0.7</v>
      </c>
      <c r="O35" s="6602">
        <v>0.8</v>
      </c>
      <c r="P35" s="6602">
        <v>0.9</v>
      </c>
      <c r="Q35" s="6602">
        <v>1</v>
      </c>
      <c r="R35" s="6602">
        <v>1</v>
      </c>
      <c r="S35" s="6602">
        <v>1</v>
      </c>
      <c r="T35" s="6602" t="s">
        <v>86</v>
      </c>
      <c r="U35" s="5055" t="s">
        <v>2006</v>
      </c>
      <c r="V35" s="6590"/>
      <c r="W35" s="5055" t="s">
        <v>2086</v>
      </c>
      <c r="X35" s="6591">
        <v>0.6</v>
      </c>
      <c r="Y35" s="5057" t="s">
        <v>3643</v>
      </c>
      <c r="Z35" s="2457" t="s">
        <v>3602</v>
      </c>
      <c r="AA35" s="2457"/>
      <c r="AB35" s="2457" t="s">
        <v>3604</v>
      </c>
      <c r="AC35" s="2561"/>
      <c r="AD35" s="2457"/>
      <c r="AE35" s="2457"/>
      <c r="AF35" s="2457" t="s">
        <v>3604</v>
      </c>
      <c r="AG35" s="2457" t="s">
        <v>3604</v>
      </c>
      <c r="AH35" s="2457" t="s">
        <v>3604</v>
      </c>
      <c r="AI35" s="2457" t="s">
        <v>3604</v>
      </c>
      <c r="AJ35" s="2457" t="s">
        <v>3604</v>
      </c>
      <c r="AK35" s="2457" t="s">
        <v>3604</v>
      </c>
      <c r="AL35" s="2457" t="s">
        <v>3604</v>
      </c>
      <c r="AM35" s="2457" t="s">
        <v>3604</v>
      </c>
      <c r="AN35" s="2457" t="s">
        <v>3604</v>
      </c>
      <c r="AO35" s="2457" t="s">
        <v>3604</v>
      </c>
      <c r="AP35" s="2457" t="s">
        <v>3604</v>
      </c>
      <c r="AQ35" s="2457" t="s">
        <v>3604</v>
      </c>
      <c r="AR35" s="2457" t="s">
        <v>3604</v>
      </c>
      <c r="AS35" s="2457" t="s">
        <v>3604</v>
      </c>
      <c r="AT35" s="2457" t="s">
        <v>3604</v>
      </c>
      <c r="AU35" s="2457" t="s">
        <v>3604</v>
      </c>
      <c r="AV35" s="2457" t="s">
        <v>3604</v>
      </c>
      <c r="AW35" s="2457" t="s">
        <v>3604</v>
      </c>
      <c r="AX35" s="2457" t="s">
        <v>3604</v>
      </c>
      <c r="AY35" s="2457" t="s">
        <v>3604</v>
      </c>
      <c r="AZ35" s="2457" t="s">
        <v>3604</v>
      </c>
      <c r="BA35" s="2457" t="s">
        <v>3604</v>
      </c>
      <c r="BB35" s="2457" t="s">
        <v>3604</v>
      </c>
      <c r="BC35" s="2457" t="s">
        <v>3604</v>
      </c>
      <c r="BD35" s="2457" t="s">
        <v>3604</v>
      </c>
      <c r="BE35" s="2457" t="s">
        <v>3604</v>
      </c>
      <c r="BF35" s="2457"/>
      <c r="BG35" s="2457"/>
      <c r="BH35" s="2457"/>
      <c r="BI35" s="2457"/>
      <c r="BJ35" s="2457"/>
      <c r="BK35" s="2457"/>
      <c r="BL35" s="2457"/>
      <c r="BM35" s="2457"/>
      <c r="BN35" s="2457"/>
      <c r="BO35" s="2457"/>
      <c r="BP35" s="5055" t="s">
        <v>2086</v>
      </c>
      <c r="BQ35" s="6603">
        <v>0.3</v>
      </c>
      <c r="BR35" s="4274">
        <f t="shared" si="0"/>
        <v>1</v>
      </c>
      <c r="BS35" s="16591"/>
      <c r="BT35" s="6595" t="s">
        <v>3643</v>
      </c>
      <c r="BU35" s="2547" t="s">
        <v>3602</v>
      </c>
      <c r="BV35" s="2547"/>
      <c r="BW35" s="6596">
        <f t="shared" si="1"/>
        <v>1328421</v>
      </c>
      <c r="BX35" s="6597">
        <v>1328421</v>
      </c>
      <c r="BY35" s="6597"/>
      <c r="BZ35" s="2457"/>
      <c r="CA35" s="2547" t="s">
        <v>3604</v>
      </c>
      <c r="CB35" s="2547" t="s">
        <v>3604</v>
      </c>
      <c r="CC35" s="2547" t="s">
        <v>3604</v>
      </c>
      <c r="CD35" s="2547" t="s">
        <v>3604</v>
      </c>
      <c r="CE35" s="2547" t="s">
        <v>3604</v>
      </c>
      <c r="CF35" s="2547" t="s">
        <v>3604</v>
      </c>
      <c r="CG35" s="2547" t="s">
        <v>3604</v>
      </c>
      <c r="CH35" s="2547" t="s">
        <v>3604</v>
      </c>
      <c r="CI35" s="2547" t="s">
        <v>3604</v>
      </c>
      <c r="CJ35" s="2547" t="s">
        <v>3604</v>
      </c>
      <c r="CK35" s="2547" t="s">
        <v>3604</v>
      </c>
      <c r="CL35" s="2547" t="s">
        <v>3604</v>
      </c>
      <c r="CM35" s="2547" t="s">
        <v>3604</v>
      </c>
      <c r="CN35" s="2547" t="s">
        <v>3604</v>
      </c>
      <c r="CO35" s="2547" t="s">
        <v>3604</v>
      </c>
      <c r="CP35" s="2547" t="s">
        <v>3604</v>
      </c>
      <c r="CQ35" s="2547" t="s">
        <v>3604</v>
      </c>
      <c r="CR35" s="2547" t="s">
        <v>3604</v>
      </c>
      <c r="CS35" s="2547" t="s">
        <v>3604</v>
      </c>
      <c r="CT35" s="2547" t="s">
        <v>3604</v>
      </c>
      <c r="CU35" s="2547" t="s">
        <v>3604</v>
      </c>
      <c r="CV35" s="2547" t="s">
        <v>3604</v>
      </c>
      <c r="CW35" s="2547" t="s">
        <v>3604</v>
      </c>
      <c r="CX35" s="2547" t="s">
        <v>3604</v>
      </c>
      <c r="CY35" s="2547" t="s">
        <v>3604</v>
      </c>
      <c r="CZ35" s="2547" t="s">
        <v>3604</v>
      </c>
      <c r="DA35" s="5055" t="s">
        <v>8648</v>
      </c>
      <c r="DB35" s="5055" t="s">
        <v>8649</v>
      </c>
      <c r="DC35" s="2547">
        <v>12</v>
      </c>
      <c r="DD35" s="5055" t="s">
        <v>3613</v>
      </c>
      <c r="DE35" s="2547" t="s">
        <v>3613</v>
      </c>
      <c r="DF35" s="2547"/>
      <c r="DG35" s="2547"/>
      <c r="DH35" s="2547"/>
      <c r="DI35" s="2547"/>
      <c r="DJ35" s="2547"/>
      <c r="DK35" s="2547"/>
      <c r="DL35" s="6600"/>
      <c r="DN35" s="3301"/>
      <c r="DO35" s="2463"/>
      <c r="DP35" s="2463"/>
      <c r="DQ35" s="2463"/>
      <c r="DR35" s="2463"/>
      <c r="DS35" s="2463"/>
      <c r="DT35" s="2463"/>
      <c r="DU35" s="2463"/>
      <c r="DV35" s="2463"/>
      <c r="DW35" s="2463"/>
      <c r="DX35" s="2463"/>
      <c r="DY35" s="2463"/>
      <c r="DZ35" s="2463"/>
      <c r="EA35" s="2463"/>
      <c r="EB35" s="2463"/>
      <c r="EC35" s="2463"/>
      <c r="ED35" s="2463"/>
      <c r="EE35" s="2463"/>
      <c r="EF35" s="2463"/>
      <c r="EG35" s="2463"/>
      <c r="EH35" s="2463"/>
      <c r="EI35" s="2463"/>
      <c r="EJ35" s="2463"/>
      <c r="EK35" s="2463"/>
      <c r="EL35" s="2463"/>
      <c r="EM35" s="2463"/>
      <c r="EN35" s="2463"/>
      <c r="EO35" s="2463"/>
      <c r="EP35" s="2463"/>
      <c r="EQ35" s="2463"/>
      <c r="ER35" s="2463"/>
      <c r="ES35" s="2463"/>
      <c r="ET35" s="2463"/>
      <c r="EU35" s="2463"/>
      <c r="EV35" s="2463"/>
      <c r="EW35" s="2463"/>
      <c r="EX35" s="2463"/>
      <c r="EY35" s="2463"/>
      <c r="EZ35" s="2463"/>
      <c r="FA35" s="2463"/>
      <c r="FB35" s="2463"/>
      <c r="FC35" s="2463"/>
      <c r="FD35" s="2463"/>
      <c r="FE35" s="2463"/>
      <c r="FF35" s="2463"/>
      <c r="FG35" s="3302"/>
    </row>
    <row r="36" spans="1:163" s="2459" customFormat="1" ht="15" customHeight="1">
      <c r="A36" s="16598"/>
      <c r="B36" s="15359"/>
      <c r="C36" s="5168" t="s">
        <v>8233</v>
      </c>
      <c r="D36" s="6587" t="s">
        <v>2087</v>
      </c>
      <c r="E36" s="5055" t="s">
        <v>2088</v>
      </c>
      <c r="F36" s="5055" t="s">
        <v>2025</v>
      </c>
      <c r="G36" s="6601">
        <v>2</v>
      </c>
      <c r="H36" s="6589">
        <v>3</v>
      </c>
      <c r="I36" s="6589">
        <v>3</v>
      </c>
      <c r="J36" s="6589">
        <v>4</v>
      </c>
      <c r="K36" s="6589">
        <v>4</v>
      </c>
      <c r="L36" s="6589">
        <v>5</v>
      </c>
      <c r="M36" s="6589">
        <v>5</v>
      </c>
      <c r="N36" s="6589">
        <v>6</v>
      </c>
      <c r="O36" s="6589">
        <v>6</v>
      </c>
      <c r="P36" s="6589">
        <v>7</v>
      </c>
      <c r="Q36" s="6589">
        <v>7</v>
      </c>
      <c r="R36" s="6589">
        <v>8</v>
      </c>
      <c r="S36" s="6589">
        <v>8</v>
      </c>
      <c r="T36" s="6589" t="s">
        <v>86</v>
      </c>
      <c r="U36" s="5055" t="s">
        <v>2006</v>
      </c>
      <c r="V36" s="6590"/>
      <c r="W36" s="5055" t="s">
        <v>2081</v>
      </c>
      <c r="X36" s="6591">
        <v>1</v>
      </c>
      <c r="Y36" s="5057" t="s">
        <v>3644</v>
      </c>
      <c r="Z36" s="2457" t="s">
        <v>3602</v>
      </c>
      <c r="AA36" s="2457"/>
      <c r="AB36" s="2556">
        <v>1328421</v>
      </c>
      <c r="AC36" s="2561">
        <v>1328421</v>
      </c>
      <c r="AD36" s="2457"/>
      <c r="AE36" s="2457"/>
      <c r="AF36" s="2457" t="s">
        <v>3604</v>
      </c>
      <c r="AG36" s="2457" t="s">
        <v>3604</v>
      </c>
      <c r="AH36" s="2457" t="s">
        <v>3604</v>
      </c>
      <c r="AI36" s="2457" t="s">
        <v>3604</v>
      </c>
      <c r="AJ36" s="2457" t="s">
        <v>3604</v>
      </c>
      <c r="AK36" s="2457" t="s">
        <v>3604</v>
      </c>
      <c r="AL36" s="2457" t="s">
        <v>3604</v>
      </c>
      <c r="AM36" s="2457" t="s">
        <v>3604</v>
      </c>
      <c r="AN36" s="2457" t="s">
        <v>3604</v>
      </c>
      <c r="AO36" s="2457" t="s">
        <v>3604</v>
      </c>
      <c r="AP36" s="2457" t="s">
        <v>3604</v>
      </c>
      <c r="AQ36" s="2457" t="s">
        <v>3604</v>
      </c>
      <c r="AR36" s="2457" t="s">
        <v>3604</v>
      </c>
      <c r="AS36" s="2457" t="s">
        <v>3604</v>
      </c>
      <c r="AT36" s="2457" t="s">
        <v>3604</v>
      </c>
      <c r="AU36" s="2457" t="s">
        <v>3604</v>
      </c>
      <c r="AV36" s="2457" t="s">
        <v>3604</v>
      </c>
      <c r="AW36" s="2457" t="s">
        <v>3604</v>
      </c>
      <c r="AX36" s="2457" t="s">
        <v>3604</v>
      </c>
      <c r="AY36" s="2457" t="s">
        <v>3604</v>
      </c>
      <c r="AZ36" s="2457" t="s">
        <v>3604</v>
      </c>
      <c r="BA36" s="2457" t="s">
        <v>3604</v>
      </c>
      <c r="BB36" s="2457" t="s">
        <v>3604</v>
      </c>
      <c r="BC36" s="2457" t="s">
        <v>3604</v>
      </c>
      <c r="BD36" s="2457" t="s">
        <v>3604</v>
      </c>
      <c r="BE36" s="2457" t="s">
        <v>3604</v>
      </c>
      <c r="BF36" s="2457"/>
      <c r="BG36" s="2457"/>
      <c r="BH36" s="2457"/>
      <c r="BI36" s="2457"/>
      <c r="BJ36" s="2457"/>
      <c r="BK36" s="2457"/>
      <c r="BL36" s="2457"/>
      <c r="BM36" s="2457"/>
      <c r="BN36" s="2457"/>
      <c r="BO36" s="2457"/>
      <c r="BP36" s="5055" t="s">
        <v>2081</v>
      </c>
      <c r="BQ36" s="6589">
        <v>4</v>
      </c>
      <c r="BR36" s="4274">
        <f t="shared" si="0"/>
        <v>1</v>
      </c>
      <c r="BS36" s="16591"/>
      <c r="BT36" s="6595" t="s">
        <v>8627</v>
      </c>
      <c r="BU36" s="2547" t="s">
        <v>3602</v>
      </c>
      <c r="BV36" s="2547"/>
      <c r="BW36" s="6596">
        <f t="shared" si="1"/>
        <v>1328421</v>
      </c>
      <c r="BX36" s="6597">
        <v>1328421</v>
      </c>
      <c r="BY36" s="6597"/>
      <c r="BZ36" s="2457"/>
      <c r="CA36" s="2547" t="s">
        <v>3604</v>
      </c>
      <c r="CB36" s="2547" t="s">
        <v>3604</v>
      </c>
      <c r="CC36" s="2547" t="s">
        <v>3604</v>
      </c>
      <c r="CD36" s="2547" t="s">
        <v>3604</v>
      </c>
      <c r="CE36" s="2547" t="s">
        <v>3604</v>
      </c>
      <c r="CF36" s="2547" t="s">
        <v>3604</v>
      </c>
      <c r="CG36" s="2547" t="s">
        <v>3604</v>
      </c>
      <c r="CH36" s="2547" t="s">
        <v>3604</v>
      </c>
      <c r="CI36" s="2547" t="s">
        <v>3604</v>
      </c>
      <c r="CJ36" s="2547" t="s">
        <v>3604</v>
      </c>
      <c r="CK36" s="2547" t="s">
        <v>3604</v>
      </c>
      <c r="CL36" s="2547" t="s">
        <v>3604</v>
      </c>
      <c r="CM36" s="2547" t="s">
        <v>3604</v>
      </c>
      <c r="CN36" s="2547" t="s">
        <v>3604</v>
      </c>
      <c r="CO36" s="2547" t="s">
        <v>3604</v>
      </c>
      <c r="CP36" s="2547" t="s">
        <v>3604</v>
      </c>
      <c r="CQ36" s="2547" t="s">
        <v>3604</v>
      </c>
      <c r="CR36" s="2547" t="s">
        <v>3604</v>
      </c>
      <c r="CS36" s="2547" t="s">
        <v>3604</v>
      </c>
      <c r="CT36" s="2547" t="s">
        <v>3604</v>
      </c>
      <c r="CU36" s="2547" t="s">
        <v>3604</v>
      </c>
      <c r="CV36" s="2547" t="s">
        <v>3604</v>
      </c>
      <c r="CW36" s="2547" t="s">
        <v>3604</v>
      </c>
      <c r="CX36" s="2547" t="s">
        <v>3604</v>
      </c>
      <c r="CY36" s="2547" t="s">
        <v>3604</v>
      </c>
      <c r="CZ36" s="2547" t="s">
        <v>3604</v>
      </c>
      <c r="DA36" s="5057" t="s">
        <v>8631</v>
      </c>
      <c r="DB36" s="5831" t="s">
        <v>8650</v>
      </c>
      <c r="DC36" s="2457">
        <v>16</v>
      </c>
      <c r="DD36" s="5057" t="s">
        <v>3613</v>
      </c>
      <c r="DE36" s="5057" t="s">
        <v>3613</v>
      </c>
      <c r="DF36" s="2547"/>
      <c r="DG36" s="2547"/>
      <c r="DH36" s="2547"/>
      <c r="DI36" s="2547"/>
      <c r="DJ36" s="2547"/>
      <c r="DK36" s="2547"/>
      <c r="DL36" s="6600"/>
      <c r="DN36" s="3301"/>
      <c r="DO36" s="2463"/>
      <c r="DP36" s="2463"/>
      <c r="DQ36" s="2463"/>
      <c r="DR36" s="2463"/>
      <c r="DS36" s="2463"/>
      <c r="DT36" s="2463"/>
      <c r="DU36" s="2463"/>
      <c r="DV36" s="2463"/>
      <c r="DW36" s="2463"/>
      <c r="DX36" s="2463"/>
      <c r="DY36" s="2463"/>
      <c r="DZ36" s="2463"/>
      <c r="EA36" s="2463"/>
      <c r="EB36" s="2463"/>
      <c r="EC36" s="2463"/>
      <c r="ED36" s="2463"/>
      <c r="EE36" s="2463"/>
      <c r="EF36" s="2463"/>
      <c r="EG36" s="2463"/>
      <c r="EH36" s="2463"/>
      <c r="EI36" s="2463"/>
      <c r="EJ36" s="2463"/>
      <c r="EK36" s="2463"/>
      <c r="EL36" s="2463"/>
      <c r="EM36" s="2463"/>
      <c r="EN36" s="2463"/>
      <c r="EO36" s="2463"/>
      <c r="EP36" s="2463"/>
      <c r="EQ36" s="2463"/>
      <c r="ER36" s="2463"/>
      <c r="ES36" s="2463"/>
      <c r="ET36" s="2463"/>
      <c r="EU36" s="2463"/>
      <c r="EV36" s="2463"/>
      <c r="EW36" s="2463"/>
      <c r="EX36" s="2463"/>
      <c r="EY36" s="2463"/>
      <c r="EZ36" s="2463"/>
      <c r="FA36" s="2463"/>
      <c r="FB36" s="2463"/>
      <c r="FC36" s="2463"/>
      <c r="FD36" s="2463"/>
      <c r="FE36" s="2463"/>
      <c r="FF36" s="2463"/>
      <c r="FG36" s="3302"/>
    </row>
    <row r="37" spans="1:163" s="2459" customFormat="1" ht="15" customHeight="1">
      <c r="A37" s="16598"/>
      <c r="B37" s="15359"/>
      <c r="C37" s="16536" t="s">
        <v>8234</v>
      </c>
      <c r="D37" s="15359" t="s">
        <v>2089</v>
      </c>
      <c r="E37" s="16528" t="s">
        <v>2090</v>
      </c>
      <c r="F37" s="5055" t="s">
        <v>2009</v>
      </c>
      <c r="G37" s="6601">
        <v>0.6</v>
      </c>
      <c r="H37" s="6589">
        <v>0.7</v>
      </c>
      <c r="I37" s="6589">
        <v>0.7</v>
      </c>
      <c r="J37" s="16537">
        <v>0.8</v>
      </c>
      <c r="K37" s="6602">
        <v>0.8</v>
      </c>
      <c r="L37" s="6602">
        <v>0.9</v>
      </c>
      <c r="M37" s="6602">
        <v>0.9</v>
      </c>
      <c r="N37" s="6602">
        <v>1</v>
      </c>
      <c r="O37" s="6602">
        <v>1</v>
      </c>
      <c r="P37" s="6602">
        <v>1</v>
      </c>
      <c r="Q37" s="6602">
        <v>1</v>
      </c>
      <c r="R37" s="6602">
        <v>1</v>
      </c>
      <c r="S37" s="6602">
        <v>1</v>
      </c>
      <c r="T37" s="6602" t="s">
        <v>86</v>
      </c>
      <c r="U37" s="5055" t="s">
        <v>2006</v>
      </c>
      <c r="V37" s="2463"/>
      <c r="W37" s="5055"/>
      <c r="X37" s="2565">
        <v>0.7</v>
      </c>
      <c r="Y37" s="5057" t="s">
        <v>3645</v>
      </c>
      <c r="Z37" s="2457" t="s">
        <v>3602</v>
      </c>
      <c r="AA37" s="2457"/>
      <c r="AB37" s="2556">
        <v>1328421</v>
      </c>
      <c r="AC37" s="2561">
        <v>1328421</v>
      </c>
      <c r="AD37" s="2457"/>
      <c r="AE37" s="2457"/>
      <c r="AF37" s="2457" t="s">
        <v>3604</v>
      </c>
      <c r="AG37" s="2457" t="s">
        <v>3604</v>
      </c>
      <c r="AH37" s="2457" t="s">
        <v>3604</v>
      </c>
      <c r="AI37" s="2457" t="s">
        <v>3604</v>
      </c>
      <c r="AJ37" s="2457" t="s">
        <v>3604</v>
      </c>
      <c r="AK37" s="2457" t="s">
        <v>3604</v>
      </c>
      <c r="AL37" s="2457" t="s">
        <v>3604</v>
      </c>
      <c r="AM37" s="2457" t="s">
        <v>3604</v>
      </c>
      <c r="AN37" s="2457" t="s">
        <v>3604</v>
      </c>
      <c r="AO37" s="2457" t="s">
        <v>3604</v>
      </c>
      <c r="AP37" s="2457" t="s">
        <v>3604</v>
      </c>
      <c r="AQ37" s="2457" t="s">
        <v>3604</v>
      </c>
      <c r="AR37" s="2457" t="s">
        <v>3604</v>
      </c>
      <c r="AS37" s="2457" t="s">
        <v>3604</v>
      </c>
      <c r="AT37" s="2457" t="s">
        <v>3604</v>
      </c>
      <c r="AU37" s="2457" t="s">
        <v>3604</v>
      </c>
      <c r="AV37" s="2457" t="s">
        <v>3604</v>
      </c>
      <c r="AW37" s="2457" t="s">
        <v>3604</v>
      </c>
      <c r="AX37" s="2457" t="s">
        <v>3604</v>
      </c>
      <c r="AY37" s="2457" t="s">
        <v>3604</v>
      </c>
      <c r="AZ37" s="2457" t="s">
        <v>3604</v>
      </c>
      <c r="BA37" s="2457" t="s">
        <v>3604</v>
      </c>
      <c r="BB37" s="2457" t="s">
        <v>3604</v>
      </c>
      <c r="BC37" s="2457" t="s">
        <v>3604</v>
      </c>
      <c r="BD37" s="2457" t="s">
        <v>3604</v>
      </c>
      <c r="BE37" s="2457" t="s">
        <v>3604</v>
      </c>
      <c r="BF37" s="2457"/>
      <c r="BG37" s="2457"/>
      <c r="BH37" s="2457"/>
      <c r="BI37" s="2457"/>
      <c r="BJ37" s="2457"/>
      <c r="BK37" s="2457"/>
      <c r="BL37" s="2457"/>
      <c r="BM37" s="2457"/>
      <c r="BN37" s="2457"/>
      <c r="BO37" s="2457"/>
      <c r="BP37" s="5055"/>
      <c r="BQ37" s="6603">
        <v>0.8</v>
      </c>
      <c r="BR37" s="4274">
        <f t="shared" si="0"/>
        <v>1</v>
      </c>
      <c r="BS37" s="16591"/>
      <c r="BT37" s="6595" t="s">
        <v>8628</v>
      </c>
      <c r="BU37" s="2547" t="s">
        <v>3602</v>
      </c>
      <c r="BV37" s="2547"/>
      <c r="BW37" s="6596">
        <f t="shared" si="1"/>
        <v>1328421</v>
      </c>
      <c r="BX37" s="6597">
        <v>1328421</v>
      </c>
      <c r="BY37" s="6597"/>
      <c r="BZ37" s="2457"/>
      <c r="CA37" s="2547" t="s">
        <v>3604</v>
      </c>
      <c r="CB37" s="2547" t="s">
        <v>3604</v>
      </c>
      <c r="CC37" s="2547" t="s">
        <v>3604</v>
      </c>
      <c r="CD37" s="2547" t="s">
        <v>3604</v>
      </c>
      <c r="CE37" s="2547" t="s">
        <v>3604</v>
      </c>
      <c r="CF37" s="2547" t="s">
        <v>3604</v>
      </c>
      <c r="CG37" s="2547" t="s">
        <v>3604</v>
      </c>
      <c r="CH37" s="2547" t="s">
        <v>3604</v>
      </c>
      <c r="CI37" s="2547" t="s">
        <v>3604</v>
      </c>
      <c r="CJ37" s="2547" t="s">
        <v>3604</v>
      </c>
      <c r="CK37" s="2547" t="s">
        <v>3604</v>
      </c>
      <c r="CL37" s="2547" t="s">
        <v>3604</v>
      </c>
      <c r="CM37" s="2547" t="s">
        <v>3604</v>
      </c>
      <c r="CN37" s="2547" t="s">
        <v>3604</v>
      </c>
      <c r="CO37" s="2547" t="s">
        <v>3604</v>
      </c>
      <c r="CP37" s="2547" t="s">
        <v>3604</v>
      </c>
      <c r="CQ37" s="2547" t="s">
        <v>3604</v>
      </c>
      <c r="CR37" s="2547" t="s">
        <v>3604</v>
      </c>
      <c r="CS37" s="2547" t="s">
        <v>3604</v>
      </c>
      <c r="CT37" s="2547" t="s">
        <v>3604</v>
      </c>
      <c r="CU37" s="2547" t="s">
        <v>3604</v>
      </c>
      <c r="CV37" s="2547" t="s">
        <v>3604</v>
      </c>
      <c r="CW37" s="2547" t="s">
        <v>3604</v>
      </c>
      <c r="CX37" s="2547" t="s">
        <v>3604</v>
      </c>
      <c r="CY37" s="2547" t="s">
        <v>3604</v>
      </c>
      <c r="CZ37" s="2547" t="s">
        <v>3604</v>
      </c>
      <c r="DA37" s="2547" t="s">
        <v>8646</v>
      </c>
      <c r="DB37" s="5055" t="s">
        <v>8647</v>
      </c>
      <c r="DC37" s="2547">
        <v>5</v>
      </c>
      <c r="DD37" s="5057" t="s">
        <v>3613</v>
      </c>
      <c r="DE37" s="5057" t="s">
        <v>3613</v>
      </c>
      <c r="DF37" s="2547"/>
      <c r="DG37" s="2547"/>
      <c r="DH37" s="2547"/>
      <c r="DI37" s="2547"/>
      <c r="DJ37" s="2547"/>
      <c r="DK37" s="2547"/>
      <c r="DL37" s="6600"/>
      <c r="DN37" s="3301"/>
      <c r="DO37" s="2463"/>
      <c r="DP37" s="2463"/>
      <c r="DQ37" s="2463"/>
      <c r="DR37" s="2463"/>
      <c r="DS37" s="2463"/>
      <c r="DT37" s="2463"/>
      <c r="DU37" s="2463"/>
      <c r="DV37" s="2463"/>
      <c r="DW37" s="2463"/>
      <c r="DX37" s="2463"/>
      <c r="DY37" s="2463"/>
      <c r="DZ37" s="2463"/>
      <c r="EA37" s="2463"/>
      <c r="EB37" s="2463"/>
      <c r="EC37" s="2463"/>
      <c r="ED37" s="2463"/>
      <c r="EE37" s="2463"/>
      <c r="EF37" s="2463"/>
      <c r="EG37" s="2463"/>
      <c r="EH37" s="2463"/>
      <c r="EI37" s="2463"/>
      <c r="EJ37" s="2463"/>
      <c r="EK37" s="2463"/>
      <c r="EL37" s="2463"/>
      <c r="EM37" s="2463"/>
      <c r="EN37" s="2463"/>
      <c r="EO37" s="2463"/>
      <c r="EP37" s="2463"/>
      <c r="EQ37" s="2463"/>
      <c r="ER37" s="2463"/>
      <c r="ES37" s="2463"/>
      <c r="ET37" s="2463"/>
      <c r="EU37" s="2463"/>
      <c r="EV37" s="2463"/>
      <c r="EW37" s="2463"/>
      <c r="EX37" s="2463"/>
      <c r="EY37" s="2463"/>
      <c r="EZ37" s="2463"/>
      <c r="FA37" s="2463"/>
      <c r="FB37" s="2463"/>
      <c r="FC37" s="2463"/>
      <c r="FD37" s="2463"/>
      <c r="FE37" s="2463"/>
      <c r="FF37" s="2463"/>
      <c r="FG37" s="3302"/>
    </row>
    <row r="38" spans="1:163" s="2459" customFormat="1" ht="15" customHeight="1">
      <c r="A38" s="16598"/>
      <c r="B38" s="15359"/>
      <c r="C38" s="16536"/>
      <c r="D38" s="15359"/>
      <c r="E38" s="16535"/>
      <c r="F38" s="5055"/>
      <c r="G38" s="6601"/>
      <c r="H38" s="6589"/>
      <c r="I38" s="6589"/>
      <c r="J38" s="16537"/>
      <c r="K38" s="6602"/>
      <c r="L38" s="6602"/>
      <c r="M38" s="6602"/>
      <c r="N38" s="6602"/>
      <c r="O38" s="6602"/>
      <c r="P38" s="6602"/>
      <c r="Q38" s="6602"/>
      <c r="R38" s="6602"/>
      <c r="S38" s="6602"/>
      <c r="T38" s="6602" t="s">
        <v>10186</v>
      </c>
      <c r="U38" s="5055"/>
      <c r="V38" s="2547" t="s">
        <v>2091</v>
      </c>
      <c r="W38" s="5055"/>
      <c r="X38" s="2565"/>
      <c r="Y38" s="5057"/>
      <c r="Z38" s="2457"/>
      <c r="AA38" s="2457"/>
      <c r="AB38" s="2556"/>
      <c r="AC38" s="2561"/>
      <c r="AD38" s="2457"/>
      <c r="AE38" s="2457"/>
      <c r="AF38" s="2457"/>
      <c r="AG38" s="2457"/>
      <c r="AH38" s="2457"/>
      <c r="AI38" s="2457"/>
      <c r="AJ38" s="2457"/>
      <c r="AK38" s="2457"/>
      <c r="AL38" s="2457"/>
      <c r="AM38" s="2457"/>
      <c r="AN38" s="2457"/>
      <c r="AO38" s="2457"/>
      <c r="AP38" s="2457"/>
      <c r="AQ38" s="2457"/>
      <c r="AR38" s="2457"/>
      <c r="AS38" s="2457"/>
      <c r="AT38" s="2457"/>
      <c r="AU38" s="2457"/>
      <c r="AV38" s="2457"/>
      <c r="AW38" s="2457"/>
      <c r="AX38" s="2457"/>
      <c r="AY38" s="2457"/>
      <c r="AZ38" s="2457"/>
      <c r="BA38" s="2457"/>
      <c r="BB38" s="2457"/>
      <c r="BC38" s="2457"/>
      <c r="BD38" s="2457"/>
      <c r="BE38" s="2457"/>
      <c r="BF38" s="2457"/>
      <c r="BG38" s="2457"/>
      <c r="BH38" s="2457"/>
      <c r="BI38" s="2457"/>
      <c r="BJ38" s="2457"/>
      <c r="BK38" s="2457"/>
      <c r="BL38" s="2457"/>
      <c r="BM38" s="2457"/>
      <c r="BN38" s="2457"/>
      <c r="BO38" s="2457"/>
      <c r="BP38" s="5055"/>
      <c r="BQ38" s="6603"/>
      <c r="BR38" s="4274"/>
      <c r="BS38" s="16591"/>
      <c r="BT38" s="6595"/>
      <c r="BU38" s="2547"/>
      <c r="BV38" s="2547"/>
      <c r="BW38" s="6596"/>
      <c r="BX38" s="6597"/>
      <c r="BY38" s="6597"/>
      <c r="BZ38" s="2457"/>
      <c r="CA38" s="2547"/>
      <c r="CB38" s="2547"/>
      <c r="CC38" s="2547"/>
      <c r="CD38" s="2547"/>
      <c r="CE38" s="2547"/>
      <c r="CF38" s="2547"/>
      <c r="CG38" s="2547"/>
      <c r="CH38" s="2547"/>
      <c r="CI38" s="2547"/>
      <c r="CJ38" s="2547"/>
      <c r="CK38" s="2547"/>
      <c r="CL38" s="2547"/>
      <c r="CM38" s="2547"/>
      <c r="CN38" s="2547"/>
      <c r="CO38" s="2547"/>
      <c r="CP38" s="2547"/>
      <c r="CQ38" s="2547"/>
      <c r="CR38" s="2547"/>
      <c r="CS38" s="2547"/>
      <c r="CT38" s="2547"/>
      <c r="CU38" s="2547"/>
      <c r="CV38" s="2547"/>
      <c r="CW38" s="2547"/>
      <c r="CX38" s="2547"/>
      <c r="CY38" s="2547"/>
      <c r="CZ38" s="2547"/>
      <c r="DA38" s="2547"/>
      <c r="DB38" s="5055"/>
      <c r="DC38" s="2547"/>
      <c r="DD38" s="5057"/>
      <c r="DE38" s="5057"/>
      <c r="DF38" s="2547"/>
      <c r="DG38" s="2547"/>
      <c r="DH38" s="2547"/>
      <c r="DI38" s="2547"/>
      <c r="DJ38" s="2547"/>
      <c r="DK38" s="2547"/>
      <c r="DL38" s="6600"/>
      <c r="DN38" s="3301"/>
      <c r="DO38" s="2463"/>
      <c r="DP38" s="2463"/>
      <c r="DQ38" s="2463"/>
      <c r="DR38" s="2463"/>
      <c r="DS38" s="2463"/>
      <c r="DT38" s="2463"/>
      <c r="DU38" s="2463"/>
      <c r="DV38" s="2463"/>
      <c r="DW38" s="2463"/>
      <c r="DX38" s="2463"/>
      <c r="DY38" s="2463"/>
      <c r="DZ38" s="2463"/>
      <c r="EA38" s="2463"/>
      <c r="EB38" s="2463"/>
      <c r="EC38" s="2463"/>
      <c r="ED38" s="2463"/>
      <c r="EE38" s="2463"/>
      <c r="EF38" s="2463"/>
      <c r="EG38" s="2463"/>
      <c r="EH38" s="2463"/>
      <c r="EI38" s="2463"/>
      <c r="EJ38" s="2463"/>
      <c r="EK38" s="2463"/>
      <c r="EL38" s="2463"/>
      <c r="EM38" s="2463"/>
      <c r="EN38" s="2463"/>
      <c r="EO38" s="2463"/>
      <c r="EP38" s="2463"/>
      <c r="EQ38" s="2463"/>
      <c r="ER38" s="2463"/>
      <c r="ES38" s="2463"/>
      <c r="ET38" s="2463"/>
      <c r="EU38" s="2463"/>
      <c r="EV38" s="2463"/>
      <c r="EW38" s="2463"/>
      <c r="EX38" s="2463"/>
      <c r="EY38" s="2463"/>
      <c r="EZ38" s="2463"/>
      <c r="FA38" s="2463"/>
      <c r="FB38" s="2463"/>
      <c r="FC38" s="2463"/>
      <c r="FD38" s="2463"/>
      <c r="FE38" s="2463"/>
      <c r="FF38" s="2463"/>
      <c r="FG38" s="3302"/>
    </row>
    <row r="39" spans="1:163" s="2459" customFormat="1" ht="15" customHeight="1">
      <c r="A39" s="16598"/>
      <c r="B39" s="15359"/>
      <c r="C39" s="16536" t="s">
        <v>8235</v>
      </c>
      <c r="D39" s="15359" t="s">
        <v>2092</v>
      </c>
      <c r="E39" s="16528" t="s">
        <v>2093</v>
      </c>
      <c r="F39" s="5055" t="s">
        <v>2025</v>
      </c>
      <c r="G39" s="6601">
        <v>14</v>
      </c>
      <c r="H39" s="6589">
        <v>14</v>
      </c>
      <c r="I39" s="6589">
        <v>14</v>
      </c>
      <c r="J39" s="16537">
        <v>14</v>
      </c>
      <c r="K39" s="6605">
        <v>14</v>
      </c>
      <c r="L39" s="6605">
        <v>14</v>
      </c>
      <c r="M39" s="6605">
        <v>14</v>
      </c>
      <c r="N39" s="6605">
        <v>14</v>
      </c>
      <c r="O39" s="6605">
        <v>14</v>
      </c>
      <c r="P39" s="6605">
        <v>14</v>
      </c>
      <c r="Q39" s="6605">
        <v>14</v>
      </c>
      <c r="R39" s="6605">
        <v>14</v>
      </c>
      <c r="S39" s="6589">
        <v>140</v>
      </c>
      <c r="T39" s="6589" t="s">
        <v>86</v>
      </c>
      <c r="U39" s="5055" t="s">
        <v>2006</v>
      </c>
      <c r="V39" s="2547"/>
      <c r="W39" s="5055" t="s">
        <v>2094</v>
      </c>
      <c r="X39" s="6591">
        <v>1</v>
      </c>
      <c r="Y39" s="5057" t="s">
        <v>3644</v>
      </c>
      <c r="Z39" s="2457" t="s">
        <v>3602</v>
      </c>
      <c r="AA39" s="2457"/>
      <c r="AB39" s="2556">
        <v>1328421</v>
      </c>
      <c r="AC39" s="2561">
        <v>1328421</v>
      </c>
      <c r="AD39" s="2457"/>
      <c r="AE39" s="2457"/>
      <c r="AF39" s="2457" t="s">
        <v>3604</v>
      </c>
      <c r="AG39" s="2457" t="s">
        <v>3604</v>
      </c>
      <c r="AH39" s="2457" t="s">
        <v>3604</v>
      </c>
      <c r="AI39" s="2457" t="s">
        <v>3604</v>
      </c>
      <c r="AJ39" s="2457" t="s">
        <v>3604</v>
      </c>
      <c r="AK39" s="2457" t="s">
        <v>3604</v>
      </c>
      <c r="AL39" s="2457" t="s">
        <v>3604</v>
      </c>
      <c r="AM39" s="2457" t="s">
        <v>3604</v>
      </c>
      <c r="AN39" s="2457" t="s">
        <v>3604</v>
      </c>
      <c r="AO39" s="2457" t="s">
        <v>3604</v>
      </c>
      <c r="AP39" s="2457" t="s">
        <v>3604</v>
      </c>
      <c r="AQ39" s="2457" t="s">
        <v>3604</v>
      </c>
      <c r="AR39" s="2457" t="s">
        <v>3604</v>
      </c>
      <c r="AS39" s="2457" t="s">
        <v>3604</v>
      </c>
      <c r="AT39" s="2457" t="s">
        <v>3604</v>
      </c>
      <c r="AU39" s="2457" t="s">
        <v>3604</v>
      </c>
      <c r="AV39" s="2457" t="s">
        <v>3604</v>
      </c>
      <c r="AW39" s="2457" t="s">
        <v>3604</v>
      </c>
      <c r="AX39" s="2457" t="s">
        <v>3604</v>
      </c>
      <c r="AY39" s="2457" t="s">
        <v>3604</v>
      </c>
      <c r="AZ39" s="2457" t="s">
        <v>3604</v>
      </c>
      <c r="BA39" s="2457" t="s">
        <v>3604</v>
      </c>
      <c r="BB39" s="2457" t="s">
        <v>3604</v>
      </c>
      <c r="BC39" s="2457" t="s">
        <v>3604</v>
      </c>
      <c r="BD39" s="2457" t="s">
        <v>3604</v>
      </c>
      <c r="BE39" s="2457" t="s">
        <v>3604</v>
      </c>
      <c r="BF39" s="2457"/>
      <c r="BG39" s="2457"/>
      <c r="BH39" s="2457"/>
      <c r="BI39" s="2457"/>
      <c r="BJ39" s="2457"/>
      <c r="BK39" s="2457"/>
      <c r="BL39" s="2457"/>
      <c r="BM39" s="2457"/>
      <c r="BN39" s="2457"/>
      <c r="BO39" s="2457"/>
      <c r="BP39" s="5055" t="s">
        <v>2094</v>
      </c>
      <c r="BQ39" s="6605">
        <v>14</v>
      </c>
      <c r="BR39" s="4274">
        <f t="shared" si="0"/>
        <v>1</v>
      </c>
      <c r="BS39" s="16591"/>
      <c r="BT39" s="6595" t="s">
        <v>3644</v>
      </c>
      <c r="BU39" s="2547" t="s">
        <v>3602</v>
      </c>
      <c r="BV39" s="2547"/>
      <c r="BW39" s="6596">
        <f t="shared" si="1"/>
        <v>1328421</v>
      </c>
      <c r="BX39" s="6597">
        <v>1328421</v>
      </c>
      <c r="BY39" s="6597"/>
      <c r="BZ39" s="2457"/>
      <c r="CA39" s="2547" t="s">
        <v>3604</v>
      </c>
      <c r="CB39" s="2547" t="s">
        <v>3604</v>
      </c>
      <c r="CC39" s="2547" t="s">
        <v>3604</v>
      </c>
      <c r="CD39" s="2547" t="s">
        <v>3604</v>
      </c>
      <c r="CE39" s="2547" t="s">
        <v>3604</v>
      </c>
      <c r="CF39" s="2547" t="s">
        <v>3604</v>
      </c>
      <c r="CG39" s="2547" t="s">
        <v>3604</v>
      </c>
      <c r="CH39" s="2547" t="s">
        <v>3604</v>
      </c>
      <c r="CI39" s="2547" t="s">
        <v>3604</v>
      </c>
      <c r="CJ39" s="2547" t="s">
        <v>3604</v>
      </c>
      <c r="CK39" s="2547" t="s">
        <v>3604</v>
      </c>
      <c r="CL39" s="2547" t="s">
        <v>3604</v>
      </c>
      <c r="CM39" s="2547" t="s">
        <v>3604</v>
      </c>
      <c r="CN39" s="2547" t="s">
        <v>3604</v>
      </c>
      <c r="CO39" s="2547" t="s">
        <v>3604</v>
      </c>
      <c r="CP39" s="2547" t="s">
        <v>3604</v>
      </c>
      <c r="CQ39" s="2547" t="s">
        <v>3604</v>
      </c>
      <c r="CR39" s="2547" t="s">
        <v>3604</v>
      </c>
      <c r="CS39" s="2547" t="s">
        <v>3604</v>
      </c>
      <c r="CT39" s="2547" t="s">
        <v>3604</v>
      </c>
      <c r="CU39" s="2547" t="s">
        <v>3604</v>
      </c>
      <c r="CV39" s="2547" t="s">
        <v>3604</v>
      </c>
      <c r="CW39" s="2547" t="s">
        <v>3604</v>
      </c>
      <c r="CX39" s="2547" t="s">
        <v>3604</v>
      </c>
      <c r="CY39" s="2547" t="s">
        <v>3604</v>
      </c>
      <c r="CZ39" s="2547" t="s">
        <v>3604</v>
      </c>
      <c r="DA39" s="5057" t="s">
        <v>8631</v>
      </c>
      <c r="DB39" s="5057" t="s">
        <v>8651</v>
      </c>
      <c r="DC39" s="2457">
        <v>16</v>
      </c>
      <c r="DD39" s="5057" t="s">
        <v>3613</v>
      </c>
      <c r="DE39" s="5057" t="s">
        <v>3613</v>
      </c>
      <c r="DF39" s="2547"/>
      <c r="DG39" s="2547"/>
      <c r="DH39" s="2547"/>
      <c r="DI39" s="2547"/>
      <c r="DJ39" s="2547"/>
      <c r="DK39" s="2547"/>
      <c r="DL39" s="6600"/>
      <c r="DN39" s="3301"/>
      <c r="DO39" s="2463"/>
      <c r="DP39" s="2463"/>
      <c r="DQ39" s="2463"/>
      <c r="DR39" s="2463"/>
      <c r="DS39" s="2463"/>
      <c r="DT39" s="2463"/>
      <c r="DU39" s="2463"/>
      <c r="DV39" s="2463"/>
      <c r="DW39" s="2463"/>
      <c r="DX39" s="2463"/>
      <c r="DY39" s="2463"/>
      <c r="DZ39" s="2463"/>
      <c r="EA39" s="2463"/>
      <c r="EB39" s="2463"/>
      <c r="EC39" s="2463"/>
      <c r="ED39" s="2463"/>
      <c r="EE39" s="2463"/>
      <c r="EF39" s="2463"/>
      <c r="EG39" s="2463"/>
      <c r="EH39" s="2463"/>
      <c r="EI39" s="2463"/>
      <c r="EJ39" s="2463"/>
      <c r="EK39" s="2463"/>
      <c r="EL39" s="2463"/>
      <c r="EM39" s="2463"/>
      <c r="EN39" s="2463"/>
      <c r="EO39" s="2463"/>
      <c r="EP39" s="2463"/>
      <c r="EQ39" s="2463"/>
      <c r="ER39" s="2463"/>
      <c r="ES39" s="2463"/>
      <c r="ET39" s="2463"/>
      <c r="EU39" s="2463"/>
      <c r="EV39" s="2463"/>
      <c r="EW39" s="2463"/>
      <c r="EX39" s="2463"/>
      <c r="EY39" s="2463"/>
      <c r="EZ39" s="2463"/>
      <c r="FA39" s="2463"/>
      <c r="FB39" s="2463"/>
      <c r="FC39" s="2463"/>
      <c r="FD39" s="2463"/>
      <c r="FE39" s="2463"/>
      <c r="FF39" s="2463"/>
      <c r="FG39" s="3302"/>
    </row>
    <row r="40" spans="1:163" s="2459" customFormat="1" ht="15" customHeight="1" thickBot="1">
      <c r="A40" s="16599"/>
      <c r="B40" s="15360"/>
      <c r="C40" s="16538"/>
      <c r="D40" s="15360"/>
      <c r="E40" s="16529"/>
      <c r="F40" s="5056"/>
      <c r="G40" s="6606"/>
      <c r="H40" s="6607"/>
      <c r="I40" s="6607"/>
      <c r="J40" s="16539"/>
      <c r="K40" s="6608"/>
      <c r="L40" s="6608"/>
      <c r="M40" s="6608"/>
      <c r="N40" s="6608"/>
      <c r="O40" s="6608"/>
      <c r="P40" s="6608"/>
      <c r="Q40" s="6608"/>
      <c r="R40" s="6608"/>
      <c r="S40" s="6609"/>
      <c r="T40" s="6610" t="s">
        <v>10186</v>
      </c>
      <c r="U40" s="6609"/>
      <c r="V40" s="6608" t="s">
        <v>2091</v>
      </c>
      <c r="W40" s="6609"/>
      <c r="X40" s="2568"/>
      <c r="Y40" s="2568"/>
      <c r="Z40" s="2568"/>
      <c r="AA40" s="2568"/>
      <c r="AB40" s="2568"/>
      <c r="AC40" s="2568"/>
      <c r="AD40" s="2568"/>
      <c r="AE40" s="2568"/>
      <c r="AF40" s="2568"/>
      <c r="AG40" s="2568"/>
      <c r="AH40" s="2568"/>
      <c r="AI40" s="2568"/>
      <c r="AJ40" s="2568"/>
      <c r="AK40" s="2568"/>
      <c r="AL40" s="2568"/>
      <c r="AM40" s="2568"/>
      <c r="AN40" s="2568"/>
      <c r="AO40" s="2568"/>
      <c r="AP40" s="2568"/>
      <c r="AQ40" s="2568"/>
      <c r="AR40" s="2568"/>
      <c r="AS40" s="2568"/>
      <c r="AT40" s="2568"/>
      <c r="AU40" s="2568"/>
      <c r="AV40" s="2568"/>
      <c r="AW40" s="2568"/>
      <c r="AX40" s="2568"/>
      <c r="AY40" s="2568"/>
      <c r="AZ40" s="2568"/>
      <c r="BA40" s="2568"/>
      <c r="BB40" s="2568"/>
      <c r="BC40" s="2568"/>
      <c r="BD40" s="2568"/>
      <c r="BE40" s="2568"/>
      <c r="BF40" s="2568"/>
      <c r="BG40" s="2568"/>
      <c r="BH40" s="2568"/>
      <c r="BI40" s="2568"/>
      <c r="BJ40" s="2568"/>
      <c r="BK40" s="2568"/>
      <c r="BL40" s="2568"/>
      <c r="BM40" s="2568"/>
      <c r="BN40" s="2568"/>
      <c r="BO40" s="2568"/>
      <c r="BP40" s="2568"/>
      <c r="BQ40" s="2568"/>
      <c r="BR40" s="6611"/>
      <c r="BS40" s="6611"/>
      <c r="BT40" s="2568"/>
      <c r="BU40" s="2568"/>
      <c r="BV40" s="2568"/>
      <c r="BW40" s="2568"/>
      <c r="BX40" s="2568"/>
      <c r="BY40" s="2568"/>
      <c r="BZ40" s="2568"/>
      <c r="CA40" s="2568"/>
      <c r="CB40" s="2568"/>
      <c r="CC40" s="2568"/>
      <c r="CD40" s="2568"/>
      <c r="CE40" s="2568"/>
      <c r="CF40" s="2568"/>
      <c r="CG40" s="2568"/>
      <c r="CH40" s="2568"/>
      <c r="CI40" s="2568"/>
      <c r="CJ40" s="2568"/>
      <c r="CK40" s="2568"/>
      <c r="CL40" s="2568"/>
      <c r="CM40" s="2568"/>
      <c r="CN40" s="2568"/>
      <c r="CO40" s="2568"/>
      <c r="CP40" s="2568"/>
      <c r="CQ40" s="2568"/>
      <c r="CR40" s="2568"/>
      <c r="CS40" s="2568"/>
      <c r="CT40" s="2568"/>
      <c r="CU40" s="2568"/>
      <c r="CV40" s="2568"/>
      <c r="CW40" s="2568"/>
      <c r="CX40" s="2568"/>
      <c r="CY40" s="2568"/>
      <c r="CZ40" s="2568"/>
      <c r="DA40" s="2568"/>
      <c r="DB40" s="2568"/>
      <c r="DC40" s="2568"/>
      <c r="DD40" s="2568"/>
      <c r="DE40" s="2568"/>
      <c r="DF40" s="2568"/>
      <c r="DG40" s="2568"/>
      <c r="DH40" s="2568"/>
      <c r="DI40" s="2568"/>
      <c r="DJ40" s="2568"/>
      <c r="DK40" s="2568"/>
      <c r="DL40" s="3304"/>
      <c r="DN40" s="3303"/>
      <c r="DO40" s="2568"/>
      <c r="DP40" s="2568"/>
      <c r="DQ40" s="2568"/>
      <c r="DR40" s="2568"/>
      <c r="DS40" s="2568"/>
      <c r="DT40" s="2568"/>
      <c r="DU40" s="2568"/>
      <c r="DV40" s="2568"/>
      <c r="DW40" s="2568"/>
      <c r="DX40" s="2568"/>
      <c r="DY40" s="2568"/>
      <c r="DZ40" s="2568"/>
      <c r="EA40" s="2568"/>
      <c r="EB40" s="2568"/>
      <c r="EC40" s="2568"/>
      <c r="ED40" s="2568"/>
      <c r="EE40" s="2568"/>
      <c r="EF40" s="2568"/>
      <c r="EG40" s="2568"/>
      <c r="EH40" s="2568"/>
      <c r="EI40" s="2568"/>
      <c r="EJ40" s="2568"/>
      <c r="EK40" s="2568"/>
      <c r="EL40" s="2568"/>
      <c r="EM40" s="2568"/>
      <c r="EN40" s="2568"/>
      <c r="EO40" s="2568"/>
      <c r="EP40" s="2568"/>
      <c r="EQ40" s="2568"/>
      <c r="ER40" s="2568"/>
      <c r="ES40" s="2568"/>
      <c r="ET40" s="2568"/>
      <c r="EU40" s="2568"/>
      <c r="EV40" s="2568"/>
      <c r="EW40" s="2568"/>
      <c r="EX40" s="2568"/>
      <c r="EY40" s="2568"/>
      <c r="EZ40" s="2568"/>
      <c r="FA40" s="2568"/>
      <c r="FB40" s="2568"/>
      <c r="FC40" s="2568"/>
      <c r="FD40" s="2568"/>
      <c r="FE40" s="2568"/>
      <c r="FF40" s="2568"/>
      <c r="FG40" s="3304"/>
    </row>
    <row r="43" spans="1:163" ht="15" customHeight="1">
      <c r="BW43" s="2951">
        <f>SUM(BW6:BW39)</f>
        <v>135827999</v>
      </c>
      <c r="CA43" s="2951">
        <f>SUM(CA6:CA39)</f>
        <v>11834</v>
      </c>
    </row>
    <row r="255" spans="1:23" ht="15" customHeight="1">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row>
    <row r="256" spans="1:23" ht="15" customHeight="1">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row>
    <row r="257" spans="1:23" ht="15" customHeight="1">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row>
    <row r="258" spans="1:23" ht="15" customHeight="1">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row>
    <row r="259" spans="1:23" ht="15" customHeight="1">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row>
    <row r="260" spans="1:23" ht="15" customHeight="1">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row>
    <row r="261" spans="1:23" ht="15" customHeight="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row>
    <row r="262" spans="1:23" ht="15" customHeight="1">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row>
    <row r="263" spans="1:23" ht="15" customHeight="1">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row>
    <row r="264" spans="1:23" ht="15" customHeight="1">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row>
    <row r="265" spans="1:23" ht="15" customHeight="1">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row>
    <row r="266" spans="1:23" ht="15" customHeight="1">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row>
    <row r="267" spans="1:23" ht="15" customHeight="1">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row>
    <row r="268" spans="1:23" ht="15" customHeight="1">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row>
    <row r="269" spans="1:23" ht="15" customHeight="1">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row>
    <row r="270" spans="1:23" ht="15" customHeight="1">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row>
    <row r="271" spans="1:23" ht="15" customHeight="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row>
    <row r="272" spans="1:23" ht="15" customHeight="1">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row>
    <row r="273" spans="1:23" ht="15" customHeight="1">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row>
    <row r="274" spans="1:23" ht="15" customHeight="1">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row>
    <row r="275" spans="1:23" ht="15" customHeight="1">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row>
    <row r="276" spans="1:23" ht="15" customHeight="1">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row>
    <row r="277" spans="1:23" ht="15" customHeight="1">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row>
    <row r="278" spans="1:23" ht="15" customHeight="1">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row>
    <row r="279" spans="1:23" ht="15" customHeight="1">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row>
    <row r="280" spans="1:23" ht="15" customHeight="1">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row>
    <row r="281" spans="1:23" ht="15" customHeight="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row>
    <row r="282" spans="1:23" ht="15" customHeight="1">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row>
    <row r="283" spans="1:23" ht="15" customHeight="1">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row>
    <row r="284" spans="1:23" ht="15" customHeight="1">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row>
    <row r="285" spans="1:23" ht="15" customHeight="1">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row>
    <row r="286" spans="1:23" ht="15" customHeight="1">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row>
    <row r="287" spans="1:23" ht="15" customHeight="1">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row>
    <row r="288" spans="1:23" ht="15" customHeight="1">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row>
    <row r="289" spans="1:23" ht="15" customHeight="1">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row>
    <row r="290" spans="1:23" ht="15" customHeight="1">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row>
    <row r="291" spans="1:23" ht="15" customHeight="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row>
    <row r="292" spans="1:23" ht="15" customHeight="1">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row>
    <row r="293" spans="1:23" ht="15" customHeight="1">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row>
    <row r="294" spans="1:23" ht="15" customHeight="1">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row>
    <row r="295" spans="1:23" ht="15" customHeight="1">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row>
    <row r="296" spans="1:23" ht="15" customHeight="1">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row>
    <row r="297" spans="1:23" ht="15" customHeight="1">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row>
    <row r="298" spans="1:23" ht="15" customHeight="1">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row>
    <row r="299" spans="1:23" ht="15" customHeight="1">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row>
    <row r="300" spans="1:23" ht="15" customHeight="1">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row>
    <row r="301" spans="1:23" ht="15" customHeight="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row>
    <row r="302" spans="1:23" ht="15" customHeight="1">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row>
    <row r="303" spans="1:23" ht="15" customHeight="1">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row>
    <row r="304" spans="1:23" ht="15" customHeight="1">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row>
    <row r="305" spans="1:23" ht="15" customHeight="1">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row>
    <row r="306" spans="1:23" ht="15" customHeight="1">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row>
    <row r="307" spans="1:23" ht="15" customHeight="1">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row>
    <row r="308" spans="1:23" ht="15" customHeight="1">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row>
    <row r="309" spans="1:23" ht="15" customHeight="1">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row>
    <row r="310" spans="1:23" ht="15" customHeight="1">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row>
    <row r="311" spans="1:23" ht="15" customHeight="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row>
    <row r="312" spans="1:23" ht="15" customHeight="1">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row>
    <row r="313" spans="1:23" ht="15" customHeight="1">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row>
    <row r="314" spans="1:23" ht="15" customHeight="1">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row>
    <row r="315" spans="1:23" ht="15" customHeight="1">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row>
    <row r="316" spans="1:23" ht="15" customHeight="1">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row>
    <row r="317" spans="1:23" ht="15" customHeight="1">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row>
    <row r="318" spans="1:23" ht="15" customHeight="1">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row>
    <row r="319" spans="1:23" ht="15" customHeight="1">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row>
    <row r="320" spans="1:23" ht="15" customHeight="1">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row>
    <row r="321" spans="1:23" ht="15" customHeight="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row>
    <row r="322" spans="1:23" ht="15" customHeight="1">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row>
    <row r="323" spans="1:23" ht="15" customHeight="1">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row>
    <row r="324" spans="1:23" ht="15" customHeight="1">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row>
    <row r="325" spans="1:23" ht="15" customHeight="1">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row>
    <row r="326" spans="1:23" ht="15" customHeight="1">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row>
    <row r="327" spans="1:23" ht="15" customHeight="1">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row>
    <row r="328" spans="1:23" ht="15" customHeight="1">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row>
    <row r="329" spans="1:23" ht="15" customHeight="1">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row>
    <row r="330" spans="1:23" ht="15" customHeight="1">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row>
    <row r="331" spans="1:23" ht="15" customHeight="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row>
    <row r="332" spans="1:23" ht="15" customHeight="1">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row>
    <row r="333" spans="1:23" ht="15" customHeight="1">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row>
    <row r="334" spans="1:23" ht="15" customHeight="1">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row>
    <row r="335" spans="1:23" ht="15" customHeight="1">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row>
    <row r="336" spans="1:23" ht="15" customHeight="1">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row>
    <row r="337" spans="1:23" ht="15" customHeight="1">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row>
    <row r="338" spans="1:23" ht="15" customHeight="1">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row>
    <row r="339" spans="1:23" ht="15" customHeight="1">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row>
    <row r="340" spans="1:23" ht="15" customHeight="1">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row>
    <row r="341" spans="1:23" ht="15" customHeight="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row>
    <row r="342" spans="1:23" ht="15" customHeight="1">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row>
    <row r="343" spans="1:23" ht="15" customHeight="1">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row>
    <row r="344" spans="1:23" ht="15" customHeight="1">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row>
    <row r="345" spans="1:23" ht="15" customHeight="1">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row>
    <row r="346" spans="1:23" ht="15" customHeight="1">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row>
    <row r="347" spans="1:23" ht="15" customHeight="1">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row>
    <row r="348" spans="1:23" ht="15" customHeight="1">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row>
    <row r="349" spans="1:23" ht="15" customHeight="1">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row>
    <row r="350" spans="1:23" ht="15" customHeight="1">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row>
    <row r="351" spans="1:23" ht="15" customHeight="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row>
    <row r="352" spans="1:23" ht="15" customHeight="1">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row>
    <row r="353" spans="1:23" ht="15" customHeight="1">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row>
    <row r="354" spans="1:23" ht="15" customHeight="1">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row>
    <row r="355" spans="1:23" ht="15" customHeight="1">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row>
    <row r="356" spans="1:23" ht="15" customHeight="1">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row>
    <row r="357" spans="1:23" ht="15" customHeight="1">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row>
    <row r="358" spans="1:23" ht="15" customHeight="1">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row>
    <row r="359" spans="1:23" ht="15" customHeight="1">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row>
    <row r="360" spans="1:23" ht="15" customHeight="1">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row>
    <row r="361" spans="1:23" ht="15" customHeight="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row>
    <row r="362" spans="1:23" ht="15" customHeight="1">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row>
    <row r="363" spans="1:23" ht="15" customHeight="1">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row>
    <row r="364" spans="1:23" ht="15" customHeight="1">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row>
    <row r="365" spans="1:23" ht="15" customHeight="1">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row>
    <row r="366" spans="1:23" ht="15" customHeight="1">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row>
    <row r="367" spans="1:23" ht="15" customHeight="1">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row>
    <row r="368" spans="1:23" ht="15" customHeight="1">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row>
    <row r="369" spans="1:23" ht="15" customHeight="1">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row>
    <row r="370" spans="1:23" ht="15" customHeight="1">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row>
    <row r="371" spans="1:23" ht="15" customHeight="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row>
    <row r="372" spans="1:23" ht="15" customHeight="1">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row>
    <row r="373" spans="1:23" ht="15" customHeight="1">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row>
    <row r="374" spans="1:23" ht="15" customHeight="1">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row>
    <row r="375" spans="1:23" ht="15" customHeight="1">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row>
    <row r="376" spans="1:23" ht="15" customHeight="1">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row>
    <row r="377" spans="1:23" ht="15" customHeight="1">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row>
    <row r="378" spans="1:23" ht="15" customHeight="1">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row>
    <row r="379" spans="1:23" ht="15" customHeight="1">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row>
    <row r="380" spans="1:23" ht="15" customHeight="1">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row>
    <row r="381" spans="1:23" ht="15" customHeight="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row>
    <row r="382" spans="1:23" ht="15" customHeight="1">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row>
    <row r="383" spans="1:23" ht="15" customHeight="1">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row>
    <row r="384" spans="1:23" ht="15" customHeight="1">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row>
    <row r="385" spans="1:23" ht="15" customHeight="1">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row>
    <row r="386" spans="1:23" ht="15" customHeight="1">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row>
    <row r="387" spans="1:23" ht="15" customHeight="1">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row>
    <row r="388" spans="1:23" ht="15" customHeight="1">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row>
    <row r="389" spans="1:23" ht="15" customHeight="1">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row>
    <row r="390" spans="1:23" ht="15" customHeight="1">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row>
    <row r="391" spans="1:23" ht="15" customHeight="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row>
    <row r="392" spans="1:23" ht="15" customHeight="1">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row>
    <row r="393" spans="1:23" ht="15" customHeight="1">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row>
    <row r="394" spans="1:23" ht="15" customHeight="1">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row>
    <row r="395" spans="1:23" ht="15" customHeight="1">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row>
    <row r="396" spans="1:23" ht="15" customHeight="1">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row>
    <row r="397" spans="1:23" ht="15" customHeight="1">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row>
    <row r="398" spans="1:23" ht="15" customHeight="1">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row>
    <row r="399" spans="1:23" ht="15" customHeight="1">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row>
    <row r="400" spans="1:23" ht="15" customHeight="1">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row>
    <row r="401" spans="1:23" ht="15" customHeight="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row>
    <row r="402" spans="1:23" ht="15" customHeight="1">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row>
    <row r="403" spans="1:23" ht="15" customHeight="1">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row>
    <row r="404" spans="1:23" ht="15" customHeight="1">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row>
    <row r="405" spans="1:23" ht="15" customHeight="1">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row>
    <row r="406" spans="1:23" ht="15" customHeight="1">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row>
    <row r="407" spans="1:23" ht="15" customHeight="1">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row>
    <row r="408" spans="1:23" ht="15" customHeight="1">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row>
    <row r="409" spans="1:23" ht="15" customHeight="1">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row>
    <row r="410" spans="1:23" ht="15" customHeight="1">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row>
    <row r="411" spans="1:23" ht="15" customHeight="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row>
    <row r="412" spans="1:23" ht="15" customHeight="1">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row>
    <row r="413" spans="1:23" ht="15" customHeight="1">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row>
    <row r="414" spans="1:23" ht="15" customHeight="1">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row>
    <row r="415" spans="1:23" ht="15" customHeight="1">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row>
    <row r="416" spans="1:23" ht="15" customHeight="1">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row>
    <row r="417" spans="1:23" ht="15" customHeight="1">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row>
    <row r="418" spans="1:23" ht="15" customHeight="1">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row>
    <row r="419" spans="1:23" ht="15" customHeight="1">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row>
    <row r="420" spans="1:23" ht="15" customHeight="1">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row>
    <row r="421" spans="1:23" ht="15" customHeight="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row>
    <row r="422" spans="1:23" ht="15" customHeight="1">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row>
    <row r="423" spans="1:23" ht="15" customHeight="1">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row>
    <row r="424" spans="1:23" ht="15" customHeight="1">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row>
    <row r="425" spans="1:23" ht="15" customHeight="1">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row>
    <row r="426" spans="1:23" ht="15" customHeight="1">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row>
    <row r="427" spans="1:23" ht="15" customHeight="1">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row>
    <row r="428" spans="1:23" ht="15" customHeight="1">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row>
    <row r="429" spans="1:23" ht="15" customHeight="1">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row>
    <row r="430" spans="1:23" ht="15" customHeight="1">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row>
    <row r="431" spans="1:23" ht="15" customHeight="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row>
    <row r="432" spans="1:23" ht="15" customHeight="1">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row>
    <row r="433" spans="1:23" ht="15" customHeight="1">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row>
    <row r="434" spans="1:23" ht="15" customHeight="1">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row>
    <row r="435" spans="1:23" ht="15" customHeight="1">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row>
    <row r="436" spans="1:23" ht="15" customHeight="1">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row>
    <row r="437" spans="1:23" ht="15" customHeight="1">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row>
    <row r="438" spans="1:23" ht="15" customHeight="1">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row>
    <row r="439" spans="1:23" ht="15" customHeight="1">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row>
    <row r="440" spans="1:23" ht="15" customHeight="1">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row>
    <row r="441" spans="1:23" ht="15" customHeight="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row>
    <row r="442" spans="1:23" ht="15" customHeight="1">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row>
    <row r="443" spans="1:23" ht="15" customHeight="1">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row>
    <row r="444" spans="1:23" ht="15" customHeight="1">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row>
    <row r="445" spans="1:23" ht="15" customHeight="1">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row>
    <row r="446" spans="1:23" ht="15" customHeight="1">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row>
    <row r="447" spans="1:23" ht="15" customHeight="1">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row>
    <row r="448" spans="1:23" ht="15" customHeight="1">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row>
    <row r="449" spans="1:23" ht="15" customHeight="1">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row>
    <row r="450" spans="1:23" ht="15" customHeight="1">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row>
    <row r="451" spans="1:23" ht="15" customHeight="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row>
    <row r="452" spans="1:23" ht="15" customHeight="1">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row>
    <row r="453" spans="1:23" ht="15" customHeight="1">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row>
    <row r="454" spans="1:23" ht="15" customHeight="1">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row>
    <row r="455" spans="1:23" ht="15" customHeight="1">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row>
    <row r="456" spans="1:23" ht="15" customHeight="1">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row>
    <row r="457" spans="1:23" ht="15" customHeight="1">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row>
    <row r="458" spans="1:23" ht="15" customHeight="1">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row>
    <row r="459" spans="1:23" ht="15" customHeight="1">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row>
    <row r="460" spans="1:23" ht="15" customHeight="1">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row>
    <row r="461" spans="1:23" ht="15" customHeight="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row>
    <row r="462" spans="1:23" ht="15" customHeight="1">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row>
    <row r="463" spans="1:23" ht="15" customHeight="1">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row>
    <row r="464" spans="1:23" ht="15" customHeight="1">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row>
    <row r="465" spans="1:23" ht="15" customHeight="1">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row>
    <row r="466" spans="1:23" ht="15" customHeight="1">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row>
    <row r="467" spans="1:23" ht="15" customHeight="1">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row>
    <row r="468" spans="1:23" ht="15" customHeight="1">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row>
    <row r="469" spans="1:23" ht="15" customHeight="1">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row>
    <row r="470" spans="1:23" ht="15" customHeight="1">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row>
    <row r="471" spans="1:23" ht="15" customHeight="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row>
    <row r="472" spans="1:23" ht="15" customHeight="1">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row>
    <row r="473" spans="1:23" ht="15" customHeight="1">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row>
    <row r="474" spans="1:23" ht="15" customHeight="1">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row>
    <row r="475" spans="1:23" ht="15" customHeight="1">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row>
    <row r="476" spans="1:23" ht="15" customHeight="1">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row>
    <row r="477" spans="1:23" ht="15" customHeight="1">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row>
    <row r="478" spans="1:23" ht="15" customHeight="1">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row>
    <row r="479" spans="1:23" ht="15" customHeight="1">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row>
    <row r="480" spans="1:23" ht="15" customHeight="1">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row>
    <row r="481" spans="1:23" ht="15" customHeight="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row>
    <row r="482" spans="1:23" ht="15" customHeight="1">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row>
    <row r="483" spans="1:23" ht="15" customHeight="1">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row>
    <row r="484" spans="1:23" ht="15" customHeight="1">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row>
    <row r="485" spans="1:23" ht="15" customHeight="1">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row>
    <row r="486" spans="1:23" ht="15" customHeight="1">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row>
    <row r="487" spans="1:23" ht="15" customHeight="1">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row>
    <row r="488" spans="1:23" ht="15" customHeight="1">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row>
    <row r="489" spans="1:23" ht="15" customHeight="1">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row>
    <row r="490" spans="1:23" ht="15" customHeight="1">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row>
    <row r="491" spans="1:23" ht="15" customHeight="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row>
    <row r="492" spans="1:23" ht="15" customHeight="1">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row>
    <row r="493" spans="1:23" ht="15" customHeight="1">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row>
    <row r="494" spans="1:23" ht="15" customHeight="1">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row>
    <row r="495" spans="1:23" ht="15" customHeight="1">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row>
    <row r="496" spans="1:23" ht="15" customHeight="1">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row>
    <row r="497" spans="1:23" ht="15" customHeight="1">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row>
    <row r="498" spans="1:23" ht="15" customHeight="1">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row>
    <row r="499" spans="1:23" ht="15" customHeight="1">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row>
    <row r="500" spans="1:23" ht="15" customHeight="1">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row>
    <row r="501" spans="1:23" ht="15" customHeight="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row>
    <row r="502" spans="1:23" ht="15" customHeight="1">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row>
    <row r="503" spans="1:23" ht="15" customHeight="1">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row>
    <row r="504" spans="1:23" ht="15" customHeight="1">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row>
    <row r="505" spans="1:23" ht="15" customHeight="1">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row>
    <row r="506" spans="1:23" ht="15" customHeight="1">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row>
    <row r="507" spans="1:23" ht="15" customHeight="1">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row>
    <row r="508" spans="1:23" ht="15" customHeight="1">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row>
    <row r="509" spans="1:23" ht="15" customHeight="1">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row>
    <row r="510" spans="1:23" ht="15" customHeight="1">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row>
    <row r="511" spans="1:23" ht="15" customHeight="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row>
    <row r="512" spans="1:23" ht="15" customHeight="1">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row>
    <row r="513" spans="1:23" ht="15" customHeight="1">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row>
    <row r="514" spans="1:23" ht="15" customHeight="1">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row>
    <row r="515" spans="1:23" ht="15" customHeight="1">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row>
    <row r="516" spans="1:23" ht="15" customHeight="1">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row>
    <row r="517" spans="1:23" ht="15" customHeight="1">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row>
    <row r="518" spans="1:23" ht="15" customHeight="1">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row>
    <row r="519" spans="1:23" ht="15" customHeight="1">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row>
    <row r="520" spans="1:23" ht="15" customHeight="1">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row>
    <row r="521" spans="1:23" ht="15" customHeight="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row>
    <row r="522" spans="1:23" ht="15" customHeight="1">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row>
    <row r="523" spans="1:23" ht="15" customHeight="1">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row>
    <row r="524" spans="1:23" ht="15" customHeight="1">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row>
    <row r="525" spans="1:23" ht="15" customHeight="1">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row>
    <row r="526" spans="1:23" ht="15" customHeight="1">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row>
    <row r="527" spans="1:23" ht="15" customHeight="1">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row>
    <row r="528" spans="1:23" ht="15" customHeight="1">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row>
    <row r="529" spans="1:23" ht="15" customHeight="1">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row>
    <row r="530" spans="1:23" ht="15" customHeight="1">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row>
    <row r="531" spans="1:23" ht="15" customHeight="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row>
    <row r="532" spans="1:23" ht="15" customHeight="1">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row>
    <row r="533" spans="1:23" ht="15" customHeight="1">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row>
    <row r="534" spans="1:23" ht="15" customHeight="1">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row>
    <row r="535" spans="1:23" ht="15" customHeight="1">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row>
    <row r="536" spans="1:23" ht="15" customHeight="1">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row>
    <row r="537" spans="1:23" ht="15" customHeight="1">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row>
    <row r="538" spans="1:23" ht="15" customHeight="1">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row>
    <row r="539" spans="1:23" ht="15" customHeight="1">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row>
    <row r="540" spans="1:23" ht="15" customHeight="1">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row>
    <row r="541" spans="1:23" ht="15" customHeight="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row>
    <row r="542" spans="1:23" ht="15" customHeight="1">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row>
    <row r="543" spans="1:23" ht="15" customHeight="1">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row>
    <row r="544" spans="1:23" ht="15" customHeight="1">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row>
    <row r="545" spans="1:23" ht="15" customHeight="1">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row>
    <row r="546" spans="1:23" ht="15" customHeight="1">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row>
    <row r="547" spans="1:23" ht="15" customHeight="1">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row>
    <row r="548" spans="1:23" ht="15" customHeight="1">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row>
    <row r="549" spans="1:23" ht="15" customHeight="1">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row>
    <row r="550" spans="1:23" ht="15" customHeight="1">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row>
    <row r="551" spans="1:23" ht="15" customHeight="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row>
    <row r="552" spans="1:23" ht="15" customHeight="1">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row>
    <row r="553" spans="1:23" ht="15" customHeight="1">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row>
    <row r="554" spans="1:23" ht="15" customHeight="1">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row>
    <row r="555" spans="1:23" ht="15" customHeight="1">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row>
    <row r="556" spans="1:23" ht="15" customHeight="1">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row>
    <row r="557" spans="1:23" ht="15" customHeight="1">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row>
    <row r="558" spans="1:23" ht="15" customHeight="1">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row>
    <row r="559" spans="1:23" ht="15" customHeight="1">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row>
    <row r="560" spans="1:23" ht="15" customHeight="1">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row>
    <row r="561" spans="1:23" ht="15" customHeight="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row>
    <row r="562" spans="1:23" ht="15" customHeight="1">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row>
    <row r="563" spans="1:23" ht="15" customHeight="1">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row>
    <row r="564" spans="1:23" ht="15" customHeight="1">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row>
    <row r="565" spans="1:23" ht="15" customHeight="1">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row>
    <row r="566" spans="1:23" ht="15" customHeight="1">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row>
    <row r="567" spans="1:23" ht="15" customHeight="1">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row>
    <row r="568" spans="1:23" ht="15" customHeight="1">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row>
    <row r="569" spans="1:23" ht="15" customHeight="1">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row>
    <row r="570" spans="1:23" ht="15" customHeight="1">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row>
    <row r="571" spans="1:23" ht="15" customHeight="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row>
    <row r="572" spans="1:23" ht="15" customHeight="1">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row>
    <row r="573" spans="1:23" ht="15" customHeight="1">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row>
    <row r="574" spans="1:23" ht="15" customHeight="1">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row>
    <row r="575" spans="1:23" ht="15" customHeight="1">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row>
    <row r="576" spans="1:23" ht="15" customHeight="1">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row>
    <row r="577" spans="1:23" ht="15" customHeight="1">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row>
    <row r="578" spans="1:23" ht="15" customHeight="1">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row>
    <row r="579" spans="1:23" ht="15" customHeight="1">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row>
    <row r="580" spans="1:23" ht="15" customHeight="1">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row>
    <row r="581" spans="1:23" ht="15" customHeight="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row>
    <row r="582" spans="1:23" ht="15" customHeight="1">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row>
    <row r="583" spans="1:23" ht="15" customHeight="1">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row>
    <row r="584" spans="1:23" ht="15" customHeight="1">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row>
    <row r="585" spans="1:23" ht="15" customHeight="1">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row>
    <row r="586" spans="1:23" ht="15" customHeight="1">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row>
    <row r="587" spans="1:23" ht="15" customHeight="1">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row>
    <row r="588" spans="1:23" ht="15" customHeight="1">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row>
    <row r="589" spans="1:23" ht="15" customHeight="1">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row>
    <row r="590" spans="1:23" ht="15" customHeight="1">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row>
    <row r="591" spans="1:23" ht="15" customHeight="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row>
    <row r="592" spans="1:23" ht="15" customHeight="1">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row>
    <row r="593" spans="1:23" ht="15" customHeight="1">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row>
    <row r="594" spans="1:23" ht="15" customHeight="1">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row>
    <row r="595" spans="1:23" ht="15" customHeight="1">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row>
    <row r="596" spans="1:23" ht="15" customHeight="1">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row>
    <row r="597" spans="1:23" ht="15" customHeight="1">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row>
    <row r="598" spans="1:23" ht="15" customHeight="1">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row>
    <row r="599" spans="1:23" ht="15" customHeight="1">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row>
    <row r="600" spans="1:23" ht="15" customHeight="1">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row>
    <row r="601" spans="1:23" ht="15" customHeight="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row>
    <row r="602" spans="1:23" ht="15" customHeight="1">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row>
    <row r="603" spans="1:23" ht="15" customHeight="1">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row>
    <row r="604" spans="1:23" ht="15" customHeight="1">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row>
    <row r="605" spans="1:23" ht="15" customHeight="1">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row>
    <row r="606" spans="1:23" ht="15" customHeight="1">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row>
    <row r="607" spans="1:23" ht="15" customHeight="1">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row>
    <row r="608" spans="1:23" ht="15" customHeight="1">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row>
    <row r="609" spans="1:23" ht="15" customHeight="1">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row>
    <row r="610" spans="1:23" ht="15" customHeight="1">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row>
    <row r="611" spans="1:23" ht="15" customHeight="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row>
    <row r="612" spans="1:23" ht="15" customHeight="1">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row>
    <row r="613" spans="1:23" ht="15" customHeight="1">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row>
    <row r="614" spans="1:23" ht="15" customHeight="1">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row>
    <row r="615" spans="1:23" ht="15" customHeight="1">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row>
    <row r="616" spans="1:23" ht="15" customHeight="1">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row>
    <row r="617" spans="1:23" ht="15" customHeight="1">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row>
    <row r="618" spans="1:23" ht="15" customHeight="1">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row>
    <row r="619" spans="1:23" ht="15" customHeight="1">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row>
    <row r="620" spans="1:23" ht="15" customHeight="1">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row>
    <row r="621" spans="1:23" ht="15" customHeight="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row>
    <row r="622" spans="1:23" ht="15" customHeight="1">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row>
    <row r="623" spans="1:23" ht="15" customHeight="1">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row>
    <row r="624" spans="1:23" ht="15" customHeight="1">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row>
    <row r="625" spans="1:23" ht="15" customHeight="1">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row>
    <row r="626" spans="1:23" ht="15" customHeight="1">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row>
    <row r="627" spans="1:23" ht="15" customHeight="1">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row>
    <row r="628" spans="1:23" ht="15" customHeight="1">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row>
    <row r="629" spans="1:23" ht="15" customHeight="1">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row>
    <row r="630" spans="1:23" ht="15" customHeight="1">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row>
    <row r="631" spans="1:23" ht="15" customHeight="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row>
    <row r="632" spans="1:23" ht="15" customHeight="1">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row>
    <row r="633" spans="1:23" ht="15" customHeight="1">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row>
    <row r="634" spans="1:23" ht="15" customHeight="1">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row>
    <row r="635" spans="1:23" ht="15" customHeight="1">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row>
    <row r="636" spans="1:23" ht="15" customHeight="1">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row>
    <row r="637" spans="1:23" ht="15" customHeight="1">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row>
    <row r="638" spans="1:23" ht="15" customHeight="1">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row>
    <row r="639" spans="1:23" ht="15" customHeight="1">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row>
    <row r="640" spans="1:23" ht="15" customHeight="1">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row>
    <row r="641" spans="1:23" ht="15" customHeight="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row>
    <row r="642" spans="1:23" ht="15" customHeight="1">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row>
    <row r="643" spans="1:23" ht="15" customHeight="1">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row>
    <row r="644" spans="1:23" ht="15" customHeight="1">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row>
    <row r="645" spans="1:23" ht="15" customHeight="1">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row>
    <row r="646" spans="1:23" ht="15" customHeight="1">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row>
    <row r="647" spans="1:23" ht="15" customHeight="1">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row>
    <row r="648" spans="1:23" ht="15" customHeight="1">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row>
    <row r="649" spans="1:23" ht="15" customHeight="1">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row>
    <row r="650" spans="1:23" ht="15" customHeight="1">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row>
    <row r="651" spans="1:23" ht="15" customHeight="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row>
    <row r="652" spans="1:23" ht="15" customHeight="1">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row>
    <row r="653" spans="1:23" ht="15" customHeight="1">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row>
    <row r="654" spans="1:23" ht="15" customHeight="1">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row>
    <row r="655" spans="1:23" ht="15" customHeight="1">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row>
    <row r="656" spans="1:23" ht="15" customHeight="1">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row>
    <row r="657" spans="1:23" ht="15" customHeight="1">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row>
    <row r="658" spans="1:23" ht="15" customHeight="1">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row>
    <row r="659" spans="1:23" ht="15" customHeight="1">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row>
    <row r="660" spans="1:23" ht="15" customHeight="1">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row>
    <row r="661" spans="1:23" ht="15" customHeight="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row>
    <row r="662" spans="1:23" ht="15" customHeight="1">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row>
    <row r="663" spans="1:23" ht="15" customHeight="1">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row>
    <row r="664" spans="1:23" ht="15" customHeight="1">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row>
    <row r="665" spans="1:23" ht="15" customHeight="1">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row>
    <row r="666" spans="1:23" ht="15" customHeight="1">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row>
    <row r="667" spans="1:23" ht="15" customHeight="1">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row>
    <row r="668" spans="1:23" ht="15" customHeight="1">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row>
    <row r="669" spans="1:23" ht="15" customHeight="1">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row>
    <row r="670" spans="1:23" ht="15" customHeight="1">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row>
    <row r="671" spans="1:23" ht="15" customHeight="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row>
    <row r="672" spans="1:23" ht="15" customHeight="1">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row>
    <row r="673" spans="1:23" ht="15" customHeight="1">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row>
    <row r="674" spans="1:23" ht="15" customHeight="1">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row>
    <row r="675" spans="1:23" ht="15" customHeight="1">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row>
    <row r="676" spans="1:23" ht="15" customHeight="1">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row>
    <row r="677" spans="1:23" ht="15" customHeight="1">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row>
    <row r="678" spans="1:23" ht="15" customHeight="1">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row>
    <row r="679" spans="1:23" ht="15" customHeight="1">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row>
    <row r="680" spans="1:23" ht="15" customHeight="1">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row>
    <row r="681" spans="1:23" ht="15" customHeight="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row>
    <row r="682" spans="1:23" ht="15" customHeight="1">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row>
    <row r="683" spans="1:23" ht="15" customHeight="1">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row>
    <row r="684" spans="1:23" ht="15" customHeight="1">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row>
    <row r="685" spans="1:23" ht="15" customHeight="1">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row>
    <row r="686" spans="1:23" ht="15" customHeight="1">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row>
    <row r="687" spans="1:23" ht="15" customHeight="1">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row>
    <row r="688" spans="1:23" ht="15" customHeight="1">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row>
    <row r="689" spans="1:23" ht="15" customHeight="1">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row>
    <row r="690" spans="1:23" ht="15" customHeight="1">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row>
    <row r="691" spans="1:23" ht="15" customHeight="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row>
    <row r="692" spans="1:23" ht="15" customHeight="1">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row>
    <row r="693" spans="1:23" ht="15" customHeight="1">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row>
    <row r="694" spans="1:23" ht="15" customHeight="1">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row>
    <row r="695" spans="1:23" ht="15" customHeight="1">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row>
    <row r="696" spans="1:23" ht="15" customHeight="1">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row>
    <row r="697" spans="1:23" ht="15" customHeight="1">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row>
    <row r="698" spans="1:23" ht="15" customHeight="1">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row>
    <row r="699" spans="1:23" ht="15" customHeight="1">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row>
    <row r="700" spans="1:23" ht="15" customHeight="1">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row>
    <row r="701" spans="1:23" ht="15" customHeight="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row>
    <row r="702" spans="1:23" ht="15" customHeight="1">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row>
    <row r="703" spans="1:23" ht="15" customHeight="1">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row>
    <row r="704" spans="1:23" ht="15" customHeight="1">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row>
    <row r="705" spans="1:23" ht="15" customHeight="1">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row>
    <row r="706" spans="1:23" ht="15" customHeight="1">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row>
    <row r="707" spans="1:23" ht="15" customHeight="1">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row>
    <row r="708" spans="1:23" ht="15" customHeight="1">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row>
    <row r="709" spans="1:23" ht="15" customHeight="1">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row>
    <row r="710" spans="1:23" ht="15" customHeight="1">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row>
    <row r="711" spans="1:23" ht="15" customHeight="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row>
    <row r="712" spans="1:23" ht="15" customHeight="1">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row>
    <row r="713" spans="1:23" ht="15" customHeight="1">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row>
    <row r="714" spans="1:23" ht="15" customHeight="1">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row>
    <row r="715" spans="1:23" ht="15" customHeight="1">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row>
    <row r="716" spans="1:23" ht="15" customHeight="1">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row>
    <row r="717" spans="1:23" ht="15" customHeight="1">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row>
    <row r="718" spans="1:23" ht="15" customHeight="1">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row>
    <row r="719" spans="1:23" ht="15" customHeight="1">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row>
    <row r="720" spans="1:23" ht="15" customHeight="1">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row>
    <row r="721" spans="1:23" ht="15" customHeight="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row>
    <row r="722" spans="1:23" ht="15" customHeight="1">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row>
    <row r="723" spans="1:23" ht="15" customHeight="1">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row>
    <row r="724" spans="1:23" ht="15" customHeight="1">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row>
    <row r="725" spans="1:23" ht="15" customHeight="1">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row>
    <row r="726" spans="1:23" ht="15" customHeight="1">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row>
    <row r="727" spans="1:23" ht="15" customHeight="1">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row>
    <row r="728" spans="1:23" ht="15" customHeight="1">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row>
    <row r="729" spans="1:23" ht="15" customHeight="1">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row>
    <row r="730" spans="1:23" ht="15" customHeight="1">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row>
    <row r="731" spans="1:23" ht="15" customHeight="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row>
    <row r="732" spans="1:23" ht="15" customHeight="1">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row>
    <row r="733" spans="1:23" ht="15" customHeight="1">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row>
    <row r="734" spans="1:23" ht="15" customHeight="1">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row>
    <row r="735" spans="1:23" ht="15" customHeight="1">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row>
    <row r="736" spans="1:23" ht="15" customHeight="1">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row>
    <row r="737" spans="1:23" ht="15" customHeight="1">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row>
    <row r="738" spans="1:23" ht="15" customHeight="1">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row>
    <row r="739" spans="1:23" ht="15" customHeight="1">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row>
    <row r="740" spans="1:23" ht="15" customHeight="1">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row>
    <row r="741" spans="1:23" ht="15" customHeight="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row>
    <row r="742" spans="1:23" ht="15" customHeight="1">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row>
    <row r="743" spans="1:23" ht="15" customHeight="1">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row>
    <row r="744" spans="1:23" ht="15" customHeight="1">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row>
    <row r="745" spans="1:23" ht="15" customHeight="1">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row>
    <row r="746" spans="1:23" ht="15" customHeight="1">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row>
    <row r="747" spans="1:23" ht="15" customHeight="1">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row>
    <row r="748" spans="1:23" ht="15" customHeight="1">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row>
    <row r="749" spans="1:23" ht="15" customHeight="1">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row>
    <row r="750" spans="1:23" ht="15" customHeight="1">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row>
    <row r="751" spans="1:23" ht="15" customHeight="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row>
    <row r="752" spans="1:23" ht="15" customHeight="1">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row>
    <row r="753" spans="1:23" ht="15" customHeight="1">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row>
    <row r="754" spans="1:23" ht="15" customHeight="1">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row>
    <row r="755" spans="1:23" ht="15" customHeight="1">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row>
    <row r="756" spans="1:23" ht="15" customHeight="1">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row>
    <row r="757" spans="1:23" ht="15" customHeight="1">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row>
    <row r="758" spans="1:23" ht="15" customHeight="1">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row>
    <row r="759" spans="1:23" ht="15" customHeight="1">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row>
    <row r="760" spans="1:23" ht="15" customHeight="1">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row>
    <row r="761" spans="1:23" ht="15" customHeight="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row>
    <row r="762" spans="1:23" ht="15" customHeight="1">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row>
    <row r="763" spans="1:23" ht="15" customHeight="1">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row>
    <row r="764" spans="1:23" ht="15" customHeight="1">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row>
    <row r="765" spans="1:23" ht="15" customHeight="1">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row>
    <row r="766" spans="1:23" ht="15" customHeight="1">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row>
    <row r="767" spans="1:23" ht="15" customHeight="1">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row>
    <row r="768" spans="1:23" ht="15" customHeight="1">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row>
    <row r="769" spans="1:23" ht="15" customHeight="1">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row>
    <row r="770" spans="1:23" ht="15" customHeight="1">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row>
    <row r="771" spans="1:23" ht="15" customHeight="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row>
    <row r="772" spans="1:23" ht="15" customHeight="1">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row>
    <row r="773" spans="1:23" ht="15" customHeight="1">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row>
    <row r="774" spans="1:23" ht="15" customHeight="1">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row>
    <row r="775" spans="1:23" ht="15" customHeight="1">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row>
    <row r="776" spans="1:23" ht="15" customHeight="1">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row>
    <row r="777" spans="1:23" ht="15" customHeight="1">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row>
    <row r="778" spans="1:23" ht="15" customHeight="1">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row>
    <row r="779" spans="1:23" ht="15" customHeight="1">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row>
    <row r="780" spans="1:23" ht="15" customHeight="1">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row>
    <row r="781" spans="1:23" ht="15" customHeight="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row>
    <row r="782" spans="1:23" ht="15" customHeight="1">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row>
    <row r="783" spans="1:23" ht="15" customHeight="1">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row>
    <row r="784" spans="1:23" ht="15" customHeight="1">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row>
    <row r="785" spans="1:23" ht="15" customHeight="1">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row>
    <row r="786" spans="1:23" ht="15" customHeight="1">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row>
    <row r="787" spans="1:23" ht="15" customHeight="1">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row>
    <row r="788" spans="1:23" ht="15" customHeight="1">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row>
    <row r="789" spans="1:23" ht="15" customHeight="1">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row>
    <row r="790" spans="1:23" ht="15" customHeight="1">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row>
    <row r="791" spans="1:23" ht="15" customHeight="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row>
    <row r="792" spans="1:23" ht="15" customHeight="1">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row>
    <row r="793" spans="1:23" ht="15" customHeight="1">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row>
    <row r="794" spans="1:23" ht="15" customHeight="1">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row>
    <row r="795" spans="1:23" ht="15" customHeight="1">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row>
    <row r="796" spans="1:23" ht="15" customHeight="1">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row>
    <row r="797" spans="1:23" ht="15" customHeight="1">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row>
    <row r="798" spans="1:23" ht="15" customHeight="1">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row>
    <row r="799" spans="1:23" ht="15" customHeight="1">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row>
    <row r="800" spans="1:23" ht="15" customHeight="1">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row>
    <row r="801" spans="1:23" ht="15" customHeight="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row>
    <row r="802" spans="1:23" ht="15" customHeight="1">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row>
    <row r="803" spans="1:23" ht="15" customHeight="1">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row>
    <row r="804" spans="1:23" ht="15" customHeight="1">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row>
    <row r="805" spans="1:23" ht="15" customHeight="1">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row>
    <row r="806" spans="1:23" ht="15" customHeight="1">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row>
    <row r="807" spans="1:23" ht="15" customHeight="1">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row>
    <row r="808" spans="1:23" ht="15" customHeight="1">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row>
    <row r="809" spans="1:23" ht="15" customHeight="1">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row>
    <row r="810" spans="1:23" ht="15" customHeight="1">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row>
    <row r="811" spans="1:23" ht="15" customHeight="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row>
    <row r="812" spans="1:23" ht="15" customHeight="1">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row>
    <row r="813" spans="1:23" ht="15" customHeight="1">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row>
    <row r="814" spans="1:23" ht="15" customHeight="1">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row>
    <row r="815" spans="1:23" ht="15" customHeight="1">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row>
    <row r="816" spans="1:23" ht="15" customHeight="1">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row>
    <row r="817" spans="1:23" ht="15" customHeight="1">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row>
    <row r="818" spans="1:23" ht="15" customHeight="1">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row>
    <row r="819" spans="1:23" ht="15" customHeight="1">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row>
    <row r="820" spans="1:23" ht="15" customHeight="1">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row>
    <row r="821" spans="1:23" ht="15" customHeight="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row>
    <row r="822" spans="1:23" ht="15" customHeight="1">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row>
    <row r="823" spans="1:23" ht="15" customHeight="1">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row>
    <row r="824" spans="1:23" ht="15" customHeight="1">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row>
    <row r="825" spans="1:23" ht="15" customHeight="1">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row>
    <row r="826" spans="1:23" ht="1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row>
    <row r="827" spans="1:23" ht="1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row>
    <row r="828" spans="1:23" ht="1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row>
    <row r="829" spans="1:23" ht="1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row>
    <row r="830" spans="1:23" ht="1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row>
    <row r="831" spans="1:23" ht="1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row>
    <row r="832" spans="1:23" ht="1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row>
    <row r="833" spans="1:23" ht="1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row>
    <row r="834" spans="1:23" ht="1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row>
    <row r="835" spans="1:23" ht="1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row>
    <row r="836" spans="1:23" ht="1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row>
    <row r="837" spans="1:23" ht="1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row>
    <row r="838" spans="1:23" ht="1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row>
    <row r="839" spans="1:23" ht="1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row>
    <row r="840" spans="1:23" ht="1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row>
    <row r="841" spans="1:23" ht="1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row>
    <row r="842" spans="1:23" ht="1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row>
    <row r="843" spans="1:23" ht="1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row>
    <row r="844" spans="1:23" ht="1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row>
    <row r="845" spans="1:23" ht="1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row>
    <row r="846" spans="1:23" ht="1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row>
    <row r="847" spans="1:23" ht="1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row>
    <row r="848" spans="1:23" ht="1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row>
    <row r="849" spans="1:23" ht="1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row>
    <row r="850" spans="1:23" ht="15" customHeight="1">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row>
    <row r="851" spans="1:23" ht="15" customHeight="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row>
    <row r="852" spans="1:23" ht="15" customHeight="1">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row>
    <row r="853" spans="1:23" ht="15" customHeight="1">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row>
    <row r="854" spans="1:23" ht="15" customHeight="1">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row>
    <row r="855" spans="1:23" ht="15" customHeight="1">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row>
    <row r="856" spans="1:23" ht="15" customHeight="1">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row>
    <row r="857" spans="1:23" ht="15" customHeight="1">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row>
    <row r="858" spans="1:23" ht="15" customHeight="1">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row>
    <row r="859" spans="1:23" ht="15" customHeight="1">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row>
    <row r="860" spans="1:23" ht="15" customHeight="1">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row>
    <row r="861" spans="1:23" ht="15" customHeight="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row>
    <row r="862" spans="1:23" ht="15" customHeight="1">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row>
    <row r="863" spans="1:23" ht="15" customHeight="1">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row>
    <row r="864" spans="1:23" ht="15" customHeight="1">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row>
    <row r="865" spans="1:23" ht="15" customHeight="1">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row>
    <row r="866" spans="1:23" ht="15" customHeight="1">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row>
    <row r="867" spans="1:23" ht="15" customHeight="1">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row>
    <row r="868" spans="1:23" ht="15" customHeight="1">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row>
    <row r="869" spans="1:23" ht="15" customHeight="1">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row>
    <row r="870" spans="1:23" ht="15" customHeight="1">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row>
    <row r="871" spans="1:23" ht="15" customHeight="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row>
    <row r="872" spans="1:23" ht="15" customHeight="1">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row>
    <row r="873" spans="1:23" ht="15" customHeight="1">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row>
    <row r="874" spans="1:23" ht="15" customHeight="1">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row>
    <row r="875" spans="1:23" ht="15" customHeight="1">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row>
    <row r="876" spans="1:23" ht="15" customHeight="1">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row>
    <row r="877" spans="1:23" ht="15" customHeight="1">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row>
    <row r="878" spans="1:23" ht="15" customHeight="1">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row>
    <row r="879" spans="1:23" ht="15" customHeight="1">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row>
    <row r="880" spans="1:23" ht="15" customHeight="1">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row>
    <row r="881" spans="1:23" ht="15" customHeight="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row>
    <row r="882" spans="1:23" ht="15" customHeight="1">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row>
    <row r="883" spans="1:23" ht="15" customHeight="1">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row>
    <row r="884" spans="1:23" ht="15" customHeight="1">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row>
    <row r="885" spans="1:23" ht="15" customHeight="1">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row>
    <row r="886" spans="1:23" ht="15" customHeight="1">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row>
    <row r="887" spans="1:23" ht="15" customHeight="1">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row>
    <row r="888" spans="1:23" ht="15" customHeight="1">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row>
    <row r="889" spans="1:23" ht="15" customHeight="1">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row>
    <row r="890" spans="1:23" ht="15" customHeight="1">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row>
    <row r="891" spans="1:23" ht="15" customHeight="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row>
    <row r="892" spans="1:23" ht="15" customHeight="1">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row>
    <row r="893" spans="1:23" ht="15" customHeight="1">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row>
    <row r="894" spans="1:23" ht="15" customHeight="1">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row>
    <row r="895" spans="1:23" ht="15" customHeight="1">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row>
    <row r="896" spans="1:23" ht="15" customHeight="1">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row>
    <row r="897" spans="1:23" ht="15" customHeight="1">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row>
    <row r="898" spans="1:23" ht="15" customHeight="1">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row>
    <row r="899" spans="1:23" ht="15" customHeight="1">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row>
    <row r="900" spans="1:23" ht="15" customHeight="1">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row>
    <row r="901" spans="1:23" ht="15" customHeight="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row>
    <row r="902" spans="1:23" ht="15" customHeight="1">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row>
    <row r="903" spans="1:23" ht="15" customHeight="1">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row>
    <row r="904" spans="1:23" ht="15" customHeight="1">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row>
    <row r="905" spans="1:23" ht="15" customHeight="1">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row>
    <row r="906" spans="1:23" ht="15" customHeight="1">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row>
    <row r="907" spans="1:23" ht="15" customHeight="1">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row>
    <row r="908" spans="1:23" ht="15" customHeight="1">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row>
    <row r="909" spans="1:23" ht="15" customHeight="1">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row>
    <row r="910" spans="1:23" ht="15" customHeight="1">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row>
    <row r="911" spans="1:23" ht="15" customHeight="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row>
    <row r="912" spans="1:23" ht="15" customHeight="1">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row>
    <row r="913" spans="1:23" ht="15" customHeight="1">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row>
    <row r="914" spans="1:23" ht="15" customHeight="1">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row>
    <row r="915" spans="1:23" ht="15" customHeight="1">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row>
    <row r="916" spans="1:23" ht="15" customHeight="1">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row>
    <row r="917" spans="1:23" ht="15" customHeight="1">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row>
    <row r="918" spans="1:23" ht="15" customHeight="1">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row>
    <row r="919" spans="1:23" ht="15" customHeight="1">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row>
    <row r="920" spans="1:23" ht="15" customHeight="1">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row>
    <row r="921" spans="1:23" ht="15" customHeight="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row>
    <row r="922" spans="1:23" ht="15" customHeight="1">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row>
    <row r="923" spans="1:23" ht="15" customHeight="1">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row>
    <row r="924" spans="1:23" ht="15" customHeight="1">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row>
    <row r="925" spans="1:23" ht="15" customHeight="1">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row>
    <row r="926" spans="1:23" ht="15" customHeight="1">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row>
    <row r="927" spans="1:23" ht="15" customHeight="1">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row>
    <row r="928" spans="1:23" ht="15" customHeight="1">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row>
    <row r="929" spans="1:23" ht="15" customHeight="1">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row>
    <row r="930" spans="1:23" ht="15" customHeight="1">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row>
    <row r="931" spans="1:23" ht="15" customHeight="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row>
    <row r="932" spans="1:23" ht="15" customHeight="1">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row>
    <row r="933" spans="1:23" ht="15" customHeight="1">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row>
    <row r="934" spans="1:23" ht="15" customHeight="1">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row>
    <row r="935" spans="1:23" ht="15" customHeight="1">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row>
    <row r="936" spans="1:23" ht="15" customHeight="1">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row>
    <row r="937" spans="1:23" ht="15" customHeight="1">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row>
    <row r="938" spans="1:23" ht="15" customHeight="1">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row>
    <row r="939" spans="1:23" ht="15" customHeight="1">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row>
    <row r="940" spans="1:23" ht="15" customHeight="1">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row>
    <row r="941" spans="1:23" ht="15" customHeight="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row>
    <row r="942" spans="1:23" ht="15" customHeight="1">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row>
    <row r="943" spans="1:23" ht="15" customHeight="1">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row>
    <row r="944" spans="1:23" ht="15" customHeight="1">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row>
    <row r="945" spans="1:23" ht="15" customHeight="1">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row>
    <row r="946" spans="1:23" ht="15" customHeight="1">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row>
    <row r="947" spans="1:23" ht="15" customHeight="1">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row>
    <row r="948" spans="1:23" ht="15" customHeight="1">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row>
    <row r="949" spans="1:23" ht="15" customHeight="1">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row>
    <row r="950" spans="1:23" ht="15" customHeight="1">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row>
    <row r="951" spans="1:23" ht="15" customHeight="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row>
    <row r="952" spans="1:23" ht="15" customHeight="1">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row>
    <row r="953" spans="1:23" ht="15" customHeight="1">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row>
    <row r="954" spans="1:23" ht="15" customHeight="1">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row>
    <row r="955" spans="1:23" ht="15" customHeight="1">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row>
    <row r="956" spans="1:23" ht="15" customHeight="1">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row>
    <row r="957" spans="1:23" ht="15" customHeight="1">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row>
    <row r="958" spans="1:23" ht="15" customHeight="1">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row>
    <row r="959" spans="1:23" ht="15" customHeight="1">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row>
    <row r="960" spans="1:23" ht="15" customHeight="1">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row>
    <row r="961" spans="1:23" ht="15" customHeight="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row>
    <row r="962" spans="1:23" ht="15" customHeight="1">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row>
    <row r="963" spans="1:23" ht="15" customHeight="1">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row>
    <row r="964" spans="1:23" ht="15" customHeight="1">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row>
    <row r="965" spans="1:23" ht="15" customHeight="1">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row>
    <row r="966" spans="1:23" ht="15" customHeight="1">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row>
    <row r="967" spans="1:23" ht="15" customHeight="1">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row>
    <row r="968" spans="1:23" ht="15" customHeight="1">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row>
    <row r="969" spans="1:23" ht="15" customHeight="1">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row>
    <row r="970" spans="1:23" ht="15" customHeight="1">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row>
    <row r="971" spans="1:23" ht="15" customHeight="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row>
    <row r="972" spans="1:23" ht="15" customHeight="1">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row>
    <row r="973" spans="1:23" ht="15" customHeight="1">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row>
    <row r="974" spans="1:23" ht="15" customHeight="1">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row>
    <row r="975" spans="1:23" ht="15" customHeight="1">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row>
    <row r="976" spans="1:23" ht="15" customHeight="1">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row>
    <row r="977" spans="1:23" ht="15" customHeight="1">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row>
    <row r="978" spans="1:23" ht="15" customHeight="1">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row>
    <row r="979" spans="1:23" ht="15" customHeight="1">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row>
    <row r="980" spans="1:23" ht="15" customHeight="1">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row>
    <row r="981" spans="1:23" ht="15" customHeight="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row>
    <row r="982" spans="1:23" ht="15" customHeight="1">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row>
    <row r="983" spans="1:23" ht="15" customHeight="1">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row>
    <row r="984" spans="1:23" ht="15" customHeight="1">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row>
    <row r="985" spans="1:23" ht="15" customHeight="1">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row>
    <row r="986" spans="1:23" ht="15" customHeight="1">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row>
    <row r="987" spans="1:23" ht="15" customHeight="1">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row>
    <row r="988" spans="1:23" ht="15" customHeight="1">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row>
    <row r="989" spans="1:23" ht="15" customHeight="1">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row>
    <row r="990" spans="1:23" ht="15" customHeight="1">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row>
    <row r="991" spans="1:23" ht="15" customHeight="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row>
    <row r="992" spans="1:23" ht="15" customHeight="1">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row>
    <row r="993" spans="1:23" ht="15" customHeight="1">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row>
    <row r="994" spans="1:23" ht="15" customHeight="1">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row>
    <row r="995" spans="1:23" ht="15" customHeight="1">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row>
    <row r="996" spans="1:23" ht="15" customHeight="1">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row>
    <row r="997" spans="1:23" ht="15" customHeight="1">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row>
    <row r="998" spans="1:23" ht="15" customHeight="1">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row>
    <row r="999" spans="1:23" ht="15" customHeight="1">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row>
    <row r="1000" spans="1:23" ht="15" customHeight="1">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row>
    <row r="1001" spans="1:23" ht="15" customHeight="1">
      <c r="A1001" s="124"/>
      <c r="B1001" s="124"/>
      <c r="C1001" s="124"/>
      <c r="D1001" s="124"/>
      <c r="E1001" s="124"/>
      <c r="F1001" s="124"/>
      <c r="G1001" s="124"/>
      <c r="H1001" s="124"/>
      <c r="I1001" s="124"/>
      <c r="J1001" s="124"/>
      <c r="K1001" s="124"/>
      <c r="L1001" s="124"/>
      <c r="M1001" s="124"/>
      <c r="N1001" s="124"/>
      <c r="O1001" s="124"/>
      <c r="P1001" s="124"/>
      <c r="Q1001" s="124"/>
      <c r="R1001" s="124"/>
      <c r="S1001" s="124"/>
      <c r="T1001" s="124"/>
      <c r="U1001" s="124"/>
      <c r="V1001" s="124"/>
      <c r="W1001" s="124"/>
    </row>
    <row r="1002" spans="1:23" ht="15" customHeight="1">
      <c r="A1002" s="124"/>
      <c r="B1002" s="124"/>
      <c r="C1002" s="124"/>
      <c r="D1002" s="124"/>
      <c r="E1002" s="124"/>
      <c r="F1002" s="124"/>
      <c r="G1002" s="124"/>
      <c r="H1002" s="124"/>
      <c r="I1002" s="124"/>
      <c r="J1002" s="124"/>
      <c r="K1002" s="124"/>
      <c r="L1002" s="124"/>
      <c r="M1002" s="124"/>
      <c r="N1002" s="124"/>
      <c r="O1002" s="124"/>
      <c r="P1002" s="124"/>
      <c r="Q1002" s="124"/>
      <c r="R1002" s="124"/>
      <c r="S1002" s="124"/>
      <c r="T1002" s="124"/>
      <c r="U1002" s="124"/>
      <c r="V1002" s="124"/>
      <c r="W1002" s="124"/>
    </row>
    <row r="1003" spans="1:23" ht="15" customHeight="1">
      <c r="A1003" s="124"/>
      <c r="B1003" s="124"/>
      <c r="C1003" s="124"/>
      <c r="D1003" s="124"/>
      <c r="E1003" s="124"/>
      <c r="F1003" s="124"/>
      <c r="G1003" s="124"/>
      <c r="H1003" s="124"/>
      <c r="I1003" s="124"/>
      <c r="J1003" s="124"/>
      <c r="K1003" s="124"/>
      <c r="L1003" s="124"/>
      <c r="M1003" s="124"/>
      <c r="N1003" s="124"/>
      <c r="O1003" s="124"/>
      <c r="P1003" s="124"/>
      <c r="Q1003" s="124"/>
      <c r="R1003" s="124"/>
      <c r="S1003" s="124"/>
      <c r="T1003" s="124"/>
      <c r="U1003" s="124"/>
      <c r="V1003" s="124"/>
      <c r="W1003" s="124"/>
    </row>
    <row r="1004" spans="1:23" ht="15" customHeight="1">
      <c r="A1004" s="124"/>
      <c r="B1004" s="124"/>
      <c r="C1004" s="124"/>
      <c r="D1004" s="124"/>
      <c r="E1004" s="124"/>
      <c r="F1004" s="124"/>
      <c r="G1004" s="124"/>
      <c r="H1004" s="124"/>
      <c r="I1004" s="124"/>
      <c r="J1004" s="124"/>
      <c r="K1004" s="124"/>
      <c r="L1004" s="124"/>
      <c r="M1004" s="124"/>
      <c r="N1004" s="124"/>
      <c r="O1004" s="124"/>
      <c r="P1004" s="124"/>
      <c r="Q1004" s="124"/>
      <c r="R1004" s="124"/>
      <c r="S1004" s="124"/>
      <c r="T1004" s="124"/>
      <c r="U1004" s="124"/>
      <c r="V1004" s="124"/>
      <c r="W1004" s="124"/>
    </row>
    <row r="1005" spans="1:23" ht="15" customHeight="1">
      <c r="A1005" s="124"/>
      <c r="B1005" s="124"/>
      <c r="C1005" s="124"/>
      <c r="D1005" s="124"/>
      <c r="E1005" s="124"/>
      <c r="F1005" s="124"/>
      <c r="G1005" s="124"/>
      <c r="H1005" s="124"/>
      <c r="I1005" s="124"/>
      <c r="J1005" s="124"/>
      <c r="K1005" s="124"/>
      <c r="L1005" s="124"/>
      <c r="M1005" s="124"/>
      <c r="N1005" s="124"/>
      <c r="O1005" s="124"/>
      <c r="P1005" s="124"/>
      <c r="Q1005" s="124"/>
      <c r="R1005" s="124"/>
      <c r="S1005" s="124"/>
      <c r="T1005" s="124"/>
      <c r="U1005" s="124"/>
      <c r="V1005" s="124"/>
      <c r="W1005" s="124"/>
    </row>
    <row r="1006" spans="1:23" ht="15" customHeight="1">
      <c r="A1006" s="124"/>
      <c r="B1006" s="124"/>
      <c r="C1006" s="124"/>
      <c r="D1006" s="124"/>
      <c r="E1006" s="124"/>
      <c r="F1006" s="124"/>
      <c r="G1006" s="124"/>
      <c r="H1006" s="124"/>
      <c r="I1006" s="124"/>
      <c r="J1006" s="124"/>
      <c r="K1006" s="124"/>
      <c r="L1006" s="124"/>
      <c r="M1006" s="124"/>
      <c r="N1006" s="124"/>
      <c r="O1006" s="124"/>
      <c r="P1006" s="124"/>
      <c r="Q1006" s="124"/>
      <c r="R1006" s="124"/>
      <c r="S1006" s="124"/>
      <c r="T1006" s="124"/>
      <c r="U1006" s="124"/>
      <c r="V1006" s="124"/>
      <c r="W1006" s="124"/>
    </row>
    <row r="1007" spans="1:23" ht="15" customHeight="1">
      <c r="A1007" s="124"/>
      <c r="B1007" s="124"/>
      <c r="C1007" s="124"/>
      <c r="D1007" s="124"/>
      <c r="E1007" s="124"/>
      <c r="F1007" s="124"/>
      <c r="G1007" s="124"/>
      <c r="H1007" s="124"/>
      <c r="I1007" s="124"/>
      <c r="J1007" s="124"/>
      <c r="K1007" s="124"/>
      <c r="L1007" s="124"/>
      <c r="M1007" s="124"/>
      <c r="N1007" s="124"/>
      <c r="O1007" s="124"/>
      <c r="P1007" s="124"/>
      <c r="Q1007" s="124"/>
      <c r="R1007" s="124"/>
      <c r="S1007" s="124"/>
      <c r="T1007" s="124"/>
      <c r="U1007" s="124"/>
      <c r="V1007" s="124"/>
      <c r="W1007" s="124"/>
    </row>
    <row r="1008" spans="1:23" ht="15" customHeight="1">
      <c r="A1008" s="124"/>
      <c r="B1008" s="124"/>
      <c r="C1008" s="124"/>
      <c r="D1008" s="124"/>
      <c r="E1008" s="124"/>
      <c r="F1008" s="124"/>
      <c r="G1008" s="124"/>
      <c r="H1008" s="124"/>
      <c r="I1008" s="124"/>
      <c r="J1008" s="124"/>
      <c r="K1008" s="124"/>
      <c r="L1008" s="124"/>
      <c r="M1008" s="124"/>
      <c r="N1008" s="124"/>
      <c r="O1008" s="124"/>
      <c r="P1008" s="124"/>
      <c r="Q1008" s="124"/>
      <c r="R1008" s="124"/>
      <c r="S1008" s="124"/>
      <c r="T1008" s="124"/>
      <c r="U1008" s="124"/>
      <c r="V1008" s="124"/>
      <c r="W1008" s="124"/>
    </row>
    <row r="1009" spans="1:23" ht="15" customHeight="1">
      <c r="A1009" s="124"/>
      <c r="B1009" s="124"/>
      <c r="C1009" s="124"/>
      <c r="D1009" s="124"/>
      <c r="E1009" s="124"/>
      <c r="F1009" s="124"/>
      <c r="G1009" s="124"/>
      <c r="H1009" s="124"/>
      <c r="I1009" s="124"/>
      <c r="J1009" s="124"/>
      <c r="K1009" s="124"/>
      <c r="L1009" s="124"/>
      <c r="M1009" s="124"/>
      <c r="N1009" s="124"/>
      <c r="O1009" s="124"/>
      <c r="P1009" s="124"/>
      <c r="Q1009" s="124"/>
      <c r="R1009" s="124"/>
      <c r="S1009" s="124"/>
      <c r="T1009" s="124"/>
      <c r="U1009" s="124"/>
      <c r="V1009" s="124"/>
      <c r="W1009" s="124"/>
    </row>
    <row r="1010" spans="1:23" ht="15" customHeight="1">
      <c r="A1010" s="124"/>
      <c r="B1010" s="124"/>
      <c r="C1010" s="124"/>
      <c r="D1010" s="124"/>
      <c r="E1010" s="124"/>
      <c r="F1010" s="124"/>
      <c r="G1010" s="124"/>
      <c r="H1010" s="124"/>
      <c r="I1010" s="124"/>
      <c r="J1010" s="124"/>
      <c r="K1010" s="124"/>
      <c r="L1010" s="124"/>
      <c r="M1010" s="124"/>
      <c r="N1010" s="124"/>
      <c r="O1010" s="124"/>
      <c r="P1010" s="124"/>
      <c r="Q1010" s="124"/>
      <c r="R1010" s="124"/>
      <c r="S1010" s="124"/>
      <c r="T1010" s="124"/>
      <c r="U1010" s="124"/>
      <c r="V1010" s="124"/>
      <c r="W1010" s="124"/>
    </row>
    <row r="1011" spans="1:23" ht="15" customHeight="1">
      <c r="A1011" s="124"/>
      <c r="B1011" s="124"/>
      <c r="C1011" s="124"/>
      <c r="D1011" s="124"/>
      <c r="E1011" s="124"/>
      <c r="F1011" s="124"/>
      <c r="G1011" s="124"/>
      <c r="H1011" s="124"/>
      <c r="I1011" s="124"/>
      <c r="J1011" s="124"/>
      <c r="K1011" s="124"/>
      <c r="L1011" s="124"/>
      <c r="M1011" s="124"/>
      <c r="N1011" s="124"/>
      <c r="O1011" s="124"/>
      <c r="P1011" s="124"/>
      <c r="Q1011" s="124"/>
      <c r="R1011" s="124"/>
      <c r="S1011" s="124"/>
      <c r="T1011" s="124"/>
      <c r="U1011" s="124"/>
      <c r="V1011" s="124"/>
      <c r="W1011" s="124"/>
    </row>
    <row r="1012" spans="1:23" ht="15" customHeight="1">
      <c r="A1012" s="124"/>
      <c r="B1012" s="124"/>
      <c r="C1012" s="124"/>
      <c r="D1012" s="124"/>
      <c r="E1012" s="124"/>
      <c r="F1012" s="124"/>
      <c r="G1012" s="124"/>
      <c r="H1012" s="124"/>
      <c r="I1012" s="124"/>
      <c r="J1012" s="124"/>
      <c r="K1012" s="124"/>
      <c r="L1012" s="124"/>
      <c r="M1012" s="124"/>
      <c r="N1012" s="124"/>
      <c r="O1012" s="124"/>
      <c r="P1012" s="124"/>
      <c r="Q1012" s="124"/>
      <c r="R1012" s="124"/>
      <c r="S1012" s="124"/>
      <c r="T1012" s="124"/>
      <c r="U1012" s="124"/>
      <c r="V1012" s="124"/>
      <c r="W1012" s="124"/>
    </row>
    <row r="1013" spans="1:23" ht="15" customHeight="1">
      <c r="A1013" s="124"/>
      <c r="B1013" s="124"/>
      <c r="C1013" s="124"/>
      <c r="D1013" s="124"/>
      <c r="E1013" s="124"/>
      <c r="F1013" s="124"/>
      <c r="G1013" s="124"/>
      <c r="H1013" s="124"/>
      <c r="I1013" s="124"/>
      <c r="J1013" s="124"/>
      <c r="K1013" s="124"/>
      <c r="L1013" s="124"/>
      <c r="M1013" s="124"/>
      <c r="N1013" s="124"/>
      <c r="O1013" s="124"/>
      <c r="P1013" s="124"/>
      <c r="Q1013" s="124"/>
      <c r="R1013" s="124"/>
      <c r="S1013" s="124"/>
      <c r="T1013" s="124"/>
      <c r="U1013" s="124"/>
      <c r="V1013" s="124"/>
      <c r="W1013" s="124"/>
    </row>
    <row r="1014" spans="1:23" ht="15" customHeight="1">
      <c r="A1014" s="124"/>
      <c r="B1014" s="124"/>
      <c r="C1014" s="124"/>
      <c r="D1014" s="124"/>
      <c r="E1014" s="124"/>
      <c r="F1014" s="124"/>
      <c r="G1014" s="124"/>
      <c r="H1014" s="124"/>
      <c r="I1014" s="124"/>
      <c r="J1014" s="124"/>
      <c r="K1014" s="124"/>
      <c r="L1014" s="124"/>
      <c r="M1014" s="124"/>
      <c r="N1014" s="124"/>
      <c r="O1014" s="124"/>
      <c r="P1014" s="124"/>
      <c r="Q1014" s="124"/>
      <c r="R1014" s="124"/>
      <c r="S1014" s="124"/>
      <c r="T1014" s="124"/>
      <c r="U1014" s="124"/>
      <c r="V1014" s="124"/>
      <c r="W1014" s="124"/>
    </row>
    <row r="1015" spans="1:23" ht="15" customHeight="1">
      <c r="A1015" s="124"/>
      <c r="B1015" s="124"/>
      <c r="C1015" s="124"/>
      <c r="D1015" s="124"/>
      <c r="E1015" s="124"/>
      <c r="F1015" s="124"/>
      <c r="G1015" s="124"/>
      <c r="H1015" s="124"/>
      <c r="I1015" s="124"/>
      <c r="J1015" s="124"/>
      <c r="K1015" s="124"/>
      <c r="L1015" s="124"/>
      <c r="M1015" s="124"/>
      <c r="N1015" s="124"/>
      <c r="O1015" s="124"/>
      <c r="P1015" s="124"/>
      <c r="Q1015" s="124"/>
      <c r="R1015" s="124"/>
      <c r="S1015" s="124"/>
      <c r="T1015" s="124"/>
      <c r="U1015" s="124"/>
      <c r="V1015" s="124"/>
      <c r="W1015" s="124"/>
    </row>
    <row r="1016" spans="1:23" ht="15" customHeight="1">
      <c r="A1016" s="124"/>
      <c r="B1016" s="124"/>
      <c r="C1016" s="124"/>
      <c r="D1016" s="124"/>
      <c r="E1016" s="124"/>
      <c r="F1016" s="124"/>
      <c r="G1016" s="124"/>
      <c r="H1016" s="124"/>
      <c r="I1016" s="124"/>
      <c r="J1016" s="124"/>
      <c r="K1016" s="124"/>
      <c r="L1016" s="124"/>
      <c r="M1016" s="124"/>
      <c r="N1016" s="124"/>
      <c r="O1016" s="124"/>
      <c r="P1016" s="124"/>
      <c r="Q1016" s="124"/>
      <c r="R1016" s="124"/>
      <c r="S1016" s="124"/>
      <c r="T1016" s="124"/>
      <c r="U1016" s="124"/>
      <c r="V1016" s="124"/>
      <c r="W1016" s="124"/>
    </row>
    <row r="1017" spans="1:23" ht="15" customHeight="1">
      <c r="A1017" s="124"/>
      <c r="B1017" s="124"/>
      <c r="C1017" s="124"/>
      <c r="D1017" s="124"/>
      <c r="E1017" s="124"/>
      <c r="F1017" s="124"/>
      <c r="G1017" s="124"/>
      <c r="H1017" s="124"/>
      <c r="I1017" s="124"/>
      <c r="J1017" s="124"/>
      <c r="K1017" s="124"/>
      <c r="L1017" s="124"/>
      <c r="M1017" s="124"/>
      <c r="N1017" s="124"/>
      <c r="O1017" s="124"/>
      <c r="P1017" s="124"/>
      <c r="Q1017" s="124"/>
      <c r="R1017" s="124"/>
      <c r="S1017" s="124"/>
      <c r="T1017" s="124"/>
      <c r="U1017" s="124"/>
      <c r="V1017" s="124"/>
      <c r="W1017" s="124"/>
    </row>
    <row r="1018" spans="1:23" ht="15" customHeight="1">
      <c r="A1018" s="124"/>
      <c r="B1018" s="124"/>
      <c r="C1018" s="124"/>
      <c r="D1018" s="124"/>
      <c r="E1018" s="124"/>
      <c r="F1018" s="124"/>
      <c r="G1018" s="124"/>
      <c r="H1018" s="124"/>
      <c r="I1018" s="124"/>
      <c r="J1018" s="124"/>
      <c r="K1018" s="124"/>
      <c r="L1018" s="124"/>
      <c r="M1018" s="124"/>
      <c r="N1018" s="124"/>
      <c r="O1018" s="124"/>
      <c r="P1018" s="124"/>
      <c r="Q1018" s="124"/>
      <c r="R1018" s="124"/>
      <c r="S1018" s="124"/>
      <c r="T1018" s="124"/>
      <c r="U1018" s="124"/>
      <c r="V1018" s="124"/>
      <c r="W1018" s="124"/>
    </row>
    <row r="1019" spans="1:23" ht="15" customHeight="1">
      <c r="A1019" s="124"/>
      <c r="B1019" s="124"/>
      <c r="C1019" s="124"/>
      <c r="D1019" s="124"/>
      <c r="E1019" s="124"/>
      <c r="F1019" s="124"/>
      <c r="G1019" s="124"/>
      <c r="H1019" s="124"/>
      <c r="I1019" s="124"/>
      <c r="J1019" s="124"/>
      <c r="K1019" s="124"/>
      <c r="L1019" s="124"/>
      <c r="M1019" s="124"/>
      <c r="N1019" s="124"/>
      <c r="O1019" s="124"/>
      <c r="P1019" s="124"/>
      <c r="Q1019" s="124"/>
      <c r="R1019" s="124"/>
      <c r="S1019" s="124"/>
      <c r="T1019" s="124"/>
      <c r="U1019" s="124"/>
      <c r="V1019" s="124"/>
      <c r="W1019" s="124"/>
    </row>
    <row r="1020" spans="1:23" ht="15" customHeight="1">
      <c r="A1020" s="124"/>
      <c r="B1020" s="124"/>
      <c r="C1020" s="124"/>
      <c r="D1020" s="124"/>
      <c r="E1020" s="124"/>
      <c r="F1020" s="124"/>
      <c r="G1020" s="124"/>
      <c r="H1020" s="124"/>
      <c r="I1020" s="124"/>
      <c r="J1020" s="124"/>
      <c r="K1020" s="124"/>
      <c r="L1020" s="124"/>
      <c r="M1020" s="124"/>
      <c r="N1020" s="124"/>
      <c r="O1020" s="124"/>
      <c r="P1020" s="124"/>
      <c r="Q1020" s="124"/>
      <c r="R1020" s="124"/>
      <c r="S1020" s="124"/>
      <c r="T1020" s="124"/>
      <c r="U1020" s="124"/>
      <c r="V1020" s="124"/>
      <c r="W1020" s="124"/>
    </row>
    <row r="1021" spans="1:23" ht="15" customHeight="1">
      <c r="A1021" s="124"/>
      <c r="B1021" s="124"/>
      <c r="C1021" s="124"/>
      <c r="D1021" s="124"/>
      <c r="E1021" s="124"/>
      <c r="F1021" s="124"/>
      <c r="G1021" s="124"/>
      <c r="H1021" s="124"/>
      <c r="I1021" s="124"/>
      <c r="J1021" s="124"/>
      <c r="K1021" s="124"/>
      <c r="L1021" s="124"/>
      <c r="M1021" s="124"/>
      <c r="N1021" s="124"/>
      <c r="O1021" s="124"/>
      <c r="P1021" s="124"/>
      <c r="Q1021" s="124"/>
      <c r="R1021" s="124"/>
      <c r="S1021" s="124"/>
      <c r="T1021" s="124"/>
      <c r="U1021" s="124"/>
      <c r="V1021" s="124"/>
      <c r="W1021" s="124"/>
    </row>
    <row r="1022" spans="1:23" ht="15" customHeight="1">
      <c r="A1022" s="124"/>
      <c r="B1022" s="124"/>
      <c r="C1022" s="124"/>
      <c r="D1022" s="124"/>
      <c r="E1022" s="124"/>
      <c r="F1022" s="124"/>
      <c r="G1022" s="124"/>
      <c r="H1022" s="124"/>
      <c r="I1022" s="124"/>
      <c r="J1022" s="124"/>
      <c r="K1022" s="124"/>
      <c r="L1022" s="124"/>
      <c r="M1022" s="124"/>
      <c r="N1022" s="124"/>
      <c r="O1022" s="124"/>
      <c r="P1022" s="124"/>
      <c r="Q1022" s="124"/>
      <c r="R1022" s="124"/>
      <c r="S1022" s="124"/>
      <c r="T1022" s="124"/>
      <c r="U1022" s="124"/>
      <c r="V1022" s="124"/>
      <c r="W1022" s="124"/>
    </row>
  </sheetData>
  <autoFilter ref="A5:DL5" xr:uid="{00000000-0009-0000-0000-000014000000}"/>
  <mergeCells count="104">
    <mergeCell ref="BS27:BS39"/>
    <mergeCell ref="BP3:BP5"/>
    <mergeCell ref="BQ3:BQ5"/>
    <mergeCell ref="BR3:BR5"/>
    <mergeCell ref="BS3:BS5"/>
    <mergeCell ref="B27:B40"/>
    <mergeCell ref="A27:A40"/>
    <mergeCell ref="BP1:DL2"/>
    <mergeCell ref="W4:W5"/>
    <mergeCell ref="A1:W1"/>
    <mergeCell ref="A3:W3"/>
    <mergeCell ref="A2:W2"/>
    <mergeCell ref="C4:C5"/>
    <mergeCell ref="F4:F5"/>
    <mergeCell ref="G4:G5"/>
    <mergeCell ref="X1:BO1"/>
    <mergeCell ref="X3:X5"/>
    <mergeCell ref="Y3:Y5"/>
    <mergeCell ref="Z3:Z5"/>
    <mergeCell ref="AA3:AA5"/>
    <mergeCell ref="AB3:AE3"/>
    <mergeCell ref="AF3:BE3"/>
    <mergeCell ref="BF3:BJ3"/>
    <mergeCell ref="BS6:BS13"/>
    <mergeCell ref="BS14:BS17"/>
    <mergeCell ref="BS18:BS26"/>
    <mergeCell ref="AZ4:BE4"/>
    <mergeCell ref="BF4:BF5"/>
    <mergeCell ref="BG4:BG5"/>
    <mergeCell ref="D4:D5"/>
    <mergeCell ref="E4:E5"/>
    <mergeCell ref="S4:S5"/>
    <mergeCell ref="U4:U5"/>
    <mergeCell ref="V4:V5"/>
    <mergeCell ref="T4:T5"/>
    <mergeCell ref="BK4:BK5"/>
    <mergeCell ref="A18:A26"/>
    <mergeCell ref="B18:B26"/>
    <mergeCell ref="A4:A5"/>
    <mergeCell ref="B4:B5"/>
    <mergeCell ref="A6:A13"/>
    <mergeCell ref="B6:B13"/>
    <mergeCell ref="A14:A17"/>
    <mergeCell ref="B14:B17"/>
    <mergeCell ref="BV3:BV5"/>
    <mergeCell ref="J15:J16"/>
    <mergeCell ref="BT3:BT5"/>
    <mergeCell ref="BU3:BU5"/>
    <mergeCell ref="BL4:BN4"/>
    <mergeCell ref="BK3:BO3"/>
    <mergeCell ref="AB4:AB5"/>
    <mergeCell ref="AC4:AC5"/>
    <mergeCell ref="AD4:AD5"/>
    <mergeCell ref="AE4:AE5"/>
    <mergeCell ref="AF4:AF5"/>
    <mergeCell ref="AG4:AH4"/>
    <mergeCell ref="AI4:AJ4"/>
    <mergeCell ref="AK4:AQ4"/>
    <mergeCell ref="AR4:AY4"/>
    <mergeCell ref="BH4:BH5"/>
    <mergeCell ref="DF4:DF5"/>
    <mergeCell ref="BW3:BZ3"/>
    <mergeCell ref="CA3:CZ3"/>
    <mergeCell ref="DA3:DE3"/>
    <mergeCell ref="BW4:BW5"/>
    <mergeCell ref="BX4:BX5"/>
    <mergeCell ref="BY4:BY5"/>
    <mergeCell ref="BZ4:BZ5"/>
    <mergeCell ref="CA4:CA5"/>
    <mergeCell ref="CB4:CC4"/>
    <mergeCell ref="DF3:DL3"/>
    <mergeCell ref="DJ4:DK4"/>
    <mergeCell ref="DG4:DI4"/>
    <mergeCell ref="CD4:CE4"/>
    <mergeCell ref="CF4:CL4"/>
    <mergeCell ref="CM4:CT4"/>
    <mergeCell ref="CU4:CZ4"/>
    <mergeCell ref="DA4:DA5"/>
    <mergeCell ref="DB4:DB5"/>
    <mergeCell ref="DC4:DC5"/>
    <mergeCell ref="E39:E40"/>
    <mergeCell ref="E15:E16"/>
    <mergeCell ref="E7:E8"/>
    <mergeCell ref="E24:E25"/>
    <mergeCell ref="E33:E34"/>
    <mergeCell ref="E37:E38"/>
    <mergeCell ref="DN2:FG2"/>
    <mergeCell ref="C37:C38"/>
    <mergeCell ref="D37:D38"/>
    <mergeCell ref="J37:J38"/>
    <mergeCell ref="C39:C40"/>
    <mergeCell ref="D39:D40"/>
    <mergeCell ref="J39:J40"/>
    <mergeCell ref="C24:C25"/>
    <mergeCell ref="D24:D25"/>
    <mergeCell ref="J24:J25"/>
    <mergeCell ref="C33:C34"/>
    <mergeCell ref="D33:D34"/>
    <mergeCell ref="J33:J34"/>
    <mergeCell ref="C7:C8"/>
    <mergeCell ref="D7:D8"/>
    <mergeCell ref="J7:J8"/>
    <mergeCell ref="C15:C16"/>
    <mergeCell ref="D15:D16"/>
  </mergeCells>
  <conditionalFormatting sqref="BR6:BR39">
    <cfRule type="cellIs" dxfId="11" priority="1" operator="between">
      <formula>0.81</formula>
      <formula>9999.99</formula>
    </cfRule>
  </conditionalFormatting>
  <conditionalFormatting sqref="BR6:BR39">
    <cfRule type="cellIs" dxfId="10" priority="2" operator="between">
      <formula>0.61</formula>
      <formula>0.8</formula>
    </cfRule>
  </conditionalFormatting>
  <conditionalFormatting sqref="BR6:BR39">
    <cfRule type="cellIs" dxfId="9" priority="3" operator="between">
      <formula>0.31</formula>
      <formula>0.6</formula>
    </cfRule>
  </conditionalFormatting>
  <conditionalFormatting sqref="BR6:BR39">
    <cfRule type="cellIs" dxfId="8" priority="4" operator="between">
      <formula>-9999.99</formula>
      <formula>0.3</formula>
    </cfRule>
  </conditionalFormatting>
  <pageMargins left="0.7" right="0.7" top="0.75" bottom="0.75" header="0.3" footer="0.3"/>
  <pageSetup paperSize="9" orientation="portrait"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1">
    <tabColor rgb="FFC00000"/>
  </sheetPr>
  <dimension ref="A1:DP954"/>
  <sheetViews>
    <sheetView showGridLines="0" topLeftCell="A4" zoomScaleNormal="100" workbookViewId="0">
      <selection activeCell="D7" sqref="D7"/>
    </sheetView>
  </sheetViews>
  <sheetFormatPr baseColWidth="10" defaultColWidth="11.42578125" defaultRowHeight="30" customHeight="1"/>
  <cols>
    <col min="1" max="1" width="42.85546875" customWidth="1"/>
    <col min="2" max="2" width="10.42578125" customWidth="1"/>
    <col min="3" max="3" width="10.5703125" customWidth="1"/>
    <col min="4" max="4" width="40.140625" customWidth="1"/>
    <col min="5" max="5" width="9.5703125" style="2274" customWidth="1"/>
    <col min="6" max="6" width="38.28515625" style="2272" customWidth="1"/>
  </cols>
  <sheetData>
    <row r="1" spans="1:6" ht="30" customHeight="1" thickBot="1">
      <c r="A1" s="16617" t="s">
        <v>1794</v>
      </c>
      <c r="B1" s="16618"/>
      <c r="C1" s="16618"/>
      <c r="D1" s="16618"/>
      <c r="E1" s="16618"/>
      <c r="F1" s="16619"/>
    </row>
    <row r="2" spans="1:6" ht="30" customHeight="1">
      <c r="A2" s="16605" t="s">
        <v>9363</v>
      </c>
      <c r="B2" s="16606"/>
      <c r="C2" s="16606"/>
      <c r="D2" s="16606"/>
      <c r="E2" s="16606"/>
      <c r="F2" s="16620"/>
    </row>
    <row r="3" spans="1:6" ht="30" customHeight="1" thickBot="1">
      <c r="A3" s="16614" t="s">
        <v>1795</v>
      </c>
      <c r="B3" s="16615"/>
      <c r="C3" s="16615"/>
      <c r="D3" s="16615"/>
      <c r="E3" s="16615"/>
      <c r="F3" s="16616"/>
    </row>
    <row r="4" spans="1:6" ht="30" customHeight="1" thickBot="1">
      <c r="A4" s="2970" t="s">
        <v>360</v>
      </c>
      <c r="B4" s="2971" t="s">
        <v>10161</v>
      </c>
      <c r="C4" s="2972" t="s">
        <v>10055</v>
      </c>
      <c r="D4" s="2973" t="s">
        <v>10159</v>
      </c>
      <c r="E4" s="2973" t="s">
        <v>10055</v>
      </c>
      <c r="F4" s="2974" t="s">
        <v>10160</v>
      </c>
    </row>
    <row r="5" spans="1:6" s="2486" customFormat="1" ht="18.75" customHeight="1">
      <c r="A5" s="16629" t="s">
        <v>1801</v>
      </c>
      <c r="B5" s="16632">
        <v>24</v>
      </c>
      <c r="C5" s="384">
        <v>16</v>
      </c>
      <c r="D5" s="2965" t="s">
        <v>144</v>
      </c>
      <c r="E5" s="384"/>
      <c r="F5" s="2968"/>
    </row>
    <row r="6" spans="1:6" s="2486" customFormat="1" ht="18.75" customHeight="1">
      <c r="A6" s="16630"/>
      <c r="B6" s="16633"/>
      <c r="C6" s="2961">
        <v>5</v>
      </c>
      <c r="D6" s="2962" t="s">
        <v>512</v>
      </c>
      <c r="E6" s="2961"/>
      <c r="F6" s="2969"/>
    </row>
    <row r="7" spans="1:6" s="2486" customFormat="1" ht="18.75" customHeight="1">
      <c r="A7" s="16630"/>
      <c r="B7" s="16633"/>
      <c r="C7" s="2961">
        <v>1</v>
      </c>
      <c r="D7" s="2962" t="s">
        <v>9655</v>
      </c>
      <c r="E7" s="2961">
        <v>1</v>
      </c>
      <c r="F7" s="2969" t="s">
        <v>1874</v>
      </c>
    </row>
    <row r="8" spans="1:6" s="2486" customFormat="1" ht="18.75" customHeight="1">
      <c r="A8" s="16630"/>
      <c r="B8" s="16633"/>
      <c r="C8" s="2961">
        <v>1</v>
      </c>
      <c r="D8" s="2962" t="s">
        <v>1488</v>
      </c>
      <c r="E8" s="2961">
        <v>1</v>
      </c>
      <c r="F8" s="2969" t="s">
        <v>10162</v>
      </c>
    </row>
    <row r="9" spans="1:6" s="2486" customFormat="1" ht="18.75" customHeight="1" thickBot="1">
      <c r="A9" s="16631"/>
      <c r="B9" s="16634"/>
      <c r="C9" s="2963">
        <v>1</v>
      </c>
      <c r="D9" s="2966" t="s">
        <v>1884</v>
      </c>
      <c r="E9" s="2963"/>
      <c r="F9" s="2975"/>
    </row>
    <row r="10" spans="1:6" s="2459" customFormat="1" ht="18.75" customHeight="1">
      <c r="A10" s="16625" t="s">
        <v>1887</v>
      </c>
      <c r="B10" s="16627">
        <v>6</v>
      </c>
      <c r="C10" s="2960">
        <v>4</v>
      </c>
      <c r="D10" s="2967" t="s">
        <v>10162</v>
      </c>
      <c r="E10" s="2960"/>
      <c r="F10" s="2976"/>
    </row>
    <row r="11" spans="1:6" s="2459" customFormat="1" ht="18.75" customHeight="1" thickBot="1">
      <c r="A11" s="16626"/>
      <c r="B11" s="16628"/>
      <c r="C11" s="2977">
        <v>2</v>
      </c>
      <c r="D11" s="2978" t="s">
        <v>10163</v>
      </c>
      <c r="E11" s="2977"/>
      <c r="F11" s="2979"/>
    </row>
    <row r="12" spans="1:6" s="2578" customFormat="1" ht="13.5" customHeight="1">
      <c r="A12" s="16621" t="s">
        <v>1901</v>
      </c>
      <c r="B12" s="14632">
        <v>41</v>
      </c>
      <c r="C12" s="2131">
        <v>11</v>
      </c>
      <c r="D12" s="2130" t="s">
        <v>1918</v>
      </c>
      <c r="E12" s="2131"/>
      <c r="F12" s="2980"/>
    </row>
    <row r="13" spans="1:6" s="2578" customFormat="1" ht="13.5" customHeight="1">
      <c r="A13" s="16622"/>
      <c r="B13" s="14633"/>
      <c r="C13" s="2582">
        <v>6</v>
      </c>
      <c r="D13" s="2580" t="s">
        <v>512</v>
      </c>
      <c r="E13" s="2582"/>
      <c r="F13" s="2964"/>
    </row>
    <row r="14" spans="1:6" s="2578" customFormat="1" ht="13.5" customHeight="1">
      <c r="A14" s="16622"/>
      <c r="B14" s="14633"/>
      <c r="C14" s="2582">
        <v>5</v>
      </c>
      <c r="D14" s="2580" t="s">
        <v>1986</v>
      </c>
      <c r="E14" s="2582"/>
      <c r="F14" s="2964"/>
    </row>
    <row r="15" spans="1:6" s="2578" customFormat="1" ht="13.5" customHeight="1">
      <c r="A15" s="16622"/>
      <c r="B15" s="14633"/>
      <c r="C15" s="2582">
        <v>5</v>
      </c>
      <c r="D15" s="2580" t="s">
        <v>1408</v>
      </c>
      <c r="E15" s="2582"/>
      <c r="F15" s="2964"/>
    </row>
    <row r="16" spans="1:6" s="2578" customFormat="1" ht="13.5" customHeight="1">
      <c r="A16" s="16622"/>
      <c r="B16" s="14633"/>
      <c r="C16" s="2582">
        <v>3</v>
      </c>
      <c r="D16" s="2580" t="s">
        <v>844</v>
      </c>
      <c r="E16" s="2582"/>
      <c r="F16" s="2964"/>
    </row>
    <row r="17" spans="1:120" s="2578" customFormat="1" ht="13.5" customHeight="1">
      <c r="A17" s="16622"/>
      <c r="B17" s="14633"/>
      <c r="C17" s="2582">
        <v>2</v>
      </c>
      <c r="D17" s="2580" t="s">
        <v>163</v>
      </c>
      <c r="E17" s="2582"/>
      <c r="F17" s="2964"/>
    </row>
    <row r="18" spans="1:120" s="2578" customFormat="1" ht="13.5" customHeight="1">
      <c r="A18" s="16622"/>
      <c r="B18" s="14633"/>
      <c r="C18" s="2582">
        <v>2</v>
      </c>
      <c r="D18" s="2580" t="s">
        <v>1966</v>
      </c>
      <c r="E18" s="2582"/>
      <c r="F18" s="2964"/>
    </row>
    <row r="19" spans="1:120" s="2578" customFormat="1" ht="13.5" customHeight="1">
      <c r="A19" s="16622"/>
      <c r="B19" s="14633"/>
      <c r="C19" s="2582">
        <v>2</v>
      </c>
      <c r="D19" s="2580" t="s">
        <v>934</v>
      </c>
      <c r="E19" s="2584"/>
      <c r="F19" s="2964"/>
    </row>
    <row r="20" spans="1:120" s="2578" customFormat="1" ht="13.5" customHeight="1">
      <c r="A20" s="16622"/>
      <c r="B20" s="14633"/>
      <c r="C20" s="2582">
        <v>2</v>
      </c>
      <c r="D20" s="2580" t="s">
        <v>1941</v>
      </c>
      <c r="E20" s="2582"/>
      <c r="F20" s="2964"/>
    </row>
    <row r="21" spans="1:120" s="2578" customFormat="1" ht="13.5" customHeight="1">
      <c r="A21" s="16622"/>
      <c r="B21" s="14633"/>
      <c r="C21" s="2582">
        <v>1</v>
      </c>
      <c r="D21" s="2580" t="s">
        <v>9654</v>
      </c>
      <c r="E21" s="2582">
        <v>1</v>
      </c>
      <c r="F21" s="2964" t="s">
        <v>4338</v>
      </c>
    </row>
    <row r="22" spans="1:120" s="2578" customFormat="1" ht="13.5" customHeight="1">
      <c r="A22" s="16622"/>
      <c r="B22" s="14633"/>
      <c r="C22" s="2582">
        <v>1</v>
      </c>
      <c r="D22" s="2580" t="s">
        <v>298</v>
      </c>
      <c r="E22" s="2582"/>
      <c r="F22" s="2964"/>
    </row>
    <row r="23" spans="1:120" s="2578" customFormat="1" ht="13.5" customHeight="1" thickBot="1">
      <c r="A23" s="16623"/>
      <c r="B23" s="16624"/>
      <c r="C23" s="2138">
        <v>1</v>
      </c>
      <c r="D23" s="2137" t="s">
        <v>10163</v>
      </c>
      <c r="E23" s="2138"/>
      <c r="F23" s="2981"/>
    </row>
    <row r="24" spans="1:120" s="2272" customFormat="1" ht="30" customHeight="1" thickBot="1">
      <c r="A24" s="124"/>
      <c r="B24" s="124"/>
      <c r="C24" s="124"/>
      <c r="D24" s="124"/>
      <c r="E24" s="124"/>
      <c r="F24" s="2668"/>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row>
    <row r="25" spans="1:120" s="2272" customFormat="1" ht="30" customHeight="1" thickBot="1">
      <c r="A25" s="2970" t="s">
        <v>360</v>
      </c>
      <c r="B25" s="2971" t="s">
        <v>10161</v>
      </c>
      <c r="C25" s="2991" t="s">
        <v>10055</v>
      </c>
      <c r="D25" s="2992" t="s">
        <v>10159</v>
      </c>
      <c r="E25" s="2992" t="s">
        <v>10055</v>
      </c>
      <c r="F25" s="2993" t="s">
        <v>10160</v>
      </c>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row>
    <row r="26" spans="1:120" s="2272" customFormat="1" ht="14.25" customHeight="1">
      <c r="A26"/>
      <c r="B26"/>
      <c r="C26" s="2997">
        <v>21</v>
      </c>
      <c r="D26" s="2983" t="s">
        <v>1408</v>
      </c>
      <c r="E26" s="2982">
        <v>1</v>
      </c>
      <c r="F26" s="3001" t="s">
        <v>10162</v>
      </c>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row>
    <row r="27" spans="1:120" s="2272" customFormat="1" ht="14.25" customHeight="1">
      <c r="A27"/>
      <c r="B27"/>
      <c r="C27" s="2998">
        <v>11</v>
      </c>
      <c r="D27" s="2985" t="s">
        <v>1918</v>
      </c>
      <c r="E27" s="2984">
        <v>1</v>
      </c>
      <c r="F27" s="3002" t="s">
        <v>1874</v>
      </c>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row>
    <row r="28" spans="1:120" s="2272" customFormat="1" ht="14.25" customHeight="1">
      <c r="A28"/>
      <c r="B28"/>
      <c r="C28" s="2998">
        <v>11</v>
      </c>
      <c r="D28" s="2985" t="s">
        <v>512</v>
      </c>
      <c r="E28" s="2984">
        <v>1</v>
      </c>
      <c r="F28" s="3002" t="s">
        <v>4338</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row>
    <row r="29" spans="1:120" s="2272" customFormat="1" ht="14.25" customHeight="1">
      <c r="A29"/>
      <c r="B29"/>
      <c r="C29" s="2998">
        <v>5</v>
      </c>
      <c r="D29" s="2985" t="s">
        <v>1986</v>
      </c>
      <c r="E29" s="2994"/>
      <c r="F29" s="299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row>
    <row r="30" spans="1:120" s="2272" customFormat="1" ht="14.25" customHeight="1">
      <c r="A30"/>
      <c r="B30"/>
      <c r="C30" s="2998">
        <v>4</v>
      </c>
      <c r="D30" s="2985" t="s">
        <v>10162</v>
      </c>
      <c r="E30" s="2994"/>
      <c r="F30" s="2999"/>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row>
    <row r="31" spans="1:120" s="2272" customFormat="1" ht="14.25" customHeight="1">
      <c r="A31"/>
      <c r="B31"/>
      <c r="C31" s="2998">
        <v>3</v>
      </c>
      <c r="D31" s="2985" t="s">
        <v>10163</v>
      </c>
      <c r="E31" s="2984"/>
      <c r="F31" s="2986"/>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row>
    <row r="32" spans="1:120" s="2272" customFormat="1" ht="14.25" customHeight="1">
      <c r="A32"/>
      <c r="B32"/>
      <c r="C32" s="2998">
        <v>3</v>
      </c>
      <c r="D32" s="2985" t="s">
        <v>844</v>
      </c>
      <c r="E32" s="2984"/>
      <c r="F32" s="2986"/>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s="2272" customFormat="1" ht="14.25" customHeight="1">
      <c r="A33"/>
      <c r="B33"/>
      <c r="C33" s="2998">
        <v>2</v>
      </c>
      <c r="D33" s="2985" t="s">
        <v>1966</v>
      </c>
      <c r="E33" s="2984"/>
      <c r="F33" s="2986"/>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row>
    <row r="34" spans="1:120" s="2272" customFormat="1" ht="14.25" customHeight="1">
      <c r="A34"/>
      <c r="B34"/>
      <c r="C34" s="2998">
        <v>2</v>
      </c>
      <c r="D34" s="2985" t="s">
        <v>163</v>
      </c>
      <c r="E34" s="2984"/>
      <c r="F34" s="2986"/>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row>
    <row r="35" spans="1:120" ht="14.25" customHeight="1">
      <c r="C35" s="2998">
        <v>2</v>
      </c>
      <c r="D35" s="2985" t="s">
        <v>298</v>
      </c>
      <c r="E35" s="2984"/>
      <c r="F35" s="2987"/>
    </row>
    <row r="36" spans="1:120" ht="14.25" customHeight="1">
      <c r="C36" s="2998">
        <v>2</v>
      </c>
      <c r="D36" s="2985" t="s">
        <v>1941</v>
      </c>
      <c r="E36" s="2984"/>
      <c r="F36" s="2986"/>
    </row>
    <row r="37" spans="1:120" ht="14.25" customHeight="1">
      <c r="C37" s="2998">
        <v>2</v>
      </c>
      <c r="D37" s="2985" t="s">
        <v>934</v>
      </c>
      <c r="E37" s="2984"/>
      <c r="F37" s="2986"/>
    </row>
    <row r="38" spans="1:120" ht="14.25" customHeight="1">
      <c r="C38" s="2998">
        <v>1</v>
      </c>
      <c r="D38" s="2985" t="s">
        <v>9654</v>
      </c>
      <c r="E38" s="2984"/>
      <c r="F38" s="2986"/>
    </row>
    <row r="39" spans="1:120" ht="14.25" customHeight="1">
      <c r="C39" s="2998">
        <v>1</v>
      </c>
      <c r="D39" s="2985" t="s">
        <v>9655</v>
      </c>
      <c r="E39" s="2984"/>
      <c r="F39" s="2986"/>
    </row>
    <row r="40" spans="1:120" ht="14.25" customHeight="1" thickBot="1">
      <c r="C40" s="3000">
        <v>1</v>
      </c>
      <c r="D40" s="2989" t="s">
        <v>1884</v>
      </c>
      <c r="E40" s="159"/>
      <c r="F40" s="2990"/>
    </row>
    <row r="41" spans="1:120" ht="17.25" customHeight="1">
      <c r="C41" s="278"/>
      <c r="D41" s="2995"/>
      <c r="E41" s="278"/>
      <c r="F41" s="2996"/>
    </row>
    <row r="42" spans="1:120" ht="17.25" customHeight="1">
      <c r="C42" s="2984"/>
      <c r="D42" s="2985"/>
      <c r="E42" s="2984"/>
      <c r="F42" s="2986"/>
    </row>
    <row r="43" spans="1:120" ht="17.25" customHeight="1">
      <c r="C43" s="2984"/>
      <c r="D43" s="2985"/>
    </row>
    <row r="44" spans="1:120" ht="17.25" customHeight="1" thickBot="1">
      <c r="C44" s="2988"/>
      <c r="D44" s="2989"/>
    </row>
    <row r="45" spans="1:120" ht="17.25" customHeight="1">
      <c r="C45" s="124"/>
      <c r="D45" s="124"/>
      <c r="E45" s="124"/>
      <c r="F45" s="2668"/>
    </row>
    <row r="46" spans="1:120" ht="30" customHeight="1">
      <c r="C46" s="124"/>
      <c r="D46" s="124"/>
      <c r="E46" s="124"/>
      <c r="F46" s="2668"/>
    </row>
    <row r="47" spans="1:120" ht="30" customHeight="1">
      <c r="C47" s="124"/>
      <c r="D47" s="124"/>
      <c r="E47" s="124"/>
      <c r="F47" s="2668"/>
    </row>
    <row r="48" spans="1:120" ht="30" customHeight="1">
      <c r="A48" s="124"/>
      <c r="B48" s="124"/>
      <c r="C48" s="124"/>
      <c r="D48" s="124"/>
      <c r="E48" s="124"/>
      <c r="F48" s="2668"/>
    </row>
    <row r="49" spans="1:6" ht="30" customHeight="1">
      <c r="A49" s="124"/>
      <c r="B49" s="124"/>
      <c r="C49" s="124"/>
      <c r="D49" s="124"/>
      <c r="E49" s="124"/>
      <c r="F49" s="2668"/>
    </row>
    <row r="50" spans="1:6" ht="30" customHeight="1">
      <c r="A50" s="124"/>
      <c r="B50" s="124"/>
      <c r="C50" s="124"/>
      <c r="D50" s="124"/>
      <c r="E50" s="124"/>
      <c r="F50" s="2668"/>
    </row>
    <row r="51" spans="1:6" ht="30" customHeight="1">
      <c r="A51" s="124"/>
      <c r="B51" s="124"/>
      <c r="C51" s="124"/>
      <c r="D51" s="124"/>
      <c r="E51" s="124"/>
      <c r="F51" s="2668"/>
    </row>
    <row r="52" spans="1:6" ht="30" customHeight="1">
      <c r="A52" s="124"/>
      <c r="B52" s="124"/>
      <c r="C52" s="124"/>
      <c r="D52" s="124"/>
      <c r="E52" s="124"/>
      <c r="F52" s="2668"/>
    </row>
    <row r="53" spans="1:6" ht="30" customHeight="1">
      <c r="A53" s="124"/>
      <c r="B53" s="124"/>
      <c r="C53" s="124"/>
      <c r="D53" s="124"/>
      <c r="E53" s="124"/>
      <c r="F53" s="2668"/>
    </row>
    <row r="54" spans="1:6" ht="30" customHeight="1">
      <c r="A54" s="124"/>
      <c r="B54" s="124"/>
      <c r="C54" s="124"/>
      <c r="D54" s="124"/>
      <c r="E54" s="124"/>
      <c r="F54" s="2668"/>
    </row>
    <row r="55" spans="1:6" ht="30" customHeight="1">
      <c r="A55" s="124"/>
      <c r="B55" s="124"/>
      <c r="C55" s="124"/>
      <c r="D55" s="124"/>
      <c r="E55" s="124"/>
      <c r="F55" s="2668"/>
    </row>
    <row r="56" spans="1:6" ht="30" customHeight="1">
      <c r="A56" s="124"/>
      <c r="B56" s="124"/>
      <c r="C56" s="124"/>
      <c r="D56" s="124"/>
      <c r="E56" s="124"/>
      <c r="F56" s="2668"/>
    </row>
    <row r="57" spans="1:6" ht="30" customHeight="1">
      <c r="A57" s="124"/>
      <c r="B57" s="124"/>
      <c r="C57" s="124"/>
      <c r="D57" s="124"/>
      <c r="E57" s="124"/>
      <c r="F57" s="2668"/>
    </row>
    <row r="58" spans="1:6" ht="30" customHeight="1">
      <c r="A58" s="124"/>
      <c r="B58" s="124"/>
      <c r="C58" s="124"/>
      <c r="D58" s="124"/>
      <c r="E58" s="124"/>
      <c r="F58" s="2668"/>
    </row>
    <row r="59" spans="1:6" ht="30" customHeight="1">
      <c r="A59" s="124"/>
      <c r="B59" s="124"/>
      <c r="C59" s="124"/>
      <c r="D59" s="124"/>
      <c r="E59" s="124"/>
      <c r="F59" s="2668"/>
    </row>
    <row r="60" spans="1:6" ht="30" customHeight="1">
      <c r="A60" s="124"/>
      <c r="B60" s="124"/>
      <c r="C60" s="124"/>
      <c r="D60" s="124"/>
      <c r="E60" s="124"/>
      <c r="F60" s="2668"/>
    </row>
    <row r="61" spans="1:6" ht="30" customHeight="1">
      <c r="A61" s="124"/>
      <c r="B61" s="124"/>
      <c r="C61" s="124"/>
      <c r="D61" s="124"/>
      <c r="E61" s="124"/>
      <c r="F61" s="2668"/>
    </row>
    <row r="62" spans="1:6" ht="30" customHeight="1">
      <c r="A62" s="124"/>
      <c r="B62" s="124"/>
      <c r="C62" s="124"/>
      <c r="D62" s="124"/>
      <c r="E62" s="124"/>
      <c r="F62" s="2668"/>
    </row>
    <row r="63" spans="1:6" ht="30" customHeight="1">
      <c r="A63" s="124"/>
      <c r="B63" s="124"/>
      <c r="C63" s="124"/>
      <c r="D63" s="124"/>
      <c r="E63" s="124"/>
      <c r="F63" s="2668"/>
    </row>
    <row r="64" spans="1:6" ht="30" customHeight="1">
      <c r="A64" s="124"/>
      <c r="B64" s="124"/>
      <c r="C64" s="124"/>
      <c r="D64" s="124"/>
      <c r="E64" s="124"/>
      <c r="F64" s="2668"/>
    </row>
    <row r="65" spans="1:6" ht="30" customHeight="1">
      <c r="A65" s="124"/>
      <c r="B65" s="124"/>
      <c r="C65" s="124"/>
      <c r="D65" s="124"/>
      <c r="E65" s="124"/>
      <c r="F65" s="2668"/>
    </row>
    <row r="66" spans="1:6" ht="30" customHeight="1">
      <c r="A66" s="124"/>
      <c r="B66" s="124"/>
      <c r="C66" s="124"/>
      <c r="D66" s="124"/>
      <c r="E66" s="124"/>
      <c r="F66" s="2668"/>
    </row>
    <row r="67" spans="1:6" ht="30" customHeight="1">
      <c r="A67" s="124"/>
      <c r="B67" s="124"/>
      <c r="C67" s="124"/>
      <c r="D67" s="124"/>
      <c r="E67" s="124"/>
      <c r="F67" s="2668"/>
    </row>
    <row r="68" spans="1:6" ht="30" customHeight="1">
      <c r="A68" s="124"/>
      <c r="B68" s="124"/>
      <c r="C68" s="124"/>
      <c r="D68" s="124"/>
      <c r="E68" s="124"/>
      <c r="F68" s="2668"/>
    </row>
    <row r="69" spans="1:6" ht="30" customHeight="1">
      <c r="A69" s="124"/>
      <c r="B69" s="124"/>
      <c r="C69" s="124"/>
      <c r="D69" s="124"/>
      <c r="E69" s="124"/>
      <c r="F69" s="2668"/>
    </row>
    <row r="70" spans="1:6" ht="30" customHeight="1">
      <c r="A70" s="124"/>
      <c r="B70" s="124"/>
      <c r="C70" s="124"/>
      <c r="D70" s="124"/>
      <c r="E70" s="124"/>
      <c r="F70" s="2668"/>
    </row>
    <row r="71" spans="1:6" ht="30" customHeight="1">
      <c r="A71" s="124"/>
      <c r="B71" s="124"/>
      <c r="C71" s="124"/>
      <c r="D71" s="124"/>
      <c r="E71" s="124"/>
      <c r="F71" s="2668"/>
    </row>
    <row r="72" spans="1:6" ht="30" customHeight="1">
      <c r="A72" s="124"/>
      <c r="B72" s="124"/>
      <c r="C72" s="124"/>
      <c r="D72" s="124"/>
      <c r="E72" s="124"/>
      <c r="F72" s="2668"/>
    </row>
    <row r="73" spans="1:6" ht="30" customHeight="1">
      <c r="A73" s="124"/>
      <c r="B73" s="124"/>
      <c r="C73" s="124"/>
      <c r="D73" s="124"/>
      <c r="E73" s="124"/>
      <c r="F73" s="2668"/>
    </row>
    <row r="74" spans="1:6" ht="30" customHeight="1">
      <c r="A74" s="124"/>
      <c r="B74" s="124"/>
      <c r="C74" s="124"/>
      <c r="D74" s="124"/>
      <c r="E74" s="124"/>
      <c r="F74" s="2668"/>
    </row>
    <row r="75" spans="1:6" ht="30" customHeight="1">
      <c r="A75" s="124"/>
      <c r="B75" s="124"/>
      <c r="C75" s="124"/>
      <c r="D75" s="124"/>
      <c r="E75" s="124"/>
      <c r="F75" s="2668"/>
    </row>
    <row r="76" spans="1:6" ht="30" customHeight="1">
      <c r="A76" s="124"/>
      <c r="B76" s="124"/>
      <c r="C76" s="124"/>
      <c r="D76" s="124"/>
      <c r="E76" s="124"/>
      <c r="F76" s="2668"/>
    </row>
    <row r="77" spans="1:6" ht="30" customHeight="1">
      <c r="A77" s="124"/>
      <c r="B77" s="124"/>
      <c r="C77" s="124"/>
      <c r="D77" s="124"/>
      <c r="E77" s="124"/>
      <c r="F77" s="2668"/>
    </row>
    <row r="78" spans="1:6" ht="30" customHeight="1">
      <c r="A78" s="124"/>
      <c r="B78" s="124"/>
      <c r="C78" s="124"/>
      <c r="D78" s="124"/>
      <c r="E78" s="124"/>
      <c r="F78" s="2668"/>
    </row>
    <row r="79" spans="1:6" ht="30" customHeight="1">
      <c r="A79" s="124"/>
      <c r="B79" s="124"/>
      <c r="C79" s="124"/>
      <c r="D79" s="124"/>
      <c r="E79" s="124"/>
      <c r="F79" s="2668"/>
    </row>
    <row r="80" spans="1:6" ht="30" customHeight="1">
      <c r="A80" s="124"/>
      <c r="B80" s="124"/>
      <c r="C80" s="124"/>
      <c r="D80" s="124"/>
      <c r="E80" s="124"/>
      <c r="F80" s="2668"/>
    </row>
    <row r="81" spans="1:6" ht="30" customHeight="1">
      <c r="A81" s="124"/>
      <c r="B81" s="124"/>
      <c r="C81" s="124"/>
      <c r="D81" s="124"/>
      <c r="E81" s="124"/>
      <c r="F81" s="2668"/>
    </row>
    <row r="82" spans="1:6" ht="30" customHeight="1">
      <c r="A82" s="124"/>
      <c r="B82" s="124"/>
      <c r="C82" s="124"/>
      <c r="D82" s="124"/>
      <c r="E82" s="124"/>
      <c r="F82" s="2668"/>
    </row>
    <row r="83" spans="1:6" ht="30" customHeight="1">
      <c r="A83" s="124"/>
      <c r="B83" s="124"/>
      <c r="C83" s="124"/>
      <c r="D83" s="124"/>
      <c r="E83" s="124"/>
      <c r="F83" s="2668"/>
    </row>
    <row r="84" spans="1:6" ht="30" customHeight="1">
      <c r="A84" s="124"/>
      <c r="B84" s="124"/>
      <c r="C84" s="124"/>
      <c r="D84" s="124"/>
      <c r="E84" s="124"/>
      <c r="F84" s="2668"/>
    </row>
    <row r="85" spans="1:6" ht="30" customHeight="1">
      <c r="A85" s="124"/>
      <c r="B85" s="124"/>
      <c r="C85" s="124"/>
      <c r="D85" s="124"/>
      <c r="E85" s="124"/>
      <c r="F85" s="2668"/>
    </row>
    <row r="86" spans="1:6" ht="30" customHeight="1">
      <c r="A86" s="124"/>
      <c r="B86" s="124"/>
      <c r="C86" s="124"/>
      <c r="D86" s="124"/>
      <c r="E86" s="124"/>
      <c r="F86" s="2668"/>
    </row>
    <row r="87" spans="1:6" ht="30" customHeight="1">
      <c r="A87" s="124"/>
      <c r="B87" s="124"/>
      <c r="C87" s="124"/>
      <c r="D87" s="124"/>
      <c r="E87" s="124"/>
      <c r="F87" s="2668"/>
    </row>
    <row r="88" spans="1:6" ht="30" customHeight="1">
      <c r="A88" s="124"/>
      <c r="B88" s="124"/>
      <c r="C88" s="124"/>
      <c r="D88" s="124"/>
      <c r="E88" s="124"/>
      <c r="F88" s="2668"/>
    </row>
    <row r="89" spans="1:6" ht="30" customHeight="1">
      <c r="A89" s="124"/>
      <c r="B89" s="124"/>
      <c r="C89" s="124"/>
      <c r="D89" s="124"/>
      <c r="E89" s="124"/>
      <c r="F89" s="2668"/>
    </row>
    <row r="90" spans="1:6" ht="30" customHeight="1">
      <c r="A90" s="124"/>
      <c r="B90" s="124"/>
      <c r="C90" s="124"/>
      <c r="D90" s="124"/>
      <c r="E90" s="124"/>
      <c r="F90" s="2668"/>
    </row>
    <row r="91" spans="1:6" ht="30" customHeight="1">
      <c r="A91" s="124"/>
      <c r="B91" s="124"/>
      <c r="C91" s="124"/>
      <c r="D91" s="124"/>
      <c r="E91" s="124"/>
      <c r="F91" s="2668"/>
    </row>
    <row r="92" spans="1:6" ht="30" customHeight="1">
      <c r="A92" s="124"/>
      <c r="B92" s="124"/>
      <c r="C92" s="124"/>
      <c r="D92" s="124"/>
      <c r="E92" s="124"/>
      <c r="F92" s="2668"/>
    </row>
    <row r="93" spans="1:6" ht="30" customHeight="1">
      <c r="A93" s="124"/>
      <c r="B93" s="124"/>
      <c r="C93" s="124"/>
      <c r="D93" s="124"/>
      <c r="E93" s="124"/>
      <c r="F93" s="2668"/>
    </row>
    <row r="94" spans="1:6" ht="30" customHeight="1">
      <c r="A94" s="124"/>
      <c r="B94" s="124"/>
      <c r="C94" s="124"/>
      <c r="D94" s="124"/>
      <c r="E94" s="124"/>
      <c r="F94" s="2668"/>
    </row>
    <row r="95" spans="1:6" ht="30" customHeight="1">
      <c r="A95" s="124"/>
      <c r="B95" s="124"/>
      <c r="C95" s="124"/>
      <c r="D95" s="124"/>
      <c r="E95" s="124"/>
      <c r="F95" s="2668"/>
    </row>
    <row r="96" spans="1:6" ht="30" customHeight="1">
      <c r="A96" s="124"/>
      <c r="B96" s="124"/>
      <c r="C96" s="124"/>
      <c r="D96" s="124"/>
      <c r="E96" s="124"/>
      <c r="F96" s="2668"/>
    </row>
    <row r="97" spans="1:6" ht="30" customHeight="1">
      <c r="A97" s="124"/>
      <c r="B97" s="124"/>
      <c r="C97" s="124"/>
      <c r="D97" s="124"/>
      <c r="E97" s="124"/>
      <c r="F97" s="2668"/>
    </row>
    <row r="98" spans="1:6" ht="30" customHeight="1">
      <c r="A98" s="124"/>
      <c r="B98" s="124"/>
      <c r="C98" s="124"/>
      <c r="D98" s="124"/>
      <c r="E98" s="124"/>
      <c r="F98" s="2668"/>
    </row>
    <row r="99" spans="1:6" ht="30" customHeight="1">
      <c r="A99" s="124"/>
      <c r="B99" s="124"/>
      <c r="C99" s="124"/>
      <c r="D99" s="124"/>
      <c r="E99" s="124"/>
      <c r="F99" s="2668"/>
    </row>
    <row r="100" spans="1:6" ht="30" customHeight="1">
      <c r="A100" s="124"/>
      <c r="B100" s="124"/>
      <c r="C100" s="124"/>
      <c r="D100" s="124"/>
      <c r="E100" s="124"/>
      <c r="F100" s="2668"/>
    </row>
    <row r="101" spans="1:6" ht="30" customHeight="1">
      <c r="A101" s="124"/>
      <c r="B101" s="124"/>
      <c r="C101" s="124"/>
      <c r="D101" s="124"/>
      <c r="E101" s="124"/>
      <c r="F101" s="2668"/>
    </row>
    <row r="102" spans="1:6" ht="30" customHeight="1">
      <c r="A102" s="124"/>
      <c r="B102" s="124"/>
      <c r="C102" s="124"/>
      <c r="D102" s="124"/>
      <c r="E102" s="124"/>
      <c r="F102" s="2668"/>
    </row>
    <row r="103" spans="1:6" ht="30" customHeight="1">
      <c r="A103" s="124"/>
      <c r="B103" s="124"/>
      <c r="C103" s="124"/>
      <c r="D103" s="124"/>
      <c r="E103" s="124"/>
      <c r="F103" s="2668"/>
    </row>
    <row r="104" spans="1:6" ht="30" customHeight="1">
      <c r="A104" s="124"/>
      <c r="B104" s="124"/>
      <c r="C104" s="124"/>
      <c r="D104" s="124"/>
      <c r="E104" s="124"/>
      <c r="F104" s="2668"/>
    </row>
    <row r="105" spans="1:6" ht="30" customHeight="1">
      <c r="A105" s="124"/>
      <c r="B105" s="124"/>
      <c r="C105" s="124"/>
      <c r="D105" s="124"/>
      <c r="E105" s="124"/>
      <c r="F105" s="2668"/>
    </row>
    <row r="106" spans="1:6" ht="30" customHeight="1">
      <c r="A106" s="124"/>
      <c r="B106" s="124"/>
      <c r="C106" s="124"/>
      <c r="D106" s="124"/>
      <c r="E106" s="124"/>
      <c r="F106" s="2668"/>
    </row>
    <row r="107" spans="1:6" ht="30" customHeight="1">
      <c r="A107" s="124"/>
      <c r="B107" s="124"/>
      <c r="C107" s="124"/>
      <c r="D107" s="124"/>
      <c r="E107" s="124"/>
      <c r="F107" s="2668"/>
    </row>
    <row r="108" spans="1:6" ht="30" customHeight="1">
      <c r="A108" s="124"/>
      <c r="B108" s="124"/>
      <c r="C108" s="124"/>
      <c r="D108" s="124"/>
      <c r="E108" s="124"/>
      <c r="F108" s="2668"/>
    </row>
    <row r="109" spans="1:6" ht="30" customHeight="1">
      <c r="A109" s="124"/>
      <c r="B109" s="124"/>
      <c r="C109" s="124"/>
      <c r="D109" s="124"/>
      <c r="E109" s="124"/>
      <c r="F109" s="2668"/>
    </row>
    <row r="110" spans="1:6" ht="30" customHeight="1">
      <c r="A110" s="124"/>
      <c r="B110" s="124"/>
      <c r="C110" s="124"/>
      <c r="D110" s="124"/>
      <c r="E110" s="124"/>
      <c r="F110" s="2668"/>
    </row>
    <row r="111" spans="1:6" ht="30" customHeight="1">
      <c r="A111" s="124"/>
      <c r="B111" s="124"/>
      <c r="C111" s="124"/>
      <c r="D111" s="124"/>
      <c r="E111" s="124"/>
      <c r="F111" s="2668"/>
    </row>
    <row r="112" spans="1:6" ht="30" customHeight="1">
      <c r="A112" s="124"/>
      <c r="B112" s="124"/>
      <c r="C112" s="124"/>
      <c r="D112" s="124"/>
      <c r="E112" s="124"/>
      <c r="F112" s="2668"/>
    </row>
    <row r="113" spans="1:6" ht="30" customHeight="1">
      <c r="A113" s="124"/>
      <c r="B113" s="124"/>
      <c r="C113" s="124"/>
      <c r="D113" s="124"/>
      <c r="E113" s="124"/>
      <c r="F113" s="2668"/>
    </row>
    <row r="114" spans="1:6" ht="30" customHeight="1">
      <c r="A114" s="124"/>
      <c r="B114" s="124"/>
      <c r="C114" s="124"/>
      <c r="D114" s="124"/>
      <c r="E114" s="124"/>
      <c r="F114" s="2668"/>
    </row>
    <row r="115" spans="1:6" ht="30" customHeight="1">
      <c r="A115" s="124"/>
      <c r="B115" s="124"/>
      <c r="C115" s="124"/>
      <c r="D115" s="124"/>
      <c r="E115" s="124"/>
      <c r="F115" s="2668"/>
    </row>
    <row r="116" spans="1:6" ht="30" customHeight="1">
      <c r="A116" s="124"/>
      <c r="B116" s="124"/>
      <c r="C116" s="124"/>
      <c r="D116" s="124"/>
      <c r="E116" s="124"/>
      <c r="F116" s="2668"/>
    </row>
    <row r="117" spans="1:6" ht="30" customHeight="1">
      <c r="A117" s="124"/>
      <c r="B117" s="124"/>
      <c r="C117" s="124"/>
      <c r="D117" s="124"/>
      <c r="E117" s="124"/>
      <c r="F117" s="2668"/>
    </row>
    <row r="118" spans="1:6" ht="30" customHeight="1">
      <c r="A118" s="124"/>
      <c r="B118" s="124"/>
      <c r="C118" s="124"/>
      <c r="D118" s="124"/>
      <c r="E118" s="124"/>
      <c r="F118" s="2668"/>
    </row>
    <row r="119" spans="1:6" ht="30" customHeight="1">
      <c r="A119" s="124"/>
      <c r="B119" s="124"/>
      <c r="C119" s="124"/>
      <c r="D119" s="124"/>
      <c r="E119" s="124"/>
      <c r="F119" s="2668"/>
    </row>
    <row r="120" spans="1:6" ht="30" customHeight="1">
      <c r="A120" s="124"/>
      <c r="B120" s="124"/>
      <c r="C120" s="124"/>
      <c r="D120" s="124"/>
      <c r="E120" s="124"/>
      <c r="F120" s="2668"/>
    </row>
    <row r="121" spans="1:6" ht="30" customHeight="1">
      <c r="A121" s="124"/>
      <c r="B121" s="124"/>
      <c r="C121" s="124"/>
      <c r="D121" s="124"/>
      <c r="E121" s="124"/>
      <c r="F121" s="2668"/>
    </row>
    <row r="122" spans="1:6" ht="30" customHeight="1">
      <c r="A122" s="124"/>
      <c r="B122" s="124"/>
      <c r="C122" s="124"/>
      <c r="D122" s="124"/>
      <c r="E122" s="124"/>
      <c r="F122" s="2668"/>
    </row>
    <row r="123" spans="1:6" ht="30" customHeight="1">
      <c r="A123" s="124"/>
      <c r="B123" s="124"/>
      <c r="C123" s="124"/>
      <c r="D123" s="124"/>
      <c r="E123" s="124"/>
      <c r="F123" s="2668"/>
    </row>
    <row r="124" spans="1:6" ht="30" customHeight="1">
      <c r="A124" s="124"/>
      <c r="B124" s="124"/>
      <c r="C124" s="124"/>
      <c r="D124" s="124"/>
      <c r="E124" s="124"/>
      <c r="F124" s="2668"/>
    </row>
    <row r="125" spans="1:6" ht="30" customHeight="1">
      <c r="A125" s="124"/>
      <c r="B125" s="124"/>
      <c r="C125" s="124"/>
      <c r="D125" s="124"/>
      <c r="E125" s="124"/>
      <c r="F125" s="2668"/>
    </row>
    <row r="126" spans="1:6" ht="30" customHeight="1">
      <c r="A126" s="124"/>
      <c r="B126" s="124"/>
      <c r="C126" s="124"/>
      <c r="D126" s="124"/>
      <c r="E126" s="124"/>
      <c r="F126" s="2668"/>
    </row>
    <row r="127" spans="1:6" ht="30" customHeight="1">
      <c r="A127" s="124"/>
      <c r="B127" s="124"/>
      <c r="C127" s="124"/>
      <c r="D127" s="124"/>
      <c r="E127" s="124"/>
      <c r="F127" s="2668"/>
    </row>
    <row r="128" spans="1:6" ht="30" customHeight="1">
      <c r="A128" s="124"/>
      <c r="B128" s="124"/>
      <c r="C128" s="124"/>
      <c r="D128" s="124"/>
      <c r="E128" s="124"/>
      <c r="F128" s="2668"/>
    </row>
    <row r="129" spans="1:6" ht="30" customHeight="1">
      <c r="A129" s="124"/>
      <c r="B129" s="124"/>
      <c r="C129" s="124"/>
      <c r="D129" s="124"/>
      <c r="E129" s="124"/>
      <c r="F129" s="2668"/>
    </row>
    <row r="130" spans="1:6" ht="30" customHeight="1">
      <c r="A130" s="124"/>
      <c r="B130" s="124"/>
      <c r="C130" s="124"/>
      <c r="D130" s="124"/>
      <c r="E130" s="124"/>
      <c r="F130" s="2668"/>
    </row>
    <row r="131" spans="1:6" ht="30" customHeight="1">
      <c r="A131" s="124"/>
      <c r="B131" s="124"/>
      <c r="C131" s="124"/>
      <c r="D131" s="124"/>
      <c r="E131" s="124"/>
      <c r="F131" s="2668"/>
    </row>
    <row r="132" spans="1:6" ht="30" customHeight="1">
      <c r="A132" s="124"/>
      <c r="B132" s="124"/>
      <c r="C132" s="124"/>
      <c r="D132" s="124"/>
      <c r="E132" s="124"/>
      <c r="F132" s="2668"/>
    </row>
    <row r="133" spans="1:6" ht="30" customHeight="1">
      <c r="A133" s="124"/>
      <c r="B133" s="124"/>
      <c r="C133" s="124"/>
      <c r="D133" s="124"/>
      <c r="E133" s="124"/>
      <c r="F133" s="2668"/>
    </row>
    <row r="134" spans="1:6" ht="30" customHeight="1">
      <c r="A134" s="124"/>
      <c r="B134" s="124"/>
      <c r="C134" s="124"/>
      <c r="D134" s="124"/>
      <c r="E134" s="124"/>
      <c r="F134" s="2668"/>
    </row>
    <row r="135" spans="1:6" ht="30" customHeight="1">
      <c r="A135" s="124"/>
      <c r="B135" s="124"/>
      <c r="C135" s="124"/>
      <c r="D135" s="124"/>
      <c r="E135" s="124"/>
      <c r="F135" s="2668"/>
    </row>
    <row r="136" spans="1:6" ht="30" customHeight="1">
      <c r="A136" s="124"/>
      <c r="B136" s="124"/>
      <c r="C136" s="124"/>
      <c r="D136" s="124"/>
      <c r="E136" s="124"/>
      <c r="F136" s="2668"/>
    </row>
    <row r="137" spans="1:6" ht="30" customHeight="1">
      <c r="A137" s="124"/>
      <c r="B137" s="124"/>
      <c r="C137" s="124"/>
      <c r="D137" s="124"/>
      <c r="E137" s="124"/>
      <c r="F137" s="2668"/>
    </row>
    <row r="138" spans="1:6" ht="30" customHeight="1">
      <c r="A138" s="124"/>
      <c r="B138" s="124"/>
      <c r="C138" s="124"/>
      <c r="D138" s="124"/>
      <c r="E138" s="124"/>
      <c r="F138" s="2668"/>
    </row>
    <row r="139" spans="1:6" ht="30" customHeight="1">
      <c r="A139" s="124"/>
      <c r="B139" s="124"/>
      <c r="C139" s="124"/>
      <c r="D139" s="124"/>
      <c r="E139" s="124"/>
      <c r="F139" s="2668"/>
    </row>
    <row r="140" spans="1:6" ht="30" customHeight="1">
      <c r="A140" s="124"/>
      <c r="B140" s="124"/>
      <c r="C140" s="124"/>
      <c r="D140" s="124"/>
      <c r="E140" s="124"/>
      <c r="F140" s="2668"/>
    </row>
    <row r="141" spans="1:6" ht="30" customHeight="1">
      <c r="A141" s="124"/>
      <c r="B141" s="124"/>
      <c r="C141" s="124"/>
      <c r="D141" s="124"/>
      <c r="E141" s="124"/>
      <c r="F141" s="2668"/>
    </row>
    <row r="142" spans="1:6" ht="30" customHeight="1">
      <c r="A142" s="124"/>
      <c r="B142" s="124"/>
      <c r="C142" s="124"/>
      <c r="D142" s="124"/>
      <c r="E142" s="124"/>
      <c r="F142" s="2668"/>
    </row>
    <row r="143" spans="1:6" ht="30" customHeight="1">
      <c r="A143" s="124"/>
      <c r="B143" s="124"/>
      <c r="C143" s="124"/>
      <c r="D143" s="124"/>
      <c r="E143" s="124"/>
      <c r="F143" s="2668"/>
    </row>
    <row r="144" spans="1:6" ht="30" customHeight="1">
      <c r="A144" s="124"/>
      <c r="B144" s="124"/>
      <c r="C144" s="124"/>
      <c r="D144" s="124"/>
      <c r="E144" s="124"/>
      <c r="F144" s="2668"/>
    </row>
    <row r="145" spans="1:6" ht="30" customHeight="1">
      <c r="A145" s="124"/>
      <c r="B145" s="124"/>
      <c r="C145" s="124"/>
      <c r="D145" s="124"/>
      <c r="E145" s="124"/>
      <c r="F145" s="2668"/>
    </row>
    <row r="146" spans="1:6" ht="30" customHeight="1">
      <c r="A146" s="124"/>
      <c r="B146" s="124"/>
      <c r="C146" s="124"/>
      <c r="D146" s="124"/>
      <c r="E146" s="124"/>
      <c r="F146" s="2668"/>
    </row>
    <row r="147" spans="1:6" ht="30" customHeight="1">
      <c r="A147" s="124"/>
      <c r="B147" s="124"/>
      <c r="C147" s="124"/>
      <c r="D147" s="124"/>
      <c r="E147" s="124"/>
      <c r="F147" s="2668"/>
    </row>
    <row r="148" spans="1:6" ht="30" customHeight="1">
      <c r="A148" s="124"/>
      <c r="B148" s="124"/>
      <c r="C148" s="124"/>
      <c r="D148" s="124"/>
      <c r="E148" s="124"/>
      <c r="F148" s="2668"/>
    </row>
    <row r="149" spans="1:6" ht="30" customHeight="1">
      <c r="A149" s="124"/>
      <c r="B149" s="124"/>
      <c r="C149" s="124"/>
      <c r="D149" s="124"/>
      <c r="E149" s="124"/>
      <c r="F149" s="2668"/>
    </row>
    <row r="150" spans="1:6" ht="30" customHeight="1">
      <c r="A150" s="124"/>
      <c r="B150" s="124"/>
      <c r="C150" s="124"/>
      <c r="D150" s="124"/>
      <c r="E150" s="124"/>
      <c r="F150" s="2668"/>
    </row>
    <row r="151" spans="1:6" ht="30" customHeight="1">
      <c r="A151" s="124"/>
      <c r="B151" s="124"/>
      <c r="C151" s="124"/>
      <c r="D151" s="124"/>
      <c r="E151" s="124"/>
      <c r="F151" s="2668"/>
    </row>
    <row r="152" spans="1:6" ht="30" customHeight="1">
      <c r="A152" s="124"/>
      <c r="B152" s="124"/>
      <c r="C152" s="124"/>
      <c r="D152" s="124"/>
      <c r="E152" s="124"/>
      <c r="F152" s="2668"/>
    </row>
    <row r="153" spans="1:6" ht="30" customHeight="1">
      <c r="A153" s="124"/>
      <c r="B153" s="124"/>
      <c r="C153" s="124"/>
      <c r="D153" s="124"/>
      <c r="E153" s="124"/>
      <c r="F153" s="2668"/>
    </row>
    <row r="154" spans="1:6" ht="30" customHeight="1">
      <c r="A154" s="124"/>
      <c r="B154" s="124"/>
      <c r="C154" s="124"/>
      <c r="D154" s="124"/>
      <c r="E154" s="124"/>
      <c r="F154" s="2668"/>
    </row>
    <row r="155" spans="1:6" ht="30" customHeight="1">
      <c r="A155" s="124"/>
      <c r="B155" s="124"/>
      <c r="C155" s="124"/>
      <c r="D155" s="124"/>
      <c r="E155" s="124"/>
      <c r="F155" s="2668"/>
    </row>
    <row r="156" spans="1:6" ht="30" customHeight="1">
      <c r="A156" s="124"/>
      <c r="B156" s="124"/>
      <c r="C156" s="124"/>
      <c r="D156" s="124"/>
      <c r="E156" s="124"/>
      <c r="F156" s="2668"/>
    </row>
    <row r="157" spans="1:6" ht="30" customHeight="1">
      <c r="A157" s="124"/>
      <c r="B157" s="124"/>
      <c r="C157" s="124"/>
      <c r="D157" s="124"/>
      <c r="E157" s="124"/>
      <c r="F157" s="2668"/>
    </row>
    <row r="158" spans="1:6" ht="30" customHeight="1">
      <c r="A158" s="124"/>
      <c r="B158" s="124"/>
      <c r="C158" s="124"/>
      <c r="D158" s="124"/>
      <c r="E158" s="124"/>
      <c r="F158" s="2668"/>
    </row>
    <row r="159" spans="1:6" ht="30" customHeight="1">
      <c r="A159" s="124"/>
      <c r="B159" s="124"/>
      <c r="C159" s="124"/>
      <c r="D159" s="124"/>
      <c r="E159" s="124"/>
      <c r="F159" s="2668"/>
    </row>
    <row r="160" spans="1:6" ht="30" customHeight="1">
      <c r="A160" s="124"/>
      <c r="B160" s="124"/>
      <c r="C160" s="124"/>
      <c r="D160" s="124"/>
      <c r="E160" s="124"/>
      <c r="F160" s="2668"/>
    </row>
    <row r="161" spans="1:6" ht="30" customHeight="1">
      <c r="A161" s="124"/>
      <c r="B161" s="124"/>
      <c r="C161" s="124"/>
      <c r="D161" s="124"/>
      <c r="E161" s="124"/>
      <c r="F161" s="2668"/>
    </row>
    <row r="162" spans="1:6" ht="30" customHeight="1">
      <c r="A162" s="124"/>
      <c r="B162" s="124"/>
      <c r="C162" s="124"/>
      <c r="D162" s="124"/>
      <c r="E162" s="124"/>
      <c r="F162" s="2668"/>
    </row>
    <row r="163" spans="1:6" ht="30" customHeight="1">
      <c r="A163" s="124"/>
      <c r="B163" s="124"/>
      <c r="C163" s="124"/>
      <c r="D163" s="124"/>
      <c r="E163" s="124"/>
      <c r="F163" s="2668"/>
    </row>
    <row r="164" spans="1:6" ht="30" customHeight="1">
      <c r="A164" s="124"/>
      <c r="B164" s="124"/>
      <c r="C164" s="124"/>
      <c r="D164" s="124"/>
      <c r="E164" s="124"/>
      <c r="F164" s="2668"/>
    </row>
    <row r="165" spans="1:6" ht="30" customHeight="1">
      <c r="A165" s="124"/>
      <c r="B165" s="124"/>
      <c r="C165" s="124"/>
      <c r="D165" s="124"/>
      <c r="E165" s="124"/>
      <c r="F165" s="2668"/>
    </row>
    <row r="166" spans="1:6" ht="30" customHeight="1">
      <c r="A166" s="124"/>
      <c r="B166" s="124"/>
      <c r="C166" s="124"/>
      <c r="D166" s="124"/>
      <c r="E166" s="124"/>
      <c r="F166" s="2668"/>
    </row>
    <row r="167" spans="1:6" ht="30" customHeight="1">
      <c r="A167" s="124"/>
      <c r="B167" s="124"/>
      <c r="C167" s="124"/>
      <c r="D167" s="124"/>
      <c r="E167" s="124"/>
      <c r="F167" s="2668"/>
    </row>
    <row r="168" spans="1:6" ht="30" customHeight="1">
      <c r="A168" s="124"/>
      <c r="B168" s="124"/>
      <c r="C168" s="124"/>
      <c r="D168" s="124"/>
      <c r="E168" s="124"/>
      <c r="F168" s="2668"/>
    </row>
    <row r="169" spans="1:6" ht="30" customHeight="1">
      <c r="A169" s="137"/>
      <c r="B169" s="137"/>
      <c r="C169" s="137"/>
      <c r="D169" s="137"/>
      <c r="E169" s="137"/>
      <c r="F169" s="509"/>
    </row>
    <row r="170" spans="1:6" ht="30" customHeight="1">
      <c r="A170" s="137"/>
      <c r="B170" s="137"/>
      <c r="C170" s="137"/>
      <c r="D170" s="137"/>
      <c r="E170" s="137"/>
      <c r="F170" s="509"/>
    </row>
    <row r="171" spans="1:6" ht="30" customHeight="1">
      <c r="A171" s="137"/>
      <c r="B171" s="137"/>
      <c r="C171" s="137"/>
      <c r="D171" s="137"/>
      <c r="E171" s="137"/>
      <c r="F171" s="509"/>
    </row>
    <row r="172" spans="1:6" ht="30" customHeight="1">
      <c r="A172" s="137"/>
      <c r="B172" s="137"/>
      <c r="C172" s="137"/>
      <c r="D172" s="137"/>
      <c r="E172" s="137"/>
      <c r="F172" s="509"/>
    </row>
    <row r="173" spans="1:6" ht="30" customHeight="1">
      <c r="A173" s="137"/>
      <c r="B173" s="137"/>
      <c r="C173" s="137"/>
      <c r="D173" s="137"/>
      <c r="E173" s="137"/>
      <c r="F173" s="509"/>
    </row>
    <row r="174" spans="1:6" ht="30" customHeight="1">
      <c r="A174" s="137"/>
      <c r="B174" s="137"/>
      <c r="C174" s="137"/>
      <c r="D174" s="137"/>
      <c r="E174" s="137"/>
      <c r="F174" s="509"/>
    </row>
    <row r="175" spans="1:6" ht="30" customHeight="1">
      <c r="A175" s="137"/>
      <c r="B175" s="137"/>
      <c r="C175" s="137"/>
      <c r="D175" s="137"/>
      <c r="E175" s="137"/>
      <c r="F175" s="509"/>
    </row>
    <row r="176" spans="1:6" ht="30" customHeight="1">
      <c r="A176" s="137"/>
      <c r="B176" s="137"/>
      <c r="C176" s="137"/>
      <c r="D176" s="137"/>
      <c r="E176" s="137"/>
      <c r="F176" s="509"/>
    </row>
    <row r="177" spans="1:6" ht="30" customHeight="1">
      <c r="A177" s="137"/>
      <c r="B177" s="137"/>
      <c r="C177" s="137"/>
      <c r="D177" s="137"/>
      <c r="E177" s="137"/>
      <c r="F177" s="509"/>
    </row>
    <row r="178" spans="1:6" ht="30" customHeight="1">
      <c r="A178" s="137"/>
      <c r="B178" s="137"/>
      <c r="C178" s="137"/>
      <c r="D178" s="137"/>
      <c r="E178" s="137"/>
      <c r="F178" s="509"/>
    </row>
    <row r="179" spans="1:6" ht="30" customHeight="1">
      <c r="A179" s="137"/>
      <c r="B179" s="137"/>
      <c r="C179" s="137"/>
      <c r="D179" s="137"/>
      <c r="E179" s="137"/>
      <c r="F179" s="509"/>
    </row>
    <row r="180" spans="1:6" ht="30" customHeight="1">
      <c r="A180" s="137"/>
      <c r="B180" s="137"/>
      <c r="C180" s="137"/>
      <c r="D180" s="137"/>
      <c r="E180" s="137"/>
      <c r="F180" s="509"/>
    </row>
    <row r="181" spans="1:6" ht="30" customHeight="1">
      <c r="A181" s="137"/>
      <c r="B181" s="137"/>
      <c r="C181" s="137"/>
      <c r="D181" s="137"/>
      <c r="E181" s="137"/>
      <c r="F181" s="509"/>
    </row>
    <row r="182" spans="1:6" ht="30" customHeight="1">
      <c r="A182" s="137"/>
      <c r="B182" s="137"/>
      <c r="C182" s="137"/>
      <c r="D182" s="137"/>
      <c r="E182" s="137"/>
      <c r="F182" s="509"/>
    </row>
    <row r="183" spans="1:6" ht="30" customHeight="1">
      <c r="A183" s="137"/>
      <c r="B183" s="137"/>
      <c r="C183" s="137"/>
      <c r="D183" s="137"/>
      <c r="E183" s="137"/>
      <c r="F183" s="509"/>
    </row>
    <row r="184" spans="1:6" ht="30" customHeight="1">
      <c r="A184" s="137"/>
      <c r="B184" s="137"/>
      <c r="C184" s="137"/>
      <c r="D184" s="137"/>
      <c r="E184" s="137"/>
      <c r="F184" s="509"/>
    </row>
    <row r="185" spans="1:6" ht="30" customHeight="1">
      <c r="A185" s="137"/>
      <c r="B185" s="137"/>
      <c r="C185" s="137"/>
      <c r="D185" s="137"/>
      <c r="E185" s="137"/>
      <c r="F185" s="509"/>
    </row>
    <row r="186" spans="1:6" ht="30" customHeight="1">
      <c r="A186" s="137"/>
      <c r="B186" s="137"/>
      <c r="C186" s="137"/>
      <c r="D186" s="137"/>
      <c r="E186" s="137"/>
      <c r="F186" s="509"/>
    </row>
    <row r="187" spans="1:6" ht="30" customHeight="1">
      <c r="A187" s="137"/>
      <c r="B187" s="137"/>
      <c r="C187" s="137"/>
      <c r="D187" s="137"/>
      <c r="E187" s="137"/>
      <c r="F187" s="509"/>
    </row>
    <row r="188" spans="1:6" ht="30" customHeight="1">
      <c r="A188" s="137"/>
      <c r="B188" s="137"/>
      <c r="C188" s="137"/>
      <c r="D188" s="137"/>
      <c r="E188" s="137"/>
      <c r="F188" s="509"/>
    </row>
    <row r="189" spans="1:6" ht="30" customHeight="1">
      <c r="A189" s="137"/>
      <c r="B189" s="137"/>
      <c r="C189" s="137"/>
      <c r="D189" s="137"/>
      <c r="E189" s="137"/>
      <c r="F189" s="509"/>
    </row>
    <row r="190" spans="1:6" ht="30" customHeight="1">
      <c r="A190" s="137"/>
      <c r="B190" s="137"/>
      <c r="C190" s="137"/>
      <c r="D190" s="137"/>
      <c r="E190" s="137"/>
      <c r="F190" s="509"/>
    </row>
    <row r="191" spans="1:6" ht="30" customHeight="1">
      <c r="A191" s="137"/>
      <c r="B191" s="137"/>
      <c r="C191" s="137"/>
      <c r="D191" s="137"/>
      <c r="E191" s="137"/>
      <c r="F191" s="509"/>
    </row>
    <row r="192" spans="1:6" ht="30" customHeight="1">
      <c r="A192" s="137"/>
      <c r="B192" s="137"/>
      <c r="C192" s="137"/>
      <c r="D192" s="137"/>
      <c r="E192" s="137"/>
      <c r="F192" s="509"/>
    </row>
    <row r="193" spans="1:6" ht="30" customHeight="1">
      <c r="A193" s="137"/>
      <c r="B193" s="137"/>
      <c r="C193" s="137"/>
      <c r="D193" s="137"/>
      <c r="E193" s="137"/>
      <c r="F193" s="509"/>
    </row>
    <row r="194" spans="1:6" ht="30" customHeight="1">
      <c r="A194" s="137"/>
      <c r="B194" s="137"/>
      <c r="C194" s="137"/>
      <c r="D194" s="137"/>
      <c r="E194" s="137"/>
      <c r="F194" s="509"/>
    </row>
    <row r="195" spans="1:6" ht="30" customHeight="1">
      <c r="A195" s="137"/>
      <c r="B195" s="137"/>
      <c r="C195" s="137"/>
      <c r="D195" s="137"/>
      <c r="E195" s="137"/>
      <c r="F195" s="509"/>
    </row>
    <row r="196" spans="1:6" ht="30" customHeight="1">
      <c r="A196" s="137"/>
      <c r="B196" s="137"/>
      <c r="C196" s="137"/>
      <c r="D196" s="137"/>
      <c r="E196" s="137"/>
      <c r="F196" s="509"/>
    </row>
    <row r="197" spans="1:6" ht="30" customHeight="1">
      <c r="A197" s="137"/>
      <c r="B197" s="137"/>
      <c r="C197" s="137"/>
      <c r="D197" s="137"/>
      <c r="E197" s="137"/>
      <c r="F197" s="509"/>
    </row>
    <row r="198" spans="1:6" ht="30" customHeight="1">
      <c r="A198" s="137"/>
      <c r="B198" s="137"/>
      <c r="C198" s="137"/>
      <c r="D198" s="137"/>
      <c r="E198" s="137"/>
      <c r="F198" s="509"/>
    </row>
    <row r="199" spans="1:6" ht="30" customHeight="1">
      <c r="A199" s="137"/>
      <c r="B199" s="137"/>
      <c r="C199" s="137"/>
      <c r="D199" s="137"/>
      <c r="E199" s="137"/>
      <c r="F199" s="509"/>
    </row>
    <row r="200" spans="1:6" ht="30" customHeight="1">
      <c r="A200" s="137"/>
      <c r="B200" s="137"/>
      <c r="C200" s="137"/>
      <c r="D200" s="137"/>
      <c r="E200" s="137"/>
      <c r="F200" s="509"/>
    </row>
    <row r="201" spans="1:6" ht="30" customHeight="1">
      <c r="A201" s="137"/>
      <c r="B201" s="137"/>
      <c r="C201" s="137"/>
      <c r="D201" s="137"/>
      <c r="E201" s="137"/>
      <c r="F201" s="509"/>
    </row>
    <row r="202" spans="1:6" ht="30" customHeight="1">
      <c r="A202" s="137"/>
      <c r="B202" s="137"/>
      <c r="C202" s="137"/>
      <c r="D202" s="137"/>
      <c r="E202" s="137"/>
      <c r="F202" s="509"/>
    </row>
    <row r="203" spans="1:6" ht="30" customHeight="1">
      <c r="A203" s="137"/>
      <c r="B203" s="137"/>
      <c r="C203" s="137"/>
      <c r="D203" s="137"/>
      <c r="E203" s="137"/>
      <c r="F203" s="509"/>
    </row>
    <row r="204" spans="1:6" ht="30" customHeight="1">
      <c r="A204" s="137"/>
      <c r="B204" s="137"/>
      <c r="C204" s="137"/>
      <c r="D204" s="137"/>
      <c r="E204" s="137"/>
      <c r="F204" s="509"/>
    </row>
    <row r="205" spans="1:6" ht="30" customHeight="1">
      <c r="A205" s="137"/>
      <c r="B205" s="137"/>
      <c r="C205" s="137"/>
      <c r="D205" s="137"/>
      <c r="E205" s="137"/>
      <c r="F205" s="509"/>
    </row>
    <row r="206" spans="1:6" ht="30" customHeight="1">
      <c r="A206" s="137"/>
      <c r="B206" s="137"/>
      <c r="C206" s="137"/>
      <c r="D206" s="137"/>
      <c r="E206" s="137"/>
      <c r="F206" s="509"/>
    </row>
    <row r="207" spans="1:6" ht="30" customHeight="1">
      <c r="A207" s="137"/>
      <c r="B207" s="137"/>
      <c r="C207" s="137"/>
      <c r="D207" s="137"/>
      <c r="E207" s="137"/>
      <c r="F207" s="509"/>
    </row>
    <row r="208" spans="1:6" ht="30" customHeight="1">
      <c r="A208" s="137"/>
      <c r="B208" s="137"/>
      <c r="C208" s="137"/>
      <c r="D208" s="137"/>
      <c r="E208" s="137"/>
      <c r="F208" s="509"/>
    </row>
    <row r="209" spans="1:6" ht="30" customHeight="1">
      <c r="A209" s="137"/>
      <c r="B209" s="137"/>
      <c r="C209" s="137"/>
      <c r="D209" s="137"/>
      <c r="E209" s="137"/>
      <c r="F209" s="509"/>
    </row>
    <row r="210" spans="1:6" ht="30" customHeight="1">
      <c r="A210" s="137"/>
      <c r="B210" s="137"/>
      <c r="C210" s="137"/>
      <c r="D210" s="137"/>
      <c r="E210" s="137"/>
      <c r="F210" s="509"/>
    </row>
    <row r="211" spans="1:6" ht="30" customHeight="1">
      <c r="A211" s="137"/>
      <c r="B211" s="137"/>
      <c r="C211" s="137"/>
      <c r="D211" s="137"/>
      <c r="E211" s="137"/>
      <c r="F211" s="509"/>
    </row>
    <row r="212" spans="1:6" ht="30" customHeight="1">
      <c r="A212" s="137"/>
      <c r="B212" s="137"/>
      <c r="C212" s="137"/>
      <c r="D212" s="137"/>
      <c r="E212" s="137"/>
      <c r="F212" s="509"/>
    </row>
    <row r="213" spans="1:6" ht="30" customHeight="1">
      <c r="A213" s="137"/>
      <c r="B213" s="137"/>
      <c r="C213" s="137"/>
      <c r="D213" s="137"/>
      <c r="E213" s="137"/>
      <c r="F213" s="509"/>
    </row>
    <row r="214" spans="1:6" ht="30" customHeight="1">
      <c r="A214" s="137"/>
      <c r="B214" s="137"/>
      <c r="C214" s="137"/>
      <c r="D214" s="137"/>
      <c r="E214" s="137"/>
      <c r="F214" s="509"/>
    </row>
    <row r="215" spans="1:6" ht="30" customHeight="1">
      <c r="A215" s="137"/>
      <c r="B215" s="137"/>
      <c r="C215" s="137"/>
      <c r="D215" s="137"/>
      <c r="E215" s="137"/>
      <c r="F215" s="509"/>
    </row>
    <row r="216" spans="1:6" ht="30" customHeight="1">
      <c r="A216" s="137"/>
      <c r="B216" s="137"/>
      <c r="C216" s="137"/>
      <c r="D216" s="137"/>
      <c r="E216" s="137"/>
      <c r="F216" s="509"/>
    </row>
    <row r="217" spans="1:6" ht="30" customHeight="1">
      <c r="A217" s="137"/>
      <c r="B217" s="137"/>
      <c r="C217" s="137"/>
      <c r="D217" s="137"/>
      <c r="E217" s="137"/>
      <c r="F217" s="509"/>
    </row>
    <row r="218" spans="1:6" ht="30" customHeight="1">
      <c r="A218" s="137"/>
      <c r="B218" s="137"/>
      <c r="C218" s="137"/>
      <c r="D218" s="137"/>
      <c r="E218" s="137"/>
      <c r="F218" s="509"/>
    </row>
    <row r="219" spans="1:6" ht="30" customHeight="1">
      <c r="A219" s="137"/>
      <c r="B219" s="137"/>
      <c r="C219" s="137"/>
      <c r="D219" s="137"/>
      <c r="E219" s="137"/>
      <c r="F219" s="509"/>
    </row>
    <row r="220" spans="1:6" ht="30" customHeight="1">
      <c r="A220" s="137"/>
      <c r="B220" s="137"/>
      <c r="C220" s="137"/>
      <c r="D220" s="137"/>
      <c r="E220" s="137"/>
      <c r="F220" s="509"/>
    </row>
    <row r="221" spans="1:6" ht="30" customHeight="1">
      <c r="A221" s="137"/>
      <c r="B221" s="137"/>
      <c r="C221" s="137"/>
      <c r="D221" s="137"/>
      <c r="E221" s="137"/>
      <c r="F221" s="509"/>
    </row>
    <row r="222" spans="1:6" ht="30" customHeight="1">
      <c r="A222" s="137"/>
      <c r="B222" s="137"/>
      <c r="C222" s="137"/>
      <c r="D222" s="137"/>
      <c r="E222" s="137"/>
      <c r="F222" s="509"/>
    </row>
    <row r="223" spans="1:6" ht="30" customHeight="1">
      <c r="A223" s="137"/>
      <c r="B223" s="137"/>
      <c r="C223" s="137"/>
      <c r="D223" s="137"/>
      <c r="E223" s="137"/>
      <c r="F223" s="509"/>
    </row>
    <row r="224" spans="1:6" ht="30" customHeight="1">
      <c r="A224" s="137"/>
      <c r="B224" s="137"/>
      <c r="C224" s="137"/>
      <c r="D224" s="137"/>
      <c r="E224" s="137"/>
      <c r="F224" s="509"/>
    </row>
    <row r="225" spans="1:6" ht="30" customHeight="1">
      <c r="A225" s="137"/>
      <c r="B225" s="137"/>
      <c r="C225" s="137"/>
      <c r="D225" s="137"/>
      <c r="E225" s="137"/>
      <c r="F225" s="509"/>
    </row>
    <row r="226" spans="1:6" ht="30" customHeight="1">
      <c r="A226" s="137"/>
      <c r="B226" s="137"/>
      <c r="C226" s="137"/>
      <c r="D226" s="137"/>
      <c r="E226" s="137"/>
      <c r="F226" s="509"/>
    </row>
    <row r="227" spans="1:6" ht="30" customHeight="1">
      <c r="A227" s="137"/>
      <c r="B227" s="137"/>
      <c r="C227" s="137"/>
      <c r="D227" s="137"/>
      <c r="E227" s="137"/>
      <c r="F227" s="509"/>
    </row>
    <row r="228" spans="1:6" ht="30" customHeight="1">
      <c r="A228" s="137"/>
      <c r="B228" s="137"/>
      <c r="C228" s="137"/>
      <c r="D228" s="137"/>
      <c r="E228" s="137"/>
      <c r="F228" s="509"/>
    </row>
    <row r="229" spans="1:6" ht="30" customHeight="1">
      <c r="A229" s="137"/>
      <c r="B229" s="137"/>
      <c r="C229" s="137"/>
      <c r="D229" s="137"/>
      <c r="E229" s="137"/>
      <c r="F229" s="509"/>
    </row>
    <row r="230" spans="1:6" ht="30" customHeight="1">
      <c r="A230" s="137"/>
      <c r="B230" s="137"/>
      <c r="C230" s="137"/>
      <c r="D230" s="137"/>
      <c r="E230" s="137"/>
      <c r="F230" s="509"/>
    </row>
    <row r="231" spans="1:6" ht="30" customHeight="1">
      <c r="A231" s="137"/>
      <c r="B231" s="137"/>
      <c r="C231" s="137"/>
      <c r="D231" s="137"/>
      <c r="E231" s="137"/>
      <c r="F231" s="509"/>
    </row>
    <row r="232" spans="1:6" ht="30" customHeight="1">
      <c r="A232" s="137"/>
      <c r="B232" s="137"/>
      <c r="C232" s="137"/>
      <c r="D232" s="137"/>
      <c r="E232" s="137"/>
      <c r="F232" s="509"/>
    </row>
    <row r="233" spans="1:6" ht="30" customHeight="1">
      <c r="A233" s="137"/>
      <c r="B233" s="137"/>
      <c r="C233" s="137"/>
      <c r="D233" s="137"/>
      <c r="E233" s="137"/>
      <c r="F233" s="509"/>
    </row>
    <row r="234" spans="1:6" ht="30" customHeight="1">
      <c r="A234" s="137"/>
      <c r="B234" s="137"/>
      <c r="C234" s="137"/>
      <c r="D234" s="137"/>
      <c r="E234" s="137"/>
      <c r="F234" s="509"/>
    </row>
    <row r="235" spans="1:6" ht="30" customHeight="1">
      <c r="A235" s="137"/>
      <c r="B235" s="137"/>
      <c r="C235" s="137"/>
      <c r="D235" s="137"/>
      <c r="E235" s="137"/>
      <c r="F235" s="509"/>
    </row>
    <row r="236" spans="1:6" ht="30" customHeight="1">
      <c r="A236" s="137"/>
      <c r="B236" s="137"/>
      <c r="C236" s="137"/>
      <c r="D236" s="137"/>
      <c r="E236" s="137"/>
      <c r="F236" s="509"/>
    </row>
    <row r="237" spans="1:6" ht="30" customHeight="1">
      <c r="A237" s="137"/>
      <c r="B237" s="137"/>
      <c r="C237" s="137"/>
      <c r="D237" s="137"/>
      <c r="E237" s="137"/>
      <c r="F237" s="509"/>
    </row>
    <row r="238" spans="1:6" ht="30" customHeight="1">
      <c r="A238" s="137"/>
      <c r="B238" s="137"/>
      <c r="C238" s="137"/>
      <c r="D238" s="137"/>
      <c r="E238" s="137"/>
      <c r="F238" s="509"/>
    </row>
    <row r="239" spans="1:6" ht="30" customHeight="1">
      <c r="A239" s="137"/>
      <c r="B239" s="137"/>
      <c r="C239" s="137"/>
      <c r="D239" s="137"/>
      <c r="E239" s="137"/>
      <c r="F239" s="509"/>
    </row>
    <row r="240" spans="1:6" ht="30" customHeight="1">
      <c r="A240" s="137"/>
      <c r="B240" s="137"/>
      <c r="C240" s="137"/>
      <c r="D240" s="137"/>
      <c r="E240" s="137"/>
      <c r="F240" s="509"/>
    </row>
    <row r="241" spans="1:6" ht="30" customHeight="1">
      <c r="A241" s="137"/>
      <c r="B241" s="137"/>
      <c r="C241" s="137"/>
      <c r="D241" s="137"/>
      <c r="E241" s="137"/>
      <c r="F241" s="509"/>
    </row>
    <row r="242" spans="1:6" ht="30" customHeight="1">
      <c r="A242" s="137"/>
      <c r="B242" s="137"/>
      <c r="C242" s="137"/>
      <c r="D242" s="137"/>
      <c r="E242" s="137"/>
      <c r="F242" s="509"/>
    </row>
    <row r="243" spans="1:6" ht="30" customHeight="1">
      <c r="A243" s="137"/>
      <c r="B243" s="137"/>
      <c r="C243" s="137"/>
      <c r="D243" s="137"/>
      <c r="E243" s="137"/>
      <c r="F243" s="509"/>
    </row>
    <row r="244" spans="1:6" ht="30" customHeight="1">
      <c r="A244" s="137"/>
      <c r="B244" s="137"/>
      <c r="C244" s="137"/>
      <c r="D244" s="137"/>
      <c r="E244" s="137"/>
      <c r="F244" s="509"/>
    </row>
    <row r="245" spans="1:6" ht="30" customHeight="1">
      <c r="A245" s="137"/>
      <c r="B245" s="137"/>
      <c r="C245" s="137"/>
      <c r="D245" s="137"/>
      <c r="E245" s="137"/>
      <c r="F245" s="509"/>
    </row>
    <row r="246" spans="1:6" ht="30" customHeight="1">
      <c r="A246" s="137"/>
      <c r="B246" s="137"/>
      <c r="C246" s="137"/>
      <c r="D246" s="137"/>
      <c r="E246" s="137"/>
      <c r="F246" s="509"/>
    </row>
    <row r="247" spans="1:6" ht="30" customHeight="1">
      <c r="A247" s="137"/>
      <c r="B247" s="137"/>
      <c r="C247" s="137"/>
      <c r="D247" s="137"/>
      <c r="E247" s="137"/>
      <c r="F247" s="509"/>
    </row>
    <row r="248" spans="1:6" ht="30" customHeight="1">
      <c r="A248" s="137"/>
      <c r="B248" s="137"/>
      <c r="C248" s="137"/>
      <c r="D248" s="137"/>
      <c r="E248" s="137"/>
      <c r="F248" s="509"/>
    </row>
    <row r="249" spans="1:6" ht="30" customHeight="1">
      <c r="A249" s="137"/>
      <c r="B249" s="137"/>
      <c r="C249" s="137"/>
      <c r="D249" s="137"/>
      <c r="E249" s="137"/>
      <c r="F249" s="509"/>
    </row>
    <row r="250" spans="1:6" ht="30" customHeight="1">
      <c r="A250" s="137"/>
      <c r="B250" s="137"/>
      <c r="C250" s="137"/>
      <c r="D250" s="137"/>
      <c r="E250" s="137"/>
      <c r="F250" s="509"/>
    </row>
    <row r="251" spans="1:6" ht="30" customHeight="1">
      <c r="A251" s="137"/>
      <c r="B251" s="137"/>
      <c r="C251" s="137"/>
      <c r="D251" s="137"/>
      <c r="E251" s="137"/>
      <c r="F251" s="509"/>
    </row>
    <row r="252" spans="1:6" ht="30" customHeight="1">
      <c r="A252" s="137"/>
      <c r="B252" s="137"/>
      <c r="C252" s="137"/>
      <c r="D252" s="137"/>
      <c r="E252" s="137"/>
      <c r="F252" s="509"/>
    </row>
    <row r="253" spans="1:6" ht="30" customHeight="1">
      <c r="A253" s="137"/>
      <c r="B253" s="137"/>
      <c r="C253" s="137"/>
      <c r="D253" s="137"/>
      <c r="E253" s="137"/>
      <c r="F253" s="509"/>
    </row>
    <row r="254" spans="1:6" ht="30" customHeight="1">
      <c r="A254" s="137"/>
      <c r="B254" s="137"/>
      <c r="C254" s="137"/>
      <c r="D254" s="137"/>
      <c r="E254" s="137"/>
      <c r="F254" s="509"/>
    </row>
    <row r="255" spans="1:6" ht="30" customHeight="1">
      <c r="A255" s="137"/>
      <c r="B255" s="137"/>
      <c r="C255" s="137"/>
      <c r="D255" s="137"/>
      <c r="E255" s="137"/>
      <c r="F255" s="509"/>
    </row>
    <row r="256" spans="1:6" ht="30" customHeight="1">
      <c r="A256" s="137"/>
      <c r="B256" s="137"/>
      <c r="C256" s="137"/>
      <c r="D256" s="137"/>
      <c r="E256" s="137"/>
      <c r="F256" s="509"/>
    </row>
    <row r="257" spans="1:6" ht="30" customHeight="1">
      <c r="A257" s="137"/>
      <c r="B257" s="137"/>
      <c r="C257" s="137"/>
      <c r="D257" s="137"/>
      <c r="E257" s="137"/>
      <c r="F257" s="509"/>
    </row>
    <row r="258" spans="1:6" ht="30" customHeight="1">
      <c r="A258" s="137"/>
      <c r="B258" s="137"/>
      <c r="C258" s="137"/>
      <c r="D258" s="137"/>
      <c r="E258" s="137"/>
      <c r="F258" s="509"/>
    </row>
    <row r="259" spans="1:6" ht="30" customHeight="1">
      <c r="A259" s="137"/>
      <c r="B259" s="137"/>
      <c r="C259" s="137"/>
      <c r="D259" s="137"/>
      <c r="E259" s="137"/>
      <c r="F259" s="509"/>
    </row>
    <row r="260" spans="1:6" ht="30" customHeight="1">
      <c r="A260" s="137"/>
      <c r="B260" s="137"/>
      <c r="C260" s="137"/>
      <c r="D260" s="137"/>
      <c r="E260" s="137"/>
      <c r="F260" s="509"/>
    </row>
    <row r="261" spans="1:6" ht="30" customHeight="1">
      <c r="A261" s="137"/>
      <c r="B261" s="137"/>
      <c r="C261" s="137"/>
      <c r="D261" s="137"/>
      <c r="E261" s="137"/>
      <c r="F261" s="509"/>
    </row>
    <row r="262" spans="1:6" ht="30" customHeight="1">
      <c r="A262" s="137"/>
      <c r="B262" s="137"/>
      <c r="C262" s="137"/>
      <c r="D262" s="137"/>
      <c r="E262" s="137"/>
      <c r="F262" s="509"/>
    </row>
    <row r="263" spans="1:6" ht="30" customHeight="1">
      <c r="A263" s="137"/>
      <c r="B263" s="137"/>
      <c r="C263" s="137"/>
      <c r="D263" s="137"/>
      <c r="E263" s="137"/>
      <c r="F263" s="509"/>
    </row>
    <row r="264" spans="1:6" ht="30" customHeight="1">
      <c r="A264" s="137"/>
      <c r="B264" s="137"/>
      <c r="C264" s="137"/>
      <c r="D264" s="137"/>
      <c r="E264" s="137"/>
      <c r="F264" s="509"/>
    </row>
    <row r="265" spans="1:6" ht="30" customHeight="1">
      <c r="A265" s="137"/>
      <c r="B265" s="137"/>
      <c r="C265" s="137"/>
      <c r="D265" s="137"/>
      <c r="E265" s="137"/>
      <c r="F265" s="509"/>
    </row>
    <row r="266" spans="1:6" ht="30" customHeight="1">
      <c r="A266" s="137"/>
      <c r="B266" s="137"/>
      <c r="C266" s="137"/>
      <c r="D266" s="137"/>
      <c r="E266" s="137"/>
      <c r="F266" s="509"/>
    </row>
    <row r="267" spans="1:6" ht="30" customHeight="1">
      <c r="A267" s="137"/>
      <c r="B267" s="137"/>
      <c r="C267" s="137"/>
      <c r="D267" s="137"/>
      <c r="E267" s="137"/>
      <c r="F267" s="509"/>
    </row>
    <row r="268" spans="1:6" ht="30" customHeight="1">
      <c r="A268" s="137"/>
      <c r="B268" s="137"/>
      <c r="C268" s="137"/>
      <c r="D268" s="137"/>
      <c r="E268" s="137"/>
      <c r="F268" s="509"/>
    </row>
    <row r="269" spans="1:6" ht="30" customHeight="1">
      <c r="A269" s="137"/>
      <c r="B269" s="137"/>
      <c r="C269" s="137"/>
      <c r="D269" s="137"/>
      <c r="E269" s="137"/>
      <c r="F269" s="509"/>
    </row>
    <row r="270" spans="1:6" ht="30" customHeight="1">
      <c r="A270" s="137"/>
      <c r="B270" s="137"/>
      <c r="C270" s="137"/>
      <c r="D270" s="137"/>
      <c r="E270" s="137"/>
      <c r="F270" s="509"/>
    </row>
    <row r="271" spans="1:6" ht="30" customHeight="1">
      <c r="A271" s="137"/>
      <c r="B271" s="137"/>
      <c r="C271" s="137"/>
      <c r="D271" s="137"/>
      <c r="E271" s="137"/>
      <c r="F271" s="509"/>
    </row>
    <row r="272" spans="1:6" ht="30" customHeight="1">
      <c r="A272" s="137"/>
      <c r="B272" s="137"/>
      <c r="C272" s="137"/>
      <c r="D272" s="137"/>
      <c r="E272" s="137"/>
      <c r="F272" s="509"/>
    </row>
    <row r="273" spans="1:6" ht="30" customHeight="1">
      <c r="A273" s="137"/>
      <c r="B273" s="137"/>
      <c r="C273" s="137"/>
      <c r="D273" s="137"/>
      <c r="E273" s="137"/>
      <c r="F273" s="509"/>
    </row>
    <row r="274" spans="1:6" ht="30" customHeight="1">
      <c r="A274" s="137"/>
      <c r="B274" s="137"/>
      <c r="C274" s="137"/>
      <c r="D274" s="137"/>
      <c r="E274" s="137"/>
      <c r="F274" s="509"/>
    </row>
    <row r="275" spans="1:6" ht="30" customHeight="1">
      <c r="A275" s="137"/>
      <c r="B275" s="137"/>
      <c r="C275" s="137"/>
      <c r="D275" s="137"/>
      <c r="E275" s="137"/>
      <c r="F275" s="509"/>
    </row>
    <row r="276" spans="1:6" ht="30" customHeight="1">
      <c r="A276" s="137"/>
      <c r="B276" s="137"/>
      <c r="C276" s="137"/>
      <c r="D276" s="137"/>
      <c r="E276" s="137"/>
      <c r="F276" s="509"/>
    </row>
    <row r="277" spans="1:6" ht="30" customHeight="1">
      <c r="A277" s="137"/>
      <c r="B277" s="137"/>
      <c r="C277" s="137"/>
      <c r="D277" s="137"/>
      <c r="E277" s="137"/>
      <c r="F277" s="509"/>
    </row>
    <row r="278" spans="1:6" ht="30" customHeight="1">
      <c r="A278" s="137"/>
      <c r="B278" s="137"/>
      <c r="C278" s="137"/>
      <c r="D278" s="137"/>
      <c r="E278" s="137"/>
      <c r="F278" s="509"/>
    </row>
    <row r="279" spans="1:6" ht="30" customHeight="1">
      <c r="A279" s="137"/>
      <c r="B279" s="137"/>
      <c r="C279" s="137"/>
      <c r="D279" s="137"/>
      <c r="E279" s="137"/>
      <c r="F279" s="509"/>
    </row>
    <row r="280" spans="1:6" ht="30" customHeight="1">
      <c r="A280" s="137"/>
      <c r="B280" s="137"/>
      <c r="C280" s="137"/>
      <c r="D280" s="137"/>
      <c r="E280" s="137"/>
      <c r="F280" s="509"/>
    </row>
    <row r="281" spans="1:6" ht="30" customHeight="1">
      <c r="A281" s="137"/>
      <c r="B281" s="137"/>
      <c r="C281" s="137"/>
      <c r="D281" s="137"/>
      <c r="E281" s="137"/>
      <c r="F281" s="509"/>
    </row>
    <row r="282" spans="1:6" ht="30" customHeight="1">
      <c r="A282" s="137"/>
      <c r="B282" s="137"/>
      <c r="C282" s="137"/>
      <c r="D282" s="137"/>
      <c r="E282" s="137"/>
      <c r="F282" s="509"/>
    </row>
    <row r="283" spans="1:6" ht="30" customHeight="1">
      <c r="A283" s="137"/>
      <c r="B283" s="137"/>
      <c r="C283" s="137"/>
      <c r="D283" s="137"/>
      <c r="E283" s="137"/>
      <c r="F283" s="509"/>
    </row>
    <row r="284" spans="1:6" ht="30" customHeight="1">
      <c r="A284" s="137"/>
      <c r="B284" s="137"/>
      <c r="C284" s="137"/>
      <c r="D284" s="137"/>
      <c r="E284" s="137"/>
      <c r="F284" s="509"/>
    </row>
    <row r="285" spans="1:6" ht="30" customHeight="1">
      <c r="A285" s="137"/>
      <c r="B285" s="137"/>
      <c r="C285" s="137"/>
      <c r="D285" s="137"/>
      <c r="E285" s="137"/>
      <c r="F285" s="509"/>
    </row>
    <row r="286" spans="1:6" ht="30" customHeight="1">
      <c r="A286" s="137"/>
      <c r="B286" s="137"/>
      <c r="C286" s="137"/>
      <c r="D286" s="137"/>
      <c r="E286" s="137"/>
      <c r="F286" s="509"/>
    </row>
    <row r="287" spans="1:6" ht="30" customHeight="1">
      <c r="A287" s="137"/>
      <c r="B287" s="137"/>
      <c r="C287" s="137"/>
      <c r="D287" s="137"/>
      <c r="E287" s="137"/>
      <c r="F287" s="509"/>
    </row>
    <row r="288" spans="1:6" ht="30" customHeight="1">
      <c r="A288" s="137"/>
      <c r="B288" s="137"/>
      <c r="C288" s="137"/>
      <c r="D288" s="137"/>
      <c r="E288" s="137"/>
      <c r="F288" s="509"/>
    </row>
    <row r="289" spans="1:6" ht="30" customHeight="1">
      <c r="A289" s="137"/>
      <c r="B289" s="137"/>
      <c r="C289" s="137"/>
      <c r="D289" s="137"/>
      <c r="E289" s="137"/>
      <c r="F289" s="509"/>
    </row>
    <row r="290" spans="1:6" ht="30" customHeight="1">
      <c r="A290" s="137"/>
      <c r="B290" s="137"/>
      <c r="C290" s="137"/>
      <c r="D290" s="137"/>
      <c r="E290" s="137"/>
      <c r="F290" s="509"/>
    </row>
    <row r="291" spans="1:6" ht="30" customHeight="1">
      <c r="A291" s="137"/>
      <c r="B291" s="137"/>
      <c r="C291" s="137"/>
      <c r="D291" s="137"/>
      <c r="E291" s="137"/>
      <c r="F291" s="509"/>
    </row>
    <row r="292" spans="1:6" ht="30" customHeight="1">
      <c r="A292" s="137"/>
      <c r="B292" s="137"/>
      <c r="C292" s="137"/>
      <c r="D292" s="137"/>
      <c r="E292" s="137"/>
      <c r="F292" s="509"/>
    </row>
    <row r="293" spans="1:6" ht="30" customHeight="1">
      <c r="A293" s="137"/>
      <c r="B293" s="137"/>
      <c r="C293" s="137"/>
      <c r="D293" s="137"/>
      <c r="E293" s="137"/>
      <c r="F293" s="509"/>
    </row>
    <row r="294" spans="1:6" ht="30" customHeight="1">
      <c r="A294" s="137"/>
      <c r="B294" s="137"/>
      <c r="C294" s="137"/>
      <c r="D294" s="137"/>
      <c r="E294" s="137"/>
      <c r="F294" s="509"/>
    </row>
    <row r="295" spans="1:6" ht="30" customHeight="1">
      <c r="A295" s="137"/>
      <c r="B295" s="137"/>
      <c r="C295" s="137"/>
      <c r="D295" s="137"/>
      <c r="E295" s="137"/>
      <c r="F295" s="509"/>
    </row>
    <row r="296" spans="1:6" ht="30" customHeight="1">
      <c r="A296" s="137"/>
      <c r="B296" s="137"/>
      <c r="C296" s="137"/>
      <c r="D296" s="137"/>
      <c r="E296" s="137"/>
      <c r="F296" s="509"/>
    </row>
    <row r="297" spans="1:6" ht="30" customHeight="1">
      <c r="A297" s="137"/>
      <c r="B297" s="137"/>
      <c r="C297" s="137"/>
      <c r="D297" s="137"/>
      <c r="E297" s="137"/>
      <c r="F297" s="509"/>
    </row>
    <row r="298" spans="1:6" ht="30" customHeight="1">
      <c r="A298" s="137"/>
      <c r="B298" s="137"/>
      <c r="C298" s="137"/>
      <c r="D298" s="137"/>
      <c r="E298" s="137"/>
      <c r="F298" s="509"/>
    </row>
    <row r="299" spans="1:6" ht="30" customHeight="1">
      <c r="A299" s="137"/>
      <c r="B299" s="137"/>
      <c r="C299" s="137"/>
      <c r="D299" s="137"/>
      <c r="E299" s="137"/>
      <c r="F299" s="509"/>
    </row>
    <row r="300" spans="1:6" ht="30" customHeight="1">
      <c r="A300" s="137"/>
      <c r="B300" s="137"/>
      <c r="C300" s="137"/>
      <c r="D300" s="137"/>
      <c r="E300" s="137"/>
      <c r="F300" s="509"/>
    </row>
    <row r="301" spans="1:6" ht="30" customHeight="1">
      <c r="A301" s="137"/>
      <c r="B301" s="137"/>
      <c r="C301" s="137"/>
      <c r="D301" s="137"/>
      <c r="E301" s="137"/>
      <c r="F301" s="509"/>
    </row>
    <row r="302" spans="1:6" ht="30" customHeight="1">
      <c r="A302" s="137"/>
      <c r="B302" s="137"/>
      <c r="C302" s="137"/>
      <c r="D302" s="137"/>
      <c r="E302" s="137"/>
      <c r="F302" s="509"/>
    </row>
    <row r="303" spans="1:6" ht="30" customHeight="1">
      <c r="A303" s="137"/>
      <c r="B303" s="137"/>
      <c r="C303" s="137"/>
      <c r="D303" s="137"/>
      <c r="E303" s="137"/>
      <c r="F303" s="509"/>
    </row>
    <row r="304" spans="1:6" ht="30" customHeight="1">
      <c r="A304" s="137"/>
      <c r="B304" s="137"/>
      <c r="C304" s="137"/>
      <c r="D304" s="137"/>
      <c r="E304" s="137"/>
      <c r="F304" s="509"/>
    </row>
    <row r="305" spans="1:6" ht="30" customHeight="1">
      <c r="A305" s="137"/>
      <c r="B305" s="137"/>
      <c r="C305" s="137"/>
      <c r="D305" s="137"/>
      <c r="E305" s="137"/>
      <c r="F305" s="509"/>
    </row>
    <row r="306" spans="1:6" ht="30" customHeight="1">
      <c r="A306" s="137"/>
      <c r="B306" s="137"/>
      <c r="C306" s="137"/>
      <c r="D306" s="137"/>
      <c r="E306" s="137"/>
      <c r="F306" s="509"/>
    </row>
    <row r="307" spans="1:6" ht="30" customHeight="1">
      <c r="A307" s="137"/>
      <c r="B307" s="137"/>
      <c r="C307" s="137"/>
      <c r="D307" s="137"/>
      <c r="E307" s="137"/>
      <c r="F307" s="509"/>
    </row>
    <row r="308" spans="1:6" ht="30" customHeight="1">
      <c r="A308" s="137"/>
      <c r="B308" s="137"/>
      <c r="C308" s="137"/>
      <c r="D308" s="137"/>
      <c r="E308" s="137"/>
      <c r="F308" s="509"/>
    </row>
    <row r="309" spans="1:6" ht="30" customHeight="1">
      <c r="A309" s="137"/>
      <c r="B309" s="137"/>
      <c r="C309" s="137"/>
      <c r="D309" s="137"/>
      <c r="E309" s="137"/>
      <c r="F309" s="509"/>
    </row>
    <row r="310" spans="1:6" ht="30" customHeight="1">
      <c r="A310" s="137"/>
      <c r="B310" s="137"/>
      <c r="C310" s="137"/>
      <c r="D310" s="137"/>
      <c r="E310" s="137"/>
      <c r="F310" s="509"/>
    </row>
    <row r="311" spans="1:6" ht="30" customHeight="1">
      <c r="A311" s="137"/>
      <c r="B311" s="137"/>
      <c r="C311" s="137"/>
      <c r="D311" s="137"/>
      <c r="E311" s="137"/>
      <c r="F311" s="509"/>
    </row>
    <row r="312" spans="1:6" ht="30" customHeight="1">
      <c r="A312" s="137"/>
      <c r="B312" s="137"/>
      <c r="C312" s="137"/>
      <c r="D312" s="137"/>
      <c r="E312" s="137"/>
      <c r="F312" s="509"/>
    </row>
    <row r="313" spans="1:6" ht="30" customHeight="1">
      <c r="A313" s="137"/>
      <c r="B313" s="137"/>
      <c r="C313" s="137"/>
      <c r="D313" s="137"/>
      <c r="E313" s="137"/>
      <c r="F313" s="509"/>
    </row>
    <row r="314" spans="1:6" ht="30" customHeight="1">
      <c r="A314" s="137"/>
      <c r="B314" s="137"/>
      <c r="C314" s="137"/>
      <c r="D314" s="137"/>
      <c r="E314" s="137"/>
      <c r="F314" s="509"/>
    </row>
    <row r="315" spans="1:6" ht="30" customHeight="1">
      <c r="A315" s="137"/>
      <c r="B315" s="137"/>
      <c r="C315" s="137"/>
      <c r="D315" s="137"/>
      <c r="E315" s="137"/>
      <c r="F315" s="509"/>
    </row>
    <row r="316" spans="1:6" ht="30" customHeight="1">
      <c r="A316" s="137"/>
      <c r="B316" s="137"/>
      <c r="C316" s="137"/>
      <c r="D316" s="137"/>
      <c r="E316" s="137"/>
      <c r="F316" s="509"/>
    </row>
    <row r="317" spans="1:6" ht="30" customHeight="1">
      <c r="A317" s="137"/>
      <c r="B317" s="137"/>
      <c r="C317" s="137"/>
      <c r="D317" s="137"/>
      <c r="E317" s="137"/>
      <c r="F317" s="509"/>
    </row>
    <row r="318" spans="1:6" ht="30" customHeight="1">
      <c r="A318" s="137"/>
      <c r="B318" s="137"/>
      <c r="C318" s="137"/>
      <c r="D318" s="137"/>
      <c r="E318" s="137"/>
      <c r="F318" s="509"/>
    </row>
    <row r="319" spans="1:6" ht="30" customHeight="1">
      <c r="A319" s="137"/>
      <c r="B319" s="137"/>
      <c r="C319" s="137"/>
      <c r="D319" s="137"/>
      <c r="E319" s="137"/>
      <c r="F319" s="509"/>
    </row>
    <row r="320" spans="1:6" ht="30" customHeight="1">
      <c r="A320" s="137"/>
      <c r="B320" s="137"/>
      <c r="C320" s="137"/>
      <c r="D320" s="137"/>
      <c r="E320" s="137"/>
      <c r="F320" s="509"/>
    </row>
    <row r="321" spans="1:6" ht="30" customHeight="1">
      <c r="A321" s="137"/>
      <c r="B321" s="137"/>
      <c r="C321" s="137"/>
      <c r="D321" s="137"/>
      <c r="E321" s="137"/>
      <c r="F321" s="509"/>
    </row>
    <row r="322" spans="1:6" ht="30" customHeight="1">
      <c r="A322" s="137"/>
      <c r="B322" s="137"/>
      <c r="C322" s="137"/>
      <c r="D322" s="137"/>
      <c r="E322" s="137"/>
      <c r="F322" s="509"/>
    </row>
    <row r="323" spans="1:6" ht="30" customHeight="1">
      <c r="A323" s="137"/>
      <c r="B323" s="137"/>
      <c r="C323" s="137"/>
      <c r="D323" s="137"/>
      <c r="E323" s="137"/>
      <c r="F323" s="509"/>
    </row>
    <row r="324" spans="1:6" ht="30" customHeight="1">
      <c r="A324" s="137"/>
      <c r="B324" s="137"/>
      <c r="C324" s="137"/>
      <c r="D324" s="137"/>
      <c r="E324" s="137"/>
      <c r="F324" s="509"/>
    </row>
    <row r="325" spans="1:6" ht="30" customHeight="1">
      <c r="A325" s="137"/>
      <c r="B325" s="137"/>
      <c r="C325" s="137"/>
      <c r="D325" s="137"/>
      <c r="E325" s="137"/>
      <c r="F325" s="509"/>
    </row>
    <row r="326" spans="1:6" ht="30" customHeight="1">
      <c r="A326" s="137"/>
      <c r="B326" s="137"/>
      <c r="C326" s="137"/>
      <c r="D326" s="137"/>
      <c r="E326" s="137"/>
      <c r="F326" s="509"/>
    </row>
    <row r="327" spans="1:6" ht="30" customHeight="1">
      <c r="A327" s="137"/>
      <c r="B327" s="137"/>
      <c r="C327" s="137"/>
      <c r="D327" s="137"/>
      <c r="E327" s="137"/>
      <c r="F327" s="509"/>
    </row>
    <row r="328" spans="1:6" ht="30" customHeight="1">
      <c r="A328" s="137"/>
      <c r="B328" s="137"/>
      <c r="C328" s="137"/>
      <c r="D328" s="137"/>
      <c r="E328" s="137"/>
      <c r="F328" s="509"/>
    </row>
    <row r="329" spans="1:6" ht="30" customHeight="1">
      <c r="A329" s="137"/>
      <c r="B329" s="137"/>
      <c r="C329" s="137"/>
      <c r="D329" s="137"/>
      <c r="E329" s="137"/>
      <c r="F329" s="509"/>
    </row>
    <row r="330" spans="1:6" ht="30" customHeight="1">
      <c r="A330" s="137"/>
      <c r="B330" s="137"/>
      <c r="C330" s="137"/>
      <c r="D330" s="137"/>
      <c r="E330" s="137"/>
      <c r="F330" s="509"/>
    </row>
    <row r="331" spans="1:6" ht="30" customHeight="1">
      <c r="A331" s="137"/>
      <c r="B331" s="137"/>
      <c r="C331" s="137"/>
      <c r="D331" s="137"/>
      <c r="E331" s="137"/>
      <c r="F331" s="509"/>
    </row>
    <row r="332" spans="1:6" ht="30" customHeight="1">
      <c r="A332" s="137"/>
      <c r="B332" s="137"/>
      <c r="C332" s="137"/>
      <c r="D332" s="137"/>
      <c r="E332" s="137"/>
      <c r="F332" s="509"/>
    </row>
    <row r="333" spans="1:6" ht="30" customHeight="1">
      <c r="A333" s="137"/>
      <c r="B333" s="137"/>
      <c r="C333" s="137"/>
      <c r="D333" s="137"/>
      <c r="E333" s="137"/>
      <c r="F333" s="509"/>
    </row>
    <row r="334" spans="1:6" ht="30" customHeight="1">
      <c r="A334" s="137"/>
      <c r="B334" s="137"/>
      <c r="C334" s="137"/>
      <c r="D334" s="137"/>
      <c r="E334" s="137"/>
      <c r="F334" s="509"/>
    </row>
    <row r="335" spans="1:6" ht="30" customHeight="1">
      <c r="A335" s="137"/>
      <c r="B335" s="137"/>
      <c r="C335" s="137"/>
      <c r="D335" s="137"/>
      <c r="E335" s="137"/>
      <c r="F335" s="509"/>
    </row>
    <row r="336" spans="1:6" ht="30" customHeight="1">
      <c r="A336" s="137"/>
      <c r="B336" s="137"/>
      <c r="C336" s="137"/>
      <c r="D336" s="137"/>
      <c r="E336" s="137"/>
      <c r="F336" s="509"/>
    </row>
    <row r="337" spans="1:6" ht="30" customHeight="1">
      <c r="A337" s="137"/>
      <c r="B337" s="137"/>
      <c r="C337" s="137"/>
      <c r="D337" s="137"/>
      <c r="E337" s="137"/>
      <c r="F337" s="509"/>
    </row>
    <row r="338" spans="1:6" ht="30" customHeight="1">
      <c r="A338" s="137"/>
      <c r="B338" s="137"/>
      <c r="C338" s="137"/>
      <c r="D338" s="137"/>
      <c r="E338" s="137"/>
      <c r="F338" s="509"/>
    </row>
    <row r="339" spans="1:6" ht="30" customHeight="1">
      <c r="A339" s="137"/>
      <c r="B339" s="137"/>
      <c r="C339" s="137"/>
      <c r="D339" s="137"/>
      <c r="E339" s="137"/>
      <c r="F339" s="509"/>
    </row>
    <row r="340" spans="1:6" ht="30" customHeight="1">
      <c r="A340" s="137"/>
      <c r="B340" s="137"/>
      <c r="C340" s="137"/>
      <c r="D340" s="137"/>
      <c r="E340" s="137"/>
      <c r="F340" s="509"/>
    </row>
    <row r="341" spans="1:6" ht="30" customHeight="1">
      <c r="A341" s="137"/>
      <c r="B341" s="137"/>
      <c r="C341" s="137"/>
      <c r="D341" s="137"/>
      <c r="E341" s="137"/>
      <c r="F341" s="509"/>
    </row>
    <row r="342" spans="1:6" ht="30" customHeight="1">
      <c r="A342" s="137"/>
      <c r="B342" s="137"/>
      <c r="C342" s="137"/>
      <c r="D342" s="137"/>
      <c r="E342" s="137"/>
      <c r="F342" s="509"/>
    </row>
    <row r="343" spans="1:6" ht="30" customHeight="1">
      <c r="A343" s="137"/>
      <c r="B343" s="137"/>
      <c r="C343" s="137"/>
      <c r="D343" s="137"/>
      <c r="E343" s="137"/>
      <c r="F343" s="509"/>
    </row>
    <row r="344" spans="1:6" ht="30" customHeight="1">
      <c r="A344" s="137"/>
      <c r="B344" s="137"/>
      <c r="C344" s="137"/>
      <c r="D344" s="137"/>
      <c r="E344" s="137"/>
      <c r="F344" s="509"/>
    </row>
    <row r="345" spans="1:6" ht="30" customHeight="1">
      <c r="A345" s="137"/>
      <c r="B345" s="137"/>
      <c r="C345" s="137"/>
      <c r="D345" s="137"/>
      <c r="E345" s="137"/>
      <c r="F345" s="509"/>
    </row>
    <row r="346" spans="1:6" ht="30" customHeight="1">
      <c r="A346" s="137"/>
      <c r="B346" s="137"/>
      <c r="C346" s="137"/>
      <c r="D346" s="137"/>
      <c r="E346" s="137"/>
      <c r="F346" s="509"/>
    </row>
    <row r="347" spans="1:6" ht="30" customHeight="1">
      <c r="A347" s="137"/>
      <c r="B347" s="137"/>
      <c r="C347" s="137"/>
      <c r="D347" s="137"/>
      <c r="E347" s="137"/>
      <c r="F347" s="509"/>
    </row>
    <row r="348" spans="1:6" ht="30" customHeight="1">
      <c r="A348" s="137"/>
      <c r="B348" s="137"/>
      <c r="C348" s="137"/>
      <c r="D348" s="137"/>
      <c r="E348" s="137"/>
      <c r="F348" s="509"/>
    </row>
    <row r="349" spans="1:6" ht="30" customHeight="1">
      <c r="A349" s="137"/>
      <c r="B349" s="137"/>
      <c r="C349" s="137"/>
      <c r="D349" s="137"/>
      <c r="E349" s="137"/>
      <c r="F349" s="509"/>
    </row>
    <row r="350" spans="1:6" ht="30" customHeight="1">
      <c r="A350" s="137"/>
      <c r="B350" s="137"/>
      <c r="C350" s="137"/>
      <c r="D350" s="137"/>
      <c r="E350" s="137"/>
      <c r="F350" s="509"/>
    </row>
    <row r="351" spans="1:6" ht="30" customHeight="1">
      <c r="A351" s="137"/>
      <c r="B351" s="137"/>
      <c r="C351" s="137"/>
      <c r="D351" s="137"/>
      <c r="E351" s="137"/>
      <c r="F351" s="509"/>
    </row>
    <row r="352" spans="1:6" ht="30" customHeight="1">
      <c r="A352" s="137"/>
      <c r="B352" s="137"/>
      <c r="C352" s="137"/>
      <c r="D352" s="137"/>
      <c r="E352" s="137"/>
      <c r="F352" s="509"/>
    </row>
    <row r="353" spans="1:6" ht="30" customHeight="1">
      <c r="A353" s="137"/>
      <c r="B353" s="137"/>
      <c r="C353" s="137"/>
      <c r="D353" s="137"/>
      <c r="E353" s="137"/>
      <c r="F353" s="509"/>
    </row>
    <row r="354" spans="1:6" ht="30" customHeight="1">
      <c r="A354" s="137"/>
      <c r="B354" s="137"/>
      <c r="C354" s="137"/>
      <c r="D354" s="137"/>
      <c r="E354" s="137"/>
      <c r="F354" s="509"/>
    </row>
    <row r="355" spans="1:6" ht="30" customHeight="1">
      <c r="A355" s="137"/>
      <c r="B355" s="137"/>
      <c r="C355" s="137"/>
      <c r="D355" s="137"/>
      <c r="E355" s="137"/>
      <c r="F355" s="509"/>
    </row>
    <row r="356" spans="1:6" ht="30" customHeight="1">
      <c r="A356" s="137"/>
      <c r="B356" s="137"/>
      <c r="C356" s="137"/>
      <c r="D356" s="137"/>
      <c r="E356" s="137"/>
      <c r="F356" s="509"/>
    </row>
    <row r="357" spans="1:6" ht="30" customHeight="1">
      <c r="A357" s="137"/>
      <c r="B357" s="137"/>
      <c r="C357" s="137"/>
      <c r="D357" s="137"/>
      <c r="E357" s="137"/>
      <c r="F357" s="509"/>
    </row>
    <row r="358" spans="1:6" ht="30" customHeight="1">
      <c r="A358" s="137"/>
      <c r="B358" s="137"/>
      <c r="C358" s="137"/>
      <c r="D358" s="137"/>
      <c r="E358" s="137"/>
      <c r="F358" s="509"/>
    </row>
    <row r="359" spans="1:6" ht="30" customHeight="1">
      <c r="A359" s="137"/>
      <c r="B359" s="137"/>
      <c r="C359" s="137"/>
      <c r="D359" s="137"/>
      <c r="E359" s="137"/>
      <c r="F359" s="509"/>
    </row>
    <row r="360" spans="1:6" ht="30" customHeight="1">
      <c r="A360" s="137"/>
      <c r="B360" s="137"/>
      <c r="C360" s="137"/>
      <c r="D360" s="137"/>
      <c r="E360" s="137"/>
      <c r="F360" s="509"/>
    </row>
    <row r="361" spans="1:6" ht="30" customHeight="1">
      <c r="A361" s="137"/>
      <c r="B361" s="137"/>
      <c r="C361" s="137"/>
      <c r="D361" s="137"/>
      <c r="E361" s="137"/>
      <c r="F361" s="509"/>
    </row>
    <row r="362" spans="1:6" ht="30" customHeight="1">
      <c r="A362" s="137"/>
      <c r="B362" s="137"/>
      <c r="C362" s="137"/>
      <c r="D362" s="137"/>
      <c r="E362" s="137"/>
      <c r="F362" s="509"/>
    </row>
    <row r="363" spans="1:6" ht="30" customHeight="1">
      <c r="A363" s="137"/>
      <c r="B363" s="137"/>
      <c r="C363" s="137"/>
      <c r="D363" s="137"/>
      <c r="E363" s="137"/>
      <c r="F363" s="509"/>
    </row>
    <row r="364" spans="1:6" ht="30" customHeight="1">
      <c r="A364" s="137"/>
      <c r="B364" s="137"/>
      <c r="C364" s="137"/>
      <c r="D364" s="137"/>
      <c r="E364" s="137"/>
      <c r="F364" s="509"/>
    </row>
    <row r="365" spans="1:6" ht="30" customHeight="1">
      <c r="A365" s="137"/>
      <c r="B365" s="137"/>
      <c r="C365" s="137"/>
      <c r="D365" s="137"/>
      <c r="E365" s="137"/>
      <c r="F365" s="509"/>
    </row>
    <row r="366" spans="1:6" ht="30" customHeight="1">
      <c r="A366" s="137"/>
      <c r="B366" s="137"/>
      <c r="C366" s="137"/>
      <c r="D366" s="137"/>
      <c r="E366" s="137"/>
      <c r="F366" s="509"/>
    </row>
    <row r="367" spans="1:6" ht="30" customHeight="1">
      <c r="A367" s="137"/>
      <c r="B367" s="137"/>
      <c r="C367" s="137"/>
      <c r="D367" s="137"/>
      <c r="E367" s="137"/>
      <c r="F367" s="509"/>
    </row>
    <row r="368" spans="1:6" ht="30" customHeight="1">
      <c r="A368" s="137"/>
      <c r="B368" s="137"/>
      <c r="C368" s="137"/>
      <c r="D368" s="137"/>
      <c r="E368" s="137"/>
      <c r="F368" s="509"/>
    </row>
    <row r="369" spans="1:6" ht="30" customHeight="1">
      <c r="A369" s="137"/>
      <c r="B369" s="137"/>
      <c r="C369" s="137"/>
      <c r="D369" s="137"/>
      <c r="E369" s="137"/>
      <c r="F369" s="509"/>
    </row>
    <row r="370" spans="1:6" ht="30" customHeight="1">
      <c r="A370" s="137"/>
      <c r="B370" s="137"/>
      <c r="C370" s="137"/>
      <c r="D370" s="137"/>
      <c r="E370" s="137"/>
      <c r="F370" s="509"/>
    </row>
    <row r="371" spans="1:6" ht="30" customHeight="1">
      <c r="A371" s="137"/>
      <c r="B371" s="137"/>
      <c r="C371" s="137"/>
      <c r="D371" s="137"/>
      <c r="E371" s="137"/>
      <c r="F371" s="509"/>
    </row>
    <row r="372" spans="1:6" ht="30" customHeight="1">
      <c r="A372" s="137"/>
      <c r="B372" s="137"/>
      <c r="C372" s="137"/>
      <c r="D372" s="137"/>
      <c r="E372" s="137"/>
      <c r="F372" s="509"/>
    </row>
    <row r="373" spans="1:6" ht="30" customHeight="1">
      <c r="A373" s="137"/>
      <c r="B373" s="137"/>
      <c r="C373" s="137"/>
      <c r="D373" s="137"/>
      <c r="E373" s="137"/>
      <c r="F373" s="509"/>
    </row>
    <row r="374" spans="1:6" ht="30" customHeight="1">
      <c r="A374" s="137"/>
      <c r="B374" s="137"/>
      <c r="C374" s="137"/>
      <c r="D374" s="137"/>
      <c r="E374" s="137"/>
      <c r="F374" s="509"/>
    </row>
    <row r="375" spans="1:6" ht="30" customHeight="1">
      <c r="A375" s="137"/>
      <c r="B375" s="137"/>
      <c r="C375" s="137"/>
      <c r="D375" s="137"/>
      <c r="E375" s="137"/>
      <c r="F375" s="509"/>
    </row>
    <row r="376" spans="1:6" ht="30" customHeight="1">
      <c r="A376" s="137"/>
      <c r="B376" s="137"/>
      <c r="C376" s="137"/>
      <c r="D376" s="137"/>
      <c r="E376" s="137"/>
      <c r="F376" s="509"/>
    </row>
    <row r="377" spans="1:6" ht="30" customHeight="1">
      <c r="A377" s="137"/>
      <c r="B377" s="137"/>
      <c r="C377" s="137"/>
      <c r="D377" s="137"/>
      <c r="E377" s="137"/>
      <c r="F377" s="509"/>
    </row>
    <row r="378" spans="1:6" ht="30" customHeight="1">
      <c r="A378" s="137"/>
      <c r="B378" s="137"/>
      <c r="C378" s="137"/>
      <c r="D378" s="137"/>
      <c r="E378" s="137"/>
      <c r="F378" s="509"/>
    </row>
    <row r="379" spans="1:6" ht="30" customHeight="1">
      <c r="A379" s="137"/>
      <c r="B379" s="137"/>
      <c r="C379" s="137"/>
      <c r="D379" s="137"/>
      <c r="E379" s="137"/>
      <c r="F379" s="509"/>
    </row>
    <row r="380" spans="1:6" ht="30" customHeight="1">
      <c r="A380" s="137"/>
      <c r="B380" s="137"/>
      <c r="C380" s="137"/>
      <c r="D380" s="137"/>
      <c r="E380" s="137"/>
      <c r="F380" s="509"/>
    </row>
    <row r="381" spans="1:6" ht="30" customHeight="1">
      <c r="A381" s="137"/>
      <c r="B381" s="137"/>
      <c r="C381" s="137"/>
      <c r="D381" s="137"/>
      <c r="E381" s="137"/>
      <c r="F381" s="509"/>
    </row>
    <row r="382" spans="1:6" ht="30" customHeight="1">
      <c r="A382" s="137"/>
      <c r="B382" s="137"/>
      <c r="C382" s="137"/>
      <c r="D382" s="137"/>
      <c r="E382" s="137"/>
      <c r="F382" s="509"/>
    </row>
    <row r="383" spans="1:6" ht="30" customHeight="1">
      <c r="A383" s="137"/>
      <c r="B383" s="137"/>
      <c r="C383" s="137"/>
      <c r="D383" s="137"/>
      <c r="E383" s="137"/>
      <c r="F383" s="509"/>
    </row>
    <row r="384" spans="1:6" ht="30" customHeight="1">
      <c r="A384" s="137"/>
      <c r="B384" s="137"/>
      <c r="C384" s="137"/>
      <c r="D384" s="137"/>
      <c r="E384" s="137"/>
      <c r="F384" s="509"/>
    </row>
    <row r="385" spans="1:6" ht="30" customHeight="1">
      <c r="A385" s="137"/>
      <c r="B385" s="137"/>
      <c r="C385" s="137"/>
      <c r="D385" s="137"/>
      <c r="E385" s="137"/>
      <c r="F385" s="509"/>
    </row>
    <row r="386" spans="1:6" ht="30" customHeight="1">
      <c r="A386" s="137"/>
      <c r="B386" s="137"/>
      <c r="C386" s="137"/>
      <c r="D386" s="137"/>
      <c r="E386" s="137"/>
      <c r="F386" s="509"/>
    </row>
    <row r="387" spans="1:6" ht="30" customHeight="1">
      <c r="A387" s="137"/>
      <c r="B387" s="137"/>
      <c r="C387" s="137"/>
      <c r="D387" s="137"/>
      <c r="E387" s="137"/>
      <c r="F387" s="509"/>
    </row>
    <row r="388" spans="1:6" ht="30" customHeight="1">
      <c r="A388" s="137"/>
      <c r="B388" s="137"/>
      <c r="C388" s="137"/>
      <c r="D388" s="137"/>
      <c r="E388" s="137"/>
      <c r="F388" s="509"/>
    </row>
    <row r="389" spans="1:6" ht="30" customHeight="1">
      <c r="A389" s="137"/>
      <c r="B389" s="137"/>
      <c r="C389" s="137"/>
      <c r="D389" s="137"/>
      <c r="E389" s="137"/>
      <c r="F389" s="509"/>
    </row>
    <row r="390" spans="1:6" ht="30" customHeight="1">
      <c r="A390" s="137"/>
      <c r="B390" s="137"/>
      <c r="C390" s="137"/>
      <c r="D390" s="137"/>
      <c r="E390" s="137"/>
      <c r="F390" s="509"/>
    </row>
    <row r="391" spans="1:6" ht="30" customHeight="1">
      <c r="A391" s="137"/>
      <c r="B391" s="137"/>
      <c r="C391" s="137"/>
      <c r="D391" s="137"/>
      <c r="E391" s="137"/>
      <c r="F391" s="509"/>
    </row>
    <row r="392" spans="1:6" ht="30" customHeight="1">
      <c r="A392" s="137"/>
      <c r="B392" s="137"/>
      <c r="C392" s="137"/>
      <c r="D392" s="137"/>
      <c r="E392" s="137"/>
      <c r="F392" s="509"/>
    </row>
    <row r="393" spans="1:6" ht="30" customHeight="1">
      <c r="A393" s="137"/>
      <c r="B393" s="137"/>
      <c r="C393" s="137"/>
      <c r="D393" s="137"/>
      <c r="E393" s="137"/>
      <c r="F393" s="509"/>
    </row>
    <row r="394" spans="1:6" ht="30" customHeight="1">
      <c r="A394" s="137"/>
      <c r="B394" s="137"/>
      <c r="C394" s="137"/>
      <c r="D394" s="137"/>
      <c r="E394" s="137"/>
      <c r="F394" s="509"/>
    </row>
    <row r="395" spans="1:6" ht="30" customHeight="1">
      <c r="A395" s="137"/>
      <c r="B395" s="137"/>
      <c r="C395" s="137"/>
      <c r="D395" s="137"/>
      <c r="E395" s="137"/>
      <c r="F395" s="509"/>
    </row>
    <row r="396" spans="1:6" ht="30" customHeight="1">
      <c r="A396" s="137"/>
      <c r="B396" s="137"/>
      <c r="C396" s="137"/>
      <c r="D396" s="137"/>
      <c r="E396" s="137"/>
      <c r="F396" s="509"/>
    </row>
    <row r="397" spans="1:6" ht="30" customHeight="1">
      <c r="A397" s="137"/>
      <c r="B397" s="137"/>
      <c r="C397" s="137"/>
      <c r="D397" s="137"/>
      <c r="E397" s="137"/>
      <c r="F397" s="509"/>
    </row>
    <row r="398" spans="1:6" ht="30" customHeight="1">
      <c r="A398" s="137"/>
      <c r="B398" s="137"/>
      <c r="C398" s="137"/>
      <c r="D398" s="137"/>
      <c r="E398" s="137"/>
      <c r="F398" s="509"/>
    </row>
    <row r="399" spans="1:6" ht="30" customHeight="1">
      <c r="A399" s="137"/>
      <c r="B399" s="137"/>
      <c r="C399" s="137"/>
      <c r="D399" s="137"/>
      <c r="E399" s="137"/>
      <c r="F399" s="509"/>
    </row>
    <row r="400" spans="1:6" ht="30" customHeight="1">
      <c r="A400" s="137"/>
      <c r="B400" s="137"/>
      <c r="C400" s="137"/>
      <c r="D400" s="137"/>
      <c r="E400" s="137"/>
      <c r="F400" s="509"/>
    </row>
    <row r="401" spans="1:6" ht="30" customHeight="1">
      <c r="A401" s="137"/>
      <c r="B401" s="137"/>
      <c r="C401" s="137"/>
      <c r="D401" s="137"/>
      <c r="E401" s="137"/>
      <c r="F401" s="509"/>
    </row>
    <row r="402" spans="1:6" ht="30" customHeight="1">
      <c r="A402" s="137"/>
      <c r="B402" s="137"/>
      <c r="C402" s="137"/>
      <c r="D402" s="137"/>
      <c r="E402" s="137"/>
      <c r="F402" s="509"/>
    </row>
    <row r="403" spans="1:6" ht="30" customHeight="1">
      <c r="A403" s="137"/>
      <c r="B403" s="137"/>
      <c r="C403" s="137"/>
      <c r="D403" s="137"/>
      <c r="E403" s="137"/>
      <c r="F403" s="509"/>
    </row>
    <row r="404" spans="1:6" ht="30" customHeight="1">
      <c r="A404" s="137"/>
      <c r="B404" s="137"/>
      <c r="C404" s="137"/>
      <c r="D404" s="137"/>
      <c r="E404" s="137"/>
      <c r="F404" s="509"/>
    </row>
    <row r="405" spans="1:6" ht="30" customHeight="1">
      <c r="A405" s="137"/>
      <c r="B405" s="137"/>
      <c r="C405" s="137"/>
      <c r="D405" s="137"/>
      <c r="E405" s="137"/>
      <c r="F405" s="509"/>
    </row>
    <row r="406" spans="1:6" ht="30" customHeight="1">
      <c r="A406" s="137"/>
      <c r="B406" s="137"/>
      <c r="C406" s="137"/>
      <c r="D406" s="137"/>
      <c r="E406" s="137"/>
      <c r="F406" s="509"/>
    </row>
    <row r="407" spans="1:6" ht="30" customHeight="1">
      <c r="A407" s="137"/>
      <c r="B407" s="137"/>
      <c r="C407" s="137"/>
      <c r="D407" s="137"/>
      <c r="E407" s="137"/>
      <c r="F407" s="509"/>
    </row>
    <row r="408" spans="1:6" ht="30" customHeight="1">
      <c r="A408" s="137"/>
      <c r="B408" s="137"/>
      <c r="C408" s="137"/>
      <c r="D408" s="137"/>
      <c r="E408" s="137"/>
      <c r="F408" s="509"/>
    </row>
    <row r="409" spans="1:6" ht="30" customHeight="1">
      <c r="A409" s="137"/>
      <c r="B409" s="137"/>
      <c r="C409" s="137"/>
      <c r="D409" s="137"/>
      <c r="E409" s="137"/>
      <c r="F409" s="509"/>
    </row>
    <row r="410" spans="1:6" ht="30" customHeight="1">
      <c r="A410" s="137"/>
      <c r="B410" s="137"/>
      <c r="C410" s="137"/>
      <c r="D410" s="137"/>
      <c r="E410" s="137"/>
      <c r="F410" s="509"/>
    </row>
    <row r="411" spans="1:6" ht="30" customHeight="1">
      <c r="A411" s="137"/>
      <c r="B411" s="137"/>
      <c r="C411" s="137"/>
      <c r="D411" s="137"/>
      <c r="E411" s="137"/>
      <c r="F411" s="509"/>
    </row>
    <row r="412" spans="1:6" ht="30" customHeight="1">
      <c r="A412" s="137"/>
      <c r="B412" s="137"/>
      <c r="C412" s="137"/>
      <c r="D412" s="137"/>
      <c r="E412" s="137"/>
      <c r="F412" s="509"/>
    </row>
    <row r="413" spans="1:6" ht="30" customHeight="1">
      <c r="A413" s="137"/>
      <c r="B413" s="137"/>
      <c r="C413" s="137"/>
      <c r="D413" s="137"/>
      <c r="E413" s="137"/>
      <c r="F413" s="509"/>
    </row>
    <row r="414" spans="1:6" ht="30" customHeight="1">
      <c r="A414" s="137"/>
      <c r="B414" s="137"/>
      <c r="C414" s="137"/>
      <c r="D414" s="137"/>
      <c r="E414" s="137"/>
      <c r="F414" s="509"/>
    </row>
    <row r="415" spans="1:6" ht="30" customHeight="1">
      <c r="A415" s="137"/>
      <c r="B415" s="137"/>
      <c r="C415" s="137"/>
      <c r="D415" s="137"/>
      <c r="E415" s="137"/>
      <c r="F415" s="509"/>
    </row>
    <row r="416" spans="1:6" ht="30" customHeight="1">
      <c r="A416" s="137"/>
      <c r="B416" s="137"/>
      <c r="C416" s="137"/>
      <c r="D416" s="137"/>
      <c r="E416" s="137"/>
      <c r="F416" s="509"/>
    </row>
    <row r="417" spans="1:6" ht="30" customHeight="1">
      <c r="A417" s="137"/>
      <c r="B417" s="137"/>
      <c r="C417" s="137"/>
      <c r="D417" s="137"/>
      <c r="E417" s="137"/>
      <c r="F417" s="509"/>
    </row>
    <row r="418" spans="1:6" ht="30" customHeight="1">
      <c r="A418" s="137"/>
      <c r="B418" s="137"/>
      <c r="C418" s="137"/>
      <c r="D418" s="137"/>
      <c r="E418" s="137"/>
      <c r="F418" s="509"/>
    </row>
    <row r="419" spans="1:6" ht="30" customHeight="1">
      <c r="A419" s="137"/>
      <c r="B419" s="137"/>
      <c r="C419" s="137"/>
      <c r="D419" s="137"/>
      <c r="E419" s="137"/>
      <c r="F419" s="509"/>
    </row>
    <row r="420" spans="1:6" ht="30" customHeight="1">
      <c r="A420" s="137"/>
      <c r="B420" s="137"/>
      <c r="C420" s="137"/>
      <c r="D420" s="137"/>
      <c r="E420" s="137"/>
      <c r="F420" s="509"/>
    </row>
    <row r="421" spans="1:6" ht="30" customHeight="1">
      <c r="A421" s="137"/>
      <c r="B421" s="137"/>
      <c r="C421" s="137"/>
      <c r="D421" s="137"/>
      <c r="E421" s="137"/>
      <c r="F421" s="509"/>
    </row>
    <row r="422" spans="1:6" ht="30" customHeight="1">
      <c r="A422" s="137"/>
      <c r="B422" s="137"/>
      <c r="C422" s="137"/>
      <c r="D422" s="137"/>
      <c r="E422" s="137"/>
      <c r="F422" s="509"/>
    </row>
    <row r="423" spans="1:6" ht="30" customHeight="1">
      <c r="A423" s="137"/>
      <c r="B423" s="137"/>
      <c r="C423" s="137"/>
      <c r="D423" s="137"/>
      <c r="E423" s="137"/>
      <c r="F423" s="509"/>
    </row>
    <row r="424" spans="1:6" ht="30" customHeight="1">
      <c r="A424" s="137"/>
      <c r="B424" s="137"/>
      <c r="C424" s="137"/>
      <c r="D424" s="137"/>
      <c r="E424" s="137"/>
      <c r="F424" s="509"/>
    </row>
    <row r="425" spans="1:6" ht="30" customHeight="1">
      <c r="A425" s="137"/>
      <c r="B425" s="137"/>
      <c r="C425" s="137"/>
      <c r="D425" s="137"/>
      <c r="E425" s="137"/>
      <c r="F425" s="509"/>
    </row>
    <row r="426" spans="1:6" ht="30" customHeight="1">
      <c r="A426" s="137"/>
      <c r="B426" s="137"/>
      <c r="C426" s="137"/>
      <c r="D426" s="137"/>
      <c r="E426" s="137"/>
      <c r="F426" s="509"/>
    </row>
    <row r="427" spans="1:6" ht="30" customHeight="1">
      <c r="A427" s="137"/>
      <c r="B427" s="137"/>
      <c r="C427" s="137"/>
      <c r="D427" s="137"/>
      <c r="E427" s="137"/>
      <c r="F427" s="509"/>
    </row>
    <row r="428" spans="1:6" ht="30" customHeight="1">
      <c r="A428" s="137"/>
      <c r="B428" s="137"/>
      <c r="C428" s="137"/>
      <c r="D428" s="137"/>
      <c r="E428" s="137"/>
      <c r="F428" s="509"/>
    </row>
    <row r="429" spans="1:6" ht="30" customHeight="1">
      <c r="A429" s="137"/>
      <c r="B429" s="137"/>
      <c r="C429" s="137"/>
      <c r="D429" s="137"/>
      <c r="E429" s="137"/>
      <c r="F429" s="509"/>
    </row>
    <row r="430" spans="1:6" ht="30" customHeight="1">
      <c r="A430" s="137"/>
      <c r="B430" s="137"/>
      <c r="C430" s="137"/>
      <c r="D430" s="137"/>
      <c r="E430" s="137"/>
      <c r="F430" s="509"/>
    </row>
    <row r="431" spans="1:6" ht="30" customHeight="1">
      <c r="A431" s="137"/>
      <c r="B431" s="137"/>
      <c r="C431" s="137"/>
      <c r="D431" s="137"/>
      <c r="E431" s="137"/>
      <c r="F431" s="509"/>
    </row>
    <row r="432" spans="1:6" ht="30" customHeight="1">
      <c r="A432" s="137"/>
      <c r="B432" s="137"/>
      <c r="C432" s="137"/>
      <c r="D432" s="137"/>
      <c r="E432" s="137"/>
      <c r="F432" s="509"/>
    </row>
    <row r="433" spans="1:6" ht="30" customHeight="1">
      <c r="A433" s="137"/>
      <c r="B433" s="137"/>
      <c r="C433" s="137"/>
      <c r="D433" s="137"/>
      <c r="E433" s="137"/>
      <c r="F433" s="509"/>
    </row>
    <row r="434" spans="1:6" ht="30" customHeight="1">
      <c r="A434" s="137"/>
      <c r="B434" s="137"/>
      <c r="C434" s="137"/>
      <c r="D434" s="137"/>
      <c r="E434" s="137"/>
      <c r="F434" s="509"/>
    </row>
    <row r="435" spans="1:6" ht="30" customHeight="1">
      <c r="A435" s="137"/>
      <c r="B435" s="137"/>
      <c r="C435" s="137"/>
      <c r="D435" s="137"/>
      <c r="E435" s="137"/>
      <c r="F435" s="509"/>
    </row>
    <row r="436" spans="1:6" ht="30" customHeight="1">
      <c r="A436" s="137"/>
      <c r="B436" s="137"/>
      <c r="C436" s="137"/>
      <c r="D436" s="137"/>
      <c r="E436" s="137"/>
      <c r="F436" s="509"/>
    </row>
    <row r="437" spans="1:6" ht="30" customHeight="1">
      <c r="A437" s="137"/>
      <c r="B437" s="137"/>
      <c r="C437" s="137"/>
      <c r="D437" s="137"/>
      <c r="E437" s="137"/>
      <c r="F437" s="509"/>
    </row>
    <row r="438" spans="1:6" ht="30" customHeight="1">
      <c r="A438" s="137"/>
      <c r="B438" s="137"/>
      <c r="C438" s="137"/>
      <c r="D438" s="137"/>
      <c r="E438" s="137"/>
      <c r="F438" s="509"/>
    </row>
    <row r="439" spans="1:6" ht="30" customHeight="1">
      <c r="A439" s="137"/>
      <c r="B439" s="137"/>
      <c r="C439" s="137"/>
      <c r="D439" s="137"/>
      <c r="E439" s="137"/>
      <c r="F439" s="509"/>
    </row>
    <row r="440" spans="1:6" ht="30" customHeight="1">
      <c r="A440" s="137"/>
      <c r="B440" s="137"/>
      <c r="C440" s="137"/>
      <c r="D440" s="137"/>
      <c r="E440" s="137"/>
      <c r="F440" s="509"/>
    </row>
    <row r="441" spans="1:6" ht="30" customHeight="1">
      <c r="A441" s="137"/>
      <c r="B441" s="137"/>
      <c r="C441" s="137"/>
      <c r="D441" s="137"/>
      <c r="E441" s="137"/>
      <c r="F441" s="509"/>
    </row>
    <row r="442" spans="1:6" ht="30" customHeight="1">
      <c r="A442" s="137"/>
      <c r="B442" s="137"/>
      <c r="C442" s="137"/>
      <c r="D442" s="137"/>
      <c r="E442" s="137"/>
      <c r="F442" s="509"/>
    </row>
    <row r="443" spans="1:6" ht="30" customHeight="1">
      <c r="A443" s="137"/>
      <c r="B443" s="137"/>
      <c r="C443" s="137"/>
      <c r="D443" s="137"/>
      <c r="E443" s="137"/>
      <c r="F443" s="509"/>
    </row>
    <row r="444" spans="1:6" ht="30" customHeight="1">
      <c r="A444" s="137"/>
      <c r="B444" s="137"/>
      <c r="C444" s="137"/>
      <c r="D444" s="137"/>
      <c r="E444" s="137"/>
      <c r="F444" s="509"/>
    </row>
    <row r="445" spans="1:6" ht="30" customHeight="1">
      <c r="A445" s="137"/>
      <c r="B445" s="137"/>
      <c r="C445" s="137"/>
      <c r="D445" s="137"/>
      <c r="E445" s="137"/>
      <c r="F445" s="509"/>
    </row>
    <row r="446" spans="1:6" ht="30" customHeight="1">
      <c r="A446" s="137"/>
      <c r="B446" s="137"/>
      <c r="C446" s="137"/>
      <c r="D446" s="137"/>
      <c r="E446" s="137"/>
      <c r="F446" s="509"/>
    </row>
    <row r="447" spans="1:6" ht="30" customHeight="1">
      <c r="A447" s="137"/>
      <c r="B447" s="137"/>
      <c r="C447" s="137"/>
      <c r="D447" s="137"/>
      <c r="E447" s="137"/>
      <c r="F447" s="509"/>
    </row>
    <row r="448" spans="1:6" ht="30" customHeight="1">
      <c r="A448" s="137"/>
      <c r="B448" s="137"/>
      <c r="C448" s="137"/>
      <c r="D448" s="137"/>
      <c r="E448" s="137"/>
      <c r="F448" s="509"/>
    </row>
    <row r="449" spans="1:6" ht="30" customHeight="1">
      <c r="A449" s="137"/>
      <c r="B449" s="137"/>
      <c r="C449" s="137"/>
      <c r="D449" s="137"/>
      <c r="E449" s="137"/>
      <c r="F449" s="509"/>
    </row>
    <row r="450" spans="1:6" ht="30" customHeight="1">
      <c r="A450" s="137"/>
      <c r="B450" s="137"/>
      <c r="C450" s="137"/>
      <c r="D450" s="137"/>
      <c r="E450" s="137"/>
      <c r="F450" s="509"/>
    </row>
    <row r="451" spans="1:6" ht="30" customHeight="1">
      <c r="A451" s="137"/>
      <c r="B451" s="137"/>
      <c r="C451" s="137"/>
      <c r="D451" s="137"/>
      <c r="E451" s="137"/>
      <c r="F451" s="509"/>
    </row>
    <row r="452" spans="1:6" ht="30" customHeight="1">
      <c r="A452" s="137"/>
      <c r="B452" s="137"/>
      <c r="C452" s="137"/>
      <c r="D452" s="137"/>
      <c r="E452" s="137"/>
      <c r="F452" s="509"/>
    </row>
    <row r="453" spans="1:6" ht="30" customHeight="1">
      <c r="A453" s="137"/>
      <c r="B453" s="137"/>
      <c r="C453" s="137"/>
      <c r="D453" s="137"/>
      <c r="E453" s="137"/>
      <c r="F453" s="509"/>
    </row>
    <row r="454" spans="1:6" ht="30" customHeight="1">
      <c r="A454" s="137"/>
      <c r="B454" s="137"/>
      <c r="C454" s="137"/>
      <c r="D454" s="137"/>
      <c r="E454" s="137"/>
      <c r="F454" s="509"/>
    </row>
    <row r="455" spans="1:6" ht="30" customHeight="1">
      <c r="A455" s="137"/>
      <c r="B455" s="137"/>
      <c r="C455" s="137"/>
      <c r="D455" s="137"/>
      <c r="E455" s="137"/>
      <c r="F455" s="509"/>
    </row>
    <row r="456" spans="1:6" ht="30" customHeight="1">
      <c r="A456" s="137"/>
      <c r="B456" s="137"/>
      <c r="C456" s="137"/>
      <c r="D456" s="137"/>
      <c r="E456" s="137"/>
      <c r="F456" s="509"/>
    </row>
    <row r="457" spans="1:6" ht="30" customHeight="1">
      <c r="A457" s="137"/>
      <c r="B457" s="137"/>
      <c r="C457" s="137"/>
      <c r="D457" s="137"/>
      <c r="E457" s="137"/>
      <c r="F457" s="509"/>
    </row>
    <row r="458" spans="1:6" ht="30" customHeight="1">
      <c r="A458" s="137"/>
      <c r="B458" s="137"/>
      <c r="C458" s="137"/>
      <c r="D458" s="137"/>
      <c r="E458" s="137"/>
      <c r="F458" s="509"/>
    </row>
    <row r="459" spans="1:6" ht="30" customHeight="1">
      <c r="A459" s="137"/>
      <c r="B459" s="137"/>
      <c r="C459" s="137"/>
      <c r="D459" s="137"/>
      <c r="E459" s="137"/>
      <c r="F459" s="509"/>
    </row>
    <row r="460" spans="1:6" ht="30" customHeight="1">
      <c r="A460" s="137"/>
      <c r="B460" s="137"/>
      <c r="C460" s="137"/>
      <c r="D460" s="137"/>
      <c r="E460" s="137"/>
      <c r="F460" s="509"/>
    </row>
    <row r="461" spans="1:6" ht="30" customHeight="1">
      <c r="A461" s="137"/>
      <c r="B461" s="137"/>
      <c r="C461" s="137"/>
      <c r="D461" s="137"/>
      <c r="E461" s="137"/>
      <c r="F461" s="509"/>
    </row>
    <row r="462" spans="1:6" ht="30" customHeight="1">
      <c r="A462" s="137"/>
      <c r="B462" s="137"/>
      <c r="C462" s="137"/>
      <c r="D462" s="137"/>
      <c r="E462" s="137"/>
      <c r="F462" s="509"/>
    </row>
    <row r="463" spans="1:6" ht="30" customHeight="1">
      <c r="A463" s="137"/>
      <c r="B463" s="137"/>
      <c r="C463" s="137"/>
      <c r="D463" s="137"/>
      <c r="E463" s="137"/>
      <c r="F463" s="509"/>
    </row>
    <row r="464" spans="1:6" ht="30" customHeight="1">
      <c r="A464" s="137"/>
      <c r="B464" s="137"/>
      <c r="C464" s="137"/>
      <c r="D464" s="137"/>
      <c r="E464" s="137"/>
      <c r="F464" s="509"/>
    </row>
    <row r="465" spans="1:6" ht="30" customHeight="1">
      <c r="A465" s="137"/>
      <c r="B465" s="137"/>
      <c r="C465" s="137"/>
      <c r="D465" s="137"/>
      <c r="E465" s="137"/>
      <c r="F465" s="509"/>
    </row>
    <row r="466" spans="1:6" ht="30" customHeight="1">
      <c r="A466" s="137"/>
      <c r="B466" s="137"/>
      <c r="C466" s="137"/>
      <c r="D466" s="137"/>
      <c r="E466" s="137"/>
      <c r="F466" s="509"/>
    </row>
    <row r="467" spans="1:6" ht="30" customHeight="1">
      <c r="A467" s="137"/>
      <c r="B467" s="137"/>
      <c r="C467" s="137"/>
      <c r="D467" s="137"/>
      <c r="E467" s="137"/>
      <c r="F467" s="509"/>
    </row>
    <row r="468" spans="1:6" ht="30" customHeight="1">
      <c r="A468" s="137"/>
      <c r="B468" s="137"/>
      <c r="C468" s="137"/>
      <c r="D468" s="137"/>
      <c r="E468" s="137"/>
      <c r="F468" s="509"/>
    </row>
    <row r="469" spans="1:6" ht="30" customHeight="1">
      <c r="A469" s="137"/>
      <c r="B469" s="137"/>
      <c r="C469" s="137"/>
      <c r="D469" s="137"/>
      <c r="E469" s="137"/>
      <c r="F469" s="509"/>
    </row>
    <row r="470" spans="1:6" ht="30" customHeight="1">
      <c r="A470" s="137"/>
      <c r="B470" s="137"/>
      <c r="C470" s="137"/>
      <c r="D470" s="137"/>
      <c r="E470" s="137"/>
      <c r="F470" s="509"/>
    </row>
    <row r="471" spans="1:6" ht="30" customHeight="1">
      <c r="A471" s="137"/>
      <c r="B471" s="137"/>
      <c r="C471" s="137"/>
      <c r="D471" s="137"/>
      <c r="E471" s="137"/>
      <c r="F471" s="509"/>
    </row>
    <row r="472" spans="1:6" ht="30" customHeight="1">
      <c r="A472" s="137"/>
      <c r="B472" s="137"/>
      <c r="C472" s="137"/>
      <c r="D472" s="137"/>
      <c r="E472" s="137"/>
      <c r="F472" s="509"/>
    </row>
    <row r="473" spans="1:6" ht="30" customHeight="1">
      <c r="A473" s="137"/>
      <c r="B473" s="137"/>
      <c r="C473" s="137"/>
      <c r="D473" s="137"/>
      <c r="E473" s="137"/>
      <c r="F473" s="509"/>
    </row>
    <row r="474" spans="1:6" ht="30" customHeight="1">
      <c r="A474" s="137"/>
      <c r="B474" s="137"/>
      <c r="C474" s="137"/>
      <c r="D474" s="137"/>
      <c r="E474" s="137"/>
      <c r="F474" s="509"/>
    </row>
    <row r="475" spans="1:6" ht="30" customHeight="1">
      <c r="A475" s="137"/>
      <c r="B475" s="137"/>
      <c r="C475" s="137"/>
      <c r="D475" s="137"/>
      <c r="E475" s="137"/>
      <c r="F475" s="509"/>
    </row>
    <row r="476" spans="1:6" ht="30" customHeight="1">
      <c r="A476" s="137"/>
      <c r="B476" s="137"/>
      <c r="C476" s="137"/>
      <c r="D476" s="137"/>
      <c r="E476" s="137"/>
      <c r="F476" s="509"/>
    </row>
    <row r="477" spans="1:6" ht="30" customHeight="1">
      <c r="A477" s="137"/>
      <c r="B477" s="137"/>
      <c r="C477" s="137"/>
      <c r="D477" s="137"/>
      <c r="E477" s="137"/>
      <c r="F477" s="509"/>
    </row>
    <row r="478" spans="1:6" ht="30" customHeight="1">
      <c r="A478" s="137"/>
      <c r="B478" s="137"/>
      <c r="C478" s="137"/>
      <c r="D478" s="137"/>
      <c r="E478" s="137"/>
      <c r="F478" s="509"/>
    </row>
    <row r="479" spans="1:6" ht="30" customHeight="1">
      <c r="A479" s="137"/>
      <c r="B479" s="137"/>
      <c r="C479" s="137"/>
      <c r="D479" s="137"/>
      <c r="E479" s="137"/>
      <c r="F479" s="509"/>
    </row>
    <row r="480" spans="1:6" ht="30" customHeight="1">
      <c r="A480" s="137"/>
      <c r="B480" s="137"/>
      <c r="C480" s="137"/>
      <c r="D480" s="137"/>
      <c r="E480" s="137"/>
      <c r="F480" s="509"/>
    </row>
    <row r="481" spans="1:6" ht="30" customHeight="1">
      <c r="A481" s="137"/>
      <c r="B481" s="137"/>
      <c r="C481" s="137"/>
      <c r="D481" s="137"/>
      <c r="E481" s="137"/>
      <c r="F481" s="509"/>
    </row>
    <row r="482" spans="1:6" ht="30" customHeight="1">
      <c r="A482" s="137"/>
      <c r="B482" s="137"/>
      <c r="C482" s="137"/>
      <c r="D482" s="137"/>
      <c r="E482" s="137"/>
      <c r="F482" s="509"/>
    </row>
    <row r="483" spans="1:6" ht="30" customHeight="1">
      <c r="A483" s="137"/>
      <c r="B483" s="137"/>
      <c r="C483" s="137"/>
      <c r="D483" s="137"/>
      <c r="E483" s="137"/>
      <c r="F483" s="509"/>
    </row>
    <row r="484" spans="1:6" ht="30" customHeight="1">
      <c r="A484" s="137"/>
      <c r="B484" s="137"/>
      <c r="C484" s="137"/>
      <c r="D484" s="137"/>
      <c r="E484" s="137"/>
      <c r="F484" s="509"/>
    </row>
    <row r="485" spans="1:6" ht="30" customHeight="1">
      <c r="A485" s="137"/>
      <c r="B485" s="137"/>
      <c r="C485" s="137"/>
      <c r="D485" s="137"/>
      <c r="E485" s="137"/>
      <c r="F485" s="509"/>
    </row>
    <row r="486" spans="1:6" ht="30" customHeight="1">
      <c r="A486" s="137"/>
      <c r="B486" s="137"/>
      <c r="C486" s="137"/>
      <c r="D486" s="137"/>
      <c r="E486" s="137"/>
      <c r="F486" s="509"/>
    </row>
    <row r="487" spans="1:6" ht="30" customHeight="1">
      <c r="A487" s="137"/>
      <c r="B487" s="137"/>
      <c r="C487" s="137"/>
      <c r="D487" s="137"/>
      <c r="E487" s="137"/>
      <c r="F487" s="509"/>
    </row>
    <row r="488" spans="1:6" ht="30" customHeight="1">
      <c r="A488" s="137"/>
      <c r="B488" s="137"/>
      <c r="C488" s="137"/>
      <c r="D488" s="137"/>
      <c r="E488" s="137"/>
      <c r="F488" s="509"/>
    </row>
    <row r="489" spans="1:6" ht="30" customHeight="1">
      <c r="A489" s="137"/>
      <c r="B489" s="137"/>
      <c r="C489" s="137"/>
      <c r="D489" s="137"/>
      <c r="E489" s="137"/>
      <c r="F489" s="509"/>
    </row>
    <row r="490" spans="1:6" ht="30" customHeight="1">
      <c r="A490" s="137"/>
      <c r="B490" s="137"/>
      <c r="C490" s="137"/>
      <c r="D490" s="137"/>
      <c r="E490" s="137"/>
      <c r="F490" s="509"/>
    </row>
    <row r="491" spans="1:6" ht="30" customHeight="1">
      <c r="A491" s="137"/>
      <c r="B491" s="137"/>
      <c r="C491" s="137"/>
      <c r="D491" s="137"/>
      <c r="E491" s="137"/>
      <c r="F491" s="509"/>
    </row>
    <row r="492" spans="1:6" ht="30" customHeight="1">
      <c r="A492" s="137"/>
      <c r="B492" s="137"/>
      <c r="C492" s="137"/>
      <c r="D492" s="137"/>
      <c r="E492" s="137"/>
      <c r="F492" s="509"/>
    </row>
    <row r="493" spans="1:6" ht="30" customHeight="1">
      <c r="A493" s="137"/>
      <c r="B493" s="137"/>
      <c r="C493" s="137"/>
      <c r="D493" s="137"/>
      <c r="E493" s="137"/>
      <c r="F493" s="509"/>
    </row>
    <row r="494" spans="1:6" ht="30" customHeight="1">
      <c r="A494" s="137"/>
      <c r="B494" s="137"/>
      <c r="C494" s="137"/>
      <c r="D494" s="137"/>
      <c r="E494" s="137"/>
      <c r="F494" s="509"/>
    </row>
    <row r="495" spans="1:6" ht="30" customHeight="1">
      <c r="A495" s="137"/>
      <c r="B495" s="137"/>
      <c r="C495" s="137"/>
      <c r="D495" s="137"/>
      <c r="E495" s="137"/>
      <c r="F495" s="509"/>
    </row>
    <row r="496" spans="1:6" ht="30" customHeight="1">
      <c r="A496" s="137"/>
      <c r="B496" s="137"/>
      <c r="C496" s="137"/>
      <c r="D496" s="137"/>
      <c r="E496" s="137"/>
      <c r="F496" s="509"/>
    </row>
    <row r="497" spans="1:6" ht="30" customHeight="1">
      <c r="A497" s="137"/>
      <c r="B497" s="137"/>
      <c r="C497" s="137"/>
      <c r="D497" s="137"/>
      <c r="E497" s="137"/>
      <c r="F497" s="509"/>
    </row>
    <row r="498" spans="1:6" ht="30" customHeight="1">
      <c r="A498" s="137"/>
      <c r="B498" s="137"/>
      <c r="C498" s="137"/>
      <c r="D498" s="137"/>
      <c r="E498" s="137"/>
      <c r="F498" s="509"/>
    </row>
    <row r="499" spans="1:6" ht="30" customHeight="1">
      <c r="A499" s="137"/>
      <c r="B499" s="137"/>
      <c r="C499" s="137"/>
      <c r="D499" s="137"/>
      <c r="E499" s="137"/>
      <c r="F499" s="509"/>
    </row>
    <row r="500" spans="1:6" ht="30" customHeight="1">
      <c r="A500" s="137"/>
      <c r="B500" s="137"/>
      <c r="C500" s="137"/>
      <c r="D500" s="137"/>
      <c r="E500" s="137"/>
      <c r="F500" s="509"/>
    </row>
    <row r="501" spans="1:6" ht="30" customHeight="1">
      <c r="A501" s="137"/>
      <c r="B501" s="137"/>
      <c r="C501" s="137"/>
      <c r="D501" s="137"/>
      <c r="E501" s="137"/>
      <c r="F501" s="509"/>
    </row>
    <row r="502" spans="1:6" ht="30" customHeight="1">
      <c r="A502" s="137"/>
      <c r="B502" s="137"/>
      <c r="C502" s="137"/>
      <c r="D502" s="137"/>
      <c r="E502" s="137"/>
      <c r="F502" s="509"/>
    </row>
    <row r="503" spans="1:6" ht="30" customHeight="1">
      <c r="A503" s="137"/>
      <c r="B503" s="137"/>
      <c r="C503" s="137"/>
      <c r="D503" s="137"/>
      <c r="E503" s="137"/>
      <c r="F503" s="509"/>
    </row>
    <row r="504" spans="1:6" ht="30" customHeight="1">
      <c r="A504" s="137"/>
      <c r="B504" s="137"/>
      <c r="C504" s="137"/>
      <c r="D504" s="137"/>
      <c r="E504" s="137"/>
      <c r="F504" s="509"/>
    </row>
    <row r="505" spans="1:6" ht="30" customHeight="1">
      <c r="A505" s="137"/>
      <c r="B505" s="137"/>
      <c r="C505" s="137"/>
      <c r="D505" s="137"/>
      <c r="E505" s="137"/>
      <c r="F505" s="509"/>
    </row>
    <row r="506" spans="1:6" ht="30" customHeight="1">
      <c r="A506" s="137"/>
      <c r="B506" s="137"/>
      <c r="C506" s="137"/>
      <c r="D506" s="137"/>
      <c r="E506" s="137"/>
      <c r="F506" s="509"/>
    </row>
    <row r="507" spans="1:6" ht="30" customHeight="1">
      <c r="A507" s="137"/>
      <c r="B507" s="137"/>
      <c r="C507" s="137"/>
      <c r="D507" s="137"/>
      <c r="E507" s="137"/>
      <c r="F507" s="509"/>
    </row>
    <row r="508" spans="1:6" ht="30" customHeight="1">
      <c r="A508" s="137"/>
      <c r="B508" s="137"/>
      <c r="C508" s="137"/>
      <c r="D508" s="137"/>
      <c r="E508" s="137"/>
      <c r="F508" s="509"/>
    </row>
    <row r="509" spans="1:6" ht="30" customHeight="1">
      <c r="A509" s="137"/>
      <c r="B509" s="137"/>
      <c r="C509" s="137"/>
      <c r="D509" s="137"/>
      <c r="E509" s="137"/>
      <c r="F509" s="509"/>
    </row>
    <row r="510" spans="1:6" ht="30" customHeight="1">
      <c r="A510" s="137"/>
      <c r="B510" s="137"/>
      <c r="C510" s="137"/>
      <c r="D510" s="137"/>
      <c r="E510" s="137"/>
      <c r="F510" s="509"/>
    </row>
    <row r="511" spans="1:6" ht="30" customHeight="1">
      <c r="A511" s="137"/>
      <c r="B511" s="137"/>
      <c r="C511" s="137"/>
      <c r="D511" s="137"/>
      <c r="E511" s="137"/>
      <c r="F511" s="509"/>
    </row>
    <row r="512" spans="1:6" ht="30" customHeight="1">
      <c r="A512" s="137"/>
      <c r="B512" s="137"/>
      <c r="C512" s="137"/>
      <c r="D512" s="137"/>
      <c r="E512" s="137"/>
      <c r="F512" s="509"/>
    </row>
    <row r="513" spans="1:6" ht="30" customHeight="1">
      <c r="A513" s="137"/>
      <c r="B513" s="137"/>
      <c r="C513" s="137"/>
      <c r="D513" s="137"/>
      <c r="E513" s="137"/>
      <c r="F513" s="509"/>
    </row>
    <row r="514" spans="1:6" ht="30" customHeight="1">
      <c r="A514" s="137"/>
      <c r="B514" s="137"/>
      <c r="C514" s="137"/>
      <c r="D514" s="137"/>
      <c r="E514" s="137"/>
      <c r="F514" s="509"/>
    </row>
    <row r="515" spans="1:6" ht="30" customHeight="1">
      <c r="A515" s="137"/>
      <c r="B515" s="137"/>
      <c r="C515" s="137"/>
      <c r="D515" s="137"/>
      <c r="E515" s="137"/>
      <c r="F515" s="509"/>
    </row>
    <row r="516" spans="1:6" ht="30" customHeight="1">
      <c r="A516" s="137"/>
      <c r="B516" s="137"/>
      <c r="C516" s="137"/>
      <c r="D516" s="137"/>
      <c r="E516" s="137"/>
      <c r="F516" s="509"/>
    </row>
    <row r="517" spans="1:6" ht="30" customHeight="1">
      <c r="A517" s="137"/>
      <c r="B517" s="137"/>
      <c r="C517" s="137"/>
      <c r="D517" s="137"/>
      <c r="E517" s="137"/>
      <c r="F517" s="509"/>
    </row>
    <row r="518" spans="1:6" ht="30" customHeight="1">
      <c r="A518" s="137"/>
      <c r="B518" s="137"/>
      <c r="C518" s="137"/>
      <c r="D518" s="137"/>
      <c r="E518" s="137"/>
      <c r="F518" s="509"/>
    </row>
    <row r="519" spans="1:6" ht="30" customHeight="1">
      <c r="A519" s="137"/>
      <c r="B519" s="137"/>
      <c r="C519" s="137"/>
      <c r="D519" s="137"/>
      <c r="E519" s="137"/>
      <c r="F519" s="509"/>
    </row>
    <row r="520" spans="1:6" ht="30" customHeight="1">
      <c r="A520" s="137"/>
      <c r="B520" s="137"/>
      <c r="C520" s="137"/>
      <c r="D520" s="137"/>
      <c r="E520" s="137"/>
      <c r="F520" s="509"/>
    </row>
    <row r="521" spans="1:6" ht="30" customHeight="1">
      <c r="A521" s="137"/>
      <c r="B521" s="137"/>
      <c r="C521" s="137"/>
      <c r="D521" s="137"/>
      <c r="E521" s="137"/>
      <c r="F521" s="509"/>
    </row>
    <row r="522" spans="1:6" ht="30" customHeight="1">
      <c r="A522" s="137"/>
      <c r="B522" s="137"/>
      <c r="C522" s="137"/>
      <c r="D522" s="137"/>
      <c r="E522" s="137"/>
      <c r="F522" s="509"/>
    </row>
    <row r="523" spans="1:6" ht="30" customHeight="1">
      <c r="A523" s="137"/>
      <c r="B523" s="137"/>
      <c r="C523" s="137"/>
      <c r="D523" s="137"/>
      <c r="E523" s="137"/>
      <c r="F523" s="509"/>
    </row>
    <row r="524" spans="1:6" ht="30" customHeight="1">
      <c r="A524" s="137"/>
      <c r="B524" s="137"/>
      <c r="C524" s="137"/>
      <c r="D524" s="137"/>
      <c r="E524" s="137"/>
      <c r="F524" s="509"/>
    </row>
    <row r="525" spans="1:6" ht="30" customHeight="1">
      <c r="A525" s="137"/>
      <c r="B525" s="137"/>
      <c r="C525" s="137"/>
      <c r="D525" s="137"/>
      <c r="E525" s="137"/>
      <c r="F525" s="509"/>
    </row>
    <row r="526" spans="1:6" ht="30" customHeight="1">
      <c r="A526" s="137"/>
      <c r="B526" s="137"/>
      <c r="C526" s="137"/>
      <c r="D526" s="137"/>
      <c r="E526" s="137"/>
      <c r="F526" s="509"/>
    </row>
    <row r="527" spans="1:6" ht="30" customHeight="1">
      <c r="A527" s="137"/>
      <c r="B527" s="137"/>
      <c r="C527" s="137"/>
      <c r="D527" s="137"/>
      <c r="E527" s="137"/>
      <c r="F527" s="509"/>
    </row>
    <row r="528" spans="1:6" ht="30" customHeight="1">
      <c r="A528" s="137"/>
      <c r="B528" s="137"/>
      <c r="C528" s="137"/>
      <c r="D528" s="137"/>
      <c r="E528" s="137"/>
      <c r="F528" s="509"/>
    </row>
    <row r="529" spans="1:6" ht="30" customHeight="1">
      <c r="A529" s="137"/>
      <c r="B529" s="137"/>
      <c r="C529" s="137"/>
      <c r="D529" s="137"/>
      <c r="E529" s="137"/>
      <c r="F529" s="509"/>
    </row>
    <row r="530" spans="1:6" ht="30" customHeight="1">
      <c r="A530" s="137"/>
      <c r="B530" s="137"/>
      <c r="C530" s="137"/>
      <c r="D530" s="137"/>
      <c r="E530" s="137"/>
      <c r="F530" s="509"/>
    </row>
    <row r="531" spans="1:6" ht="30" customHeight="1">
      <c r="A531" s="137"/>
      <c r="B531" s="137"/>
      <c r="C531" s="137"/>
      <c r="D531" s="137"/>
      <c r="E531" s="137"/>
      <c r="F531" s="509"/>
    </row>
    <row r="532" spans="1:6" ht="30" customHeight="1">
      <c r="A532" s="137"/>
      <c r="B532" s="137"/>
      <c r="C532" s="137"/>
      <c r="D532" s="137"/>
      <c r="E532" s="137"/>
      <c r="F532" s="509"/>
    </row>
    <row r="533" spans="1:6" ht="30" customHeight="1">
      <c r="A533" s="137"/>
      <c r="B533" s="137"/>
      <c r="C533" s="137"/>
      <c r="D533" s="137"/>
      <c r="E533" s="137"/>
      <c r="F533" s="509"/>
    </row>
    <row r="534" spans="1:6" ht="30" customHeight="1">
      <c r="A534" s="137"/>
      <c r="B534" s="137"/>
      <c r="C534" s="137"/>
      <c r="D534" s="137"/>
      <c r="E534" s="137"/>
      <c r="F534" s="509"/>
    </row>
    <row r="535" spans="1:6" ht="30" customHeight="1">
      <c r="A535" s="137"/>
      <c r="B535" s="137"/>
      <c r="C535" s="137"/>
      <c r="D535" s="137"/>
      <c r="E535" s="137"/>
      <c r="F535" s="509"/>
    </row>
    <row r="536" spans="1:6" ht="30" customHeight="1">
      <c r="A536" s="137"/>
      <c r="B536" s="137"/>
      <c r="C536" s="137"/>
      <c r="D536" s="137"/>
      <c r="E536" s="137"/>
      <c r="F536" s="509"/>
    </row>
    <row r="537" spans="1:6" ht="30" customHeight="1">
      <c r="A537" s="137"/>
      <c r="B537" s="137"/>
      <c r="C537" s="137"/>
      <c r="D537" s="137"/>
      <c r="E537" s="137"/>
      <c r="F537" s="509"/>
    </row>
    <row r="538" spans="1:6" ht="30" customHeight="1">
      <c r="A538" s="137"/>
      <c r="B538" s="137"/>
      <c r="C538" s="137"/>
      <c r="D538" s="137"/>
      <c r="E538" s="137"/>
      <c r="F538" s="509"/>
    </row>
    <row r="539" spans="1:6" ht="30" customHeight="1">
      <c r="A539" s="137"/>
      <c r="B539" s="137"/>
      <c r="C539" s="137"/>
      <c r="D539" s="137"/>
      <c r="E539" s="137"/>
      <c r="F539" s="509"/>
    </row>
    <row r="540" spans="1:6" ht="30" customHeight="1">
      <c r="A540" s="137"/>
      <c r="B540" s="137"/>
      <c r="C540" s="137"/>
      <c r="D540" s="137"/>
      <c r="E540" s="137"/>
      <c r="F540" s="509"/>
    </row>
    <row r="541" spans="1:6" ht="30" customHeight="1">
      <c r="A541" s="137"/>
      <c r="B541" s="137"/>
      <c r="C541" s="137"/>
      <c r="D541" s="137"/>
      <c r="E541" s="137"/>
      <c r="F541" s="509"/>
    </row>
    <row r="542" spans="1:6" ht="30" customHeight="1">
      <c r="A542" s="137"/>
      <c r="B542" s="137"/>
      <c r="C542" s="137"/>
      <c r="D542" s="137"/>
      <c r="E542" s="137"/>
      <c r="F542" s="509"/>
    </row>
    <row r="543" spans="1:6" ht="30" customHeight="1">
      <c r="A543" s="137"/>
      <c r="B543" s="137"/>
      <c r="C543" s="137"/>
      <c r="D543" s="137"/>
      <c r="E543" s="137"/>
      <c r="F543" s="509"/>
    </row>
    <row r="544" spans="1:6" ht="30" customHeight="1">
      <c r="A544" s="137"/>
      <c r="B544" s="137"/>
      <c r="C544" s="137"/>
      <c r="D544" s="137"/>
      <c r="E544" s="137"/>
      <c r="F544" s="509"/>
    </row>
    <row r="545" spans="1:6" ht="30" customHeight="1">
      <c r="A545" s="137"/>
      <c r="B545" s="137"/>
      <c r="C545" s="137"/>
      <c r="D545" s="137"/>
      <c r="E545" s="137"/>
      <c r="F545" s="509"/>
    </row>
    <row r="546" spans="1:6" ht="30" customHeight="1">
      <c r="A546" s="137"/>
      <c r="B546" s="137"/>
      <c r="C546" s="137"/>
      <c r="D546" s="137"/>
      <c r="E546" s="137"/>
      <c r="F546" s="509"/>
    </row>
    <row r="547" spans="1:6" ht="30" customHeight="1">
      <c r="A547" s="137"/>
      <c r="B547" s="137"/>
      <c r="C547" s="137"/>
      <c r="D547" s="137"/>
      <c r="E547" s="137"/>
      <c r="F547" s="509"/>
    </row>
    <row r="548" spans="1:6" ht="30" customHeight="1">
      <c r="A548" s="137"/>
      <c r="B548" s="137"/>
      <c r="C548" s="137"/>
      <c r="D548" s="137"/>
      <c r="E548" s="137"/>
      <c r="F548" s="509"/>
    </row>
    <row r="549" spans="1:6" ht="30" customHeight="1">
      <c r="A549" s="137"/>
      <c r="B549" s="137"/>
      <c r="C549" s="137"/>
      <c r="D549" s="137"/>
      <c r="E549" s="137"/>
      <c r="F549" s="509"/>
    </row>
    <row r="550" spans="1:6" ht="30" customHeight="1">
      <c r="A550" s="137"/>
      <c r="B550" s="137"/>
      <c r="C550" s="137"/>
      <c r="D550" s="137"/>
      <c r="E550" s="137"/>
      <c r="F550" s="509"/>
    </row>
    <row r="551" spans="1:6" ht="30" customHeight="1">
      <c r="A551" s="137"/>
      <c r="B551" s="137"/>
      <c r="C551" s="137"/>
      <c r="D551" s="137"/>
      <c r="E551" s="137"/>
      <c r="F551" s="509"/>
    </row>
    <row r="552" spans="1:6" ht="30" customHeight="1">
      <c r="A552" s="137"/>
      <c r="B552" s="137"/>
      <c r="C552" s="137"/>
      <c r="D552" s="137"/>
      <c r="E552" s="137"/>
      <c r="F552" s="509"/>
    </row>
    <row r="553" spans="1:6" ht="30" customHeight="1">
      <c r="A553" s="137"/>
      <c r="B553" s="137"/>
      <c r="C553" s="137"/>
      <c r="D553" s="137"/>
      <c r="E553" s="137"/>
      <c r="F553" s="509"/>
    </row>
    <row r="554" spans="1:6" ht="30" customHeight="1">
      <c r="A554" s="137"/>
      <c r="B554" s="137"/>
      <c r="C554" s="137"/>
      <c r="D554" s="137"/>
      <c r="E554" s="137"/>
      <c r="F554" s="509"/>
    </row>
    <row r="555" spans="1:6" ht="30" customHeight="1">
      <c r="A555" s="137"/>
      <c r="B555" s="137"/>
      <c r="C555" s="137"/>
      <c r="D555" s="137"/>
      <c r="E555" s="137"/>
      <c r="F555" s="509"/>
    </row>
    <row r="556" spans="1:6" ht="30" customHeight="1">
      <c r="A556" s="137"/>
      <c r="B556" s="137"/>
      <c r="C556" s="137"/>
      <c r="D556" s="137"/>
      <c r="E556" s="137"/>
      <c r="F556" s="509"/>
    </row>
    <row r="557" spans="1:6" ht="30" customHeight="1">
      <c r="A557" s="137"/>
      <c r="B557" s="137"/>
      <c r="C557" s="137"/>
      <c r="D557" s="137"/>
      <c r="E557" s="137"/>
      <c r="F557" s="509"/>
    </row>
    <row r="558" spans="1:6" ht="30" customHeight="1">
      <c r="A558" s="137"/>
      <c r="B558" s="137"/>
      <c r="C558" s="137"/>
      <c r="D558" s="137"/>
      <c r="E558" s="137"/>
      <c r="F558" s="509"/>
    </row>
    <row r="559" spans="1:6" ht="30" customHeight="1">
      <c r="A559" s="137"/>
      <c r="B559" s="137"/>
      <c r="C559" s="137"/>
      <c r="D559" s="137"/>
      <c r="E559" s="137"/>
      <c r="F559" s="509"/>
    </row>
    <row r="560" spans="1:6" ht="30" customHeight="1">
      <c r="A560" s="137"/>
      <c r="B560" s="137"/>
      <c r="C560" s="137"/>
      <c r="D560" s="137"/>
      <c r="E560" s="137"/>
      <c r="F560" s="509"/>
    </row>
    <row r="561" spans="1:6" ht="30" customHeight="1">
      <c r="A561" s="137"/>
      <c r="B561" s="137"/>
      <c r="C561" s="137"/>
      <c r="D561" s="137"/>
      <c r="E561" s="137"/>
      <c r="F561" s="509"/>
    </row>
    <row r="562" spans="1:6" ht="30" customHeight="1">
      <c r="A562" s="137"/>
      <c r="B562" s="137"/>
      <c r="C562" s="137"/>
      <c r="D562" s="137"/>
      <c r="E562" s="137"/>
      <c r="F562" s="509"/>
    </row>
    <row r="563" spans="1:6" ht="30" customHeight="1">
      <c r="A563" s="137"/>
      <c r="B563" s="137"/>
      <c r="C563" s="137"/>
      <c r="D563" s="137"/>
      <c r="E563" s="137"/>
      <c r="F563" s="509"/>
    </row>
    <row r="564" spans="1:6" ht="30" customHeight="1">
      <c r="A564" s="137"/>
      <c r="B564" s="137"/>
      <c r="C564" s="137"/>
      <c r="D564" s="137"/>
      <c r="E564" s="137"/>
      <c r="F564" s="509"/>
    </row>
    <row r="565" spans="1:6" ht="30" customHeight="1">
      <c r="A565" s="137"/>
      <c r="B565" s="137"/>
      <c r="C565" s="137"/>
      <c r="D565" s="137"/>
      <c r="E565" s="137"/>
      <c r="F565" s="509"/>
    </row>
    <row r="566" spans="1:6" ht="30" customHeight="1">
      <c r="A566" s="137"/>
      <c r="B566" s="137"/>
      <c r="C566" s="137"/>
      <c r="D566" s="137"/>
      <c r="E566" s="137"/>
      <c r="F566" s="509"/>
    </row>
    <row r="567" spans="1:6" ht="30" customHeight="1">
      <c r="A567" s="137"/>
      <c r="B567" s="137"/>
      <c r="C567" s="137"/>
      <c r="D567" s="137"/>
      <c r="E567" s="137"/>
      <c r="F567" s="509"/>
    </row>
    <row r="568" spans="1:6" ht="30" customHeight="1">
      <c r="A568" s="137"/>
      <c r="B568" s="137"/>
      <c r="C568" s="137"/>
      <c r="D568" s="137"/>
      <c r="E568" s="137"/>
      <c r="F568" s="509"/>
    </row>
    <row r="569" spans="1:6" ht="30" customHeight="1">
      <c r="A569" s="137"/>
      <c r="B569" s="137"/>
      <c r="C569" s="137"/>
      <c r="D569" s="137"/>
      <c r="E569" s="137"/>
      <c r="F569" s="509"/>
    </row>
    <row r="570" spans="1:6" ht="30" customHeight="1">
      <c r="A570" s="137"/>
      <c r="B570" s="137"/>
      <c r="C570" s="137"/>
      <c r="D570" s="137"/>
      <c r="E570" s="137"/>
      <c r="F570" s="509"/>
    </row>
    <row r="571" spans="1:6" ht="30" customHeight="1">
      <c r="A571" s="137"/>
      <c r="B571" s="137"/>
      <c r="C571" s="137"/>
      <c r="D571" s="137"/>
      <c r="E571" s="137"/>
      <c r="F571" s="509"/>
    </row>
    <row r="572" spans="1:6" ht="30" customHeight="1">
      <c r="A572" s="137"/>
      <c r="B572" s="137"/>
      <c r="C572" s="137"/>
      <c r="D572" s="137"/>
      <c r="E572" s="137"/>
      <c r="F572" s="509"/>
    </row>
    <row r="573" spans="1:6" ht="30" customHeight="1">
      <c r="A573" s="137"/>
      <c r="B573" s="137"/>
      <c r="C573" s="137"/>
      <c r="D573" s="137"/>
      <c r="E573" s="137"/>
      <c r="F573" s="509"/>
    </row>
    <row r="574" spans="1:6" ht="30" customHeight="1">
      <c r="A574" s="137"/>
      <c r="B574" s="137"/>
      <c r="C574" s="137"/>
      <c r="D574" s="137"/>
      <c r="E574" s="137"/>
      <c r="F574" s="509"/>
    </row>
    <row r="575" spans="1:6" ht="30" customHeight="1">
      <c r="A575" s="137"/>
      <c r="B575" s="137"/>
      <c r="C575" s="137"/>
      <c r="D575" s="137"/>
      <c r="E575" s="137"/>
      <c r="F575" s="509"/>
    </row>
    <row r="576" spans="1:6" ht="30" customHeight="1">
      <c r="A576" s="137"/>
      <c r="B576" s="137"/>
      <c r="C576" s="137"/>
      <c r="D576" s="137"/>
      <c r="E576" s="137"/>
      <c r="F576" s="509"/>
    </row>
    <row r="577" spans="1:6" ht="30" customHeight="1">
      <c r="A577" s="137"/>
      <c r="B577" s="137"/>
      <c r="C577" s="137"/>
      <c r="D577" s="137"/>
      <c r="E577" s="137"/>
      <c r="F577" s="509"/>
    </row>
    <row r="578" spans="1:6" ht="30" customHeight="1">
      <c r="A578" s="137"/>
      <c r="B578" s="137"/>
      <c r="C578" s="137"/>
      <c r="D578" s="137"/>
      <c r="E578" s="137"/>
      <c r="F578" s="509"/>
    </row>
    <row r="579" spans="1:6" ht="30" customHeight="1">
      <c r="A579" s="137"/>
      <c r="B579" s="137"/>
      <c r="C579" s="137"/>
      <c r="D579" s="137"/>
      <c r="E579" s="137"/>
      <c r="F579" s="509"/>
    </row>
    <row r="580" spans="1:6" ht="30" customHeight="1">
      <c r="A580" s="137"/>
      <c r="B580" s="137"/>
      <c r="C580" s="137"/>
      <c r="D580" s="137"/>
      <c r="E580" s="137"/>
      <c r="F580" s="509"/>
    </row>
    <row r="581" spans="1:6" ht="30" customHeight="1">
      <c r="A581" s="137"/>
      <c r="B581" s="137"/>
      <c r="C581" s="137"/>
      <c r="D581" s="137"/>
      <c r="E581" s="137"/>
      <c r="F581" s="509"/>
    </row>
    <row r="582" spans="1:6" ht="30" customHeight="1">
      <c r="A582" s="137"/>
      <c r="B582" s="137"/>
      <c r="C582" s="137"/>
      <c r="D582" s="137"/>
      <c r="E582" s="137"/>
      <c r="F582" s="509"/>
    </row>
    <row r="583" spans="1:6" ht="30" customHeight="1">
      <c r="A583" s="137"/>
      <c r="B583" s="137"/>
      <c r="C583" s="137"/>
      <c r="D583" s="137"/>
      <c r="E583" s="137"/>
      <c r="F583" s="509"/>
    </row>
    <row r="584" spans="1:6" ht="30" customHeight="1">
      <c r="A584" s="137"/>
      <c r="B584" s="137"/>
      <c r="C584" s="137"/>
      <c r="D584" s="137"/>
      <c r="E584" s="137"/>
      <c r="F584" s="509"/>
    </row>
    <row r="585" spans="1:6" ht="30" customHeight="1">
      <c r="A585" s="137"/>
      <c r="B585" s="137"/>
      <c r="C585" s="137"/>
      <c r="D585" s="137"/>
      <c r="E585" s="137"/>
      <c r="F585" s="509"/>
    </row>
    <row r="586" spans="1:6" ht="30" customHeight="1">
      <c r="A586" s="137"/>
      <c r="B586" s="137"/>
      <c r="C586" s="137"/>
      <c r="D586" s="137"/>
      <c r="E586" s="137"/>
      <c r="F586" s="509"/>
    </row>
    <row r="587" spans="1:6" ht="30" customHeight="1">
      <c r="A587" s="137"/>
      <c r="B587" s="137"/>
      <c r="C587" s="137"/>
      <c r="D587" s="137"/>
      <c r="E587" s="137"/>
      <c r="F587" s="509"/>
    </row>
    <row r="588" spans="1:6" ht="30" customHeight="1">
      <c r="A588" s="137"/>
      <c r="B588" s="137"/>
      <c r="C588" s="137"/>
      <c r="D588" s="137"/>
      <c r="E588" s="137"/>
      <c r="F588" s="509"/>
    </row>
    <row r="589" spans="1:6" ht="30" customHeight="1">
      <c r="A589" s="137"/>
      <c r="B589" s="137"/>
      <c r="C589" s="137"/>
      <c r="D589" s="137"/>
      <c r="E589" s="137"/>
      <c r="F589" s="509"/>
    </row>
    <row r="590" spans="1:6" ht="30" customHeight="1">
      <c r="A590" s="137"/>
      <c r="B590" s="137"/>
      <c r="C590" s="137"/>
      <c r="D590" s="137"/>
      <c r="E590" s="137"/>
      <c r="F590" s="509"/>
    </row>
    <row r="591" spans="1:6" ht="30" customHeight="1">
      <c r="A591" s="137"/>
      <c r="B591" s="137"/>
      <c r="C591" s="137"/>
      <c r="D591" s="137"/>
      <c r="E591" s="137"/>
      <c r="F591" s="509"/>
    </row>
    <row r="592" spans="1:6" ht="30" customHeight="1">
      <c r="A592" s="137"/>
      <c r="B592" s="137"/>
      <c r="C592" s="137"/>
      <c r="D592" s="137"/>
      <c r="E592" s="137"/>
      <c r="F592" s="509"/>
    </row>
    <row r="593" spans="1:6" ht="30" customHeight="1">
      <c r="A593" s="137"/>
      <c r="B593" s="137"/>
      <c r="C593" s="137"/>
      <c r="D593" s="137"/>
      <c r="E593" s="137"/>
      <c r="F593" s="509"/>
    </row>
    <row r="594" spans="1:6" ht="30" customHeight="1">
      <c r="A594" s="137"/>
      <c r="B594" s="137"/>
      <c r="C594" s="137"/>
      <c r="D594" s="137"/>
      <c r="E594" s="137"/>
      <c r="F594" s="509"/>
    </row>
    <row r="595" spans="1:6" ht="30" customHeight="1">
      <c r="A595" s="137"/>
      <c r="B595" s="137"/>
      <c r="C595" s="137"/>
      <c r="D595" s="137"/>
      <c r="E595" s="137"/>
      <c r="F595" s="509"/>
    </row>
    <row r="596" spans="1:6" ht="30" customHeight="1">
      <c r="A596" s="137"/>
      <c r="B596" s="137"/>
      <c r="C596" s="137"/>
      <c r="D596" s="137"/>
      <c r="E596" s="137"/>
      <c r="F596" s="509"/>
    </row>
    <row r="597" spans="1:6" ht="30" customHeight="1">
      <c r="A597" s="137"/>
      <c r="B597" s="137"/>
      <c r="C597" s="137"/>
      <c r="D597" s="137"/>
      <c r="E597" s="137"/>
      <c r="F597" s="509"/>
    </row>
    <row r="598" spans="1:6" ht="30" customHeight="1">
      <c r="A598" s="137"/>
      <c r="B598" s="137"/>
      <c r="C598" s="137"/>
      <c r="D598" s="137"/>
      <c r="E598" s="137"/>
      <c r="F598" s="509"/>
    </row>
    <row r="599" spans="1:6" ht="30" customHeight="1">
      <c r="A599" s="137"/>
      <c r="B599" s="137"/>
      <c r="C599" s="137"/>
      <c r="D599" s="137"/>
      <c r="E599" s="137"/>
      <c r="F599" s="509"/>
    </row>
    <row r="600" spans="1:6" ht="30" customHeight="1">
      <c r="A600" s="137"/>
      <c r="B600" s="137"/>
      <c r="C600" s="137"/>
      <c r="D600" s="137"/>
      <c r="E600" s="137"/>
      <c r="F600" s="509"/>
    </row>
    <row r="601" spans="1:6" ht="30" customHeight="1">
      <c r="A601" s="137"/>
      <c r="B601" s="137"/>
      <c r="C601" s="137"/>
      <c r="D601" s="137"/>
      <c r="E601" s="137"/>
      <c r="F601" s="509"/>
    </row>
    <row r="602" spans="1:6" ht="30" customHeight="1">
      <c r="A602" s="137"/>
      <c r="B602" s="137"/>
      <c r="C602" s="137"/>
      <c r="D602" s="137"/>
      <c r="E602" s="137"/>
      <c r="F602" s="509"/>
    </row>
    <row r="603" spans="1:6" ht="30" customHeight="1">
      <c r="A603" s="137"/>
      <c r="B603" s="137"/>
      <c r="C603" s="137"/>
      <c r="D603" s="137"/>
      <c r="E603" s="137"/>
      <c r="F603" s="509"/>
    </row>
    <row r="604" spans="1:6" ht="30" customHeight="1">
      <c r="A604" s="137"/>
      <c r="B604" s="137"/>
      <c r="C604" s="137"/>
      <c r="D604" s="137"/>
      <c r="E604" s="137"/>
      <c r="F604" s="509"/>
    </row>
    <row r="605" spans="1:6" ht="30" customHeight="1">
      <c r="A605" s="137"/>
      <c r="B605" s="137"/>
      <c r="C605" s="137"/>
      <c r="D605" s="137"/>
      <c r="E605" s="137"/>
      <c r="F605" s="509"/>
    </row>
    <row r="606" spans="1:6" ht="30" customHeight="1">
      <c r="A606" s="137"/>
      <c r="B606" s="137"/>
      <c r="C606" s="137"/>
      <c r="D606" s="137"/>
      <c r="E606" s="137"/>
      <c r="F606" s="509"/>
    </row>
    <row r="607" spans="1:6" ht="30" customHeight="1">
      <c r="A607" s="137"/>
      <c r="B607" s="137"/>
      <c r="C607" s="137"/>
      <c r="D607" s="137"/>
      <c r="E607" s="137"/>
      <c r="F607" s="509"/>
    </row>
    <row r="608" spans="1:6" ht="30" customHeight="1">
      <c r="A608" s="137"/>
      <c r="B608" s="137"/>
      <c r="C608" s="137"/>
      <c r="D608" s="137"/>
      <c r="E608" s="137"/>
      <c r="F608" s="509"/>
    </row>
    <row r="609" spans="1:6" ht="30" customHeight="1">
      <c r="A609" s="137"/>
      <c r="B609" s="137"/>
      <c r="C609" s="137"/>
      <c r="D609" s="137"/>
      <c r="E609" s="137"/>
      <c r="F609" s="509"/>
    </row>
    <row r="610" spans="1:6" ht="30" customHeight="1">
      <c r="A610" s="137"/>
      <c r="B610" s="137"/>
      <c r="C610" s="137"/>
      <c r="D610" s="137"/>
      <c r="E610" s="137"/>
      <c r="F610" s="509"/>
    </row>
    <row r="611" spans="1:6" ht="30" customHeight="1">
      <c r="A611" s="137"/>
      <c r="B611" s="137"/>
      <c r="C611" s="137"/>
      <c r="D611" s="137"/>
      <c r="E611" s="137"/>
      <c r="F611" s="509"/>
    </row>
    <row r="612" spans="1:6" ht="30" customHeight="1">
      <c r="A612" s="137"/>
      <c r="B612" s="137"/>
      <c r="C612" s="137"/>
      <c r="D612" s="137"/>
      <c r="E612" s="137"/>
      <c r="F612" s="509"/>
    </row>
    <row r="613" spans="1:6" ht="30" customHeight="1">
      <c r="A613" s="137"/>
      <c r="B613" s="137"/>
      <c r="C613" s="137"/>
      <c r="D613" s="137"/>
      <c r="E613" s="137"/>
      <c r="F613" s="509"/>
    </row>
    <row r="614" spans="1:6" ht="30" customHeight="1">
      <c r="A614" s="137"/>
      <c r="B614" s="137"/>
      <c r="C614" s="137"/>
      <c r="D614" s="137"/>
      <c r="E614" s="137"/>
      <c r="F614" s="509"/>
    </row>
    <row r="615" spans="1:6" ht="30" customHeight="1">
      <c r="A615" s="137"/>
      <c r="B615" s="137"/>
      <c r="C615" s="137"/>
      <c r="D615" s="137"/>
      <c r="E615" s="137"/>
      <c r="F615" s="509"/>
    </row>
    <row r="616" spans="1:6" ht="30" customHeight="1">
      <c r="A616" s="137"/>
      <c r="B616" s="137"/>
      <c r="C616" s="137"/>
      <c r="D616" s="137"/>
      <c r="E616" s="137"/>
      <c r="F616" s="509"/>
    </row>
    <row r="617" spans="1:6" ht="30" customHeight="1">
      <c r="A617" s="137"/>
      <c r="B617" s="137"/>
      <c r="C617" s="137"/>
      <c r="D617" s="137"/>
      <c r="E617" s="137"/>
      <c r="F617" s="509"/>
    </row>
    <row r="618" spans="1:6" ht="30" customHeight="1">
      <c r="A618" s="137"/>
      <c r="B618" s="137"/>
      <c r="C618" s="137"/>
      <c r="D618" s="137"/>
      <c r="E618" s="137"/>
      <c r="F618" s="509"/>
    </row>
    <row r="619" spans="1:6" ht="30" customHeight="1">
      <c r="A619" s="137"/>
      <c r="B619" s="137"/>
      <c r="C619" s="137"/>
      <c r="D619" s="137"/>
      <c r="E619" s="137"/>
      <c r="F619" s="509"/>
    </row>
    <row r="620" spans="1:6" ht="30" customHeight="1">
      <c r="A620" s="137"/>
      <c r="B620" s="137"/>
      <c r="C620" s="137"/>
      <c r="D620" s="137"/>
      <c r="E620" s="137"/>
      <c r="F620" s="509"/>
    </row>
    <row r="621" spans="1:6" ht="30" customHeight="1">
      <c r="A621" s="137"/>
      <c r="B621" s="137"/>
      <c r="C621" s="137"/>
      <c r="D621" s="137"/>
      <c r="E621" s="137"/>
      <c r="F621" s="509"/>
    </row>
    <row r="622" spans="1:6" ht="30" customHeight="1">
      <c r="A622" s="137"/>
      <c r="B622" s="137"/>
      <c r="C622" s="137"/>
      <c r="D622" s="137"/>
      <c r="E622" s="137"/>
      <c r="F622" s="509"/>
    </row>
    <row r="623" spans="1:6" ht="30" customHeight="1">
      <c r="A623" s="137"/>
      <c r="B623" s="137"/>
      <c r="C623" s="137"/>
      <c r="D623" s="137"/>
      <c r="E623" s="137"/>
      <c r="F623" s="509"/>
    </row>
    <row r="624" spans="1:6" ht="30" customHeight="1">
      <c r="A624" s="137"/>
      <c r="B624" s="137"/>
      <c r="C624" s="137"/>
      <c r="D624" s="137"/>
      <c r="E624" s="137"/>
      <c r="F624" s="509"/>
    </row>
    <row r="625" spans="1:6" ht="30" customHeight="1">
      <c r="A625" s="137"/>
      <c r="B625" s="137"/>
      <c r="C625" s="137"/>
      <c r="D625" s="137"/>
      <c r="E625" s="137"/>
      <c r="F625" s="509"/>
    </row>
    <row r="626" spans="1:6" ht="30" customHeight="1">
      <c r="A626" s="137"/>
      <c r="B626" s="137"/>
      <c r="C626" s="137"/>
      <c r="D626" s="137"/>
      <c r="E626" s="137"/>
      <c r="F626" s="509"/>
    </row>
    <row r="627" spans="1:6" ht="30" customHeight="1">
      <c r="A627" s="137"/>
      <c r="B627" s="137"/>
      <c r="C627" s="137"/>
      <c r="D627" s="137"/>
      <c r="E627" s="137"/>
      <c r="F627" s="509"/>
    </row>
    <row r="628" spans="1:6" ht="30" customHeight="1">
      <c r="A628" s="137"/>
      <c r="B628" s="137"/>
      <c r="C628" s="137"/>
      <c r="D628" s="137"/>
      <c r="E628" s="137"/>
      <c r="F628" s="509"/>
    </row>
    <row r="629" spans="1:6" ht="30" customHeight="1">
      <c r="A629" s="137"/>
      <c r="B629" s="137"/>
      <c r="C629" s="137"/>
      <c r="D629" s="137"/>
      <c r="E629" s="137"/>
      <c r="F629" s="509"/>
    </row>
    <row r="630" spans="1:6" ht="30" customHeight="1">
      <c r="A630" s="137"/>
      <c r="B630" s="137"/>
      <c r="C630" s="137"/>
      <c r="D630" s="137"/>
      <c r="E630" s="137"/>
      <c r="F630" s="509"/>
    </row>
    <row r="631" spans="1:6" ht="30" customHeight="1">
      <c r="A631" s="137"/>
      <c r="B631" s="137"/>
      <c r="C631" s="137"/>
      <c r="D631" s="137"/>
      <c r="E631" s="137"/>
      <c r="F631" s="509"/>
    </row>
    <row r="632" spans="1:6" ht="30" customHeight="1">
      <c r="A632" s="137"/>
      <c r="B632" s="137"/>
      <c r="C632" s="137"/>
      <c r="D632" s="137"/>
      <c r="E632" s="137"/>
      <c r="F632" s="509"/>
    </row>
    <row r="633" spans="1:6" ht="30" customHeight="1">
      <c r="A633" s="137"/>
      <c r="B633" s="137"/>
      <c r="C633" s="137"/>
      <c r="D633" s="137"/>
      <c r="E633" s="137"/>
      <c r="F633" s="509"/>
    </row>
    <row r="634" spans="1:6" ht="30" customHeight="1">
      <c r="A634" s="137"/>
      <c r="B634" s="137"/>
      <c r="C634" s="137"/>
      <c r="D634" s="137"/>
      <c r="E634" s="137"/>
      <c r="F634" s="509"/>
    </row>
    <row r="635" spans="1:6" ht="30" customHeight="1">
      <c r="A635" s="137"/>
      <c r="B635" s="137"/>
      <c r="C635" s="137"/>
      <c r="D635" s="137"/>
      <c r="E635" s="137"/>
      <c r="F635" s="509"/>
    </row>
    <row r="636" spans="1:6" ht="30" customHeight="1">
      <c r="A636" s="137"/>
      <c r="B636" s="137"/>
      <c r="C636" s="137"/>
      <c r="D636" s="137"/>
      <c r="E636" s="137"/>
      <c r="F636" s="509"/>
    </row>
    <row r="637" spans="1:6" ht="30" customHeight="1">
      <c r="A637" s="137"/>
      <c r="B637" s="137"/>
      <c r="C637" s="137"/>
      <c r="D637" s="137"/>
      <c r="E637" s="137"/>
      <c r="F637" s="509"/>
    </row>
    <row r="638" spans="1:6" ht="30" customHeight="1">
      <c r="A638" s="137"/>
      <c r="B638" s="137"/>
      <c r="C638" s="137"/>
      <c r="D638" s="137"/>
      <c r="E638" s="137"/>
      <c r="F638" s="509"/>
    </row>
    <row r="639" spans="1:6" ht="30" customHeight="1">
      <c r="A639" s="137"/>
      <c r="B639" s="137"/>
      <c r="C639" s="137"/>
      <c r="D639" s="137"/>
      <c r="E639" s="137"/>
      <c r="F639" s="509"/>
    </row>
    <row r="640" spans="1:6" ht="30" customHeight="1">
      <c r="A640" s="137"/>
      <c r="B640" s="137"/>
      <c r="C640" s="137"/>
      <c r="D640" s="137"/>
      <c r="E640" s="137"/>
      <c r="F640" s="509"/>
    </row>
    <row r="641" spans="1:6" ht="30" customHeight="1">
      <c r="A641" s="137"/>
      <c r="B641" s="137"/>
      <c r="C641" s="137"/>
      <c r="D641" s="137"/>
      <c r="E641" s="137"/>
      <c r="F641" s="509"/>
    </row>
    <row r="642" spans="1:6" ht="30" customHeight="1">
      <c r="A642" s="137"/>
      <c r="B642" s="137"/>
      <c r="C642" s="137"/>
      <c r="D642" s="137"/>
      <c r="E642" s="137"/>
      <c r="F642" s="509"/>
    </row>
    <row r="643" spans="1:6" ht="30" customHeight="1">
      <c r="A643" s="137"/>
      <c r="B643" s="137"/>
      <c r="C643" s="137"/>
      <c r="D643" s="137"/>
      <c r="E643" s="137"/>
      <c r="F643" s="509"/>
    </row>
    <row r="644" spans="1:6" ht="30" customHeight="1">
      <c r="A644" s="137"/>
      <c r="B644" s="137"/>
      <c r="C644" s="137"/>
      <c r="D644" s="137"/>
      <c r="E644" s="137"/>
      <c r="F644" s="509"/>
    </row>
    <row r="645" spans="1:6" ht="30" customHeight="1">
      <c r="A645" s="137"/>
      <c r="B645" s="137"/>
      <c r="C645" s="137"/>
      <c r="D645" s="137"/>
      <c r="E645" s="137"/>
      <c r="F645" s="509"/>
    </row>
    <row r="646" spans="1:6" ht="30" customHeight="1">
      <c r="A646" s="137"/>
      <c r="B646" s="137"/>
      <c r="C646" s="137"/>
      <c r="D646" s="137"/>
      <c r="E646" s="137"/>
      <c r="F646" s="509"/>
    </row>
    <row r="647" spans="1:6" ht="30" customHeight="1">
      <c r="A647" s="137"/>
      <c r="B647" s="137"/>
      <c r="C647" s="137"/>
      <c r="D647" s="137"/>
      <c r="E647" s="137"/>
      <c r="F647" s="509"/>
    </row>
    <row r="648" spans="1:6" ht="30" customHeight="1">
      <c r="A648" s="137"/>
      <c r="B648" s="137"/>
      <c r="C648" s="137"/>
      <c r="D648" s="137"/>
      <c r="E648" s="137"/>
      <c r="F648" s="509"/>
    </row>
    <row r="649" spans="1:6" ht="30" customHeight="1">
      <c r="A649" s="137"/>
      <c r="B649" s="137"/>
      <c r="C649" s="137"/>
      <c r="D649" s="137"/>
      <c r="E649" s="137"/>
      <c r="F649" s="509"/>
    </row>
    <row r="650" spans="1:6" ht="30" customHeight="1">
      <c r="A650" s="137"/>
      <c r="B650" s="137"/>
      <c r="C650" s="137"/>
      <c r="D650" s="137"/>
      <c r="E650" s="137"/>
      <c r="F650" s="509"/>
    </row>
    <row r="651" spans="1:6" ht="30" customHeight="1">
      <c r="A651" s="137"/>
      <c r="B651" s="137"/>
      <c r="C651" s="137"/>
      <c r="D651" s="137"/>
      <c r="E651" s="137"/>
      <c r="F651" s="509"/>
    </row>
    <row r="652" spans="1:6" ht="30" customHeight="1">
      <c r="A652" s="137"/>
      <c r="B652" s="137"/>
      <c r="C652" s="137"/>
      <c r="D652" s="137"/>
      <c r="E652" s="137"/>
      <c r="F652" s="509"/>
    </row>
    <row r="653" spans="1:6" ht="30" customHeight="1">
      <c r="A653" s="137"/>
      <c r="B653" s="137"/>
      <c r="C653" s="137"/>
      <c r="D653" s="137"/>
      <c r="E653" s="137"/>
      <c r="F653" s="509"/>
    </row>
    <row r="654" spans="1:6" ht="30" customHeight="1">
      <c r="A654" s="137"/>
      <c r="B654" s="137"/>
      <c r="C654" s="137"/>
      <c r="D654" s="137"/>
      <c r="E654" s="137"/>
      <c r="F654" s="509"/>
    </row>
    <row r="655" spans="1:6" ht="30" customHeight="1">
      <c r="A655" s="137"/>
      <c r="B655" s="137"/>
      <c r="C655" s="137"/>
      <c r="D655" s="137"/>
      <c r="E655" s="137"/>
      <c r="F655" s="509"/>
    </row>
    <row r="656" spans="1:6" ht="30" customHeight="1">
      <c r="A656" s="137"/>
      <c r="B656" s="137"/>
      <c r="C656" s="137"/>
      <c r="D656" s="137"/>
      <c r="E656" s="137"/>
      <c r="F656" s="509"/>
    </row>
    <row r="657" spans="1:6" ht="30" customHeight="1">
      <c r="A657" s="137"/>
      <c r="B657" s="137"/>
      <c r="C657" s="137"/>
      <c r="D657" s="137"/>
      <c r="E657" s="137"/>
      <c r="F657" s="509"/>
    </row>
    <row r="658" spans="1:6" ht="30" customHeight="1">
      <c r="A658" s="137"/>
      <c r="B658" s="137"/>
      <c r="C658" s="137"/>
      <c r="D658" s="137"/>
      <c r="E658" s="137"/>
      <c r="F658" s="509"/>
    </row>
    <row r="659" spans="1:6" ht="30" customHeight="1">
      <c r="A659" s="137"/>
      <c r="B659" s="137"/>
      <c r="C659" s="137"/>
      <c r="D659" s="137"/>
      <c r="E659" s="137"/>
      <c r="F659" s="509"/>
    </row>
    <row r="660" spans="1:6" ht="30" customHeight="1">
      <c r="A660" s="137"/>
      <c r="B660" s="137"/>
      <c r="C660" s="137"/>
      <c r="D660" s="137"/>
      <c r="E660" s="137"/>
      <c r="F660" s="509"/>
    </row>
    <row r="661" spans="1:6" ht="30" customHeight="1">
      <c r="A661" s="137"/>
      <c r="B661" s="137"/>
      <c r="C661" s="137"/>
      <c r="D661" s="137"/>
      <c r="E661" s="137"/>
      <c r="F661" s="509"/>
    </row>
    <row r="662" spans="1:6" ht="30" customHeight="1">
      <c r="A662" s="137"/>
      <c r="B662" s="137"/>
      <c r="C662" s="137"/>
      <c r="D662" s="137"/>
      <c r="E662" s="137"/>
      <c r="F662" s="509"/>
    </row>
    <row r="663" spans="1:6" ht="30" customHeight="1">
      <c r="A663" s="137"/>
      <c r="B663" s="137"/>
      <c r="C663" s="137"/>
      <c r="D663" s="137"/>
      <c r="E663" s="137"/>
      <c r="F663" s="509"/>
    </row>
    <row r="664" spans="1:6" ht="30" customHeight="1">
      <c r="A664" s="137"/>
      <c r="B664" s="137"/>
      <c r="C664" s="137"/>
      <c r="D664" s="137"/>
      <c r="E664" s="137"/>
      <c r="F664" s="509"/>
    </row>
    <row r="665" spans="1:6" ht="30" customHeight="1">
      <c r="A665" s="137"/>
      <c r="B665" s="137"/>
      <c r="C665" s="137"/>
      <c r="D665" s="137"/>
      <c r="E665" s="137"/>
      <c r="F665" s="509"/>
    </row>
    <row r="666" spans="1:6" ht="30" customHeight="1">
      <c r="A666" s="137"/>
      <c r="B666" s="137"/>
      <c r="C666" s="137"/>
      <c r="D666" s="137"/>
      <c r="E666" s="137"/>
      <c r="F666" s="509"/>
    </row>
    <row r="667" spans="1:6" ht="30" customHeight="1">
      <c r="A667" s="137"/>
      <c r="B667" s="137"/>
      <c r="C667" s="137"/>
      <c r="D667" s="137"/>
      <c r="E667" s="137"/>
      <c r="F667" s="509"/>
    </row>
    <row r="668" spans="1:6" ht="30" customHeight="1">
      <c r="A668" s="137"/>
      <c r="B668" s="137"/>
      <c r="C668" s="137"/>
      <c r="D668" s="137"/>
      <c r="E668" s="137"/>
      <c r="F668" s="509"/>
    </row>
    <row r="669" spans="1:6" ht="30" customHeight="1">
      <c r="A669" s="137"/>
      <c r="B669" s="137"/>
      <c r="C669" s="137"/>
      <c r="D669" s="137"/>
      <c r="E669" s="137"/>
      <c r="F669" s="509"/>
    </row>
    <row r="670" spans="1:6" ht="30" customHeight="1">
      <c r="A670" s="137"/>
      <c r="B670" s="137"/>
      <c r="C670" s="137"/>
      <c r="D670" s="137"/>
      <c r="E670" s="137"/>
      <c r="F670" s="509"/>
    </row>
    <row r="671" spans="1:6" ht="30" customHeight="1">
      <c r="A671" s="137"/>
      <c r="B671" s="137"/>
      <c r="C671" s="137"/>
      <c r="D671" s="137"/>
      <c r="E671" s="137"/>
      <c r="F671" s="509"/>
    </row>
    <row r="672" spans="1:6" ht="30" customHeight="1">
      <c r="A672" s="137"/>
      <c r="B672" s="137"/>
      <c r="C672" s="137"/>
      <c r="D672" s="137"/>
      <c r="E672" s="137"/>
      <c r="F672" s="509"/>
    </row>
    <row r="673" spans="1:6" ht="30" customHeight="1">
      <c r="A673" s="137"/>
      <c r="B673" s="137"/>
      <c r="C673" s="137"/>
      <c r="D673" s="137"/>
      <c r="E673" s="137"/>
      <c r="F673" s="509"/>
    </row>
    <row r="674" spans="1:6" ht="30" customHeight="1">
      <c r="A674" s="137"/>
      <c r="B674" s="137"/>
      <c r="C674" s="137"/>
      <c r="D674" s="137"/>
      <c r="E674" s="137"/>
      <c r="F674" s="509"/>
    </row>
    <row r="675" spans="1:6" ht="30" customHeight="1">
      <c r="A675" s="137"/>
      <c r="B675" s="137"/>
      <c r="C675" s="137"/>
      <c r="D675" s="137"/>
      <c r="E675" s="137"/>
      <c r="F675" s="509"/>
    </row>
    <row r="676" spans="1:6" ht="30" customHeight="1">
      <c r="A676" s="137"/>
      <c r="B676" s="137"/>
      <c r="C676" s="137"/>
      <c r="D676" s="137"/>
      <c r="E676" s="137"/>
      <c r="F676" s="509"/>
    </row>
    <row r="677" spans="1:6" ht="30" customHeight="1">
      <c r="A677" s="137"/>
      <c r="B677" s="137"/>
      <c r="C677" s="137"/>
      <c r="D677" s="137"/>
      <c r="E677" s="137"/>
      <c r="F677" s="509"/>
    </row>
    <row r="678" spans="1:6" ht="30" customHeight="1">
      <c r="A678" s="137"/>
      <c r="B678" s="137"/>
      <c r="C678" s="137"/>
      <c r="D678" s="137"/>
      <c r="E678" s="137"/>
      <c r="F678" s="509"/>
    </row>
    <row r="679" spans="1:6" ht="30" customHeight="1">
      <c r="A679" s="137"/>
      <c r="B679" s="137"/>
      <c r="C679" s="137"/>
      <c r="D679" s="137"/>
      <c r="E679" s="137"/>
      <c r="F679" s="509"/>
    </row>
    <row r="680" spans="1:6" ht="30" customHeight="1">
      <c r="A680" s="137"/>
      <c r="B680" s="137"/>
      <c r="C680" s="137"/>
      <c r="D680" s="137"/>
      <c r="E680" s="137"/>
      <c r="F680" s="509"/>
    </row>
    <row r="681" spans="1:6" ht="30" customHeight="1">
      <c r="A681" s="137"/>
      <c r="B681" s="137"/>
      <c r="C681" s="137"/>
      <c r="D681" s="137"/>
      <c r="E681" s="137"/>
      <c r="F681" s="509"/>
    </row>
    <row r="682" spans="1:6" ht="30" customHeight="1">
      <c r="A682" s="137"/>
      <c r="B682" s="137"/>
      <c r="C682" s="137"/>
      <c r="D682" s="137"/>
      <c r="E682" s="137"/>
      <c r="F682" s="509"/>
    </row>
    <row r="683" spans="1:6" ht="30" customHeight="1">
      <c r="A683" s="137"/>
      <c r="B683" s="137"/>
      <c r="C683" s="137"/>
      <c r="D683" s="137"/>
      <c r="E683" s="137"/>
      <c r="F683" s="509"/>
    </row>
    <row r="684" spans="1:6" ht="30" customHeight="1">
      <c r="A684" s="137"/>
      <c r="B684" s="137"/>
      <c r="C684" s="137"/>
      <c r="D684" s="137"/>
      <c r="E684" s="137"/>
      <c r="F684" s="509"/>
    </row>
    <row r="685" spans="1:6" ht="30" customHeight="1">
      <c r="A685" s="137"/>
      <c r="B685" s="137"/>
      <c r="C685" s="137"/>
      <c r="D685" s="137"/>
      <c r="E685" s="137"/>
      <c r="F685" s="509"/>
    </row>
    <row r="686" spans="1:6" ht="30" customHeight="1">
      <c r="A686" s="137"/>
      <c r="B686" s="137"/>
      <c r="C686" s="137"/>
      <c r="D686" s="137"/>
      <c r="E686" s="137"/>
      <c r="F686" s="509"/>
    </row>
    <row r="687" spans="1:6" ht="30" customHeight="1">
      <c r="A687" s="137"/>
      <c r="B687" s="137"/>
      <c r="C687" s="137"/>
      <c r="D687" s="137"/>
      <c r="E687" s="137"/>
      <c r="F687" s="509"/>
    </row>
    <row r="688" spans="1:6" ht="30" customHeight="1">
      <c r="A688" s="137"/>
      <c r="B688" s="137"/>
      <c r="C688" s="137"/>
      <c r="D688" s="137"/>
      <c r="E688" s="137"/>
      <c r="F688" s="509"/>
    </row>
    <row r="689" spans="1:6" ht="30" customHeight="1">
      <c r="A689" s="137"/>
      <c r="B689" s="137"/>
      <c r="C689" s="137"/>
      <c r="D689" s="137"/>
      <c r="E689" s="137"/>
      <c r="F689" s="509"/>
    </row>
    <row r="690" spans="1:6" ht="30" customHeight="1">
      <c r="A690" s="137"/>
      <c r="B690" s="137"/>
      <c r="C690" s="137"/>
      <c r="D690" s="137"/>
      <c r="E690" s="137"/>
      <c r="F690" s="509"/>
    </row>
    <row r="691" spans="1:6" ht="30" customHeight="1">
      <c r="A691" s="137"/>
      <c r="B691" s="137"/>
      <c r="C691" s="137"/>
      <c r="D691" s="137"/>
      <c r="E691" s="137"/>
      <c r="F691" s="509"/>
    </row>
    <row r="692" spans="1:6" ht="30" customHeight="1">
      <c r="A692" s="137"/>
      <c r="B692" s="137"/>
      <c r="C692" s="137"/>
      <c r="D692" s="137"/>
      <c r="E692" s="137"/>
      <c r="F692" s="509"/>
    </row>
    <row r="693" spans="1:6" ht="30" customHeight="1">
      <c r="A693" s="137"/>
      <c r="B693" s="137"/>
      <c r="C693" s="137"/>
      <c r="D693" s="137"/>
      <c r="E693" s="137"/>
      <c r="F693" s="509"/>
    </row>
    <row r="694" spans="1:6" ht="30" customHeight="1">
      <c r="A694" s="137"/>
      <c r="B694" s="137"/>
      <c r="C694" s="137"/>
      <c r="D694" s="137"/>
      <c r="E694" s="137"/>
      <c r="F694" s="509"/>
    </row>
    <row r="695" spans="1:6" ht="30" customHeight="1">
      <c r="A695" s="137"/>
      <c r="B695" s="137"/>
      <c r="C695" s="137"/>
      <c r="D695" s="137"/>
      <c r="E695" s="137"/>
      <c r="F695" s="509"/>
    </row>
    <row r="696" spans="1:6" ht="30" customHeight="1">
      <c r="A696" s="137"/>
      <c r="B696" s="137"/>
      <c r="C696" s="137"/>
      <c r="D696" s="137"/>
      <c r="E696" s="137"/>
      <c r="F696" s="509"/>
    </row>
    <row r="697" spans="1:6" ht="30" customHeight="1">
      <c r="A697" s="137"/>
      <c r="B697" s="137"/>
      <c r="C697" s="137"/>
      <c r="D697" s="137"/>
      <c r="E697" s="137"/>
      <c r="F697" s="509"/>
    </row>
    <row r="698" spans="1:6" ht="30" customHeight="1">
      <c r="A698" s="137"/>
      <c r="B698" s="137"/>
      <c r="C698" s="137"/>
      <c r="D698" s="137"/>
      <c r="E698" s="137"/>
      <c r="F698" s="509"/>
    </row>
    <row r="699" spans="1:6" ht="30" customHeight="1">
      <c r="A699" s="137"/>
      <c r="B699" s="137"/>
      <c r="C699" s="137"/>
      <c r="D699" s="137"/>
      <c r="E699" s="137"/>
      <c r="F699" s="509"/>
    </row>
    <row r="700" spans="1:6" ht="30" customHeight="1">
      <c r="A700" s="137"/>
      <c r="B700" s="137"/>
      <c r="C700" s="137"/>
      <c r="D700" s="137"/>
      <c r="E700" s="137"/>
      <c r="F700" s="509"/>
    </row>
    <row r="701" spans="1:6" ht="30" customHeight="1">
      <c r="A701" s="137"/>
      <c r="B701" s="137"/>
      <c r="C701" s="137"/>
      <c r="D701" s="137"/>
      <c r="E701" s="137"/>
      <c r="F701" s="509"/>
    </row>
    <row r="702" spans="1:6" ht="30" customHeight="1">
      <c r="A702" s="137"/>
      <c r="B702" s="137"/>
      <c r="C702" s="137"/>
      <c r="D702" s="137"/>
      <c r="E702" s="137"/>
      <c r="F702" s="509"/>
    </row>
    <row r="703" spans="1:6" ht="30" customHeight="1">
      <c r="A703" s="137"/>
      <c r="B703" s="137"/>
      <c r="C703" s="137"/>
      <c r="D703" s="137"/>
      <c r="E703" s="137"/>
      <c r="F703" s="509"/>
    </row>
    <row r="704" spans="1:6" ht="30" customHeight="1">
      <c r="A704" s="137"/>
      <c r="B704" s="137"/>
      <c r="C704" s="137"/>
      <c r="D704" s="137"/>
      <c r="E704" s="137"/>
      <c r="F704" s="509"/>
    </row>
    <row r="705" spans="1:6" ht="30" customHeight="1">
      <c r="A705" s="137"/>
      <c r="B705" s="137"/>
      <c r="C705" s="137"/>
      <c r="D705" s="137"/>
      <c r="E705" s="137"/>
      <c r="F705" s="509"/>
    </row>
    <row r="706" spans="1:6" ht="30" customHeight="1">
      <c r="A706" s="137"/>
      <c r="B706" s="137"/>
      <c r="C706" s="137"/>
      <c r="D706" s="137"/>
      <c r="E706" s="137"/>
      <c r="F706" s="509"/>
    </row>
    <row r="707" spans="1:6" ht="30" customHeight="1">
      <c r="A707" s="137"/>
      <c r="B707" s="137"/>
      <c r="C707" s="137"/>
      <c r="D707" s="137"/>
      <c r="E707" s="137"/>
      <c r="F707" s="509"/>
    </row>
    <row r="708" spans="1:6" ht="30" customHeight="1">
      <c r="A708" s="137"/>
      <c r="B708" s="137"/>
      <c r="C708" s="137"/>
      <c r="D708" s="137"/>
      <c r="E708" s="137"/>
      <c r="F708" s="509"/>
    </row>
    <row r="709" spans="1:6" ht="30" customHeight="1">
      <c r="A709" s="137"/>
      <c r="B709" s="137"/>
      <c r="C709" s="137"/>
      <c r="D709" s="137"/>
      <c r="E709" s="137"/>
      <c r="F709" s="509"/>
    </row>
    <row r="710" spans="1:6" ht="30" customHeight="1">
      <c r="A710" s="137"/>
      <c r="B710" s="137"/>
      <c r="C710" s="137"/>
      <c r="D710" s="137"/>
      <c r="E710" s="137"/>
      <c r="F710" s="509"/>
    </row>
    <row r="711" spans="1:6" ht="30" customHeight="1">
      <c r="A711" s="137"/>
      <c r="B711" s="137"/>
      <c r="C711" s="137"/>
      <c r="D711" s="137"/>
      <c r="E711" s="137"/>
      <c r="F711" s="509"/>
    </row>
    <row r="712" spans="1:6" ht="30" customHeight="1">
      <c r="A712" s="137"/>
      <c r="B712" s="137"/>
      <c r="C712" s="137"/>
      <c r="D712" s="137"/>
      <c r="E712" s="137"/>
      <c r="F712" s="509"/>
    </row>
    <row r="713" spans="1:6" ht="30" customHeight="1">
      <c r="A713" s="137"/>
      <c r="B713" s="137"/>
      <c r="C713" s="137"/>
      <c r="D713" s="137"/>
      <c r="E713" s="137"/>
      <c r="F713" s="509"/>
    </row>
    <row r="714" spans="1:6" ht="30" customHeight="1">
      <c r="A714" s="137"/>
      <c r="B714" s="137"/>
      <c r="C714" s="137"/>
      <c r="D714" s="137"/>
      <c r="E714" s="137"/>
      <c r="F714" s="509"/>
    </row>
    <row r="715" spans="1:6" ht="30" customHeight="1">
      <c r="A715" s="137"/>
      <c r="B715" s="137"/>
      <c r="C715" s="137"/>
      <c r="D715" s="137"/>
      <c r="E715" s="137"/>
      <c r="F715" s="509"/>
    </row>
    <row r="716" spans="1:6" ht="30" customHeight="1">
      <c r="A716" s="137"/>
      <c r="B716" s="137"/>
      <c r="C716" s="137"/>
      <c r="D716" s="137"/>
      <c r="E716" s="137"/>
      <c r="F716" s="509"/>
    </row>
    <row r="717" spans="1:6" ht="30" customHeight="1">
      <c r="A717" s="137"/>
      <c r="B717" s="137"/>
      <c r="C717" s="137"/>
      <c r="D717" s="137"/>
      <c r="E717" s="137"/>
      <c r="F717" s="509"/>
    </row>
    <row r="718" spans="1:6" ht="30" customHeight="1">
      <c r="A718" s="137"/>
      <c r="B718" s="137"/>
      <c r="C718" s="137"/>
      <c r="D718" s="137"/>
      <c r="E718" s="137"/>
      <c r="F718" s="509"/>
    </row>
    <row r="719" spans="1:6" ht="30" customHeight="1">
      <c r="A719" s="137"/>
      <c r="B719" s="137"/>
      <c r="C719" s="137"/>
      <c r="D719" s="137"/>
      <c r="E719" s="137"/>
      <c r="F719" s="509"/>
    </row>
    <row r="720" spans="1:6" ht="30" customHeight="1">
      <c r="A720" s="137"/>
      <c r="B720" s="137"/>
      <c r="C720" s="137"/>
      <c r="D720" s="137"/>
      <c r="E720" s="137"/>
      <c r="F720" s="509"/>
    </row>
    <row r="721" spans="1:6" ht="30" customHeight="1">
      <c r="A721" s="137"/>
      <c r="B721" s="137"/>
      <c r="C721" s="137"/>
      <c r="D721" s="137"/>
      <c r="E721" s="137"/>
      <c r="F721" s="509"/>
    </row>
    <row r="722" spans="1:6" ht="30" customHeight="1">
      <c r="A722" s="137"/>
      <c r="B722" s="137"/>
      <c r="C722" s="137"/>
      <c r="D722" s="137"/>
      <c r="E722" s="137"/>
      <c r="F722" s="509"/>
    </row>
    <row r="723" spans="1:6" ht="30" customHeight="1">
      <c r="A723" s="137"/>
      <c r="B723" s="137"/>
      <c r="C723" s="137"/>
      <c r="D723" s="137"/>
      <c r="E723" s="137"/>
      <c r="F723" s="509"/>
    </row>
    <row r="724" spans="1:6" ht="30" customHeight="1">
      <c r="A724" s="137"/>
      <c r="B724" s="137"/>
      <c r="C724" s="137"/>
      <c r="D724" s="137"/>
      <c r="E724" s="137"/>
      <c r="F724" s="509"/>
    </row>
    <row r="725" spans="1:6" ht="30" customHeight="1">
      <c r="A725" s="137"/>
      <c r="B725" s="137"/>
      <c r="C725" s="137"/>
      <c r="D725" s="137"/>
      <c r="E725" s="137"/>
      <c r="F725" s="509"/>
    </row>
    <row r="726" spans="1:6" ht="30" customHeight="1">
      <c r="A726" s="137"/>
      <c r="B726" s="137"/>
      <c r="C726" s="137"/>
      <c r="D726" s="137"/>
      <c r="E726" s="137"/>
      <c r="F726" s="509"/>
    </row>
    <row r="727" spans="1:6" ht="30" customHeight="1">
      <c r="A727" s="137"/>
      <c r="B727" s="137"/>
      <c r="C727" s="137"/>
      <c r="D727" s="137"/>
      <c r="E727" s="137"/>
      <c r="F727" s="509"/>
    </row>
    <row r="728" spans="1:6" ht="30" customHeight="1">
      <c r="A728" s="137"/>
      <c r="B728" s="137"/>
      <c r="C728" s="137"/>
      <c r="D728" s="137"/>
      <c r="E728" s="137"/>
      <c r="F728" s="509"/>
    </row>
    <row r="729" spans="1:6" ht="30" customHeight="1">
      <c r="A729" s="137"/>
      <c r="B729" s="137"/>
      <c r="C729" s="137"/>
      <c r="D729" s="137"/>
      <c r="E729" s="137"/>
      <c r="F729" s="509"/>
    </row>
    <row r="730" spans="1:6" ht="30" customHeight="1">
      <c r="A730" s="137"/>
      <c r="B730" s="137"/>
      <c r="C730" s="137"/>
      <c r="D730" s="137"/>
      <c r="E730" s="137"/>
      <c r="F730" s="509"/>
    </row>
    <row r="731" spans="1:6" ht="30" customHeight="1">
      <c r="A731" s="137"/>
      <c r="B731" s="137"/>
      <c r="C731" s="137"/>
      <c r="D731" s="137"/>
      <c r="E731" s="137"/>
      <c r="F731" s="509"/>
    </row>
    <row r="732" spans="1:6" ht="30" customHeight="1">
      <c r="A732" s="137"/>
      <c r="B732" s="137"/>
      <c r="C732" s="137"/>
      <c r="D732" s="137"/>
      <c r="E732" s="137"/>
      <c r="F732" s="509"/>
    </row>
    <row r="733" spans="1:6" ht="30" customHeight="1">
      <c r="A733" s="137"/>
      <c r="B733" s="137"/>
      <c r="C733" s="137"/>
      <c r="D733" s="137"/>
      <c r="E733" s="137"/>
      <c r="F733" s="509"/>
    </row>
    <row r="734" spans="1:6" ht="30" customHeight="1">
      <c r="A734" s="137"/>
      <c r="B734" s="137"/>
      <c r="C734" s="137"/>
      <c r="D734" s="137"/>
      <c r="E734" s="137"/>
      <c r="F734" s="509"/>
    </row>
    <row r="735" spans="1:6" ht="30" customHeight="1">
      <c r="A735" s="137"/>
      <c r="B735" s="137"/>
      <c r="C735" s="137"/>
      <c r="D735" s="137"/>
      <c r="E735" s="137"/>
      <c r="F735" s="509"/>
    </row>
    <row r="736" spans="1:6" ht="30" customHeight="1">
      <c r="A736" s="137"/>
      <c r="B736" s="137"/>
      <c r="C736" s="137"/>
      <c r="D736" s="137"/>
      <c r="E736" s="137"/>
      <c r="F736" s="509"/>
    </row>
    <row r="737" spans="1:6" ht="30" customHeight="1">
      <c r="A737" s="137"/>
      <c r="B737" s="137"/>
      <c r="C737" s="137"/>
      <c r="D737" s="137"/>
      <c r="E737" s="137"/>
      <c r="F737" s="509"/>
    </row>
    <row r="738" spans="1:6" ht="30" customHeight="1">
      <c r="A738" s="137"/>
      <c r="B738" s="137"/>
      <c r="C738" s="137"/>
      <c r="D738" s="137"/>
      <c r="E738" s="137"/>
      <c r="F738" s="509"/>
    </row>
    <row r="739" spans="1:6" ht="30" customHeight="1">
      <c r="A739" s="137"/>
      <c r="B739" s="137"/>
      <c r="C739" s="137"/>
      <c r="D739" s="137"/>
      <c r="E739" s="137"/>
      <c r="F739" s="509"/>
    </row>
    <row r="740" spans="1:6" ht="30" customHeight="1">
      <c r="A740" s="137"/>
      <c r="B740" s="137"/>
      <c r="C740" s="137"/>
      <c r="D740" s="137"/>
      <c r="E740" s="137"/>
      <c r="F740" s="509"/>
    </row>
    <row r="741" spans="1:6" ht="30" customHeight="1">
      <c r="A741" s="137"/>
      <c r="B741" s="137"/>
      <c r="C741" s="137"/>
      <c r="D741" s="137"/>
      <c r="E741" s="137"/>
      <c r="F741" s="509"/>
    </row>
    <row r="742" spans="1:6" ht="30" customHeight="1">
      <c r="A742" s="137"/>
      <c r="B742" s="137"/>
      <c r="C742" s="137"/>
      <c r="D742" s="137"/>
      <c r="E742" s="137"/>
      <c r="F742" s="509"/>
    </row>
    <row r="743" spans="1:6" ht="30" customHeight="1">
      <c r="A743" s="137"/>
      <c r="B743" s="137"/>
      <c r="C743" s="137"/>
      <c r="D743" s="137"/>
      <c r="E743" s="137"/>
      <c r="F743" s="509"/>
    </row>
    <row r="744" spans="1:6" ht="30" customHeight="1">
      <c r="A744" s="137"/>
      <c r="B744" s="137"/>
      <c r="C744" s="137"/>
      <c r="D744" s="137"/>
      <c r="E744" s="137"/>
      <c r="F744" s="509"/>
    </row>
    <row r="745" spans="1:6" ht="30" customHeight="1">
      <c r="A745" s="137"/>
      <c r="B745" s="137"/>
      <c r="C745" s="137"/>
      <c r="D745" s="137"/>
      <c r="E745" s="137"/>
      <c r="F745" s="509"/>
    </row>
    <row r="746" spans="1:6" ht="30" customHeight="1">
      <c r="A746" s="137"/>
      <c r="B746" s="137"/>
      <c r="C746" s="137"/>
      <c r="D746" s="137"/>
      <c r="E746" s="137"/>
      <c r="F746" s="509"/>
    </row>
    <row r="747" spans="1:6" ht="30" customHeight="1">
      <c r="A747" s="137"/>
      <c r="B747" s="137"/>
      <c r="C747" s="137"/>
      <c r="D747" s="137"/>
      <c r="E747" s="137"/>
      <c r="F747" s="509"/>
    </row>
    <row r="748" spans="1:6" ht="30" customHeight="1">
      <c r="A748" s="137"/>
      <c r="B748" s="137"/>
      <c r="C748" s="137"/>
      <c r="D748" s="137"/>
      <c r="E748" s="137"/>
      <c r="F748" s="509"/>
    </row>
    <row r="749" spans="1:6" ht="30" customHeight="1">
      <c r="A749" s="137"/>
      <c r="B749" s="137"/>
      <c r="C749" s="137"/>
      <c r="D749" s="137"/>
      <c r="E749" s="137"/>
      <c r="F749" s="509"/>
    </row>
    <row r="750" spans="1:6" ht="30" customHeight="1">
      <c r="A750" s="137"/>
      <c r="B750" s="137"/>
      <c r="C750" s="137"/>
      <c r="D750" s="137"/>
      <c r="E750" s="137"/>
      <c r="F750" s="509"/>
    </row>
    <row r="751" spans="1:6" ht="30" customHeight="1">
      <c r="A751" s="137"/>
      <c r="B751" s="137"/>
      <c r="C751" s="137"/>
      <c r="D751" s="137"/>
      <c r="E751" s="137"/>
      <c r="F751" s="509"/>
    </row>
    <row r="752" spans="1:6" ht="30" customHeight="1">
      <c r="A752" s="137"/>
      <c r="B752" s="137"/>
      <c r="C752" s="137"/>
      <c r="D752" s="137"/>
      <c r="E752" s="137"/>
      <c r="F752" s="509"/>
    </row>
    <row r="753" spans="1:6" ht="30" customHeight="1">
      <c r="A753" s="137"/>
      <c r="B753" s="137"/>
      <c r="C753" s="137"/>
      <c r="D753" s="137"/>
      <c r="E753" s="137"/>
      <c r="F753" s="509"/>
    </row>
    <row r="754" spans="1:6" ht="30" customHeight="1">
      <c r="A754" s="137"/>
      <c r="B754" s="137"/>
      <c r="C754" s="137"/>
      <c r="D754" s="137"/>
      <c r="E754" s="137"/>
      <c r="F754" s="509"/>
    </row>
    <row r="755" spans="1:6" ht="30" customHeight="1">
      <c r="A755" s="137"/>
      <c r="B755" s="137"/>
      <c r="C755" s="137"/>
      <c r="D755" s="137"/>
      <c r="E755" s="137"/>
      <c r="F755" s="509"/>
    </row>
    <row r="756" spans="1:6" ht="30" customHeight="1">
      <c r="A756" s="137"/>
      <c r="B756" s="137"/>
      <c r="C756" s="137"/>
      <c r="D756" s="137"/>
      <c r="E756" s="137"/>
      <c r="F756" s="509"/>
    </row>
    <row r="757" spans="1:6" ht="30" customHeight="1">
      <c r="A757" s="137"/>
      <c r="B757" s="137"/>
      <c r="C757" s="137"/>
      <c r="D757" s="137"/>
      <c r="E757" s="137"/>
      <c r="F757" s="509"/>
    </row>
    <row r="758" spans="1:6" ht="30" customHeight="1">
      <c r="A758" s="137"/>
      <c r="B758" s="137"/>
      <c r="C758" s="137"/>
      <c r="D758" s="137"/>
      <c r="E758" s="137"/>
      <c r="F758" s="509"/>
    </row>
    <row r="759" spans="1:6" ht="30" customHeight="1">
      <c r="A759" s="137"/>
      <c r="B759" s="137"/>
      <c r="C759" s="137"/>
      <c r="D759" s="137"/>
      <c r="E759" s="137"/>
      <c r="F759" s="509"/>
    </row>
    <row r="760" spans="1:6" ht="30" customHeight="1">
      <c r="A760" s="137"/>
      <c r="B760" s="137"/>
      <c r="C760" s="137"/>
      <c r="D760" s="137"/>
      <c r="E760" s="137"/>
      <c r="F760" s="509"/>
    </row>
    <row r="761" spans="1:6" ht="30" customHeight="1">
      <c r="A761" s="137"/>
      <c r="B761" s="137"/>
      <c r="C761" s="137"/>
      <c r="D761" s="137"/>
      <c r="E761" s="137"/>
      <c r="F761" s="509"/>
    </row>
    <row r="762" spans="1:6" ht="30" customHeight="1">
      <c r="A762" s="137"/>
      <c r="B762" s="137"/>
      <c r="C762" s="137"/>
      <c r="D762" s="137"/>
      <c r="E762" s="137"/>
      <c r="F762" s="509"/>
    </row>
    <row r="763" spans="1:6" ht="30" customHeight="1">
      <c r="A763" s="137"/>
      <c r="B763" s="137"/>
      <c r="C763" s="137"/>
      <c r="D763" s="137"/>
      <c r="E763" s="137"/>
      <c r="F763" s="509"/>
    </row>
    <row r="764" spans="1:6" ht="30" customHeight="1">
      <c r="A764" s="137"/>
      <c r="B764" s="137"/>
      <c r="C764" s="137"/>
      <c r="D764" s="137"/>
      <c r="E764" s="137"/>
      <c r="F764" s="509"/>
    </row>
    <row r="765" spans="1:6" ht="30" customHeight="1">
      <c r="A765" s="137"/>
      <c r="B765" s="137"/>
      <c r="C765" s="137"/>
      <c r="D765" s="137"/>
      <c r="E765" s="137"/>
      <c r="F765" s="509"/>
    </row>
    <row r="766" spans="1:6" ht="30" customHeight="1">
      <c r="A766" s="137"/>
      <c r="B766" s="137"/>
      <c r="C766" s="137"/>
      <c r="D766" s="137"/>
      <c r="E766" s="137"/>
      <c r="F766" s="509"/>
    </row>
    <row r="767" spans="1:6" ht="30" customHeight="1">
      <c r="A767" s="137"/>
      <c r="B767" s="137"/>
      <c r="C767" s="137"/>
      <c r="D767" s="137"/>
      <c r="E767" s="137"/>
      <c r="F767" s="509"/>
    </row>
    <row r="768" spans="1:6" ht="30" customHeight="1">
      <c r="A768" s="137"/>
      <c r="B768" s="137"/>
      <c r="C768" s="137"/>
      <c r="D768" s="137"/>
      <c r="E768" s="137"/>
      <c r="F768" s="509"/>
    </row>
    <row r="769" spans="1:6" ht="30" customHeight="1">
      <c r="A769" s="137"/>
      <c r="B769" s="137"/>
      <c r="C769" s="137"/>
      <c r="D769" s="137"/>
      <c r="E769" s="137"/>
      <c r="F769" s="509"/>
    </row>
    <row r="770" spans="1:6" ht="30" customHeight="1">
      <c r="A770" s="137"/>
      <c r="B770" s="137"/>
      <c r="C770" s="137"/>
      <c r="D770" s="137"/>
      <c r="E770" s="137"/>
      <c r="F770" s="509"/>
    </row>
    <row r="771" spans="1:6" ht="30" customHeight="1">
      <c r="A771" s="137"/>
      <c r="B771" s="137"/>
      <c r="C771" s="137"/>
      <c r="D771" s="137"/>
      <c r="E771" s="137"/>
      <c r="F771" s="509"/>
    </row>
    <row r="772" spans="1:6" ht="30" customHeight="1">
      <c r="A772" s="137"/>
      <c r="B772" s="137"/>
      <c r="C772" s="137"/>
      <c r="D772" s="137"/>
      <c r="E772" s="137"/>
      <c r="F772" s="509"/>
    </row>
    <row r="773" spans="1:6" ht="30" customHeight="1">
      <c r="A773" s="137"/>
      <c r="B773" s="137"/>
      <c r="C773" s="137"/>
      <c r="D773" s="137"/>
      <c r="E773" s="137"/>
      <c r="F773" s="509"/>
    </row>
    <row r="774" spans="1:6" ht="30" customHeight="1">
      <c r="A774" s="137"/>
      <c r="B774" s="137"/>
      <c r="C774" s="137"/>
      <c r="D774" s="137"/>
      <c r="E774" s="137"/>
      <c r="F774" s="509"/>
    </row>
    <row r="775" spans="1:6" ht="30" customHeight="1">
      <c r="A775" s="137"/>
      <c r="B775" s="137"/>
      <c r="C775" s="137"/>
      <c r="D775" s="137"/>
      <c r="E775" s="137"/>
      <c r="F775" s="509"/>
    </row>
    <row r="776" spans="1:6" ht="30" customHeight="1">
      <c r="A776" s="137"/>
      <c r="B776" s="137"/>
      <c r="C776" s="137"/>
      <c r="D776" s="137"/>
      <c r="E776" s="137"/>
      <c r="F776" s="509"/>
    </row>
    <row r="777" spans="1:6" ht="30" customHeight="1">
      <c r="A777" s="137"/>
      <c r="B777" s="137"/>
      <c r="C777" s="137"/>
      <c r="D777" s="137"/>
      <c r="E777" s="137"/>
      <c r="F777" s="509"/>
    </row>
    <row r="778" spans="1:6" ht="30" customHeight="1">
      <c r="A778" s="137"/>
      <c r="B778" s="137"/>
      <c r="C778" s="137"/>
      <c r="D778" s="137"/>
      <c r="E778" s="137"/>
      <c r="F778" s="509"/>
    </row>
    <row r="779" spans="1:6" ht="30" customHeight="1">
      <c r="A779" s="137"/>
      <c r="B779" s="137"/>
      <c r="C779" s="137"/>
      <c r="D779" s="137"/>
      <c r="E779" s="137"/>
      <c r="F779" s="509"/>
    </row>
    <row r="780" spans="1:6" ht="30" customHeight="1">
      <c r="A780" s="137"/>
      <c r="B780" s="137"/>
      <c r="C780" s="137"/>
      <c r="D780" s="137"/>
      <c r="E780" s="137"/>
      <c r="F780" s="509"/>
    </row>
    <row r="781" spans="1:6" ht="30" customHeight="1">
      <c r="A781" s="137"/>
      <c r="B781" s="137"/>
      <c r="C781" s="137"/>
      <c r="D781" s="137"/>
      <c r="E781" s="137"/>
      <c r="F781" s="509"/>
    </row>
    <row r="782" spans="1:6" ht="30" customHeight="1">
      <c r="A782" s="137"/>
      <c r="B782" s="137"/>
      <c r="C782" s="137"/>
      <c r="D782" s="137"/>
      <c r="E782" s="137"/>
      <c r="F782" s="509"/>
    </row>
    <row r="783" spans="1:6" ht="30" customHeight="1">
      <c r="A783" s="137"/>
      <c r="B783" s="137"/>
      <c r="C783" s="137"/>
      <c r="D783" s="137"/>
      <c r="E783" s="137"/>
      <c r="F783" s="509"/>
    </row>
    <row r="784" spans="1:6" ht="30" customHeight="1">
      <c r="A784" s="137"/>
      <c r="B784" s="137"/>
      <c r="C784" s="137"/>
      <c r="D784" s="137"/>
      <c r="E784" s="137"/>
      <c r="F784" s="509"/>
    </row>
    <row r="785" spans="1:6" ht="30" customHeight="1">
      <c r="A785" s="137"/>
      <c r="B785" s="137"/>
      <c r="C785" s="137"/>
      <c r="D785" s="137"/>
      <c r="E785" s="137"/>
      <c r="F785" s="509"/>
    </row>
    <row r="786" spans="1:6" ht="30" customHeight="1">
      <c r="A786" s="137"/>
      <c r="B786" s="137"/>
      <c r="C786" s="137"/>
      <c r="D786" s="137"/>
      <c r="E786" s="137"/>
      <c r="F786" s="509"/>
    </row>
    <row r="787" spans="1:6" ht="30" customHeight="1">
      <c r="A787" s="137"/>
      <c r="B787" s="137"/>
      <c r="C787" s="137"/>
      <c r="D787" s="137"/>
      <c r="E787" s="137"/>
      <c r="F787" s="509"/>
    </row>
    <row r="788" spans="1:6" ht="30" customHeight="1">
      <c r="A788" s="137"/>
      <c r="B788" s="137"/>
      <c r="C788" s="137"/>
      <c r="D788" s="137"/>
      <c r="E788" s="137"/>
      <c r="F788" s="509"/>
    </row>
    <row r="789" spans="1:6" ht="30" customHeight="1">
      <c r="A789" s="137"/>
      <c r="B789" s="137"/>
      <c r="C789" s="137"/>
      <c r="D789" s="137"/>
      <c r="E789" s="137"/>
      <c r="F789" s="509"/>
    </row>
    <row r="790" spans="1:6" ht="30" customHeight="1">
      <c r="A790" s="137"/>
      <c r="B790" s="137"/>
      <c r="C790" s="137"/>
      <c r="D790" s="137"/>
      <c r="E790" s="137"/>
      <c r="F790" s="509"/>
    </row>
    <row r="791" spans="1:6" ht="30" customHeight="1">
      <c r="A791" s="137"/>
      <c r="B791" s="137"/>
      <c r="C791" s="137"/>
      <c r="D791" s="137"/>
      <c r="E791" s="137"/>
      <c r="F791" s="509"/>
    </row>
    <row r="792" spans="1:6" ht="30" customHeight="1">
      <c r="A792" s="137"/>
      <c r="B792" s="137"/>
      <c r="C792" s="137"/>
      <c r="D792" s="137"/>
      <c r="E792" s="137"/>
      <c r="F792" s="509"/>
    </row>
    <row r="793" spans="1:6" ht="30" customHeight="1">
      <c r="A793" s="137"/>
      <c r="B793" s="137"/>
      <c r="C793" s="137"/>
      <c r="D793" s="137"/>
      <c r="E793" s="137"/>
      <c r="F793" s="509"/>
    </row>
    <row r="794" spans="1:6" ht="30" customHeight="1">
      <c r="A794" s="137"/>
      <c r="B794" s="137"/>
      <c r="C794" s="137"/>
      <c r="D794" s="137"/>
      <c r="E794" s="137"/>
      <c r="F794" s="509"/>
    </row>
    <row r="795" spans="1:6" ht="30" customHeight="1">
      <c r="A795" s="137"/>
      <c r="B795" s="137"/>
      <c r="C795" s="137"/>
      <c r="D795" s="137"/>
      <c r="E795" s="137"/>
      <c r="F795" s="509"/>
    </row>
    <row r="796" spans="1:6" ht="30" customHeight="1">
      <c r="A796" s="137"/>
      <c r="B796" s="137"/>
      <c r="C796" s="137"/>
      <c r="D796" s="137"/>
      <c r="E796" s="137"/>
      <c r="F796" s="509"/>
    </row>
    <row r="797" spans="1:6" ht="30" customHeight="1">
      <c r="A797" s="137"/>
      <c r="B797" s="137"/>
      <c r="C797" s="137"/>
      <c r="D797" s="137"/>
      <c r="E797" s="137"/>
      <c r="F797" s="509"/>
    </row>
    <row r="798" spans="1:6" ht="30" customHeight="1">
      <c r="A798" s="137"/>
      <c r="B798" s="137"/>
      <c r="C798" s="137"/>
      <c r="D798" s="137"/>
      <c r="E798" s="137"/>
      <c r="F798" s="509"/>
    </row>
    <row r="799" spans="1:6" ht="30" customHeight="1">
      <c r="A799" s="137"/>
      <c r="B799" s="137"/>
      <c r="C799" s="137"/>
      <c r="D799" s="137"/>
      <c r="E799" s="137"/>
      <c r="F799" s="509"/>
    </row>
    <row r="800" spans="1:6" ht="30" customHeight="1">
      <c r="A800" s="137"/>
      <c r="B800" s="137"/>
      <c r="C800" s="137"/>
      <c r="D800" s="137"/>
      <c r="E800" s="137"/>
      <c r="F800" s="509"/>
    </row>
    <row r="801" spans="1:6" ht="30" customHeight="1">
      <c r="A801" s="137"/>
      <c r="B801" s="137"/>
      <c r="C801" s="137"/>
      <c r="D801" s="137"/>
      <c r="E801" s="137"/>
      <c r="F801" s="509"/>
    </row>
    <row r="802" spans="1:6" ht="30" customHeight="1">
      <c r="A802" s="137"/>
      <c r="B802" s="137"/>
      <c r="C802" s="137"/>
      <c r="D802" s="137"/>
      <c r="E802" s="137"/>
      <c r="F802" s="509"/>
    </row>
    <row r="803" spans="1:6" ht="30" customHeight="1">
      <c r="A803" s="137"/>
      <c r="B803" s="137"/>
      <c r="C803" s="137"/>
      <c r="D803" s="137"/>
      <c r="E803" s="137"/>
      <c r="F803" s="509"/>
    </row>
    <row r="804" spans="1:6" ht="30" customHeight="1">
      <c r="A804" s="137"/>
      <c r="B804" s="137"/>
      <c r="C804" s="137"/>
      <c r="D804" s="137"/>
      <c r="E804" s="137"/>
      <c r="F804" s="509"/>
    </row>
    <row r="805" spans="1:6" ht="30" customHeight="1">
      <c r="A805" s="137"/>
      <c r="B805" s="137"/>
      <c r="C805" s="137"/>
      <c r="D805" s="137"/>
      <c r="E805" s="137"/>
      <c r="F805" s="509"/>
    </row>
    <row r="806" spans="1:6" ht="30" customHeight="1">
      <c r="A806" s="137"/>
      <c r="B806" s="137"/>
      <c r="C806" s="137"/>
      <c r="D806" s="137"/>
      <c r="E806" s="137"/>
      <c r="F806" s="509"/>
    </row>
    <row r="807" spans="1:6" ht="30" customHeight="1">
      <c r="A807" s="137"/>
      <c r="B807" s="137"/>
      <c r="C807" s="137"/>
      <c r="D807" s="137"/>
      <c r="E807" s="137"/>
      <c r="F807" s="509"/>
    </row>
    <row r="808" spans="1:6" ht="30" customHeight="1">
      <c r="A808" s="137"/>
      <c r="B808" s="137"/>
      <c r="C808" s="137"/>
      <c r="D808" s="137"/>
      <c r="E808" s="137"/>
      <c r="F808" s="509"/>
    </row>
    <row r="809" spans="1:6" ht="30" customHeight="1">
      <c r="A809" s="137"/>
      <c r="B809" s="137"/>
      <c r="C809" s="137"/>
      <c r="D809" s="137"/>
      <c r="E809" s="137"/>
      <c r="F809" s="509"/>
    </row>
    <row r="810" spans="1:6" ht="30" customHeight="1">
      <c r="A810" s="137"/>
      <c r="B810" s="137"/>
      <c r="C810" s="137"/>
      <c r="D810" s="137"/>
      <c r="E810" s="137"/>
      <c r="F810" s="509"/>
    </row>
    <row r="811" spans="1:6" ht="30" customHeight="1">
      <c r="A811" s="137"/>
      <c r="B811" s="137"/>
      <c r="C811" s="137"/>
      <c r="D811" s="137"/>
      <c r="E811" s="137"/>
      <c r="F811" s="509"/>
    </row>
    <row r="812" spans="1:6" ht="30" customHeight="1">
      <c r="A812" s="137"/>
      <c r="B812" s="137"/>
      <c r="C812" s="137"/>
      <c r="D812" s="137"/>
      <c r="E812" s="137"/>
      <c r="F812" s="509"/>
    </row>
    <row r="813" spans="1:6" ht="30" customHeight="1">
      <c r="A813" s="137"/>
      <c r="B813" s="137"/>
      <c r="C813" s="137"/>
      <c r="D813" s="137"/>
      <c r="E813" s="137"/>
      <c r="F813" s="509"/>
    </row>
    <row r="814" spans="1:6" ht="30" customHeight="1">
      <c r="A814" s="137"/>
      <c r="B814" s="137"/>
      <c r="C814" s="137"/>
      <c r="D814" s="137"/>
      <c r="E814" s="137"/>
      <c r="F814" s="509"/>
    </row>
    <row r="815" spans="1:6" ht="30" customHeight="1">
      <c r="A815" s="137"/>
      <c r="B815" s="137"/>
      <c r="C815" s="137"/>
      <c r="D815" s="137"/>
      <c r="E815" s="137"/>
      <c r="F815" s="509"/>
    </row>
    <row r="816" spans="1:6" ht="30" customHeight="1">
      <c r="A816" s="137"/>
      <c r="B816" s="137"/>
      <c r="C816" s="137"/>
      <c r="D816" s="137"/>
      <c r="E816" s="137"/>
      <c r="F816" s="509"/>
    </row>
    <row r="817" spans="1:6" ht="30" customHeight="1">
      <c r="A817" s="137"/>
      <c r="B817" s="137"/>
      <c r="C817" s="137"/>
      <c r="D817" s="137"/>
      <c r="E817" s="137"/>
      <c r="F817" s="509"/>
    </row>
    <row r="818" spans="1:6" ht="30" customHeight="1">
      <c r="A818" s="137"/>
      <c r="B818" s="137"/>
      <c r="C818" s="137"/>
      <c r="D818" s="137"/>
      <c r="E818" s="137"/>
      <c r="F818" s="509"/>
    </row>
    <row r="819" spans="1:6" ht="30" customHeight="1">
      <c r="A819" s="137"/>
      <c r="B819" s="137"/>
      <c r="C819" s="137"/>
      <c r="D819" s="137"/>
      <c r="E819" s="137"/>
      <c r="F819" s="509"/>
    </row>
    <row r="820" spans="1:6" ht="30" customHeight="1">
      <c r="A820" s="137"/>
      <c r="B820" s="137"/>
      <c r="C820" s="137"/>
      <c r="D820" s="137"/>
      <c r="E820" s="137"/>
      <c r="F820" s="509"/>
    </row>
    <row r="821" spans="1:6" ht="30" customHeight="1">
      <c r="A821" s="137"/>
      <c r="B821" s="137"/>
      <c r="C821" s="137"/>
      <c r="D821" s="137"/>
      <c r="E821" s="137"/>
      <c r="F821" s="509"/>
    </row>
    <row r="822" spans="1:6" ht="30" customHeight="1">
      <c r="A822" s="137"/>
      <c r="B822" s="137"/>
      <c r="C822" s="137"/>
      <c r="D822" s="137"/>
      <c r="E822" s="137"/>
      <c r="F822" s="509"/>
    </row>
    <row r="823" spans="1:6" ht="30" customHeight="1">
      <c r="A823" s="137"/>
      <c r="B823" s="137"/>
      <c r="C823" s="137"/>
      <c r="D823" s="137"/>
      <c r="E823" s="137"/>
      <c r="F823" s="509"/>
    </row>
    <row r="824" spans="1:6" ht="30" customHeight="1">
      <c r="A824" s="137"/>
      <c r="B824" s="137"/>
      <c r="C824" s="137"/>
      <c r="D824" s="137"/>
      <c r="E824" s="137"/>
      <c r="F824" s="509"/>
    </row>
    <row r="825" spans="1:6" ht="30" customHeight="1">
      <c r="A825" s="137"/>
      <c r="B825" s="137"/>
      <c r="C825" s="137"/>
      <c r="D825" s="137"/>
      <c r="E825" s="137"/>
      <c r="F825" s="509"/>
    </row>
    <row r="826" spans="1:6" ht="30" customHeight="1">
      <c r="A826" s="137"/>
      <c r="B826" s="137"/>
      <c r="C826" s="137"/>
      <c r="D826" s="137"/>
      <c r="E826" s="137"/>
      <c r="F826" s="509"/>
    </row>
    <row r="827" spans="1:6" ht="30" customHeight="1">
      <c r="A827" s="137"/>
      <c r="B827" s="137"/>
      <c r="C827" s="137"/>
      <c r="D827" s="137"/>
      <c r="E827" s="137"/>
      <c r="F827" s="509"/>
    </row>
    <row r="828" spans="1:6" ht="30" customHeight="1">
      <c r="A828" s="137"/>
      <c r="B828" s="137"/>
      <c r="C828" s="137"/>
      <c r="D828" s="137"/>
      <c r="E828" s="137"/>
      <c r="F828" s="509"/>
    </row>
    <row r="829" spans="1:6" ht="30" customHeight="1">
      <c r="A829" s="137"/>
      <c r="B829" s="137"/>
      <c r="C829" s="137"/>
      <c r="D829" s="137"/>
      <c r="E829" s="137"/>
      <c r="F829" s="509"/>
    </row>
    <row r="830" spans="1:6" ht="30" customHeight="1">
      <c r="A830" s="137"/>
      <c r="B830" s="137"/>
      <c r="C830" s="137"/>
      <c r="D830" s="137"/>
      <c r="E830" s="137"/>
      <c r="F830" s="509"/>
    </row>
    <row r="831" spans="1:6" ht="30" customHeight="1">
      <c r="A831" s="137"/>
      <c r="B831" s="137"/>
      <c r="C831" s="137"/>
      <c r="D831" s="137"/>
      <c r="E831" s="137"/>
      <c r="F831" s="509"/>
    </row>
    <row r="832" spans="1:6" ht="30" customHeight="1">
      <c r="A832" s="137"/>
      <c r="B832" s="137"/>
      <c r="C832" s="137"/>
      <c r="D832" s="137"/>
      <c r="E832" s="137"/>
      <c r="F832" s="509"/>
    </row>
    <row r="833" spans="1:6" ht="30" customHeight="1">
      <c r="A833" s="137"/>
      <c r="B833" s="137"/>
      <c r="C833" s="137"/>
      <c r="D833" s="137"/>
      <c r="E833" s="137"/>
      <c r="F833" s="509"/>
    </row>
    <row r="834" spans="1:6" ht="30" customHeight="1">
      <c r="A834" s="137"/>
      <c r="B834" s="137"/>
      <c r="C834" s="137"/>
      <c r="D834" s="137"/>
      <c r="E834" s="137"/>
      <c r="F834" s="509"/>
    </row>
    <row r="835" spans="1:6" ht="30" customHeight="1">
      <c r="A835" s="137"/>
      <c r="B835" s="137"/>
      <c r="C835" s="137"/>
      <c r="D835" s="137"/>
      <c r="E835" s="137"/>
      <c r="F835" s="509"/>
    </row>
    <row r="836" spans="1:6" ht="30" customHeight="1">
      <c r="A836" s="137"/>
      <c r="B836" s="137"/>
      <c r="C836" s="137"/>
      <c r="D836" s="137"/>
      <c r="E836" s="137"/>
      <c r="F836" s="509"/>
    </row>
    <row r="837" spans="1:6" ht="30" customHeight="1">
      <c r="A837" s="137"/>
      <c r="B837" s="137"/>
      <c r="C837" s="137"/>
      <c r="D837" s="137"/>
      <c r="E837" s="137"/>
      <c r="F837" s="509"/>
    </row>
    <row r="838" spans="1:6" ht="30" customHeight="1">
      <c r="A838" s="137"/>
      <c r="B838" s="137"/>
      <c r="C838" s="137"/>
      <c r="D838" s="137"/>
      <c r="E838" s="137"/>
      <c r="F838" s="509"/>
    </row>
    <row r="839" spans="1:6" ht="30" customHeight="1">
      <c r="A839" s="137"/>
      <c r="B839" s="137"/>
      <c r="C839" s="137"/>
      <c r="D839" s="137"/>
      <c r="E839" s="137"/>
      <c r="F839" s="509"/>
    </row>
    <row r="840" spans="1:6" ht="30" customHeight="1">
      <c r="A840" s="137"/>
      <c r="B840" s="137"/>
      <c r="C840" s="137"/>
      <c r="D840" s="137"/>
      <c r="E840" s="137"/>
      <c r="F840" s="509"/>
    </row>
    <row r="841" spans="1:6" ht="30" customHeight="1">
      <c r="A841" s="137"/>
      <c r="B841" s="137"/>
      <c r="C841" s="137"/>
      <c r="D841" s="137"/>
      <c r="E841" s="137"/>
      <c r="F841" s="509"/>
    </row>
    <row r="842" spans="1:6" ht="30" customHeight="1">
      <c r="A842" s="137"/>
      <c r="B842" s="137"/>
      <c r="C842" s="137"/>
      <c r="D842" s="137"/>
      <c r="E842" s="137"/>
      <c r="F842" s="509"/>
    </row>
    <row r="843" spans="1:6" ht="30" customHeight="1">
      <c r="A843" s="137"/>
      <c r="B843" s="137"/>
      <c r="C843" s="137"/>
      <c r="D843" s="137"/>
      <c r="E843" s="137"/>
      <c r="F843" s="509"/>
    </row>
    <row r="844" spans="1:6" ht="30" customHeight="1">
      <c r="A844" s="137"/>
      <c r="B844" s="137"/>
      <c r="C844" s="137"/>
      <c r="D844" s="137"/>
      <c r="E844" s="137"/>
      <c r="F844" s="509"/>
    </row>
    <row r="845" spans="1:6" ht="30" customHeight="1">
      <c r="A845" s="137"/>
      <c r="B845" s="137"/>
      <c r="C845" s="137"/>
      <c r="D845" s="137"/>
      <c r="E845" s="137"/>
      <c r="F845" s="509"/>
    </row>
    <row r="846" spans="1:6" ht="30" customHeight="1">
      <c r="A846" s="137"/>
      <c r="B846" s="137"/>
      <c r="C846" s="137"/>
      <c r="D846" s="137"/>
      <c r="E846" s="137"/>
      <c r="F846" s="509"/>
    </row>
    <row r="847" spans="1:6" ht="30" customHeight="1">
      <c r="A847" s="137"/>
      <c r="B847" s="137"/>
      <c r="C847" s="137"/>
      <c r="D847" s="137"/>
      <c r="E847" s="137"/>
      <c r="F847" s="509"/>
    </row>
    <row r="848" spans="1:6" ht="30" customHeight="1">
      <c r="A848" s="137"/>
      <c r="B848" s="137"/>
      <c r="C848" s="137"/>
      <c r="D848" s="137"/>
      <c r="E848" s="137"/>
      <c r="F848" s="509"/>
    </row>
    <row r="849" spans="1:6" ht="30" customHeight="1">
      <c r="A849" s="137"/>
      <c r="B849" s="137"/>
      <c r="C849" s="137"/>
      <c r="D849" s="137"/>
      <c r="E849" s="137"/>
      <c r="F849" s="509"/>
    </row>
    <row r="850" spans="1:6" ht="30" customHeight="1">
      <c r="A850" s="137"/>
      <c r="B850" s="137"/>
      <c r="C850" s="137"/>
      <c r="D850" s="137"/>
      <c r="E850" s="137"/>
      <c r="F850" s="509"/>
    </row>
    <row r="851" spans="1:6" ht="30" customHeight="1">
      <c r="A851" s="137"/>
      <c r="B851" s="137"/>
      <c r="C851" s="137"/>
      <c r="D851" s="137"/>
      <c r="E851" s="137"/>
      <c r="F851" s="509"/>
    </row>
    <row r="852" spans="1:6" ht="30" customHeight="1">
      <c r="A852" s="137"/>
      <c r="B852" s="137"/>
      <c r="C852" s="137"/>
      <c r="D852" s="137"/>
      <c r="E852" s="137"/>
      <c r="F852" s="509"/>
    </row>
    <row r="853" spans="1:6" ht="30" customHeight="1">
      <c r="A853" s="137"/>
      <c r="B853" s="137"/>
      <c r="C853" s="137"/>
      <c r="D853" s="137"/>
      <c r="E853" s="137"/>
      <c r="F853" s="509"/>
    </row>
    <row r="854" spans="1:6" ht="30" customHeight="1">
      <c r="A854" s="137"/>
      <c r="B854" s="137"/>
      <c r="C854" s="137"/>
      <c r="D854" s="137"/>
      <c r="E854" s="137"/>
      <c r="F854" s="509"/>
    </row>
    <row r="855" spans="1:6" ht="30" customHeight="1">
      <c r="A855" s="137"/>
      <c r="B855" s="137"/>
      <c r="C855" s="137"/>
      <c r="D855" s="137"/>
      <c r="E855" s="137"/>
      <c r="F855" s="509"/>
    </row>
    <row r="856" spans="1:6" ht="30" customHeight="1">
      <c r="A856" s="137"/>
      <c r="B856" s="137"/>
      <c r="C856" s="137"/>
      <c r="D856" s="137"/>
      <c r="E856" s="137"/>
      <c r="F856" s="509"/>
    </row>
    <row r="857" spans="1:6" ht="30" customHeight="1">
      <c r="A857" s="137"/>
      <c r="B857" s="137"/>
      <c r="C857" s="137"/>
      <c r="D857" s="137"/>
      <c r="E857" s="137"/>
      <c r="F857" s="509"/>
    </row>
    <row r="858" spans="1:6" ht="30" customHeight="1">
      <c r="A858" s="137"/>
      <c r="B858" s="137"/>
      <c r="C858" s="137"/>
      <c r="D858" s="137"/>
      <c r="E858" s="137"/>
      <c r="F858" s="509"/>
    </row>
    <row r="859" spans="1:6" ht="30" customHeight="1">
      <c r="A859" s="137"/>
      <c r="B859" s="137"/>
      <c r="C859" s="137"/>
      <c r="D859" s="137"/>
      <c r="E859" s="137"/>
      <c r="F859" s="509"/>
    </row>
    <row r="860" spans="1:6" ht="30" customHeight="1">
      <c r="A860" s="137"/>
      <c r="B860" s="137"/>
      <c r="C860" s="137"/>
      <c r="D860" s="137"/>
      <c r="E860" s="137"/>
      <c r="F860" s="509"/>
    </row>
    <row r="861" spans="1:6" ht="30" customHeight="1">
      <c r="A861" s="137"/>
      <c r="B861" s="137"/>
      <c r="C861" s="137"/>
      <c r="D861" s="137"/>
      <c r="E861" s="137"/>
      <c r="F861" s="509"/>
    </row>
    <row r="862" spans="1:6" ht="30" customHeight="1">
      <c r="A862" s="137"/>
      <c r="B862" s="137"/>
      <c r="C862" s="137"/>
      <c r="D862" s="137"/>
      <c r="E862" s="137"/>
      <c r="F862" s="509"/>
    </row>
    <row r="863" spans="1:6" ht="30" customHeight="1">
      <c r="A863" s="137"/>
      <c r="B863" s="137"/>
      <c r="C863" s="137"/>
      <c r="D863" s="137"/>
      <c r="E863" s="137"/>
      <c r="F863" s="509"/>
    </row>
    <row r="864" spans="1:6" ht="30" customHeight="1">
      <c r="A864" s="137"/>
      <c r="B864" s="137"/>
      <c r="C864" s="137"/>
      <c r="D864" s="137"/>
      <c r="E864" s="137"/>
      <c r="F864" s="509"/>
    </row>
    <row r="865" spans="1:6" ht="30" customHeight="1">
      <c r="A865" s="137"/>
      <c r="B865" s="137"/>
      <c r="C865" s="137"/>
      <c r="D865" s="137"/>
      <c r="E865" s="137"/>
      <c r="F865" s="509"/>
    </row>
    <row r="866" spans="1:6" ht="30" customHeight="1">
      <c r="A866" s="137"/>
      <c r="B866" s="137"/>
      <c r="C866" s="137"/>
      <c r="D866" s="137"/>
      <c r="E866" s="137"/>
      <c r="F866" s="509"/>
    </row>
    <row r="867" spans="1:6" ht="30" customHeight="1">
      <c r="A867" s="137"/>
      <c r="B867" s="137"/>
      <c r="C867" s="137"/>
      <c r="D867" s="137"/>
      <c r="E867" s="137"/>
      <c r="F867" s="509"/>
    </row>
    <row r="868" spans="1:6" ht="30" customHeight="1">
      <c r="A868" s="137"/>
      <c r="B868" s="137"/>
      <c r="C868" s="137"/>
      <c r="D868" s="137"/>
      <c r="E868" s="137"/>
      <c r="F868" s="509"/>
    </row>
    <row r="869" spans="1:6" ht="30" customHeight="1">
      <c r="A869" s="137"/>
      <c r="B869" s="137"/>
      <c r="C869" s="137"/>
      <c r="D869" s="137"/>
      <c r="E869" s="137"/>
      <c r="F869" s="509"/>
    </row>
    <row r="870" spans="1:6" ht="30" customHeight="1">
      <c r="A870" s="137"/>
      <c r="B870" s="137"/>
      <c r="C870" s="137"/>
      <c r="D870" s="137"/>
      <c r="E870" s="137"/>
      <c r="F870" s="509"/>
    </row>
    <row r="871" spans="1:6" ht="30" customHeight="1">
      <c r="A871" s="137"/>
      <c r="B871" s="137"/>
      <c r="C871" s="137"/>
      <c r="D871" s="137"/>
      <c r="E871" s="137"/>
      <c r="F871" s="509"/>
    </row>
    <row r="872" spans="1:6" ht="30" customHeight="1">
      <c r="A872" s="137"/>
      <c r="B872" s="137"/>
      <c r="C872" s="137"/>
      <c r="D872" s="137"/>
      <c r="E872" s="137"/>
      <c r="F872" s="509"/>
    </row>
    <row r="873" spans="1:6" ht="30" customHeight="1">
      <c r="A873" s="137"/>
      <c r="B873" s="137"/>
      <c r="C873" s="137"/>
      <c r="D873" s="137"/>
      <c r="E873" s="137"/>
      <c r="F873" s="509"/>
    </row>
    <row r="874" spans="1:6" ht="30" customHeight="1">
      <c r="A874" s="137"/>
      <c r="B874" s="137"/>
      <c r="C874" s="137"/>
      <c r="D874" s="137"/>
      <c r="E874" s="137"/>
      <c r="F874" s="509"/>
    </row>
    <row r="875" spans="1:6" ht="30" customHeight="1">
      <c r="A875" s="137"/>
      <c r="B875" s="137"/>
      <c r="C875" s="137"/>
      <c r="D875" s="137"/>
      <c r="E875" s="137"/>
      <c r="F875" s="509"/>
    </row>
    <row r="876" spans="1:6" ht="30" customHeight="1">
      <c r="A876" s="137"/>
      <c r="B876" s="137"/>
      <c r="C876" s="137"/>
      <c r="D876" s="137"/>
      <c r="E876" s="137"/>
      <c r="F876" s="509"/>
    </row>
    <row r="877" spans="1:6" ht="30" customHeight="1">
      <c r="A877" s="137"/>
      <c r="B877" s="137"/>
      <c r="C877" s="137"/>
      <c r="D877" s="137"/>
      <c r="E877" s="137"/>
      <c r="F877" s="509"/>
    </row>
    <row r="878" spans="1:6" ht="30" customHeight="1">
      <c r="A878" s="137"/>
      <c r="B878" s="137"/>
      <c r="C878" s="137"/>
      <c r="D878" s="137"/>
      <c r="E878" s="137"/>
      <c r="F878" s="509"/>
    </row>
    <row r="879" spans="1:6" ht="30" customHeight="1">
      <c r="A879" s="137"/>
      <c r="B879" s="137"/>
      <c r="C879" s="137"/>
      <c r="D879" s="137"/>
      <c r="E879" s="137"/>
      <c r="F879" s="509"/>
    </row>
    <row r="880" spans="1:6" ht="30" customHeight="1">
      <c r="A880" s="137"/>
      <c r="B880" s="137"/>
      <c r="C880" s="137"/>
      <c r="D880" s="137"/>
      <c r="E880" s="137"/>
      <c r="F880" s="509"/>
    </row>
    <row r="881" spans="1:6" ht="30" customHeight="1">
      <c r="A881" s="137"/>
      <c r="B881" s="137"/>
      <c r="C881" s="137"/>
      <c r="D881" s="137"/>
      <c r="E881" s="137"/>
      <c r="F881" s="509"/>
    </row>
    <row r="882" spans="1:6" ht="30" customHeight="1">
      <c r="A882" s="137"/>
      <c r="B882" s="137"/>
      <c r="C882" s="137"/>
      <c r="D882" s="137"/>
      <c r="E882" s="137"/>
      <c r="F882" s="509"/>
    </row>
    <row r="883" spans="1:6" ht="30" customHeight="1">
      <c r="A883" s="137"/>
      <c r="B883" s="137"/>
      <c r="C883" s="137"/>
      <c r="D883" s="137"/>
      <c r="E883" s="137"/>
      <c r="F883" s="509"/>
    </row>
    <row r="884" spans="1:6" ht="30" customHeight="1">
      <c r="A884" s="137"/>
      <c r="B884" s="137"/>
      <c r="C884" s="137"/>
      <c r="D884" s="137"/>
      <c r="E884" s="137"/>
      <c r="F884" s="509"/>
    </row>
    <row r="885" spans="1:6" ht="30" customHeight="1">
      <c r="A885" s="137"/>
      <c r="B885" s="137"/>
      <c r="C885" s="137"/>
      <c r="D885" s="137"/>
      <c r="E885" s="137"/>
      <c r="F885" s="509"/>
    </row>
    <row r="886" spans="1:6" ht="30" customHeight="1">
      <c r="A886" s="137"/>
      <c r="B886" s="137"/>
      <c r="C886" s="137"/>
      <c r="D886" s="137"/>
      <c r="E886" s="137"/>
      <c r="F886" s="509"/>
    </row>
    <row r="887" spans="1:6" ht="30" customHeight="1">
      <c r="A887" s="137"/>
      <c r="B887" s="137"/>
      <c r="C887" s="137"/>
      <c r="D887" s="137"/>
      <c r="E887" s="137"/>
      <c r="F887" s="509"/>
    </row>
    <row r="888" spans="1:6" ht="30" customHeight="1">
      <c r="A888" s="137"/>
      <c r="B888" s="137"/>
      <c r="C888" s="137"/>
      <c r="D888" s="137"/>
      <c r="E888" s="137"/>
      <c r="F888" s="509"/>
    </row>
    <row r="889" spans="1:6" ht="30" customHeight="1">
      <c r="A889" s="137"/>
      <c r="B889" s="137"/>
      <c r="C889" s="137"/>
      <c r="D889" s="137"/>
      <c r="E889" s="137"/>
      <c r="F889" s="509"/>
    </row>
    <row r="890" spans="1:6" ht="30" customHeight="1">
      <c r="A890" s="137"/>
      <c r="B890" s="137"/>
      <c r="C890" s="137"/>
      <c r="D890" s="137"/>
      <c r="E890" s="137"/>
      <c r="F890" s="509"/>
    </row>
    <row r="891" spans="1:6" ht="30" customHeight="1">
      <c r="A891" s="137"/>
      <c r="B891" s="137"/>
      <c r="C891" s="137"/>
      <c r="D891" s="137"/>
      <c r="E891" s="137"/>
      <c r="F891" s="509"/>
    </row>
    <row r="892" spans="1:6" ht="30" customHeight="1">
      <c r="A892" s="137"/>
      <c r="B892" s="137"/>
      <c r="C892" s="137"/>
      <c r="D892" s="137"/>
      <c r="E892" s="137"/>
      <c r="F892" s="509"/>
    </row>
    <row r="893" spans="1:6" ht="30" customHeight="1">
      <c r="A893" s="137"/>
      <c r="B893" s="137"/>
      <c r="C893" s="137"/>
      <c r="D893" s="137"/>
      <c r="E893" s="137"/>
      <c r="F893" s="509"/>
    </row>
    <row r="894" spans="1:6" ht="30" customHeight="1">
      <c r="A894" s="137"/>
      <c r="B894" s="137"/>
      <c r="C894" s="137"/>
      <c r="D894" s="137"/>
      <c r="E894" s="137"/>
      <c r="F894" s="509"/>
    </row>
    <row r="895" spans="1:6" ht="30" customHeight="1">
      <c r="A895" s="137"/>
      <c r="B895" s="137"/>
      <c r="C895" s="137"/>
      <c r="D895" s="137"/>
      <c r="E895" s="137"/>
      <c r="F895" s="509"/>
    </row>
    <row r="896" spans="1:6" ht="30" customHeight="1">
      <c r="A896" s="137"/>
      <c r="B896" s="137"/>
      <c r="C896" s="137"/>
      <c r="D896" s="137"/>
      <c r="E896" s="137"/>
      <c r="F896" s="509"/>
    </row>
    <row r="897" spans="1:6" ht="30" customHeight="1">
      <c r="A897" s="137"/>
      <c r="B897" s="137"/>
      <c r="C897" s="137"/>
      <c r="D897" s="137"/>
      <c r="E897" s="137"/>
      <c r="F897" s="509"/>
    </row>
    <row r="898" spans="1:6" ht="30" customHeight="1">
      <c r="A898" s="137"/>
      <c r="B898" s="137"/>
      <c r="C898" s="137"/>
      <c r="D898" s="137"/>
      <c r="E898" s="137"/>
      <c r="F898" s="509"/>
    </row>
    <row r="899" spans="1:6" ht="30" customHeight="1">
      <c r="A899" s="137"/>
      <c r="B899" s="137"/>
      <c r="C899" s="137"/>
      <c r="D899" s="137"/>
      <c r="E899" s="137"/>
      <c r="F899" s="509"/>
    </row>
    <row r="900" spans="1:6" ht="30" customHeight="1">
      <c r="A900" s="137"/>
      <c r="B900" s="137"/>
      <c r="C900" s="137"/>
      <c r="D900" s="137"/>
      <c r="E900" s="137"/>
      <c r="F900" s="509"/>
    </row>
    <row r="901" spans="1:6" ht="30" customHeight="1">
      <c r="A901" s="137"/>
      <c r="B901" s="137"/>
      <c r="C901" s="137"/>
      <c r="D901" s="137"/>
      <c r="E901" s="137"/>
      <c r="F901" s="509"/>
    </row>
    <row r="902" spans="1:6" ht="30" customHeight="1">
      <c r="A902" s="137"/>
      <c r="B902" s="137"/>
      <c r="C902" s="137"/>
      <c r="D902" s="137"/>
      <c r="E902" s="137"/>
      <c r="F902" s="509"/>
    </row>
    <row r="903" spans="1:6" ht="30" customHeight="1">
      <c r="A903" s="137"/>
      <c r="B903" s="137"/>
      <c r="C903" s="137"/>
      <c r="D903" s="137"/>
      <c r="E903" s="137"/>
      <c r="F903" s="509"/>
    </row>
    <row r="904" spans="1:6" ht="30" customHeight="1">
      <c r="A904" s="137"/>
      <c r="B904" s="137"/>
      <c r="C904" s="137"/>
      <c r="D904" s="137"/>
      <c r="E904" s="137"/>
      <c r="F904" s="509"/>
    </row>
    <row r="905" spans="1:6" ht="30" customHeight="1">
      <c r="A905" s="137"/>
      <c r="B905" s="137"/>
      <c r="C905" s="137"/>
      <c r="D905" s="137"/>
      <c r="E905" s="137"/>
      <c r="F905" s="509"/>
    </row>
    <row r="906" spans="1:6" ht="30" customHeight="1">
      <c r="A906" s="137"/>
      <c r="B906" s="137"/>
      <c r="C906" s="137"/>
      <c r="D906" s="137"/>
      <c r="E906" s="137"/>
      <c r="F906" s="509"/>
    </row>
    <row r="907" spans="1:6" ht="30" customHeight="1">
      <c r="A907" s="137"/>
      <c r="B907" s="137"/>
      <c r="C907" s="137"/>
      <c r="D907" s="137"/>
      <c r="E907" s="137"/>
      <c r="F907" s="509"/>
    </row>
    <row r="908" spans="1:6" ht="30" customHeight="1">
      <c r="A908" s="137"/>
      <c r="B908" s="137"/>
      <c r="C908" s="137"/>
      <c r="D908" s="137"/>
      <c r="E908" s="137"/>
      <c r="F908" s="509"/>
    </row>
    <row r="909" spans="1:6" ht="30" customHeight="1">
      <c r="A909" s="137"/>
      <c r="B909" s="137"/>
      <c r="C909" s="137"/>
      <c r="D909" s="137"/>
      <c r="E909" s="137"/>
      <c r="F909" s="509"/>
    </row>
    <row r="910" spans="1:6" ht="30" customHeight="1">
      <c r="A910" s="137"/>
      <c r="B910" s="137"/>
      <c r="C910" s="137"/>
      <c r="D910" s="137"/>
      <c r="E910" s="137"/>
      <c r="F910" s="509"/>
    </row>
    <row r="911" spans="1:6" ht="30" customHeight="1">
      <c r="A911" s="137"/>
      <c r="B911" s="137"/>
      <c r="C911" s="137"/>
      <c r="D911" s="137"/>
      <c r="E911" s="137"/>
      <c r="F911" s="509"/>
    </row>
    <row r="912" spans="1:6" ht="30" customHeight="1">
      <c r="A912" s="137"/>
      <c r="B912" s="137"/>
      <c r="C912" s="137"/>
      <c r="D912" s="137"/>
      <c r="E912" s="137"/>
      <c r="F912" s="509"/>
    </row>
    <row r="913" spans="1:6" ht="30" customHeight="1">
      <c r="A913" s="137"/>
      <c r="B913" s="137"/>
      <c r="C913" s="137"/>
      <c r="D913" s="137"/>
      <c r="E913" s="137"/>
      <c r="F913" s="509"/>
    </row>
    <row r="914" spans="1:6" ht="30" customHeight="1">
      <c r="A914" s="137"/>
      <c r="B914" s="137"/>
      <c r="C914" s="137"/>
      <c r="D914" s="137"/>
      <c r="E914" s="137"/>
      <c r="F914" s="509"/>
    </row>
    <row r="915" spans="1:6" ht="30" customHeight="1">
      <c r="A915" s="137"/>
      <c r="B915" s="137"/>
      <c r="C915" s="137"/>
      <c r="D915" s="137"/>
      <c r="E915" s="137"/>
      <c r="F915" s="509"/>
    </row>
    <row r="916" spans="1:6" ht="30" customHeight="1">
      <c r="A916" s="137"/>
      <c r="B916" s="137"/>
      <c r="C916" s="137"/>
      <c r="D916" s="137"/>
      <c r="E916" s="137"/>
      <c r="F916" s="509"/>
    </row>
    <row r="917" spans="1:6" ht="30" customHeight="1">
      <c r="A917" s="137"/>
      <c r="B917" s="137"/>
      <c r="C917" s="137"/>
      <c r="D917" s="137"/>
      <c r="E917" s="137"/>
      <c r="F917" s="509"/>
    </row>
    <row r="918" spans="1:6" ht="30" customHeight="1">
      <c r="A918" s="137"/>
      <c r="B918" s="137"/>
      <c r="C918" s="137"/>
      <c r="D918" s="137"/>
      <c r="E918" s="137"/>
      <c r="F918" s="509"/>
    </row>
    <row r="919" spans="1:6" ht="30" customHeight="1">
      <c r="A919" s="137"/>
      <c r="B919" s="137"/>
      <c r="C919" s="137"/>
      <c r="D919" s="137"/>
      <c r="E919" s="137"/>
      <c r="F919" s="509"/>
    </row>
    <row r="920" spans="1:6" ht="30" customHeight="1">
      <c r="A920" s="137"/>
      <c r="B920" s="137"/>
      <c r="C920" s="137"/>
      <c r="D920" s="137"/>
      <c r="E920" s="137"/>
      <c r="F920" s="509"/>
    </row>
    <row r="921" spans="1:6" ht="30" customHeight="1">
      <c r="A921" s="137"/>
      <c r="B921" s="137"/>
      <c r="C921" s="137"/>
      <c r="D921" s="137"/>
      <c r="E921" s="137"/>
      <c r="F921" s="509"/>
    </row>
    <row r="922" spans="1:6" ht="30" customHeight="1">
      <c r="A922" s="137"/>
      <c r="B922" s="137"/>
      <c r="C922" s="137"/>
      <c r="D922" s="137"/>
      <c r="E922" s="137"/>
      <c r="F922" s="509"/>
    </row>
    <row r="923" spans="1:6" ht="30" customHeight="1">
      <c r="A923" s="137"/>
      <c r="B923" s="137"/>
      <c r="C923" s="137"/>
      <c r="D923" s="137"/>
      <c r="E923" s="137"/>
      <c r="F923" s="509"/>
    </row>
    <row r="924" spans="1:6" ht="30" customHeight="1">
      <c r="A924" s="137"/>
      <c r="B924" s="137"/>
      <c r="C924" s="137"/>
      <c r="D924" s="137"/>
      <c r="E924" s="137"/>
      <c r="F924" s="509"/>
    </row>
    <row r="925" spans="1:6" ht="30" customHeight="1">
      <c r="A925" s="137"/>
      <c r="B925" s="137"/>
      <c r="C925" s="137"/>
      <c r="D925" s="137"/>
      <c r="E925" s="137"/>
      <c r="F925" s="509"/>
    </row>
    <row r="926" spans="1:6" ht="30" customHeight="1">
      <c r="A926" s="137"/>
      <c r="B926" s="137"/>
      <c r="C926" s="137"/>
      <c r="D926" s="137"/>
      <c r="E926" s="137"/>
      <c r="F926" s="509"/>
    </row>
    <row r="927" spans="1:6" ht="30" customHeight="1">
      <c r="A927" s="137"/>
      <c r="B927" s="137"/>
      <c r="C927" s="137"/>
      <c r="D927" s="137"/>
      <c r="E927" s="137"/>
      <c r="F927" s="509"/>
    </row>
    <row r="928" spans="1:6" ht="30" customHeight="1">
      <c r="A928" s="137"/>
      <c r="B928" s="137"/>
      <c r="C928" s="137"/>
      <c r="D928" s="137"/>
      <c r="E928" s="137"/>
      <c r="F928" s="509"/>
    </row>
    <row r="929" spans="1:6" ht="30" customHeight="1">
      <c r="A929" s="137"/>
      <c r="B929" s="137"/>
      <c r="C929" s="137"/>
      <c r="D929" s="137"/>
      <c r="E929" s="137"/>
      <c r="F929" s="509"/>
    </row>
    <row r="930" spans="1:6" ht="30" customHeight="1">
      <c r="A930" s="137"/>
      <c r="B930" s="137"/>
      <c r="C930" s="137"/>
      <c r="D930" s="137"/>
      <c r="E930" s="137"/>
      <c r="F930" s="509"/>
    </row>
    <row r="931" spans="1:6" ht="30" customHeight="1">
      <c r="A931" s="137"/>
      <c r="B931" s="137"/>
      <c r="C931" s="137"/>
      <c r="D931" s="137"/>
      <c r="E931" s="137"/>
      <c r="F931" s="509"/>
    </row>
    <row r="932" spans="1:6" ht="30" customHeight="1">
      <c r="A932" s="137"/>
      <c r="B932" s="137"/>
      <c r="C932" s="137"/>
      <c r="D932" s="137"/>
      <c r="E932" s="137"/>
      <c r="F932" s="509"/>
    </row>
    <row r="933" spans="1:6" ht="30" customHeight="1">
      <c r="A933" s="137"/>
      <c r="B933" s="137"/>
      <c r="C933" s="137"/>
      <c r="D933" s="137"/>
      <c r="E933" s="137"/>
      <c r="F933" s="509"/>
    </row>
    <row r="934" spans="1:6" ht="30" customHeight="1">
      <c r="A934" s="137"/>
      <c r="B934" s="137"/>
      <c r="C934" s="137"/>
      <c r="D934" s="137"/>
      <c r="E934" s="137"/>
      <c r="F934" s="509"/>
    </row>
    <row r="935" spans="1:6" ht="30" customHeight="1">
      <c r="A935" s="137"/>
      <c r="B935" s="137"/>
      <c r="C935" s="137"/>
      <c r="D935" s="137"/>
      <c r="E935" s="137"/>
      <c r="F935" s="509"/>
    </row>
    <row r="936" spans="1:6" ht="30" customHeight="1">
      <c r="A936" s="137"/>
      <c r="B936" s="137"/>
      <c r="C936" s="137"/>
      <c r="D936" s="137"/>
      <c r="E936" s="137"/>
      <c r="F936" s="509"/>
    </row>
    <row r="937" spans="1:6" ht="30" customHeight="1">
      <c r="A937" s="137"/>
      <c r="B937" s="137"/>
      <c r="C937" s="137"/>
      <c r="D937" s="137"/>
      <c r="E937" s="137"/>
      <c r="F937" s="509"/>
    </row>
    <row r="938" spans="1:6" ht="30" customHeight="1">
      <c r="A938" s="137"/>
      <c r="B938" s="137"/>
      <c r="C938" s="137"/>
      <c r="D938" s="137"/>
      <c r="E938" s="137"/>
      <c r="F938" s="509"/>
    </row>
    <row r="939" spans="1:6" ht="30" customHeight="1">
      <c r="A939" s="137"/>
      <c r="B939" s="137"/>
      <c r="C939" s="137"/>
      <c r="D939" s="137"/>
      <c r="E939" s="137"/>
      <c r="F939" s="509"/>
    </row>
    <row r="940" spans="1:6" ht="30" customHeight="1">
      <c r="A940" s="137"/>
      <c r="B940" s="137"/>
      <c r="C940" s="137"/>
      <c r="D940" s="137"/>
      <c r="E940" s="137"/>
      <c r="F940" s="509"/>
    </row>
    <row r="941" spans="1:6" ht="30" customHeight="1">
      <c r="A941" s="137"/>
      <c r="B941" s="137"/>
      <c r="C941" s="137"/>
      <c r="D941" s="137"/>
      <c r="E941" s="137"/>
      <c r="F941" s="509"/>
    </row>
    <row r="942" spans="1:6" ht="30" customHeight="1">
      <c r="A942" s="137"/>
      <c r="B942" s="137"/>
      <c r="C942" s="137"/>
      <c r="D942" s="137"/>
      <c r="E942" s="137"/>
      <c r="F942" s="509"/>
    </row>
    <row r="943" spans="1:6" ht="30" customHeight="1">
      <c r="A943" s="137"/>
      <c r="B943" s="137"/>
      <c r="C943" s="137"/>
      <c r="D943" s="137"/>
      <c r="E943" s="137"/>
      <c r="F943" s="509"/>
    </row>
    <row r="944" spans="1:6" ht="30" customHeight="1">
      <c r="A944" s="137"/>
      <c r="B944" s="137"/>
      <c r="C944" s="137"/>
      <c r="D944" s="137"/>
      <c r="E944" s="137"/>
      <c r="F944" s="509"/>
    </row>
    <row r="945" spans="1:6" ht="30" customHeight="1">
      <c r="A945" s="137"/>
      <c r="B945" s="137"/>
      <c r="C945" s="137"/>
      <c r="D945" s="137"/>
      <c r="E945" s="137"/>
      <c r="F945" s="509"/>
    </row>
    <row r="946" spans="1:6" ht="30" customHeight="1">
      <c r="A946" s="137"/>
      <c r="B946" s="137"/>
      <c r="C946" s="137"/>
      <c r="D946" s="137"/>
      <c r="E946" s="137"/>
      <c r="F946" s="509"/>
    </row>
    <row r="947" spans="1:6" ht="30" customHeight="1">
      <c r="A947" s="137"/>
      <c r="B947" s="137"/>
      <c r="C947" s="137"/>
      <c r="D947" s="137"/>
      <c r="E947" s="137"/>
      <c r="F947" s="509"/>
    </row>
    <row r="948" spans="1:6" ht="30" customHeight="1">
      <c r="A948" s="137"/>
      <c r="B948" s="137"/>
      <c r="C948" s="137"/>
      <c r="D948" s="137"/>
      <c r="E948" s="137"/>
      <c r="F948" s="509"/>
    </row>
    <row r="949" spans="1:6" ht="30" customHeight="1">
      <c r="A949" s="137"/>
      <c r="B949" s="137"/>
      <c r="C949" s="137"/>
      <c r="D949" s="137"/>
      <c r="E949" s="137"/>
      <c r="F949" s="509"/>
    </row>
    <row r="950" spans="1:6" ht="30" customHeight="1">
      <c r="A950" s="137"/>
      <c r="B950" s="137"/>
      <c r="C950" s="137"/>
      <c r="D950" s="137"/>
      <c r="E950" s="137"/>
      <c r="F950" s="509"/>
    </row>
    <row r="951" spans="1:6" ht="30" customHeight="1">
      <c r="A951" s="137"/>
      <c r="B951" s="137"/>
      <c r="C951" s="137"/>
      <c r="D951" s="137"/>
      <c r="E951" s="137"/>
      <c r="F951" s="509"/>
    </row>
    <row r="952" spans="1:6" ht="30" customHeight="1">
      <c r="A952" s="137"/>
      <c r="B952" s="137"/>
      <c r="C952" s="137"/>
      <c r="D952" s="137"/>
      <c r="E952" s="137"/>
      <c r="F952" s="509"/>
    </row>
    <row r="953" spans="1:6" ht="30" customHeight="1">
      <c r="A953" s="137"/>
      <c r="B953" s="137"/>
      <c r="C953" s="137"/>
      <c r="D953" s="137"/>
      <c r="E953" s="137"/>
      <c r="F953" s="509"/>
    </row>
    <row r="954" spans="1:6" ht="30" customHeight="1">
      <c r="A954" s="137"/>
      <c r="B954" s="137"/>
      <c r="C954" s="137"/>
      <c r="D954" s="137"/>
      <c r="E954" s="137"/>
      <c r="F954" s="509"/>
    </row>
  </sheetData>
  <sortState ref="C26:D40">
    <sortCondition descending="1" ref="C26:C40"/>
  </sortState>
  <mergeCells count="9">
    <mergeCell ref="A3:F3"/>
    <mergeCell ref="A1:F1"/>
    <mergeCell ref="A2:F2"/>
    <mergeCell ref="A12:A23"/>
    <mergeCell ref="B12:B23"/>
    <mergeCell ref="A10:A11"/>
    <mergeCell ref="B10:B11"/>
    <mergeCell ref="A5:A9"/>
    <mergeCell ref="B5:B9"/>
  </mergeCells>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2">
    <tabColor theme="2" tint="-0.89999084444715716"/>
  </sheetPr>
  <dimension ref="A1:FL1018"/>
  <sheetViews>
    <sheetView showGridLines="0" topLeftCell="C88" zoomScale="80" zoomScaleNormal="80" workbookViewId="0">
      <selection sqref="A1:FP181"/>
    </sheetView>
  </sheetViews>
  <sheetFormatPr baseColWidth="10" defaultColWidth="11.42578125" defaultRowHeight="15" customHeight="1"/>
  <cols>
    <col min="1" max="1" width="21.85546875" hidden="1" customWidth="1"/>
    <col min="2" max="2" width="15" hidden="1" customWidth="1"/>
    <col min="3" max="3" width="15" customWidth="1"/>
    <col min="4" max="4" width="54.7109375" customWidth="1"/>
    <col min="5" max="5" width="33.42578125" customWidth="1"/>
    <col min="6" max="9" width="3.28515625" hidden="1" customWidth="1"/>
    <col min="10" max="10" width="8.7109375" customWidth="1"/>
    <col min="11" max="19" width="1.5703125" hidden="1" customWidth="1"/>
    <col min="20" max="20" width="3.85546875" customWidth="1"/>
    <col min="21" max="21" width="14.5703125" customWidth="1"/>
    <col min="22" max="22" width="19.7109375" customWidth="1"/>
    <col min="23" max="23" width="19.85546875" style="2274" customWidth="1"/>
    <col min="24" max="24" width="15.5703125" style="2272" hidden="1" customWidth="1"/>
    <col min="25" max="25" width="20.140625" hidden="1" customWidth="1"/>
    <col min="26" max="26" width="20.85546875" hidden="1" customWidth="1"/>
    <col min="27" max="27" width="30" hidden="1" customWidth="1"/>
    <col min="28" max="28" width="23.28515625" hidden="1" customWidth="1"/>
    <col min="29" max="29" width="26" hidden="1" customWidth="1"/>
    <col min="30" max="30" width="19.28515625" hidden="1" customWidth="1"/>
    <col min="31" max="31" width="17.85546875" hidden="1" customWidth="1"/>
    <col min="32" max="33" width="7.7109375" hidden="1" customWidth="1"/>
    <col min="34" max="34" width="15" hidden="1" customWidth="1"/>
    <col min="35" max="49" width="6.140625" hidden="1" customWidth="1"/>
    <col min="50" max="50" width="5.7109375" hidden="1" customWidth="1"/>
    <col min="51" max="51" width="6.140625" hidden="1" customWidth="1"/>
    <col min="52" max="52" width="5.5703125" hidden="1" customWidth="1"/>
    <col min="53" max="55" width="4.28515625" hidden="1" customWidth="1"/>
    <col min="56" max="59" width="6.140625" hidden="1" customWidth="1"/>
    <col min="60" max="60" width="25.7109375" hidden="1" customWidth="1"/>
    <col min="61" max="61" width="29.5703125" hidden="1" customWidth="1"/>
    <col min="62" max="62" width="19.42578125" hidden="1" customWidth="1"/>
    <col min="63" max="63" width="23.7109375" hidden="1" customWidth="1"/>
    <col min="64" max="64" width="20.28515625" hidden="1" customWidth="1"/>
    <col min="65" max="65" width="20.7109375" hidden="1" customWidth="1"/>
    <col min="66" max="66" width="14.28515625" hidden="1" customWidth="1"/>
    <col min="67" max="68" width="11.42578125" hidden="1" customWidth="1"/>
    <col min="69" max="69" width="7.140625" hidden="1" customWidth="1"/>
    <col min="70" max="70" width="8" style="2272" hidden="1" customWidth="1"/>
    <col min="71" max="71" width="15.5703125" style="2674" hidden="1" customWidth="1"/>
    <col min="72" max="72" width="27" style="767" hidden="1" customWidth="1"/>
    <col min="73" max="73" width="10.7109375" style="767" hidden="1" customWidth="1"/>
    <col min="74" max="74" width="75.42578125" hidden="1" customWidth="1"/>
    <col min="75" max="75" width="15.7109375" hidden="1" customWidth="1"/>
    <col min="76" max="76" width="23.5703125" hidden="1" customWidth="1"/>
    <col min="77" max="77" width="21.85546875" style="2273" hidden="1" customWidth="1"/>
    <col min="78" max="80" width="14.28515625" style="2273" hidden="1" customWidth="1"/>
    <col min="81" max="121" width="14.28515625" style="2673" hidden="1" customWidth="1"/>
    <col min="122" max="122" width="1.42578125" style="2272" customWidth="1"/>
  </cols>
  <sheetData>
    <row r="1" spans="1:168" ht="15" customHeight="1" thickBot="1">
      <c r="A1" s="16663" t="s">
        <v>1794</v>
      </c>
      <c r="B1" s="16664"/>
      <c r="C1" s="16664"/>
      <c r="D1" s="16664"/>
      <c r="E1" s="16664"/>
      <c r="F1" s="16664"/>
      <c r="G1" s="16664"/>
      <c r="H1" s="16664"/>
      <c r="I1" s="16664"/>
      <c r="J1" s="16664"/>
      <c r="K1" s="16664"/>
      <c r="L1" s="16664"/>
      <c r="M1" s="16664"/>
      <c r="N1" s="16664"/>
      <c r="O1" s="16664"/>
      <c r="P1" s="16664"/>
      <c r="Q1" s="16664"/>
      <c r="R1" s="16664"/>
      <c r="S1" s="16664"/>
      <c r="T1" s="16664"/>
      <c r="U1" s="16664"/>
      <c r="V1" s="16664"/>
      <c r="W1" s="16664"/>
      <c r="X1" s="16665"/>
      <c r="Y1" s="16666"/>
      <c r="Z1" s="15611" t="s">
        <v>0</v>
      </c>
      <c r="AA1" s="15611"/>
      <c r="AB1" s="15611"/>
      <c r="AC1" s="15611"/>
      <c r="AD1" s="15611"/>
      <c r="AE1" s="15611"/>
      <c r="AF1" s="15611"/>
      <c r="AG1" s="15611"/>
      <c r="AH1" s="15611"/>
      <c r="AI1" s="15611"/>
      <c r="AJ1" s="15611"/>
      <c r="AK1" s="15611"/>
      <c r="AL1" s="15611"/>
      <c r="AM1" s="15611"/>
      <c r="AN1" s="15611"/>
      <c r="AO1" s="15611"/>
      <c r="AP1" s="15611"/>
      <c r="AQ1" s="15611"/>
      <c r="AR1" s="15611"/>
      <c r="AS1" s="15611"/>
      <c r="AT1" s="15611"/>
      <c r="AU1" s="15611"/>
      <c r="AV1" s="15611"/>
      <c r="AW1" s="15611"/>
      <c r="AX1" s="15611"/>
      <c r="AY1" s="15611"/>
      <c r="AZ1" s="15611"/>
      <c r="BA1" s="15611"/>
      <c r="BB1" s="15611"/>
      <c r="BC1" s="15611"/>
      <c r="BD1" s="15611"/>
      <c r="BE1" s="15611"/>
      <c r="BF1" s="15611"/>
      <c r="BG1" s="15611"/>
      <c r="BH1" s="15611"/>
      <c r="BI1" s="15611"/>
      <c r="BJ1" s="15611"/>
      <c r="BK1" s="15611"/>
      <c r="BL1" s="15611"/>
      <c r="BM1" s="15611"/>
      <c r="BN1" s="15611"/>
      <c r="BO1" s="15611"/>
      <c r="BP1" s="15611"/>
      <c r="BQ1" s="15612"/>
      <c r="BR1" s="2201"/>
      <c r="BS1" s="16689" t="s">
        <v>8493</v>
      </c>
      <c r="BT1" s="16690"/>
      <c r="BU1" s="16691"/>
      <c r="BV1" s="15611"/>
      <c r="BW1" s="15611"/>
      <c r="BX1" s="15611"/>
      <c r="BY1" s="16691"/>
      <c r="BZ1" s="16691"/>
      <c r="CA1" s="16691"/>
      <c r="CB1" s="16691"/>
      <c r="CC1" s="16691"/>
      <c r="CD1" s="16691"/>
      <c r="CE1" s="16691"/>
      <c r="CF1" s="16691"/>
      <c r="CG1" s="16691"/>
      <c r="CH1" s="16691"/>
      <c r="CI1" s="16691"/>
      <c r="CJ1" s="16691"/>
      <c r="CK1" s="16691"/>
      <c r="CL1" s="16691"/>
      <c r="CM1" s="16691"/>
      <c r="CN1" s="16691"/>
      <c r="CO1" s="16691"/>
      <c r="CP1" s="16691"/>
      <c r="CQ1" s="16691"/>
      <c r="CR1" s="16691"/>
      <c r="CS1" s="16691"/>
      <c r="CT1" s="16691"/>
      <c r="CU1" s="16691"/>
      <c r="CV1" s="16691"/>
      <c r="CW1" s="16691"/>
      <c r="CX1" s="16691"/>
      <c r="CY1" s="16691"/>
      <c r="CZ1" s="16691"/>
      <c r="DA1" s="16691"/>
      <c r="DB1" s="16691"/>
      <c r="DC1" s="16691"/>
      <c r="DD1" s="16691"/>
      <c r="DE1" s="16691"/>
      <c r="DF1" s="16691"/>
      <c r="DG1" s="16691"/>
      <c r="DH1" s="16691"/>
      <c r="DI1" s="16691"/>
      <c r="DJ1" s="16691"/>
      <c r="DK1" s="16691"/>
      <c r="DL1" s="16691"/>
      <c r="DM1" s="16691"/>
      <c r="DN1" s="16691"/>
      <c r="DO1" s="16691"/>
      <c r="DP1" s="16691"/>
      <c r="DQ1" s="16692"/>
      <c r="DS1" s="13291" t="s">
        <v>8497</v>
      </c>
      <c r="DT1" s="13291"/>
      <c r="DU1" s="13291"/>
      <c r="DV1" s="13291"/>
      <c r="DW1" s="13291"/>
      <c r="DX1" s="13291"/>
      <c r="DY1" s="13618"/>
      <c r="DZ1" s="13618"/>
      <c r="EA1" s="13618"/>
      <c r="EB1" s="13618"/>
      <c r="EC1" s="13291"/>
      <c r="ED1" s="13291"/>
      <c r="EE1" s="13291"/>
      <c r="EF1" s="13291"/>
      <c r="EG1" s="13291"/>
      <c r="EH1" s="13291"/>
      <c r="EI1" s="13291"/>
      <c r="EJ1" s="13291"/>
      <c r="EK1" s="13291"/>
      <c r="EL1" s="13291"/>
      <c r="EM1" s="13291"/>
      <c r="EN1" s="13291"/>
      <c r="EO1" s="13291"/>
      <c r="EP1" s="13291"/>
      <c r="EQ1" s="13291"/>
      <c r="ER1" s="13291"/>
      <c r="ES1" s="13291"/>
      <c r="ET1" s="13291"/>
      <c r="EU1" s="13291"/>
      <c r="EV1" s="13291"/>
      <c r="EW1" s="13291"/>
      <c r="EX1" s="13291"/>
      <c r="EY1" s="13291"/>
      <c r="EZ1" s="13291"/>
      <c r="FA1" s="13291"/>
      <c r="FB1" s="13291"/>
      <c r="FC1" s="13291"/>
      <c r="FD1" s="13291"/>
      <c r="FE1" s="13291"/>
      <c r="FF1" s="13291"/>
      <c r="FG1" s="13291"/>
      <c r="FH1" s="13291"/>
      <c r="FI1" s="13291"/>
      <c r="FJ1" s="13291"/>
      <c r="FK1" s="13291"/>
      <c r="FL1" s="13292"/>
    </row>
    <row r="2" spans="1:168" ht="15" customHeight="1" thickBot="1">
      <c r="A2" s="16605" t="s">
        <v>9363</v>
      </c>
      <c r="B2" s="16606"/>
      <c r="C2" s="16606"/>
      <c r="D2" s="16606"/>
      <c r="E2" s="16606"/>
      <c r="F2" s="16606"/>
      <c r="G2" s="16606"/>
      <c r="H2" s="16606"/>
      <c r="I2" s="16606"/>
      <c r="J2" s="16606"/>
      <c r="K2" s="16606"/>
      <c r="L2" s="16606"/>
      <c r="M2" s="16606"/>
      <c r="N2" s="16606"/>
      <c r="O2" s="16606"/>
      <c r="P2" s="16606"/>
      <c r="Q2" s="16606"/>
      <c r="R2" s="16606"/>
      <c r="S2" s="16606"/>
      <c r="T2" s="16606"/>
      <c r="U2" s="16606"/>
      <c r="V2" s="16606"/>
      <c r="W2" s="16606"/>
      <c r="X2" s="16620"/>
      <c r="Y2" s="16667"/>
      <c r="Z2" s="15613" t="s">
        <v>1</v>
      </c>
      <c r="AA2" s="13295" t="s">
        <v>2</v>
      </c>
      <c r="AB2" s="13295" t="s">
        <v>3</v>
      </c>
      <c r="AC2" s="13297" t="s">
        <v>4</v>
      </c>
      <c r="AD2" s="13299" t="s">
        <v>355</v>
      </c>
      <c r="AE2" s="13300"/>
      <c r="AF2" s="13300"/>
      <c r="AG2" s="13301"/>
      <c r="AH2" s="13299" t="s">
        <v>356</v>
      </c>
      <c r="AI2" s="13300"/>
      <c r="AJ2" s="13300"/>
      <c r="AK2" s="13300"/>
      <c r="AL2" s="13300"/>
      <c r="AM2" s="13300"/>
      <c r="AN2" s="13300"/>
      <c r="AO2" s="13300"/>
      <c r="AP2" s="13300"/>
      <c r="AQ2" s="13300"/>
      <c r="AR2" s="13300"/>
      <c r="AS2" s="13300"/>
      <c r="AT2" s="13300"/>
      <c r="AU2" s="13300"/>
      <c r="AV2" s="13300"/>
      <c r="AW2" s="13300"/>
      <c r="AX2" s="13300"/>
      <c r="AY2" s="13300"/>
      <c r="AZ2" s="13300"/>
      <c r="BA2" s="13300"/>
      <c r="BB2" s="13300"/>
      <c r="BC2" s="13300"/>
      <c r="BD2" s="13300"/>
      <c r="BE2" s="13300"/>
      <c r="BF2" s="13300"/>
      <c r="BG2" s="13301"/>
      <c r="BH2" s="13302" t="s">
        <v>357</v>
      </c>
      <c r="BI2" s="13303"/>
      <c r="BJ2" s="13303"/>
      <c r="BK2" s="13303"/>
      <c r="BL2" s="13304"/>
      <c r="BM2" s="13305" t="s">
        <v>5</v>
      </c>
      <c r="BN2" s="13306"/>
      <c r="BO2" s="13306"/>
      <c r="BP2" s="13306"/>
      <c r="BQ2" s="13306"/>
      <c r="BR2" s="6702"/>
      <c r="BS2" s="16698" t="s">
        <v>8490</v>
      </c>
      <c r="BT2" s="16637" t="s">
        <v>9652</v>
      </c>
      <c r="BU2" s="16596" t="s">
        <v>9651</v>
      </c>
      <c r="BV2" s="13295" t="s">
        <v>8491</v>
      </c>
      <c r="BW2" s="13295" t="s">
        <v>8492</v>
      </c>
      <c r="BX2" s="13297" t="s">
        <v>4</v>
      </c>
      <c r="BY2" s="14602" t="s">
        <v>355</v>
      </c>
      <c r="BZ2" s="14603"/>
      <c r="CA2" s="14603"/>
      <c r="CB2" s="14604"/>
      <c r="CC2" s="14602" t="s">
        <v>356</v>
      </c>
      <c r="CD2" s="14603"/>
      <c r="CE2" s="14603"/>
      <c r="CF2" s="14603"/>
      <c r="CG2" s="14603"/>
      <c r="CH2" s="14603"/>
      <c r="CI2" s="14603"/>
      <c r="CJ2" s="14603"/>
      <c r="CK2" s="14603"/>
      <c r="CL2" s="14603"/>
      <c r="CM2" s="14603"/>
      <c r="CN2" s="14603"/>
      <c r="CO2" s="14603"/>
      <c r="CP2" s="14603"/>
      <c r="CQ2" s="14603"/>
      <c r="CR2" s="14603"/>
      <c r="CS2" s="14603"/>
      <c r="CT2" s="14603"/>
      <c r="CU2" s="14603"/>
      <c r="CV2" s="14603"/>
      <c r="CW2" s="14603"/>
      <c r="CX2" s="14603"/>
      <c r="CY2" s="14603"/>
      <c r="CZ2" s="14603"/>
      <c r="DA2" s="14603"/>
      <c r="DB2" s="14603"/>
      <c r="DC2" s="14603"/>
      <c r="DD2" s="14603"/>
      <c r="DE2" s="14603"/>
      <c r="DF2" s="14604"/>
      <c r="DG2" s="5003"/>
      <c r="DH2" s="15629" t="s">
        <v>357</v>
      </c>
      <c r="DI2" s="15630"/>
      <c r="DJ2" s="15630"/>
      <c r="DK2" s="15630"/>
      <c r="DL2" s="15631"/>
      <c r="DM2" s="15632" t="s">
        <v>5</v>
      </c>
      <c r="DN2" s="15633"/>
      <c r="DO2" s="15633"/>
      <c r="DP2" s="15633"/>
      <c r="DQ2" s="15634"/>
      <c r="DS2" s="5000" t="s">
        <v>8498</v>
      </c>
      <c r="DT2" s="5156" t="s">
        <v>10189</v>
      </c>
      <c r="DU2" s="5156" t="s">
        <v>10190</v>
      </c>
      <c r="DV2" s="4984" t="s">
        <v>8499</v>
      </c>
      <c r="DW2" s="4984" t="s">
        <v>8500</v>
      </c>
      <c r="DX2" s="4986" t="s">
        <v>4</v>
      </c>
      <c r="DY2" s="5002" t="s">
        <v>355</v>
      </c>
      <c r="DZ2" s="5003"/>
      <c r="EA2" s="5003"/>
      <c r="EB2" s="5004"/>
      <c r="EC2" s="4988" t="s">
        <v>356</v>
      </c>
      <c r="ED2" s="4989"/>
      <c r="EE2" s="4989"/>
      <c r="EF2" s="4989"/>
      <c r="EG2" s="4989"/>
      <c r="EH2" s="4989"/>
      <c r="EI2" s="4989"/>
      <c r="EJ2" s="4989"/>
      <c r="EK2" s="4989"/>
      <c r="EL2" s="4989"/>
      <c r="EM2" s="4989"/>
      <c r="EN2" s="4989"/>
      <c r="EO2" s="5030"/>
      <c r="EP2" s="5030"/>
      <c r="EQ2" s="5030"/>
      <c r="ER2" s="5030"/>
      <c r="ES2" s="5030"/>
      <c r="ET2" s="5030"/>
      <c r="EU2" s="5030"/>
      <c r="EV2" s="5030"/>
      <c r="EW2" s="5030"/>
      <c r="EX2" s="5030"/>
      <c r="EY2" s="5030"/>
      <c r="EZ2" s="5030"/>
      <c r="FA2" s="5030"/>
      <c r="FB2" s="5031"/>
      <c r="FC2" s="5032" t="s">
        <v>357</v>
      </c>
      <c r="FD2" s="5033"/>
      <c r="FE2" s="5033"/>
      <c r="FF2" s="5033"/>
      <c r="FG2" s="5034"/>
      <c r="FH2" s="4990" t="s">
        <v>5</v>
      </c>
      <c r="FI2" s="4991"/>
      <c r="FJ2" s="4991"/>
      <c r="FK2" s="4991"/>
      <c r="FL2" s="4992"/>
    </row>
    <row r="3" spans="1:168" ht="15" customHeight="1" thickBot="1">
      <c r="A3" s="16668" t="s">
        <v>1795</v>
      </c>
      <c r="B3" s="16615"/>
      <c r="C3" s="16615"/>
      <c r="D3" s="16615"/>
      <c r="E3" s="16615"/>
      <c r="F3" s="16615"/>
      <c r="G3" s="16615"/>
      <c r="H3" s="16615"/>
      <c r="I3" s="16615"/>
      <c r="J3" s="16615"/>
      <c r="K3" s="16615"/>
      <c r="L3" s="16615"/>
      <c r="M3" s="16615"/>
      <c r="N3" s="16615"/>
      <c r="O3" s="16615"/>
      <c r="P3" s="16615"/>
      <c r="Q3" s="16615"/>
      <c r="R3" s="16615"/>
      <c r="S3" s="16615"/>
      <c r="T3" s="16615"/>
      <c r="U3" s="16615"/>
      <c r="V3" s="16615"/>
      <c r="W3" s="16615"/>
      <c r="X3" s="16669"/>
      <c r="Y3" s="16670"/>
      <c r="Z3" s="15614"/>
      <c r="AA3" s="13296"/>
      <c r="AB3" s="13296"/>
      <c r="AC3" s="13298"/>
      <c r="AD3" s="13308" t="s">
        <v>6</v>
      </c>
      <c r="AE3" s="13310" t="s">
        <v>7</v>
      </c>
      <c r="AF3" s="13312" t="s">
        <v>8</v>
      </c>
      <c r="AG3" s="13314" t="s">
        <v>9</v>
      </c>
      <c r="AH3" s="13308" t="s">
        <v>10</v>
      </c>
      <c r="AI3" s="13282" t="s">
        <v>11</v>
      </c>
      <c r="AJ3" s="13284"/>
      <c r="AK3" s="13282" t="s">
        <v>12</v>
      </c>
      <c r="AL3" s="13284"/>
      <c r="AM3" s="13282" t="s">
        <v>13</v>
      </c>
      <c r="AN3" s="13283"/>
      <c r="AO3" s="13283"/>
      <c r="AP3" s="13283"/>
      <c r="AQ3" s="13283"/>
      <c r="AR3" s="13283"/>
      <c r="AS3" s="13284"/>
      <c r="AT3" s="13285" t="s">
        <v>14</v>
      </c>
      <c r="AU3" s="13286"/>
      <c r="AV3" s="13286"/>
      <c r="AW3" s="13286"/>
      <c r="AX3" s="13286"/>
      <c r="AY3" s="13286"/>
      <c r="AZ3" s="13286"/>
      <c r="BA3" s="13287"/>
      <c r="BB3" s="13285" t="s">
        <v>15</v>
      </c>
      <c r="BC3" s="13286"/>
      <c r="BD3" s="13286"/>
      <c r="BE3" s="13286"/>
      <c r="BF3" s="13286"/>
      <c r="BG3" s="13287"/>
      <c r="BH3" s="13288" t="s">
        <v>16</v>
      </c>
      <c r="BI3" s="13288" t="s">
        <v>17</v>
      </c>
      <c r="BJ3" s="13275" t="s">
        <v>18</v>
      </c>
      <c r="BK3" s="10" t="s">
        <v>19</v>
      </c>
      <c r="BL3" s="489"/>
      <c r="BM3" s="13277" t="s">
        <v>21</v>
      </c>
      <c r="BN3" s="13279" t="s">
        <v>22</v>
      </c>
      <c r="BO3" s="13280"/>
      <c r="BP3" s="13281"/>
      <c r="BQ3" s="4978" t="s">
        <v>20</v>
      </c>
      <c r="BR3" s="510"/>
      <c r="BS3" s="16699"/>
      <c r="BT3" s="16638"/>
      <c r="BU3" s="16032"/>
      <c r="BV3" s="13296"/>
      <c r="BW3" s="13296"/>
      <c r="BX3" s="13298"/>
      <c r="BY3" s="14605" t="s">
        <v>6</v>
      </c>
      <c r="BZ3" s="14611" t="s">
        <v>7</v>
      </c>
      <c r="CA3" s="14577" t="s">
        <v>8</v>
      </c>
      <c r="CB3" s="14579" t="s">
        <v>9</v>
      </c>
      <c r="CC3" s="14605" t="s">
        <v>10</v>
      </c>
      <c r="CD3" s="15635" t="s">
        <v>11</v>
      </c>
      <c r="CE3" s="15644"/>
      <c r="CF3" s="15644"/>
      <c r="CG3" s="15635" t="s">
        <v>12</v>
      </c>
      <c r="CH3" s="15644"/>
      <c r="CI3" s="15636"/>
      <c r="CJ3" s="15644" t="s">
        <v>13</v>
      </c>
      <c r="CK3" s="15644"/>
      <c r="CL3" s="15644"/>
      <c r="CM3" s="15644"/>
      <c r="CN3" s="15644"/>
      <c r="CO3" s="15644"/>
      <c r="CP3" s="15644"/>
      <c r="CQ3" s="15636"/>
      <c r="CR3" s="15645" t="s">
        <v>14</v>
      </c>
      <c r="CS3" s="15642"/>
      <c r="CT3" s="15642"/>
      <c r="CU3" s="15642"/>
      <c r="CV3" s="15642"/>
      <c r="CW3" s="15642"/>
      <c r="CX3" s="15642"/>
      <c r="CY3" s="15642"/>
      <c r="CZ3" s="15646"/>
      <c r="DA3" s="15645" t="s">
        <v>15</v>
      </c>
      <c r="DB3" s="15642"/>
      <c r="DC3" s="15642"/>
      <c r="DD3" s="15642"/>
      <c r="DE3" s="15642"/>
      <c r="DF3" s="15646"/>
      <c r="DG3" s="2204"/>
      <c r="DH3" s="15647" t="s">
        <v>16</v>
      </c>
      <c r="DI3" s="15647" t="s">
        <v>17</v>
      </c>
      <c r="DJ3" s="15637" t="s">
        <v>18</v>
      </c>
      <c r="DK3" s="16693" t="s">
        <v>19</v>
      </c>
      <c r="DL3" s="16694"/>
      <c r="DM3" s="15639" t="s">
        <v>21</v>
      </c>
      <c r="DN3" s="16695" t="s">
        <v>22</v>
      </c>
      <c r="DO3" s="16696"/>
      <c r="DP3" s="16697"/>
      <c r="DQ3" s="500" t="s">
        <v>20</v>
      </c>
      <c r="DS3" s="5001"/>
      <c r="DT3" s="5156"/>
      <c r="DU3" s="5156"/>
      <c r="DV3" s="4985"/>
      <c r="DW3" s="4985"/>
      <c r="DX3" s="4987"/>
      <c r="DY3" s="5005" t="s">
        <v>6</v>
      </c>
      <c r="DZ3" s="5008" t="s">
        <v>7</v>
      </c>
      <c r="EA3" s="4995" t="s">
        <v>8</v>
      </c>
      <c r="EB3" s="4997" t="s">
        <v>9</v>
      </c>
      <c r="EC3" s="4993" t="s">
        <v>10</v>
      </c>
      <c r="ED3" s="4981" t="s">
        <v>11</v>
      </c>
      <c r="EE3" s="4983"/>
      <c r="EF3" s="4981" t="s">
        <v>12</v>
      </c>
      <c r="EG3" s="4983"/>
      <c r="EH3" s="4981" t="s">
        <v>13</v>
      </c>
      <c r="EI3" s="4982"/>
      <c r="EJ3" s="4982"/>
      <c r="EK3" s="4982"/>
      <c r="EL3" s="4982"/>
      <c r="EM3" s="4982"/>
      <c r="EN3" s="4982"/>
      <c r="EO3" s="5035" t="s">
        <v>14</v>
      </c>
      <c r="EP3" s="5036"/>
      <c r="EQ3" s="5036"/>
      <c r="ER3" s="5036"/>
      <c r="ES3" s="5036"/>
      <c r="ET3" s="5036"/>
      <c r="EU3" s="5036"/>
      <c r="EV3" s="5036"/>
      <c r="EW3" s="5036" t="s">
        <v>15</v>
      </c>
      <c r="EX3" s="5036"/>
      <c r="EY3" s="5036"/>
      <c r="EZ3" s="5036"/>
      <c r="FA3" s="5036"/>
      <c r="FB3" s="5037"/>
      <c r="FC3" s="5038" t="s">
        <v>16</v>
      </c>
      <c r="FD3" s="5040" t="s">
        <v>17</v>
      </c>
      <c r="FE3" s="5042" t="s">
        <v>18</v>
      </c>
      <c r="FF3" s="3375" t="s">
        <v>19</v>
      </c>
      <c r="FG3" s="3376" t="s">
        <v>20</v>
      </c>
      <c r="FH3" s="5027" t="s">
        <v>21</v>
      </c>
      <c r="FI3" s="4978" t="s">
        <v>22</v>
      </c>
      <c r="FJ3" s="4979"/>
      <c r="FK3" s="4980"/>
      <c r="FL3" s="12" t="s">
        <v>20</v>
      </c>
    </row>
    <row r="4" spans="1:168" ht="15" customHeight="1" thickBot="1">
      <c r="A4" s="6724" t="s">
        <v>360</v>
      </c>
      <c r="B4" s="6725" t="s">
        <v>1796</v>
      </c>
      <c r="C4" s="6725" t="s">
        <v>4635</v>
      </c>
      <c r="D4" s="6725" t="s">
        <v>56</v>
      </c>
      <c r="E4" s="6725" t="s">
        <v>57</v>
      </c>
      <c r="F4" s="6726" t="s">
        <v>1995</v>
      </c>
      <c r="G4" s="6727" t="s">
        <v>1797</v>
      </c>
      <c r="H4" s="6727" t="s">
        <v>1798</v>
      </c>
      <c r="I4" s="6728" t="s">
        <v>2104</v>
      </c>
      <c r="J4" s="6728" t="s">
        <v>9290</v>
      </c>
      <c r="K4" s="6728" t="s">
        <v>3279</v>
      </c>
      <c r="L4" s="6728" t="s">
        <v>9291</v>
      </c>
      <c r="M4" s="6728" t="s">
        <v>9292</v>
      </c>
      <c r="N4" s="6728" t="s">
        <v>9293</v>
      </c>
      <c r="O4" s="6728" t="s">
        <v>9294</v>
      </c>
      <c r="P4" s="6728" t="s">
        <v>9295</v>
      </c>
      <c r="Q4" s="6728" t="s">
        <v>9296</v>
      </c>
      <c r="R4" s="6728" t="s">
        <v>9297</v>
      </c>
      <c r="S4" s="6728"/>
      <c r="T4" s="6729" t="s">
        <v>62</v>
      </c>
      <c r="U4" s="6730" t="s">
        <v>10056</v>
      </c>
      <c r="V4" s="6731" t="s">
        <v>522</v>
      </c>
      <c r="W4" s="6731" t="s">
        <v>10091</v>
      </c>
      <c r="X4" s="2480" t="s">
        <v>1800</v>
      </c>
      <c r="Y4" s="2479" t="s">
        <v>1996</v>
      </c>
      <c r="Z4" s="15614"/>
      <c r="AA4" s="13296"/>
      <c r="AB4" s="13296"/>
      <c r="AC4" s="13298"/>
      <c r="AD4" s="13309"/>
      <c r="AE4" s="13311"/>
      <c r="AF4" s="13313"/>
      <c r="AG4" s="13315"/>
      <c r="AH4" s="13309"/>
      <c r="AI4" s="2208" t="s">
        <v>23</v>
      </c>
      <c r="AJ4" s="2209" t="s">
        <v>24</v>
      </c>
      <c r="AK4" s="2208" t="s">
        <v>25</v>
      </c>
      <c r="AL4" s="2209" t="s">
        <v>26</v>
      </c>
      <c r="AM4" s="2210" t="s">
        <v>27</v>
      </c>
      <c r="AN4" s="2211" t="s">
        <v>28</v>
      </c>
      <c r="AO4" s="2212" t="s">
        <v>29</v>
      </c>
      <c r="AP4" s="2212" t="s">
        <v>30</v>
      </c>
      <c r="AQ4" s="2212" t="s">
        <v>31</v>
      </c>
      <c r="AR4" s="2212" t="s">
        <v>32</v>
      </c>
      <c r="AS4" s="2213" t="s">
        <v>33</v>
      </c>
      <c r="AT4" s="2210" t="s">
        <v>34</v>
      </c>
      <c r="AU4" s="2212" t="s">
        <v>35</v>
      </c>
      <c r="AV4" s="2212" t="s">
        <v>36</v>
      </c>
      <c r="AW4" s="2212" t="s">
        <v>37</v>
      </c>
      <c r="AX4" s="2212" t="s">
        <v>38</v>
      </c>
      <c r="AY4" s="2212" t="s">
        <v>39</v>
      </c>
      <c r="AZ4" s="2212" t="s">
        <v>40</v>
      </c>
      <c r="BA4" s="2213" t="s">
        <v>41</v>
      </c>
      <c r="BB4" s="2214" t="s">
        <v>42</v>
      </c>
      <c r="BC4" s="2212" t="s">
        <v>43</v>
      </c>
      <c r="BD4" s="2212" t="s">
        <v>44</v>
      </c>
      <c r="BE4" s="2212" t="s">
        <v>45</v>
      </c>
      <c r="BF4" s="2212" t="s">
        <v>46</v>
      </c>
      <c r="BG4" s="2215" t="s">
        <v>47</v>
      </c>
      <c r="BH4" s="13289"/>
      <c r="BI4" s="13289"/>
      <c r="BJ4" s="13276"/>
      <c r="BK4" s="4977" t="s">
        <v>48</v>
      </c>
      <c r="BL4" s="21" t="s">
        <v>49</v>
      </c>
      <c r="BM4" s="13278"/>
      <c r="BN4" s="5041" t="s">
        <v>50</v>
      </c>
      <c r="BO4" s="5041" t="s">
        <v>51</v>
      </c>
      <c r="BP4" s="5041" t="s">
        <v>52</v>
      </c>
      <c r="BQ4" s="2280" t="s">
        <v>49</v>
      </c>
      <c r="BR4" s="2481" t="s">
        <v>9350</v>
      </c>
      <c r="BS4" s="16700"/>
      <c r="BT4" s="16638"/>
      <c r="BU4" s="15137"/>
      <c r="BV4" s="13296"/>
      <c r="BW4" s="13296"/>
      <c r="BX4" s="13298"/>
      <c r="BY4" s="14606"/>
      <c r="BZ4" s="14612"/>
      <c r="CA4" s="14578"/>
      <c r="CB4" s="14580"/>
      <c r="CC4" s="14606"/>
      <c r="CD4" s="2218" t="s">
        <v>23</v>
      </c>
      <c r="CE4" s="2219" t="s">
        <v>24</v>
      </c>
      <c r="CF4" s="2224" t="s">
        <v>10052</v>
      </c>
      <c r="CG4" s="2218" t="s">
        <v>25</v>
      </c>
      <c r="CH4" s="2221" t="s">
        <v>26</v>
      </c>
      <c r="CI4" s="2219" t="s">
        <v>10052</v>
      </c>
      <c r="CJ4" s="2223" t="s">
        <v>27</v>
      </c>
      <c r="CK4" s="2221" t="s">
        <v>28</v>
      </c>
      <c r="CL4" s="2221" t="s">
        <v>29</v>
      </c>
      <c r="CM4" s="2221" t="s">
        <v>30</v>
      </c>
      <c r="CN4" s="2221" t="s">
        <v>31</v>
      </c>
      <c r="CO4" s="2221" t="s">
        <v>32</v>
      </c>
      <c r="CP4" s="2221" t="s">
        <v>33</v>
      </c>
      <c r="CQ4" s="2220" t="s">
        <v>10052</v>
      </c>
      <c r="CR4" s="2218" t="s">
        <v>34</v>
      </c>
      <c r="CS4" s="2221" t="s">
        <v>35</v>
      </c>
      <c r="CT4" s="2221" t="s">
        <v>36</v>
      </c>
      <c r="CU4" s="2221" t="s">
        <v>37</v>
      </c>
      <c r="CV4" s="2221" t="s">
        <v>38</v>
      </c>
      <c r="CW4" s="2221" t="s">
        <v>39</v>
      </c>
      <c r="CX4" s="2221" t="s">
        <v>40</v>
      </c>
      <c r="CY4" s="2221" t="s">
        <v>41</v>
      </c>
      <c r="CZ4" s="6630" t="s">
        <v>10052</v>
      </c>
      <c r="DA4" s="2223" t="s">
        <v>42</v>
      </c>
      <c r="DB4" s="2221" t="s">
        <v>43</v>
      </c>
      <c r="DC4" s="2221" t="s">
        <v>44</v>
      </c>
      <c r="DD4" s="2221" t="s">
        <v>45</v>
      </c>
      <c r="DE4" s="2221" t="s">
        <v>46</v>
      </c>
      <c r="DF4" s="2224" t="s">
        <v>47</v>
      </c>
      <c r="DG4" s="6703"/>
      <c r="DH4" s="15648"/>
      <c r="DI4" s="15648"/>
      <c r="DJ4" s="15638"/>
      <c r="DK4" s="5086" t="s">
        <v>48</v>
      </c>
      <c r="DL4" s="503" t="s">
        <v>49</v>
      </c>
      <c r="DM4" s="15640"/>
      <c r="DN4" s="2227" t="s">
        <v>50</v>
      </c>
      <c r="DO4" s="2227" t="s">
        <v>51</v>
      </c>
      <c r="DP4" s="2227" t="s">
        <v>52</v>
      </c>
      <c r="DQ4" s="2228" t="s">
        <v>49</v>
      </c>
      <c r="DS4" s="5001"/>
      <c r="DT4" s="5029"/>
      <c r="DU4" s="5029"/>
      <c r="DV4" s="4985"/>
      <c r="DW4" s="4985"/>
      <c r="DX4" s="4987"/>
      <c r="DY4" s="5006"/>
      <c r="DZ4" s="5009"/>
      <c r="EA4" s="4996"/>
      <c r="EB4" s="4998"/>
      <c r="EC4" s="4994"/>
      <c r="ED4" s="3462" t="s">
        <v>23</v>
      </c>
      <c r="EE4" s="3463" t="s">
        <v>24</v>
      </c>
      <c r="EF4" s="3462" t="s">
        <v>25</v>
      </c>
      <c r="EG4" s="3463" t="s">
        <v>26</v>
      </c>
      <c r="EH4" s="3464" t="s">
        <v>27</v>
      </c>
      <c r="EI4" s="3465" t="s">
        <v>28</v>
      </c>
      <c r="EJ4" s="3466" t="s">
        <v>29</v>
      </c>
      <c r="EK4" s="3466" t="s">
        <v>30</v>
      </c>
      <c r="EL4" s="3466" t="s">
        <v>31</v>
      </c>
      <c r="EM4" s="3466" t="s">
        <v>32</v>
      </c>
      <c r="EN4" s="3373" t="s">
        <v>33</v>
      </c>
      <c r="EO4" s="3464" t="s">
        <v>34</v>
      </c>
      <c r="EP4" s="3466" t="s">
        <v>35</v>
      </c>
      <c r="EQ4" s="3466" t="s">
        <v>36</v>
      </c>
      <c r="ER4" s="3466" t="s">
        <v>37</v>
      </c>
      <c r="ES4" s="3466" t="s">
        <v>38</v>
      </c>
      <c r="ET4" s="3466" t="s">
        <v>39</v>
      </c>
      <c r="EU4" s="3466" t="s">
        <v>40</v>
      </c>
      <c r="EV4" s="3466" t="s">
        <v>41</v>
      </c>
      <c r="EW4" s="3466" t="s">
        <v>42</v>
      </c>
      <c r="EX4" s="3466" t="s">
        <v>43</v>
      </c>
      <c r="EY4" s="3466" t="s">
        <v>44</v>
      </c>
      <c r="EZ4" s="3466" t="s">
        <v>45</v>
      </c>
      <c r="FA4" s="3466" t="s">
        <v>46</v>
      </c>
      <c r="FB4" s="3467" t="s">
        <v>47</v>
      </c>
      <c r="FC4" s="5039"/>
      <c r="FD4" s="5041"/>
      <c r="FE4" s="5043"/>
      <c r="FF4" s="5043" t="s">
        <v>48</v>
      </c>
      <c r="FG4" s="3469" t="s">
        <v>49</v>
      </c>
      <c r="FH4" s="5028"/>
      <c r="FI4" s="5041" t="s">
        <v>50</v>
      </c>
      <c r="FJ4" s="5041" t="s">
        <v>51</v>
      </c>
      <c r="FK4" s="5041" t="s">
        <v>52</v>
      </c>
      <c r="FL4" s="2217" t="s">
        <v>49</v>
      </c>
    </row>
    <row r="5" spans="1:168" s="2486" customFormat="1" ht="15" customHeight="1">
      <c r="A5" s="16676" t="s">
        <v>1801</v>
      </c>
      <c r="B5" s="16679" t="s">
        <v>1802</v>
      </c>
      <c r="C5" s="5170" t="s">
        <v>8136</v>
      </c>
      <c r="D5" s="2104" t="s">
        <v>1803</v>
      </c>
      <c r="E5" s="384" t="s">
        <v>1804</v>
      </c>
      <c r="F5" s="2105">
        <v>5</v>
      </c>
      <c r="G5" s="2106" t="s">
        <v>386</v>
      </c>
      <c r="H5" s="2105">
        <v>0</v>
      </c>
      <c r="I5" s="2107">
        <v>10</v>
      </c>
      <c r="J5" s="2107">
        <v>15</v>
      </c>
      <c r="K5" s="2107">
        <v>20</v>
      </c>
      <c r="L5" s="2107">
        <v>25</v>
      </c>
      <c r="M5" s="2107">
        <v>30</v>
      </c>
      <c r="N5" s="2107">
        <v>35</v>
      </c>
      <c r="O5" s="2107">
        <v>40</v>
      </c>
      <c r="P5" s="2107">
        <v>45</v>
      </c>
      <c r="Q5" s="2107">
        <v>50</v>
      </c>
      <c r="R5" s="2107">
        <v>55</v>
      </c>
      <c r="S5" s="2107">
        <v>330</v>
      </c>
      <c r="T5" s="384" t="s">
        <v>1805</v>
      </c>
      <c r="U5" s="384" t="s">
        <v>218</v>
      </c>
      <c r="V5" s="384" t="s">
        <v>9655</v>
      </c>
      <c r="W5" s="2968"/>
      <c r="X5" s="6709"/>
      <c r="Y5" s="6663">
        <v>22000000</v>
      </c>
      <c r="Z5" s="2111">
        <v>1</v>
      </c>
      <c r="AA5" s="2108" t="s">
        <v>9624</v>
      </c>
      <c r="AB5" s="2482"/>
      <c r="AC5" s="2482"/>
      <c r="AD5" s="2109">
        <v>10000000</v>
      </c>
      <c r="AE5" s="2109">
        <v>10000000</v>
      </c>
      <c r="AF5" s="2482"/>
      <c r="AG5" s="2482"/>
      <c r="AH5" s="2110">
        <v>16</v>
      </c>
      <c r="AI5" s="2482"/>
      <c r="AJ5" s="2110">
        <v>16</v>
      </c>
      <c r="AK5" s="2110">
        <v>16</v>
      </c>
      <c r="AL5" s="2110"/>
      <c r="AM5" s="2110"/>
      <c r="AN5" s="2110"/>
      <c r="AO5" s="2110"/>
      <c r="AP5" s="2110"/>
      <c r="AQ5" s="2110">
        <v>16</v>
      </c>
      <c r="AR5" s="2110"/>
      <c r="AS5" s="2110"/>
      <c r="AT5" s="2110" t="s">
        <v>2891</v>
      </c>
      <c r="AU5" s="2110"/>
      <c r="AV5" s="2110"/>
      <c r="AW5" s="2110"/>
      <c r="AX5" s="2110"/>
      <c r="AY5" s="2110"/>
      <c r="AZ5" s="2110"/>
      <c r="BA5" s="2110"/>
      <c r="BB5" s="2482"/>
      <c r="BC5" s="2482"/>
      <c r="BD5" s="2482"/>
      <c r="BE5" s="2482"/>
      <c r="BF5" s="2482"/>
      <c r="BG5" s="2482"/>
      <c r="BH5" s="2482"/>
      <c r="BI5" s="2482"/>
      <c r="BJ5" s="2482"/>
      <c r="BK5" s="2482"/>
      <c r="BL5" s="2482"/>
      <c r="BM5" s="2482"/>
      <c r="BN5" s="2482"/>
      <c r="BO5" s="2482"/>
      <c r="BP5" s="2482"/>
      <c r="BQ5" s="2482"/>
      <c r="BR5" s="6664"/>
      <c r="BS5" s="2111" t="s">
        <v>9780</v>
      </c>
      <c r="BT5" s="6665">
        <v>0</v>
      </c>
      <c r="BU5" s="16642">
        <f>AVERAGE(BT5:BT38)</f>
        <v>0.72081765458871727</v>
      </c>
      <c r="BV5" s="2111" t="s">
        <v>9780</v>
      </c>
      <c r="BW5" s="2112" t="s">
        <v>9780</v>
      </c>
      <c r="BX5" s="2112" t="s">
        <v>9780</v>
      </c>
      <c r="BY5" s="2112" t="s">
        <v>9780</v>
      </c>
      <c r="BZ5" s="2112" t="s">
        <v>9780</v>
      </c>
      <c r="CA5" s="2112" t="s">
        <v>9780</v>
      </c>
      <c r="CB5" s="2112" t="s">
        <v>9780</v>
      </c>
      <c r="CC5" s="2483">
        <v>0</v>
      </c>
      <c r="CD5" s="2484" t="s">
        <v>8656</v>
      </c>
      <c r="CE5" s="2484" t="s">
        <v>8656</v>
      </c>
      <c r="CF5" s="2484" t="s">
        <v>8656</v>
      </c>
      <c r="CG5" s="2484" t="s">
        <v>8656</v>
      </c>
      <c r="CH5" s="2484" t="s">
        <v>8656</v>
      </c>
      <c r="CI5" s="2484"/>
      <c r="CJ5" s="2485" t="s">
        <v>8656</v>
      </c>
      <c r="CK5" s="2485" t="s">
        <v>8656</v>
      </c>
      <c r="CL5" s="2485" t="s">
        <v>8656</v>
      </c>
      <c r="CM5" s="2485" t="s">
        <v>8656</v>
      </c>
      <c r="CN5" s="2485" t="s">
        <v>8656</v>
      </c>
      <c r="CO5" s="2485" t="s">
        <v>8656</v>
      </c>
      <c r="CP5" s="2485" t="s">
        <v>8656</v>
      </c>
      <c r="CQ5" s="2485"/>
      <c r="CR5" s="2484" t="s">
        <v>8656</v>
      </c>
      <c r="CS5" s="2484" t="s">
        <v>8656</v>
      </c>
      <c r="CT5" s="2484" t="s">
        <v>8656</v>
      </c>
      <c r="CU5" s="2484" t="s">
        <v>8656</v>
      </c>
      <c r="CV5" s="2484" t="s">
        <v>8656</v>
      </c>
      <c r="CW5" s="2484" t="s">
        <v>8656</v>
      </c>
      <c r="CX5" s="2484" t="s">
        <v>8656</v>
      </c>
      <c r="CY5" s="2484" t="s">
        <v>8656</v>
      </c>
      <c r="CZ5" s="2484"/>
      <c r="DA5" s="2112" t="s">
        <v>9780</v>
      </c>
      <c r="DB5" s="2112" t="s">
        <v>9780</v>
      </c>
      <c r="DC5" s="2112" t="s">
        <v>9780</v>
      </c>
      <c r="DD5" s="2112" t="s">
        <v>9780</v>
      </c>
      <c r="DE5" s="2112" t="s">
        <v>9780</v>
      </c>
      <c r="DF5" s="2112" t="s">
        <v>9780</v>
      </c>
      <c r="DG5" s="2112"/>
      <c r="DH5" s="2112" t="s">
        <v>9780</v>
      </c>
      <c r="DI5" s="2112" t="s">
        <v>9780</v>
      </c>
      <c r="DJ5" s="2112" t="s">
        <v>9780</v>
      </c>
      <c r="DK5" s="2112" t="s">
        <v>9780</v>
      </c>
      <c r="DL5" s="2112" t="s">
        <v>9780</v>
      </c>
      <c r="DM5" s="2112" t="s">
        <v>9780</v>
      </c>
      <c r="DN5" s="2112" t="s">
        <v>9780</v>
      </c>
      <c r="DO5" s="2112" t="s">
        <v>9780</v>
      </c>
      <c r="DP5" s="2112" t="s">
        <v>9780</v>
      </c>
      <c r="DQ5" s="2113" t="s">
        <v>9780</v>
      </c>
      <c r="DS5" s="6704"/>
      <c r="DT5" s="2482"/>
      <c r="DU5" s="2482"/>
      <c r="DV5" s="2482"/>
      <c r="DW5" s="2482"/>
      <c r="DX5" s="2482"/>
      <c r="DY5" s="2482"/>
      <c r="DZ5" s="2482"/>
      <c r="EA5" s="2482"/>
      <c r="EB5" s="2482"/>
      <c r="EC5" s="2482"/>
      <c r="ED5" s="2482"/>
      <c r="EE5" s="2482"/>
      <c r="EF5" s="2482"/>
      <c r="EG5" s="2482"/>
      <c r="EH5" s="2482"/>
      <c r="EI5" s="2482"/>
      <c r="EJ5" s="2482"/>
      <c r="EK5" s="2482"/>
      <c r="EL5" s="2482"/>
      <c r="EM5" s="2482"/>
      <c r="EN5" s="2482"/>
      <c r="EO5" s="2482"/>
      <c r="EP5" s="2482"/>
      <c r="EQ5" s="2482"/>
      <c r="ER5" s="2482"/>
      <c r="ES5" s="2482"/>
      <c r="ET5" s="2482"/>
      <c r="EU5" s="2482"/>
      <c r="EV5" s="2482"/>
      <c r="EW5" s="2482"/>
      <c r="EX5" s="2482"/>
      <c r="EY5" s="2482"/>
      <c r="EZ5" s="2482"/>
      <c r="FA5" s="2482"/>
      <c r="FB5" s="2482"/>
      <c r="FC5" s="2482"/>
      <c r="FD5" s="2482"/>
      <c r="FE5" s="2482"/>
      <c r="FF5" s="2482"/>
      <c r="FG5" s="2482"/>
      <c r="FH5" s="2482"/>
      <c r="FI5" s="2482"/>
      <c r="FJ5" s="2482"/>
      <c r="FK5" s="2482"/>
      <c r="FL5" s="6705"/>
    </row>
    <row r="6" spans="1:168" s="2486" customFormat="1" ht="15" customHeight="1">
      <c r="A6" s="16677"/>
      <c r="B6" s="16653"/>
      <c r="C6" s="16653" t="s">
        <v>8139</v>
      </c>
      <c r="D6" s="16652" t="s">
        <v>1806</v>
      </c>
      <c r="E6" s="5154" t="s">
        <v>1807</v>
      </c>
      <c r="F6" s="2487">
        <v>1</v>
      </c>
      <c r="G6" s="5154" t="s">
        <v>382</v>
      </c>
      <c r="H6" s="2488">
        <v>0</v>
      </c>
      <c r="I6" s="2487">
        <v>1</v>
      </c>
      <c r="J6" s="2487">
        <v>1</v>
      </c>
      <c r="K6" s="2487">
        <v>1</v>
      </c>
      <c r="L6" s="2487">
        <v>1</v>
      </c>
      <c r="M6" s="2487">
        <v>1</v>
      </c>
      <c r="N6" s="2487">
        <v>1</v>
      </c>
      <c r="O6" s="2487">
        <v>1</v>
      </c>
      <c r="P6" s="2487">
        <v>1</v>
      </c>
      <c r="Q6" s="2487">
        <v>1</v>
      </c>
      <c r="R6" s="2487">
        <v>1</v>
      </c>
      <c r="S6" s="2487">
        <v>1</v>
      </c>
      <c r="T6" s="16636" t="s">
        <v>1808</v>
      </c>
      <c r="U6" s="16636" t="s">
        <v>10063</v>
      </c>
      <c r="V6" s="2498" t="s">
        <v>144</v>
      </c>
      <c r="W6" s="2969"/>
      <c r="X6" s="6710"/>
      <c r="Y6" s="16651">
        <v>56666666.666666664</v>
      </c>
      <c r="Z6" s="6632">
        <v>1</v>
      </c>
      <c r="AA6" s="2489" t="s">
        <v>3087</v>
      </c>
      <c r="AB6" s="2490" t="s">
        <v>3088</v>
      </c>
      <c r="AC6" s="16649" t="s">
        <v>545</v>
      </c>
      <c r="AD6" s="16650">
        <f>AE6+AF6+AG6</f>
        <v>57078672.36666666</v>
      </c>
      <c r="AE6" s="16650">
        <f>115959074.1/3</f>
        <v>38653024.699999996</v>
      </c>
      <c r="AF6" s="16650">
        <f>55276943/3</f>
        <v>18425647.666666668</v>
      </c>
      <c r="AG6" s="16650">
        <v>0</v>
      </c>
      <c r="AH6" s="16649">
        <v>937</v>
      </c>
      <c r="AI6" s="16649">
        <v>490</v>
      </c>
      <c r="AJ6" s="16649">
        <v>447</v>
      </c>
      <c r="AK6" s="16649">
        <v>680</v>
      </c>
      <c r="AL6" s="16649">
        <v>257</v>
      </c>
      <c r="AM6" s="16649">
        <v>33</v>
      </c>
      <c r="AN6" s="16649">
        <v>589</v>
      </c>
      <c r="AO6" s="16649">
        <v>280</v>
      </c>
      <c r="AP6" s="16649">
        <v>8</v>
      </c>
      <c r="AQ6" s="16649">
        <v>14</v>
      </c>
      <c r="AR6" s="16649">
        <v>11</v>
      </c>
      <c r="AS6" s="16649">
        <v>2</v>
      </c>
      <c r="AT6" s="16349"/>
      <c r="AU6" s="16349"/>
      <c r="AV6" s="16349"/>
      <c r="AW6" s="16349"/>
      <c r="AX6" s="16349"/>
      <c r="AY6" s="16349"/>
      <c r="AZ6" s="16349"/>
      <c r="BA6" s="16349"/>
      <c r="BB6" s="16649">
        <v>920</v>
      </c>
      <c r="BC6" s="16649">
        <v>17</v>
      </c>
      <c r="BD6" s="16349"/>
      <c r="BE6" s="16349"/>
      <c r="BF6" s="16349"/>
      <c r="BG6" s="16349"/>
      <c r="BH6" s="16349"/>
      <c r="BI6" s="16349"/>
      <c r="BJ6" s="16349"/>
      <c r="BK6" s="16349"/>
      <c r="BL6" s="16349"/>
      <c r="BM6" s="16349"/>
      <c r="BN6" s="16349"/>
      <c r="BO6" s="16349"/>
      <c r="BP6" s="16349"/>
      <c r="BQ6" s="16349"/>
      <c r="BR6" s="5157"/>
      <c r="BS6" s="2491">
        <v>1</v>
      </c>
      <c r="BT6" s="6468">
        <f>BS6/I6</f>
        <v>1</v>
      </c>
      <c r="BU6" s="16643"/>
      <c r="BV6" s="2489" t="s">
        <v>9364</v>
      </c>
      <c r="BW6" s="16647" t="s">
        <v>9365</v>
      </c>
      <c r="BX6" s="2492">
        <v>2720</v>
      </c>
      <c r="BY6" s="16641">
        <f>BZ6+CA6+CB6</f>
        <v>166390866</v>
      </c>
      <c r="BZ6" s="16641">
        <f>+'[3]15. JAC'!$Q$17</f>
        <v>166390866</v>
      </c>
      <c r="CA6" s="16641">
        <v>0</v>
      </c>
      <c r="CB6" s="16641">
        <v>0</v>
      </c>
      <c r="CC6" s="16646">
        <v>4243</v>
      </c>
      <c r="CD6" s="16648">
        <v>1588</v>
      </c>
      <c r="CE6" s="16648">
        <v>2655</v>
      </c>
      <c r="CF6" s="16648">
        <v>0</v>
      </c>
      <c r="CG6" s="16648">
        <v>0</v>
      </c>
      <c r="CH6" s="16648">
        <v>0</v>
      </c>
      <c r="CI6" s="16648">
        <v>4243</v>
      </c>
      <c r="CJ6" s="16648"/>
      <c r="CK6" s="16648"/>
      <c r="CL6" s="16648"/>
      <c r="CM6" s="16648"/>
      <c r="CN6" s="16648"/>
      <c r="CO6" s="16648"/>
      <c r="CP6" s="16648"/>
      <c r="CQ6" s="16648">
        <v>4243</v>
      </c>
      <c r="CR6" s="16648"/>
      <c r="CS6" s="16648"/>
      <c r="CT6" s="16648"/>
      <c r="CU6" s="16648"/>
      <c r="CV6" s="16648"/>
      <c r="CW6" s="16648"/>
      <c r="CX6" s="16648"/>
      <c r="CY6" s="16648"/>
      <c r="CZ6" s="16648">
        <v>4243</v>
      </c>
      <c r="DA6" s="16641"/>
      <c r="DB6" s="16641"/>
      <c r="DC6" s="16641"/>
      <c r="DD6" s="16641"/>
      <c r="DE6" s="16641"/>
      <c r="DF6" s="16641"/>
      <c r="DG6" s="2497"/>
      <c r="DH6" s="16641"/>
      <c r="DI6" s="16641"/>
      <c r="DJ6" s="16641"/>
      <c r="DK6" s="16641"/>
      <c r="DL6" s="16641"/>
      <c r="DM6" s="16641"/>
      <c r="DN6" s="16641"/>
      <c r="DO6" s="16641"/>
      <c r="DP6" s="16641"/>
      <c r="DQ6" s="16701"/>
      <c r="DS6" s="6706"/>
      <c r="DT6" s="2495"/>
      <c r="DU6" s="2495"/>
      <c r="DV6" s="2495"/>
      <c r="DW6" s="2495"/>
      <c r="DX6" s="2495"/>
      <c r="DY6" s="2495"/>
      <c r="DZ6" s="2495"/>
      <c r="EA6" s="2495"/>
      <c r="EB6" s="2495"/>
      <c r="EC6" s="2495"/>
      <c r="ED6" s="2495"/>
      <c r="EE6" s="2495"/>
      <c r="EF6" s="2495"/>
      <c r="EG6" s="2495"/>
      <c r="EH6" s="2495"/>
      <c r="EI6" s="2495"/>
      <c r="EJ6" s="2495"/>
      <c r="EK6" s="2495"/>
      <c r="EL6" s="2495"/>
      <c r="EM6" s="2495"/>
      <c r="EN6" s="2495"/>
      <c r="EO6" s="2495"/>
      <c r="EP6" s="2495"/>
      <c r="EQ6" s="2495"/>
      <c r="ER6" s="2495"/>
      <c r="ES6" s="2495"/>
      <c r="ET6" s="2495"/>
      <c r="EU6" s="2495"/>
      <c r="EV6" s="2495"/>
      <c r="EW6" s="2495"/>
      <c r="EX6" s="2495"/>
      <c r="EY6" s="2495"/>
      <c r="EZ6" s="2495"/>
      <c r="FA6" s="2495"/>
      <c r="FB6" s="2495"/>
      <c r="FC6" s="2495"/>
      <c r="FD6" s="2495"/>
      <c r="FE6" s="2495"/>
      <c r="FF6" s="2495"/>
      <c r="FG6" s="2495"/>
      <c r="FH6" s="2495"/>
      <c r="FI6" s="2495"/>
      <c r="FJ6" s="2495"/>
      <c r="FK6" s="2495"/>
      <c r="FL6" s="2534"/>
    </row>
    <row r="7" spans="1:168" s="2486" customFormat="1" ht="15" customHeight="1">
      <c r="A7" s="16677"/>
      <c r="B7" s="16653"/>
      <c r="C7" s="16653"/>
      <c r="D7" s="16652"/>
      <c r="E7" s="5154" t="s">
        <v>1809</v>
      </c>
      <c r="F7" s="2487">
        <v>50</v>
      </c>
      <c r="G7" s="5154" t="s">
        <v>382</v>
      </c>
      <c r="H7" s="2488">
        <v>0</v>
      </c>
      <c r="I7" s="2487">
        <v>50</v>
      </c>
      <c r="J7" s="2487">
        <v>50</v>
      </c>
      <c r="K7" s="2487">
        <v>50</v>
      </c>
      <c r="L7" s="2487">
        <v>50</v>
      </c>
      <c r="M7" s="2487">
        <v>50</v>
      </c>
      <c r="N7" s="2487">
        <v>50</v>
      </c>
      <c r="O7" s="2487">
        <v>50</v>
      </c>
      <c r="P7" s="2487">
        <v>50</v>
      </c>
      <c r="Q7" s="2487">
        <v>50</v>
      </c>
      <c r="R7" s="2487">
        <v>50</v>
      </c>
      <c r="S7" s="2487">
        <v>550</v>
      </c>
      <c r="T7" s="16636"/>
      <c r="U7" s="16636"/>
      <c r="V7" s="2498" t="s">
        <v>144</v>
      </c>
      <c r="W7" s="2969"/>
      <c r="X7" s="6710"/>
      <c r="Y7" s="16651"/>
      <c r="Z7" s="6632">
        <v>1</v>
      </c>
      <c r="AA7" s="2490" t="s">
        <v>3089</v>
      </c>
      <c r="AB7" s="2492" t="s">
        <v>3090</v>
      </c>
      <c r="AC7" s="16649"/>
      <c r="AD7" s="16650"/>
      <c r="AE7" s="16650"/>
      <c r="AF7" s="16650"/>
      <c r="AG7" s="16650"/>
      <c r="AH7" s="16649"/>
      <c r="AI7" s="16649"/>
      <c r="AJ7" s="16649"/>
      <c r="AK7" s="16649"/>
      <c r="AL7" s="16649"/>
      <c r="AM7" s="16649"/>
      <c r="AN7" s="16649"/>
      <c r="AO7" s="16649"/>
      <c r="AP7" s="16649"/>
      <c r="AQ7" s="16649"/>
      <c r="AR7" s="16649"/>
      <c r="AS7" s="16649"/>
      <c r="AT7" s="16349"/>
      <c r="AU7" s="16349"/>
      <c r="AV7" s="16349"/>
      <c r="AW7" s="16349"/>
      <c r="AX7" s="16349"/>
      <c r="AY7" s="16349"/>
      <c r="AZ7" s="16349"/>
      <c r="BA7" s="16349"/>
      <c r="BB7" s="16649"/>
      <c r="BC7" s="16649"/>
      <c r="BD7" s="16349"/>
      <c r="BE7" s="16349"/>
      <c r="BF7" s="16349"/>
      <c r="BG7" s="16349"/>
      <c r="BH7" s="16349"/>
      <c r="BI7" s="16349"/>
      <c r="BJ7" s="16349"/>
      <c r="BK7" s="16349"/>
      <c r="BL7" s="16349"/>
      <c r="BM7" s="16349"/>
      <c r="BN7" s="16349"/>
      <c r="BO7" s="16349"/>
      <c r="BP7" s="16349"/>
      <c r="BQ7" s="16349"/>
      <c r="BR7" s="5157"/>
      <c r="BS7" s="2491">
        <v>2720</v>
      </c>
      <c r="BT7" s="6468">
        <f>IF((BS7/I7)&gt;50,100%)</f>
        <v>1</v>
      </c>
      <c r="BU7" s="16643"/>
      <c r="BV7" s="2490" t="s">
        <v>9366</v>
      </c>
      <c r="BW7" s="16647"/>
      <c r="BX7" s="2492"/>
      <c r="BY7" s="16641"/>
      <c r="BZ7" s="16641"/>
      <c r="CA7" s="16641"/>
      <c r="CB7" s="16641"/>
      <c r="CC7" s="16646"/>
      <c r="CD7" s="16648"/>
      <c r="CE7" s="16648"/>
      <c r="CF7" s="16648"/>
      <c r="CG7" s="16648"/>
      <c r="CH7" s="16648"/>
      <c r="CI7" s="16648"/>
      <c r="CJ7" s="16648"/>
      <c r="CK7" s="16648"/>
      <c r="CL7" s="16648"/>
      <c r="CM7" s="16648"/>
      <c r="CN7" s="16648"/>
      <c r="CO7" s="16648"/>
      <c r="CP7" s="16648"/>
      <c r="CQ7" s="16648"/>
      <c r="CR7" s="16648"/>
      <c r="CS7" s="16648"/>
      <c r="CT7" s="16648"/>
      <c r="CU7" s="16648"/>
      <c r="CV7" s="16648"/>
      <c r="CW7" s="16648"/>
      <c r="CX7" s="16648"/>
      <c r="CY7" s="16648"/>
      <c r="CZ7" s="16648"/>
      <c r="DA7" s="16641"/>
      <c r="DB7" s="16641"/>
      <c r="DC7" s="16641"/>
      <c r="DD7" s="16641"/>
      <c r="DE7" s="16641"/>
      <c r="DF7" s="16641"/>
      <c r="DG7" s="2497"/>
      <c r="DH7" s="16641"/>
      <c r="DI7" s="16641"/>
      <c r="DJ7" s="16641"/>
      <c r="DK7" s="16641"/>
      <c r="DL7" s="16641"/>
      <c r="DM7" s="16641"/>
      <c r="DN7" s="16641"/>
      <c r="DO7" s="16641"/>
      <c r="DP7" s="16641"/>
      <c r="DQ7" s="16701"/>
      <c r="DS7" s="6706"/>
      <c r="DT7" s="2495"/>
      <c r="DU7" s="2495"/>
      <c r="DV7" s="2495"/>
      <c r="DW7" s="2495"/>
      <c r="DX7" s="2495"/>
      <c r="DY7" s="2495"/>
      <c r="DZ7" s="2495"/>
      <c r="EA7" s="2495"/>
      <c r="EB7" s="2495"/>
      <c r="EC7" s="2495"/>
      <c r="ED7" s="2495"/>
      <c r="EE7" s="2495"/>
      <c r="EF7" s="2495"/>
      <c r="EG7" s="2495"/>
      <c r="EH7" s="2495"/>
      <c r="EI7" s="2495"/>
      <c r="EJ7" s="2495"/>
      <c r="EK7" s="2495"/>
      <c r="EL7" s="2495"/>
      <c r="EM7" s="2495"/>
      <c r="EN7" s="2495"/>
      <c r="EO7" s="2495"/>
      <c r="EP7" s="2495"/>
      <c r="EQ7" s="2495"/>
      <c r="ER7" s="2495"/>
      <c r="ES7" s="2495"/>
      <c r="ET7" s="2495"/>
      <c r="EU7" s="2495"/>
      <c r="EV7" s="2495"/>
      <c r="EW7" s="2495"/>
      <c r="EX7" s="2495"/>
      <c r="EY7" s="2495"/>
      <c r="EZ7" s="2495"/>
      <c r="FA7" s="2495"/>
      <c r="FB7" s="2495"/>
      <c r="FC7" s="2495"/>
      <c r="FD7" s="2495"/>
      <c r="FE7" s="2495"/>
      <c r="FF7" s="2495"/>
      <c r="FG7" s="2495"/>
      <c r="FH7" s="2495"/>
      <c r="FI7" s="2495"/>
      <c r="FJ7" s="2495"/>
      <c r="FK7" s="2495"/>
      <c r="FL7" s="2534"/>
    </row>
    <row r="8" spans="1:168" s="2486" customFormat="1" ht="15" customHeight="1">
      <c r="A8" s="16677"/>
      <c r="B8" s="16653"/>
      <c r="C8" s="16653" t="s">
        <v>8140</v>
      </c>
      <c r="D8" s="16652" t="s">
        <v>1810</v>
      </c>
      <c r="E8" s="5154" t="s">
        <v>1811</v>
      </c>
      <c r="F8" s="2487">
        <v>1</v>
      </c>
      <c r="G8" s="16636" t="s">
        <v>382</v>
      </c>
      <c r="H8" s="2488">
        <v>1</v>
      </c>
      <c r="I8" s="2487">
        <v>1</v>
      </c>
      <c r="J8" s="2487">
        <v>1</v>
      </c>
      <c r="K8" s="2487">
        <v>1</v>
      </c>
      <c r="L8" s="2487">
        <v>1</v>
      </c>
      <c r="M8" s="2487">
        <v>1</v>
      </c>
      <c r="N8" s="2487">
        <v>1</v>
      </c>
      <c r="O8" s="2487">
        <v>1</v>
      </c>
      <c r="P8" s="2487">
        <v>1</v>
      </c>
      <c r="Q8" s="2487">
        <v>1</v>
      </c>
      <c r="R8" s="2487">
        <v>1</v>
      </c>
      <c r="S8" s="2487">
        <v>1</v>
      </c>
      <c r="T8" s="5154" t="s">
        <v>1812</v>
      </c>
      <c r="U8" s="16636" t="s">
        <v>10063</v>
      </c>
      <c r="V8" s="2498" t="s">
        <v>144</v>
      </c>
      <c r="W8" s="2969"/>
      <c r="X8" s="6710"/>
      <c r="Y8" s="16651">
        <v>60000000</v>
      </c>
      <c r="Z8" s="6632">
        <v>1</v>
      </c>
      <c r="AA8" s="2490" t="s">
        <v>3091</v>
      </c>
      <c r="AB8" s="2493" t="s">
        <v>3092</v>
      </c>
      <c r="AC8" s="16649" t="s">
        <v>545</v>
      </c>
      <c r="AD8" s="16650">
        <f>AE8+AF8+AG8</f>
        <v>55357945.109999999</v>
      </c>
      <c r="AE8" s="16650">
        <v>52343730.399999999</v>
      </c>
      <c r="AF8" s="16650">
        <v>3014214.71</v>
      </c>
      <c r="AG8" s="16650">
        <v>0</v>
      </c>
      <c r="AH8" s="6633">
        <v>699</v>
      </c>
      <c r="AI8" s="16649">
        <v>334</v>
      </c>
      <c r="AJ8" s="16641">
        <v>365</v>
      </c>
      <c r="AK8" s="16641"/>
      <c r="AL8" s="16641"/>
      <c r="AM8" s="16641"/>
      <c r="AN8" s="16641"/>
      <c r="AO8" s="16641"/>
      <c r="AP8" s="16649">
        <v>699</v>
      </c>
      <c r="AQ8" s="16649"/>
      <c r="AR8" s="16649"/>
      <c r="AS8" s="16649"/>
      <c r="AT8" s="16641">
        <v>699</v>
      </c>
      <c r="AU8" s="16649"/>
      <c r="AV8" s="16649"/>
      <c r="AW8" s="16649"/>
      <c r="AX8" s="16649"/>
      <c r="AY8" s="16649"/>
      <c r="AZ8" s="16649"/>
      <c r="BA8" s="16649"/>
      <c r="BB8" s="16649"/>
      <c r="BC8" s="16649"/>
      <c r="BD8" s="16649"/>
      <c r="BE8" s="16649"/>
      <c r="BF8" s="16649"/>
      <c r="BG8" s="16649"/>
      <c r="BH8" s="16349"/>
      <c r="BI8" s="16349"/>
      <c r="BJ8" s="16349"/>
      <c r="BK8" s="16349"/>
      <c r="BL8" s="16349"/>
      <c r="BM8" s="16349"/>
      <c r="BN8" s="16349"/>
      <c r="BO8" s="16349"/>
      <c r="BP8" s="16349"/>
      <c r="BQ8" s="16349"/>
      <c r="BR8" s="5157"/>
      <c r="BS8" s="2491">
        <v>1</v>
      </c>
      <c r="BT8" s="6468">
        <f t="shared" ref="BT8:BT15" si="0">BS8/I8</f>
        <v>1</v>
      </c>
      <c r="BU8" s="16643"/>
      <c r="BV8" s="2489" t="s">
        <v>9367</v>
      </c>
      <c r="BW8" s="2490" t="s">
        <v>9368</v>
      </c>
      <c r="BX8" s="2489" t="s">
        <v>9369</v>
      </c>
      <c r="BY8" s="16641">
        <f>BZ8+CA8+CB8</f>
        <v>65307895</v>
      </c>
      <c r="BZ8" s="16641">
        <v>65307895</v>
      </c>
      <c r="CA8" s="16641"/>
      <c r="CB8" s="16641">
        <v>0</v>
      </c>
      <c r="CC8" s="16646">
        <v>699</v>
      </c>
      <c r="CD8" s="16645">
        <v>334</v>
      </c>
      <c r="CE8" s="16645">
        <v>365</v>
      </c>
      <c r="CF8" s="16648">
        <v>0</v>
      </c>
      <c r="CG8" s="16645">
        <v>0</v>
      </c>
      <c r="CH8" s="16645">
        <v>0</v>
      </c>
      <c r="CI8" s="16645">
        <v>699</v>
      </c>
      <c r="CJ8" s="16645"/>
      <c r="CK8" s="16645"/>
      <c r="CL8" s="16645"/>
      <c r="CM8" s="16645">
        <v>699</v>
      </c>
      <c r="CN8" s="16645"/>
      <c r="CO8" s="16645"/>
      <c r="CP8" s="16645"/>
      <c r="CQ8" s="2240"/>
      <c r="CR8" s="16645">
        <v>699</v>
      </c>
      <c r="CS8" s="16645"/>
      <c r="CT8" s="16645"/>
      <c r="CU8" s="16645"/>
      <c r="CV8" s="16645"/>
      <c r="CW8" s="16645"/>
      <c r="CX8" s="16645"/>
      <c r="CY8" s="16645"/>
      <c r="CZ8" s="2240"/>
      <c r="DA8" s="16639"/>
      <c r="DB8" s="16639"/>
      <c r="DC8" s="16639"/>
      <c r="DD8" s="16639"/>
      <c r="DE8" s="16639"/>
      <c r="DF8" s="16639"/>
      <c r="DG8" s="5157"/>
      <c r="DH8" s="5157"/>
      <c r="DI8" s="5157"/>
      <c r="DJ8" s="5157"/>
      <c r="DK8" s="5157"/>
      <c r="DL8" s="5157"/>
      <c r="DM8" s="5157"/>
      <c r="DN8" s="5157"/>
      <c r="DO8" s="5157"/>
      <c r="DP8" s="5157"/>
      <c r="DQ8" s="2494"/>
      <c r="DS8" s="6706"/>
      <c r="DT8" s="2495"/>
      <c r="DU8" s="2495"/>
      <c r="DV8" s="2495"/>
      <c r="DW8" s="2495"/>
      <c r="DX8" s="2495"/>
      <c r="DY8" s="2495"/>
      <c r="DZ8" s="2495"/>
      <c r="EA8" s="2495"/>
      <c r="EB8" s="2495"/>
      <c r="EC8" s="2495"/>
      <c r="ED8" s="2495"/>
      <c r="EE8" s="2495"/>
      <c r="EF8" s="2495"/>
      <c r="EG8" s="2495"/>
      <c r="EH8" s="2495"/>
      <c r="EI8" s="2495"/>
      <c r="EJ8" s="2495"/>
      <c r="EK8" s="2495"/>
      <c r="EL8" s="2495"/>
      <c r="EM8" s="2495"/>
      <c r="EN8" s="2495"/>
      <c r="EO8" s="2495"/>
      <c r="EP8" s="2495"/>
      <c r="EQ8" s="2495"/>
      <c r="ER8" s="2495"/>
      <c r="ES8" s="2495"/>
      <c r="ET8" s="2495"/>
      <c r="EU8" s="2495"/>
      <c r="EV8" s="2495"/>
      <c r="EW8" s="2495"/>
      <c r="EX8" s="2495"/>
      <c r="EY8" s="2495"/>
      <c r="EZ8" s="2495"/>
      <c r="FA8" s="2495"/>
      <c r="FB8" s="2495"/>
      <c r="FC8" s="2495"/>
      <c r="FD8" s="2495"/>
      <c r="FE8" s="2495"/>
      <c r="FF8" s="2495"/>
      <c r="FG8" s="2495"/>
      <c r="FH8" s="2495"/>
      <c r="FI8" s="2495"/>
      <c r="FJ8" s="2495"/>
      <c r="FK8" s="2495"/>
      <c r="FL8" s="2534"/>
    </row>
    <row r="9" spans="1:168" s="2486" customFormat="1" ht="15" customHeight="1">
      <c r="A9" s="16677"/>
      <c r="B9" s="16653"/>
      <c r="C9" s="16653"/>
      <c r="D9" s="16652"/>
      <c r="E9" s="5154" t="s">
        <v>1813</v>
      </c>
      <c r="F9" s="2487">
        <v>1000</v>
      </c>
      <c r="G9" s="16636"/>
      <c r="H9" s="2487">
        <v>913</v>
      </c>
      <c r="I9" s="2487">
        <v>1000</v>
      </c>
      <c r="J9" s="2487">
        <v>1000</v>
      </c>
      <c r="K9" s="2487">
        <v>1000</v>
      </c>
      <c r="L9" s="2487">
        <v>1000</v>
      </c>
      <c r="M9" s="2487">
        <v>1000</v>
      </c>
      <c r="N9" s="2487">
        <v>1000</v>
      </c>
      <c r="O9" s="2487">
        <v>1000</v>
      </c>
      <c r="P9" s="2487">
        <v>1000</v>
      </c>
      <c r="Q9" s="2487">
        <v>1000</v>
      </c>
      <c r="R9" s="2487">
        <v>1000</v>
      </c>
      <c r="S9" s="2487">
        <v>1000</v>
      </c>
      <c r="T9" s="5154" t="s">
        <v>1814</v>
      </c>
      <c r="U9" s="16636"/>
      <c r="V9" s="2498" t="s">
        <v>144</v>
      </c>
      <c r="W9" s="2969"/>
      <c r="X9" s="6710"/>
      <c r="Y9" s="16651"/>
      <c r="Z9" s="2507">
        <f>699/1000</f>
        <v>0.69899999999999995</v>
      </c>
      <c r="AA9" s="2489" t="s">
        <v>3093</v>
      </c>
      <c r="AB9" s="2489" t="s">
        <v>3081</v>
      </c>
      <c r="AC9" s="16649"/>
      <c r="AD9" s="16650"/>
      <c r="AE9" s="16650"/>
      <c r="AF9" s="16650"/>
      <c r="AG9" s="16650"/>
      <c r="AH9" s="6633">
        <v>699</v>
      </c>
      <c r="AI9" s="16649"/>
      <c r="AJ9" s="16641"/>
      <c r="AK9" s="16641"/>
      <c r="AL9" s="16641"/>
      <c r="AM9" s="16641"/>
      <c r="AN9" s="16641"/>
      <c r="AO9" s="16641"/>
      <c r="AP9" s="16649"/>
      <c r="AQ9" s="16649"/>
      <c r="AR9" s="16649"/>
      <c r="AS9" s="16649"/>
      <c r="AT9" s="16641"/>
      <c r="AU9" s="16649"/>
      <c r="AV9" s="16649"/>
      <c r="AW9" s="16649"/>
      <c r="AX9" s="16649"/>
      <c r="AY9" s="16649"/>
      <c r="AZ9" s="16649"/>
      <c r="BA9" s="16649"/>
      <c r="BB9" s="16649"/>
      <c r="BC9" s="16649"/>
      <c r="BD9" s="16649"/>
      <c r="BE9" s="16649"/>
      <c r="BF9" s="16649"/>
      <c r="BG9" s="16649"/>
      <c r="BH9" s="16349"/>
      <c r="BI9" s="16349"/>
      <c r="BJ9" s="16349"/>
      <c r="BK9" s="16349"/>
      <c r="BL9" s="16349"/>
      <c r="BM9" s="16349"/>
      <c r="BN9" s="16349"/>
      <c r="BO9" s="16349"/>
      <c r="BP9" s="16349"/>
      <c r="BQ9" s="16349"/>
      <c r="BR9" s="5157"/>
      <c r="BS9" s="2491">
        <v>699</v>
      </c>
      <c r="BT9" s="6468">
        <f t="shared" si="0"/>
        <v>0.69899999999999995</v>
      </c>
      <c r="BU9" s="16643"/>
      <c r="BV9" s="2489" t="s">
        <v>9370</v>
      </c>
      <c r="BW9" s="2490" t="s">
        <v>9371</v>
      </c>
      <c r="BX9" s="2495"/>
      <c r="BY9" s="16641"/>
      <c r="BZ9" s="16641"/>
      <c r="CA9" s="16641"/>
      <c r="CB9" s="16641"/>
      <c r="CC9" s="16646"/>
      <c r="CD9" s="16645"/>
      <c r="CE9" s="16645"/>
      <c r="CF9" s="16648"/>
      <c r="CG9" s="16645"/>
      <c r="CH9" s="16645"/>
      <c r="CI9" s="16645"/>
      <c r="CJ9" s="16645"/>
      <c r="CK9" s="16645"/>
      <c r="CL9" s="16645"/>
      <c r="CM9" s="16645"/>
      <c r="CN9" s="16645"/>
      <c r="CO9" s="16645"/>
      <c r="CP9" s="16645"/>
      <c r="CQ9" s="2240"/>
      <c r="CR9" s="16645"/>
      <c r="CS9" s="16645"/>
      <c r="CT9" s="16645"/>
      <c r="CU9" s="16645"/>
      <c r="CV9" s="16645"/>
      <c r="CW9" s="16645"/>
      <c r="CX9" s="16645"/>
      <c r="CY9" s="16645"/>
      <c r="CZ9" s="2240"/>
      <c r="DA9" s="16639"/>
      <c r="DB9" s="16639"/>
      <c r="DC9" s="16639"/>
      <c r="DD9" s="16639"/>
      <c r="DE9" s="16639"/>
      <c r="DF9" s="16639"/>
      <c r="DG9" s="5157"/>
      <c r="DH9" s="5157"/>
      <c r="DI9" s="5157"/>
      <c r="DJ9" s="5157"/>
      <c r="DK9" s="5157"/>
      <c r="DL9" s="5157"/>
      <c r="DM9" s="5157"/>
      <c r="DN9" s="5157"/>
      <c r="DO9" s="5157"/>
      <c r="DP9" s="5157"/>
      <c r="DQ9" s="2494"/>
      <c r="DS9" s="6706"/>
      <c r="DT9" s="2495"/>
      <c r="DU9" s="2495"/>
      <c r="DV9" s="2495"/>
      <c r="DW9" s="2495"/>
      <c r="DX9" s="2495"/>
      <c r="DY9" s="2495"/>
      <c r="DZ9" s="2495"/>
      <c r="EA9" s="2495"/>
      <c r="EB9" s="2495"/>
      <c r="EC9" s="2495"/>
      <c r="ED9" s="2495"/>
      <c r="EE9" s="2495"/>
      <c r="EF9" s="2495"/>
      <c r="EG9" s="2495"/>
      <c r="EH9" s="2495"/>
      <c r="EI9" s="2495"/>
      <c r="EJ9" s="2495"/>
      <c r="EK9" s="2495"/>
      <c r="EL9" s="2495"/>
      <c r="EM9" s="2495"/>
      <c r="EN9" s="2495"/>
      <c r="EO9" s="2495"/>
      <c r="EP9" s="2495"/>
      <c r="EQ9" s="2495"/>
      <c r="ER9" s="2495"/>
      <c r="ES9" s="2495"/>
      <c r="ET9" s="2495"/>
      <c r="EU9" s="2495"/>
      <c r="EV9" s="2495"/>
      <c r="EW9" s="2495"/>
      <c r="EX9" s="2495"/>
      <c r="EY9" s="2495"/>
      <c r="EZ9" s="2495"/>
      <c r="FA9" s="2495"/>
      <c r="FB9" s="2495"/>
      <c r="FC9" s="2495"/>
      <c r="FD9" s="2495"/>
      <c r="FE9" s="2495"/>
      <c r="FF9" s="2495"/>
      <c r="FG9" s="2495"/>
      <c r="FH9" s="2495"/>
      <c r="FI9" s="2495"/>
      <c r="FJ9" s="2495"/>
      <c r="FK9" s="2495"/>
      <c r="FL9" s="2534"/>
    </row>
    <row r="10" spans="1:168" s="2486" customFormat="1" ht="15" customHeight="1">
      <c r="A10" s="16677"/>
      <c r="B10" s="16653"/>
      <c r="C10" s="16653" t="s">
        <v>8141</v>
      </c>
      <c r="D10" s="16652" t="s">
        <v>1815</v>
      </c>
      <c r="E10" s="5154" t="s">
        <v>1816</v>
      </c>
      <c r="F10" s="2487">
        <v>1</v>
      </c>
      <c r="G10" s="16636" t="s">
        <v>382</v>
      </c>
      <c r="H10" s="2496">
        <v>1</v>
      </c>
      <c r="I10" s="2487">
        <v>1</v>
      </c>
      <c r="J10" s="2487">
        <v>1</v>
      </c>
      <c r="K10" s="2487">
        <v>1</v>
      </c>
      <c r="L10" s="2487">
        <v>1</v>
      </c>
      <c r="M10" s="2487">
        <v>1</v>
      </c>
      <c r="N10" s="2487">
        <v>1</v>
      </c>
      <c r="O10" s="2487">
        <v>1</v>
      </c>
      <c r="P10" s="2487">
        <v>1</v>
      </c>
      <c r="Q10" s="2487">
        <v>1</v>
      </c>
      <c r="R10" s="2487">
        <v>1</v>
      </c>
      <c r="S10" s="2487">
        <v>1</v>
      </c>
      <c r="T10" s="5154" t="s">
        <v>1805</v>
      </c>
      <c r="U10" s="16636" t="s">
        <v>10063</v>
      </c>
      <c r="V10" s="2498" t="s">
        <v>144</v>
      </c>
      <c r="W10" s="2969"/>
      <c r="X10" s="6710"/>
      <c r="Y10" s="16651">
        <v>15000000</v>
      </c>
      <c r="Z10" s="6632">
        <v>1</v>
      </c>
      <c r="AA10" s="16647" t="s">
        <v>3094</v>
      </c>
      <c r="AB10" s="16647" t="s">
        <v>3095</v>
      </c>
      <c r="AC10" s="16649" t="s">
        <v>545</v>
      </c>
      <c r="AD10" s="16654">
        <f>+AE10+AF10</f>
        <v>30523573.399999999</v>
      </c>
      <c r="AE10" s="16650">
        <v>25873373.399999999</v>
      </c>
      <c r="AF10" s="16656">
        <v>4650200</v>
      </c>
      <c r="AG10" s="16650">
        <v>0</v>
      </c>
      <c r="AH10" s="16649">
        <v>3384</v>
      </c>
      <c r="AI10" s="16657">
        <v>852</v>
      </c>
      <c r="AJ10" s="16657">
        <v>2532</v>
      </c>
      <c r="AK10" s="16657">
        <f>2346+175</f>
        <v>2521</v>
      </c>
      <c r="AL10" s="16657">
        <v>863</v>
      </c>
      <c r="AM10" s="16649"/>
      <c r="AN10" s="16649">
        <f>11+11</f>
        <v>22</v>
      </c>
      <c r="AO10" s="16649">
        <f>259+250</f>
        <v>509</v>
      </c>
      <c r="AP10" s="16649">
        <f>511+196</f>
        <v>707</v>
      </c>
      <c r="AQ10" s="16649">
        <f>786+173</f>
        <v>959</v>
      </c>
      <c r="AR10" s="16649">
        <f>720+152</f>
        <v>872</v>
      </c>
      <c r="AS10" s="16649">
        <f>245+70</f>
        <v>315</v>
      </c>
      <c r="AT10" s="16349"/>
      <c r="AU10" s="16349"/>
      <c r="AV10" s="16349"/>
      <c r="AW10" s="16349"/>
      <c r="AX10" s="6634"/>
      <c r="AY10" s="6634"/>
      <c r="AZ10" s="6634"/>
      <c r="BA10" s="6634"/>
      <c r="BB10" s="16649">
        <v>3315</v>
      </c>
      <c r="BC10" s="16649">
        <v>64</v>
      </c>
      <c r="BD10" s="16649">
        <v>5</v>
      </c>
      <c r="BE10" s="16349"/>
      <c r="BF10" s="16349"/>
      <c r="BG10" s="16349"/>
      <c r="BH10" s="16349"/>
      <c r="BI10" s="16349"/>
      <c r="BJ10" s="16349"/>
      <c r="BK10" s="16349"/>
      <c r="BL10" s="16349"/>
      <c r="BM10" s="16349"/>
      <c r="BN10" s="16349"/>
      <c r="BO10" s="16349"/>
      <c r="BP10" s="16349"/>
      <c r="BQ10" s="16349"/>
      <c r="BR10" s="16639"/>
      <c r="BS10" s="2491">
        <v>1</v>
      </c>
      <c r="BT10" s="6468">
        <f t="shared" si="0"/>
        <v>1</v>
      </c>
      <c r="BU10" s="16643"/>
      <c r="BV10" s="2489" t="s">
        <v>9372</v>
      </c>
      <c r="BW10" s="2495"/>
      <c r="BX10" s="2495"/>
      <c r="BY10" s="16641">
        <f>BZ10+CA10+CB10</f>
        <v>31571033.350000001</v>
      </c>
      <c r="BZ10" s="16641">
        <v>31571033.350000001</v>
      </c>
      <c r="CA10" s="16641">
        <v>0</v>
      </c>
      <c r="CB10" s="16641">
        <v>0</v>
      </c>
      <c r="CC10" s="2247" t="s">
        <v>715</v>
      </c>
      <c r="CD10" s="2241"/>
      <c r="CE10" s="2241"/>
      <c r="CF10" s="2241"/>
      <c r="CG10" s="2241"/>
      <c r="CH10" s="2241"/>
      <c r="CI10" s="2241"/>
      <c r="CJ10" s="2241"/>
      <c r="CK10" s="2241"/>
      <c r="CL10" s="2241"/>
      <c r="CM10" s="2241"/>
      <c r="CN10" s="2241"/>
      <c r="CO10" s="2241"/>
      <c r="CP10" s="2241"/>
      <c r="CQ10" s="2241"/>
      <c r="CR10" s="2241"/>
      <c r="CS10" s="2241"/>
      <c r="CT10" s="2241"/>
      <c r="CU10" s="2241"/>
      <c r="CV10" s="2241"/>
      <c r="CW10" s="2241"/>
      <c r="CX10" s="2241"/>
      <c r="CY10" s="2241"/>
      <c r="CZ10" s="2241"/>
      <c r="DA10" s="5157"/>
      <c r="DB10" s="5157"/>
      <c r="DC10" s="5157"/>
      <c r="DD10" s="5157"/>
      <c r="DE10" s="5157"/>
      <c r="DF10" s="5157"/>
      <c r="DG10" s="5157"/>
      <c r="DH10" s="5157"/>
      <c r="DI10" s="5157"/>
      <c r="DJ10" s="5157"/>
      <c r="DK10" s="5157"/>
      <c r="DL10" s="5157"/>
      <c r="DM10" s="5157"/>
      <c r="DN10" s="5157"/>
      <c r="DO10" s="5157"/>
      <c r="DP10" s="5157"/>
      <c r="DQ10" s="2494"/>
      <c r="DS10" s="6706"/>
      <c r="DT10" s="2495"/>
      <c r="DU10" s="2495"/>
      <c r="DV10" s="2495"/>
      <c r="DW10" s="2495"/>
      <c r="DX10" s="2495"/>
      <c r="DY10" s="2495"/>
      <c r="DZ10" s="2495"/>
      <c r="EA10" s="2495"/>
      <c r="EB10" s="2495"/>
      <c r="EC10" s="2495"/>
      <c r="ED10" s="2495"/>
      <c r="EE10" s="2495"/>
      <c r="EF10" s="2495"/>
      <c r="EG10" s="2495"/>
      <c r="EH10" s="2495"/>
      <c r="EI10" s="2495"/>
      <c r="EJ10" s="2495"/>
      <c r="EK10" s="2495"/>
      <c r="EL10" s="2495"/>
      <c r="EM10" s="2495"/>
      <c r="EN10" s="2495"/>
      <c r="EO10" s="2495"/>
      <c r="EP10" s="2495"/>
      <c r="EQ10" s="2495"/>
      <c r="ER10" s="2495"/>
      <c r="ES10" s="2495"/>
      <c r="ET10" s="2495"/>
      <c r="EU10" s="2495"/>
      <c r="EV10" s="2495"/>
      <c r="EW10" s="2495"/>
      <c r="EX10" s="2495"/>
      <c r="EY10" s="2495"/>
      <c r="EZ10" s="2495"/>
      <c r="FA10" s="2495"/>
      <c r="FB10" s="2495"/>
      <c r="FC10" s="2495"/>
      <c r="FD10" s="2495"/>
      <c r="FE10" s="2495"/>
      <c r="FF10" s="2495"/>
      <c r="FG10" s="2495"/>
      <c r="FH10" s="2495"/>
      <c r="FI10" s="2495"/>
      <c r="FJ10" s="2495"/>
      <c r="FK10" s="2495"/>
      <c r="FL10" s="2534"/>
    </row>
    <row r="11" spans="1:168" s="2486" customFormat="1" ht="15" customHeight="1">
      <c r="A11" s="16677"/>
      <c r="B11" s="16653"/>
      <c r="C11" s="16653"/>
      <c r="D11" s="16652"/>
      <c r="E11" s="5154" t="s">
        <v>1817</v>
      </c>
      <c r="F11" s="2487">
        <v>1600</v>
      </c>
      <c r="G11" s="16636"/>
      <c r="H11" s="2496">
        <v>1600</v>
      </c>
      <c r="I11" s="2487">
        <v>1600</v>
      </c>
      <c r="J11" s="2487">
        <v>1600</v>
      </c>
      <c r="K11" s="2487">
        <v>1600</v>
      </c>
      <c r="L11" s="2487">
        <v>1600</v>
      </c>
      <c r="M11" s="2487">
        <v>1600</v>
      </c>
      <c r="N11" s="2487">
        <v>1600</v>
      </c>
      <c r="O11" s="2487">
        <v>1600</v>
      </c>
      <c r="P11" s="2487">
        <v>1600</v>
      </c>
      <c r="Q11" s="2487">
        <v>1600</v>
      </c>
      <c r="R11" s="2487">
        <v>1600</v>
      </c>
      <c r="S11" s="2487">
        <v>1600</v>
      </c>
      <c r="T11" s="5154" t="s">
        <v>1818</v>
      </c>
      <c r="U11" s="16636"/>
      <c r="V11" s="2498" t="s">
        <v>144</v>
      </c>
      <c r="W11" s="2969"/>
      <c r="X11" s="6710"/>
      <c r="Y11" s="16651"/>
      <c r="Z11" s="2507">
        <v>1</v>
      </c>
      <c r="AA11" s="16647"/>
      <c r="AB11" s="16647"/>
      <c r="AC11" s="16649"/>
      <c r="AD11" s="16654"/>
      <c r="AE11" s="16650"/>
      <c r="AF11" s="16656"/>
      <c r="AG11" s="16650"/>
      <c r="AH11" s="16649"/>
      <c r="AI11" s="16657"/>
      <c r="AJ11" s="16657"/>
      <c r="AK11" s="16657"/>
      <c r="AL11" s="16657"/>
      <c r="AM11" s="16649"/>
      <c r="AN11" s="16649"/>
      <c r="AO11" s="16649"/>
      <c r="AP11" s="16649"/>
      <c r="AQ11" s="16649"/>
      <c r="AR11" s="16649"/>
      <c r="AS11" s="16649"/>
      <c r="AT11" s="16349"/>
      <c r="AU11" s="16349"/>
      <c r="AV11" s="16349"/>
      <c r="AW11" s="16349"/>
      <c r="AX11" s="6634"/>
      <c r="AY11" s="6634"/>
      <c r="AZ11" s="6634"/>
      <c r="BA11" s="6634"/>
      <c r="BB11" s="16649"/>
      <c r="BC11" s="16649"/>
      <c r="BD11" s="16649"/>
      <c r="BE11" s="16349"/>
      <c r="BF11" s="16349"/>
      <c r="BG11" s="16349"/>
      <c r="BH11" s="16349"/>
      <c r="BI11" s="16349"/>
      <c r="BJ11" s="16349"/>
      <c r="BK11" s="16349"/>
      <c r="BL11" s="16349"/>
      <c r="BM11" s="16349"/>
      <c r="BN11" s="16349"/>
      <c r="BO11" s="16349"/>
      <c r="BP11" s="16349"/>
      <c r="BQ11" s="16349"/>
      <c r="BR11" s="16639"/>
      <c r="BS11" s="2491">
        <v>1220</v>
      </c>
      <c r="BT11" s="6468">
        <f t="shared" si="0"/>
        <v>0.76249999999999996</v>
      </c>
      <c r="BU11" s="16643"/>
      <c r="BV11" s="2490" t="s">
        <v>9373</v>
      </c>
      <c r="BW11" s="2495"/>
      <c r="BX11" s="2495"/>
      <c r="BY11" s="16641"/>
      <c r="BZ11" s="16641"/>
      <c r="CA11" s="16641"/>
      <c r="CB11" s="16641"/>
      <c r="CC11" s="2239">
        <v>1375</v>
      </c>
      <c r="CD11" s="2241">
        <v>155</v>
      </c>
      <c r="CE11" s="2241">
        <v>1220</v>
      </c>
      <c r="CF11" s="2241">
        <v>0</v>
      </c>
      <c r="CG11" s="2241">
        <v>1148</v>
      </c>
      <c r="CH11" s="2241">
        <v>227</v>
      </c>
      <c r="CI11" s="2241">
        <v>0</v>
      </c>
      <c r="CJ11" s="2241">
        <v>0</v>
      </c>
      <c r="CK11" s="2241">
        <v>23</v>
      </c>
      <c r="CL11" s="2241">
        <v>56</v>
      </c>
      <c r="CM11" s="2241">
        <v>280</v>
      </c>
      <c r="CN11" s="2241">
        <v>320</v>
      </c>
      <c r="CO11" s="2241">
        <v>354</v>
      </c>
      <c r="CP11" s="2241">
        <v>342</v>
      </c>
      <c r="CQ11" s="2241">
        <v>0</v>
      </c>
      <c r="CR11" s="2241"/>
      <c r="CS11" s="2241">
        <v>4</v>
      </c>
      <c r="CT11" s="2241"/>
      <c r="CU11" s="2241"/>
      <c r="CV11" s="2241">
        <v>336</v>
      </c>
      <c r="CW11" s="2241"/>
      <c r="CX11" s="2241"/>
      <c r="CY11" s="2241">
        <v>21</v>
      </c>
      <c r="CZ11" s="2241">
        <v>1014</v>
      </c>
      <c r="DA11" s="2497">
        <v>1320</v>
      </c>
      <c r="DB11" s="2497">
        <v>27</v>
      </c>
      <c r="DC11" s="2497">
        <v>28</v>
      </c>
      <c r="DD11" s="5157"/>
      <c r="DE11" s="5157"/>
      <c r="DF11" s="5157"/>
      <c r="DG11" s="5157"/>
      <c r="DH11" s="5157"/>
      <c r="DI11" s="5157"/>
      <c r="DJ11" s="5157"/>
      <c r="DK11" s="5157"/>
      <c r="DL11" s="5157"/>
      <c r="DM11" s="5157"/>
      <c r="DN11" s="5157"/>
      <c r="DO11" s="5157"/>
      <c r="DP11" s="5157"/>
      <c r="DQ11" s="2494"/>
      <c r="DS11" s="6706"/>
      <c r="DT11" s="2495"/>
      <c r="DU11" s="2495"/>
      <c r="DV11" s="2495"/>
      <c r="DW11" s="2495"/>
      <c r="DX11" s="2495"/>
      <c r="DY11" s="2495"/>
      <c r="DZ11" s="2495"/>
      <c r="EA11" s="2495"/>
      <c r="EB11" s="2495"/>
      <c r="EC11" s="2495"/>
      <c r="ED11" s="2495"/>
      <c r="EE11" s="2495"/>
      <c r="EF11" s="2495"/>
      <c r="EG11" s="2495"/>
      <c r="EH11" s="2495"/>
      <c r="EI11" s="2495"/>
      <c r="EJ11" s="2495"/>
      <c r="EK11" s="2495"/>
      <c r="EL11" s="2495"/>
      <c r="EM11" s="2495"/>
      <c r="EN11" s="2495"/>
      <c r="EO11" s="2495"/>
      <c r="EP11" s="2495"/>
      <c r="EQ11" s="2495"/>
      <c r="ER11" s="2495"/>
      <c r="ES11" s="2495"/>
      <c r="ET11" s="2495"/>
      <c r="EU11" s="2495"/>
      <c r="EV11" s="2495"/>
      <c r="EW11" s="2495"/>
      <c r="EX11" s="2495"/>
      <c r="EY11" s="2495"/>
      <c r="EZ11" s="2495"/>
      <c r="FA11" s="2495"/>
      <c r="FB11" s="2495"/>
      <c r="FC11" s="2495"/>
      <c r="FD11" s="2495"/>
      <c r="FE11" s="2495"/>
      <c r="FF11" s="2495"/>
      <c r="FG11" s="2495"/>
      <c r="FH11" s="2495"/>
      <c r="FI11" s="2495"/>
      <c r="FJ11" s="2495"/>
      <c r="FK11" s="2495"/>
      <c r="FL11" s="2534"/>
    </row>
    <row r="12" spans="1:168" s="2486" customFormat="1" ht="15" customHeight="1">
      <c r="A12" s="16677"/>
      <c r="B12" s="16653"/>
      <c r="C12" s="5171" t="s">
        <v>8142</v>
      </c>
      <c r="D12" s="5160" t="s">
        <v>1819</v>
      </c>
      <c r="E12" s="5154" t="s">
        <v>1820</v>
      </c>
      <c r="F12" s="2487">
        <v>1</v>
      </c>
      <c r="G12" s="5154" t="s">
        <v>382</v>
      </c>
      <c r="H12" s="2496"/>
      <c r="I12" s="2487">
        <v>1</v>
      </c>
      <c r="J12" s="2487">
        <v>1</v>
      </c>
      <c r="K12" s="2487">
        <v>1</v>
      </c>
      <c r="L12" s="2487">
        <v>1</v>
      </c>
      <c r="M12" s="2487">
        <v>1</v>
      </c>
      <c r="N12" s="2487">
        <v>1</v>
      </c>
      <c r="O12" s="2487">
        <v>1</v>
      </c>
      <c r="P12" s="2487">
        <v>1</v>
      </c>
      <c r="Q12" s="2487">
        <v>1</v>
      </c>
      <c r="R12" s="2487">
        <v>1</v>
      </c>
      <c r="S12" s="2487">
        <v>1</v>
      </c>
      <c r="T12" s="5154" t="s">
        <v>1821</v>
      </c>
      <c r="U12" s="5154" t="s">
        <v>10063</v>
      </c>
      <c r="V12" s="5154" t="s">
        <v>144</v>
      </c>
      <c r="W12" s="2969"/>
      <c r="X12" s="6710" t="s">
        <v>1822</v>
      </c>
      <c r="Y12" s="6635"/>
      <c r="Z12" s="6632">
        <v>1</v>
      </c>
      <c r="AA12" s="2490" t="s">
        <v>3096</v>
      </c>
      <c r="AB12" s="2490" t="s">
        <v>3097</v>
      </c>
      <c r="AC12" s="2490" t="s">
        <v>3098</v>
      </c>
      <c r="AD12" s="2495"/>
      <c r="AE12" s="2495"/>
      <c r="AF12" s="2495"/>
      <c r="AG12" s="2495"/>
      <c r="AH12" s="2491" t="s">
        <v>545</v>
      </c>
      <c r="AI12" s="2495"/>
      <c r="AJ12" s="2495"/>
      <c r="AK12" s="2495"/>
      <c r="AL12" s="2495"/>
      <c r="AM12" s="2495"/>
      <c r="AN12" s="2495"/>
      <c r="AO12" s="2495"/>
      <c r="AP12" s="2495"/>
      <c r="AQ12" s="2495"/>
      <c r="AR12" s="2495"/>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c r="BP12" s="2495"/>
      <c r="BQ12" s="2495"/>
      <c r="BR12" s="2509"/>
      <c r="BS12" s="2491">
        <v>1</v>
      </c>
      <c r="BT12" s="6468">
        <f t="shared" si="0"/>
        <v>1</v>
      </c>
      <c r="BU12" s="16643"/>
      <c r="BV12" s="2508" t="s">
        <v>9374</v>
      </c>
      <c r="BW12" s="2498" t="s">
        <v>9375</v>
      </c>
      <c r="BX12" s="2498" t="s">
        <v>9658</v>
      </c>
      <c r="BY12" s="5157">
        <v>0</v>
      </c>
      <c r="BZ12" s="5157">
        <v>0</v>
      </c>
      <c r="CA12" s="5157">
        <v>0</v>
      </c>
      <c r="CB12" s="5157">
        <v>0</v>
      </c>
      <c r="CC12" s="2239"/>
      <c r="CD12" s="2241"/>
      <c r="CE12" s="2241"/>
      <c r="CF12" s="2241"/>
      <c r="CG12" s="2241"/>
      <c r="CH12" s="2241"/>
      <c r="CI12" s="2241"/>
      <c r="CJ12" s="2241"/>
      <c r="CK12" s="2241"/>
      <c r="CL12" s="2241"/>
      <c r="CM12" s="2241"/>
      <c r="CN12" s="2241"/>
      <c r="CO12" s="2241"/>
      <c r="CP12" s="2241"/>
      <c r="CQ12" s="2241"/>
      <c r="CR12" s="2241"/>
      <c r="CS12" s="2241"/>
      <c r="CT12" s="2241"/>
      <c r="CU12" s="2241"/>
      <c r="CV12" s="2241"/>
      <c r="CW12" s="2241"/>
      <c r="CX12" s="2241"/>
      <c r="CY12" s="2241"/>
      <c r="CZ12" s="2241"/>
      <c r="DA12" s="5157"/>
      <c r="DB12" s="5157"/>
      <c r="DC12" s="5157"/>
      <c r="DD12" s="5157"/>
      <c r="DE12" s="5157"/>
      <c r="DF12" s="5157"/>
      <c r="DG12" s="5157"/>
      <c r="DH12" s="2499"/>
      <c r="DI12" s="5157"/>
      <c r="DJ12" s="5157"/>
      <c r="DK12" s="5157"/>
      <c r="DL12" s="5157"/>
      <c r="DM12" s="5157"/>
      <c r="DN12" s="5157"/>
      <c r="DO12" s="5157"/>
      <c r="DP12" s="5157"/>
      <c r="DQ12" s="2494"/>
      <c r="DS12" s="6706"/>
      <c r="DT12" s="2495"/>
      <c r="DU12" s="2495"/>
      <c r="DV12" s="2495"/>
      <c r="DW12" s="2495"/>
      <c r="DX12" s="2495"/>
      <c r="DY12" s="2495"/>
      <c r="DZ12" s="2495"/>
      <c r="EA12" s="2495"/>
      <c r="EB12" s="2495"/>
      <c r="EC12" s="2495"/>
      <c r="ED12" s="2495"/>
      <c r="EE12" s="2495"/>
      <c r="EF12" s="2495"/>
      <c r="EG12" s="2495"/>
      <c r="EH12" s="2495"/>
      <c r="EI12" s="2495"/>
      <c r="EJ12" s="2495"/>
      <c r="EK12" s="2495"/>
      <c r="EL12" s="2495"/>
      <c r="EM12" s="2495"/>
      <c r="EN12" s="2495"/>
      <c r="EO12" s="2495"/>
      <c r="EP12" s="2495"/>
      <c r="EQ12" s="2495"/>
      <c r="ER12" s="2495"/>
      <c r="ES12" s="2495"/>
      <c r="ET12" s="2495"/>
      <c r="EU12" s="2495"/>
      <c r="EV12" s="2495"/>
      <c r="EW12" s="2495"/>
      <c r="EX12" s="2495"/>
      <c r="EY12" s="2495"/>
      <c r="EZ12" s="2495"/>
      <c r="FA12" s="2495"/>
      <c r="FB12" s="2495"/>
      <c r="FC12" s="2495"/>
      <c r="FD12" s="2495"/>
      <c r="FE12" s="2495"/>
      <c r="FF12" s="2495"/>
      <c r="FG12" s="2495"/>
      <c r="FH12" s="2495"/>
      <c r="FI12" s="2495"/>
      <c r="FJ12" s="2495"/>
      <c r="FK12" s="2495"/>
      <c r="FL12" s="2534"/>
    </row>
    <row r="13" spans="1:168" s="2486" customFormat="1" ht="15" customHeight="1">
      <c r="A13" s="16677"/>
      <c r="B13" s="16653"/>
      <c r="C13" s="5171" t="s">
        <v>8143</v>
      </c>
      <c r="D13" s="5160" t="s">
        <v>1823</v>
      </c>
      <c r="E13" s="5154" t="s">
        <v>1824</v>
      </c>
      <c r="F13" s="2487">
        <v>1260</v>
      </c>
      <c r="G13" s="2498" t="s">
        <v>382</v>
      </c>
      <c r="H13" s="2496">
        <v>420</v>
      </c>
      <c r="I13" s="2487">
        <v>1260</v>
      </c>
      <c r="J13" s="2487">
        <v>1260</v>
      </c>
      <c r="K13" s="2487">
        <v>1260</v>
      </c>
      <c r="L13" s="2487">
        <v>1260</v>
      </c>
      <c r="M13" s="2487">
        <v>1260</v>
      </c>
      <c r="N13" s="2487">
        <v>1260</v>
      </c>
      <c r="O13" s="2487">
        <v>1260</v>
      </c>
      <c r="P13" s="2487">
        <v>1260</v>
      </c>
      <c r="Q13" s="2487">
        <v>1260</v>
      </c>
      <c r="R13" s="2487">
        <v>1260</v>
      </c>
      <c r="S13" s="2487">
        <v>1260</v>
      </c>
      <c r="T13" s="5154" t="s">
        <v>1825</v>
      </c>
      <c r="U13" s="5154" t="s">
        <v>10063</v>
      </c>
      <c r="V13" s="5154" t="s">
        <v>144</v>
      </c>
      <c r="W13" s="2969"/>
      <c r="X13" s="6710"/>
      <c r="Y13" s="6635">
        <v>45000000</v>
      </c>
      <c r="Z13" s="2507">
        <f>528/1260</f>
        <v>0.41904761904761906</v>
      </c>
      <c r="AA13" s="2495" t="s">
        <v>3143</v>
      </c>
      <c r="AB13" s="2495"/>
      <c r="AC13" s="2495"/>
      <c r="AD13" s="2500">
        <f>AE13+AF13+AG13</f>
        <v>111148196.09999999</v>
      </c>
      <c r="AE13" s="2500">
        <v>111148196.09999999</v>
      </c>
      <c r="AF13" s="2500">
        <v>0</v>
      </c>
      <c r="AG13" s="2500">
        <v>0</v>
      </c>
      <c r="AH13" s="2495"/>
      <c r="AI13" s="2495"/>
      <c r="AJ13" s="2495"/>
      <c r="AK13" s="2495"/>
      <c r="AL13" s="2495"/>
      <c r="AM13" s="2495"/>
      <c r="AN13" s="2495"/>
      <c r="AO13" s="2495"/>
      <c r="AP13" s="2495"/>
      <c r="AQ13" s="2495"/>
      <c r="AR13" s="2495"/>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c r="BP13" s="2495"/>
      <c r="BQ13" s="2495"/>
      <c r="BR13" s="2509"/>
      <c r="BS13" s="2491">
        <v>580</v>
      </c>
      <c r="BT13" s="6468">
        <f t="shared" si="0"/>
        <v>0.46031746031746029</v>
      </c>
      <c r="BU13" s="16643"/>
      <c r="BV13" s="2505" t="s">
        <v>9376</v>
      </c>
      <c r="BW13" s="2498" t="s">
        <v>9377</v>
      </c>
      <c r="BX13" s="2501"/>
      <c r="BY13" s="2497">
        <f>BZ13+CA13+CB13</f>
        <v>134176387.20625</v>
      </c>
      <c r="BZ13" s="2497">
        <v>77650990.506249994</v>
      </c>
      <c r="CA13" s="2497">
        <v>56525396.700000003</v>
      </c>
      <c r="CB13" s="2497">
        <v>0</v>
      </c>
      <c r="CC13" s="2247"/>
      <c r="CD13" s="2241"/>
      <c r="CE13" s="2241"/>
      <c r="CF13" s="2241"/>
      <c r="CG13" s="2241"/>
      <c r="CH13" s="2241"/>
      <c r="CI13" s="2241"/>
      <c r="CJ13" s="2241"/>
      <c r="CK13" s="2241"/>
      <c r="CL13" s="2241"/>
      <c r="CM13" s="2241"/>
      <c r="CN13" s="2241"/>
      <c r="CO13" s="2241"/>
      <c r="CP13" s="2241"/>
      <c r="CQ13" s="2241"/>
      <c r="CR13" s="2241"/>
      <c r="CS13" s="2241"/>
      <c r="CT13" s="2241"/>
      <c r="CU13" s="2241"/>
      <c r="CV13" s="2241"/>
      <c r="CW13" s="2241"/>
      <c r="CX13" s="2241"/>
      <c r="CY13" s="2241"/>
      <c r="CZ13" s="2241"/>
      <c r="DA13" s="5157"/>
      <c r="DB13" s="5157"/>
      <c r="DC13" s="5157"/>
      <c r="DD13" s="5157"/>
      <c r="DE13" s="5157"/>
      <c r="DF13" s="5157"/>
      <c r="DG13" s="5157"/>
      <c r="DH13" s="5157"/>
      <c r="DI13" s="5157"/>
      <c r="DJ13" s="5157"/>
      <c r="DK13" s="5157"/>
      <c r="DL13" s="5157"/>
      <c r="DM13" s="5157"/>
      <c r="DN13" s="5157"/>
      <c r="DO13" s="5157"/>
      <c r="DP13" s="5157"/>
      <c r="DQ13" s="2494"/>
      <c r="DS13" s="6706"/>
      <c r="DT13" s="2495"/>
      <c r="DU13" s="2495"/>
      <c r="DV13" s="2495"/>
      <c r="DW13" s="2495"/>
      <c r="DX13" s="2495"/>
      <c r="DY13" s="2495"/>
      <c r="DZ13" s="2495"/>
      <c r="EA13" s="2495"/>
      <c r="EB13" s="2495"/>
      <c r="EC13" s="2495"/>
      <c r="ED13" s="2495"/>
      <c r="EE13" s="2495"/>
      <c r="EF13" s="2495"/>
      <c r="EG13" s="2495"/>
      <c r="EH13" s="2495"/>
      <c r="EI13" s="2495"/>
      <c r="EJ13" s="2495"/>
      <c r="EK13" s="2495"/>
      <c r="EL13" s="2495"/>
      <c r="EM13" s="2495"/>
      <c r="EN13" s="2495"/>
      <c r="EO13" s="2495"/>
      <c r="EP13" s="2495"/>
      <c r="EQ13" s="2495"/>
      <c r="ER13" s="2495"/>
      <c r="ES13" s="2495"/>
      <c r="ET13" s="2495"/>
      <c r="EU13" s="2495"/>
      <c r="EV13" s="2495"/>
      <c r="EW13" s="2495"/>
      <c r="EX13" s="2495"/>
      <c r="EY13" s="2495"/>
      <c r="EZ13" s="2495"/>
      <c r="FA13" s="2495"/>
      <c r="FB13" s="2495"/>
      <c r="FC13" s="2495"/>
      <c r="FD13" s="2495"/>
      <c r="FE13" s="2495"/>
      <c r="FF13" s="2495"/>
      <c r="FG13" s="2495"/>
      <c r="FH13" s="2495"/>
      <c r="FI13" s="2495"/>
      <c r="FJ13" s="2495"/>
      <c r="FK13" s="2495"/>
      <c r="FL13" s="2534"/>
    </row>
    <row r="14" spans="1:168" s="2486" customFormat="1" ht="15" customHeight="1">
      <c r="A14" s="16677"/>
      <c r="B14" s="16653"/>
      <c r="C14" s="16653" t="s">
        <v>8144</v>
      </c>
      <c r="D14" s="16652" t="s">
        <v>1826</v>
      </c>
      <c r="E14" s="5154" t="s">
        <v>1827</v>
      </c>
      <c r="F14" s="2487">
        <v>1</v>
      </c>
      <c r="G14" s="16636" t="s">
        <v>382</v>
      </c>
      <c r="H14" s="2502">
        <v>0</v>
      </c>
      <c r="I14" s="2487">
        <v>1</v>
      </c>
      <c r="J14" s="2487">
        <v>1</v>
      </c>
      <c r="K14" s="2487">
        <v>1</v>
      </c>
      <c r="L14" s="2487">
        <v>1</v>
      </c>
      <c r="M14" s="2487">
        <v>1</v>
      </c>
      <c r="N14" s="2487">
        <v>1</v>
      </c>
      <c r="O14" s="2487">
        <v>1</v>
      </c>
      <c r="P14" s="2487">
        <v>1</v>
      </c>
      <c r="Q14" s="2487">
        <v>1</v>
      </c>
      <c r="R14" s="2487">
        <v>1</v>
      </c>
      <c r="S14" s="2487">
        <v>1</v>
      </c>
      <c r="T14" s="5154" t="s">
        <v>1828</v>
      </c>
      <c r="U14" s="16636" t="s">
        <v>10063</v>
      </c>
      <c r="V14" s="2498" t="s">
        <v>144</v>
      </c>
      <c r="W14" s="2969"/>
      <c r="X14" s="6710"/>
      <c r="Y14" s="16675">
        <v>450000000</v>
      </c>
      <c r="Z14" s="6632">
        <v>1</v>
      </c>
      <c r="AA14" s="2503" t="s">
        <v>3099</v>
      </c>
      <c r="AB14" s="2490" t="s">
        <v>3100</v>
      </c>
      <c r="AC14" s="2491" t="s">
        <v>545</v>
      </c>
      <c r="AD14" s="16650">
        <f t="shared" ref="AD14:AD22" si="1">AE14+AF14+AG14</f>
        <v>144242102.34999999</v>
      </c>
      <c r="AE14" s="16650">
        <v>144242102.34999999</v>
      </c>
      <c r="AF14" s="16650">
        <v>0</v>
      </c>
      <c r="AG14" s="16650">
        <v>0</v>
      </c>
      <c r="AH14" s="2495"/>
      <c r="AI14" s="2495"/>
      <c r="AJ14" s="2495"/>
      <c r="AK14" s="2495"/>
      <c r="AL14" s="2495"/>
      <c r="AM14" s="2495"/>
      <c r="AN14" s="2495"/>
      <c r="AO14" s="2495"/>
      <c r="AP14" s="2495"/>
      <c r="AQ14" s="2495"/>
      <c r="AR14" s="2495"/>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c r="BP14" s="2495"/>
      <c r="BQ14" s="2495"/>
      <c r="BR14" s="16639"/>
      <c r="BS14" s="2491">
        <v>1</v>
      </c>
      <c r="BT14" s="6468">
        <f t="shared" si="0"/>
        <v>1</v>
      </c>
      <c r="BU14" s="16643"/>
      <c r="BV14" s="5154" t="s">
        <v>9656</v>
      </c>
      <c r="BW14" s="2498" t="s">
        <v>9378</v>
      </c>
      <c r="BX14" s="5154" t="s">
        <v>9379</v>
      </c>
      <c r="BY14" s="16641">
        <f>BZ14+CA14+CB14</f>
        <v>149459388.46250001</v>
      </c>
      <c r="BZ14" s="16641">
        <v>126986628.46250001</v>
      </c>
      <c r="CA14" s="16641">
        <v>22472760</v>
      </c>
      <c r="CB14" s="16641">
        <v>0</v>
      </c>
      <c r="CC14" s="2504"/>
      <c r="CD14" s="2241"/>
      <c r="CE14" s="2241"/>
      <c r="CF14" s="2241"/>
      <c r="CG14" s="2241"/>
      <c r="CH14" s="2241"/>
      <c r="CI14" s="2241"/>
      <c r="CJ14" s="2241"/>
      <c r="CK14" s="2241"/>
      <c r="CL14" s="2241"/>
      <c r="CM14" s="2241"/>
      <c r="CN14" s="2241"/>
      <c r="CO14" s="2241"/>
      <c r="CP14" s="2241"/>
      <c r="CQ14" s="2241"/>
      <c r="CR14" s="2241"/>
      <c r="CS14" s="2241"/>
      <c r="CT14" s="2241"/>
      <c r="CU14" s="2241"/>
      <c r="CV14" s="2241"/>
      <c r="CW14" s="2241"/>
      <c r="CX14" s="2241"/>
      <c r="CY14" s="2241"/>
      <c r="CZ14" s="2241"/>
      <c r="DA14" s="5157"/>
      <c r="DB14" s="5157"/>
      <c r="DC14" s="5157"/>
      <c r="DD14" s="5157"/>
      <c r="DE14" s="5157"/>
      <c r="DF14" s="5157"/>
      <c r="DG14" s="5157"/>
      <c r="DH14" s="5157"/>
      <c r="DI14" s="5157"/>
      <c r="DJ14" s="5157"/>
      <c r="DK14" s="5157"/>
      <c r="DL14" s="5157"/>
      <c r="DM14" s="5157"/>
      <c r="DN14" s="5157"/>
      <c r="DO14" s="5157"/>
      <c r="DP14" s="5157"/>
      <c r="DQ14" s="2494"/>
      <c r="DS14" s="6706"/>
      <c r="DT14" s="2495"/>
      <c r="DU14" s="2495"/>
      <c r="DV14" s="2495"/>
      <c r="DW14" s="2495"/>
      <c r="DX14" s="2495"/>
      <c r="DY14" s="2495"/>
      <c r="DZ14" s="2495"/>
      <c r="EA14" s="2495"/>
      <c r="EB14" s="2495"/>
      <c r="EC14" s="2495"/>
      <c r="ED14" s="2495"/>
      <c r="EE14" s="2495"/>
      <c r="EF14" s="2495"/>
      <c r="EG14" s="2495"/>
      <c r="EH14" s="2495"/>
      <c r="EI14" s="2495"/>
      <c r="EJ14" s="2495"/>
      <c r="EK14" s="2495"/>
      <c r="EL14" s="2495"/>
      <c r="EM14" s="2495"/>
      <c r="EN14" s="2495"/>
      <c r="EO14" s="2495"/>
      <c r="EP14" s="2495"/>
      <c r="EQ14" s="2495"/>
      <c r="ER14" s="2495"/>
      <c r="ES14" s="2495"/>
      <c r="ET14" s="2495"/>
      <c r="EU14" s="2495"/>
      <c r="EV14" s="2495"/>
      <c r="EW14" s="2495"/>
      <c r="EX14" s="2495"/>
      <c r="EY14" s="2495"/>
      <c r="EZ14" s="2495"/>
      <c r="FA14" s="2495"/>
      <c r="FB14" s="2495"/>
      <c r="FC14" s="2495"/>
      <c r="FD14" s="2495"/>
      <c r="FE14" s="2495"/>
      <c r="FF14" s="2495"/>
      <c r="FG14" s="2495"/>
      <c r="FH14" s="2495"/>
      <c r="FI14" s="2495"/>
      <c r="FJ14" s="2495"/>
      <c r="FK14" s="2495"/>
      <c r="FL14" s="2534"/>
    </row>
    <row r="15" spans="1:168" s="2486" customFormat="1" ht="15" customHeight="1">
      <c r="A15" s="16677"/>
      <c r="B15" s="16653"/>
      <c r="C15" s="16653"/>
      <c r="D15" s="16652"/>
      <c r="E15" s="5154" t="s">
        <v>1829</v>
      </c>
      <c r="F15" s="2487">
        <v>3000</v>
      </c>
      <c r="G15" s="16636"/>
      <c r="H15" s="2502">
        <v>400</v>
      </c>
      <c r="I15" s="2487">
        <v>3000</v>
      </c>
      <c r="J15" s="2487">
        <v>3000</v>
      </c>
      <c r="K15" s="2487">
        <v>3000</v>
      </c>
      <c r="L15" s="2487">
        <v>3000</v>
      </c>
      <c r="M15" s="2487">
        <v>3000</v>
      </c>
      <c r="N15" s="2487">
        <v>3000</v>
      </c>
      <c r="O15" s="2487">
        <v>3000</v>
      </c>
      <c r="P15" s="2487">
        <v>3000</v>
      </c>
      <c r="Q15" s="2487">
        <v>3000</v>
      </c>
      <c r="R15" s="2487">
        <v>3000</v>
      </c>
      <c r="S15" s="2487">
        <v>3000</v>
      </c>
      <c r="T15" s="5154" t="s">
        <v>1830</v>
      </c>
      <c r="U15" s="16636"/>
      <c r="V15" s="2498" t="s">
        <v>144</v>
      </c>
      <c r="W15" s="2969"/>
      <c r="X15" s="6710"/>
      <c r="Y15" s="16675"/>
      <c r="Z15" s="6636">
        <v>0.54633333333333334</v>
      </c>
      <c r="AA15" s="2490" t="s">
        <v>3101</v>
      </c>
      <c r="AB15" s="2490" t="s">
        <v>3102</v>
      </c>
      <c r="AC15" s="2489" t="s">
        <v>3103</v>
      </c>
      <c r="AD15" s="16650"/>
      <c r="AE15" s="16650"/>
      <c r="AF15" s="16650"/>
      <c r="AG15" s="16650"/>
      <c r="AH15" s="2495"/>
      <c r="AI15" s="2495"/>
      <c r="AJ15" s="2495"/>
      <c r="AK15" s="2495"/>
      <c r="AL15" s="2495"/>
      <c r="AM15" s="2495"/>
      <c r="AN15" s="2495"/>
      <c r="AO15" s="2495"/>
      <c r="AP15" s="2495"/>
      <c r="AQ15" s="2495"/>
      <c r="AR15" s="2495"/>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c r="BP15" s="2495"/>
      <c r="BQ15" s="2495"/>
      <c r="BR15" s="16639"/>
      <c r="BS15" s="2491">
        <v>1994</v>
      </c>
      <c r="BT15" s="6468">
        <f t="shared" si="0"/>
        <v>0.66466666666666663</v>
      </c>
      <c r="BU15" s="16643"/>
      <c r="BV15" s="2505" t="s">
        <v>9380</v>
      </c>
      <c r="BW15" s="2498" t="s">
        <v>9381</v>
      </c>
      <c r="BX15" s="2501"/>
      <c r="BY15" s="16641"/>
      <c r="BZ15" s="16641"/>
      <c r="CA15" s="16641"/>
      <c r="CB15" s="16641"/>
      <c r="CC15" s="2239"/>
      <c r="CD15" s="2241"/>
      <c r="CE15" s="2241"/>
      <c r="CF15" s="2241"/>
      <c r="CG15" s="2241"/>
      <c r="CH15" s="2241"/>
      <c r="CI15" s="2241"/>
      <c r="CJ15" s="2241"/>
      <c r="CK15" s="2241"/>
      <c r="CL15" s="2241"/>
      <c r="CM15" s="2241"/>
      <c r="CN15" s="2241"/>
      <c r="CO15" s="2241"/>
      <c r="CP15" s="2241"/>
      <c r="CQ15" s="2241"/>
      <c r="CR15" s="2241"/>
      <c r="CS15" s="2241"/>
      <c r="CT15" s="2241"/>
      <c r="CU15" s="2241"/>
      <c r="CV15" s="2241"/>
      <c r="CW15" s="2241"/>
      <c r="CX15" s="2241"/>
      <c r="CY15" s="2241"/>
      <c r="CZ15" s="2241"/>
      <c r="DA15" s="5157"/>
      <c r="DB15" s="5157"/>
      <c r="DC15" s="5157"/>
      <c r="DD15" s="5157"/>
      <c r="DE15" s="5157"/>
      <c r="DF15" s="5157"/>
      <c r="DG15" s="5157"/>
      <c r="DH15" s="5157"/>
      <c r="DI15" s="5157"/>
      <c r="DJ15" s="5157"/>
      <c r="DK15" s="5157"/>
      <c r="DL15" s="5157"/>
      <c r="DM15" s="5157"/>
      <c r="DN15" s="5157"/>
      <c r="DO15" s="5157"/>
      <c r="DP15" s="5157"/>
      <c r="DQ15" s="2494"/>
      <c r="DS15" s="6706"/>
      <c r="DT15" s="2495"/>
      <c r="DU15" s="2495"/>
      <c r="DV15" s="2495"/>
      <c r="DW15" s="2495"/>
      <c r="DX15" s="2495"/>
      <c r="DY15" s="2495"/>
      <c r="DZ15" s="2495"/>
      <c r="EA15" s="2495"/>
      <c r="EB15" s="2495"/>
      <c r="EC15" s="2495"/>
      <c r="ED15" s="2495"/>
      <c r="EE15" s="2495"/>
      <c r="EF15" s="2495"/>
      <c r="EG15" s="2495"/>
      <c r="EH15" s="2495"/>
      <c r="EI15" s="2495"/>
      <c r="EJ15" s="2495"/>
      <c r="EK15" s="2495"/>
      <c r="EL15" s="2495"/>
      <c r="EM15" s="2495"/>
      <c r="EN15" s="2495"/>
      <c r="EO15" s="2495"/>
      <c r="EP15" s="2495"/>
      <c r="EQ15" s="2495"/>
      <c r="ER15" s="2495"/>
      <c r="ES15" s="2495"/>
      <c r="ET15" s="2495"/>
      <c r="EU15" s="2495"/>
      <c r="EV15" s="2495"/>
      <c r="EW15" s="2495"/>
      <c r="EX15" s="2495"/>
      <c r="EY15" s="2495"/>
      <c r="EZ15" s="2495"/>
      <c r="FA15" s="2495"/>
      <c r="FB15" s="2495"/>
      <c r="FC15" s="2495"/>
      <c r="FD15" s="2495"/>
      <c r="FE15" s="2495"/>
      <c r="FF15" s="2495"/>
      <c r="FG15" s="2495"/>
      <c r="FH15" s="2495"/>
      <c r="FI15" s="2495"/>
      <c r="FJ15" s="2495"/>
      <c r="FK15" s="2495"/>
      <c r="FL15" s="2534"/>
    </row>
    <row r="16" spans="1:168" s="2486" customFormat="1" ht="15" customHeight="1">
      <c r="A16" s="16677"/>
      <c r="B16" s="16653"/>
      <c r="C16" s="16653"/>
      <c r="D16" s="16652"/>
      <c r="E16" s="5154" t="s">
        <v>1831</v>
      </c>
      <c r="F16" s="2487">
        <v>20</v>
      </c>
      <c r="G16" s="5154" t="s">
        <v>1832</v>
      </c>
      <c r="H16" s="2502">
        <v>0</v>
      </c>
      <c r="I16" s="2487">
        <v>0</v>
      </c>
      <c r="J16" s="2487">
        <v>0</v>
      </c>
      <c r="K16" s="2487">
        <v>20</v>
      </c>
      <c r="L16" s="2487">
        <v>0</v>
      </c>
      <c r="M16" s="2487">
        <v>0</v>
      </c>
      <c r="N16" s="2487">
        <v>0</v>
      </c>
      <c r="O16" s="2487">
        <v>20</v>
      </c>
      <c r="P16" s="2487">
        <v>0</v>
      </c>
      <c r="Q16" s="2487">
        <v>0</v>
      </c>
      <c r="R16" s="2487">
        <v>0</v>
      </c>
      <c r="S16" s="2487">
        <v>60</v>
      </c>
      <c r="T16" s="5154" t="s">
        <v>1805</v>
      </c>
      <c r="U16" s="16636"/>
      <c r="V16" s="2498" t="s">
        <v>144</v>
      </c>
      <c r="W16" s="2969"/>
      <c r="X16" s="6710" t="s">
        <v>1833</v>
      </c>
      <c r="Y16" s="6637">
        <v>45000000</v>
      </c>
      <c r="Z16" s="6632">
        <v>0.4</v>
      </c>
      <c r="AA16" s="2506" t="s">
        <v>3104</v>
      </c>
      <c r="AB16" s="2489" t="s">
        <v>3105</v>
      </c>
      <c r="AC16" s="2498" t="s">
        <v>3106</v>
      </c>
      <c r="AD16" s="2500">
        <f t="shared" si="1"/>
        <v>0</v>
      </c>
      <c r="AE16" s="2500"/>
      <c r="AF16" s="2500"/>
      <c r="AG16" s="2500"/>
      <c r="AH16" s="2495"/>
      <c r="AI16" s="2495"/>
      <c r="AJ16" s="2495"/>
      <c r="AK16" s="2495"/>
      <c r="AL16" s="2495"/>
      <c r="AM16" s="2495"/>
      <c r="AN16" s="2495"/>
      <c r="AO16" s="2495"/>
      <c r="AP16" s="2495"/>
      <c r="AQ16" s="2495"/>
      <c r="AR16" s="2495"/>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c r="BP16" s="2495"/>
      <c r="BQ16" s="2495"/>
      <c r="BR16" s="16639"/>
      <c r="BS16" s="6637" t="s">
        <v>9382</v>
      </c>
      <c r="BT16" s="6468">
        <v>1</v>
      </c>
      <c r="BU16" s="16643"/>
      <c r="BV16" s="2498" t="s">
        <v>9383</v>
      </c>
      <c r="BW16" s="2498" t="s">
        <v>9384</v>
      </c>
      <c r="BX16" s="2501"/>
      <c r="BY16" s="2497"/>
      <c r="BZ16" s="2497"/>
      <c r="CA16" s="2497"/>
      <c r="CB16" s="2497">
        <v>0</v>
      </c>
      <c r="CC16" s="2239">
        <v>438</v>
      </c>
      <c r="CD16" s="2241">
        <v>0</v>
      </c>
      <c r="CE16" s="2241">
        <v>0</v>
      </c>
      <c r="CF16" s="2241">
        <v>438</v>
      </c>
      <c r="CG16" s="2241"/>
      <c r="CH16" s="2241"/>
      <c r="CI16" s="2241">
        <v>438</v>
      </c>
      <c r="CJ16" s="2241"/>
      <c r="CK16" s="2241"/>
      <c r="CL16" s="2241"/>
      <c r="CM16" s="2241"/>
      <c r="CN16" s="2241"/>
      <c r="CO16" s="2241"/>
      <c r="CP16" s="2241"/>
      <c r="CQ16" s="2241">
        <v>438</v>
      </c>
      <c r="CR16" s="2241"/>
      <c r="CS16" s="2241"/>
      <c r="CT16" s="2241"/>
      <c r="CU16" s="2241"/>
      <c r="CV16" s="2241"/>
      <c r="CW16" s="2241"/>
      <c r="CX16" s="2241"/>
      <c r="CY16" s="2241"/>
      <c r="CZ16" s="2241">
        <v>438</v>
      </c>
      <c r="DA16" s="5157"/>
      <c r="DB16" s="5157"/>
      <c r="DC16" s="5157"/>
      <c r="DD16" s="5157"/>
      <c r="DE16" s="5157"/>
      <c r="DF16" s="5157"/>
      <c r="DG16" s="5157"/>
      <c r="DH16" s="5157"/>
      <c r="DI16" s="5157"/>
      <c r="DJ16" s="5157"/>
      <c r="DK16" s="5157"/>
      <c r="DL16" s="5157"/>
      <c r="DM16" s="5157"/>
      <c r="DN16" s="5157"/>
      <c r="DO16" s="5157"/>
      <c r="DP16" s="5157"/>
      <c r="DQ16" s="2494"/>
      <c r="DS16" s="6706"/>
      <c r="DT16" s="2495"/>
      <c r="DU16" s="2495"/>
      <c r="DV16" s="2495"/>
      <c r="DW16" s="2495"/>
      <c r="DX16" s="2495"/>
      <c r="DY16" s="2495"/>
      <c r="DZ16" s="2495"/>
      <c r="EA16" s="2495"/>
      <c r="EB16" s="2495"/>
      <c r="EC16" s="2495"/>
      <c r="ED16" s="2495"/>
      <c r="EE16" s="2495"/>
      <c r="EF16" s="2495"/>
      <c r="EG16" s="2495"/>
      <c r="EH16" s="2495"/>
      <c r="EI16" s="2495"/>
      <c r="EJ16" s="2495"/>
      <c r="EK16" s="2495"/>
      <c r="EL16" s="2495"/>
      <c r="EM16" s="2495"/>
      <c r="EN16" s="2495"/>
      <c r="EO16" s="2495"/>
      <c r="EP16" s="2495"/>
      <c r="EQ16" s="2495"/>
      <c r="ER16" s="2495"/>
      <c r="ES16" s="2495"/>
      <c r="ET16" s="2495"/>
      <c r="EU16" s="2495"/>
      <c r="EV16" s="2495"/>
      <c r="EW16" s="2495"/>
      <c r="EX16" s="2495"/>
      <c r="EY16" s="2495"/>
      <c r="EZ16" s="2495"/>
      <c r="FA16" s="2495"/>
      <c r="FB16" s="2495"/>
      <c r="FC16" s="2495"/>
      <c r="FD16" s="2495"/>
      <c r="FE16" s="2495"/>
      <c r="FF16" s="2495"/>
      <c r="FG16" s="2495"/>
      <c r="FH16" s="2495"/>
      <c r="FI16" s="2495"/>
      <c r="FJ16" s="2495"/>
      <c r="FK16" s="2495"/>
      <c r="FL16" s="2534"/>
    </row>
    <row r="17" spans="1:168" s="2486" customFormat="1" ht="15" customHeight="1">
      <c r="A17" s="16677"/>
      <c r="B17" s="16653"/>
      <c r="C17" s="16653" t="s">
        <v>8145</v>
      </c>
      <c r="D17" s="16652" t="s">
        <v>1834</v>
      </c>
      <c r="E17" s="5154" t="s">
        <v>1835</v>
      </c>
      <c r="F17" s="2487">
        <v>0</v>
      </c>
      <c r="G17" s="16636" t="s">
        <v>382</v>
      </c>
      <c r="H17" s="2502">
        <v>0</v>
      </c>
      <c r="I17" s="2487">
        <v>0</v>
      </c>
      <c r="J17" s="2487">
        <v>1</v>
      </c>
      <c r="K17" s="2487">
        <v>0</v>
      </c>
      <c r="L17" s="2487">
        <v>0</v>
      </c>
      <c r="M17" s="2487">
        <v>0</v>
      </c>
      <c r="N17" s="2487">
        <v>1</v>
      </c>
      <c r="O17" s="2487">
        <v>0</v>
      </c>
      <c r="P17" s="2487">
        <v>0</v>
      </c>
      <c r="Q17" s="2487">
        <v>0</v>
      </c>
      <c r="R17" s="2487">
        <v>1</v>
      </c>
      <c r="S17" s="2487">
        <v>3</v>
      </c>
      <c r="T17" s="5154" t="s">
        <v>1805</v>
      </c>
      <c r="U17" s="16636" t="s">
        <v>10063</v>
      </c>
      <c r="V17" s="2498" t="s">
        <v>144</v>
      </c>
      <c r="W17" s="2969"/>
      <c r="X17" s="6710" t="s">
        <v>1833</v>
      </c>
      <c r="Y17" s="6635">
        <v>40000000</v>
      </c>
      <c r="Z17" s="6632">
        <v>1</v>
      </c>
      <c r="AA17" s="16348" t="s">
        <v>3107</v>
      </c>
      <c r="AB17" s="16647" t="s">
        <v>3108</v>
      </c>
      <c r="AC17" s="16647" t="s">
        <v>3109</v>
      </c>
      <c r="AD17" s="16650">
        <f t="shared" si="1"/>
        <v>40692121.25</v>
      </c>
      <c r="AE17" s="16650">
        <v>40692121.25</v>
      </c>
      <c r="AF17" s="16650">
        <v>0</v>
      </c>
      <c r="AG17" s="16650">
        <v>0</v>
      </c>
      <c r="AH17" s="16647"/>
      <c r="AI17" s="16349"/>
      <c r="AJ17" s="16349"/>
      <c r="AK17" s="16349"/>
      <c r="AL17" s="16349"/>
      <c r="AM17" s="16349"/>
      <c r="AN17" s="16349"/>
      <c r="AO17" s="16349"/>
      <c r="AP17" s="16349"/>
      <c r="AQ17" s="16349"/>
      <c r="AR17" s="16349"/>
      <c r="AS17" s="16349"/>
      <c r="AT17" s="16349"/>
      <c r="AU17" s="16349"/>
      <c r="AV17" s="16349"/>
      <c r="AW17" s="16349"/>
      <c r="AX17" s="16349"/>
      <c r="AY17" s="16349"/>
      <c r="AZ17" s="16349"/>
      <c r="BA17" s="16349"/>
      <c r="BB17" s="16349"/>
      <c r="BC17" s="16349"/>
      <c r="BD17" s="16349"/>
      <c r="BE17" s="16349"/>
      <c r="BF17" s="16349"/>
      <c r="BG17" s="16349"/>
      <c r="BH17" s="16349"/>
      <c r="BI17" s="16349"/>
      <c r="BJ17" s="16349"/>
      <c r="BK17" s="16349"/>
      <c r="BL17" s="16349"/>
      <c r="BM17" s="16349"/>
      <c r="BN17" s="16349"/>
      <c r="BO17" s="16349"/>
      <c r="BP17" s="16349"/>
      <c r="BQ17" s="16349"/>
      <c r="BR17" s="16639"/>
      <c r="BS17" s="2507">
        <v>1</v>
      </c>
      <c r="BT17" s="6468">
        <v>1</v>
      </c>
      <c r="BU17" s="16643"/>
      <c r="BV17" s="6638" t="s">
        <v>9385</v>
      </c>
      <c r="BW17" s="5154" t="s">
        <v>9386</v>
      </c>
      <c r="BX17" s="16636" t="s">
        <v>9657</v>
      </c>
      <c r="BY17" s="16641">
        <f>BZ17+CA17+CB17</f>
        <v>39899576.612499997</v>
      </c>
      <c r="BZ17" s="16641">
        <v>31399056.612500001</v>
      </c>
      <c r="CA17" s="16641">
        <v>8500520</v>
      </c>
      <c r="CB17" s="16641">
        <v>0</v>
      </c>
      <c r="CC17" s="16640"/>
      <c r="CD17" s="2241"/>
      <c r="CE17" s="2241"/>
      <c r="CF17" s="2241"/>
      <c r="CG17" s="2241"/>
      <c r="CH17" s="2241"/>
      <c r="CI17" s="2241"/>
      <c r="CJ17" s="2241"/>
      <c r="CK17" s="2241"/>
      <c r="CL17" s="2241"/>
      <c r="CM17" s="2241"/>
      <c r="CN17" s="2241"/>
      <c r="CO17" s="2241"/>
      <c r="CP17" s="2241"/>
      <c r="CQ17" s="2241"/>
      <c r="CR17" s="2241"/>
      <c r="CS17" s="2241"/>
      <c r="CT17" s="2241"/>
      <c r="CU17" s="2241"/>
      <c r="CV17" s="2241"/>
      <c r="CW17" s="2241"/>
      <c r="CX17" s="2241"/>
      <c r="CY17" s="2241"/>
      <c r="CZ17" s="2241"/>
      <c r="DA17" s="5157"/>
      <c r="DB17" s="5157"/>
      <c r="DC17" s="5157"/>
      <c r="DD17" s="5157"/>
      <c r="DE17" s="5157"/>
      <c r="DF17" s="5157"/>
      <c r="DG17" s="5157"/>
      <c r="DH17" s="5157"/>
      <c r="DI17" s="5157"/>
      <c r="DJ17" s="5157"/>
      <c r="DK17" s="5157"/>
      <c r="DL17" s="5157"/>
      <c r="DM17" s="5157"/>
      <c r="DN17" s="5157"/>
      <c r="DO17" s="5157"/>
      <c r="DP17" s="5157"/>
      <c r="DQ17" s="2494"/>
      <c r="DS17" s="6706"/>
      <c r="DT17" s="2495"/>
      <c r="DU17" s="2495"/>
      <c r="DV17" s="2495"/>
      <c r="DW17" s="2495"/>
      <c r="DX17" s="2495"/>
      <c r="DY17" s="2495"/>
      <c r="DZ17" s="2495"/>
      <c r="EA17" s="2495"/>
      <c r="EB17" s="2495"/>
      <c r="EC17" s="2495"/>
      <c r="ED17" s="2495"/>
      <c r="EE17" s="2495"/>
      <c r="EF17" s="2495"/>
      <c r="EG17" s="2495"/>
      <c r="EH17" s="2495"/>
      <c r="EI17" s="2495"/>
      <c r="EJ17" s="2495"/>
      <c r="EK17" s="2495"/>
      <c r="EL17" s="2495"/>
      <c r="EM17" s="2495"/>
      <c r="EN17" s="2495"/>
      <c r="EO17" s="2495"/>
      <c r="EP17" s="2495"/>
      <c r="EQ17" s="2495"/>
      <c r="ER17" s="2495"/>
      <c r="ES17" s="2495"/>
      <c r="ET17" s="2495"/>
      <c r="EU17" s="2495"/>
      <c r="EV17" s="2495"/>
      <c r="EW17" s="2495"/>
      <c r="EX17" s="2495"/>
      <c r="EY17" s="2495"/>
      <c r="EZ17" s="2495"/>
      <c r="FA17" s="2495"/>
      <c r="FB17" s="2495"/>
      <c r="FC17" s="2495"/>
      <c r="FD17" s="2495"/>
      <c r="FE17" s="2495"/>
      <c r="FF17" s="2495"/>
      <c r="FG17" s="2495"/>
      <c r="FH17" s="2495"/>
      <c r="FI17" s="2495"/>
      <c r="FJ17" s="2495"/>
      <c r="FK17" s="2495"/>
      <c r="FL17" s="2534"/>
    </row>
    <row r="18" spans="1:168" s="2486" customFormat="1" ht="15" customHeight="1">
      <c r="A18" s="16677"/>
      <c r="B18" s="16653"/>
      <c r="C18" s="16653"/>
      <c r="D18" s="16652"/>
      <c r="E18" s="5154" t="s">
        <v>1836</v>
      </c>
      <c r="F18" s="2487">
        <v>0</v>
      </c>
      <c r="G18" s="16636"/>
      <c r="H18" s="2502">
        <v>0</v>
      </c>
      <c r="I18" s="2487">
        <v>0</v>
      </c>
      <c r="J18" s="2487">
        <v>1</v>
      </c>
      <c r="K18" s="2487">
        <v>0</v>
      </c>
      <c r="L18" s="2487">
        <v>0</v>
      </c>
      <c r="M18" s="2487">
        <v>0</v>
      </c>
      <c r="N18" s="2487">
        <v>1</v>
      </c>
      <c r="O18" s="2487">
        <v>0</v>
      </c>
      <c r="P18" s="2487">
        <v>0</v>
      </c>
      <c r="Q18" s="2487">
        <v>0</v>
      </c>
      <c r="R18" s="2487">
        <v>1</v>
      </c>
      <c r="S18" s="2487">
        <v>3</v>
      </c>
      <c r="T18" s="5154" t="s">
        <v>1805</v>
      </c>
      <c r="U18" s="16636"/>
      <c r="V18" s="2498" t="s">
        <v>144</v>
      </c>
      <c r="W18" s="2969"/>
      <c r="X18" s="6710" t="s">
        <v>1833</v>
      </c>
      <c r="Y18" s="6635">
        <v>10000000</v>
      </c>
      <c r="Z18" s="6632">
        <v>1</v>
      </c>
      <c r="AA18" s="16350"/>
      <c r="AB18" s="16647"/>
      <c r="AC18" s="16647"/>
      <c r="AD18" s="16650"/>
      <c r="AE18" s="16650"/>
      <c r="AF18" s="16650"/>
      <c r="AG18" s="16650"/>
      <c r="AH18" s="16647"/>
      <c r="AI18" s="16349"/>
      <c r="AJ18" s="16349"/>
      <c r="AK18" s="16349"/>
      <c r="AL18" s="16349"/>
      <c r="AM18" s="16349"/>
      <c r="AN18" s="16349"/>
      <c r="AO18" s="16349"/>
      <c r="AP18" s="16349"/>
      <c r="AQ18" s="16349"/>
      <c r="AR18" s="16349"/>
      <c r="AS18" s="16349"/>
      <c r="AT18" s="16349"/>
      <c r="AU18" s="16349"/>
      <c r="AV18" s="16349"/>
      <c r="AW18" s="16349"/>
      <c r="AX18" s="16349"/>
      <c r="AY18" s="16349"/>
      <c r="AZ18" s="16349"/>
      <c r="BA18" s="16349"/>
      <c r="BB18" s="16349"/>
      <c r="BC18" s="16349"/>
      <c r="BD18" s="16349"/>
      <c r="BE18" s="16349"/>
      <c r="BF18" s="16349"/>
      <c r="BG18" s="16349"/>
      <c r="BH18" s="16349"/>
      <c r="BI18" s="16349"/>
      <c r="BJ18" s="16349"/>
      <c r="BK18" s="16349"/>
      <c r="BL18" s="16349"/>
      <c r="BM18" s="16349"/>
      <c r="BN18" s="16349"/>
      <c r="BO18" s="16349"/>
      <c r="BP18" s="16349"/>
      <c r="BQ18" s="16349"/>
      <c r="BR18" s="16639"/>
      <c r="BS18" s="2507">
        <v>1</v>
      </c>
      <c r="BT18" s="6468">
        <v>1</v>
      </c>
      <c r="BU18" s="16643"/>
      <c r="BV18" s="2505" t="s">
        <v>9387</v>
      </c>
      <c r="BW18" s="2505" t="s">
        <v>9388</v>
      </c>
      <c r="BX18" s="16636"/>
      <c r="BY18" s="16641"/>
      <c r="BZ18" s="16641"/>
      <c r="CA18" s="16641"/>
      <c r="CB18" s="16641"/>
      <c r="CC18" s="16640"/>
      <c r="CD18" s="2241"/>
      <c r="CE18" s="2241"/>
      <c r="CF18" s="2241"/>
      <c r="CG18" s="2241"/>
      <c r="CH18" s="2241"/>
      <c r="CI18" s="2241"/>
      <c r="CJ18" s="2241"/>
      <c r="CK18" s="2241"/>
      <c r="CL18" s="2241"/>
      <c r="CM18" s="2241"/>
      <c r="CN18" s="2241"/>
      <c r="CO18" s="2241"/>
      <c r="CP18" s="2241"/>
      <c r="CQ18" s="2241"/>
      <c r="CR18" s="2241"/>
      <c r="CS18" s="2241"/>
      <c r="CT18" s="2241"/>
      <c r="CU18" s="2241"/>
      <c r="CV18" s="2241"/>
      <c r="CW18" s="2241"/>
      <c r="CX18" s="2241"/>
      <c r="CY18" s="2241"/>
      <c r="CZ18" s="2241"/>
      <c r="DA18" s="5157"/>
      <c r="DB18" s="5157"/>
      <c r="DC18" s="5157"/>
      <c r="DD18" s="5157"/>
      <c r="DE18" s="5157"/>
      <c r="DF18" s="5157"/>
      <c r="DG18" s="5157"/>
      <c r="DH18" s="5157"/>
      <c r="DI18" s="5157"/>
      <c r="DJ18" s="5157"/>
      <c r="DK18" s="5157"/>
      <c r="DL18" s="5157"/>
      <c r="DM18" s="5157"/>
      <c r="DN18" s="5157"/>
      <c r="DO18" s="5157"/>
      <c r="DP18" s="5157"/>
      <c r="DQ18" s="2494"/>
      <c r="DS18" s="6706"/>
      <c r="DT18" s="2495"/>
      <c r="DU18" s="2495"/>
      <c r="DV18" s="2495"/>
      <c r="DW18" s="2495"/>
      <c r="DX18" s="2495"/>
      <c r="DY18" s="2495"/>
      <c r="DZ18" s="2495"/>
      <c r="EA18" s="2495"/>
      <c r="EB18" s="2495"/>
      <c r="EC18" s="2495"/>
      <c r="ED18" s="2495"/>
      <c r="EE18" s="2495"/>
      <c r="EF18" s="2495"/>
      <c r="EG18" s="2495"/>
      <c r="EH18" s="2495"/>
      <c r="EI18" s="2495"/>
      <c r="EJ18" s="2495"/>
      <c r="EK18" s="2495"/>
      <c r="EL18" s="2495"/>
      <c r="EM18" s="2495"/>
      <c r="EN18" s="2495"/>
      <c r="EO18" s="2495"/>
      <c r="EP18" s="2495"/>
      <c r="EQ18" s="2495"/>
      <c r="ER18" s="2495"/>
      <c r="ES18" s="2495"/>
      <c r="ET18" s="2495"/>
      <c r="EU18" s="2495"/>
      <c r="EV18" s="2495"/>
      <c r="EW18" s="2495"/>
      <c r="EX18" s="2495"/>
      <c r="EY18" s="2495"/>
      <c r="EZ18" s="2495"/>
      <c r="FA18" s="2495"/>
      <c r="FB18" s="2495"/>
      <c r="FC18" s="2495"/>
      <c r="FD18" s="2495"/>
      <c r="FE18" s="2495"/>
      <c r="FF18" s="2495"/>
      <c r="FG18" s="2495"/>
      <c r="FH18" s="2495"/>
      <c r="FI18" s="2495"/>
      <c r="FJ18" s="2495"/>
      <c r="FK18" s="2495"/>
      <c r="FL18" s="2534"/>
    </row>
    <row r="19" spans="1:168" s="2486" customFormat="1" ht="15" customHeight="1">
      <c r="A19" s="16677"/>
      <c r="B19" s="16653"/>
      <c r="C19" s="16653"/>
      <c r="D19" s="16652"/>
      <c r="E19" s="5154" t="s">
        <v>1837</v>
      </c>
      <c r="F19" s="2487">
        <v>0</v>
      </c>
      <c r="G19" s="16636"/>
      <c r="H19" s="2502">
        <v>0</v>
      </c>
      <c r="I19" s="2487">
        <v>0</v>
      </c>
      <c r="J19" s="2487">
        <v>1</v>
      </c>
      <c r="K19" s="2487">
        <v>0</v>
      </c>
      <c r="L19" s="2487">
        <v>0</v>
      </c>
      <c r="M19" s="2487">
        <v>0</v>
      </c>
      <c r="N19" s="2487">
        <v>1</v>
      </c>
      <c r="O19" s="2487">
        <v>0</v>
      </c>
      <c r="P19" s="2487">
        <v>0</v>
      </c>
      <c r="Q19" s="2487">
        <v>0</v>
      </c>
      <c r="R19" s="2487">
        <v>1</v>
      </c>
      <c r="S19" s="2487">
        <v>3</v>
      </c>
      <c r="T19" s="5154" t="s">
        <v>1805</v>
      </c>
      <c r="U19" s="16636"/>
      <c r="V19" s="2498" t="s">
        <v>144</v>
      </c>
      <c r="W19" s="2969"/>
      <c r="X19" s="6710" t="s">
        <v>1833</v>
      </c>
      <c r="Y19" s="6635">
        <v>12000000</v>
      </c>
      <c r="Z19" s="6632">
        <v>1</v>
      </c>
      <c r="AA19" s="16350"/>
      <c r="AB19" s="16647"/>
      <c r="AC19" s="16647"/>
      <c r="AD19" s="16650"/>
      <c r="AE19" s="16650"/>
      <c r="AF19" s="16650"/>
      <c r="AG19" s="16650"/>
      <c r="AH19" s="16647"/>
      <c r="AI19" s="16349"/>
      <c r="AJ19" s="16349"/>
      <c r="AK19" s="16349"/>
      <c r="AL19" s="16349"/>
      <c r="AM19" s="16349"/>
      <c r="AN19" s="16349"/>
      <c r="AO19" s="16349"/>
      <c r="AP19" s="16349"/>
      <c r="AQ19" s="16349"/>
      <c r="AR19" s="16349"/>
      <c r="AS19" s="16349"/>
      <c r="AT19" s="16349"/>
      <c r="AU19" s="16349"/>
      <c r="AV19" s="16349"/>
      <c r="AW19" s="16349"/>
      <c r="AX19" s="16349"/>
      <c r="AY19" s="16349"/>
      <c r="AZ19" s="16349"/>
      <c r="BA19" s="16349"/>
      <c r="BB19" s="16349"/>
      <c r="BC19" s="16349"/>
      <c r="BD19" s="16349"/>
      <c r="BE19" s="16349"/>
      <c r="BF19" s="16349"/>
      <c r="BG19" s="16349"/>
      <c r="BH19" s="16349"/>
      <c r="BI19" s="16349"/>
      <c r="BJ19" s="16349"/>
      <c r="BK19" s="16349"/>
      <c r="BL19" s="16349"/>
      <c r="BM19" s="16349"/>
      <c r="BN19" s="16349"/>
      <c r="BO19" s="16349"/>
      <c r="BP19" s="16349"/>
      <c r="BQ19" s="16349"/>
      <c r="BR19" s="16639"/>
      <c r="BS19" s="2507">
        <v>1</v>
      </c>
      <c r="BT19" s="6468">
        <v>1</v>
      </c>
      <c r="BU19" s="16643"/>
      <c r="BV19" s="2505" t="s">
        <v>9389</v>
      </c>
      <c r="BW19" s="2505" t="s">
        <v>9390</v>
      </c>
      <c r="BX19" s="16636"/>
      <c r="BY19" s="16641"/>
      <c r="BZ19" s="16641"/>
      <c r="CA19" s="16641"/>
      <c r="CB19" s="16641"/>
      <c r="CC19" s="16640"/>
      <c r="CD19" s="2241"/>
      <c r="CE19" s="2241"/>
      <c r="CF19" s="2241"/>
      <c r="CG19" s="2241"/>
      <c r="CH19" s="2241"/>
      <c r="CI19" s="2241"/>
      <c r="CJ19" s="2241"/>
      <c r="CK19" s="2241"/>
      <c r="CL19" s="2241"/>
      <c r="CM19" s="2241"/>
      <c r="CN19" s="2241"/>
      <c r="CO19" s="2241"/>
      <c r="CP19" s="2241"/>
      <c r="CQ19" s="2241"/>
      <c r="CR19" s="2241"/>
      <c r="CS19" s="2241"/>
      <c r="CT19" s="2241"/>
      <c r="CU19" s="2241"/>
      <c r="CV19" s="2241"/>
      <c r="CW19" s="2241"/>
      <c r="CX19" s="2241"/>
      <c r="CY19" s="2241"/>
      <c r="CZ19" s="2241"/>
      <c r="DA19" s="5157"/>
      <c r="DB19" s="5157"/>
      <c r="DC19" s="5157"/>
      <c r="DD19" s="5157"/>
      <c r="DE19" s="5157"/>
      <c r="DF19" s="5157"/>
      <c r="DG19" s="5157"/>
      <c r="DH19" s="5157"/>
      <c r="DI19" s="5157"/>
      <c r="DJ19" s="5157"/>
      <c r="DK19" s="5157"/>
      <c r="DL19" s="5157"/>
      <c r="DM19" s="5157"/>
      <c r="DN19" s="5157"/>
      <c r="DO19" s="5157"/>
      <c r="DP19" s="5157"/>
      <c r="DQ19" s="2494"/>
      <c r="DS19" s="6706"/>
      <c r="DT19" s="2495"/>
      <c r="DU19" s="2495"/>
      <c r="DV19" s="2495"/>
      <c r="DW19" s="2495"/>
      <c r="DX19" s="2495"/>
      <c r="DY19" s="2495"/>
      <c r="DZ19" s="2495"/>
      <c r="EA19" s="2495"/>
      <c r="EB19" s="2495"/>
      <c r="EC19" s="2495"/>
      <c r="ED19" s="2495"/>
      <c r="EE19" s="2495"/>
      <c r="EF19" s="2495"/>
      <c r="EG19" s="2495"/>
      <c r="EH19" s="2495"/>
      <c r="EI19" s="2495"/>
      <c r="EJ19" s="2495"/>
      <c r="EK19" s="2495"/>
      <c r="EL19" s="2495"/>
      <c r="EM19" s="2495"/>
      <c r="EN19" s="2495"/>
      <c r="EO19" s="2495"/>
      <c r="EP19" s="2495"/>
      <c r="EQ19" s="2495"/>
      <c r="ER19" s="2495"/>
      <c r="ES19" s="2495"/>
      <c r="ET19" s="2495"/>
      <c r="EU19" s="2495"/>
      <c r="EV19" s="2495"/>
      <c r="EW19" s="2495"/>
      <c r="EX19" s="2495"/>
      <c r="EY19" s="2495"/>
      <c r="EZ19" s="2495"/>
      <c r="FA19" s="2495"/>
      <c r="FB19" s="2495"/>
      <c r="FC19" s="2495"/>
      <c r="FD19" s="2495"/>
      <c r="FE19" s="2495"/>
      <c r="FF19" s="2495"/>
      <c r="FG19" s="2495"/>
      <c r="FH19" s="2495"/>
      <c r="FI19" s="2495"/>
      <c r="FJ19" s="2495"/>
      <c r="FK19" s="2495"/>
      <c r="FL19" s="2534"/>
    </row>
    <row r="20" spans="1:168" s="2486" customFormat="1" ht="15" customHeight="1">
      <c r="A20" s="16677"/>
      <c r="B20" s="16653"/>
      <c r="C20" s="16653"/>
      <c r="D20" s="16652"/>
      <c r="E20" s="5154" t="s">
        <v>1838</v>
      </c>
      <c r="F20" s="2487">
        <v>0</v>
      </c>
      <c r="G20" s="5154"/>
      <c r="H20" s="2502">
        <v>0</v>
      </c>
      <c r="I20" s="2487">
        <v>0</v>
      </c>
      <c r="J20" s="2487">
        <v>1</v>
      </c>
      <c r="K20" s="2487">
        <v>0</v>
      </c>
      <c r="L20" s="2487">
        <v>0</v>
      </c>
      <c r="M20" s="2487">
        <v>0</v>
      </c>
      <c r="N20" s="2487">
        <v>1</v>
      </c>
      <c r="O20" s="2487">
        <v>0</v>
      </c>
      <c r="P20" s="2487">
        <v>0</v>
      </c>
      <c r="Q20" s="2487">
        <v>0</v>
      </c>
      <c r="R20" s="2487">
        <v>1</v>
      </c>
      <c r="S20" s="2487">
        <v>3</v>
      </c>
      <c r="T20" s="5154" t="s">
        <v>1805</v>
      </c>
      <c r="U20" s="16636"/>
      <c r="V20" s="2498" t="s">
        <v>144</v>
      </c>
      <c r="W20" s="2969"/>
      <c r="X20" s="6710"/>
      <c r="Y20" s="6635">
        <v>0</v>
      </c>
      <c r="Z20" s="6632">
        <v>1</v>
      </c>
      <c r="AA20" s="16350"/>
      <c r="AB20" s="16647"/>
      <c r="AC20" s="16647"/>
      <c r="AD20" s="16650"/>
      <c r="AE20" s="16650"/>
      <c r="AF20" s="16650"/>
      <c r="AG20" s="16650"/>
      <c r="AH20" s="16647"/>
      <c r="AI20" s="16349"/>
      <c r="AJ20" s="16349"/>
      <c r="AK20" s="16349"/>
      <c r="AL20" s="16349"/>
      <c r="AM20" s="16349"/>
      <c r="AN20" s="16349"/>
      <c r="AO20" s="16349"/>
      <c r="AP20" s="16349"/>
      <c r="AQ20" s="16349"/>
      <c r="AR20" s="16349"/>
      <c r="AS20" s="16349"/>
      <c r="AT20" s="16349"/>
      <c r="AU20" s="16349"/>
      <c r="AV20" s="16349"/>
      <c r="AW20" s="16349"/>
      <c r="AX20" s="16349"/>
      <c r="AY20" s="16349"/>
      <c r="AZ20" s="16349"/>
      <c r="BA20" s="16349"/>
      <c r="BB20" s="16349"/>
      <c r="BC20" s="16349"/>
      <c r="BD20" s="16349"/>
      <c r="BE20" s="16349"/>
      <c r="BF20" s="16349"/>
      <c r="BG20" s="16349"/>
      <c r="BH20" s="16349"/>
      <c r="BI20" s="16349"/>
      <c r="BJ20" s="16349"/>
      <c r="BK20" s="16349"/>
      <c r="BL20" s="16349"/>
      <c r="BM20" s="16349"/>
      <c r="BN20" s="16349"/>
      <c r="BO20" s="16349"/>
      <c r="BP20" s="16349"/>
      <c r="BQ20" s="16349"/>
      <c r="BR20" s="16639"/>
      <c r="BS20" s="2507">
        <v>1</v>
      </c>
      <c r="BT20" s="6468">
        <v>1</v>
      </c>
      <c r="BU20" s="16643"/>
      <c r="BV20" s="2508" t="s">
        <v>9391</v>
      </c>
      <c r="BW20" s="2501"/>
      <c r="BX20" s="16636"/>
      <c r="BY20" s="16641"/>
      <c r="BZ20" s="16641"/>
      <c r="CA20" s="16641"/>
      <c r="CB20" s="16641"/>
      <c r="CC20" s="16640"/>
      <c r="CD20" s="2241"/>
      <c r="CE20" s="2241"/>
      <c r="CF20" s="2241"/>
      <c r="CG20" s="2241"/>
      <c r="CH20" s="2241"/>
      <c r="CI20" s="2241"/>
      <c r="CJ20" s="2241"/>
      <c r="CK20" s="2241"/>
      <c r="CL20" s="2241"/>
      <c r="CM20" s="2241"/>
      <c r="CN20" s="2241"/>
      <c r="CO20" s="2241"/>
      <c r="CP20" s="2241"/>
      <c r="CQ20" s="2241"/>
      <c r="CR20" s="2241"/>
      <c r="CS20" s="2241"/>
      <c r="CT20" s="2241"/>
      <c r="CU20" s="2241"/>
      <c r="CV20" s="2241"/>
      <c r="CW20" s="2241"/>
      <c r="CX20" s="2241"/>
      <c r="CY20" s="2241"/>
      <c r="CZ20" s="2241"/>
      <c r="DA20" s="5157"/>
      <c r="DB20" s="5157"/>
      <c r="DC20" s="5157"/>
      <c r="DD20" s="5157"/>
      <c r="DE20" s="5157"/>
      <c r="DF20" s="5157"/>
      <c r="DG20" s="5157"/>
      <c r="DH20" s="5157"/>
      <c r="DI20" s="5157"/>
      <c r="DJ20" s="5157"/>
      <c r="DK20" s="5157"/>
      <c r="DL20" s="5157"/>
      <c r="DM20" s="5157"/>
      <c r="DN20" s="5157"/>
      <c r="DO20" s="5157"/>
      <c r="DP20" s="5157"/>
      <c r="DQ20" s="2494"/>
      <c r="DS20" s="6706"/>
      <c r="DT20" s="2495"/>
      <c r="DU20" s="2495"/>
      <c r="DV20" s="2495"/>
      <c r="DW20" s="2495"/>
      <c r="DX20" s="2495"/>
      <c r="DY20" s="2495"/>
      <c r="DZ20" s="2495"/>
      <c r="EA20" s="2495"/>
      <c r="EB20" s="2495"/>
      <c r="EC20" s="2495"/>
      <c r="ED20" s="2495"/>
      <c r="EE20" s="2495"/>
      <c r="EF20" s="2495"/>
      <c r="EG20" s="2495"/>
      <c r="EH20" s="2495"/>
      <c r="EI20" s="2495"/>
      <c r="EJ20" s="2495"/>
      <c r="EK20" s="2495"/>
      <c r="EL20" s="2495"/>
      <c r="EM20" s="2495"/>
      <c r="EN20" s="2495"/>
      <c r="EO20" s="2495"/>
      <c r="EP20" s="2495"/>
      <c r="EQ20" s="2495"/>
      <c r="ER20" s="2495"/>
      <c r="ES20" s="2495"/>
      <c r="ET20" s="2495"/>
      <c r="EU20" s="2495"/>
      <c r="EV20" s="2495"/>
      <c r="EW20" s="2495"/>
      <c r="EX20" s="2495"/>
      <c r="EY20" s="2495"/>
      <c r="EZ20" s="2495"/>
      <c r="FA20" s="2495"/>
      <c r="FB20" s="2495"/>
      <c r="FC20" s="2495"/>
      <c r="FD20" s="2495"/>
      <c r="FE20" s="2495"/>
      <c r="FF20" s="2495"/>
      <c r="FG20" s="2495"/>
      <c r="FH20" s="2495"/>
      <c r="FI20" s="2495"/>
      <c r="FJ20" s="2495"/>
      <c r="FK20" s="2495"/>
      <c r="FL20" s="2534"/>
    </row>
    <row r="21" spans="1:168" s="2486" customFormat="1" ht="15" customHeight="1">
      <c r="A21" s="16677"/>
      <c r="B21" s="16653"/>
      <c r="C21" s="5171" t="s">
        <v>8146</v>
      </c>
      <c r="D21" s="5160" t="s">
        <v>1839</v>
      </c>
      <c r="E21" s="5154" t="s">
        <v>1840</v>
      </c>
      <c r="F21" s="2487">
        <v>31</v>
      </c>
      <c r="G21" s="5154" t="s">
        <v>382</v>
      </c>
      <c r="H21" s="2496" t="s">
        <v>1841</v>
      </c>
      <c r="I21" s="2487">
        <v>31</v>
      </c>
      <c r="J21" s="2487">
        <v>31</v>
      </c>
      <c r="K21" s="2487">
        <v>31</v>
      </c>
      <c r="L21" s="2487">
        <v>31</v>
      </c>
      <c r="M21" s="2487">
        <v>31</v>
      </c>
      <c r="N21" s="2487">
        <v>31</v>
      </c>
      <c r="O21" s="2487">
        <v>31</v>
      </c>
      <c r="P21" s="2487">
        <v>31</v>
      </c>
      <c r="Q21" s="2487">
        <v>31</v>
      </c>
      <c r="R21" s="2487">
        <v>31</v>
      </c>
      <c r="S21" s="2487">
        <v>31</v>
      </c>
      <c r="T21" s="5154" t="s">
        <v>1805</v>
      </c>
      <c r="U21" s="5154" t="s">
        <v>10063</v>
      </c>
      <c r="V21" s="5154" t="s">
        <v>144</v>
      </c>
      <c r="W21" s="2969"/>
      <c r="X21" s="6710" t="s">
        <v>512</v>
      </c>
      <c r="Y21" s="6635">
        <v>22500000</v>
      </c>
      <c r="Z21" s="6632">
        <v>1</v>
      </c>
      <c r="AA21" s="2489" t="s">
        <v>3110</v>
      </c>
      <c r="AB21" s="2495"/>
      <c r="AC21" s="2495"/>
      <c r="AD21" s="2500">
        <f t="shared" si="1"/>
        <v>101126206.09999999</v>
      </c>
      <c r="AE21" s="2500">
        <v>101126206.09999999</v>
      </c>
      <c r="AF21" s="2500">
        <v>0</v>
      </c>
      <c r="AG21" s="2500">
        <v>0</v>
      </c>
      <c r="AH21" s="2495"/>
      <c r="AI21" s="2495"/>
      <c r="AJ21" s="2495"/>
      <c r="AK21" s="2495"/>
      <c r="AL21" s="2495"/>
      <c r="AM21" s="2495"/>
      <c r="AN21" s="2495"/>
      <c r="AO21" s="2495"/>
      <c r="AP21" s="2495"/>
      <c r="AQ21" s="2495"/>
      <c r="AR21" s="2495"/>
      <c r="AS21" s="2495"/>
      <c r="AT21" s="2495"/>
      <c r="AU21" s="2495"/>
      <c r="AV21" s="2495"/>
      <c r="AW21" s="2495"/>
      <c r="AX21" s="2495"/>
      <c r="AY21" s="2495"/>
      <c r="AZ21" s="2495"/>
      <c r="BA21" s="2495"/>
      <c r="BB21" s="2495"/>
      <c r="BC21" s="2495"/>
      <c r="BD21" s="2495"/>
      <c r="BE21" s="2495"/>
      <c r="BF21" s="2495"/>
      <c r="BG21" s="2495"/>
      <c r="BH21" s="2495"/>
      <c r="BI21" s="2495"/>
      <c r="BJ21" s="2495"/>
      <c r="BK21" s="2495"/>
      <c r="BL21" s="2495"/>
      <c r="BM21" s="2495"/>
      <c r="BN21" s="2495"/>
      <c r="BO21" s="2495"/>
      <c r="BP21" s="2495"/>
      <c r="BQ21" s="2495"/>
      <c r="BR21" s="2509"/>
      <c r="BS21" s="2491">
        <v>5</v>
      </c>
      <c r="BT21" s="6468">
        <f>BS21/I21</f>
        <v>0.16129032258064516</v>
      </c>
      <c r="BU21" s="16643"/>
      <c r="BV21" s="2498" t="s">
        <v>9392</v>
      </c>
      <c r="BW21" s="16636" t="s">
        <v>9393</v>
      </c>
      <c r="BX21" s="16636" t="s">
        <v>3113</v>
      </c>
      <c r="BY21" s="2497">
        <f>BZ21+CA21+CB21</f>
        <v>182236734.42249998</v>
      </c>
      <c r="BZ21" s="2497">
        <v>181731934.42249998</v>
      </c>
      <c r="CA21" s="2497">
        <v>504800</v>
      </c>
      <c r="CB21" s="2497">
        <v>0</v>
      </c>
      <c r="CC21" s="2247">
        <v>11</v>
      </c>
      <c r="CD21" s="2241">
        <v>8</v>
      </c>
      <c r="CE21" s="2241">
        <v>3</v>
      </c>
      <c r="CF21" s="2241">
        <v>0</v>
      </c>
      <c r="CG21" s="2241">
        <v>0</v>
      </c>
      <c r="CH21" s="2241">
        <v>0</v>
      </c>
      <c r="CI21" s="2241">
        <v>11</v>
      </c>
      <c r="CJ21" s="2241"/>
      <c r="CK21" s="2241"/>
      <c r="CL21" s="2241"/>
      <c r="CM21" s="2241"/>
      <c r="CN21" s="2241"/>
      <c r="CO21" s="2241"/>
      <c r="CP21" s="2241"/>
      <c r="CQ21" s="2241">
        <v>11</v>
      </c>
      <c r="CR21" s="2241"/>
      <c r="CS21" s="2241"/>
      <c r="CT21" s="2241"/>
      <c r="CU21" s="2241"/>
      <c r="CV21" s="2241"/>
      <c r="CW21" s="2241"/>
      <c r="CX21" s="2241"/>
      <c r="CY21" s="2241">
        <v>0</v>
      </c>
      <c r="CZ21" s="2241">
        <v>11</v>
      </c>
      <c r="DA21" s="5157"/>
      <c r="DB21" s="5157"/>
      <c r="DC21" s="5157"/>
      <c r="DD21" s="5157"/>
      <c r="DE21" s="5157"/>
      <c r="DF21" s="5157"/>
      <c r="DG21" s="5157"/>
      <c r="DH21" s="5157"/>
      <c r="DI21" s="5157"/>
      <c r="DJ21" s="5157"/>
      <c r="DK21" s="5157"/>
      <c r="DL21" s="5157"/>
      <c r="DM21" s="5157"/>
      <c r="DN21" s="5157"/>
      <c r="DO21" s="5157"/>
      <c r="DP21" s="5157"/>
      <c r="DQ21" s="2494"/>
      <c r="DS21" s="6706"/>
      <c r="DT21" s="2495"/>
      <c r="DU21" s="2495"/>
      <c r="DV21" s="2495"/>
      <c r="DW21" s="2495"/>
      <c r="DX21" s="2495"/>
      <c r="DY21" s="2495"/>
      <c r="DZ21" s="2495"/>
      <c r="EA21" s="2495"/>
      <c r="EB21" s="2495"/>
      <c r="EC21" s="2495"/>
      <c r="ED21" s="2495"/>
      <c r="EE21" s="2495"/>
      <c r="EF21" s="2495"/>
      <c r="EG21" s="2495"/>
      <c r="EH21" s="2495"/>
      <c r="EI21" s="2495"/>
      <c r="EJ21" s="2495"/>
      <c r="EK21" s="2495"/>
      <c r="EL21" s="2495"/>
      <c r="EM21" s="2495"/>
      <c r="EN21" s="2495"/>
      <c r="EO21" s="2495"/>
      <c r="EP21" s="2495"/>
      <c r="EQ21" s="2495"/>
      <c r="ER21" s="2495"/>
      <c r="ES21" s="2495"/>
      <c r="ET21" s="2495"/>
      <c r="EU21" s="2495"/>
      <c r="EV21" s="2495"/>
      <c r="EW21" s="2495"/>
      <c r="EX21" s="2495"/>
      <c r="EY21" s="2495"/>
      <c r="EZ21" s="2495"/>
      <c r="FA21" s="2495"/>
      <c r="FB21" s="2495"/>
      <c r="FC21" s="2495"/>
      <c r="FD21" s="2495"/>
      <c r="FE21" s="2495"/>
      <c r="FF21" s="2495"/>
      <c r="FG21" s="2495"/>
      <c r="FH21" s="2495"/>
      <c r="FI21" s="2495"/>
      <c r="FJ21" s="2495"/>
      <c r="FK21" s="2495"/>
      <c r="FL21" s="2534"/>
    </row>
    <row r="22" spans="1:168" s="2486" customFormat="1" ht="15" customHeight="1">
      <c r="A22" s="16677"/>
      <c r="B22" s="16653"/>
      <c r="C22" s="16653" t="s">
        <v>8147</v>
      </c>
      <c r="D22" s="16652" t="s">
        <v>1842</v>
      </c>
      <c r="E22" s="5154" t="s">
        <v>1843</v>
      </c>
      <c r="F22" s="2487">
        <v>31</v>
      </c>
      <c r="G22" s="5154" t="s">
        <v>382</v>
      </c>
      <c r="H22" s="2496">
        <v>29</v>
      </c>
      <c r="I22" s="2487">
        <v>31</v>
      </c>
      <c r="J22" s="2487">
        <v>31</v>
      </c>
      <c r="K22" s="2487">
        <v>31</v>
      </c>
      <c r="L22" s="2487">
        <v>31</v>
      </c>
      <c r="M22" s="2487">
        <v>31</v>
      </c>
      <c r="N22" s="2487">
        <v>31</v>
      </c>
      <c r="O22" s="2487">
        <v>31</v>
      </c>
      <c r="P22" s="2487">
        <v>31</v>
      </c>
      <c r="Q22" s="2487">
        <v>31</v>
      </c>
      <c r="R22" s="2487">
        <v>31</v>
      </c>
      <c r="S22" s="2487">
        <v>31</v>
      </c>
      <c r="T22" s="5154" t="s">
        <v>1805</v>
      </c>
      <c r="U22" s="16636" t="s">
        <v>10063</v>
      </c>
      <c r="V22" s="2498" t="s">
        <v>144</v>
      </c>
      <c r="W22" s="2969"/>
      <c r="X22" s="6710"/>
      <c r="Y22" s="16651">
        <v>1085454000</v>
      </c>
      <c r="Z22" s="2507">
        <f>29/31</f>
        <v>0.93548387096774188</v>
      </c>
      <c r="AA22" s="16655" t="s">
        <v>3111</v>
      </c>
      <c r="AB22" s="16647" t="s">
        <v>3112</v>
      </c>
      <c r="AC22" s="16647" t="s">
        <v>3113</v>
      </c>
      <c r="AD22" s="16650">
        <f t="shared" si="1"/>
        <v>892760230.0999999</v>
      </c>
      <c r="AE22" s="16650">
        <v>892760230.0999999</v>
      </c>
      <c r="AF22" s="16650">
        <v>0</v>
      </c>
      <c r="AG22" s="16650">
        <v>0</v>
      </c>
      <c r="AH22" s="2495"/>
      <c r="AI22" s="2495"/>
      <c r="AJ22" s="2495"/>
      <c r="AK22" s="2495"/>
      <c r="AL22" s="2495"/>
      <c r="AM22" s="2495"/>
      <c r="AN22" s="2495"/>
      <c r="AO22" s="2495"/>
      <c r="AP22" s="2495"/>
      <c r="AQ22" s="2495"/>
      <c r="AR22" s="2495"/>
      <c r="AS22" s="2495"/>
      <c r="AT22" s="2495"/>
      <c r="AU22" s="2495"/>
      <c r="AV22" s="2495"/>
      <c r="AW22" s="2495"/>
      <c r="AX22" s="2495"/>
      <c r="AY22" s="2495"/>
      <c r="AZ22" s="2495"/>
      <c r="BA22" s="2495"/>
      <c r="BB22" s="2495"/>
      <c r="BC22" s="2495"/>
      <c r="BD22" s="2495"/>
      <c r="BE22" s="2495"/>
      <c r="BF22" s="2495"/>
      <c r="BG22" s="2495"/>
      <c r="BH22" s="2495"/>
      <c r="BI22" s="2495"/>
      <c r="BJ22" s="2495"/>
      <c r="BK22" s="2495"/>
      <c r="BL22" s="2495"/>
      <c r="BM22" s="2495"/>
      <c r="BN22" s="2495"/>
      <c r="BO22" s="2495"/>
      <c r="BP22" s="2495"/>
      <c r="BQ22" s="2495"/>
      <c r="BR22" s="16639"/>
      <c r="BS22" s="2491">
        <v>28</v>
      </c>
      <c r="BT22" s="6468">
        <f>BS22/I22</f>
        <v>0.90322580645161288</v>
      </c>
      <c r="BU22" s="16643"/>
      <c r="BV22" s="2498" t="s">
        <v>9394</v>
      </c>
      <c r="BW22" s="16636"/>
      <c r="BX22" s="16636"/>
      <c r="BY22" s="16641">
        <f>BZ22+CA22+CB22</f>
        <v>276388451.74000001</v>
      </c>
      <c r="BZ22" s="16641">
        <f>+'[3]15. JAC'!$Q$24</f>
        <v>276388451.74000001</v>
      </c>
      <c r="CA22" s="16641">
        <v>0</v>
      </c>
      <c r="CB22" s="16641">
        <v>0</v>
      </c>
      <c r="CC22" s="2239"/>
      <c r="CD22" s="2241"/>
      <c r="CE22" s="2241"/>
      <c r="CF22" s="2241"/>
      <c r="CG22" s="2241"/>
      <c r="CH22" s="2241"/>
      <c r="CI22" s="2241"/>
      <c r="CJ22" s="2241"/>
      <c r="CK22" s="2241"/>
      <c r="CL22" s="2241"/>
      <c r="CM22" s="2241"/>
      <c r="CN22" s="2241"/>
      <c r="CO22" s="2241"/>
      <c r="CP22" s="2241"/>
      <c r="CQ22" s="2241"/>
      <c r="CR22" s="2241"/>
      <c r="CS22" s="2241"/>
      <c r="CT22" s="2241"/>
      <c r="CU22" s="2241"/>
      <c r="CV22" s="2241"/>
      <c r="CW22" s="2241"/>
      <c r="CX22" s="2241"/>
      <c r="CY22" s="2241"/>
      <c r="CZ22" s="2241"/>
      <c r="DA22" s="5157"/>
      <c r="DB22" s="5157"/>
      <c r="DC22" s="5157"/>
      <c r="DD22" s="5157"/>
      <c r="DE22" s="5157"/>
      <c r="DF22" s="5157"/>
      <c r="DG22" s="5157"/>
      <c r="DH22" s="5157"/>
      <c r="DI22" s="5157"/>
      <c r="DJ22" s="5157"/>
      <c r="DK22" s="5157"/>
      <c r="DL22" s="5157"/>
      <c r="DM22" s="5157"/>
      <c r="DN22" s="5157"/>
      <c r="DO22" s="5157"/>
      <c r="DP22" s="5157"/>
      <c r="DQ22" s="2494"/>
      <c r="DS22" s="6706"/>
      <c r="DT22" s="2495"/>
      <c r="DU22" s="2495"/>
      <c r="DV22" s="2495"/>
      <c r="DW22" s="2495"/>
      <c r="DX22" s="2495"/>
      <c r="DY22" s="2495"/>
      <c r="DZ22" s="2495"/>
      <c r="EA22" s="2495"/>
      <c r="EB22" s="2495"/>
      <c r="EC22" s="2495"/>
      <c r="ED22" s="2495"/>
      <c r="EE22" s="2495"/>
      <c r="EF22" s="2495"/>
      <c r="EG22" s="2495"/>
      <c r="EH22" s="2495"/>
      <c r="EI22" s="2495"/>
      <c r="EJ22" s="2495"/>
      <c r="EK22" s="2495"/>
      <c r="EL22" s="2495"/>
      <c r="EM22" s="2495"/>
      <c r="EN22" s="2495"/>
      <c r="EO22" s="2495"/>
      <c r="EP22" s="2495"/>
      <c r="EQ22" s="2495"/>
      <c r="ER22" s="2495"/>
      <c r="ES22" s="2495"/>
      <c r="ET22" s="2495"/>
      <c r="EU22" s="2495"/>
      <c r="EV22" s="2495"/>
      <c r="EW22" s="2495"/>
      <c r="EX22" s="2495"/>
      <c r="EY22" s="2495"/>
      <c r="EZ22" s="2495"/>
      <c r="FA22" s="2495"/>
      <c r="FB22" s="2495"/>
      <c r="FC22" s="2495"/>
      <c r="FD22" s="2495"/>
      <c r="FE22" s="2495"/>
      <c r="FF22" s="2495"/>
      <c r="FG22" s="2495"/>
      <c r="FH22" s="2495"/>
      <c r="FI22" s="2495"/>
      <c r="FJ22" s="2495"/>
      <c r="FK22" s="2495"/>
      <c r="FL22" s="2534"/>
    </row>
    <row r="23" spans="1:168" s="2486" customFormat="1" ht="15" customHeight="1">
      <c r="A23" s="16677"/>
      <c r="B23" s="16653"/>
      <c r="C23" s="16653"/>
      <c r="D23" s="16652"/>
      <c r="E23" s="5154" t="s">
        <v>1844</v>
      </c>
      <c r="F23" s="2487">
        <v>31</v>
      </c>
      <c r="G23" s="5154" t="s">
        <v>382</v>
      </c>
      <c r="H23" s="2496" t="s">
        <v>1845</v>
      </c>
      <c r="I23" s="2487">
        <v>31</v>
      </c>
      <c r="J23" s="2487">
        <v>31</v>
      </c>
      <c r="K23" s="2487">
        <v>31</v>
      </c>
      <c r="L23" s="2487">
        <v>31</v>
      </c>
      <c r="M23" s="2487">
        <v>31</v>
      </c>
      <c r="N23" s="2487">
        <v>31</v>
      </c>
      <c r="O23" s="2487">
        <v>31</v>
      </c>
      <c r="P23" s="2487">
        <v>31</v>
      </c>
      <c r="Q23" s="2487">
        <v>31</v>
      </c>
      <c r="R23" s="2487">
        <v>31</v>
      </c>
      <c r="S23" s="2487">
        <v>31</v>
      </c>
      <c r="T23" s="5154" t="s">
        <v>1846</v>
      </c>
      <c r="U23" s="16636"/>
      <c r="V23" s="2498" t="s">
        <v>144</v>
      </c>
      <c r="W23" s="2969"/>
      <c r="X23" s="6710"/>
      <c r="Y23" s="16651"/>
      <c r="Z23" s="6632">
        <v>1</v>
      </c>
      <c r="AA23" s="16655"/>
      <c r="AB23" s="16647"/>
      <c r="AC23" s="16647"/>
      <c r="AD23" s="16650"/>
      <c r="AE23" s="16650"/>
      <c r="AF23" s="16650"/>
      <c r="AG23" s="16650"/>
      <c r="AH23" s="2495"/>
      <c r="AI23" s="2495"/>
      <c r="AJ23" s="2495"/>
      <c r="AK23" s="2495"/>
      <c r="AL23" s="2495"/>
      <c r="AM23" s="2495"/>
      <c r="AN23" s="2495"/>
      <c r="AO23" s="2495"/>
      <c r="AP23" s="2495"/>
      <c r="AQ23" s="2495"/>
      <c r="AR23" s="2495"/>
      <c r="AS23" s="2495"/>
      <c r="AT23" s="2495"/>
      <c r="AU23" s="2495"/>
      <c r="AV23" s="2495"/>
      <c r="AW23" s="2495"/>
      <c r="AX23" s="2495"/>
      <c r="AY23" s="2495"/>
      <c r="AZ23" s="2495"/>
      <c r="BA23" s="2495"/>
      <c r="BB23" s="2495"/>
      <c r="BC23" s="2495"/>
      <c r="BD23" s="2495"/>
      <c r="BE23" s="2495"/>
      <c r="BF23" s="2495"/>
      <c r="BG23" s="2495"/>
      <c r="BH23" s="2495"/>
      <c r="BI23" s="2495"/>
      <c r="BJ23" s="2495"/>
      <c r="BK23" s="2495"/>
      <c r="BL23" s="2495"/>
      <c r="BM23" s="2495"/>
      <c r="BN23" s="2495"/>
      <c r="BO23" s="2495"/>
      <c r="BP23" s="2495"/>
      <c r="BQ23" s="2495"/>
      <c r="BR23" s="16639"/>
      <c r="BS23" s="2491">
        <v>214</v>
      </c>
      <c r="BT23" s="6468">
        <f>IF((BS23/I23)&gt;31,,100%)</f>
        <v>1</v>
      </c>
      <c r="BU23" s="16643"/>
      <c r="BV23" s="2498" t="s">
        <v>9395</v>
      </c>
      <c r="BW23" s="16636"/>
      <c r="BX23" s="16636"/>
      <c r="BY23" s="16641"/>
      <c r="BZ23" s="16641"/>
      <c r="CA23" s="16641"/>
      <c r="CB23" s="16641"/>
      <c r="CC23" s="2239"/>
      <c r="CD23" s="2241"/>
      <c r="CE23" s="2241"/>
      <c r="CF23" s="2241"/>
      <c r="CG23" s="2241"/>
      <c r="CH23" s="2241"/>
      <c r="CI23" s="2241"/>
      <c r="CJ23" s="2241"/>
      <c r="CK23" s="2241"/>
      <c r="CL23" s="2241"/>
      <c r="CM23" s="2241"/>
      <c r="CN23" s="2241"/>
      <c r="CO23" s="2241"/>
      <c r="CP23" s="2241"/>
      <c r="CQ23" s="2241"/>
      <c r="CR23" s="2241"/>
      <c r="CS23" s="2241"/>
      <c r="CT23" s="2241"/>
      <c r="CU23" s="2241"/>
      <c r="CV23" s="2241"/>
      <c r="CW23" s="2241"/>
      <c r="CX23" s="2241"/>
      <c r="CY23" s="2241"/>
      <c r="CZ23" s="2241"/>
      <c r="DA23" s="5157"/>
      <c r="DB23" s="5157"/>
      <c r="DC23" s="5157"/>
      <c r="DD23" s="5157"/>
      <c r="DE23" s="5157"/>
      <c r="DF23" s="5157"/>
      <c r="DG23" s="5157"/>
      <c r="DH23" s="5157"/>
      <c r="DI23" s="5157"/>
      <c r="DJ23" s="5157"/>
      <c r="DK23" s="5157"/>
      <c r="DL23" s="5157"/>
      <c r="DM23" s="5157"/>
      <c r="DN23" s="5157"/>
      <c r="DO23" s="5157"/>
      <c r="DP23" s="5157"/>
      <c r="DQ23" s="2494"/>
      <c r="DS23" s="6706"/>
      <c r="DT23" s="2495"/>
      <c r="DU23" s="2495"/>
      <c r="DV23" s="2495"/>
      <c r="DW23" s="2495"/>
      <c r="DX23" s="2495"/>
      <c r="DY23" s="2495"/>
      <c r="DZ23" s="2495"/>
      <c r="EA23" s="2495"/>
      <c r="EB23" s="2495"/>
      <c r="EC23" s="2495"/>
      <c r="ED23" s="2495"/>
      <c r="EE23" s="2495"/>
      <c r="EF23" s="2495"/>
      <c r="EG23" s="2495"/>
      <c r="EH23" s="2495"/>
      <c r="EI23" s="2495"/>
      <c r="EJ23" s="2495"/>
      <c r="EK23" s="2495"/>
      <c r="EL23" s="2495"/>
      <c r="EM23" s="2495"/>
      <c r="EN23" s="2495"/>
      <c r="EO23" s="2495"/>
      <c r="EP23" s="2495"/>
      <c r="EQ23" s="2495"/>
      <c r="ER23" s="2495"/>
      <c r="ES23" s="2495"/>
      <c r="ET23" s="2495"/>
      <c r="EU23" s="2495"/>
      <c r="EV23" s="2495"/>
      <c r="EW23" s="2495"/>
      <c r="EX23" s="2495"/>
      <c r="EY23" s="2495"/>
      <c r="EZ23" s="2495"/>
      <c r="FA23" s="2495"/>
      <c r="FB23" s="2495"/>
      <c r="FC23" s="2495"/>
      <c r="FD23" s="2495"/>
      <c r="FE23" s="2495"/>
      <c r="FF23" s="2495"/>
      <c r="FG23" s="2495"/>
      <c r="FH23" s="2495"/>
      <c r="FI23" s="2495"/>
      <c r="FJ23" s="2495"/>
      <c r="FK23" s="2495"/>
      <c r="FL23" s="2534"/>
    </row>
    <row r="24" spans="1:168" s="2486" customFormat="1" ht="15" customHeight="1">
      <c r="A24" s="16677"/>
      <c r="B24" s="16653"/>
      <c r="C24" s="5171" t="s">
        <v>8148</v>
      </c>
      <c r="D24" s="5160" t="s">
        <v>1847</v>
      </c>
      <c r="E24" s="5154" t="s">
        <v>1848</v>
      </c>
      <c r="F24" s="2510">
        <v>1</v>
      </c>
      <c r="G24" s="5154" t="s">
        <v>1849</v>
      </c>
      <c r="H24" s="2511">
        <v>0</v>
      </c>
      <c r="I24" s="2510">
        <v>1</v>
      </c>
      <c r="J24" s="2510">
        <v>1</v>
      </c>
      <c r="K24" s="2510">
        <v>1</v>
      </c>
      <c r="L24" s="2510">
        <v>1</v>
      </c>
      <c r="M24" s="2510">
        <v>1</v>
      </c>
      <c r="N24" s="2510">
        <v>1</v>
      </c>
      <c r="O24" s="2510">
        <v>1</v>
      </c>
      <c r="P24" s="2510">
        <v>1</v>
      </c>
      <c r="Q24" s="2510">
        <v>1</v>
      </c>
      <c r="R24" s="2510">
        <v>1</v>
      </c>
      <c r="S24" s="2510">
        <v>1</v>
      </c>
      <c r="T24" s="5154" t="s">
        <v>1805</v>
      </c>
      <c r="U24" s="5154" t="s">
        <v>10063</v>
      </c>
      <c r="V24" s="5154" t="s">
        <v>1408</v>
      </c>
      <c r="W24" s="2969"/>
      <c r="X24" s="6710" t="s">
        <v>512</v>
      </c>
      <c r="Y24" s="6635">
        <v>10000000</v>
      </c>
      <c r="Z24" s="2507">
        <v>0.49</v>
      </c>
      <c r="AA24" s="2489" t="s">
        <v>3114</v>
      </c>
      <c r="AB24" s="2490" t="s">
        <v>3115</v>
      </c>
      <c r="AC24" s="2495"/>
      <c r="AD24" s="2500">
        <f>AE24+AF23+AG23</f>
        <v>1721679.27125</v>
      </c>
      <c r="AE24" s="2500">
        <v>1721679.27125</v>
      </c>
      <c r="AF24" s="2500">
        <v>0</v>
      </c>
      <c r="AG24" s="2500">
        <v>0</v>
      </c>
      <c r="AH24" s="2491" t="s">
        <v>545</v>
      </c>
      <c r="AI24" s="2495"/>
      <c r="AJ24" s="2495"/>
      <c r="AK24" s="2495"/>
      <c r="AL24" s="2495"/>
      <c r="AM24" s="2495"/>
      <c r="AN24" s="2495"/>
      <c r="AO24" s="2495"/>
      <c r="AP24" s="2495"/>
      <c r="AQ24" s="2495"/>
      <c r="AR24" s="2495"/>
      <c r="AS24" s="2495"/>
      <c r="AT24" s="2495"/>
      <c r="AU24" s="2495"/>
      <c r="AV24" s="2495"/>
      <c r="AW24" s="2495"/>
      <c r="AX24" s="2495"/>
      <c r="AY24" s="2495"/>
      <c r="AZ24" s="2495"/>
      <c r="BA24" s="2495"/>
      <c r="BB24" s="2495"/>
      <c r="BC24" s="2495"/>
      <c r="BD24" s="2495"/>
      <c r="BE24" s="2495"/>
      <c r="BF24" s="2495"/>
      <c r="BG24" s="2495"/>
      <c r="BH24" s="2495"/>
      <c r="BI24" s="2495"/>
      <c r="BJ24" s="2495"/>
      <c r="BK24" s="2495"/>
      <c r="BL24" s="2495"/>
      <c r="BM24" s="2495"/>
      <c r="BN24" s="2495"/>
      <c r="BO24" s="2495"/>
      <c r="BP24" s="2495"/>
      <c r="BQ24" s="2495"/>
      <c r="BR24" s="2509"/>
      <c r="BS24" s="2507">
        <v>3.8699999999999998E-2</v>
      </c>
      <c r="BT24" s="6468">
        <f>BS24/I24</f>
        <v>3.8699999999999998E-2</v>
      </c>
      <c r="BU24" s="16643"/>
      <c r="BV24" s="2512" t="s">
        <v>9396</v>
      </c>
      <c r="BW24" s="2498" t="s">
        <v>9397</v>
      </c>
      <c r="BX24" s="2501"/>
      <c r="BY24" s="2497">
        <f>BZ24+CA24+CB24</f>
        <v>2232232.5950000002</v>
      </c>
      <c r="BZ24" s="2497">
        <v>1043009.5950000002</v>
      </c>
      <c r="CA24" s="2497">
        <v>1189223</v>
      </c>
      <c r="CB24" s="2497">
        <v>0</v>
      </c>
      <c r="CC24" s="2239">
        <v>48</v>
      </c>
      <c r="CD24" s="2241">
        <v>18</v>
      </c>
      <c r="CE24" s="2241">
        <v>30</v>
      </c>
      <c r="CF24" s="2241">
        <v>0</v>
      </c>
      <c r="CG24" s="2241"/>
      <c r="CH24" s="2241"/>
      <c r="CI24" s="2241">
        <v>48</v>
      </c>
      <c r="CJ24" s="2241"/>
      <c r="CK24" s="2241"/>
      <c r="CL24" s="2241"/>
      <c r="CM24" s="2241"/>
      <c r="CN24" s="2241"/>
      <c r="CO24" s="2241"/>
      <c r="CP24" s="2241"/>
      <c r="CQ24" s="2241">
        <v>48</v>
      </c>
      <c r="CR24" s="2241"/>
      <c r="CS24" s="2241"/>
      <c r="CT24" s="2241"/>
      <c r="CU24" s="2241"/>
      <c r="CV24" s="2241"/>
      <c r="CW24" s="2241"/>
      <c r="CX24" s="2241"/>
      <c r="CY24" s="2241"/>
      <c r="CZ24" s="2241">
        <v>48</v>
      </c>
      <c r="DA24" s="5157"/>
      <c r="DB24" s="5157"/>
      <c r="DC24" s="5157"/>
      <c r="DD24" s="5157"/>
      <c r="DE24" s="5157"/>
      <c r="DF24" s="5157"/>
      <c r="DG24" s="5157"/>
      <c r="DH24" s="5157"/>
      <c r="DI24" s="5157"/>
      <c r="DJ24" s="5157"/>
      <c r="DK24" s="5157"/>
      <c r="DL24" s="5157"/>
      <c r="DM24" s="5157"/>
      <c r="DN24" s="5157"/>
      <c r="DO24" s="5157"/>
      <c r="DP24" s="5157"/>
      <c r="DQ24" s="2494"/>
      <c r="DS24" s="6706"/>
      <c r="DT24" s="2495"/>
      <c r="DU24" s="2495"/>
      <c r="DV24" s="2495"/>
      <c r="DW24" s="2495"/>
      <c r="DX24" s="2495"/>
      <c r="DY24" s="2495"/>
      <c r="DZ24" s="2495"/>
      <c r="EA24" s="2495"/>
      <c r="EB24" s="2495"/>
      <c r="EC24" s="2495"/>
      <c r="ED24" s="2495"/>
      <c r="EE24" s="2495"/>
      <c r="EF24" s="2495"/>
      <c r="EG24" s="2495"/>
      <c r="EH24" s="2495"/>
      <c r="EI24" s="2495"/>
      <c r="EJ24" s="2495"/>
      <c r="EK24" s="2495"/>
      <c r="EL24" s="2495"/>
      <c r="EM24" s="2495"/>
      <c r="EN24" s="2495"/>
      <c r="EO24" s="2495"/>
      <c r="EP24" s="2495"/>
      <c r="EQ24" s="2495"/>
      <c r="ER24" s="2495"/>
      <c r="ES24" s="2495"/>
      <c r="ET24" s="2495"/>
      <c r="EU24" s="2495"/>
      <c r="EV24" s="2495"/>
      <c r="EW24" s="2495"/>
      <c r="EX24" s="2495"/>
      <c r="EY24" s="2495"/>
      <c r="EZ24" s="2495"/>
      <c r="FA24" s="2495"/>
      <c r="FB24" s="2495"/>
      <c r="FC24" s="2495"/>
      <c r="FD24" s="2495"/>
      <c r="FE24" s="2495"/>
      <c r="FF24" s="2495"/>
      <c r="FG24" s="2495"/>
      <c r="FH24" s="2495"/>
      <c r="FI24" s="2495"/>
      <c r="FJ24" s="2495"/>
      <c r="FK24" s="2495"/>
      <c r="FL24" s="2534"/>
    </row>
    <row r="25" spans="1:168" s="2486" customFormat="1" ht="15" customHeight="1">
      <c r="A25" s="16677"/>
      <c r="B25" s="16653"/>
      <c r="C25" s="5171" t="s">
        <v>8149</v>
      </c>
      <c r="D25" s="2513" t="s">
        <v>1850</v>
      </c>
      <c r="E25" s="2514" t="s">
        <v>1851</v>
      </c>
      <c r="F25" s="2487">
        <v>31</v>
      </c>
      <c r="G25" s="5154" t="s">
        <v>1849</v>
      </c>
      <c r="H25" s="2514" t="s">
        <v>1832</v>
      </c>
      <c r="I25" s="2487">
        <v>0</v>
      </c>
      <c r="J25" s="2487">
        <v>0</v>
      </c>
      <c r="K25" s="2487">
        <v>0</v>
      </c>
      <c r="L25" s="2487">
        <v>31</v>
      </c>
      <c r="M25" s="2487">
        <v>0</v>
      </c>
      <c r="N25" s="2487">
        <v>0</v>
      </c>
      <c r="O25" s="2487">
        <v>0</v>
      </c>
      <c r="P25" s="2487">
        <v>31</v>
      </c>
      <c r="Q25" s="2487">
        <v>0</v>
      </c>
      <c r="R25" s="2487">
        <v>0</v>
      </c>
      <c r="S25" s="2487">
        <f>F25+I25+J25+K25+L25+M25+N25+O25+P25+Q25+R25</f>
        <v>93</v>
      </c>
      <c r="T25" s="5154" t="s">
        <v>1805</v>
      </c>
      <c r="U25" s="5154" t="s">
        <v>10070</v>
      </c>
      <c r="V25" s="5154" t="s">
        <v>512</v>
      </c>
      <c r="W25" s="2969"/>
      <c r="X25" s="6710"/>
      <c r="Y25" s="6631">
        <v>200000000</v>
      </c>
      <c r="Z25" s="2507">
        <v>0.3</v>
      </c>
      <c r="AA25" s="2515" t="s">
        <v>3958</v>
      </c>
      <c r="AB25" s="2516" t="s">
        <v>3959</v>
      </c>
      <c r="AC25" s="2515" t="s">
        <v>3960</v>
      </c>
      <c r="AD25" s="2495"/>
      <c r="AE25" s="2491" t="s">
        <v>2943</v>
      </c>
      <c r="AF25" s="2495"/>
      <c r="AG25" s="2495"/>
      <c r="AH25" s="2495"/>
      <c r="AI25" s="2495"/>
      <c r="AJ25" s="2495"/>
      <c r="AK25" s="2495"/>
      <c r="AL25" s="2495"/>
      <c r="AM25" s="2495"/>
      <c r="AN25" s="2495"/>
      <c r="AO25" s="2495"/>
      <c r="AP25" s="2495"/>
      <c r="AQ25" s="2495"/>
      <c r="AR25" s="2495"/>
      <c r="AS25" s="2495"/>
      <c r="AT25" s="2495"/>
      <c r="AU25" s="2495"/>
      <c r="AV25" s="2495"/>
      <c r="AW25" s="2495"/>
      <c r="AX25" s="2495"/>
      <c r="AY25" s="2495"/>
      <c r="AZ25" s="2495"/>
      <c r="BA25" s="2495"/>
      <c r="BB25" s="2495"/>
      <c r="BC25" s="2495"/>
      <c r="BD25" s="2495"/>
      <c r="BE25" s="2495"/>
      <c r="BF25" s="2495"/>
      <c r="BG25" s="2495"/>
      <c r="BH25" s="2515" t="s">
        <v>3961</v>
      </c>
      <c r="BI25" s="2515" t="s">
        <v>3954</v>
      </c>
      <c r="BJ25" s="2495"/>
      <c r="BK25" s="2515" t="s">
        <v>3955</v>
      </c>
      <c r="BL25" s="2515" t="s">
        <v>3962</v>
      </c>
      <c r="BM25" s="2495"/>
      <c r="BN25" s="2491" t="s">
        <v>2943</v>
      </c>
      <c r="BO25" s="2491" t="s">
        <v>2943</v>
      </c>
      <c r="BP25" s="2491" t="s">
        <v>2943</v>
      </c>
      <c r="BQ25" s="2515" t="s">
        <v>3962</v>
      </c>
      <c r="BR25" s="6639"/>
      <c r="BS25" s="2491">
        <v>31</v>
      </c>
      <c r="BT25" s="6468">
        <v>1</v>
      </c>
      <c r="BU25" s="16643"/>
      <c r="BV25" s="2517" t="s">
        <v>9319</v>
      </c>
      <c r="BW25" s="2491" t="s">
        <v>9320</v>
      </c>
      <c r="BX25" s="2515" t="s">
        <v>9321</v>
      </c>
      <c r="BY25" s="2497">
        <v>207192000</v>
      </c>
      <c r="BZ25" s="2497" t="s">
        <v>2943</v>
      </c>
      <c r="CA25" s="2497"/>
      <c r="CB25" s="2497"/>
      <c r="CC25" s="2239"/>
      <c r="CD25" s="2241"/>
      <c r="CE25" s="2241"/>
      <c r="CF25" s="2241"/>
      <c r="CG25" s="2241"/>
      <c r="CH25" s="2241"/>
      <c r="CI25" s="2241"/>
      <c r="CJ25" s="2241"/>
      <c r="CK25" s="2241"/>
      <c r="CL25" s="2241"/>
      <c r="CM25" s="2241"/>
      <c r="CN25" s="2241"/>
      <c r="CO25" s="2241"/>
      <c r="CP25" s="2241"/>
      <c r="CQ25" s="2241"/>
      <c r="CR25" s="2241"/>
      <c r="CS25" s="2241"/>
      <c r="CT25" s="2241"/>
      <c r="CU25" s="2241"/>
      <c r="CV25" s="2241"/>
      <c r="CW25" s="2241"/>
      <c r="CX25" s="2241"/>
      <c r="CY25" s="2241"/>
      <c r="CZ25" s="2241"/>
      <c r="DA25" s="5157"/>
      <c r="DB25" s="5157"/>
      <c r="DC25" s="5157"/>
      <c r="DD25" s="5157"/>
      <c r="DE25" s="5157"/>
      <c r="DF25" s="5157"/>
      <c r="DG25" s="5157"/>
      <c r="DH25" s="5157"/>
      <c r="DI25" s="5157"/>
      <c r="DJ25" s="5157"/>
      <c r="DK25" s="5157"/>
      <c r="DL25" s="5157"/>
      <c r="DM25" s="5157"/>
      <c r="DN25" s="5157"/>
      <c r="DO25" s="5157"/>
      <c r="DP25" s="5157"/>
      <c r="DQ25" s="2494"/>
      <c r="DS25" s="6706"/>
      <c r="DT25" s="2495"/>
      <c r="DU25" s="2495"/>
      <c r="DV25" s="2495"/>
      <c r="DW25" s="2495"/>
      <c r="DX25" s="2495"/>
      <c r="DY25" s="2495"/>
      <c r="DZ25" s="2495"/>
      <c r="EA25" s="2495"/>
      <c r="EB25" s="2495"/>
      <c r="EC25" s="2495"/>
      <c r="ED25" s="2495"/>
      <c r="EE25" s="2495"/>
      <c r="EF25" s="2495"/>
      <c r="EG25" s="2495"/>
      <c r="EH25" s="2495"/>
      <c r="EI25" s="2495"/>
      <c r="EJ25" s="2495"/>
      <c r="EK25" s="2495"/>
      <c r="EL25" s="2495"/>
      <c r="EM25" s="2495"/>
      <c r="EN25" s="2495"/>
      <c r="EO25" s="2495"/>
      <c r="EP25" s="2495"/>
      <c r="EQ25" s="2495"/>
      <c r="ER25" s="2495"/>
      <c r="ES25" s="2495"/>
      <c r="ET25" s="2495"/>
      <c r="EU25" s="2495"/>
      <c r="EV25" s="2495"/>
      <c r="EW25" s="2495"/>
      <c r="EX25" s="2495"/>
      <c r="EY25" s="2495"/>
      <c r="EZ25" s="2495"/>
      <c r="FA25" s="2495"/>
      <c r="FB25" s="2495"/>
      <c r="FC25" s="2495"/>
      <c r="FD25" s="2495"/>
      <c r="FE25" s="2495"/>
      <c r="FF25" s="2495"/>
      <c r="FG25" s="2495"/>
      <c r="FH25" s="2495"/>
      <c r="FI25" s="2495"/>
      <c r="FJ25" s="2495"/>
      <c r="FK25" s="2495"/>
      <c r="FL25" s="2534"/>
    </row>
    <row r="26" spans="1:168" s="2486" customFormat="1" ht="15" customHeight="1">
      <c r="A26" s="16677"/>
      <c r="B26" s="16653"/>
      <c r="C26" s="5171" t="s">
        <v>8150</v>
      </c>
      <c r="D26" s="5160" t="s">
        <v>1852</v>
      </c>
      <c r="E26" s="5154" t="s">
        <v>1853</v>
      </c>
      <c r="F26" s="2487">
        <v>1</v>
      </c>
      <c r="G26" s="5154" t="s">
        <v>1849</v>
      </c>
      <c r="H26" s="2518">
        <v>0</v>
      </c>
      <c r="I26" s="2487">
        <v>1</v>
      </c>
      <c r="J26" s="2487">
        <v>1</v>
      </c>
      <c r="K26" s="2487">
        <v>1</v>
      </c>
      <c r="L26" s="2487">
        <v>1</v>
      </c>
      <c r="M26" s="2487">
        <v>1</v>
      </c>
      <c r="N26" s="2487">
        <v>1</v>
      </c>
      <c r="O26" s="2487">
        <v>1</v>
      </c>
      <c r="P26" s="2487">
        <v>1</v>
      </c>
      <c r="Q26" s="2487">
        <v>1</v>
      </c>
      <c r="R26" s="2487">
        <v>1</v>
      </c>
      <c r="S26" s="2487">
        <v>1</v>
      </c>
      <c r="T26" s="5154" t="s">
        <v>1854</v>
      </c>
      <c r="U26" s="5154" t="s">
        <v>10063</v>
      </c>
      <c r="V26" s="5154" t="s">
        <v>1408</v>
      </c>
      <c r="W26" s="2969"/>
      <c r="X26" s="6710"/>
      <c r="Y26" s="6635">
        <v>10000000</v>
      </c>
      <c r="Z26" s="6632">
        <v>1</v>
      </c>
      <c r="AA26" s="2489" t="s">
        <v>3116</v>
      </c>
      <c r="AB26" s="2490" t="s">
        <v>3117</v>
      </c>
      <c r="AC26" s="2491" t="s">
        <v>545</v>
      </c>
      <c r="AD26" s="2500">
        <f>AE26+AF26+AG26</f>
        <v>7067199.9000000004</v>
      </c>
      <c r="AE26" s="2500">
        <v>7067199.9000000004</v>
      </c>
      <c r="AF26" s="2500">
        <v>0</v>
      </c>
      <c r="AG26" s="2500">
        <v>0</v>
      </c>
      <c r="AH26" s="2491" t="s">
        <v>545</v>
      </c>
      <c r="AI26" s="2495"/>
      <c r="AJ26" s="2495"/>
      <c r="AK26" s="2495"/>
      <c r="AL26" s="2495"/>
      <c r="AM26" s="2495"/>
      <c r="AN26" s="2495"/>
      <c r="AO26" s="2495"/>
      <c r="AP26" s="2495"/>
      <c r="AQ26" s="2495"/>
      <c r="AR26" s="2495"/>
      <c r="AS26" s="2495"/>
      <c r="AT26" s="2495"/>
      <c r="AU26" s="2495"/>
      <c r="AV26" s="2495"/>
      <c r="AW26" s="2495"/>
      <c r="AX26" s="2495"/>
      <c r="AY26" s="2495"/>
      <c r="AZ26" s="2495"/>
      <c r="BA26" s="2495"/>
      <c r="BB26" s="2495"/>
      <c r="BC26" s="2495"/>
      <c r="BD26" s="2495"/>
      <c r="BE26" s="2495"/>
      <c r="BF26" s="2495"/>
      <c r="BG26" s="2495"/>
      <c r="BH26" s="2495"/>
      <c r="BI26" s="2495"/>
      <c r="BJ26" s="2495"/>
      <c r="BK26" s="2495"/>
      <c r="BL26" s="2495"/>
      <c r="BM26" s="2495"/>
      <c r="BN26" s="2495"/>
      <c r="BO26" s="2495"/>
      <c r="BP26" s="2495"/>
      <c r="BQ26" s="2495"/>
      <c r="BR26" s="2509"/>
      <c r="BS26" s="2491">
        <v>5</v>
      </c>
      <c r="BT26" s="6468">
        <f>IF((BS26/I26)&gt;1,100%)</f>
        <v>1</v>
      </c>
      <c r="BU26" s="16643"/>
      <c r="BV26" s="2505" t="s">
        <v>9398</v>
      </c>
      <c r="BW26" s="2501"/>
      <c r="BX26" s="2501"/>
      <c r="BY26" s="5157"/>
      <c r="BZ26" s="5157"/>
      <c r="CA26" s="5157"/>
      <c r="CB26" s="5157"/>
      <c r="CC26" s="2239"/>
      <c r="CD26" s="2241"/>
      <c r="CE26" s="2241"/>
      <c r="CF26" s="2241"/>
      <c r="CG26" s="2241"/>
      <c r="CH26" s="2241"/>
      <c r="CI26" s="2241"/>
      <c r="CJ26" s="2241"/>
      <c r="CK26" s="2241"/>
      <c r="CL26" s="2241"/>
      <c r="CM26" s="2241"/>
      <c r="CN26" s="2241"/>
      <c r="CO26" s="2241"/>
      <c r="CP26" s="2241"/>
      <c r="CQ26" s="2241"/>
      <c r="CR26" s="2241"/>
      <c r="CS26" s="2241"/>
      <c r="CT26" s="2241"/>
      <c r="CU26" s="2241"/>
      <c r="CV26" s="2241"/>
      <c r="CW26" s="2241"/>
      <c r="CX26" s="2241"/>
      <c r="CY26" s="2241"/>
      <c r="CZ26" s="2241"/>
      <c r="DA26" s="5157"/>
      <c r="DB26" s="5157"/>
      <c r="DC26" s="5157"/>
      <c r="DD26" s="5157"/>
      <c r="DE26" s="5157"/>
      <c r="DF26" s="5157"/>
      <c r="DG26" s="5157"/>
      <c r="DH26" s="5157"/>
      <c r="DI26" s="5157"/>
      <c r="DJ26" s="5157"/>
      <c r="DK26" s="5157"/>
      <c r="DL26" s="5157"/>
      <c r="DM26" s="5157"/>
      <c r="DN26" s="5157"/>
      <c r="DO26" s="5157"/>
      <c r="DP26" s="5157"/>
      <c r="DQ26" s="2494"/>
      <c r="DS26" s="6706"/>
      <c r="DT26" s="2495"/>
      <c r="DU26" s="2495"/>
      <c r="DV26" s="2495"/>
      <c r="DW26" s="2495"/>
      <c r="DX26" s="2495"/>
      <c r="DY26" s="2495"/>
      <c r="DZ26" s="2495"/>
      <c r="EA26" s="2495"/>
      <c r="EB26" s="2495"/>
      <c r="EC26" s="2495"/>
      <c r="ED26" s="2495"/>
      <c r="EE26" s="2495"/>
      <c r="EF26" s="2495"/>
      <c r="EG26" s="2495"/>
      <c r="EH26" s="2495"/>
      <c r="EI26" s="2495"/>
      <c r="EJ26" s="2495"/>
      <c r="EK26" s="2495"/>
      <c r="EL26" s="2495"/>
      <c r="EM26" s="2495"/>
      <c r="EN26" s="2495"/>
      <c r="EO26" s="2495"/>
      <c r="EP26" s="2495"/>
      <c r="EQ26" s="2495"/>
      <c r="ER26" s="2495"/>
      <c r="ES26" s="2495"/>
      <c r="ET26" s="2495"/>
      <c r="EU26" s="2495"/>
      <c r="EV26" s="2495"/>
      <c r="EW26" s="2495"/>
      <c r="EX26" s="2495"/>
      <c r="EY26" s="2495"/>
      <c r="EZ26" s="2495"/>
      <c r="FA26" s="2495"/>
      <c r="FB26" s="2495"/>
      <c r="FC26" s="2495"/>
      <c r="FD26" s="2495"/>
      <c r="FE26" s="2495"/>
      <c r="FF26" s="2495"/>
      <c r="FG26" s="2495"/>
      <c r="FH26" s="2495"/>
      <c r="FI26" s="2495"/>
      <c r="FJ26" s="2495"/>
      <c r="FK26" s="2495"/>
      <c r="FL26" s="2534"/>
    </row>
    <row r="27" spans="1:168" s="2486" customFormat="1" ht="15" customHeight="1">
      <c r="A27" s="16677"/>
      <c r="B27" s="16653"/>
      <c r="C27" s="5171" t="s">
        <v>8151</v>
      </c>
      <c r="D27" s="5160" t="s">
        <v>1855</v>
      </c>
      <c r="E27" s="5154" t="s">
        <v>1856</v>
      </c>
      <c r="F27" s="2510">
        <v>1</v>
      </c>
      <c r="G27" s="2510" t="s">
        <v>1857</v>
      </c>
      <c r="H27" s="2511">
        <v>0.9</v>
      </c>
      <c r="I27" s="2510">
        <v>1</v>
      </c>
      <c r="J27" s="2510">
        <v>1</v>
      </c>
      <c r="K27" s="2510">
        <v>1</v>
      </c>
      <c r="L27" s="2510">
        <v>1</v>
      </c>
      <c r="M27" s="2510">
        <v>1</v>
      </c>
      <c r="N27" s="2510">
        <v>1</v>
      </c>
      <c r="O27" s="2510">
        <v>1</v>
      </c>
      <c r="P27" s="2510">
        <v>1</v>
      </c>
      <c r="Q27" s="2510">
        <v>1</v>
      </c>
      <c r="R27" s="2510">
        <v>1</v>
      </c>
      <c r="S27" s="2510">
        <v>1</v>
      </c>
      <c r="T27" s="5154" t="s">
        <v>1805</v>
      </c>
      <c r="U27" s="5154" t="s">
        <v>10063</v>
      </c>
      <c r="V27" s="5154" t="s">
        <v>1408</v>
      </c>
      <c r="W27" s="2969"/>
      <c r="X27" s="6710" t="s">
        <v>1858</v>
      </c>
      <c r="Y27" s="6635">
        <v>40000000</v>
      </c>
      <c r="Z27" s="6636">
        <f>5756/5885</f>
        <v>0.97807986406117242</v>
      </c>
      <c r="AA27" s="2489" t="s">
        <v>3118</v>
      </c>
      <c r="AB27" s="2490" t="s">
        <v>3119</v>
      </c>
      <c r="AC27" s="2491" t="s">
        <v>545</v>
      </c>
      <c r="AD27" s="2500">
        <f>AE27+AF27+AG27</f>
        <v>35953370.924999997</v>
      </c>
      <c r="AE27" s="2500">
        <v>35953370.924999997</v>
      </c>
      <c r="AF27" s="2500">
        <v>0</v>
      </c>
      <c r="AG27" s="2500">
        <v>0</v>
      </c>
      <c r="AH27" s="2492">
        <v>5756</v>
      </c>
      <c r="AI27" s="2492">
        <v>2724</v>
      </c>
      <c r="AJ27" s="2492">
        <v>3032</v>
      </c>
      <c r="AK27" s="2495"/>
      <c r="AL27" s="2495"/>
      <c r="AM27" s="2495"/>
      <c r="AN27" s="2495"/>
      <c r="AO27" s="2495"/>
      <c r="AP27" s="2495"/>
      <c r="AQ27" s="2495"/>
      <c r="AR27" s="2495"/>
      <c r="AS27" s="2495"/>
      <c r="AT27" s="2495"/>
      <c r="AU27" s="2495"/>
      <c r="AV27" s="2495"/>
      <c r="AW27" s="2495"/>
      <c r="AX27" s="2495"/>
      <c r="AY27" s="2495"/>
      <c r="AZ27" s="2495"/>
      <c r="BA27" s="2495"/>
      <c r="BB27" s="2495"/>
      <c r="BC27" s="2495"/>
      <c r="BD27" s="2495"/>
      <c r="BE27" s="2495"/>
      <c r="BF27" s="2495"/>
      <c r="BG27" s="2495"/>
      <c r="BH27" s="2495"/>
      <c r="BI27" s="2495"/>
      <c r="BJ27" s="2495"/>
      <c r="BK27" s="2495"/>
      <c r="BL27" s="2495"/>
      <c r="BM27" s="2495"/>
      <c r="BN27" s="2495"/>
      <c r="BO27" s="2495"/>
      <c r="BP27" s="2495"/>
      <c r="BQ27" s="2495"/>
      <c r="BR27" s="2509"/>
      <c r="BS27" s="2507">
        <v>0.97809999999999997</v>
      </c>
      <c r="BT27" s="6468">
        <f t="shared" ref="BT27:BT32" si="2">BS27/I27</f>
        <v>0.97809999999999997</v>
      </c>
      <c r="BU27" s="16643"/>
      <c r="BV27" s="2505" t="s">
        <v>9399</v>
      </c>
      <c r="BW27" s="2501"/>
      <c r="BX27" s="2501"/>
      <c r="BY27" s="2497">
        <f>BZ27+CA27+CB27</f>
        <v>34023382.356250003</v>
      </c>
      <c r="BZ27" s="2497">
        <v>23877682.356249999</v>
      </c>
      <c r="CA27" s="2497">
        <v>10145700</v>
      </c>
      <c r="CB27" s="2497">
        <v>0</v>
      </c>
      <c r="CC27" s="2239"/>
      <c r="CD27" s="2241"/>
      <c r="CE27" s="2241"/>
      <c r="CF27" s="2241"/>
      <c r="CG27" s="2241"/>
      <c r="CH27" s="2241"/>
      <c r="CI27" s="2241"/>
      <c r="CJ27" s="2241"/>
      <c r="CK27" s="2241"/>
      <c r="CL27" s="2241"/>
      <c r="CM27" s="2241"/>
      <c r="CN27" s="2241"/>
      <c r="CO27" s="2241"/>
      <c r="CP27" s="2241"/>
      <c r="CQ27" s="2241"/>
      <c r="CR27" s="2241"/>
      <c r="CS27" s="2241"/>
      <c r="CT27" s="2241"/>
      <c r="CU27" s="2241"/>
      <c r="CV27" s="2241"/>
      <c r="CW27" s="2241"/>
      <c r="CX27" s="2241"/>
      <c r="CY27" s="2241"/>
      <c r="CZ27" s="2241"/>
      <c r="DA27" s="5157"/>
      <c r="DB27" s="5157"/>
      <c r="DC27" s="5157"/>
      <c r="DD27" s="5157"/>
      <c r="DE27" s="5157"/>
      <c r="DF27" s="5157"/>
      <c r="DG27" s="5157"/>
      <c r="DH27" s="5157"/>
      <c r="DI27" s="5157"/>
      <c r="DJ27" s="5157"/>
      <c r="DK27" s="5157"/>
      <c r="DL27" s="5157"/>
      <c r="DM27" s="5157"/>
      <c r="DN27" s="5157"/>
      <c r="DO27" s="5157"/>
      <c r="DP27" s="5157"/>
      <c r="DQ27" s="2494"/>
      <c r="DS27" s="6706"/>
      <c r="DT27" s="2495"/>
      <c r="DU27" s="2495"/>
      <c r="DV27" s="2495"/>
      <c r="DW27" s="2495"/>
      <c r="DX27" s="2495"/>
      <c r="DY27" s="2495"/>
      <c r="DZ27" s="2495"/>
      <c r="EA27" s="2495"/>
      <c r="EB27" s="2495"/>
      <c r="EC27" s="2495"/>
      <c r="ED27" s="2495"/>
      <c r="EE27" s="2495"/>
      <c r="EF27" s="2495"/>
      <c r="EG27" s="2495"/>
      <c r="EH27" s="2495"/>
      <c r="EI27" s="2495"/>
      <c r="EJ27" s="2495"/>
      <c r="EK27" s="2495"/>
      <c r="EL27" s="2495"/>
      <c r="EM27" s="2495"/>
      <c r="EN27" s="2495"/>
      <c r="EO27" s="2495"/>
      <c r="EP27" s="2495"/>
      <c r="EQ27" s="2495"/>
      <c r="ER27" s="2495"/>
      <c r="ES27" s="2495"/>
      <c r="ET27" s="2495"/>
      <c r="EU27" s="2495"/>
      <c r="EV27" s="2495"/>
      <c r="EW27" s="2495"/>
      <c r="EX27" s="2495"/>
      <c r="EY27" s="2495"/>
      <c r="EZ27" s="2495"/>
      <c r="FA27" s="2495"/>
      <c r="FB27" s="2495"/>
      <c r="FC27" s="2495"/>
      <c r="FD27" s="2495"/>
      <c r="FE27" s="2495"/>
      <c r="FF27" s="2495"/>
      <c r="FG27" s="2495"/>
      <c r="FH27" s="2495"/>
      <c r="FI27" s="2495"/>
      <c r="FJ27" s="2495"/>
      <c r="FK27" s="2495"/>
      <c r="FL27" s="2534"/>
    </row>
    <row r="28" spans="1:168" s="2486" customFormat="1" ht="15" customHeight="1">
      <c r="A28" s="16677"/>
      <c r="B28" s="16653"/>
      <c r="C28" s="16653" t="s">
        <v>8152</v>
      </c>
      <c r="D28" s="16652" t="s">
        <v>1859</v>
      </c>
      <c r="E28" s="5154" t="s">
        <v>1860</v>
      </c>
      <c r="F28" s="2487">
        <v>0</v>
      </c>
      <c r="G28" s="5154" t="s">
        <v>382</v>
      </c>
      <c r="H28" s="2502">
        <v>0</v>
      </c>
      <c r="I28" s="2487">
        <v>1</v>
      </c>
      <c r="J28" s="2487">
        <v>1</v>
      </c>
      <c r="K28" s="2487">
        <v>1</v>
      </c>
      <c r="L28" s="2487">
        <v>1</v>
      </c>
      <c r="M28" s="2487">
        <v>1</v>
      </c>
      <c r="N28" s="2487">
        <v>1</v>
      </c>
      <c r="O28" s="2487">
        <v>1</v>
      </c>
      <c r="P28" s="2487">
        <v>1</v>
      </c>
      <c r="Q28" s="2487">
        <v>1</v>
      </c>
      <c r="R28" s="2487">
        <v>1</v>
      </c>
      <c r="S28" s="2487">
        <v>1</v>
      </c>
      <c r="T28" s="16636" t="s">
        <v>1805</v>
      </c>
      <c r="U28" s="16636" t="s">
        <v>10063</v>
      </c>
      <c r="V28" s="2498" t="s">
        <v>1408</v>
      </c>
      <c r="W28" s="2969"/>
      <c r="X28" s="6710" t="s">
        <v>295</v>
      </c>
      <c r="Y28" s="16651">
        <v>20000000</v>
      </c>
      <c r="Z28" s="6632">
        <v>0</v>
      </c>
      <c r="AA28" s="16655" t="s">
        <v>3120</v>
      </c>
      <c r="AB28" s="16649" t="s">
        <v>545</v>
      </c>
      <c r="AC28" s="16649" t="s">
        <v>545</v>
      </c>
      <c r="AD28" s="16650">
        <f>AE28+AF28+AG28</f>
        <v>0</v>
      </c>
      <c r="AE28" s="16650">
        <v>0</v>
      </c>
      <c r="AF28" s="16650">
        <v>0</v>
      </c>
      <c r="AG28" s="16650">
        <v>0</v>
      </c>
      <c r="AH28" s="16649" t="s">
        <v>2976</v>
      </c>
      <c r="AI28" s="2495"/>
      <c r="AJ28" s="2495"/>
      <c r="AK28" s="2495"/>
      <c r="AL28" s="2495"/>
      <c r="AM28" s="2495"/>
      <c r="AN28" s="2495"/>
      <c r="AO28" s="2495"/>
      <c r="AP28" s="2495"/>
      <c r="AQ28" s="2495"/>
      <c r="AR28" s="2495"/>
      <c r="AS28" s="2495"/>
      <c r="AT28" s="2495"/>
      <c r="AU28" s="2495"/>
      <c r="AV28" s="2495"/>
      <c r="AW28" s="2495"/>
      <c r="AX28" s="2495"/>
      <c r="AY28" s="2495"/>
      <c r="AZ28" s="2495"/>
      <c r="BA28" s="2495"/>
      <c r="BB28" s="2495"/>
      <c r="BC28" s="2495"/>
      <c r="BD28" s="2495"/>
      <c r="BE28" s="2495"/>
      <c r="BF28" s="2495"/>
      <c r="BG28" s="2495"/>
      <c r="BH28" s="2495"/>
      <c r="BI28" s="2495"/>
      <c r="BJ28" s="2495"/>
      <c r="BK28" s="2495"/>
      <c r="BL28" s="2495"/>
      <c r="BM28" s="2495"/>
      <c r="BN28" s="2495"/>
      <c r="BO28" s="2495"/>
      <c r="BP28" s="2495"/>
      <c r="BQ28" s="2495"/>
      <c r="BR28" s="16639"/>
      <c r="BS28" s="2491">
        <v>1</v>
      </c>
      <c r="BT28" s="6468">
        <f t="shared" si="2"/>
        <v>1</v>
      </c>
      <c r="BU28" s="16643"/>
      <c r="BV28" s="2505" t="s">
        <v>9400</v>
      </c>
      <c r="BW28" s="2501"/>
      <c r="BX28" s="2501"/>
      <c r="BY28" s="2519">
        <f>BZ28+CA28+CB28</f>
        <v>0</v>
      </c>
      <c r="BZ28" s="2519">
        <v>0</v>
      </c>
      <c r="CA28" s="2519">
        <v>0</v>
      </c>
      <c r="CB28" s="2519">
        <v>0</v>
      </c>
      <c r="CC28" s="2247"/>
      <c r="CD28" s="2241"/>
      <c r="CE28" s="2241"/>
      <c r="CF28" s="2241"/>
      <c r="CG28" s="2241"/>
      <c r="CH28" s="2241"/>
      <c r="CI28" s="2241"/>
      <c r="CJ28" s="2241"/>
      <c r="CK28" s="2241"/>
      <c r="CL28" s="2241"/>
      <c r="CM28" s="2241"/>
      <c r="CN28" s="2241"/>
      <c r="CO28" s="2241"/>
      <c r="CP28" s="2241"/>
      <c r="CQ28" s="2241"/>
      <c r="CR28" s="2241"/>
      <c r="CS28" s="2241"/>
      <c r="CT28" s="2241"/>
      <c r="CU28" s="2241"/>
      <c r="CV28" s="2241"/>
      <c r="CW28" s="2241"/>
      <c r="CX28" s="2241"/>
      <c r="CY28" s="2241"/>
      <c r="CZ28" s="2241"/>
      <c r="DA28" s="5157"/>
      <c r="DB28" s="5157"/>
      <c r="DC28" s="5157"/>
      <c r="DD28" s="5157"/>
      <c r="DE28" s="5157"/>
      <c r="DF28" s="5157"/>
      <c r="DG28" s="5157"/>
      <c r="DH28" s="5157"/>
      <c r="DI28" s="5157"/>
      <c r="DJ28" s="5157"/>
      <c r="DK28" s="5157"/>
      <c r="DL28" s="5157"/>
      <c r="DM28" s="5157"/>
      <c r="DN28" s="5157"/>
      <c r="DO28" s="5157"/>
      <c r="DP28" s="5157"/>
      <c r="DQ28" s="2494"/>
      <c r="DS28" s="6706"/>
      <c r="DT28" s="2495"/>
      <c r="DU28" s="2495"/>
      <c r="DV28" s="2495"/>
      <c r="DW28" s="2495"/>
      <c r="DX28" s="2495"/>
      <c r="DY28" s="2495"/>
      <c r="DZ28" s="2495"/>
      <c r="EA28" s="2495"/>
      <c r="EB28" s="2495"/>
      <c r="EC28" s="2495"/>
      <c r="ED28" s="2495"/>
      <c r="EE28" s="2495"/>
      <c r="EF28" s="2495"/>
      <c r="EG28" s="2495"/>
      <c r="EH28" s="2495"/>
      <c r="EI28" s="2495"/>
      <c r="EJ28" s="2495"/>
      <c r="EK28" s="2495"/>
      <c r="EL28" s="2495"/>
      <c r="EM28" s="2495"/>
      <c r="EN28" s="2495"/>
      <c r="EO28" s="2495"/>
      <c r="EP28" s="2495"/>
      <c r="EQ28" s="2495"/>
      <c r="ER28" s="2495"/>
      <c r="ES28" s="2495"/>
      <c r="ET28" s="2495"/>
      <c r="EU28" s="2495"/>
      <c r="EV28" s="2495"/>
      <c r="EW28" s="2495"/>
      <c r="EX28" s="2495"/>
      <c r="EY28" s="2495"/>
      <c r="EZ28" s="2495"/>
      <c r="FA28" s="2495"/>
      <c r="FB28" s="2495"/>
      <c r="FC28" s="2495"/>
      <c r="FD28" s="2495"/>
      <c r="FE28" s="2495"/>
      <c r="FF28" s="2495"/>
      <c r="FG28" s="2495"/>
      <c r="FH28" s="2495"/>
      <c r="FI28" s="2495"/>
      <c r="FJ28" s="2495"/>
      <c r="FK28" s="2495"/>
      <c r="FL28" s="2534"/>
    </row>
    <row r="29" spans="1:168" s="2486" customFormat="1" ht="15" customHeight="1">
      <c r="A29" s="16677"/>
      <c r="B29" s="16653"/>
      <c r="C29" s="16653"/>
      <c r="D29" s="16652"/>
      <c r="E29" s="5154" t="s">
        <v>1861</v>
      </c>
      <c r="F29" s="2487">
        <v>0</v>
      </c>
      <c r="G29" s="5154" t="s">
        <v>382</v>
      </c>
      <c r="H29" s="2488">
        <v>0</v>
      </c>
      <c r="I29" s="2487">
        <v>40</v>
      </c>
      <c r="J29" s="2487">
        <v>40</v>
      </c>
      <c r="K29" s="2487">
        <v>40</v>
      </c>
      <c r="L29" s="2487">
        <v>40</v>
      </c>
      <c r="M29" s="2487">
        <v>40</v>
      </c>
      <c r="N29" s="2487">
        <v>40</v>
      </c>
      <c r="O29" s="2487">
        <v>40</v>
      </c>
      <c r="P29" s="2487">
        <v>40</v>
      </c>
      <c r="Q29" s="2487">
        <v>40</v>
      </c>
      <c r="R29" s="2487">
        <v>40</v>
      </c>
      <c r="S29" s="2487">
        <v>40</v>
      </c>
      <c r="T29" s="16636"/>
      <c r="U29" s="16636"/>
      <c r="V29" s="2498" t="s">
        <v>1408</v>
      </c>
      <c r="W29" s="2969"/>
      <c r="X29" s="6710"/>
      <c r="Y29" s="16651"/>
      <c r="Z29" s="6632">
        <v>0</v>
      </c>
      <c r="AA29" s="16655"/>
      <c r="AB29" s="16649"/>
      <c r="AC29" s="16649"/>
      <c r="AD29" s="16650"/>
      <c r="AE29" s="16650"/>
      <c r="AF29" s="16650"/>
      <c r="AG29" s="16650"/>
      <c r="AH29" s="16649"/>
      <c r="AI29" s="2495"/>
      <c r="AJ29" s="2495"/>
      <c r="AK29" s="2495"/>
      <c r="AL29" s="2495"/>
      <c r="AM29" s="2495"/>
      <c r="AN29" s="2495"/>
      <c r="AO29" s="2495"/>
      <c r="AP29" s="2495"/>
      <c r="AQ29" s="2495"/>
      <c r="AR29" s="2495"/>
      <c r="AS29" s="2495"/>
      <c r="AT29" s="2495"/>
      <c r="AU29" s="2495"/>
      <c r="AV29" s="2495"/>
      <c r="AW29" s="2495"/>
      <c r="AX29" s="2495"/>
      <c r="AY29" s="2495"/>
      <c r="AZ29" s="2495"/>
      <c r="BA29" s="2495"/>
      <c r="BB29" s="2495"/>
      <c r="BC29" s="2495"/>
      <c r="BD29" s="2495"/>
      <c r="BE29" s="2495"/>
      <c r="BF29" s="2495"/>
      <c r="BG29" s="2495"/>
      <c r="BH29" s="2495"/>
      <c r="BI29" s="2495"/>
      <c r="BJ29" s="2495"/>
      <c r="BK29" s="2495"/>
      <c r="BL29" s="2495"/>
      <c r="BM29" s="2495"/>
      <c r="BN29" s="2495"/>
      <c r="BO29" s="2495"/>
      <c r="BP29" s="2495"/>
      <c r="BQ29" s="2495"/>
      <c r="BR29" s="16639"/>
      <c r="BS29" s="2491">
        <v>0</v>
      </c>
      <c r="BT29" s="6468">
        <f t="shared" si="2"/>
        <v>0</v>
      </c>
      <c r="BU29" s="16643"/>
      <c r="BV29" s="2498" t="s">
        <v>9401</v>
      </c>
      <c r="BW29" s="2501"/>
      <c r="BX29" s="2501"/>
      <c r="BY29" s="2519">
        <f>BZ29+CA29+CB29</f>
        <v>0</v>
      </c>
      <c r="BZ29" s="2519">
        <v>0</v>
      </c>
      <c r="CA29" s="2519">
        <v>0</v>
      </c>
      <c r="CB29" s="2519">
        <v>0</v>
      </c>
      <c r="CC29" s="2247">
        <v>0</v>
      </c>
      <c r="CD29" s="2241">
        <v>0</v>
      </c>
      <c r="CE29" s="2241">
        <v>0</v>
      </c>
      <c r="CF29" s="2241">
        <v>0</v>
      </c>
      <c r="CG29" s="2241"/>
      <c r="CH29" s="2241"/>
      <c r="CI29" s="2241"/>
      <c r="CJ29" s="2241"/>
      <c r="CK29" s="2241"/>
      <c r="CL29" s="2241"/>
      <c r="CM29" s="2241"/>
      <c r="CN29" s="2241"/>
      <c r="CO29" s="2241"/>
      <c r="CP29" s="2241"/>
      <c r="CQ29" s="2241"/>
      <c r="CR29" s="2241"/>
      <c r="CS29" s="2241"/>
      <c r="CT29" s="2241"/>
      <c r="CU29" s="2241"/>
      <c r="CV29" s="2241"/>
      <c r="CW29" s="2241"/>
      <c r="CX29" s="2241"/>
      <c r="CY29" s="2241"/>
      <c r="CZ29" s="2241"/>
      <c r="DA29" s="5157"/>
      <c r="DB29" s="5157"/>
      <c r="DC29" s="5157"/>
      <c r="DD29" s="5157"/>
      <c r="DE29" s="5157"/>
      <c r="DF29" s="5157"/>
      <c r="DG29" s="5157"/>
      <c r="DH29" s="5157"/>
      <c r="DI29" s="5157"/>
      <c r="DJ29" s="5157"/>
      <c r="DK29" s="5157"/>
      <c r="DL29" s="5157"/>
      <c r="DM29" s="5157"/>
      <c r="DN29" s="5157"/>
      <c r="DO29" s="5157"/>
      <c r="DP29" s="5157"/>
      <c r="DQ29" s="2494"/>
      <c r="DS29" s="6706"/>
      <c r="DT29" s="2495"/>
      <c r="DU29" s="2495"/>
      <c r="DV29" s="2495"/>
      <c r="DW29" s="2495"/>
      <c r="DX29" s="2495"/>
      <c r="DY29" s="2495"/>
      <c r="DZ29" s="2495"/>
      <c r="EA29" s="2495"/>
      <c r="EB29" s="2495"/>
      <c r="EC29" s="2495"/>
      <c r="ED29" s="2495"/>
      <c r="EE29" s="2495"/>
      <c r="EF29" s="2495"/>
      <c r="EG29" s="2495"/>
      <c r="EH29" s="2495"/>
      <c r="EI29" s="2495"/>
      <c r="EJ29" s="2495"/>
      <c r="EK29" s="2495"/>
      <c r="EL29" s="2495"/>
      <c r="EM29" s="2495"/>
      <c r="EN29" s="2495"/>
      <c r="EO29" s="2495"/>
      <c r="EP29" s="2495"/>
      <c r="EQ29" s="2495"/>
      <c r="ER29" s="2495"/>
      <c r="ES29" s="2495"/>
      <c r="ET29" s="2495"/>
      <c r="EU29" s="2495"/>
      <c r="EV29" s="2495"/>
      <c r="EW29" s="2495"/>
      <c r="EX29" s="2495"/>
      <c r="EY29" s="2495"/>
      <c r="EZ29" s="2495"/>
      <c r="FA29" s="2495"/>
      <c r="FB29" s="2495"/>
      <c r="FC29" s="2495"/>
      <c r="FD29" s="2495"/>
      <c r="FE29" s="2495"/>
      <c r="FF29" s="2495"/>
      <c r="FG29" s="2495"/>
      <c r="FH29" s="2495"/>
      <c r="FI29" s="2495"/>
      <c r="FJ29" s="2495"/>
      <c r="FK29" s="2495"/>
      <c r="FL29" s="2534"/>
    </row>
    <row r="30" spans="1:168" s="2486" customFormat="1" ht="15" customHeight="1">
      <c r="A30" s="16677"/>
      <c r="B30" s="16653"/>
      <c r="C30" s="5171" t="s">
        <v>8153</v>
      </c>
      <c r="D30" s="2513" t="s">
        <v>1862</v>
      </c>
      <c r="E30" s="5160" t="s">
        <v>1863</v>
      </c>
      <c r="F30" s="2520">
        <v>0</v>
      </c>
      <c r="G30" s="5154" t="s">
        <v>386</v>
      </c>
      <c r="H30" s="2514" t="s">
        <v>1832</v>
      </c>
      <c r="I30" s="2520">
        <v>0.2</v>
      </c>
      <c r="J30" s="2520">
        <v>0.4</v>
      </c>
      <c r="K30" s="2520">
        <v>0.6</v>
      </c>
      <c r="L30" s="2520">
        <v>0.8</v>
      </c>
      <c r="M30" s="2520">
        <v>1</v>
      </c>
      <c r="N30" s="2520">
        <v>1</v>
      </c>
      <c r="O30" s="2520">
        <v>1</v>
      </c>
      <c r="P30" s="2520">
        <v>1</v>
      </c>
      <c r="Q30" s="2520">
        <v>1</v>
      </c>
      <c r="R30" s="2520">
        <v>1</v>
      </c>
      <c r="S30" s="2520">
        <v>1</v>
      </c>
      <c r="T30" s="5154" t="s">
        <v>1864</v>
      </c>
      <c r="U30" s="5154" t="s">
        <v>10070</v>
      </c>
      <c r="V30" s="5154" t="s">
        <v>512</v>
      </c>
      <c r="W30" s="2969"/>
      <c r="X30" s="6710"/>
      <c r="Y30" s="6631">
        <v>35000000</v>
      </c>
      <c r="Z30" s="6632" t="s">
        <v>1732</v>
      </c>
      <c r="AA30" s="2515" t="s">
        <v>3963</v>
      </c>
      <c r="AB30" s="2516" t="s">
        <v>3964</v>
      </c>
      <c r="AC30" s="2515" t="s">
        <v>3965</v>
      </c>
      <c r="AD30" s="2491"/>
      <c r="AE30" s="2491"/>
      <c r="AF30" s="2495"/>
      <c r="AG30" s="2495"/>
      <c r="AH30" s="2491"/>
      <c r="AI30" s="2491"/>
      <c r="AJ30" s="2491"/>
      <c r="AK30" s="2491"/>
      <c r="AL30" s="2491"/>
      <c r="AM30" s="2491"/>
      <c r="AN30" s="2491"/>
      <c r="AO30" s="2491"/>
      <c r="AP30" s="2491"/>
      <c r="AQ30" s="2491"/>
      <c r="AR30" s="2491"/>
      <c r="AS30" s="2491"/>
      <c r="AT30" s="2491"/>
      <c r="AU30" s="2491"/>
      <c r="AV30" s="2491"/>
      <c r="AW30" s="2491"/>
      <c r="AX30" s="2491"/>
      <c r="AY30" s="2491"/>
      <c r="AZ30" s="2491"/>
      <c r="BA30" s="2491"/>
      <c r="BB30" s="2491"/>
      <c r="BC30" s="2491"/>
      <c r="BD30" s="2491"/>
      <c r="BE30" s="2491"/>
      <c r="BF30" s="2491"/>
      <c r="BG30" s="2491"/>
      <c r="BH30" s="2515"/>
      <c r="BI30" s="2515" t="s">
        <v>3954</v>
      </c>
      <c r="BJ30" s="2495"/>
      <c r="BK30" s="2515" t="s">
        <v>3955</v>
      </c>
      <c r="BL30" s="2515" t="s">
        <v>3962</v>
      </c>
      <c r="BM30" s="2495"/>
      <c r="BN30" s="2495"/>
      <c r="BO30" s="2495"/>
      <c r="BP30" s="2495"/>
      <c r="BQ30" s="2515" t="s">
        <v>3962</v>
      </c>
      <c r="BR30" s="6639"/>
      <c r="BS30" s="6632">
        <v>0.2</v>
      </c>
      <c r="BT30" s="6468">
        <f t="shared" si="2"/>
        <v>1</v>
      </c>
      <c r="BU30" s="16643"/>
      <c r="BV30" s="2517" t="s">
        <v>9322</v>
      </c>
      <c r="BW30" s="2517" t="s">
        <v>9323</v>
      </c>
      <c r="BX30" s="2515" t="s">
        <v>9324</v>
      </c>
      <c r="BY30" s="2497">
        <v>3000000</v>
      </c>
      <c r="BZ30" s="2497"/>
      <c r="CA30" s="2497"/>
      <c r="CB30" s="2497"/>
      <c r="CC30" s="2239"/>
      <c r="CD30" s="2241"/>
      <c r="CE30" s="2241"/>
      <c r="CF30" s="2241"/>
      <c r="CG30" s="2241"/>
      <c r="CH30" s="2241"/>
      <c r="CI30" s="2241"/>
      <c r="CJ30" s="2241"/>
      <c r="CK30" s="2241"/>
      <c r="CL30" s="2241"/>
      <c r="CM30" s="2241"/>
      <c r="CN30" s="2241"/>
      <c r="CO30" s="2241"/>
      <c r="CP30" s="2241"/>
      <c r="CQ30" s="2241"/>
      <c r="CR30" s="2241"/>
      <c r="CS30" s="2241"/>
      <c r="CT30" s="2241"/>
      <c r="CU30" s="2241"/>
      <c r="CV30" s="2241"/>
      <c r="CW30" s="2241"/>
      <c r="CX30" s="2241"/>
      <c r="CY30" s="2241"/>
      <c r="CZ30" s="2241"/>
      <c r="DA30" s="5157"/>
      <c r="DB30" s="5157"/>
      <c r="DC30" s="5157"/>
      <c r="DD30" s="5157"/>
      <c r="DE30" s="5157"/>
      <c r="DF30" s="5157"/>
      <c r="DG30" s="5157"/>
      <c r="DH30" s="5157"/>
      <c r="DI30" s="5157"/>
      <c r="DJ30" s="5157"/>
      <c r="DK30" s="5157"/>
      <c r="DL30" s="5157"/>
      <c r="DM30" s="5157"/>
      <c r="DN30" s="5157"/>
      <c r="DO30" s="5157"/>
      <c r="DP30" s="5157"/>
      <c r="DQ30" s="2494"/>
      <c r="DS30" s="6706"/>
      <c r="DT30" s="2495"/>
      <c r="DU30" s="2495"/>
      <c r="DV30" s="2495"/>
      <c r="DW30" s="2495"/>
      <c r="DX30" s="2495"/>
      <c r="DY30" s="2495"/>
      <c r="DZ30" s="2495"/>
      <c r="EA30" s="2495"/>
      <c r="EB30" s="2495"/>
      <c r="EC30" s="2495"/>
      <c r="ED30" s="2495"/>
      <c r="EE30" s="2495"/>
      <c r="EF30" s="2495"/>
      <c r="EG30" s="2495"/>
      <c r="EH30" s="2495"/>
      <c r="EI30" s="2495"/>
      <c r="EJ30" s="2495"/>
      <c r="EK30" s="2495"/>
      <c r="EL30" s="2495"/>
      <c r="EM30" s="2495"/>
      <c r="EN30" s="2495"/>
      <c r="EO30" s="2495"/>
      <c r="EP30" s="2495"/>
      <c r="EQ30" s="2495"/>
      <c r="ER30" s="2495"/>
      <c r="ES30" s="2495"/>
      <c r="ET30" s="2495"/>
      <c r="EU30" s="2495"/>
      <c r="EV30" s="2495"/>
      <c r="EW30" s="2495"/>
      <c r="EX30" s="2495"/>
      <c r="EY30" s="2495"/>
      <c r="EZ30" s="2495"/>
      <c r="FA30" s="2495"/>
      <c r="FB30" s="2495"/>
      <c r="FC30" s="2495"/>
      <c r="FD30" s="2495"/>
      <c r="FE30" s="2495"/>
      <c r="FF30" s="2495"/>
      <c r="FG30" s="2495"/>
      <c r="FH30" s="2495"/>
      <c r="FI30" s="2495"/>
      <c r="FJ30" s="2495"/>
      <c r="FK30" s="2495"/>
      <c r="FL30" s="2534"/>
    </row>
    <row r="31" spans="1:168" s="2486" customFormat="1" ht="15" customHeight="1">
      <c r="A31" s="16677"/>
      <c r="B31" s="16653"/>
      <c r="C31" s="5171" t="s">
        <v>8154</v>
      </c>
      <c r="D31" s="2513" t="s">
        <v>1865</v>
      </c>
      <c r="E31" s="5160" t="s">
        <v>1866</v>
      </c>
      <c r="F31" s="2487">
        <v>5</v>
      </c>
      <c r="G31" s="5154" t="s">
        <v>386</v>
      </c>
      <c r="H31" s="2514" t="s">
        <v>1832</v>
      </c>
      <c r="I31" s="2487">
        <v>10</v>
      </c>
      <c r="J31" s="2487">
        <v>15</v>
      </c>
      <c r="K31" s="2487">
        <v>20</v>
      </c>
      <c r="L31" s="2487">
        <v>25</v>
      </c>
      <c r="M31" s="2487">
        <v>30</v>
      </c>
      <c r="N31" s="2487">
        <v>35</v>
      </c>
      <c r="O31" s="2487">
        <v>40</v>
      </c>
      <c r="P31" s="2487">
        <v>45</v>
      </c>
      <c r="Q31" s="2487">
        <v>50</v>
      </c>
      <c r="R31" s="2487">
        <v>55</v>
      </c>
      <c r="S31" s="2487">
        <f>F31+I31+J31+K31+L31+M31+N31+O31+P31+Q31+R31</f>
        <v>330</v>
      </c>
      <c r="T31" s="5154" t="s">
        <v>1867</v>
      </c>
      <c r="U31" s="5154" t="s">
        <v>10070</v>
      </c>
      <c r="V31" s="5154" t="s">
        <v>512</v>
      </c>
      <c r="W31" s="2969"/>
      <c r="X31" s="6710"/>
      <c r="Y31" s="6631">
        <v>10000000</v>
      </c>
      <c r="Z31" s="2507">
        <v>1</v>
      </c>
      <c r="AA31" s="2515" t="s">
        <v>3966</v>
      </c>
      <c r="AB31" s="2515" t="s">
        <v>3967</v>
      </c>
      <c r="AC31" s="2515" t="s">
        <v>3968</v>
      </c>
      <c r="AD31" s="2521">
        <v>100000000</v>
      </c>
      <c r="AE31" s="2521">
        <v>100000000</v>
      </c>
      <c r="AF31" s="2495"/>
      <c r="AG31" s="2495"/>
      <c r="AH31" s="2489">
        <f>214+1736</f>
        <v>1950</v>
      </c>
      <c r="AI31" s="2491">
        <v>105</v>
      </c>
      <c r="AJ31" s="2491">
        <v>109</v>
      </c>
      <c r="AK31" s="2495"/>
      <c r="AL31" s="2495"/>
      <c r="AM31" s="2491">
        <v>199</v>
      </c>
      <c r="AN31" s="2491">
        <f>780+214</f>
        <v>994</v>
      </c>
      <c r="AO31" s="2491">
        <f>585+172</f>
        <v>757</v>
      </c>
      <c r="AP31" s="2495"/>
      <c r="AQ31" s="2495"/>
      <c r="AR31" s="2495"/>
      <c r="AS31" s="2495"/>
      <c r="AT31" s="2495"/>
      <c r="AU31" s="2495"/>
      <c r="AV31" s="2495"/>
      <c r="AW31" s="2495"/>
      <c r="AX31" s="2495"/>
      <c r="AY31" s="2495"/>
      <c r="AZ31" s="2495"/>
      <c r="BA31" s="2495"/>
      <c r="BB31" s="2495"/>
      <c r="BC31" s="2495"/>
      <c r="BD31" s="2495"/>
      <c r="BE31" s="2495"/>
      <c r="BF31" s="2495"/>
      <c r="BG31" s="2495"/>
      <c r="BH31" s="2489" t="s">
        <v>3984</v>
      </c>
      <c r="BI31" s="2489" t="s">
        <v>3985</v>
      </c>
      <c r="BJ31" s="2495">
        <v>1950</v>
      </c>
      <c r="BK31" s="2489" t="s">
        <v>3986</v>
      </c>
      <c r="BL31" s="2489" t="s">
        <v>3987</v>
      </c>
      <c r="BM31" s="2495">
        <f>1736+214</f>
        <v>1950</v>
      </c>
      <c r="BN31" s="2495" t="s">
        <v>2943</v>
      </c>
      <c r="BO31" s="2495"/>
      <c r="BP31" s="2495"/>
      <c r="BQ31" s="2489" t="s">
        <v>3988</v>
      </c>
      <c r="BR31" s="6640"/>
      <c r="BS31" s="2491">
        <v>1</v>
      </c>
      <c r="BT31" s="6468">
        <f t="shared" si="2"/>
        <v>0.1</v>
      </c>
      <c r="BU31" s="16643"/>
      <c r="BV31" s="2517" t="s">
        <v>9325</v>
      </c>
      <c r="BW31" s="2517" t="s">
        <v>9326</v>
      </c>
      <c r="BX31" s="2515" t="s">
        <v>9327</v>
      </c>
      <c r="BY31" s="2497">
        <v>32438600</v>
      </c>
      <c r="BZ31" s="2497"/>
      <c r="CA31" s="2497"/>
      <c r="CB31" s="2497"/>
      <c r="CC31" s="2239">
        <v>1098</v>
      </c>
      <c r="CD31" s="2241">
        <v>626</v>
      </c>
      <c r="CE31" s="2241">
        <v>472</v>
      </c>
      <c r="CF31" s="2241">
        <v>0</v>
      </c>
      <c r="CG31" s="2239"/>
      <c r="CH31" s="2241"/>
      <c r="CI31" s="2241">
        <v>1098</v>
      </c>
      <c r="CJ31" s="2241"/>
      <c r="CK31" s="2241"/>
      <c r="CL31" s="2240">
        <v>1</v>
      </c>
      <c r="CM31" s="2240">
        <v>1045</v>
      </c>
      <c r="CN31" s="2240">
        <v>52</v>
      </c>
      <c r="CO31" s="2241"/>
      <c r="CP31" s="2241"/>
      <c r="CQ31" s="2241"/>
      <c r="CR31" s="2241"/>
      <c r="CS31" s="2241"/>
      <c r="CT31" s="2241"/>
      <c r="CU31" s="2241"/>
      <c r="CV31" s="2241"/>
      <c r="CW31" s="2241"/>
      <c r="CX31" s="2241"/>
      <c r="CY31" s="2241"/>
      <c r="CZ31" s="2241">
        <v>1098</v>
      </c>
      <c r="DA31" s="5157"/>
      <c r="DB31" s="5157"/>
      <c r="DC31" s="5157"/>
      <c r="DD31" s="5157"/>
      <c r="DE31" s="5157"/>
      <c r="DF31" s="5157"/>
      <c r="DG31" s="5157"/>
      <c r="DH31" s="5157"/>
      <c r="DI31" s="5157"/>
      <c r="DJ31" s="5157"/>
      <c r="DK31" s="5157"/>
      <c r="DL31" s="5157"/>
      <c r="DM31" s="5157"/>
      <c r="DN31" s="5157"/>
      <c r="DO31" s="5157"/>
      <c r="DP31" s="5157"/>
      <c r="DQ31" s="2494"/>
      <c r="DS31" s="6706"/>
      <c r="DT31" s="2495"/>
      <c r="DU31" s="2495"/>
      <c r="DV31" s="2495"/>
      <c r="DW31" s="2495"/>
      <c r="DX31" s="2495"/>
      <c r="DY31" s="2495"/>
      <c r="DZ31" s="2495"/>
      <c r="EA31" s="2495"/>
      <c r="EB31" s="2495"/>
      <c r="EC31" s="2495"/>
      <c r="ED31" s="2495"/>
      <c r="EE31" s="2495"/>
      <c r="EF31" s="2495"/>
      <c r="EG31" s="2495"/>
      <c r="EH31" s="2495"/>
      <c r="EI31" s="2495"/>
      <c r="EJ31" s="2495"/>
      <c r="EK31" s="2495"/>
      <c r="EL31" s="2495"/>
      <c r="EM31" s="2495"/>
      <c r="EN31" s="2495"/>
      <c r="EO31" s="2495"/>
      <c r="EP31" s="2495"/>
      <c r="EQ31" s="2495"/>
      <c r="ER31" s="2495"/>
      <c r="ES31" s="2495"/>
      <c r="ET31" s="2495"/>
      <c r="EU31" s="2495"/>
      <c r="EV31" s="2495"/>
      <c r="EW31" s="2495"/>
      <c r="EX31" s="2495"/>
      <c r="EY31" s="2495"/>
      <c r="EZ31" s="2495"/>
      <c r="FA31" s="2495"/>
      <c r="FB31" s="2495"/>
      <c r="FC31" s="2495"/>
      <c r="FD31" s="2495"/>
      <c r="FE31" s="2495"/>
      <c r="FF31" s="2495"/>
      <c r="FG31" s="2495"/>
      <c r="FH31" s="2495"/>
      <c r="FI31" s="2495"/>
      <c r="FJ31" s="2495"/>
      <c r="FK31" s="2495"/>
      <c r="FL31" s="2534"/>
    </row>
    <row r="32" spans="1:168" s="2486" customFormat="1" ht="15" customHeight="1">
      <c r="A32" s="16677"/>
      <c r="B32" s="16653"/>
      <c r="C32" s="5171" t="s">
        <v>8155</v>
      </c>
      <c r="D32" s="2513" t="s">
        <v>1868</v>
      </c>
      <c r="E32" s="5160" t="s">
        <v>1869</v>
      </c>
      <c r="F32" s="2487">
        <v>100</v>
      </c>
      <c r="G32" s="5154" t="s">
        <v>382</v>
      </c>
      <c r="H32" s="2514" t="s">
        <v>1832</v>
      </c>
      <c r="I32" s="2487">
        <v>100</v>
      </c>
      <c r="J32" s="2487">
        <v>100</v>
      </c>
      <c r="K32" s="2487">
        <v>100</v>
      </c>
      <c r="L32" s="2487">
        <v>100</v>
      </c>
      <c r="M32" s="2487">
        <v>100</v>
      </c>
      <c r="N32" s="2487">
        <v>100</v>
      </c>
      <c r="O32" s="2487">
        <v>100</v>
      </c>
      <c r="P32" s="2487">
        <v>100</v>
      </c>
      <c r="Q32" s="2487">
        <v>100</v>
      </c>
      <c r="R32" s="2487">
        <v>100</v>
      </c>
      <c r="S32" s="2487">
        <v>100</v>
      </c>
      <c r="T32" s="5154" t="s">
        <v>1870</v>
      </c>
      <c r="U32" s="5154" t="s">
        <v>10070</v>
      </c>
      <c r="V32" s="5154" t="s">
        <v>512</v>
      </c>
      <c r="W32" s="2969"/>
      <c r="X32" s="6710"/>
      <c r="Y32" s="6631">
        <v>27500000</v>
      </c>
      <c r="Z32" s="2507">
        <v>1</v>
      </c>
      <c r="AA32" s="2522" t="s">
        <v>3969</v>
      </c>
      <c r="AB32" s="2515" t="s">
        <v>3970</v>
      </c>
      <c r="AC32" s="2515" t="s">
        <v>3971</v>
      </c>
      <c r="AD32" s="2523">
        <v>90540000</v>
      </c>
      <c r="AE32" s="2491" t="s">
        <v>2943</v>
      </c>
      <c r="AF32" s="2491"/>
      <c r="AG32" s="2491"/>
      <c r="AH32" s="2515" t="s">
        <v>3972</v>
      </c>
      <c r="AI32" s="2491"/>
      <c r="AJ32" s="2491"/>
      <c r="AK32" s="2491">
        <v>12222</v>
      </c>
      <c r="AL32" s="2491">
        <v>7699</v>
      </c>
      <c r="AM32" s="2491"/>
      <c r="AN32" s="2491"/>
      <c r="AO32" s="2491"/>
      <c r="AP32" s="2491"/>
      <c r="AQ32" s="2491"/>
      <c r="AR32" s="2491"/>
      <c r="AS32" s="2491"/>
      <c r="AT32" s="2491"/>
      <c r="AU32" s="2491"/>
      <c r="AV32" s="2491"/>
      <c r="AW32" s="2491"/>
      <c r="AX32" s="2491"/>
      <c r="AY32" s="2491"/>
      <c r="AZ32" s="2491"/>
      <c r="BA32" s="2491"/>
      <c r="BB32" s="2491" t="s">
        <v>2943</v>
      </c>
      <c r="BC32" s="2491"/>
      <c r="BD32" s="2491"/>
      <c r="BE32" s="2491"/>
      <c r="BF32" s="2491"/>
      <c r="BG32" s="2491"/>
      <c r="BH32" s="2515" t="s">
        <v>3973</v>
      </c>
      <c r="BI32" s="2515" t="s">
        <v>3954</v>
      </c>
      <c r="BJ32" s="2515" t="s">
        <v>3974</v>
      </c>
      <c r="BK32" s="2515" t="s">
        <v>3955</v>
      </c>
      <c r="BL32" s="2515" t="s">
        <v>3975</v>
      </c>
      <c r="BM32" s="2515" t="s">
        <v>3974</v>
      </c>
      <c r="BN32" s="2515"/>
      <c r="BO32" s="2491" t="s">
        <v>2943</v>
      </c>
      <c r="BP32" s="2515"/>
      <c r="BQ32" s="2515" t="s">
        <v>3975</v>
      </c>
      <c r="BR32" s="6639"/>
      <c r="BS32" s="2491">
        <v>74</v>
      </c>
      <c r="BT32" s="6468">
        <f t="shared" si="2"/>
        <v>0.74</v>
      </c>
      <c r="BU32" s="16643"/>
      <c r="BV32" s="2517" t="s">
        <v>9328</v>
      </c>
      <c r="BW32" s="2517" t="s">
        <v>9326</v>
      </c>
      <c r="BX32" s="2515" t="s">
        <v>9329</v>
      </c>
      <c r="BY32" s="2497">
        <v>97315800</v>
      </c>
      <c r="BZ32" s="2497"/>
      <c r="CA32" s="2497"/>
      <c r="CB32" s="2497"/>
      <c r="CC32" s="2239">
        <v>25420</v>
      </c>
      <c r="CD32" s="2241">
        <v>12233</v>
      </c>
      <c r="CE32" s="2241">
        <v>13187</v>
      </c>
      <c r="CF32" s="2241">
        <v>0</v>
      </c>
      <c r="CG32" s="2239"/>
      <c r="CH32" s="2239"/>
      <c r="CI32" s="2239">
        <v>25420</v>
      </c>
      <c r="CJ32" s="2241"/>
      <c r="CK32" s="2241"/>
      <c r="CL32" s="2241">
        <v>968</v>
      </c>
      <c r="CM32" s="2241">
        <v>2968</v>
      </c>
      <c r="CN32" s="2241">
        <v>5444</v>
      </c>
      <c r="CO32" s="2241">
        <v>9373</v>
      </c>
      <c r="CP32" s="2241">
        <v>4667</v>
      </c>
      <c r="CQ32" s="2241">
        <v>2000</v>
      </c>
      <c r="CR32" s="2241"/>
      <c r="CS32" s="2241"/>
      <c r="CT32" s="2241"/>
      <c r="CU32" s="2241"/>
      <c r="CV32" s="2241"/>
      <c r="CW32" s="2241"/>
      <c r="CX32" s="2241"/>
      <c r="CY32" s="2241"/>
      <c r="CZ32" s="2241">
        <v>25420</v>
      </c>
      <c r="DA32" s="5157">
        <v>25086</v>
      </c>
      <c r="DB32" s="5157">
        <v>326</v>
      </c>
      <c r="DC32" s="5157">
        <v>8</v>
      </c>
      <c r="DD32" s="5157"/>
      <c r="DE32" s="5157"/>
      <c r="DF32" s="5157"/>
      <c r="DG32" s="5157"/>
      <c r="DH32" s="5157"/>
      <c r="DI32" s="5157"/>
      <c r="DJ32" s="5157"/>
      <c r="DK32" s="5157"/>
      <c r="DL32" s="5157"/>
      <c r="DM32" s="5157"/>
      <c r="DN32" s="5157"/>
      <c r="DO32" s="5157"/>
      <c r="DP32" s="5157"/>
      <c r="DQ32" s="2494"/>
      <c r="DS32" s="6706"/>
      <c r="DT32" s="2495"/>
      <c r="DU32" s="2495"/>
      <c r="DV32" s="2495"/>
      <c r="DW32" s="2495"/>
      <c r="DX32" s="2495"/>
      <c r="DY32" s="2495"/>
      <c r="DZ32" s="2495"/>
      <c r="EA32" s="2495"/>
      <c r="EB32" s="2495"/>
      <c r="EC32" s="2495"/>
      <c r="ED32" s="2495"/>
      <c r="EE32" s="2495"/>
      <c r="EF32" s="2495"/>
      <c r="EG32" s="2495"/>
      <c r="EH32" s="2495"/>
      <c r="EI32" s="2495"/>
      <c r="EJ32" s="2495"/>
      <c r="EK32" s="2495"/>
      <c r="EL32" s="2495"/>
      <c r="EM32" s="2495"/>
      <c r="EN32" s="2495"/>
      <c r="EO32" s="2495"/>
      <c r="EP32" s="2495"/>
      <c r="EQ32" s="2495"/>
      <c r="ER32" s="2495"/>
      <c r="ES32" s="2495"/>
      <c r="ET32" s="2495"/>
      <c r="EU32" s="2495"/>
      <c r="EV32" s="2495"/>
      <c r="EW32" s="2495"/>
      <c r="EX32" s="2495"/>
      <c r="EY32" s="2495"/>
      <c r="EZ32" s="2495"/>
      <c r="FA32" s="2495"/>
      <c r="FB32" s="2495"/>
      <c r="FC32" s="2495"/>
      <c r="FD32" s="2495"/>
      <c r="FE32" s="2495"/>
      <c r="FF32" s="2495"/>
      <c r="FG32" s="2495"/>
      <c r="FH32" s="2495"/>
      <c r="FI32" s="2495"/>
      <c r="FJ32" s="2495"/>
      <c r="FK32" s="2495"/>
      <c r="FL32" s="2534"/>
    </row>
    <row r="33" spans="1:168" s="2486" customFormat="1" ht="15" customHeight="1">
      <c r="A33" s="16677"/>
      <c r="B33" s="16653"/>
      <c r="C33" s="5171" t="s">
        <v>8156</v>
      </c>
      <c r="D33" s="2524" t="s">
        <v>1871</v>
      </c>
      <c r="E33" s="5160" t="s">
        <v>1872</v>
      </c>
      <c r="F33" s="5154">
        <v>10</v>
      </c>
      <c r="G33" s="5154" t="s">
        <v>382</v>
      </c>
      <c r="H33" s="2520" t="s">
        <v>1832</v>
      </c>
      <c r="I33" s="5154">
        <v>10</v>
      </c>
      <c r="J33" s="5154">
        <v>10</v>
      </c>
      <c r="K33" s="5154">
        <v>10</v>
      </c>
      <c r="L33" s="5154">
        <v>10</v>
      </c>
      <c r="M33" s="5154">
        <v>10</v>
      </c>
      <c r="N33" s="5154">
        <v>10</v>
      </c>
      <c r="O33" s="5154">
        <v>10</v>
      </c>
      <c r="P33" s="5154">
        <v>10</v>
      </c>
      <c r="Q33" s="5154">
        <v>10</v>
      </c>
      <c r="R33" s="5154">
        <v>10</v>
      </c>
      <c r="S33" s="2487">
        <v>10</v>
      </c>
      <c r="T33" s="5154" t="s">
        <v>1873</v>
      </c>
      <c r="U33" s="5154" t="s">
        <v>10066</v>
      </c>
      <c r="V33" s="5154" t="s">
        <v>1488</v>
      </c>
      <c r="W33" s="2969"/>
      <c r="X33" s="6710" t="s">
        <v>1874</v>
      </c>
      <c r="Y33" s="6631">
        <v>20000000</v>
      </c>
      <c r="Z33" s="2507">
        <v>0.8</v>
      </c>
      <c r="AA33" s="2489" t="s">
        <v>4085</v>
      </c>
      <c r="AB33" s="2489" t="s">
        <v>4086</v>
      </c>
      <c r="AC33" s="2495"/>
      <c r="AD33" s="2509">
        <v>1735250</v>
      </c>
      <c r="AE33" s="2509">
        <v>1735250</v>
      </c>
      <c r="AF33" s="2495"/>
      <c r="AG33" s="2495"/>
      <c r="AH33" s="2495"/>
      <c r="AI33" s="2495"/>
      <c r="AJ33" s="2495"/>
      <c r="AK33" s="2495" t="s">
        <v>2891</v>
      </c>
      <c r="AL33" s="2495"/>
      <c r="AM33" s="2495"/>
      <c r="AN33" s="2495"/>
      <c r="AO33" s="2495"/>
      <c r="AP33" s="2495"/>
      <c r="AQ33" s="2495"/>
      <c r="AR33" s="2495"/>
      <c r="AS33" s="2495"/>
      <c r="AT33" s="2495"/>
      <c r="AU33" s="2495"/>
      <c r="AV33" s="2495"/>
      <c r="AW33" s="2495"/>
      <c r="AX33" s="2495"/>
      <c r="AY33" s="2495"/>
      <c r="AZ33" s="2495"/>
      <c r="BA33" s="2495"/>
      <c r="BB33" s="2495"/>
      <c r="BC33" s="2495"/>
      <c r="BD33" s="2495"/>
      <c r="BE33" s="2495"/>
      <c r="BF33" s="2495"/>
      <c r="BG33" s="2495"/>
      <c r="BH33" s="2495"/>
      <c r="BI33" s="2495"/>
      <c r="BJ33" s="2495"/>
      <c r="BK33" s="2495"/>
      <c r="BL33" s="2495"/>
      <c r="BM33" s="2495"/>
      <c r="BN33" s="2495"/>
      <c r="BO33" s="2495"/>
      <c r="BP33" s="2495"/>
      <c r="BQ33" s="2495"/>
      <c r="BR33" s="2509"/>
      <c r="BS33" s="2525" t="s">
        <v>9653</v>
      </c>
      <c r="BT33" s="6468">
        <v>0</v>
      </c>
      <c r="BU33" s="16643"/>
      <c r="BV33" s="2525" t="s">
        <v>9653</v>
      </c>
      <c r="BW33" s="2526"/>
      <c r="BX33" s="2526"/>
      <c r="BY33" s="2519"/>
      <c r="BZ33" s="2519"/>
      <c r="CA33" s="2519"/>
      <c r="CB33" s="2519"/>
      <c r="CC33" s="2527"/>
      <c r="CD33" s="2528"/>
      <c r="CE33" s="2528"/>
      <c r="CF33" s="2241"/>
      <c r="CG33" s="2528"/>
      <c r="CH33" s="2528"/>
      <c r="CI33" s="2528"/>
      <c r="CJ33" s="2528"/>
      <c r="CK33" s="2528"/>
      <c r="CL33" s="2528"/>
      <c r="CM33" s="2528"/>
      <c r="CN33" s="2528"/>
      <c r="CO33" s="2528"/>
      <c r="CP33" s="2528"/>
      <c r="CQ33" s="2528"/>
      <c r="CR33" s="2528"/>
      <c r="CS33" s="2528"/>
      <c r="CT33" s="2528"/>
      <c r="CU33" s="2528"/>
      <c r="CV33" s="2528"/>
      <c r="CW33" s="2528"/>
      <c r="CX33" s="2528"/>
      <c r="CY33" s="2528"/>
      <c r="CZ33" s="2528"/>
      <c r="DA33" s="2519"/>
      <c r="DB33" s="2519"/>
      <c r="DC33" s="2519"/>
      <c r="DD33" s="2519"/>
      <c r="DE33" s="2519"/>
      <c r="DF33" s="2519"/>
      <c r="DG33" s="2519"/>
      <c r="DH33" s="2519"/>
      <c r="DI33" s="2519"/>
      <c r="DJ33" s="2519"/>
      <c r="DK33" s="2519"/>
      <c r="DL33" s="2519"/>
      <c r="DM33" s="2519"/>
      <c r="DN33" s="2519"/>
      <c r="DO33" s="2519"/>
      <c r="DP33" s="2519"/>
      <c r="DQ33" s="2114"/>
      <c r="DS33" s="6706"/>
      <c r="DT33" s="2495"/>
      <c r="DU33" s="2495"/>
      <c r="DV33" s="2495"/>
      <c r="DW33" s="2495"/>
      <c r="DX33" s="2495"/>
      <c r="DY33" s="2495"/>
      <c r="DZ33" s="2495"/>
      <c r="EA33" s="2495"/>
      <c r="EB33" s="2495"/>
      <c r="EC33" s="2495"/>
      <c r="ED33" s="2495"/>
      <c r="EE33" s="2495"/>
      <c r="EF33" s="2495"/>
      <c r="EG33" s="2495"/>
      <c r="EH33" s="2495"/>
      <c r="EI33" s="2495"/>
      <c r="EJ33" s="2495"/>
      <c r="EK33" s="2495"/>
      <c r="EL33" s="2495"/>
      <c r="EM33" s="2495"/>
      <c r="EN33" s="2495"/>
      <c r="EO33" s="2495"/>
      <c r="EP33" s="2495"/>
      <c r="EQ33" s="2495"/>
      <c r="ER33" s="2495"/>
      <c r="ES33" s="2495"/>
      <c r="ET33" s="2495"/>
      <c r="EU33" s="2495"/>
      <c r="EV33" s="2495"/>
      <c r="EW33" s="2495"/>
      <c r="EX33" s="2495"/>
      <c r="EY33" s="2495"/>
      <c r="EZ33" s="2495"/>
      <c r="FA33" s="2495"/>
      <c r="FB33" s="2495"/>
      <c r="FC33" s="2495"/>
      <c r="FD33" s="2495"/>
      <c r="FE33" s="2495"/>
      <c r="FF33" s="2495"/>
      <c r="FG33" s="2495"/>
      <c r="FH33" s="2495"/>
      <c r="FI33" s="2495"/>
      <c r="FJ33" s="2495"/>
      <c r="FK33" s="2495"/>
      <c r="FL33" s="2534"/>
    </row>
    <row r="34" spans="1:168" s="2486" customFormat="1" ht="15" customHeight="1">
      <c r="A34" s="16677"/>
      <c r="B34" s="16653"/>
      <c r="C34" s="5171" t="s">
        <v>8157</v>
      </c>
      <c r="D34" s="2524" t="s">
        <v>1875</v>
      </c>
      <c r="E34" s="5160" t="s">
        <v>1876</v>
      </c>
      <c r="F34" s="5154">
        <v>31</v>
      </c>
      <c r="G34" s="5154" t="s">
        <v>1857</v>
      </c>
      <c r="H34" s="2520">
        <v>0</v>
      </c>
      <c r="I34" s="5154">
        <v>31</v>
      </c>
      <c r="J34" s="5154">
        <v>31</v>
      </c>
      <c r="K34" s="5154">
        <v>31</v>
      </c>
      <c r="L34" s="5154">
        <v>31</v>
      </c>
      <c r="M34" s="5154">
        <v>31</v>
      </c>
      <c r="N34" s="5154">
        <v>31</v>
      </c>
      <c r="O34" s="5154">
        <v>31</v>
      </c>
      <c r="P34" s="5154">
        <v>31</v>
      </c>
      <c r="Q34" s="5154">
        <v>31</v>
      </c>
      <c r="R34" s="5154">
        <v>31</v>
      </c>
      <c r="S34" s="2487">
        <v>31</v>
      </c>
      <c r="T34" s="5154" t="s">
        <v>1805</v>
      </c>
      <c r="U34" s="5154" t="s">
        <v>10063</v>
      </c>
      <c r="V34" s="5154" t="s">
        <v>1408</v>
      </c>
      <c r="W34" s="2969"/>
      <c r="X34" s="6710"/>
      <c r="Y34" s="6631">
        <v>10000000</v>
      </c>
      <c r="Z34" s="6641">
        <v>0</v>
      </c>
      <c r="AA34" s="2489" t="s">
        <v>3121</v>
      </c>
      <c r="AB34" s="2491" t="s">
        <v>545</v>
      </c>
      <c r="AC34" s="2490" t="s">
        <v>3122</v>
      </c>
      <c r="AD34" s="2529">
        <f>AE34+AF34+AG34</f>
        <v>0</v>
      </c>
      <c r="AE34" s="2500"/>
      <c r="AF34" s="2500"/>
      <c r="AG34" s="2500">
        <v>0</v>
      </c>
      <c r="AH34" s="2491" t="s">
        <v>2976</v>
      </c>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5"/>
      <c r="BE34" s="2495"/>
      <c r="BF34" s="2495"/>
      <c r="BG34" s="2495"/>
      <c r="BH34" s="2495"/>
      <c r="BI34" s="2495"/>
      <c r="BJ34" s="2495"/>
      <c r="BK34" s="2495"/>
      <c r="BL34" s="2495"/>
      <c r="BM34" s="2495"/>
      <c r="BN34" s="2495"/>
      <c r="BO34" s="2495"/>
      <c r="BP34" s="2495"/>
      <c r="BQ34" s="2495"/>
      <c r="BR34" s="2509"/>
      <c r="BS34" s="2491">
        <v>0</v>
      </c>
      <c r="BT34" s="6468">
        <v>0</v>
      </c>
      <c r="BU34" s="16643"/>
      <c r="BV34" s="2498" t="s">
        <v>9402</v>
      </c>
      <c r="BW34" s="2501"/>
      <c r="BX34" s="2501"/>
      <c r="BY34" s="2519">
        <f>BZ34+CA34+CB34</f>
        <v>0</v>
      </c>
      <c r="BZ34" s="2519">
        <v>0</v>
      </c>
      <c r="CA34" s="2519">
        <v>0</v>
      </c>
      <c r="CB34" s="2519">
        <v>0</v>
      </c>
      <c r="CC34" s="2239">
        <v>0</v>
      </c>
      <c r="CD34" s="2241">
        <v>0</v>
      </c>
      <c r="CE34" s="2241">
        <v>0</v>
      </c>
      <c r="CF34" s="2241">
        <v>0</v>
      </c>
      <c r="CG34" s="2241"/>
      <c r="CH34" s="2241"/>
      <c r="CI34" s="2241"/>
      <c r="CJ34" s="2241"/>
      <c r="CK34" s="2241"/>
      <c r="CL34" s="2241"/>
      <c r="CM34" s="2241"/>
      <c r="CN34" s="2241"/>
      <c r="CO34" s="2241"/>
      <c r="CP34" s="2241"/>
      <c r="CQ34" s="2241"/>
      <c r="CR34" s="2241"/>
      <c r="CS34" s="2241"/>
      <c r="CT34" s="2241"/>
      <c r="CU34" s="2241"/>
      <c r="CV34" s="2241"/>
      <c r="CW34" s="2241"/>
      <c r="CX34" s="2241"/>
      <c r="CY34" s="2241"/>
      <c r="CZ34" s="2241"/>
      <c r="DA34" s="5157"/>
      <c r="DB34" s="5157"/>
      <c r="DC34" s="5157"/>
      <c r="DD34" s="5157"/>
      <c r="DE34" s="5157"/>
      <c r="DF34" s="5157"/>
      <c r="DG34" s="5157"/>
      <c r="DH34" s="5157"/>
      <c r="DI34" s="5157"/>
      <c r="DJ34" s="5157"/>
      <c r="DK34" s="5157"/>
      <c r="DL34" s="5157"/>
      <c r="DM34" s="5157"/>
      <c r="DN34" s="5157"/>
      <c r="DO34" s="5157"/>
      <c r="DP34" s="5157"/>
      <c r="DQ34" s="2494"/>
      <c r="DS34" s="6706"/>
      <c r="DT34" s="2495"/>
      <c r="DU34" s="2495"/>
      <c r="DV34" s="2495"/>
      <c r="DW34" s="2495"/>
      <c r="DX34" s="2495"/>
      <c r="DY34" s="2495"/>
      <c r="DZ34" s="2495"/>
      <c r="EA34" s="2495"/>
      <c r="EB34" s="2495"/>
      <c r="EC34" s="2495"/>
      <c r="ED34" s="2495"/>
      <c r="EE34" s="2495"/>
      <c r="EF34" s="2495"/>
      <c r="EG34" s="2495"/>
      <c r="EH34" s="2495"/>
      <c r="EI34" s="2495"/>
      <c r="EJ34" s="2495"/>
      <c r="EK34" s="2495"/>
      <c r="EL34" s="2495"/>
      <c r="EM34" s="2495"/>
      <c r="EN34" s="2495"/>
      <c r="EO34" s="2495"/>
      <c r="EP34" s="2495"/>
      <c r="EQ34" s="2495"/>
      <c r="ER34" s="2495"/>
      <c r="ES34" s="2495"/>
      <c r="ET34" s="2495"/>
      <c r="EU34" s="2495"/>
      <c r="EV34" s="2495"/>
      <c r="EW34" s="2495"/>
      <c r="EX34" s="2495"/>
      <c r="EY34" s="2495"/>
      <c r="EZ34" s="2495"/>
      <c r="FA34" s="2495"/>
      <c r="FB34" s="2495"/>
      <c r="FC34" s="2495"/>
      <c r="FD34" s="2495"/>
      <c r="FE34" s="2495"/>
      <c r="FF34" s="2495"/>
      <c r="FG34" s="2495"/>
      <c r="FH34" s="2495"/>
      <c r="FI34" s="2495"/>
      <c r="FJ34" s="2495"/>
      <c r="FK34" s="2495"/>
      <c r="FL34" s="2534"/>
    </row>
    <row r="35" spans="1:168" s="2486" customFormat="1" ht="15" customHeight="1">
      <c r="A35" s="16677"/>
      <c r="B35" s="16653"/>
      <c r="C35" s="5171" t="s">
        <v>8158</v>
      </c>
      <c r="D35" s="5160" t="s">
        <v>1877</v>
      </c>
      <c r="E35" s="5154" t="s">
        <v>1878</v>
      </c>
      <c r="F35" s="5154">
        <v>1</v>
      </c>
      <c r="G35" s="5154" t="s">
        <v>382</v>
      </c>
      <c r="H35" s="5154">
        <v>0</v>
      </c>
      <c r="I35" s="5154">
        <v>1</v>
      </c>
      <c r="J35" s="5154">
        <v>1</v>
      </c>
      <c r="K35" s="5154">
        <v>1</v>
      </c>
      <c r="L35" s="5154">
        <v>1</v>
      </c>
      <c r="M35" s="5154">
        <v>1</v>
      </c>
      <c r="N35" s="5154">
        <v>1</v>
      </c>
      <c r="O35" s="5154">
        <v>1</v>
      </c>
      <c r="P35" s="5154">
        <v>1</v>
      </c>
      <c r="Q35" s="5154">
        <v>1</v>
      </c>
      <c r="R35" s="5154">
        <v>1</v>
      </c>
      <c r="S35" s="2487">
        <v>1</v>
      </c>
      <c r="T35" s="5154" t="s">
        <v>1805</v>
      </c>
      <c r="U35" s="5154" t="s">
        <v>10063</v>
      </c>
      <c r="V35" s="5154" t="s">
        <v>1408</v>
      </c>
      <c r="W35" s="2969"/>
      <c r="X35" s="6710"/>
      <c r="Y35" s="6635">
        <v>10000000</v>
      </c>
      <c r="Z35" s="6632">
        <v>1</v>
      </c>
      <c r="AA35" s="2489" t="s">
        <v>3123</v>
      </c>
      <c r="AB35" s="2490" t="s">
        <v>3124</v>
      </c>
      <c r="AC35" s="2495"/>
      <c r="AD35" s="2500">
        <f>AE35+AF35+AG35</f>
        <v>5510707.9500000002</v>
      </c>
      <c r="AE35" s="2500">
        <f>680447.97+1760299.98</f>
        <v>2440747.9500000002</v>
      </c>
      <c r="AF35" s="2500">
        <f>2009880+1060080</f>
        <v>3069960</v>
      </c>
      <c r="AG35" s="2500">
        <v>0</v>
      </c>
      <c r="AH35" s="2492">
        <v>19</v>
      </c>
      <c r="AI35" s="2492"/>
      <c r="AJ35" s="2492">
        <v>19</v>
      </c>
      <c r="AK35" s="2492">
        <v>19</v>
      </c>
      <c r="AL35" s="2492"/>
      <c r="AM35" s="2492"/>
      <c r="AN35" s="2492"/>
      <c r="AO35" s="2492"/>
      <c r="AP35" s="2492">
        <v>8</v>
      </c>
      <c r="AQ35" s="2492">
        <v>7</v>
      </c>
      <c r="AR35" s="2492">
        <v>4</v>
      </c>
      <c r="AS35" s="2492"/>
      <c r="AT35" s="2492"/>
      <c r="AU35" s="2492"/>
      <c r="AV35" s="2492"/>
      <c r="AW35" s="2492"/>
      <c r="AX35" s="2492"/>
      <c r="AY35" s="2492">
        <v>19</v>
      </c>
      <c r="AZ35" s="2492"/>
      <c r="BA35" s="2492"/>
      <c r="BB35" s="2492">
        <v>19</v>
      </c>
      <c r="BC35" s="2495"/>
      <c r="BD35" s="2495"/>
      <c r="BE35" s="2495"/>
      <c r="BF35" s="2495"/>
      <c r="BG35" s="2495"/>
      <c r="BH35" s="2495"/>
      <c r="BI35" s="2495"/>
      <c r="BJ35" s="2495"/>
      <c r="BK35" s="2495"/>
      <c r="BL35" s="2495"/>
      <c r="BM35" s="2495"/>
      <c r="BN35" s="2495"/>
      <c r="BO35" s="2495"/>
      <c r="BP35" s="2495"/>
      <c r="BQ35" s="2495"/>
      <c r="BR35" s="2509"/>
      <c r="BS35" s="2491">
        <v>1</v>
      </c>
      <c r="BT35" s="6468">
        <f>BS35/I35</f>
        <v>1</v>
      </c>
      <c r="BU35" s="16643"/>
      <c r="BV35" s="2508" t="s">
        <v>9403</v>
      </c>
      <c r="BW35" s="2501"/>
      <c r="BX35" s="2501"/>
      <c r="BY35" s="2519">
        <f>BZ35+CA35+CB35</f>
        <v>0</v>
      </c>
      <c r="BZ35" s="2519">
        <v>0</v>
      </c>
      <c r="CA35" s="2519">
        <v>0</v>
      </c>
      <c r="CB35" s="2519">
        <v>0</v>
      </c>
      <c r="CC35" s="2247"/>
      <c r="CD35" s="2241"/>
      <c r="CE35" s="2241"/>
      <c r="CF35" s="2241"/>
      <c r="CG35" s="2241"/>
      <c r="CH35" s="2241"/>
      <c r="CI35" s="2241"/>
      <c r="CJ35" s="2241"/>
      <c r="CK35" s="2241"/>
      <c r="CL35" s="2241"/>
      <c r="CM35" s="2241"/>
      <c r="CN35" s="2241"/>
      <c r="CO35" s="2241"/>
      <c r="CP35" s="2241"/>
      <c r="CQ35" s="2241"/>
      <c r="CR35" s="2241"/>
      <c r="CS35" s="2241"/>
      <c r="CT35" s="2241"/>
      <c r="CU35" s="2241"/>
      <c r="CV35" s="2241"/>
      <c r="CW35" s="2241"/>
      <c r="CX35" s="2241"/>
      <c r="CY35" s="2241"/>
      <c r="CZ35" s="2241"/>
      <c r="DA35" s="5157"/>
      <c r="DB35" s="5157"/>
      <c r="DC35" s="5157"/>
      <c r="DD35" s="5157"/>
      <c r="DE35" s="5157"/>
      <c r="DF35" s="5157"/>
      <c r="DG35" s="5157"/>
      <c r="DH35" s="5157"/>
      <c r="DI35" s="5157"/>
      <c r="DJ35" s="5157"/>
      <c r="DK35" s="5157"/>
      <c r="DL35" s="5157"/>
      <c r="DM35" s="5157"/>
      <c r="DN35" s="5157"/>
      <c r="DO35" s="5157"/>
      <c r="DP35" s="5157"/>
      <c r="DQ35" s="2494"/>
      <c r="DS35" s="6706"/>
      <c r="DT35" s="2495"/>
      <c r="DU35" s="2495"/>
      <c r="DV35" s="2495"/>
      <c r="DW35" s="2495"/>
      <c r="DX35" s="2495"/>
      <c r="DY35" s="2495"/>
      <c r="DZ35" s="2495"/>
      <c r="EA35" s="2495"/>
      <c r="EB35" s="2495"/>
      <c r="EC35" s="2495"/>
      <c r="ED35" s="2495"/>
      <c r="EE35" s="2495"/>
      <c r="EF35" s="2495"/>
      <c r="EG35" s="2495"/>
      <c r="EH35" s="2495"/>
      <c r="EI35" s="2495"/>
      <c r="EJ35" s="2495"/>
      <c r="EK35" s="2495"/>
      <c r="EL35" s="2495"/>
      <c r="EM35" s="2495"/>
      <c r="EN35" s="2495"/>
      <c r="EO35" s="2495"/>
      <c r="EP35" s="2495"/>
      <c r="EQ35" s="2495"/>
      <c r="ER35" s="2495"/>
      <c r="ES35" s="2495"/>
      <c r="ET35" s="2495"/>
      <c r="EU35" s="2495"/>
      <c r="EV35" s="2495"/>
      <c r="EW35" s="2495"/>
      <c r="EX35" s="2495"/>
      <c r="EY35" s="2495"/>
      <c r="EZ35" s="2495"/>
      <c r="FA35" s="2495"/>
      <c r="FB35" s="2495"/>
      <c r="FC35" s="2495"/>
      <c r="FD35" s="2495"/>
      <c r="FE35" s="2495"/>
      <c r="FF35" s="2495"/>
      <c r="FG35" s="2495"/>
      <c r="FH35" s="2495"/>
      <c r="FI35" s="2495"/>
      <c r="FJ35" s="2495"/>
      <c r="FK35" s="2495"/>
      <c r="FL35" s="2534"/>
    </row>
    <row r="36" spans="1:168" s="2486" customFormat="1" ht="15" customHeight="1">
      <c r="A36" s="16677"/>
      <c r="B36" s="16653"/>
      <c r="C36" s="5171" t="s">
        <v>8159</v>
      </c>
      <c r="D36" s="5160" t="s">
        <v>1879</v>
      </c>
      <c r="E36" s="5154" t="s">
        <v>1880</v>
      </c>
      <c r="F36" s="2510">
        <v>0.1</v>
      </c>
      <c r="G36" s="5154" t="s">
        <v>382</v>
      </c>
      <c r="H36" s="5154">
        <v>0</v>
      </c>
      <c r="I36" s="2510">
        <v>0.1</v>
      </c>
      <c r="J36" s="2510">
        <v>0.1</v>
      </c>
      <c r="K36" s="2510">
        <v>0.1</v>
      </c>
      <c r="L36" s="2510">
        <v>0.1</v>
      </c>
      <c r="M36" s="2510">
        <v>0.1</v>
      </c>
      <c r="N36" s="2510">
        <v>0.1</v>
      </c>
      <c r="O36" s="2510">
        <v>0.1</v>
      </c>
      <c r="P36" s="2510">
        <v>0.1</v>
      </c>
      <c r="Q36" s="2510">
        <v>0.1</v>
      </c>
      <c r="R36" s="2510">
        <v>0.1</v>
      </c>
      <c r="S36" s="2510">
        <v>0.1</v>
      </c>
      <c r="T36" s="5154" t="s">
        <v>1881</v>
      </c>
      <c r="U36" s="5154" t="s">
        <v>10063</v>
      </c>
      <c r="V36" s="5154" t="s">
        <v>1408</v>
      </c>
      <c r="W36" s="2969"/>
      <c r="X36" s="6710"/>
      <c r="Y36" s="6635">
        <v>1500000</v>
      </c>
      <c r="Z36" s="6632">
        <v>1</v>
      </c>
      <c r="AA36" s="2493" t="s">
        <v>3125</v>
      </c>
      <c r="AB36" s="2490" t="s">
        <v>3126</v>
      </c>
      <c r="AC36" s="2495"/>
      <c r="AD36" s="2500">
        <f>AE36+AF36+AG36</f>
        <v>21134293.100000001</v>
      </c>
      <c r="AE36" s="2500">
        <v>20071289.600000001</v>
      </c>
      <c r="AF36" s="2500">
        <v>1063003.5</v>
      </c>
      <c r="AG36" s="2500">
        <v>0</v>
      </c>
      <c r="AH36" s="2492">
        <v>150</v>
      </c>
      <c r="AI36" s="2492">
        <v>52</v>
      </c>
      <c r="AJ36" s="2492">
        <v>98</v>
      </c>
      <c r="AK36" s="2492">
        <v>149</v>
      </c>
      <c r="AL36" s="2492">
        <v>1</v>
      </c>
      <c r="AM36" s="2492">
        <v>2</v>
      </c>
      <c r="AN36" s="2492">
        <v>6</v>
      </c>
      <c r="AO36" s="2492">
        <v>32</v>
      </c>
      <c r="AP36" s="2492">
        <v>49</v>
      </c>
      <c r="AQ36" s="2492">
        <v>31</v>
      </c>
      <c r="AR36" s="2492">
        <v>19</v>
      </c>
      <c r="AS36" s="2492">
        <v>11</v>
      </c>
      <c r="AT36" s="2492">
        <v>135</v>
      </c>
      <c r="AU36" s="2492">
        <v>2</v>
      </c>
      <c r="AV36" s="2492"/>
      <c r="AW36" s="2492"/>
      <c r="AX36" s="2492">
        <v>13</v>
      </c>
      <c r="AY36" s="2492"/>
      <c r="AZ36" s="2492"/>
      <c r="BA36" s="2492"/>
      <c r="BB36" s="2492">
        <v>4</v>
      </c>
      <c r="BC36" s="2492">
        <v>146</v>
      </c>
      <c r="BD36" s="2495"/>
      <c r="BE36" s="2495"/>
      <c r="BF36" s="2495"/>
      <c r="BG36" s="2495"/>
      <c r="BH36" s="2495"/>
      <c r="BI36" s="2495"/>
      <c r="BJ36" s="2495"/>
      <c r="BK36" s="2495"/>
      <c r="BL36" s="2495"/>
      <c r="BM36" s="2495"/>
      <c r="BN36" s="2495"/>
      <c r="BO36" s="2495"/>
      <c r="BP36" s="2495"/>
      <c r="BQ36" s="2495"/>
      <c r="BR36" s="2509"/>
      <c r="BS36" s="2507" t="s">
        <v>9653</v>
      </c>
      <c r="BT36" s="6468">
        <v>0</v>
      </c>
      <c r="BU36" s="16643"/>
      <c r="BV36" s="2501" t="s">
        <v>9653</v>
      </c>
      <c r="BW36" s="2501" t="s">
        <v>9653</v>
      </c>
      <c r="BX36" s="2501" t="s">
        <v>9653</v>
      </c>
      <c r="BY36" s="2519">
        <f>BZ36+CA36+CB36</f>
        <v>18165006</v>
      </c>
      <c r="BZ36" s="2497">
        <v>18165006</v>
      </c>
      <c r="CA36" s="2497">
        <v>0</v>
      </c>
      <c r="CB36" s="2497">
        <v>0</v>
      </c>
      <c r="CC36" s="2247"/>
      <c r="CD36" s="2241"/>
      <c r="CE36" s="2241"/>
      <c r="CF36" s="2241"/>
      <c r="CG36" s="2241"/>
      <c r="CH36" s="2241"/>
      <c r="CI36" s="2241"/>
      <c r="CJ36" s="2241"/>
      <c r="CK36" s="2241"/>
      <c r="CL36" s="2241"/>
      <c r="CM36" s="2241"/>
      <c r="CN36" s="2241"/>
      <c r="CO36" s="2241"/>
      <c r="CP36" s="2241"/>
      <c r="CQ36" s="2241"/>
      <c r="CR36" s="2241"/>
      <c r="CS36" s="2241"/>
      <c r="CT36" s="2241"/>
      <c r="CU36" s="2241"/>
      <c r="CV36" s="2241"/>
      <c r="CW36" s="2241"/>
      <c r="CX36" s="2241"/>
      <c r="CY36" s="2241"/>
      <c r="CZ36" s="2241"/>
      <c r="DA36" s="5157"/>
      <c r="DB36" s="5157"/>
      <c r="DC36" s="5157"/>
      <c r="DD36" s="5157"/>
      <c r="DE36" s="5157"/>
      <c r="DF36" s="5157"/>
      <c r="DG36" s="5157"/>
      <c r="DH36" s="5157"/>
      <c r="DI36" s="5157"/>
      <c r="DJ36" s="5157"/>
      <c r="DK36" s="5157"/>
      <c r="DL36" s="5157"/>
      <c r="DM36" s="5157"/>
      <c r="DN36" s="5157"/>
      <c r="DO36" s="5157"/>
      <c r="DP36" s="5157"/>
      <c r="DQ36" s="2494"/>
      <c r="DS36" s="6706"/>
      <c r="DT36" s="2495"/>
      <c r="DU36" s="2495"/>
      <c r="DV36" s="2495"/>
      <c r="DW36" s="2495"/>
      <c r="DX36" s="2495"/>
      <c r="DY36" s="2495"/>
      <c r="DZ36" s="2495"/>
      <c r="EA36" s="2495"/>
      <c r="EB36" s="2495"/>
      <c r="EC36" s="2495"/>
      <c r="ED36" s="2495"/>
      <c r="EE36" s="2495"/>
      <c r="EF36" s="2495"/>
      <c r="EG36" s="2495"/>
      <c r="EH36" s="2495"/>
      <c r="EI36" s="2495"/>
      <c r="EJ36" s="2495"/>
      <c r="EK36" s="2495"/>
      <c r="EL36" s="2495"/>
      <c r="EM36" s="2495"/>
      <c r="EN36" s="2495"/>
      <c r="EO36" s="2495"/>
      <c r="EP36" s="2495"/>
      <c r="EQ36" s="2495"/>
      <c r="ER36" s="2495"/>
      <c r="ES36" s="2495"/>
      <c r="ET36" s="2495"/>
      <c r="EU36" s="2495"/>
      <c r="EV36" s="2495"/>
      <c r="EW36" s="2495"/>
      <c r="EX36" s="2495"/>
      <c r="EY36" s="2495"/>
      <c r="EZ36" s="2495"/>
      <c r="FA36" s="2495"/>
      <c r="FB36" s="2495"/>
      <c r="FC36" s="2495"/>
      <c r="FD36" s="2495"/>
      <c r="FE36" s="2495"/>
      <c r="FF36" s="2495"/>
      <c r="FG36" s="2495"/>
      <c r="FH36" s="2495"/>
      <c r="FI36" s="2495"/>
      <c r="FJ36" s="2495"/>
      <c r="FK36" s="2495"/>
      <c r="FL36" s="2534"/>
    </row>
    <row r="37" spans="1:168" s="2486" customFormat="1" ht="15" customHeight="1">
      <c r="A37" s="16677"/>
      <c r="B37" s="16653"/>
      <c r="C37" s="5171" t="s">
        <v>8160</v>
      </c>
      <c r="D37" s="2524" t="s">
        <v>1882</v>
      </c>
      <c r="E37" s="2498" t="s">
        <v>1883</v>
      </c>
      <c r="F37" s="2487">
        <v>30</v>
      </c>
      <c r="G37" s="5154" t="s">
        <v>382</v>
      </c>
      <c r="H37" s="2514" t="s">
        <v>1832</v>
      </c>
      <c r="I37" s="2487">
        <v>30</v>
      </c>
      <c r="J37" s="2487">
        <v>30</v>
      </c>
      <c r="K37" s="2487">
        <v>30</v>
      </c>
      <c r="L37" s="2487">
        <v>30</v>
      </c>
      <c r="M37" s="2487">
        <v>30</v>
      </c>
      <c r="N37" s="2487">
        <v>30</v>
      </c>
      <c r="O37" s="2487">
        <v>30</v>
      </c>
      <c r="P37" s="2487">
        <v>30</v>
      </c>
      <c r="Q37" s="2487">
        <v>30</v>
      </c>
      <c r="R37" s="2487">
        <v>30</v>
      </c>
      <c r="S37" s="2487">
        <v>30</v>
      </c>
      <c r="T37" s="5154" t="s">
        <v>1805</v>
      </c>
      <c r="U37" s="5154" t="s">
        <v>4337</v>
      </c>
      <c r="V37" s="5154" t="s">
        <v>1884</v>
      </c>
      <c r="W37" s="2969"/>
      <c r="X37" s="6710" t="s">
        <v>311</v>
      </c>
      <c r="Y37" s="6631">
        <v>2600000</v>
      </c>
      <c r="Z37" s="6642">
        <v>1</v>
      </c>
      <c r="AA37" s="2489" t="s">
        <v>3741</v>
      </c>
      <c r="AB37" s="2489" t="s">
        <v>3742</v>
      </c>
      <c r="AC37" s="2495" t="s">
        <v>3743</v>
      </c>
      <c r="AD37" s="2530">
        <v>7000000</v>
      </c>
      <c r="AE37" s="2495"/>
      <c r="AF37" s="2495"/>
      <c r="AG37" s="2495"/>
      <c r="AH37" s="2495">
        <v>29</v>
      </c>
      <c r="AI37" s="2531">
        <v>6</v>
      </c>
      <c r="AJ37" s="2531">
        <v>23</v>
      </c>
      <c r="AK37" s="2531">
        <v>23</v>
      </c>
      <c r="AL37" s="2531">
        <v>6</v>
      </c>
      <c r="AM37" s="2531">
        <v>0</v>
      </c>
      <c r="AN37" s="2531">
        <v>0</v>
      </c>
      <c r="AO37" s="2531">
        <v>0</v>
      </c>
      <c r="AP37" s="2531">
        <v>3</v>
      </c>
      <c r="AQ37" s="2531">
        <v>10</v>
      </c>
      <c r="AR37" s="2531">
        <v>12</v>
      </c>
      <c r="AS37" s="2531">
        <v>4</v>
      </c>
      <c r="AT37" s="2531">
        <v>18</v>
      </c>
      <c r="AU37" s="2531">
        <v>1</v>
      </c>
      <c r="AV37" s="2531">
        <v>3</v>
      </c>
      <c r="AW37" s="2531">
        <v>1</v>
      </c>
      <c r="AX37" s="2531">
        <v>5</v>
      </c>
      <c r="AY37" s="2531">
        <v>0</v>
      </c>
      <c r="AZ37" s="2531">
        <v>0</v>
      </c>
      <c r="BA37" s="2531">
        <v>1</v>
      </c>
      <c r="BB37" s="2531">
        <v>29</v>
      </c>
      <c r="BC37" s="2495">
        <v>0</v>
      </c>
      <c r="BD37" s="2495">
        <v>0</v>
      </c>
      <c r="BE37" s="2495">
        <v>0</v>
      </c>
      <c r="BF37" s="2495">
        <v>0</v>
      </c>
      <c r="BG37" s="2495">
        <v>0</v>
      </c>
      <c r="BH37" s="2495"/>
      <c r="BI37" s="2495"/>
      <c r="BJ37" s="2495"/>
      <c r="BK37" s="2495"/>
      <c r="BL37" s="2495"/>
      <c r="BM37" s="2495"/>
      <c r="BN37" s="2495"/>
      <c r="BO37" s="2495"/>
      <c r="BP37" s="2495"/>
      <c r="BQ37" s="2495"/>
      <c r="BR37" s="2509"/>
      <c r="BS37" s="2532">
        <v>62</v>
      </c>
      <c r="BT37" s="6468">
        <f>IF((BS37/I37)&gt;30,,100%)</f>
        <v>1</v>
      </c>
      <c r="BU37" s="16643"/>
      <c r="BV37" s="2517" t="s">
        <v>9411</v>
      </c>
      <c r="BW37" s="2525" t="s">
        <v>3537</v>
      </c>
      <c r="BX37" s="2525"/>
      <c r="BY37" s="2525">
        <v>100000</v>
      </c>
      <c r="BZ37" s="2525" t="s">
        <v>2891</v>
      </c>
      <c r="CA37" s="2525"/>
      <c r="CB37" s="2525"/>
      <c r="CC37" s="2239">
        <v>62</v>
      </c>
      <c r="CD37" s="2533">
        <v>29</v>
      </c>
      <c r="CE37" s="2533">
        <v>33</v>
      </c>
      <c r="CF37" s="2533">
        <v>0</v>
      </c>
      <c r="CG37" s="2533">
        <v>37</v>
      </c>
      <c r="CH37" s="2533">
        <v>25</v>
      </c>
      <c r="CI37" s="2533">
        <v>0</v>
      </c>
      <c r="CJ37" s="2241">
        <v>0</v>
      </c>
      <c r="CK37" s="2241">
        <v>0</v>
      </c>
      <c r="CL37" s="2241">
        <v>1</v>
      </c>
      <c r="CM37" s="2241">
        <v>5</v>
      </c>
      <c r="CN37" s="2241">
        <v>24</v>
      </c>
      <c r="CO37" s="2241">
        <v>27</v>
      </c>
      <c r="CP37" s="2241">
        <v>5</v>
      </c>
      <c r="CQ37" s="2241">
        <v>0</v>
      </c>
      <c r="CR37" s="2533">
        <v>46</v>
      </c>
      <c r="CS37" s="2533">
        <v>3</v>
      </c>
      <c r="CT37" s="2533">
        <v>6</v>
      </c>
      <c r="CU37" s="2533">
        <v>3</v>
      </c>
      <c r="CV37" s="2533">
        <v>3</v>
      </c>
      <c r="CW37" s="2533">
        <v>0</v>
      </c>
      <c r="CX37" s="2533">
        <v>0</v>
      </c>
      <c r="CY37" s="2533">
        <v>1</v>
      </c>
      <c r="CZ37" s="2533">
        <v>0</v>
      </c>
      <c r="DA37" s="2491">
        <v>58</v>
      </c>
      <c r="DB37" s="2491">
        <v>4</v>
      </c>
      <c r="DC37" s="2491">
        <v>0</v>
      </c>
      <c r="DD37" s="2491">
        <v>0</v>
      </c>
      <c r="DE37" s="2491">
        <v>0</v>
      </c>
      <c r="DF37" s="2491">
        <v>0</v>
      </c>
      <c r="DG37" s="2491"/>
      <c r="DH37" s="2495"/>
      <c r="DI37" s="2495"/>
      <c r="DJ37" s="2495"/>
      <c r="DK37" s="2495"/>
      <c r="DL37" s="2495"/>
      <c r="DM37" s="2495"/>
      <c r="DN37" s="2495"/>
      <c r="DO37" s="2495"/>
      <c r="DP37" s="2495"/>
      <c r="DQ37" s="2534"/>
      <c r="DS37" s="6706"/>
      <c r="DT37" s="2495"/>
      <c r="DU37" s="2495"/>
      <c r="DV37" s="2495"/>
      <c r="DW37" s="2495"/>
      <c r="DX37" s="2495"/>
      <c r="DY37" s="2495"/>
      <c r="DZ37" s="2495"/>
      <c r="EA37" s="2495"/>
      <c r="EB37" s="2495"/>
      <c r="EC37" s="2495"/>
      <c r="ED37" s="2495"/>
      <c r="EE37" s="2495"/>
      <c r="EF37" s="2495"/>
      <c r="EG37" s="2495"/>
      <c r="EH37" s="2495"/>
      <c r="EI37" s="2495"/>
      <c r="EJ37" s="2495"/>
      <c r="EK37" s="2495"/>
      <c r="EL37" s="2495"/>
      <c r="EM37" s="2495"/>
      <c r="EN37" s="2495"/>
      <c r="EO37" s="2495"/>
      <c r="EP37" s="2495"/>
      <c r="EQ37" s="2495"/>
      <c r="ER37" s="2495"/>
      <c r="ES37" s="2495"/>
      <c r="ET37" s="2495"/>
      <c r="EU37" s="2495"/>
      <c r="EV37" s="2495"/>
      <c r="EW37" s="2495"/>
      <c r="EX37" s="2495"/>
      <c r="EY37" s="2495"/>
      <c r="EZ37" s="2495"/>
      <c r="FA37" s="2495"/>
      <c r="FB37" s="2495"/>
      <c r="FC37" s="2495"/>
      <c r="FD37" s="2495"/>
      <c r="FE37" s="2495"/>
      <c r="FF37" s="2495"/>
      <c r="FG37" s="2495"/>
      <c r="FH37" s="2495"/>
      <c r="FI37" s="2495"/>
      <c r="FJ37" s="2495"/>
      <c r="FK37" s="2495"/>
      <c r="FL37" s="2534"/>
    </row>
    <row r="38" spans="1:168" s="2486" customFormat="1" ht="15" customHeight="1" thickBot="1">
      <c r="A38" s="16678"/>
      <c r="B38" s="16680"/>
      <c r="C38" s="5172" t="s">
        <v>8161</v>
      </c>
      <c r="D38" s="2115" t="s">
        <v>1885</v>
      </c>
      <c r="E38" s="2116" t="s">
        <v>1886</v>
      </c>
      <c r="F38" s="2117">
        <v>31</v>
      </c>
      <c r="G38" s="5155" t="s">
        <v>382</v>
      </c>
      <c r="H38" s="2118" t="s">
        <v>1832</v>
      </c>
      <c r="I38" s="2117">
        <v>31</v>
      </c>
      <c r="J38" s="2117">
        <v>31</v>
      </c>
      <c r="K38" s="2117">
        <v>31</v>
      </c>
      <c r="L38" s="2117">
        <v>31</v>
      </c>
      <c r="M38" s="2117">
        <v>31</v>
      </c>
      <c r="N38" s="2117">
        <v>31</v>
      </c>
      <c r="O38" s="2117">
        <v>31</v>
      </c>
      <c r="P38" s="2117">
        <v>31</v>
      </c>
      <c r="Q38" s="2117">
        <v>31</v>
      </c>
      <c r="R38" s="2117">
        <v>31</v>
      </c>
      <c r="S38" s="2117">
        <v>31</v>
      </c>
      <c r="T38" s="5155" t="s">
        <v>1870</v>
      </c>
      <c r="U38" s="5155" t="s">
        <v>10070</v>
      </c>
      <c r="V38" s="5155" t="s">
        <v>512</v>
      </c>
      <c r="W38" s="6717"/>
      <c r="X38" s="6711"/>
      <c r="Y38" s="6698">
        <v>27500000</v>
      </c>
      <c r="Z38" s="6699">
        <v>1</v>
      </c>
      <c r="AA38" s="2535" t="s">
        <v>3989</v>
      </c>
      <c r="AB38" s="2535" t="s">
        <v>3990</v>
      </c>
      <c r="AC38" s="2536"/>
      <c r="AD38" s="2537">
        <f>17847+9000000</f>
        <v>9017847</v>
      </c>
      <c r="AE38" s="2537">
        <f>17847+9000000</f>
        <v>9017847</v>
      </c>
      <c r="AF38" s="2538"/>
      <c r="AG38" s="2538"/>
      <c r="AH38" s="2538">
        <f>1+465</f>
        <v>466</v>
      </c>
      <c r="AI38" s="2538">
        <v>265</v>
      </c>
      <c r="AJ38" s="2538">
        <v>200</v>
      </c>
      <c r="AK38" s="2538">
        <f>1+279</f>
        <v>280</v>
      </c>
      <c r="AL38" s="2538">
        <v>186</v>
      </c>
      <c r="AM38" s="2538"/>
      <c r="AN38" s="2538"/>
      <c r="AO38" s="2538"/>
      <c r="AP38" s="2538"/>
      <c r="AQ38" s="2538" t="s">
        <v>2943</v>
      </c>
      <c r="AR38" s="2538" t="s">
        <v>2943</v>
      </c>
      <c r="AS38" s="2538" t="s">
        <v>2943</v>
      </c>
      <c r="AT38" s="2538" t="s">
        <v>2943</v>
      </c>
      <c r="AU38" s="2538"/>
      <c r="AV38" s="2538"/>
      <c r="AW38" s="2538"/>
      <c r="AX38" s="2538"/>
      <c r="AY38" s="2538"/>
      <c r="AZ38" s="2538"/>
      <c r="BA38" s="2538"/>
      <c r="BB38" s="2538" t="s">
        <v>2943</v>
      </c>
      <c r="BC38" s="2538"/>
      <c r="BD38" s="2538"/>
      <c r="BE38" s="2538"/>
      <c r="BF38" s="2538"/>
      <c r="BG38" s="2538"/>
      <c r="BH38" s="2539" t="s">
        <v>3973</v>
      </c>
      <c r="BI38" s="2539" t="s">
        <v>3954</v>
      </c>
      <c r="BJ38" s="2539"/>
      <c r="BK38" s="2539" t="s">
        <v>3955</v>
      </c>
      <c r="BL38" s="2539" t="s">
        <v>3975</v>
      </c>
      <c r="BM38" s="2539"/>
      <c r="BN38" s="2539"/>
      <c r="BO38" s="2538" t="s">
        <v>2943</v>
      </c>
      <c r="BP38" s="2539"/>
      <c r="BQ38" s="2539" t="s">
        <v>3975</v>
      </c>
      <c r="BR38" s="6700"/>
      <c r="BS38" s="2538">
        <v>74</v>
      </c>
      <c r="BT38" s="6701">
        <f>IF((BS38/I38)&gt;74,,100%)</f>
        <v>1</v>
      </c>
      <c r="BU38" s="16644"/>
      <c r="BV38" s="2535" t="s">
        <v>9330</v>
      </c>
      <c r="BW38" s="2535" t="s">
        <v>9326</v>
      </c>
      <c r="BX38" s="2539" t="s">
        <v>9331</v>
      </c>
      <c r="BY38" s="2540">
        <v>97315800</v>
      </c>
      <c r="BZ38" s="2540"/>
      <c r="CA38" s="2540"/>
      <c r="CB38" s="2540"/>
      <c r="CC38" s="2249">
        <v>355</v>
      </c>
      <c r="CD38" s="2250">
        <v>142</v>
      </c>
      <c r="CE38" s="2250">
        <v>213</v>
      </c>
      <c r="CF38" s="2250">
        <v>0</v>
      </c>
      <c r="CG38" s="2249"/>
      <c r="CH38" s="2249"/>
      <c r="CI38" s="2249">
        <v>355</v>
      </c>
      <c r="CJ38" s="2250">
        <v>0</v>
      </c>
      <c r="CK38" s="2250">
        <v>0</v>
      </c>
      <c r="CL38" s="2250">
        <v>0</v>
      </c>
      <c r="CM38" s="2250">
        <v>39</v>
      </c>
      <c r="CN38" s="2250">
        <v>93</v>
      </c>
      <c r="CO38" s="2250">
        <v>172</v>
      </c>
      <c r="CP38" s="2250">
        <v>51</v>
      </c>
      <c r="CQ38" s="2250">
        <v>0</v>
      </c>
      <c r="CR38" s="2250"/>
      <c r="CS38" s="2250"/>
      <c r="CT38" s="2250"/>
      <c r="CU38" s="2250"/>
      <c r="CV38" s="2250"/>
      <c r="CW38" s="2250"/>
      <c r="CX38" s="2250"/>
      <c r="CY38" s="2250"/>
      <c r="CZ38" s="2250">
        <v>355</v>
      </c>
      <c r="DA38" s="2540">
        <v>329</v>
      </c>
      <c r="DB38" s="2540">
        <v>24</v>
      </c>
      <c r="DC38" s="2541"/>
      <c r="DD38" s="2541"/>
      <c r="DE38" s="2541"/>
      <c r="DF38" s="2541"/>
      <c r="DG38" s="2541"/>
      <c r="DH38" s="2541"/>
      <c r="DI38" s="2541"/>
      <c r="DJ38" s="2541"/>
      <c r="DK38" s="2541"/>
      <c r="DL38" s="2541"/>
      <c r="DM38" s="2541"/>
      <c r="DN38" s="2541"/>
      <c r="DO38" s="2541"/>
      <c r="DP38" s="2541"/>
      <c r="DQ38" s="2542"/>
      <c r="DS38" s="6707"/>
      <c r="DT38" s="2536"/>
      <c r="DU38" s="2536"/>
      <c r="DV38" s="2536"/>
      <c r="DW38" s="2536"/>
      <c r="DX38" s="2536"/>
      <c r="DY38" s="2536"/>
      <c r="DZ38" s="2536"/>
      <c r="EA38" s="2536"/>
      <c r="EB38" s="2536"/>
      <c r="EC38" s="2536"/>
      <c r="ED38" s="2536"/>
      <c r="EE38" s="2536"/>
      <c r="EF38" s="2536"/>
      <c r="EG38" s="2536"/>
      <c r="EH38" s="2536"/>
      <c r="EI38" s="2536"/>
      <c r="EJ38" s="2536"/>
      <c r="EK38" s="2536"/>
      <c r="EL38" s="2536"/>
      <c r="EM38" s="2536"/>
      <c r="EN38" s="2536"/>
      <c r="EO38" s="2536"/>
      <c r="EP38" s="2536"/>
      <c r="EQ38" s="2536"/>
      <c r="ER38" s="2536"/>
      <c r="ES38" s="2536"/>
      <c r="ET38" s="2536"/>
      <c r="EU38" s="2536"/>
      <c r="EV38" s="2536"/>
      <c r="EW38" s="2536"/>
      <c r="EX38" s="2536"/>
      <c r="EY38" s="2536"/>
      <c r="EZ38" s="2536"/>
      <c r="FA38" s="2536"/>
      <c r="FB38" s="2536"/>
      <c r="FC38" s="2536"/>
      <c r="FD38" s="2536"/>
      <c r="FE38" s="2536"/>
      <c r="FF38" s="2536"/>
      <c r="FG38" s="2536"/>
      <c r="FH38" s="2536"/>
      <c r="FI38" s="2536"/>
      <c r="FJ38" s="2536"/>
      <c r="FK38" s="2536"/>
      <c r="FL38" s="6708"/>
    </row>
    <row r="39" spans="1:168" s="2459" customFormat="1" ht="15" customHeight="1">
      <c r="A39" s="16671" t="s">
        <v>1887</v>
      </c>
      <c r="B39" s="16674" t="s">
        <v>1888</v>
      </c>
      <c r="C39" s="770" t="s">
        <v>8162</v>
      </c>
      <c r="D39" s="6683" t="s">
        <v>1889</v>
      </c>
      <c r="E39" s="6684" t="s">
        <v>1890</v>
      </c>
      <c r="F39" s="6685">
        <v>40</v>
      </c>
      <c r="G39" s="391" t="s">
        <v>386</v>
      </c>
      <c r="H39" s="6686" t="s">
        <v>1832</v>
      </c>
      <c r="I39" s="6685">
        <v>40</v>
      </c>
      <c r="J39" s="6685">
        <v>40</v>
      </c>
      <c r="K39" s="6685">
        <v>80</v>
      </c>
      <c r="L39" s="6685">
        <v>80</v>
      </c>
      <c r="M39" s="6685">
        <v>120</v>
      </c>
      <c r="N39" s="6685">
        <v>120</v>
      </c>
      <c r="O39" s="6685">
        <v>120</v>
      </c>
      <c r="P39" s="6685">
        <v>160</v>
      </c>
      <c r="Q39" s="6685">
        <v>160</v>
      </c>
      <c r="R39" s="6685">
        <v>160</v>
      </c>
      <c r="S39" s="6685">
        <f>F39+I39+J39+K39+L39+M39+N39+O39+P39+Q39+R39</f>
        <v>1120</v>
      </c>
      <c r="T39" s="391" t="s">
        <v>1805</v>
      </c>
      <c r="U39" s="391" t="s">
        <v>4305</v>
      </c>
      <c r="V39" s="391" t="s">
        <v>311</v>
      </c>
      <c r="W39" s="6718"/>
      <c r="X39" s="6712"/>
      <c r="Y39" s="6687">
        <v>3400000</v>
      </c>
      <c r="Z39" s="2557"/>
      <c r="AA39" s="5933"/>
      <c r="AB39" s="5933"/>
      <c r="AC39" s="2557"/>
      <c r="AD39" s="6688"/>
      <c r="AE39" s="5933"/>
      <c r="AF39" s="5933"/>
      <c r="AG39" s="5933"/>
      <c r="AH39" s="5933"/>
      <c r="AI39" s="5933"/>
      <c r="AJ39" s="5933"/>
      <c r="AK39" s="5933"/>
      <c r="AL39" s="5933"/>
      <c r="AM39" s="5933"/>
      <c r="AN39" s="5933"/>
      <c r="AO39" s="5933"/>
      <c r="AP39" s="5933"/>
      <c r="AQ39" s="5933"/>
      <c r="AR39" s="5933"/>
      <c r="AS39" s="5933"/>
      <c r="AT39" s="5933"/>
      <c r="AU39" s="5933"/>
      <c r="AV39" s="5933"/>
      <c r="AW39" s="5933"/>
      <c r="AX39" s="5933"/>
      <c r="AY39" s="5933"/>
      <c r="AZ39" s="5933"/>
      <c r="BA39" s="5933"/>
      <c r="BB39" s="5933"/>
      <c r="BC39" s="2557"/>
      <c r="BD39" s="2557"/>
      <c r="BE39" s="2557"/>
      <c r="BF39" s="2557"/>
      <c r="BG39" s="2557"/>
      <c r="BH39" s="2557"/>
      <c r="BI39" s="2557"/>
      <c r="BJ39" s="2557"/>
      <c r="BK39" s="2557"/>
      <c r="BL39" s="2557"/>
      <c r="BM39" s="2557"/>
      <c r="BN39" s="2557"/>
      <c r="BO39" s="2557"/>
      <c r="BP39" s="2557"/>
      <c r="BQ39" s="2557"/>
      <c r="BR39" s="6689"/>
      <c r="BS39" s="6690">
        <v>24</v>
      </c>
      <c r="BT39" s="6314">
        <f>BS39/I39</f>
        <v>0.6</v>
      </c>
      <c r="BU39" s="16681">
        <f>AVERAGE(BT39:BT44)</f>
        <v>0.80666666666666664</v>
      </c>
      <c r="BV39" s="6691" t="s">
        <v>9308</v>
      </c>
      <c r="BW39" s="6691" t="s">
        <v>9309</v>
      </c>
      <c r="BX39" s="16687" t="s">
        <v>9313</v>
      </c>
      <c r="BY39" s="6692">
        <v>428328</v>
      </c>
      <c r="BZ39" s="6693" t="s">
        <v>2891</v>
      </c>
      <c r="CA39" s="6693"/>
      <c r="CB39" s="6693"/>
      <c r="CC39" s="6694">
        <v>24</v>
      </c>
      <c r="CD39" s="6695">
        <v>5</v>
      </c>
      <c r="CE39" s="6695">
        <v>19</v>
      </c>
      <c r="CF39" s="6677">
        <v>0</v>
      </c>
      <c r="CG39" s="6694">
        <v>24</v>
      </c>
      <c r="CH39" s="6695"/>
      <c r="CI39" s="6695"/>
      <c r="CJ39" s="6695">
        <v>0</v>
      </c>
      <c r="CK39" s="6695">
        <v>0</v>
      </c>
      <c r="CL39" s="6695">
        <v>0</v>
      </c>
      <c r="CM39" s="6695">
        <v>0</v>
      </c>
      <c r="CN39" s="6695">
        <v>7</v>
      </c>
      <c r="CO39" s="6695">
        <v>13</v>
      </c>
      <c r="CP39" s="6695">
        <v>4</v>
      </c>
      <c r="CQ39" s="6695">
        <v>0</v>
      </c>
      <c r="CR39" s="6695">
        <v>17</v>
      </c>
      <c r="CS39" s="6695"/>
      <c r="CT39" s="6695">
        <v>3</v>
      </c>
      <c r="CU39" s="6695"/>
      <c r="CV39" s="6695">
        <v>4</v>
      </c>
      <c r="CW39" s="6695">
        <v>0</v>
      </c>
      <c r="CX39" s="6695">
        <v>0</v>
      </c>
      <c r="CY39" s="6695">
        <v>0</v>
      </c>
      <c r="CZ39" s="6695">
        <v>0</v>
      </c>
      <c r="DA39" s="4358">
        <v>24</v>
      </c>
      <c r="DB39" s="4358"/>
      <c r="DC39" s="4358"/>
      <c r="DD39" s="4358"/>
      <c r="DE39" s="6696"/>
      <c r="DF39" s="6696"/>
      <c r="DG39" s="6696"/>
      <c r="DH39" s="6693"/>
      <c r="DI39" s="6693"/>
      <c r="DJ39" s="6693"/>
      <c r="DK39" s="6693"/>
      <c r="DL39" s="6693"/>
      <c r="DM39" s="6693"/>
      <c r="DN39" s="6693"/>
      <c r="DO39" s="6693"/>
      <c r="DP39" s="6693"/>
      <c r="DQ39" s="6697"/>
      <c r="DS39" s="3305"/>
      <c r="DT39" s="2557"/>
      <c r="DU39" s="2557"/>
      <c r="DV39" s="2557"/>
      <c r="DW39" s="2557"/>
      <c r="DX39" s="2557"/>
      <c r="DY39" s="2557"/>
      <c r="DZ39" s="2557"/>
      <c r="EA39" s="2557"/>
      <c r="EB39" s="2557"/>
      <c r="EC39" s="2557"/>
      <c r="ED39" s="2557"/>
      <c r="EE39" s="2557"/>
      <c r="EF39" s="2557"/>
      <c r="EG39" s="2557"/>
      <c r="EH39" s="2557"/>
      <c r="EI39" s="2557"/>
      <c r="EJ39" s="2557"/>
      <c r="EK39" s="2557"/>
      <c r="EL39" s="2557"/>
      <c r="EM39" s="2557"/>
      <c r="EN39" s="2557"/>
      <c r="EO39" s="2557"/>
      <c r="EP39" s="2557"/>
      <c r="EQ39" s="2557"/>
      <c r="ER39" s="2557"/>
      <c r="ES39" s="2557"/>
      <c r="ET39" s="2557"/>
      <c r="EU39" s="2557"/>
      <c r="EV39" s="2557"/>
      <c r="EW39" s="2557"/>
      <c r="EX39" s="2557"/>
      <c r="EY39" s="2557"/>
      <c r="EZ39" s="2557"/>
      <c r="FA39" s="2557"/>
      <c r="FB39" s="2557"/>
      <c r="FC39" s="2557"/>
      <c r="FD39" s="2557"/>
      <c r="FE39" s="2557"/>
      <c r="FF39" s="2557"/>
      <c r="FG39" s="2557"/>
      <c r="FH39" s="2557"/>
      <c r="FI39" s="2557"/>
      <c r="FJ39" s="2557"/>
      <c r="FK39" s="2557"/>
      <c r="FL39" s="3306"/>
    </row>
    <row r="40" spans="1:168" s="2459" customFormat="1" ht="15" customHeight="1">
      <c r="A40" s="16672"/>
      <c r="B40" s="16536"/>
      <c r="C40" s="5168" t="s">
        <v>8137</v>
      </c>
      <c r="D40" s="2543" t="s">
        <v>1891</v>
      </c>
      <c r="E40" s="2544" t="s">
        <v>1892</v>
      </c>
      <c r="F40" s="2545">
        <v>1</v>
      </c>
      <c r="G40" s="5055" t="s">
        <v>386</v>
      </c>
      <c r="H40" s="2546">
        <v>0</v>
      </c>
      <c r="I40" s="2545">
        <v>2</v>
      </c>
      <c r="J40" s="2545">
        <v>2</v>
      </c>
      <c r="K40" s="2545">
        <v>3</v>
      </c>
      <c r="L40" s="2545">
        <v>3</v>
      </c>
      <c r="M40" s="2545">
        <v>4</v>
      </c>
      <c r="N40" s="2545">
        <v>4</v>
      </c>
      <c r="O40" s="2545">
        <v>5</v>
      </c>
      <c r="P40" s="2545">
        <v>5</v>
      </c>
      <c r="Q40" s="2545">
        <v>5</v>
      </c>
      <c r="R40" s="2545">
        <v>5</v>
      </c>
      <c r="S40" s="2545">
        <f>F40+I40+J40+K40+L40+M40+N40+O40+P40+Q40+R40</f>
        <v>39</v>
      </c>
      <c r="T40" s="5055" t="s">
        <v>1805</v>
      </c>
      <c r="U40" s="5055" t="s">
        <v>4305</v>
      </c>
      <c r="V40" s="5055" t="s">
        <v>311</v>
      </c>
      <c r="W40" s="6719"/>
      <c r="X40" s="5079"/>
      <c r="Y40" s="6643">
        <v>500000</v>
      </c>
      <c r="Z40" s="2463"/>
      <c r="AA40" s="2544" t="s">
        <v>3228</v>
      </c>
      <c r="AB40" s="5057" t="s">
        <v>3229</v>
      </c>
      <c r="AC40" s="2463"/>
      <c r="AD40" s="2559">
        <f>+AD38*AH40</f>
        <v>99196317</v>
      </c>
      <c r="AE40" s="2457"/>
      <c r="AF40" s="2457"/>
      <c r="AG40" s="2457"/>
      <c r="AH40" s="2547">
        <v>11</v>
      </c>
      <c r="AI40" s="2547"/>
      <c r="AJ40" s="2547">
        <v>11</v>
      </c>
      <c r="AK40" s="2547">
        <v>11</v>
      </c>
      <c r="AL40" s="2547"/>
      <c r="AM40" s="2547"/>
      <c r="AN40" s="2547"/>
      <c r="AO40" s="2547"/>
      <c r="AP40" s="2547">
        <v>1</v>
      </c>
      <c r="AQ40" s="2547">
        <v>9</v>
      </c>
      <c r="AR40" s="2547">
        <v>1</v>
      </c>
      <c r="AS40" s="2548"/>
      <c r="AT40" s="2548">
        <v>11</v>
      </c>
      <c r="AU40" s="2547"/>
      <c r="AV40" s="2547"/>
      <c r="AW40" s="2547"/>
      <c r="AX40" s="2547"/>
      <c r="AY40" s="2548"/>
      <c r="AZ40" s="2463"/>
      <c r="BA40" s="2547"/>
      <c r="BB40" s="2547">
        <v>11</v>
      </c>
      <c r="BC40" s="2547"/>
      <c r="BD40" s="2547"/>
      <c r="BE40" s="2548"/>
      <c r="BF40" s="2548"/>
      <c r="BG40" s="2548"/>
      <c r="BH40" s="2548"/>
      <c r="BI40" s="2463"/>
      <c r="BJ40" s="2463"/>
      <c r="BK40" s="2463"/>
      <c r="BL40" s="2463"/>
      <c r="BM40" s="2463"/>
      <c r="BN40" s="2463"/>
      <c r="BO40" s="2463"/>
      <c r="BP40" s="2463"/>
      <c r="BQ40" s="2463"/>
      <c r="BR40" s="2561"/>
      <c r="BS40" s="2550">
        <v>38</v>
      </c>
      <c r="BT40" s="4274">
        <f>IF((BS40/I40)&gt;2,100%)</f>
        <v>1</v>
      </c>
      <c r="BU40" s="16682"/>
      <c r="BV40" s="2551" t="s">
        <v>9310</v>
      </c>
      <c r="BW40" s="2552"/>
      <c r="BX40" s="16688"/>
      <c r="BY40" s="2553">
        <v>678186</v>
      </c>
      <c r="BZ40" s="2554" t="s">
        <v>2891</v>
      </c>
      <c r="CA40" s="2554"/>
      <c r="CB40" s="2554"/>
      <c r="CC40" s="2555">
        <v>38</v>
      </c>
      <c r="CD40" s="2241">
        <v>19</v>
      </c>
      <c r="CE40" s="2241">
        <f>3+16</f>
        <v>19</v>
      </c>
      <c r="CF40" s="2241">
        <v>0</v>
      </c>
      <c r="CG40" s="2239">
        <v>38</v>
      </c>
      <c r="CH40" s="2241"/>
      <c r="CI40" s="2241"/>
      <c r="CJ40" s="2241"/>
      <c r="CK40" s="2241"/>
      <c r="CL40" s="2241"/>
      <c r="CM40" s="2241">
        <v>4</v>
      </c>
      <c r="CN40" s="2241">
        <v>22</v>
      </c>
      <c r="CO40" s="2241">
        <v>11</v>
      </c>
      <c r="CP40" s="2241">
        <v>1</v>
      </c>
      <c r="CQ40" s="2241"/>
      <c r="CR40" s="2241">
        <v>38</v>
      </c>
      <c r="CS40" s="2241"/>
      <c r="CT40" s="2241"/>
      <c r="CU40" s="2241"/>
      <c r="CV40" s="2241"/>
      <c r="CW40" s="2241"/>
      <c r="CX40" s="2241"/>
      <c r="CY40" s="2241"/>
      <c r="CZ40" s="2241"/>
      <c r="DA40" s="2556">
        <v>38</v>
      </c>
      <c r="DB40" s="2554"/>
      <c r="DC40" s="2554"/>
      <c r="DD40" s="2554"/>
      <c r="DE40" s="2554"/>
      <c r="DF40" s="2554"/>
      <c r="DG40" s="2554"/>
      <c r="DH40" s="2554"/>
      <c r="DI40" s="2554"/>
      <c r="DJ40" s="2554"/>
      <c r="DK40" s="2554"/>
      <c r="DL40" s="2554"/>
      <c r="DM40" s="2554"/>
      <c r="DN40" s="2554"/>
      <c r="DO40" s="2554"/>
      <c r="DP40" s="2554"/>
      <c r="DQ40" s="2119"/>
      <c r="DS40" s="3301"/>
      <c r="DT40" s="2463"/>
      <c r="DU40" s="2463"/>
      <c r="DV40" s="2463"/>
      <c r="DW40" s="2463"/>
      <c r="DX40" s="2463"/>
      <c r="DY40" s="2463"/>
      <c r="DZ40" s="2463"/>
      <c r="EA40" s="2463"/>
      <c r="EB40" s="2463"/>
      <c r="EC40" s="2463"/>
      <c r="ED40" s="2463"/>
      <c r="EE40" s="2463"/>
      <c r="EF40" s="2463"/>
      <c r="EG40" s="2463"/>
      <c r="EH40" s="2463"/>
      <c r="EI40" s="2463"/>
      <c r="EJ40" s="2463"/>
      <c r="EK40" s="2463"/>
      <c r="EL40" s="2463"/>
      <c r="EM40" s="2463"/>
      <c r="EN40" s="2463"/>
      <c r="EO40" s="2463"/>
      <c r="EP40" s="2463"/>
      <c r="EQ40" s="2463"/>
      <c r="ER40" s="2463"/>
      <c r="ES40" s="2463"/>
      <c r="ET40" s="2463"/>
      <c r="EU40" s="2463"/>
      <c r="EV40" s="2463"/>
      <c r="EW40" s="2463"/>
      <c r="EX40" s="2463"/>
      <c r="EY40" s="2463"/>
      <c r="EZ40" s="2463"/>
      <c r="FA40" s="2463"/>
      <c r="FB40" s="2463"/>
      <c r="FC40" s="2463"/>
      <c r="FD40" s="2463"/>
      <c r="FE40" s="2463"/>
      <c r="FF40" s="2463"/>
      <c r="FG40" s="2463"/>
      <c r="FH40" s="2463"/>
      <c r="FI40" s="2463"/>
      <c r="FJ40" s="2463"/>
      <c r="FK40" s="2463"/>
      <c r="FL40" s="3302"/>
    </row>
    <row r="41" spans="1:168" s="2459" customFormat="1" ht="15" customHeight="1">
      <c r="A41" s="16672"/>
      <c r="B41" s="16536"/>
      <c r="C41" s="5168" t="s">
        <v>8138</v>
      </c>
      <c r="D41" s="2543" t="s">
        <v>1893</v>
      </c>
      <c r="E41" s="2544" t="s">
        <v>1894</v>
      </c>
      <c r="F41" s="2545">
        <v>1</v>
      </c>
      <c r="G41" s="5055" t="s">
        <v>386</v>
      </c>
      <c r="H41" s="2546">
        <v>0</v>
      </c>
      <c r="I41" s="2545">
        <v>2</v>
      </c>
      <c r="J41" s="2545">
        <v>2</v>
      </c>
      <c r="K41" s="2545">
        <v>3</v>
      </c>
      <c r="L41" s="2545">
        <v>3</v>
      </c>
      <c r="M41" s="2545">
        <v>4</v>
      </c>
      <c r="N41" s="2545">
        <v>4</v>
      </c>
      <c r="O41" s="2545">
        <v>5</v>
      </c>
      <c r="P41" s="2545">
        <v>5</v>
      </c>
      <c r="Q41" s="2545">
        <v>5</v>
      </c>
      <c r="R41" s="2545">
        <v>5</v>
      </c>
      <c r="S41" s="2545">
        <f>F41+I41+J41+K41+L41+M41+N41+O41+P41+Q41+R41</f>
        <v>39</v>
      </c>
      <c r="T41" s="5055" t="s">
        <v>1805</v>
      </c>
      <c r="U41" s="5055" t="s">
        <v>4305</v>
      </c>
      <c r="V41" s="5055" t="s">
        <v>311</v>
      </c>
      <c r="W41" s="6719"/>
      <c r="X41" s="5079"/>
      <c r="Y41" s="6643">
        <v>3000000</v>
      </c>
      <c r="Z41" s="2463"/>
      <c r="AA41" s="2558" t="s">
        <v>3230</v>
      </c>
      <c r="AB41" s="5057" t="s">
        <v>3231</v>
      </c>
      <c r="AC41" s="2463"/>
      <c r="AD41" s="2559">
        <f>+AD38*AH41</f>
        <v>2606157783</v>
      </c>
      <c r="AE41" s="2457"/>
      <c r="AF41" s="2457"/>
      <c r="AG41" s="2457"/>
      <c r="AH41" s="2547">
        <v>289</v>
      </c>
      <c r="AI41" s="2547">
        <v>2</v>
      </c>
      <c r="AJ41" s="2547">
        <v>287</v>
      </c>
      <c r="AK41" s="2547">
        <v>289</v>
      </c>
      <c r="AL41" s="2547"/>
      <c r="AM41" s="2547">
        <v>6</v>
      </c>
      <c r="AN41" s="2547">
        <v>50</v>
      </c>
      <c r="AO41" s="2547">
        <v>103</v>
      </c>
      <c r="AP41" s="2547">
        <v>108</v>
      </c>
      <c r="AQ41" s="2547">
        <v>22</v>
      </c>
      <c r="AR41" s="2547"/>
      <c r="AS41" s="2547"/>
      <c r="AT41" s="2547">
        <f>+AH41-AV41-AW41-AX41</f>
        <v>194</v>
      </c>
      <c r="AU41" s="2547">
        <v>2</v>
      </c>
      <c r="AV41" s="2547">
        <v>27</v>
      </c>
      <c r="AW41" s="2547">
        <v>5</v>
      </c>
      <c r="AX41" s="2547">
        <v>63</v>
      </c>
      <c r="AY41" s="2547"/>
      <c r="AZ41" s="2547"/>
      <c r="BA41" s="2547"/>
      <c r="BB41" s="2547">
        <v>621</v>
      </c>
      <c r="BC41" s="2547">
        <v>8</v>
      </c>
      <c r="BD41" s="2547">
        <v>2</v>
      </c>
      <c r="BE41" s="2548"/>
      <c r="BF41" s="2548"/>
      <c r="BG41" s="2548"/>
      <c r="BH41" s="2463"/>
      <c r="BI41" s="2463"/>
      <c r="BJ41" s="2463"/>
      <c r="BK41" s="2463"/>
      <c r="BL41" s="2463"/>
      <c r="BM41" s="2463"/>
      <c r="BN41" s="2463"/>
      <c r="BO41" s="2463"/>
      <c r="BP41" s="2463"/>
      <c r="BQ41" s="2463"/>
      <c r="BR41" s="2561"/>
      <c r="BS41" s="2550">
        <v>140</v>
      </c>
      <c r="BT41" s="4274">
        <f>IF((BS41/I41)&gt;2,100%)</f>
        <v>1</v>
      </c>
      <c r="BU41" s="16682"/>
      <c r="BV41" s="2551" t="s">
        <v>9311</v>
      </c>
      <c r="BW41" s="2551" t="s">
        <v>9312</v>
      </c>
      <c r="BX41" s="16688"/>
      <c r="BY41" s="2553">
        <v>2498580</v>
      </c>
      <c r="BZ41" s="2554" t="s">
        <v>2891</v>
      </c>
      <c r="CA41" s="2554"/>
      <c r="CB41" s="2554"/>
      <c r="CC41" s="2527">
        <v>140</v>
      </c>
      <c r="CD41" s="2241">
        <v>35</v>
      </c>
      <c r="CE41" s="2241">
        <v>105</v>
      </c>
      <c r="CF41" s="2533">
        <v>0</v>
      </c>
      <c r="CG41" s="2239">
        <v>140</v>
      </c>
      <c r="CH41" s="2241"/>
      <c r="CI41" s="2241"/>
      <c r="CJ41" s="2241"/>
      <c r="CK41" s="2241"/>
      <c r="CL41" s="2241"/>
      <c r="CM41" s="2241">
        <v>30</v>
      </c>
      <c r="CN41" s="2241">
        <v>48</v>
      </c>
      <c r="CO41" s="2241">
        <v>58</v>
      </c>
      <c r="CP41" s="2241">
        <v>4</v>
      </c>
      <c r="CQ41" s="2241"/>
      <c r="CR41" s="2241">
        <v>87</v>
      </c>
      <c r="CS41" s="2241"/>
      <c r="CT41" s="2241">
        <v>24</v>
      </c>
      <c r="CU41" s="2241">
        <v>2</v>
      </c>
      <c r="CV41" s="2241">
        <v>19</v>
      </c>
      <c r="CW41" s="2241">
        <v>1</v>
      </c>
      <c r="CX41" s="2241"/>
      <c r="CY41" s="2241"/>
      <c r="CZ41" s="2241">
        <v>7</v>
      </c>
      <c r="DA41" s="2556">
        <v>121</v>
      </c>
      <c r="DB41" s="2556">
        <v>10</v>
      </c>
      <c r="DC41" s="2556">
        <v>3</v>
      </c>
      <c r="DD41" s="2554"/>
      <c r="DE41" s="2554"/>
      <c r="DF41" s="2554"/>
      <c r="DG41" s="2554"/>
      <c r="DH41" s="2554"/>
      <c r="DI41" s="2554"/>
      <c r="DJ41" s="2554"/>
      <c r="DK41" s="2554"/>
      <c r="DL41" s="2554"/>
      <c r="DM41" s="2554"/>
      <c r="DN41" s="2554"/>
      <c r="DO41" s="2554"/>
      <c r="DP41" s="2554"/>
      <c r="DQ41" s="2119"/>
      <c r="DS41" s="3301"/>
      <c r="DT41" s="2463"/>
      <c r="DU41" s="2463"/>
      <c r="DV41" s="2463"/>
      <c r="DW41" s="2463"/>
      <c r="DX41" s="2463"/>
      <c r="DY41" s="2463"/>
      <c r="DZ41" s="2463"/>
      <c r="EA41" s="2463"/>
      <c r="EB41" s="2463"/>
      <c r="EC41" s="2463"/>
      <c r="ED41" s="2463"/>
      <c r="EE41" s="2463"/>
      <c r="EF41" s="2463"/>
      <c r="EG41" s="2463"/>
      <c r="EH41" s="2463"/>
      <c r="EI41" s="2463"/>
      <c r="EJ41" s="2463"/>
      <c r="EK41" s="2463"/>
      <c r="EL41" s="2463"/>
      <c r="EM41" s="2463"/>
      <c r="EN41" s="2463"/>
      <c r="EO41" s="2463"/>
      <c r="EP41" s="2463"/>
      <c r="EQ41" s="2463"/>
      <c r="ER41" s="2463"/>
      <c r="ES41" s="2463"/>
      <c r="ET41" s="2463"/>
      <c r="EU41" s="2463"/>
      <c r="EV41" s="2463"/>
      <c r="EW41" s="2463"/>
      <c r="EX41" s="2463"/>
      <c r="EY41" s="2463"/>
      <c r="EZ41" s="2463"/>
      <c r="FA41" s="2463"/>
      <c r="FB41" s="2463"/>
      <c r="FC41" s="2463"/>
      <c r="FD41" s="2463"/>
      <c r="FE41" s="2463"/>
      <c r="FF41" s="2463"/>
      <c r="FG41" s="2463"/>
      <c r="FH41" s="2463"/>
      <c r="FI41" s="2463"/>
      <c r="FJ41" s="2463"/>
      <c r="FK41" s="2463"/>
      <c r="FL41" s="3302"/>
    </row>
    <row r="42" spans="1:168" s="2459" customFormat="1" ht="15" customHeight="1">
      <c r="A42" s="16672"/>
      <c r="B42" s="16536"/>
      <c r="C42" s="5168" t="s">
        <v>8163</v>
      </c>
      <c r="D42" s="2543" t="s">
        <v>1895</v>
      </c>
      <c r="E42" s="2544" t="s">
        <v>1895</v>
      </c>
      <c r="F42" s="5055">
        <v>2</v>
      </c>
      <c r="G42" s="5055" t="s">
        <v>382</v>
      </c>
      <c r="H42" s="5055" t="s">
        <v>1832</v>
      </c>
      <c r="I42" s="5055">
        <v>2</v>
      </c>
      <c r="J42" s="5055">
        <v>2</v>
      </c>
      <c r="K42" s="5055">
        <v>2</v>
      </c>
      <c r="L42" s="5055">
        <v>2</v>
      </c>
      <c r="M42" s="5055">
        <v>2</v>
      </c>
      <c r="N42" s="5055">
        <v>2</v>
      </c>
      <c r="O42" s="5055">
        <v>2</v>
      </c>
      <c r="P42" s="5055">
        <v>2</v>
      </c>
      <c r="Q42" s="5055">
        <v>2</v>
      </c>
      <c r="R42" s="5055">
        <v>2</v>
      </c>
      <c r="S42" s="2545">
        <v>2</v>
      </c>
      <c r="T42" s="5055" t="s">
        <v>1805</v>
      </c>
      <c r="U42" s="5055" t="s">
        <v>26</v>
      </c>
      <c r="V42" s="5055" t="s">
        <v>1896</v>
      </c>
      <c r="W42" s="6719"/>
      <c r="X42" s="6713"/>
      <c r="Y42" s="6643">
        <v>27500000</v>
      </c>
      <c r="Z42" s="6644">
        <v>1</v>
      </c>
      <c r="AA42" s="2560" t="s">
        <v>3236</v>
      </c>
      <c r="AB42" s="2470" t="s">
        <v>3237</v>
      </c>
      <c r="AC42" s="2470" t="s">
        <v>3238</v>
      </c>
      <c r="AD42" s="2561">
        <v>149573936</v>
      </c>
      <c r="AE42" s="2561">
        <v>149573936</v>
      </c>
      <c r="AF42" s="2463">
        <v>0</v>
      </c>
      <c r="AG42" s="2463">
        <v>0</v>
      </c>
      <c r="AH42" s="2463">
        <v>118</v>
      </c>
      <c r="AI42" s="2463"/>
      <c r="AJ42" s="2463"/>
      <c r="AK42" s="2463"/>
      <c r="AL42" s="2463"/>
      <c r="AM42" s="2463"/>
      <c r="AN42" s="2463"/>
      <c r="AO42" s="2463"/>
      <c r="AP42" s="2463"/>
      <c r="AQ42" s="2463"/>
      <c r="AR42" s="2463"/>
      <c r="AS42" s="2463"/>
      <c r="AT42" s="2463"/>
      <c r="AU42" s="2463"/>
      <c r="AV42" s="2463"/>
      <c r="AW42" s="2463"/>
      <c r="AX42" s="2463"/>
      <c r="AY42" s="2463"/>
      <c r="AZ42" s="2463"/>
      <c r="BA42" s="2463"/>
      <c r="BB42" s="2463"/>
      <c r="BC42" s="2463"/>
      <c r="BD42" s="2463"/>
      <c r="BE42" s="2463"/>
      <c r="BF42" s="2463"/>
      <c r="BG42" s="2463"/>
      <c r="BH42" s="2463"/>
      <c r="BI42" s="2463"/>
      <c r="BJ42" s="2463"/>
      <c r="BK42" s="2463"/>
      <c r="BL42" s="2463"/>
      <c r="BM42" s="2463"/>
      <c r="BN42" s="2463"/>
      <c r="BO42" s="2463"/>
      <c r="BP42" s="2463"/>
      <c r="BQ42" s="2463"/>
      <c r="BR42" s="2545">
        <v>27500000</v>
      </c>
      <c r="BS42" s="2550">
        <v>118</v>
      </c>
      <c r="BT42" s="4274">
        <f>IF((BS42/I42)&gt;2,100%)</f>
        <v>1</v>
      </c>
      <c r="BU42" s="16682"/>
      <c r="BV42" s="2560" t="s">
        <v>3236</v>
      </c>
      <c r="BW42" s="2470" t="s">
        <v>3237</v>
      </c>
      <c r="BX42" s="2470" t="s">
        <v>3238</v>
      </c>
      <c r="BY42" s="2456">
        <v>149573936</v>
      </c>
      <c r="BZ42" s="2456">
        <v>149573936</v>
      </c>
      <c r="CA42" s="2456">
        <v>0</v>
      </c>
      <c r="CB42" s="2456">
        <v>0</v>
      </c>
      <c r="CC42" s="2239">
        <v>118</v>
      </c>
      <c r="CD42" s="2241">
        <v>0</v>
      </c>
      <c r="CE42" s="2241">
        <v>0</v>
      </c>
      <c r="CF42" s="2533">
        <v>118</v>
      </c>
      <c r="CG42" s="2241"/>
      <c r="CH42" s="2241"/>
      <c r="CI42" s="2241">
        <v>118</v>
      </c>
      <c r="CJ42" s="2241"/>
      <c r="CK42" s="2241"/>
      <c r="CL42" s="2241"/>
      <c r="CM42" s="2241"/>
      <c r="CN42" s="2241"/>
      <c r="CO42" s="2241"/>
      <c r="CP42" s="2241"/>
      <c r="CQ42" s="2241">
        <v>118</v>
      </c>
      <c r="CR42" s="2241"/>
      <c r="CS42" s="2241"/>
      <c r="CT42" s="2241"/>
      <c r="CU42" s="2241"/>
      <c r="CV42" s="2241"/>
      <c r="CW42" s="2241"/>
      <c r="CX42" s="2241"/>
      <c r="CY42" s="2241"/>
      <c r="CZ42" s="2241">
        <v>118</v>
      </c>
      <c r="DA42" s="2456"/>
      <c r="DB42" s="2456"/>
      <c r="DC42" s="2456"/>
      <c r="DD42" s="2456"/>
      <c r="DE42" s="2456"/>
      <c r="DF42" s="2456"/>
      <c r="DG42" s="2456"/>
      <c r="DH42" s="2456"/>
      <c r="DI42" s="2456"/>
      <c r="DJ42" s="2456"/>
      <c r="DK42" s="2456"/>
      <c r="DL42" s="2456"/>
      <c r="DM42" s="2456"/>
      <c r="DN42" s="2456"/>
      <c r="DO42" s="2456"/>
      <c r="DP42" s="2456"/>
      <c r="DQ42" s="2562"/>
      <c r="DS42" s="3301"/>
      <c r="DT42" s="2463"/>
      <c r="DU42" s="2463"/>
      <c r="DV42" s="2463"/>
      <c r="DW42" s="2463"/>
      <c r="DX42" s="2463"/>
      <c r="DY42" s="2463"/>
      <c r="DZ42" s="2463"/>
      <c r="EA42" s="2463"/>
      <c r="EB42" s="2463"/>
      <c r="EC42" s="2463"/>
      <c r="ED42" s="2463"/>
      <c r="EE42" s="2463"/>
      <c r="EF42" s="2463"/>
      <c r="EG42" s="2463"/>
      <c r="EH42" s="2463"/>
      <c r="EI42" s="2463"/>
      <c r="EJ42" s="2463"/>
      <c r="EK42" s="2463"/>
      <c r="EL42" s="2463"/>
      <c r="EM42" s="2463"/>
      <c r="EN42" s="2463"/>
      <c r="EO42" s="2463"/>
      <c r="EP42" s="2463"/>
      <c r="EQ42" s="2463"/>
      <c r="ER42" s="2463"/>
      <c r="ES42" s="2463"/>
      <c r="ET42" s="2463"/>
      <c r="EU42" s="2463"/>
      <c r="EV42" s="2463"/>
      <c r="EW42" s="2463"/>
      <c r="EX42" s="2463"/>
      <c r="EY42" s="2463"/>
      <c r="EZ42" s="2463"/>
      <c r="FA42" s="2463"/>
      <c r="FB42" s="2463"/>
      <c r="FC42" s="2463"/>
      <c r="FD42" s="2463"/>
      <c r="FE42" s="2463"/>
      <c r="FF42" s="2463"/>
      <c r="FG42" s="2463"/>
      <c r="FH42" s="2463"/>
      <c r="FI42" s="2463"/>
      <c r="FJ42" s="2463"/>
      <c r="FK42" s="2463"/>
      <c r="FL42" s="3302"/>
    </row>
    <row r="43" spans="1:168" s="2459" customFormat="1" ht="15" customHeight="1">
      <c r="A43" s="16672"/>
      <c r="B43" s="16536"/>
      <c r="C43" s="5168" t="s">
        <v>8164</v>
      </c>
      <c r="D43" s="2543" t="s">
        <v>1897</v>
      </c>
      <c r="E43" s="2563" t="s">
        <v>1898</v>
      </c>
      <c r="F43" s="5055">
        <v>31</v>
      </c>
      <c r="G43" s="5055" t="s">
        <v>382</v>
      </c>
      <c r="H43" s="5055" t="s">
        <v>1832</v>
      </c>
      <c r="I43" s="5055">
        <v>31</v>
      </c>
      <c r="J43" s="5055">
        <v>31</v>
      </c>
      <c r="K43" s="5055">
        <v>31</v>
      </c>
      <c r="L43" s="5055">
        <v>31</v>
      </c>
      <c r="M43" s="5055">
        <v>31</v>
      </c>
      <c r="N43" s="5055">
        <v>31</v>
      </c>
      <c r="O43" s="5055">
        <v>31</v>
      </c>
      <c r="P43" s="5055">
        <v>31</v>
      </c>
      <c r="Q43" s="5055">
        <v>31</v>
      </c>
      <c r="R43" s="5055">
        <v>31</v>
      </c>
      <c r="S43" s="2545">
        <v>31</v>
      </c>
      <c r="T43" s="5055" t="s">
        <v>1805</v>
      </c>
      <c r="U43" s="5055" t="s">
        <v>26</v>
      </c>
      <c r="V43" s="5055" t="s">
        <v>1896</v>
      </c>
      <c r="W43" s="6719"/>
      <c r="X43" s="6713"/>
      <c r="Y43" s="6643">
        <v>27500000</v>
      </c>
      <c r="Z43" s="6644">
        <v>0.6</v>
      </c>
      <c r="AA43" s="2564" t="s">
        <v>3239</v>
      </c>
      <c r="AB43" s="2463"/>
      <c r="AC43" s="2471" t="s">
        <v>3240</v>
      </c>
      <c r="AD43" s="2463" t="s">
        <v>3241</v>
      </c>
      <c r="AE43" s="2463" t="s">
        <v>3241</v>
      </c>
      <c r="AF43" s="2463" t="s">
        <v>3241</v>
      </c>
      <c r="AG43" s="2463" t="s">
        <v>3241</v>
      </c>
      <c r="AH43" s="2463"/>
      <c r="AI43" s="2463"/>
      <c r="AJ43" s="2463"/>
      <c r="AK43" s="2463"/>
      <c r="AL43" s="2463"/>
      <c r="AM43" s="2463"/>
      <c r="AN43" s="2463"/>
      <c r="AO43" s="2463"/>
      <c r="AP43" s="2463"/>
      <c r="AQ43" s="2463"/>
      <c r="AR43" s="2463"/>
      <c r="AS43" s="2463"/>
      <c r="AT43" s="2463"/>
      <c r="AU43" s="2463"/>
      <c r="AV43" s="2463"/>
      <c r="AW43" s="2463"/>
      <c r="AX43" s="2463"/>
      <c r="AY43" s="2463"/>
      <c r="AZ43" s="2463"/>
      <c r="BA43" s="2463"/>
      <c r="BB43" s="2463"/>
      <c r="BC43" s="2463"/>
      <c r="BD43" s="2463"/>
      <c r="BE43" s="2463"/>
      <c r="BF43" s="2463"/>
      <c r="BG43" s="2463"/>
      <c r="BH43" s="2463"/>
      <c r="BI43" s="2463"/>
      <c r="BJ43" s="2463"/>
      <c r="BK43" s="2463"/>
      <c r="BL43" s="2463"/>
      <c r="BM43" s="2463"/>
      <c r="BN43" s="2463"/>
      <c r="BO43" s="2463"/>
      <c r="BP43" s="2463"/>
      <c r="BQ43" s="2463"/>
      <c r="BR43" s="2545">
        <v>27500000</v>
      </c>
      <c r="BS43" s="2565">
        <v>1</v>
      </c>
      <c r="BT43" s="4274">
        <v>1</v>
      </c>
      <c r="BU43" s="16682"/>
      <c r="BV43" s="2564" t="s">
        <v>3239</v>
      </c>
      <c r="BW43" s="2458"/>
      <c r="BX43" s="2471" t="s">
        <v>3240</v>
      </c>
      <c r="BY43" s="2556"/>
      <c r="BZ43" s="2556"/>
      <c r="CA43" s="2556"/>
      <c r="CB43" s="2556"/>
      <c r="CC43" s="2239"/>
      <c r="CD43" s="2241"/>
      <c r="CE43" s="2241"/>
      <c r="CF43" s="2533"/>
      <c r="CG43" s="2241"/>
      <c r="CH43" s="2241"/>
      <c r="CI43" s="2241"/>
      <c r="CJ43" s="2241"/>
      <c r="CK43" s="2241"/>
      <c r="CL43" s="2241"/>
      <c r="CM43" s="2241"/>
      <c r="CN43" s="2241"/>
      <c r="CO43" s="2241"/>
      <c r="CP43" s="2241"/>
      <c r="CQ43" s="2241"/>
      <c r="CR43" s="2241"/>
      <c r="CS43" s="2241"/>
      <c r="CT43" s="2241"/>
      <c r="CU43" s="2241"/>
      <c r="CV43" s="2241"/>
      <c r="CW43" s="2241"/>
      <c r="CX43" s="2241"/>
      <c r="CY43" s="2241"/>
      <c r="CZ43" s="2241"/>
      <c r="DA43" s="2556"/>
      <c r="DB43" s="2556"/>
      <c r="DC43" s="2556"/>
      <c r="DD43" s="2556"/>
      <c r="DE43" s="2556"/>
      <c r="DF43" s="2556"/>
      <c r="DG43" s="2556"/>
      <c r="DH43" s="2556"/>
      <c r="DI43" s="2556"/>
      <c r="DJ43" s="2556"/>
      <c r="DK43" s="2556"/>
      <c r="DL43" s="2556"/>
      <c r="DM43" s="2556"/>
      <c r="DN43" s="2556"/>
      <c r="DO43" s="2556"/>
      <c r="DP43" s="2556"/>
      <c r="DQ43" s="2566"/>
      <c r="DS43" s="3301"/>
      <c r="DT43" s="2463"/>
      <c r="DU43" s="2463"/>
      <c r="DV43" s="2463"/>
      <c r="DW43" s="2463"/>
      <c r="DX43" s="2463"/>
      <c r="DY43" s="2463"/>
      <c r="DZ43" s="2463"/>
      <c r="EA43" s="2463"/>
      <c r="EB43" s="2463"/>
      <c r="EC43" s="2463"/>
      <c r="ED43" s="2463"/>
      <c r="EE43" s="2463"/>
      <c r="EF43" s="2463"/>
      <c r="EG43" s="2463"/>
      <c r="EH43" s="2463"/>
      <c r="EI43" s="2463"/>
      <c r="EJ43" s="2463"/>
      <c r="EK43" s="2463"/>
      <c r="EL43" s="2463"/>
      <c r="EM43" s="2463"/>
      <c r="EN43" s="2463"/>
      <c r="EO43" s="2463"/>
      <c r="EP43" s="2463"/>
      <c r="EQ43" s="2463"/>
      <c r="ER43" s="2463"/>
      <c r="ES43" s="2463"/>
      <c r="ET43" s="2463"/>
      <c r="EU43" s="2463"/>
      <c r="EV43" s="2463"/>
      <c r="EW43" s="2463"/>
      <c r="EX43" s="2463"/>
      <c r="EY43" s="2463"/>
      <c r="EZ43" s="2463"/>
      <c r="FA43" s="2463"/>
      <c r="FB43" s="2463"/>
      <c r="FC43" s="2463"/>
      <c r="FD43" s="2463"/>
      <c r="FE43" s="2463"/>
      <c r="FF43" s="2463"/>
      <c r="FG43" s="2463"/>
      <c r="FH43" s="2463"/>
      <c r="FI43" s="2463"/>
      <c r="FJ43" s="2463"/>
      <c r="FK43" s="2463"/>
      <c r="FL43" s="3302"/>
    </row>
    <row r="44" spans="1:168" s="2459" customFormat="1" ht="15" customHeight="1" thickBot="1">
      <c r="A44" s="16673"/>
      <c r="B44" s="16538"/>
      <c r="C44" s="5169" t="s">
        <v>8165</v>
      </c>
      <c r="D44" s="2120" t="s">
        <v>1899</v>
      </c>
      <c r="E44" s="2121" t="s">
        <v>1900</v>
      </c>
      <c r="F44" s="2122">
        <v>100</v>
      </c>
      <c r="G44" s="5056" t="s">
        <v>382</v>
      </c>
      <c r="H44" s="2123" t="s">
        <v>1832</v>
      </c>
      <c r="I44" s="2122">
        <v>100</v>
      </c>
      <c r="J44" s="2122">
        <v>100</v>
      </c>
      <c r="K44" s="2122">
        <v>100</v>
      </c>
      <c r="L44" s="2122">
        <v>100</v>
      </c>
      <c r="M44" s="2122">
        <v>100</v>
      </c>
      <c r="N44" s="2122">
        <v>100</v>
      </c>
      <c r="O44" s="2122">
        <v>100</v>
      </c>
      <c r="P44" s="2122">
        <v>100</v>
      </c>
      <c r="Q44" s="2122">
        <v>100</v>
      </c>
      <c r="R44" s="2122">
        <v>100</v>
      </c>
      <c r="S44" s="2122">
        <v>100</v>
      </c>
      <c r="T44" s="5056" t="s">
        <v>1805</v>
      </c>
      <c r="U44" s="5056" t="s">
        <v>4305</v>
      </c>
      <c r="V44" s="5056" t="s">
        <v>311</v>
      </c>
      <c r="W44" s="6720"/>
      <c r="X44" s="5080"/>
      <c r="Y44" s="6680">
        <v>8500000</v>
      </c>
      <c r="Z44" s="2568"/>
      <c r="AA44" s="2474" t="s">
        <v>3232</v>
      </c>
      <c r="AB44" s="5058" t="s">
        <v>3233</v>
      </c>
      <c r="AC44" s="2568"/>
      <c r="AD44" s="2569">
        <f>+AD38*AH44</f>
        <v>45089235</v>
      </c>
      <c r="AE44" s="2568"/>
      <c r="AF44" s="2568"/>
      <c r="AG44" s="2568"/>
      <c r="AH44" s="2475">
        <v>5</v>
      </c>
      <c r="AI44" s="2475">
        <v>4</v>
      </c>
      <c r="AJ44" s="2475">
        <v>1</v>
      </c>
      <c r="AK44" s="2475">
        <v>5</v>
      </c>
      <c r="AL44" s="2475"/>
      <c r="AM44" s="2475"/>
      <c r="AN44" s="2475"/>
      <c r="AO44" s="2475"/>
      <c r="AP44" s="2475"/>
      <c r="AQ44" s="2475"/>
      <c r="AR44" s="2475"/>
      <c r="AS44" s="2475"/>
      <c r="AT44" s="2475">
        <v>5</v>
      </c>
      <c r="AU44" s="2475"/>
      <c r="AV44" s="2475"/>
      <c r="AW44" s="2475"/>
      <c r="AX44" s="2475"/>
      <c r="AY44" s="2475"/>
      <c r="AZ44" s="2475"/>
      <c r="BA44" s="2475"/>
      <c r="BB44" s="2475">
        <v>5</v>
      </c>
      <c r="BC44" s="2475"/>
      <c r="BD44" s="2475"/>
      <c r="BE44" s="2475"/>
      <c r="BF44" s="2475"/>
      <c r="BG44" s="2568"/>
      <c r="BH44" s="2568"/>
      <c r="BI44" s="2568"/>
      <c r="BJ44" s="2568"/>
      <c r="BK44" s="2568"/>
      <c r="BL44" s="2568"/>
      <c r="BM44" s="2568"/>
      <c r="BN44" s="2568"/>
      <c r="BO44" s="2568"/>
      <c r="BP44" s="2568"/>
      <c r="BQ44" s="2568"/>
      <c r="BR44" s="6681"/>
      <c r="BS44" s="2124">
        <v>24</v>
      </c>
      <c r="BT44" s="6682">
        <f>BS44/I44</f>
        <v>0.24</v>
      </c>
      <c r="BU44" s="16683"/>
      <c r="BV44" s="2125" t="s">
        <v>9308</v>
      </c>
      <c r="BW44" s="2126"/>
      <c r="BX44" s="2125" t="s">
        <v>9313</v>
      </c>
      <c r="BY44" s="2127">
        <v>4283.28</v>
      </c>
      <c r="BZ44" s="2128" t="s">
        <v>2891</v>
      </c>
      <c r="CA44" s="2128"/>
      <c r="CB44" s="2128"/>
      <c r="CC44" s="2571">
        <v>24</v>
      </c>
      <c r="CD44" s="2250">
        <v>19</v>
      </c>
      <c r="CE44" s="2250">
        <v>5</v>
      </c>
      <c r="CF44" s="205">
        <v>0</v>
      </c>
      <c r="CG44" s="2250">
        <v>24</v>
      </c>
      <c r="CH44" s="2249"/>
      <c r="CI44" s="2249"/>
      <c r="CJ44" s="2250"/>
      <c r="CK44" s="2250"/>
      <c r="CL44" s="2250"/>
      <c r="CM44" s="2250"/>
      <c r="CN44" s="2250"/>
      <c r="CO44" s="2250">
        <v>11</v>
      </c>
      <c r="CP44" s="2250">
        <v>13</v>
      </c>
      <c r="CQ44" s="2250"/>
      <c r="CR44" s="2250">
        <v>4</v>
      </c>
      <c r="CS44" s="2250">
        <v>13</v>
      </c>
      <c r="CT44" s="2250"/>
      <c r="CU44" s="2250">
        <v>3</v>
      </c>
      <c r="CV44" s="2250"/>
      <c r="CW44" s="2250">
        <v>4</v>
      </c>
      <c r="CX44" s="2250"/>
      <c r="CY44" s="2250"/>
      <c r="CZ44" s="2250"/>
      <c r="DA44" s="2572"/>
      <c r="DB44" s="2572">
        <v>24</v>
      </c>
      <c r="DC44" s="2128"/>
      <c r="DD44" s="2128"/>
      <c r="DE44" s="2128"/>
      <c r="DF44" s="2128"/>
      <c r="DG44" s="2128"/>
      <c r="DH44" s="2128"/>
      <c r="DI44" s="2128"/>
      <c r="DJ44" s="2128"/>
      <c r="DK44" s="2128"/>
      <c r="DL44" s="2128"/>
      <c r="DM44" s="2128"/>
      <c r="DN44" s="2128"/>
      <c r="DO44" s="2128"/>
      <c r="DP44" s="2128"/>
      <c r="DQ44" s="2129"/>
      <c r="DS44" s="3303"/>
      <c r="DT44" s="2568"/>
      <c r="DU44" s="2568"/>
      <c r="DV44" s="2568"/>
      <c r="DW44" s="2568"/>
      <c r="DX44" s="2568"/>
      <c r="DY44" s="2568"/>
      <c r="DZ44" s="2568"/>
      <c r="EA44" s="2568"/>
      <c r="EB44" s="2568"/>
      <c r="EC44" s="2568"/>
      <c r="ED44" s="2568"/>
      <c r="EE44" s="2568"/>
      <c r="EF44" s="2568"/>
      <c r="EG44" s="2568"/>
      <c r="EH44" s="2568"/>
      <c r="EI44" s="2568"/>
      <c r="EJ44" s="2568"/>
      <c r="EK44" s="2568"/>
      <c r="EL44" s="2568"/>
      <c r="EM44" s="2568"/>
      <c r="EN44" s="2568"/>
      <c r="EO44" s="2568"/>
      <c r="EP44" s="2568"/>
      <c r="EQ44" s="2568"/>
      <c r="ER44" s="2568"/>
      <c r="ES44" s="2568"/>
      <c r="ET44" s="2568"/>
      <c r="EU44" s="2568"/>
      <c r="EV44" s="2568"/>
      <c r="EW44" s="2568"/>
      <c r="EX44" s="2568"/>
      <c r="EY44" s="2568"/>
      <c r="EZ44" s="2568"/>
      <c r="FA44" s="2568"/>
      <c r="FB44" s="2568"/>
      <c r="FC44" s="2568"/>
      <c r="FD44" s="2568"/>
      <c r="FE44" s="2568"/>
      <c r="FF44" s="2568"/>
      <c r="FG44" s="2568"/>
      <c r="FH44" s="2568"/>
      <c r="FI44" s="2568"/>
      <c r="FJ44" s="2568"/>
      <c r="FK44" s="2568"/>
      <c r="FL44" s="3304"/>
    </row>
    <row r="45" spans="1:168" s="2578" customFormat="1" ht="15" customHeight="1">
      <c r="A45" s="16658" t="s">
        <v>1901</v>
      </c>
      <c r="B45" s="16661" t="s">
        <v>1902</v>
      </c>
      <c r="C45" s="769" t="s">
        <v>8166</v>
      </c>
      <c r="D45" s="6668" t="s">
        <v>1903</v>
      </c>
      <c r="E45" s="6669" t="s">
        <v>1904</v>
      </c>
      <c r="F45" s="6546">
        <v>0.4</v>
      </c>
      <c r="G45" s="5176" t="s">
        <v>386</v>
      </c>
      <c r="H45" s="6670" t="s">
        <v>1832</v>
      </c>
      <c r="I45" s="6546">
        <v>0.6</v>
      </c>
      <c r="J45" s="6546">
        <v>1</v>
      </c>
      <c r="K45" s="6546">
        <v>1</v>
      </c>
      <c r="L45" s="6546">
        <v>1</v>
      </c>
      <c r="M45" s="6546">
        <v>1</v>
      </c>
      <c r="N45" s="6546">
        <v>1</v>
      </c>
      <c r="O45" s="6546">
        <v>1</v>
      </c>
      <c r="P45" s="6546">
        <v>1</v>
      </c>
      <c r="Q45" s="6546">
        <v>1</v>
      </c>
      <c r="R45" s="6546">
        <v>1</v>
      </c>
      <c r="S45" s="6546">
        <v>1</v>
      </c>
      <c r="T45" s="5176" t="s">
        <v>1870</v>
      </c>
      <c r="U45" s="5176" t="s">
        <v>10070</v>
      </c>
      <c r="V45" s="5176" t="s">
        <v>512</v>
      </c>
      <c r="W45" s="6721"/>
      <c r="X45" s="6714"/>
      <c r="Y45" s="6671">
        <v>6000000</v>
      </c>
      <c r="Z45" s="6672">
        <v>0.4</v>
      </c>
      <c r="AA45" s="6673" t="s">
        <v>3976</v>
      </c>
      <c r="AB45" s="6673" t="s">
        <v>3977</v>
      </c>
      <c r="AC45" s="6551"/>
      <c r="AD45" s="6674">
        <v>2523329</v>
      </c>
      <c r="AE45" s="6551" t="s">
        <v>2891</v>
      </c>
      <c r="AF45" s="6550"/>
      <c r="AG45" s="6550"/>
      <c r="AH45" s="6550"/>
      <c r="AI45" s="6550"/>
      <c r="AJ45" s="6550"/>
      <c r="AK45" s="6550"/>
      <c r="AL45" s="6550"/>
      <c r="AM45" s="6550"/>
      <c r="AN45" s="6550"/>
      <c r="AO45" s="6550"/>
      <c r="AP45" s="6550"/>
      <c r="AQ45" s="6550"/>
      <c r="AR45" s="6550"/>
      <c r="AS45" s="6550"/>
      <c r="AT45" s="6550"/>
      <c r="AU45" s="6550"/>
      <c r="AV45" s="6550"/>
      <c r="AW45" s="6550"/>
      <c r="AX45" s="6550"/>
      <c r="AY45" s="6550"/>
      <c r="AZ45" s="6550"/>
      <c r="BA45" s="6550"/>
      <c r="BB45" s="6550"/>
      <c r="BC45" s="6550"/>
      <c r="BD45" s="6550"/>
      <c r="BE45" s="6550"/>
      <c r="BF45" s="6550"/>
      <c r="BG45" s="6550"/>
      <c r="BH45" s="6675" t="s">
        <v>3961</v>
      </c>
      <c r="BI45" s="6675" t="s">
        <v>3954</v>
      </c>
      <c r="BJ45" s="6551">
        <f>14*420+31*5</f>
        <v>6035</v>
      </c>
      <c r="BK45" s="6675" t="s">
        <v>3955</v>
      </c>
      <c r="BL45" s="6675" t="s">
        <v>3962</v>
      </c>
      <c r="BM45" s="6551">
        <f>BJ45</f>
        <v>6035</v>
      </c>
      <c r="BN45" s="6551" t="s">
        <v>2943</v>
      </c>
      <c r="BO45" s="6551"/>
      <c r="BP45" s="6551"/>
      <c r="BQ45" s="6675" t="s">
        <v>3962</v>
      </c>
      <c r="BR45" s="6676"/>
      <c r="BS45" s="6672">
        <v>1</v>
      </c>
      <c r="BT45" s="5085">
        <f>IF((BS45/I45)&gt;74,,100%)</f>
        <v>1</v>
      </c>
      <c r="BU45" s="16684">
        <f>AVERAGE(BT45:BT87)</f>
        <v>0.61227967479674783</v>
      </c>
      <c r="BV45" s="3404" t="s">
        <v>9332</v>
      </c>
      <c r="BW45" s="3404" t="s">
        <v>9333</v>
      </c>
      <c r="BX45" s="6675"/>
      <c r="BY45" s="5064">
        <v>5000000</v>
      </c>
      <c r="BZ45" s="5064"/>
      <c r="CA45" s="5064"/>
      <c r="CB45" s="5064"/>
      <c r="CC45" s="5158"/>
      <c r="CD45" s="5159"/>
      <c r="CE45" s="5159"/>
      <c r="CF45" s="6677"/>
      <c r="CG45" s="5159"/>
      <c r="CH45" s="5159"/>
      <c r="CI45" s="5159"/>
      <c r="CJ45" s="5159"/>
      <c r="CK45" s="5159"/>
      <c r="CL45" s="5159"/>
      <c r="CM45" s="5159"/>
      <c r="CN45" s="5159"/>
      <c r="CO45" s="5159"/>
      <c r="CP45" s="5159"/>
      <c r="CQ45" s="5159"/>
      <c r="CR45" s="5159"/>
      <c r="CS45" s="5159"/>
      <c r="CT45" s="5159"/>
      <c r="CU45" s="5159"/>
      <c r="CV45" s="5159"/>
      <c r="CW45" s="5159"/>
      <c r="CX45" s="5159"/>
      <c r="CY45" s="5159"/>
      <c r="CZ45" s="5159"/>
      <c r="DA45" s="6678"/>
      <c r="DB45" s="6678"/>
      <c r="DC45" s="6678"/>
      <c r="DD45" s="6678"/>
      <c r="DE45" s="6678"/>
      <c r="DF45" s="6678"/>
      <c r="DG45" s="6678"/>
      <c r="DH45" s="6678"/>
      <c r="DI45" s="6678"/>
      <c r="DJ45" s="6678"/>
      <c r="DK45" s="6678"/>
      <c r="DL45" s="6678"/>
      <c r="DM45" s="6678"/>
      <c r="DN45" s="6678"/>
      <c r="DO45" s="6678"/>
      <c r="DP45" s="6678"/>
      <c r="DQ45" s="6679"/>
      <c r="DS45" s="6622"/>
      <c r="DT45" s="6550"/>
      <c r="DU45" s="6550"/>
      <c r="DV45" s="6550"/>
      <c r="DW45" s="6550"/>
      <c r="DX45" s="6550"/>
      <c r="DY45" s="6550"/>
      <c r="DZ45" s="6550"/>
      <c r="EA45" s="6550"/>
      <c r="EB45" s="6550"/>
      <c r="EC45" s="6550"/>
      <c r="ED45" s="6550"/>
      <c r="EE45" s="6550"/>
      <c r="EF45" s="6550"/>
      <c r="EG45" s="6550"/>
      <c r="EH45" s="6550"/>
      <c r="EI45" s="6550"/>
      <c r="EJ45" s="6550"/>
      <c r="EK45" s="6550"/>
      <c r="EL45" s="6550"/>
      <c r="EM45" s="6550"/>
      <c r="EN45" s="6550"/>
      <c r="EO45" s="6550"/>
      <c r="EP45" s="6550"/>
      <c r="EQ45" s="6550"/>
      <c r="ER45" s="6550"/>
      <c r="ES45" s="6550"/>
      <c r="ET45" s="6550"/>
      <c r="EU45" s="6550"/>
      <c r="EV45" s="6550"/>
      <c r="EW45" s="6550"/>
      <c r="EX45" s="6550"/>
      <c r="EY45" s="6550"/>
      <c r="EZ45" s="6550"/>
      <c r="FA45" s="6550"/>
      <c r="FB45" s="6550"/>
      <c r="FC45" s="6550"/>
      <c r="FD45" s="6550"/>
      <c r="FE45" s="6550"/>
      <c r="FF45" s="6550"/>
      <c r="FG45" s="6550"/>
      <c r="FH45" s="6550"/>
      <c r="FI45" s="6550"/>
      <c r="FJ45" s="6550"/>
      <c r="FK45" s="6550"/>
      <c r="FL45" s="6623"/>
    </row>
    <row r="46" spans="1:168" s="2578" customFormat="1" ht="15" customHeight="1">
      <c r="A46" s="16659"/>
      <c r="B46" s="16540"/>
      <c r="C46" s="5163" t="s">
        <v>8167</v>
      </c>
      <c r="D46" s="2579" t="s">
        <v>1905</v>
      </c>
      <c r="E46" s="2580" t="s">
        <v>1906</v>
      </c>
      <c r="F46" s="2581">
        <v>1</v>
      </c>
      <c r="G46" s="5072" t="s">
        <v>382</v>
      </c>
      <c r="H46" s="2583" t="s">
        <v>1832</v>
      </c>
      <c r="I46" s="2581">
        <v>0</v>
      </c>
      <c r="J46" s="2581">
        <v>1</v>
      </c>
      <c r="K46" s="2581">
        <v>0</v>
      </c>
      <c r="L46" s="2581">
        <v>1</v>
      </c>
      <c r="M46" s="2581">
        <v>0</v>
      </c>
      <c r="N46" s="2581">
        <v>1</v>
      </c>
      <c r="O46" s="2581">
        <v>0</v>
      </c>
      <c r="P46" s="2581">
        <v>1</v>
      </c>
      <c r="Q46" s="2581">
        <v>0</v>
      </c>
      <c r="R46" s="2581">
        <v>1</v>
      </c>
      <c r="S46" s="2581">
        <v>1</v>
      </c>
      <c r="T46" s="5072" t="s">
        <v>1907</v>
      </c>
      <c r="U46" s="5072" t="s">
        <v>10070</v>
      </c>
      <c r="V46" s="5072" t="s">
        <v>512</v>
      </c>
      <c r="W46" s="2964"/>
      <c r="X46" s="5077"/>
      <c r="Y46" s="6645">
        <v>100000000</v>
      </c>
      <c r="Z46" s="4774">
        <v>0</v>
      </c>
      <c r="AA46" s="2584"/>
      <c r="AB46" s="2584"/>
      <c r="AC46" s="2584"/>
      <c r="AD46" s="2585"/>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2584"/>
      <c r="BB46" s="2584"/>
      <c r="BC46" s="2584"/>
      <c r="BD46" s="2584"/>
      <c r="BE46" s="2584"/>
      <c r="BF46" s="2584"/>
      <c r="BG46" s="2584"/>
      <c r="BH46" s="2584"/>
      <c r="BI46" s="2586" t="s">
        <v>3954</v>
      </c>
      <c r="BJ46" s="2584"/>
      <c r="BK46" s="2584"/>
      <c r="BL46" s="2584"/>
      <c r="BM46" s="2584"/>
      <c r="BN46" s="2584"/>
      <c r="BO46" s="2584"/>
      <c r="BP46" s="2584"/>
      <c r="BQ46" s="2584"/>
      <c r="BR46" s="2600"/>
      <c r="BS46" s="2588">
        <v>1</v>
      </c>
      <c r="BT46" s="5092">
        <v>1</v>
      </c>
      <c r="BU46" s="16685"/>
      <c r="BV46" s="5070" t="s">
        <v>9334</v>
      </c>
      <c r="BW46" s="2588" t="s">
        <v>9335</v>
      </c>
      <c r="BX46" s="2586"/>
      <c r="BY46" s="2589">
        <v>71648000</v>
      </c>
      <c r="BZ46" s="2589"/>
      <c r="CA46" s="2589"/>
      <c r="CB46" s="2589"/>
      <c r="CC46" s="2239"/>
      <c r="CD46" s="2241"/>
      <c r="CE46" s="2241"/>
      <c r="CF46" s="2533"/>
      <c r="CG46" s="2241"/>
      <c r="CH46" s="2241"/>
      <c r="CI46" s="2241"/>
      <c r="CJ46" s="2241"/>
      <c r="CK46" s="2241"/>
      <c r="CL46" s="2241"/>
      <c r="CM46" s="2241"/>
      <c r="CN46" s="2241"/>
      <c r="CO46" s="2241"/>
      <c r="CP46" s="2241"/>
      <c r="CQ46" s="2241"/>
      <c r="CR46" s="2241"/>
      <c r="CS46" s="2241"/>
      <c r="CT46" s="2241"/>
      <c r="CU46" s="2241"/>
      <c r="CV46" s="2241"/>
      <c r="CW46" s="2241"/>
      <c r="CX46" s="2241"/>
      <c r="CY46" s="2241"/>
      <c r="CZ46" s="2241"/>
      <c r="DA46" s="2590"/>
      <c r="DB46" s="2590"/>
      <c r="DC46" s="2590"/>
      <c r="DD46" s="2590"/>
      <c r="DE46" s="2590"/>
      <c r="DF46" s="2590"/>
      <c r="DG46" s="2590"/>
      <c r="DH46" s="2590"/>
      <c r="DI46" s="2590"/>
      <c r="DJ46" s="2590"/>
      <c r="DK46" s="2590"/>
      <c r="DL46" s="2590"/>
      <c r="DM46" s="2590"/>
      <c r="DN46" s="2590"/>
      <c r="DO46" s="2590"/>
      <c r="DP46" s="2590"/>
      <c r="DQ46" s="2591"/>
      <c r="DS46" s="6617"/>
      <c r="DT46" s="2584"/>
      <c r="DU46" s="2584"/>
      <c r="DV46" s="2584"/>
      <c r="DW46" s="2584"/>
      <c r="DX46" s="2584"/>
      <c r="DY46" s="2584"/>
      <c r="DZ46" s="2584"/>
      <c r="EA46" s="2584"/>
      <c r="EB46" s="2584"/>
      <c r="EC46" s="2584"/>
      <c r="ED46" s="2584"/>
      <c r="EE46" s="2584"/>
      <c r="EF46" s="2584"/>
      <c r="EG46" s="2584"/>
      <c r="EH46" s="2584"/>
      <c r="EI46" s="2584"/>
      <c r="EJ46" s="2584"/>
      <c r="EK46" s="2584"/>
      <c r="EL46" s="2584"/>
      <c r="EM46" s="2584"/>
      <c r="EN46" s="2584"/>
      <c r="EO46" s="2584"/>
      <c r="EP46" s="2584"/>
      <c r="EQ46" s="2584"/>
      <c r="ER46" s="2584"/>
      <c r="ES46" s="2584"/>
      <c r="ET46" s="2584"/>
      <c r="EU46" s="2584"/>
      <c r="EV46" s="2584"/>
      <c r="EW46" s="2584"/>
      <c r="EX46" s="2584"/>
      <c r="EY46" s="2584"/>
      <c r="EZ46" s="2584"/>
      <c r="FA46" s="2584"/>
      <c r="FB46" s="2584"/>
      <c r="FC46" s="2584"/>
      <c r="FD46" s="2584"/>
      <c r="FE46" s="2584"/>
      <c r="FF46" s="2584"/>
      <c r="FG46" s="2584"/>
      <c r="FH46" s="2584"/>
      <c r="FI46" s="2584"/>
      <c r="FJ46" s="2584"/>
      <c r="FK46" s="2584"/>
      <c r="FL46" s="6618"/>
    </row>
    <row r="47" spans="1:168" s="2578" customFormat="1" ht="15" customHeight="1">
      <c r="A47" s="16659"/>
      <c r="B47" s="16540"/>
      <c r="C47" s="5163" t="s">
        <v>8168</v>
      </c>
      <c r="D47" s="2579" t="s">
        <v>1908</v>
      </c>
      <c r="E47" s="5072" t="s">
        <v>1909</v>
      </c>
      <c r="F47" s="2581">
        <v>4</v>
      </c>
      <c r="G47" s="5072" t="s">
        <v>386</v>
      </c>
      <c r="H47" s="2583">
        <v>0</v>
      </c>
      <c r="I47" s="2581">
        <v>6</v>
      </c>
      <c r="J47" s="2581">
        <v>8</v>
      </c>
      <c r="K47" s="2581">
        <v>10</v>
      </c>
      <c r="L47" s="2581">
        <v>12</v>
      </c>
      <c r="M47" s="2581">
        <v>14</v>
      </c>
      <c r="N47" s="2581">
        <v>16</v>
      </c>
      <c r="O47" s="2581">
        <v>18</v>
      </c>
      <c r="P47" s="2581">
        <v>20</v>
      </c>
      <c r="Q47" s="2581">
        <v>25</v>
      </c>
      <c r="R47" s="2581">
        <v>30</v>
      </c>
      <c r="S47" s="2581">
        <f>F47+I47+J47+K47+L47+M47+N47+O47+P47+Q47+R47</f>
        <v>163</v>
      </c>
      <c r="T47" s="5072" t="s">
        <v>1870</v>
      </c>
      <c r="U47" s="5072" t="s">
        <v>10070</v>
      </c>
      <c r="V47" s="5072" t="s">
        <v>512</v>
      </c>
      <c r="W47" s="2964"/>
      <c r="X47" s="5077"/>
      <c r="Y47" s="6645">
        <v>27500000</v>
      </c>
      <c r="Z47" s="6646">
        <v>1</v>
      </c>
      <c r="AA47" s="2586" t="s">
        <v>3991</v>
      </c>
      <c r="AB47" s="2586" t="s">
        <v>3970</v>
      </c>
      <c r="AC47" s="2586" t="s">
        <v>3992</v>
      </c>
      <c r="AD47" s="2592">
        <f>248850000*0.4</f>
        <v>99540000</v>
      </c>
      <c r="AE47" s="2588" t="s">
        <v>2943</v>
      </c>
      <c r="AF47" s="2584"/>
      <c r="AG47" s="2584"/>
      <c r="AH47" s="2588">
        <v>19921</v>
      </c>
      <c r="AI47" s="2584"/>
      <c r="AJ47" s="2584"/>
      <c r="AK47" s="2588">
        <v>12222</v>
      </c>
      <c r="AL47" s="2588">
        <v>7699</v>
      </c>
      <c r="AM47" s="2584"/>
      <c r="AN47" s="2584"/>
      <c r="AO47" s="2588" t="s">
        <v>2943</v>
      </c>
      <c r="AP47" s="2588" t="s">
        <v>2943</v>
      </c>
      <c r="AQ47" s="2588" t="s">
        <v>2943</v>
      </c>
      <c r="AR47" s="2588" t="s">
        <v>2943</v>
      </c>
      <c r="AS47" s="2588" t="s">
        <v>2943</v>
      </c>
      <c r="AT47" s="2588" t="s">
        <v>2943</v>
      </c>
      <c r="AU47" s="2584"/>
      <c r="AV47" s="2584"/>
      <c r="AW47" s="2584"/>
      <c r="AX47" s="2584"/>
      <c r="AY47" s="2584"/>
      <c r="AZ47" s="2584"/>
      <c r="BA47" s="2584"/>
      <c r="BB47" s="2593" t="s">
        <v>2943</v>
      </c>
      <c r="BC47" s="2584"/>
      <c r="BD47" s="2584"/>
      <c r="BE47" s="2584"/>
      <c r="BF47" s="2584"/>
      <c r="BG47" s="2584"/>
      <c r="BH47" s="2586" t="s">
        <v>3961</v>
      </c>
      <c r="BI47" s="2586" t="s">
        <v>3954</v>
      </c>
      <c r="BJ47" s="2586" t="s">
        <v>3993</v>
      </c>
      <c r="BK47" s="2584"/>
      <c r="BL47" s="2586" t="s">
        <v>3975</v>
      </c>
      <c r="BM47" s="2588">
        <f>AH47</f>
        <v>19921</v>
      </c>
      <c r="BN47" s="2588" t="s">
        <v>2943</v>
      </c>
      <c r="BO47" s="2588"/>
      <c r="BP47" s="2588"/>
      <c r="BQ47" s="2586" t="s">
        <v>3975</v>
      </c>
      <c r="BR47" s="6647"/>
      <c r="BS47" s="2588">
        <v>1</v>
      </c>
      <c r="BT47" s="5092">
        <f>BS47/I47</f>
        <v>0.16666666666666666</v>
      </c>
      <c r="BU47" s="16685"/>
      <c r="BV47" s="5070" t="s">
        <v>9336</v>
      </c>
      <c r="BW47" s="5070" t="s">
        <v>9337</v>
      </c>
      <c r="BX47" s="5070" t="s">
        <v>9338</v>
      </c>
      <c r="BY47" s="2589"/>
      <c r="BZ47" s="2589"/>
      <c r="CA47" s="2589"/>
      <c r="CB47" s="2589"/>
      <c r="CC47" s="2239">
        <v>20</v>
      </c>
      <c r="CD47" s="2241">
        <v>7</v>
      </c>
      <c r="CE47" s="2241">
        <v>13</v>
      </c>
      <c r="CF47" s="2241">
        <v>0</v>
      </c>
      <c r="CG47" s="2241"/>
      <c r="CH47" s="2241"/>
      <c r="CI47" s="2241">
        <v>20</v>
      </c>
      <c r="CJ47" s="2241"/>
      <c r="CK47" s="2241"/>
      <c r="CL47" s="2241"/>
      <c r="CM47" s="2241">
        <v>1</v>
      </c>
      <c r="CN47" s="2241">
        <v>7</v>
      </c>
      <c r="CO47" s="2241">
        <v>10</v>
      </c>
      <c r="CP47" s="2241">
        <v>2</v>
      </c>
      <c r="CQ47" s="2241"/>
      <c r="CR47" s="2241"/>
      <c r="CS47" s="2241"/>
      <c r="CT47" s="2241"/>
      <c r="CU47" s="2241"/>
      <c r="CV47" s="2241"/>
      <c r="CW47" s="2241"/>
      <c r="CX47" s="2241"/>
      <c r="CY47" s="2241"/>
      <c r="CZ47" s="2241">
        <v>20</v>
      </c>
      <c r="DA47" s="2589">
        <v>20</v>
      </c>
      <c r="DB47" s="2590"/>
      <c r="DC47" s="2590"/>
      <c r="DD47" s="2590"/>
      <c r="DE47" s="2590"/>
      <c r="DF47" s="2590"/>
      <c r="DG47" s="2590"/>
      <c r="DH47" s="2590"/>
      <c r="DI47" s="2590"/>
      <c r="DJ47" s="2590"/>
      <c r="DK47" s="2590"/>
      <c r="DL47" s="2590"/>
      <c r="DM47" s="2590"/>
      <c r="DN47" s="2590"/>
      <c r="DO47" s="2590"/>
      <c r="DP47" s="2590"/>
      <c r="DQ47" s="2591"/>
      <c r="DS47" s="6617"/>
      <c r="DT47" s="2584"/>
      <c r="DU47" s="2584"/>
      <c r="DV47" s="2584"/>
      <c r="DW47" s="2584"/>
      <c r="DX47" s="2584"/>
      <c r="DY47" s="2584"/>
      <c r="DZ47" s="2584"/>
      <c r="EA47" s="2584"/>
      <c r="EB47" s="2584"/>
      <c r="EC47" s="2584"/>
      <c r="ED47" s="2584"/>
      <c r="EE47" s="2584"/>
      <c r="EF47" s="2584"/>
      <c r="EG47" s="2584"/>
      <c r="EH47" s="2584"/>
      <c r="EI47" s="2584"/>
      <c r="EJ47" s="2584"/>
      <c r="EK47" s="2584"/>
      <c r="EL47" s="2584"/>
      <c r="EM47" s="2584"/>
      <c r="EN47" s="2584"/>
      <c r="EO47" s="2584"/>
      <c r="EP47" s="2584"/>
      <c r="EQ47" s="2584"/>
      <c r="ER47" s="2584"/>
      <c r="ES47" s="2584"/>
      <c r="ET47" s="2584"/>
      <c r="EU47" s="2584"/>
      <c r="EV47" s="2584"/>
      <c r="EW47" s="2584"/>
      <c r="EX47" s="2584"/>
      <c r="EY47" s="2584"/>
      <c r="EZ47" s="2584"/>
      <c r="FA47" s="2584"/>
      <c r="FB47" s="2584"/>
      <c r="FC47" s="2584"/>
      <c r="FD47" s="2584"/>
      <c r="FE47" s="2584"/>
      <c r="FF47" s="2584"/>
      <c r="FG47" s="2584"/>
      <c r="FH47" s="2584"/>
      <c r="FI47" s="2584"/>
      <c r="FJ47" s="2584"/>
      <c r="FK47" s="2584"/>
      <c r="FL47" s="6618"/>
    </row>
    <row r="48" spans="1:168" s="2578" customFormat="1" ht="15" customHeight="1">
      <c r="A48" s="16659"/>
      <c r="B48" s="16540"/>
      <c r="C48" s="5163" t="s">
        <v>8169</v>
      </c>
      <c r="D48" s="2579" t="s">
        <v>1910</v>
      </c>
      <c r="E48" s="5072" t="s">
        <v>1911</v>
      </c>
      <c r="F48" s="2581">
        <v>0</v>
      </c>
      <c r="G48" s="5072" t="s">
        <v>382</v>
      </c>
      <c r="H48" s="2583">
        <v>0</v>
      </c>
      <c r="I48" s="2581">
        <v>1</v>
      </c>
      <c r="J48" s="2581">
        <v>1</v>
      </c>
      <c r="K48" s="2581">
        <v>1</v>
      </c>
      <c r="L48" s="2581">
        <v>1</v>
      </c>
      <c r="M48" s="2581">
        <v>1</v>
      </c>
      <c r="N48" s="2581">
        <v>1</v>
      </c>
      <c r="O48" s="2581">
        <v>1</v>
      </c>
      <c r="P48" s="2581">
        <v>1</v>
      </c>
      <c r="Q48" s="2581">
        <v>1</v>
      </c>
      <c r="R48" s="2581">
        <v>1</v>
      </c>
      <c r="S48" s="2581">
        <v>1</v>
      </c>
      <c r="T48" s="5072" t="s">
        <v>1912</v>
      </c>
      <c r="U48" s="5072" t="s">
        <v>10070</v>
      </c>
      <c r="V48" s="5072" t="s">
        <v>512</v>
      </c>
      <c r="W48" s="2964"/>
      <c r="X48" s="5077" t="s">
        <v>1408</v>
      </c>
      <c r="Y48" s="6645">
        <v>0</v>
      </c>
      <c r="Z48" s="6646">
        <v>1</v>
      </c>
      <c r="AA48" s="2594" t="s">
        <v>3127</v>
      </c>
      <c r="AB48" s="2595" t="s">
        <v>3128</v>
      </c>
      <c r="AC48" s="2588" t="s">
        <v>3129</v>
      </c>
      <c r="AD48" s="2596">
        <f>AE48+AF48+AG48</f>
        <v>20262888</v>
      </c>
      <c r="AE48" s="2596">
        <v>20262888</v>
      </c>
      <c r="AF48" s="2596">
        <v>0</v>
      </c>
      <c r="AG48" s="2596">
        <v>0</v>
      </c>
      <c r="AH48" s="2595" t="s">
        <v>3130</v>
      </c>
      <c r="AI48" s="2584"/>
      <c r="AJ48" s="2584"/>
      <c r="AK48" s="2584"/>
      <c r="AL48" s="2584"/>
      <c r="AM48" s="2584"/>
      <c r="AN48" s="2584"/>
      <c r="AO48" s="2584"/>
      <c r="AP48" s="2584"/>
      <c r="AQ48" s="2584"/>
      <c r="AR48" s="2584"/>
      <c r="AS48" s="2584"/>
      <c r="AT48" s="2584"/>
      <c r="AU48" s="2584"/>
      <c r="AV48" s="2584"/>
      <c r="AW48" s="2584"/>
      <c r="AX48" s="2584"/>
      <c r="AY48" s="2584"/>
      <c r="AZ48" s="2584"/>
      <c r="BA48" s="2584"/>
      <c r="BB48" s="2584"/>
      <c r="BC48" s="2584"/>
      <c r="BD48" s="2584"/>
      <c r="BE48" s="2584"/>
      <c r="BF48" s="2584"/>
      <c r="BG48" s="2584"/>
      <c r="BH48" s="2584"/>
      <c r="BI48" s="2584"/>
      <c r="BJ48" s="2584"/>
      <c r="BK48" s="2584"/>
      <c r="BL48" s="2584"/>
      <c r="BM48" s="2584"/>
      <c r="BN48" s="2584"/>
      <c r="BO48" s="2584"/>
      <c r="BP48" s="2584"/>
      <c r="BQ48" s="2584"/>
      <c r="BR48" s="2600"/>
      <c r="BS48" s="2588">
        <v>29</v>
      </c>
      <c r="BT48" s="5092">
        <f>IF((BS48/I48)&gt;1,100%)</f>
        <v>1</v>
      </c>
      <c r="BU48" s="16685"/>
      <c r="BV48" s="5070" t="s">
        <v>9339</v>
      </c>
      <c r="BW48" s="5070" t="s">
        <v>9326</v>
      </c>
      <c r="BX48" s="2586" t="s">
        <v>9340</v>
      </c>
      <c r="BY48" s="2589">
        <f>97315800+804661656</f>
        <v>901977456</v>
      </c>
      <c r="BZ48" s="2589"/>
      <c r="CA48" s="2589"/>
      <c r="CB48" s="2589"/>
      <c r="CC48" s="2239">
        <v>28944</v>
      </c>
      <c r="CD48" s="2241">
        <v>0</v>
      </c>
      <c r="CE48" s="2241">
        <v>0</v>
      </c>
      <c r="CF48" s="2241">
        <v>28944</v>
      </c>
      <c r="CG48" s="2241"/>
      <c r="CH48" s="2241"/>
      <c r="CI48" s="2241">
        <v>28944</v>
      </c>
      <c r="CJ48" s="2241"/>
      <c r="CK48" s="2241"/>
      <c r="CL48" s="2241"/>
      <c r="CM48" s="2241"/>
      <c r="CN48" s="2241"/>
      <c r="CO48" s="2241"/>
      <c r="CP48" s="2241"/>
      <c r="CQ48" s="2241">
        <v>28944</v>
      </c>
      <c r="CR48" s="2241"/>
      <c r="CS48" s="2241"/>
      <c r="CT48" s="2241"/>
      <c r="CU48" s="2241"/>
      <c r="CV48" s="2241"/>
      <c r="CW48" s="2241"/>
      <c r="CX48" s="2241"/>
      <c r="CY48" s="2241"/>
      <c r="CZ48" s="2241">
        <v>28944</v>
      </c>
      <c r="DA48" s="2590"/>
      <c r="DB48" s="2590"/>
      <c r="DC48" s="2590"/>
      <c r="DD48" s="2590"/>
      <c r="DE48" s="2590"/>
      <c r="DF48" s="2590"/>
      <c r="DG48" s="2590"/>
      <c r="DH48" s="2590"/>
      <c r="DI48" s="2590"/>
      <c r="DJ48" s="2590"/>
      <c r="DK48" s="2590"/>
      <c r="DL48" s="2590"/>
      <c r="DM48" s="2590"/>
      <c r="DN48" s="2590"/>
      <c r="DO48" s="2590"/>
      <c r="DP48" s="2590"/>
      <c r="DQ48" s="2591"/>
      <c r="DS48" s="6617"/>
      <c r="DT48" s="2584"/>
      <c r="DU48" s="2584"/>
      <c r="DV48" s="2584"/>
      <c r="DW48" s="2584"/>
      <c r="DX48" s="2584"/>
      <c r="DY48" s="2584"/>
      <c r="DZ48" s="2584"/>
      <c r="EA48" s="2584"/>
      <c r="EB48" s="2584"/>
      <c r="EC48" s="2584"/>
      <c r="ED48" s="2584"/>
      <c r="EE48" s="2584"/>
      <c r="EF48" s="2584"/>
      <c r="EG48" s="2584"/>
      <c r="EH48" s="2584"/>
      <c r="EI48" s="2584"/>
      <c r="EJ48" s="2584"/>
      <c r="EK48" s="2584"/>
      <c r="EL48" s="2584"/>
      <c r="EM48" s="2584"/>
      <c r="EN48" s="2584"/>
      <c r="EO48" s="2584"/>
      <c r="EP48" s="2584"/>
      <c r="EQ48" s="2584"/>
      <c r="ER48" s="2584"/>
      <c r="ES48" s="2584"/>
      <c r="ET48" s="2584"/>
      <c r="EU48" s="2584"/>
      <c r="EV48" s="2584"/>
      <c r="EW48" s="2584"/>
      <c r="EX48" s="2584"/>
      <c r="EY48" s="2584"/>
      <c r="EZ48" s="2584"/>
      <c r="FA48" s="2584"/>
      <c r="FB48" s="2584"/>
      <c r="FC48" s="2584"/>
      <c r="FD48" s="2584"/>
      <c r="FE48" s="2584"/>
      <c r="FF48" s="2584"/>
      <c r="FG48" s="2584"/>
      <c r="FH48" s="2584"/>
      <c r="FI48" s="2584"/>
      <c r="FJ48" s="2584"/>
      <c r="FK48" s="2584"/>
      <c r="FL48" s="6618"/>
    </row>
    <row r="49" spans="1:168" s="2578" customFormat="1" ht="15" customHeight="1">
      <c r="A49" s="16659"/>
      <c r="B49" s="16540"/>
      <c r="C49" s="5163" t="s">
        <v>8170</v>
      </c>
      <c r="D49" s="2580" t="s">
        <v>1913</v>
      </c>
      <c r="E49" s="5072" t="s">
        <v>1914</v>
      </c>
      <c r="F49" s="2597">
        <v>1</v>
      </c>
      <c r="G49" s="5072" t="s">
        <v>382</v>
      </c>
      <c r="H49" s="2598">
        <v>0.2</v>
      </c>
      <c r="I49" s="2597">
        <v>1</v>
      </c>
      <c r="J49" s="2597">
        <v>1</v>
      </c>
      <c r="K49" s="2597">
        <v>1</v>
      </c>
      <c r="L49" s="2597">
        <v>1</v>
      </c>
      <c r="M49" s="2597">
        <v>1</v>
      </c>
      <c r="N49" s="2597">
        <v>1</v>
      </c>
      <c r="O49" s="2597">
        <v>1</v>
      </c>
      <c r="P49" s="2597">
        <v>1</v>
      </c>
      <c r="Q49" s="2597">
        <v>1</v>
      </c>
      <c r="R49" s="2597">
        <v>1</v>
      </c>
      <c r="S49" s="2597">
        <v>1</v>
      </c>
      <c r="T49" s="5072" t="s">
        <v>1915</v>
      </c>
      <c r="U49" s="5072" t="s">
        <v>10063</v>
      </c>
      <c r="V49" s="5072" t="s">
        <v>1408</v>
      </c>
      <c r="W49" s="2964"/>
      <c r="X49" s="5077"/>
      <c r="Y49" s="6648">
        <v>22500000</v>
      </c>
      <c r="Z49" s="6646">
        <v>1</v>
      </c>
      <c r="AA49" s="2595" t="s">
        <v>3131</v>
      </c>
      <c r="AB49" s="2599" t="s">
        <v>3132</v>
      </c>
      <c r="AC49" s="2588" t="s">
        <v>545</v>
      </c>
      <c r="AD49" s="2596">
        <f>AE49+AF49+AG49</f>
        <v>20262888</v>
      </c>
      <c r="AE49" s="2596">
        <v>20262888</v>
      </c>
      <c r="AF49" s="2596">
        <v>0</v>
      </c>
      <c r="AG49" s="2596">
        <v>0</v>
      </c>
      <c r="AH49" s="2593" t="s">
        <v>545</v>
      </c>
      <c r="AI49" s="2584"/>
      <c r="AJ49" s="2584"/>
      <c r="AK49" s="2584"/>
      <c r="AL49" s="2584"/>
      <c r="AM49" s="2584"/>
      <c r="AN49" s="2584"/>
      <c r="AO49" s="2584"/>
      <c r="AP49" s="2584"/>
      <c r="AQ49" s="2584"/>
      <c r="AR49" s="2584"/>
      <c r="AS49" s="2584"/>
      <c r="AT49" s="2584"/>
      <c r="AU49" s="2584"/>
      <c r="AV49" s="2584"/>
      <c r="AW49" s="2584"/>
      <c r="AX49" s="2584"/>
      <c r="AY49" s="2584"/>
      <c r="AZ49" s="2584"/>
      <c r="BA49" s="2584"/>
      <c r="BB49" s="2584"/>
      <c r="BC49" s="2584"/>
      <c r="BD49" s="2584"/>
      <c r="BE49" s="2584"/>
      <c r="BF49" s="2584"/>
      <c r="BG49" s="2584"/>
      <c r="BH49" s="2584"/>
      <c r="BI49" s="2584"/>
      <c r="BJ49" s="2584"/>
      <c r="BK49" s="2584"/>
      <c r="BL49" s="2584"/>
      <c r="BM49" s="2584"/>
      <c r="BN49" s="2584"/>
      <c r="BO49" s="2584"/>
      <c r="BP49" s="2584"/>
      <c r="BQ49" s="2584"/>
      <c r="BR49" s="2600"/>
      <c r="BS49" s="4774">
        <v>0.63680000000000003</v>
      </c>
      <c r="BT49" s="5092">
        <f>BS49/I49</f>
        <v>0.63680000000000003</v>
      </c>
      <c r="BU49" s="16685"/>
      <c r="BV49" s="2601" t="s">
        <v>9404</v>
      </c>
      <c r="BW49" s="2602"/>
      <c r="BX49" s="2602"/>
      <c r="BY49" s="2603">
        <f>BZ49+CA49+CB49</f>
        <v>100185035.95999999</v>
      </c>
      <c r="BZ49" s="2589">
        <v>100185035.95999999</v>
      </c>
      <c r="CA49" s="2589">
        <v>0</v>
      </c>
      <c r="CB49" s="2589">
        <v>0</v>
      </c>
      <c r="CC49" s="2247"/>
      <c r="CD49" s="2241"/>
      <c r="CE49" s="2241"/>
      <c r="CF49" s="2241"/>
      <c r="CG49" s="2241"/>
      <c r="CH49" s="2241"/>
      <c r="CI49" s="2241"/>
      <c r="CJ49" s="2241"/>
      <c r="CK49" s="2241"/>
      <c r="CL49" s="2241"/>
      <c r="CM49" s="2241"/>
      <c r="CN49" s="2241"/>
      <c r="CO49" s="2241"/>
      <c r="CP49" s="2241"/>
      <c r="CQ49" s="2241"/>
      <c r="CR49" s="2241"/>
      <c r="CS49" s="2241"/>
      <c r="CT49" s="2241"/>
      <c r="CU49" s="2241"/>
      <c r="CV49" s="2241"/>
      <c r="CW49" s="2241"/>
      <c r="CX49" s="2241"/>
      <c r="CY49" s="2241"/>
      <c r="CZ49" s="2241"/>
      <c r="DA49" s="2590"/>
      <c r="DB49" s="2590"/>
      <c r="DC49" s="2590"/>
      <c r="DD49" s="2590"/>
      <c r="DE49" s="2590"/>
      <c r="DF49" s="2590"/>
      <c r="DG49" s="2590"/>
      <c r="DH49" s="2590"/>
      <c r="DI49" s="2590"/>
      <c r="DJ49" s="2590"/>
      <c r="DK49" s="2590"/>
      <c r="DL49" s="2590"/>
      <c r="DM49" s="2590"/>
      <c r="DN49" s="2590"/>
      <c r="DO49" s="2590"/>
      <c r="DP49" s="2590"/>
      <c r="DQ49" s="2591"/>
      <c r="DS49" s="6617"/>
      <c r="DT49" s="2584"/>
      <c r="DU49" s="2584"/>
      <c r="DV49" s="2584"/>
      <c r="DW49" s="2584"/>
      <c r="DX49" s="2584"/>
      <c r="DY49" s="2584"/>
      <c r="DZ49" s="2584"/>
      <c r="EA49" s="2584"/>
      <c r="EB49" s="2584"/>
      <c r="EC49" s="2584"/>
      <c r="ED49" s="2584"/>
      <c r="EE49" s="2584"/>
      <c r="EF49" s="2584"/>
      <c r="EG49" s="2584"/>
      <c r="EH49" s="2584"/>
      <c r="EI49" s="2584"/>
      <c r="EJ49" s="2584"/>
      <c r="EK49" s="2584"/>
      <c r="EL49" s="2584"/>
      <c r="EM49" s="2584"/>
      <c r="EN49" s="2584"/>
      <c r="EO49" s="2584"/>
      <c r="EP49" s="2584"/>
      <c r="EQ49" s="2584"/>
      <c r="ER49" s="2584"/>
      <c r="ES49" s="2584"/>
      <c r="ET49" s="2584"/>
      <c r="EU49" s="2584"/>
      <c r="EV49" s="2584"/>
      <c r="EW49" s="2584"/>
      <c r="EX49" s="2584"/>
      <c r="EY49" s="2584"/>
      <c r="EZ49" s="2584"/>
      <c r="FA49" s="2584"/>
      <c r="FB49" s="2584"/>
      <c r="FC49" s="2584"/>
      <c r="FD49" s="2584"/>
      <c r="FE49" s="2584"/>
      <c r="FF49" s="2584"/>
      <c r="FG49" s="2584"/>
      <c r="FH49" s="2584"/>
      <c r="FI49" s="2584"/>
      <c r="FJ49" s="2584"/>
      <c r="FK49" s="2584"/>
      <c r="FL49" s="6618"/>
    </row>
    <row r="50" spans="1:168" s="2578" customFormat="1" ht="15" customHeight="1">
      <c r="A50" s="16659"/>
      <c r="B50" s="16540"/>
      <c r="C50" s="5163" t="s">
        <v>8171</v>
      </c>
      <c r="D50" s="2604" t="s">
        <v>1916</v>
      </c>
      <c r="E50" s="2580" t="s">
        <v>1917</v>
      </c>
      <c r="F50" s="2581">
        <v>1</v>
      </c>
      <c r="G50" s="5072" t="s">
        <v>386</v>
      </c>
      <c r="H50" s="2583">
        <v>647.79999999999995</v>
      </c>
      <c r="I50" s="2581">
        <v>1</v>
      </c>
      <c r="J50" s="2581">
        <v>1</v>
      </c>
      <c r="K50" s="2581">
        <v>1</v>
      </c>
      <c r="L50" s="2581">
        <v>1</v>
      </c>
      <c r="M50" s="2581">
        <v>1</v>
      </c>
      <c r="N50" s="2581">
        <v>1</v>
      </c>
      <c r="O50" s="2581">
        <v>1</v>
      </c>
      <c r="P50" s="2581">
        <v>1</v>
      </c>
      <c r="Q50" s="2581">
        <v>1</v>
      </c>
      <c r="R50" s="2581">
        <v>1</v>
      </c>
      <c r="S50" s="5072">
        <v>660</v>
      </c>
      <c r="T50" s="5072" t="s">
        <v>700</v>
      </c>
      <c r="U50" s="5072" t="s">
        <v>10092</v>
      </c>
      <c r="V50" s="5072" t="s">
        <v>1918</v>
      </c>
      <c r="W50" s="2964"/>
      <c r="X50" s="5077"/>
      <c r="Y50" s="6645">
        <v>1500000000</v>
      </c>
      <c r="Z50" s="6649">
        <v>1</v>
      </c>
      <c r="AA50" s="2595" t="s">
        <v>4002</v>
      </c>
      <c r="AB50" s="2599" t="s">
        <v>4003</v>
      </c>
      <c r="AC50" s="2584" t="s">
        <v>3071</v>
      </c>
      <c r="AD50" s="2605">
        <v>54000000</v>
      </c>
      <c r="AE50" s="2588" t="s">
        <v>2891</v>
      </c>
      <c r="AF50" s="2584"/>
      <c r="AG50" s="2584"/>
      <c r="AH50" s="2588" t="s">
        <v>4004</v>
      </c>
      <c r="AI50" s="2584"/>
      <c r="AJ50" s="2584"/>
      <c r="AK50" s="2584"/>
      <c r="AL50" s="2584"/>
      <c r="AM50" s="2584"/>
      <c r="AN50" s="2584"/>
      <c r="AO50" s="2584"/>
      <c r="AP50" s="2584"/>
      <c r="AQ50" s="2584"/>
      <c r="AR50" s="2584"/>
      <c r="AS50" s="2584"/>
      <c r="AT50" s="2584"/>
      <c r="AU50" s="2584"/>
      <c r="AV50" s="2584"/>
      <c r="AW50" s="2584"/>
      <c r="AX50" s="2584"/>
      <c r="AY50" s="2584"/>
      <c r="AZ50" s="2584"/>
      <c r="BA50" s="2584"/>
      <c r="BB50" s="2584"/>
      <c r="BC50" s="2584"/>
      <c r="BD50" s="2584"/>
      <c r="BE50" s="2584"/>
      <c r="BF50" s="2584"/>
      <c r="BG50" s="2584"/>
      <c r="BH50" s="2584"/>
      <c r="BI50" s="2584"/>
      <c r="BJ50" s="2584"/>
      <c r="BK50" s="2584"/>
      <c r="BL50" s="2584"/>
      <c r="BM50" s="2584"/>
      <c r="BN50" s="2584"/>
      <c r="BO50" s="2584"/>
      <c r="BP50" s="2584"/>
      <c r="BQ50" s="2584"/>
      <c r="BR50" s="2600"/>
      <c r="BS50" s="2606" t="s">
        <v>9653</v>
      </c>
      <c r="BT50" s="5092">
        <v>0</v>
      </c>
      <c r="BU50" s="16685"/>
      <c r="BV50" s="2606" t="s">
        <v>9653</v>
      </c>
      <c r="BW50" s="2607"/>
      <c r="BX50" s="2607"/>
      <c r="BY50" s="2603"/>
      <c r="BZ50" s="2603"/>
      <c r="CA50" s="2603"/>
      <c r="CB50" s="2603"/>
      <c r="CC50" s="2527"/>
      <c r="CD50" s="2528"/>
      <c r="CE50" s="2528"/>
      <c r="CF50" s="2533"/>
      <c r="CG50" s="2528"/>
      <c r="CH50" s="2528"/>
      <c r="CI50" s="2528"/>
      <c r="CJ50" s="2528"/>
      <c r="CK50" s="2528"/>
      <c r="CL50" s="2528"/>
      <c r="CM50" s="2528"/>
      <c r="CN50" s="2528"/>
      <c r="CO50" s="2528"/>
      <c r="CP50" s="2528"/>
      <c r="CQ50" s="2528"/>
      <c r="CR50" s="2528"/>
      <c r="CS50" s="2528"/>
      <c r="CT50" s="2528"/>
      <c r="CU50" s="2528"/>
      <c r="CV50" s="2528"/>
      <c r="CW50" s="2528"/>
      <c r="CX50" s="2528"/>
      <c r="CY50" s="2528"/>
      <c r="CZ50" s="2528"/>
      <c r="DA50" s="2603"/>
      <c r="DB50" s="2603"/>
      <c r="DC50" s="2603"/>
      <c r="DD50" s="2603"/>
      <c r="DE50" s="2603"/>
      <c r="DF50" s="2603"/>
      <c r="DG50" s="2603"/>
      <c r="DH50" s="2603"/>
      <c r="DI50" s="2603"/>
      <c r="DJ50" s="2603"/>
      <c r="DK50" s="2603"/>
      <c r="DL50" s="2603"/>
      <c r="DM50" s="2603"/>
      <c r="DN50" s="2603"/>
      <c r="DO50" s="2603"/>
      <c r="DP50" s="2603"/>
      <c r="DQ50" s="2133"/>
      <c r="DS50" s="6617"/>
      <c r="DT50" s="2584"/>
      <c r="DU50" s="2584"/>
      <c r="DV50" s="2584"/>
      <c r="DW50" s="2584"/>
      <c r="DX50" s="2584"/>
      <c r="DY50" s="2584"/>
      <c r="DZ50" s="2584"/>
      <c r="EA50" s="2584"/>
      <c r="EB50" s="2584"/>
      <c r="EC50" s="2584"/>
      <c r="ED50" s="2584"/>
      <c r="EE50" s="2584"/>
      <c r="EF50" s="2584"/>
      <c r="EG50" s="2584"/>
      <c r="EH50" s="2584"/>
      <c r="EI50" s="2584"/>
      <c r="EJ50" s="2584"/>
      <c r="EK50" s="2584"/>
      <c r="EL50" s="2584"/>
      <c r="EM50" s="2584"/>
      <c r="EN50" s="2584"/>
      <c r="EO50" s="2584"/>
      <c r="EP50" s="2584"/>
      <c r="EQ50" s="2584"/>
      <c r="ER50" s="2584"/>
      <c r="ES50" s="2584"/>
      <c r="ET50" s="2584"/>
      <c r="EU50" s="2584"/>
      <c r="EV50" s="2584"/>
      <c r="EW50" s="2584"/>
      <c r="EX50" s="2584"/>
      <c r="EY50" s="2584"/>
      <c r="EZ50" s="2584"/>
      <c r="FA50" s="2584"/>
      <c r="FB50" s="2584"/>
      <c r="FC50" s="2584"/>
      <c r="FD50" s="2584"/>
      <c r="FE50" s="2584"/>
      <c r="FF50" s="2584"/>
      <c r="FG50" s="2584"/>
      <c r="FH50" s="2584"/>
      <c r="FI50" s="2584"/>
      <c r="FJ50" s="2584"/>
      <c r="FK50" s="2584"/>
      <c r="FL50" s="6618"/>
    </row>
    <row r="51" spans="1:168" s="2578" customFormat="1" ht="15" customHeight="1">
      <c r="A51" s="16659"/>
      <c r="B51" s="16540"/>
      <c r="C51" s="5163" t="s">
        <v>8172</v>
      </c>
      <c r="D51" s="2604" t="s">
        <v>1919</v>
      </c>
      <c r="E51" s="2580" t="s">
        <v>1920</v>
      </c>
      <c r="F51" s="2581">
        <v>1</v>
      </c>
      <c r="G51" s="5072" t="s">
        <v>386</v>
      </c>
      <c r="H51" s="2583">
        <v>450.2</v>
      </c>
      <c r="I51" s="2581">
        <v>1</v>
      </c>
      <c r="J51" s="2581">
        <v>1</v>
      </c>
      <c r="K51" s="2581">
        <v>1</v>
      </c>
      <c r="L51" s="2581">
        <v>1</v>
      </c>
      <c r="M51" s="2581">
        <v>1</v>
      </c>
      <c r="N51" s="2581">
        <v>1</v>
      </c>
      <c r="O51" s="2581">
        <v>1</v>
      </c>
      <c r="P51" s="2581">
        <v>1</v>
      </c>
      <c r="Q51" s="2581">
        <v>1</v>
      </c>
      <c r="R51" s="2581">
        <v>1</v>
      </c>
      <c r="S51" s="5072">
        <v>461</v>
      </c>
      <c r="T51" s="5072" t="s">
        <v>700</v>
      </c>
      <c r="U51" s="5072" t="s">
        <v>10092</v>
      </c>
      <c r="V51" s="5072" t="s">
        <v>1918</v>
      </c>
      <c r="W51" s="2964"/>
      <c r="X51" s="5077"/>
      <c r="Y51" s="6645">
        <v>3000000000</v>
      </c>
      <c r="Z51" s="6649">
        <v>1</v>
      </c>
      <c r="AA51" s="2595" t="s">
        <v>4005</v>
      </c>
      <c r="AB51" s="2599" t="s">
        <v>4003</v>
      </c>
      <c r="AC51" s="2584" t="s">
        <v>3071</v>
      </c>
      <c r="AD51" s="2608">
        <v>19906264541</v>
      </c>
      <c r="AE51" s="2588" t="s">
        <v>2891</v>
      </c>
      <c r="AF51" s="2584"/>
      <c r="AG51" s="2584"/>
      <c r="AH51" s="2584"/>
      <c r="AI51" s="2584"/>
      <c r="AJ51" s="2584"/>
      <c r="AK51" s="2584"/>
      <c r="AL51" s="2584"/>
      <c r="AM51" s="2584"/>
      <c r="AN51" s="2584"/>
      <c r="AO51" s="2584"/>
      <c r="AP51" s="2584"/>
      <c r="AQ51" s="2584"/>
      <c r="AR51" s="2584"/>
      <c r="AS51" s="2584"/>
      <c r="AT51" s="2584"/>
      <c r="AU51" s="2584"/>
      <c r="AV51" s="2584"/>
      <c r="AW51" s="2584"/>
      <c r="AX51" s="2584"/>
      <c r="AY51" s="2584"/>
      <c r="AZ51" s="2584"/>
      <c r="BA51" s="2584"/>
      <c r="BB51" s="2584"/>
      <c r="BC51" s="2584"/>
      <c r="BD51" s="2584"/>
      <c r="BE51" s="2584"/>
      <c r="BF51" s="2584"/>
      <c r="BG51" s="2584"/>
      <c r="BH51" s="2584"/>
      <c r="BI51" s="2584"/>
      <c r="BJ51" s="2584"/>
      <c r="BK51" s="2584"/>
      <c r="BL51" s="2584"/>
      <c r="BM51" s="2584"/>
      <c r="BN51" s="2584"/>
      <c r="BO51" s="2584"/>
      <c r="BP51" s="2584"/>
      <c r="BQ51" s="2584"/>
      <c r="BR51" s="2600"/>
      <c r="BS51" s="2606" t="s">
        <v>9653</v>
      </c>
      <c r="BT51" s="5092">
        <v>0</v>
      </c>
      <c r="BU51" s="16685"/>
      <c r="BV51" s="2606" t="s">
        <v>9653</v>
      </c>
      <c r="BW51" s="2607"/>
      <c r="BX51" s="2607"/>
      <c r="BY51" s="2603"/>
      <c r="BZ51" s="2603"/>
      <c r="CA51" s="2603"/>
      <c r="CB51" s="2603"/>
      <c r="CC51" s="2527"/>
      <c r="CD51" s="2528"/>
      <c r="CE51" s="2528"/>
      <c r="CF51" s="2533"/>
      <c r="CG51" s="2528"/>
      <c r="CH51" s="2528"/>
      <c r="CI51" s="2528"/>
      <c r="CJ51" s="2528"/>
      <c r="CK51" s="2528"/>
      <c r="CL51" s="2528"/>
      <c r="CM51" s="2528"/>
      <c r="CN51" s="2528"/>
      <c r="CO51" s="2528"/>
      <c r="CP51" s="2528"/>
      <c r="CQ51" s="2528"/>
      <c r="CR51" s="2528"/>
      <c r="CS51" s="2528"/>
      <c r="CT51" s="2528"/>
      <c r="CU51" s="2528"/>
      <c r="CV51" s="2528"/>
      <c r="CW51" s="2528"/>
      <c r="CX51" s="2528"/>
      <c r="CY51" s="2528"/>
      <c r="CZ51" s="2528"/>
      <c r="DA51" s="2603"/>
      <c r="DB51" s="2603"/>
      <c r="DC51" s="2603"/>
      <c r="DD51" s="2603"/>
      <c r="DE51" s="2603"/>
      <c r="DF51" s="2603"/>
      <c r="DG51" s="2603"/>
      <c r="DH51" s="2603"/>
      <c r="DI51" s="2603"/>
      <c r="DJ51" s="2603"/>
      <c r="DK51" s="2603"/>
      <c r="DL51" s="2603"/>
      <c r="DM51" s="2603"/>
      <c r="DN51" s="2603"/>
      <c r="DO51" s="2603"/>
      <c r="DP51" s="2603"/>
      <c r="DQ51" s="2133"/>
      <c r="DS51" s="6617"/>
      <c r="DT51" s="2584"/>
      <c r="DU51" s="2584"/>
      <c r="DV51" s="2584"/>
      <c r="DW51" s="2584"/>
      <c r="DX51" s="2584"/>
      <c r="DY51" s="2584"/>
      <c r="DZ51" s="2584"/>
      <c r="EA51" s="2584"/>
      <c r="EB51" s="2584"/>
      <c r="EC51" s="2584"/>
      <c r="ED51" s="2584"/>
      <c r="EE51" s="2584"/>
      <c r="EF51" s="2584"/>
      <c r="EG51" s="2584"/>
      <c r="EH51" s="2584"/>
      <c r="EI51" s="2584"/>
      <c r="EJ51" s="2584"/>
      <c r="EK51" s="2584"/>
      <c r="EL51" s="2584"/>
      <c r="EM51" s="2584"/>
      <c r="EN51" s="2584"/>
      <c r="EO51" s="2584"/>
      <c r="EP51" s="2584"/>
      <c r="EQ51" s="2584"/>
      <c r="ER51" s="2584"/>
      <c r="ES51" s="2584"/>
      <c r="ET51" s="2584"/>
      <c r="EU51" s="2584"/>
      <c r="EV51" s="2584"/>
      <c r="EW51" s="2584"/>
      <c r="EX51" s="2584"/>
      <c r="EY51" s="2584"/>
      <c r="EZ51" s="2584"/>
      <c r="FA51" s="2584"/>
      <c r="FB51" s="2584"/>
      <c r="FC51" s="2584"/>
      <c r="FD51" s="2584"/>
      <c r="FE51" s="2584"/>
      <c r="FF51" s="2584"/>
      <c r="FG51" s="2584"/>
      <c r="FH51" s="2584"/>
      <c r="FI51" s="2584"/>
      <c r="FJ51" s="2584"/>
      <c r="FK51" s="2584"/>
      <c r="FL51" s="6618"/>
    </row>
    <row r="52" spans="1:168" s="2578" customFormat="1" ht="15" customHeight="1">
      <c r="A52" s="16659"/>
      <c r="B52" s="16540"/>
      <c r="C52" s="5163" t="s">
        <v>8173</v>
      </c>
      <c r="D52" s="2604" t="s">
        <v>1921</v>
      </c>
      <c r="E52" s="2580" t="s">
        <v>1922</v>
      </c>
      <c r="F52" s="5072">
        <v>645</v>
      </c>
      <c r="G52" s="5072" t="s">
        <v>382</v>
      </c>
      <c r="H52" s="2583">
        <v>644.79999999999995</v>
      </c>
      <c r="I52" s="5072">
        <v>645</v>
      </c>
      <c r="J52" s="5072">
        <v>645</v>
      </c>
      <c r="K52" s="5072">
        <v>645</v>
      </c>
      <c r="L52" s="5072">
        <v>645</v>
      </c>
      <c r="M52" s="5072">
        <v>645</v>
      </c>
      <c r="N52" s="5072">
        <v>645</v>
      </c>
      <c r="O52" s="5072">
        <v>645</v>
      </c>
      <c r="P52" s="5072">
        <v>645</v>
      </c>
      <c r="Q52" s="5072">
        <v>645</v>
      </c>
      <c r="R52" s="5072">
        <v>645</v>
      </c>
      <c r="S52" s="5072">
        <v>645</v>
      </c>
      <c r="T52" s="5072" t="s">
        <v>700</v>
      </c>
      <c r="U52" s="5072" t="s">
        <v>10092</v>
      </c>
      <c r="V52" s="5072" t="s">
        <v>1918</v>
      </c>
      <c r="W52" s="2964"/>
      <c r="X52" s="5077"/>
      <c r="Y52" s="6645">
        <v>3600000000</v>
      </c>
      <c r="Z52" s="6646">
        <v>1</v>
      </c>
      <c r="AA52" s="2595" t="s">
        <v>4006</v>
      </c>
      <c r="AB52" s="2599" t="s">
        <v>4003</v>
      </c>
      <c r="AC52" s="2584" t="s">
        <v>3071</v>
      </c>
      <c r="AD52" s="2608">
        <v>6500000000</v>
      </c>
      <c r="AE52" s="2588" t="s">
        <v>2891</v>
      </c>
      <c r="AF52" s="2584"/>
      <c r="AG52" s="2584"/>
      <c r="AH52" s="2584"/>
      <c r="AI52" s="2584"/>
      <c r="AJ52" s="2584"/>
      <c r="AK52" s="2584"/>
      <c r="AL52" s="2584"/>
      <c r="AM52" s="2584"/>
      <c r="AN52" s="2584"/>
      <c r="AO52" s="2584"/>
      <c r="AP52" s="2584"/>
      <c r="AQ52" s="2584"/>
      <c r="AR52" s="2584"/>
      <c r="AS52" s="2584"/>
      <c r="AT52" s="2584"/>
      <c r="AU52" s="2584"/>
      <c r="AV52" s="2584"/>
      <c r="AW52" s="2584"/>
      <c r="AX52" s="2584"/>
      <c r="AY52" s="2584"/>
      <c r="AZ52" s="2584"/>
      <c r="BA52" s="2584"/>
      <c r="BB52" s="2584"/>
      <c r="BC52" s="2584"/>
      <c r="BD52" s="2584"/>
      <c r="BE52" s="2584"/>
      <c r="BF52" s="2584"/>
      <c r="BG52" s="2584"/>
      <c r="BH52" s="2584"/>
      <c r="BI52" s="2584"/>
      <c r="BJ52" s="2584"/>
      <c r="BK52" s="2584"/>
      <c r="BL52" s="2584"/>
      <c r="BM52" s="2584"/>
      <c r="BN52" s="2584"/>
      <c r="BO52" s="2584"/>
      <c r="BP52" s="2584"/>
      <c r="BQ52" s="2584"/>
      <c r="BR52" s="2600"/>
      <c r="BS52" s="2606" t="s">
        <v>9653</v>
      </c>
      <c r="BT52" s="5092">
        <v>0</v>
      </c>
      <c r="BU52" s="16685"/>
      <c r="BV52" s="2606" t="s">
        <v>9653</v>
      </c>
      <c r="BW52" s="2607"/>
      <c r="BX52" s="2607"/>
      <c r="BY52" s="2603"/>
      <c r="BZ52" s="2603"/>
      <c r="CA52" s="2603"/>
      <c r="CB52" s="2603"/>
      <c r="CC52" s="2527"/>
      <c r="CD52" s="2528"/>
      <c r="CE52" s="2528"/>
      <c r="CF52" s="2533"/>
      <c r="CG52" s="2528"/>
      <c r="CH52" s="2528"/>
      <c r="CI52" s="2528"/>
      <c r="CJ52" s="2528"/>
      <c r="CK52" s="2528"/>
      <c r="CL52" s="2528"/>
      <c r="CM52" s="2528"/>
      <c r="CN52" s="2528"/>
      <c r="CO52" s="2528"/>
      <c r="CP52" s="2528"/>
      <c r="CQ52" s="2528"/>
      <c r="CR52" s="2528"/>
      <c r="CS52" s="2528"/>
      <c r="CT52" s="2528"/>
      <c r="CU52" s="2528"/>
      <c r="CV52" s="2528"/>
      <c r="CW52" s="2528"/>
      <c r="CX52" s="2528"/>
      <c r="CY52" s="2528"/>
      <c r="CZ52" s="2528"/>
      <c r="DA52" s="2603"/>
      <c r="DB52" s="2603"/>
      <c r="DC52" s="2603"/>
      <c r="DD52" s="2603"/>
      <c r="DE52" s="2603"/>
      <c r="DF52" s="2603"/>
      <c r="DG52" s="2603"/>
      <c r="DH52" s="2603"/>
      <c r="DI52" s="2603"/>
      <c r="DJ52" s="2603"/>
      <c r="DK52" s="2603"/>
      <c r="DL52" s="2603"/>
      <c r="DM52" s="2603"/>
      <c r="DN52" s="2603"/>
      <c r="DO52" s="2603"/>
      <c r="DP52" s="2603"/>
      <c r="DQ52" s="2133"/>
      <c r="DS52" s="6617"/>
      <c r="DT52" s="2584"/>
      <c r="DU52" s="2584"/>
      <c r="DV52" s="2584"/>
      <c r="DW52" s="2584"/>
      <c r="DX52" s="2584"/>
      <c r="DY52" s="2584"/>
      <c r="DZ52" s="2584"/>
      <c r="EA52" s="2584"/>
      <c r="EB52" s="2584"/>
      <c r="EC52" s="2584"/>
      <c r="ED52" s="2584"/>
      <c r="EE52" s="2584"/>
      <c r="EF52" s="2584"/>
      <c r="EG52" s="2584"/>
      <c r="EH52" s="2584"/>
      <c r="EI52" s="2584"/>
      <c r="EJ52" s="2584"/>
      <c r="EK52" s="2584"/>
      <c r="EL52" s="2584"/>
      <c r="EM52" s="2584"/>
      <c r="EN52" s="2584"/>
      <c r="EO52" s="2584"/>
      <c r="EP52" s="2584"/>
      <c r="EQ52" s="2584"/>
      <c r="ER52" s="2584"/>
      <c r="ES52" s="2584"/>
      <c r="ET52" s="2584"/>
      <c r="EU52" s="2584"/>
      <c r="EV52" s="2584"/>
      <c r="EW52" s="2584"/>
      <c r="EX52" s="2584"/>
      <c r="EY52" s="2584"/>
      <c r="EZ52" s="2584"/>
      <c r="FA52" s="2584"/>
      <c r="FB52" s="2584"/>
      <c r="FC52" s="2584"/>
      <c r="FD52" s="2584"/>
      <c r="FE52" s="2584"/>
      <c r="FF52" s="2584"/>
      <c r="FG52" s="2584"/>
      <c r="FH52" s="2584"/>
      <c r="FI52" s="2584"/>
      <c r="FJ52" s="2584"/>
      <c r="FK52" s="2584"/>
      <c r="FL52" s="6618"/>
    </row>
    <row r="53" spans="1:168" s="2578" customFormat="1" ht="15" customHeight="1">
      <c r="A53" s="16659"/>
      <c r="B53" s="16540"/>
      <c r="C53" s="5163" t="s">
        <v>8174</v>
      </c>
      <c r="D53" s="2604" t="s">
        <v>1923</v>
      </c>
      <c r="E53" s="2580" t="s">
        <v>1924</v>
      </c>
      <c r="F53" s="5072">
        <v>450</v>
      </c>
      <c r="G53" s="5072" t="s">
        <v>382</v>
      </c>
      <c r="H53" s="2583">
        <v>450.2</v>
      </c>
      <c r="I53" s="5072">
        <v>450</v>
      </c>
      <c r="J53" s="5072">
        <v>450</v>
      </c>
      <c r="K53" s="5072">
        <v>450</v>
      </c>
      <c r="L53" s="5072">
        <v>450</v>
      </c>
      <c r="M53" s="5072">
        <v>450</v>
      </c>
      <c r="N53" s="5072">
        <v>450</v>
      </c>
      <c r="O53" s="5072">
        <v>450</v>
      </c>
      <c r="P53" s="5072">
        <v>450</v>
      </c>
      <c r="Q53" s="5072">
        <v>450</v>
      </c>
      <c r="R53" s="5072">
        <v>450</v>
      </c>
      <c r="S53" s="5072">
        <v>450</v>
      </c>
      <c r="T53" s="5072" t="s">
        <v>700</v>
      </c>
      <c r="U53" s="5072" t="s">
        <v>10092</v>
      </c>
      <c r="V53" s="5072" t="s">
        <v>1918</v>
      </c>
      <c r="W53" s="2964"/>
      <c r="X53" s="5077"/>
      <c r="Y53" s="6645">
        <v>2000000000</v>
      </c>
      <c r="Z53" s="6646">
        <v>1</v>
      </c>
      <c r="AA53" s="2595" t="s">
        <v>4007</v>
      </c>
      <c r="AB53" s="2599" t="s">
        <v>4003</v>
      </c>
      <c r="AC53" s="2584" t="s">
        <v>3071</v>
      </c>
      <c r="AD53" s="2608">
        <v>3603650293</v>
      </c>
      <c r="AE53" s="2588" t="s">
        <v>2891</v>
      </c>
      <c r="AF53" s="2584"/>
      <c r="AG53" s="2584"/>
      <c r="AH53" s="2584"/>
      <c r="AI53" s="2584"/>
      <c r="AJ53" s="2584"/>
      <c r="AK53" s="2584"/>
      <c r="AL53" s="2584"/>
      <c r="AM53" s="2584"/>
      <c r="AN53" s="2584"/>
      <c r="AO53" s="2584"/>
      <c r="AP53" s="2584"/>
      <c r="AQ53" s="2584"/>
      <c r="AR53" s="2584"/>
      <c r="AS53" s="2584"/>
      <c r="AT53" s="2584"/>
      <c r="AU53" s="2584"/>
      <c r="AV53" s="2584"/>
      <c r="AW53" s="2584"/>
      <c r="AX53" s="2584"/>
      <c r="AY53" s="2584"/>
      <c r="AZ53" s="2584"/>
      <c r="BA53" s="2584"/>
      <c r="BB53" s="2584"/>
      <c r="BC53" s="2584"/>
      <c r="BD53" s="2584"/>
      <c r="BE53" s="2584"/>
      <c r="BF53" s="2584"/>
      <c r="BG53" s="2584"/>
      <c r="BH53" s="2584"/>
      <c r="BI53" s="2584"/>
      <c r="BJ53" s="2584"/>
      <c r="BK53" s="2584"/>
      <c r="BL53" s="2584"/>
      <c r="BM53" s="2584"/>
      <c r="BN53" s="2584"/>
      <c r="BO53" s="2584"/>
      <c r="BP53" s="2584"/>
      <c r="BQ53" s="2584"/>
      <c r="BR53" s="2600"/>
      <c r="BS53" s="2606" t="s">
        <v>9653</v>
      </c>
      <c r="BT53" s="5092">
        <v>0</v>
      </c>
      <c r="BU53" s="16685"/>
      <c r="BV53" s="2606" t="s">
        <v>9653</v>
      </c>
      <c r="BW53" s="2607"/>
      <c r="BX53" s="2607"/>
      <c r="BY53" s="2603"/>
      <c r="BZ53" s="2603"/>
      <c r="CA53" s="2603"/>
      <c r="CB53" s="2603"/>
      <c r="CC53" s="2527"/>
      <c r="CD53" s="2528"/>
      <c r="CE53" s="2528"/>
      <c r="CF53" s="2533"/>
      <c r="CG53" s="2528"/>
      <c r="CH53" s="2528"/>
      <c r="CI53" s="2528"/>
      <c r="CJ53" s="2528"/>
      <c r="CK53" s="2528"/>
      <c r="CL53" s="2528"/>
      <c r="CM53" s="2528"/>
      <c r="CN53" s="2528"/>
      <c r="CO53" s="2528"/>
      <c r="CP53" s="2528"/>
      <c r="CQ53" s="2528"/>
      <c r="CR53" s="2528"/>
      <c r="CS53" s="2528"/>
      <c r="CT53" s="2528"/>
      <c r="CU53" s="2528"/>
      <c r="CV53" s="2528"/>
      <c r="CW53" s="2528"/>
      <c r="CX53" s="2528"/>
      <c r="CY53" s="2528"/>
      <c r="CZ53" s="2528"/>
      <c r="DA53" s="2603"/>
      <c r="DB53" s="2603"/>
      <c r="DC53" s="2603"/>
      <c r="DD53" s="2603"/>
      <c r="DE53" s="2603"/>
      <c r="DF53" s="2603"/>
      <c r="DG53" s="2603"/>
      <c r="DH53" s="2603"/>
      <c r="DI53" s="2603"/>
      <c r="DJ53" s="2603"/>
      <c r="DK53" s="2603"/>
      <c r="DL53" s="2603"/>
      <c r="DM53" s="2603"/>
      <c r="DN53" s="2603"/>
      <c r="DO53" s="2603"/>
      <c r="DP53" s="2603"/>
      <c r="DQ53" s="2133"/>
      <c r="DS53" s="6617"/>
      <c r="DT53" s="2584"/>
      <c r="DU53" s="2584"/>
      <c r="DV53" s="2584"/>
      <c r="DW53" s="2584"/>
      <c r="DX53" s="2584"/>
      <c r="DY53" s="2584"/>
      <c r="DZ53" s="2584"/>
      <c r="EA53" s="2584"/>
      <c r="EB53" s="2584"/>
      <c r="EC53" s="2584"/>
      <c r="ED53" s="2584"/>
      <c r="EE53" s="2584"/>
      <c r="EF53" s="2584"/>
      <c r="EG53" s="2584"/>
      <c r="EH53" s="2584"/>
      <c r="EI53" s="2584"/>
      <c r="EJ53" s="2584"/>
      <c r="EK53" s="2584"/>
      <c r="EL53" s="2584"/>
      <c r="EM53" s="2584"/>
      <c r="EN53" s="2584"/>
      <c r="EO53" s="2584"/>
      <c r="EP53" s="2584"/>
      <c r="EQ53" s="2584"/>
      <c r="ER53" s="2584"/>
      <c r="ES53" s="2584"/>
      <c r="ET53" s="2584"/>
      <c r="EU53" s="2584"/>
      <c r="EV53" s="2584"/>
      <c r="EW53" s="2584"/>
      <c r="EX53" s="2584"/>
      <c r="EY53" s="2584"/>
      <c r="EZ53" s="2584"/>
      <c r="FA53" s="2584"/>
      <c r="FB53" s="2584"/>
      <c r="FC53" s="2584"/>
      <c r="FD53" s="2584"/>
      <c r="FE53" s="2584"/>
      <c r="FF53" s="2584"/>
      <c r="FG53" s="2584"/>
      <c r="FH53" s="2584"/>
      <c r="FI53" s="2584"/>
      <c r="FJ53" s="2584"/>
      <c r="FK53" s="2584"/>
      <c r="FL53" s="6618"/>
    </row>
    <row r="54" spans="1:168" s="2578" customFormat="1" ht="15" customHeight="1">
      <c r="A54" s="16659"/>
      <c r="B54" s="16540"/>
      <c r="C54" s="5163" t="s">
        <v>8175</v>
      </c>
      <c r="D54" s="2604" t="s">
        <v>1925</v>
      </c>
      <c r="E54" s="2580" t="s">
        <v>1926</v>
      </c>
      <c r="F54" s="5072">
        <v>1</v>
      </c>
      <c r="G54" s="5072" t="s">
        <v>382</v>
      </c>
      <c r="H54" s="2583" t="s">
        <v>1832</v>
      </c>
      <c r="I54" s="5072">
        <v>1</v>
      </c>
      <c r="J54" s="5072">
        <v>1</v>
      </c>
      <c r="K54" s="5072">
        <v>1</v>
      </c>
      <c r="L54" s="5072">
        <v>1</v>
      </c>
      <c r="M54" s="5072">
        <v>1</v>
      </c>
      <c r="N54" s="5072">
        <v>1</v>
      </c>
      <c r="O54" s="5072">
        <v>1</v>
      </c>
      <c r="P54" s="5072">
        <v>1</v>
      </c>
      <c r="Q54" s="5072">
        <v>1</v>
      </c>
      <c r="R54" s="5072">
        <v>1</v>
      </c>
      <c r="S54" s="2581">
        <v>11</v>
      </c>
      <c r="T54" s="5072" t="s">
        <v>700</v>
      </c>
      <c r="U54" s="5072" t="s">
        <v>10092</v>
      </c>
      <c r="V54" s="5072" t="s">
        <v>1918</v>
      </c>
      <c r="W54" s="2964"/>
      <c r="X54" s="5077"/>
      <c r="Y54" s="6645">
        <v>120000000</v>
      </c>
      <c r="Z54" s="6646">
        <v>1</v>
      </c>
      <c r="AA54" s="2595" t="s">
        <v>4008</v>
      </c>
      <c r="AB54" s="2599" t="s">
        <v>4003</v>
      </c>
      <c r="AC54" s="2584" t="s">
        <v>3071</v>
      </c>
      <c r="AD54" s="2608">
        <v>95228817.109999999</v>
      </c>
      <c r="AE54" s="2588" t="s">
        <v>2891</v>
      </c>
      <c r="AF54" s="2584"/>
      <c r="AG54" s="2584"/>
      <c r="AH54" s="2584"/>
      <c r="AI54" s="2584"/>
      <c r="AJ54" s="2584"/>
      <c r="AK54" s="2584"/>
      <c r="AL54" s="2584"/>
      <c r="AM54" s="2584"/>
      <c r="AN54" s="2584"/>
      <c r="AO54" s="2584"/>
      <c r="AP54" s="2584"/>
      <c r="AQ54" s="2584"/>
      <c r="AR54" s="2584"/>
      <c r="AS54" s="2584"/>
      <c r="AT54" s="2584"/>
      <c r="AU54" s="2584"/>
      <c r="AV54" s="2584"/>
      <c r="AW54" s="2584"/>
      <c r="AX54" s="2584"/>
      <c r="AY54" s="2584"/>
      <c r="AZ54" s="2584"/>
      <c r="BA54" s="2584"/>
      <c r="BB54" s="2584"/>
      <c r="BC54" s="2584"/>
      <c r="BD54" s="2584"/>
      <c r="BE54" s="2584"/>
      <c r="BF54" s="2584"/>
      <c r="BG54" s="2584"/>
      <c r="BH54" s="2584"/>
      <c r="BI54" s="2584"/>
      <c r="BJ54" s="2584"/>
      <c r="BK54" s="2584"/>
      <c r="BL54" s="2584"/>
      <c r="BM54" s="2584"/>
      <c r="BN54" s="2584"/>
      <c r="BO54" s="2584"/>
      <c r="BP54" s="2584"/>
      <c r="BQ54" s="2584"/>
      <c r="BR54" s="2600"/>
      <c r="BS54" s="2606" t="s">
        <v>9653</v>
      </c>
      <c r="BT54" s="5092">
        <v>0</v>
      </c>
      <c r="BU54" s="16685"/>
      <c r="BV54" s="2606" t="s">
        <v>9653</v>
      </c>
      <c r="BW54" s="2607"/>
      <c r="BX54" s="2607"/>
      <c r="BY54" s="2603"/>
      <c r="BZ54" s="2603"/>
      <c r="CA54" s="2603"/>
      <c r="CB54" s="2603"/>
      <c r="CC54" s="2527"/>
      <c r="CD54" s="2528"/>
      <c r="CE54" s="2528"/>
      <c r="CF54" s="2533"/>
      <c r="CG54" s="2528"/>
      <c r="CH54" s="2528"/>
      <c r="CI54" s="2528"/>
      <c r="CJ54" s="2528"/>
      <c r="CK54" s="2528"/>
      <c r="CL54" s="2528"/>
      <c r="CM54" s="2528"/>
      <c r="CN54" s="2528"/>
      <c r="CO54" s="2528"/>
      <c r="CP54" s="2528"/>
      <c r="CQ54" s="2528"/>
      <c r="CR54" s="2528"/>
      <c r="CS54" s="2528"/>
      <c r="CT54" s="2528"/>
      <c r="CU54" s="2528"/>
      <c r="CV54" s="2528"/>
      <c r="CW54" s="2528"/>
      <c r="CX54" s="2528"/>
      <c r="CY54" s="2528"/>
      <c r="CZ54" s="2528"/>
      <c r="DA54" s="2603"/>
      <c r="DB54" s="2603"/>
      <c r="DC54" s="2603"/>
      <c r="DD54" s="2603"/>
      <c r="DE54" s="2603"/>
      <c r="DF54" s="2603"/>
      <c r="DG54" s="2603"/>
      <c r="DH54" s="2603"/>
      <c r="DI54" s="2603"/>
      <c r="DJ54" s="2603"/>
      <c r="DK54" s="2603"/>
      <c r="DL54" s="2603"/>
      <c r="DM54" s="2603"/>
      <c r="DN54" s="2603"/>
      <c r="DO54" s="2603"/>
      <c r="DP54" s="2603"/>
      <c r="DQ54" s="2133"/>
      <c r="DS54" s="6617"/>
      <c r="DT54" s="2584"/>
      <c r="DU54" s="2584"/>
      <c r="DV54" s="2584"/>
      <c r="DW54" s="2584"/>
      <c r="DX54" s="2584"/>
      <c r="DY54" s="2584"/>
      <c r="DZ54" s="2584"/>
      <c r="EA54" s="2584"/>
      <c r="EB54" s="2584"/>
      <c r="EC54" s="2584"/>
      <c r="ED54" s="2584"/>
      <c r="EE54" s="2584"/>
      <c r="EF54" s="2584"/>
      <c r="EG54" s="2584"/>
      <c r="EH54" s="2584"/>
      <c r="EI54" s="2584"/>
      <c r="EJ54" s="2584"/>
      <c r="EK54" s="2584"/>
      <c r="EL54" s="2584"/>
      <c r="EM54" s="2584"/>
      <c r="EN54" s="2584"/>
      <c r="EO54" s="2584"/>
      <c r="EP54" s="2584"/>
      <c r="EQ54" s="2584"/>
      <c r="ER54" s="2584"/>
      <c r="ES54" s="2584"/>
      <c r="ET54" s="2584"/>
      <c r="EU54" s="2584"/>
      <c r="EV54" s="2584"/>
      <c r="EW54" s="2584"/>
      <c r="EX54" s="2584"/>
      <c r="EY54" s="2584"/>
      <c r="EZ54" s="2584"/>
      <c r="FA54" s="2584"/>
      <c r="FB54" s="2584"/>
      <c r="FC54" s="2584"/>
      <c r="FD54" s="2584"/>
      <c r="FE54" s="2584"/>
      <c r="FF54" s="2584"/>
      <c r="FG54" s="2584"/>
      <c r="FH54" s="2584"/>
      <c r="FI54" s="2584"/>
      <c r="FJ54" s="2584"/>
      <c r="FK54" s="2584"/>
      <c r="FL54" s="6618"/>
    </row>
    <row r="55" spans="1:168" s="2578" customFormat="1" ht="15" customHeight="1">
      <c r="A55" s="16659"/>
      <c r="B55" s="16540"/>
      <c r="C55" s="5163" t="s">
        <v>8176</v>
      </c>
      <c r="D55" s="2604" t="s">
        <v>1927</v>
      </c>
      <c r="E55" s="2580" t="s">
        <v>1928</v>
      </c>
      <c r="F55" s="5072">
        <v>25</v>
      </c>
      <c r="G55" s="5072" t="s">
        <v>382</v>
      </c>
      <c r="H55" s="2583" t="s">
        <v>1832</v>
      </c>
      <c r="I55" s="5072">
        <v>25</v>
      </c>
      <c r="J55" s="5072">
        <v>25</v>
      </c>
      <c r="K55" s="5072">
        <v>25</v>
      </c>
      <c r="L55" s="5072">
        <v>25</v>
      </c>
      <c r="M55" s="5072">
        <v>25</v>
      </c>
      <c r="N55" s="5072">
        <v>25</v>
      </c>
      <c r="O55" s="5072">
        <v>25</v>
      </c>
      <c r="P55" s="5072">
        <v>25</v>
      </c>
      <c r="Q55" s="5072">
        <v>25</v>
      </c>
      <c r="R55" s="5072">
        <v>25</v>
      </c>
      <c r="S55" s="2581">
        <v>25</v>
      </c>
      <c r="T55" s="5072" t="s">
        <v>700</v>
      </c>
      <c r="U55" s="5072" t="s">
        <v>10092</v>
      </c>
      <c r="V55" s="5072" t="s">
        <v>1918</v>
      </c>
      <c r="W55" s="2964"/>
      <c r="X55" s="5077"/>
      <c r="Y55" s="6645">
        <v>75000000</v>
      </c>
      <c r="Z55" s="6646">
        <v>1</v>
      </c>
      <c r="AA55" s="2595" t="s">
        <v>4009</v>
      </c>
      <c r="AB55" s="2599" t="s">
        <v>4003</v>
      </c>
      <c r="AC55" s="2584" t="s">
        <v>3071</v>
      </c>
      <c r="AD55" s="2608">
        <v>153574273</v>
      </c>
      <c r="AE55" s="2588" t="s">
        <v>2891</v>
      </c>
      <c r="AF55" s="2584"/>
      <c r="AG55" s="2584"/>
      <c r="AH55" s="2584"/>
      <c r="AI55" s="2584"/>
      <c r="AJ55" s="2584"/>
      <c r="AK55" s="2584"/>
      <c r="AL55" s="2584"/>
      <c r="AM55" s="2584"/>
      <c r="AN55" s="2584"/>
      <c r="AO55" s="2584"/>
      <c r="AP55" s="2584"/>
      <c r="AQ55" s="2584"/>
      <c r="AR55" s="2584"/>
      <c r="AS55" s="2584"/>
      <c r="AT55" s="2584"/>
      <c r="AU55" s="2584"/>
      <c r="AV55" s="2584"/>
      <c r="AW55" s="2584"/>
      <c r="AX55" s="2584"/>
      <c r="AY55" s="2584"/>
      <c r="AZ55" s="2584"/>
      <c r="BA55" s="2584"/>
      <c r="BB55" s="2584"/>
      <c r="BC55" s="2584"/>
      <c r="BD55" s="2584"/>
      <c r="BE55" s="2584"/>
      <c r="BF55" s="2584"/>
      <c r="BG55" s="2584"/>
      <c r="BH55" s="2584"/>
      <c r="BI55" s="2584"/>
      <c r="BJ55" s="2584"/>
      <c r="BK55" s="2584"/>
      <c r="BL55" s="2584"/>
      <c r="BM55" s="2584"/>
      <c r="BN55" s="2584"/>
      <c r="BO55" s="2584"/>
      <c r="BP55" s="2584"/>
      <c r="BQ55" s="2584"/>
      <c r="BR55" s="2600"/>
      <c r="BS55" s="2606" t="s">
        <v>9653</v>
      </c>
      <c r="BT55" s="5092">
        <v>0</v>
      </c>
      <c r="BU55" s="16685"/>
      <c r="BV55" s="2606" t="s">
        <v>9653</v>
      </c>
      <c r="BW55" s="2607"/>
      <c r="BX55" s="2607"/>
      <c r="BY55" s="2603"/>
      <c r="BZ55" s="2603"/>
      <c r="CA55" s="2603"/>
      <c r="CB55" s="2603"/>
      <c r="CC55" s="2527"/>
      <c r="CD55" s="2528"/>
      <c r="CE55" s="2528"/>
      <c r="CF55" s="2533"/>
      <c r="CG55" s="2528"/>
      <c r="CH55" s="2528"/>
      <c r="CI55" s="2528"/>
      <c r="CJ55" s="2528"/>
      <c r="CK55" s="2528"/>
      <c r="CL55" s="2528"/>
      <c r="CM55" s="2528"/>
      <c r="CN55" s="2528"/>
      <c r="CO55" s="2528"/>
      <c r="CP55" s="2528"/>
      <c r="CQ55" s="2528"/>
      <c r="CR55" s="2528"/>
      <c r="CS55" s="2528"/>
      <c r="CT55" s="2528"/>
      <c r="CU55" s="2528"/>
      <c r="CV55" s="2528"/>
      <c r="CW55" s="2528"/>
      <c r="CX55" s="2528"/>
      <c r="CY55" s="2528"/>
      <c r="CZ55" s="2528"/>
      <c r="DA55" s="2603"/>
      <c r="DB55" s="2603"/>
      <c r="DC55" s="2603"/>
      <c r="DD55" s="2603"/>
      <c r="DE55" s="2603"/>
      <c r="DF55" s="2603"/>
      <c r="DG55" s="2603"/>
      <c r="DH55" s="2603"/>
      <c r="DI55" s="2603"/>
      <c r="DJ55" s="2603"/>
      <c r="DK55" s="2603"/>
      <c r="DL55" s="2603"/>
      <c r="DM55" s="2603"/>
      <c r="DN55" s="2603"/>
      <c r="DO55" s="2603"/>
      <c r="DP55" s="2603"/>
      <c r="DQ55" s="2133"/>
      <c r="DS55" s="6617"/>
      <c r="DT55" s="2584"/>
      <c r="DU55" s="2584"/>
      <c r="DV55" s="2584"/>
      <c r="DW55" s="2584"/>
      <c r="DX55" s="2584"/>
      <c r="DY55" s="2584"/>
      <c r="DZ55" s="2584"/>
      <c r="EA55" s="2584"/>
      <c r="EB55" s="2584"/>
      <c r="EC55" s="2584"/>
      <c r="ED55" s="2584"/>
      <c r="EE55" s="2584"/>
      <c r="EF55" s="2584"/>
      <c r="EG55" s="2584"/>
      <c r="EH55" s="2584"/>
      <c r="EI55" s="2584"/>
      <c r="EJ55" s="2584"/>
      <c r="EK55" s="2584"/>
      <c r="EL55" s="2584"/>
      <c r="EM55" s="2584"/>
      <c r="EN55" s="2584"/>
      <c r="EO55" s="2584"/>
      <c r="EP55" s="2584"/>
      <c r="EQ55" s="2584"/>
      <c r="ER55" s="2584"/>
      <c r="ES55" s="2584"/>
      <c r="ET55" s="2584"/>
      <c r="EU55" s="2584"/>
      <c r="EV55" s="2584"/>
      <c r="EW55" s="2584"/>
      <c r="EX55" s="2584"/>
      <c r="EY55" s="2584"/>
      <c r="EZ55" s="2584"/>
      <c r="FA55" s="2584"/>
      <c r="FB55" s="2584"/>
      <c r="FC55" s="2584"/>
      <c r="FD55" s="2584"/>
      <c r="FE55" s="2584"/>
      <c r="FF55" s="2584"/>
      <c r="FG55" s="2584"/>
      <c r="FH55" s="2584"/>
      <c r="FI55" s="2584"/>
      <c r="FJ55" s="2584"/>
      <c r="FK55" s="2584"/>
      <c r="FL55" s="6618"/>
    </row>
    <row r="56" spans="1:168" s="2578" customFormat="1" ht="15" customHeight="1">
      <c r="A56" s="16659"/>
      <c r="B56" s="16540"/>
      <c r="C56" s="5163" t="s">
        <v>8177</v>
      </c>
      <c r="D56" s="2604" t="s">
        <v>1929</v>
      </c>
      <c r="E56" s="2580" t="s">
        <v>1930</v>
      </c>
      <c r="F56" s="5072">
        <v>205</v>
      </c>
      <c r="G56" s="5072" t="s">
        <v>382</v>
      </c>
      <c r="H56" s="2583" t="s">
        <v>1832</v>
      </c>
      <c r="I56" s="5072">
        <v>205</v>
      </c>
      <c r="J56" s="5072">
        <v>205</v>
      </c>
      <c r="K56" s="5072">
        <v>205</v>
      </c>
      <c r="L56" s="5072">
        <v>205</v>
      </c>
      <c r="M56" s="5072">
        <v>205</v>
      </c>
      <c r="N56" s="5072">
        <v>205</v>
      </c>
      <c r="O56" s="5072">
        <v>205</v>
      </c>
      <c r="P56" s="5072">
        <v>205</v>
      </c>
      <c r="Q56" s="5072">
        <v>205</v>
      </c>
      <c r="R56" s="5072">
        <v>205</v>
      </c>
      <c r="S56" s="2581">
        <v>205</v>
      </c>
      <c r="T56" s="5072" t="s">
        <v>1805</v>
      </c>
      <c r="U56" s="5072" t="s">
        <v>10092</v>
      </c>
      <c r="V56" s="5072" t="s">
        <v>1918</v>
      </c>
      <c r="W56" s="2964"/>
      <c r="X56" s="5077"/>
      <c r="Y56" s="6650">
        <v>1000000000</v>
      </c>
      <c r="Z56" s="6646">
        <v>1</v>
      </c>
      <c r="AA56" s="2595" t="s">
        <v>4010</v>
      </c>
      <c r="AB56" s="2599" t="s">
        <v>4003</v>
      </c>
      <c r="AC56" s="2584" t="s">
        <v>3071</v>
      </c>
      <c r="AD56" s="2608">
        <v>2000000000</v>
      </c>
      <c r="AE56" s="2588" t="s">
        <v>2891</v>
      </c>
      <c r="AF56" s="2584"/>
      <c r="AG56" s="2584"/>
      <c r="AH56" s="2584"/>
      <c r="AI56" s="2584"/>
      <c r="AJ56" s="2584"/>
      <c r="AK56" s="2584"/>
      <c r="AL56" s="2584"/>
      <c r="AM56" s="2584"/>
      <c r="AN56" s="2584"/>
      <c r="AO56" s="2584"/>
      <c r="AP56" s="2584"/>
      <c r="AQ56" s="2584"/>
      <c r="AR56" s="2584"/>
      <c r="AS56" s="2584"/>
      <c r="AT56" s="2584"/>
      <c r="AU56" s="2584"/>
      <c r="AV56" s="2584"/>
      <c r="AW56" s="2584"/>
      <c r="AX56" s="2584"/>
      <c r="AY56" s="2584"/>
      <c r="AZ56" s="2584"/>
      <c r="BA56" s="2584"/>
      <c r="BB56" s="2584"/>
      <c r="BC56" s="2584"/>
      <c r="BD56" s="2584"/>
      <c r="BE56" s="2584"/>
      <c r="BF56" s="2584"/>
      <c r="BG56" s="2584"/>
      <c r="BH56" s="2584"/>
      <c r="BI56" s="2584"/>
      <c r="BJ56" s="2584"/>
      <c r="BK56" s="2584"/>
      <c r="BL56" s="2584"/>
      <c r="BM56" s="2584"/>
      <c r="BN56" s="2584"/>
      <c r="BO56" s="2584"/>
      <c r="BP56" s="2584"/>
      <c r="BQ56" s="2584"/>
      <c r="BR56" s="2600"/>
      <c r="BS56" s="2606" t="s">
        <v>9653</v>
      </c>
      <c r="BT56" s="5092">
        <v>0</v>
      </c>
      <c r="BU56" s="16685"/>
      <c r="BV56" s="2606" t="s">
        <v>9653</v>
      </c>
      <c r="BW56" s="2607"/>
      <c r="BX56" s="2607"/>
      <c r="BY56" s="2603"/>
      <c r="BZ56" s="2603"/>
      <c r="CA56" s="2603"/>
      <c r="CB56" s="2603"/>
      <c r="CC56" s="2527"/>
      <c r="CD56" s="2528"/>
      <c r="CE56" s="2528"/>
      <c r="CF56" s="2533"/>
      <c r="CG56" s="2528"/>
      <c r="CH56" s="2528"/>
      <c r="CI56" s="2528"/>
      <c r="CJ56" s="2528"/>
      <c r="CK56" s="2528"/>
      <c r="CL56" s="2528"/>
      <c r="CM56" s="2528"/>
      <c r="CN56" s="2528"/>
      <c r="CO56" s="2528"/>
      <c r="CP56" s="2528"/>
      <c r="CQ56" s="2528"/>
      <c r="CR56" s="2528"/>
      <c r="CS56" s="2528"/>
      <c r="CT56" s="2528"/>
      <c r="CU56" s="2528"/>
      <c r="CV56" s="2528"/>
      <c r="CW56" s="2528"/>
      <c r="CX56" s="2528"/>
      <c r="CY56" s="2528"/>
      <c r="CZ56" s="2528"/>
      <c r="DA56" s="2603"/>
      <c r="DB56" s="2603"/>
      <c r="DC56" s="2603"/>
      <c r="DD56" s="2603"/>
      <c r="DE56" s="2603"/>
      <c r="DF56" s="2603"/>
      <c r="DG56" s="2603"/>
      <c r="DH56" s="2603"/>
      <c r="DI56" s="2603"/>
      <c r="DJ56" s="2603"/>
      <c r="DK56" s="2603"/>
      <c r="DL56" s="2603"/>
      <c r="DM56" s="2603"/>
      <c r="DN56" s="2603"/>
      <c r="DO56" s="2603"/>
      <c r="DP56" s="2603"/>
      <c r="DQ56" s="2133"/>
      <c r="DS56" s="6617"/>
      <c r="DT56" s="2584"/>
      <c r="DU56" s="2584"/>
      <c r="DV56" s="2584"/>
      <c r="DW56" s="2584"/>
      <c r="DX56" s="2584"/>
      <c r="DY56" s="2584"/>
      <c r="DZ56" s="2584"/>
      <c r="EA56" s="2584"/>
      <c r="EB56" s="2584"/>
      <c r="EC56" s="2584"/>
      <c r="ED56" s="2584"/>
      <c r="EE56" s="2584"/>
      <c r="EF56" s="2584"/>
      <c r="EG56" s="2584"/>
      <c r="EH56" s="2584"/>
      <c r="EI56" s="2584"/>
      <c r="EJ56" s="2584"/>
      <c r="EK56" s="2584"/>
      <c r="EL56" s="2584"/>
      <c r="EM56" s="2584"/>
      <c r="EN56" s="2584"/>
      <c r="EO56" s="2584"/>
      <c r="EP56" s="2584"/>
      <c r="EQ56" s="2584"/>
      <c r="ER56" s="2584"/>
      <c r="ES56" s="2584"/>
      <c r="ET56" s="2584"/>
      <c r="EU56" s="2584"/>
      <c r="EV56" s="2584"/>
      <c r="EW56" s="2584"/>
      <c r="EX56" s="2584"/>
      <c r="EY56" s="2584"/>
      <c r="EZ56" s="2584"/>
      <c r="FA56" s="2584"/>
      <c r="FB56" s="2584"/>
      <c r="FC56" s="2584"/>
      <c r="FD56" s="2584"/>
      <c r="FE56" s="2584"/>
      <c r="FF56" s="2584"/>
      <c r="FG56" s="2584"/>
      <c r="FH56" s="2584"/>
      <c r="FI56" s="2584"/>
      <c r="FJ56" s="2584"/>
      <c r="FK56" s="2584"/>
      <c r="FL56" s="6618"/>
    </row>
    <row r="57" spans="1:168" s="2578" customFormat="1" ht="15" customHeight="1">
      <c r="A57" s="16659"/>
      <c r="B57" s="16540"/>
      <c r="C57" s="5163" t="s">
        <v>8178</v>
      </c>
      <c r="D57" s="2604" t="s">
        <v>1931</v>
      </c>
      <c r="E57" s="2580" t="s">
        <v>1932</v>
      </c>
      <c r="F57" s="5072">
        <v>50</v>
      </c>
      <c r="G57" s="5072" t="s">
        <v>382</v>
      </c>
      <c r="H57" s="2583" t="s">
        <v>1832</v>
      </c>
      <c r="I57" s="5072">
        <v>50</v>
      </c>
      <c r="J57" s="5072">
        <v>50</v>
      </c>
      <c r="K57" s="5072">
        <v>50</v>
      </c>
      <c r="L57" s="5072">
        <v>50</v>
      </c>
      <c r="M57" s="5072">
        <v>50</v>
      </c>
      <c r="N57" s="5072">
        <v>50</v>
      </c>
      <c r="O57" s="5072">
        <v>50</v>
      </c>
      <c r="P57" s="5072">
        <v>50</v>
      </c>
      <c r="Q57" s="5072">
        <v>50</v>
      </c>
      <c r="R57" s="5072">
        <v>50</v>
      </c>
      <c r="S57" s="2581">
        <v>50</v>
      </c>
      <c r="T57" s="5072" t="s">
        <v>1805</v>
      </c>
      <c r="U57" s="5072" t="s">
        <v>10092</v>
      </c>
      <c r="V57" s="5072" t="s">
        <v>1918</v>
      </c>
      <c r="W57" s="2964"/>
      <c r="X57" s="5077"/>
      <c r="Y57" s="6650">
        <v>1000000000</v>
      </c>
      <c r="Z57" s="6646">
        <v>1</v>
      </c>
      <c r="AA57" s="2595" t="s">
        <v>4011</v>
      </c>
      <c r="AB57" s="2599" t="s">
        <v>4003</v>
      </c>
      <c r="AC57" s="2584" t="s">
        <v>3071</v>
      </c>
      <c r="AD57" s="2608">
        <v>385560880</v>
      </c>
      <c r="AE57" s="2588" t="s">
        <v>2891</v>
      </c>
      <c r="AF57" s="2584"/>
      <c r="AG57" s="2584"/>
      <c r="AH57" s="2584"/>
      <c r="AI57" s="2584"/>
      <c r="AJ57" s="2584"/>
      <c r="AK57" s="2584"/>
      <c r="AL57" s="2584"/>
      <c r="AM57" s="2584"/>
      <c r="AN57" s="2584"/>
      <c r="AO57" s="2584"/>
      <c r="AP57" s="2584"/>
      <c r="AQ57" s="2584"/>
      <c r="AR57" s="2584"/>
      <c r="AS57" s="2584"/>
      <c r="AT57" s="2584"/>
      <c r="AU57" s="2584"/>
      <c r="AV57" s="2584"/>
      <c r="AW57" s="2584"/>
      <c r="AX57" s="2584"/>
      <c r="AY57" s="2584"/>
      <c r="AZ57" s="2584"/>
      <c r="BA57" s="2584"/>
      <c r="BB57" s="2584"/>
      <c r="BC57" s="2584"/>
      <c r="BD57" s="2584"/>
      <c r="BE57" s="2584"/>
      <c r="BF57" s="2584"/>
      <c r="BG57" s="2584"/>
      <c r="BH57" s="2584"/>
      <c r="BI57" s="2584"/>
      <c r="BJ57" s="2584"/>
      <c r="BK57" s="2584"/>
      <c r="BL57" s="2584"/>
      <c r="BM57" s="2584"/>
      <c r="BN57" s="2584"/>
      <c r="BO57" s="2584"/>
      <c r="BP57" s="2584"/>
      <c r="BQ57" s="2584"/>
      <c r="BR57" s="2600"/>
      <c r="BS57" s="2606" t="s">
        <v>9653</v>
      </c>
      <c r="BT57" s="5092">
        <v>0</v>
      </c>
      <c r="BU57" s="16685"/>
      <c r="BV57" s="2606" t="s">
        <v>9653</v>
      </c>
      <c r="BW57" s="2607"/>
      <c r="BX57" s="2607"/>
      <c r="BY57" s="2603"/>
      <c r="BZ57" s="2603"/>
      <c r="CA57" s="2603"/>
      <c r="CB57" s="2603"/>
      <c r="CC57" s="2527"/>
      <c r="CD57" s="2528"/>
      <c r="CE57" s="2528"/>
      <c r="CF57" s="2533"/>
      <c r="CG57" s="2528"/>
      <c r="CH57" s="2528"/>
      <c r="CI57" s="2528"/>
      <c r="CJ57" s="2528"/>
      <c r="CK57" s="2528"/>
      <c r="CL57" s="2528"/>
      <c r="CM57" s="2528"/>
      <c r="CN57" s="2528"/>
      <c r="CO57" s="2528"/>
      <c r="CP57" s="2528"/>
      <c r="CQ57" s="2528"/>
      <c r="CR57" s="2528"/>
      <c r="CS57" s="2528"/>
      <c r="CT57" s="2528"/>
      <c r="CU57" s="2528"/>
      <c r="CV57" s="2528"/>
      <c r="CW57" s="2528"/>
      <c r="CX57" s="2528"/>
      <c r="CY57" s="2528"/>
      <c r="CZ57" s="2528"/>
      <c r="DA57" s="2603"/>
      <c r="DB57" s="2603"/>
      <c r="DC57" s="2603"/>
      <c r="DD57" s="2603"/>
      <c r="DE57" s="2603"/>
      <c r="DF57" s="2603"/>
      <c r="DG57" s="2603"/>
      <c r="DH57" s="2603"/>
      <c r="DI57" s="2603"/>
      <c r="DJ57" s="2603"/>
      <c r="DK57" s="2603"/>
      <c r="DL57" s="2603"/>
      <c r="DM57" s="2603"/>
      <c r="DN57" s="2603"/>
      <c r="DO57" s="2603"/>
      <c r="DP57" s="2603"/>
      <c r="DQ57" s="2133"/>
      <c r="DS57" s="6617"/>
      <c r="DT57" s="2584"/>
      <c r="DU57" s="2584"/>
      <c r="DV57" s="2584"/>
      <c r="DW57" s="2584"/>
      <c r="DX57" s="2584"/>
      <c r="DY57" s="2584"/>
      <c r="DZ57" s="2584"/>
      <c r="EA57" s="2584"/>
      <c r="EB57" s="2584"/>
      <c r="EC57" s="2584"/>
      <c r="ED57" s="2584"/>
      <c r="EE57" s="2584"/>
      <c r="EF57" s="2584"/>
      <c r="EG57" s="2584"/>
      <c r="EH57" s="2584"/>
      <c r="EI57" s="2584"/>
      <c r="EJ57" s="2584"/>
      <c r="EK57" s="2584"/>
      <c r="EL57" s="2584"/>
      <c r="EM57" s="2584"/>
      <c r="EN57" s="2584"/>
      <c r="EO57" s="2584"/>
      <c r="EP57" s="2584"/>
      <c r="EQ57" s="2584"/>
      <c r="ER57" s="2584"/>
      <c r="ES57" s="2584"/>
      <c r="ET57" s="2584"/>
      <c r="EU57" s="2584"/>
      <c r="EV57" s="2584"/>
      <c r="EW57" s="2584"/>
      <c r="EX57" s="2584"/>
      <c r="EY57" s="2584"/>
      <c r="EZ57" s="2584"/>
      <c r="FA57" s="2584"/>
      <c r="FB57" s="2584"/>
      <c r="FC57" s="2584"/>
      <c r="FD57" s="2584"/>
      <c r="FE57" s="2584"/>
      <c r="FF57" s="2584"/>
      <c r="FG57" s="2584"/>
      <c r="FH57" s="2584"/>
      <c r="FI57" s="2584"/>
      <c r="FJ57" s="2584"/>
      <c r="FK57" s="2584"/>
      <c r="FL57" s="6618"/>
    </row>
    <row r="58" spans="1:168" s="2578" customFormat="1" ht="15" customHeight="1">
      <c r="A58" s="16659"/>
      <c r="B58" s="16540"/>
      <c r="C58" s="5163" t="s">
        <v>8179</v>
      </c>
      <c r="D58" s="2604" t="s">
        <v>1933</v>
      </c>
      <c r="E58" s="2580" t="s">
        <v>1934</v>
      </c>
      <c r="F58" s="5072">
        <v>5</v>
      </c>
      <c r="G58" s="2581" t="s">
        <v>386</v>
      </c>
      <c r="H58" s="2583" t="s">
        <v>1832</v>
      </c>
      <c r="I58" s="5072">
        <v>5</v>
      </c>
      <c r="J58" s="5072">
        <v>5</v>
      </c>
      <c r="K58" s="5072">
        <v>5</v>
      </c>
      <c r="L58" s="5072">
        <v>5</v>
      </c>
      <c r="M58" s="5072">
        <v>5</v>
      </c>
      <c r="N58" s="5072">
        <v>5</v>
      </c>
      <c r="O58" s="5072">
        <v>5</v>
      </c>
      <c r="P58" s="5072">
        <v>5</v>
      </c>
      <c r="Q58" s="5072">
        <v>5</v>
      </c>
      <c r="R58" s="5072">
        <v>5</v>
      </c>
      <c r="S58" s="2581">
        <v>50</v>
      </c>
      <c r="T58" s="5072" t="s">
        <v>1805</v>
      </c>
      <c r="U58" s="5072" t="s">
        <v>10092</v>
      </c>
      <c r="V58" s="5072" t="s">
        <v>1918</v>
      </c>
      <c r="W58" s="2964"/>
      <c r="X58" s="5077"/>
      <c r="Y58" s="6650">
        <v>1000000000</v>
      </c>
      <c r="Z58" s="6646">
        <v>1</v>
      </c>
      <c r="AA58" s="2595" t="s">
        <v>4012</v>
      </c>
      <c r="AB58" s="2595" t="s">
        <v>4003</v>
      </c>
      <c r="AC58" s="2584" t="s">
        <v>3071</v>
      </c>
      <c r="AD58" s="2609">
        <v>4010597574</v>
      </c>
      <c r="AE58" s="2588" t="s">
        <v>2891</v>
      </c>
      <c r="AF58" s="2584"/>
      <c r="AG58" s="2584"/>
      <c r="AH58" s="2584"/>
      <c r="AI58" s="2584"/>
      <c r="AJ58" s="2584"/>
      <c r="AK58" s="2584"/>
      <c r="AL58" s="2584"/>
      <c r="AM58" s="2584"/>
      <c r="AN58" s="2584"/>
      <c r="AO58" s="2584"/>
      <c r="AP58" s="2584"/>
      <c r="AQ58" s="2584"/>
      <c r="AR58" s="2584"/>
      <c r="AS58" s="2584"/>
      <c r="AT58" s="2584"/>
      <c r="AU58" s="2584"/>
      <c r="AV58" s="2584"/>
      <c r="AW58" s="2584"/>
      <c r="AX58" s="2584"/>
      <c r="AY58" s="2584"/>
      <c r="AZ58" s="2584"/>
      <c r="BA58" s="2584"/>
      <c r="BB58" s="2584"/>
      <c r="BC58" s="2584"/>
      <c r="BD58" s="2584"/>
      <c r="BE58" s="2584"/>
      <c r="BF58" s="2584"/>
      <c r="BG58" s="2584"/>
      <c r="BH58" s="2584"/>
      <c r="BI58" s="2584"/>
      <c r="BJ58" s="2584"/>
      <c r="BK58" s="2584"/>
      <c r="BL58" s="2584"/>
      <c r="BM58" s="2584"/>
      <c r="BN58" s="2584"/>
      <c r="BO58" s="2584"/>
      <c r="BP58" s="2584"/>
      <c r="BQ58" s="2584"/>
      <c r="BR58" s="2600"/>
      <c r="BS58" s="2606" t="s">
        <v>9653</v>
      </c>
      <c r="BT58" s="5092">
        <v>0</v>
      </c>
      <c r="BU58" s="16685"/>
      <c r="BV58" s="2606" t="s">
        <v>9653</v>
      </c>
      <c r="BW58" s="2607"/>
      <c r="BX58" s="2607"/>
      <c r="BY58" s="2603"/>
      <c r="BZ58" s="2603"/>
      <c r="CA58" s="2603"/>
      <c r="CB58" s="2603"/>
      <c r="CC58" s="2527"/>
      <c r="CD58" s="2528"/>
      <c r="CE58" s="2528"/>
      <c r="CF58" s="2533"/>
      <c r="CG58" s="2528"/>
      <c r="CH58" s="2528"/>
      <c r="CI58" s="2528"/>
      <c r="CJ58" s="2528"/>
      <c r="CK58" s="2528"/>
      <c r="CL58" s="2528"/>
      <c r="CM58" s="2528"/>
      <c r="CN58" s="2528"/>
      <c r="CO58" s="2528"/>
      <c r="CP58" s="2528"/>
      <c r="CQ58" s="2528"/>
      <c r="CR58" s="2528"/>
      <c r="CS58" s="2528"/>
      <c r="CT58" s="2528"/>
      <c r="CU58" s="2528"/>
      <c r="CV58" s="2528"/>
      <c r="CW58" s="2528"/>
      <c r="CX58" s="2528"/>
      <c r="CY58" s="2528"/>
      <c r="CZ58" s="2528"/>
      <c r="DA58" s="2603"/>
      <c r="DB58" s="2603"/>
      <c r="DC58" s="2603"/>
      <c r="DD58" s="2603"/>
      <c r="DE58" s="2603"/>
      <c r="DF58" s="2603"/>
      <c r="DG58" s="2603"/>
      <c r="DH58" s="2603"/>
      <c r="DI58" s="2603"/>
      <c r="DJ58" s="2603"/>
      <c r="DK58" s="2603"/>
      <c r="DL58" s="2603"/>
      <c r="DM58" s="2603"/>
      <c r="DN58" s="2603"/>
      <c r="DO58" s="2603"/>
      <c r="DP58" s="2603"/>
      <c r="DQ58" s="2133"/>
      <c r="DS58" s="6617"/>
      <c r="DT58" s="2584"/>
      <c r="DU58" s="2584"/>
      <c r="DV58" s="2584"/>
      <c r="DW58" s="2584"/>
      <c r="DX58" s="2584"/>
      <c r="DY58" s="2584"/>
      <c r="DZ58" s="2584"/>
      <c r="EA58" s="2584"/>
      <c r="EB58" s="2584"/>
      <c r="EC58" s="2584"/>
      <c r="ED58" s="2584"/>
      <c r="EE58" s="2584"/>
      <c r="EF58" s="2584"/>
      <c r="EG58" s="2584"/>
      <c r="EH58" s="2584"/>
      <c r="EI58" s="2584"/>
      <c r="EJ58" s="2584"/>
      <c r="EK58" s="2584"/>
      <c r="EL58" s="2584"/>
      <c r="EM58" s="2584"/>
      <c r="EN58" s="2584"/>
      <c r="EO58" s="2584"/>
      <c r="EP58" s="2584"/>
      <c r="EQ58" s="2584"/>
      <c r="ER58" s="2584"/>
      <c r="ES58" s="2584"/>
      <c r="ET58" s="2584"/>
      <c r="EU58" s="2584"/>
      <c r="EV58" s="2584"/>
      <c r="EW58" s="2584"/>
      <c r="EX58" s="2584"/>
      <c r="EY58" s="2584"/>
      <c r="EZ58" s="2584"/>
      <c r="FA58" s="2584"/>
      <c r="FB58" s="2584"/>
      <c r="FC58" s="2584"/>
      <c r="FD58" s="2584"/>
      <c r="FE58" s="2584"/>
      <c r="FF58" s="2584"/>
      <c r="FG58" s="2584"/>
      <c r="FH58" s="2584"/>
      <c r="FI58" s="2584"/>
      <c r="FJ58" s="2584"/>
      <c r="FK58" s="2584"/>
      <c r="FL58" s="6618"/>
    </row>
    <row r="59" spans="1:168" s="2578" customFormat="1" ht="15" customHeight="1">
      <c r="A59" s="16659"/>
      <c r="B59" s="16540"/>
      <c r="C59" s="5163" t="s">
        <v>8180</v>
      </c>
      <c r="D59" s="2604" t="s">
        <v>1935</v>
      </c>
      <c r="E59" s="2580" t="s">
        <v>1936</v>
      </c>
      <c r="F59" s="2610">
        <v>21868</v>
      </c>
      <c r="G59" s="5072" t="s">
        <v>382</v>
      </c>
      <c r="H59" s="2610">
        <v>21868</v>
      </c>
      <c r="I59" s="2610">
        <v>21868</v>
      </c>
      <c r="J59" s="2610">
        <v>21868</v>
      </c>
      <c r="K59" s="2610">
        <v>21868</v>
      </c>
      <c r="L59" s="2610">
        <v>21868</v>
      </c>
      <c r="M59" s="2610">
        <v>21868</v>
      </c>
      <c r="N59" s="2610">
        <v>21868</v>
      </c>
      <c r="O59" s="2610">
        <v>21868</v>
      </c>
      <c r="P59" s="2610">
        <v>21868</v>
      </c>
      <c r="Q59" s="2610">
        <v>21868</v>
      </c>
      <c r="R59" s="2610">
        <v>21868</v>
      </c>
      <c r="S59" s="2610">
        <v>21868</v>
      </c>
      <c r="T59" s="5072" t="s">
        <v>1805</v>
      </c>
      <c r="U59" s="5072" t="s">
        <v>10092</v>
      </c>
      <c r="V59" s="5072" t="s">
        <v>1918</v>
      </c>
      <c r="W59" s="2964"/>
      <c r="X59" s="5077"/>
      <c r="Y59" s="6645">
        <v>2000000000</v>
      </c>
      <c r="Z59" s="6646">
        <f>12000/21868</f>
        <v>0.54874702762026706</v>
      </c>
      <c r="AA59" s="2595" t="s">
        <v>4013</v>
      </c>
      <c r="AB59" s="2595" t="s">
        <v>4003</v>
      </c>
      <c r="AC59" s="2584" t="s">
        <v>3071</v>
      </c>
      <c r="AD59" s="2609">
        <f>12000*15000</f>
        <v>180000000</v>
      </c>
      <c r="AE59" s="2588" t="s">
        <v>2891</v>
      </c>
      <c r="AF59" s="2584"/>
      <c r="AG59" s="2584"/>
      <c r="AH59" s="2584"/>
      <c r="AI59" s="2584"/>
      <c r="AJ59" s="2584"/>
      <c r="AK59" s="2584"/>
      <c r="AL59" s="2584"/>
      <c r="AM59" s="2584"/>
      <c r="AN59" s="2584"/>
      <c r="AO59" s="2584"/>
      <c r="AP59" s="2584"/>
      <c r="AQ59" s="2584"/>
      <c r="AR59" s="2584"/>
      <c r="AS59" s="2584"/>
      <c r="AT59" s="2584"/>
      <c r="AU59" s="2584"/>
      <c r="AV59" s="2584"/>
      <c r="AW59" s="2584"/>
      <c r="AX59" s="2584"/>
      <c r="AY59" s="2584"/>
      <c r="AZ59" s="2584"/>
      <c r="BA59" s="2584"/>
      <c r="BB59" s="2584"/>
      <c r="BC59" s="2584"/>
      <c r="BD59" s="2584"/>
      <c r="BE59" s="2584"/>
      <c r="BF59" s="2584"/>
      <c r="BG59" s="2584"/>
      <c r="BH59" s="2584"/>
      <c r="BI59" s="2584"/>
      <c r="BJ59" s="2584"/>
      <c r="BK59" s="2584"/>
      <c r="BL59" s="2584"/>
      <c r="BM59" s="2584"/>
      <c r="BN59" s="2584"/>
      <c r="BO59" s="2584"/>
      <c r="BP59" s="2584"/>
      <c r="BQ59" s="2584"/>
      <c r="BR59" s="2600"/>
      <c r="BS59" s="2606" t="s">
        <v>9653</v>
      </c>
      <c r="BT59" s="5092">
        <v>0</v>
      </c>
      <c r="BU59" s="16685"/>
      <c r="BV59" s="2606" t="s">
        <v>9653</v>
      </c>
      <c r="BW59" s="2607"/>
      <c r="BX59" s="2607"/>
      <c r="BY59" s="2603"/>
      <c r="BZ59" s="2603"/>
      <c r="CA59" s="2603"/>
      <c r="CB59" s="2603"/>
      <c r="CC59" s="2527"/>
      <c r="CD59" s="2528"/>
      <c r="CE59" s="2528"/>
      <c r="CF59" s="2533"/>
      <c r="CG59" s="2528"/>
      <c r="CH59" s="2528"/>
      <c r="CI59" s="2528"/>
      <c r="CJ59" s="2528"/>
      <c r="CK59" s="2528"/>
      <c r="CL59" s="2528"/>
      <c r="CM59" s="2528"/>
      <c r="CN59" s="2528"/>
      <c r="CO59" s="2528"/>
      <c r="CP59" s="2528"/>
      <c r="CQ59" s="2528"/>
      <c r="CR59" s="2528"/>
      <c r="CS59" s="2528"/>
      <c r="CT59" s="2528"/>
      <c r="CU59" s="2528"/>
      <c r="CV59" s="2528"/>
      <c r="CW59" s="2528"/>
      <c r="CX59" s="2528"/>
      <c r="CY59" s="2528"/>
      <c r="CZ59" s="2528"/>
      <c r="DA59" s="2603"/>
      <c r="DB59" s="2603"/>
      <c r="DC59" s="2603"/>
      <c r="DD59" s="2603"/>
      <c r="DE59" s="2603"/>
      <c r="DF59" s="2603"/>
      <c r="DG59" s="2603"/>
      <c r="DH59" s="2603"/>
      <c r="DI59" s="2603"/>
      <c r="DJ59" s="2603"/>
      <c r="DK59" s="2603"/>
      <c r="DL59" s="2603"/>
      <c r="DM59" s="2603"/>
      <c r="DN59" s="2603"/>
      <c r="DO59" s="2603"/>
      <c r="DP59" s="2603"/>
      <c r="DQ59" s="2133"/>
      <c r="DS59" s="6617"/>
      <c r="DT59" s="2584"/>
      <c r="DU59" s="2584"/>
      <c r="DV59" s="2584"/>
      <c r="DW59" s="2584"/>
      <c r="DX59" s="2584"/>
      <c r="DY59" s="2584"/>
      <c r="DZ59" s="2584"/>
      <c r="EA59" s="2584"/>
      <c r="EB59" s="2584"/>
      <c r="EC59" s="2584"/>
      <c r="ED59" s="2584"/>
      <c r="EE59" s="2584"/>
      <c r="EF59" s="2584"/>
      <c r="EG59" s="2584"/>
      <c r="EH59" s="2584"/>
      <c r="EI59" s="2584"/>
      <c r="EJ59" s="2584"/>
      <c r="EK59" s="2584"/>
      <c r="EL59" s="2584"/>
      <c r="EM59" s="2584"/>
      <c r="EN59" s="2584"/>
      <c r="EO59" s="2584"/>
      <c r="EP59" s="2584"/>
      <c r="EQ59" s="2584"/>
      <c r="ER59" s="2584"/>
      <c r="ES59" s="2584"/>
      <c r="ET59" s="2584"/>
      <c r="EU59" s="2584"/>
      <c r="EV59" s="2584"/>
      <c r="EW59" s="2584"/>
      <c r="EX59" s="2584"/>
      <c r="EY59" s="2584"/>
      <c r="EZ59" s="2584"/>
      <c r="FA59" s="2584"/>
      <c r="FB59" s="2584"/>
      <c r="FC59" s="2584"/>
      <c r="FD59" s="2584"/>
      <c r="FE59" s="2584"/>
      <c r="FF59" s="2584"/>
      <c r="FG59" s="2584"/>
      <c r="FH59" s="2584"/>
      <c r="FI59" s="2584"/>
      <c r="FJ59" s="2584"/>
      <c r="FK59" s="2584"/>
      <c r="FL59" s="6618"/>
    </row>
    <row r="60" spans="1:168" s="2578" customFormat="1" ht="15" customHeight="1">
      <c r="A60" s="16659"/>
      <c r="B60" s="16540"/>
      <c r="C60" s="5163" t="s">
        <v>8181</v>
      </c>
      <c r="D60" s="2604" t="s">
        <v>1937</v>
      </c>
      <c r="E60" s="2580" t="s">
        <v>1938</v>
      </c>
      <c r="F60" s="2583">
        <v>300</v>
      </c>
      <c r="G60" s="5072" t="s">
        <v>382</v>
      </c>
      <c r="H60" s="2583">
        <v>300</v>
      </c>
      <c r="I60" s="2583">
        <v>300</v>
      </c>
      <c r="J60" s="2583">
        <v>300</v>
      </c>
      <c r="K60" s="2583">
        <v>300</v>
      </c>
      <c r="L60" s="2583">
        <v>300</v>
      </c>
      <c r="M60" s="2583">
        <v>300</v>
      </c>
      <c r="N60" s="2583">
        <v>300</v>
      </c>
      <c r="O60" s="2583">
        <v>300</v>
      </c>
      <c r="P60" s="2583">
        <v>300</v>
      </c>
      <c r="Q60" s="2583">
        <v>300</v>
      </c>
      <c r="R60" s="2583">
        <v>300</v>
      </c>
      <c r="S60" s="2583">
        <v>300</v>
      </c>
      <c r="T60" s="5072" t="s">
        <v>1805</v>
      </c>
      <c r="U60" s="5072" t="s">
        <v>10092</v>
      </c>
      <c r="V60" s="5072" t="s">
        <v>1918</v>
      </c>
      <c r="W60" s="2964"/>
      <c r="X60" s="5077"/>
      <c r="Y60" s="6645">
        <v>1000000000</v>
      </c>
      <c r="Z60" s="6646">
        <v>0.6</v>
      </c>
      <c r="AA60" s="2595" t="s">
        <v>4014</v>
      </c>
      <c r="AB60" s="2595" t="s">
        <v>4003</v>
      </c>
      <c r="AC60" s="2584" t="s">
        <v>3071</v>
      </c>
      <c r="AD60" s="2609">
        <v>959908426</v>
      </c>
      <c r="AE60" s="2588" t="s">
        <v>2891</v>
      </c>
      <c r="AF60" s="2584"/>
      <c r="AG60" s="2584"/>
      <c r="AH60" s="2611" t="s">
        <v>4004</v>
      </c>
      <c r="AI60" s="2584"/>
      <c r="AJ60" s="2584"/>
      <c r="AK60" s="2584"/>
      <c r="AL60" s="2584"/>
      <c r="AM60" s="2584"/>
      <c r="AN60" s="2584"/>
      <c r="AO60" s="2584"/>
      <c r="AP60" s="2584"/>
      <c r="AQ60" s="2584"/>
      <c r="AR60" s="2584"/>
      <c r="AS60" s="2584"/>
      <c r="AT60" s="2584"/>
      <c r="AU60" s="2584"/>
      <c r="AV60" s="2584"/>
      <c r="AW60" s="2584"/>
      <c r="AX60" s="2584"/>
      <c r="AY60" s="2584"/>
      <c r="AZ60" s="2584"/>
      <c r="BA60" s="2584"/>
      <c r="BB60" s="2584"/>
      <c r="BC60" s="2584"/>
      <c r="BD60" s="2584"/>
      <c r="BE60" s="2584"/>
      <c r="BF60" s="2584"/>
      <c r="BG60" s="2584"/>
      <c r="BH60" s="2584"/>
      <c r="BI60" s="2584"/>
      <c r="BJ60" s="2584"/>
      <c r="BK60" s="2584"/>
      <c r="BL60" s="2584"/>
      <c r="BM60" s="2584"/>
      <c r="BN60" s="2584"/>
      <c r="BO60" s="2584"/>
      <c r="BP60" s="2584"/>
      <c r="BQ60" s="2584"/>
      <c r="BR60" s="2600"/>
      <c r="BS60" s="2606" t="s">
        <v>9653</v>
      </c>
      <c r="BT60" s="5092">
        <v>0</v>
      </c>
      <c r="BU60" s="16685"/>
      <c r="BV60" s="2606" t="s">
        <v>9653</v>
      </c>
      <c r="BW60" s="2607"/>
      <c r="BX60" s="2607"/>
      <c r="BY60" s="2603"/>
      <c r="BZ60" s="2603"/>
      <c r="CA60" s="2603"/>
      <c r="CB60" s="2603"/>
      <c r="CC60" s="2527"/>
      <c r="CD60" s="2528"/>
      <c r="CE60" s="2528"/>
      <c r="CF60" s="2533"/>
      <c r="CG60" s="2528"/>
      <c r="CH60" s="2528"/>
      <c r="CI60" s="2528"/>
      <c r="CJ60" s="2528"/>
      <c r="CK60" s="2528"/>
      <c r="CL60" s="2528"/>
      <c r="CM60" s="2528"/>
      <c r="CN60" s="2528"/>
      <c r="CO60" s="2528"/>
      <c r="CP60" s="2528"/>
      <c r="CQ60" s="2528"/>
      <c r="CR60" s="2528"/>
      <c r="CS60" s="2528"/>
      <c r="CT60" s="2528"/>
      <c r="CU60" s="2528"/>
      <c r="CV60" s="2528"/>
      <c r="CW60" s="2528"/>
      <c r="CX60" s="2528"/>
      <c r="CY60" s="2528"/>
      <c r="CZ60" s="2528"/>
      <c r="DA60" s="2603"/>
      <c r="DB60" s="2603"/>
      <c r="DC60" s="2603"/>
      <c r="DD60" s="2603"/>
      <c r="DE60" s="2603"/>
      <c r="DF60" s="2603"/>
      <c r="DG60" s="2603"/>
      <c r="DH60" s="2603"/>
      <c r="DI60" s="2603"/>
      <c r="DJ60" s="2603"/>
      <c r="DK60" s="2603"/>
      <c r="DL60" s="2603"/>
      <c r="DM60" s="2603"/>
      <c r="DN60" s="2603"/>
      <c r="DO60" s="2603"/>
      <c r="DP60" s="2603"/>
      <c r="DQ60" s="2133"/>
      <c r="DS60" s="6617"/>
      <c r="DT60" s="2584"/>
      <c r="DU60" s="2584"/>
      <c r="DV60" s="2584"/>
      <c r="DW60" s="2584"/>
      <c r="DX60" s="2584"/>
      <c r="DY60" s="2584"/>
      <c r="DZ60" s="2584"/>
      <c r="EA60" s="2584"/>
      <c r="EB60" s="2584"/>
      <c r="EC60" s="2584"/>
      <c r="ED60" s="2584"/>
      <c r="EE60" s="2584"/>
      <c r="EF60" s="2584"/>
      <c r="EG60" s="2584"/>
      <c r="EH60" s="2584"/>
      <c r="EI60" s="2584"/>
      <c r="EJ60" s="2584"/>
      <c r="EK60" s="2584"/>
      <c r="EL60" s="2584"/>
      <c r="EM60" s="2584"/>
      <c r="EN60" s="2584"/>
      <c r="EO60" s="2584"/>
      <c r="EP60" s="2584"/>
      <c r="EQ60" s="2584"/>
      <c r="ER60" s="2584"/>
      <c r="ES60" s="2584"/>
      <c r="ET60" s="2584"/>
      <c r="EU60" s="2584"/>
      <c r="EV60" s="2584"/>
      <c r="EW60" s="2584"/>
      <c r="EX60" s="2584"/>
      <c r="EY60" s="2584"/>
      <c r="EZ60" s="2584"/>
      <c r="FA60" s="2584"/>
      <c r="FB60" s="2584"/>
      <c r="FC60" s="2584"/>
      <c r="FD60" s="2584"/>
      <c r="FE60" s="2584"/>
      <c r="FF60" s="2584"/>
      <c r="FG60" s="2584"/>
      <c r="FH60" s="2584"/>
      <c r="FI60" s="2584"/>
      <c r="FJ60" s="2584"/>
      <c r="FK60" s="2584"/>
      <c r="FL60" s="6618"/>
    </row>
    <row r="61" spans="1:168" s="2578" customFormat="1" ht="15" customHeight="1">
      <c r="A61" s="16659"/>
      <c r="B61" s="16540"/>
      <c r="C61" s="5163" t="s">
        <v>8182</v>
      </c>
      <c r="D61" s="2604" t="s">
        <v>1939</v>
      </c>
      <c r="E61" s="2580" t="s">
        <v>1940</v>
      </c>
      <c r="F61" s="5072">
        <v>10</v>
      </c>
      <c r="G61" s="5072" t="s">
        <v>382</v>
      </c>
      <c r="H61" s="5072" t="s">
        <v>1832</v>
      </c>
      <c r="I61" s="5072">
        <v>10</v>
      </c>
      <c r="J61" s="5072">
        <v>10</v>
      </c>
      <c r="K61" s="5072">
        <v>10</v>
      </c>
      <c r="L61" s="5072">
        <v>10</v>
      </c>
      <c r="M61" s="5072">
        <v>10</v>
      </c>
      <c r="N61" s="5072">
        <v>10</v>
      </c>
      <c r="O61" s="5072">
        <v>10</v>
      </c>
      <c r="P61" s="5072">
        <v>10</v>
      </c>
      <c r="Q61" s="5072">
        <v>10</v>
      </c>
      <c r="R61" s="5072">
        <v>10</v>
      </c>
      <c r="S61" s="2581">
        <v>10</v>
      </c>
      <c r="T61" s="5072" t="s">
        <v>1805</v>
      </c>
      <c r="U61" s="5072" t="s">
        <v>65</v>
      </c>
      <c r="V61" s="5072" t="s">
        <v>1941</v>
      </c>
      <c r="W61" s="2964"/>
      <c r="X61" s="5077"/>
      <c r="Y61" s="6645">
        <v>8400000</v>
      </c>
      <c r="Z61" s="2597">
        <v>1</v>
      </c>
      <c r="AA61" s="2601" t="s">
        <v>3753</v>
      </c>
      <c r="AB61" s="2588" t="s">
        <v>3748</v>
      </c>
      <c r="AC61" s="2599" t="s">
        <v>3754</v>
      </c>
      <c r="AD61" s="2612">
        <f>AE61+AF61+AG61</f>
        <v>22985252</v>
      </c>
      <c r="AE61" s="2613">
        <v>18027480</v>
      </c>
      <c r="AF61" s="2614"/>
      <c r="AG61" s="2614">
        <v>4957772</v>
      </c>
      <c r="AH61" s="2615">
        <v>95</v>
      </c>
      <c r="AI61" s="2615" t="s">
        <v>2891</v>
      </c>
      <c r="AJ61" s="2615" t="s">
        <v>2891</v>
      </c>
      <c r="AK61" s="2615" t="s">
        <v>2891</v>
      </c>
      <c r="AL61" s="2615" t="s">
        <v>2891</v>
      </c>
      <c r="AM61" s="2615"/>
      <c r="AN61" s="2615"/>
      <c r="AO61" s="2615"/>
      <c r="AP61" s="2615" t="s">
        <v>2891</v>
      </c>
      <c r="AQ61" s="2615" t="s">
        <v>2891</v>
      </c>
      <c r="AR61" s="2615" t="s">
        <v>2891</v>
      </c>
      <c r="AS61" s="2615" t="s">
        <v>2891</v>
      </c>
      <c r="AT61" s="2615"/>
      <c r="AU61" s="2615" t="s">
        <v>2891</v>
      </c>
      <c r="AV61" s="2615" t="s">
        <v>2891</v>
      </c>
      <c r="AW61" s="2615" t="s">
        <v>2891</v>
      </c>
      <c r="AX61" s="2615" t="s">
        <v>2891</v>
      </c>
      <c r="AY61" s="2615"/>
      <c r="AZ61" s="2615"/>
      <c r="BA61" s="2615"/>
      <c r="BB61" s="2615" t="s">
        <v>2891</v>
      </c>
      <c r="BC61" s="2615" t="s">
        <v>2891</v>
      </c>
      <c r="BD61" s="2615" t="s">
        <v>2891</v>
      </c>
      <c r="BE61" s="2615"/>
      <c r="BF61" s="2615"/>
      <c r="BG61" s="2615"/>
      <c r="BH61" s="2584"/>
      <c r="BI61" s="2584"/>
      <c r="BJ61" s="2584"/>
      <c r="BK61" s="2584"/>
      <c r="BL61" s="2584"/>
      <c r="BM61" s="2584"/>
      <c r="BN61" s="2584"/>
      <c r="BO61" s="2584"/>
      <c r="BP61" s="2584"/>
      <c r="BQ61" s="2584"/>
      <c r="BR61" s="2581">
        <v>10000000</v>
      </c>
      <c r="BS61" s="2581">
        <v>23</v>
      </c>
      <c r="BT61" s="5092">
        <f>IF((BS61/I61)&gt;10,,100%)</f>
        <v>1</v>
      </c>
      <c r="BU61" s="16685"/>
      <c r="BV61" s="2616" t="s">
        <v>9708</v>
      </c>
      <c r="BW61" s="5070" t="s">
        <v>9412</v>
      </c>
      <c r="BX61" s="2599" t="s">
        <v>3754</v>
      </c>
      <c r="BY61" s="2617">
        <f>BZ61+CA61+CB61</f>
        <v>45467810</v>
      </c>
      <c r="BZ61" s="2603">
        <f>17100000+3578950</f>
        <v>20678950</v>
      </c>
      <c r="CA61" s="2617"/>
      <c r="CB61" s="2617">
        <v>24788860</v>
      </c>
      <c r="CC61" s="2527">
        <v>43</v>
      </c>
      <c r="CD61" s="2618">
        <v>0</v>
      </c>
      <c r="CE61" s="2618">
        <v>0</v>
      </c>
      <c r="CF61" s="2533">
        <v>43</v>
      </c>
      <c r="CG61" s="2618">
        <v>43</v>
      </c>
      <c r="CH61" s="2619"/>
      <c r="CI61" s="2619"/>
      <c r="CJ61" s="2620"/>
      <c r="CK61" s="2620"/>
      <c r="CL61" s="2620"/>
      <c r="CM61" s="2527"/>
      <c r="CN61" s="2527"/>
      <c r="CO61" s="2527"/>
      <c r="CP61" s="2527"/>
      <c r="CQ61" s="2527">
        <v>43</v>
      </c>
      <c r="CR61" s="2619"/>
      <c r="CS61" s="2618"/>
      <c r="CT61" s="2618"/>
      <c r="CU61" s="2618"/>
      <c r="CV61" s="2618"/>
      <c r="CW61" s="2619"/>
      <c r="CX61" s="2619"/>
      <c r="CY61" s="2619"/>
      <c r="CZ61" s="2619">
        <v>43</v>
      </c>
      <c r="DA61" s="2615" t="s">
        <v>2891</v>
      </c>
      <c r="DB61" s="2615" t="s">
        <v>2891</v>
      </c>
      <c r="DC61" s="2615" t="s">
        <v>2891</v>
      </c>
      <c r="DD61" s="2615"/>
      <c r="DE61" s="2615"/>
      <c r="DF61" s="2615"/>
      <c r="DG61" s="2615"/>
      <c r="DH61" s="2603"/>
      <c r="DI61" s="2603"/>
      <c r="DJ61" s="2603"/>
      <c r="DK61" s="2603"/>
      <c r="DL61" s="2603"/>
      <c r="DM61" s="2603"/>
      <c r="DN61" s="2603"/>
      <c r="DO61" s="2603"/>
      <c r="DP61" s="2603"/>
      <c r="DQ61" s="2133"/>
      <c r="DS61" s="6617"/>
      <c r="DT61" s="2584"/>
      <c r="DU61" s="2584"/>
      <c r="DV61" s="2584"/>
      <c r="DW61" s="2584"/>
      <c r="DX61" s="2584"/>
      <c r="DY61" s="2584"/>
      <c r="DZ61" s="2584"/>
      <c r="EA61" s="2584"/>
      <c r="EB61" s="2584"/>
      <c r="EC61" s="2584"/>
      <c r="ED61" s="2584"/>
      <c r="EE61" s="2584"/>
      <c r="EF61" s="2584"/>
      <c r="EG61" s="2584"/>
      <c r="EH61" s="2584"/>
      <c r="EI61" s="2584"/>
      <c r="EJ61" s="2584"/>
      <c r="EK61" s="2584"/>
      <c r="EL61" s="2584"/>
      <c r="EM61" s="2584"/>
      <c r="EN61" s="2584"/>
      <c r="EO61" s="2584"/>
      <c r="EP61" s="2584"/>
      <c r="EQ61" s="2584"/>
      <c r="ER61" s="2584"/>
      <c r="ES61" s="2584"/>
      <c r="ET61" s="2584"/>
      <c r="EU61" s="2584"/>
      <c r="EV61" s="2584"/>
      <c r="EW61" s="2584"/>
      <c r="EX61" s="2584"/>
      <c r="EY61" s="2584"/>
      <c r="EZ61" s="2584"/>
      <c r="FA61" s="2584"/>
      <c r="FB61" s="2584"/>
      <c r="FC61" s="2584"/>
      <c r="FD61" s="2584"/>
      <c r="FE61" s="2584"/>
      <c r="FF61" s="2584"/>
      <c r="FG61" s="2584"/>
      <c r="FH61" s="2584"/>
      <c r="FI61" s="2584"/>
      <c r="FJ61" s="2584"/>
      <c r="FK61" s="2584"/>
      <c r="FL61" s="6618"/>
    </row>
    <row r="62" spans="1:168" s="2578" customFormat="1" ht="15" customHeight="1">
      <c r="A62" s="16659"/>
      <c r="B62" s="16540"/>
      <c r="C62" s="5163" t="s">
        <v>8183</v>
      </c>
      <c r="D62" s="2604" t="s">
        <v>1942</v>
      </c>
      <c r="E62" s="2580" t="s">
        <v>1943</v>
      </c>
      <c r="F62" s="5072">
        <v>10</v>
      </c>
      <c r="G62" s="5072" t="s">
        <v>382</v>
      </c>
      <c r="H62" s="5072" t="s">
        <v>1832</v>
      </c>
      <c r="I62" s="5072">
        <v>10</v>
      </c>
      <c r="J62" s="5072">
        <v>10</v>
      </c>
      <c r="K62" s="5072">
        <v>10</v>
      </c>
      <c r="L62" s="5072">
        <v>10</v>
      </c>
      <c r="M62" s="5072">
        <v>10</v>
      </c>
      <c r="N62" s="5072">
        <v>10</v>
      </c>
      <c r="O62" s="5072">
        <v>10</v>
      </c>
      <c r="P62" s="5072">
        <v>10</v>
      </c>
      <c r="Q62" s="5072">
        <v>10</v>
      </c>
      <c r="R62" s="5072">
        <v>10</v>
      </c>
      <c r="S62" s="2581">
        <v>10</v>
      </c>
      <c r="T62" s="5072" t="s">
        <v>1805</v>
      </c>
      <c r="U62" s="5072" t="s">
        <v>65</v>
      </c>
      <c r="V62" s="5072" t="s">
        <v>1941</v>
      </c>
      <c r="W62" s="2964"/>
      <c r="X62" s="5077"/>
      <c r="Y62" s="6645">
        <v>10000000</v>
      </c>
      <c r="Z62" s="2597">
        <v>1</v>
      </c>
      <c r="AA62" s="2601" t="s">
        <v>3755</v>
      </c>
      <c r="AB62" s="2588" t="s">
        <v>3748</v>
      </c>
      <c r="AC62" s="2599" t="s">
        <v>3754</v>
      </c>
      <c r="AD62" s="2612">
        <f>AE62+AF62+AG62</f>
        <v>87327390</v>
      </c>
      <c r="AE62" s="2613">
        <v>2903400</v>
      </c>
      <c r="AF62" s="2613"/>
      <c r="AG62" s="2613">
        <v>84423990</v>
      </c>
      <c r="AH62" s="2615">
        <v>178</v>
      </c>
      <c r="AI62" s="2615" t="s">
        <v>2891</v>
      </c>
      <c r="AJ62" s="2615" t="s">
        <v>2891</v>
      </c>
      <c r="AK62" s="2615" t="s">
        <v>2891</v>
      </c>
      <c r="AL62" s="2615" t="s">
        <v>2891</v>
      </c>
      <c r="AM62" s="2615"/>
      <c r="AN62" s="2615"/>
      <c r="AO62" s="2615"/>
      <c r="AP62" s="2615" t="s">
        <v>2891</v>
      </c>
      <c r="AQ62" s="2615" t="s">
        <v>2891</v>
      </c>
      <c r="AR62" s="2615" t="s">
        <v>2891</v>
      </c>
      <c r="AS62" s="2615" t="s">
        <v>2891</v>
      </c>
      <c r="AT62" s="2615"/>
      <c r="AU62" s="2615" t="s">
        <v>2891</v>
      </c>
      <c r="AV62" s="2615" t="s">
        <v>2891</v>
      </c>
      <c r="AW62" s="2615" t="s">
        <v>2891</v>
      </c>
      <c r="AX62" s="2615" t="s">
        <v>2891</v>
      </c>
      <c r="AY62" s="2615"/>
      <c r="AZ62" s="2615"/>
      <c r="BA62" s="2615"/>
      <c r="BB62" s="2615" t="s">
        <v>2891</v>
      </c>
      <c r="BC62" s="2615" t="s">
        <v>2891</v>
      </c>
      <c r="BD62" s="2615" t="s">
        <v>2891</v>
      </c>
      <c r="BE62" s="2615"/>
      <c r="BF62" s="2615"/>
      <c r="BG62" s="2615"/>
      <c r="BH62" s="2584"/>
      <c r="BI62" s="2584"/>
      <c r="BJ62" s="2584"/>
      <c r="BK62" s="2584"/>
      <c r="BL62" s="2584"/>
      <c r="BM62" s="2584"/>
      <c r="BN62" s="2584"/>
      <c r="BO62" s="2584"/>
      <c r="BP62" s="2584"/>
      <c r="BQ62" s="2584"/>
      <c r="BR62" s="2581">
        <v>10000000</v>
      </c>
      <c r="BS62" s="2581">
        <v>90</v>
      </c>
      <c r="BT62" s="5092">
        <f>IF((BS62/I62)&gt;10,,100%)</f>
        <v>1</v>
      </c>
      <c r="BU62" s="16685"/>
      <c r="BV62" s="2616" t="s">
        <v>9413</v>
      </c>
      <c r="BW62" s="5070" t="s">
        <v>9414</v>
      </c>
      <c r="BX62" s="2599" t="s">
        <v>3754</v>
      </c>
      <c r="BY62" s="2617">
        <f>BZ62+CA62+CB62</f>
        <v>94768140</v>
      </c>
      <c r="BZ62" s="2603">
        <v>2700000</v>
      </c>
      <c r="CA62" s="2603"/>
      <c r="CB62" s="2603">
        <v>92068140</v>
      </c>
      <c r="CC62" s="2527">
        <v>90</v>
      </c>
      <c r="CD62" s="2618">
        <v>0</v>
      </c>
      <c r="CE62" s="2618">
        <v>0</v>
      </c>
      <c r="CF62" s="2533">
        <v>90</v>
      </c>
      <c r="CG62" s="2619"/>
      <c r="CH62" s="2618"/>
      <c r="CI62" s="2618">
        <v>90</v>
      </c>
      <c r="CJ62" s="2620"/>
      <c r="CK62" s="2620"/>
      <c r="CL62" s="2620"/>
      <c r="CM62" s="2527"/>
      <c r="CN62" s="2527"/>
      <c r="CO62" s="2527"/>
      <c r="CP62" s="2527"/>
      <c r="CQ62" s="2527">
        <v>90</v>
      </c>
      <c r="CR62" s="2619"/>
      <c r="CS62" s="2618"/>
      <c r="CT62" s="2618"/>
      <c r="CU62" s="2618"/>
      <c r="CV62" s="2618"/>
      <c r="CW62" s="2619"/>
      <c r="CX62" s="2619"/>
      <c r="CY62" s="2619"/>
      <c r="CZ62" s="2619">
        <v>90</v>
      </c>
      <c r="DA62" s="2615" t="s">
        <v>2891</v>
      </c>
      <c r="DB62" s="2615" t="s">
        <v>2891</v>
      </c>
      <c r="DC62" s="2615" t="s">
        <v>2891</v>
      </c>
      <c r="DD62" s="2615"/>
      <c r="DE62" s="2615"/>
      <c r="DF62" s="2615"/>
      <c r="DG62" s="2615"/>
      <c r="DH62" s="2603"/>
      <c r="DI62" s="2603"/>
      <c r="DJ62" s="2603"/>
      <c r="DK62" s="2603"/>
      <c r="DL62" s="2603"/>
      <c r="DM62" s="2603"/>
      <c r="DN62" s="2603"/>
      <c r="DO62" s="2603"/>
      <c r="DP62" s="2603"/>
      <c r="DQ62" s="2133"/>
      <c r="DS62" s="6617"/>
      <c r="DT62" s="2584"/>
      <c r="DU62" s="2584"/>
      <c r="DV62" s="2584"/>
      <c r="DW62" s="2584"/>
      <c r="DX62" s="2584"/>
      <c r="DY62" s="2584"/>
      <c r="DZ62" s="2584"/>
      <c r="EA62" s="2584"/>
      <c r="EB62" s="2584"/>
      <c r="EC62" s="2584"/>
      <c r="ED62" s="2584"/>
      <c r="EE62" s="2584"/>
      <c r="EF62" s="2584"/>
      <c r="EG62" s="2584"/>
      <c r="EH62" s="2584"/>
      <c r="EI62" s="2584"/>
      <c r="EJ62" s="2584"/>
      <c r="EK62" s="2584"/>
      <c r="EL62" s="2584"/>
      <c r="EM62" s="2584"/>
      <c r="EN62" s="2584"/>
      <c r="EO62" s="2584"/>
      <c r="EP62" s="2584"/>
      <c r="EQ62" s="2584"/>
      <c r="ER62" s="2584"/>
      <c r="ES62" s="2584"/>
      <c r="ET62" s="2584"/>
      <c r="EU62" s="2584"/>
      <c r="EV62" s="2584"/>
      <c r="EW62" s="2584"/>
      <c r="EX62" s="2584"/>
      <c r="EY62" s="2584"/>
      <c r="EZ62" s="2584"/>
      <c r="FA62" s="2584"/>
      <c r="FB62" s="2584"/>
      <c r="FC62" s="2584"/>
      <c r="FD62" s="2584"/>
      <c r="FE62" s="2584"/>
      <c r="FF62" s="2584"/>
      <c r="FG62" s="2584"/>
      <c r="FH62" s="2584"/>
      <c r="FI62" s="2584"/>
      <c r="FJ62" s="2584"/>
      <c r="FK62" s="2584"/>
      <c r="FL62" s="6618"/>
    </row>
    <row r="63" spans="1:168" s="2578" customFormat="1" ht="15" customHeight="1">
      <c r="A63" s="16659"/>
      <c r="B63" s="16540"/>
      <c r="C63" s="16540" t="s">
        <v>8184</v>
      </c>
      <c r="D63" s="16635" t="s">
        <v>1944</v>
      </c>
      <c r="E63" s="16635" t="s">
        <v>1945</v>
      </c>
      <c r="F63" s="16635">
        <v>30</v>
      </c>
      <c r="G63" s="16635" t="s">
        <v>386</v>
      </c>
      <c r="H63" s="16635" t="s">
        <v>1832</v>
      </c>
      <c r="I63" s="16635">
        <v>30</v>
      </c>
      <c r="J63" s="16635">
        <v>31</v>
      </c>
      <c r="K63" s="16635">
        <v>31</v>
      </c>
      <c r="L63" s="16635">
        <v>31</v>
      </c>
      <c r="M63" s="16635">
        <v>40</v>
      </c>
      <c r="N63" s="16635">
        <v>40</v>
      </c>
      <c r="O63" s="16635">
        <v>40</v>
      </c>
      <c r="P63" s="16635">
        <v>45</v>
      </c>
      <c r="Q63" s="16635">
        <v>45</v>
      </c>
      <c r="R63" s="16635">
        <v>45</v>
      </c>
      <c r="S63" s="16635">
        <f>F63+I63+J63+K63+L63+M63+N63+O63+P63+Q63+R63</f>
        <v>408</v>
      </c>
      <c r="T63" s="16635" t="s">
        <v>1873</v>
      </c>
      <c r="U63" s="5072" t="s">
        <v>10183</v>
      </c>
      <c r="V63" s="5072" t="s">
        <v>10093</v>
      </c>
      <c r="W63" s="6618"/>
      <c r="X63" s="5077"/>
      <c r="Y63" s="6645">
        <v>40000000</v>
      </c>
      <c r="Z63" s="2584"/>
      <c r="AA63" s="2584"/>
      <c r="AB63" s="2584"/>
      <c r="AC63" s="2584"/>
      <c r="AD63" s="2584"/>
      <c r="AE63" s="2584"/>
      <c r="AF63" s="2584"/>
      <c r="AG63" s="2584"/>
      <c r="AH63" s="2584"/>
      <c r="AI63" s="2584"/>
      <c r="AJ63" s="2584"/>
      <c r="AK63" s="2584"/>
      <c r="AL63" s="2584"/>
      <c r="AM63" s="2584"/>
      <c r="AN63" s="2584"/>
      <c r="AO63" s="2584"/>
      <c r="AP63" s="2584"/>
      <c r="AQ63" s="2584"/>
      <c r="AR63" s="2584"/>
      <c r="AS63" s="2584"/>
      <c r="AT63" s="2584"/>
      <c r="AU63" s="2584"/>
      <c r="AV63" s="2584"/>
      <c r="AW63" s="2584"/>
      <c r="AX63" s="2584"/>
      <c r="AY63" s="2584"/>
      <c r="AZ63" s="2584"/>
      <c r="BA63" s="2584"/>
      <c r="BB63" s="2584"/>
      <c r="BC63" s="2584"/>
      <c r="BD63" s="2584"/>
      <c r="BE63" s="2584"/>
      <c r="BF63" s="2584"/>
      <c r="BG63" s="2584"/>
      <c r="BH63" s="2584"/>
      <c r="BI63" s="2584"/>
      <c r="BJ63" s="2584"/>
      <c r="BK63" s="2584"/>
      <c r="BL63" s="2584"/>
      <c r="BM63" s="2584"/>
      <c r="BN63" s="2584"/>
      <c r="BO63" s="2584"/>
      <c r="BP63" s="2584"/>
      <c r="BQ63" s="2584"/>
      <c r="BR63" s="2600"/>
      <c r="BS63" s="2621">
        <v>36</v>
      </c>
      <c r="BT63" s="5092">
        <f>IF((BS63/I63)&gt;=30,,100%)</f>
        <v>1</v>
      </c>
      <c r="BU63" s="16685"/>
      <c r="BV63" s="2622" t="s">
        <v>9347</v>
      </c>
      <c r="BW63" s="2622" t="s">
        <v>9348</v>
      </c>
      <c r="BX63" s="2607"/>
      <c r="BY63" s="2623">
        <v>40000000</v>
      </c>
      <c r="BZ63" s="2623">
        <v>40000000</v>
      </c>
      <c r="CA63" s="2603"/>
      <c r="CB63" s="2603"/>
      <c r="CC63" s="2624">
        <v>1200</v>
      </c>
      <c r="CD63" s="2528">
        <v>0</v>
      </c>
      <c r="CE63" s="2528">
        <v>0</v>
      </c>
      <c r="CF63" s="2533">
        <v>1200</v>
      </c>
      <c r="CG63" s="2528"/>
      <c r="CH63" s="2528"/>
      <c r="CI63" s="2528">
        <v>1200</v>
      </c>
      <c r="CJ63" s="2528"/>
      <c r="CK63" s="2528"/>
      <c r="CL63" s="2528"/>
      <c r="CM63" s="2528"/>
      <c r="CN63" s="2528"/>
      <c r="CO63" s="2528"/>
      <c r="CP63" s="2528"/>
      <c r="CQ63" s="2528">
        <v>1200</v>
      </c>
      <c r="CR63" s="2528"/>
      <c r="CS63" s="2528"/>
      <c r="CT63" s="2528"/>
      <c r="CU63" s="2528"/>
      <c r="CV63" s="2528"/>
      <c r="CW63" s="2528"/>
      <c r="CX63" s="2528"/>
      <c r="CY63" s="2528"/>
      <c r="CZ63" s="2528">
        <v>1200</v>
      </c>
      <c r="DA63" s="2603"/>
      <c r="DB63" s="2603"/>
      <c r="DC63" s="2603"/>
      <c r="DD63" s="2603"/>
      <c r="DE63" s="2603"/>
      <c r="DF63" s="2603"/>
      <c r="DG63" s="2603"/>
      <c r="DH63" s="2603"/>
      <c r="DI63" s="2603"/>
      <c r="DJ63" s="2603"/>
      <c r="DK63" s="2603"/>
      <c r="DL63" s="2603"/>
      <c r="DM63" s="2603"/>
      <c r="DN63" s="2603"/>
      <c r="DO63" s="2603"/>
      <c r="DP63" s="2603"/>
      <c r="DQ63" s="2133"/>
      <c r="DS63" s="6617"/>
      <c r="DT63" s="2584"/>
      <c r="DU63" s="2584"/>
      <c r="DV63" s="2584"/>
      <c r="DW63" s="2584"/>
      <c r="DX63" s="2584"/>
      <c r="DY63" s="2584"/>
      <c r="DZ63" s="2584"/>
      <c r="EA63" s="2584"/>
      <c r="EB63" s="2584"/>
      <c r="EC63" s="2584"/>
      <c r="ED63" s="2584"/>
      <c r="EE63" s="2584"/>
      <c r="EF63" s="2584"/>
      <c r="EG63" s="2584"/>
      <c r="EH63" s="2584"/>
      <c r="EI63" s="2584"/>
      <c r="EJ63" s="2584"/>
      <c r="EK63" s="2584"/>
      <c r="EL63" s="2584"/>
      <c r="EM63" s="2584"/>
      <c r="EN63" s="2584"/>
      <c r="EO63" s="2584"/>
      <c r="EP63" s="2584"/>
      <c r="EQ63" s="2584"/>
      <c r="ER63" s="2584"/>
      <c r="ES63" s="2584"/>
      <c r="ET63" s="2584"/>
      <c r="EU63" s="2584"/>
      <c r="EV63" s="2584"/>
      <c r="EW63" s="2584"/>
      <c r="EX63" s="2584"/>
      <c r="EY63" s="2584"/>
      <c r="EZ63" s="2584"/>
      <c r="FA63" s="2584"/>
      <c r="FB63" s="2584"/>
      <c r="FC63" s="2584"/>
      <c r="FD63" s="2584"/>
      <c r="FE63" s="2584"/>
      <c r="FF63" s="2584"/>
      <c r="FG63" s="2584"/>
      <c r="FH63" s="2584"/>
      <c r="FI63" s="2584"/>
      <c r="FJ63" s="2584"/>
      <c r="FK63" s="2584"/>
      <c r="FL63" s="6618"/>
    </row>
    <row r="64" spans="1:168" s="2578" customFormat="1" ht="15" customHeight="1">
      <c r="A64" s="16659"/>
      <c r="B64" s="16540"/>
      <c r="C64" s="16540"/>
      <c r="D64" s="16635"/>
      <c r="E64" s="16635"/>
      <c r="F64" s="16635"/>
      <c r="G64" s="16635"/>
      <c r="H64" s="16635"/>
      <c r="I64" s="16635"/>
      <c r="J64" s="16635"/>
      <c r="K64" s="16635"/>
      <c r="L64" s="16635"/>
      <c r="M64" s="16635"/>
      <c r="N64" s="16635"/>
      <c r="O64" s="16635"/>
      <c r="P64" s="16635"/>
      <c r="Q64" s="16635"/>
      <c r="R64" s="16635"/>
      <c r="S64" s="16635"/>
      <c r="T64" s="16635"/>
      <c r="U64" s="5072" t="s">
        <v>10066</v>
      </c>
      <c r="V64" s="5072"/>
      <c r="W64" s="2964" t="s">
        <v>10094</v>
      </c>
      <c r="X64" s="5077"/>
      <c r="Y64" s="6645"/>
      <c r="Z64" s="2584"/>
      <c r="AA64" s="2584"/>
      <c r="AB64" s="2584"/>
      <c r="AC64" s="2584"/>
      <c r="AD64" s="2584"/>
      <c r="AE64" s="2584"/>
      <c r="AF64" s="2584"/>
      <c r="AG64" s="2584"/>
      <c r="AH64" s="2584"/>
      <c r="AI64" s="2584"/>
      <c r="AJ64" s="2584"/>
      <c r="AK64" s="2584"/>
      <c r="AL64" s="2584"/>
      <c r="AM64" s="2584"/>
      <c r="AN64" s="2584"/>
      <c r="AO64" s="2584"/>
      <c r="AP64" s="2584"/>
      <c r="AQ64" s="2584"/>
      <c r="AR64" s="2584"/>
      <c r="AS64" s="2584"/>
      <c r="AT64" s="2584"/>
      <c r="AU64" s="2584"/>
      <c r="AV64" s="2584"/>
      <c r="AW64" s="2584"/>
      <c r="AX64" s="2584"/>
      <c r="AY64" s="2584"/>
      <c r="AZ64" s="2584"/>
      <c r="BA64" s="2584"/>
      <c r="BB64" s="2584"/>
      <c r="BC64" s="2584"/>
      <c r="BD64" s="2584"/>
      <c r="BE64" s="2584"/>
      <c r="BF64" s="2584"/>
      <c r="BG64" s="2584"/>
      <c r="BH64" s="2584"/>
      <c r="BI64" s="2584"/>
      <c r="BJ64" s="2584"/>
      <c r="BK64" s="2584"/>
      <c r="BL64" s="2584"/>
      <c r="BM64" s="2584"/>
      <c r="BN64" s="2584"/>
      <c r="BO64" s="2584"/>
      <c r="BP64" s="2584"/>
      <c r="BQ64" s="2584"/>
      <c r="BR64" s="2600"/>
      <c r="BS64" s="2621"/>
      <c r="BT64" s="5092"/>
      <c r="BU64" s="16685"/>
      <c r="BV64" s="2622"/>
      <c r="BW64" s="2622"/>
      <c r="BX64" s="2607"/>
      <c r="BY64" s="2623"/>
      <c r="BZ64" s="2623"/>
      <c r="CA64" s="2603"/>
      <c r="CB64" s="2603"/>
      <c r="CC64" s="2624"/>
      <c r="CD64" s="2528"/>
      <c r="CE64" s="2528"/>
      <c r="CF64" s="2533"/>
      <c r="CG64" s="2528"/>
      <c r="CH64" s="2528"/>
      <c r="CI64" s="2528"/>
      <c r="CJ64" s="2528"/>
      <c r="CK64" s="2528"/>
      <c r="CL64" s="2528"/>
      <c r="CM64" s="2528"/>
      <c r="CN64" s="2528"/>
      <c r="CO64" s="2528"/>
      <c r="CP64" s="2528"/>
      <c r="CQ64" s="2528"/>
      <c r="CR64" s="2528"/>
      <c r="CS64" s="2528"/>
      <c r="CT64" s="2528"/>
      <c r="CU64" s="2528"/>
      <c r="CV64" s="2528"/>
      <c r="CW64" s="2528"/>
      <c r="CX64" s="2528"/>
      <c r="CY64" s="2528"/>
      <c r="CZ64" s="2528"/>
      <c r="DA64" s="2603"/>
      <c r="DB64" s="2603"/>
      <c r="DC64" s="2603"/>
      <c r="DD64" s="2603"/>
      <c r="DE64" s="2603"/>
      <c r="DF64" s="2603"/>
      <c r="DG64" s="2603"/>
      <c r="DH64" s="2603"/>
      <c r="DI64" s="2603"/>
      <c r="DJ64" s="2603"/>
      <c r="DK64" s="2603"/>
      <c r="DL64" s="2603"/>
      <c r="DM64" s="2603"/>
      <c r="DN64" s="2603"/>
      <c r="DO64" s="2603"/>
      <c r="DP64" s="2603"/>
      <c r="DQ64" s="2133"/>
      <c r="DS64" s="6617"/>
      <c r="DT64" s="2584"/>
      <c r="DU64" s="2584"/>
      <c r="DV64" s="2584"/>
      <c r="DW64" s="2584"/>
      <c r="DX64" s="2584"/>
      <c r="DY64" s="2584"/>
      <c r="DZ64" s="2584"/>
      <c r="EA64" s="2584"/>
      <c r="EB64" s="2584"/>
      <c r="EC64" s="2584"/>
      <c r="ED64" s="2584"/>
      <c r="EE64" s="2584"/>
      <c r="EF64" s="2584"/>
      <c r="EG64" s="2584"/>
      <c r="EH64" s="2584"/>
      <c r="EI64" s="2584"/>
      <c r="EJ64" s="2584"/>
      <c r="EK64" s="2584"/>
      <c r="EL64" s="2584"/>
      <c r="EM64" s="2584"/>
      <c r="EN64" s="2584"/>
      <c r="EO64" s="2584"/>
      <c r="EP64" s="2584"/>
      <c r="EQ64" s="2584"/>
      <c r="ER64" s="2584"/>
      <c r="ES64" s="2584"/>
      <c r="ET64" s="2584"/>
      <c r="EU64" s="2584"/>
      <c r="EV64" s="2584"/>
      <c r="EW64" s="2584"/>
      <c r="EX64" s="2584"/>
      <c r="EY64" s="2584"/>
      <c r="EZ64" s="2584"/>
      <c r="FA64" s="2584"/>
      <c r="FB64" s="2584"/>
      <c r="FC64" s="2584"/>
      <c r="FD64" s="2584"/>
      <c r="FE64" s="2584"/>
      <c r="FF64" s="2584"/>
      <c r="FG64" s="2584"/>
      <c r="FH64" s="2584"/>
      <c r="FI64" s="2584"/>
      <c r="FJ64" s="2584"/>
      <c r="FK64" s="2584"/>
      <c r="FL64" s="6618"/>
    </row>
    <row r="65" spans="1:168" s="2578" customFormat="1" ht="15" customHeight="1">
      <c r="A65" s="16659"/>
      <c r="B65" s="16540"/>
      <c r="C65" s="5163" t="s">
        <v>8185</v>
      </c>
      <c r="D65" s="2580" t="s">
        <v>1946</v>
      </c>
      <c r="E65" s="5072" t="s">
        <v>1947</v>
      </c>
      <c r="F65" s="2625">
        <v>3</v>
      </c>
      <c r="G65" s="5072" t="s">
        <v>382</v>
      </c>
      <c r="H65" s="2625">
        <v>3</v>
      </c>
      <c r="I65" s="2625">
        <v>3</v>
      </c>
      <c r="J65" s="2625">
        <v>3</v>
      </c>
      <c r="K65" s="2625">
        <v>3</v>
      </c>
      <c r="L65" s="2625">
        <v>3</v>
      </c>
      <c r="M65" s="2625">
        <v>3</v>
      </c>
      <c r="N65" s="2625">
        <v>3</v>
      </c>
      <c r="O65" s="2625">
        <v>3</v>
      </c>
      <c r="P65" s="2625">
        <v>3</v>
      </c>
      <c r="Q65" s="2625">
        <v>3</v>
      </c>
      <c r="R65" s="2625">
        <v>3</v>
      </c>
      <c r="S65" s="2581">
        <v>3</v>
      </c>
      <c r="T65" s="5072" t="s">
        <v>1805</v>
      </c>
      <c r="U65" s="5072" t="s">
        <v>10063</v>
      </c>
      <c r="V65" s="5072" t="s">
        <v>1408</v>
      </c>
      <c r="W65" s="2964"/>
      <c r="X65" s="5077"/>
      <c r="Y65" s="6648">
        <v>56666666.666666701</v>
      </c>
      <c r="Z65" s="6646">
        <v>1</v>
      </c>
      <c r="AA65" s="2595" t="s">
        <v>3133</v>
      </c>
      <c r="AB65" s="2593" t="s">
        <v>3134</v>
      </c>
      <c r="AC65" s="2599" t="s">
        <v>3135</v>
      </c>
      <c r="AD65" s="2596">
        <f>AE65+AF65+AG65</f>
        <v>57078672.36666666</v>
      </c>
      <c r="AE65" s="2596">
        <f>115959074.1/3</f>
        <v>38653024.699999996</v>
      </c>
      <c r="AF65" s="2596">
        <f>55276943/3</f>
        <v>18425647.666666668</v>
      </c>
      <c r="AG65" s="2596">
        <v>0</v>
      </c>
      <c r="AH65" s="2584"/>
      <c r="AI65" s="2584"/>
      <c r="AJ65" s="2584"/>
      <c r="AK65" s="2584"/>
      <c r="AL65" s="2584"/>
      <c r="AM65" s="2584"/>
      <c r="AN65" s="2584"/>
      <c r="AO65" s="2584"/>
      <c r="AP65" s="2584"/>
      <c r="AQ65" s="2584"/>
      <c r="AR65" s="2584"/>
      <c r="AS65" s="2584"/>
      <c r="AT65" s="2584"/>
      <c r="AU65" s="2584"/>
      <c r="AV65" s="2584"/>
      <c r="AW65" s="2584"/>
      <c r="AX65" s="2584"/>
      <c r="AY65" s="2584"/>
      <c r="AZ65" s="2584"/>
      <c r="BA65" s="2584"/>
      <c r="BB65" s="2584"/>
      <c r="BC65" s="2584"/>
      <c r="BD65" s="2584"/>
      <c r="BE65" s="2584"/>
      <c r="BF65" s="2584"/>
      <c r="BG65" s="2584"/>
      <c r="BH65" s="2584"/>
      <c r="BI65" s="2584"/>
      <c r="BJ65" s="2584"/>
      <c r="BK65" s="2584"/>
      <c r="BL65" s="2584"/>
      <c r="BM65" s="2584"/>
      <c r="BN65" s="2584"/>
      <c r="BO65" s="2584"/>
      <c r="BP65" s="2584"/>
      <c r="BQ65" s="2584"/>
      <c r="BR65" s="2600"/>
      <c r="BS65" s="2588">
        <v>8</v>
      </c>
      <c r="BT65" s="5092">
        <f>IF((BS65/I65)&gt;3,,100%)</f>
        <v>1</v>
      </c>
      <c r="BU65" s="16685"/>
      <c r="BV65" s="2601" t="s">
        <v>9405</v>
      </c>
      <c r="BW65" s="2602"/>
      <c r="BX65" s="2602"/>
      <c r="BY65" s="2603">
        <f>BZ65+CA65+CB65</f>
        <v>39770759.700000003</v>
      </c>
      <c r="BZ65" s="2589">
        <v>39770759.700000003</v>
      </c>
      <c r="CA65" s="2589"/>
      <c r="CB65" s="2589">
        <v>0</v>
      </c>
      <c r="CC65" s="2239">
        <v>8</v>
      </c>
      <c r="CD65" s="2241">
        <v>2</v>
      </c>
      <c r="CE65" s="2241">
        <v>6</v>
      </c>
      <c r="CF65" s="2533">
        <v>0</v>
      </c>
      <c r="CG65" s="2241"/>
      <c r="CH65" s="2241"/>
      <c r="CI65" s="2241">
        <v>8</v>
      </c>
      <c r="CJ65" s="2241"/>
      <c r="CK65" s="2241"/>
      <c r="CL65" s="2241"/>
      <c r="CM65" s="2241"/>
      <c r="CN65" s="2241"/>
      <c r="CO65" s="2241"/>
      <c r="CP65" s="2241"/>
      <c r="CQ65" s="2241">
        <v>8</v>
      </c>
      <c r="CR65" s="2241"/>
      <c r="CS65" s="2241"/>
      <c r="CT65" s="2241"/>
      <c r="CU65" s="2241"/>
      <c r="CV65" s="2241"/>
      <c r="CW65" s="2241"/>
      <c r="CX65" s="2241"/>
      <c r="CY65" s="2241"/>
      <c r="CZ65" s="2241">
        <v>8</v>
      </c>
      <c r="DA65" s="2590"/>
      <c r="DB65" s="2590"/>
      <c r="DC65" s="2590"/>
      <c r="DD65" s="2590"/>
      <c r="DE65" s="2590"/>
      <c r="DF65" s="2590"/>
      <c r="DG65" s="2590"/>
      <c r="DH65" s="2590"/>
      <c r="DI65" s="2590"/>
      <c r="DJ65" s="2590"/>
      <c r="DK65" s="2590"/>
      <c r="DL65" s="2590"/>
      <c r="DM65" s="2590"/>
      <c r="DN65" s="2590"/>
      <c r="DO65" s="2590"/>
      <c r="DP65" s="2590"/>
      <c r="DQ65" s="2591"/>
      <c r="DS65" s="6617"/>
      <c r="DT65" s="2584"/>
      <c r="DU65" s="2584"/>
      <c r="DV65" s="2584"/>
      <c r="DW65" s="2584"/>
      <c r="DX65" s="2584"/>
      <c r="DY65" s="2584"/>
      <c r="DZ65" s="2584"/>
      <c r="EA65" s="2584"/>
      <c r="EB65" s="2584"/>
      <c r="EC65" s="2584"/>
      <c r="ED65" s="2584"/>
      <c r="EE65" s="2584"/>
      <c r="EF65" s="2584"/>
      <c r="EG65" s="2584"/>
      <c r="EH65" s="2584"/>
      <c r="EI65" s="2584"/>
      <c r="EJ65" s="2584"/>
      <c r="EK65" s="2584"/>
      <c r="EL65" s="2584"/>
      <c r="EM65" s="2584"/>
      <c r="EN65" s="2584"/>
      <c r="EO65" s="2584"/>
      <c r="EP65" s="2584"/>
      <c r="EQ65" s="2584"/>
      <c r="ER65" s="2584"/>
      <c r="ES65" s="2584"/>
      <c r="ET65" s="2584"/>
      <c r="EU65" s="2584"/>
      <c r="EV65" s="2584"/>
      <c r="EW65" s="2584"/>
      <c r="EX65" s="2584"/>
      <c r="EY65" s="2584"/>
      <c r="EZ65" s="2584"/>
      <c r="FA65" s="2584"/>
      <c r="FB65" s="2584"/>
      <c r="FC65" s="2584"/>
      <c r="FD65" s="2584"/>
      <c r="FE65" s="2584"/>
      <c r="FF65" s="2584"/>
      <c r="FG65" s="2584"/>
      <c r="FH65" s="2584"/>
      <c r="FI65" s="2584"/>
      <c r="FJ65" s="2584"/>
      <c r="FK65" s="2584"/>
      <c r="FL65" s="6618"/>
    </row>
    <row r="66" spans="1:168" s="2578" customFormat="1" ht="15" customHeight="1">
      <c r="A66" s="16659"/>
      <c r="B66" s="16540"/>
      <c r="C66" s="5163" t="s">
        <v>8186</v>
      </c>
      <c r="D66" s="2580" t="s">
        <v>1948</v>
      </c>
      <c r="E66" s="5072" t="s">
        <v>1949</v>
      </c>
      <c r="F66" s="2626">
        <v>50</v>
      </c>
      <c r="G66" s="5072" t="s">
        <v>1950</v>
      </c>
      <c r="H66" s="2626">
        <v>50</v>
      </c>
      <c r="I66" s="2626">
        <v>50</v>
      </c>
      <c r="J66" s="2626">
        <v>50</v>
      </c>
      <c r="K66" s="2626">
        <v>50</v>
      </c>
      <c r="L66" s="2626">
        <v>50</v>
      </c>
      <c r="M66" s="2626">
        <v>50</v>
      </c>
      <c r="N66" s="2626">
        <v>50</v>
      </c>
      <c r="O66" s="2626">
        <v>50</v>
      </c>
      <c r="P66" s="2626">
        <v>50</v>
      </c>
      <c r="Q66" s="2626">
        <v>50</v>
      </c>
      <c r="R66" s="2626">
        <v>50</v>
      </c>
      <c r="S66" s="2581">
        <v>50</v>
      </c>
      <c r="T66" s="5072" t="s">
        <v>1881</v>
      </c>
      <c r="U66" s="5072" t="s">
        <v>10063</v>
      </c>
      <c r="V66" s="5072" t="s">
        <v>1408</v>
      </c>
      <c r="W66" s="2964"/>
      <c r="X66" s="5077"/>
      <c r="Y66" s="6648">
        <v>56666666.666666701</v>
      </c>
      <c r="Z66" s="6646">
        <v>1</v>
      </c>
      <c r="AA66" s="2595" t="s">
        <v>3136</v>
      </c>
      <c r="AB66" s="2593" t="s">
        <v>3134</v>
      </c>
      <c r="AC66" s="2599" t="s">
        <v>3137</v>
      </c>
      <c r="AD66" s="2596">
        <f>AE66+AF66+AG66</f>
        <v>57078672.36666666</v>
      </c>
      <c r="AE66" s="2596">
        <f>115959074.1/3</f>
        <v>38653024.699999996</v>
      </c>
      <c r="AF66" s="2596">
        <f>55276943/3</f>
        <v>18425647.666666668</v>
      </c>
      <c r="AG66" s="2596">
        <v>0</v>
      </c>
      <c r="AH66" s="2584"/>
      <c r="AI66" s="2584"/>
      <c r="AJ66" s="2584"/>
      <c r="AK66" s="2584"/>
      <c r="AL66" s="2584"/>
      <c r="AM66" s="2584"/>
      <c r="AN66" s="2584"/>
      <c r="AO66" s="2584"/>
      <c r="AP66" s="2584"/>
      <c r="AQ66" s="2584"/>
      <c r="AR66" s="2584"/>
      <c r="AS66" s="2584"/>
      <c r="AT66" s="2584"/>
      <c r="AU66" s="2584"/>
      <c r="AV66" s="2584"/>
      <c r="AW66" s="2584"/>
      <c r="AX66" s="2584"/>
      <c r="AY66" s="2584"/>
      <c r="AZ66" s="2584"/>
      <c r="BA66" s="2584"/>
      <c r="BB66" s="2584"/>
      <c r="BC66" s="2584"/>
      <c r="BD66" s="2584"/>
      <c r="BE66" s="2584"/>
      <c r="BF66" s="2584"/>
      <c r="BG66" s="2584"/>
      <c r="BH66" s="2584"/>
      <c r="BI66" s="2584"/>
      <c r="BJ66" s="2584"/>
      <c r="BK66" s="2584"/>
      <c r="BL66" s="2584"/>
      <c r="BM66" s="2584"/>
      <c r="BN66" s="2584"/>
      <c r="BO66" s="2584"/>
      <c r="BP66" s="2584"/>
      <c r="BQ66" s="2584"/>
      <c r="BR66" s="2600"/>
      <c r="BS66" s="2588">
        <v>50</v>
      </c>
      <c r="BT66" s="5092">
        <f>BS66/I66</f>
        <v>1</v>
      </c>
      <c r="BU66" s="16685"/>
      <c r="BV66" s="2616" t="s">
        <v>9406</v>
      </c>
      <c r="BW66" s="2602"/>
      <c r="BX66" s="2602"/>
      <c r="BY66" s="2603">
        <f>BZ66+CA66+CB66</f>
        <v>166390896.19999999</v>
      </c>
      <c r="BZ66" s="2589">
        <v>166390896.19999999</v>
      </c>
      <c r="CA66" s="2589">
        <v>0</v>
      </c>
      <c r="CB66" s="2589">
        <v>0</v>
      </c>
      <c r="CC66" s="2239"/>
      <c r="CD66" s="2241"/>
      <c r="CE66" s="2241"/>
      <c r="CF66" s="2533">
        <v>0</v>
      </c>
      <c r="CG66" s="2241"/>
      <c r="CH66" s="2241"/>
      <c r="CI66" s="2241"/>
      <c r="CJ66" s="2241"/>
      <c r="CK66" s="2241"/>
      <c r="CL66" s="2241"/>
      <c r="CM66" s="2241"/>
      <c r="CN66" s="2241"/>
      <c r="CO66" s="2241"/>
      <c r="CP66" s="2241"/>
      <c r="CQ66" s="2241"/>
      <c r="CR66" s="2241"/>
      <c r="CS66" s="2241"/>
      <c r="CT66" s="2241"/>
      <c r="CU66" s="2241"/>
      <c r="CV66" s="2241"/>
      <c r="CW66" s="2241"/>
      <c r="CX66" s="2241"/>
      <c r="CY66" s="2241"/>
      <c r="CZ66" s="2241"/>
      <c r="DA66" s="2590"/>
      <c r="DB66" s="2590"/>
      <c r="DC66" s="2590"/>
      <c r="DD66" s="2590"/>
      <c r="DE66" s="2590"/>
      <c r="DF66" s="2590"/>
      <c r="DG66" s="2590"/>
      <c r="DH66" s="2590"/>
      <c r="DI66" s="2590"/>
      <c r="DJ66" s="2590"/>
      <c r="DK66" s="2590"/>
      <c r="DL66" s="2590"/>
      <c r="DM66" s="2590"/>
      <c r="DN66" s="2590"/>
      <c r="DO66" s="2590"/>
      <c r="DP66" s="2590"/>
      <c r="DQ66" s="2591"/>
      <c r="DS66" s="6617"/>
      <c r="DT66" s="2584"/>
      <c r="DU66" s="2584"/>
      <c r="DV66" s="2584"/>
      <c r="DW66" s="2584"/>
      <c r="DX66" s="2584"/>
      <c r="DY66" s="2584"/>
      <c r="DZ66" s="2584"/>
      <c r="EA66" s="2584"/>
      <c r="EB66" s="2584"/>
      <c r="EC66" s="2584"/>
      <c r="ED66" s="2584"/>
      <c r="EE66" s="2584"/>
      <c r="EF66" s="2584"/>
      <c r="EG66" s="2584"/>
      <c r="EH66" s="2584"/>
      <c r="EI66" s="2584"/>
      <c r="EJ66" s="2584"/>
      <c r="EK66" s="2584"/>
      <c r="EL66" s="2584"/>
      <c r="EM66" s="2584"/>
      <c r="EN66" s="2584"/>
      <c r="EO66" s="2584"/>
      <c r="EP66" s="2584"/>
      <c r="EQ66" s="2584"/>
      <c r="ER66" s="2584"/>
      <c r="ES66" s="2584"/>
      <c r="ET66" s="2584"/>
      <c r="EU66" s="2584"/>
      <c r="EV66" s="2584"/>
      <c r="EW66" s="2584"/>
      <c r="EX66" s="2584"/>
      <c r="EY66" s="2584"/>
      <c r="EZ66" s="2584"/>
      <c r="FA66" s="2584"/>
      <c r="FB66" s="2584"/>
      <c r="FC66" s="2584"/>
      <c r="FD66" s="2584"/>
      <c r="FE66" s="2584"/>
      <c r="FF66" s="2584"/>
      <c r="FG66" s="2584"/>
      <c r="FH66" s="2584"/>
      <c r="FI66" s="2584"/>
      <c r="FJ66" s="2584"/>
      <c r="FK66" s="2584"/>
      <c r="FL66" s="6618"/>
    </row>
    <row r="67" spans="1:168" s="2578" customFormat="1" ht="15" customHeight="1">
      <c r="A67" s="16659"/>
      <c r="B67" s="16540"/>
      <c r="C67" s="5163" t="s">
        <v>8187</v>
      </c>
      <c r="D67" s="2604" t="s">
        <v>1951</v>
      </c>
      <c r="E67" s="5072" t="s">
        <v>1952</v>
      </c>
      <c r="F67" s="5072">
        <v>2</v>
      </c>
      <c r="G67" s="5072" t="s">
        <v>386</v>
      </c>
      <c r="H67" s="5072">
        <v>0</v>
      </c>
      <c r="I67" s="5072">
        <v>4</v>
      </c>
      <c r="J67" s="5072">
        <v>6</v>
      </c>
      <c r="K67" s="5072">
        <v>8</v>
      </c>
      <c r="L67" s="5072">
        <v>10</v>
      </c>
      <c r="M67" s="5072">
        <v>10</v>
      </c>
      <c r="N67" s="5072">
        <v>10</v>
      </c>
      <c r="O67" s="5072">
        <v>10</v>
      </c>
      <c r="P67" s="5072">
        <v>10</v>
      </c>
      <c r="Q67" s="5072">
        <v>10</v>
      </c>
      <c r="R67" s="5072">
        <v>10</v>
      </c>
      <c r="S67" s="2581">
        <f>F67+I67+J67+K67+L67+M67+N67+O67+P67+Q67+R67</f>
        <v>90</v>
      </c>
      <c r="T67" s="5072" t="s">
        <v>1953</v>
      </c>
      <c r="U67" s="5072" t="s">
        <v>10057</v>
      </c>
      <c r="V67" s="5072" t="s">
        <v>9654</v>
      </c>
      <c r="W67" s="2964"/>
      <c r="X67" s="5077"/>
      <c r="Y67" s="6650">
        <v>4000000</v>
      </c>
      <c r="Z67" s="2627">
        <v>1</v>
      </c>
      <c r="AA67" s="2601" t="s">
        <v>4087</v>
      </c>
      <c r="AB67" s="2580" t="s">
        <v>4088</v>
      </c>
      <c r="AC67" s="2628" t="s">
        <v>2951</v>
      </c>
      <c r="AD67" s="2629" t="s">
        <v>2951</v>
      </c>
      <c r="AE67" s="2629" t="s">
        <v>2951</v>
      </c>
      <c r="AF67" s="2629" t="s">
        <v>2951</v>
      </c>
      <c r="AG67" s="2580" t="s">
        <v>4089</v>
      </c>
      <c r="AH67" s="2615"/>
      <c r="AI67" s="2615"/>
      <c r="AJ67" s="2615"/>
      <c r="AK67" s="2615"/>
      <c r="AL67" s="2615"/>
      <c r="AM67" s="2615"/>
      <c r="AN67" s="2615"/>
      <c r="AO67" s="2615"/>
      <c r="AP67" s="2615"/>
      <c r="AQ67" s="2615"/>
      <c r="AR67" s="2615"/>
      <c r="AS67" s="2615"/>
      <c r="AT67" s="2615"/>
      <c r="AU67" s="2615"/>
      <c r="AV67" s="2615"/>
      <c r="AW67" s="2615"/>
      <c r="AX67" s="2615"/>
      <c r="AY67" s="2615"/>
      <c r="AZ67" s="2615"/>
      <c r="BA67" s="2615"/>
      <c r="BB67" s="2615"/>
      <c r="BC67" s="2615"/>
      <c r="BD67" s="2615"/>
      <c r="BE67" s="2615"/>
      <c r="BF67" s="2615"/>
      <c r="BG67" s="2584"/>
      <c r="BH67" s="2584"/>
      <c r="BI67" s="2584"/>
      <c r="BJ67" s="2584"/>
      <c r="BK67" s="2584"/>
      <c r="BL67" s="2584"/>
      <c r="BM67" s="2584"/>
      <c r="BN67" s="2584"/>
      <c r="BO67" s="2584"/>
      <c r="BP67" s="2584"/>
      <c r="BQ67" s="2584"/>
      <c r="BR67" s="2600"/>
      <c r="BS67" s="5072">
        <v>13</v>
      </c>
      <c r="BT67" s="5092">
        <f>IF((BS67/I67)&gt;100%,100%)</f>
        <v>1</v>
      </c>
      <c r="BU67" s="16685"/>
      <c r="BV67" s="5070" t="s">
        <v>9782</v>
      </c>
      <c r="BW67" s="2607"/>
      <c r="BX67" s="5072" t="s">
        <v>4088</v>
      </c>
      <c r="BY67" s="2617" t="s">
        <v>2951</v>
      </c>
      <c r="BZ67" s="2630" t="s">
        <v>2951</v>
      </c>
      <c r="CA67" s="2630" t="s">
        <v>2951</v>
      </c>
      <c r="CB67" s="2630" t="s">
        <v>2951</v>
      </c>
      <c r="CC67" s="2504"/>
      <c r="CD67" s="2631"/>
      <c r="CE67" s="2631"/>
      <c r="CF67" s="2533"/>
      <c r="CG67" s="2631"/>
      <c r="CH67" s="2631"/>
      <c r="CI67" s="2631"/>
      <c r="CJ67" s="2631"/>
      <c r="CK67" s="2631"/>
      <c r="CL67" s="2631"/>
      <c r="CM67" s="2631"/>
      <c r="CN67" s="2631"/>
      <c r="CO67" s="2631"/>
      <c r="CP67" s="2631"/>
      <c r="CQ67" s="2631"/>
      <c r="CR67" s="2631"/>
      <c r="CS67" s="2631"/>
      <c r="CT67" s="2631"/>
      <c r="CU67" s="2631"/>
      <c r="CV67" s="2631"/>
      <c r="CW67" s="2631"/>
      <c r="CX67" s="2631"/>
      <c r="CY67" s="2631"/>
      <c r="CZ67" s="2631"/>
      <c r="DA67" s="2581"/>
      <c r="DB67" s="2581"/>
      <c r="DC67" s="2581"/>
      <c r="DD67" s="2581"/>
      <c r="DE67" s="2581"/>
      <c r="DF67" s="2581"/>
      <c r="DG67" s="2581"/>
      <c r="DH67" s="2581"/>
      <c r="DI67" s="2581"/>
      <c r="DJ67" s="2581"/>
      <c r="DK67" s="2581"/>
      <c r="DL67" s="2581"/>
      <c r="DM67" s="2581"/>
      <c r="DN67" s="2581"/>
      <c r="DO67" s="2581"/>
      <c r="DP67" s="2581"/>
      <c r="DQ67" s="2134"/>
      <c r="DS67" s="6617"/>
      <c r="DT67" s="2584"/>
      <c r="DU67" s="2584"/>
      <c r="DV67" s="2584"/>
      <c r="DW67" s="2584"/>
      <c r="DX67" s="2584"/>
      <c r="DY67" s="2584"/>
      <c r="DZ67" s="2584"/>
      <c r="EA67" s="2584"/>
      <c r="EB67" s="2584"/>
      <c r="EC67" s="2584"/>
      <c r="ED67" s="2584"/>
      <c r="EE67" s="2584"/>
      <c r="EF67" s="2584"/>
      <c r="EG67" s="2584"/>
      <c r="EH67" s="2584"/>
      <c r="EI67" s="2584"/>
      <c r="EJ67" s="2584"/>
      <c r="EK67" s="2584"/>
      <c r="EL67" s="2584"/>
      <c r="EM67" s="2584"/>
      <c r="EN67" s="2584"/>
      <c r="EO67" s="2584"/>
      <c r="EP67" s="2584"/>
      <c r="EQ67" s="2584"/>
      <c r="ER67" s="2584"/>
      <c r="ES67" s="2584"/>
      <c r="ET67" s="2584"/>
      <c r="EU67" s="2584"/>
      <c r="EV67" s="2584"/>
      <c r="EW67" s="2584"/>
      <c r="EX67" s="2584"/>
      <c r="EY67" s="2584"/>
      <c r="EZ67" s="2584"/>
      <c r="FA67" s="2584"/>
      <c r="FB67" s="2584"/>
      <c r="FC67" s="2584"/>
      <c r="FD67" s="2584"/>
      <c r="FE67" s="2584"/>
      <c r="FF67" s="2584"/>
      <c r="FG67" s="2584"/>
      <c r="FH67" s="2584"/>
      <c r="FI67" s="2584"/>
      <c r="FJ67" s="2584"/>
      <c r="FK67" s="2584"/>
      <c r="FL67" s="6618"/>
    </row>
    <row r="68" spans="1:168" s="2578" customFormat="1" ht="15" customHeight="1">
      <c r="A68" s="16659"/>
      <c r="B68" s="16540"/>
      <c r="C68" s="5163" t="s">
        <v>8188</v>
      </c>
      <c r="D68" s="2604" t="s">
        <v>1954</v>
      </c>
      <c r="E68" s="5072" t="s">
        <v>1955</v>
      </c>
      <c r="F68" s="2627">
        <v>1</v>
      </c>
      <c r="G68" s="5072" t="s">
        <v>382</v>
      </c>
      <c r="H68" s="2627">
        <v>0</v>
      </c>
      <c r="I68" s="2627">
        <v>1</v>
      </c>
      <c r="J68" s="2627">
        <v>1</v>
      </c>
      <c r="K68" s="2627">
        <v>1</v>
      </c>
      <c r="L68" s="2627">
        <v>1</v>
      </c>
      <c r="M68" s="2627">
        <v>1</v>
      </c>
      <c r="N68" s="2627">
        <v>1</v>
      </c>
      <c r="O68" s="2627">
        <v>1</v>
      </c>
      <c r="P68" s="2627">
        <v>1</v>
      </c>
      <c r="Q68" s="2627">
        <v>1</v>
      </c>
      <c r="R68" s="2627">
        <v>1</v>
      </c>
      <c r="S68" s="2627">
        <v>1</v>
      </c>
      <c r="T68" s="5072" t="s">
        <v>1805</v>
      </c>
      <c r="U68" s="5072" t="s">
        <v>10070</v>
      </c>
      <c r="V68" s="5072" t="s">
        <v>512</v>
      </c>
      <c r="W68" s="2964"/>
      <c r="X68" s="5077"/>
      <c r="Y68" s="6650">
        <v>40000000</v>
      </c>
      <c r="Z68" s="6646">
        <v>1</v>
      </c>
      <c r="AA68" s="2586" t="s">
        <v>3978</v>
      </c>
      <c r="AB68" s="2586" t="s">
        <v>3979</v>
      </c>
      <c r="AC68" s="2586"/>
      <c r="AD68" s="2588" t="s">
        <v>3980</v>
      </c>
      <c r="AE68" s="2588" t="s">
        <v>2943</v>
      </c>
      <c r="AF68" s="2588"/>
      <c r="AG68" s="2588"/>
      <c r="AH68" s="2588">
        <v>366</v>
      </c>
      <c r="AI68" s="2588">
        <v>192</v>
      </c>
      <c r="AJ68" s="2588">
        <v>174</v>
      </c>
      <c r="AK68" s="2588">
        <v>219</v>
      </c>
      <c r="AL68" s="2588">
        <v>147</v>
      </c>
      <c r="AM68" s="2588"/>
      <c r="AN68" s="2588"/>
      <c r="AO68" s="2588"/>
      <c r="AP68" s="2588" t="s">
        <v>2943</v>
      </c>
      <c r="AQ68" s="2588" t="s">
        <v>2943</v>
      </c>
      <c r="AR68" s="2588" t="s">
        <v>2943</v>
      </c>
      <c r="AS68" s="2588" t="s">
        <v>2943</v>
      </c>
      <c r="AT68" s="2588"/>
      <c r="AU68" s="2588"/>
      <c r="AV68" s="2588"/>
      <c r="AW68" s="2588"/>
      <c r="AX68" s="2588"/>
      <c r="AY68" s="2588"/>
      <c r="AZ68" s="2588"/>
      <c r="BA68" s="2588"/>
      <c r="BB68" s="2588">
        <v>364</v>
      </c>
      <c r="BC68" s="2588">
        <v>2</v>
      </c>
      <c r="BD68" s="2588"/>
      <c r="BE68" s="2588"/>
      <c r="BF68" s="2588"/>
      <c r="BG68" s="2588"/>
      <c r="BH68" s="2586" t="s">
        <v>3981</v>
      </c>
      <c r="BI68" s="2586" t="s">
        <v>3954</v>
      </c>
      <c r="BJ68" s="2588">
        <v>366</v>
      </c>
      <c r="BK68" s="2586" t="s">
        <v>3955</v>
      </c>
      <c r="BL68" s="2586" t="s">
        <v>3982</v>
      </c>
      <c r="BM68" s="2588">
        <v>366</v>
      </c>
      <c r="BN68" s="2588" t="s">
        <v>2943</v>
      </c>
      <c r="BO68" s="2588"/>
      <c r="BP68" s="2588"/>
      <c r="BQ68" s="2586" t="s">
        <v>3983</v>
      </c>
      <c r="BR68" s="6647"/>
      <c r="BS68" s="6646">
        <v>1</v>
      </c>
      <c r="BT68" s="5092">
        <f>BS68/I68</f>
        <v>1</v>
      </c>
      <c r="BU68" s="16685"/>
      <c r="BV68" s="5070" t="s">
        <v>9341</v>
      </c>
      <c r="BW68" s="5070" t="s">
        <v>9342</v>
      </c>
      <c r="BX68" s="2586" t="s">
        <v>9343</v>
      </c>
      <c r="BY68" s="2589">
        <v>42834000</v>
      </c>
      <c r="BZ68" s="2589"/>
      <c r="CA68" s="2589"/>
      <c r="CB68" s="2589"/>
      <c r="CC68" s="2239"/>
      <c r="CD68" s="2241"/>
      <c r="CE68" s="2241"/>
      <c r="CF68" s="2533"/>
      <c r="CG68" s="2241"/>
      <c r="CH68" s="2241"/>
      <c r="CI68" s="2241"/>
      <c r="CJ68" s="2241"/>
      <c r="CK68" s="2241"/>
      <c r="CL68" s="2241"/>
      <c r="CM68" s="2241"/>
      <c r="CN68" s="2241"/>
      <c r="CO68" s="2241"/>
      <c r="CP68" s="2241"/>
      <c r="CQ68" s="2241"/>
      <c r="CR68" s="2241"/>
      <c r="CS68" s="2241"/>
      <c r="CT68" s="2241"/>
      <c r="CU68" s="2241"/>
      <c r="CV68" s="2241"/>
      <c r="CW68" s="2241"/>
      <c r="CX68" s="2241"/>
      <c r="CY68" s="2241"/>
      <c r="CZ68" s="2241"/>
      <c r="DA68" s="2590"/>
      <c r="DB68" s="2590"/>
      <c r="DC68" s="2590"/>
      <c r="DD68" s="2590"/>
      <c r="DE68" s="2590"/>
      <c r="DF68" s="2590"/>
      <c r="DG68" s="2590"/>
      <c r="DH68" s="2590"/>
      <c r="DI68" s="2590"/>
      <c r="DJ68" s="2590"/>
      <c r="DK68" s="2590"/>
      <c r="DL68" s="2590"/>
      <c r="DM68" s="2590"/>
      <c r="DN68" s="2590"/>
      <c r="DO68" s="2590"/>
      <c r="DP68" s="2590"/>
      <c r="DQ68" s="2591"/>
      <c r="DS68" s="6617"/>
      <c r="DT68" s="2584"/>
      <c r="DU68" s="2584"/>
      <c r="DV68" s="2584"/>
      <c r="DW68" s="2584"/>
      <c r="DX68" s="2584"/>
      <c r="DY68" s="2584"/>
      <c r="DZ68" s="2584"/>
      <c r="EA68" s="2584"/>
      <c r="EB68" s="2584"/>
      <c r="EC68" s="2584"/>
      <c r="ED68" s="2584"/>
      <c r="EE68" s="2584"/>
      <c r="EF68" s="2584"/>
      <c r="EG68" s="2584"/>
      <c r="EH68" s="2584"/>
      <c r="EI68" s="2584"/>
      <c r="EJ68" s="2584"/>
      <c r="EK68" s="2584"/>
      <c r="EL68" s="2584"/>
      <c r="EM68" s="2584"/>
      <c r="EN68" s="2584"/>
      <c r="EO68" s="2584"/>
      <c r="EP68" s="2584"/>
      <c r="EQ68" s="2584"/>
      <c r="ER68" s="2584"/>
      <c r="ES68" s="2584"/>
      <c r="ET68" s="2584"/>
      <c r="EU68" s="2584"/>
      <c r="EV68" s="2584"/>
      <c r="EW68" s="2584"/>
      <c r="EX68" s="2584"/>
      <c r="EY68" s="2584"/>
      <c r="EZ68" s="2584"/>
      <c r="FA68" s="2584"/>
      <c r="FB68" s="2584"/>
      <c r="FC68" s="2584"/>
      <c r="FD68" s="2584"/>
      <c r="FE68" s="2584"/>
      <c r="FF68" s="2584"/>
      <c r="FG68" s="2584"/>
      <c r="FH68" s="2584"/>
      <c r="FI68" s="2584"/>
      <c r="FJ68" s="2584"/>
      <c r="FK68" s="2584"/>
      <c r="FL68" s="6618"/>
    </row>
    <row r="69" spans="1:168" s="2578" customFormat="1" ht="15" customHeight="1">
      <c r="A69" s="16659"/>
      <c r="B69" s="16540"/>
      <c r="C69" s="5163" t="s">
        <v>8189</v>
      </c>
      <c r="D69" s="2604" t="s">
        <v>1956</v>
      </c>
      <c r="E69" s="5072" t="s">
        <v>1957</v>
      </c>
      <c r="F69" s="2627">
        <v>1</v>
      </c>
      <c r="G69" s="5072" t="s">
        <v>382</v>
      </c>
      <c r="H69" s="2627">
        <v>0</v>
      </c>
      <c r="I69" s="2627">
        <v>0</v>
      </c>
      <c r="J69" s="2627">
        <v>0</v>
      </c>
      <c r="K69" s="2627">
        <v>0</v>
      </c>
      <c r="L69" s="2627">
        <v>0</v>
      </c>
      <c r="M69" s="2627">
        <v>0</v>
      </c>
      <c r="N69" s="2627">
        <v>0</v>
      </c>
      <c r="O69" s="2627">
        <v>0</v>
      </c>
      <c r="P69" s="2627">
        <v>0</v>
      </c>
      <c r="Q69" s="2627">
        <v>0</v>
      </c>
      <c r="R69" s="2627">
        <v>0</v>
      </c>
      <c r="S69" s="2627">
        <v>0</v>
      </c>
      <c r="T69" s="5072" t="s">
        <v>1958</v>
      </c>
      <c r="U69" s="5072" t="s">
        <v>10070</v>
      </c>
      <c r="V69" s="5072" t="s">
        <v>512</v>
      </c>
      <c r="W69" s="2964"/>
      <c r="X69" s="5077"/>
      <c r="Y69" s="6650">
        <v>20000000</v>
      </c>
      <c r="Z69" s="6646">
        <v>1</v>
      </c>
      <c r="AA69" s="5070" t="s">
        <v>3994</v>
      </c>
      <c r="AB69" s="5070" t="s">
        <v>3995</v>
      </c>
      <c r="AC69" s="2632" t="s">
        <v>3996</v>
      </c>
      <c r="AD69" s="2633">
        <v>18769080</v>
      </c>
      <c r="AE69" s="5070" t="s">
        <v>2943</v>
      </c>
      <c r="AF69" s="5070"/>
      <c r="AG69" s="5070"/>
      <c r="AH69" s="5070">
        <v>301</v>
      </c>
      <c r="AI69" s="5070"/>
      <c r="AJ69" s="5070"/>
      <c r="AK69" s="5070"/>
      <c r="AL69" s="5070"/>
      <c r="AM69" s="5070"/>
      <c r="AN69" s="5070"/>
      <c r="AO69" s="5070"/>
      <c r="AP69" s="5070"/>
      <c r="AQ69" s="5070"/>
      <c r="AR69" s="5070" t="s">
        <v>2943</v>
      </c>
      <c r="AS69" s="5070" t="s">
        <v>2943</v>
      </c>
      <c r="AT69" s="5070"/>
      <c r="AU69" s="5070"/>
      <c r="AV69" s="5070"/>
      <c r="AW69" s="5070"/>
      <c r="AX69" s="5070"/>
      <c r="AY69" s="5070"/>
      <c r="AZ69" s="5070"/>
      <c r="BA69" s="5070"/>
      <c r="BB69" s="5070" t="s">
        <v>2943</v>
      </c>
      <c r="BC69" s="5070"/>
      <c r="BD69" s="5070"/>
      <c r="BE69" s="5070"/>
      <c r="BF69" s="5070"/>
      <c r="BG69" s="5070"/>
      <c r="BH69" s="5070" t="s">
        <v>3997</v>
      </c>
      <c r="BI69" s="5070" t="s">
        <v>3998</v>
      </c>
      <c r="BJ69" s="5070" t="s">
        <v>3999</v>
      </c>
      <c r="BK69" s="5070" t="s">
        <v>4000</v>
      </c>
      <c r="BL69" s="5070" t="s">
        <v>3962</v>
      </c>
      <c r="BM69" s="5070" t="s">
        <v>4001</v>
      </c>
      <c r="BN69" s="5070" t="s">
        <v>2943</v>
      </c>
      <c r="BO69" s="5070"/>
      <c r="BP69" s="5070"/>
      <c r="BQ69" s="5070" t="s">
        <v>3962</v>
      </c>
      <c r="BR69" s="2634"/>
      <c r="BS69" s="6646">
        <v>1</v>
      </c>
      <c r="BT69" s="5092">
        <f>BS69</f>
        <v>1</v>
      </c>
      <c r="BU69" s="16685"/>
      <c r="BV69" s="5070" t="s">
        <v>9344</v>
      </c>
      <c r="BW69" s="5070" t="s">
        <v>9345</v>
      </c>
      <c r="BX69" s="5070" t="s">
        <v>9346</v>
      </c>
      <c r="BY69" s="2589">
        <v>39911000</v>
      </c>
      <c r="BZ69" s="2589" t="s">
        <v>2891</v>
      </c>
      <c r="CA69" s="2589"/>
      <c r="CB69" s="2589"/>
      <c r="CC69" s="2239">
        <v>129</v>
      </c>
      <c r="CD69" s="2241">
        <v>62</v>
      </c>
      <c r="CE69" s="2241">
        <v>67</v>
      </c>
      <c r="CF69" s="2241">
        <v>0</v>
      </c>
      <c r="CG69" s="2241">
        <v>57</v>
      </c>
      <c r="CH69" s="2241">
        <v>72</v>
      </c>
      <c r="CI69" s="2241"/>
      <c r="CJ69" s="2241"/>
      <c r="CK69" s="2241"/>
      <c r="CL69" s="2241"/>
      <c r="CM69" s="2241"/>
      <c r="CN69" s="2241">
        <v>16</v>
      </c>
      <c r="CO69" s="2241">
        <v>105</v>
      </c>
      <c r="CP69" s="2241">
        <v>8</v>
      </c>
      <c r="CQ69" s="2241"/>
      <c r="CR69" s="2241">
        <v>128</v>
      </c>
      <c r="CS69" s="2241"/>
      <c r="CT69" s="2241"/>
      <c r="CU69" s="2241"/>
      <c r="CV69" s="2241"/>
      <c r="CW69" s="2241">
        <v>1</v>
      </c>
      <c r="CX69" s="2241"/>
      <c r="CY69" s="2241"/>
      <c r="CZ69" s="2241"/>
      <c r="DA69" s="2589">
        <v>129</v>
      </c>
      <c r="DB69" s="2590"/>
      <c r="DC69" s="2590"/>
      <c r="DD69" s="2590"/>
      <c r="DE69" s="2590"/>
      <c r="DF69" s="2590"/>
      <c r="DG69" s="2590"/>
      <c r="DH69" s="2634" t="s">
        <v>3997</v>
      </c>
      <c r="DI69" s="2634" t="s">
        <v>3998</v>
      </c>
      <c r="DJ69" s="2634" t="s">
        <v>3999</v>
      </c>
      <c r="DK69" s="2634" t="s">
        <v>4000</v>
      </c>
      <c r="DL69" s="2634" t="s">
        <v>3962</v>
      </c>
      <c r="DM69" s="2634" t="s">
        <v>4001</v>
      </c>
      <c r="DN69" s="2634" t="s">
        <v>2943</v>
      </c>
      <c r="DO69" s="2634"/>
      <c r="DP69" s="2634"/>
      <c r="DQ69" s="2635" t="s">
        <v>3962</v>
      </c>
      <c r="DS69" s="6617"/>
      <c r="DT69" s="2584"/>
      <c r="DU69" s="2584"/>
      <c r="DV69" s="2584"/>
      <c r="DW69" s="2584"/>
      <c r="DX69" s="2584"/>
      <c r="DY69" s="2584"/>
      <c r="DZ69" s="2584"/>
      <c r="EA69" s="2584"/>
      <c r="EB69" s="2584"/>
      <c r="EC69" s="2584"/>
      <c r="ED69" s="2584"/>
      <c r="EE69" s="2584"/>
      <c r="EF69" s="2584"/>
      <c r="EG69" s="2584"/>
      <c r="EH69" s="2584"/>
      <c r="EI69" s="2584"/>
      <c r="EJ69" s="2584"/>
      <c r="EK69" s="2584"/>
      <c r="EL69" s="2584"/>
      <c r="EM69" s="2584"/>
      <c r="EN69" s="2584"/>
      <c r="EO69" s="2584"/>
      <c r="EP69" s="2584"/>
      <c r="EQ69" s="2584"/>
      <c r="ER69" s="2584"/>
      <c r="ES69" s="2584"/>
      <c r="ET69" s="2584"/>
      <c r="EU69" s="2584"/>
      <c r="EV69" s="2584"/>
      <c r="EW69" s="2584"/>
      <c r="EX69" s="2584"/>
      <c r="EY69" s="2584"/>
      <c r="EZ69" s="2584"/>
      <c r="FA69" s="2584"/>
      <c r="FB69" s="2584"/>
      <c r="FC69" s="2584"/>
      <c r="FD69" s="2584"/>
      <c r="FE69" s="2584"/>
      <c r="FF69" s="2584"/>
      <c r="FG69" s="2584"/>
      <c r="FH69" s="2584"/>
      <c r="FI69" s="2584"/>
      <c r="FJ69" s="2584"/>
      <c r="FK69" s="2584"/>
      <c r="FL69" s="6618"/>
    </row>
    <row r="70" spans="1:168" s="2578" customFormat="1" ht="15" customHeight="1">
      <c r="A70" s="16659"/>
      <c r="B70" s="16540"/>
      <c r="C70" s="5163" t="s">
        <v>8190</v>
      </c>
      <c r="D70" s="2580" t="s">
        <v>1959</v>
      </c>
      <c r="E70" s="5072" t="s">
        <v>1960</v>
      </c>
      <c r="F70" s="5072">
        <v>1</v>
      </c>
      <c r="G70" s="5072" t="s">
        <v>382</v>
      </c>
      <c r="H70" s="5072">
        <v>1</v>
      </c>
      <c r="I70" s="5072">
        <v>1</v>
      </c>
      <c r="J70" s="5072">
        <v>1</v>
      </c>
      <c r="K70" s="5072">
        <v>1</v>
      </c>
      <c r="L70" s="5072">
        <v>1</v>
      </c>
      <c r="M70" s="5072">
        <v>1</v>
      </c>
      <c r="N70" s="5072">
        <v>1</v>
      </c>
      <c r="O70" s="5072">
        <v>1</v>
      </c>
      <c r="P70" s="5072">
        <v>1</v>
      </c>
      <c r="Q70" s="5072">
        <v>1</v>
      </c>
      <c r="R70" s="5072">
        <v>1</v>
      </c>
      <c r="S70" s="2581">
        <v>1</v>
      </c>
      <c r="T70" s="5072" t="s">
        <v>1870</v>
      </c>
      <c r="U70" s="5072" t="s">
        <v>10063</v>
      </c>
      <c r="V70" s="5072" t="s">
        <v>1408</v>
      </c>
      <c r="W70" s="2964"/>
      <c r="X70" s="5077" t="s">
        <v>512</v>
      </c>
      <c r="Y70" s="6645">
        <v>50000000</v>
      </c>
      <c r="Z70" s="6646">
        <v>0.4</v>
      </c>
      <c r="AA70" s="2599" t="s">
        <v>3138</v>
      </c>
      <c r="AB70" s="2595" t="s">
        <v>3139</v>
      </c>
      <c r="AC70" s="2584"/>
      <c r="AD70" s="2596">
        <f>AE70+AF70+AG70</f>
        <v>0</v>
      </c>
      <c r="AE70" s="2596">
        <v>0</v>
      </c>
      <c r="AF70" s="2596">
        <v>0</v>
      </c>
      <c r="AG70" s="2596">
        <v>0</v>
      </c>
      <c r="AH70" s="2584"/>
      <c r="AI70" s="2584"/>
      <c r="AJ70" s="2584"/>
      <c r="AK70" s="2584"/>
      <c r="AL70" s="2584"/>
      <c r="AM70" s="2584"/>
      <c r="AN70" s="2584"/>
      <c r="AO70" s="2584"/>
      <c r="AP70" s="2584"/>
      <c r="AQ70" s="2584"/>
      <c r="AR70" s="2584"/>
      <c r="AS70" s="2584"/>
      <c r="AT70" s="2584"/>
      <c r="AU70" s="2584"/>
      <c r="AV70" s="2584"/>
      <c r="AW70" s="2584"/>
      <c r="AX70" s="2584"/>
      <c r="AY70" s="2584"/>
      <c r="AZ70" s="2584"/>
      <c r="BA70" s="2584"/>
      <c r="BB70" s="2584"/>
      <c r="BC70" s="2584"/>
      <c r="BD70" s="2584"/>
      <c r="BE70" s="2584"/>
      <c r="BF70" s="2584"/>
      <c r="BG70" s="2584"/>
      <c r="BH70" s="2584"/>
      <c r="BI70" s="2584"/>
      <c r="BJ70" s="2584"/>
      <c r="BK70" s="2584"/>
      <c r="BL70" s="2584"/>
      <c r="BM70" s="2584"/>
      <c r="BN70" s="2584"/>
      <c r="BO70" s="2584"/>
      <c r="BP70" s="2584"/>
      <c r="BQ70" s="2584"/>
      <c r="BR70" s="2600"/>
      <c r="BS70" s="2588">
        <v>1</v>
      </c>
      <c r="BT70" s="5092">
        <f>BS70/I70</f>
        <v>1</v>
      </c>
      <c r="BU70" s="16685"/>
      <c r="BV70" s="2616" t="s">
        <v>9407</v>
      </c>
      <c r="BW70" s="2616" t="s">
        <v>9408</v>
      </c>
      <c r="BX70" s="2602"/>
      <c r="BY70" s="2603">
        <f>BZ70+CA70+CB70</f>
        <v>15461975</v>
      </c>
      <c r="BZ70" s="2589">
        <v>15461975</v>
      </c>
      <c r="CA70" s="2589">
        <v>0</v>
      </c>
      <c r="CB70" s="2589">
        <v>0</v>
      </c>
      <c r="CC70" s="2247"/>
      <c r="CD70" s="2241"/>
      <c r="CE70" s="2241"/>
      <c r="CF70" s="2533"/>
      <c r="CG70" s="2241"/>
      <c r="CH70" s="2241"/>
      <c r="CI70" s="2241"/>
      <c r="CJ70" s="2241"/>
      <c r="CK70" s="2241"/>
      <c r="CL70" s="2241"/>
      <c r="CM70" s="2241"/>
      <c r="CN70" s="2241"/>
      <c r="CO70" s="2241"/>
      <c r="CP70" s="2241"/>
      <c r="CQ70" s="2241"/>
      <c r="CR70" s="2241"/>
      <c r="CS70" s="2241"/>
      <c r="CT70" s="2241"/>
      <c r="CU70" s="2241"/>
      <c r="CV70" s="2241"/>
      <c r="CW70" s="2241"/>
      <c r="CX70" s="2241"/>
      <c r="CY70" s="2241"/>
      <c r="CZ70" s="2241"/>
      <c r="DA70" s="2590"/>
      <c r="DB70" s="2590"/>
      <c r="DC70" s="2590"/>
      <c r="DD70" s="2590"/>
      <c r="DE70" s="2590"/>
      <c r="DF70" s="2590"/>
      <c r="DG70" s="2590"/>
      <c r="DH70" s="2590"/>
      <c r="DI70" s="2590"/>
      <c r="DJ70" s="2590"/>
      <c r="DK70" s="2590"/>
      <c r="DL70" s="2590"/>
      <c r="DM70" s="2590"/>
      <c r="DN70" s="2590"/>
      <c r="DO70" s="2590"/>
      <c r="DP70" s="2590"/>
      <c r="DQ70" s="2591"/>
      <c r="DS70" s="6617"/>
      <c r="DT70" s="2584"/>
      <c r="DU70" s="2584"/>
      <c r="DV70" s="2584"/>
      <c r="DW70" s="2584"/>
      <c r="DX70" s="2584"/>
      <c r="DY70" s="2584"/>
      <c r="DZ70" s="2584"/>
      <c r="EA70" s="2584"/>
      <c r="EB70" s="2584"/>
      <c r="EC70" s="2584"/>
      <c r="ED70" s="2584"/>
      <c r="EE70" s="2584"/>
      <c r="EF70" s="2584"/>
      <c r="EG70" s="2584"/>
      <c r="EH70" s="2584"/>
      <c r="EI70" s="2584"/>
      <c r="EJ70" s="2584"/>
      <c r="EK70" s="2584"/>
      <c r="EL70" s="2584"/>
      <c r="EM70" s="2584"/>
      <c r="EN70" s="2584"/>
      <c r="EO70" s="2584"/>
      <c r="EP70" s="2584"/>
      <c r="EQ70" s="2584"/>
      <c r="ER70" s="2584"/>
      <c r="ES70" s="2584"/>
      <c r="ET70" s="2584"/>
      <c r="EU70" s="2584"/>
      <c r="EV70" s="2584"/>
      <c r="EW70" s="2584"/>
      <c r="EX70" s="2584"/>
      <c r="EY70" s="2584"/>
      <c r="EZ70" s="2584"/>
      <c r="FA70" s="2584"/>
      <c r="FB70" s="2584"/>
      <c r="FC70" s="2584"/>
      <c r="FD70" s="2584"/>
      <c r="FE70" s="2584"/>
      <c r="FF70" s="2584"/>
      <c r="FG70" s="2584"/>
      <c r="FH70" s="2584"/>
      <c r="FI70" s="2584"/>
      <c r="FJ70" s="2584"/>
      <c r="FK70" s="2584"/>
      <c r="FL70" s="6618"/>
    </row>
    <row r="71" spans="1:168" s="2578" customFormat="1" ht="15" customHeight="1">
      <c r="A71" s="16659"/>
      <c r="B71" s="16540"/>
      <c r="C71" s="5163" t="s">
        <v>8191</v>
      </c>
      <c r="D71" s="2580" t="s">
        <v>1961</v>
      </c>
      <c r="E71" s="5072" t="s">
        <v>1962</v>
      </c>
      <c r="F71" s="5072">
        <v>1</v>
      </c>
      <c r="G71" s="5072" t="s">
        <v>382</v>
      </c>
      <c r="H71" s="5072">
        <v>1</v>
      </c>
      <c r="I71" s="5072">
        <v>1</v>
      </c>
      <c r="J71" s="5072">
        <v>1</v>
      </c>
      <c r="K71" s="5072">
        <v>1</v>
      </c>
      <c r="L71" s="5072">
        <v>1</v>
      </c>
      <c r="M71" s="5072">
        <v>1</v>
      </c>
      <c r="N71" s="5072">
        <v>1</v>
      </c>
      <c r="O71" s="5072">
        <v>1</v>
      </c>
      <c r="P71" s="5072">
        <v>1</v>
      </c>
      <c r="Q71" s="5072">
        <v>1</v>
      </c>
      <c r="R71" s="5072">
        <v>1</v>
      </c>
      <c r="S71" s="2581">
        <v>1</v>
      </c>
      <c r="T71" s="5072" t="s">
        <v>1963</v>
      </c>
      <c r="U71" s="5072" t="s">
        <v>10063</v>
      </c>
      <c r="V71" s="5072" t="s">
        <v>144</v>
      </c>
      <c r="W71" s="2964"/>
      <c r="X71" s="5077" t="s">
        <v>512</v>
      </c>
      <c r="Y71" s="6645">
        <v>15000000</v>
      </c>
      <c r="Z71" s="6646">
        <v>1</v>
      </c>
      <c r="AA71" s="2595" t="s">
        <v>3140</v>
      </c>
      <c r="AB71" s="5070" t="s">
        <v>3141</v>
      </c>
      <c r="AC71" s="2599" t="s">
        <v>3142</v>
      </c>
      <c r="AD71" s="2596">
        <f>AE71+AF71+AG71</f>
        <v>31622870</v>
      </c>
      <c r="AE71" s="2596">
        <v>31622870</v>
      </c>
      <c r="AF71" s="2596">
        <v>0</v>
      </c>
      <c r="AG71" s="2596">
        <v>0</v>
      </c>
      <c r="AH71" s="2588">
        <v>168</v>
      </c>
      <c r="AI71" s="2584"/>
      <c r="AJ71" s="2584"/>
      <c r="AK71" s="2584"/>
      <c r="AL71" s="2584"/>
      <c r="AM71" s="2584"/>
      <c r="AN71" s="2584"/>
      <c r="AO71" s="2584"/>
      <c r="AP71" s="2584"/>
      <c r="AQ71" s="2584"/>
      <c r="AR71" s="2584"/>
      <c r="AS71" s="2584"/>
      <c r="AT71" s="2584"/>
      <c r="AU71" s="2584"/>
      <c r="AV71" s="2584"/>
      <c r="AW71" s="2584"/>
      <c r="AX71" s="2584"/>
      <c r="AY71" s="2584"/>
      <c r="AZ71" s="2584"/>
      <c r="BA71" s="2584"/>
      <c r="BB71" s="2584"/>
      <c r="BC71" s="2584"/>
      <c r="BD71" s="2584"/>
      <c r="BE71" s="2584"/>
      <c r="BF71" s="2584"/>
      <c r="BG71" s="2584"/>
      <c r="BH71" s="2584"/>
      <c r="BI71" s="2584"/>
      <c r="BJ71" s="2584"/>
      <c r="BK71" s="2584"/>
      <c r="BL71" s="2584"/>
      <c r="BM71" s="2584"/>
      <c r="BN71" s="2584"/>
      <c r="BO71" s="2584"/>
      <c r="BP71" s="2584"/>
      <c r="BQ71" s="2584"/>
      <c r="BR71" s="2600"/>
      <c r="BS71" s="2588">
        <v>1</v>
      </c>
      <c r="BT71" s="5092">
        <f>BS71/I71</f>
        <v>1</v>
      </c>
      <c r="BU71" s="16685"/>
      <c r="BV71" s="2616" t="s">
        <v>9409</v>
      </c>
      <c r="BW71" s="2636" t="s">
        <v>9410</v>
      </c>
      <c r="BX71" s="2602"/>
      <c r="BY71" s="2603">
        <f>BZ71+CA71+CB71</f>
        <v>15461975</v>
      </c>
      <c r="BZ71" s="2589">
        <v>15461975</v>
      </c>
      <c r="CA71" s="2589">
        <v>0</v>
      </c>
      <c r="CB71" s="2589">
        <v>0</v>
      </c>
      <c r="CC71" s="2239">
        <v>150</v>
      </c>
      <c r="CD71" s="2241">
        <v>65</v>
      </c>
      <c r="CE71" s="2241">
        <v>85</v>
      </c>
      <c r="CF71" s="2241">
        <v>0</v>
      </c>
      <c r="CG71" s="2241"/>
      <c r="CH71" s="2241"/>
      <c r="CI71" s="2241">
        <v>150</v>
      </c>
      <c r="CJ71" s="2241"/>
      <c r="CK71" s="2241"/>
      <c r="CL71" s="2241"/>
      <c r="CM71" s="2241"/>
      <c r="CN71" s="2241"/>
      <c r="CO71" s="2241"/>
      <c r="CP71" s="2241"/>
      <c r="CQ71" s="2241">
        <v>150</v>
      </c>
      <c r="CR71" s="2241"/>
      <c r="CS71" s="2241"/>
      <c r="CT71" s="2241"/>
      <c r="CU71" s="2241"/>
      <c r="CV71" s="2241"/>
      <c r="CW71" s="2241"/>
      <c r="CX71" s="2241"/>
      <c r="CY71" s="2241"/>
      <c r="CZ71" s="2241">
        <v>150</v>
      </c>
      <c r="DA71" s="2590"/>
      <c r="DB71" s="2590"/>
      <c r="DC71" s="2590"/>
      <c r="DD71" s="2590"/>
      <c r="DE71" s="2590"/>
      <c r="DF71" s="2590"/>
      <c r="DG71" s="2590"/>
      <c r="DH71" s="2590"/>
      <c r="DI71" s="2590"/>
      <c r="DJ71" s="2590"/>
      <c r="DK71" s="2590"/>
      <c r="DL71" s="2590"/>
      <c r="DM71" s="2590"/>
      <c r="DN71" s="2590"/>
      <c r="DO71" s="2590"/>
      <c r="DP71" s="2590"/>
      <c r="DQ71" s="2591"/>
      <c r="DS71" s="6617"/>
      <c r="DT71" s="2584"/>
      <c r="DU71" s="2584"/>
      <c r="DV71" s="2584"/>
      <c r="DW71" s="2584"/>
      <c r="DX71" s="2584"/>
      <c r="DY71" s="2584"/>
      <c r="DZ71" s="2584"/>
      <c r="EA71" s="2584"/>
      <c r="EB71" s="2584"/>
      <c r="EC71" s="2584"/>
      <c r="ED71" s="2584"/>
      <c r="EE71" s="2584"/>
      <c r="EF71" s="2584"/>
      <c r="EG71" s="2584"/>
      <c r="EH71" s="2584"/>
      <c r="EI71" s="2584"/>
      <c r="EJ71" s="2584"/>
      <c r="EK71" s="2584"/>
      <c r="EL71" s="2584"/>
      <c r="EM71" s="2584"/>
      <c r="EN71" s="2584"/>
      <c r="EO71" s="2584"/>
      <c r="EP71" s="2584"/>
      <c r="EQ71" s="2584"/>
      <c r="ER71" s="2584"/>
      <c r="ES71" s="2584"/>
      <c r="ET71" s="2584"/>
      <c r="EU71" s="2584"/>
      <c r="EV71" s="2584"/>
      <c r="EW71" s="2584"/>
      <c r="EX71" s="2584"/>
      <c r="EY71" s="2584"/>
      <c r="EZ71" s="2584"/>
      <c r="FA71" s="2584"/>
      <c r="FB71" s="2584"/>
      <c r="FC71" s="2584"/>
      <c r="FD71" s="2584"/>
      <c r="FE71" s="2584"/>
      <c r="FF71" s="2584"/>
      <c r="FG71" s="2584"/>
      <c r="FH71" s="2584"/>
      <c r="FI71" s="2584"/>
      <c r="FJ71" s="2584"/>
      <c r="FK71" s="2584"/>
      <c r="FL71" s="6618"/>
    </row>
    <row r="72" spans="1:168" s="2578" customFormat="1" ht="15" customHeight="1">
      <c r="A72" s="16659"/>
      <c r="B72" s="16540"/>
      <c r="C72" s="5163" t="s">
        <v>8192</v>
      </c>
      <c r="D72" s="2604" t="s">
        <v>1964</v>
      </c>
      <c r="E72" s="2580" t="s">
        <v>1965</v>
      </c>
      <c r="F72" s="5072">
        <v>14</v>
      </c>
      <c r="G72" s="5072" t="s">
        <v>382</v>
      </c>
      <c r="H72" s="5072">
        <v>0</v>
      </c>
      <c r="I72" s="5072">
        <v>14</v>
      </c>
      <c r="J72" s="5072">
        <v>14</v>
      </c>
      <c r="K72" s="5072">
        <v>14</v>
      </c>
      <c r="L72" s="5072">
        <v>14</v>
      </c>
      <c r="M72" s="5072">
        <v>14</v>
      </c>
      <c r="N72" s="5072">
        <v>14</v>
      </c>
      <c r="O72" s="5072">
        <v>14</v>
      </c>
      <c r="P72" s="5072">
        <v>14</v>
      </c>
      <c r="Q72" s="5072">
        <v>14</v>
      </c>
      <c r="R72" s="5072">
        <v>14</v>
      </c>
      <c r="S72" s="2581">
        <v>14</v>
      </c>
      <c r="T72" s="5072" t="s">
        <v>1805</v>
      </c>
      <c r="U72" s="5072" t="s">
        <v>10095</v>
      </c>
      <c r="V72" s="5072" t="s">
        <v>1966</v>
      </c>
      <c r="W72" s="2964"/>
      <c r="X72" s="5077"/>
      <c r="Y72" s="6645">
        <v>10000000</v>
      </c>
      <c r="Z72" s="6651" t="s">
        <v>3772</v>
      </c>
      <c r="AA72" s="2584"/>
      <c r="AB72" s="6652" t="s">
        <v>3778</v>
      </c>
      <c r="AC72" s="5070" t="s">
        <v>3774</v>
      </c>
      <c r="AD72" s="2611" t="s">
        <v>3776</v>
      </c>
      <c r="AE72" s="2611" t="s">
        <v>3776</v>
      </c>
      <c r="AF72" s="2584"/>
      <c r="AG72" s="2584"/>
      <c r="AH72" s="2611">
        <v>56</v>
      </c>
      <c r="AI72" s="2611">
        <v>28</v>
      </c>
      <c r="AJ72" s="2611">
        <v>28</v>
      </c>
      <c r="AK72" s="2584"/>
      <c r="AL72" s="2584"/>
      <c r="AM72" s="2584"/>
      <c r="AN72" s="2584"/>
      <c r="AO72" s="2584"/>
      <c r="AP72" s="2584"/>
      <c r="AQ72" s="2584"/>
      <c r="AR72" s="2584"/>
      <c r="AS72" s="2584"/>
      <c r="AT72" s="2584"/>
      <c r="AU72" s="2584"/>
      <c r="AV72" s="2584"/>
      <c r="AW72" s="2584"/>
      <c r="AX72" s="2584"/>
      <c r="AY72" s="2584"/>
      <c r="AZ72" s="2584"/>
      <c r="BA72" s="2584"/>
      <c r="BB72" s="2584"/>
      <c r="BC72" s="2584"/>
      <c r="BD72" s="2584"/>
      <c r="BE72" s="2584"/>
      <c r="BF72" s="2584"/>
      <c r="BG72" s="2584"/>
      <c r="BH72" s="2584"/>
      <c r="BI72" s="2584"/>
      <c r="BJ72" s="2584"/>
      <c r="BK72" s="2584"/>
      <c r="BL72" s="2584"/>
      <c r="BM72" s="2584"/>
      <c r="BN72" s="2584"/>
      <c r="BO72" s="2584"/>
      <c r="BP72" s="2584"/>
      <c r="BQ72" s="2584"/>
      <c r="BR72" s="2600"/>
      <c r="BS72" s="2606" t="s">
        <v>9653</v>
      </c>
      <c r="BT72" s="5092">
        <v>0</v>
      </c>
      <c r="BU72" s="16685"/>
      <c r="BV72" s="2606" t="s">
        <v>9653</v>
      </c>
      <c r="BW72" s="2607"/>
      <c r="BX72" s="2607"/>
      <c r="BY72" s="2607"/>
      <c r="BZ72" s="2607"/>
      <c r="CA72" s="2607"/>
      <c r="CB72" s="2607"/>
      <c r="CC72" s="2527"/>
      <c r="CD72" s="2637"/>
      <c r="CE72" s="2637"/>
      <c r="CF72" s="2533"/>
      <c r="CG72" s="2637"/>
      <c r="CH72" s="2637"/>
      <c r="CI72" s="2637"/>
      <c r="CJ72" s="2638"/>
      <c r="CK72" s="2638"/>
      <c r="CL72" s="2638"/>
      <c r="CM72" s="2638"/>
      <c r="CN72" s="2638"/>
      <c r="CO72" s="2638"/>
      <c r="CP72" s="2638"/>
      <c r="CQ72" s="2638"/>
      <c r="CR72" s="2637"/>
      <c r="CS72" s="2637"/>
      <c r="CT72" s="2637"/>
      <c r="CU72" s="2637"/>
      <c r="CV72" s="2637"/>
      <c r="CW72" s="2637"/>
      <c r="CX72" s="2637"/>
      <c r="CY72" s="2637"/>
      <c r="CZ72" s="2637"/>
      <c r="DA72" s="2607"/>
      <c r="DB72" s="2607"/>
      <c r="DC72" s="2607"/>
      <c r="DD72" s="2607"/>
      <c r="DE72" s="2607"/>
      <c r="DF72" s="2607"/>
      <c r="DG72" s="2607"/>
      <c r="DH72" s="2607"/>
      <c r="DI72" s="2607"/>
      <c r="DJ72" s="2607"/>
      <c r="DK72" s="2607"/>
      <c r="DL72" s="2607"/>
      <c r="DM72" s="2607"/>
      <c r="DN72" s="2607"/>
      <c r="DO72" s="2607"/>
      <c r="DP72" s="2607"/>
      <c r="DQ72" s="2135"/>
      <c r="DS72" s="6617"/>
      <c r="DT72" s="2584"/>
      <c r="DU72" s="2584"/>
      <c r="DV72" s="2584"/>
      <c r="DW72" s="2584"/>
      <c r="DX72" s="2584"/>
      <c r="DY72" s="2584"/>
      <c r="DZ72" s="2584"/>
      <c r="EA72" s="2584"/>
      <c r="EB72" s="2584"/>
      <c r="EC72" s="2584"/>
      <c r="ED72" s="2584"/>
      <c r="EE72" s="2584"/>
      <c r="EF72" s="2584"/>
      <c r="EG72" s="2584"/>
      <c r="EH72" s="2584"/>
      <c r="EI72" s="2584"/>
      <c r="EJ72" s="2584"/>
      <c r="EK72" s="2584"/>
      <c r="EL72" s="2584"/>
      <c r="EM72" s="2584"/>
      <c r="EN72" s="2584"/>
      <c r="EO72" s="2584"/>
      <c r="EP72" s="2584"/>
      <c r="EQ72" s="2584"/>
      <c r="ER72" s="2584"/>
      <c r="ES72" s="2584"/>
      <c r="ET72" s="2584"/>
      <c r="EU72" s="2584"/>
      <c r="EV72" s="2584"/>
      <c r="EW72" s="2584"/>
      <c r="EX72" s="2584"/>
      <c r="EY72" s="2584"/>
      <c r="EZ72" s="2584"/>
      <c r="FA72" s="2584"/>
      <c r="FB72" s="2584"/>
      <c r="FC72" s="2584"/>
      <c r="FD72" s="2584"/>
      <c r="FE72" s="2584"/>
      <c r="FF72" s="2584"/>
      <c r="FG72" s="2584"/>
      <c r="FH72" s="2584"/>
      <c r="FI72" s="2584"/>
      <c r="FJ72" s="2584"/>
      <c r="FK72" s="2584"/>
      <c r="FL72" s="6618"/>
    </row>
    <row r="73" spans="1:168" s="2578" customFormat="1" ht="15" customHeight="1">
      <c r="A73" s="16659"/>
      <c r="B73" s="16540"/>
      <c r="C73" s="5163" t="s">
        <v>8193</v>
      </c>
      <c r="D73" s="2604" t="s">
        <v>1967</v>
      </c>
      <c r="E73" s="2639" t="s">
        <v>1968</v>
      </c>
      <c r="F73" s="5072">
        <v>7</v>
      </c>
      <c r="G73" s="5072" t="s">
        <v>382</v>
      </c>
      <c r="H73" s="5072">
        <v>0</v>
      </c>
      <c r="I73" s="5072">
        <v>7</v>
      </c>
      <c r="J73" s="5072">
        <v>7</v>
      </c>
      <c r="K73" s="5072">
        <v>7</v>
      </c>
      <c r="L73" s="5072">
        <v>7</v>
      </c>
      <c r="M73" s="5072">
        <v>7</v>
      </c>
      <c r="N73" s="5072">
        <v>7</v>
      </c>
      <c r="O73" s="5072">
        <v>7</v>
      </c>
      <c r="P73" s="5072">
        <v>7</v>
      </c>
      <c r="Q73" s="5072">
        <v>7</v>
      </c>
      <c r="R73" s="5072">
        <v>7</v>
      </c>
      <c r="S73" s="2581">
        <v>7</v>
      </c>
      <c r="T73" s="5072" t="s">
        <v>1805</v>
      </c>
      <c r="U73" s="5072" t="s">
        <v>10095</v>
      </c>
      <c r="V73" s="5072" t="s">
        <v>1966</v>
      </c>
      <c r="W73" s="2964"/>
      <c r="X73" s="5077"/>
      <c r="Y73" s="6645">
        <v>26400000</v>
      </c>
      <c r="Z73" s="6651" t="s">
        <v>3773</v>
      </c>
      <c r="AA73" s="2595" t="s">
        <v>3780</v>
      </c>
      <c r="AB73" s="6653" t="s">
        <v>3779</v>
      </c>
      <c r="AC73" s="5070" t="s">
        <v>3775</v>
      </c>
      <c r="AD73" s="2611" t="s">
        <v>3777</v>
      </c>
      <c r="AE73" s="2611" t="s">
        <v>3777</v>
      </c>
      <c r="AF73" s="2584"/>
      <c r="AG73" s="2584"/>
      <c r="AH73" s="2611">
        <v>0</v>
      </c>
      <c r="AI73" s="2611">
        <v>0</v>
      </c>
      <c r="AJ73" s="2611">
        <v>0</v>
      </c>
      <c r="AK73" s="2584"/>
      <c r="AL73" s="2584"/>
      <c r="AM73" s="2584"/>
      <c r="AN73" s="2584"/>
      <c r="AO73" s="2584"/>
      <c r="AP73" s="2584"/>
      <c r="AQ73" s="2584"/>
      <c r="AR73" s="2584"/>
      <c r="AS73" s="2584"/>
      <c r="AT73" s="2584"/>
      <c r="AU73" s="2584"/>
      <c r="AV73" s="2584"/>
      <c r="AW73" s="2584"/>
      <c r="AX73" s="2584"/>
      <c r="AY73" s="2584"/>
      <c r="AZ73" s="2584"/>
      <c r="BA73" s="2584"/>
      <c r="BB73" s="2584"/>
      <c r="BC73" s="2584"/>
      <c r="BD73" s="2584"/>
      <c r="BE73" s="2584"/>
      <c r="BF73" s="2584"/>
      <c r="BG73" s="2584"/>
      <c r="BH73" s="2584"/>
      <c r="BI73" s="2584"/>
      <c r="BJ73" s="2584"/>
      <c r="BK73" s="2584"/>
      <c r="BL73" s="2584"/>
      <c r="BM73" s="2584"/>
      <c r="BN73" s="2584"/>
      <c r="BO73" s="2584"/>
      <c r="BP73" s="2584"/>
      <c r="BQ73" s="2584"/>
      <c r="BR73" s="2600"/>
      <c r="BS73" s="2606" t="s">
        <v>9653</v>
      </c>
      <c r="BT73" s="5092">
        <v>0</v>
      </c>
      <c r="BU73" s="16685"/>
      <c r="BV73" s="2606" t="s">
        <v>9653</v>
      </c>
      <c r="BW73" s="2607"/>
      <c r="BX73" s="2607"/>
      <c r="BY73" s="2607"/>
      <c r="BZ73" s="2607"/>
      <c r="CA73" s="2607"/>
      <c r="CB73" s="2607"/>
      <c r="CC73" s="2527"/>
      <c r="CD73" s="2637"/>
      <c r="CE73" s="2637"/>
      <c r="CF73" s="2533"/>
      <c r="CG73" s="2637"/>
      <c r="CH73" s="2637"/>
      <c r="CI73" s="2637"/>
      <c r="CJ73" s="2638"/>
      <c r="CK73" s="2638"/>
      <c r="CL73" s="2638"/>
      <c r="CM73" s="2638"/>
      <c r="CN73" s="2638"/>
      <c r="CO73" s="2638"/>
      <c r="CP73" s="2638"/>
      <c r="CQ73" s="2638"/>
      <c r="CR73" s="2637"/>
      <c r="CS73" s="2637"/>
      <c r="CT73" s="2637"/>
      <c r="CU73" s="2637"/>
      <c r="CV73" s="2637"/>
      <c r="CW73" s="2637"/>
      <c r="CX73" s="2637"/>
      <c r="CY73" s="2637"/>
      <c r="CZ73" s="2637"/>
      <c r="DA73" s="2607"/>
      <c r="DB73" s="2607"/>
      <c r="DC73" s="2607"/>
      <c r="DD73" s="2607"/>
      <c r="DE73" s="2607"/>
      <c r="DF73" s="2607"/>
      <c r="DG73" s="2607"/>
      <c r="DH73" s="2607"/>
      <c r="DI73" s="2607"/>
      <c r="DJ73" s="2607"/>
      <c r="DK73" s="2607"/>
      <c r="DL73" s="2607"/>
      <c r="DM73" s="2607"/>
      <c r="DN73" s="2607"/>
      <c r="DO73" s="2607"/>
      <c r="DP73" s="2607"/>
      <c r="DQ73" s="2135"/>
      <c r="DS73" s="6617"/>
      <c r="DT73" s="2584"/>
      <c r="DU73" s="2584"/>
      <c r="DV73" s="2584"/>
      <c r="DW73" s="2584"/>
      <c r="DX73" s="2584"/>
      <c r="DY73" s="2584"/>
      <c r="DZ73" s="2584"/>
      <c r="EA73" s="2584"/>
      <c r="EB73" s="2584"/>
      <c r="EC73" s="2584"/>
      <c r="ED73" s="2584"/>
      <c r="EE73" s="2584"/>
      <c r="EF73" s="2584"/>
      <c r="EG73" s="2584"/>
      <c r="EH73" s="2584"/>
      <c r="EI73" s="2584"/>
      <c r="EJ73" s="2584"/>
      <c r="EK73" s="2584"/>
      <c r="EL73" s="2584"/>
      <c r="EM73" s="2584"/>
      <c r="EN73" s="2584"/>
      <c r="EO73" s="2584"/>
      <c r="EP73" s="2584"/>
      <c r="EQ73" s="2584"/>
      <c r="ER73" s="2584"/>
      <c r="ES73" s="2584"/>
      <c r="ET73" s="2584"/>
      <c r="EU73" s="2584"/>
      <c r="EV73" s="2584"/>
      <c r="EW73" s="2584"/>
      <c r="EX73" s="2584"/>
      <c r="EY73" s="2584"/>
      <c r="EZ73" s="2584"/>
      <c r="FA73" s="2584"/>
      <c r="FB73" s="2584"/>
      <c r="FC73" s="2584"/>
      <c r="FD73" s="2584"/>
      <c r="FE73" s="2584"/>
      <c r="FF73" s="2584"/>
      <c r="FG73" s="2584"/>
      <c r="FH73" s="2584"/>
      <c r="FI73" s="2584"/>
      <c r="FJ73" s="2584"/>
      <c r="FK73" s="2584"/>
      <c r="FL73" s="6618"/>
    </row>
    <row r="74" spans="1:168" s="2578" customFormat="1" ht="15" customHeight="1">
      <c r="A74" s="16659"/>
      <c r="B74" s="16540"/>
      <c r="C74" s="5163" t="s">
        <v>8194</v>
      </c>
      <c r="D74" s="2604" t="s">
        <v>1969</v>
      </c>
      <c r="E74" s="5072" t="s">
        <v>1970</v>
      </c>
      <c r="F74" s="5072">
        <v>1</v>
      </c>
      <c r="G74" s="5072" t="s">
        <v>382</v>
      </c>
      <c r="H74" s="5072">
        <v>1</v>
      </c>
      <c r="I74" s="5072">
        <v>1</v>
      </c>
      <c r="J74" s="5072">
        <v>1</v>
      </c>
      <c r="K74" s="5072">
        <v>1</v>
      </c>
      <c r="L74" s="5072">
        <v>1</v>
      </c>
      <c r="M74" s="5072">
        <v>1</v>
      </c>
      <c r="N74" s="5072">
        <v>1</v>
      </c>
      <c r="O74" s="5072">
        <v>1</v>
      </c>
      <c r="P74" s="5072">
        <v>1</v>
      </c>
      <c r="Q74" s="5072">
        <v>1</v>
      </c>
      <c r="R74" s="5072">
        <v>1</v>
      </c>
      <c r="S74" s="2581">
        <v>1</v>
      </c>
      <c r="T74" s="5072" t="s">
        <v>1805</v>
      </c>
      <c r="U74" s="5072" t="s">
        <v>10072</v>
      </c>
      <c r="V74" s="2640" t="s">
        <v>844</v>
      </c>
      <c r="W74" s="6722"/>
      <c r="X74" s="6715"/>
      <c r="Y74" s="6654">
        <v>51000000</v>
      </c>
      <c r="Z74" s="2641"/>
      <c r="AA74" s="2641"/>
      <c r="AB74" s="2641"/>
      <c r="AC74" s="2641"/>
      <c r="AD74" s="2641"/>
      <c r="AE74" s="2641"/>
      <c r="AF74" s="2641"/>
      <c r="AG74" s="2641"/>
      <c r="AH74" s="2641"/>
      <c r="AI74" s="2641"/>
      <c r="AJ74" s="2641"/>
      <c r="AK74" s="2641"/>
      <c r="AL74" s="2641"/>
      <c r="AM74" s="2641"/>
      <c r="AN74" s="2641"/>
      <c r="AO74" s="2641"/>
      <c r="AP74" s="2641"/>
      <c r="AQ74" s="2641"/>
      <c r="AR74" s="2641"/>
      <c r="AS74" s="2641"/>
      <c r="AT74" s="2641"/>
      <c r="AU74" s="2641"/>
      <c r="AV74" s="2641"/>
      <c r="AW74" s="2641"/>
      <c r="AX74" s="2641"/>
      <c r="AY74" s="2641"/>
      <c r="AZ74" s="2641"/>
      <c r="BA74" s="2641"/>
      <c r="BB74" s="2641"/>
      <c r="BC74" s="2641"/>
      <c r="BD74" s="2641"/>
      <c r="BE74" s="2641"/>
      <c r="BF74" s="2641"/>
      <c r="BG74" s="2641"/>
      <c r="BH74" s="2641"/>
      <c r="BI74" s="2641"/>
      <c r="BJ74" s="2641"/>
      <c r="BK74" s="2641"/>
      <c r="BL74" s="2641"/>
      <c r="BM74" s="2641"/>
      <c r="BN74" s="2641"/>
      <c r="BO74" s="2641"/>
      <c r="BP74" s="2641"/>
      <c r="BQ74" s="2641"/>
      <c r="BR74" s="6655"/>
      <c r="BS74" s="2642">
        <v>1</v>
      </c>
      <c r="BT74" s="5092">
        <v>1</v>
      </c>
      <c r="BU74" s="16685"/>
      <c r="BV74" s="6656" t="s">
        <v>10039</v>
      </c>
      <c r="BW74" s="2643"/>
      <c r="BX74" s="2643"/>
      <c r="BY74" s="6657">
        <v>85071000</v>
      </c>
      <c r="BZ74" s="6657">
        <v>85071000</v>
      </c>
      <c r="CA74" s="6657">
        <v>0</v>
      </c>
      <c r="CB74" s="6657">
        <v>0</v>
      </c>
      <c r="CC74" s="2527">
        <f>SUBTOTAL(9,CC37:CC71)</f>
        <v>31345</v>
      </c>
      <c r="CD74" s="2528">
        <v>0</v>
      </c>
      <c r="CE74" s="2528">
        <v>0</v>
      </c>
      <c r="CF74" s="2241">
        <v>31345</v>
      </c>
      <c r="CG74" s="2528"/>
      <c r="CH74" s="2528"/>
      <c r="CI74" s="2528">
        <v>31345</v>
      </c>
      <c r="CJ74" s="2528"/>
      <c r="CK74" s="2528"/>
      <c r="CL74" s="2528"/>
      <c r="CM74" s="2528"/>
      <c r="CN74" s="2528"/>
      <c r="CO74" s="2528"/>
      <c r="CP74" s="2528"/>
      <c r="CQ74" s="2528">
        <v>31345</v>
      </c>
      <c r="CR74" s="2528"/>
      <c r="CS74" s="2528"/>
      <c r="CT74" s="2528"/>
      <c r="CU74" s="2528"/>
      <c r="CV74" s="2528"/>
      <c r="CW74" s="2528"/>
      <c r="CX74" s="2528"/>
      <c r="CY74" s="2528"/>
      <c r="CZ74" s="2528">
        <v>31345</v>
      </c>
      <c r="DA74" s="6658" t="s">
        <v>2951</v>
      </c>
      <c r="DB74" s="6658" t="s">
        <v>2951</v>
      </c>
      <c r="DC74" s="6658" t="s">
        <v>2951</v>
      </c>
      <c r="DD74" s="6658" t="s">
        <v>2951</v>
      </c>
      <c r="DE74" s="6658" t="s">
        <v>2951</v>
      </c>
      <c r="DF74" s="6658" t="s">
        <v>2951</v>
      </c>
      <c r="DG74" s="6658"/>
      <c r="DH74" s="2644"/>
      <c r="DI74" s="2644"/>
      <c r="DJ74" s="2644"/>
      <c r="DK74" s="2644"/>
      <c r="DL74" s="2644"/>
      <c r="DM74" s="2644"/>
      <c r="DN74" s="2644"/>
      <c r="DO74" s="2644"/>
      <c r="DP74" s="2644"/>
      <c r="DQ74" s="2194"/>
      <c r="DS74" s="6617"/>
      <c r="DT74" s="2584"/>
      <c r="DU74" s="2584"/>
      <c r="DV74" s="2584"/>
      <c r="DW74" s="2584"/>
      <c r="DX74" s="2584"/>
      <c r="DY74" s="2584"/>
      <c r="DZ74" s="2584"/>
      <c r="EA74" s="2584"/>
      <c r="EB74" s="2584"/>
      <c r="EC74" s="2584"/>
      <c r="ED74" s="2584"/>
      <c r="EE74" s="2584"/>
      <c r="EF74" s="2584"/>
      <c r="EG74" s="2584"/>
      <c r="EH74" s="2584"/>
      <c r="EI74" s="2584"/>
      <c r="EJ74" s="2584"/>
      <c r="EK74" s="2584"/>
      <c r="EL74" s="2584"/>
      <c r="EM74" s="2584"/>
      <c r="EN74" s="2584"/>
      <c r="EO74" s="2584"/>
      <c r="EP74" s="2584"/>
      <c r="EQ74" s="2584"/>
      <c r="ER74" s="2584"/>
      <c r="ES74" s="2584"/>
      <c r="ET74" s="2584"/>
      <c r="EU74" s="2584"/>
      <c r="EV74" s="2584"/>
      <c r="EW74" s="2584"/>
      <c r="EX74" s="2584"/>
      <c r="EY74" s="2584"/>
      <c r="EZ74" s="2584"/>
      <c r="FA74" s="2584"/>
      <c r="FB74" s="2584"/>
      <c r="FC74" s="2584"/>
      <c r="FD74" s="2584"/>
      <c r="FE74" s="2584"/>
      <c r="FF74" s="2584"/>
      <c r="FG74" s="2584"/>
      <c r="FH74" s="2584"/>
      <c r="FI74" s="2584"/>
      <c r="FJ74" s="2584"/>
      <c r="FK74" s="2584"/>
      <c r="FL74" s="6618"/>
    </row>
    <row r="75" spans="1:168" s="2578" customFormat="1" ht="15" customHeight="1">
      <c r="A75" s="16659"/>
      <c r="B75" s="16540"/>
      <c r="C75" s="16540" t="s">
        <v>8195</v>
      </c>
      <c r="D75" s="16635" t="s">
        <v>1971</v>
      </c>
      <c r="E75" s="16635" t="s">
        <v>1972</v>
      </c>
      <c r="F75" s="16635">
        <v>400</v>
      </c>
      <c r="G75" s="16635" t="s">
        <v>382</v>
      </c>
      <c r="H75" s="16635">
        <v>400</v>
      </c>
      <c r="I75" s="16635">
        <v>400</v>
      </c>
      <c r="J75" s="16635">
        <v>400</v>
      </c>
      <c r="K75" s="16635">
        <v>400</v>
      </c>
      <c r="L75" s="16635">
        <v>400</v>
      </c>
      <c r="M75" s="16635">
        <v>400</v>
      </c>
      <c r="N75" s="16635">
        <v>400</v>
      </c>
      <c r="O75" s="16635">
        <v>400</v>
      </c>
      <c r="P75" s="16635">
        <v>400</v>
      </c>
      <c r="Q75" s="16635">
        <v>400</v>
      </c>
      <c r="R75" s="16635">
        <v>400</v>
      </c>
      <c r="S75" s="16635">
        <v>400</v>
      </c>
      <c r="T75" s="16635" t="s">
        <v>1805</v>
      </c>
      <c r="U75" s="5072" t="s">
        <v>10183</v>
      </c>
      <c r="V75" s="5072" t="s">
        <v>934</v>
      </c>
      <c r="W75" s="6618"/>
      <c r="X75" s="5077"/>
      <c r="Y75" s="6645">
        <v>27500000</v>
      </c>
      <c r="Z75" s="4774">
        <v>1</v>
      </c>
      <c r="AA75" s="2599" t="s">
        <v>3756</v>
      </c>
      <c r="AB75" s="2599" t="s">
        <v>3757</v>
      </c>
      <c r="AC75" s="2632" t="s">
        <v>3758</v>
      </c>
      <c r="AD75" s="2584"/>
      <c r="AE75" s="2584"/>
      <c r="AF75" s="2584"/>
      <c r="AG75" s="2584"/>
      <c r="AH75" s="2588">
        <v>2580</v>
      </c>
      <c r="AI75" s="2588">
        <v>890</v>
      </c>
      <c r="AJ75" s="2588">
        <v>1690</v>
      </c>
      <c r="AK75" s="2588" t="s">
        <v>2891</v>
      </c>
      <c r="AL75" s="2588" t="s">
        <v>2891</v>
      </c>
      <c r="AM75" s="2584"/>
      <c r="AN75" s="2584"/>
      <c r="AO75" s="2584"/>
      <c r="AP75" s="2584"/>
      <c r="AQ75" s="2584"/>
      <c r="AR75" s="2584"/>
      <c r="AS75" s="2584"/>
      <c r="AT75" s="2584"/>
      <c r="AU75" s="2584"/>
      <c r="AV75" s="2584"/>
      <c r="AW75" s="2584"/>
      <c r="AX75" s="2584"/>
      <c r="AY75" s="2584"/>
      <c r="AZ75" s="2584"/>
      <c r="BA75" s="2584"/>
      <c r="BB75" s="2584"/>
      <c r="BC75" s="2584"/>
      <c r="BD75" s="2584"/>
      <c r="BE75" s="2584"/>
      <c r="BF75" s="2584"/>
      <c r="BG75" s="2584"/>
      <c r="BH75" s="2588" t="s">
        <v>3759</v>
      </c>
      <c r="BI75" s="2645"/>
      <c r="BJ75" s="2588">
        <v>2580</v>
      </c>
      <c r="BK75" s="2645" t="s">
        <v>3760</v>
      </c>
      <c r="BL75" s="2645" t="s">
        <v>3761</v>
      </c>
      <c r="BM75" s="2584"/>
      <c r="BN75" s="2584"/>
      <c r="BO75" s="2584"/>
      <c r="BP75" s="2584"/>
      <c r="BQ75" s="2584"/>
      <c r="BR75" s="2600"/>
      <c r="BS75" s="2621">
        <v>1489</v>
      </c>
      <c r="BT75" s="5092">
        <f>IF((BS75/I75)&gt;=400,,100%)</f>
        <v>1</v>
      </c>
      <c r="BU75" s="16685"/>
      <c r="BV75" s="5070" t="s">
        <v>9349</v>
      </c>
      <c r="BW75" s="2588" t="s">
        <v>9314</v>
      </c>
      <c r="BX75" s="5070" t="s">
        <v>9315</v>
      </c>
      <c r="BY75" s="2590"/>
      <c r="BZ75" s="2590"/>
      <c r="CA75" s="2590"/>
      <c r="CB75" s="2590"/>
      <c r="CC75" s="2239">
        <v>1489</v>
      </c>
      <c r="CD75" s="2239">
        <v>0</v>
      </c>
      <c r="CE75" s="2239">
        <v>0</v>
      </c>
      <c r="CF75" s="2241">
        <v>1489</v>
      </c>
      <c r="CG75" s="2239">
        <v>1489</v>
      </c>
      <c r="CH75" s="2241"/>
      <c r="CI75" s="2241"/>
      <c r="CJ75" s="2241"/>
      <c r="CK75" s="2241"/>
      <c r="CL75" s="2241"/>
      <c r="CM75" s="2241"/>
      <c r="CN75" s="2241"/>
      <c r="CO75" s="2241"/>
      <c r="CP75" s="2241"/>
      <c r="CQ75" s="2241">
        <v>1489</v>
      </c>
      <c r="CR75" s="2241"/>
      <c r="CS75" s="2241"/>
      <c r="CT75" s="2241"/>
      <c r="CU75" s="2241"/>
      <c r="CV75" s="2241"/>
      <c r="CW75" s="2241"/>
      <c r="CX75" s="2241"/>
      <c r="CY75" s="2241"/>
      <c r="CZ75" s="2241">
        <v>1489</v>
      </c>
      <c r="DA75" s="2590"/>
      <c r="DB75" s="2590"/>
      <c r="DC75" s="2590"/>
      <c r="DD75" s="2590"/>
      <c r="DE75" s="2590"/>
      <c r="DF75" s="2590"/>
      <c r="DG75" s="2590"/>
      <c r="DH75" s="2589" t="s">
        <v>9316</v>
      </c>
      <c r="DI75" s="2590"/>
      <c r="DJ75" s="2589">
        <v>1489</v>
      </c>
      <c r="DK75" s="2589" t="s">
        <v>3510</v>
      </c>
      <c r="DL75" s="2589" t="s">
        <v>3510</v>
      </c>
      <c r="DM75" s="2590"/>
      <c r="DN75" s="2589" t="s">
        <v>8839</v>
      </c>
      <c r="DO75" s="2589" t="s">
        <v>2333</v>
      </c>
      <c r="DP75" s="2589" t="s">
        <v>2333</v>
      </c>
      <c r="DQ75" s="2635" t="s">
        <v>3510</v>
      </c>
      <c r="DS75" s="6617"/>
      <c r="DT75" s="2584"/>
      <c r="DU75" s="2584"/>
      <c r="DV75" s="2584"/>
      <c r="DW75" s="2584"/>
      <c r="DX75" s="2584"/>
      <c r="DY75" s="2584"/>
      <c r="DZ75" s="2584"/>
      <c r="EA75" s="2584"/>
      <c r="EB75" s="2584"/>
      <c r="EC75" s="2584"/>
      <c r="ED75" s="2584"/>
      <c r="EE75" s="2584"/>
      <c r="EF75" s="2584"/>
      <c r="EG75" s="2584"/>
      <c r="EH75" s="2584"/>
      <c r="EI75" s="2584"/>
      <c r="EJ75" s="2584"/>
      <c r="EK75" s="2584"/>
      <c r="EL75" s="2584"/>
      <c r="EM75" s="2584"/>
      <c r="EN75" s="2584"/>
      <c r="EO75" s="2584"/>
      <c r="EP75" s="2584"/>
      <c r="EQ75" s="2584"/>
      <c r="ER75" s="2584"/>
      <c r="ES75" s="2584"/>
      <c r="ET75" s="2584"/>
      <c r="EU75" s="2584"/>
      <c r="EV75" s="2584"/>
      <c r="EW75" s="2584"/>
      <c r="EX75" s="2584"/>
      <c r="EY75" s="2584"/>
      <c r="EZ75" s="2584"/>
      <c r="FA75" s="2584"/>
      <c r="FB75" s="2584"/>
      <c r="FC75" s="2584"/>
      <c r="FD75" s="2584"/>
      <c r="FE75" s="2584"/>
      <c r="FF75" s="2584"/>
      <c r="FG75" s="2584"/>
      <c r="FH75" s="2584"/>
      <c r="FI75" s="2584"/>
      <c r="FJ75" s="2584"/>
      <c r="FK75" s="2584"/>
      <c r="FL75" s="6618"/>
    </row>
    <row r="76" spans="1:168" s="2578" customFormat="1" ht="15" customHeight="1">
      <c r="A76" s="16659"/>
      <c r="B76" s="16540"/>
      <c r="C76" s="16540"/>
      <c r="D76" s="16635"/>
      <c r="E76" s="16635"/>
      <c r="F76" s="16635"/>
      <c r="G76" s="16635"/>
      <c r="H76" s="16635"/>
      <c r="I76" s="16635"/>
      <c r="J76" s="16635"/>
      <c r="K76" s="16635"/>
      <c r="L76" s="16635"/>
      <c r="M76" s="16635"/>
      <c r="N76" s="16635"/>
      <c r="O76" s="16635"/>
      <c r="P76" s="16635"/>
      <c r="Q76" s="16635"/>
      <c r="R76" s="16635"/>
      <c r="S76" s="16635"/>
      <c r="T76" s="16635"/>
      <c r="U76" s="5072" t="s">
        <v>4338</v>
      </c>
      <c r="V76" s="5072"/>
      <c r="W76" s="2964" t="s">
        <v>4338</v>
      </c>
      <c r="X76" s="5077"/>
      <c r="Y76" s="6645"/>
      <c r="Z76" s="4774"/>
      <c r="AA76" s="2599"/>
      <c r="AB76" s="2599"/>
      <c r="AC76" s="2632"/>
      <c r="AD76" s="2584"/>
      <c r="AE76" s="2584"/>
      <c r="AF76" s="2584"/>
      <c r="AG76" s="2584"/>
      <c r="AH76" s="2588"/>
      <c r="AI76" s="2588"/>
      <c r="AJ76" s="2588"/>
      <c r="AK76" s="2588"/>
      <c r="AL76" s="2588"/>
      <c r="AM76" s="2584"/>
      <c r="AN76" s="2584"/>
      <c r="AO76" s="2584"/>
      <c r="AP76" s="2584"/>
      <c r="AQ76" s="2584"/>
      <c r="AR76" s="2584"/>
      <c r="AS76" s="2584"/>
      <c r="AT76" s="2584"/>
      <c r="AU76" s="2584"/>
      <c r="AV76" s="2584"/>
      <c r="AW76" s="2584"/>
      <c r="AX76" s="2584"/>
      <c r="AY76" s="2584"/>
      <c r="AZ76" s="2584"/>
      <c r="BA76" s="2584"/>
      <c r="BB76" s="2584"/>
      <c r="BC76" s="2584"/>
      <c r="BD76" s="2584"/>
      <c r="BE76" s="2584"/>
      <c r="BF76" s="2584"/>
      <c r="BG76" s="2584"/>
      <c r="BH76" s="2588"/>
      <c r="BI76" s="2645"/>
      <c r="BJ76" s="2588"/>
      <c r="BK76" s="2645"/>
      <c r="BL76" s="2645"/>
      <c r="BM76" s="2584"/>
      <c r="BN76" s="2584"/>
      <c r="BO76" s="2584"/>
      <c r="BP76" s="2584"/>
      <c r="BQ76" s="2584"/>
      <c r="BR76" s="2600"/>
      <c r="BS76" s="2621"/>
      <c r="BT76" s="5092"/>
      <c r="BU76" s="16685"/>
      <c r="BV76" s="5070"/>
      <c r="BW76" s="2588"/>
      <c r="BX76" s="5070"/>
      <c r="BY76" s="2590"/>
      <c r="BZ76" s="2590"/>
      <c r="CA76" s="2590"/>
      <c r="CB76" s="2590"/>
      <c r="CC76" s="2239"/>
      <c r="CD76" s="2239"/>
      <c r="CE76" s="2239"/>
      <c r="CF76" s="2241"/>
      <c r="CG76" s="2239"/>
      <c r="CH76" s="2241"/>
      <c r="CI76" s="2241"/>
      <c r="CJ76" s="2241"/>
      <c r="CK76" s="2241"/>
      <c r="CL76" s="2241"/>
      <c r="CM76" s="2241"/>
      <c r="CN76" s="2241"/>
      <c r="CO76" s="2241"/>
      <c r="CP76" s="2241"/>
      <c r="CQ76" s="2241"/>
      <c r="CR76" s="2241"/>
      <c r="CS76" s="2241"/>
      <c r="CT76" s="2241"/>
      <c r="CU76" s="2241"/>
      <c r="CV76" s="2241"/>
      <c r="CW76" s="2241"/>
      <c r="CX76" s="2241"/>
      <c r="CY76" s="2241"/>
      <c r="CZ76" s="2241"/>
      <c r="DA76" s="2590"/>
      <c r="DB76" s="2590"/>
      <c r="DC76" s="2590"/>
      <c r="DD76" s="2590"/>
      <c r="DE76" s="2590"/>
      <c r="DF76" s="2590"/>
      <c r="DG76" s="2590"/>
      <c r="DH76" s="2589"/>
      <c r="DI76" s="2590"/>
      <c r="DJ76" s="2589"/>
      <c r="DK76" s="2589"/>
      <c r="DL76" s="2589"/>
      <c r="DM76" s="2590"/>
      <c r="DN76" s="2589"/>
      <c r="DO76" s="2589"/>
      <c r="DP76" s="2589"/>
      <c r="DQ76" s="2635"/>
      <c r="DS76" s="6617"/>
      <c r="DT76" s="2584"/>
      <c r="DU76" s="2584"/>
      <c r="DV76" s="2584"/>
      <c r="DW76" s="2584"/>
      <c r="DX76" s="2584"/>
      <c r="DY76" s="2584"/>
      <c r="DZ76" s="2584"/>
      <c r="EA76" s="2584"/>
      <c r="EB76" s="2584"/>
      <c r="EC76" s="2584"/>
      <c r="ED76" s="2584"/>
      <c r="EE76" s="2584"/>
      <c r="EF76" s="2584"/>
      <c r="EG76" s="2584"/>
      <c r="EH76" s="2584"/>
      <c r="EI76" s="2584"/>
      <c r="EJ76" s="2584"/>
      <c r="EK76" s="2584"/>
      <c r="EL76" s="2584"/>
      <c r="EM76" s="2584"/>
      <c r="EN76" s="2584"/>
      <c r="EO76" s="2584"/>
      <c r="EP76" s="2584"/>
      <c r="EQ76" s="2584"/>
      <c r="ER76" s="2584"/>
      <c r="ES76" s="2584"/>
      <c r="ET76" s="2584"/>
      <c r="EU76" s="2584"/>
      <c r="EV76" s="2584"/>
      <c r="EW76" s="2584"/>
      <c r="EX76" s="2584"/>
      <c r="EY76" s="2584"/>
      <c r="EZ76" s="2584"/>
      <c r="FA76" s="2584"/>
      <c r="FB76" s="2584"/>
      <c r="FC76" s="2584"/>
      <c r="FD76" s="2584"/>
      <c r="FE76" s="2584"/>
      <c r="FF76" s="2584"/>
      <c r="FG76" s="2584"/>
      <c r="FH76" s="2584"/>
      <c r="FI76" s="2584"/>
      <c r="FJ76" s="2584"/>
      <c r="FK76" s="2584"/>
      <c r="FL76" s="6618"/>
    </row>
    <row r="77" spans="1:168" s="2578" customFormat="1" ht="15" customHeight="1">
      <c r="A77" s="16659"/>
      <c r="B77" s="16540"/>
      <c r="C77" s="5163" t="s">
        <v>8196</v>
      </c>
      <c r="D77" s="2604" t="s">
        <v>1973</v>
      </c>
      <c r="E77" s="5072" t="s">
        <v>1974</v>
      </c>
      <c r="F77" s="5072">
        <v>10</v>
      </c>
      <c r="G77" s="5072" t="s">
        <v>382</v>
      </c>
      <c r="H77" s="5072" t="s">
        <v>1832</v>
      </c>
      <c r="I77" s="5072">
        <v>10</v>
      </c>
      <c r="J77" s="5072">
        <v>10</v>
      </c>
      <c r="K77" s="5072">
        <v>10</v>
      </c>
      <c r="L77" s="5072">
        <v>10</v>
      </c>
      <c r="M77" s="5072">
        <v>10</v>
      </c>
      <c r="N77" s="5072">
        <v>10</v>
      </c>
      <c r="O77" s="5072">
        <v>10</v>
      </c>
      <c r="P77" s="5072">
        <v>10</v>
      </c>
      <c r="Q77" s="5072">
        <v>10</v>
      </c>
      <c r="R77" s="5072">
        <v>10</v>
      </c>
      <c r="S77" s="2581">
        <v>10</v>
      </c>
      <c r="T77" s="5072" t="s">
        <v>1805</v>
      </c>
      <c r="U77" s="5072" t="s">
        <v>10066</v>
      </c>
      <c r="V77" s="5072" t="s">
        <v>298</v>
      </c>
      <c r="W77" s="2964"/>
      <c r="X77" s="5077"/>
      <c r="Y77" s="6645">
        <v>2000000</v>
      </c>
      <c r="Z77" s="4774">
        <v>1</v>
      </c>
      <c r="AA77" s="2595" t="s">
        <v>3939</v>
      </c>
      <c r="AB77" s="2595" t="s">
        <v>3940</v>
      </c>
      <c r="AC77" s="2584"/>
      <c r="AD77" s="2600">
        <v>1735250</v>
      </c>
      <c r="AE77" s="2600">
        <v>1735250</v>
      </c>
      <c r="AF77" s="2584"/>
      <c r="AG77" s="2584"/>
      <c r="AH77" s="2584"/>
      <c r="AI77" s="2584"/>
      <c r="AJ77" s="2584"/>
      <c r="AK77" s="2584" t="s">
        <v>2891</v>
      </c>
      <c r="AL77" s="2584"/>
      <c r="AM77" s="2584"/>
      <c r="AN77" s="2584"/>
      <c r="AO77" s="2584"/>
      <c r="AP77" s="2584"/>
      <c r="AQ77" s="2584"/>
      <c r="AR77" s="2584"/>
      <c r="AS77" s="2584"/>
      <c r="AT77" s="2584"/>
      <c r="AU77" s="2584"/>
      <c r="AV77" s="2584"/>
      <c r="AW77" s="2584"/>
      <c r="AX77" s="2584"/>
      <c r="AY77" s="2584"/>
      <c r="AZ77" s="2584"/>
      <c r="BA77" s="2584"/>
      <c r="BB77" s="2584"/>
      <c r="BC77" s="2584"/>
      <c r="BD77" s="2584"/>
      <c r="BE77" s="2584"/>
      <c r="BF77" s="2584"/>
      <c r="BG77" s="2584"/>
      <c r="BH77" s="2584"/>
      <c r="BI77" s="2584"/>
      <c r="BJ77" s="2584"/>
      <c r="BK77" s="2584"/>
      <c r="BL77" s="2584"/>
      <c r="BM77" s="2584"/>
      <c r="BN77" s="2584"/>
      <c r="BO77" s="2584"/>
      <c r="BP77" s="2584"/>
      <c r="BQ77" s="2584"/>
      <c r="BR77" s="2600"/>
      <c r="BS77" s="2606" t="s">
        <v>9653</v>
      </c>
      <c r="BT77" s="5092">
        <v>0</v>
      </c>
      <c r="BU77" s="16685"/>
      <c r="BV77" s="2606" t="s">
        <v>9653</v>
      </c>
      <c r="BW77" s="2607"/>
      <c r="BX77" s="2607"/>
      <c r="BY77" s="2603"/>
      <c r="BZ77" s="2603"/>
      <c r="CA77" s="2603"/>
      <c r="CB77" s="2603"/>
      <c r="CC77" s="2527"/>
      <c r="CD77" s="2528"/>
      <c r="CE77" s="2528"/>
      <c r="CF77" s="2533"/>
      <c r="CG77" s="2528"/>
      <c r="CH77" s="2528"/>
      <c r="CI77" s="2528"/>
      <c r="CJ77" s="2528"/>
      <c r="CK77" s="2528"/>
      <c r="CL77" s="2528"/>
      <c r="CM77" s="2528"/>
      <c r="CN77" s="2528"/>
      <c r="CO77" s="2528"/>
      <c r="CP77" s="2528"/>
      <c r="CQ77" s="2528"/>
      <c r="CR77" s="2528"/>
      <c r="CS77" s="2528"/>
      <c r="CT77" s="2528"/>
      <c r="CU77" s="2528"/>
      <c r="CV77" s="2528"/>
      <c r="CW77" s="2528"/>
      <c r="CX77" s="2528"/>
      <c r="CY77" s="2528"/>
      <c r="CZ77" s="2528"/>
      <c r="DA77" s="2603"/>
      <c r="DB77" s="2603"/>
      <c r="DC77" s="2603"/>
      <c r="DD77" s="2603"/>
      <c r="DE77" s="2603"/>
      <c r="DF77" s="2603"/>
      <c r="DG77" s="2603"/>
      <c r="DH77" s="2603"/>
      <c r="DI77" s="2603"/>
      <c r="DJ77" s="2603"/>
      <c r="DK77" s="2603"/>
      <c r="DL77" s="2603"/>
      <c r="DM77" s="2603"/>
      <c r="DN77" s="2603"/>
      <c r="DO77" s="2603"/>
      <c r="DP77" s="2603"/>
      <c r="DQ77" s="2133"/>
      <c r="DS77" s="6617"/>
      <c r="DT77" s="2584"/>
      <c r="DU77" s="2584"/>
      <c r="DV77" s="2584"/>
      <c r="DW77" s="2584"/>
      <c r="DX77" s="2584"/>
      <c r="DY77" s="2584"/>
      <c r="DZ77" s="2584"/>
      <c r="EA77" s="2584"/>
      <c r="EB77" s="2584"/>
      <c r="EC77" s="2584"/>
      <c r="ED77" s="2584"/>
      <c r="EE77" s="2584"/>
      <c r="EF77" s="2584"/>
      <c r="EG77" s="2584"/>
      <c r="EH77" s="2584"/>
      <c r="EI77" s="2584"/>
      <c r="EJ77" s="2584"/>
      <c r="EK77" s="2584"/>
      <c r="EL77" s="2584"/>
      <c r="EM77" s="2584"/>
      <c r="EN77" s="2584"/>
      <c r="EO77" s="2584"/>
      <c r="EP77" s="2584"/>
      <c r="EQ77" s="2584"/>
      <c r="ER77" s="2584"/>
      <c r="ES77" s="2584"/>
      <c r="ET77" s="2584"/>
      <c r="EU77" s="2584"/>
      <c r="EV77" s="2584"/>
      <c r="EW77" s="2584"/>
      <c r="EX77" s="2584"/>
      <c r="EY77" s="2584"/>
      <c r="EZ77" s="2584"/>
      <c r="FA77" s="2584"/>
      <c r="FB77" s="2584"/>
      <c r="FC77" s="2584"/>
      <c r="FD77" s="2584"/>
      <c r="FE77" s="2584"/>
      <c r="FF77" s="2584"/>
      <c r="FG77" s="2584"/>
      <c r="FH77" s="2584"/>
      <c r="FI77" s="2584"/>
      <c r="FJ77" s="2584"/>
      <c r="FK77" s="2584"/>
      <c r="FL77" s="6618"/>
    </row>
    <row r="78" spans="1:168" s="2578" customFormat="1" ht="15" customHeight="1">
      <c r="A78" s="16659"/>
      <c r="B78" s="16540"/>
      <c r="C78" s="5163" t="s">
        <v>8197</v>
      </c>
      <c r="D78" s="2604" t="s">
        <v>1975</v>
      </c>
      <c r="E78" s="5072" t="s">
        <v>1976</v>
      </c>
      <c r="F78" s="5072">
        <v>10</v>
      </c>
      <c r="G78" s="5072" t="s">
        <v>382</v>
      </c>
      <c r="H78" s="5072">
        <v>0</v>
      </c>
      <c r="I78" s="5072">
        <v>10</v>
      </c>
      <c r="J78" s="5072">
        <v>10</v>
      </c>
      <c r="K78" s="5072">
        <v>10</v>
      </c>
      <c r="L78" s="5072">
        <v>10</v>
      </c>
      <c r="M78" s="5072">
        <v>10</v>
      </c>
      <c r="N78" s="5072">
        <v>10</v>
      </c>
      <c r="O78" s="5072">
        <v>10</v>
      </c>
      <c r="P78" s="5072">
        <v>10</v>
      </c>
      <c r="Q78" s="5072">
        <v>10</v>
      </c>
      <c r="R78" s="5072">
        <v>10</v>
      </c>
      <c r="S78" s="2581">
        <v>10</v>
      </c>
      <c r="T78" s="5072" t="s">
        <v>1805</v>
      </c>
      <c r="U78" s="5072" t="s">
        <v>2896</v>
      </c>
      <c r="V78" s="5072" t="s">
        <v>163</v>
      </c>
      <c r="W78" s="2964"/>
      <c r="X78" s="5077"/>
      <c r="Y78" s="6645">
        <v>10000000</v>
      </c>
      <c r="Z78" s="4283">
        <f>8/10</f>
        <v>0.8</v>
      </c>
      <c r="AA78" s="2646" t="s">
        <v>4067</v>
      </c>
      <c r="AB78" s="2646" t="s">
        <v>4068</v>
      </c>
      <c r="AC78" s="2647"/>
      <c r="AD78" s="2647"/>
      <c r="AE78" s="2647"/>
      <c r="AF78" s="2647"/>
      <c r="AG78" s="2647"/>
      <c r="AH78" s="2647"/>
      <c r="AI78" s="2647"/>
      <c r="AJ78" s="2647"/>
      <c r="AK78" s="2647"/>
      <c r="AL78" s="2647"/>
      <c r="AM78" s="2647"/>
      <c r="AN78" s="2647"/>
      <c r="AO78" s="2647"/>
      <c r="AP78" s="2647"/>
      <c r="AQ78" s="2647"/>
      <c r="AR78" s="2647"/>
      <c r="AS78" s="2647"/>
      <c r="AT78" s="2647"/>
      <c r="AU78" s="2647"/>
      <c r="AV78" s="2647"/>
      <c r="AW78" s="2647"/>
      <c r="AX78" s="2647"/>
      <c r="AY78" s="2647"/>
      <c r="AZ78" s="2647"/>
      <c r="BA78" s="2647"/>
      <c r="BB78" s="2647"/>
      <c r="BC78" s="2647"/>
      <c r="BD78" s="2647"/>
      <c r="BE78" s="2647"/>
      <c r="BF78" s="2647"/>
      <c r="BG78" s="2647"/>
      <c r="BH78" s="2647"/>
      <c r="BI78" s="2647"/>
      <c r="BJ78" s="2647"/>
      <c r="BK78" s="2647"/>
      <c r="BL78" s="2647"/>
      <c r="BM78" s="2647"/>
      <c r="BN78" s="2647"/>
      <c r="BO78" s="2647"/>
      <c r="BP78" s="2647"/>
      <c r="BQ78" s="2647"/>
      <c r="BR78" s="6659"/>
      <c r="BS78" s="2606">
        <v>1</v>
      </c>
      <c r="BT78" s="5092">
        <f>BS78</f>
        <v>1</v>
      </c>
      <c r="BU78" s="16685"/>
      <c r="BV78" s="2622" t="s">
        <v>9317</v>
      </c>
      <c r="BW78" s="2607"/>
      <c r="BX78" s="2607"/>
      <c r="BY78" s="2603">
        <v>0</v>
      </c>
      <c r="BZ78" s="2603">
        <v>0</v>
      </c>
      <c r="CA78" s="2603">
        <v>0</v>
      </c>
      <c r="CB78" s="2603">
        <v>0</v>
      </c>
      <c r="CC78" s="2527">
        <v>3514</v>
      </c>
      <c r="CD78" s="2528">
        <v>1818</v>
      </c>
      <c r="CE78" s="2528">
        <v>1696</v>
      </c>
      <c r="CF78" s="2241">
        <v>0</v>
      </c>
      <c r="CG78" s="2528">
        <v>3305</v>
      </c>
      <c r="CH78" s="2528">
        <v>209</v>
      </c>
      <c r="CI78" s="2528">
        <v>0</v>
      </c>
      <c r="CJ78" s="2528">
        <v>275</v>
      </c>
      <c r="CK78" s="2528">
        <v>1406</v>
      </c>
      <c r="CL78" s="2528">
        <v>1348</v>
      </c>
      <c r="CM78" s="2528">
        <v>409</v>
      </c>
      <c r="CN78" s="2528">
        <v>56</v>
      </c>
      <c r="CO78" s="2528">
        <v>17</v>
      </c>
      <c r="CP78" s="2528">
        <v>3</v>
      </c>
      <c r="CQ78" s="2528">
        <v>0</v>
      </c>
      <c r="CR78" s="2528"/>
      <c r="CS78" s="2528">
        <v>364</v>
      </c>
      <c r="CT78" s="2528">
        <v>101</v>
      </c>
      <c r="CU78" s="2528">
        <v>2</v>
      </c>
      <c r="CV78" s="2528"/>
      <c r="CW78" s="2528"/>
      <c r="CX78" s="2528"/>
      <c r="CY78" s="2528"/>
      <c r="CZ78" s="2528">
        <v>3047</v>
      </c>
      <c r="DA78" s="2603"/>
      <c r="DB78" s="2603">
        <v>12</v>
      </c>
      <c r="DC78" s="2603"/>
      <c r="DD78" s="2603"/>
      <c r="DE78" s="2603"/>
      <c r="DF78" s="2603"/>
      <c r="DG78" s="2603"/>
      <c r="DH78" s="2603"/>
      <c r="DI78" s="2603"/>
      <c r="DJ78" s="2603"/>
      <c r="DK78" s="2603"/>
      <c r="DL78" s="2603"/>
      <c r="DM78" s="2603"/>
      <c r="DN78" s="2603"/>
      <c r="DO78" s="2603"/>
      <c r="DP78" s="2603"/>
      <c r="DQ78" s="2133"/>
      <c r="DS78" s="6617"/>
      <c r="DT78" s="2584"/>
      <c r="DU78" s="2584"/>
      <c r="DV78" s="2584"/>
      <c r="DW78" s="2584"/>
      <c r="DX78" s="2584"/>
      <c r="DY78" s="2584"/>
      <c r="DZ78" s="2584"/>
      <c r="EA78" s="2584"/>
      <c r="EB78" s="2584"/>
      <c r="EC78" s="2584"/>
      <c r="ED78" s="2584"/>
      <c r="EE78" s="2584"/>
      <c r="EF78" s="2584"/>
      <c r="EG78" s="2584"/>
      <c r="EH78" s="2584"/>
      <c r="EI78" s="2584"/>
      <c r="EJ78" s="2584"/>
      <c r="EK78" s="2584"/>
      <c r="EL78" s="2584"/>
      <c r="EM78" s="2584"/>
      <c r="EN78" s="2584"/>
      <c r="EO78" s="2584"/>
      <c r="EP78" s="2584"/>
      <c r="EQ78" s="2584"/>
      <c r="ER78" s="2584"/>
      <c r="ES78" s="2584"/>
      <c r="ET78" s="2584"/>
      <c r="EU78" s="2584"/>
      <c r="EV78" s="2584"/>
      <c r="EW78" s="2584"/>
      <c r="EX78" s="2584"/>
      <c r="EY78" s="2584"/>
      <c r="EZ78" s="2584"/>
      <c r="FA78" s="2584"/>
      <c r="FB78" s="2584"/>
      <c r="FC78" s="2584"/>
      <c r="FD78" s="2584"/>
      <c r="FE78" s="2584"/>
      <c r="FF78" s="2584"/>
      <c r="FG78" s="2584"/>
      <c r="FH78" s="2584"/>
      <c r="FI78" s="2584"/>
      <c r="FJ78" s="2584"/>
      <c r="FK78" s="2584"/>
      <c r="FL78" s="6618"/>
    </row>
    <row r="79" spans="1:168" s="2578" customFormat="1" ht="15" customHeight="1">
      <c r="A79" s="16659"/>
      <c r="B79" s="16540"/>
      <c r="C79" s="5163" t="s">
        <v>8198</v>
      </c>
      <c r="D79" s="2604" t="s">
        <v>1977</v>
      </c>
      <c r="E79" s="2580" t="s">
        <v>1978</v>
      </c>
      <c r="F79" s="5072">
        <v>150</v>
      </c>
      <c r="G79" s="5072" t="s">
        <v>382</v>
      </c>
      <c r="H79" s="5072">
        <v>150</v>
      </c>
      <c r="I79" s="5072">
        <v>150</v>
      </c>
      <c r="J79" s="5072">
        <v>150</v>
      </c>
      <c r="K79" s="5072">
        <v>150</v>
      </c>
      <c r="L79" s="5072">
        <v>150</v>
      </c>
      <c r="M79" s="5072">
        <v>150</v>
      </c>
      <c r="N79" s="5072">
        <v>150</v>
      </c>
      <c r="O79" s="5072">
        <v>150</v>
      </c>
      <c r="P79" s="5072">
        <v>150</v>
      </c>
      <c r="Q79" s="5072">
        <v>150</v>
      </c>
      <c r="R79" s="5072">
        <v>150</v>
      </c>
      <c r="S79" s="2581">
        <v>150</v>
      </c>
      <c r="T79" s="5072" t="s">
        <v>1805</v>
      </c>
      <c r="U79" s="5072" t="s">
        <v>10072</v>
      </c>
      <c r="V79" s="2640" t="s">
        <v>844</v>
      </c>
      <c r="W79" s="6722"/>
      <c r="X79" s="5077"/>
      <c r="Y79" s="6645">
        <v>300000000</v>
      </c>
      <c r="Z79" s="2584"/>
      <c r="AA79" s="2584"/>
      <c r="AB79" s="2584"/>
      <c r="AC79" s="2584"/>
      <c r="AD79" s="2584"/>
      <c r="AE79" s="2584"/>
      <c r="AF79" s="2584"/>
      <c r="AG79" s="2584"/>
      <c r="AH79" s="2584"/>
      <c r="AI79" s="2584"/>
      <c r="AJ79" s="2584"/>
      <c r="AK79" s="2584"/>
      <c r="AL79" s="2584"/>
      <c r="AM79" s="2584"/>
      <c r="AN79" s="2584"/>
      <c r="AO79" s="2584"/>
      <c r="AP79" s="2584"/>
      <c r="AQ79" s="2584"/>
      <c r="AR79" s="2584"/>
      <c r="AS79" s="2584"/>
      <c r="AT79" s="2584"/>
      <c r="AU79" s="2584"/>
      <c r="AV79" s="2584"/>
      <c r="AW79" s="2584"/>
      <c r="AX79" s="2584"/>
      <c r="AY79" s="2584"/>
      <c r="AZ79" s="2584"/>
      <c r="BA79" s="2584"/>
      <c r="BB79" s="2584"/>
      <c r="BC79" s="2584"/>
      <c r="BD79" s="2584"/>
      <c r="BE79" s="2584"/>
      <c r="BF79" s="2584"/>
      <c r="BG79" s="2584"/>
      <c r="BH79" s="2584"/>
      <c r="BI79" s="2584"/>
      <c r="BJ79" s="2584"/>
      <c r="BK79" s="2584"/>
      <c r="BL79" s="2584"/>
      <c r="BM79" s="2584"/>
      <c r="BN79" s="2584"/>
      <c r="BO79" s="2584"/>
      <c r="BP79" s="2584"/>
      <c r="BQ79" s="2584"/>
      <c r="BR79" s="2600"/>
      <c r="BS79" s="2642">
        <v>60</v>
      </c>
      <c r="BT79" s="5092">
        <v>0.4</v>
      </c>
      <c r="BU79" s="16685"/>
      <c r="BV79" s="6660" t="s">
        <v>10040</v>
      </c>
      <c r="BW79" s="2643"/>
      <c r="BX79" s="2643"/>
      <c r="BY79" s="6657">
        <v>1520617034</v>
      </c>
      <c r="BZ79" s="6657">
        <v>1216493627.2</v>
      </c>
      <c r="CA79" s="6657">
        <v>304123406.79999995</v>
      </c>
      <c r="CB79" s="6657">
        <v>0</v>
      </c>
      <c r="CC79" s="2527"/>
      <c r="CD79" s="2528"/>
      <c r="CE79" s="2528"/>
      <c r="CF79" s="2533"/>
      <c r="CG79" s="2528"/>
      <c r="CH79" s="2528"/>
      <c r="CI79" s="2528"/>
      <c r="CJ79" s="2528"/>
      <c r="CK79" s="2528"/>
      <c r="CL79" s="2528"/>
      <c r="CM79" s="2528"/>
      <c r="CN79" s="2528"/>
      <c r="CO79" s="2528"/>
      <c r="CP79" s="2528"/>
      <c r="CQ79" s="2528"/>
      <c r="CR79" s="2528"/>
      <c r="CS79" s="2528"/>
      <c r="CT79" s="2528"/>
      <c r="CU79" s="2528"/>
      <c r="CV79" s="2528"/>
      <c r="CW79" s="2528"/>
      <c r="CX79" s="2528"/>
      <c r="CY79" s="2528"/>
      <c r="CZ79" s="2528"/>
      <c r="DA79" s="6658" t="s">
        <v>2951</v>
      </c>
      <c r="DB79" s="6658" t="s">
        <v>2951</v>
      </c>
      <c r="DC79" s="6658" t="s">
        <v>2951</v>
      </c>
      <c r="DD79" s="6658" t="s">
        <v>2951</v>
      </c>
      <c r="DE79" s="6658" t="s">
        <v>2951</v>
      </c>
      <c r="DF79" s="6658" t="s">
        <v>2951</v>
      </c>
      <c r="DG79" s="6658"/>
      <c r="DH79" s="2644"/>
      <c r="DI79" s="2644"/>
      <c r="DJ79" s="2644"/>
      <c r="DK79" s="2644"/>
      <c r="DL79" s="2644"/>
      <c r="DM79" s="2644"/>
      <c r="DN79" s="2644"/>
      <c r="DO79" s="2644"/>
      <c r="DP79" s="2644"/>
      <c r="DQ79" s="2194"/>
      <c r="DS79" s="6617"/>
      <c r="DT79" s="2584"/>
      <c r="DU79" s="2584"/>
      <c r="DV79" s="2584"/>
      <c r="DW79" s="2584"/>
      <c r="DX79" s="2584"/>
      <c r="DY79" s="2584"/>
      <c r="DZ79" s="2584"/>
      <c r="EA79" s="2584"/>
      <c r="EB79" s="2584"/>
      <c r="EC79" s="2584"/>
      <c r="ED79" s="2584"/>
      <c r="EE79" s="2584"/>
      <c r="EF79" s="2584"/>
      <c r="EG79" s="2584"/>
      <c r="EH79" s="2584"/>
      <c r="EI79" s="2584"/>
      <c r="EJ79" s="2584"/>
      <c r="EK79" s="2584"/>
      <c r="EL79" s="2584"/>
      <c r="EM79" s="2584"/>
      <c r="EN79" s="2584"/>
      <c r="EO79" s="2584"/>
      <c r="EP79" s="2584"/>
      <c r="EQ79" s="2584"/>
      <c r="ER79" s="2584"/>
      <c r="ES79" s="2584"/>
      <c r="ET79" s="2584"/>
      <c r="EU79" s="2584"/>
      <c r="EV79" s="2584"/>
      <c r="EW79" s="2584"/>
      <c r="EX79" s="2584"/>
      <c r="EY79" s="2584"/>
      <c r="EZ79" s="2584"/>
      <c r="FA79" s="2584"/>
      <c r="FB79" s="2584"/>
      <c r="FC79" s="2584"/>
      <c r="FD79" s="2584"/>
      <c r="FE79" s="2584"/>
      <c r="FF79" s="2584"/>
      <c r="FG79" s="2584"/>
      <c r="FH79" s="2584"/>
      <c r="FI79" s="2584"/>
      <c r="FJ79" s="2584"/>
      <c r="FK79" s="2584"/>
      <c r="FL79" s="6618"/>
    </row>
    <row r="80" spans="1:168" s="2578" customFormat="1" ht="15" customHeight="1">
      <c r="A80" s="16659"/>
      <c r="B80" s="16540"/>
      <c r="C80" s="5163" t="s">
        <v>8199</v>
      </c>
      <c r="D80" s="2604" t="s">
        <v>1979</v>
      </c>
      <c r="E80" s="5072" t="s">
        <v>1980</v>
      </c>
      <c r="F80" s="5072">
        <v>350</v>
      </c>
      <c r="G80" s="5072" t="s">
        <v>382</v>
      </c>
      <c r="H80" s="5072">
        <v>350</v>
      </c>
      <c r="I80" s="5072">
        <v>350</v>
      </c>
      <c r="J80" s="5072">
        <v>350</v>
      </c>
      <c r="K80" s="5072">
        <v>350</v>
      </c>
      <c r="L80" s="5072">
        <v>350</v>
      </c>
      <c r="M80" s="5072">
        <v>350</v>
      </c>
      <c r="N80" s="5072">
        <v>350</v>
      </c>
      <c r="O80" s="5072">
        <v>350</v>
      </c>
      <c r="P80" s="5072">
        <v>350</v>
      </c>
      <c r="Q80" s="5072">
        <v>350</v>
      </c>
      <c r="R80" s="5072">
        <v>350</v>
      </c>
      <c r="S80" s="2581">
        <v>350</v>
      </c>
      <c r="T80" s="5072" t="s">
        <v>1805</v>
      </c>
      <c r="U80" s="5072" t="s">
        <v>10072</v>
      </c>
      <c r="V80" s="2640" t="s">
        <v>844</v>
      </c>
      <c r="W80" s="6722"/>
      <c r="X80" s="5077"/>
      <c r="Y80" s="6645">
        <v>30000000</v>
      </c>
      <c r="Z80" s="2584"/>
      <c r="AA80" s="2584"/>
      <c r="AB80" s="2584"/>
      <c r="AC80" s="2584"/>
      <c r="AD80" s="2584"/>
      <c r="AE80" s="2584"/>
      <c r="AF80" s="2584"/>
      <c r="AG80" s="2584"/>
      <c r="AH80" s="2584"/>
      <c r="AI80" s="2584"/>
      <c r="AJ80" s="2584"/>
      <c r="AK80" s="2584"/>
      <c r="AL80" s="2584"/>
      <c r="AM80" s="2584"/>
      <c r="AN80" s="2584"/>
      <c r="AO80" s="2584"/>
      <c r="AP80" s="2584"/>
      <c r="AQ80" s="2584"/>
      <c r="AR80" s="2584"/>
      <c r="AS80" s="2584"/>
      <c r="AT80" s="2584"/>
      <c r="AU80" s="2584"/>
      <c r="AV80" s="2584"/>
      <c r="AW80" s="2584"/>
      <c r="AX80" s="2584"/>
      <c r="AY80" s="2584"/>
      <c r="AZ80" s="2584"/>
      <c r="BA80" s="2584"/>
      <c r="BB80" s="2584"/>
      <c r="BC80" s="2584"/>
      <c r="BD80" s="2584"/>
      <c r="BE80" s="2584"/>
      <c r="BF80" s="2584"/>
      <c r="BG80" s="2584"/>
      <c r="BH80" s="2584"/>
      <c r="BI80" s="2584"/>
      <c r="BJ80" s="2584"/>
      <c r="BK80" s="2584"/>
      <c r="BL80" s="2584"/>
      <c r="BM80" s="2584"/>
      <c r="BN80" s="2584"/>
      <c r="BO80" s="2584"/>
      <c r="BP80" s="2584"/>
      <c r="BQ80" s="2584"/>
      <c r="BR80" s="2600"/>
      <c r="BS80" s="2642">
        <v>720</v>
      </c>
      <c r="BT80" s="5092">
        <v>1</v>
      </c>
      <c r="BU80" s="16685"/>
      <c r="BV80" s="6660" t="s">
        <v>10041</v>
      </c>
      <c r="BW80" s="2643"/>
      <c r="BX80" s="2643"/>
      <c r="BY80" s="6661">
        <v>631265761</v>
      </c>
      <c r="BZ80" s="6657">
        <v>505012608.80000001</v>
      </c>
      <c r="CA80" s="6657">
        <v>126253152.19999999</v>
      </c>
      <c r="CB80" s="6657">
        <v>0</v>
      </c>
      <c r="CC80" s="2527"/>
      <c r="CD80" s="2528"/>
      <c r="CE80" s="2528"/>
      <c r="CF80" s="2533"/>
      <c r="CG80" s="2528"/>
      <c r="CH80" s="2528"/>
      <c r="CI80" s="2528"/>
      <c r="CJ80" s="2528"/>
      <c r="CK80" s="2528"/>
      <c r="CL80" s="2528"/>
      <c r="CM80" s="2528"/>
      <c r="CN80" s="2528"/>
      <c r="CO80" s="2528"/>
      <c r="CP80" s="2528"/>
      <c r="CQ80" s="2528"/>
      <c r="CR80" s="2528"/>
      <c r="CS80" s="2528"/>
      <c r="CT80" s="2528"/>
      <c r="CU80" s="2528"/>
      <c r="CV80" s="2528"/>
      <c r="CW80" s="2528"/>
      <c r="CX80" s="2528"/>
      <c r="CY80" s="2528"/>
      <c r="CZ80" s="2528"/>
      <c r="DA80" s="6658" t="s">
        <v>2951</v>
      </c>
      <c r="DB80" s="6658" t="s">
        <v>2951</v>
      </c>
      <c r="DC80" s="6658" t="s">
        <v>2951</v>
      </c>
      <c r="DD80" s="6658" t="s">
        <v>2951</v>
      </c>
      <c r="DE80" s="6658" t="s">
        <v>2951</v>
      </c>
      <c r="DF80" s="6658" t="s">
        <v>2951</v>
      </c>
      <c r="DG80" s="6658"/>
      <c r="DH80" s="2644"/>
      <c r="DI80" s="2644"/>
      <c r="DJ80" s="2644"/>
      <c r="DK80" s="2644"/>
      <c r="DL80" s="2644"/>
      <c r="DM80" s="2644"/>
      <c r="DN80" s="2644"/>
      <c r="DO80" s="2644"/>
      <c r="DP80" s="2644"/>
      <c r="DQ80" s="2194"/>
      <c r="DS80" s="6617"/>
      <c r="DT80" s="2584"/>
      <c r="DU80" s="2584"/>
      <c r="DV80" s="2584"/>
      <c r="DW80" s="2584"/>
      <c r="DX80" s="2584"/>
      <c r="DY80" s="2584"/>
      <c r="DZ80" s="2584"/>
      <c r="EA80" s="2584"/>
      <c r="EB80" s="2584"/>
      <c r="EC80" s="2584"/>
      <c r="ED80" s="2584"/>
      <c r="EE80" s="2584"/>
      <c r="EF80" s="2584"/>
      <c r="EG80" s="2584"/>
      <c r="EH80" s="2584"/>
      <c r="EI80" s="2584"/>
      <c r="EJ80" s="2584"/>
      <c r="EK80" s="2584"/>
      <c r="EL80" s="2584"/>
      <c r="EM80" s="2584"/>
      <c r="EN80" s="2584"/>
      <c r="EO80" s="2584"/>
      <c r="EP80" s="2584"/>
      <c r="EQ80" s="2584"/>
      <c r="ER80" s="2584"/>
      <c r="ES80" s="2584"/>
      <c r="ET80" s="2584"/>
      <c r="EU80" s="2584"/>
      <c r="EV80" s="2584"/>
      <c r="EW80" s="2584"/>
      <c r="EX80" s="2584"/>
      <c r="EY80" s="2584"/>
      <c r="EZ80" s="2584"/>
      <c r="FA80" s="2584"/>
      <c r="FB80" s="2584"/>
      <c r="FC80" s="2584"/>
      <c r="FD80" s="2584"/>
      <c r="FE80" s="2584"/>
      <c r="FF80" s="2584"/>
      <c r="FG80" s="2584"/>
      <c r="FH80" s="2584"/>
      <c r="FI80" s="2584"/>
      <c r="FJ80" s="2584"/>
      <c r="FK80" s="2584"/>
      <c r="FL80" s="6618"/>
    </row>
    <row r="81" spans="1:168" s="2578" customFormat="1" ht="15" customHeight="1">
      <c r="A81" s="16659"/>
      <c r="B81" s="16540"/>
      <c r="C81" s="5163" t="s">
        <v>8200</v>
      </c>
      <c r="D81" s="2604" t="s">
        <v>1981</v>
      </c>
      <c r="E81" s="5072" t="s">
        <v>1982</v>
      </c>
      <c r="F81" s="2581">
        <v>5</v>
      </c>
      <c r="G81" s="5072" t="s">
        <v>386</v>
      </c>
      <c r="H81" s="2583" t="s">
        <v>1832</v>
      </c>
      <c r="I81" s="2581">
        <v>10</v>
      </c>
      <c r="J81" s="2581">
        <v>5</v>
      </c>
      <c r="K81" s="2581">
        <v>10</v>
      </c>
      <c r="L81" s="2581">
        <v>20</v>
      </c>
      <c r="M81" s="2581">
        <v>20</v>
      </c>
      <c r="N81" s="2581">
        <v>5</v>
      </c>
      <c r="O81" s="2581">
        <v>10</v>
      </c>
      <c r="P81" s="2581">
        <v>20</v>
      </c>
      <c r="Q81" s="2581">
        <v>20</v>
      </c>
      <c r="R81" s="2581">
        <v>10</v>
      </c>
      <c r="S81" s="2581">
        <f>F81+I81+J81+K81+L81+M81+N81+O81+P81+Q81+R81</f>
        <v>135</v>
      </c>
      <c r="T81" s="5072" t="s">
        <v>1805</v>
      </c>
      <c r="U81" s="5072" t="s">
        <v>2896</v>
      </c>
      <c r="V81" s="5072" t="s">
        <v>163</v>
      </c>
      <c r="W81" s="2964"/>
      <c r="X81" s="5077"/>
      <c r="Y81" s="6645">
        <v>27500000</v>
      </c>
      <c r="Z81" s="5092">
        <v>1</v>
      </c>
      <c r="AA81" s="2646" t="s">
        <v>4069</v>
      </c>
      <c r="AB81" s="2647"/>
      <c r="AC81" s="2647"/>
      <c r="AD81" s="2648">
        <v>100000000</v>
      </c>
      <c r="AE81" s="2647"/>
      <c r="AF81" s="2647"/>
      <c r="AG81" s="2647"/>
      <c r="AH81" s="2647"/>
      <c r="AI81" s="2647"/>
      <c r="AJ81" s="2647"/>
      <c r="AK81" s="2647"/>
      <c r="AL81" s="2647"/>
      <c r="AM81" s="2647"/>
      <c r="AN81" s="2647"/>
      <c r="AO81" s="2647"/>
      <c r="AP81" s="2647"/>
      <c r="AQ81" s="2647"/>
      <c r="AR81" s="2647"/>
      <c r="AS81" s="2647"/>
      <c r="AT81" s="2647"/>
      <c r="AU81" s="2647"/>
      <c r="AV81" s="2647"/>
      <c r="AW81" s="2647"/>
      <c r="AX81" s="2647"/>
      <c r="AY81" s="2647"/>
      <c r="AZ81" s="2647"/>
      <c r="BA81" s="2647"/>
      <c r="BB81" s="2647"/>
      <c r="BC81" s="2647"/>
      <c r="BD81" s="2647"/>
      <c r="BE81" s="2647"/>
      <c r="BF81" s="2647"/>
      <c r="BG81" s="2647"/>
      <c r="BH81" s="2647"/>
      <c r="BI81" s="2647"/>
      <c r="BJ81" s="2647"/>
      <c r="BK81" s="2647"/>
      <c r="BL81" s="2647"/>
      <c r="BM81" s="2647"/>
      <c r="BN81" s="2647"/>
      <c r="BO81" s="2647"/>
      <c r="BP81" s="2647"/>
      <c r="BQ81" s="2647"/>
      <c r="BR81" s="6659"/>
      <c r="BS81" s="2606">
        <v>1</v>
      </c>
      <c r="BT81" s="5092">
        <f>BS81</f>
        <v>1</v>
      </c>
      <c r="BU81" s="16685"/>
      <c r="BV81" s="2622" t="s">
        <v>9318</v>
      </c>
      <c r="BW81" s="2607"/>
      <c r="BX81" s="2607"/>
      <c r="BY81" s="2603">
        <v>0</v>
      </c>
      <c r="BZ81" s="2603">
        <v>0</v>
      </c>
      <c r="CA81" s="2603">
        <v>0</v>
      </c>
      <c r="CB81" s="2603">
        <v>0</v>
      </c>
      <c r="CC81" s="2527">
        <v>3514</v>
      </c>
      <c r="CD81" s="2528">
        <v>1818</v>
      </c>
      <c r="CE81" s="2528">
        <v>1696</v>
      </c>
      <c r="CF81" s="2533">
        <v>0</v>
      </c>
      <c r="CG81" s="2528">
        <v>3305</v>
      </c>
      <c r="CH81" s="2528">
        <v>209</v>
      </c>
      <c r="CI81" s="2528">
        <v>0</v>
      </c>
      <c r="CJ81" s="2528">
        <v>275</v>
      </c>
      <c r="CK81" s="2528">
        <v>1406</v>
      </c>
      <c r="CL81" s="2528">
        <v>1348</v>
      </c>
      <c r="CM81" s="2528">
        <v>409</v>
      </c>
      <c r="CN81" s="2528">
        <v>56</v>
      </c>
      <c r="CO81" s="2528">
        <v>17</v>
      </c>
      <c r="CP81" s="2528">
        <v>3</v>
      </c>
      <c r="CQ81" s="2528">
        <v>0</v>
      </c>
      <c r="CR81" s="2528"/>
      <c r="CS81" s="2528">
        <v>364</v>
      </c>
      <c r="CT81" s="2528">
        <v>101</v>
      </c>
      <c r="CU81" s="2528">
        <v>2</v>
      </c>
      <c r="CV81" s="2528"/>
      <c r="CW81" s="2528"/>
      <c r="CX81" s="2528"/>
      <c r="CY81" s="2528"/>
      <c r="CZ81" s="2528">
        <v>3047</v>
      </c>
      <c r="DA81" s="2603"/>
      <c r="DB81" s="2603">
        <v>12</v>
      </c>
      <c r="DC81" s="2603"/>
      <c r="DD81" s="2603"/>
      <c r="DE81" s="2603"/>
      <c r="DF81" s="2603"/>
      <c r="DG81" s="2603"/>
      <c r="DH81" s="2603"/>
      <c r="DI81" s="2603"/>
      <c r="DJ81" s="2603"/>
      <c r="DK81" s="2603"/>
      <c r="DL81" s="2603"/>
      <c r="DM81" s="2603"/>
      <c r="DN81" s="2603"/>
      <c r="DO81" s="2603"/>
      <c r="DP81" s="2603"/>
      <c r="DQ81" s="2133"/>
      <c r="DS81" s="6617"/>
      <c r="DT81" s="2584"/>
      <c r="DU81" s="2584"/>
      <c r="DV81" s="2584"/>
      <c r="DW81" s="2584"/>
      <c r="DX81" s="2584"/>
      <c r="DY81" s="2584"/>
      <c r="DZ81" s="2584"/>
      <c r="EA81" s="2584"/>
      <c r="EB81" s="2584"/>
      <c r="EC81" s="2584"/>
      <c r="ED81" s="2584"/>
      <c r="EE81" s="2584"/>
      <c r="EF81" s="2584"/>
      <c r="EG81" s="2584"/>
      <c r="EH81" s="2584"/>
      <c r="EI81" s="2584"/>
      <c r="EJ81" s="2584"/>
      <c r="EK81" s="2584"/>
      <c r="EL81" s="2584"/>
      <c r="EM81" s="2584"/>
      <c r="EN81" s="2584"/>
      <c r="EO81" s="2584"/>
      <c r="EP81" s="2584"/>
      <c r="EQ81" s="2584"/>
      <c r="ER81" s="2584"/>
      <c r="ES81" s="2584"/>
      <c r="ET81" s="2584"/>
      <c r="EU81" s="2584"/>
      <c r="EV81" s="2584"/>
      <c r="EW81" s="2584"/>
      <c r="EX81" s="2584"/>
      <c r="EY81" s="2584"/>
      <c r="EZ81" s="2584"/>
      <c r="FA81" s="2584"/>
      <c r="FB81" s="2584"/>
      <c r="FC81" s="2584"/>
      <c r="FD81" s="2584"/>
      <c r="FE81" s="2584"/>
      <c r="FF81" s="2584"/>
      <c r="FG81" s="2584"/>
      <c r="FH81" s="2584"/>
      <c r="FI81" s="2584"/>
      <c r="FJ81" s="2584"/>
      <c r="FK81" s="2584"/>
      <c r="FL81" s="6618"/>
    </row>
    <row r="82" spans="1:168" s="2578" customFormat="1" ht="15" customHeight="1">
      <c r="A82" s="16659"/>
      <c r="B82" s="16540"/>
      <c r="C82" s="5163" t="s">
        <v>8201</v>
      </c>
      <c r="D82" s="2604" t="s">
        <v>1983</v>
      </c>
      <c r="E82" s="2616" t="s">
        <v>1983</v>
      </c>
      <c r="F82" s="5072">
        <v>12</v>
      </c>
      <c r="G82" s="5072" t="s">
        <v>382</v>
      </c>
      <c r="H82" s="5072" t="s">
        <v>1832</v>
      </c>
      <c r="I82" s="5072">
        <v>12</v>
      </c>
      <c r="J82" s="5072">
        <v>12</v>
      </c>
      <c r="K82" s="5072">
        <v>12</v>
      </c>
      <c r="L82" s="5072">
        <v>12</v>
      </c>
      <c r="M82" s="5072">
        <v>12</v>
      </c>
      <c r="N82" s="5072">
        <v>12</v>
      </c>
      <c r="O82" s="5072">
        <v>12</v>
      </c>
      <c r="P82" s="5072">
        <v>12</v>
      </c>
      <c r="Q82" s="5072">
        <v>12</v>
      </c>
      <c r="R82" s="5072">
        <v>12</v>
      </c>
      <c r="S82" s="2581">
        <v>12</v>
      </c>
      <c r="T82" s="5072" t="s">
        <v>1805</v>
      </c>
      <c r="U82" s="5072" t="s">
        <v>26</v>
      </c>
      <c r="V82" s="5072" t="s">
        <v>1896</v>
      </c>
      <c r="W82" s="2964"/>
      <c r="X82" s="6716"/>
      <c r="Y82" s="6645">
        <v>400000000</v>
      </c>
      <c r="Z82" s="6662">
        <v>1</v>
      </c>
      <c r="AA82" s="2646" t="s">
        <v>3242</v>
      </c>
      <c r="AB82" s="2595" t="s">
        <v>3243</v>
      </c>
      <c r="AC82" s="2584" t="s">
        <v>3241</v>
      </c>
      <c r="AD82" s="2649">
        <v>460688250</v>
      </c>
      <c r="AE82" s="2649">
        <v>460688250</v>
      </c>
      <c r="AF82" s="2584">
        <v>0</v>
      </c>
      <c r="AG82" s="2584">
        <v>0</v>
      </c>
      <c r="AH82" s="2600">
        <v>20000</v>
      </c>
      <c r="AI82" s="2584"/>
      <c r="AJ82" s="2584"/>
      <c r="AK82" s="2584"/>
      <c r="AL82" s="2584"/>
      <c r="AM82" s="2584"/>
      <c r="AN82" s="2584"/>
      <c r="AO82" s="2584"/>
      <c r="AP82" s="2584"/>
      <c r="AQ82" s="2584"/>
      <c r="AR82" s="2584"/>
      <c r="AS82" s="2584"/>
      <c r="AT82" s="2584"/>
      <c r="AU82" s="2584"/>
      <c r="AV82" s="2584"/>
      <c r="AW82" s="2584"/>
      <c r="AX82" s="2584"/>
      <c r="AY82" s="2584"/>
      <c r="AZ82" s="2584"/>
      <c r="BA82" s="2584"/>
      <c r="BB82" s="2584"/>
      <c r="BC82" s="2584"/>
      <c r="BD82" s="2584"/>
      <c r="BE82" s="2584"/>
      <c r="BF82" s="2584"/>
      <c r="BG82" s="2584"/>
      <c r="BH82" s="2584"/>
      <c r="BI82" s="2584"/>
      <c r="BJ82" s="2584"/>
      <c r="BK82" s="2584"/>
      <c r="BL82" s="2584"/>
      <c r="BM82" s="2584"/>
      <c r="BN82" s="2584"/>
      <c r="BO82" s="2584"/>
      <c r="BP82" s="2584"/>
      <c r="BQ82" s="2584"/>
      <c r="BR82" s="2600">
        <v>400000000</v>
      </c>
      <c r="BS82" s="2597">
        <v>1</v>
      </c>
      <c r="BT82" s="5092">
        <v>1</v>
      </c>
      <c r="BU82" s="16685"/>
      <c r="BV82" s="2646" t="s">
        <v>3242</v>
      </c>
      <c r="BW82" s="2595" t="s">
        <v>3243</v>
      </c>
      <c r="BX82" s="2584" t="s">
        <v>3241</v>
      </c>
      <c r="BY82" s="2650">
        <v>460688250</v>
      </c>
      <c r="BZ82" s="2650">
        <v>460688250</v>
      </c>
      <c r="CA82" s="2590">
        <v>0</v>
      </c>
      <c r="CB82" s="2590">
        <v>0</v>
      </c>
      <c r="CC82" s="2239">
        <v>20000</v>
      </c>
      <c r="CD82" s="2241">
        <v>0</v>
      </c>
      <c r="CE82" s="2241">
        <v>0</v>
      </c>
      <c r="CF82" s="2241">
        <v>20000</v>
      </c>
      <c r="CG82" s="2241">
        <v>0</v>
      </c>
      <c r="CH82" s="2241">
        <v>0</v>
      </c>
      <c r="CI82" s="2241">
        <v>20000</v>
      </c>
      <c r="CJ82" s="2241"/>
      <c r="CK82" s="2241"/>
      <c r="CL82" s="2241"/>
      <c r="CM82" s="2241"/>
      <c r="CN82" s="2241"/>
      <c r="CO82" s="2241"/>
      <c r="CP82" s="2241"/>
      <c r="CQ82" s="2241">
        <v>20000</v>
      </c>
      <c r="CR82" s="2241"/>
      <c r="CS82" s="2241"/>
      <c r="CT82" s="2241"/>
      <c r="CU82" s="2241"/>
      <c r="CV82" s="2241"/>
      <c r="CW82" s="2241"/>
      <c r="CX82" s="2241"/>
      <c r="CY82" s="2241"/>
      <c r="CZ82" s="2241">
        <v>20000</v>
      </c>
      <c r="DA82" s="2590"/>
      <c r="DB82" s="2590"/>
      <c r="DC82" s="2590"/>
      <c r="DD82" s="2590"/>
      <c r="DE82" s="2590"/>
      <c r="DF82" s="2590"/>
      <c r="DG82" s="2590"/>
      <c r="DH82" s="2590"/>
      <c r="DI82" s="2590"/>
      <c r="DJ82" s="2590"/>
      <c r="DK82" s="2590"/>
      <c r="DL82" s="2590"/>
      <c r="DM82" s="2590"/>
      <c r="DN82" s="2590"/>
      <c r="DO82" s="2590"/>
      <c r="DP82" s="2590"/>
      <c r="DQ82" s="2591"/>
      <c r="DS82" s="6617"/>
      <c r="DT82" s="2584"/>
      <c r="DU82" s="2584"/>
      <c r="DV82" s="2584"/>
      <c r="DW82" s="2584"/>
      <c r="DX82" s="2584"/>
      <c r="DY82" s="2584"/>
      <c r="DZ82" s="2584"/>
      <c r="EA82" s="2584"/>
      <c r="EB82" s="2584"/>
      <c r="EC82" s="2584"/>
      <c r="ED82" s="2584"/>
      <c r="EE82" s="2584"/>
      <c r="EF82" s="2584"/>
      <c r="EG82" s="2584"/>
      <c r="EH82" s="2584"/>
      <c r="EI82" s="2584"/>
      <c r="EJ82" s="2584"/>
      <c r="EK82" s="2584"/>
      <c r="EL82" s="2584"/>
      <c r="EM82" s="2584"/>
      <c r="EN82" s="2584"/>
      <c r="EO82" s="2584"/>
      <c r="EP82" s="2584"/>
      <c r="EQ82" s="2584"/>
      <c r="ER82" s="2584"/>
      <c r="ES82" s="2584"/>
      <c r="ET82" s="2584"/>
      <c r="EU82" s="2584"/>
      <c r="EV82" s="2584"/>
      <c r="EW82" s="2584"/>
      <c r="EX82" s="2584"/>
      <c r="EY82" s="2584"/>
      <c r="EZ82" s="2584"/>
      <c r="FA82" s="2584"/>
      <c r="FB82" s="2584"/>
      <c r="FC82" s="2584"/>
      <c r="FD82" s="2584"/>
      <c r="FE82" s="2584"/>
      <c r="FF82" s="2584"/>
      <c r="FG82" s="2584"/>
      <c r="FH82" s="2584"/>
      <c r="FI82" s="2584"/>
      <c r="FJ82" s="2584"/>
      <c r="FK82" s="2584"/>
      <c r="FL82" s="6618"/>
    </row>
    <row r="83" spans="1:168" s="2578" customFormat="1" ht="15" customHeight="1">
      <c r="A83" s="16659"/>
      <c r="B83" s="16540"/>
      <c r="C83" s="5163" t="s">
        <v>8202</v>
      </c>
      <c r="D83" s="2604" t="s">
        <v>1984</v>
      </c>
      <c r="E83" s="2580" t="s">
        <v>1985</v>
      </c>
      <c r="F83" s="5072">
        <v>6</v>
      </c>
      <c r="G83" s="5072" t="s">
        <v>382</v>
      </c>
      <c r="H83" s="5072" t="s">
        <v>1832</v>
      </c>
      <c r="I83" s="5072">
        <v>6</v>
      </c>
      <c r="J83" s="5072">
        <v>6</v>
      </c>
      <c r="K83" s="5072">
        <v>6</v>
      </c>
      <c r="L83" s="5072">
        <v>6</v>
      </c>
      <c r="M83" s="5072">
        <v>6</v>
      </c>
      <c r="N83" s="5072">
        <v>6</v>
      </c>
      <c r="O83" s="5072">
        <v>6</v>
      </c>
      <c r="P83" s="5072">
        <v>6</v>
      </c>
      <c r="Q83" s="5072">
        <v>6</v>
      </c>
      <c r="R83" s="5072">
        <v>6</v>
      </c>
      <c r="S83" s="2581">
        <v>6</v>
      </c>
      <c r="T83" s="5072" t="s">
        <v>1805</v>
      </c>
      <c r="U83" s="5072" t="s">
        <v>86</v>
      </c>
      <c r="V83" s="5072" t="s">
        <v>1986</v>
      </c>
      <c r="W83" s="2964"/>
      <c r="X83" s="5077"/>
      <c r="Y83" s="6650">
        <v>30000000</v>
      </c>
      <c r="Z83" s="2627">
        <v>1</v>
      </c>
      <c r="AA83" s="2651" t="s">
        <v>3646</v>
      </c>
      <c r="AB83" s="2652">
        <v>20192000</v>
      </c>
      <c r="AC83" s="2652">
        <v>20192000</v>
      </c>
      <c r="AD83" s="2629"/>
      <c r="AE83" s="2629"/>
      <c r="AF83" s="2629"/>
      <c r="AG83" s="2621" t="s">
        <v>3647</v>
      </c>
      <c r="AH83" s="2621">
        <v>186</v>
      </c>
      <c r="AI83" s="2621">
        <v>277</v>
      </c>
      <c r="AJ83" s="2621" t="s">
        <v>2891</v>
      </c>
      <c r="AK83" s="2621"/>
      <c r="AL83" s="2621">
        <v>0</v>
      </c>
      <c r="AM83" s="2621">
        <v>120</v>
      </c>
      <c r="AN83" s="2621">
        <v>65</v>
      </c>
      <c r="AO83" s="2621">
        <v>63</v>
      </c>
      <c r="AP83" s="2621">
        <v>82</v>
      </c>
      <c r="AQ83" s="2621">
        <v>81</v>
      </c>
      <c r="AR83" s="2621">
        <v>52</v>
      </c>
      <c r="AS83" s="2621"/>
      <c r="AT83" s="2621"/>
      <c r="AU83" s="2621"/>
      <c r="AV83" s="2621"/>
      <c r="AW83" s="2621">
        <v>78</v>
      </c>
      <c r="AX83" s="2621"/>
      <c r="AY83" s="2621"/>
      <c r="AZ83" s="2621"/>
      <c r="BA83" s="2621">
        <v>445</v>
      </c>
      <c r="BB83" s="2621">
        <v>14</v>
      </c>
      <c r="BC83" s="2621">
        <v>4</v>
      </c>
      <c r="BD83" s="2621"/>
      <c r="BE83" s="2621"/>
      <c r="BF83" s="2621"/>
      <c r="BG83" s="2647"/>
      <c r="BH83" s="2647"/>
      <c r="BI83" s="2647"/>
      <c r="BJ83" s="2647"/>
      <c r="BK83" s="2647"/>
      <c r="BL83" s="2647"/>
      <c r="BM83" s="2647"/>
      <c r="BN83" s="2647"/>
      <c r="BO83" s="2647"/>
      <c r="BP83" s="2647"/>
      <c r="BQ83" s="2647"/>
      <c r="BR83" s="2581">
        <v>30000000</v>
      </c>
      <c r="BS83" s="2639">
        <v>6</v>
      </c>
      <c r="BT83" s="5092">
        <f>BS83/I83</f>
        <v>1</v>
      </c>
      <c r="BU83" s="16685"/>
      <c r="BV83" s="2599" t="s">
        <v>3646</v>
      </c>
      <c r="BW83" s="2653" t="s">
        <v>9351</v>
      </c>
      <c r="BX83" s="2595" t="s">
        <v>9352</v>
      </c>
      <c r="BY83" s="2581">
        <v>30000000</v>
      </c>
      <c r="BZ83" s="2634"/>
      <c r="CA83" s="2603">
        <v>1431</v>
      </c>
      <c r="CB83" s="2603">
        <v>533</v>
      </c>
      <c r="CC83" s="2527">
        <v>878</v>
      </c>
      <c r="CD83" s="2620">
        <v>0</v>
      </c>
      <c r="CE83" s="2620">
        <v>878</v>
      </c>
      <c r="CF83" s="2240">
        <v>0</v>
      </c>
      <c r="CG83" s="2620">
        <v>523</v>
      </c>
      <c r="CH83" s="2248">
        <v>0</v>
      </c>
      <c r="CI83" s="2248">
        <v>355</v>
      </c>
      <c r="CJ83" s="2620">
        <v>0</v>
      </c>
      <c r="CK83" s="2620">
        <v>57</v>
      </c>
      <c r="CL83" s="2620">
        <v>286</v>
      </c>
      <c r="CM83" s="2620">
        <v>212</v>
      </c>
      <c r="CN83" s="2620">
        <v>120</v>
      </c>
      <c r="CO83" s="2620">
        <v>118</v>
      </c>
      <c r="CP83" s="2620">
        <v>85</v>
      </c>
      <c r="CQ83" s="2620">
        <v>0</v>
      </c>
      <c r="CR83" s="2248">
        <v>0</v>
      </c>
      <c r="CS83" s="2620">
        <v>470</v>
      </c>
      <c r="CT83" s="2620">
        <v>23</v>
      </c>
      <c r="CU83" s="2620">
        <v>55</v>
      </c>
      <c r="CV83" s="2620">
        <v>125</v>
      </c>
      <c r="CW83" s="2620">
        <v>205</v>
      </c>
      <c r="CX83" s="2620">
        <v>0</v>
      </c>
      <c r="CY83" s="2620">
        <v>0</v>
      </c>
      <c r="CZ83" s="2620">
        <v>0</v>
      </c>
      <c r="DA83" s="2603">
        <v>0</v>
      </c>
      <c r="DB83" s="2603">
        <v>102</v>
      </c>
      <c r="DC83" s="2603">
        <v>34</v>
      </c>
      <c r="DD83" s="2603">
        <v>3</v>
      </c>
      <c r="DE83" s="2603">
        <v>0</v>
      </c>
      <c r="DF83" s="2603">
        <v>0</v>
      </c>
      <c r="DG83" s="2603"/>
      <c r="DH83" s="2603">
        <v>0</v>
      </c>
      <c r="DI83" s="2634">
        <v>0</v>
      </c>
      <c r="DJ83" s="2590"/>
      <c r="DK83" s="2590"/>
      <c r="DL83" s="2590"/>
      <c r="DM83" s="2590"/>
      <c r="DN83" s="2590"/>
      <c r="DO83" s="2590"/>
      <c r="DP83" s="2590"/>
      <c r="DQ83" s="2591"/>
      <c r="DS83" s="6617"/>
      <c r="DT83" s="2584"/>
      <c r="DU83" s="2584"/>
      <c r="DV83" s="2584"/>
      <c r="DW83" s="2584"/>
      <c r="DX83" s="2584"/>
      <c r="DY83" s="2584"/>
      <c r="DZ83" s="2584"/>
      <c r="EA83" s="2584"/>
      <c r="EB83" s="2584"/>
      <c r="EC83" s="2584"/>
      <c r="ED83" s="2584"/>
      <c r="EE83" s="2584"/>
      <c r="EF83" s="2584"/>
      <c r="EG83" s="2584"/>
      <c r="EH83" s="2584"/>
      <c r="EI83" s="2584"/>
      <c r="EJ83" s="2584"/>
      <c r="EK83" s="2584"/>
      <c r="EL83" s="2584"/>
      <c r="EM83" s="2584"/>
      <c r="EN83" s="2584"/>
      <c r="EO83" s="2584"/>
      <c r="EP83" s="2584"/>
      <c r="EQ83" s="2584"/>
      <c r="ER83" s="2584"/>
      <c r="ES83" s="2584"/>
      <c r="ET83" s="2584"/>
      <c r="EU83" s="2584"/>
      <c r="EV83" s="2584"/>
      <c r="EW83" s="2584"/>
      <c r="EX83" s="2584"/>
      <c r="EY83" s="2584"/>
      <c r="EZ83" s="2584"/>
      <c r="FA83" s="2584"/>
      <c r="FB83" s="2584"/>
      <c r="FC83" s="2584"/>
      <c r="FD83" s="2584"/>
      <c r="FE83" s="2584"/>
      <c r="FF83" s="2584"/>
      <c r="FG83" s="2584"/>
      <c r="FH83" s="2584"/>
      <c r="FI83" s="2584"/>
      <c r="FJ83" s="2584"/>
      <c r="FK83" s="2584"/>
      <c r="FL83" s="6618"/>
    </row>
    <row r="84" spans="1:168" s="2578" customFormat="1" ht="15" customHeight="1">
      <c r="A84" s="16659"/>
      <c r="B84" s="16540"/>
      <c r="C84" s="5163" t="s">
        <v>8203</v>
      </c>
      <c r="D84" s="2604" t="s">
        <v>1987</v>
      </c>
      <c r="E84" s="2616" t="s">
        <v>1988</v>
      </c>
      <c r="F84" s="5072">
        <v>10</v>
      </c>
      <c r="G84" s="5072" t="s">
        <v>382</v>
      </c>
      <c r="H84" s="5072" t="s">
        <v>1832</v>
      </c>
      <c r="I84" s="5072">
        <v>10</v>
      </c>
      <c r="J84" s="5072">
        <v>10</v>
      </c>
      <c r="K84" s="5072">
        <v>10</v>
      </c>
      <c r="L84" s="5072">
        <v>10</v>
      </c>
      <c r="M84" s="5072">
        <v>10</v>
      </c>
      <c r="N84" s="5072">
        <v>10</v>
      </c>
      <c r="O84" s="5072">
        <v>10</v>
      </c>
      <c r="P84" s="5072">
        <v>10</v>
      </c>
      <c r="Q84" s="5072">
        <v>10</v>
      </c>
      <c r="R84" s="5072">
        <v>10</v>
      </c>
      <c r="S84" s="2581">
        <v>10</v>
      </c>
      <c r="T84" s="5072" t="s">
        <v>1805</v>
      </c>
      <c r="U84" s="5072" t="s">
        <v>86</v>
      </c>
      <c r="V84" s="5072" t="s">
        <v>1986</v>
      </c>
      <c r="W84" s="2964"/>
      <c r="X84" s="5077"/>
      <c r="Y84" s="6645">
        <v>40000000</v>
      </c>
      <c r="Z84" s="2627">
        <v>1</v>
      </c>
      <c r="AA84" s="2654" t="s">
        <v>3648</v>
      </c>
      <c r="AB84" s="2603">
        <v>40000000</v>
      </c>
      <c r="AC84" s="2603">
        <v>40000000</v>
      </c>
      <c r="AD84" s="2629"/>
      <c r="AE84" s="2629"/>
      <c r="AF84" s="2629"/>
      <c r="AG84" s="2621" t="s">
        <v>3649</v>
      </c>
      <c r="AH84" s="2621">
        <v>104</v>
      </c>
      <c r="AI84" s="2621">
        <v>215</v>
      </c>
      <c r="AJ84" s="2621">
        <v>218</v>
      </c>
      <c r="AK84" s="2621">
        <v>101</v>
      </c>
      <c r="AL84" s="2621">
        <v>18</v>
      </c>
      <c r="AM84" s="2621">
        <v>39</v>
      </c>
      <c r="AN84" s="2621">
        <v>24</v>
      </c>
      <c r="AO84" s="2621">
        <v>50</v>
      </c>
      <c r="AP84" s="2621">
        <v>46</v>
      </c>
      <c r="AQ84" s="2621">
        <v>82</v>
      </c>
      <c r="AR84" s="2621">
        <v>59</v>
      </c>
      <c r="AS84" s="2621">
        <v>271</v>
      </c>
      <c r="AT84" s="2621">
        <v>6</v>
      </c>
      <c r="AU84" s="2621">
        <v>18</v>
      </c>
      <c r="AV84" s="2621">
        <v>1</v>
      </c>
      <c r="AW84" s="2621">
        <v>23</v>
      </c>
      <c r="AX84" s="2621"/>
      <c r="AY84" s="2621"/>
      <c r="AZ84" s="2621"/>
      <c r="BA84" s="2621">
        <v>308</v>
      </c>
      <c r="BB84" s="2621">
        <v>8</v>
      </c>
      <c r="BC84" s="2621">
        <v>3</v>
      </c>
      <c r="BD84" s="2621"/>
      <c r="BE84" s="2621"/>
      <c r="BF84" s="2621"/>
      <c r="BG84" s="2647"/>
      <c r="BH84" s="2647"/>
      <c r="BI84" s="2647"/>
      <c r="BJ84" s="2647"/>
      <c r="BK84" s="2647"/>
      <c r="BL84" s="2647"/>
      <c r="BM84" s="2647"/>
      <c r="BN84" s="2647"/>
      <c r="BO84" s="2647"/>
      <c r="BP84" s="2647"/>
      <c r="BQ84" s="2647"/>
      <c r="BR84" s="2581">
        <v>40000000</v>
      </c>
      <c r="BS84" s="2639">
        <v>10</v>
      </c>
      <c r="BT84" s="5092">
        <f>BS84/I84</f>
        <v>1</v>
      </c>
      <c r="BU84" s="16685"/>
      <c r="BV84" s="2654" t="s">
        <v>9353</v>
      </c>
      <c r="BW84" s="2599" t="s">
        <v>9354</v>
      </c>
      <c r="BX84" s="2595" t="s">
        <v>9355</v>
      </c>
      <c r="BY84" s="2581">
        <v>40000000</v>
      </c>
      <c r="BZ84" s="2634"/>
      <c r="CA84" s="2603">
        <v>218</v>
      </c>
      <c r="CB84" s="2603">
        <v>66</v>
      </c>
      <c r="CC84" s="2527">
        <v>152</v>
      </c>
      <c r="CD84" s="2620">
        <v>0</v>
      </c>
      <c r="CE84" s="2620">
        <v>141</v>
      </c>
      <c r="CF84" s="2655">
        <v>11</v>
      </c>
      <c r="CG84" s="2620">
        <v>77</v>
      </c>
      <c r="CH84" s="2248">
        <v>0</v>
      </c>
      <c r="CI84" s="2248">
        <v>75</v>
      </c>
      <c r="CJ84" s="2620">
        <v>0</v>
      </c>
      <c r="CK84" s="2620">
        <v>7</v>
      </c>
      <c r="CL84" s="2620">
        <v>11</v>
      </c>
      <c r="CM84" s="2620">
        <v>30</v>
      </c>
      <c r="CN84" s="2620">
        <v>22</v>
      </c>
      <c r="CO84" s="2620">
        <v>45</v>
      </c>
      <c r="CP84" s="2620">
        <v>37</v>
      </c>
      <c r="CQ84" s="2620">
        <v>0</v>
      </c>
      <c r="CR84" s="2248">
        <v>0</v>
      </c>
      <c r="CS84" s="2620">
        <v>100</v>
      </c>
      <c r="CT84" s="2620">
        <v>7</v>
      </c>
      <c r="CU84" s="2620">
        <v>15</v>
      </c>
      <c r="CV84" s="2620">
        <v>3</v>
      </c>
      <c r="CW84" s="2620">
        <v>27</v>
      </c>
      <c r="CX84" s="2620">
        <v>0</v>
      </c>
      <c r="CY84" s="2620">
        <v>0</v>
      </c>
      <c r="CZ84" s="2620">
        <v>0</v>
      </c>
      <c r="DA84" s="2603">
        <v>0</v>
      </c>
      <c r="DB84" s="2603">
        <v>200</v>
      </c>
      <c r="DC84" s="2603">
        <v>18</v>
      </c>
      <c r="DD84" s="2603">
        <v>0</v>
      </c>
      <c r="DE84" s="2603">
        <v>0</v>
      </c>
      <c r="DF84" s="2603">
        <v>0</v>
      </c>
      <c r="DG84" s="2603"/>
      <c r="DH84" s="2603">
        <v>0</v>
      </c>
      <c r="DI84" s="2634">
        <v>0</v>
      </c>
      <c r="DJ84" s="2590"/>
      <c r="DK84" s="2590"/>
      <c r="DL84" s="2590"/>
      <c r="DM84" s="2590"/>
      <c r="DN84" s="2590"/>
      <c r="DO84" s="2590"/>
      <c r="DP84" s="2590"/>
      <c r="DQ84" s="2591"/>
      <c r="DS84" s="6617"/>
      <c r="DT84" s="2584"/>
      <c r="DU84" s="2584"/>
      <c r="DV84" s="2584"/>
      <c r="DW84" s="2584"/>
      <c r="DX84" s="2584"/>
      <c r="DY84" s="2584"/>
      <c r="DZ84" s="2584"/>
      <c r="EA84" s="2584"/>
      <c r="EB84" s="2584"/>
      <c r="EC84" s="2584"/>
      <c r="ED84" s="2584"/>
      <c r="EE84" s="2584"/>
      <c r="EF84" s="2584"/>
      <c r="EG84" s="2584"/>
      <c r="EH84" s="2584"/>
      <c r="EI84" s="2584"/>
      <c r="EJ84" s="2584"/>
      <c r="EK84" s="2584"/>
      <c r="EL84" s="2584"/>
      <c r="EM84" s="2584"/>
      <c r="EN84" s="2584"/>
      <c r="EO84" s="2584"/>
      <c r="EP84" s="2584"/>
      <c r="EQ84" s="2584"/>
      <c r="ER84" s="2584"/>
      <c r="ES84" s="2584"/>
      <c r="ET84" s="2584"/>
      <c r="EU84" s="2584"/>
      <c r="EV84" s="2584"/>
      <c r="EW84" s="2584"/>
      <c r="EX84" s="2584"/>
      <c r="EY84" s="2584"/>
      <c r="EZ84" s="2584"/>
      <c r="FA84" s="2584"/>
      <c r="FB84" s="2584"/>
      <c r="FC84" s="2584"/>
      <c r="FD84" s="2584"/>
      <c r="FE84" s="2584"/>
      <c r="FF84" s="2584"/>
      <c r="FG84" s="2584"/>
      <c r="FH84" s="2584"/>
      <c r="FI84" s="2584"/>
      <c r="FJ84" s="2584"/>
      <c r="FK84" s="2584"/>
      <c r="FL84" s="6618"/>
    </row>
    <row r="85" spans="1:168" s="2578" customFormat="1" ht="15" customHeight="1">
      <c r="A85" s="16659"/>
      <c r="B85" s="16540"/>
      <c r="C85" s="5163" t="s">
        <v>8204</v>
      </c>
      <c r="D85" s="2604" t="s">
        <v>1989</v>
      </c>
      <c r="E85" s="2616" t="s">
        <v>1990</v>
      </c>
      <c r="F85" s="5072">
        <v>10</v>
      </c>
      <c r="G85" s="5072" t="s">
        <v>382</v>
      </c>
      <c r="H85" s="5072" t="s">
        <v>1832</v>
      </c>
      <c r="I85" s="5072">
        <v>10</v>
      </c>
      <c r="J85" s="5072">
        <v>10</v>
      </c>
      <c r="K85" s="5072">
        <v>10</v>
      </c>
      <c r="L85" s="5072">
        <v>10</v>
      </c>
      <c r="M85" s="5072">
        <v>10</v>
      </c>
      <c r="N85" s="5072">
        <v>10</v>
      </c>
      <c r="O85" s="5072">
        <v>10</v>
      </c>
      <c r="P85" s="5072">
        <v>10</v>
      </c>
      <c r="Q85" s="5072">
        <v>10</v>
      </c>
      <c r="R85" s="5072">
        <v>10</v>
      </c>
      <c r="S85" s="2581">
        <v>10</v>
      </c>
      <c r="T85" s="5072" t="s">
        <v>1805</v>
      </c>
      <c r="U85" s="5072" t="s">
        <v>86</v>
      </c>
      <c r="V85" s="5072" t="s">
        <v>1986</v>
      </c>
      <c r="W85" s="2964"/>
      <c r="X85" s="5077"/>
      <c r="Y85" s="6650">
        <v>24000000</v>
      </c>
      <c r="Z85" s="2627">
        <v>1</v>
      </c>
      <c r="AA85" s="2656" t="s">
        <v>3650</v>
      </c>
      <c r="AB85" s="2603">
        <v>3000000</v>
      </c>
      <c r="AC85" s="2603">
        <v>3000000</v>
      </c>
      <c r="AD85" s="2629"/>
      <c r="AE85" s="2621"/>
      <c r="AF85" s="2613"/>
      <c r="AG85" s="5072" t="s">
        <v>3651</v>
      </c>
      <c r="AH85" s="2615"/>
      <c r="AI85" s="2615"/>
      <c r="AJ85" s="2621" t="s">
        <v>2891</v>
      </c>
      <c r="AK85" s="2615"/>
      <c r="AL85" s="2615"/>
      <c r="AM85" s="2621" t="s">
        <v>2891</v>
      </c>
      <c r="AN85" s="2615"/>
      <c r="AO85" s="2615"/>
      <c r="AP85" s="2615"/>
      <c r="AQ85" s="2615"/>
      <c r="AR85" s="2615"/>
      <c r="AS85" s="2615"/>
      <c r="AT85" s="2615"/>
      <c r="AU85" s="2615"/>
      <c r="AV85" s="2615"/>
      <c r="AW85" s="2615"/>
      <c r="AX85" s="2615"/>
      <c r="AY85" s="2615"/>
      <c r="AZ85" s="2615"/>
      <c r="BA85" s="2615"/>
      <c r="BB85" s="2615"/>
      <c r="BC85" s="2615"/>
      <c r="BD85" s="2615"/>
      <c r="BE85" s="2615"/>
      <c r="BF85" s="2615"/>
      <c r="BG85" s="2647"/>
      <c r="BH85" s="2647"/>
      <c r="BI85" s="2647"/>
      <c r="BJ85" s="2647"/>
      <c r="BK85" s="2647"/>
      <c r="BL85" s="2647"/>
      <c r="BM85" s="2647"/>
      <c r="BN85" s="2647"/>
      <c r="BO85" s="2647"/>
      <c r="BP85" s="2647"/>
      <c r="BQ85" s="2647"/>
      <c r="BR85" s="2581">
        <v>40681059</v>
      </c>
      <c r="BS85" s="2639">
        <v>9</v>
      </c>
      <c r="BT85" s="5092">
        <f>BS85/I85</f>
        <v>0.9</v>
      </c>
      <c r="BU85" s="16685"/>
      <c r="BV85" s="5072" t="s">
        <v>9356</v>
      </c>
      <c r="BW85" s="5070" t="s">
        <v>4102</v>
      </c>
      <c r="BX85" s="2595" t="s">
        <v>9357</v>
      </c>
      <c r="BY85" s="2581">
        <v>40681059</v>
      </c>
      <c r="BZ85" s="2603"/>
      <c r="CA85" s="2581">
        <v>54</v>
      </c>
      <c r="CB85" s="2603">
        <v>21</v>
      </c>
      <c r="CC85" s="2527">
        <v>33</v>
      </c>
      <c r="CD85" s="2248">
        <v>0</v>
      </c>
      <c r="CE85" s="2620">
        <v>33</v>
      </c>
      <c r="CF85" s="2655">
        <v>0</v>
      </c>
      <c r="CG85" s="2620">
        <v>3</v>
      </c>
      <c r="CH85" s="2248">
        <v>0</v>
      </c>
      <c r="CI85" s="2248">
        <v>30</v>
      </c>
      <c r="CJ85" s="2620">
        <v>0</v>
      </c>
      <c r="CK85" s="2620">
        <v>0</v>
      </c>
      <c r="CL85" s="2620">
        <v>1</v>
      </c>
      <c r="CM85" s="2620">
        <v>7</v>
      </c>
      <c r="CN85" s="2620">
        <v>8</v>
      </c>
      <c r="CO85" s="2620">
        <v>5</v>
      </c>
      <c r="CP85" s="2620">
        <v>12</v>
      </c>
      <c r="CQ85" s="2620">
        <v>0</v>
      </c>
      <c r="CR85" s="2248">
        <v>10</v>
      </c>
      <c r="CS85" s="2620">
        <v>18</v>
      </c>
      <c r="CT85" s="2620">
        <v>2</v>
      </c>
      <c r="CU85" s="2620">
        <v>0</v>
      </c>
      <c r="CV85" s="2620">
        <v>1</v>
      </c>
      <c r="CW85" s="2620">
        <v>2</v>
      </c>
      <c r="CX85" s="2620">
        <v>0</v>
      </c>
      <c r="CY85" s="2620">
        <v>0</v>
      </c>
      <c r="CZ85" s="2620">
        <v>0</v>
      </c>
      <c r="DA85" s="2603">
        <v>0</v>
      </c>
      <c r="DB85" s="2603">
        <v>54</v>
      </c>
      <c r="DC85" s="2603">
        <v>0</v>
      </c>
      <c r="DD85" s="2603">
        <v>0</v>
      </c>
      <c r="DE85" s="2603">
        <v>0</v>
      </c>
      <c r="DF85" s="2603">
        <v>0</v>
      </c>
      <c r="DG85" s="2603"/>
      <c r="DH85" s="2603">
        <v>0</v>
      </c>
      <c r="DI85" s="2634">
        <v>0</v>
      </c>
      <c r="DJ85" s="2589"/>
      <c r="DK85" s="2589"/>
      <c r="DL85" s="2589"/>
      <c r="DM85" s="2634"/>
      <c r="DN85" s="2634"/>
      <c r="DO85" s="2589"/>
      <c r="DP85" s="2589"/>
      <c r="DQ85" s="2657"/>
      <c r="DS85" s="6617"/>
      <c r="DT85" s="2584"/>
      <c r="DU85" s="2584"/>
      <c r="DV85" s="2584"/>
      <c r="DW85" s="2584"/>
      <c r="DX85" s="2584"/>
      <c r="DY85" s="2584"/>
      <c r="DZ85" s="2584"/>
      <c r="EA85" s="2584"/>
      <c r="EB85" s="2584"/>
      <c r="EC85" s="2584"/>
      <c r="ED85" s="2584"/>
      <c r="EE85" s="2584"/>
      <c r="EF85" s="2584"/>
      <c r="EG85" s="2584"/>
      <c r="EH85" s="2584"/>
      <c r="EI85" s="2584"/>
      <c r="EJ85" s="2584"/>
      <c r="EK85" s="2584"/>
      <c r="EL85" s="2584"/>
      <c r="EM85" s="2584"/>
      <c r="EN85" s="2584"/>
      <c r="EO85" s="2584"/>
      <c r="EP85" s="2584"/>
      <c r="EQ85" s="2584"/>
      <c r="ER85" s="2584"/>
      <c r="ES85" s="2584"/>
      <c r="ET85" s="2584"/>
      <c r="EU85" s="2584"/>
      <c r="EV85" s="2584"/>
      <c r="EW85" s="2584"/>
      <c r="EX85" s="2584"/>
      <c r="EY85" s="2584"/>
      <c r="EZ85" s="2584"/>
      <c r="FA85" s="2584"/>
      <c r="FB85" s="2584"/>
      <c r="FC85" s="2584"/>
      <c r="FD85" s="2584"/>
      <c r="FE85" s="2584"/>
      <c r="FF85" s="2584"/>
      <c r="FG85" s="2584"/>
      <c r="FH85" s="2584"/>
      <c r="FI85" s="2584"/>
      <c r="FJ85" s="2584"/>
      <c r="FK85" s="2584"/>
      <c r="FL85" s="6618"/>
    </row>
    <row r="86" spans="1:168" s="2578" customFormat="1" ht="15" customHeight="1">
      <c r="A86" s="16659"/>
      <c r="B86" s="16540"/>
      <c r="C86" s="5163" t="s">
        <v>8205</v>
      </c>
      <c r="D86" s="2604" t="s">
        <v>1991</v>
      </c>
      <c r="E86" s="2616" t="s">
        <v>1992</v>
      </c>
      <c r="F86" s="5072">
        <v>6</v>
      </c>
      <c r="G86" s="5072" t="s">
        <v>382</v>
      </c>
      <c r="H86" s="5072" t="s">
        <v>1832</v>
      </c>
      <c r="I86" s="5072">
        <v>6</v>
      </c>
      <c r="J86" s="5072">
        <v>6</v>
      </c>
      <c r="K86" s="5072">
        <v>6</v>
      </c>
      <c r="L86" s="5072">
        <v>6</v>
      </c>
      <c r="M86" s="5072">
        <v>6</v>
      </c>
      <c r="N86" s="5072">
        <v>6</v>
      </c>
      <c r="O86" s="5072">
        <v>6</v>
      </c>
      <c r="P86" s="5072">
        <v>6</v>
      </c>
      <c r="Q86" s="5072">
        <v>6</v>
      </c>
      <c r="R86" s="5072">
        <v>6</v>
      </c>
      <c r="S86" s="2581">
        <v>6</v>
      </c>
      <c r="T86" s="5072" t="s">
        <v>1805</v>
      </c>
      <c r="U86" s="5072" t="s">
        <v>86</v>
      </c>
      <c r="V86" s="5072" t="s">
        <v>1986</v>
      </c>
      <c r="W86" s="2964"/>
      <c r="X86" s="5077"/>
      <c r="Y86" s="6650">
        <v>72000000</v>
      </c>
      <c r="Z86" s="2627">
        <v>1</v>
      </c>
      <c r="AA86" s="2658" t="s">
        <v>3652</v>
      </c>
      <c r="AB86" s="2603">
        <v>900000</v>
      </c>
      <c r="AC86" s="2659">
        <v>900000</v>
      </c>
      <c r="AD86" s="2629"/>
      <c r="AE86" s="2621"/>
      <c r="AF86" s="2613"/>
      <c r="AG86" s="5072" t="s">
        <v>3653</v>
      </c>
      <c r="AH86" s="2615"/>
      <c r="AI86" s="2615"/>
      <c r="AJ86" s="2621" t="s">
        <v>2891</v>
      </c>
      <c r="AK86" s="2615"/>
      <c r="AL86" s="2615"/>
      <c r="AM86" s="2615"/>
      <c r="AN86" s="2615"/>
      <c r="AO86" s="2615"/>
      <c r="AP86" s="2615"/>
      <c r="AQ86" s="2615"/>
      <c r="AR86" s="2615"/>
      <c r="AS86" s="2615"/>
      <c r="AT86" s="2615"/>
      <c r="AU86" s="2615"/>
      <c r="AV86" s="2615"/>
      <c r="AW86" s="2615"/>
      <c r="AX86" s="2615"/>
      <c r="AY86" s="2615"/>
      <c r="AZ86" s="2615"/>
      <c r="BA86" s="2615"/>
      <c r="BB86" s="2615"/>
      <c r="BC86" s="2615"/>
      <c r="BD86" s="2615"/>
      <c r="BE86" s="2615"/>
      <c r="BF86" s="2615"/>
      <c r="BG86" s="2647"/>
      <c r="BH86" s="2647"/>
      <c r="BI86" s="2647"/>
      <c r="BJ86" s="2647"/>
      <c r="BK86" s="2647"/>
      <c r="BL86" s="2647"/>
      <c r="BM86" s="2647"/>
      <c r="BN86" s="2647"/>
      <c r="BO86" s="2647"/>
      <c r="BP86" s="2647"/>
      <c r="BQ86" s="2647"/>
      <c r="BR86" s="2581">
        <v>61021589</v>
      </c>
      <c r="BS86" s="2639">
        <v>6</v>
      </c>
      <c r="BT86" s="5092">
        <f>BS86/I86</f>
        <v>1</v>
      </c>
      <c r="BU86" s="16685"/>
      <c r="BV86" s="5072" t="s">
        <v>9358</v>
      </c>
      <c r="BW86" s="2599" t="s">
        <v>9359</v>
      </c>
      <c r="BX86" s="2595" t="s">
        <v>9360</v>
      </c>
      <c r="BY86" s="2581">
        <v>61021589</v>
      </c>
      <c r="BZ86" s="2603"/>
      <c r="CA86" s="2603" t="s">
        <v>1732</v>
      </c>
      <c r="CB86" s="2603">
        <v>22850</v>
      </c>
      <c r="CC86" s="2527">
        <v>20572</v>
      </c>
      <c r="CD86" s="2248">
        <v>0</v>
      </c>
      <c r="CE86" s="2620">
        <v>14721</v>
      </c>
      <c r="CF86" s="2655">
        <v>5851</v>
      </c>
      <c r="CG86" s="2620">
        <v>18500</v>
      </c>
      <c r="CH86" s="2620">
        <v>2072</v>
      </c>
      <c r="CI86" s="2248">
        <v>0</v>
      </c>
      <c r="CJ86" s="2620">
        <v>0</v>
      </c>
      <c r="CK86" s="2620">
        <v>0</v>
      </c>
      <c r="CL86" s="2620">
        <v>3265</v>
      </c>
      <c r="CM86" s="2620">
        <v>7345</v>
      </c>
      <c r="CN86" s="2248">
        <v>4520</v>
      </c>
      <c r="CO86" s="2620">
        <v>0</v>
      </c>
      <c r="CP86" s="2620">
        <v>5442</v>
      </c>
      <c r="CQ86" s="2620">
        <v>0</v>
      </c>
      <c r="CR86" s="2620">
        <v>0</v>
      </c>
      <c r="CS86" s="2620">
        <v>0</v>
      </c>
      <c r="CT86" s="2620">
        <v>0</v>
      </c>
      <c r="CU86" s="2620">
        <v>0</v>
      </c>
      <c r="CV86" s="2620">
        <v>0</v>
      </c>
      <c r="CW86" s="2620">
        <v>0</v>
      </c>
      <c r="CX86" s="2620">
        <v>0</v>
      </c>
      <c r="CY86" s="2620">
        <v>0</v>
      </c>
      <c r="CZ86" s="2620">
        <v>20572</v>
      </c>
      <c r="DA86" s="2603">
        <v>0</v>
      </c>
      <c r="DB86" s="2603">
        <v>0</v>
      </c>
      <c r="DC86" s="2603">
        <v>0</v>
      </c>
      <c r="DD86" s="2603">
        <v>0</v>
      </c>
      <c r="DE86" s="2634">
        <v>0</v>
      </c>
      <c r="DF86" s="2634" t="s">
        <v>9362</v>
      </c>
      <c r="DG86" s="2634"/>
      <c r="DH86" s="2634" t="s">
        <v>9362</v>
      </c>
      <c r="DI86" s="2634" t="s">
        <v>9362</v>
      </c>
      <c r="DJ86" s="2589"/>
      <c r="DK86" s="2589"/>
      <c r="DL86" s="2589"/>
      <c r="DM86" s="2589"/>
      <c r="DN86" s="2589"/>
      <c r="DO86" s="2589"/>
      <c r="DP86" s="2589"/>
      <c r="DQ86" s="2657"/>
      <c r="DS86" s="6617"/>
      <c r="DT86" s="2584"/>
      <c r="DU86" s="2584"/>
      <c r="DV86" s="2584"/>
      <c r="DW86" s="2584"/>
      <c r="DX86" s="2584"/>
      <c r="DY86" s="2584"/>
      <c r="DZ86" s="2584"/>
      <c r="EA86" s="2584"/>
      <c r="EB86" s="2584"/>
      <c r="EC86" s="2584"/>
      <c r="ED86" s="2584"/>
      <c r="EE86" s="2584"/>
      <c r="EF86" s="2584"/>
      <c r="EG86" s="2584"/>
      <c r="EH86" s="2584"/>
      <c r="EI86" s="2584"/>
      <c r="EJ86" s="2584"/>
      <c r="EK86" s="2584"/>
      <c r="EL86" s="2584"/>
      <c r="EM86" s="2584"/>
      <c r="EN86" s="2584"/>
      <c r="EO86" s="2584"/>
      <c r="EP86" s="2584"/>
      <c r="EQ86" s="2584"/>
      <c r="ER86" s="2584"/>
      <c r="ES86" s="2584"/>
      <c r="ET86" s="2584"/>
      <c r="EU86" s="2584"/>
      <c r="EV86" s="2584"/>
      <c r="EW86" s="2584"/>
      <c r="EX86" s="2584"/>
      <c r="EY86" s="2584"/>
      <c r="EZ86" s="2584"/>
      <c r="FA86" s="2584"/>
      <c r="FB86" s="2584"/>
      <c r="FC86" s="2584"/>
      <c r="FD86" s="2584"/>
      <c r="FE86" s="2584"/>
      <c r="FF86" s="2584"/>
      <c r="FG86" s="2584"/>
      <c r="FH86" s="2584"/>
      <c r="FI86" s="2584"/>
      <c r="FJ86" s="2584"/>
      <c r="FK86" s="2584"/>
      <c r="FL86" s="6618"/>
    </row>
    <row r="87" spans="1:168" s="2578" customFormat="1" ht="15" customHeight="1" thickBot="1">
      <c r="A87" s="16660"/>
      <c r="B87" s="16662"/>
      <c r="C87" s="5164" t="s">
        <v>8206</v>
      </c>
      <c r="D87" s="2136" t="s">
        <v>1993</v>
      </c>
      <c r="E87" s="2137" t="s">
        <v>1994</v>
      </c>
      <c r="F87" s="5073">
        <v>5</v>
      </c>
      <c r="G87" s="5073" t="s">
        <v>382</v>
      </c>
      <c r="H87" s="5073" t="s">
        <v>1832</v>
      </c>
      <c r="I87" s="5073">
        <v>5</v>
      </c>
      <c r="J87" s="5073">
        <v>5</v>
      </c>
      <c r="K87" s="5073">
        <v>5</v>
      </c>
      <c r="L87" s="5073">
        <v>5</v>
      </c>
      <c r="M87" s="5073">
        <v>5</v>
      </c>
      <c r="N87" s="5073">
        <v>5</v>
      </c>
      <c r="O87" s="5073">
        <v>5</v>
      </c>
      <c r="P87" s="5073">
        <v>5</v>
      </c>
      <c r="Q87" s="5073">
        <v>5</v>
      </c>
      <c r="R87" s="5073">
        <v>5</v>
      </c>
      <c r="S87" s="2139">
        <v>5</v>
      </c>
      <c r="T87" s="5073" t="s">
        <v>1805</v>
      </c>
      <c r="U87" s="5073" t="s">
        <v>86</v>
      </c>
      <c r="V87" s="5073" t="s">
        <v>1986</v>
      </c>
      <c r="W87" s="6723"/>
      <c r="X87" s="5078"/>
      <c r="Y87" s="6666">
        <v>40000000</v>
      </c>
      <c r="Z87" s="2140">
        <v>1</v>
      </c>
      <c r="AA87" s="2141" t="s">
        <v>3654</v>
      </c>
      <c r="AB87" s="2142">
        <v>20192000</v>
      </c>
      <c r="AC87" s="2142">
        <v>20192000</v>
      </c>
      <c r="AD87" s="2143"/>
      <c r="AE87" s="2143"/>
      <c r="AF87" s="2143"/>
      <c r="AG87" s="2144" t="s">
        <v>3655</v>
      </c>
      <c r="AH87" s="2144">
        <v>127</v>
      </c>
      <c r="AI87" s="2144">
        <v>299</v>
      </c>
      <c r="AJ87" s="2144" t="s">
        <v>2891</v>
      </c>
      <c r="AK87" s="2144"/>
      <c r="AL87" s="2144">
        <v>0</v>
      </c>
      <c r="AM87" s="2144">
        <v>54</v>
      </c>
      <c r="AN87" s="2144">
        <v>48</v>
      </c>
      <c r="AO87" s="2144">
        <v>55</v>
      </c>
      <c r="AP87" s="2144">
        <v>65</v>
      </c>
      <c r="AQ87" s="2144">
        <v>71</v>
      </c>
      <c r="AR87" s="2144">
        <v>63</v>
      </c>
      <c r="AS87" s="2144"/>
      <c r="AT87" s="2144"/>
      <c r="AU87" s="2144"/>
      <c r="AV87" s="2144"/>
      <c r="AW87" s="2144">
        <v>58</v>
      </c>
      <c r="AX87" s="2144"/>
      <c r="AY87" s="2144"/>
      <c r="AZ87" s="2144"/>
      <c r="BA87" s="2144">
        <v>345</v>
      </c>
      <c r="BB87" s="2144">
        <v>9</v>
      </c>
      <c r="BC87" s="2144">
        <v>2</v>
      </c>
      <c r="BD87" s="2144"/>
      <c r="BE87" s="2144"/>
      <c r="BF87" s="2144"/>
      <c r="BG87" s="6667"/>
      <c r="BH87" s="6667"/>
      <c r="BI87" s="6667"/>
      <c r="BJ87" s="6667"/>
      <c r="BK87" s="6667"/>
      <c r="BL87" s="6667"/>
      <c r="BM87" s="6667"/>
      <c r="BN87" s="6667"/>
      <c r="BO87" s="6667"/>
      <c r="BP87" s="6667"/>
      <c r="BQ87" s="6667"/>
      <c r="BR87" s="2139">
        <v>30000000</v>
      </c>
      <c r="BS87" s="5073">
        <v>5</v>
      </c>
      <c r="BT87" s="5093">
        <f>BS87/I87</f>
        <v>1</v>
      </c>
      <c r="BU87" s="16686"/>
      <c r="BV87" s="2660" t="s">
        <v>3654</v>
      </c>
      <c r="BW87" s="2661" t="s">
        <v>9351</v>
      </c>
      <c r="BX87" s="2660" t="s">
        <v>9361</v>
      </c>
      <c r="BY87" s="2139">
        <v>30000000</v>
      </c>
      <c r="BZ87" s="2662"/>
      <c r="CA87" s="2145">
        <v>324</v>
      </c>
      <c r="CB87" s="2145">
        <v>158</v>
      </c>
      <c r="CC87" s="2571">
        <v>166</v>
      </c>
      <c r="CD87" s="2663">
        <v>0</v>
      </c>
      <c r="CE87" s="2663">
        <v>166</v>
      </c>
      <c r="CF87" s="2663">
        <v>0</v>
      </c>
      <c r="CG87" s="2663">
        <v>146</v>
      </c>
      <c r="CH87" s="2664">
        <v>0</v>
      </c>
      <c r="CI87" s="2664">
        <v>20</v>
      </c>
      <c r="CJ87" s="2663">
        <v>0</v>
      </c>
      <c r="CK87" s="2663">
        <v>0</v>
      </c>
      <c r="CL87" s="2663">
        <v>34</v>
      </c>
      <c r="CM87" s="2663">
        <v>31</v>
      </c>
      <c r="CN87" s="2663">
        <v>85</v>
      </c>
      <c r="CO87" s="2663">
        <v>16</v>
      </c>
      <c r="CP87" s="2663">
        <v>0</v>
      </c>
      <c r="CQ87" s="2663">
        <v>0</v>
      </c>
      <c r="CR87" s="2663">
        <v>0</v>
      </c>
      <c r="CS87" s="2664">
        <v>9</v>
      </c>
      <c r="CT87" s="2663">
        <v>32</v>
      </c>
      <c r="CU87" s="2663">
        <v>70</v>
      </c>
      <c r="CV87" s="2663">
        <v>25</v>
      </c>
      <c r="CW87" s="2663">
        <v>30</v>
      </c>
      <c r="CX87" s="2663">
        <v>0</v>
      </c>
      <c r="CY87" s="2663">
        <v>0</v>
      </c>
      <c r="CZ87" s="2663">
        <v>0</v>
      </c>
      <c r="DA87" s="2145">
        <v>0</v>
      </c>
      <c r="DB87" s="2145">
        <v>0</v>
      </c>
      <c r="DC87" s="2145">
        <v>87</v>
      </c>
      <c r="DD87" s="2145">
        <v>11</v>
      </c>
      <c r="DE87" s="2145">
        <v>3</v>
      </c>
      <c r="DF87" s="2145">
        <v>0</v>
      </c>
      <c r="DG87" s="2145"/>
      <c r="DH87" s="2145">
        <v>0</v>
      </c>
      <c r="DI87" s="2145">
        <v>0</v>
      </c>
      <c r="DJ87" s="2662"/>
      <c r="DK87" s="2665"/>
      <c r="DL87" s="2665"/>
      <c r="DM87" s="2665"/>
      <c r="DN87" s="2665"/>
      <c r="DO87" s="2665"/>
      <c r="DP87" s="2665"/>
      <c r="DQ87" s="2666"/>
      <c r="DS87" s="6619"/>
      <c r="DT87" s="6620"/>
      <c r="DU87" s="6620"/>
      <c r="DV87" s="6620"/>
      <c r="DW87" s="6620"/>
      <c r="DX87" s="6620"/>
      <c r="DY87" s="6620"/>
      <c r="DZ87" s="6620"/>
      <c r="EA87" s="6620"/>
      <c r="EB87" s="6620"/>
      <c r="EC87" s="6620"/>
      <c r="ED87" s="6620"/>
      <c r="EE87" s="6620"/>
      <c r="EF87" s="6620"/>
      <c r="EG87" s="6620"/>
      <c r="EH87" s="6620"/>
      <c r="EI87" s="6620"/>
      <c r="EJ87" s="6620"/>
      <c r="EK87" s="6620"/>
      <c r="EL87" s="6620"/>
      <c r="EM87" s="6620"/>
      <c r="EN87" s="6620"/>
      <c r="EO87" s="6620"/>
      <c r="EP87" s="6620"/>
      <c r="EQ87" s="6620"/>
      <c r="ER87" s="6620"/>
      <c r="ES87" s="6620"/>
      <c r="ET87" s="6620"/>
      <c r="EU87" s="6620"/>
      <c r="EV87" s="6620"/>
      <c r="EW87" s="6620"/>
      <c r="EX87" s="6620"/>
      <c r="EY87" s="6620"/>
      <c r="EZ87" s="6620"/>
      <c r="FA87" s="6620"/>
      <c r="FB87" s="6620"/>
      <c r="FC87" s="6620"/>
      <c r="FD87" s="6620"/>
      <c r="FE87" s="6620"/>
      <c r="FF87" s="6620"/>
      <c r="FG87" s="6620"/>
      <c r="FH87" s="6620"/>
      <c r="FI87" s="6620"/>
      <c r="FJ87" s="6620"/>
      <c r="FK87" s="6620"/>
      <c r="FL87" s="6621"/>
    </row>
    <row r="88" spans="1:168" ht="15" customHeight="1">
      <c r="A88" s="124"/>
      <c r="B88" s="124"/>
      <c r="C88" s="124"/>
      <c r="D88" s="124"/>
      <c r="E88" s="124"/>
      <c r="F88" s="2667"/>
      <c r="G88" s="124"/>
      <c r="H88" s="124"/>
      <c r="I88" s="124"/>
      <c r="J88" s="124"/>
      <c r="K88" s="124"/>
      <c r="L88" s="124"/>
      <c r="M88" s="124"/>
      <c r="N88" s="124"/>
      <c r="O88" s="124"/>
      <c r="P88" s="124"/>
      <c r="Q88" s="124"/>
      <c r="R88" s="124"/>
      <c r="S88" s="124"/>
      <c r="T88" s="124"/>
      <c r="U88" s="124"/>
      <c r="V88" s="124"/>
      <c r="W88" s="124"/>
      <c r="X88" s="2668"/>
      <c r="Y88" s="2668"/>
      <c r="AA88" s="2152"/>
      <c r="AB88" s="2152"/>
      <c r="AC88" s="2152"/>
      <c r="AD88" s="2152"/>
      <c r="AE88" s="2152"/>
      <c r="AF88" s="2152"/>
      <c r="AG88" s="2152"/>
      <c r="AH88" s="2152"/>
      <c r="AI88" s="2152"/>
      <c r="AJ88" s="2152"/>
      <c r="AK88" s="2152"/>
      <c r="AL88" s="2152"/>
      <c r="AM88" s="2152"/>
      <c r="AN88" s="2152"/>
      <c r="AO88" s="2152"/>
      <c r="AP88" s="2152"/>
      <c r="AQ88" s="2152"/>
      <c r="AR88" s="2152"/>
      <c r="AS88" s="2152"/>
      <c r="AT88" s="2152"/>
      <c r="AU88" s="2152"/>
      <c r="AV88" s="2152"/>
      <c r="AW88" s="2152"/>
      <c r="AX88" s="2152"/>
      <c r="AY88" s="2152"/>
      <c r="AZ88" s="2152"/>
      <c r="BA88" s="2152"/>
      <c r="BB88" s="2152"/>
      <c r="BC88" s="2152"/>
      <c r="BD88" s="2152"/>
      <c r="BE88" s="2152"/>
      <c r="BF88" s="2152"/>
      <c r="BG88" s="2152"/>
      <c r="BH88" s="2152"/>
      <c r="BI88" s="2152"/>
      <c r="BJ88" s="2152"/>
      <c r="BK88" s="2152"/>
      <c r="BL88" s="2152"/>
      <c r="BM88" s="2152"/>
      <c r="BN88" s="2152"/>
      <c r="BO88" s="2152"/>
      <c r="BP88" s="2152"/>
      <c r="BQ88" s="2152"/>
      <c r="BR88" s="2669"/>
      <c r="BS88" s="2670"/>
      <c r="BT88" s="766"/>
      <c r="BU88" s="766"/>
      <c r="BV88" s="2152"/>
      <c r="BW88" s="2152"/>
      <c r="BX88" s="2152"/>
      <c r="BZ88" s="2671"/>
      <c r="CA88" s="2671"/>
      <c r="CB88" s="2671"/>
      <c r="CC88" s="2672">
        <f>SUM(CC5:CC87)</f>
        <v>146340</v>
      </c>
      <c r="CD88" s="2672"/>
      <c r="CE88" s="2672"/>
      <c r="CF88" s="2672"/>
      <c r="CG88" s="2672"/>
      <c r="CH88" s="2672"/>
      <c r="CI88" s="2672"/>
      <c r="CJ88" s="2672"/>
      <c r="CK88" s="2672"/>
      <c r="CL88" s="2672"/>
      <c r="CM88" s="2672"/>
    </row>
    <row r="89" spans="1:168" ht="15" customHeight="1">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2668"/>
      <c r="Y89" s="2668"/>
      <c r="BY89" s="2953">
        <f>SUM(BY5:BY87)</f>
        <v>6168618207.8850002</v>
      </c>
      <c r="CC89" s="2953">
        <f>SUM(CC5:CC87)</f>
        <v>146340</v>
      </c>
    </row>
    <row r="90" spans="1:168" ht="15" customHeight="1">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2668"/>
      <c r="Y90" s="2668"/>
    </row>
    <row r="91" spans="1:168" ht="15" customHeight="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2668"/>
      <c r="Y91" s="2668"/>
    </row>
    <row r="92" spans="1:168" ht="15" customHeight="1">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2668"/>
      <c r="Y92" s="2668"/>
    </row>
    <row r="93" spans="1:168" ht="15" customHeight="1">
      <c r="A93" s="124"/>
      <c r="B93" s="124"/>
      <c r="C93" s="124"/>
      <c r="F93" s="755" t="s">
        <v>9317</v>
      </c>
      <c r="G93" s="124"/>
      <c r="J93" s="754">
        <v>0</v>
      </c>
      <c r="K93" s="754">
        <v>0</v>
      </c>
      <c r="L93" s="754">
        <v>0</v>
      </c>
      <c r="M93" s="2675">
        <v>3514</v>
      </c>
      <c r="N93" s="2675">
        <v>1818</v>
      </c>
      <c r="O93" s="2675">
        <v>1696</v>
      </c>
      <c r="P93" s="2675">
        <v>3305</v>
      </c>
      <c r="Q93" s="2675">
        <v>209</v>
      </c>
      <c r="R93" s="2675">
        <v>275</v>
      </c>
      <c r="S93" s="2675">
        <v>1406</v>
      </c>
      <c r="T93" s="124"/>
      <c r="U93" s="124"/>
      <c r="V93" s="124"/>
      <c r="Y93" s="2675">
        <v>17</v>
      </c>
      <c r="Z93" s="2675">
        <v>3</v>
      </c>
      <c r="AA93" s="2675"/>
      <c r="AB93" s="2675">
        <v>364</v>
      </c>
      <c r="AC93" s="2675">
        <v>101</v>
      </c>
      <c r="AD93" s="2675">
        <v>2</v>
      </c>
      <c r="AE93" s="754"/>
      <c r="AF93" s="754"/>
      <c r="AG93" s="754"/>
      <c r="AH93" s="754"/>
      <c r="AI93" s="2675"/>
      <c r="AJ93" s="2675">
        <v>12</v>
      </c>
      <c r="AK93" s="2675"/>
      <c r="AL93" s="2675"/>
      <c r="AM93" s="2675"/>
      <c r="AN93" s="2675"/>
      <c r="AO93" s="754"/>
      <c r="AP93" s="754"/>
      <c r="AQ93" s="754"/>
      <c r="AR93" s="754"/>
      <c r="AS93" s="754"/>
      <c r="AT93" s="754"/>
      <c r="AU93" s="754"/>
      <c r="AV93" s="754"/>
      <c r="AW93" s="754"/>
      <c r="AX93" s="754"/>
    </row>
    <row r="94" spans="1:168" ht="15" customHeight="1">
      <c r="A94" s="124"/>
      <c r="B94" s="124"/>
      <c r="C94" s="124"/>
      <c r="F94" s="755" t="s">
        <v>9318</v>
      </c>
      <c r="G94" s="124"/>
      <c r="J94" s="754">
        <v>0</v>
      </c>
      <c r="K94" s="754">
        <v>0</v>
      </c>
      <c r="L94" s="754">
        <v>0</v>
      </c>
      <c r="M94" s="2675">
        <v>3514</v>
      </c>
      <c r="N94" s="2675">
        <v>1818</v>
      </c>
      <c r="O94" s="2675">
        <v>1696</v>
      </c>
      <c r="P94" s="2675">
        <v>3305</v>
      </c>
      <c r="Q94" s="2675">
        <v>209</v>
      </c>
      <c r="R94" s="2675">
        <v>275</v>
      </c>
      <c r="S94" s="2675">
        <v>1406</v>
      </c>
      <c r="T94" s="124"/>
      <c r="U94" s="124"/>
      <c r="V94" s="124"/>
      <c r="Y94" s="2675">
        <v>17</v>
      </c>
      <c r="Z94" s="2675">
        <v>3</v>
      </c>
      <c r="AA94" s="2675"/>
      <c r="AB94" s="2675">
        <v>364</v>
      </c>
      <c r="AC94" s="2675">
        <v>101</v>
      </c>
      <c r="AD94" s="2675">
        <v>2</v>
      </c>
      <c r="AE94" s="754"/>
      <c r="AF94" s="754"/>
      <c r="AG94" s="754"/>
      <c r="AH94" s="754"/>
      <c r="AI94" s="2675"/>
      <c r="AJ94" s="2675">
        <v>12</v>
      </c>
      <c r="AK94" s="2675"/>
      <c r="AL94" s="2675"/>
      <c r="AM94" s="2675"/>
      <c r="AN94" s="2675"/>
      <c r="AO94" s="754"/>
      <c r="AP94" s="754"/>
      <c r="AQ94" s="754"/>
      <c r="AR94" s="754"/>
      <c r="AS94" s="754"/>
      <c r="AT94" s="754"/>
      <c r="AU94" s="754"/>
      <c r="AV94" s="754"/>
      <c r="AW94" s="754"/>
      <c r="AX94" s="754"/>
    </row>
    <row r="95" spans="1:168" ht="15" customHeight="1">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2668"/>
      <c r="Y95" s="2668"/>
    </row>
    <row r="96" spans="1:168" ht="15" customHeight="1">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2668"/>
      <c r="Y96" s="2668"/>
    </row>
    <row r="97" spans="1:122" ht="15" customHeight="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2668"/>
      <c r="Y97" s="2668"/>
    </row>
    <row r="98" spans="1:122" ht="15" customHeight="1">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2668"/>
      <c r="Y98" s="2668"/>
    </row>
    <row r="99" spans="1:122" ht="15" customHeight="1">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2668"/>
      <c r="Y99" s="2668"/>
      <c r="BR99"/>
      <c r="BS99"/>
      <c r="BT99"/>
      <c r="BU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row>
    <row r="100" spans="1:122" ht="15" customHeight="1">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2668"/>
      <c r="Y100" s="2668"/>
      <c r="BR100"/>
      <c r="BS100"/>
      <c r="BT100"/>
      <c r="BU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row>
    <row r="101" spans="1:122" ht="15" customHeight="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2668"/>
      <c r="Y101" s="2668"/>
      <c r="BR101"/>
      <c r="BS101"/>
      <c r="BT101"/>
      <c r="BU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row>
    <row r="102" spans="1:122" ht="15" customHeight="1">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2668"/>
      <c r="Y102" s="2668"/>
      <c r="BR102"/>
      <c r="BS102"/>
      <c r="BT102"/>
      <c r="BU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row>
    <row r="103" spans="1:122" ht="15" customHeight="1">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2668"/>
      <c r="Y103" s="2668"/>
      <c r="BR103"/>
      <c r="BS103"/>
      <c r="BT103"/>
      <c r="BU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row>
    <row r="104" spans="1:122" ht="15" customHeight="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2668"/>
      <c r="Y104" s="2668"/>
      <c r="BR104"/>
      <c r="BS104"/>
      <c r="BT104"/>
      <c r="BU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row>
    <row r="105" spans="1:122" ht="15" customHeight="1">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2668"/>
      <c r="Y105" s="2668"/>
      <c r="BR105"/>
      <c r="BS105"/>
      <c r="BT105"/>
      <c r="BU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row>
    <row r="106" spans="1:122" ht="15" customHeight="1">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2668"/>
      <c r="Y106" s="2668"/>
      <c r="BR106"/>
      <c r="BS106"/>
      <c r="BT106"/>
      <c r="BU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row>
    <row r="107" spans="1:122" ht="15" customHeight="1">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2668"/>
      <c r="Y107" s="2668"/>
      <c r="BR107"/>
      <c r="BS107"/>
      <c r="BT107"/>
      <c r="BU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row>
    <row r="108" spans="1:122" ht="15" customHeight="1">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2668"/>
      <c r="Y108" s="2668"/>
      <c r="BR108"/>
      <c r="BS108"/>
      <c r="BT108"/>
      <c r="BU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row>
    <row r="109" spans="1:122" ht="15" customHeight="1">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2668"/>
      <c r="Y109" s="2668"/>
      <c r="BR109"/>
      <c r="BS109"/>
      <c r="BT109"/>
      <c r="BU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row>
    <row r="110" spans="1:122" ht="15" customHeight="1">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2668"/>
      <c r="Y110" s="2668"/>
      <c r="BR110"/>
      <c r="BS110"/>
      <c r="BT110"/>
      <c r="BU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row>
    <row r="111" spans="1:122" ht="15" customHeight="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2668"/>
      <c r="Y111" s="2668"/>
      <c r="BR111"/>
      <c r="BS111"/>
      <c r="BT111"/>
      <c r="BU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row>
    <row r="112" spans="1:122" ht="15" customHeight="1">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2668"/>
      <c r="Y112" s="2668"/>
      <c r="BR112"/>
      <c r="BS112"/>
      <c r="BT112"/>
      <c r="BU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row>
    <row r="113" spans="1:122" ht="15" customHeight="1">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2668"/>
      <c r="Y113" s="2668"/>
      <c r="BR113"/>
      <c r="BS113"/>
      <c r="BT113"/>
      <c r="BU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row>
    <row r="114" spans="1:122" ht="15" customHeight="1">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2668"/>
      <c r="Y114" s="2668"/>
      <c r="BR114"/>
      <c r="BS114"/>
      <c r="BT114"/>
      <c r="BU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row>
    <row r="115" spans="1:122" ht="15" customHeight="1">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2668"/>
      <c r="Y115" s="2668"/>
      <c r="BR115"/>
      <c r="BS115"/>
      <c r="BT115"/>
      <c r="BU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row>
    <row r="116" spans="1:122" ht="15" customHeight="1">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2668"/>
      <c r="Y116" s="2668"/>
      <c r="BR116"/>
      <c r="BS116"/>
      <c r="BT116"/>
      <c r="BU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row>
    <row r="117" spans="1:122" ht="15" customHeight="1">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2668"/>
      <c r="Y117" s="2668"/>
      <c r="BR117"/>
      <c r="BS117"/>
      <c r="BT117"/>
      <c r="BU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row>
    <row r="118" spans="1:122" ht="15" customHeight="1">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2668"/>
      <c r="Y118" s="2668"/>
      <c r="BR118"/>
      <c r="BS118"/>
      <c r="BT118"/>
      <c r="BU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row>
    <row r="119" spans="1:122" ht="15" customHeight="1">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2668"/>
      <c r="Y119" s="2668"/>
      <c r="BR119"/>
      <c r="BS119"/>
      <c r="BT119"/>
      <c r="BU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row>
    <row r="120" spans="1:122" ht="15" customHeight="1">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2668"/>
      <c r="Y120" s="2668"/>
      <c r="BR120"/>
      <c r="BS120"/>
      <c r="BT120"/>
      <c r="BU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row>
    <row r="121" spans="1:122" ht="15" customHeight="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2668"/>
      <c r="Y121" s="2668"/>
      <c r="BR121"/>
      <c r="BS121"/>
      <c r="BT121"/>
      <c r="BU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row>
    <row r="122" spans="1:122" ht="15" customHeight="1">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2668"/>
      <c r="Y122" s="2668"/>
      <c r="BR122"/>
      <c r="BS122"/>
      <c r="BT122"/>
      <c r="BU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row>
    <row r="123" spans="1:122" ht="15" customHeight="1">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2668"/>
      <c r="Y123" s="2668"/>
      <c r="BR123"/>
      <c r="BS123"/>
      <c r="BT123"/>
      <c r="BU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row>
    <row r="124" spans="1:122" ht="15" customHeight="1">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2668"/>
      <c r="Y124" s="2668"/>
      <c r="BR124"/>
      <c r="BS124"/>
      <c r="BT124"/>
      <c r="BU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row>
    <row r="125" spans="1:122" ht="15" customHeight="1">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2668"/>
      <c r="Y125" s="2668"/>
      <c r="BR125"/>
      <c r="BS125"/>
      <c r="BT125"/>
      <c r="BU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row>
    <row r="126" spans="1:122" ht="15" customHeight="1">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2668"/>
      <c r="Y126" s="2668"/>
      <c r="BR126"/>
      <c r="BS126"/>
      <c r="BT126"/>
      <c r="BU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row>
    <row r="127" spans="1:122" ht="15" customHeight="1">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2668"/>
      <c r="Y127" s="2668"/>
      <c r="BR127"/>
      <c r="BS127"/>
      <c r="BT127"/>
      <c r="BU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row>
    <row r="128" spans="1:122" ht="15" customHeight="1">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2668"/>
      <c r="Y128" s="2668"/>
      <c r="BR128"/>
      <c r="BS128"/>
      <c r="BT128"/>
      <c r="BU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row>
    <row r="129" spans="1:122" ht="15" customHeight="1">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2668"/>
      <c r="Y129" s="2668"/>
      <c r="BR129"/>
      <c r="BS129"/>
      <c r="BT129"/>
      <c r="BU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row>
    <row r="130" spans="1:122" ht="15" customHeight="1">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2668"/>
      <c r="Y130" s="2668"/>
      <c r="BR130"/>
      <c r="BS130"/>
      <c r="BT130"/>
      <c r="BU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row>
    <row r="131" spans="1:122" ht="15" customHeight="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2668"/>
      <c r="Y131" s="2668"/>
      <c r="BR131"/>
      <c r="BS131"/>
      <c r="BT131"/>
      <c r="BU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row>
    <row r="132" spans="1:122" ht="15" customHeight="1">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2668"/>
      <c r="Y132" s="2668"/>
      <c r="BR132"/>
      <c r="BS132"/>
      <c r="BT132"/>
      <c r="BU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row>
    <row r="133" spans="1:122" ht="15" customHeight="1">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2668"/>
      <c r="Y133" s="2668"/>
      <c r="BR133"/>
      <c r="BS133"/>
      <c r="BT133"/>
      <c r="BU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row>
    <row r="134" spans="1:122" ht="15" customHeight="1">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2668"/>
      <c r="Y134" s="2668"/>
      <c r="BR134"/>
      <c r="BS134"/>
      <c r="BT134"/>
      <c r="BU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row>
    <row r="135" spans="1:122" ht="15" customHeight="1">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2668"/>
      <c r="Y135" s="2668"/>
      <c r="BR135"/>
      <c r="BS135"/>
      <c r="BT135"/>
      <c r="BU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row>
    <row r="136" spans="1:122" ht="15" customHeight="1">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2668"/>
      <c r="Y136" s="2668"/>
      <c r="BR136"/>
      <c r="BS136"/>
      <c r="BT136"/>
      <c r="BU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row>
    <row r="137" spans="1:122" ht="15" customHeight="1">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2668"/>
      <c r="Y137" s="2668"/>
      <c r="BR137"/>
      <c r="BS137"/>
      <c r="BT137"/>
      <c r="BU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row>
    <row r="138" spans="1:122" ht="15" customHeight="1">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2668"/>
      <c r="Y138" s="2668"/>
      <c r="BR138"/>
      <c r="BS138"/>
      <c r="BT138"/>
      <c r="BU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row>
    <row r="139" spans="1:122" ht="15" customHeight="1">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2668"/>
      <c r="Y139" s="2668"/>
      <c r="BR139"/>
      <c r="BS139"/>
      <c r="BT139"/>
      <c r="BU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row>
    <row r="140" spans="1:122" ht="15" customHeight="1">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2668"/>
      <c r="Y140" s="2668"/>
      <c r="BR140"/>
      <c r="BS140"/>
      <c r="BT140"/>
      <c r="BU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row>
    <row r="141" spans="1:122" ht="15" customHeight="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2668"/>
      <c r="Y141" s="2668"/>
      <c r="BR141"/>
      <c r="BS141"/>
      <c r="BT141"/>
      <c r="BU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row>
    <row r="142" spans="1:122" ht="15" customHeight="1">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2668"/>
      <c r="Y142" s="2668"/>
      <c r="BR142"/>
      <c r="BS142"/>
      <c r="BT142"/>
      <c r="BU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row>
    <row r="143" spans="1:122" ht="15" customHeight="1">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2668"/>
      <c r="Y143" s="2668"/>
      <c r="BR143"/>
      <c r="BS143"/>
      <c r="BT143"/>
      <c r="BU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row>
    <row r="144" spans="1:122" ht="15" customHeight="1">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2668"/>
      <c r="Y144" s="2668"/>
      <c r="BR144"/>
      <c r="BS144"/>
      <c r="BT144"/>
      <c r="BU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row>
    <row r="145" spans="1:122" ht="15" customHeight="1">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2668"/>
      <c r="Y145" s="2668"/>
      <c r="BR145"/>
      <c r="BS145"/>
      <c r="BT145"/>
      <c r="BU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row>
    <row r="146" spans="1:122" ht="15" customHeight="1">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2668"/>
      <c r="Y146" s="2668"/>
      <c r="BR146"/>
      <c r="BS146"/>
      <c r="BT146"/>
      <c r="BU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row>
    <row r="147" spans="1:122" ht="15" customHeight="1">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2668"/>
      <c r="Y147" s="2668"/>
      <c r="BR147"/>
      <c r="BS147"/>
      <c r="BT147"/>
      <c r="BU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row>
    <row r="148" spans="1:122" ht="15" customHeight="1">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2668"/>
      <c r="Y148" s="2668"/>
      <c r="BR148"/>
      <c r="BS148"/>
      <c r="BT148"/>
      <c r="BU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row>
    <row r="149" spans="1:122" ht="15" customHeight="1">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2668"/>
      <c r="Y149" s="2668"/>
      <c r="BR149"/>
      <c r="BS149"/>
      <c r="BT149"/>
      <c r="BU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row>
    <row r="150" spans="1:122" ht="15" customHeight="1">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2668"/>
      <c r="Y150" s="2668"/>
      <c r="BR150"/>
      <c r="BS150"/>
      <c r="BT150"/>
      <c r="BU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row>
    <row r="151" spans="1:122" ht="15" customHeight="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2668"/>
      <c r="Y151" s="2668"/>
      <c r="BR151"/>
      <c r="BS151"/>
      <c r="BT151"/>
      <c r="BU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row>
    <row r="152" spans="1:122" ht="15" customHeight="1">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2668"/>
      <c r="Y152" s="2668"/>
      <c r="BR152"/>
      <c r="BS152"/>
      <c r="BT152"/>
      <c r="BU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row>
    <row r="153" spans="1:122" ht="15" customHeight="1">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2668"/>
      <c r="Y153" s="2668"/>
      <c r="BR153"/>
      <c r="BS153"/>
      <c r="BT153"/>
      <c r="BU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row>
    <row r="154" spans="1:122" ht="15" customHeight="1">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2668"/>
      <c r="Y154" s="2668"/>
      <c r="BR154"/>
      <c r="BS154"/>
      <c r="BT154"/>
      <c r="BU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row>
    <row r="155" spans="1:122" ht="15" customHeight="1">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2668"/>
      <c r="Y155" s="2668"/>
      <c r="BR155"/>
      <c r="BS155"/>
      <c r="BT155"/>
      <c r="BU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row>
    <row r="156" spans="1:122" ht="15" customHeight="1">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2668"/>
      <c r="Y156" s="2668"/>
      <c r="BR156"/>
      <c r="BS156"/>
      <c r="BT156"/>
      <c r="BU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row>
    <row r="157" spans="1:122" ht="15" customHeight="1">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2668"/>
      <c r="Y157" s="2668"/>
      <c r="BR157"/>
      <c r="BS157"/>
      <c r="BT157"/>
      <c r="BU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row>
    <row r="158" spans="1:122" ht="15" customHeight="1">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2668"/>
      <c r="Y158" s="2668"/>
      <c r="BR158"/>
      <c r="BS158"/>
      <c r="BT158"/>
      <c r="BU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row>
    <row r="159" spans="1:122" ht="15" customHeight="1">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2668"/>
      <c r="Y159" s="2668"/>
      <c r="BR159"/>
      <c r="BS159"/>
      <c r="BT159"/>
      <c r="BU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row>
    <row r="160" spans="1:122" ht="15"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2668"/>
      <c r="Y160" s="2668"/>
      <c r="BR160"/>
      <c r="BS160"/>
      <c r="BT160"/>
      <c r="BU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row>
    <row r="161" spans="1:122" ht="15" customHeight="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2668"/>
      <c r="Y161" s="2668"/>
      <c r="BR161"/>
      <c r="BS161"/>
      <c r="BT161"/>
      <c r="BU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row>
    <row r="162" spans="1:122" ht="15" customHeight="1">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2668"/>
      <c r="Y162" s="2668"/>
      <c r="BR162"/>
      <c r="BS162"/>
      <c r="BT162"/>
      <c r="BU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row>
    <row r="163" spans="1:122" ht="15" customHeight="1">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2668"/>
      <c r="Y163" s="2668"/>
      <c r="BR163"/>
      <c r="BS163"/>
      <c r="BT163"/>
      <c r="BU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row>
    <row r="164" spans="1:122" ht="15" customHeight="1">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2668"/>
      <c r="Y164" s="2668"/>
      <c r="BR164"/>
      <c r="BS164"/>
      <c r="BT164"/>
      <c r="BU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row>
    <row r="165" spans="1:122" ht="15" customHeight="1">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2668"/>
      <c r="Y165" s="2668"/>
      <c r="BR165"/>
      <c r="BS165"/>
      <c r="BT165"/>
      <c r="BU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row>
    <row r="166" spans="1:122" ht="15" customHeight="1">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2668"/>
      <c r="Y166" s="2668"/>
      <c r="BR166"/>
      <c r="BS166"/>
      <c r="BT166"/>
      <c r="BU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row>
    <row r="167" spans="1:122" ht="15" customHeight="1">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2668"/>
      <c r="Y167" s="2668"/>
      <c r="BR167"/>
      <c r="BS167"/>
      <c r="BT167"/>
      <c r="BU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row>
    <row r="168" spans="1:122" ht="15" customHeight="1">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2668"/>
      <c r="Y168" s="2668"/>
      <c r="BR168"/>
      <c r="BS168"/>
      <c r="BT168"/>
      <c r="BU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row>
    <row r="169" spans="1:122" ht="15" customHeight="1">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2668"/>
      <c r="Y169" s="2668"/>
      <c r="BR169"/>
      <c r="BS169"/>
      <c r="BT169"/>
      <c r="BU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row>
    <row r="170" spans="1:122" ht="15" customHeight="1">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2668"/>
      <c r="Y170" s="2668"/>
      <c r="BR170"/>
      <c r="BS170"/>
      <c r="BT170"/>
      <c r="BU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row>
    <row r="171" spans="1:122" ht="15" customHeight="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2668"/>
      <c r="Y171" s="2668"/>
      <c r="BR171"/>
      <c r="BS171"/>
      <c r="BT171"/>
      <c r="BU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row>
    <row r="172" spans="1:122" ht="15" customHeight="1">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2668"/>
      <c r="Y172" s="2668"/>
      <c r="BR172"/>
      <c r="BS172"/>
      <c r="BT172"/>
      <c r="BU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row>
    <row r="173" spans="1:122" ht="15" customHeight="1">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2668"/>
      <c r="Y173" s="2668"/>
      <c r="BR173"/>
      <c r="BS173"/>
      <c r="BT173"/>
      <c r="BU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row>
    <row r="174" spans="1:122" ht="15" customHeight="1">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2668"/>
      <c r="Y174" s="2668"/>
      <c r="BR174"/>
      <c r="BS174"/>
      <c r="BT174"/>
      <c r="BU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row>
    <row r="175" spans="1:122" ht="15" customHeight="1">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2668"/>
      <c r="Y175" s="2668"/>
      <c r="BR175"/>
      <c r="BS175"/>
      <c r="BT175"/>
      <c r="BU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row>
    <row r="176" spans="1:122" ht="15" customHeight="1">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2668"/>
      <c r="Y176" s="2668"/>
      <c r="BR176"/>
      <c r="BS176"/>
      <c r="BT176"/>
      <c r="BU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row>
    <row r="177" spans="1:122" ht="15" customHeight="1">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2668"/>
      <c r="Y177" s="2668"/>
      <c r="BR177"/>
      <c r="BS177"/>
      <c r="BT177"/>
      <c r="BU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row>
    <row r="178" spans="1:122" ht="15" customHeight="1">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2668"/>
      <c r="Y178" s="2668"/>
      <c r="BR178"/>
      <c r="BS178"/>
      <c r="BT178"/>
      <c r="BU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row>
    <row r="179" spans="1:122" ht="15" customHeight="1">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2668"/>
      <c r="Y179" s="2668"/>
      <c r="BR179"/>
      <c r="BS179"/>
      <c r="BT179"/>
      <c r="BU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row>
    <row r="180" spans="1:122" ht="15" customHeight="1">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2668"/>
      <c r="Y180" s="2668"/>
      <c r="BR180"/>
      <c r="BS180"/>
      <c r="BT180"/>
      <c r="BU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row>
    <row r="181" spans="1:122" ht="15" customHeight="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2668"/>
      <c r="Y181" s="2668"/>
      <c r="BR181"/>
      <c r="BS181"/>
      <c r="BT181"/>
      <c r="BU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row>
    <row r="182" spans="1:122" ht="15" customHeight="1">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2668"/>
      <c r="Y182" s="2668"/>
      <c r="BR182"/>
      <c r="BS182"/>
      <c r="BT182"/>
      <c r="BU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row>
    <row r="183" spans="1:122" ht="15" customHeight="1">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2668"/>
      <c r="Y183" s="2668"/>
      <c r="BR183"/>
      <c r="BS183"/>
      <c r="BT183"/>
      <c r="BU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row>
    <row r="184" spans="1:122" ht="15" customHeight="1">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2668"/>
      <c r="Y184" s="2668"/>
      <c r="BR184"/>
      <c r="BS184"/>
      <c r="BT184"/>
      <c r="BU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row>
    <row r="185" spans="1:122" ht="15" customHeight="1">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2668"/>
      <c r="Y185" s="2668"/>
      <c r="BR185"/>
      <c r="BS185"/>
      <c r="BT185"/>
      <c r="BU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row>
    <row r="186" spans="1:122" ht="15" customHeight="1">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2668"/>
      <c r="Y186" s="2668"/>
      <c r="BR186"/>
      <c r="BS186"/>
      <c r="BT186"/>
      <c r="BU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row>
    <row r="187" spans="1:122" ht="15" customHeight="1">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2668"/>
      <c r="Y187" s="2668"/>
      <c r="BR187"/>
      <c r="BS187"/>
      <c r="BT187"/>
      <c r="BU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row>
    <row r="188" spans="1:122" ht="15" customHeight="1">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2668"/>
      <c r="Y188" s="2668"/>
      <c r="BR188"/>
      <c r="BS188"/>
      <c r="BT188"/>
      <c r="BU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row>
    <row r="189" spans="1:122" ht="15" customHeight="1">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2668"/>
      <c r="Y189" s="2668"/>
      <c r="BR189"/>
      <c r="BS189"/>
      <c r="BT189"/>
      <c r="BU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row>
    <row r="190" spans="1:122" ht="15" customHeight="1">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2668"/>
      <c r="Y190" s="2668"/>
      <c r="BR190"/>
      <c r="BS190"/>
      <c r="BT190"/>
      <c r="BU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row>
    <row r="191" spans="1:122" ht="15" customHeight="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2668"/>
      <c r="Y191" s="2668"/>
      <c r="BR191"/>
      <c r="BS191"/>
      <c r="BT191"/>
      <c r="BU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row>
    <row r="192" spans="1:122" ht="15" customHeight="1">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2668"/>
      <c r="Y192" s="2668"/>
      <c r="BR192"/>
      <c r="BS192"/>
      <c r="BT192"/>
      <c r="BU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row>
    <row r="193" spans="1:122" ht="15" customHeight="1">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2668"/>
      <c r="Y193" s="2668"/>
      <c r="BR193"/>
      <c r="BS193"/>
      <c r="BT193"/>
      <c r="BU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row>
    <row r="194" spans="1:122" ht="15" customHeight="1">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2668"/>
      <c r="Y194" s="2668"/>
      <c r="BR194"/>
      <c r="BS194"/>
      <c r="BT194"/>
      <c r="BU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row>
    <row r="195" spans="1:122" ht="15" customHeight="1">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2668"/>
      <c r="Y195" s="2668"/>
      <c r="BR195"/>
      <c r="BS195"/>
      <c r="BT195"/>
      <c r="BU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row>
    <row r="196" spans="1:122" ht="15" customHeight="1">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2668"/>
      <c r="Y196" s="2668"/>
      <c r="BR196"/>
      <c r="BS196"/>
      <c r="BT196"/>
      <c r="BU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row>
    <row r="197" spans="1:122" ht="15" customHeight="1">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2668"/>
      <c r="Y197" s="2668"/>
      <c r="BR197"/>
      <c r="BS197"/>
      <c r="BT197"/>
      <c r="BU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row>
    <row r="198" spans="1:122" ht="15" customHeight="1">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2668"/>
      <c r="Y198" s="2668"/>
      <c r="BR198"/>
      <c r="BS198"/>
      <c r="BT198"/>
      <c r="BU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row>
    <row r="199" spans="1:122" ht="15" customHeight="1">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2668"/>
      <c r="Y199" s="2668"/>
      <c r="BR199"/>
      <c r="BS199"/>
      <c r="BT199"/>
      <c r="BU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row>
    <row r="200" spans="1:122" ht="15" customHeight="1">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2668"/>
      <c r="Y200" s="2668"/>
      <c r="BR200"/>
      <c r="BS200"/>
      <c r="BT200"/>
      <c r="BU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row>
    <row r="201" spans="1:122" ht="15" customHeight="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2668"/>
      <c r="Y201" s="2668"/>
      <c r="BR201"/>
      <c r="BS201"/>
      <c r="BT201"/>
      <c r="BU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row>
    <row r="202" spans="1:122" ht="15" customHeight="1">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2668"/>
      <c r="Y202" s="2668"/>
      <c r="BR202"/>
      <c r="BS202"/>
      <c r="BT202"/>
      <c r="BU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row>
    <row r="203" spans="1:122" ht="15" customHeight="1">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2668"/>
      <c r="Y203" s="2668"/>
      <c r="BR203"/>
      <c r="BS203"/>
      <c r="BT203"/>
      <c r="BU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row>
    <row r="204" spans="1:122" ht="15" customHeight="1">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2668"/>
      <c r="Y204" s="2668"/>
      <c r="BR204"/>
      <c r="BS204"/>
      <c r="BT204"/>
      <c r="BU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row>
    <row r="205" spans="1:122" ht="15" customHeight="1">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2668"/>
      <c r="Y205" s="2668"/>
      <c r="BR205"/>
      <c r="BS205"/>
      <c r="BT205"/>
      <c r="BU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row>
    <row r="206" spans="1:122" ht="15" customHeight="1">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2668"/>
      <c r="Y206" s="2668"/>
      <c r="BR206"/>
      <c r="BS206"/>
      <c r="BT206"/>
      <c r="BU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row>
    <row r="207" spans="1:122" ht="15" customHeight="1">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2668"/>
      <c r="Y207" s="2668"/>
      <c r="BR207"/>
      <c r="BS207"/>
      <c r="BT207"/>
      <c r="BU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row>
    <row r="208" spans="1:122" ht="15" customHeight="1">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2668"/>
      <c r="Y208" s="2668"/>
      <c r="BR208"/>
      <c r="BS208"/>
      <c r="BT208"/>
      <c r="BU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row>
    <row r="209" spans="1:122" ht="15" customHeight="1">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2668"/>
      <c r="Y209" s="2668"/>
      <c r="BR209"/>
      <c r="BS209"/>
      <c r="BT209"/>
      <c r="BU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row>
    <row r="210" spans="1:122" ht="15" customHeight="1">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2668"/>
      <c r="Y210" s="2668"/>
      <c r="BR210"/>
      <c r="BS210"/>
      <c r="BT210"/>
      <c r="BU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row>
    <row r="211" spans="1:122" ht="15" customHeight="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2668"/>
      <c r="Y211" s="2668"/>
      <c r="BR211"/>
      <c r="BS211"/>
      <c r="BT211"/>
      <c r="BU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row>
    <row r="212" spans="1:122" ht="15" customHeight="1">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2668"/>
      <c r="Y212" s="2668"/>
      <c r="BR212"/>
      <c r="BS212"/>
      <c r="BT212"/>
      <c r="BU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row>
    <row r="213" spans="1:122" ht="15" customHeight="1">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2668"/>
      <c r="Y213" s="2668"/>
      <c r="BR213"/>
      <c r="BS213"/>
      <c r="BT213"/>
      <c r="BU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row>
    <row r="214" spans="1:122" ht="15" customHeight="1">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2668"/>
      <c r="Y214" s="2668"/>
      <c r="BR214"/>
      <c r="BS214"/>
      <c r="BT214"/>
      <c r="BU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row>
    <row r="215" spans="1:122" ht="15" customHeight="1">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2668"/>
      <c r="Y215" s="2668"/>
      <c r="BR215"/>
      <c r="BS215"/>
      <c r="BT215"/>
      <c r="BU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row>
    <row r="216" spans="1:122" ht="15" customHeight="1">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2668"/>
      <c r="Y216" s="2668"/>
      <c r="BR216"/>
      <c r="BS216"/>
      <c r="BT216"/>
      <c r="BU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row>
    <row r="217" spans="1:122" ht="15" customHeight="1">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2668"/>
      <c r="Y217" s="2668"/>
      <c r="BR217"/>
      <c r="BS217"/>
      <c r="BT217"/>
      <c r="BU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row>
    <row r="218" spans="1:122" ht="15" customHeight="1">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2668"/>
      <c r="Y218" s="2668"/>
      <c r="BR218"/>
      <c r="BS218"/>
      <c r="BT218"/>
      <c r="BU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row>
    <row r="219" spans="1:122" ht="15" customHeight="1">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2668"/>
      <c r="Y219" s="2668"/>
      <c r="BR219"/>
      <c r="BS219"/>
      <c r="BT219"/>
      <c r="BU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row>
    <row r="220" spans="1:122" ht="15" customHeight="1">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2668"/>
      <c r="Y220" s="2668"/>
      <c r="BR220"/>
      <c r="BS220"/>
      <c r="BT220"/>
      <c r="BU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row>
    <row r="221" spans="1:122" ht="15" customHeight="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2668"/>
      <c r="Y221" s="2668"/>
      <c r="BR221"/>
      <c r="BS221"/>
      <c r="BT221"/>
      <c r="BU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row>
    <row r="222" spans="1:122" ht="15" customHeight="1">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2668"/>
      <c r="Y222" s="2668"/>
      <c r="BR222"/>
      <c r="BS222"/>
      <c r="BT222"/>
      <c r="BU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row>
    <row r="223" spans="1:122" ht="15" customHeight="1">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2668"/>
      <c r="Y223" s="2668"/>
      <c r="BR223"/>
      <c r="BS223"/>
      <c r="BT223"/>
      <c r="BU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row>
    <row r="224" spans="1:122" ht="15" customHeight="1">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2668"/>
      <c r="Y224" s="2668"/>
      <c r="BR224"/>
      <c r="BS224"/>
      <c r="BT224"/>
      <c r="BU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row>
    <row r="225" spans="1:122" ht="15" customHeight="1">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2668"/>
      <c r="Y225" s="2668"/>
      <c r="BR225"/>
      <c r="BS225"/>
      <c r="BT225"/>
      <c r="BU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row>
    <row r="226" spans="1:122" ht="15" customHeight="1">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2668"/>
      <c r="Y226" s="2668"/>
      <c r="BR226"/>
      <c r="BS226"/>
      <c r="BT226"/>
      <c r="BU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row>
    <row r="227" spans="1:122" ht="15" customHeight="1">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2668"/>
      <c r="Y227" s="2668"/>
      <c r="BR227"/>
      <c r="BS227"/>
      <c r="BT227"/>
      <c r="BU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row>
    <row r="228" spans="1:122" ht="15" customHeight="1">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2668"/>
      <c r="Y228" s="2668"/>
      <c r="BR228"/>
      <c r="BS228"/>
      <c r="BT228"/>
      <c r="BU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row>
    <row r="229" spans="1:122" ht="15" customHeight="1">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2668"/>
      <c r="Y229" s="2668"/>
      <c r="BR229"/>
      <c r="BS229"/>
      <c r="BT229"/>
      <c r="BU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row>
    <row r="230" spans="1:122" ht="15" customHeight="1">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2668"/>
      <c r="Y230" s="2668"/>
      <c r="BR230"/>
      <c r="BS230"/>
      <c r="BT230"/>
      <c r="BU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row>
    <row r="231" spans="1:122" ht="15" customHeight="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2668"/>
      <c r="Y231" s="2668"/>
      <c r="BR231"/>
      <c r="BS231"/>
      <c r="BT231"/>
      <c r="BU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row>
    <row r="232" spans="1:122" ht="15" customHeight="1">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2668"/>
      <c r="Y232" s="2668"/>
      <c r="BR232"/>
      <c r="BS232"/>
      <c r="BT232"/>
      <c r="BU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row>
    <row r="233" spans="1:122" ht="1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509"/>
      <c r="Y233" s="509"/>
      <c r="BR233"/>
      <c r="BS233"/>
      <c r="BT233"/>
      <c r="BU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row>
    <row r="234" spans="1:122" ht="1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509"/>
      <c r="Y234" s="509"/>
      <c r="BR234"/>
      <c r="BS234"/>
      <c r="BT234"/>
      <c r="BU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row>
    <row r="235" spans="1:122" ht="1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509"/>
      <c r="Y235" s="509"/>
      <c r="BR235"/>
      <c r="BS235"/>
      <c r="BT235"/>
      <c r="BU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row>
    <row r="236" spans="1:122" ht="1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509"/>
      <c r="Y236" s="509"/>
      <c r="BR236"/>
      <c r="BS236"/>
      <c r="BT236"/>
      <c r="BU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row>
    <row r="237" spans="1:122" ht="1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509"/>
      <c r="Y237" s="509"/>
      <c r="BR237"/>
      <c r="BS237"/>
      <c r="BT237"/>
      <c r="BU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row>
    <row r="238" spans="1:122" ht="1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509"/>
      <c r="Y238" s="509"/>
      <c r="BR238"/>
      <c r="BS238"/>
      <c r="BT238"/>
      <c r="BU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row>
    <row r="239" spans="1:122" ht="1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509"/>
      <c r="Y239" s="509"/>
      <c r="BR239"/>
      <c r="BS239"/>
      <c r="BT239"/>
      <c r="BU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row>
    <row r="240" spans="1:122" ht="1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509"/>
      <c r="Y240" s="509"/>
      <c r="BR240"/>
      <c r="BS240"/>
      <c r="BT240"/>
      <c r="BU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row>
    <row r="241" spans="1:122" ht="1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509"/>
      <c r="Y241" s="509"/>
      <c r="BR241"/>
      <c r="BS241"/>
      <c r="BT241"/>
      <c r="BU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row>
    <row r="242" spans="1:122" ht="1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509"/>
      <c r="Y242" s="509"/>
      <c r="BR242"/>
      <c r="BS242"/>
      <c r="BT242"/>
      <c r="BU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row>
    <row r="243" spans="1:122" ht="1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509"/>
      <c r="Y243" s="509"/>
      <c r="BR243"/>
      <c r="BS243"/>
      <c r="BT243"/>
      <c r="BU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row>
    <row r="244" spans="1:122" ht="1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509"/>
      <c r="Y244" s="509"/>
      <c r="BR244"/>
      <c r="BS244"/>
      <c r="BT244"/>
      <c r="BU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row>
    <row r="245" spans="1:122" ht="1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509"/>
      <c r="Y245" s="509"/>
      <c r="BR245"/>
      <c r="BS245"/>
      <c r="BT245"/>
      <c r="BU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row>
    <row r="246" spans="1:122" ht="1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509"/>
      <c r="Y246" s="509"/>
      <c r="BR246"/>
      <c r="BS246"/>
      <c r="BT246"/>
      <c r="BU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row>
    <row r="247" spans="1:122" ht="1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509"/>
      <c r="Y247" s="509"/>
      <c r="BR247"/>
      <c r="BS247"/>
      <c r="BT247"/>
      <c r="BU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row>
    <row r="248" spans="1:122" ht="1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509"/>
      <c r="Y248" s="509"/>
      <c r="BR248"/>
      <c r="BS248"/>
      <c r="BT248"/>
      <c r="BU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row>
    <row r="249" spans="1:122" ht="1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509"/>
      <c r="Y249" s="509"/>
      <c r="BR249"/>
      <c r="BS249"/>
      <c r="BT249"/>
      <c r="BU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row>
    <row r="250" spans="1:122" ht="1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509"/>
      <c r="Y250" s="509"/>
      <c r="BR250"/>
      <c r="BS250"/>
      <c r="BT250"/>
      <c r="BU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row>
    <row r="251" spans="1:122" ht="1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509"/>
      <c r="Y251" s="509"/>
      <c r="BR251"/>
      <c r="BS251"/>
      <c r="BT251"/>
      <c r="BU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row>
    <row r="252" spans="1:122" ht="1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509"/>
      <c r="Y252" s="509"/>
      <c r="BR252"/>
      <c r="BS252"/>
      <c r="BT252"/>
      <c r="BU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row>
    <row r="253" spans="1:122" ht="1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509"/>
      <c r="Y253" s="509"/>
      <c r="BR253"/>
      <c r="BS253"/>
      <c r="BT253"/>
      <c r="BU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row>
    <row r="254" spans="1:122" ht="1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509"/>
      <c r="Y254" s="509"/>
      <c r="BR254"/>
      <c r="BS254"/>
      <c r="BT254"/>
      <c r="BU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row>
    <row r="255" spans="1:122" ht="1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509"/>
      <c r="Y255" s="509"/>
      <c r="BR255"/>
      <c r="BS255"/>
      <c r="BT255"/>
      <c r="BU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row>
    <row r="256" spans="1:122" ht="1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509"/>
      <c r="Y256" s="509"/>
      <c r="BR256"/>
      <c r="BS256"/>
      <c r="BT256"/>
      <c r="BU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row>
    <row r="257" spans="1:122" ht="1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509"/>
      <c r="Y257" s="509"/>
      <c r="BR257"/>
      <c r="BS257"/>
      <c r="BT257"/>
      <c r="BU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row>
    <row r="258" spans="1:122" ht="1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509"/>
      <c r="Y258" s="509"/>
      <c r="BR258"/>
      <c r="BS258"/>
      <c r="BT258"/>
      <c r="BU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row>
    <row r="259" spans="1:122" ht="1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509"/>
      <c r="Y259" s="509"/>
      <c r="BR259"/>
      <c r="BS259"/>
      <c r="BT259"/>
      <c r="BU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row>
    <row r="260" spans="1:122" ht="1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509"/>
      <c r="Y260" s="509"/>
      <c r="BR260"/>
      <c r="BS260"/>
      <c r="BT260"/>
      <c r="BU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row>
    <row r="261" spans="1:122" ht="1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509"/>
      <c r="Y261" s="509"/>
      <c r="BR261"/>
      <c r="BS261"/>
      <c r="BT261"/>
      <c r="BU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row>
    <row r="262" spans="1:122" ht="1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509"/>
      <c r="Y262" s="509"/>
      <c r="BR262"/>
      <c r="BS262"/>
      <c r="BT262"/>
      <c r="BU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row>
    <row r="263" spans="1:122" ht="1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509"/>
      <c r="Y263" s="509"/>
      <c r="BR263"/>
      <c r="BS263"/>
      <c r="BT263"/>
      <c r="BU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row>
    <row r="264" spans="1:122" ht="1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509"/>
      <c r="Y264" s="509"/>
      <c r="BR264"/>
      <c r="BS264"/>
      <c r="BT264"/>
      <c r="BU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row>
    <row r="265" spans="1:122" ht="1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509"/>
      <c r="Y265" s="509"/>
      <c r="BR265"/>
      <c r="BS265"/>
      <c r="BT265"/>
      <c r="BU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row>
    <row r="266" spans="1:122" ht="1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509"/>
      <c r="Y266" s="509"/>
      <c r="BR266"/>
      <c r="BS266"/>
      <c r="BT266"/>
      <c r="BU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row>
    <row r="267" spans="1:122" ht="1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509"/>
      <c r="Y267" s="509"/>
      <c r="BR267"/>
      <c r="BS267"/>
      <c r="BT267"/>
      <c r="BU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row>
    <row r="268" spans="1:122" ht="1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509"/>
      <c r="Y268" s="509"/>
      <c r="BR268"/>
      <c r="BS268"/>
      <c r="BT268"/>
      <c r="BU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row>
    <row r="269" spans="1:122" ht="1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509"/>
      <c r="Y269" s="509"/>
      <c r="BR269"/>
      <c r="BS269"/>
      <c r="BT269"/>
      <c r="BU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row>
    <row r="270" spans="1:122" ht="1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509"/>
      <c r="Y270" s="509"/>
      <c r="BR270"/>
      <c r="BS270"/>
      <c r="BT270"/>
      <c r="BU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row>
    <row r="271" spans="1:122" ht="1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509"/>
      <c r="Y271" s="509"/>
      <c r="BR271"/>
      <c r="BS271"/>
      <c r="BT271"/>
      <c r="BU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row>
    <row r="272" spans="1:122" ht="1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509"/>
      <c r="Y272" s="509"/>
      <c r="BR272"/>
      <c r="BS272"/>
      <c r="BT272"/>
      <c r="BU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row>
    <row r="273" spans="1:122" ht="1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509"/>
      <c r="Y273" s="509"/>
      <c r="BR273"/>
      <c r="BS273"/>
      <c r="BT273"/>
      <c r="BU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row>
    <row r="274" spans="1:122" ht="1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509"/>
      <c r="Y274" s="509"/>
      <c r="BR274"/>
      <c r="BS274"/>
      <c r="BT274"/>
      <c r="BU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row>
    <row r="275" spans="1:122" ht="1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509"/>
      <c r="Y275" s="509"/>
      <c r="BR275"/>
      <c r="BS275"/>
      <c r="BT275"/>
      <c r="BU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row>
    <row r="276" spans="1:122" ht="1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509"/>
      <c r="Y276" s="509"/>
      <c r="BR276"/>
      <c r="BS276"/>
      <c r="BT276"/>
      <c r="BU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row>
    <row r="277" spans="1:122" ht="1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509"/>
      <c r="Y277" s="509"/>
      <c r="BR277"/>
      <c r="BS277"/>
      <c r="BT277"/>
      <c r="BU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row>
    <row r="278" spans="1:122" ht="1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509"/>
      <c r="Y278" s="509"/>
      <c r="BR278"/>
      <c r="BS278"/>
      <c r="BT278"/>
      <c r="BU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row>
    <row r="279" spans="1:122" ht="1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509"/>
      <c r="Y279" s="509"/>
      <c r="BR279"/>
      <c r="BS279"/>
      <c r="BT279"/>
      <c r="BU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row>
    <row r="280" spans="1:122" ht="1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509"/>
      <c r="Y280" s="509"/>
      <c r="BR280"/>
      <c r="BS280"/>
      <c r="BT280"/>
      <c r="BU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row>
    <row r="281" spans="1:122" ht="1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509"/>
      <c r="Y281" s="509"/>
      <c r="BR281"/>
      <c r="BS281"/>
      <c r="BT281"/>
      <c r="BU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row>
    <row r="282" spans="1:122" ht="1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509"/>
      <c r="Y282" s="509"/>
      <c r="BR282"/>
      <c r="BS282"/>
      <c r="BT282"/>
      <c r="BU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row>
    <row r="283" spans="1:122" ht="1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509"/>
      <c r="Y283" s="509"/>
      <c r="BR283"/>
      <c r="BS283"/>
      <c r="BT283"/>
      <c r="BU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row>
    <row r="284" spans="1:122" ht="1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509"/>
      <c r="Y284" s="509"/>
      <c r="BR284"/>
      <c r="BS284"/>
      <c r="BT284"/>
      <c r="BU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row>
    <row r="285" spans="1:122" ht="1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509"/>
      <c r="Y285" s="509"/>
      <c r="BR285"/>
      <c r="BS285"/>
      <c r="BT285"/>
      <c r="BU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row>
    <row r="286" spans="1:122" ht="1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509"/>
      <c r="Y286" s="509"/>
      <c r="BR286"/>
      <c r="BS286"/>
      <c r="BT286"/>
      <c r="BU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row>
    <row r="287" spans="1:122" ht="1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509"/>
      <c r="Y287" s="509"/>
      <c r="BR287"/>
      <c r="BS287"/>
      <c r="BT287"/>
      <c r="BU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row>
    <row r="288" spans="1:122" ht="1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509"/>
      <c r="Y288" s="509"/>
      <c r="BR288"/>
      <c r="BS288"/>
      <c r="BT288"/>
      <c r="BU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row>
    <row r="289" spans="1:122" ht="1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509"/>
      <c r="Y289" s="509"/>
      <c r="BR289"/>
      <c r="BS289"/>
      <c r="BT289"/>
      <c r="BU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row>
    <row r="290" spans="1:122" ht="1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509"/>
      <c r="Y290" s="509"/>
      <c r="BR290"/>
      <c r="BS290"/>
      <c r="BT290"/>
      <c r="BU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row>
    <row r="291" spans="1:122" ht="1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509"/>
      <c r="Y291" s="509"/>
      <c r="BR291"/>
      <c r="BS291"/>
      <c r="BT291"/>
      <c r="BU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row>
    <row r="292" spans="1:122" ht="1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509"/>
      <c r="Y292" s="509"/>
      <c r="BR292"/>
      <c r="BS292"/>
      <c r="BT292"/>
      <c r="BU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row>
    <row r="293" spans="1:122" ht="1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509"/>
      <c r="Y293" s="509"/>
      <c r="BR293"/>
      <c r="BS293"/>
      <c r="BT293"/>
      <c r="BU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row>
    <row r="294" spans="1:122" ht="1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509"/>
      <c r="Y294" s="509"/>
      <c r="BR294"/>
      <c r="BS294"/>
      <c r="BT294"/>
      <c r="BU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row>
    <row r="295" spans="1:122" ht="1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509"/>
      <c r="Y295" s="509"/>
      <c r="BR295"/>
      <c r="BS295"/>
      <c r="BT295"/>
      <c r="BU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row>
    <row r="296" spans="1:122" ht="1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509"/>
      <c r="Y296" s="509"/>
      <c r="BR296"/>
      <c r="BS296"/>
      <c r="BT296"/>
      <c r="BU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row>
    <row r="297" spans="1:122" ht="1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509"/>
      <c r="Y297" s="509"/>
      <c r="BR297"/>
      <c r="BS297"/>
      <c r="BT297"/>
      <c r="BU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row>
    <row r="298" spans="1:122" ht="1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509"/>
      <c r="Y298" s="509"/>
      <c r="BR298"/>
      <c r="BS298"/>
      <c r="BT298"/>
      <c r="BU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row>
    <row r="299" spans="1:122" ht="1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509"/>
      <c r="Y299" s="509"/>
      <c r="BR299"/>
      <c r="BS299"/>
      <c r="BT299"/>
      <c r="BU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row>
    <row r="300" spans="1:122" ht="1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509"/>
      <c r="Y300" s="509"/>
      <c r="BR300"/>
      <c r="BS300"/>
      <c r="BT300"/>
      <c r="BU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row>
    <row r="301" spans="1:122" ht="1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509"/>
      <c r="Y301" s="509"/>
      <c r="BR301"/>
      <c r="BS301"/>
      <c r="BT301"/>
      <c r="BU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row>
    <row r="302" spans="1:122" ht="1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509"/>
      <c r="Y302" s="509"/>
      <c r="BR302"/>
      <c r="BS302"/>
      <c r="BT302"/>
      <c r="BU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row>
    <row r="303" spans="1:122" ht="1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509"/>
      <c r="Y303" s="509"/>
      <c r="BR303"/>
      <c r="BS303"/>
      <c r="BT303"/>
      <c r="BU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row>
    <row r="304" spans="1:122" ht="1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509"/>
      <c r="Y304" s="509"/>
      <c r="BR304"/>
      <c r="BS304"/>
      <c r="BT304"/>
      <c r="BU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row>
    <row r="305" spans="1:122" ht="1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509"/>
      <c r="Y305" s="509"/>
      <c r="BR305"/>
      <c r="BS305"/>
      <c r="BT305"/>
      <c r="BU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row>
    <row r="306" spans="1:122" ht="1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509"/>
      <c r="Y306" s="509"/>
      <c r="BR306"/>
      <c r="BS306"/>
      <c r="BT306"/>
      <c r="BU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row>
    <row r="307" spans="1:122" ht="1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509"/>
      <c r="Y307" s="509"/>
      <c r="BR307"/>
      <c r="BS307"/>
      <c r="BT307"/>
      <c r="BU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row>
    <row r="308" spans="1:122" ht="1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509"/>
      <c r="Y308" s="509"/>
      <c r="BR308"/>
      <c r="BS308"/>
      <c r="BT308"/>
      <c r="BU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row>
    <row r="309" spans="1:122" ht="1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509"/>
      <c r="Y309" s="509"/>
      <c r="BR309"/>
      <c r="BS309"/>
      <c r="BT309"/>
      <c r="BU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row>
    <row r="310" spans="1:122" ht="1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509"/>
      <c r="Y310" s="509"/>
      <c r="BR310"/>
      <c r="BS310"/>
      <c r="BT310"/>
      <c r="BU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row>
    <row r="311" spans="1:122" ht="1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509"/>
      <c r="Y311" s="509"/>
      <c r="BR311"/>
      <c r="BS311"/>
      <c r="BT311"/>
      <c r="BU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row>
    <row r="312" spans="1:122" ht="1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509"/>
      <c r="Y312" s="509"/>
      <c r="BR312"/>
      <c r="BS312"/>
      <c r="BT312"/>
      <c r="BU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row>
    <row r="313" spans="1:122" ht="1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509"/>
      <c r="Y313" s="509"/>
      <c r="BR313"/>
      <c r="BS313"/>
      <c r="BT313"/>
      <c r="BU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row>
    <row r="314" spans="1:122" ht="1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509"/>
      <c r="Y314" s="509"/>
      <c r="BR314"/>
      <c r="BS314"/>
      <c r="BT314"/>
      <c r="BU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row>
    <row r="315" spans="1:122" ht="1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509"/>
      <c r="Y315" s="509"/>
      <c r="BR315"/>
      <c r="BS315"/>
      <c r="BT315"/>
      <c r="BU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row>
    <row r="316" spans="1:122" ht="1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509"/>
      <c r="Y316" s="509"/>
      <c r="BR316"/>
      <c r="BS316"/>
      <c r="BT316"/>
      <c r="BU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row>
    <row r="317" spans="1:122" ht="1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509"/>
      <c r="Y317" s="509"/>
      <c r="BR317"/>
      <c r="BS317"/>
      <c r="BT317"/>
      <c r="BU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row>
    <row r="318" spans="1:122" ht="1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509"/>
      <c r="Y318" s="509"/>
      <c r="BR318"/>
      <c r="BS318"/>
      <c r="BT318"/>
      <c r="BU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row>
    <row r="319" spans="1:122" ht="1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509"/>
      <c r="Y319" s="509"/>
      <c r="BR319"/>
      <c r="BS319"/>
      <c r="BT319"/>
      <c r="BU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row>
    <row r="320" spans="1:122" ht="1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509"/>
      <c r="Y320" s="509"/>
      <c r="BR320"/>
      <c r="BS320"/>
      <c r="BT320"/>
      <c r="BU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row>
    <row r="321" spans="1:122" ht="1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509"/>
      <c r="Y321" s="509"/>
      <c r="BR321"/>
      <c r="BS321"/>
      <c r="BT321"/>
      <c r="BU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row>
    <row r="322" spans="1:122" ht="1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509"/>
      <c r="Y322" s="509"/>
      <c r="BR322"/>
      <c r="BS322"/>
      <c r="BT322"/>
      <c r="BU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row>
    <row r="323" spans="1:122" ht="1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509"/>
      <c r="Y323" s="509"/>
      <c r="BR323"/>
      <c r="BS323"/>
      <c r="BT323"/>
      <c r="BU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row>
    <row r="324" spans="1:122" ht="1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509"/>
      <c r="Y324" s="509"/>
      <c r="BR324"/>
      <c r="BS324"/>
      <c r="BT324"/>
      <c r="BU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row>
    <row r="325" spans="1:122" ht="1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509"/>
      <c r="Y325" s="509"/>
      <c r="BR325"/>
      <c r="BS325"/>
      <c r="BT325"/>
      <c r="BU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row>
    <row r="326" spans="1:122" ht="1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509"/>
      <c r="Y326" s="509"/>
      <c r="BR326"/>
      <c r="BS326"/>
      <c r="BT326"/>
      <c r="BU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row>
    <row r="327" spans="1:122" ht="1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509"/>
      <c r="Y327" s="509"/>
      <c r="BR327"/>
      <c r="BS327"/>
      <c r="BT327"/>
      <c r="BU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row>
    <row r="328" spans="1:122" ht="1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509"/>
      <c r="Y328" s="509"/>
      <c r="BR328"/>
      <c r="BS328"/>
      <c r="BT328"/>
      <c r="BU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row>
    <row r="329" spans="1:122" ht="1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509"/>
      <c r="Y329" s="509"/>
      <c r="BR329"/>
      <c r="BS329"/>
      <c r="BT329"/>
      <c r="BU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row>
    <row r="330" spans="1:122" ht="1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509"/>
      <c r="Y330" s="509"/>
      <c r="BR330"/>
      <c r="BS330"/>
      <c r="BT330"/>
      <c r="BU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row>
    <row r="331" spans="1:122" ht="1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509"/>
      <c r="Y331" s="509"/>
      <c r="BR331"/>
      <c r="BS331"/>
      <c r="BT331"/>
      <c r="BU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row>
    <row r="332" spans="1:122" ht="1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509"/>
      <c r="Y332" s="509"/>
      <c r="BR332"/>
      <c r="BS332"/>
      <c r="BT332"/>
      <c r="BU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row>
    <row r="333" spans="1:122" ht="1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509"/>
      <c r="Y333" s="509"/>
      <c r="BR333"/>
      <c r="BS333"/>
      <c r="BT333"/>
      <c r="BU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row>
    <row r="334" spans="1:122" ht="1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509"/>
      <c r="Y334" s="509"/>
      <c r="BR334"/>
      <c r="BS334"/>
      <c r="BT334"/>
      <c r="BU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row>
    <row r="335" spans="1:122" ht="1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509"/>
      <c r="Y335" s="509"/>
      <c r="BR335"/>
      <c r="BS335"/>
      <c r="BT335"/>
      <c r="BU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row>
    <row r="336" spans="1:122" ht="1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509"/>
      <c r="Y336" s="509"/>
      <c r="BR336"/>
      <c r="BS336"/>
      <c r="BT336"/>
      <c r="BU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row>
    <row r="337" spans="1:122" ht="1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509"/>
      <c r="Y337" s="509"/>
      <c r="BR337"/>
      <c r="BS337"/>
      <c r="BT337"/>
      <c r="BU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row>
    <row r="338" spans="1:122" ht="1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509"/>
      <c r="Y338" s="509"/>
      <c r="BR338"/>
      <c r="BS338"/>
      <c r="BT338"/>
      <c r="BU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row>
    <row r="339" spans="1:122" ht="1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509"/>
      <c r="Y339" s="509"/>
      <c r="BR339"/>
      <c r="BS339"/>
      <c r="BT339"/>
      <c r="BU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row>
    <row r="340" spans="1:122" ht="1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509"/>
      <c r="Y340" s="509"/>
      <c r="BR340"/>
      <c r="BS340"/>
      <c r="BT340"/>
      <c r="BU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row>
    <row r="341" spans="1:122" ht="1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509"/>
      <c r="Y341" s="509"/>
      <c r="BR341"/>
      <c r="BS341"/>
      <c r="BT341"/>
      <c r="BU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row>
    <row r="342" spans="1:122" ht="1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509"/>
      <c r="Y342" s="509"/>
      <c r="BR342"/>
      <c r="BS342"/>
      <c r="BT342"/>
      <c r="BU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row>
    <row r="343" spans="1:122" ht="1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509"/>
      <c r="Y343" s="509"/>
      <c r="BR343"/>
      <c r="BS343"/>
      <c r="BT343"/>
      <c r="BU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row>
    <row r="344" spans="1:122" ht="1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509"/>
      <c r="Y344" s="509"/>
      <c r="BR344"/>
      <c r="BS344"/>
      <c r="BT344"/>
      <c r="BU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row>
    <row r="345" spans="1:122" ht="1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509"/>
      <c r="Y345" s="509"/>
      <c r="BR345"/>
      <c r="BS345"/>
      <c r="BT345"/>
      <c r="BU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row>
    <row r="346" spans="1:122" ht="1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509"/>
      <c r="Y346" s="509"/>
      <c r="BR346"/>
      <c r="BS346"/>
      <c r="BT346"/>
      <c r="BU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row>
    <row r="347" spans="1:122" ht="1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509"/>
      <c r="Y347" s="509"/>
      <c r="BR347"/>
      <c r="BS347"/>
      <c r="BT347"/>
      <c r="BU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row>
    <row r="348" spans="1:122" ht="1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509"/>
      <c r="Y348" s="509"/>
      <c r="BR348"/>
      <c r="BS348"/>
      <c r="BT348"/>
      <c r="BU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row>
    <row r="349" spans="1:122" ht="1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509"/>
      <c r="Y349" s="509"/>
      <c r="BR349"/>
      <c r="BS349"/>
      <c r="BT349"/>
      <c r="BU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row>
    <row r="350" spans="1:122" ht="1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509"/>
      <c r="Y350" s="509"/>
      <c r="BR350"/>
      <c r="BS350"/>
      <c r="BT350"/>
      <c r="BU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row>
    <row r="351" spans="1:122" ht="1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509"/>
      <c r="Y351" s="509"/>
      <c r="BR351"/>
      <c r="BS351"/>
      <c r="BT351"/>
      <c r="BU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row>
    <row r="352" spans="1:122" ht="1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509"/>
      <c r="Y352" s="509"/>
      <c r="BR352"/>
      <c r="BS352"/>
      <c r="BT352"/>
      <c r="BU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row>
    <row r="353" spans="1:122" ht="1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509"/>
      <c r="Y353" s="509"/>
      <c r="BR353"/>
      <c r="BS353"/>
      <c r="BT353"/>
      <c r="BU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row>
    <row r="354" spans="1:122" ht="1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509"/>
      <c r="Y354" s="509"/>
      <c r="BR354"/>
      <c r="BS354"/>
      <c r="BT354"/>
      <c r="BU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row>
    <row r="355" spans="1:122" ht="1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509"/>
      <c r="Y355" s="509"/>
      <c r="BR355"/>
      <c r="BS355"/>
      <c r="BT355"/>
      <c r="BU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row>
    <row r="356" spans="1:122" ht="1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509"/>
      <c r="Y356" s="509"/>
      <c r="BR356"/>
      <c r="BS356"/>
      <c r="BT356"/>
      <c r="BU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row>
    <row r="357" spans="1:122" ht="1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509"/>
      <c r="Y357" s="509"/>
      <c r="BR357"/>
      <c r="BS357"/>
      <c r="BT357"/>
      <c r="BU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row>
    <row r="358" spans="1:122" ht="1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509"/>
      <c r="Y358" s="509"/>
      <c r="BR358"/>
      <c r="BS358"/>
      <c r="BT358"/>
      <c r="BU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row>
    <row r="359" spans="1:122" ht="1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509"/>
      <c r="Y359" s="509"/>
      <c r="BR359"/>
      <c r="BS359"/>
      <c r="BT359"/>
      <c r="BU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row>
    <row r="360" spans="1:122" ht="1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509"/>
      <c r="Y360" s="509"/>
      <c r="BR360"/>
      <c r="BS360"/>
      <c r="BT360"/>
      <c r="BU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row>
    <row r="361" spans="1:122" ht="1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509"/>
      <c r="Y361" s="509"/>
      <c r="BR361"/>
      <c r="BS361"/>
      <c r="BT361"/>
      <c r="BU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row>
    <row r="362" spans="1:122" ht="1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509"/>
      <c r="Y362" s="509"/>
      <c r="BR362"/>
      <c r="BS362"/>
      <c r="BT362"/>
      <c r="BU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row>
    <row r="363" spans="1:122" ht="1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509"/>
      <c r="Y363" s="509"/>
      <c r="BR363"/>
      <c r="BS363"/>
      <c r="BT363"/>
      <c r="BU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row>
    <row r="364" spans="1:122" ht="1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509"/>
      <c r="Y364" s="509"/>
      <c r="BR364"/>
      <c r="BS364"/>
      <c r="BT364"/>
      <c r="BU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row>
    <row r="365" spans="1:122" ht="1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509"/>
      <c r="Y365" s="509"/>
      <c r="BR365"/>
      <c r="BS365"/>
      <c r="BT365"/>
      <c r="BU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row>
    <row r="366" spans="1:122" ht="1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509"/>
      <c r="Y366" s="509"/>
      <c r="BR366"/>
      <c r="BS366"/>
      <c r="BT366"/>
      <c r="BU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row>
    <row r="367" spans="1:122" ht="1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509"/>
      <c r="Y367" s="509"/>
      <c r="BR367"/>
      <c r="BS367"/>
      <c r="BT367"/>
      <c r="BU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row>
    <row r="368" spans="1:122" ht="1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509"/>
      <c r="Y368" s="509"/>
      <c r="BR368"/>
      <c r="BS368"/>
      <c r="BT368"/>
      <c r="BU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row>
    <row r="369" spans="1:122" ht="1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509"/>
      <c r="Y369" s="509"/>
      <c r="BR369"/>
      <c r="BS369"/>
      <c r="BT369"/>
      <c r="BU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row>
    <row r="370" spans="1:122" ht="1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509"/>
      <c r="Y370" s="509"/>
      <c r="BR370"/>
      <c r="BS370"/>
      <c r="BT370"/>
      <c r="BU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row>
    <row r="371" spans="1:122" ht="1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509"/>
      <c r="Y371" s="509"/>
      <c r="BR371"/>
      <c r="BS371"/>
      <c r="BT371"/>
      <c r="BU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row>
    <row r="372" spans="1:122" ht="1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509"/>
      <c r="Y372" s="509"/>
      <c r="BR372"/>
      <c r="BS372"/>
      <c r="BT372"/>
      <c r="BU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row>
    <row r="373" spans="1:122" ht="1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509"/>
      <c r="Y373" s="509"/>
      <c r="BR373"/>
      <c r="BS373"/>
      <c r="BT373"/>
      <c r="BU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row>
    <row r="374" spans="1:122" ht="1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509"/>
      <c r="Y374" s="509"/>
      <c r="BR374"/>
      <c r="BS374"/>
      <c r="BT374"/>
      <c r="BU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row>
    <row r="375" spans="1:122" ht="1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509"/>
      <c r="Y375" s="509"/>
      <c r="BR375"/>
      <c r="BS375"/>
      <c r="BT375"/>
      <c r="BU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row>
    <row r="376" spans="1:122" ht="1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509"/>
      <c r="Y376" s="509"/>
      <c r="BR376"/>
      <c r="BS376"/>
      <c r="BT376"/>
      <c r="BU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row>
    <row r="377" spans="1:122" ht="1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509"/>
      <c r="Y377" s="509"/>
      <c r="BR377"/>
      <c r="BS377"/>
      <c r="BT377"/>
      <c r="BU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row>
    <row r="378" spans="1:122" ht="1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509"/>
      <c r="Y378" s="509"/>
      <c r="BR378"/>
      <c r="BS378"/>
      <c r="BT378"/>
      <c r="BU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row>
    <row r="379" spans="1:122" ht="1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509"/>
      <c r="Y379" s="509"/>
      <c r="BR379"/>
      <c r="BS379"/>
      <c r="BT379"/>
      <c r="BU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row>
    <row r="380" spans="1:122" ht="1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509"/>
      <c r="Y380" s="509"/>
      <c r="BR380"/>
      <c r="BS380"/>
      <c r="BT380"/>
      <c r="BU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row>
    <row r="381" spans="1:122" ht="1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509"/>
      <c r="Y381" s="509"/>
      <c r="BR381"/>
      <c r="BS381"/>
      <c r="BT381"/>
      <c r="BU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row>
    <row r="382" spans="1:122" ht="1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509"/>
      <c r="Y382" s="509"/>
      <c r="BR382"/>
      <c r="BS382"/>
      <c r="BT382"/>
      <c r="BU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row>
    <row r="383" spans="1:122" ht="1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509"/>
      <c r="Y383" s="509"/>
      <c r="BR383"/>
      <c r="BS383"/>
      <c r="BT383"/>
      <c r="BU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row>
    <row r="384" spans="1:122" ht="1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509"/>
      <c r="Y384" s="509"/>
      <c r="BR384"/>
      <c r="BS384"/>
      <c r="BT384"/>
      <c r="BU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row>
    <row r="385" spans="1:122" ht="1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509"/>
      <c r="Y385" s="509"/>
      <c r="BR385"/>
      <c r="BS385"/>
      <c r="BT385"/>
      <c r="BU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row>
    <row r="386" spans="1:122" ht="1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509"/>
      <c r="Y386" s="509"/>
      <c r="BR386"/>
      <c r="BS386"/>
      <c r="BT386"/>
      <c r="BU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row>
    <row r="387" spans="1:122" ht="1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509"/>
      <c r="Y387" s="509"/>
      <c r="BR387"/>
      <c r="BS387"/>
      <c r="BT387"/>
      <c r="BU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row>
    <row r="388" spans="1:122" ht="1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509"/>
      <c r="Y388" s="509"/>
      <c r="BR388"/>
      <c r="BS388"/>
      <c r="BT388"/>
      <c r="BU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row>
    <row r="389" spans="1:122" ht="1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509"/>
      <c r="Y389" s="509"/>
      <c r="BR389"/>
      <c r="BS389"/>
      <c r="BT389"/>
      <c r="BU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row>
    <row r="390" spans="1:122" ht="1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509"/>
      <c r="Y390" s="509"/>
      <c r="BR390"/>
      <c r="BS390"/>
      <c r="BT390"/>
      <c r="BU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row>
    <row r="391" spans="1:122" ht="1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509"/>
      <c r="Y391" s="509"/>
      <c r="BR391"/>
      <c r="BS391"/>
      <c r="BT391"/>
      <c r="BU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row>
    <row r="392" spans="1:122" ht="1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509"/>
      <c r="Y392" s="509"/>
      <c r="BR392"/>
      <c r="BS392"/>
      <c r="BT392"/>
      <c r="BU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row>
    <row r="393" spans="1:122" ht="1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509"/>
      <c r="Y393" s="509"/>
      <c r="BR393"/>
      <c r="BS393"/>
      <c r="BT393"/>
      <c r="BU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row>
    <row r="394" spans="1:122" ht="1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509"/>
      <c r="Y394" s="509"/>
      <c r="BR394"/>
      <c r="BS394"/>
      <c r="BT394"/>
      <c r="BU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row>
    <row r="395" spans="1:122" ht="1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509"/>
      <c r="Y395" s="509"/>
      <c r="BR395"/>
      <c r="BS395"/>
      <c r="BT395"/>
      <c r="BU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row>
    <row r="396" spans="1:122" ht="1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509"/>
      <c r="Y396" s="509"/>
      <c r="BR396"/>
      <c r="BS396"/>
      <c r="BT396"/>
      <c r="BU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row>
    <row r="397" spans="1:122" ht="1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509"/>
      <c r="Y397" s="509"/>
      <c r="BR397"/>
      <c r="BS397"/>
      <c r="BT397"/>
      <c r="BU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row>
    <row r="398" spans="1:122" ht="1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509"/>
      <c r="Y398" s="509"/>
      <c r="BR398"/>
      <c r="BS398"/>
      <c r="BT398"/>
      <c r="BU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row>
    <row r="399" spans="1:122" ht="1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509"/>
      <c r="Y399" s="509"/>
      <c r="BR399"/>
      <c r="BS399"/>
      <c r="BT399"/>
      <c r="BU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row>
    <row r="400" spans="1:122" ht="1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509"/>
      <c r="Y400" s="509"/>
      <c r="BR400"/>
      <c r="BS400"/>
      <c r="BT400"/>
      <c r="BU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row>
    <row r="401" spans="1:122" ht="1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509"/>
      <c r="Y401" s="509"/>
      <c r="BR401"/>
      <c r="BS401"/>
      <c r="BT401"/>
      <c r="BU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row>
    <row r="402" spans="1:122" ht="1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509"/>
      <c r="Y402" s="509"/>
      <c r="BR402"/>
      <c r="BS402"/>
      <c r="BT402"/>
      <c r="BU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row>
    <row r="403" spans="1:122" ht="1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509"/>
      <c r="Y403" s="509"/>
      <c r="BR403"/>
      <c r="BS403"/>
      <c r="BT403"/>
      <c r="BU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row>
    <row r="404" spans="1:122" ht="1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509"/>
      <c r="Y404" s="509"/>
      <c r="BR404"/>
      <c r="BS404"/>
      <c r="BT404"/>
      <c r="BU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row>
    <row r="405" spans="1:122" ht="1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509"/>
      <c r="Y405" s="509"/>
      <c r="BR405"/>
      <c r="BS405"/>
      <c r="BT405"/>
      <c r="BU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row>
    <row r="406" spans="1:122" ht="1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509"/>
      <c r="Y406" s="509"/>
      <c r="BR406"/>
      <c r="BS406"/>
      <c r="BT406"/>
      <c r="BU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row>
    <row r="407" spans="1:122" ht="1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509"/>
      <c r="Y407" s="509"/>
      <c r="BR407"/>
      <c r="BS407"/>
      <c r="BT407"/>
      <c r="BU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row>
    <row r="408" spans="1:122" ht="1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509"/>
      <c r="Y408" s="509"/>
      <c r="BR408"/>
      <c r="BS408"/>
      <c r="BT408"/>
      <c r="BU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row>
    <row r="409" spans="1:122" ht="1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509"/>
      <c r="Y409" s="509"/>
      <c r="BR409"/>
      <c r="BS409"/>
      <c r="BT409"/>
      <c r="BU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row>
    <row r="410" spans="1:122" ht="1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509"/>
      <c r="Y410" s="509"/>
      <c r="BR410"/>
      <c r="BS410"/>
      <c r="BT410"/>
      <c r="BU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row>
    <row r="411" spans="1:122" ht="1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509"/>
      <c r="Y411" s="509"/>
      <c r="BR411"/>
      <c r="BS411"/>
      <c r="BT411"/>
      <c r="BU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row>
    <row r="412" spans="1:122" ht="1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509"/>
      <c r="Y412" s="509"/>
      <c r="BR412"/>
      <c r="BS412"/>
      <c r="BT412"/>
      <c r="BU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row>
    <row r="413" spans="1:122" ht="1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509"/>
      <c r="Y413" s="509"/>
      <c r="BR413"/>
      <c r="BS413"/>
      <c r="BT413"/>
      <c r="BU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row>
    <row r="414" spans="1:122" ht="1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509"/>
      <c r="Y414" s="509"/>
      <c r="BR414"/>
      <c r="BS414"/>
      <c r="BT414"/>
      <c r="BU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row>
    <row r="415" spans="1:122" ht="1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509"/>
      <c r="Y415" s="509"/>
      <c r="BR415"/>
      <c r="BS415"/>
      <c r="BT415"/>
      <c r="BU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row>
    <row r="416" spans="1:122" ht="1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509"/>
      <c r="Y416" s="509"/>
      <c r="BR416"/>
      <c r="BS416"/>
      <c r="BT416"/>
      <c r="BU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row>
    <row r="417" spans="1:122" ht="1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509"/>
      <c r="Y417" s="509"/>
      <c r="BR417"/>
      <c r="BS417"/>
      <c r="BT417"/>
      <c r="BU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row>
    <row r="418" spans="1:122" ht="1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509"/>
      <c r="Y418" s="509"/>
      <c r="BR418"/>
      <c r="BS418"/>
      <c r="BT418"/>
      <c r="BU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row>
    <row r="419" spans="1:122" ht="1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509"/>
      <c r="Y419" s="509"/>
      <c r="BR419"/>
      <c r="BS419"/>
      <c r="BT419"/>
      <c r="BU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row>
    <row r="420" spans="1:122" ht="1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509"/>
      <c r="Y420" s="509"/>
      <c r="BR420"/>
      <c r="BS420"/>
      <c r="BT420"/>
      <c r="BU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row>
    <row r="421" spans="1:122" ht="1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509"/>
      <c r="Y421" s="509"/>
      <c r="BR421"/>
      <c r="BS421"/>
      <c r="BT421"/>
      <c r="BU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row>
    <row r="422" spans="1:122" ht="1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509"/>
      <c r="Y422" s="509"/>
      <c r="BR422"/>
      <c r="BS422"/>
      <c r="BT422"/>
      <c r="BU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row>
    <row r="423" spans="1:122" ht="1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509"/>
      <c r="Y423" s="509"/>
      <c r="BR423"/>
      <c r="BS423"/>
      <c r="BT423"/>
      <c r="BU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row>
    <row r="424" spans="1:122" ht="1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509"/>
      <c r="Y424" s="509"/>
      <c r="BR424"/>
      <c r="BS424"/>
      <c r="BT424"/>
      <c r="BU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row>
    <row r="425" spans="1:122" ht="1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509"/>
      <c r="Y425" s="509"/>
      <c r="BR425"/>
      <c r="BS425"/>
      <c r="BT425"/>
      <c r="BU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row>
    <row r="426" spans="1:122" ht="1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509"/>
      <c r="Y426" s="509"/>
      <c r="BR426"/>
      <c r="BS426"/>
      <c r="BT426"/>
      <c r="BU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row>
    <row r="427" spans="1:122" ht="1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509"/>
      <c r="Y427" s="509"/>
      <c r="BR427"/>
      <c r="BS427"/>
      <c r="BT427"/>
      <c r="BU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row>
    <row r="428" spans="1:122" ht="1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509"/>
      <c r="Y428" s="509"/>
      <c r="BR428"/>
      <c r="BS428"/>
      <c r="BT428"/>
      <c r="BU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row>
    <row r="429" spans="1:122" ht="1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509"/>
      <c r="Y429" s="509"/>
      <c r="BR429"/>
      <c r="BS429"/>
      <c r="BT429"/>
      <c r="BU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row>
    <row r="430" spans="1:122" ht="1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509"/>
      <c r="Y430" s="509"/>
      <c r="BR430"/>
      <c r="BS430"/>
      <c r="BT430"/>
      <c r="BU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row>
    <row r="431" spans="1:122" ht="1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509"/>
      <c r="Y431" s="509"/>
      <c r="BR431"/>
      <c r="BS431"/>
      <c r="BT431"/>
      <c r="BU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row>
    <row r="432" spans="1:122" ht="1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509"/>
      <c r="Y432" s="509"/>
      <c r="BR432"/>
      <c r="BS432"/>
      <c r="BT432"/>
      <c r="BU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row>
    <row r="433" spans="1:122" ht="1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509"/>
      <c r="Y433" s="509"/>
      <c r="BR433"/>
      <c r="BS433"/>
      <c r="BT433"/>
      <c r="BU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row>
    <row r="434" spans="1:122" ht="1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509"/>
      <c r="Y434" s="509"/>
      <c r="BR434"/>
      <c r="BS434"/>
      <c r="BT434"/>
      <c r="BU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row>
    <row r="435" spans="1:122" ht="1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509"/>
      <c r="Y435" s="509"/>
      <c r="BR435"/>
      <c r="BS435"/>
      <c r="BT435"/>
      <c r="BU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row>
    <row r="436" spans="1:122" ht="1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509"/>
      <c r="Y436" s="509"/>
      <c r="BR436"/>
      <c r="BS436"/>
      <c r="BT436"/>
      <c r="BU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row>
    <row r="437" spans="1:122" ht="1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509"/>
      <c r="Y437" s="509"/>
      <c r="BR437"/>
      <c r="BS437"/>
      <c r="BT437"/>
      <c r="BU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row>
    <row r="438" spans="1:122" ht="1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509"/>
      <c r="Y438" s="509"/>
      <c r="BR438"/>
      <c r="BS438"/>
      <c r="BT438"/>
      <c r="BU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row>
    <row r="439" spans="1:122" ht="1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509"/>
      <c r="Y439" s="509"/>
      <c r="BR439"/>
      <c r="BS439"/>
      <c r="BT439"/>
      <c r="BU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row>
    <row r="440" spans="1:122" ht="1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509"/>
      <c r="Y440" s="509"/>
      <c r="BR440"/>
      <c r="BS440"/>
      <c r="BT440"/>
      <c r="BU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row>
    <row r="441" spans="1:122" ht="1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509"/>
      <c r="Y441" s="509"/>
      <c r="BR441"/>
      <c r="BS441"/>
      <c r="BT441"/>
      <c r="BU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row>
    <row r="442" spans="1:122" ht="1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509"/>
      <c r="Y442" s="509"/>
      <c r="BR442"/>
      <c r="BS442"/>
      <c r="BT442"/>
      <c r="BU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row>
    <row r="443" spans="1:122" ht="1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509"/>
      <c r="Y443" s="509"/>
      <c r="BR443"/>
      <c r="BS443"/>
      <c r="BT443"/>
      <c r="BU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row>
    <row r="444" spans="1:122" ht="1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509"/>
      <c r="Y444" s="509"/>
      <c r="BR444"/>
      <c r="BS444"/>
      <c r="BT444"/>
      <c r="BU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row>
    <row r="445" spans="1:122" ht="1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509"/>
      <c r="Y445" s="509"/>
      <c r="BR445"/>
      <c r="BS445"/>
      <c r="BT445"/>
      <c r="BU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row>
    <row r="446" spans="1:122" ht="1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509"/>
      <c r="Y446" s="509"/>
      <c r="BR446"/>
      <c r="BS446"/>
      <c r="BT446"/>
      <c r="BU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row>
    <row r="447" spans="1:122" ht="1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509"/>
      <c r="Y447" s="509"/>
      <c r="BR447"/>
      <c r="BS447"/>
      <c r="BT447"/>
      <c r="BU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row>
    <row r="448" spans="1:122" ht="1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509"/>
      <c r="Y448" s="509"/>
      <c r="BR448"/>
      <c r="BS448"/>
      <c r="BT448"/>
      <c r="BU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row>
    <row r="449" spans="1:122" ht="1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509"/>
      <c r="Y449" s="509"/>
      <c r="BR449"/>
      <c r="BS449"/>
      <c r="BT449"/>
      <c r="BU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row>
    <row r="450" spans="1:122" ht="1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509"/>
      <c r="Y450" s="509"/>
      <c r="BR450"/>
      <c r="BS450"/>
      <c r="BT450"/>
      <c r="BU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row>
    <row r="451" spans="1:122" ht="1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509"/>
      <c r="Y451" s="509"/>
      <c r="BR451"/>
      <c r="BS451"/>
      <c r="BT451"/>
      <c r="BU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row>
    <row r="452" spans="1:122" ht="1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509"/>
      <c r="Y452" s="509"/>
      <c r="BR452"/>
      <c r="BS452"/>
      <c r="BT452"/>
      <c r="BU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row>
    <row r="453" spans="1:122" ht="1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509"/>
      <c r="Y453" s="509"/>
      <c r="BR453"/>
      <c r="BS453"/>
      <c r="BT453"/>
      <c r="BU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row>
    <row r="454" spans="1:122" ht="1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509"/>
      <c r="Y454" s="509"/>
      <c r="BR454"/>
      <c r="BS454"/>
      <c r="BT454"/>
      <c r="BU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row>
    <row r="455" spans="1:122" ht="1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509"/>
      <c r="Y455" s="509"/>
      <c r="BR455"/>
      <c r="BS455"/>
      <c r="BT455"/>
      <c r="BU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row>
    <row r="456" spans="1:122" ht="1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509"/>
      <c r="Y456" s="509"/>
      <c r="BR456"/>
      <c r="BS456"/>
      <c r="BT456"/>
      <c r="BU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row>
    <row r="457" spans="1:122" ht="1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509"/>
      <c r="Y457" s="509"/>
      <c r="BR457"/>
      <c r="BS457"/>
      <c r="BT457"/>
      <c r="BU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row>
    <row r="458" spans="1:122" ht="1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509"/>
      <c r="Y458" s="509"/>
      <c r="BR458"/>
      <c r="BS458"/>
      <c r="BT458"/>
      <c r="BU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row>
    <row r="459" spans="1:122" ht="1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509"/>
      <c r="Y459" s="509"/>
      <c r="BR459"/>
      <c r="BS459"/>
      <c r="BT459"/>
      <c r="BU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row>
    <row r="460" spans="1:122" ht="1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509"/>
      <c r="Y460" s="509"/>
      <c r="BR460"/>
      <c r="BS460"/>
      <c r="BT460"/>
      <c r="BU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row>
    <row r="461" spans="1:122" ht="1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509"/>
      <c r="Y461" s="509"/>
      <c r="BR461"/>
      <c r="BS461"/>
      <c r="BT461"/>
      <c r="BU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row>
    <row r="462" spans="1:122" ht="1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509"/>
      <c r="Y462" s="509"/>
      <c r="BR462"/>
      <c r="BS462"/>
      <c r="BT462"/>
      <c r="BU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row>
    <row r="463" spans="1:122" ht="1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509"/>
      <c r="Y463" s="509"/>
      <c r="BR463"/>
      <c r="BS463"/>
      <c r="BT463"/>
      <c r="BU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row>
    <row r="464" spans="1:122" ht="1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509"/>
      <c r="Y464" s="509"/>
      <c r="BR464"/>
      <c r="BS464"/>
      <c r="BT464"/>
      <c r="BU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row>
    <row r="465" spans="1:122" ht="1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509"/>
      <c r="Y465" s="509"/>
      <c r="BR465"/>
      <c r="BS465"/>
      <c r="BT465"/>
      <c r="BU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row>
    <row r="466" spans="1:122" ht="1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509"/>
      <c r="Y466" s="509"/>
      <c r="BR466"/>
      <c r="BS466"/>
      <c r="BT466"/>
      <c r="BU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row>
    <row r="467" spans="1:122" ht="1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509"/>
      <c r="Y467" s="509"/>
      <c r="BR467"/>
      <c r="BS467"/>
      <c r="BT467"/>
      <c r="BU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row>
    <row r="468" spans="1:122" ht="1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509"/>
      <c r="Y468" s="509"/>
      <c r="BR468"/>
      <c r="BS468"/>
      <c r="BT468"/>
      <c r="BU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row>
    <row r="469" spans="1:122" ht="1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509"/>
      <c r="Y469" s="509"/>
      <c r="BR469"/>
      <c r="BS469"/>
      <c r="BT469"/>
      <c r="BU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row>
    <row r="470" spans="1:122" ht="1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509"/>
      <c r="Y470" s="509"/>
      <c r="BR470"/>
      <c r="BS470"/>
      <c r="BT470"/>
      <c r="BU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row>
    <row r="471" spans="1:122" ht="1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509"/>
      <c r="Y471" s="509"/>
      <c r="BR471"/>
      <c r="BS471"/>
      <c r="BT471"/>
      <c r="BU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row>
    <row r="472" spans="1:122" ht="1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509"/>
      <c r="Y472" s="509"/>
      <c r="BR472"/>
      <c r="BS472"/>
      <c r="BT472"/>
      <c r="BU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row>
    <row r="473" spans="1:122" ht="1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509"/>
      <c r="Y473" s="509"/>
      <c r="BR473"/>
      <c r="BS473"/>
      <c r="BT473"/>
      <c r="BU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row>
    <row r="474" spans="1:122" ht="1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509"/>
      <c r="Y474" s="509"/>
      <c r="BR474"/>
      <c r="BS474"/>
      <c r="BT474"/>
      <c r="BU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row>
    <row r="475" spans="1:122" ht="1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509"/>
      <c r="Y475" s="509"/>
      <c r="BR475"/>
      <c r="BS475"/>
      <c r="BT475"/>
      <c r="BU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row>
    <row r="476" spans="1:122" ht="1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509"/>
      <c r="Y476" s="509"/>
      <c r="BR476"/>
      <c r="BS476"/>
      <c r="BT476"/>
      <c r="BU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row>
    <row r="477" spans="1:122" ht="1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509"/>
      <c r="Y477" s="509"/>
      <c r="BR477"/>
      <c r="BS477"/>
      <c r="BT477"/>
      <c r="BU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row>
    <row r="478" spans="1:122" ht="1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509"/>
      <c r="Y478" s="509"/>
      <c r="BR478"/>
      <c r="BS478"/>
      <c r="BT478"/>
      <c r="BU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row>
    <row r="479" spans="1:122" ht="1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509"/>
      <c r="Y479" s="509"/>
      <c r="BR479"/>
      <c r="BS479"/>
      <c r="BT479"/>
      <c r="BU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row>
    <row r="480" spans="1:122" ht="1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509"/>
      <c r="Y480" s="509"/>
      <c r="BR480"/>
      <c r="BS480"/>
      <c r="BT480"/>
      <c r="BU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row>
    <row r="481" spans="1:122" ht="1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509"/>
      <c r="Y481" s="509"/>
      <c r="BR481"/>
      <c r="BS481"/>
      <c r="BT481"/>
      <c r="BU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row>
    <row r="482" spans="1:122" ht="1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509"/>
      <c r="Y482" s="509"/>
      <c r="BR482"/>
      <c r="BS482"/>
      <c r="BT482"/>
      <c r="BU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row>
    <row r="483" spans="1:122" ht="1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509"/>
      <c r="Y483" s="509"/>
      <c r="BR483"/>
      <c r="BS483"/>
      <c r="BT483"/>
      <c r="BU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row>
    <row r="484" spans="1:122" ht="1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509"/>
      <c r="Y484" s="509"/>
      <c r="BR484"/>
      <c r="BS484"/>
      <c r="BT484"/>
      <c r="BU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row>
    <row r="485" spans="1:122" ht="1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509"/>
      <c r="Y485" s="509"/>
      <c r="BR485"/>
      <c r="BS485"/>
      <c r="BT485"/>
      <c r="BU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row>
    <row r="486" spans="1:122" ht="1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509"/>
      <c r="Y486" s="509"/>
      <c r="BR486"/>
      <c r="BS486"/>
      <c r="BT486"/>
      <c r="BU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row>
    <row r="487" spans="1:122" ht="1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509"/>
      <c r="Y487" s="509"/>
      <c r="BR487"/>
      <c r="BS487"/>
      <c r="BT487"/>
      <c r="BU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row>
    <row r="488" spans="1:122" ht="1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509"/>
      <c r="Y488" s="509"/>
      <c r="BR488"/>
      <c r="BS488"/>
      <c r="BT488"/>
      <c r="BU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row>
    <row r="489" spans="1:122" ht="1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509"/>
      <c r="Y489" s="509"/>
      <c r="BR489"/>
      <c r="BS489"/>
      <c r="BT489"/>
      <c r="BU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row>
    <row r="490" spans="1:122" ht="1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509"/>
      <c r="Y490" s="509"/>
      <c r="BR490"/>
      <c r="BS490"/>
      <c r="BT490"/>
      <c r="BU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row>
    <row r="491" spans="1:122" ht="1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509"/>
      <c r="Y491" s="509"/>
      <c r="BR491"/>
      <c r="BS491"/>
      <c r="BT491"/>
      <c r="BU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row>
    <row r="492" spans="1:122" ht="1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509"/>
      <c r="Y492" s="509"/>
      <c r="BR492"/>
      <c r="BS492"/>
      <c r="BT492"/>
      <c r="BU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row>
    <row r="493" spans="1:122" ht="1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509"/>
      <c r="Y493" s="509"/>
      <c r="BR493"/>
      <c r="BS493"/>
      <c r="BT493"/>
      <c r="BU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row>
    <row r="494" spans="1:122" ht="1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509"/>
      <c r="Y494" s="509"/>
      <c r="BR494"/>
      <c r="BS494"/>
      <c r="BT494"/>
      <c r="BU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row>
    <row r="495" spans="1:122" ht="1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509"/>
      <c r="Y495" s="509"/>
      <c r="BR495"/>
      <c r="BS495"/>
      <c r="BT495"/>
      <c r="BU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row>
    <row r="496" spans="1:122" ht="1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509"/>
      <c r="Y496" s="509"/>
      <c r="BR496"/>
      <c r="BS496"/>
      <c r="BT496"/>
      <c r="BU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row>
    <row r="497" spans="1:122" ht="1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509"/>
      <c r="Y497" s="509"/>
      <c r="BR497"/>
      <c r="BS497"/>
      <c r="BT497"/>
      <c r="BU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row>
    <row r="498" spans="1:122" ht="1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509"/>
      <c r="Y498" s="509"/>
      <c r="BR498"/>
      <c r="BS498"/>
      <c r="BT498"/>
      <c r="BU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row>
    <row r="499" spans="1:122" ht="1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509"/>
      <c r="Y499" s="509"/>
      <c r="BR499"/>
      <c r="BS499"/>
      <c r="BT499"/>
      <c r="BU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row>
    <row r="500" spans="1:122" ht="1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509"/>
      <c r="Y500" s="509"/>
      <c r="BR500"/>
      <c r="BS500"/>
      <c r="BT500"/>
      <c r="BU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row>
    <row r="501" spans="1:122" ht="1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509"/>
      <c r="Y501" s="509"/>
      <c r="BR501"/>
      <c r="BS501"/>
      <c r="BT501"/>
      <c r="BU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row>
    <row r="502" spans="1:122" ht="1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509"/>
      <c r="Y502" s="509"/>
      <c r="BR502"/>
      <c r="BS502"/>
      <c r="BT502"/>
      <c r="BU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row>
    <row r="503" spans="1:122" ht="1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509"/>
      <c r="Y503" s="509"/>
      <c r="BR503"/>
      <c r="BS503"/>
      <c r="BT503"/>
      <c r="BU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row>
    <row r="504" spans="1:122" ht="1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509"/>
      <c r="Y504" s="509"/>
      <c r="BR504"/>
      <c r="BS504"/>
      <c r="BT504"/>
      <c r="BU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row>
    <row r="505" spans="1:122" ht="1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509"/>
      <c r="Y505" s="509"/>
      <c r="BR505"/>
      <c r="BS505"/>
      <c r="BT505"/>
      <c r="BU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row>
    <row r="506" spans="1:122" ht="1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509"/>
      <c r="Y506" s="509"/>
      <c r="BR506"/>
      <c r="BS506"/>
      <c r="BT506"/>
      <c r="BU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row>
    <row r="507" spans="1:122" ht="1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509"/>
      <c r="Y507" s="509"/>
      <c r="BR507"/>
      <c r="BS507"/>
      <c r="BT507"/>
      <c r="BU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row>
    <row r="508" spans="1:122" ht="1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509"/>
      <c r="Y508" s="509"/>
      <c r="BR508"/>
      <c r="BS508"/>
      <c r="BT508"/>
      <c r="BU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row>
    <row r="509" spans="1:122" ht="1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509"/>
      <c r="Y509" s="509"/>
      <c r="BR509"/>
      <c r="BS509"/>
      <c r="BT509"/>
      <c r="BU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row>
    <row r="510" spans="1:122" ht="1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509"/>
      <c r="Y510" s="509"/>
      <c r="BR510"/>
      <c r="BS510"/>
      <c r="BT510"/>
      <c r="BU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row>
    <row r="511" spans="1:122" ht="1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509"/>
      <c r="Y511" s="509"/>
      <c r="BR511"/>
      <c r="BS511"/>
      <c r="BT511"/>
      <c r="BU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row>
    <row r="512" spans="1:122" ht="1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509"/>
      <c r="Y512" s="509"/>
      <c r="BR512"/>
      <c r="BS512"/>
      <c r="BT512"/>
      <c r="BU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row>
    <row r="513" spans="1:122" ht="1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509"/>
      <c r="Y513" s="509"/>
      <c r="BR513"/>
      <c r="BS513"/>
      <c r="BT513"/>
      <c r="BU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row>
    <row r="514" spans="1:122" ht="1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509"/>
      <c r="Y514" s="509"/>
      <c r="BR514"/>
      <c r="BS514"/>
      <c r="BT514"/>
      <c r="BU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row>
    <row r="515" spans="1:122" ht="1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509"/>
      <c r="Y515" s="509"/>
      <c r="BR515"/>
      <c r="BS515"/>
      <c r="BT515"/>
      <c r="BU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row>
    <row r="516" spans="1:122" ht="1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509"/>
      <c r="Y516" s="509"/>
      <c r="BR516"/>
      <c r="BS516"/>
      <c r="BT516"/>
      <c r="BU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row>
    <row r="517" spans="1:122" ht="1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509"/>
      <c r="Y517" s="509"/>
      <c r="BR517"/>
      <c r="BS517"/>
      <c r="BT517"/>
      <c r="BU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row>
    <row r="518" spans="1:122" ht="1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509"/>
      <c r="Y518" s="509"/>
      <c r="BR518"/>
      <c r="BS518"/>
      <c r="BT518"/>
      <c r="BU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row>
    <row r="519" spans="1:122" ht="1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509"/>
      <c r="Y519" s="509"/>
      <c r="BR519"/>
      <c r="BS519"/>
      <c r="BT519"/>
      <c r="BU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row>
    <row r="520" spans="1:122" ht="1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509"/>
      <c r="Y520" s="509"/>
      <c r="BR520"/>
      <c r="BS520"/>
      <c r="BT520"/>
      <c r="BU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row>
    <row r="521" spans="1:122" ht="1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509"/>
      <c r="Y521" s="509"/>
      <c r="BR521"/>
      <c r="BS521"/>
      <c r="BT521"/>
      <c r="BU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row>
    <row r="522" spans="1:122" ht="1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509"/>
      <c r="Y522" s="509"/>
      <c r="BR522"/>
      <c r="BS522"/>
      <c r="BT522"/>
      <c r="BU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row>
    <row r="523" spans="1:122" ht="1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509"/>
      <c r="Y523" s="509"/>
      <c r="BR523"/>
      <c r="BS523"/>
      <c r="BT523"/>
      <c r="BU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row>
    <row r="524" spans="1:122" ht="1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509"/>
      <c r="Y524" s="509"/>
      <c r="BR524"/>
      <c r="BS524"/>
      <c r="BT524"/>
      <c r="BU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row>
    <row r="525" spans="1:122" ht="1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509"/>
      <c r="Y525" s="509"/>
      <c r="BR525"/>
      <c r="BS525"/>
      <c r="BT525"/>
      <c r="BU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row>
    <row r="526" spans="1:122" ht="1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509"/>
      <c r="Y526" s="509"/>
      <c r="BR526"/>
      <c r="BS526"/>
      <c r="BT526"/>
      <c r="BU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row>
    <row r="527" spans="1:122" ht="1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509"/>
      <c r="Y527" s="509"/>
      <c r="BR527"/>
      <c r="BS527"/>
      <c r="BT527"/>
      <c r="BU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row>
    <row r="528" spans="1:122" ht="1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509"/>
      <c r="Y528" s="509"/>
      <c r="BR528"/>
      <c r="BS528"/>
      <c r="BT528"/>
      <c r="BU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row>
    <row r="529" spans="1:122" ht="1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509"/>
      <c r="Y529" s="509"/>
      <c r="BR529"/>
      <c r="BS529"/>
      <c r="BT529"/>
      <c r="BU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row>
    <row r="530" spans="1:122" ht="1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509"/>
      <c r="Y530" s="509"/>
      <c r="BR530"/>
      <c r="BS530"/>
      <c r="BT530"/>
      <c r="BU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row>
    <row r="531" spans="1:122" ht="1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509"/>
      <c r="Y531" s="509"/>
      <c r="BR531"/>
      <c r="BS531"/>
      <c r="BT531"/>
      <c r="BU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row>
    <row r="532" spans="1:122" ht="1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509"/>
      <c r="Y532" s="509"/>
      <c r="BR532"/>
      <c r="BS532"/>
      <c r="BT532"/>
      <c r="BU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row>
    <row r="533" spans="1:122" ht="1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509"/>
      <c r="Y533" s="509"/>
      <c r="BR533"/>
      <c r="BS533"/>
      <c r="BT533"/>
      <c r="BU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row>
    <row r="534" spans="1:122" ht="1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509"/>
      <c r="Y534" s="509"/>
      <c r="BR534"/>
      <c r="BS534"/>
      <c r="BT534"/>
      <c r="BU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row>
    <row r="535" spans="1:122" ht="1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509"/>
      <c r="Y535" s="509"/>
      <c r="BR535"/>
      <c r="BS535"/>
      <c r="BT535"/>
      <c r="BU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row>
    <row r="536" spans="1:122" ht="1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509"/>
      <c r="Y536" s="509"/>
      <c r="BR536"/>
      <c r="BS536"/>
      <c r="BT536"/>
      <c r="BU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row>
    <row r="537" spans="1:122" ht="1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509"/>
      <c r="Y537" s="509"/>
      <c r="BR537"/>
      <c r="BS537"/>
      <c r="BT537"/>
      <c r="BU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row>
    <row r="538" spans="1:122" ht="1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509"/>
      <c r="Y538" s="509"/>
      <c r="BR538"/>
      <c r="BS538"/>
      <c r="BT538"/>
      <c r="BU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row>
    <row r="539" spans="1:122" ht="1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509"/>
      <c r="Y539" s="509"/>
      <c r="BR539"/>
      <c r="BS539"/>
      <c r="BT539"/>
      <c r="BU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row>
    <row r="540" spans="1:122" ht="1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509"/>
      <c r="Y540" s="509"/>
      <c r="BR540"/>
      <c r="BS540"/>
      <c r="BT540"/>
      <c r="BU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row>
    <row r="541" spans="1:122" ht="1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509"/>
      <c r="Y541" s="509"/>
      <c r="BR541"/>
      <c r="BS541"/>
      <c r="BT541"/>
      <c r="BU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row>
    <row r="542" spans="1:122" ht="1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509"/>
      <c r="Y542" s="509"/>
      <c r="BR542"/>
      <c r="BS542"/>
      <c r="BT542"/>
      <c r="BU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row>
    <row r="543" spans="1:122" ht="1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509"/>
      <c r="Y543" s="509"/>
      <c r="BR543"/>
      <c r="BS543"/>
      <c r="BT543"/>
      <c r="BU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row>
    <row r="544" spans="1:122" ht="1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509"/>
      <c r="Y544" s="509"/>
      <c r="BR544"/>
      <c r="BS544"/>
      <c r="BT544"/>
      <c r="BU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row>
    <row r="545" spans="1:122" ht="1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509"/>
      <c r="Y545" s="509"/>
      <c r="BR545"/>
      <c r="BS545"/>
      <c r="BT545"/>
      <c r="BU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row>
    <row r="546" spans="1:122" ht="1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509"/>
      <c r="Y546" s="509"/>
      <c r="BR546"/>
      <c r="BS546"/>
      <c r="BT546"/>
      <c r="BU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row>
    <row r="547" spans="1:122" ht="1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509"/>
      <c r="Y547" s="509"/>
      <c r="BR547"/>
      <c r="BS547"/>
      <c r="BT547"/>
      <c r="BU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row>
    <row r="548" spans="1:122" ht="1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509"/>
      <c r="Y548" s="509"/>
      <c r="BR548"/>
      <c r="BS548"/>
      <c r="BT548"/>
      <c r="BU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row>
    <row r="549" spans="1:122" ht="1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509"/>
      <c r="Y549" s="509"/>
      <c r="BR549"/>
      <c r="BS549"/>
      <c r="BT549"/>
      <c r="BU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row>
    <row r="550" spans="1:122" ht="1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509"/>
      <c r="Y550" s="509"/>
      <c r="BR550"/>
      <c r="BS550"/>
      <c r="BT550"/>
      <c r="BU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row>
    <row r="551" spans="1:122" ht="1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509"/>
      <c r="Y551" s="509"/>
      <c r="BR551"/>
      <c r="BS551"/>
      <c r="BT551"/>
      <c r="BU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row>
    <row r="552" spans="1:122" ht="1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509"/>
      <c r="Y552" s="509"/>
      <c r="BR552"/>
      <c r="BS552"/>
      <c r="BT552"/>
      <c r="BU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row>
    <row r="553" spans="1:122" ht="1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509"/>
      <c r="Y553" s="509"/>
      <c r="BR553"/>
      <c r="BS553"/>
      <c r="BT553"/>
      <c r="BU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row>
    <row r="554" spans="1:122" ht="1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509"/>
      <c r="Y554" s="509"/>
      <c r="BR554"/>
      <c r="BS554"/>
      <c r="BT554"/>
      <c r="BU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row>
    <row r="555" spans="1:122" ht="1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509"/>
      <c r="Y555" s="509"/>
      <c r="BR555"/>
      <c r="BS555"/>
      <c r="BT555"/>
      <c r="BU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row>
    <row r="556" spans="1:122" ht="1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509"/>
      <c r="Y556" s="509"/>
      <c r="BR556"/>
      <c r="BS556"/>
      <c r="BT556"/>
      <c r="BU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row>
    <row r="557" spans="1:122" ht="1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509"/>
      <c r="Y557" s="509"/>
      <c r="BR557"/>
      <c r="BS557"/>
      <c r="BT557"/>
      <c r="BU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row>
    <row r="558" spans="1:122" ht="1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509"/>
      <c r="Y558" s="509"/>
      <c r="BR558"/>
      <c r="BS558"/>
      <c r="BT558"/>
      <c r="BU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row>
    <row r="559" spans="1:122" ht="1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509"/>
      <c r="Y559" s="509"/>
      <c r="BR559"/>
      <c r="BS559"/>
      <c r="BT559"/>
      <c r="BU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row>
    <row r="560" spans="1:122" ht="1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509"/>
      <c r="Y560" s="509"/>
      <c r="BR560"/>
      <c r="BS560"/>
      <c r="BT560"/>
      <c r="BU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row>
    <row r="561" spans="1:122" ht="1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509"/>
      <c r="Y561" s="509"/>
      <c r="BR561"/>
      <c r="BS561"/>
      <c r="BT561"/>
      <c r="BU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row>
    <row r="562" spans="1:122" ht="1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509"/>
      <c r="Y562" s="509"/>
      <c r="BR562"/>
      <c r="BS562"/>
      <c r="BT562"/>
      <c r="BU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row>
    <row r="563" spans="1:122" ht="1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509"/>
      <c r="Y563" s="509"/>
      <c r="BR563"/>
      <c r="BS563"/>
      <c r="BT563"/>
      <c r="BU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row>
    <row r="564" spans="1:122" ht="1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509"/>
      <c r="Y564" s="509"/>
      <c r="BR564"/>
      <c r="BS564"/>
      <c r="BT564"/>
      <c r="BU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row>
    <row r="565" spans="1:122" ht="1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509"/>
      <c r="Y565" s="509"/>
      <c r="BR565"/>
      <c r="BS565"/>
      <c r="BT565"/>
      <c r="BU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row>
    <row r="566" spans="1:122" ht="1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509"/>
      <c r="Y566" s="509"/>
      <c r="BR566"/>
      <c r="BS566"/>
      <c r="BT566"/>
      <c r="BU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row>
    <row r="567" spans="1:122" ht="1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509"/>
      <c r="Y567" s="509"/>
      <c r="BR567"/>
      <c r="BS567"/>
      <c r="BT567"/>
      <c r="BU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row>
    <row r="568" spans="1:122" ht="1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509"/>
      <c r="Y568" s="509"/>
      <c r="BR568"/>
      <c r="BS568"/>
      <c r="BT568"/>
      <c r="BU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row>
    <row r="569" spans="1:122" ht="1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509"/>
      <c r="Y569" s="509"/>
      <c r="BR569"/>
      <c r="BS569"/>
      <c r="BT569"/>
      <c r="BU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row>
    <row r="570" spans="1:122" ht="1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509"/>
      <c r="Y570" s="509"/>
      <c r="BR570"/>
      <c r="BS570"/>
      <c r="BT570"/>
      <c r="BU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row>
    <row r="571" spans="1:122" ht="1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509"/>
      <c r="Y571" s="509"/>
      <c r="BR571"/>
      <c r="BS571"/>
      <c r="BT571"/>
      <c r="BU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row>
    <row r="572" spans="1:122" ht="1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509"/>
      <c r="Y572" s="509"/>
      <c r="BR572"/>
      <c r="BS572"/>
      <c r="BT572"/>
      <c r="BU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row>
    <row r="573" spans="1:122" ht="1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509"/>
      <c r="Y573" s="509"/>
      <c r="BR573"/>
      <c r="BS573"/>
      <c r="BT573"/>
      <c r="BU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row>
    <row r="574" spans="1:122" ht="1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509"/>
      <c r="Y574" s="509"/>
      <c r="BR574"/>
      <c r="BS574"/>
      <c r="BT574"/>
      <c r="BU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row>
    <row r="575" spans="1:122" ht="1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509"/>
      <c r="Y575" s="509"/>
      <c r="BR575"/>
      <c r="BS575"/>
      <c r="BT575"/>
      <c r="BU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row>
    <row r="576" spans="1:122" ht="1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509"/>
      <c r="Y576" s="509"/>
      <c r="BR576"/>
      <c r="BS576"/>
      <c r="BT576"/>
      <c r="BU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row>
    <row r="577" spans="1:122" ht="1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509"/>
      <c r="Y577" s="509"/>
      <c r="BR577"/>
      <c r="BS577"/>
      <c r="BT577"/>
      <c r="BU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row>
    <row r="578" spans="1:122" ht="1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509"/>
      <c r="Y578" s="509"/>
      <c r="BR578"/>
      <c r="BS578"/>
      <c r="BT578"/>
      <c r="BU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row>
    <row r="579" spans="1:122" ht="1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509"/>
      <c r="Y579" s="509"/>
      <c r="BR579"/>
      <c r="BS579"/>
      <c r="BT579"/>
      <c r="BU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row>
    <row r="580" spans="1:122" ht="1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509"/>
      <c r="Y580" s="509"/>
      <c r="BR580"/>
      <c r="BS580"/>
      <c r="BT580"/>
      <c r="BU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row>
    <row r="581" spans="1:122" ht="1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509"/>
      <c r="Y581" s="509"/>
      <c r="BR581"/>
      <c r="BS581"/>
      <c r="BT581"/>
      <c r="BU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row>
    <row r="582" spans="1:122" ht="1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509"/>
      <c r="Y582" s="509"/>
      <c r="BR582"/>
      <c r="BS582"/>
      <c r="BT582"/>
      <c r="BU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row>
    <row r="583" spans="1:122" ht="1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509"/>
      <c r="Y583" s="509"/>
      <c r="BR583"/>
      <c r="BS583"/>
      <c r="BT583"/>
      <c r="BU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row>
    <row r="584" spans="1:122" ht="1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509"/>
      <c r="Y584" s="509"/>
      <c r="BR584"/>
      <c r="BS584"/>
      <c r="BT584"/>
      <c r="BU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row>
    <row r="585" spans="1:122" ht="1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509"/>
      <c r="Y585" s="509"/>
      <c r="BR585"/>
      <c r="BS585"/>
      <c r="BT585"/>
      <c r="BU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row>
    <row r="586" spans="1:122" ht="1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509"/>
      <c r="Y586" s="509"/>
      <c r="BR586"/>
      <c r="BS586"/>
      <c r="BT586"/>
      <c r="BU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row>
    <row r="587" spans="1:122" ht="1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509"/>
      <c r="Y587" s="509"/>
      <c r="BR587"/>
      <c r="BS587"/>
      <c r="BT587"/>
      <c r="BU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row>
    <row r="588" spans="1:122" ht="1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509"/>
      <c r="Y588" s="509"/>
      <c r="BR588"/>
      <c r="BS588"/>
      <c r="BT588"/>
      <c r="BU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row>
    <row r="589" spans="1:122" ht="1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509"/>
      <c r="Y589" s="509"/>
      <c r="BR589"/>
      <c r="BS589"/>
      <c r="BT589"/>
      <c r="BU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row>
    <row r="590" spans="1:122" ht="1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509"/>
      <c r="Y590" s="509"/>
      <c r="BR590"/>
      <c r="BS590"/>
      <c r="BT590"/>
      <c r="BU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row>
    <row r="591" spans="1:122" ht="1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509"/>
      <c r="Y591" s="509"/>
      <c r="BR591"/>
      <c r="BS591"/>
      <c r="BT591"/>
      <c r="BU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row>
    <row r="592" spans="1:122" ht="1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509"/>
      <c r="Y592" s="509"/>
      <c r="BR592"/>
      <c r="BS592"/>
      <c r="BT592"/>
      <c r="BU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row>
    <row r="593" spans="1:122" ht="1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509"/>
      <c r="Y593" s="509"/>
      <c r="BR593"/>
      <c r="BS593"/>
      <c r="BT593"/>
      <c r="BU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row>
    <row r="594" spans="1:122" ht="1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509"/>
      <c r="Y594" s="509"/>
      <c r="BR594"/>
      <c r="BS594"/>
      <c r="BT594"/>
      <c r="BU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row>
    <row r="595" spans="1:122" ht="1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509"/>
      <c r="Y595" s="509"/>
      <c r="BR595"/>
      <c r="BS595"/>
      <c r="BT595"/>
      <c r="BU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row>
    <row r="596" spans="1:122" ht="1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509"/>
      <c r="Y596" s="509"/>
      <c r="BR596"/>
      <c r="BS596"/>
      <c r="BT596"/>
      <c r="BU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row>
    <row r="597" spans="1:122" ht="1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509"/>
      <c r="Y597" s="509"/>
      <c r="BR597"/>
      <c r="BS597"/>
      <c r="BT597"/>
      <c r="BU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row>
    <row r="598" spans="1:122" ht="1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509"/>
      <c r="Y598" s="509"/>
      <c r="BR598"/>
      <c r="BS598"/>
      <c r="BT598"/>
      <c r="BU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row>
    <row r="599" spans="1:122" ht="1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509"/>
      <c r="Y599" s="509"/>
      <c r="BR599"/>
      <c r="BS599"/>
      <c r="BT599"/>
      <c r="BU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row>
    <row r="600" spans="1:122" ht="1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509"/>
      <c r="Y600" s="509"/>
      <c r="BR600"/>
      <c r="BS600"/>
      <c r="BT600"/>
      <c r="BU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row>
    <row r="601" spans="1:122" ht="1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509"/>
      <c r="Y601" s="509"/>
      <c r="BR601"/>
      <c r="BS601"/>
      <c r="BT601"/>
      <c r="BU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row>
    <row r="602" spans="1:122" ht="1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509"/>
      <c r="Y602" s="509"/>
      <c r="BR602"/>
      <c r="BS602"/>
      <c r="BT602"/>
      <c r="BU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row>
    <row r="603" spans="1:122" ht="1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509"/>
      <c r="Y603" s="509"/>
      <c r="BR603"/>
      <c r="BS603"/>
      <c r="BT603"/>
      <c r="BU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row>
    <row r="604" spans="1:122" ht="1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509"/>
      <c r="Y604" s="509"/>
      <c r="BR604"/>
      <c r="BS604"/>
      <c r="BT604"/>
      <c r="BU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row>
    <row r="605" spans="1:122" ht="1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509"/>
      <c r="Y605" s="509"/>
      <c r="BR605"/>
      <c r="BS605"/>
      <c r="BT605"/>
      <c r="BU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row>
    <row r="606" spans="1:122" ht="1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509"/>
      <c r="Y606" s="509"/>
      <c r="BR606"/>
      <c r="BS606"/>
      <c r="BT606"/>
      <c r="BU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row>
    <row r="607" spans="1:122" ht="1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509"/>
      <c r="Y607" s="509"/>
      <c r="BR607"/>
      <c r="BS607"/>
      <c r="BT607"/>
      <c r="BU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row>
    <row r="608" spans="1:122" ht="1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509"/>
      <c r="Y608" s="509"/>
      <c r="BR608"/>
      <c r="BS608"/>
      <c r="BT608"/>
      <c r="BU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row>
    <row r="609" spans="1:122" ht="1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509"/>
      <c r="Y609" s="509"/>
      <c r="BR609"/>
      <c r="BS609"/>
      <c r="BT609"/>
      <c r="BU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row>
    <row r="610" spans="1:122" ht="1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509"/>
      <c r="Y610" s="509"/>
      <c r="BR610"/>
      <c r="BS610"/>
      <c r="BT610"/>
      <c r="BU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row>
    <row r="611" spans="1:122" ht="1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509"/>
      <c r="Y611" s="509"/>
      <c r="BR611"/>
      <c r="BS611"/>
      <c r="BT611"/>
      <c r="BU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row>
    <row r="612" spans="1:122" ht="1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509"/>
      <c r="Y612" s="509"/>
      <c r="BR612"/>
      <c r="BS612"/>
      <c r="BT612"/>
      <c r="BU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row>
    <row r="613" spans="1:122" ht="1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509"/>
      <c r="Y613" s="509"/>
      <c r="BR613"/>
      <c r="BS613"/>
      <c r="BT613"/>
      <c r="BU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row>
    <row r="614" spans="1:122" ht="1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509"/>
      <c r="Y614" s="509"/>
      <c r="BR614"/>
      <c r="BS614"/>
      <c r="BT614"/>
      <c r="BU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row>
    <row r="615" spans="1:122" ht="1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509"/>
      <c r="Y615" s="509"/>
      <c r="BR615"/>
      <c r="BS615"/>
      <c r="BT615"/>
      <c r="BU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row>
    <row r="616" spans="1:122" ht="1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509"/>
      <c r="Y616" s="509"/>
      <c r="BR616"/>
      <c r="BS616"/>
      <c r="BT616"/>
      <c r="BU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row>
    <row r="617" spans="1:122" ht="1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509"/>
      <c r="Y617" s="509"/>
      <c r="BR617"/>
      <c r="BS617"/>
      <c r="BT617"/>
      <c r="BU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row>
    <row r="618" spans="1:122" ht="1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509"/>
      <c r="Y618" s="509"/>
      <c r="BR618"/>
      <c r="BS618"/>
      <c r="BT618"/>
      <c r="BU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row>
    <row r="619" spans="1:122" ht="1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509"/>
      <c r="Y619" s="509"/>
      <c r="BR619"/>
      <c r="BS619"/>
      <c r="BT619"/>
      <c r="BU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row>
    <row r="620" spans="1:122" ht="1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509"/>
      <c r="Y620" s="509"/>
      <c r="BR620"/>
      <c r="BS620"/>
      <c r="BT620"/>
      <c r="BU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row>
    <row r="621" spans="1:122" ht="1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509"/>
      <c r="Y621" s="509"/>
      <c r="BR621"/>
      <c r="BS621"/>
      <c r="BT621"/>
      <c r="BU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row>
    <row r="622" spans="1:122" ht="1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509"/>
      <c r="Y622" s="509"/>
      <c r="BR622"/>
      <c r="BS622"/>
      <c r="BT622"/>
      <c r="BU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row>
    <row r="623" spans="1:122" ht="1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509"/>
      <c r="Y623" s="509"/>
      <c r="BR623"/>
      <c r="BS623"/>
      <c r="BT623"/>
      <c r="BU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row>
    <row r="624" spans="1:122" ht="1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509"/>
      <c r="Y624" s="509"/>
      <c r="BR624"/>
      <c r="BS624"/>
      <c r="BT624"/>
      <c r="BU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row>
    <row r="625" spans="1:122" ht="1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509"/>
      <c r="Y625" s="509"/>
      <c r="BR625"/>
      <c r="BS625"/>
      <c r="BT625"/>
      <c r="BU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row>
    <row r="626" spans="1:122" ht="1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509"/>
      <c r="Y626" s="509"/>
      <c r="BR626"/>
      <c r="BS626"/>
      <c r="BT626"/>
      <c r="BU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row>
    <row r="627" spans="1:122" ht="1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509"/>
      <c r="Y627" s="509"/>
      <c r="BR627"/>
      <c r="BS627"/>
      <c r="BT627"/>
      <c r="BU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row>
    <row r="628" spans="1:122" ht="1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509"/>
      <c r="Y628" s="509"/>
      <c r="BR628"/>
      <c r="BS628"/>
      <c r="BT628"/>
      <c r="BU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row>
    <row r="629" spans="1:122" ht="1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509"/>
      <c r="Y629" s="509"/>
      <c r="BR629"/>
      <c r="BS629"/>
      <c r="BT629"/>
      <c r="BU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row>
    <row r="630" spans="1:122" ht="1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509"/>
      <c r="Y630" s="509"/>
      <c r="BR630"/>
      <c r="BS630"/>
      <c r="BT630"/>
      <c r="BU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row>
    <row r="631" spans="1:122" ht="1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509"/>
      <c r="Y631" s="509"/>
      <c r="BR631"/>
      <c r="BS631"/>
      <c r="BT631"/>
      <c r="BU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row>
    <row r="632" spans="1:122" ht="1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509"/>
      <c r="Y632" s="509"/>
      <c r="BR632"/>
      <c r="BS632"/>
      <c r="BT632"/>
      <c r="BU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row>
    <row r="633" spans="1:122" ht="1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509"/>
      <c r="Y633" s="509"/>
      <c r="BR633"/>
      <c r="BS633"/>
      <c r="BT633"/>
      <c r="BU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row>
    <row r="634" spans="1:122" ht="1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509"/>
      <c r="Y634" s="509"/>
      <c r="BR634"/>
      <c r="BS634"/>
      <c r="BT634"/>
      <c r="BU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row>
    <row r="635" spans="1:122" ht="1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509"/>
      <c r="Y635" s="509"/>
      <c r="BR635"/>
      <c r="BS635"/>
      <c r="BT635"/>
      <c r="BU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row>
    <row r="636" spans="1:122" ht="1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509"/>
      <c r="Y636" s="509"/>
      <c r="BR636"/>
      <c r="BS636"/>
      <c r="BT636"/>
      <c r="BU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row>
    <row r="637" spans="1:122" ht="1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509"/>
      <c r="Y637" s="509"/>
      <c r="BR637"/>
      <c r="BS637"/>
      <c r="BT637"/>
      <c r="BU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row>
    <row r="638" spans="1:122" ht="1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509"/>
      <c r="Y638" s="509"/>
      <c r="BR638"/>
      <c r="BS638"/>
      <c r="BT638"/>
      <c r="BU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row>
    <row r="639" spans="1:122" ht="1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509"/>
      <c r="Y639" s="509"/>
      <c r="BR639"/>
      <c r="BS639"/>
      <c r="BT639"/>
      <c r="BU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row>
    <row r="640" spans="1:122" ht="1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509"/>
      <c r="Y640" s="509"/>
      <c r="BR640"/>
      <c r="BS640"/>
      <c r="BT640"/>
      <c r="BU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row>
    <row r="641" spans="1:122" ht="1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509"/>
      <c r="Y641" s="509"/>
      <c r="BR641"/>
      <c r="BS641"/>
      <c r="BT641"/>
      <c r="BU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row>
    <row r="642" spans="1:122" ht="1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509"/>
      <c r="Y642" s="509"/>
      <c r="BR642"/>
      <c r="BS642"/>
      <c r="BT642"/>
      <c r="BU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row>
    <row r="643" spans="1:122" ht="1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509"/>
      <c r="Y643" s="509"/>
      <c r="BR643"/>
      <c r="BS643"/>
      <c r="BT643"/>
      <c r="BU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row>
    <row r="644" spans="1:122" ht="1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509"/>
      <c r="Y644" s="509"/>
      <c r="BR644"/>
      <c r="BS644"/>
      <c r="BT644"/>
      <c r="BU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row>
    <row r="645" spans="1:122" ht="1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509"/>
      <c r="Y645" s="509"/>
      <c r="BR645"/>
      <c r="BS645"/>
      <c r="BT645"/>
      <c r="BU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row>
    <row r="646" spans="1:122" ht="1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509"/>
      <c r="Y646" s="509"/>
      <c r="BR646"/>
      <c r="BS646"/>
      <c r="BT646"/>
      <c r="BU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row>
    <row r="647" spans="1:122" ht="1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509"/>
      <c r="Y647" s="509"/>
      <c r="BR647"/>
      <c r="BS647"/>
      <c r="BT647"/>
      <c r="BU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row>
    <row r="648" spans="1:122" ht="1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509"/>
      <c r="Y648" s="509"/>
      <c r="BR648"/>
      <c r="BS648"/>
      <c r="BT648"/>
      <c r="BU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row>
    <row r="649" spans="1:122" ht="1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509"/>
      <c r="Y649" s="509"/>
      <c r="BR649"/>
      <c r="BS649"/>
      <c r="BT649"/>
      <c r="BU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row>
    <row r="650" spans="1:122" ht="1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509"/>
      <c r="Y650" s="509"/>
      <c r="BR650"/>
      <c r="BS650"/>
      <c r="BT650"/>
      <c r="BU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row>
    <row r="651" spans="1:122" ht="1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509"/>
      <c r="Y651" s="509"/>
      <c r="BR651"/>
      <c r="BS651"/>
      <c r="BT651"/>
      <c r="BU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row>
    <row r="652" spans="1:122" ht="1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509"/>
      <c r="Y652" s="509"/>
      <c r="BR652"/>
      <c r="BS652"/>
      <c r="BT652"/>
      <c r="BU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row>
    <row r="653" spans="1:122" ht="1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509"/>
      <c r="Y653" s="509"/>
      <c r="BR653"/>
      <c r="BS653"/>
      <c r="BT653"/>
      <c r="BU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row>
    <row r="654" spans="1:122" ht="1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509"/>
      <c r="Y654" s="509"/>
      <c r="BR654"/>
      <c r="BS654"/>
      <c r="BT654"/>
      <c r="BU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row>
    <row r="655" spans="1:122" ht="1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509"/>
      <c r="Y655" s="509"/>
      <c r="BR655"/>
      <c r="BS655"/>
      <c r="BT655"/>
      <c r="BU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row>
    <row r="656" spans="1:122" ht="1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509"/>
      <c r="Y656" s="509"/>
      <c r="BR656"/>
      <c r="BS656"/>
      <c r="BT656"/>
      <c r="BU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row>
    <row r="657" spans="1:122" ht="1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509"/>
      <c r="Y657" s="509"/>
      <c r="BR657"/>
      <c r="BS657"/>
      <c r="BT657"/>
      <c r="BU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row>
    <row r="658" spans="1:122" ht="1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509"/>
      <c r="Y658" s="509"/>
      <c r="BR658"/>
      <c r="BS658"/>
      <c r="BT658"/>
      <c r="BU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row>
    <row r="659" spans="1:122" ht="1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509"/>
      <c r="Y659" s="509"/>
      <c r="BR659"/>
      <c r="BS659"/>
      <c r="BT659"/>
      <c r="BU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row>
    <row r="660" spans="1:122" ht="1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509"/>
      <c r="Y660" s="509"/>
      <c r="BR660"/>
      <c r="BS660"/>
      <c r="BT660"/>
      <c r="BU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row>
    <row r="661" spans="1:122" ht="1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509"/>
      <c r="Y661" s="509"/>
      <c r="BR661"/>
      <c r="BS661"/>
      <c r="BT661"/>
      <c r="BU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row>
    <row r="662" spans="1:122" ht="1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509"/>
      <c r="Y662" s="509"/>
      <c r="BR662"/>
      <c r="BS662"/>
      <c r="BT662"/>
      <c r="BU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row>
    <row r="663" spans="1:122" ht="1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509"/>
      <c r="Y663" s="509"/>
      <c r="BR663"/>
      <c r="BS663"/>
      <c r="BT663"/>
      <c r="BU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row>
    <row r="664" spans="1:122" ht="1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509"/>
      <c r="Y664" s="509"/>
      <c r="BR664"/>
      <c r="BS664"/>
      <c r="BT664"/>
      <c r="BU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row>
    <row r="665" spans="1:122" ht="1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509"/>
      <c r="Y665" s="509"/>
      <c r="BR665"/>
      <c r="BS665"/>
      <c r="BT665"/>
      <c r="BU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row>
    <row r="666" spans="1:122" ht="1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509"/>
      <c r="Y666" s="509"/>
      <c r="BR666"/>
      <c r="BS666"/>
      <c r="BT666"/>
      <c r="BU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row>
    <row r="667" spans="1:122" ht="1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509"/>
      <c r="Y667" s="509"/>
      <c r="BR667"/>
      <c r="BS667"/>
      <c r="BT667"/>
      <c r="BU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row>
    <row r="668" spans="1:122" ht="1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509"/>
      <c r="Y668" s="509"/>
      <c r="BR668"/>
      <c r="BS668"/>
      <c r="BT668"/>
      <c r="BU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row>
    <row r="669" spans="1:122" ht="1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509"/>
      <c r="Y669" s="509"/>
      <c r="BR669"/>
      <c r="BS669"/>
      <c r="BT669"/>
      <c r="BU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row>
    <row r="670" spans="1:122" ht="1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509"/>
      <c r="Y670" s="509"/>
      <c r="BR670"/>
      <c r="BS670"/>
      <c r="BT670"/>
      <c r="BU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row>
    <row r="671" spans="1:122" ht="1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509"/>
      <c r="Y671" s="509"/>
      <c r="BR671"/>
      <c r="BS671"/>
      <c r="BT671"/>
      <c r="BU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row>
    <row r="672" spans="1:122" ht="1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509"/>
      <c r="Y672" s="509"/>
      <c r="BR672"/>
      <c r="BS672"/>
      <c r="BT672"/>
      <c r="BU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row>
    <row r="673" spans="1:122" ht="1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509"/>
      <c r="Y673" s="509"/>
      <c r="BR673"/>
      <c r="BS673"/>
      <c r="BT673"/>
      <c r="BU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row>
    <row r="674" spans="1:122" ht="1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509"/>
      <c r="Y674" s="509"/>
      <c r="BR674"/>
      <c r="BS674"/>
      <c r="BT674"/>
      <c r="BU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row>
    <row r="675" spans="1:122" ht="1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509"/>
      <c r="Y675" s="509"/>
      <c r="BR675"/>
      <c r="BS675"/>
      <c r="BT675"/>
      <c r="BU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row>
    <row r="676" spans="1:122" ht="1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509"/>
      <c r="Y676" s="509"/>
      <c r="BR676"/>
      <c r="BS676"/>
      <c r="BT676"/>
      <c r="BU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row>
    <row r="677" spans="1:122" ht="1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509"/>
      <c r="Y677" s="509"/>
      <c r="BR677"/>
      <c r="BS677"/>
      <c r="BT677"/>
      <c r="BU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row>
    <row r="678" spans="1:122" ht="1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509"/>
      <c r="Y678" s="509"/>
      <c r="BR678"/>
      <c r="BS678"/>
      <c r="BT678"/>
      <c r="BU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row>
    <row r="679" spans="1:122" ht="1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509"/>
      <c r="Y679" s="509"/>
      <c r="BR679"/>
      <c r="BS679"/>
      <c r="BT679"/>
      <c r="BU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row>
    <row r="680" spans="1:122" ht="1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509"/>
      <c r="Y680" s="509"/>
      <c r="BR680"/>
      <c r="BS680"/>
      <c r="BT680"/>
      <c r="BU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row>
    <row r="681" spans="1:122" ht="1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509"/>
      <c r="Y681" s="509"/>
      <c r="BR681"/>
      <c r="BS681"/>
      <c r="BT681"/>
      <c r="BU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row>
    <row r="682" spans="1:122" ht="1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509"/>
      <c r="Y682" s="509"/>
      <c r="BR682"/>
      <c r="BS682"/>
      <c r="BT682"/>
      <c r="BU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row>
    <row r="683" spans="1:122" ht="1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509"/>
      <c r="Y683" s="509"/>
      <c r="BR683"/>
      <c r="BS683"/>
      <c r="BT683"/>
      <c r="BU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row>
    <row r="684" spans="1:122" ht="1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509"/>
      <c r="Y684" s="509"/>
      <c r="BR684"/>
      <c r="BS684"/>
      <c r="BT684"/>
      <c r="BU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row>
    <row r="685" spans="1:122" ht="1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509"/>
      <c r="Y685" s="509"/>
      <c r="BR685"/>
      <c r="BS685"/>
      <c r="BT685"/>
      <c r="BU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row>
    <row r="686" spans="1:122" ht="1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509"/>
      <c r="Y686" s="509"/>
      <c r="BR686"/>
      <c r="BS686"/>
      <c r="BT686"/>
      <c r="BU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row>
    <row r="687" spans="1:122" ht="1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509"/>
      <c r="Y687" s="509"/>
      <c r="BR687"/>
      <c r="BS687"/>
      <c r="BT687"/>
      <c r="BU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row>
    <row r="688" spans="1:122" ht="1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509"/>
      <c r="Y688" s="509"/>
      <c r="BR688"/>
      <c r="BS688"/>
      <c r="BT688"/>
      <c r="BU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row>
    <row r="689" spans="1:122" ht="1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509"/>
      <c r="Y689" s="509"/>
      <c r="BR689"/>
      <c r="BS689"/>
      <c r="BT689"/>
      <c r="BU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row>
    <row r="690" spans="1:122" ht="1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509"/>
      <c r="Y690" s="509"/>
      <c r="BR690"/>
      <c r="BS690"/>
      <c r="BT690"/>
      <c r="BU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row>
    <row r="691" spans="1:122" ht="1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509"/>
      <c r="Y691" s="509"/>
      <c r="BR691"/>
      <c r="BS691"/>
      <c r="BT691"/>
      <c r="BU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row>
    <row r="692" spans="1:122" ht="1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509"/>
      <c r="Y692" s="509"/>
      <c r="BR692"/>
      <c r="BS692"/>
      <c r="BT692"/>
      <c r="BU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row>
    <row r="693" spans="1:122" ht="1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509"/>
      <c r="Y693" s="509"/>
      <c r="BR693"/>
      <c r="BS693"/>
      <c r="BT693"/>
      <c r="BU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row>
    <row r="694" spans="1:122" ht="1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509"/>
      <c r="Y694" s="509"/>
      <c r="BR694"/>
      <c r="BS694"/>
      <c r="BT694"/>
      <c r="BU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row>
    <row r="695" spans="1:122" ht="1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509"/>
      <c r="Y695" s="509"/>
      <c r="BR695"/>
      <c r="BS695"/>
      <c r="BT695"/>
      <c r="BU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row>
    <row r="696" spans="1:122" ht="1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509"/>
      <c r="Y696" s="509"/>
      <c r="BR696"/>
      <c r="BS696"/>
      <c r="BT696"/>
      <c r="BU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row>
    <row r="697" spans="1:122" ht="1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509"/>
      <c r="Y697" s="509"/>
      <c r="BR697"/>
      <c r="BS697"/>
      <c r="BT697"/>
      <c r="BU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row>
    <row r="698" spans="1:122" ht="1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509"/>
      <c r="Y698" s="509"/>
      <c r="BR698"/>
      <c r="BS698"/>
      <c r="BT698"/>
      <c r="BU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row>
    <row r="699" spans="1:122" ht="1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509"/>
      <c r="Y699" s="509"/>
      <c r="BR699"/>
      <c r="BS699"/>
      <c r="BT699"/>
      <c r="BU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row>
    <row r="700" spans="1:122" ht="1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509"/>
      <c r="Y700" s="509"/>
      <c r="BR700"/>
      <c r="BS700"/>
      <c r="BT700"/>
      <c r="BU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row>
    <row r="701" spans="1:122" ht="1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509"/>
      <c r="Y701" s="509"/>
      <c r="BR701"/>
      <c r="BS701"/>
      <c r="BT701"/>
      <c r="BU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row>
    <row r="702" spans="1:122" ht="1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509"/>
      <c r="Y702" s="509"/>
      <c r="BR702"/>
      <c r="BS702"/>
      <c r="BT702"/>
      <c r="BU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row>
    <row r="703" spans="1:122" ht="1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509"/>
      <c r="Y703" s="509"/>
      <c r="BR703"/>
      <c r="BS703"/>
      <c r="BT703"/>
      <c r="BU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row>
    <row r="704" spans="1:122" ht="1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509"/>
      <c r="Y704" s="509"/>
      <c r="BR704"/>
      <c r="BS704"/>
      <c r="BT704"/>
      <c r="BU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row>
    <row r="705" spans="1:122" ht="1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509"/>
      <c r="Y705" s="509"/>
      <c r="BR705"/>
      <c r="BS705"/>
      <c r="BT705"/>
      <c r="BU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row>
    <row r="706" spans="1:122" ht="1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509"/>
      <c r="Y706" s="509"/>
      <c r="BR706"/>
      <c r="BS706"/>
      <c r="BT706"/>
      <c r="BU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row>
    <row r="707" spans="1:122" ht="1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509"/>
      <c r="Y707" s="509"/>
      <c r="BR707"/>
      <c r="BS707"/>
      <c r="BT707"/>
      <c r="BU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row>
    <row r="708" spans="1:122" ht="1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509"/>
      <c r="Y708" s="509"/>
      <c r="BR708"/>
      <c r="BS708"/>
      <c r="BT708"/>
      <c r="BU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row>
    <row r="709" spans="1:122" ht="1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509"/>
      <c r="Y709" s="509"/>
      <c r="BR709"/>
      <c r="BS709"/>
      <c r="BT709"/>
      <c r="BU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row>
    <row r="710" spans="1:122" ht="1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509"/>
      <c r="Y710" s="509"/>
      <c r="BR710"/>
      <c r="BS710"/>
      <c r="BT710"/>
      <c r="BU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row>
    <row r="711" spans="1:122" ht="1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509"/>
      <c r="Y711" s="509"/>
      <c r="BR711"/>
      <c r="BS711"/>
      <c r="BT711"/>
      <c r="BU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row>
    <row r="712" spans="1:122" ht="1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509"/>
      <c r="Y712" s="509"/>
      <c r="BR712"/>
      <c r="BS712"/>
      <c r="BT712"/>
      <c r="BU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row>
    <row r="713" spans="1:122" ht="1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509"/>
      <c r="Y713" s="509"/>
      <c r="BR713"/>
      <c r="BS713"/>
      <c r="BT713"/>
      <c r="BU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row>
    <row r="714" spans="1:122" ht="1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509"/>
      <c r="Y714" s="509"/>
      <c r="BR714"/>
      <c r="BS714"/>
      <c r="BT714"/>
      <c r="BU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row>
    <row r="715" spans="1:122" ht="1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509"/>
      <c r="Y715" s="509"/>
      <c r="BR715"/>
      <c r="BS715"/>
      <c r="BT715"/>
      <c r="BU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row>
    <row r="716" spans="1:122" ht="1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509"/>
      <c r="Y716" s="509"/>
      <c r="BR716"/>
      <c r="BS716"/>
      <c r="BT716"/>
      <c r="BU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row>
    <row r="717" spans="1:122" ht="1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509"/>
      <c r="Y717" s="509"/>
      <c r="BR717"/>
      <c r="BS717"/>
      <c r="BT717"/>
      <c r="BU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row>
    <row r="718" spans="1:122" ht="1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509"/>
      <c r="Y718" s="509"/>
      <c r="BR718"/>
      <c r="BS718"/>
      <c r="BT718"/>
      <c r="BU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row>
    <row r="719" spans="1:122" ht="1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509"/>
      <c r="Y719" s="509"/>
      <c r="BR719"/>
      <c r="BS719"/>
      <c r="BT719"/>
      <c r="BU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row>
    <row r="720" spans="1:122" ht="1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509"/>
      <c r="Y720" s="509"/>
      <c r="BR720"/>
      <c r="BS720"/>
      <c r="BT720"/>
      <c r="BU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row>
    <row r="721" spans="1:122" ht="1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509"/>
      <c r="Y721" s="509"/>
      <c r="BR721"/>
      <c r="BS721"/>
      <c r="BT721"/>
      <c r="BU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row>
    <row r="722" spans="1:122" ht="1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509"/>
      <c r="Y722" s="509"/>
      <c r="BR722"/>
      <c r="BS722"/>
      <c r="BT722"/>
      <c r="BU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row>
    <row r="723" spans="1:122" ht="1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509"/>
      <c r="Y723" s="509"/>
      <c r="BR723"/>
      <c r="BS723"/>
      <c r="BT723"/>
      <c r="BU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row>
    <row r="724" spans="1:122" ht="1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509"/>
      <c r="Y724" s="509"/>
      <c r="BR724"/>
      <c r="BS724"/>
      <c r="BT724"/>
      <c r="BU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row>
    <row r="725" spans="1:122" ht="1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509"/>
      <c r="Y725" s="509"/>
      <c r="BR725"/>
      <c r="BS725"/>
      <c r="BT725"/>
      <c r="BU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row>
    <row r="726" spans="1:122" ht="1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509"/>
      <c r="Y726" s="509"/>
      <c r="BR726"/>
      <c r="BS726"/>
      <c r="BT726"/>
      <c r="BU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row>
    <row r="727" spans="1:122" ht="1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509"/>
      <c r="Y727" s="509"/>
      <c r="BR727"/>
      <c r="BS727"/>
      <c r="BT727"/>
      <c r="BU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row>
    <row r="728" spans="1:122" ht="1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509"/>
      <c r="Y728" s="509"/>
      <c r="BR728"/>
      <c r="BS728"/>
      <c r="BT728"/>
      <c r="BU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row>
    <row r="729" spans="1:122" ht="1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509"/>
      <c r="Y729" s="509"/>
      <c r="BR729"/>
      <c r="BS729"/>
      <c r="BT729"/>
      <c r="BU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row>
    <row r="730" spans="1:122" ht="1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509"/>
      <c r="Y730" s="509"/>
      <c r="BR730"/>
      <c r="BS730"/>
      <c r="BT730"/>
      <c r="BU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row>
    <row r="731" spans="1:122" ht="1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509"/>
      <c r="Y731" s="509"/>
      <c r="BR731"/>
      <c r="BS731"/>
      <c r="BT731"/>
      <c r="BU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row>
    <row r="732" spans="1:122" ht="1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509"/>
      <c r="Y732" s="509"/>
      <c r="BR732"/>
      <c r="BS732"/>
      <c r="BT732"/>
      <c r="BU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row>
    <row r="733" spans="1:122" ht="1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509"/>
      <c r="Y733" s="509"/>
      <c r="BR733"/>
      <c r="BS733"/>
      <c r="BT733"/>
      <c r="BU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row>
    <row r="734" spans="1:122" ht="1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509"/>
      <c r="Y734" s="509"/>
      <c r="BR734"/>
      <c r="BS734"/>
      <c r="BT734"/>
      <c r="BU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row>
    <row r="735" spans="1:122" ht="1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509"/>
      <c r="Y735" s="509"/>
      <c r="BR735"/>
      <c r="BS735"/>
      <c r="BT735"/>
      <c r="BU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row>
    <row r="736" spans="1:122" ht="1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509"/>
      <c r="Y736" s="509"/>
      <c r="BR736"/>
      <c r="BS736"/>
      <c r="BT736"/>
      <c r="BU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row>
    <row r="737" spans="1:122" ht="1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509"/>
      <c r="Y737" s="509"/>
      <c r="BR737"/>
      <c r="BS737"/>
      <c r="BT737"/>
      <c r="BU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row>
    <row r="738" spans="1:122" ht="1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509"/>
      <c r="Y738" s="509"/>
      <c r="BR738"/>
      <c r="BS738"/>
      <c r="BT738"/>
      <c r="BU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row>
    <row r="739" spans="1:122" ht="1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509"/>
      <c r="Y739" s="509"/>
      <c r="BR739"/>
      <c r="BS739"/>
      <c r="BT739"/>
      <c r="BU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row>
    <row r="740" spans="1:122" ht="1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509"/>
      <c r="Y740" s="509"/>
      <c r="BR740"/>
      <c r="BS740"/>
      <c r="BT740"/>
      <c r="BU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row>
    <row r="741" spans="1:122" ht="1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509"/>
      <c r="Y741" s="509"/>
      <c r="BR741"/>
      <c r="BS741"/>
      <c r="BT741"/>
      <c r="BU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row>
    <row r="742" spans="1:122" ht="1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509"/>
      <c r="Y742" s="509"/>
      <c r="BR742"/>
      <c r="BS742"/>
      <c r="BT742"/>
      <c r="BU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row>
    <row r="743" spans="1:122" ht="1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509"/>
      <c r="Y743" s="509"/>
      <c r="BR743"/>
      <c r="BS743"/>
      <c r="BT743"/>
      <c r="BU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row>
    <row r="744" spans="1:122" ht="1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509"/>
      <c r="Y744" s="509"/>
      <c r="BR744"/>
      <c r="BS744"/>
      <c r="BT744"/>
      <c r="BU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row>
    <row r="745" spans="1:122" ht="1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509"/>
      <c r="Y745" s="509"/>
      <c r="BR745"/>
      <c r="BS745"/>
      <c r="BT745"/>
      <c r="BU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row>
    <row r="746" spans="1:122" ht="1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509"/>
      <c r="Y746" s="509"/>
      <c r="BR746"/>
      <c r="BS746"/>
      <c r="BT746"/>
      <c r="BU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row>
    <row r="747" spans="1:122" ht="1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509"/>
      <c r="Y747" s="509"/>
      <c r="BR747"/>
      <c r="BS747"/>
      <c r="BT747"/>
      <c r="BU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row>
    <row r="748" spans="1:122" ht="1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509"/>
      <c r="Y748" s="509"/>
      <c r="BR748"/>
      <c r="BS748"/>
      <c r="BT748"/>
      <c r="BU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row>
    <row r="749" spans="1:122" ht="1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509"/>
      <c r="Y749" s="509"/>
      <c r="BR749"/>
      <c r="BS749"/>
      <c r="BT749"/>
      <c r="BU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row>
    <row r="750" spans="1:122" ht="1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509"/>
      <c r="Y750" s="509"/>
      <c r="BR750"/>
      <c r="BS750"/>
      <c r="BT750"/>
      <c r="BU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row>
    <row r="751" spans="1:122" ht="1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509"/>
      <c r="Y751" s="509"/>
      <c r="BR751"/>
      <c r="BS751"/>
      <c r="BT751"/>
      <c r="BU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row>
    <row r="752" spans="1:122" ht="1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509"/>
      <c r="Y752" s="509"/>
      <c r="BR752"/>
      <c r="BS752"/>
      <c r="BT752"/>
      <c r="BU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row>
    <row r="753" spans="1:122" ht="1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509"/>
      <c r="Y753" s="509"/>
      <c r="BR753"/>
      <c r="BS753"/>
      <c r="BT753"/>
      <c r="BU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row>
    <row r="754" spans="1:122" ht="1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509"/>
      <c r="Y754" s="509"/>
      <c r="BR754"/>
      <c r="BS754"/>
      <c r="BT754"/>
      <c r="BU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row>
    <row r="755" spans="1:122" ht="1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509"/>
      <c r="Y755" s="509"/>
      <c r="BR755"/>
      <c r="BS755"/>
      <c r="BT755"/>
      <c r="BU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row>
    <row r="756" spans="1:122" ht="1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509"/>
      <c r="Y756" s="509"/>
      <c r="BR756"/>
      <c r="BS756"/>
      <c r="BT756"/>
      <c r="BU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row>
    <row r="757" spans="1:122" ht="1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509"/>
      <c r="Y757" s="509"/>
      <c r="BR757"/>
      <c r="BS757"/>
      <c r="BT757"/>
      <c r="BU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row>
    <row r="758" spans="1:122" ht="1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509"/>
      <c r="Y758" s="509"/>
      <c r="BR758"/>
      <c r="BS758"/>
      <c r="BT758"/>
      <c r="BU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row>
    <row r="759" spans="1:122" ht="1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509"/>
      <c r="Y759" s="509"/>
      <c r="BR759"/>
      <c r="BS759"/>
      <c r="BT759"/>
      <c r="BU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row>
    <row r="760" spans="1:122" ht="1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509"/>
      <c r="Y760" s="509"/>
      <c r="BR760"/>
      <c r="BS760"/>
      <c r="BT760"/>
      <c r="BU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row>
    <row r="761" spans="1:122" ht="1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509"/>
      <c r="Y761" s="509"/>
      <c r="BR761"/>
      <c r="BS761"/>
      <c r="BT761"/>
      <c r="BU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row>
    <row r="762" spans="1:122" ht="1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509"/>
      <c r="Y762" s="509"/>
      <c r="BR762"/>
      <c r="BS762"/>
      <c r="BT762"/>
      <c r="BU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row>
    <row r="763" spans="1:122" ht="1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509"/>
      <c r="Y763" s="509"/>
      <c r="BR763"/>
      <c r="BS763"/>
      <c r="BT763"/>
      <c r="BU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row>
    <row r="764" spans="1:122" ht="1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509"/>
      <c r="Y764" s="509"/>
      <c r="BR764"/>
      <c r="BS764"/>
      <c r="BT764"/>
      <c r="BU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row>
    <row r="765" spans="1:122" ht="1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509"/>
      <c r="Y765" s="509"/>
      <c r="BR765"/>
      <c r="BS765"/>
      <c r="BT765"/>
      <c r="BU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row>
    <row r="766" spans="1:122" ht="1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509"/>
      <c r="Y766" s="509"/>
      <c r="BR766"/>
      <c r="BS766"/>
      <c r="BT766"/>
      <c r="BU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row>
    <row r="767" spans="1:122" ht="1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509"/>
      <c r="Y767" s="509"/>
      <c r="BR767"/>
      <c r="BS767"/>
      <c r="BT767"/>
      <c r="BU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row>
    <row r="768" spans="1:122" ht="1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509"/>
      <c r="Y768" s="509"/>
      <c r="BR768"/>
      <c r="BS768"/>
      <c r="BT768"/>
      <c r="BU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row>
    <row r="769" spans="1:122" ht="1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509"/>
      <c r="Y769" s="509"/>
      <c r="BR769"/>
      <c r="BS769"/>
      <c r="BT769"/>
      <c r="BU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row>
    <row r="770" spans="1:122" ht="1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509"/>
      <c r="Y770" s="509"/>
      <c r="BR770"/>
      <c r="BS770"/>
      <c r="BT770"/>
      <c r="BU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row>
    <row r="771" spans="1:122" ht="1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509"/>
      <c r="Y771" s="509"/>
      <c r="BR771"/>
      <c r="BS771"/>
      <c r="BT771"/>
      <c r="BU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row>
    <row r="772" spans="1:122" ht="1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509"/>
      <c r="Y772" s="509"/>
      <c r="BR772"/>
      <c r="BS772"/>
      <c r="BT772"/>
      <c r="BU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row>
    <row r="773" spans="1:122" ht="1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509"/>
      <c r="Y773" s="509"/>
      <c r="BR773"/>
      <c r="BS773"/>
      <c r="BT773"/>
      <c r="BU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row>
    <row r="774" spans="1:122" ht="1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509"/>
      <c r="Y774" s="509"/>
      <c r="BR774"/>
      <c r="BS774"/>
      <c r="BT774"/>
      <c r="BU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row>
    <row r="775" spans="1:122" ht="1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509"/>
      <c r="Y775" s="509"/>
      <c r="BR775"/>
      <c r="BS775"/>
      <c r="BT775"/>
      <c r="BU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row>
    <row r="776" spans="1:122" ht="1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509"/>
      <c r="Y776" s="509"/>
      <c r="BR776"/>
      <c r="BS776"/>
      <c r="BT776"/>
      <c r="BU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row>
    <row r="777" spans="1:122" ht="1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509"/>
      <c r="Y777" s="509"/>
      <c r="BR777"/>
      <c r="BS777"/>
      <c r="BT777"/>
      <c r="BU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row>
    <row r="778" spans="1:122" ht="1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509"/>
      <c r="Y778" s="509"/>
      <c r="BR778"/>
      <c r="BS778"/>
      <c r="BT778"/>
      <c r="BU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row>
    <row r="779" spans="1:122" ht="1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509"/>
      <c r="Y779" s="509"/>
      <c r="BR779"/>
      <c r="BS779"/>
      <c r="BT779"/>
      <c r="BU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row>
    <row r="780" spans="1:122" ht="1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509"/>
      <c r="Y780" s="509"/>
      <c r="BR780"/>
      <c r="BS780"/>
      <c r="BT780"/>
      <c r="BU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row>
    <row r="781" spans="1:122" ht="1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509"/>
      <c r="Y781" s="509"/>
      <c r="BR781"/>
      <c r="BS781"/>
      <c r="BT781"/>
      <c r="BU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row>
    <row r="782" spans="1:122" ht="1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509"/>
      <c r="Y782" s="509"/>
      <c r="BR782"/>
      <c r="BS782"/>
      <c r="BT782"/>
      <c r="BU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row>
    <row r="783" spans="1:122" ht="1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509"/>
      <c r="Y783" s="509"/>
      <c r="BR783"/>
      <c r="BS783"/>
      <c r="BT783"/>
      <c r="BU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row>
    <row r="784" spans="1:122" ht="1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509"/>
      <c r="Y784" s="509"/>
      <c r="BR784"/>
      <c r="BS784"/>
      <c r="BT784"/>
      <c r="BU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row>
    <row r="785" spans="1:122" ht="1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509"/>
      <c r="Y785" s="509"/>
      <c r="BR785"/>
      <c r="BS785"/>
      <c r="BT785"/>
      <c r="BU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row>
    <row r="786" spans="1:122" ht="1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509"/>
      <c r="Y786" s="509"/>
      <c r="BR786"/>
      <c r="BS786"/>
      <c r="BT786"/>
      <c r="BU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row>
    <row r="787" spans="1:122" ht="1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509"/>
      <c r="Y787" s="509"/>
      <c r="BR787"/>
      <c r="BS787"/>
      <c r="BT787"/>
      <c r="BU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row>
    <row r="788" spans="1:122" ht="1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509"/>
      <c r="Y788" s="509"/>
      <c r="BR788"/>
      <c r="BS788"/>
      <c r="BT788"/>
      <c r="BU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row>
    <row r="789" spans="1:122" ht="1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509"/>
      <c r="Y789" s="509"/>
      <c r="BR789"/>
      <c r="BS789"/>
      <c r="BT789"/>
      <c r="BU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row>
    <row r="790" spans="1:122" ht="1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509"/>
      <c r="Y790" s="509"/>
      <c r="BR790"/>
      <c r="BS790"/>
      <c r="BT790"/>
      <c r="BU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row>
    <row r="791" spans="1:122" ht="1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509"/>
      <c r="Y791" s="509"/>
      <c r="BR791"/>
      <c r="BS791"/>
      <c r="BT791"/>
      <c r="BU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row>
    <row r="792" spans="1:122" ht="1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509"/>
      <c r="Y792" s="509"/>
      <c r="BR792"/>
      <c r="BS792"/>
      <c r="BT792"/>
      <c r="BU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row>
    <row r="793" spans="1:122" ht="1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509"/>
      <c r="Y793" s="509"/>
      <c r="BR793"/>
      <c r="BS793"/>
      <c r="BT793"/>
      <c r="BU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row>
    <row r="794" spans="1:122" ht="1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509"/>
      <c r="Y794" s="509"/>
      <c r="BR794"/>
      <c r="BS794"/>
      <c r="BT794"/>
      <c r="BU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row>
    <row r="795" spans="1:122" ht="1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509"/>
      <c r="Y795" s="509"/>
      <c r="BR795"/>
      <c r="BS795"/>
      <c r="BT795"/>
      <c r="BU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row>
    <row r="796" spans="1:122" ht="1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509"/>
      <c r="Y796" s="509"/>
      <c r="BR796"/>
      <c r="BS796"/>
      <c r="BT796"/>
      <c r="BU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row>
    <row r="797" spans="1:122" ht="1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509"/>
      <c r="Y797" s="509"/>
      <c r="BR797"/>
      <c r="BS797"/>
      <c r="BT797"/>
      <c r="BU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row>
    <row r="798" spans="1:122" ht="1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509"/>
      <c r="Y798" s="509"/>
      <c r="BR798"/>
      <c r="BS798"/>
      <c r="BT798"/>
      <c r="BU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row>
    <row r="799" spans="1:122" ht="1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509"/>
      <c r="Y799" s="509"/>
      <c r="BR799"/>
      <c r="BS799"/>
      <c r="BT799"/>
      <c r="BU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row>
    <row r="800" spans="1:122" ht="1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509"/>
      <c r="Y800" s="509"/>
      <c r="BR800"/>
      <c r="BS800"/>
      <c r="BT800"/>
      <c r="BU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row>
    <row r="801" spans="1:122" ht="1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509"/>
      <c r="Y801" s="509"/>
      <c r="BR801"/>
      <c r="BS801"/>
      <c r="BT801"/>
      <c r="BU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row>
    <row r="802" spans="1:122" ht="1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509"/>
      <c r="Y802" s="509"/>
      <c r="BR802"/>
      <c r="BS802"/>
      <c r="BT802"/>
      <c r="BU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row>
    <row r="803" spans="1:122" ht="1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509"/>
      <c r="Y803" s="509"/>
      <c r="BR803"/>
      <c r="BS803"/>
      <c r="BT803"/>
      <c r="BU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row>
    <row r="804" spans="1:122" ht="1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509"/>
      <c r="Y804" s="509"/>
      <c r="BR804"/>
      <c r="BS804"/>
      <c r="BT804"/>
      <c r="BU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row>
    <row r="805" spans="1:122" ht="1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509"/>
      <c r="Y805" s="509"/>
      <c r="BR805"/>
      <c r="BS805"/>
      <c r="BT805"/>
      <c r="BU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row>
    <row r="806" spans="1:122" ht="1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509"/>
      <c r="Y806" s="509"/>
      <c r="BR806"/>
      <c r="BS806"/>
      <c r="BT806"/>
      <c r="BU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row>
    <row r="807" spans="1:122" ht="1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509"/>
      <c r="Y807" s="509"/>
      <c r="BR807"/>
      <c r="BS807"/>
      <c r="BT807"/>
      <c r="BU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row>
    <row r="808" spans="1:122" ht="1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509"/>
      <c r="Y808" s="509"/>
      <c r="BR808"/>
      <c r="BS808"/>
      <c r="BT808"/>
      <c r="BU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row>
    <row r="809" spans="1:122" ht="1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509"/>
      <c r="Y809" s="509"/>
      <c r="BR809"/>
      <c r="BS809"/>
      <c r="BT809"/>
      <c r="BU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row>
    <row r="810" spans="1:122" ht="1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509"/>
      <c r="Y810" s="509"/>
      <c r="BR810"/>
      <c r="BS810"/>
      <c r="BT810"/>
      <c r="BU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row>
    <row r="811" spans="1:122" ht="1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509"/>
      <c r="Y811" s="509"/>
      <c r="BR811"/>
      <c r="BS811"/>
      <c r="BT811"/>
      <c r="BU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row>
    <row r="812" spans="1:122" ht="1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509"/>
      <c r="Y812" s="509"/>
      <c r="BR812"/>
      <c r="BS812"/>
      <c r="BT812"/>
      <c r="BU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row>
    <row r="813" spans="1:122" ht="1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509"/>
      <c r="Y813" s="509"/>
      <c r="BR813"/>
      <c r="BS813"/>
      <c r="BT813"/>
      <c r="BU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row>
    <row r="814" spans="1:122" ht="1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509"/>
      <c r="Y814" s="509"/>
      <c r="BR814"/>
      <c r="BS814"/>
      <c r="BT814"/>
      <c r="BU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row>
    <row r="815" spans="1:122" ht="1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509"/>
      <c r="Y815" s="509"/>
      <c r="BR815"/>
      <c r="BS815"/>
      <c r="BT815"/>
      <c r="BU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row>
    <row r="816" spans="1:122" ht="1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509"/>
      <c r="Y816" s="509"/>
      <c r="BR816"/>
      <c r="BS816"/>
      <c r="BT816"/>
      <c r="BU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row>
    <row r="817" spans="1:122" ht="1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509"/>
      <c r="Y817" s="509"/>
      <c r="BR817"/>
      <c r="BS817"/>
      <c r="BT817"/>
      <c r="BU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row>
    <row r="818" spans="1:122" ht="1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509"/>
      <c r="Y818" s="509"/>
      <c r="BR818"/>
      <c r="BS818"/>
      <c r="BT818"/>
      <c r="BU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row>
    <row r="819" spans="1:122" ht="1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509"/>
      <c r="Y819" s="509"/>
      <c r="BR819"/>
      <c r="BS819"/>
      <c r="BT819"/>
      <c r="BU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row>
    <row r="820" spans="1:122" ht="1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509"/>
      <c r="Y820" s="509"/>
      <c r="BR820"/>
      <c r="BS820"/>
      <c r="BT820"/>
      <c r="BU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row>
    <row r="821" spans="1:122" ht="1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509"/>
      <c r="Y821" s="509"/>
      <c r="BR821"/>
      <c r="BS821"/>
      <c r="BT821"/>
      <c r="BU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row>
    <row r="822" spans="1:122" ht="1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509"/>
      <c r="Y822" s="509"/>
      <c r="BR822"/>
      <c r="BS822"/>
      <c r="BT822"/>
      <c r="BU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row>
    <row r="823" spans="1:122" ht="1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509"/>
      <c r="Y823" s="509"/>
      <c r="BR823"/>
      <c r="BS823"/>
      <c r="BT823"/>
      <c r="BU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row>
    <row r="824" spans="1:122" ht="1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509"/>
      <c r="Y824" s="509"/>
      <c r="BR824"/>
      <c r="BS824"/>
      <c r="BT824"/>
      <c r="BU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row>
    <row r="825" spans="1:122" ht="1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509"/>
      <c r="Y825" s="509"/>
      <c r="BR825"/>
      <c r="BS825"/>
      <c r="BT825"/>
      <c r="BU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row>
    <row r="826" spans="1:122" ht="1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509"/>
      <c r="Y826" s="509"/>
      <c r="BR826"/>
      <c r="BS826"/>
      <c r="BT826"/>
      <c r="BU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row>
    <row r="827" spans="1:122" ht="1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509"/>
      <c r="Y827" s="509"/>
      <c r="BR827"/>
      <c r="BS827"/>
      <c r="BT827"/>
      <c r="BU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row>
    <row r="828" spans="1:122" ht="1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509"/>
      <c r="Y828" s="509"/>
      <c r="BR828"/>
      <c r="BS828"/>
      <c r="BT828"/>
      <c r="BU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row>
    <row r="829" spans="1:122" ht="1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509"/>
      <c r="Y829" s="509"/>
      <c r="BR829"/>
      <c r="BS829"/>
      <c r="BT829"/>
      <c r="BU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row>
    <row r="830" spans="1:122" ht="1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509"/>
      <c r="Y830" s="509"/>
      <c r="BR830"/>
      <c r="BS830"/>
      <c r="BT830"/>
      <c r="BU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row>
    <row r="831" spans="1:122" ht="1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509"/>
      <c r="Y831" s="509"/>
      <c r="BR831"/>
      <c r="BS831"/>
      <c r="BT831"/>
      <c r="BU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row>
    <row r="832" spans="1:122" ht="1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509"/>
      <c r="Y832" s="509"/>
      <c r="BR832"/>
      <c r="BS832"/>
      <c r="BT832"/>
      <c r="BU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row>
    <row r="833" spans="1:122" ht="1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509"/>
      <c r="Y833" s="509"/>
      <c r="BR833"/>
      <c r="BS833"/>
      <c r="BT833"/>
      <c r="BU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row>
    <row r="834" spans="1:122" ht="1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509"/>
      <c r="Y834" s="509"/>
      <c r="BR834"/>
      <c r="BS834"/>
      <c r="BT834"/>
      <c r="BU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row>
    <row r="835" spans="1:122" ht="1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509"/>
      <c r="Y835" s="509"/>
      <c r="BR835"/>
      <c r="BS835"/>
      <c r="BT835"/>
      <c r="BU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row>
    <row r="836" spans="1:122" ht="1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509"/>
      <c r="Y836" s="509"/>
      <c r="BR836"/>
      <c r="BS836"/>
      <c r="BT836"/>
      <c r="BU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row>
    <row r="837" spans="1:122" ht="1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509"/>
      <c r="Y837" s="509"/>
      <c r="BR837"/>
      <c r="BS837"/>
      <c r="BT837"/>
      <c r="BU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row>
    <row r="838" spans="1:122" ht="1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509"/>
      <c r="Y838" s="509"/>
      <c r="BR838"/>
      <c r="BS838"/>
      <c r="BT838"/>
      <c r="BU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row>
    <row r="839" spans="1:122" ht="1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509"/>
      <c r="Y839" s="509"/>
      <c r="BR839"/>
      <c r="BS839"/>
      <c r="BT839"/>
      <c r="BU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row>
    <row r="840" spans="1:122" ht="1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509"/>
      <c r="Y840" s="509"/>
      <c r="BR840"/>
      <c r="BS840"/>
      <c r="BT840"/>
      <c r="BU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row>
    <row r="841" spans="1:122" ht="1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509"/>
      <c r="Y841" s="509"/>
      <c r="BR841"/>
      <c r="BS841"/>
      <c r="BT841"/>
      <c r="BU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row>
    <row r="842" spans="1:122" ht="1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509"/>
      <c r="Y842" s="509"/>
      <c r="BR842"/>
      <c r="BS842"/>
      <c r="BT842"/>
      <c r="BU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row>
    <row r="843" spans="1:122" ht="1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509"/>
      <c r="Y843" s="509"/>
      <c r="BR843"/>
      <c r="BS843"/>
      <c r="BT843"/>
      <c r="BU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row>
    <row r="844" spans="1:122" ht="1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509"/>
      <c r="Y844" s="509"/>
      <c r="BR844"/>
      <c r="BS844"/>
      <c r="BT844"/>
      <c r="BU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row>
    <row r="845" spans="1:122" ht="1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509"/>
      <c r="Y845" s="509"/>
      <c r="BR845"/>
      <c r="BS845"/>
      <c r="BT845"/>
      <c r="BU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row>
    <row r="846" spans="1:122" ht="1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509"/>
      <c r="Y846" s="509"/>
      <c r="BR846"/>
      <c r="BS846"/>
      <c r="BT846"/>
      <c r="BU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row>
    <row r="847" spans="1:122" ht="1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509"/>
      <c r="Y847" s="509"/>
      <c r="BR847"/>
      <c r="BS847"/>
      <c r="BT847"/>
      <c r="BU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row>
    <row r="848" spans="1:122" ht="1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509"/>
      <c r="Y848" s="509"/>
      <c r="BR848"/>
      <c r="BS848"/>
      <c r="BT848"/>
      <c r="BU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row>
    <row r="849" spans="1:122" ht="1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509"/>
      <c r="Y849" s="509"/>
      <c r="BR849"/>
      <c r="BS849"/>
      <c r="BT849"/>
      <c r="BU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row>
    <row r="850" spans="1:122" ht="1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509"/>
      <c r="Y850" s="509"/>
      <c r="BR850"/>
      <c r="BS850"/>
      <c r="BT850"/>
      <c r="BU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row>
    <row r="851" spans="1:122" ht="1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509"/>
      <c r="Y851" s="509"/>
      <c r="BR851"/>
      <c r="BS851"/>
      <c r="BT851"/>
      <c r="BU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row>
    <row r="852" spans="1:122" ht="1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509"/>
      <c r="Y852" s="509"/>
      <c r="BR852"/>
      <c r="BS852"/>
      <c r="BT852"/>
      <c r="BU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row>
    <row r="853" spans="1:122" ht="1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509"/>
      <c r="Y853" s="509"/>
      <c r="BR853"/>
      <c r="BS853"/>
      <c r="BT853"/>
      <c r="BU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row>
    <row r="854" spans="1:122" ht="1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509"/>
      <c r="Y854" s="509"/>
      <c r="BR854"/>
      <c r="BS854"/>
      <c r="BT854"/>
      <c r="BU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row>
    <row r="855" spans="1:122" ht="1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509"/>
      <c r="Y855" s="509"/>
      <c r="BR855"/>
      <c r="BS855"/>
      <c r="BT855"/>
      <c r="BU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row>
    <row r="856" spans="1:122" ht="1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509"/>
      <c r="Y856" s="509"/>
      <c r="BR856"/>
      <c r="BS856"/>
      <c r="BT856"/>
      <c r="BU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row>
    <row r="857" spans="1:122" ht="1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509"/>
      <c r="Y857" s="509"/>
      <c r="BR857"/>
      <c r="BS857"/>
      <c r="BT857"/>
      <c r="BU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row>
    <row r="858" spans="1:122" ht="1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509"/>
      <c r="Y858" s="509"/>
      <c r="BR858"/>
      <c r="BS858"/>
      <c r="BT858"/>
      <c r="BU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row>
    <row r="859" spans="1:122" ht="1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509"/>
      <c r="Y859" s="509"/>
      <c r="BR859"/>
      <c r="BS859"/>
      <c r="BT859"/>
      <c r="BU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row>
    <row r="860" spans="1:122" ht="1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509"/>
      <c r="Y860" s="509"/>
      <c r="BR860"/>
      <c r="BS860"/>
      <c r="BT860"/>
      <c r="BU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row>
    <row r="861" spans="1:122" ht="1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509"/>
      <c r="Y861" s="509"/>
      <c r="BR861"/>
      <c r="BS861"/>
      <c r="BT861"/>
      <c r="BU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row>
    <row r="862" spans="1:122" ht="1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509"/>
      <c r="Y862" s="509"/>
      <c r="BR862"/>
      <c r="BS862"/>
      <c r="BT862"/>
      <c r="BU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row>
    <row r="863" spans="1:122" ht="1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509"/>
      <c r="Y863" s="509"/>
      <c r="BR863"/>
      <c r="BS863"/>
      <c r="BT863"/>
      <c r="BU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row>
    <row r="864" spans="1:122" ht="1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509"/>
      <c r="Y864" s="509"/>
      <c r="BR864"/>
      <c r="BS864"/>
      <c r="BT864"/>
      <c r="BU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row>
    <row r="865" spans="1:122" ht="1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509"/>
      <c r="Y865" s="509"/>
      <c r="BR865"/>
      <c r="BS865"/>
      <c r="BT865"/>
      <c r="BU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row>
    <row r="866" spans="1:122" ht="1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509"/>
      <c r="Y866" s="509"/>
      <c r="BR866"/>
      <c r="BS866"/>
      <c r="BT866"/>
      <c r="BU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row>
    <row r="867" spans="1:122" ht="1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509"/>
      <c r="Y867" s="509"/>
      <c r="BR867"/>
      <c r="BS867"/>
      <c r="BT867"/>
      <c r="BU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row>
    <row r="868" spans="1:122" ht="1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509"/>
      <c r="Y868" s="509"/>
      <c r="BR868"/>
      <c r="BS868"/>
      <c r="BT868"/>
      <c r="BU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row>
    <row r="869" spans="1:122" ht="1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509"/>
      <c r="Y869" s="509"/>
      <c r="BR869"/>
      <c r="BS869"/>
      <c r="BT869"/>
      <c r="BU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row>
    <row r="870" spans="1:122" ht="1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509"/>
      <c r="Y870" s="509"/>
      <c r="BR870"/>
      <c r="BS870"/>
      <c r="BT870"/>
      <c r="BU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row>
    <row r="871" spans="1:122" ht="1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509"/>
      <c r="Y871" s="509"/>
      <c r="BR871"/>
      <c r="BS871"/>
      <c r="BT871"/>
      <c r="BU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row>
    <row r="872" spans="1:122" ht="1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509"/>
      <c r="Y872" s="509"/>
      <c r="BR872"/>
      <c r="BS872"/>
      <c r="BT872"/>
      <c r="BU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row>
    <row r="873" spans="1:122" ht="1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509"/>
      <c r="Y873" s="509"/>
      <c r="BR873"/>
      <c r="BS873"/>
      <c r="BT873"/>
      <c r="BU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row>
    <row r="874" spans="1:122" ht="1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509"/>
      <c r="Y874" s="509"/>
      <c r="BR874"/>
      <c r="BS874"/>
      <c r="BT874"/>
      <c r="BU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row>
    <row r="875" spans="1:122" ht="1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509"/>
      <c r="Y875" s="509"/>
      <c r="BR875"/>
      <c r="BS875"/>
      <c r="BT875"/>
      <c r="BU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row>
    <row r="876" spans="1:122" ht="1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509"/>
      <c r="Y876" s="509"/>
      <c r="BR876"/>
      <c r="BS876"/>
      <c r="BT876"/>
      <c r="BU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row>
    <row r="877" spans="1:122" ht="1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509"/>
      <c r="Y877" s="509"/>
      <c r="BR877"/>
      <c r="BS877"/>
      <c r="BT877"/>
      <c r="BU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row>
    <row r="878" spans="1:122" ht="1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509"/>
      <c r="Y878" s="509"/>
      <c r="BR878"/>
      <c r="BS878"/>
      <c r="BT878"/>
      <c r="BU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row>
    <row r="879" spans="1:122" ht="1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509"/>
      <c r="Y879" s="509"/>
      <c r="BR879"/>
      <c r="BS879"/>
      <c r="BT879"/>
      <c r="BU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row>
    <row r="880" spans="1:122" ht="1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509"/>
      <c r="Y880" s="509"/>
      <c r="BR880"/>
      <c r="BS880"/>
      <c r="BT880"/>
      <c r="BU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row>
    <row r="881" spans="1:122" ht="1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509"/>
      <c r="Y881" s="509"/>
      <c r="BR881"/>
      <c r="BS881"/>
      <c r="BT881"/>
      <c r="BU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row>
    <row r="882" spans="1:122" ht="1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509"/>
      <c r="Y882" s="509"/>
      <c r="BR882"/>
      <c r="BS882"/>
      <c r="BT882"/>
      <c r="BU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row>
    <row r="883" spans="1:122" ht="1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509"/>
      <c r="Y883" s="509"/>
      <c r="BR883"/>
      <c r="BS883"/>
      <c r="BT883"/>
      <c r="BU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row>
    <row r="884" spans="1:122" ht="1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509"/>
      <c r="Y884" s="509"/>
      <c r="BR884"/>
      <c r="BS884"/>
      <c r="BT884"/>
      <c r="BU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row>
    <row r="885" spans="1:122" ht="1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509"/>
      <c r="Y885" s="509"/>
      <c r="BR885"/>
      <c r="BS885"/>
      <c r="BT885"/>
      <c r="BU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row>
    <row r="886" spans="1:122" ht="1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509"/>
      <c r="Y886" s="509"/>
      <c r="BR886"/>
      <c r="BS886"/>
      <c r="BT886"/>
      <c r="BU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row>
    <row r="887" spans="1:122" ht="1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509"/>
      <c r="Y887" s="509"/>
      <c r="BR887"/>
      <c r="BS887"/>
      <c r="BT887"/>
      <c r="BU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row>
    <row r="888" spans="1:122" ht="1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509"/>
      <c r="Y888" s="509"/>
      <c r="BR888"/>
      <c r="BS888"/>
      <c r="BT888"/>
      <c r="BU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row>
    <row r="889" spans="1:122" ht="1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509"/>
      <c r="Y889" s="509"/>
      <c r="BR889"/>
      <c r="BS889"/>
      <c r="BT889"/>
      <c r="BU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row>
    <row r="890" spans="1:122" ht="1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509"/>
      <c r="Y890" s="509"/>
      <c r="BR890"/>
      <c r="BS890"/>
      <c r="BT890"/>
      <c r="BU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row>
    <row r="891" spans="1:122" ht="1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509"/>
      <c r="Y891" s="509"/>
      <c r="BR891"/>
      <c r="BS891"/>
      <c r="BT891"/>
      <c r="BU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row>
    <row r="892" spans="1:122" ht="1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509"/>
      <c r="Y892" s="509"/>
      <c r="BR892"/>
      <c r="BS892"/>
      <c r="BT892"/>
      <c r="BU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row>
    <row r="893" spans="1:122" ht="1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509"/>
      <c r="Y893" s="509"/>
      <c r="BR893"/>
      <c r="BS893"/>
      <c r="BT893"/>
      <c r="BU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row>
    <row r="894" spans="1:122" ht="1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509"/>
      <c r="Y894" s="509"/>
      <c r="BR894"/>
      <c r="BS894"/>
      <c r="BT894"/>
      <c r="BU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row>
    <row r="895" spans="1:122" ht="1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509"/>
      <c r="Y895" s="509"/>
      <c r="BR895"/>
      <c r="BS895"/>
      <c r="BT895"/>
      <c r="BU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row>
    <row r="896" spans="1:122" ht="1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509"/>
      <c r="Y896" s="509"/>
      <c r="BR896"/>
      <c r="BS896"/>
      <c r="BT896"/>
      <c r="BU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row>
    <row r="897" spans="1:122" ht="1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509"/>
      <c r="Y897" s="509"/>
      <c r="BR897"/>
      <c r="BS897"/>
      <c r="BT897"/>
      <c r="BU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row>
    <row r="898" spans="1:122" ht="1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509"/>
      <c r="Y898" s="509"/>
      <c r="BR898"/>
      <c r="BS898"/>
      <c r="BT898"/>
      <c r="BU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row>
    <row r="899" spans="1:122" ht="1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509"/>
      <c r="Y899" s="509"/>
      <c r="BR899"/>
      <c r="BS899"/>
      <c r="BT899"/>
      <c r="BU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row>
    <row r="900" spans="1:122" ht="1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509"/>
      <c r="Y900" s="509"/>
      <c r="BR900"/>
      <c r="BS900"/>
      <c r="BT900"/>
      <c r="BU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row>
    <row r="901" spans="1:122" ht="1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509"/>
      <c r="Y901" s="509"/>
      <c r="BR901"/>
      <c r="BS901"/>
      <c r="BT901"/>
      <c r="BU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row>
    <row r="902" spans="1:122" ht="1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509"/>
      <c r="Y902" s="509"/>
      <c r="BR902"/>
      <c r="BS902"/>
      <c r="BT902"/>
      <c r="BU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row>
    <row r="903" spans="1:122" ht="1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509"/>
      <c r="Y903" s="509"/>
      <c r="BR903"/>
      <c r="BS903"/>
      <c r="BT903"/>
      <c r="BU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row>
    <row r="904" spans="1:122" ht="1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509"/>
      <c r="Y904" s="509"/>
      <c r="BR904"/>
      <c r="BS904"/>
      <c r="BT904"/>
      <c r="BU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row>
    <row r="905" spans="1:122" ht="1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509"/>
      <c r="Y905" s="509"/>
      <c r="BR905"/>
      <c r="BS905"/>
      <c r="BT905"/>
      <c r="BU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row>
    <row r="906" spans="1:122" ht="1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509"/>
      <c r="Y906" s="509"/>
      <c r="BR906"/>
      <c r="BS906"/>
      <c r="BT906"/>
      <c r="BU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row>
    <row r="907" spans="1:122" ht="1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509"/>
      <c r="Y907" s="509"/>
      <c r="BR907"/>
      <c r="BS907"/>
      <c r="BT907"/>
      <c r="BU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row>
    <row r="908" spans="1:122" ht="1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509"/>
      <c r="Y908" s="509"/>
      <c r="BR908"/>
      <c r="BS908"/>
      <c r="BT908"/>
      <c r="BU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row>
    <row r="909" spans="1:122" ht="1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509"/>
      <c r="Y909" s="509"/>
      <c r="BR909"/>
      <c r="BS909"/>
      <c r="BT909"/>
      <c r="BU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row>
    <row r="910" spans="1:122" ht="1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509"/>
      <c r="Y910" s="509"/>
      <c r="BR910"/>
      <c r="BS910"/>
      <c r="BT910"/>
      <c r="BU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row>
    <row r="911" spans="1:122" ht="1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509"/>
      <c r="Y911" s="509"/>
      <c r="BR911"/>
      <c r="BS911"/>
      <c r="BT911"/>
      <c r="BU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row>
    <row r="912" spans="1:122" ht="1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509"/>
      <c r="Y912" s="509"/>
      <c r="BR912"/>
      <c r="BS912"/>
      <c r="BT912"/>
      <c r="BU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row>
    <row r="913" spans="1:122" ht="1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509"/>
      <c r="Y913" s="509"/>
      <c r="BR913"/>
      <c r="BS913"/>
      <c r="BT913"/>
      <c r="BU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row>
    <row r="914" spans="1:122" ht="1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509"/>
      <c r="Y914" s="509"/>
      <c r="BR914"/>
      <c r="BS914"/>
      <c r="BT914"/>
      <c r="BU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row>
    <row r="915" spans="1:122" ht="1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509"/>
      <c r="Y915" s="509"/>
      <c r="BR915"/>
      <c r="BS915"/>
      <c r="BT915"/>
      <c r="BU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row>
    <row r="916" spans="1:122" ht="1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509"/>
      <c r="Y916" s="509"/>
      <c r="BR916"/>
      <c r="BS916"/>
      <c r="BT916"/>
      <c r="BU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row>
    <row r="917" spans="1:122" ht="1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509"/>
      <c r="Y917" s="509"/>
      <c r="BR917"/>
      <c r="BS917"/>
      <c r="BT917"/>
      <c r="BU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row>
    <row r="918" spans="1:122" ht="1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509"/>
      <c r="Y918" s="509"/>
      <c r="BR918"/>
      <c r="BS918"/>
      <c r="BT918"/>
      <c r="BU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row>
    <row r="919" spans="1:122" ht="1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509"/>
      <c r="Y919" s="509"/>
      <c r="BR919"/>
      <c r="BS919"/>
      <c r="BT919"/>
      <c r="BU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row>
    <row r="920" spans="1:122" ht="1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509"/>
      <c r="Y920" s="509"/>
      <c r="BR920"/>
      <c r="BS920"/>
      <c r="BT920"/>
      <c r="BU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row>
    <row r="921" spans="1:122" ht="1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509"/>
      <c r="Y921" s="509"/>
      <c r="BR921"/>
      <c r="BS921"/>
      <c r="BT921"/>
      <c r="BU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row>
    <row r="922" spans="1:122" ht="1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509"/>
      <c r="Y922" s="509"/>
      <c r="BR922"/>
      <c r="BS922"/>
      <c r="BT922"/>
      <c r="BU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row>
    <row r="923" spans="1:122" ht="1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509"/>
      <c r="Y923" s="509"/>
      <c r="BR923"/>
      <c r="BS923"/>
      <c r="BT923"/>
      <c r="BU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row>
    <row r="924" spans="1:122" ht="1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509"/>
      <c r="Y924" s="509"/>
      <c r="BR924"/>
      <c r="BS924"/>
      <c r="BT924"/>
      <c r="BU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row>
    <row r="925" spans="1:122" ht="1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509"/>
      <c r="Y925" s="509"/>
      <c r="BR925"/>
      <c r="BS925"/>
      <c r="BT925"/>
      <c r="BU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row>
    <row r="926" spans="1:122" ht="1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509"/>
      <c r="Y926" s="509"/>
      <c r="BR926"/>
      <c r="BS926"/>
      <c r="BT926"/>
      <c r="BU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row>
    <row r="927" spans="1:122" ht="1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509"/>
      <c r="Y927" s="509"/>
      <c r="BR927"/>
      <c r="BS927"/>
      <c r="BT927"/>
      <c r="BU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row>
    <row r="928" spans="1:122" ht="1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509"/>
      <c r="Y928" s="509"/>
      <c r="BR928"/>
      <c r="BS928"/>
      <c r="BT928"/>
      <c r="BU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row>
    <row r="929" spans="1:122" ht="1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509"/>
      <c r="Y929" s="509"/>
      <c r="BR929"/>
      <c r="BS929"/>
      <c r="BT929"/>
      <c r="BU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row>
    <row r="930" spans="1:122" ht="1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509"/>
      <c r="Y930" s="509"/>
      <c r="BR930"/>
      <c r="BS930"/>
      <c r="BT930"/>
      <c r="BU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row>
    <row r="931" spans="1:122" ht="1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509"/>
      <c r="Y931" s="509"/>
      <c r="BR931"/>
      <c r="BS931"/>
      <c r="BT931"/>
      <c r="BU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row>
    <row r="932" spans="1:122" ht="1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509"/>
      <c r="Y932" s="509"/>
      <c r="BR932"/>
      <c r="BS932"/>
      <c r="BT932"/>
      <c r="BU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row>
    <row r="933" spans="1:122" ht="1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509"/>
      <c r="Y933" s="509"/>
      <c r="BR933"/>
      <c r="BS933"/>
      <c r="BT933"/>
      <c r="BU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row>
    <row r="934" spans="1:122" ht="1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509"/>
      <c r="Y934" s="509"/>
      <c r="BR934"/>
      <c r="BS934"/>
      <c r="BT934"/>
      <c r="BU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row>
    <row r="935" spans="1:122" ht="1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509"/>
      <c r="Y935" s="509"/>
      <c r="BR935"/>
      <c r="BS935"/>
      <c r="BT935"/>
      <c r="BU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row>
    <row r="936" spans="1:122" ht="1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509"/>
      <c r="Y936" s="509"/>
      <c r="BR936"/>
      <c r="BS936"/>
      <c r="BT936"/>
      <c r="BU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row>
    <row r="937" spans="1:122" ht="1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509"/>
      <c r="Y937" s="509"/>
      <c r="BR937"/>
      <c r="BS937"/>
      <c r="BT937"/>
      <c r="BU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row>
    <row r="938" spans="1:122" ht="1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509"/>
      <c r="Y938" s="509"/>
      <c r="BR938"/>
      <c r="BS938"/>
      <c r="BT938"/>
      <c r="BU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row>
    <row r="939" spans="1:122" ht="1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509"/>
      <c r="Y939" s="509"/>
      <c r="BR939"/>
      <c r="BS939"/>
      <c r="BT939"/>
      <c r="BU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row>
    <row r="940" spans="1:122" ht="1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509"/>
      <c r="Y940" s="509"/>
      <c r="BR940"/>
      <c r="BS940"/>
      <c r="BT940"/>
      <c r="BU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row>
    <row r="941" spans="1:122" ht="1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509"/>
      <c r="Y941" s="509"/>
      <c r="BR941"/>
      <c r="BS941"/>
      <c r="BT941"/>
      <c r="BU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row>
    <row r="942" spans="1:122" ht="1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509"/>
      <c r="Y942" s="509"/>
      <c r="BR942"/>
      <c r="BS942"/>
      <c r="BT942"/>
      <c r="BU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row>
    <row r="943" spans="1:122" ht="1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509"/>
      <c r="Y943" s="509"/>
      <c r="BR943"/>
      <c r="BS943"/>
      <c r="BT943"/>
      <c r="BU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row>
    <row r="944" spans="1:122" ht="1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509"/>
      <c r="Y944" s="509"/>
      <c r="BR944"/>
      <c r="BS944"/>
      <c r="BT944"/>
      <c r="BU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row>
    <row r="945" spans="1:122" ht="1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509"/>
      <c r="Y945" s="509"/>
      <c r="BR945"/>
      <c r="BS945"/>
      <c r="BT945"/>
      <c r="BU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row>
    <row r="946" spans="1:122" ht="1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509"/>
      <c r="Y946" s="509"/>
      <c r="BR946"/>
      <c r="BS946"/>
      <c r="BT946"/>
      <c r="BU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row>
    <row r="947" spans="1:122" ht="1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509"/>
      <c r="Y947" s="509"/>
      <c r="BR947"/>
      <c r="BS947"/>
      <c r="BT947"/>
      <c r="BU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row>
    <row r="948" spans="1:122" ht="1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509"/>
      <c r="Y948" s="509"/>
      <c r="BR948"/>
      <c r="BS948"/>
      <c r="BT948"/>
      <c r="BU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row>
    <row r="949" spans="1:122" ht="1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509"/>
      <c r="Y949" s="509"/>
      <c r="BR949"/>
      <c r="BS949"/>
      <c r="BT949"/>
      <c r="BU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row>
    <row r="950" spans="1:122" ht="1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509"/>
      <c r="Y950" s="509"/>
      <c r="BR950"/>
      <c r="BS950"/>
      <c r="BT950"/>
      <c r="BU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row>
    <row r="951" spans="1:122" ht="1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509"/>
      <c r="Y951" s="509"/>
      <c r="BR951"/>
      <c r="BS951"/>
      <c r="BT951"/>
      <c r="BU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row>
    <row r="952" spans="1:122" ht="1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509"/>
      <c r="Y952" s="509"/>
      <c r="BR952"/>
      <c r="BS952"/>
      <c r="BT952"/>
      <c r="BU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row>
    <row r="953" spans="1:122" ht="1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509"/>
      <c r="Y953" s="509"/>
      <c r="BR953"/>
      <c r="BS953"/>
      <c r="BT953"/>
      <c r="BU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row>
    <row r="954" spans="1:122" ht="1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509"/>
      <c r="Y954" s="509"/>
      <c r="BR954"/>
      <c r="BS954"/>
      <c r="BT954"/>
      <c r="BU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row>
    <row r="955" spans="1:122" ht="1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509"/>
      <c r="Y955" s="509"/>
      <c r="BR955"/>
      <c r="BS955"/>
      <c r="BT955"/>
      <c r="BU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row>
    <row r="956" spans="1:122" ht="1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509"/>
      <c r="Y956" s="509"/>
      <c r="BR956"/>
      <c r="BS956"/>
      <c r="BT956"/>
      <c r="BU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row>
    <row r="957" spans="1:122" ht="1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509"/>
      <c r="Y957" s="509"/>
      <c r="BR957"/>
      <c r="BS957"/>
      <c r="BT957"/>
      <c r="BU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row>
    <row r="958" spans="1:122" ht="1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509"/>
      <c r="Y958" s="509"/>
      <c r="BR958"/>
      <c r="BS958"/>
      <c r="BT958"/>
      <c r="BU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row>
    <row r="959" spans="1:122" ht="1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509"/>
      <c r="Y959" s="509"/>
      <c r="BR959"/>
      <c r="BS959"/>
      <c r="BT959"/>
      <c r="BU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row>
    <row r="960" spans="1:122" ht="1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509"/>
      <c r="Y960" s="509"/>
      <c r="BR960"/>
      <c r="BS960"/>
      <c r="BT960"/>
      <c r="BU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row>
    <row r="961" spans="1:122" ht="1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509"/>
      <c r="Y961" s="509"/>
      <c r="BR961"/>
      <c r="BS961"/>
      <c r="BT961"/>
      <c r="BU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row>
    <row r="962" spans="1:122" ht="1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509"/>
      <c r="Y962" s="509"/>
      <c r="BR962"/>
      <c r="BS962"/>
      <c r="BT962"/>
      <c r="BU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row>
    <row r="963" spans="1:122" ht="1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509"/>
      <c r="Y963" s="509"/>
      <c r="BR963"/>
      <c r="BS963"/>
      <c r="BT963"/>
      <c r="BU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row>
    <row r="964" spans="1:122" ht="1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509"/>
      <c r="Y964" s="509"/>
      <c r="BR964"/>
      <c r="BS964"/>
      <c r="BT964"/>
      <c r="BU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row>
    <row r="965" spans="1:122" ht="1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509"/>
      <c r="Y965" s="509"/>
      <c r="BR965"/>
      <c r="BS965"/>
      <c r="BT965"/>
      <c r="BU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row>
    <row r="966" spans="1:122" ht="1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509"/>
      <c r="Y966" s="509"/>
      <c r="BR966"/>
      <c r="BS966"/>
      <c r="BT966"/>
      <c r="BU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row>
    <row r="967" spans="1:122" ht="1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509"/>
      <c r="Y967" s="509"/>
      <c r="BR967"/>
      <c r="BS967"/>
      <c r="BT967"/>
      <c r="BU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row>
    <row r="968" spans="1:122" ht="1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509"/>
      <c r="Y968" s="509"/>
      <c r="BR968"/>
      <c r="BS968"/>
      <c r="BT968"/>
      <c r="BU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row>
    <row r="969" spans="1:122" ht="1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509"/>
      <c r="Y969" s="509"/>
      <c r="BR969"/>
      <c r="BS969"/>
      <c r="BT969"/>
      <c r="BU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row>
    <row r="970" spans="1:122" ht="1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509"/>
      <c r="Y970" s="509"/>
      <c r="BR970"/>
      <c r="BS970"/>
      <c r="BT970"/>
      <c r="BU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row>
    <row r="971" spans="1:122" ht="1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509"/>
      <c r="Y971" s="509"/>
      <c r="BR971"/>
      <c r="BS971"/>
      <c r="BT971"/>
      <c r="BU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row>
    <row r="972" spans="1:122" ht="1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509"/>
      <c r="Y972" s="509"/>
      <c r="BR972"/>
      <c r="BS972"/>
      <c r="BT972"/>
      <c r="BU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row>
    <row r="973" spans="1:122" ht="1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509"/>
      <c r="Y973" s="509"/>
      <c r="BR973"/>
      <c r="BS973"/>
      <c r="BT973"/>
      <c r="BU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row>
    <row r="974" spans="1:122" ht="1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509"/>
      <c r="Y974" s="509"/>
      <c r="BR974"/>
      <c r="BS974"/>
      <c r="BT974"/>
      <c r="BU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row>
    <row r="975" spans="1:122" ht="1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509"/>
      <c r="Y975" s="509"/>
      <c r="BR975"/>
      <c r="BS975"/>
      <c r="BT975"/>
      <c r="BU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row>
    <row r="976" spans="1:122" ht="1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509"/>
      <c r="Y976" s="509"/>
      <c r="BR976"/>
      <c r="BS976"/>
      <c r="BT976"/>
      <c r="BU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row>
    <row r="977" spans="1:122" ht="1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509"/>
      <c r="Y977" s="509"/>
      <c r="BR977"/>
      <c r="BS977"/>
      <c r="BT977"/>
      <c r="BU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row>
    <row r="978" spans="1:122" ht="1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509"/>
      <c r="Y978" s="509"/>
      <c r="BR978"/>
      <c r="BS978"/>
      <c r="BT978"/>
      <c r="BU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row>
    <row r="979" spans="1:122" ht="1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509"/>
      <c r="Y979" s="509"/>
      <c r="BR979"/>
      <c r="BS979"/>
      <c r="BT979"/>
      <c r="BU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row>
    <row r="980" spans="1:122" ht="1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509"/>
      <c r="Y980" s="509"/>
      <c r="BR980"/>
      <c r="BS980"/>
      <c r="BT980"/>
      <c r="BU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row>
    <row r="981" spans="1:122" ht="1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509"/>
      <c r="Y981" s="509"/>
      <c r="BR981"/>
      <c r="BS981"/>
      <c r="BT981"/>
      <c r="BU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row>
    <row r="982" spans="1:122" ht="1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509"/>
      <c r="Y982" s="509"/>
      <c r="BR982"/>
      <c r="BS982"/>
      <c r="BT982"/>
      <c r="BU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row>
    <row r="983" spans="1:122" ht="1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509"/>
      <c r="Y983" s="509"/>
      <c r="BR983"/>
      <c r="BS983"/>
      <c r="BT983"/>
      <c r="BU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row>
    <row r="984" spans="1:122" ht="1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509"/>
      <c r="Y984" s="509"/>
      <c r="BR984"/>
      <c r="BS984"/>
      <c r="BT984"/>
      <c r="BU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row>
    <row r="985" spans="1:122" ht="1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509"/>
      <c r="Y985" s="509"/>
      <c r="BR985"/>
      <c r="BS985"/>
      <c r="BT985"/>
      <c r="BU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row>
    <row r="986" spans="1:122" ht="1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509"/>
      <c r="Y986" s="509"/>
      <c r="BR986"/>
      <c r="BS986"/>
      <c r="BT986"/>
      <c r="BU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row>
    <row r="987" spans="1:122" ht="1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509"/>
      <c r="Y987" s="509"/>
      <c r="BR987"/>
      <c r="BS987"/>
      <c r="BT987"/>
      <c r="BU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row>
    <row r="988" spans="1:122" ht="1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509"/>
      <c r="Y988" s="509"/>
      <c r="BR988"/>
      <c r="BS988"/>
      <c r="BT988"/>
      <c r="BU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row>
    <row r="989" spans="1:122" ht="1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509"/>
      <c r="Y989" s="509"/>
      <c r="BR989"/>
      <c r="BS989"/>
      <c r="BT989"/>
      <c r="BU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row>
    <row r="990" spans="1:122" ht="1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509"/>
      <c r="Y990" s="509"/>
      <c r="BR990"/>
      <c r="BS990"/>
      <c r="BT990"/>
      <c r="BU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row>
    <row r="991" spans="1:122" ht="1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509"/>
      <c r="Y991" s="509"/>
      <c r="BR991"/>
      <c r="BS991"/>
      <c r="BT991"/>
      <c r="BU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row>
    <row r="992" spans="1:122" ht="1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509"/>
      <c r="Y992" s="509"/>
      <c r="BR992"/>
      <c r="BS992"/>
      <c r="BT992"/>
      <c r="BU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row>
    <row r="993" spans="1:122" ht="1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509"/>
      <c r="Y993" s="509"/>
      <c r="BR993"/>
      <c r="BS993"/>
      <c r="BT993"/>
      <c r="BU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row>
    <row r="994" spans="1:122" ht="1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509"/>
      <c r="Y994" s="509"/>
      <c r="BR994"/>
      <c r="BS994"/>
      <c r="BT994"/>
      <c r="BU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row>
    <row r="995" spans="1:122" ht="1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509"/>
      <c r="Y995" s="509"/>
      <c r="BR995"/>
      <c r="BS995"/>
      <c r="BT995"/>
      <c r="BU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row>
    <row r="996" spans="1:122" ht="1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509"/>
      <c r="Y996" s="509"/>
      <c r="BR996"/>
      <c r="BS996"/>
      <c r="BT996"/>
      <c r="BU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row>
    <row r="997" spans="1:122" ht="1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509"/>
      <c r="Y997" s="509"/>
      <c r="BR997"/>
      <c r="BS997"/>
      <c r="BT997"/>
      <c r="BU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row>
    <row r="998" spans="1:122" ht="1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509"/>
      <c r="Y998" s="509"/>
      <c r="BR998"/>
      <c r="BS998"/>
      <c r="BT998"/>
      <c r="BU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row>
    <row r="999" spans="1:122" ht="1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509"/>
      <c r="Y999" s="509"/>
      <c r="BR999"/>
      <c r="BS999"/>
      <c r="BT999"/>
      <c r="BU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row>
    <row r="1000" spans="1:122" ht="1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509"/>
      <c r="Y1000" s="509"/>
      <c r="BR1000"/>
      <c r="BS1000"/>
      <c r="BT1000"/>
      <c r="BU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row>
    <row r="1001" spans="1:122" ht="15" customHeight="1">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509"/>
      <c r="Y1001" s="509"/>
      <c r="BR1001"/>
      <c r="BS1001"/>
      <c r="BT1001"/>
      <c r="BU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row>
    <row r="1002" spans="1:122" ht="15" customHeight="1">
      <c r="A1002" s="137"/>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X1002" s="509"/>
      <c r="Y1002" s="509"/>
      <c r="BR1002"/>
      <c r="BS1002"/>
      <c r="BT1002"/>
      <c r="BU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row>
    <row r="1003" spans="1:122" ht="15" customHeight="1">
      <c r="A1003" s="137"/>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X1003" s="509"/>
      <c r="Y1003" s="509"/>
      <c r="BR1003"/>
      <c r="BS1003"/>
      <c r="BT1003"/>
      <c r="BU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row>
    <row r="1004" spans="1:122" ht="15" customHeight="1">
      <c r="A1004" s="137"/>
      <c r="B1004" s="137"/>
      <c r="C1004" s="137"/>
      <c r="D1004" s="137"/>
      <c r="E1004" s="137"/>
      <c r="F1004" s="137"/>
      <c r="G1004" s="137"/>
      <c r="H1004" s="137"/>
      <c r="I1004" s="137"/>
      <c r="J1004" s="137"/>
      <c r="K1004" s="137"/>
      <c r="L1004" s="137"/>
      <c r="M1004" s="137"/>
      <c r="N1004" s="137"/>
      <c r="O1004" s="137"/>
      <c r="P1004" s="137"/>
      <c r="Q1004" s="137"/>
      <c r="R1004" s="137"/>
      <c r="S1004" s="137"/>
      <c r="T1004" s="137"/>
      <c r="U1004" s="137"/>
      <c r="V1004" s="137"/>
      <c r="W1004" s="137"/>
      <c r="X1004" s="509"/>
      <c r="Y1004" s="509"/>
      <c r="BR1004"/>
      <c r="BS1004"/>
      <c r="BT1004"/>
      <c r="BU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row>
    <row r="1005" spans="1:122" ht="15" customHeight="1">
      <c r="A1005" s="137"/>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509"/>
      <c r="Y1005" s="509"/>
      <c r="BR1005"/>
      <c r="BS1005"/>
      <c r="BT1005"/>
      <c r="BU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row>
    <row r="1006" spans="1:122" ht="15" customHeight="1">
      <c r="A1006" s="137"/>
      <c r="B1006" s="137"/>
      <c r="C1006" s="137"/>
      <c r="D1006" s="137"/>
      <c r="E1006" s="137"/>
      <c r="F1006" s="137"/>
      <c r="G1006" s="137"/>
      <c r="H1006" s="137"/>
      <c r="I1006" s="137"/>
      <c r="J1006" s="137"/>
      <c r="K1006" s="137"/>
      <c r="L1006" s="137"/>
      <c r="M1006" s="137"/>
      <c r="N1006" s="137"/>
      <c r="O1006" s="137"/>
      <c r="P1006" s="137"/>
      <c r="Q1006" s="137"/>
      <c r="R1006" s="137"/>
      <c r="S1006" s="137"/>
      <c r="T1006" s="137"/>
      <c r="U1006" s="137"/>
      <c r="V1006" s="137"/>
      <c r="W1006" s="137"/>
      <c r="X1006" s="509"/>
      <c r="Y1006" s="509"/>
      <c r="BR1006"/>
      <c r="BS1006"/>
      <c r="BT1006"/>
      <c r="BU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row>
    <row r="1007" spans="1:122" ht="15" customHeight="1">
      <c r="A1007" s="137"/>
      <c r="B1007" s="137"/>
      <c r="C1007" s="137"/>
      <c r="D1007" s="137"/>
      <c r="E1007" s="137"/>
      <c r="F1007" s="137"/>
      <c r="G1007" s="137"/>
      <c r="H1007" s="137"/>
      <c r="I1007" s="137"/>
      <c r="J1007" s="137"/>
      <c r="K1007" s="137"/>
      <c r="L1007" s="137"/>
      <c r="M1007" s="137"/>
      <c r="N1007" s="137"/>
      <c r="O1007" s="137"/>
      <c r="P1007" s="137"/>
      <c r="Q1007" s="137"/>
      <c r="R1007" s="137"/>
      <c r="S1007" s="137"/>
      <c r="T1007" s="137"/>
      <c r="U1007" s="137"/>
      <c r="V1007" s="137"/>
      <c r="W1007" s="137"/>
      <c r="X1007" s="509"/>
      <c r="Y1007" s="509"/>
      <c r="BR1007"/>
      <c r="BS1007"/>
      <c r="BT1007"/>
      <c r="BU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row>
    <row r="1008" spans="1:122" ht="15" customHeight="1">
      <c r="A1008" s="137"/>
      <c r="B1008" s="137"/>
      <c r="C1008" s="137"/>
      <c r="D1008" s="137"/>
      <c r="E1008" s="137"/>
      <c r="F1008" s="137"/>
      <c r="G1008" s="137"/>
      <c r="H1008" s="137"/>
      <c r="I1008" s="137"/>
      <c r="J1008" s="137"/>
      <c r="K1008" s="137"/>
      <c r="L1008" s="137"/>
      <c r="M1008" s="137"/>
      <c r="N1008" s="137"/>
      <c r="O1008" s="137"/>
      <c r="P1008" s="137"/>
      <c r="Q1008" s="137"/>
      <c r="R1008" s="137"/>
      <c r="S1008" s="137"/>
      <c r="T1008" s="137"/>
      <c r="U1008" s="137"/>
      <c r="V1008" s="137"/>
      <c r="W1008" s="137"/>
      <c r="X1008" s="509"/>
      <c r="Y1008" s="509"/>
      <c r="BR1008"/>
      <c r="BS1008"/>
      <c r="BT1008"/>
      <c r="BU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row>
    <row r="1009" spans="1:122" ht="15" customHeight="1">
      <c r="A1009" s="137"/>
      <c r="B1009" s="137"/>
      <c r="C1009" s="137"/>
      <c r="D1009" s="137"/>
      <c r="E1009" s="137"/>
      <c r="F1009" s="137"/>
      <c r="G1009" s="137"/>
      <c r="H1009" s="137"/>
      <c r="I1009" s="137"/>
      <c r="J1009" s="137"/>
      <c r="K1009" s="137"/>
      <c r="L1009" s="137"/>
      <c r="M1009" s="137"/>
      <c r="N1009" s="137"/>
      <c r="O1009" s="137"/>
      <c r="P1009" s="137"/>
      <c r="Q1009" s="137"/>
      <c r="R1009" s="137"/>
      <c r="S1009" s="137"/>
      <c r="T1009" s="137"/>
      <c r="U1009" s="137"/>
      <c r="V1009" s="137"/>
      <c r="W1009" s="137"/>
      <c r="X1009" s="509"/>
      <c r="Y1009" s="509"/>
      <c r="BR1009"/>
      <c r="BS1009"/>
      <c r="BT1009"/>
      <c r="BU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row>
    <row r="1010" spans="1:122" ht="15" customHeight="1">
      <c r="A1010" s="137"/>
      <c r="B1010" s="137"/>
      <c r="C1010" s="137"/>
      <c r="D1010" s="137"/>
      <c r="E1010" s="137"/>
      <c r="F1010" s="137"/>
      <c r="G1010" s="137"/>
      <c r="H1010" s="137"/>
      <c r="I1010" s="137"/>
      <c r="J1010" s="137"/>
      <c r="K1010" s="137"/>
      <c r="L1010" s="137"/>
      <c r="M1010" s="137"/>
      <c r="N1010" s="137"/>
      <c r="O1010" s="137"/>
      <c r="P1010" s="137"/>
      <c r="Q1010" s="137"/>
      <c r="R1010" s="137"/>
      <c r="S1010" s="137"/>
      <c r="T1010" s="137"/>
      <c r="U1010" s="137"/>
      <c r="V1010" s="137"/>
      <c r="W1010" s="137"/>
      <c r="X1010" s="509"/>
      <c r="Y1010" s="509"/>
      <c r="BR1010"/>
      <c r="BS1010"/>
      <c r="BT1010"/>
      <c r="BU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row>
    <row r="1011" spans="1:122" ht="15" customHeight="1">
      <c r="A1011" s="137"/>
      <c r="B1011" s="137"/>
      <c r="C1011" s="137"/>
      <c r="D1011" s="137"/>
      <c r="E1011" s="137"/>
      <c r="F1011" s="137"/>
      <c r="G1011" s="137"/>
      <c r="H1011" s="137"/>
      <c r="I1011" s="137"/>
      <c r="J1011" s="137"/>
      <c r="K1011" s="137"/>
      <c r="L1011" s="137"/>
      <c r="M1011" s="137"/>
      <c r="N1011" s="137"/>
      <c r="O1011" s="137"/>
      <c r="P1011" s="137"/>
      <c r="Q1011" s="137"/>
      <c r="R1011" s="137"/>
      <c r="S1011" s="137"/>
      <c r="T1011" s="137"/>
      <c r="U1011" s="137"/>
      <c r="V1011" s="137"/>
      <c r="W1011" s="137"/>
      <c r="X1011" s="509"/>
      <c r="Y1011" s="509"/>
      <c r="BR1011"/>
      <c r="BS1011"/>
      <c r="BT1011"/>
      <c r="BU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row>
    <row r="1012" spans="1:122" ht="15" customHeight="1">
      <c r="A1012" s="137"/>
      <c r="B1012" s="137"/>
      <c r="C1012" s="137"/>
      <c r="D1012" s="137"/>
      <c r="E1012" s="137"/>
      <c r="F1012" s="137"/>
      <c r="G1012" s="137"/>
      <c r="H1012" s="137"/>
      <c r="I1012" s="137"/>
      <c r="J1012" s="137"/>
      <c r="K1012" s="137"/>
      <c r="L1012" s="137"/>
      <c r="M1012" s="137"/>
      <c r="N1012" s="137"/>
      <c r="O1012" s="137"/>
      <c r="P1012" s="137"/>
      <c r="Q1012" s="137"/>
      <c r="R1012" s="137"/>
      <c r="S1012" s="137"/>
      <c r="T1012" s="137"/>
      <c r="U1012" s="137"/>
      <c r="V1012" s="137"/>
      <c r="W1012" s="137"/>
      <c r="X1012" s="509"/>
      <c r="Y1012" s="509"/>
      <c r="BR1012"/>
      <c r="BS1012"/>
      <c r="BT1012"/>
      <c r="BU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row>
    <row r="1013" spans="1:122" ht="15" customHeight="1">
      <c r="A1013" s="137"/>
      <c r="B1013" s="137"/>
      <c r="C1013" s="137"/>
      <c r="D1013" s="137"/>
      <c r="E1013" s="137"/>
      <c r="F1013" s="137"/>
      <c r="G1013" s="137"/>
      <c r="H1013" s="137"/>
      <c r="I1013" s="137"/>
      <c r="J1013" s="137"/>
      <c r="K1013" s="137"/>
      <c r="L1013" s="137"/>
      <c r="M1013" s="137"/>
      <c r="N1013" s="137"/>
      <c r="O1013" s="137"/>
      <c r="P1013" s="137"/>
      <c r="Q1013" s="137"/>
      <c r="R1013" s="137"/>
      <c r="S1013" s="137"/>
      <c r="T1013" s="137"/>
      <c r="U1013" s="137"/>
      <c r="V1013" s="137"/>
      <c r="W1013" s="137"/>
      <c r="X1013" s="509"/>
      <c r="Y1013" s="509"/>
      <c r="BR1013"/>
      <c r="BS1013"/>
      <c r="BT1013"/>
      <c r="BU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row>
    <row r="1014" spans="1:122" ht="15" customHeight="1">
      <c r="A1014" s="137"/>
      <c r="B1014" s="137"/>
      <c r="C1014" s="137"/>
      <c r="D1014" s="137"/>
      <c r="E1014" s="137"/>
      <c r="F1014" s="137"/>
      <c r="G1014" s="137"/>
      <c r="H1014" s="137"/>
      <c r="I1014" s="137"/>
      <c r="J1014" s="137"/>
      <c r="K1014" s="137"/>
      <c r="L1014" s="137"/>
      <c r="M1014" s="137"/>
      <c r="N1014" s="137"/>
      <c r="O1014" s="137"/>
      <c r="P1014" s="137"/>
      <c r="Q1014" s="137"/>
      <c r="R1014" s="137"/>
      <c r="S1014" s="137"/>
      <c r="T1014" s="137"/>
      <c r="U1014" s="137"/>
      <c r="V1014" s="137"/>
      <c r="W1014" s="137"/>
      <c r="X1014" s="509"/>
      <c r="Y1014" s="509"/>
      <c r="BR1014"/>
      <c r="BS1014"/>
      <c r="BT1014"/>
      <c r="BU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row>
    <row r="1015" spans="1:122" ht="15" customHeight="1">
      <c r="A1015" s="137"/>
      <c r="B1015" s="137"/>
      <c r="C1015" s="137"/>
      <c r="D1015" s="137"/>
      <c r="E1015" s="137"/>
      <c r="F1015" s="137"/>
      <c r="G1015" s="137"/>
      <c r="H1015" s="137"/>
      <c r="I1015" s="137"/>
      <c r="J1015" s="137"/>
      <c r="K1015" s="137"/>
      <c r="L1015" s="137"/>
      <c r="M1015" s="137"/>
      <c r="N1015" s="137"/>
      <c r="O1015" s="137"/>
      <c r="P1015" s="137"/>
      <c r="Q1015" s="137"/>
      <c r="R1015" s="137"/>
      <c r="S1015" s="137"/>
      <c r="T1015" s="137"/>
      <c r="U1015" s="137"/>
      <c r="V1015" s="137"/>
      <c r="W1015" s="137"/>
      <c r="X1015" s="509"/>
      <c r="Y1015" s="509"/>
      <c r="BR1015"/>
      <c r="BS1015"/>
      <c r="BT1015"/>
      <c r="BU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row>
    <row r="1016" spans="1:122" ht="15" customHeight="1">
      <c r="A1016" s="137"/>
      <c r="B1016" s="137"/>
      <c r="C1016" s="137"/>
      <c r="D1016" s="137"/>
      <c r="E1016" s="137"/>
      <c r="F1016" s="137"/>
      <c r="G1016" s="137"/>
      <c r="H1016" s="137"/>
      <c r="I1016" s="137"/>
      <c r="J1016" s="137"/>
      <c r="K1016" s="137"/>
      <c r="L1016" s="137"/>
      <c r="M1016" s="137"/>
      <c r="N1016" s="137"/>
      <c r="O1016" s="137"/>
      <c r="P1016" s="137"/>
      <c r="Q1016" s="137"/>
      <c r="R1016" s="137"/>
      <c r="S1016" s="137"/>
      <c r="T1016" s="137"/>
      <c r="U1016" s="137"/>
      <c r="V1016" s="137"/>
      <c r="W1016" s="137"/>
      <c r="X1016" s="509"/>
      <c r="Y1016" s="509"/>
      <c r="BR1016"/>
      <c r="BS1016"/>
      <c r="BT1016"/>
      <c r="BU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row>
    <row r="1017" spans="1:122" ht="15" customHeight="1">
      <c r="A1017" s="137"/>
      <c r="B1017" s="137"/>
      <c r="C1017" s="137"/>
      <c r="D1017" s="137"/>
      <c r="E1017" s="137"/>
      <c r="F1017" s="137"/>
      <c r="G1017" s="137"/>
      <c r="H1017" s="137"/>
      <c r="I1017" s="137"/>
      <c r="J1017" s="137"/>
      <c r="K1017" s="137"/>
      <c r="L1017" s="137"/>
      <c r="M1017" s="137"/>
      <c r="N1017" s="137"/>
      <c r="O1017" s="137"/>
      <c r="P1017" s="137"/>
      <c r="Q1017" s="137"/>
      <c r="R1017" s="137"/>
      <c r="S1017" s="137"/>
      <c r="T1017" s="137"/>
      <c r="U1017" s="137"/>
      <c r="V1017" s="137"/>
      <c r="W1017" s="137"/>
      <c r="X1017" s="509"/>
      <c r="Y1017" s="509"/>
      <c r="BR1017"/>
      <c r="BS1017"/>
      <c r="BT1017"/>
      <c r="BU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row>
    <row r="1018" spans="1:122" ht="15" customHeight="1">
      <c r="A1018" s="137"/>
      <c r="B1018" s="137"/>
      <c r="C1018" s="137"/>
      <c r="D1018" s="137"/>
      <c r="E1018" s="137"/>
      <c r="F1018" s="137"/>
      <c r="G1018" s="137"/>
      <c r="H1018" s="137"/>
      <c r="I1018" s="137"/>
      <c r="J1018" s="137"/>
      <c r="K1018" s="137"/>
      <c r="L1018" s="137"/>
      <c r="M1018" s="137"/>
      <c r="N1018" s="137"/>
      <c r="O1018" s="137"/>
      <c r="P1018" s="137"/>
      <c r="Q1018" s="137"/>
      <c r="R1018" s="137"/>
      <c r="S1018" s="137"/>
      <c r="T1018" s="137"/>
      <c r="U1018" s="137"/>
      <c r="V1018" s="137"/>
      <c r="W1018" s="137"/>
      <c r="X1018" s="509"/>
      <c r="Y1018" s="509"/>
      <c r="BR1018"/>
      <c r="BS1018"/>
      <c r="BT1018"/>
      <c r="BU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row>
  </sheetData>
  <autoFilter ref="A4:DR89" xr:uid="{00000000-0009-0000-0000-000016000000}"/>
  <mergeCells count="418">
    <mergeCell ref="DM6:DM7"/>
    <mergeCell ref="DN6:DN7"/>
    <mergeCell ref="DO6:DO7"/>
    <mergeCell ref="DP6:DP7"/>
    <mergeCell ref="DQ6:DQ7"/>
    <mergeCell ref="DC8:DC9"/>
    <mergeCell ref="DD8:DD9"/>
    <mergeCell ref="DE8:DE9"/>
    <mergeCell ref="DF8:DF9"/>
    <mergeCell ref="BS1:DQ1"/>
    <mergeCell ref="CC2:DF2"/>
    <mergeCell ref="DM2:DQ2"/>
    <mergeCell ref="CD3:CF3"/>
    <mergeCell ref="CG3:CI3"/>
    <mergeCell ref="CJ3:CQ3"/>
    <mergeCell ref="CR3:CZ3"/>
    <mergeCell ref="DA3:DF3"/>
    <mergeCell ref="DI3:DI4"/>
    <mergeCell ref="DJ3:DJ4"/>
    <mergeCell ref="DK3:DL3"/>
    <mergeCell ref="DM3:DM4"/>
    <mergeCell ref="DN3:DP3"/>
    <mergeCell ref="BS2:BS4"/>
    <mergeCell ref="BV2:BV4"/>
    <mergeCell ref="BW2:BW4"/>
    <mergeCell ref="BX2:BX4"/>
    <mergeCell ref="BY2:CB2"/>
    <mergeCell ref="DH2:DL2"/>
    <mergeCell ref="BY3:BY4"/>
    <mergeCell ref="BZ3:BZ4"/>
    <mergeCell ref="CA3:CA4"/>
    <mergeCell ref="CB3:CB4"/>
    <mergeCell ref="CC3:CC4"/>
    <mergeCell ref="BU39:BU44"/>
    <mergeCell ref="BU45:BU87"/>
    <mergeCell ref="CU6:CU7"/>
    <mergeCell ref="CV6:CV7"/>
    <mergeCell ref="CW6:CW7"/>
    <mergeCell ref="CX6:CX7"/>
    <mergeCell ref="CY6:CY7"/>
    <mergeCell ref="CZ6:CZ7"/>
    <mergeCell ref="DA6:DA7"/>
    <mergeCell ref="CL6:CL7"/>
    <mergeCell ref="CM6:CM7"/>
    <mergeCell ref="CN6:CN7"/>
    <mergeCell ref="CO6:CO7"/>
    <mergeCell ref="CP6:CP7"/>
    <mergeCell ref="CQ6:CQ7"/>
    <mergeCell ref="CR6:CR7"/>
    <mergeCell ref="CS6:CS7"/>
    <mergeCell ref="CT6:CT7"/>
    <mergeCell ref="BX39:BX41"/>
    <mergeCell ref="CF8:CF9"/>
    <mergeCell ref="CG8:CG9"/>
    <mergeCell ref="CH8:CH9"/>
    <mergeCell ref="CI8:CI9"/>
    <mergeCell ref="CJ8:CJ9"/>
    <mergeCell ref="DB6:DB7"/>
    <mergeCell ref="DL6:DL7"/>
    <mergeCell ref="DC6:DC7"/>
    <mergeCell ref="DD6:DD7"/>
    <mergeCell ref="DE6:DE7"/>
    <mergeCell ref="DF6:DF7"/>
    <mergeCell ref="DH6:DH7"/>
    <mergeCell ref="DI6:DI7"/>
    <mergeCell ref="DJ6:DJ7"/>
    <mergeCell ref="DK6:DK7"/>
    <mergeCell ref="DH3:DH4"/>
    <mergeCell ref="Z1:BQ1"/>
    <mergeCell ref="Z2:Z4"/>
    <mergeCell ref="AA2:AA4"/>
    <mergeCell ref="AB2:AB4"/>
    <mergeCell ref="AC2:AC4"/>
    <mergeCell ref="AD2:AG2"/>
    <mergeCell ref="AH2:BG2"/>
    <mergeCell ref="BH2:BL2"/>
    <mergeCell ref="BM2:BQ2"/>
    <mergeCell ref="AD3:AD4"/>
    <mergeCell ref="AE3:AE4"/>
    <mergeCell ref="AF3:AF4"/>
    <mergeCell ref="AG3:AG4"/>
    <mergeCell ref="AH3:AH4"/>
    <mergeCell ref="AI3:AJ3"/>
    <mergeCell ref="BJ3:BJ4"/>
    <mergeCell ref="BM3:BM4"/>
    <mergeCell ref="BN3:BP3"/>
    <mergeCell ref="AK3:AL3"/>
    <mergeCell ref="AM3:AS3"/>
    <mergeCell ref="AT3:BA3"/>
    <mergeCell ref="BB3:BG3"/>
    <mergeCell ref="BH3:BH4"/>
    <mergeCell ref="A45:A87"/>
    <mergeCell ref="B45:B87"/>
    <mergeCell ref="A1:Y1"/>
    <mergeCell ref="A2:Y2"/>
    <mergeCell ref="A3:Y3"/>
    <mergeCell ref="D22:D23"/>
    <mergeCell ref="Y22:Y23"/>
    <mergeCell ref="D28:D29"/>
    <mergeCell ref="T28:T29"/>
    <mergeCell ref="Y28:Y29"/>
    <mergeCell ref="A39:A44"/>
    <mergeCell ref="B39:B44"/>
    <mergeCell ref="Y10:Y11"/>
    <mergeCell ref="D14:D16"/>
    <mergeCell ref="G14:G15"/>
    <mergeCell ref="Y14:Y15"/>
    <mergeCell ref="D17:D20"/>
    <mergeCell ref="G17:G19"/>
    <mergeCell ref="A5:A38"/>
    <mergeCell ref="B5:B38"/>
    <mergeCell ref="D6:D7"/>
    <mergeCell ref="D10:D11"/>
    <mergeCell ref="G10:G11"/>
    <mergeCell ref="C6:C7"/>
    <mergeCell ref="AH6:AH7"/>
    <mergeCell ref="AI6:AI7"/>
    <mergeCell ref="AJ6:AJ7"/>
    <mergeCell ref="AK6:AK7"/>
    <mergeCell ref="AL6:AL7"/>
    <mergeCell ref="AW6:AW7"/>
    <mergeCell ref="AX6:AX7"/>
    <mergeCell ref="AY6:AY7"/>
    <mergeCell ref="BI3:BI4"/>
    <mergeCell ref="AZ6:AZ7"/>
    <mergeCell ref="AM6:AM7"/>
    <mergeCell ref="AN6:AN7"/>
    <mergeCell ref="AO6:AO7"/>
    <mergeCell ref="AP6:AP7"/>
    <mergeCell ref="AQ6:AQ7"/>
    <mergeCell ref="BA6:BA7"/>
    <mergeCell ref="AR6:AR7"/>
    <mergeCell ref="AS6:AS7"/>
    <mergeCell ref="AT6:AT7"/>
    <mergeCell ref="AU6:AU7"/>
    <mergeCell ref="AV6:AV7"/>
    <mergeCell ref="BO6:BO7"/>
    <mergeCell ref="BP6:BP7"/>
    <mergeCell ref="BG6:BG7"/>
    <mergeCell ref="BH6:BH7"/>
    <mergeCell ref="BI6:BI7"/>
    <mergeCell ref="BJ6:BJ7"/>
    <mergeCell ref="BK6:BK7"/>
    <mergeCell ref="BB6:BB7"/>
    <mergeCell ref="BC6:BC7"/>
    <mergeCell ref="BD6:BD7"/>
    <mergeCell ref="BE6:BE7"/>
    <mergeCell ref="BF6:BF7"/>
    <mergeCell ref="AS8:AS9"/>
    <mergeCell ref="AT8:AT9"/>
    <mergeCell ref="AU8:AU9"/>
    <mergeCell ref="AV8:AV9"/>
    <mergeCell ref="AW8:AW9"/>
    <mergeCell ref="BQ6:BQ7"/>
    <mergeCell ref="AC8:AC9"/>
    <mergeCell ref="AD8:AD9"/>
    <mergeCell ref="AE8:AE9"/>
    <mergeCell ref="AF8:AF9"/>
    <mergeCell ref="AG8:AG9"/>
    <mergeCell ref="AI8:AI9"/>
    <mergeCell ref="AJ8:AJ9"/>
    <mergeCell ref="AK8:AK9"/>
    <mergeCell ref="AL8:AL9"/>
    <mergeCell ref="AM8:AM9"/>
    <mergeCell ref="AN8:AN9"/>
    <mergeCell ref="AO8:AO9"/>
    <mergeCell ref="AP8:AP9"/>
    <mergeCell ref="AQ8:AQ9"/>
    <mergeCell ref="AR8:AR9"/>
    <mergeCell ref="BL6:BL7"/>
    <mergeCell ref="BM6:BM7"/>
    <mergeCell ref="BN6:BN7"/>
    <mergeCell ref="BC8:BC9"/>
    <mergeCell ref="BD8:BD9"/>
    <mergeCell ref="BE8:BE9"/>
    <mergeCell ref="BF8:BF9"/>
    <mergeCell ref="BG8:BG9"/>
    <mergeCell ref="AX8:AX9"/>
    <mergeCell ref="AY8:AY9"/>
    <mergeCell ref="AZ8:AZ9"/>
    <mergeCell ref="BA8:BA9"/>
    <mergeCell ref="BB8:BB9"/>
    <mergeCell ref="BM8:BM9"/>
    <mergeCell ref="BN8:BN9"/>
    <mergeCell ref="BO8:BO9"/>
    <mergeCell ref="BP8:BP9"/>
    <mergeCell ref="BQ8:BQ9"/>
    <mergeCell ref="BH8:BH9"/>
    <mergeCell ref="BI8:BI9"/>
    <mergeCell ref="BJ8:BJ9"/>
    <mergeCell ref="BK8:BK9"/>
    <mergeCell ref="BL8:BL9"/>
    <mergeCell ref="AH10:AH11"/>
    <mergeCell ref="AI10:AI11"/>
    <mergeCell ref="AJ10:AJ11"/>
    <mergeCell ref="AA10:AA11"/>
    <mergeCell ref="AB10:AB11"/>
    <mergeCell ref="BO10:BO11"/>
    <mergeCell ref="BP10:BP11"/>
    <mergeCell ref="BQ10:BQ11"/>
    <mergeCell ref="AD14:AD15"/>
    <mergeCell ref="AE14:AE15"/>
    <mergeCell ref="AF14:AF15"/>
    <mergeCell ref="AG14:AG15"/>
    <mergeCell ref="BI10:BI11"/>
    <mergeCell ref="BJ10:BJ11"/>
    <mergeCell ref="BK10:BK11"/>
    <mergeCell ref="BL10:BL11"/>
    <mergeCell ref="BM10:BM11"/>
    <mergeCell ref="BD10:BD11"/>
    <mergeCell ref="BE10:BE11"/>
    <mergeCell ref="BF10:BF11"/>
    <mergeCell ref="BG10:BG11"/>
    <mergeCell ref="BH10:BH11"/>
    <mergeCell ref="AU10:AU11"/>
    <mergeCell ref="AV10:AV11"/>
    <mergeCell ref="BN10:BN11"/>
    <mergeCell ref="AR10:AR11"/>
    <mergeCell ref="AS10:AS11"/>
    <mergeCell ref="AT10:AT11"/>
    <mergeCell ref="AK10:AK11"/>
    <mergeCell ref="AL10:AL11"/>
    <mergeCell ref="AM10:AM11"/>
    <mergeCell ref="AN10:AN11"/>
    <mergeCell ref="AO10:AO11"/>
    <mergeCell ref="AW10:AW11"/>
    <mergeCell ref="BB10:BB11"/>
    <mergeCell ref="BC10:BC11"/>
    <mergeCell ref="AP10:AP11"/>
    <mergeCell ref="AQ10:AQ11"/>
    <mergeCell ref="AG17:AG20"/>
    <mergeCell ref="BP17:BP20"/>
    <mergeCell ref="BQ17:BQ20"/>
    <mergeCell ref="AA22:AA23"/>
    <mergeCell ref="AB22:AB23"/>
    <mergeCell ref="AC22:AC23"/>
    <mergeCell ref="AD22:AD23"/>
    <mergeCell ref="AE22:AE23"/>
    <mergeCell ref="AF22:AF23"/>
    <mergeCell ref="AG22:AG23"/>
    <mergeCell ref="BJ17:BJ20"/>
    <mergeCell ref="BK17:BK20"/>
    <mergeCell ref="BL17:BL20"/>
    <mergeCell ref="BM17:BM20"/>
    <mergeCell ref="BN17:BN20"/>
    <mergeCell ref="BE17:BE20"/>
    <mergeCell ref="BF17:BF20"/>
    <mergeCell ref="BG17:BG20"/>
    <mergeCell ref="BH17:BH20"/>
    <mergeCell ref="BI17:BI20"/>
    <mergeCell ref="AZ17:AZ20"/>
    <mergeCell ref="BA17:BA20"/>
    <mergeCell ref="BB17:BB20"/>
    <mergeCell ref="BC17:BC20"/>
    <mergeCell ref="C8:C9"/>
    <mergeCell ref="C10:C11"/>
    <mergeCell ref="C14:C16"/>
    <mergeCell ref="C17:C20"/>
    <mergeCell ref="C22:C23"/>
    <mergeCell ref="C28:C29"/>
    <mergeCell ref="AF28:AF29"/>
    <mergeCell ref="AG28:AG29"/>
    <mergeCell ref="AC10:AC11"/>
    <mergeCell ref="AD10:AD11"/>
    <mergeCell ref="AE10:AE11"/>
    <mergeCell ref="AA28:AA29"/>
    <mergeCell ref="AB28:AB29"/>
    <mergeCell ref="AC28:AC29"/>
    <mergeCell ref="AD28:AD29"/>
    <mergeCell ref="AE28:AE29"/>
    <mergeCell ref="AA17:AA20"/>
    <mergeCell ref="AB17:AB20"/>
    <mergeCell ref="AC17:AC20"/>
    <mergeCell ref="AD17:AD20"/>
    <mergeCell ref="AE17:AE20"/>
    <mergeCell ref="AF10:AF11"/>
    <mergeCell ref="AG10:AG11"/>
    <mergeCell ref="AF17:AF20"/>
    <mergeCell ref="AG6:AG7"/>
    <mergeCell ref="Y6:Y7"/>
    <mergeCell ref="D8:D9"/>
    <mergeCell ref="G8:G9"/>
    <mergeCell ref="Y8:Y9"/>
    <mergeCell ref="AC6:AC7"/>
    <mergeCell ref="AD6:AD7"/>
    <mergeCell ref="AE6:AE7"/>
    <mergeCell ref="AF6:AF7"/>
    <mergeCell ref="T6:T7"/>
    <mergeCell ref="U6:U7"/>
    <mergeCell ref="U8:U9"/>
    <mergeCell ref="AH28:AH29"/>
    <mergeCell ref="BO17:BO20"/>
    <mergeCell ref="AU17:AU20"/>
    <mergeCell ref="AV17:AV20"/>
    <mergeCell ref="AW17:AW20"/>
    <mergeCell ref="AX17:AX20"/>
    <mergeCell ref="AY17:AY20"/>
    <mergeCell ref="AP17:AP20"/>
    <mergeCell ref="AQ17:AQ20"/>
    <mergeCell ref="AR17:AR20"/>
    <mergeCell ref="AS17:AS20"/>
    <mergeCell ref="AT17:AT20"/>
    <mergeCell ref="AK17:AK20"/>
    <mergeCell ref="BD17:BD20"/>
    <mergeCell ref="AH17:AH20"/>
    <mergeCell ref="AI17:AI20"/>
    <mergeCell ref="AJ17:AJ20"/>
    <mergeCell ref="AL17:AL20"/>
    <mergeCell ref="AM17:AM20"/>
    <mergeCell ref="AN17:AN20"/>
    <mergeCell ref="AO17:AO20"/>
    <mergeCell ref="CC6:CC7"/>
    <mergeCell ref="CD6:CD7"/>
    <mergeCell ref="CE6:CE7"/>
    <mergeCell ref="CF6:CF7"/>
    <mergeCell ref="CG6:CG7"/>
    <mergeCell ref="CH6:CH7"/>
    <mergeCell ref="CI6:CI7"/>
    <mergeCell ref="CJ6:CJ7"/>
    <mergeCell ref="CK6:CK7"/>
    <mergeCell ref="BW6:BW7"/>
    <mergeCell ref="BY6:BY7"/>
    <mergeCell ref="BZ6:BZ7"/>
    <mergeCell ref="CA6:CA7"/>
    <mergeCell ref="CB6:CB7"/>
    <mergeCell ref="BY8:BY9"/>
    <mergeCell ref="BZ8:BZ9"/>
    <mergeCell ref="CA8:CA9"/>
    <mergeCell ref="CB8:CB9"/>
    <mergeCell ref="CU8:CU9"/>
    <mergeCell ref="CV8:CV9"/>
    <mergeCell ref="CW8:CW9"/>
    <mergeCell ref="CX8:CX9"/>
    <mergeCell ref="CY8:CY9"/>
    <mergeCell ref="DA8:DA9"/>
    <mergeCell ref="DB8:DB9"/>
    <mergeCell ref="BY10:BY11"/>
    <mergeCell ref="BZ10:BZ11"/>
    <mergeCell ref="CA10:CA11"/>
    <mergeCell ref="CB10:CB11"/>
    <mergeCell ref="CL8:CL9"/>
    <mergeCell ref="CM8:CM9"/>
    <mergeCell ref="CN8:CN9"/>
    <mergeCell ref="CO8:CO9"/>
    <mergeCell ref="CP8:CP9"/>
    <mergeCell ref="CR8:CR9"/>
    <mergeCell ref="CS8:CS9"/>
    <mergeCell ref="CT8:CT9"/>
    <mergeCell ref="CC8:CC9"/>
    <mergeCell ref="CD8:CD9"/>
    <mergeCell ref="CE8:CE9"/>
    <mergeCell ref="CK8:CK9"/>
    <mergeCell ref="BT2:BT4"/>
    <mergeCell ref="BU2:BU4"/>
    <mergeCell ref="BR28:BR29"/>
    <mergeCell ref="CC17:CC20"/>
    <mergeCell ref="BW21:BW23"/>
    <mergeCell ref="BX21:BX23"/>
    <mergeCell ref="BY22:BY23"/>
    <mergeCell ref="BZ22:BZ23"/>
    <mergeCell ref="CA22:CA23"/>
    <mergeCell ref="CB22:CB23"/>
    <mergeCell ref="BR10:BR11"/>
    <mergeCell ref="BR14:BR16"/>
    <mergeCell ref="BR17:BR20"/>
    <mergeCell ref="BR22:BR23"/>
    <mergeCell ref="BY14:BY15"/>
    <mergeCell ref="BZ14:BZ15"/>
    <mergeCell ref="CA14:CA15"/>
    <mergeCell ref="CB14:CB15"/>
    <mergeCell ref="BX17:BX20"/>
    <mergeCell ref="BY17:BY20"/>
    <mergeCell ref="BZ17:BZ20"/>
    <mergeCell ref="CA17:CA20"/>
    <mergeCell ref="CB17:CB20"/>
    <mergeCell ref="BU5:BU38"/>
    <mergeCell ref="C63:C64"/>
    <mergeCell ref="D63:D64"/>
    <mergeCell ref="E63:E64"/>
    <mergeCell ref="F63:F64"/>
    <mergeCell ref="G63:G64"/>
    <mergeCell ref="H63:H64"/>
    <mergeCell ref="I63:I64"/>
    <mergeCell ref="J63:J64"/>
    <mergeCell ref="K63:K64"/>
    <mergeCell ref="C75:C76"/>
    <mergeCell ref="D75:D76"/>
    <mergeCell ref="E75:E76"/>
    <mergeCell ref="F75:F76"/>
    <mergeCell ref="G75:G76"/>
    <mergeCell ref="H75:H76"/>
    <mergeCell ref="I75:I76"/>
    <mergeCell ref="J75:J76"/>
    <mergeCell ref="K75:K76"/>
    <mergeCell ref="DS1:FL1"/>
    <mergeCell ref="L75:L76"/>
    <mergeCell ref="M75:M76"/>
    <mergeCell ref="N75:N76"/>
    <mergeCell ref="O75:O76"/>
    <mergeCell ref="P75:P76"/>
    <mergeCell ref="Q75:Q76"/>
    <mergeCell ref="R75:R76"/>
    <mergeCell ref="S75:S76"/>
    <mergeCell ref="T75:T76"/>
    <mergeCell ref="L63:L64"/>
    <mergeCell ref="M63:M64"/>
    <mergeCell ref="N63:N64"/>
    <mergeCell ref="O63:O64"/>
    <mergeCell ref="P63:P64"/>
    <mergeCell ref="Q63:Q64"/>
    <mergeCell ref="R63:R64"/>
    <mergeCell ref="S63:S64"/>
    <mergeCell ref="T63:T64"/>
    <mergeCell ref="U10:U11"/>
    <mergeCell ref="U14:U16"/>
    <mergeCell ref="U17:U20"/>
    <mergeCell ref="U22:U23"/>
    <mergeCell ref="U28:U29"/>
  </mergeCells>
  <conditionalFormatting sqref="BT5:BT87">
    <cfRule type="cellIs" dxfId="7" priority="1" operator="between">
      <formula>0.81</formula>
      <formula>9999.99</formula>
    </cfRule>
  </conditionalFormatting>
  <conditionalFormatting sqref="BT5:BT87">
    <cfRule type="cellIs" dxfId="6" priority="2" operator="between">
      <formula>0.61</formula>
      <formula>0.8</formula>
    </cfRule>
  </conditionalFormatting>
  <conditionalFormatting sqref="BT5:BT87">
    <cfRule type="cellIs" dxfId="5" priority="3" operator="between">
      <formula>0.31</formula>
      <formula>0.6</formula>
    </cfRule>
  </conditionalFormatting>
  <conditionalFormatting sqref="BT5:BT87">
    <cfRule type="cellIs" dxfId="4" priority="4" operator="between">
      <formula>-9999.99</formula>
      <formula>0.3</formula>
    </cfRule>
  </conditionalFormatting>
  <pageMargins left="0.7" right="0.7" top="0.75" bottom="0.75" header="0.3" footer="0.3"/>
  <pageSetup paperSize="9" orientation="portrait" horizontalDpi="300" verticalDpi="300"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theme="2" tint="-0.89999084444715716"/>
  </sheetPr>
  <dimension ref="A1:FP67"/>
  <sheetViews>
    <sheetView showGridLines="0" zoomScale="80" zoomScaleNormal="80" workbookViewId="0">
      <selection activeCell="CF6" sqref="CF6:CF93"/>
    </sheetView>
  </sheetViews>
  <sheetFormatPr baseColWidth="10" defaultColWidth="11.42578125" defaultRowHeight="15" customHeight="1"/>
  <cols>
    <col min="1" max="1" width="18.5703125" customWidth="1"/>
    <col min="2" max="2" width="17.7109375" customWidth="1"/>
    <col min="3" max="3" width="16.140625" customWidth="1"/>
    <col min="4" max="4" width="22.28515625" customWidth="1"/>
    <col min="5" max="5" width="16.7109375" customWidth="1"/>
    <col min="6" max="6" width="46.42578125" customWidth="1"/>
    <col min="7" max="7" width="25.5703125" customWidth="1"/>
    <col min="8" max="8" width="11.42578125" customWidth="1"/>
    <col min="9" max="9" width="11.7109375" customWidth="1"/>
    <col min="10" max="10" width="13" customWidth="1"/>
    <col min="11" max="11" width="1.7109375" customWidth="1"/>
    <col min="12" max="12" width="7.85546875" style="2274" customWidth="1"/>
    <col min="13" max="19" width="1.7109375" customWidth="1"/>
    <col min="20" max="21" width="2.5703125" customWidth="1"/>
    <col min="22" max="22" width="8.7109375" customWidth="1"/>
    <col min="23" max="24" width="24.140625" customWidth="1"/>
    <col min="25" max="25" width="25.85546875" customWidth="1"/>
    <col min="26" max="26" width="13.42578125" customWidth="1"/>
    <col min="27" max="28" width="11.42578125" customWidth="1"/>
    <col min="29" max="29" width="12.42578125" customWidth="1"/>
    <col min="30" max="30" width="19.7109375" customWidth="1"/>
    <col min="31" max="31" width="20.85546875" customWidth="1"/>
    <col min="32" max="32" width="30" customWidth="1"/>
    <col min="33" max="33" width="23.28515625" customWidth="1"/>
    <col min="34" max="34" width="26" customWidth="1"/>
    <col min="35" max="35" width="19.28515625" customWidth="1"/>
    <col min="36" max="38" width="7.7109375" customWidth="1"/>
    <col min="39" max="39" width="15" customWidth="1"/>
    <col min="40" max="54" width="6.140625" customWidth="1"/>
    <col min="55" max="55" width="5.7109375" customWidth="1"/>
    <col min="56" max="56" width="6.140625" customWidth="1"/>
    <col min="57" max="57" width="5.5703125" customWidth="1"/>
    <col min="58" max="60" width="4.28515625" customWidth="1"/>
    <col min="61" max="64" width="6.140625" customWidth="1"/>
    <col min="65" max="65" width="25.7109375" customWidth="1"/>
    <col min="66" max="66" width="29.5703125" customWidth="1"/>
    <col min="67" max="67" width="19.42578125" customWidth="1"/>
    <col min="68" max="68" width="23.7109375" customWidth="1"/>
    <col min="69" max="69" width="20.28515625" customWidth="1"/>
    <col min="70" max="70" width="20.7109375" customWidth="1"/>
    <col min="71" max="71" width="14.28515625" customWidth="1"/>
    <col min="72" max="73" width="11.42578125" customWidth="1"/>
    <col min="74" max="74" width="20.7109375" customWidth="1"/>
    <col min="75" max="75" width="17" customWidth="1"/>
    <col min="76" max="76" width="17" style="785" customWidth="1"/>
    <col min="77" max="77" width="17" customWidth="1"/>
    <col min="78" max="78" width="35.28515625" style="2272" customWidth="1"/>
    <col min="79" max="79" width="21.85546875" style="2272" customWidth="1"/>
    <col min="80" max="80" width="16.28515625" style="2272" customWidth="1"/>
    <col min="81" max="81" width="18.85546875" style="2273" customWidth="1"/>
    <col min="82" max="84" width="11.42578125" style="2273" customWidth="1"/>
    <col min="85" max="99" width="11.5703125" style="2273" customWidth="1"/>
    <col min="100" max="125" width="11.42578125" style="2273" customWidth="1"/>
    <col min="126" max="126" width="1.42578125" style="2272" customWidth="1"/>
  </cols>
  <sheetData>
    <row r="1" spans="1:172" ht="15" customHeight="1" thickBot="1">
      <c r="A1" s="16736" t="s">
        <v>2283</v>
      </c>
      <c r="B1" s="16736"/>
      <c r="C1" s="16736"/>
      <c r="D1" s="16736"/>
      <c r="E1" s="16736"/>
      <c r="F1" s="16736"/>
      <c r="G1" s="16736"/>
      <c r="H1" s="16736"/>
      <c r="I1" s="16736"/>
      <c r="J1" s="16736"/>
      <c r="K1" s="16736"/>
      <c r="L1" s="16736"/>
      <c r="M1" s="16736"/>
      <c r="N1" s="16736"/>
      <c r="O1" s="16736"/>
      <c r="P1" s="16736"/>
      <c r="Q1" s="16736"/>
      <c r="R1" s="16736"/>
      <c r="S1" s="16736"/>
      <c r="T1" s="16736"/>
      <c r="U1" s="16736"/>
      <c r="V1" s="16736"/>
      <c r="W1" s="16736"/>
      <c r="X1" s="16736"/>
      <c r="Y1" s="16736"/>
      <c r="Z1" s="16736"/>
      <c r="AA1" s="16736"/>
      <c r="AB1" s="16736"/>
      <c r="AC1" s="16736"/>
      <c r="AD1" s="16736"/>
      <c r="AE1" s="16601" t="s">
        <v>0</v>
      </c>
      <c r="AF1" s="16601"/>
      <c r="AG1" s="16601"/>
      <c r="AH1" s="16601"/>
      <c r="AI1" s="16601"/>
      <c r="AJ1" s="16601"/>
      <c r="AK1" s="16601"/>
      <c r="AL1" s="16601"/>
      <c r="AM1" s="16601"/>
      <c r="AN1" s="16601"/>
      <c r="AO1" s="16601"/>
      <c r="AP1" s="16601"/>
      <c r="AQ1" s="16601"/>
      <c r="AR1" s="16601"/>
      <c r="AS1" s="16601"/>
      <c r="AT1" s="16601"/>
      <c r="AU1" s="16601"/>
      <c r="AV1" s="16601"/>
      <c r="AW1" s="16601"/>
      <c r="AX1" s="16601"/>
      <c r="AY1" s="16601"/>
      <c r="AZ1" s="16601"/>
      <c r="BA1" s="16601"/>
      <c r="BB1" s="16601"/>
      <c r="BC1" s="16601"/>
      <c r="BD1" s="16601"/>
      <c r="BE1" s="16601"/>
      <c r="BF1" s="16601"/>
      <c r="BG1" s="16601"/>
      <c r="BH1" s="16601"/>
      <c r="BI1" s="16601"/>
      <c r="BJ1" s="16601"/>
      <c r="BK1" s="16601"/>
      <c r="BL1" s="16601"/>
      <c r="BM1" s="16601"/>
      <c r="BN1" s="16601"/>
      <c r="BO1" s="16601"/>
      <c r="BP1" s="16601"/>
      <c r="BQ1" s="16601"/>
      <c r="BR1" s="16601"/>
      <c r="BS1" s="16601"/>
      <c r="BT1" s="16601"/>
      <c r="BU1" s="16601"/>
      <c r="BV1" s="16601"/>
      <c r="BW1" s="16601" t="s">
        <v>8493</v>
      </c>
      <c r="BX1" s="16601"/>
      <c r="BY1" s="16601"/>
      <c r="BZ1" s="16601"/>
      <c r="CA1" s="16601"/>
      <c r="CB1" s="16601"/>
      <c r="CC1" s="16759"/>
      <c r="CD1" s="16759"/>
      <c r="CE1" s="16759"/>
      <c r="CF1" s="16759"/>
      <c r="CG1" s="16759"/>
      <c r="CH1" s="16759"/>
      <c r="CI1" s="16601"/>
      <c r="CJ1" s="16601"/>
      <c r="CK1" s="16601"/>
      <c r="CL1" s="16601"/>
      <c r="CM1" s="16601"/>
      <c r="CN1" s="16601"/>
      <c r="CO1" s="16601"/>
      <c r="CP1" s="16601"/>
      <c r="CQ1" s="16601"/>
      <c r="CR1" s="16601"/>
      <c r="CS1" s="16601"/>
      <c r="CT1" s="16601"/>
      <c r="CU1" s="16601"/>
      <c r="CV1" s="16601"/>
      <c r="CW1" s="16601"/>
      <c r="CX1" s="16601"/>
      <c r="CY1" s="16601"/>
      <c r="CZ1" s="16601"/>
      <c r="DA1" s="16601"/>
      <c r="DB1" s="16601"/>
      <c r="DC1" s="16601"/>
      <c r="DD1" s="16601"/>
      <c r="DE1" s="16601"/>
      <c r="DF1" s="16601"/>
      <c r="DG1" s="16601"/>
      <c r="DH1" s="16601"/>
      <c r="DI1" s="16601"/>
      <c r="DJ1" s="16601"/>
      <c r="DK1" s="16601"/>
      <c r="DL1" s="16601"/>
      <c r="DM1" s="16601"/>
      <c r="DN1" s="16601"/>
      <c r="DO1" s="16601"/>
      <c r="DP1" s="16601"/>
      <c r="DQ1" s="16601"/>
      <c r="DR1" s="16601"/>
      <c r="DS1" s="16601"/>
      <c r="DT1" s="16601"/>
      <c r="DU1" s="16601"/>
      <c r="DV1"/>
    </row>
    <row r="2" spans="1:172" ht="15" customHeight="1" thickBot="1">
      <c r="A2" s="16758" t="s">
        <v>358</v>
      </c>
      <c r="B2" s="16758"/>
      <c r="C2" s="16758"/>
      <c r="D2" s="16758"/>
      <c r="E2" s="2203"/>
      <c r="F2" s="16757" t="s">
        <v>359</v>
      </c>
      <c r="G2" s="16757"/>
      <c r="H2" s="16757"/>
      <c r="I2" s="16757"/>
      <c r="J2" s="16757"/>
      <c r="K2" s="16757"/>
      <c r="L2" s="16757"/>
      <c r="M2" s="16757"/>
      <c r="N2" s="16757"/>
      <c r="O2" s="16757"/>
      <c r="P2" s="16757"/>
      <c r="Q2" s="16757"/>
      <c r="R2" s="16757"/>
      <c r="S2" s="16757"/>
      <c r="T2" s="16757"/>
      <c r="U2" s="16757"/>
      <c r="V2" s="16757"/>
      <c r="W2" s="16757"/>
      <c r="X2" s="16757"/>
      <c r="Y2" s="16757"/>
      <c r="Z2" s="16757"/>
      <c r="AA2" s="16757"/>
      <c r="AB2" s="16757"/>
      <c r="AC2" s="16757"/>
      <c r="AD2" s="16757"/>
      <c r="AE2" s="16465"/>
      <c r="AF2" s="16465"/>
      <c r="AG2" s="16465"/>
      <c r="AH2" s="16465"/>
      <c r="AI2" s="16465"/>
      <c r="AJ2" s="16465"/>
      <c r="AK2" s="16465"/>
      <c r="AL2" s="16465"/>
      <c r="AM2" s="16465"/>
      <c r="AN2" s="16465"/>
      <c r="AO2" s="16465"/>
      <c r="AP2" s="16465"/>
      <c r="AQ2" s="16465"/>
      <c r="AR2" s="16465"/>
      <c r="AS2" s="16465"/>
      <c r="AT2" s="16465"/>
      <c r="AU2" s="16465"/>
      <c r="AV2" s="16465"/>
      <c r="AW2" s="16465"/>
      <c r="AX2" s="16465"/>
      <c r="AY2" s="16465"/>
      <c r="AZ2" s="16465"/>
      <c r="BA2" s="16465"/>
      <c r="BB2" s="16465"/>
      <c r="BC2" s="16465"/>
      <c r="BD2" s="16465"/>
      <c r="BE2" s="16465"/>
      <c r="BF2" s="16465"/>
      <c r="BG2" s="16465"/>
      <c r="BH2" s="16465"/>
      <c r="BI2" s="16465"/>
      <c r="BJ2" s="16465"/>
      <c r="BK2" s="16465"/>
      <c r="BL2" s="16465"/>
      <c r="BM2" s="16465"/>
      <c r="BN2" s="16465"/>
      <c r="BO2" s="16465"/>
      <c r="BP2" s="16465"/>
      <c r="BQ2" s="16465"/>
      <c r="BR2" s="16465"/>
      <c r="BS2" s="16465"/>
      <c r="BT2" s="16465"/>
      <c r="BU2" s="16465"/>
      <c r="BV2" s="16465"/>
      <c r="BW2" s="16465"/>
      <c r="BX2" s="16465"/>
      <c r="BY2" s="16465"/>
      <c r="BZ2" s="16465"/>
      <c r="CA2" s="16465"/>
      <c r="CB2" s="16465"/>
      <c r="CC2" s="16760"/>
      <c r="CD2" s="16760"/>
      <c r="CE2" s="16760"/>
      <c r="CF2" s="16760"/>
      <c r="CG2" s="16760"/>
      <c r="CH2" s="16760"/>
      <c r="CI2" s="16465"/>
      <c r="CJ2" s="16465"/>
      <c r="CK2" s="16465"/>
      <c r="CL2" s="16465"/>
      <c r="CM2" s="16465"/>
      <c r="CN2" s="16465"/>
      <c r="CO2" s="16465"/>
      <c r="CP2" s="16465"/>
      <c r="CQ2" s="16465"/>
      <c r="CR2" s="16465"/>
      <c r="CS2" s="16465"/>
      <c r="CT2" s="16465"/>
      <c r="CU2" s="16465"/>
      <c r="CV2" s="16465"/>
      <c r="CW2" s="16465"/>
      <c r="CX2" s="16465"/>
      <c r="CY2" s="16465"/>
      <c r="CZ2" s="16465"/>
      <c r="DA2" s="16465"/>
      <c r="DB2" s="16465"/>
      <c r="DC2" s="16465"/>
      <c r="DD2" s="16465"/>
      <c r="DE2" s="16465"/>
      <c r="DF2" s="16465"/>
      <c r="DG2" s="16465"/>
      <c r="DH2" s="16465"/>
      <c r="DI2" s="16465"/>
      <c r="DJ2" s="16465"/>
      <c r="DK2" s="16465"/>
      <c r="DL2" s="16465"/>
      <c r="DM2" s="16465"/>
      <c r="DN2" s="16465"/>
      <c r="DO2" s="16465"/>
      <c r="DP2" s="16465"/>
      <c r="DQ2" s="16465"/>
      <c r="DR2" s="16465"/>
      <c r="DS2" s="16465"/>
      <c r="DT2" s="16465"/>
      <c r="DU2" s="16465"/>
      <c r="DV2"/>
      <c r="DW2" s="13291" t="s">
        <v>8497</v>
      </c>
      <c r="DX2" s="13291"/>
      <c r="DY2" s="13291"/>
      <c r="DZ2" s="13291"/>
      <c r="EA2" s="13291"/>
      <c r="EB2" s="13291"/>
      <c r="EC2" s="13618"/>
      <c r="ED2" s="13618"/>
      <c r="EE2" s="13618"/>
      <c r="EF2" s="13618"/>
      <c r="EG2" s="13291"/>
      <c r="EH2" s="13291"/>
      <c r="EI2" s="13291"/>
      <c r="EJ2" s="13291"/>
      <c r="EK2" s="13291"/>
      <c r="EL2" s="13291"/>
      <c r="EM2" s="13291"/>
      <c r="EN2" s="13291"/>
      <c r="EO2" s="13291"/>
      <c r="EP2" s="13291"/>
      <c r="EQ2" s="13291"/>
      <c r="ER2" s="13291"/>
      <c r="ES2" s="13291"/>
      <c r="ET2" s="13291"/>
      <c r="EU2" s="13291"/>
      <c r="EV2" s="13291"/>
      <c r="EW2" s="13291"/>
      <c r="EX2" s="13291"/>
      <c r="EY2" s="13291"/>
      <c r="EZ2" s="13291"/>
      <c r="FA2" s="13291"/>
      <c r="FB2" s="13291"/>
      <c r="FC2" s="13291"/>
      <c r="FD2" s="13291"/>
      <c r="FE2" s="13291"/>
      <c r="FF2" s="13291"/>
      <c r="FG2" s="13291"/>
      <c r="FH2" s="13291"/>
      <c r="FI2" s="13291"/>
      <c r="FJ2" s="13291"/>
      <c r="FK2" s="13291"/>
      <c r="FL2" s="13291"/>
      <c r="FM2" s="13291"/>
      <c r="FN2" s="13291"/>
      <c r="FO2" s="13291"/>
      <c r="FP2" s="13292"/>
    </row>
    <row r="3" spans="1:172" ht="15" customHeight="1" thickBot="1">
      <c r="A3" s="16745" t="s">
        <v>361</v>
      </c>
      <c r="B3" s="16742" t="s">
        <v>360</v>
      </c>
      <c r="C3" s="16748" t="s">
        <v>362</v>
      </c>
      <c r="D3" s="16737" t="s">
        <v>363</v>
      </c>
      <c r="E3" s="15952" t="s">
        <v>4635</v>
      </c>
      <c r="F3" s="16737" t="s">
        <v>56</v>
      </c>
      <c r="G3" s="16737" t="s">
        <v>57</v>
      </c>
      <c r="H3" s="16739" t="s">
        <v>364</v>
      </c>
      <c r="I3" s="16728" t="s">
        <v>365</v>
      </c>
      <c r="J3" s="16766" t="s">
        <v>8589</v>
      </c>
      <c r="K3" s="16767"/>
      <c r="L3" s="16767"/>
      <c r="M3" s="16767"/>
      <c r="N3" s="16767"/>
      <c r="O3" s="16767"/>
      <c r="P3" s="16767"/>
      <c r="Q3" s="16767"/>
      <c r="R3" s="16767"/>
      <c r="S3" s="16767"/>
      <c r="T3" s="16767"/>
      <c r="U3" s="16770" t="s">
        <v>6771</v>
      </c>
      <c r="V3" s="16751" t="s">
        <v>367</v>
      </c>
      <c r="W3" s="16731" t="s">
        <v>10056</v>
      </c>
      <c r="X3" s="16731" t="s">
        <v>368</v>
      </c>
      <c r="Y3" s="16754" t="s">
        <v>369</v>
      </c>
      <c r="Z3" s="16755" t="s">
        <v>370</v>
      </c>
      <c r="AA3" s="16755"/>
      <c r="AB3" s="16755"/>
      <c r="AC3" s="16755"/>
      <c r="AD3" s="16754" t="s">
        <v>371</v>
      </c>
      <c r="AE3" s="15517" t="s">
        <v>1</v>
      </c>
      <c r="AF3" s="15517" t="s">
        <v>2</v>
      </c>
      <c r="AG3" s="15517" t="s">
        <v>3</v>
      </c>
      <c r="AH3" s="15139" t="s">
        <v>4</v>
      </c>
      <c r="AI3" s="13299" t="s">
        <v>355</v>
      </c>
      <c r="AJ3" s="13300"/>
      <c r="AK3" s="13300"/>
      <c r="AL3" s="13301"/>
      <c r="AM3" s="13299" t="s">
        <v>356</v>
      </c>
      <c r="AN3" s="13300"/>
      <c r="AO3" s="13300"/>
      <c r="AP3" s="13300"/>
      <c r="AQ3" s="13300"/>
      <c r="AR3" s="13300"/>
      <c r="AS3" s="13300"/>
      <c r="AT3" s="13300"/>
      <c r="AU3" s="13300"/>
      <c r="AV3" s="13300"/>
      <c r="AW3" s="13300"/>
      <c r="AX3" s="13300"/>
      <c r="AY3" s="13300"/>
      <c r="AZ3" s="13300"/>
      <c r="BA3" s="13300"/>
      <c r="BB3" s="13300"/>
      <c r="BC3" s="13300"/>
      <c r="BD3" s="13300"/>
      <c r="BE3" s="13300"/>
      <c r="BF3" s="13300"/>
      <c r="BG3" s="13300"/>
      <c r="BH3" s="13300"/>
      <c r="BI3" s="13300"/>
      <c r="BJ3" s="13300"/>
      <c r="BK3" s="13300"/>
      <c r="BL3" s="13301"/>
      <c r="BM3" s="13302" t="s">
        <v>357</v>
      </c>
      <c r="BN3" s="13303"/>
      <c r="BO3" s="13303"/>
      <c r="BP3" s="13303"/>
      <c r="BQ3" s="13304"/>
      <c r="BR3" s="13305" t="s">
        <v>5</v>
      </c>
      <c r="BS3" s="13306"/>
      <c r="BT3" s="13306"/>
      <c r="BU3" s="13306"/>
      <c r="BV3" s="13307"/>
      <c r="BW3" s="15517" t="s">
        <v>8490</v>
      </c>
      <c r="BX3" s="16032" t="s">
        <v>9652</v>
      </c>
      <c r="BY3" s="15520" t="s">
        <v>9651</v>
      </c>
      <c r="BZ3" s="16778" t="s">
        <v>8491</v>
      </c>
      <c r="CA3" s="16778" t="s">
        <v>8492</v>
      </c>
      <c r="CB3" s="16780" t="s">
        <v>4</v>
      </c>
      <c r="CC3" s="14602" t="s">
        <v>355</v>
      </c>
      <c r="CD3" s="14603"/>
      <c r="CE3" s="14603"/>
      <c r="CF3" s="14604"/>
      <c r="CG3" s="14602" t="s">
        <v>356</v>
      </c>
      <c r="CH3" s="14603"/>
      <c r="CI3" s="14603"/>
      <c r="CJ3" s="14603"/>
      <c r="CK3" s="14603"/>
      <c r="CL3" s="14603"/>
      <c r="CM3" s="14603"/>
      <c r="CN3" s="14603"/>
      <c r="CO3" s="14603"/>
      <c r="CP3" s="14603"/>
      <c r="CQ3" s="14603"/>
      <c r="CR3" s="14603"/>
      <c r="CS3" s="14603"/>
      <c r="CT3" s="14603"/>
      <c r="CU3" s="14603"/>
      <c r="CV3" s="14603"/>
      <c r="CW3" s="14603"/>
      <c r="CX3" s="14603"/>
      <c r="CY3" s="14603"/>
      <c r="CZ3" s="14603"/>
      <c r="DA3" s="14603"/>
      <c r="DB3" s="14603"/>
      <c r="DC3" s="14603"/>
      <c r="DD3" s="14603"/>
      <c r="DE3" s="14603"/>
      <c r="DF3" s="14603"/>
      <c r="DG3" s="14603"/>
      <c r="DH3" s="14603"/>
      <c r="DI3" s="14603"/>
      <c r="DJ3" s="14604"/>
      <c r="DK3" s="2196"/>
      <c r="DL3" s="15629" t="s">
        <v>357</v>
      </c>
      <c r="DM3" s="15630"/>
      <c r="DN3" s="15630"/>
      <c r="DO3" s="15630"/>
      <c r="DP3" s="15631"/>
      <c r="DQ3" s="15632" t="s">
        <v>5</v>
      </c>
      <c r="DR3" s="15633"/>
      <c r="DS3" s="15633"/>
      <c r="DT3" s="15633"/>
      <c r="DU3" s="15634"/>
      <c r="DV3"/>
      <c r="DW3" s="5000" t="s">
        <v>8498</v>
      </c>
      <c r="DX3" s="5156" t="s">
        <v>10189</v>
      </c>
      <c r="DY3" s="5156" t="s">
        <v>10190</v>
      </c>
      <c r="DZ3" s="4984" t="s">
        <v>8499</v>
      </c>
      <c r="EA3" s="4984" t="s">
        <v>8500</v>
      </c>
      <c r="EB3" s="4986" t="s">
        <v>4</v>
      </c>
      <c r="EC3" s="5002" t="s">
        <v>355</v>
      </c>
      <c r="ED3" s="5003"/>
      <c r="EE3" s="5003"/>
      <c r="EF3" s="5004"/>
      <c r="EG3" s="4988" t="s">
        <v>356</v>
      </c>
      <c r="EH3" s="4989"/>
      <c r="EI3" s="4989"/>
      <c r="EJ3" s="4989"/>
      <c r="EK3" s="4989"/>
      <c r="EL3" s="4989"/>
      <c r="EM3" s="4989"/>
      <c r="EN3" s="4989"/>
      <c r="EO3" s="4989"/>
      <c r="EP3" s="4989"/>
      <c r="EQ3" s="4989"/>
      <c r="ER3" s="4989"/>
      <c r="ES3" s="5030"/>
      <c r="ET3" s="5030"/>
      <c r="EU3" s="5030"/>
      <c r="EV3" s="5030"/>
      <c r="EW3" s="5030"/>
      <c r="EX3" s="5030"/>
      <c r="EY3" s="5030"/>
      <c r="EZ3" s="5030"/>
      <c r="FA3" s="5030"/>
      <c r="FB3" s="5030"/>
      <c r="FC3" s="5030"/>
      <c r="FD3" s="5030"/>
      <c r="FE3" s="5030"/>
      <c r="FF3" s="5031"/>
      <c r="FG3" s="5032" t="s">
        <v>357</v>
      </c>
      <c r="FH3" s="5033"/>
      <c r="FI3" s="5033"/>
      <c r="FJ3" s="5033"/>
      <c r="FK3" s="5034"/>
      <c r="FL3" s="4990" t="s">
        <v>5</v>
      </c>
      <c r="FM3" s="4991"/>
      <c r="FN3" s="4991"/>
      <c r="FO3" s="4991"/>
      <c r="FP3" s="4992"/>
    </row>
    <row r="4" spans="1:172" ht="15" customHeight="1" thickBot="1">
      <c r="A4" s="16746"/>
      <c r="B4" s="16743"/>
      <c r="C4" s="16749"/>
      <c r="D4" s="16738"/>
      <c r="E4" s="15998"/>
      <c r="F4" s="16738"/>
      <c r="G4" s="16738"/>
      <c r="H4" s="16740"/>
      <c r="I4" s="16729"/>
      <c r="J4" s="16768"/>
      <c r="K4" s="16769"/>
      <c r="L4" s="16769"/>
      <c r="M4" s="16769"/>
      <c r="N4" s="16769"/>
      <c r="O4" s="16769"/>
      <c r="P4" s="16769"/>
      <c r="Q4" s="16769"/>
      <c r="R4" s="16769"/>
      <c r="S4" s="16769"/>
      <c r="T4" s="16769"/>
      <c r="U4" s="16770"/>
      <c r="V4" s="16752"/>
      <c r="W4" s="16731"/>
      <c r="X4" s="16731"/>
      <c r="Y4" s="16754"/>
      <c r="Z4" s="16756"/>
      <c r="AA4" s="16756"/>
      <c r="AB4" s="16756"/>
      <c r="AC4" s="16756"/>
      <c r="AD4" s="16754"/>
      <c r="AE4" s="15518"/>
      <c r="AF4" s="15518"/>
      <c r="AG4" s="15518"/>
      <c r="AH4" s="16777"/>
      <c r="AI4" s="13308" t="s">
        <v>6</v>
      </c>
      <c r="AJ4" s="13310" t="s">
        <v>7</v>
      </c>
      <c r="AK4" s="13312" t="s">
        <v>8</v>
      </c>
      <c r="AL4" s="13314" t="s">
        <v>9</v>
      </c>
      <c r="AM4" s="13308" t="s">
        <v>10</v>
      </c>
      <c r="AN4" s="13282" t="s">
        <v>11</v>
      </c>
      <c r="AO4" s="13284"/>
      <c r="AP4" s="13282" t="s">
        <v>12</v>
      </c>
      <c r="AQ4" s="13284"/>
      <c r="AR4" s="13282" t="s">
        <v>13</v>
      </c>
      <c r="AS4" s="13283"/>
      <c r="AT4" s="13283"/>
      <c r="AU4" s="13283"/>
      <c r="AV4" s="13283"/>
      <c r="AW4" s="13283"/>
      <c r="AX4" s="13284"/>
      <c r="AY4" s="13285" t="s">
        <v>14</v>
      </c>
      <c r="AZ4" s="13286"/>
      <c r="BA4" s="13286"/>
      <c r="BB4" s="13286"/>
      <c r="BC4" s="13286"/>
      <c r="BD4" s="13286"/>
      <c r="BE4" s="13286"/>
      <c r="BF4" s="13287"/>
      <c r="BG4" s="13285" t="s">
        <v>15</v>
      </c>
      <c r="BH4" s="13286"/>
      <c r="BI4" s="13286"/>
      <c r="BJ4" s="13286"/>
      <c r="BK4" s="13286"/>
      <c r="BL4" s="13287"/>
      <c r="BM4" s="13288" t="s">
        <v>16</v>
      </c>
      <c r="BN4" s="13288" t="s">
        <v>17</v>
      </c>
      <c r="BO4" s="13275" t="s">
        <v>18</v>
      </c>
      <c r="BP4" s="10" t="s">
        <v>19</v>
      </c>
      <c r="BQ4" s="489" t="s">
        <v>20</v>
      </c>
      <c r="BR4" s="13277" t="s">
        <v>21</v>
      </c>
      <c r="BS4" s="13279" t="s">
        <v>22</v>
      </c>
      <c r="BT4" s="13280"/>
      <c r="BU4" s="13281"/>
      <c r="BV4" s="12" t="s">
        <v>20</v>
      </c>
      <c r="BW4" s="15518"/>
      <c r="BX4" s="16032"/>
      <c r="BY4" s="15520"/>
      <c r="BZ4" s="16779"/>
      <c r="CA4" s="16779"/>
      <c r="CB4" s="16781"/>
      <c r="CC4" s="14605" t="s">
        <v>6</v>
      </c>
      <c r="CD4" s="14611" t="s">
        <v>7</v>
      </c>
      <c r="CE4" s="14577" t="s">
        <v>8</v>
      </c>
      <c r="CF4" s="14579" t="s">
        <v>9</v>
      </c>
      <c r="CG4" s="14605" t="s">
        <v>10</v>
      </c>
      <c r="CH4" s="15635" t="s">
        <v>11</v>
      </c>
      <c r="CI4" s="15644"/>
      <c r="CJ4" s="15644"/>
      <c r="CK4" s="15635" t="s">
        <v>12</v>
      </c>
      <c r="CL4" s="15644"/>
      <c r="CM4" s="15644"/>
      <c r="CN4" s="15635" t="s">
        <v>13</v>
      </c>
      <c r="CO4" s="15644"/>
      <c r="CP4" s="15644"/>
      <c r="CQ4" s="15644"/>
      <c r="CR4" s="15644"/>
      <c r="CS4" s="15644"/>
      <c r="CT4" s="15644"/>
      <c r="CU4" s="15644"/>
      <c r="CV4" s="15645" t="s">
        <v>14</v>
      </c>
      <c r="CW4" s="15642"/>
      <c r="CX4" s="15642"/>
      <c r="CY4" s="15642"/>
      <c r="CZ4" s="15642"/>
      <c r="DA4" s="15642"/>
      <c r="DB4" s="15642"/>
      <c r="DC4" s="15642"/>
      <c r="DD4" s="15642"/>
      <c r="DE4" s="15645" t="s">
        <v>15</v>
      </c>
      <c r="DF4" s="15642"/>
      <c r="DG4" s="15642"/>
      <c r="DH4" s="15642"/>
      <c r="DI4" s="15642"/>
      <c r="DJ4" s="15646"/>
      <c r="DK4" s="2204"/>
      <c r="DL4" s="15647" t="s">
        <v>16</v>
      </c>
      <c r="DM4" s="15647" t="s">
        <v>17</v>
      </c>
      <c r="DN4" s="15637" t="s">
        <v>18</v>
      </c>
      <c r="DO4" s="499" t="s">
        <v>19</v>
      </c>
      <c r="DP4" s="2200" t="s">
        <v>20</v>
      </c>
      <c r="DQ4" s="15639" t="s">
        <v>21</v>
      </c>
      <c r="DR4" s="15641" t="s">
        <v>22</v>
      </c>
      <c r="DS4" s="15642"/>
      <c r="DT4" s="15643"/>
      <c r="DU4" s="835" t="s">
        <v>20</v>
      </c>
      <c r="DV4"/>
      <c r="DW4" s="5001"/>
      <c r="DX4" s="5156"/>
      <c r="DY4" s="5156"/>
      <c r="DZ4" s="4985"/>
      <c r="EA4" s="4985"/>
      <c r="EB4" s="4987"/>
      <c r="EC4" s="5005" t="s">
        <v>6</v>
      </c>
      <c r="ED4" s="5008" t="s">
        <v>7</v>
      </c>
      <c r="EE4" s="4995" t="s">
        <v>8</v>
      </c>
      <c r="EF4" s="4997" t="s">
        <v>9</v>
      </c>
      <c r="EG4" s="4993" t="s">
        <v>10</v>
      </c>
      <c r="EH4" s="4981" t="s">
        <v>11</v>
      </c>
      <c r="EI4" s="4983"/>
      <c r="EJ4" s="4981" t="s">
        <v>12</v>
      </c>
      <c r="EK4" s="4983"/>
      <c r="EL4" s="4981" t="s">
        <v>13</v>
      </c>
      <c r="EM4" s="4982"/>
      <c r="EN4" s="4982"/>
      <c r="EO4" s="4982"/>
      <c r="EP4" s="4982"/>
      <c r="EQ4" s="4982"/>
      <c r="ER4" s="4982"/>
      <c r="ES4" s="5035" t="s">
        <v>14</v>
      </c>
      <c r="ET4" s="5036"/>
      <c r="EU4" s="5036"/>
      <c r="EV4" s="5036"/>
      <c r="EW4" s="5036"/>
      <c r="EX4" s="5036"/>
      <c r="EY4" s="5036"/>
      <c r="EZ4" s="5036"/>
      <c r="FA4" s="5036" t="s">
        <v>15</v>
      </c>
      <c r="FB4" s="5036"/>
      <c r="FC4" s="5036"/>
      <c r="FD4" s="5036"/>
      <c r="FE4" s="5036"/>
      <c r="FF4" s="5037"/>
      <c r="FG4" s="5038" t="s">
        <v>16</v>
      </c>
      <c r="FH4" s="5040" t="s">
        <v>17</v>
      </c>
      <c r="FI4" s="5042" t="s">
        <v>18</v>
      </c>
      <c r="FJ4" s="3375" t="s">
        <v>19</v>
      </c>
      <c r="FK4" s="3376" t="s">
        <v>20</v>
      </c>
      <c r="FL4" s="5027" t="s">
        <v>21</v>
      </c>
      <c r="FM4" s="4978" t="s">
        <v>22</v>
      </c>
      <c r="FN4" s="4979"/>
      <c r="FO4" s="4980"/>
      <c r="FP4" s="12" t="s">
        <v>20</v>
      </c>
    </row>
    <row r="5" spans="1:172" ht="15" customHeight="1" thickBot="1">
      <c r="A5" s="16747"/>
      <c r="B5" s="16744"/>
      <c r="C5" s="16750"/>
      <c r="D5" s="15952"/>
      <c r="E5" s="15998"/>
      <c r="F5" s="15952"/>
      <c r="G5" s="15952"/>
      <c r="H5" s="16741"/>
      <c r="I5" s="16730"/>
      <c r="J5" s="2205" t="s">
        <v>9289</v>
      </c>
      <c r="K5" s="2205" t="s">
        <v>2104</v>
      </c>
      <c r="L5" s="2205" t="s">
        <v>9290</v>
      </c>
      <c r="M5" s="2205" t="s">
        <v>3279</v>
      </c>
      <c r="N5" s="2205" t="s">
        <v>9291</v>
      </c>
      <c r="O5" s="2205" t="s">
        <v>9292</v>
      </c>
      <c r="P5" s="2205" t="s">
        <v>9293</v>
      </c>
      <c r="Q5" s="2205" t="s">
        <v>9294</v>
      </c>
      <c r="R5" s="2205" t="s">
        <v>9295</v>
      </c>
      <c r="S5" s="2205" t="s">
        <v>9296</v>
      </c>
      <c r="T5" s="2206" t="s">
        <v>9297</v>
      </c>
      <c r="U5" s="16771"/>
      <c r="V5" s="16753"/>
      <c r="W5" s="15937"/>
      <c r="X5" s="15937"/>
      <c r="Y5" s="16754"/>
      <c r="Z5" s="2207" t="s">
        <v>372</v>
      </c>
      <c r="AA5" s="2207" t="s">
        <v>373</v>
      </c>
      <c r="AB5" s="2207" t="s">
        <v>374</v>
      </c>
      <c r="AC5" s="2207" t="s">
        <v>375</v>
      </c>
      <c r="AD5" s="16754"/>
      <c r="AE5" s="15518"/>
      <c r="AF5" s="15518"/>
      <c r="AG5" s="15518"/>
      <c r="AH5" s="16777"/>
      <c r="AI5" s="13309"/>
      <c r="AJ5" s="13311"/>
      <c r="AK5" s="13313"/>
      <c r="AL5" s="13315"/>
      <c r="AM5" s="13309"/>
      <c r="AN5" s="2208" t="s">
        <v>23</v>
      </c>
      <c r="AO5" s="2209" t="s">
        <v>24</v>
      </c>
      <c r="AP5" s="2208" t="s">
        <v>25</v>
      </c>
      <c r="AQ5" s="2209" t="s">
        <v>26</v>
      </c>
      <c r="AR5" s="2210" t="s">
        <v>27</v>
      </c>
      <c r="AS5" s="2211" t="s">
        <v>28</v>
      </c>
      <c r="AT5" s="2212" t="s">
        <v>29</v>
      </c>
      <c r="AU5" s="2212" t="s">
        <v>30</v>
      </c>
      <c r="AV5" s="2212" t="s">
        <v>31</v>
      </c>
      <c r="AW5" s="2212" t="s">
        <v>32</v>
      </c>
      <c r="AX5" s="2213" t="s">
        <v>33</v>
      </c>
      <c r="AY5" s="2210" t="s">
        <v>34</v>
      </c>
      <c r="AZ5" s="2212" t="s">
        <v>35</v>
      </c>
      <c r="BA5" s="2212" t="s">
        <v>36</v>
      </c>
      <c r="BB5" s="2212" t="s">
        <v>37</v>
      </c>
      <c r="BC5" s="2212" t="s">
        <v>38</v>
      </c>
      <c r="BD5" s="2212" t="s">
        <v>39</v>
      </c>
      <c r="BE5" s="2212" t="s">
        <v>40</v>
      </c>
      <c r="BF5" s="2213" t="s">
        <v>41</v>
      </c>
      <c r="BG5" s="2214" t="s">
        <v>42</v>
      </c>
      <c r="BH5" s="2212" t="s">
        <v>43</v>
      </c>
      <c r="BI5" s="2212" t="s">
        <v>44</v>
      </c>
      <c r="BJ5" s="2212" t="s">
        <v>45</v>
      </c>
      <c r="BK5" s="2212" t="s">
        <v>46</v>
      </c>
      <c r="BL5" s="2215" t="s">
        <v>47</v>
      </c>
      <c r="BM5" s="13289"/>
      <c r="BN5" s="13289"/>
      <c r="BO5" s="13276"/>
      <c r="BP5" s="2195" t="s">
        <v>48</v>
      </c>
      <c r="BQ5" s="953" t="s">
        <v>49</v>
      </c>
      <c r="BR5" s="13278"/>
      <c r="BS5" s="2216" t="s">
        <v>50</v>
      </c>
      <c r="BT5" s="2216" t="s">
        <v>51</v>
      </c>
      <c r="BU5" s="2216" t="s">
        <v>52</v>
      </c>
      <c r="BV5" s="2217" t="s">
        <v>49</v>
      </c>
      <c r="BW5" s="15518"/>
      <c r="BX5" s="15137"/>
      <c r="BY5" s="16774"/>
      <c r="BZ5" s="16779"/>
      <c r="CA5" s="16779"/>
      <c r="CB5" s="16781"/>
      <c r="CC5" s="14606"/>
      <c r="CD5" s="14612"/>
      <c r="CE5" s="14578"/>
      <c r="CF5" s="14580"/>
      <c r="CG5" s="14606"/>
      <c r="CH5" s="2218" t="s">
        <v>23</v>
      </c>
      <c r="CI5" s="2219" t="s">
        <v>24</v>
      </c>
      <c r="CJ5" s="2220" t="s">
        <v>10052</v>
      </c>
      <c r="CK5" s="2218" t="s">
        <v>25</v>
      </c>
      <c r="CL5" s="2219" t="s">
        <v>26</v>
      </c>
      <c r="CM5" s="2220" t="s">
        <v>10052</v>
      </c>
      <c r="CN5" s="2218" t="s">
        <v>27</v>
      </c>
      <c r="CO5" s="2221" t="s">
        <v>28</v>
      </c>
      <c r="CP5" s="2221" t="s">
        <v>29</v>
      </c>
      <c r="CQ5" s="2222" t="s">
        <v>30</v>
      </c>
      <c r="CR5" s="2221" t="s">
        <v>31</v>
      </c>
      <c r="CS5" s="2221" t="s">
        <v>32</v>
      </c>
      <c r="CT5" s="2219" t="s">
        <v>33</v>
      </c>
      <c r="CU5" s="2220" t="s">
        <v>10052</v>
      </c>
      <c r="CV5" s="2218" t="s">
        <v>34</v>
      </c>
      <c r="CW5" s="2221" t="s">
        <v>35</v>
      </c>
      <c r="CX5" s="2221" t="s">
        <v>36</v>
      </c>
      <c r="CY5" s="2221" t="s">
        <v>37</v>
      </c>
      <c r="CZ5" s="2221" t="s">
        <v>38</v>
      </c>
      <c r="DA5" s="2221" t="s">
        <v>39</v>
      </c>
      <c r="DB5" s="2221" t="s">
        <v>40</v>
      </c>
      <c r="DC5" s="2219" t="s">
        <v>41</v>
      </c>
      <c r="DD5" s="2220" t="s">
        <v>10052</v>
      </c>
      <c r="DE5" s="2223" t="s">
        <v>42</v>
      </c>
      <c r="DF5" s="2221" t="s">
        <v>43</v>
      </c>
      <c r="DG5" s="2221" t="s">
        <v>44</v>
      </c>
      <c r="DH5" s="2221" t="s">
        <v>45</v>
      </c>
      <c r="DI5" s="2221" t="s">
        <v>46</v>
      </c>
      <c r="DJ5" s="2224" t="s">
        <v>47</v>
      </c>
      <c r="DK5" s="2225"/>
      <c r="DL5" s="15648"/>
      <c r="DM5" s="15648"/>
      <c r="DN5" s="15638"/>
      <c r="DO5" s="2198" t="s">
        <v>48</v>
      </c>
      <c r="DP5" s="2226" t="s">
        <v>49</v>
      </c>
      <c r="DQ5" s="15640"/>
      <c r="DR5" s="2227" t="s">
        <v>50</v>
      </c>
      <c r="DS5" s="2227" t="s">
        <v>51</v>
      </c>
      <c r="DT5" s="2227" t="s">
        <v>52</v>
      </c>
      <c r="DU5" s="2228" t="s">
        <v>49</v>
      </c>
      <c r="DV5"/>
      <c r="DW5" s="5001"/>
      <c r="DX5" s="5029"/>
      <c r="DY5" s="5029"/>
      <c r="DZ5" s="4985"/>
      <c r="EA5" s="4985"/>
      <c r="EB5" s="4987"/>
      <c r="EC5" s="5006"/>
      <c r="ED5" s="5009"/>
      <c r="EE5" s="4996"/>
      <c r="EF5" s="4998"/>
      <c r="EG5" s="4994"/>
      <c r="EH5" s="3462" t="s">
        <v>23</v>
      </c>
      <c r="EI5" s="3463" t="s">
        <v>24</v>
      </c>
      <c r="EJ5" s="3462" t="s">
        <v>25</v>
      </c>
      <c r="EK5" s="3463" t="s">
        <v>26</v>
      </c>
      <c r="EL5" s="3464" t="s">
        <v>27</v>
      </c>
      <c r="EM5" s="3465" t="s">
        <v>28</v>
      </c>
      <c r="EN5" s="3466" t="s">
        <v>29</v>
      </c>
      <c r="EO5" s="3466" t="s">
        <v>30</v>
      </c>
      <c r="EP5" s="3466" t="s">
        <v>31</v>
      </c>
      <c r="EQ5" s="3466" t="s">
        <v>32</v>
      </c>
      <c r="ER5" s="3373" t="s">
        <v>33</v>
      </c>
      <c r="ES5" s="3464" t="s">
        <v>34</v>
      </c>
      <c r="ET5" s="3466" t="s">
        <v>35</v>
      </c>
      <c r="EU5" s="3466" t="s">
        <v>36</v>
      </c>
      <c r="EV5" s="3466" t="s">
        <v>37</v>
      </c>
      <c r="EW5" s="3466" t="s">
        <v>38</v>
      </c>
      <c r="EX5" s="3466" t="s">
        <v>39</v>
      </c>
      <c r="EY5" s="3466" t="s">
        <v>40</v>
      </c>
      <c r="EZ5" s="3466" t="s">
        <v>41</v>
      </c>
      <c r="FA5" s="3466" t="s">
        <v>42</v>
      </c>
      <c r="FB5" s="3466" t="s">
        <v>43</v>
      </c>
      <c r="FC5" s="3466" t="s">
        <v>44</v>
      </c>
      <c r="FD5" s="3466" t="s">
        <v>45</v>
      </c>
      <c r="FE5" s="3466" t="s">
        <v>46</v>
      </c>
      <c r="FF5" s="3467" t="s">
        <v>47</v>
      </c>
      <c r="FG5" s="5039"/>
      <c r="FH5" s="5041"/>
      <c r="FI5" s="5043"/>
      <c r="FJ5" s="5043" t="s">
        <v>48</v>
      </c>
      <c r="FK5" s="3469" t="s">
        <v>49</v>
      </c>
      <c r="FL5" s="5028"/>
      <c r="FM5" s="5041" t="s">
        <v>50</v>
      </c>
      <c r="FN5" s="5041" t="s">
        <v>51</v>
      </c>
      <c r="FO5" s="5041" t="s">
        <v>52</v>
      </c>
      <c r="FP5" s="2217" t="s">
        <v>49</v>
      </c>
    </row>
    <row r="6" spans="1:172" s="2578" customFormat="1" ht="15" customHeight="1">
      <c r="A6" s="16720" t="s">
        <v>377</v>
      </c>
      <c r="B6" s="16723" t="s">
        <v>376</v>
      </c>
      <c r="C6" s="16723" t="s">
        <v>378</v>
      </c>
      <c r="D6" s="16707" t="s">
        <v>379</v>
      </c>
      <c r="E6" s="772" t="s">
        <v>4488</v>
      </c>
      <c r="F6" s="6742" t="s">
        <v>380</v>
      </c>
      <c r="G6" s="6742" t="s">
        <v>381</v>
      </c>
      <c r="H6" s="5075" t="s">
        <v>382</v>
      </c>
      <c r="I6" s="6743">
        <v>0</v>
      </c>
      <c r="J6" s="6744">
        <v>2</v>
      </c>
      <c r="K6" s="6744">
        <v>2</v>
      </c>
      <c r="L6" s="6744">
        <v>2</v>
      </c>
      <c r="M6" s="6744">
        <v>2</v>
      </c>
      <c r="N6" s="6744">
        <v>2</v>
      </c>
      <c r="O6" s="6744">
        <v>2</v>
      </c>
      <c r="P6" s="6744">
        <v>2</v>
      </c>
      <c r="Q6" s="6744">
        <v>2</v>
      </c>
      <c r="R6" s="6744">
        <v>2</v>
      </c>
      <c r="S6" s="6744">
        <v>2</v>
      </c>
      <c r="T6" s="6744">
        <v>2</v>
      </c>
      <c r="U6" s="6744">
        <v>2</v>
      </c>
      <c r="V6" s="5075" t="s">
        <v>383</v>
      </c>
      <c r="W6" s="5075" t="s">
        <v>2896</v>
      </c>
      <c r="X6" s="5075" t="s">
        <v>163</v>
      </c>
      <c r="Y6" s="5075"/>
      <c r="Z6" s="16726">
        <v>27754000</v>
      </c>
      <c r="AA6" s="16726"/>
      <c r="AB6" s="16726"/>
      <c r="AC6" s="16726"/>
      <c r="AD6" s="16775">
        <f>SUM(Z6:AC6)</f>
        <v>27754000</v>
      </c>
      <c r="AE6" s="2573">
        <v>1</v>
      </c>
      <c r="AF6" s="6745" t="s">
        <v>3913</v>
      </c>
      <c r="AG6" s="2573" t="s">
        <v>3914</v>
      </c>
      <c r="AH6" s="6746"/>
      <c r="AI6" s="2573"/>
      <c r="AJ6" s="2574"/>
      <c r="AK6" s="2574"/>
      <c r="AL6" s="2574"/>
      <c r="AM6" s="2574"/>
      <c r="AN6" s="2574"/>
      <c r="AO6" s="2574"/>
      <c r="AP6" s="2574"/>
      <c r="AQ6" s="2574"/>
      <c r="AR6" s="2574"/>
      <c r="AS6" s="2574"/>
      <c r="AT6" s="2574"/>
      <c r="AU6" s="2574"/>
      <c r="AV6" s="2574"/>
      <c r="AW6" s="2574"/>
      <c r="AX6" s="2574"/>
      <c r="AY6" s="2574"/>
      <c r="AZ6" s="2574"/>
      <c r="BA6" s="2574"/>
      <c r="BB6" s="2574"/>
      <c r="BC6" s="2574"/>
      <c r="BD6" s="2574"/>
      <c r="BE6" s="2574"/>
      <c r="BF6" s="2574"/>
      <c r="BG6" s="2574"/>
      <c r="BH6" s="2574"/>
      <c r="BI6" s="2574"/>
      <c r="BJ6" s="2574"/>
      <c r="BK6" s="2574"/>
      <c r="BL6" s="6747"/>
      <c r="BM6" s="2574"/>
      <c r="BN6" s="2574"/>
      <c r="BO6" s="2574"/>
      <c r="BP6" s="2574"/>
      <c r="BQ6" s="2574"/>
      <c r="BR6" s="2574"/>
      <c r="BS6" s="2574"/>
      <c r="BT6" s="2574"/>
      <c r="BU6" s="2574"/>
      <c r="BV6" s="2574"/>
      <c r="BW6" s="6748">
        <v>1</v>
      </c>
      <c r="BX6" s="6749">
        <v>1</v>
      </c>
      <c r="BY6" s="16733">
        <f>AVERAGE(BX6:BX18)</f>
        <v>0.875</v>
      </c>
      <c r="BZ6" s="6750" t="s">
        <v>9298</v>
      </c>
      <c r="CA6" s="6744" t="s">
        <v>9299</v>
      </c>
      <c r="CB6" s="2577"/>
      <c r="CC6" s="6751">
        <v>15144000</v>
      </c>
      <c r="CD6" s="2576" t="s">
        <v>2891</v>
      </c>
      <c r="CE6" s="2576"/>
      <c r="CF6" s="2576"/>
      <c r="CG6" s="2576">
        <f>CH6+CI6</f>
        <v>130</v>
      </c>
      <c r="CH6" s="2576">
        <f>12+15+6+4+7</f>
        <v>44</v>
      </c>
      <c r="CI6" s="2576">
        <f>6+11+26+20+23</f>
        <v>86</v>
      </c>
      <c r="CJ6" s="2576"/>
      <c r="CK6" s="2576">
        <v>80</v>
      </c>
      <c r="CL6" s="2576">
        <v>50</v>
      </c>
      <c r="CM6" s="2576"/>
      <c r="CN6" s="2576"/>
      <c r="CO6" s="2576"/>
      <c r="CP6" s="2576"/>
      <c r="CQ6" s="2576"/>
      <c r="CR6" s="2576">
        <v>120</v>
      </c>
      <c r="CS6" s="2576">
        <v>10</v>
      </c>
      <c r="CT6" s="2576"/>
      <c r="CU6" s="2576"/>
      <c r="CV6" s="2576"/>
      <c r="CW6" s="2576"/>
      <c r="CX6" s="2576"/>
      <c r="CY6" s="2576"/>
      <c r="CZ6" s="2576"/>
      <c r="DA6" s="2576"/>
      <c r="DB6" s="2576"/>
      <c r="DC6" s="2576"/>
      <c r="DD6" s="2576">
        <v>130</v>
      </c>
      <c r="DE6" s="2576"/>
      <c r="DF6" s="2576"/>
      <c r="DG6" s="2576"/>
      <c r="DH6" s="2576"/>
      <c r="DI6" s="2576"/>
      <c r="DJ6" s="2576"/>
      <c r="DK6" s="2576"/>
      <c r="DL6" s="2576"/>
      <c r="DM6" s="2576"/>
      <c r="DN6" s="2576"/>
      <c r="DO6" s="2576"/>
      <c r="DP6" s="2576"/>
      <c r="DQ6" s="2576"/>
      <c r="DR6" s="2576"/>
      <c r="DS6" s="2576"/>
      <c r="DT6" s="2576"/>
      <c r="DU6" s="6752"/>
      <c r="DW6" s="6753"/>
      <c r="DX6" s="2574"/>
      <c r="DY6" s="2574"/>
      <c r="DZ6" s="2574"/>
      <c r="EA6" s="2574"/>
      <c r="EB6" s="2574"/>
      <c r="EC6" s="2574"/>
      <c r="ED6" s="2574"/>
      <c r="EE6" s="2574"/>
      <c r="EF6" s="2574"/>
      <c r="EG6" s="2574"/>
      <c r="EH6" s="2574"/>
      <c r="EI6" s="2574"/>
      <c r="EJ6" s="2574"/>
      <c r="EK6" s="2574"/>
      <c r="EL6" s="2574"/>
      <c r="EM6" s="2574"/>
      <c r="EN6" s="2574"/>
      <c r="EO6" s="2574"/>
      <c r="EP6" s="2574"/>
      <c r="EQ6" s="2574"/>
      <c r="ER6" s="2574"/>
      <c r="ES6" s="2574"/>
      <c r="ET6" s="2574"/>
      <c r="EU6" s="2574"/>
      <c r="EV6" s="2574"/>
      <c r="EW6" s="2574"/>
      <c r="EX6" s="2574"/>
      <c r="EY6" s="2574"/>
      <c r="EZ6" s="2574"/>
      <c r="FA6" s="2574"/>
      <c r="FB6" s="2574"/>
      <c r="FC6" s="2574"/>
      <c r="FD6" s="2574"/>
      <c r="FE6" s="2574"/>
      <c r="FF6" s="2574"/>
      <c r="FG6" s="2574"/>
      <c r="FH6" s="2574"/>
      <c r="FI6" s="2574"/>
      <c r="FJ6" s="2574"/>
      <c r="FK6" s="2574"/>
      <c r="FL6" s="2574"/>
      <c r="FM6" s="2574"/>
      <c r="FN6" s="2574"/>
      <c r="FO6" s="2574"/>
      <c r="FP6" s="6754"/>
    </row>
    <row r="7" spans="1:172" s="2578" customFormat="1" ht="15" customHeight="1">
      <c r="A7" s="16721"/>
      <c r="B7" s="16724"/>
      <c r="C7" s="16724"/>
      <c r="D7" s="15986"/>
      <c r="E7" s="15986" t="s">
        <v>4489</v>
      </c>
      <c r="F7" s="16708" t="s">
        <v>384</v>
      </c>
      <c r="G7" s="16708" t="s">
        <v>385</v>
      </c>
      <c r="H7" s="5070" t="s">
        <v>386</v>
      </c>
      <c r="I7" s="6755">
        <v>0</v>
      </c>
      <c r="J7" s="6756">
        <v>126</v>
      </c>
      <c r="K7" s="16708">
        <v>0</v>
      </c>
      <c r="L7" s="16732">
        <v>1</v>
      </c>
      <c r="M7" s="16708">
        <v>1</v>
      </c>
      <c r="N7" s="16708">
        <v>1</v>
      </c>
      <c r="O7" s="16708">
        <v>1</v>
      </c>
      <c r="P7" s="16708">
        <v>1</v>
      </c>
      <c r="Q7" s="16708">
        <v>1</v>
      </c>
      <c r="R7" s="16708">
        <v>1</v>
      </c>
      <c r="S7" s="16708">
        <v>1</v>
      </c>
      <c r="T7" s="16708">
        <v>1</v>
      </c>
      <c r="U7" s="16708">
        <f>+J7+K7+L7+M7+N7+O7+P7+Q7+R7+S7+T7</f>
        <v>135</v>
      </c>
      <c r="V7" s="16708" t="s">
        <v>383</v>
      </c>
      <c r="W7" s="5070" t="s">
        <v>2896</v>
      </c>
      <c r="X7" s="5070" t="s">
        <v>163</v>
      </c>
      <c r="Y7" s="2584"/>
      <c r="Z7" s="16727"/>
      <c r="AA7" s="16727"/>
      <c r="AB7" s="16727"/>
      <c r="AC7" s="16727"/>
      <c r="AD7" s="16776"/>
      <c r="AE7" s="2588"/>
      <c r="AF7" s="2599" t="s">
        <v>3915</v>
      </c>
      <c r="AG7" s="2588"/>
      <c r="AH7" s="2584"/>
      <c r="AI7" s="2584"/>
      <c r="AJ7" s="2584"/>
      <c r="AK7" s="2584"/>
      <c r="AL7" s="2584"/>
      <c r="AM7" s="2584"/>
      <c r="AN7" s="2584"/>
      <c r="AO7" s="2584"/>
      <c r="AP7" s="2584"/>
      <c r="AQ7" s="2584"/>
      <c r="AR7" s="2584"/>
      <c r="AS7" s="2584"/>
      <c r="AT7" s="2584"/>
      <c r="AU7" s="2584"/>
      <c r="AV7" s="2584"/>
      <c r="AW7" s="2584"/>
      <c r="AX7" s="2584"/>
      <c r="AY7" s="2584"/>
      <c r="AZ7" s="2584"/>
      <c r="BA7" s="2584"/>
      <c r="BB7" s="2584"/>
      <c r="BC7" s="2584"/>
      <c r="BD7" s="2584"/>
      <c r="BE7" s="2584"/>
      <c r="BF7" s="2584"/>
      <c r="BG7" s="2584"/>
      <c r="BH7" s="2584"/>
      <c r="BI7" s="2584"/>
      <c r="BJ7" s="2584"/>
      <c r="BK7" s="2584"/>
      <c r="BL7" s="2584"/>
      <c r="BM7" s="2584"/>
      <c r="BN7" s="2584"/>
      <c r="BO7" s="2584"/>
      <c r="BP7" s="2584"/>
      <c r="BQ7" s="2584"/>
      <c r="BR7" s="2584"/>
      <c r="BS7" s="2584"/>
      <c r="BT7" s="2584"/>
      <c r="BU7" s="2584"/>
      <c r="BV7" s="2584"/>
      <c r="BW7" s="6646">
        <v>1</v>
      </c>
      <c r="BX7" s="4774">
        <v>1</v>
      </c>
      <c r="BY7" s="16734"/>
      <c r="BZ7" s="6757" t="s">
        <v>9300</v>
      </c>
      <c r="CA7" s="2589"/>
      <c r="CB7" s="2590"/>
      <c r="CC7" s="6758">
        <v>15144000</v>
      </c>
      <c r="CD7" s="2589" t="s">
        <v>2891</v>
      </c>
      <c r="CE7" s="2589"/>
      <c r="CF7" s="2589"/>
      <c r="CG7" s="2589">
        <f>CH7+CI7</f>
        <v>130</v>
      </c>
      <c r="CH7" s="2589">
        <f>12+15+6+4+7</f>
        <v>44</v>
      </c>
      <c r="CI7" s="2589">
        <f>6+11+26+20+23</f>
        <v>86</v>
      </c>
      <c r="CJ7" s="2589"/>
      <c r="CK7" s="2589">
        <v>80</v>
      </c>
      <c r="CL7" s="2589">
        <v>50</v>
      </c>
      <c r="CM7" s="2589"/>
      <c r="CN7" s="2589"/>
      <c r="CO7" s="2589"/>
      <c r="CP7" s="2589"/>
      <c r="CQ7" s="2589"/>
      <c r="CR7" s="2589">
        <v>120</v>
      </c>
      <c r="CS7" s="2589">
        <v>10</v>
      </c>
      <c r="CT7" s="2589"/>
      <c r="CU7" s="2589"/>
      <c r="CV7" s="2589"/>
      <c r="CW7" s="2589"/>
      <c r="CX7" s="2589"/>
      <c r="CY7" s="2589"/>
      <c r="CZ7" s="2589"/>
      <c r="DA7" s="2589"/>
      <c r="DB7" s="2589"/>
      <c r="DC7" s="2589"/>
      <c r="DD7" s="2589">
        <v>130</v>
      </c>
      <c r="DE7" s="2589"/>
      <c r="DF7" s="2589"/>
      <c r="DG7" s="2589"/>
      <c r="DH7" s="2589"/>
      <c r="DI7" s="2589"/>
      <c r="DJ7" s="2589"/>
      <c r="DK7" s="2589"/>
      <c r="DL7" s="2589"/>
      <c r="DM7" s="2589"/>
      <c r="DN7" s="2589"/>
      <c r="DO7" s="2589"/>
      <c r="DP7" s="2589"/>
      <c r="DQ7" s="2589"/>
      <c r="DR7" s="2589"/>
      <c r="DS7" s="2589"/>
      <c r="DT7" s="2589"/>
      <c r="DU7" s="2657"/>
      <c r="DW7" s="6617"/>
      <c r="DX7" s="2584"/>
      <c r="DY7" s="2584"/>
      <c r="DZ7" s="2584"/>
      <c r="EA7" s="2584"/>
      <c r="EB7" s="2584"/>
      <c r="EC7" s="2584"/>
      <c r="ED7" s="2584"/>
      <c r="EE7" s="2584"/>
      <c r="EF7" s="2584"/>
      <c r="EG7" s="2584"/>
      <c r="EH7" s="2584"/>
      <c r="EI7" s="2584"/>
      <c r="EJ7" s="2584"/>
      <c r="EK7" s="2584"/>
      <c r="EL7" s="2584"/>
      <c r="EM7" s="2584"/>
      <c r="EN7" s="2584"/>
      <c r="EO7" s="2584"/>
      <c r="EP7" s="2584"/>
      <c r="EQ7" s="2584"/>
      <c r="ER7" s="2584"/>
      <c r="ES7" s="2584"/>
      <c r="ET7" s="2584"/>
      <c r="EU7" s="2584"/>
      <c r="EV7" s="2584"/>
      <c r="EW7" s="2584"/>
      <c r="EX7" s="2584"/>
      <c r="EY7" s="2584"/>
      <c r="EZ7" s="2584"/>
      <c r="FA7" s="2584"/>
      <c r="FB7" s="2584"/>
      <c r="FC7" s="2584"/>
      <c r="FD7" s="2584"/>
      <c r="FE7" s="2584"/>
      <c r="FF7" s="2584"/>
      <c r="FG7" s="2584"/>
      <c r="FH7" s="2584"/>
      <c r="FI7" s="2584"/>
      <c r="FJ7" s="2584"/>
      <c r="FK7" s="2584"/>
      <c r="FL7" s="2584"/>
      <c r="FM7" s="2584"/>
      <c r="FN7" s="2584"/>
      <c r="FO7" s="2584"/>
      <c r="FP7" s="6618"/>
    </row>
    <row r="8" spans="1:172" s="2578" customFormat="1" ht="15" customHeight="1">
      <c r="A8" s="16721"/>
      <c r="B8" s="16724"/>
      <c r="C8" s="16724"/>
      <c r="D8" s="15986"/>
      <c r="E8" s="15986"/>
      <c r="F8" s="16708"/>
      <c r="G8" s="16708"/>
      <c r="H8" s="5070"/>
      <c r="I8" s="6755"/>
      <c r="J8" s="6756"/>
      <c r="K8" s="16708"/>
      <c r="L8" s="16732"/>
      <c r="M8" s="16708"/>
      <c r="N8" s="16708"/>
      <c r="O8" s="16708"/>
      <c r="P8" s="16708"/>
      <c r="Q8" s="16708"/>
      <c r="R8" s="16708"/>
      <c r="S8" s="16708"/>
      <c r="T8" s="16708"/>
      <c r="U8" s="16708"/>
      <c r="V8" s="16708"/>
      <c r="W8" s="5070" t="s">
        <v>10277</v>
      </c>
      <c r="X8" s="5070"/>
      <c r="Y8" s="5070" t="s">
        <v>387</v>
      </c>
      <c r="Z8" s="6759"/>
      <c r="AA8" s="6759"/>
      <c r="AB8" s="6759"/>
      <c r="AC8" s="6759"/>
      <c r="AD8" s="6760"/>
      <c r="AE8" s="2588"/>
      <c r="AF8" s="2599"/>
      <c r="AG8" s="2588"/>
      <c r="AH8" s="2584"/>
      <c r="AI8" s="2584"/>
      <c r="AJ8" s="2584"/>
      <c r="AK8" s="2584"/>
      <c r="AL8" s="2584"/>
      <c r="AM8" s="2584"/>
      <c r="AN8" s="2584"/>
      <c r="AO8" s="2584"/>
      <c r="AP8" s="2584"/>
      <c r="AQ8" s="2584"/>
      <c r="AR8" s="2584"/>
      <c r="AS8" s="2584"/>
      <c r="AT8" s="2584"/>
      <c r="AU8" s="2584"/>
      <c r="AV8" s="2584"/>
      <c r="AW8" s="2584"/>
      <c r="AX8" s="2584"/>
      <c r="AY8" s="2584"/>
      <c r="AZ8" s="2584"/>
      <c r="BA8" s="2584"/>
      <c r="BB8" s="2584"/>
      <c r="BC8" s="2584"/>
      <c r="BD8" s="2584"/>
      <c r="BE8" s="2584"/>
      <c r="BF8" s="2584"/>
      <c r="BG8" s="2584"/>
      <c r="BH8" s="2584"/>
      <c r="BI8" s="2584"/>
      <c r="BJ8" s="2584"/>
      <c r="BK8" s="2584"/>
      <c r="BL8" s="2584"/>
      <c r="BM8" s="2584"/>
      <c r="BN8" s="2584"/>
      <c r="BO8" s="2584"/>
      <c r="BP8" s="2584"/>
      <c r="BQ8" s="2584"/>
      <c r="BR8" s="2584"/>
      <c r="BS8" s="2584"/>
      <c r="BT8" s="2584"/>
      <c r="BU8" s="2584"/>
      <c r="BV8" s="2584"/>
      <c r="BW8" s="6646"/>
      <c r="BX8" s="4774"/>
      <c r="BY8" s="16734"/>
      <c r="BZ8" s="6757"/>
      <c r="CA8" s="2589"/>
      <c r="CB8" s="2590"/>
      <c r="CC8" s="6758"/>
      <c r="CD8" s="2589"/>
      <c r="CE8" s="2589"/>
      <c r="CF8" s="2589"/>
      <c r="CG8" s="2589"/>
      <c r="CH8" s="2589"/>
      <c r="CI8" s="2589"/>
      <c r="CJ8" s="2589"/>
      <c r="CK8" s="2589"/>
      <c r="CL8" s="2589"/>
      <c r="CM8" s="2589"/>
      <c r="CN8" s="2589"/>
      <c r="CO8" s="2589"/>
      <c r="CP8" s="2589"/>
      <c r="CQ8" s="2589"/>
      <c r="CR8" s="2589"/>
      <c r="CS8" s="2589"/>
      <c r="CT8" s="2589"/>
      <c r="CU8" s="2589"/>
      <c r="CV8" s="2589"/>
      <c r="CW8" s="2589"/>
      <c r="CX8" s="2589"/>
      <c r="CY8" s="2589"/>
      <c r="CZ8" s="2589"/>
      <c r="DA8" s="2589"/>
      <c r="DB8" s="2589"/>
      <c r="DC8" s="2589"/>
      <c r="DD8" s="2589"/>
      <c r="DE8" s="2589"/>
      <c r="DF8" s="2589"/>
      <c r="DG8" s="2589"/>
      <c r="DH8" s="2589"/>
      <c r="DI8" s="2589"/>
      <c r="DJ8" s="2589"/>
      <c r="DK8" s="2589"/>
      <c r="DL8" s="2589"/>
      <c r="DM8" s="2589"/>
      <c r="DN8" s="2589"/>
      <c r="DO8" s="2589"/>
      <c r="DP8" s="2589"/>
      <c r="DQ8" s="2589"/>
      <c r="DR8" s="2589"/>
      <c r="DS8" s="2589"/>
      <c r="DT8" s="2589"/>
      <c r="DU8" s="2657"/>
      <c r="DW8" s="6617"/>
      <c r="DX8" s="2584"/>
      <c r="DY8" s="2584"/>
      <c r="DZ8" s="2584"/>
      <c r="EA8" s="2584"/>
      <c r="EB8" s="2584"/>
      <c r="EC8" s="2584"/>
      <c r="ED8" s="2584"/>
      <c r="EE8" s="2584"/>
      <c r="EF8" s="2584"/>
      <c r="EG8" s="2584"/>
      <c r="EH8" s="2584"/>
      <c r="EI8" s="2584"/>
      <c r="EJ8" s="2584"/>
      <c r="EK8" s="2584"/>
      <c r="EL8" s="2584"/>
      <c r="EM8" s="2584"/>
      <c r="EN8" s="2584"/>
      <c r="EO8" s="2584"/>
      <c r="EP8" s="2584"/>
      <c r="EQ8" s="2584"/>
      <c r="ER8" s="2584"/>
      <c r="ES8" s="2584"/>
      <c r="ET8" s="2584"/>
      <c r="EU8" s="2584"/>
      <c r="EV8" s="2584"/>
      <c r="EW8" s="2584"/>
      <c r="EX8" s="2584"/>
      <c r="EY8" s="2584"/>
      <c r="EZ8" s="2584"/>
      <c r="FA8" s="2584"/>
      <c r="FB8" s="2584"/>
      <c r="FC8" s="2584"/>
      <c r="FD8" s="2584"/>
      <c r="FE8" s="2584"/>
      <c r="FF8" s="2584"/>
      <c r="FG8" s="2584"/>
      <c r="FH8" s="2584"/>
      <c r="FI8" s="2584"/>
      <c r="FJ8" s="2584"/>
      <c r="FK8" s="2584"/>
      <c r="FL8" s="2584"/>
      <c r="FM8" s="2584"/>
      <c r="FN8" s="2584"/>
      <c r="FO8" s="2584"/>
      <c r="FP8" s="6618"/>
    </row>
    <row r="9" spans="1:172" s="2578" customFormat="1" ht="15" customHeight="1">
      <c r="A9" s="16721"/>
      <c r="B9" s="16724"/>
      <c r="C9" s="16724"/>
      <c r="D9" s="15986"/>
      <c r="E9" s="5104" t="s">
        <v>4490</v>
      </c>
      <c r="F9" s="6555" t="s">
        <v>388</v>
      </c>
      <c r="G9" s="7591" t="s">
        <v>389</v>
      </c>
      <c r="H9" s="5070" t="s">
        <v>386</v>
      </c>
      <c r="I9" s="6755">
        <v>0</v>
      </c>
      <c r="J9" s="2634">
        <v>2</v>
      </c>
      <c r="K9" s="2634">
        <v>2</v>
      </c>
      <c r="L9" s="2634">
        <v>2</v>
      </c>
      <c r="M9" s="2634">
        <v>2</v>
      </c>
      <c r="N9" s="2634">
        <v>2</v>
      </c>
      <c r="O9" s="2634">
        <v>2</v>
      </c>
      <c r="P9" s="2634">
        <v>2</v>
      </c>
      <c r="Q9" s="2634">
        <v>2</v>
      </c>
      <c r="R9" s="2634">
        <v>2</v>
      </c>
      <c r="S9" s="2634">
        <v>2</v>
      </c>
      <c r="T9" s="2634">
        <v>2</v>
      </c>
      <c r="U9" s="2634">
        <f>+J9+K9+L9+M9+N9+O9+P9+Q9+R9+S9+T9</f>
        <v>22</v>
      </c>
      <c r="V9" s="5070" t="s">
        <v>383</v>
      </c>
      <c r="W9" s="5070" t="s">
        <v>26</v>
      </c>
      <c r="X9" s="5070" t="s">
        <v>390</v>
      </c>
      <c r="Y9" s="4769" t="s">
        <v>391</v>
      </c>
      <c r="Z9" s="6759">
        <v>10000000</v>
      </c>
      <c r="AA9" s="6759"/>
      <c r="AB9" s="6759"/>
      <c r="AC9" s="6759"/>
      <c r="AD9" s="6760">
        <f t="shared" ref="AD9:AD18" si="0">SUM(Z9:AC9)</f>
        <v>10000000</v>
      </c>
      <c r="AE9" s="2584"/>
      <c r="AF9" s="2584"/>
      <c r="AG9" s="2584"/>
      <c r="AH9" s="2584"/>
      <c r="AI9" s="2584"/>
      <c r="AJ9" s="2584"/>
      <c r="AK9" s="2584"/>
      <c r="AL9" s="2584"/>
      <c r="AM9" s="2584"/>
      <c r="AN9" s="2584"/>
      <c r="AO9" s="2584"/>
      <c r="AP9" s="2584"/>
      <c r="AQ9" s="2584"/>
      <c r="AR9" s="2584"/>
      <c r="AS9" s="2584"/>
      <c r="AT9" s="2584"/>
      <c r="AU9" s="2584"/>
      <c r="AV9" s="2584"/>
      <c r="AW9" s="2584"/>
      <c r="AX9" s="2584"/>
      <c r="AY9" s="2584"/>
      <c r="AZ9" s="2584"/>
      <c r="BA9" s="2584"/>
      <c r="BB9" s="2584"/>
      <c r="BC9" s="2584"/>
      <c r="BD9" s="2584"/>
      <c r="BE9" s="2584"/>
      <c r="BF9" s="2584"/>
      <c r="BG9" s="2584"/>
      <c r="BH9" s="2584"/>
      <c r="BI9" s="2584"/>
      <c r="BJ9" s="2584"/>
      <c r="BK9" s="2584"/>
      <c r="BL9" s="2584"/>
      <c r="BM9" s="2584"/>
      <c r="BN9" s="2584"/>
      <c r="BO9" s="2584"/>
      <c r="BP9" s="2584"/>
      <c r="BQ9" s="2584"/>
      <c r="BR9" s="2584"/>
      <c r="BS9" s="2584"/>
      <c r="BT9" s="2584"/>
      <c r="BU9" s="2584"/>
      <c r="BV9" s="2584"/>
      <c r="BW9" s="6646">
        <v>0</v>
      </c>
      <c r="BX9" s="4774">
        <v>0</v>
      </c>
      <c r="BY9" s="16734"/>
      <c r="BZ9" s="2599" t="s">
        <v>9843</v>
      </c>
      <c r="CA9" s="5083" t="s">
        <v>9844</v>
      </c>
      <c r="CB9" s="2599" t="s">
        <v>9845</v>
      </c>
      <c r="CC9" s="2589"/>
      <c r="CD9" s="2589"/>
      <c r="CE9" s="2589"/>
      <c r="CF9" s="2589"/>
      <c r="CG9" s="2589"/>
      <c r="CH9" s="2589"/>
      <c r="CI9" s="2589"/>
      <c r="CJ9" s="2589"/>
      <c r="CK9" s="2589"/>
      <c r="CL9" s="2589"/>
      <c r="CM9" s="2589"/>
      <c r="CN9" s="2589"/>
      <c r="CO9" s="2589"/>
      <c r="CP9" s="2589"/>
      <c r="CQ9" s="2589"/>
      <c r="CR9" s="2589"/>
      <c r="CS9" s="2589"/>
      <c r="CT9" s="2589"/>
      <c r="CU9" s="2589"/>
      <c r="CV9" s="2589"/>
      <c r="CW9" s="2589"/>
      <c r="CX9" s="2589"/>
      <c r="CY9" s="2589"/>
      <c r="CZ9" s="2589"/>
      <c r="DA9" s="2589"/>
      <c r="DB9" s="2589"/>
      <c r="DC9" s="2589"/>
      <c r="DD9" s="2589"/>
      <c r="DE9" s="2589"/>
      <c r="DF9" s="2589"/>
      <c r="DG9" s="2589"/>
      <c r="DH9" s="2589"/>
      <c r="DI9" s="2589"/>
      <c r="DJ9" s="2589"/>
      <c r="DK9" s="2589"/>
      <c r="DL9" s="2589"/>
      <c r="DM9" s="2589"/>
      <c r="DN9" s="2589"/>
      <c r="DO9" s="2589"/>
      <c r="DP9" s="2589"/>
      <c r="DQ9" s="2589"/>
      <c r="DR9" s="2589"/>
      <c r="DS9" s="2589"/>
      <c r="DT9" s="2589"/>
      <c r="DU9" s="2657"/>
      <c r="DW9" s="6617"/>
      <c r="DX9" s="2584"/>
      <c r="DY9" s="2584"/>
      <c r="DZ9" s="2584"/>
      <c r="EA9" s="2584"/>
      <c r="EB9" s="2584"/>
      <c r="EC9" s="2584"/>
      <c r="ED9" s="2584"/>
      <c r="EE9" s="2584"/>
      <c r="EF9" s="2584"/>
      <c r="EG9" s="2584"/>
      <c r="EH9" s="2584"/>
      <c r="EI9" s="2584"/>
      <c r="EJ9" s="2584"/>
      <c r="EK9" s="2584"/>
      <c r="EL9" s="2584"/>
      <c r="EM9" s="2584"/>
      <c r="EN9" s="2584"/>
      <c r="EO9" s="2584"/>
      <c r="EP9" s="2584"/>
      <c r="EQ9" s="2584"/>
      <c r="ER9" s="2584"/>
      <c r="ES9" s="2584"/>
      <c r="ET9" s="2584"/>
      <c r="EU9" s="2584"/>
      <c r="EV9" s="2584"/>
      <c r="EW9" s="2584"/>
      <c r="EX9" s="2584"/>
      <c r="EY9" s="2584"/>
      <c r="EZ9" s="2584"/>
      <c r="FA9" s="2584"/>
      <c r="FB9" s="2584"/>
      <c r="FC9" s="2584"/>
      <c r="FD9" s="2584"/>
      <c r="FE9" s="2584"/>
      <c r="FF9" s="2584"/>
      <c r="FG9" s="2584"/>
      <c r="FH9" s="2584"/>
      <c r="FI9" s="2584"/>
      <c r="FJ9" s="2584"/>
      <c r="FK9" s="2584"/>
      <c r="FL9" s="2584"/>
      <c r="FM9" s="2584"/>
      <c r="FN9" s="2584"/>
      <c r="FO9" s="2584"/>
      <c r="FP9" s="6618"/>
    </row>
    <row r="10" spans="1:172" s="2578" customFormat="1" ht="15" customHeight="1">
      <c r="A10" s="16721"/>
      <c r="B10" s="16724"/>
      <c r="C10" s="16724"/>
      <c r="D10" s="15986"/>
      <c r="E10" s="15986" t="s">
        <v>4491</v>
      </c>
      <c r="F10" s="15456" t="s">
        <v>392</v>
      </c>
      <c r="G10" s="15456" t="s">
        <v>393</v>
      </c>
      <c r="H10" s="5070" t="s">
        <v>382</v>
      </c>
      <c r="I10" s="6761">
        <v>0</v>
      </c>
      <c r="J10" s="6761">
        <v>0.1</v>
      </c>
      <c r="K10" s="15456">
        <v>0.35</v>
      </c>
      <c r="L10" s="15456">
        <v>0.65</v>
      </c>
      <c r="M10" s="15456">
        <v>1</v>
      </c>
      <c r="N10" s="15456">
        <v>1</v>
      </c>
      <c r="O10" s="15456">
        <v>1</v>
      </c>
      <c r="P10" s="15456">
        <v>1</v>
      </c>
      <c r="Q10" s="15456">
        <v>1</v>
      </c>
      <c r="R10" s="15456">
        <v>1</v>
      </c>
      <c r="S10" s="15456">
        <v>1</v>
      </c>
      <c r="T10" s="15456">
        <v>1</v>
      </c>
      <c r="U10" s="15456">
        <v>1</v>
      </c>
      <c r="V10" s="15456" t="s">
        <v>383</v>
      </c>
      <c r="W10" s="5070" t="s">
        <v>2896</v>
      </c>
      <c r="X10" s="5070" t="s">
        <v>163</v>
      </c>
      <c r="Y10" s="2584"/>
      <c r="Z10" s="6759">
        <v>18194000</v>
      </c>
      <c r="AA10" s="6759"/>
      <c r="AB10" s="6759"/>
      <c r="AC10" s="6759"/>
      <c r="AD10" s="6760">
        <f t="shared" si="0"/>
        <v>18194000</v>
      </c>
      <c r="AE10" s="2588">
        <v>1</v>
      </c>
      <c r="AF10" s="5083" t="s">
        <v>3916</v>
      </c>
      <c r="AG10" s="5070" t="s">
        <v>3917</v>
      </c>
      <c r="AH10" s="2584"/>
      <c r="AI10" s="2584"/>
      <c r="AJ10" s="2584"/>
      <c r="AK10" s="2584"/>
      <c r="AL10" s="2584"/>
      <c r="AM10" s="2584"/>
      <c r="AN10" s="2584"/>
      <c r="AO10" s="2584"/>
      <c r="AP10" s="2584"/>
      <c r="AQ10" s="2584"/>
      <c r="AR10" s="2584"/>
      <c r="AS10" s="2584"/>
      <c r="AT10" s="2584"/>
      <c r="AU10" s="2584"/>
      <c r="AV10" s="2584"/>
      <c r="AW10" s="2584"/>
      <c r="AX10" s="2584"/>
      <c r="AY10" s="2584"/>
      <c r="AZ10" s="2584"/>
      <c r="BA10" s="2584"/>
      <c r="BB10" s="2584"/>
      <c r="BC10" s="2584"/>
      <c r="BD10" s="2584"/>
      <c r="BE10" s="2584"/>
      <c r="BF10" s="2584"/>
      <c r="BG10" s="2584"/>
      <c r="BH10" s="2584"/>
      <c r="BI10" s="2584"/>
      <c r="BJ10" s="2584"/>
      <c r="BK10" s="2584"/>
      <c r="BL10" s="2584"/>
      <c r="BM10" s="2584"/>
      <c r="BN10" s="2584"/>
      <c r="BO10" s="2584"/>
      <c r="BP10" s="2584"/>
      <c r="BQ10" s="2584"/>
      <c r="BR10" s="2584"/>
      <c r="BS10" s="2584"/>
      <c r="BT10" s="2584"/>
      <c r="BU10" s="2584"/>
      <c r="BV10" s="2584"/>
      <c r="BW10" s="6646">
        <v>1</v>
      </c>
      <c r="BX10" s="4774">
        <f>IF((BW10/K10)&gt;=35%,100%)</f>
        <v>1</v>
      </c>
      <c r="BY10" s="16734"/>
      <c r="BZ10" s="6762" t="s">
        <v>9301</v>
      </c>
      <c r="CA10" s="5083" t="s">
        <v>9302</v>
      </c>
      <c r="CB10" s="6762"/>
      <c r="CC10" s="2589"/>
      <c r="CD10" s="2589"/>
      <c r="CE10" s="2589"/>
      <c r="CF10" s="2589"/>
      <c r="CG10" s="2589"/>
      <c r="CH10" s="2589"/>
      <c r="CI10" s="2589"/>
      <c r="CJ10" s="2589"/>
      <c r="CK10" s="2589"/>
      <c r="CL10" s="2589"/>
      <c r="CM10" s="2589"/>
      <c r="CN10" s="2589"/>
      <c r="CO10" s="2589"/>
      <c r="CP10" s="2589"/>
      <c r="CQ10" s="2589"/>
      <c r="CR10" s="2589"/>
      <c r="CS10" s="2589"/>
      <c r="CT10" s="2589"/>
      <c r="CU10" s="2589"/>
      <c r="CV10" s="2589"/>
      <c r="CW10" s="2589"/>
      <c r="CX10" s="2589"/>
      <c r="CY10" s="2589"/>
      <c r="CZ10" s="2589"/>
      <c r="DA10" s="2589"/>
      <c r="DB10" s="2589"/>
      <c r="DC10" s="2589"/>
      <c r="DD10" s="2589"/>
      <c r="DE10" s="2589"/>
      <c r="DF10" s="2589"/>
      <c r="DG10" s="2589"/>
      <c r="DH10" s="2589"/>
      <c r="DI10" s="2589"/>
      <c r="DJ10" s="2589"/>
      <c r="DK10" s="2589"/>
      <c r="DL10" s="2589"/>
      <c r="DM10" s="2589"/>
      <c r="DN10" s="2589"/>
      <c r="DO10" s="2589"/>
      <c r="DP10" s="2589"/>
      <c r="DQ10" s="2589"/>
      <c r="DR10" s="2589"/>
      <c r="DS10" s="2589"/>
      <c r="DT10" s="2589"/>
      <c r="DU10" s="2657"/>
      <c r="DW10" s="6617"/>
      <c r="DX10" s="2584"/>
      <c r="DY10" s="2584"/>
      <c r="DZ10" s="2584"/>
      <c r="EA10" s="2584"/>
      <c r="EB10" s="2584"/>
      <c r="EC10" s="2584"/>
      <c r="ED10" s="2584"/>
      <c r="EE10" s="2584"/>
      <c r="EF10" s="2584"/>
      <c r="EG10" s="2584"/>
      <c r="EH10" s="2584"/>
      <c r="EI10" s="2584"/>
      <c r="EJ10" s="2584"/>
      <c r="EK10" s="2584"/>
      <c r="EL10" s="2584"/>
      <c r="EM10" s="2584"/>
      <c r="EN10" s="2584"/>
      <c r="EO10" s="2584"/>
      <c r="EP10" s="2584"/>
      <c r="EQ10" s="2584"/>
      <c r="ER10" s="2584"/>
      <c r="ES10" s="2584"/>
      <c r="ET10" s="2584"/>
      <c r="EU10" s="2584"/>
      <c r="EV10" s="2584"/>
      <c r="EW10" s="2584"/>
      <c r="EX10" s="2584"/>
      <c r="EY10" s="2584"/>
      <c r="EZ10" s="2584"/>
      <c r="FA10" s="2584"/>
      <c r="FB10" s="2584"/>
      <c r="FC10" s="2584"/>
      <c r="FD10" s="2584"/>
      <c r="FE10" s="2584"/>
      <c r="FF10" s="2584"/>
      <c r="FG10" s="2584"/>
      <c r="FH10" s="2584"/>
      <c r="FI10" s="2584"/>
      <c r="FJ10" s="2584"/>
      <c r="FK10" s="2584"/>
      <c r="FL10" s="2584"/>
      <c r="FM10" s="2584"/>
      <c r="FN10" s="2584"/>
      <c r="FO10" s="2584"/>
      <c r="FP10" s="6618"/>
    </row>
    <row r="11" spans="1:172" s="2578" customFormat="1" ht="15" customHeight="1">
      <c r="A11" s="16721"/>
      <c r="B11" s="16724"/>
      <c r="C11" s="16724"/>
      <c r="D11" s="15986"/>
      <c r="E11" s="15986"/>
      <c r="F11" s="15456"/>
      <c r="G11" s="15456"/>
      <c r="H11" s="5070"/>
      <c r="I11" s="6761"/>
      <c r="J11" s="6761"/>
      <c r="K11" s="15456"/>
      <c r="L11" s="15456"/>
      <c r="M11" s="15456"/>
      <c r="N11" s="15456"/>
      <c r="O11" s="15456"/>
      <c r="P11" s="15456"/>
      <c r="Q11" s="15456"/>
      <c r="R11" s="15456"/>
      <c r="S11" s="15456"/>
      <c r="T11" s="15456"/>
      <c r="U11" s="15456"/>
      <c r="V11" s="15456"/>
      <c r="W11" s="5070" t="s">
        <v>26</v>
      </c>
      <c r="X11" s="5070"/>
      <c r="Y11" s="5070" t="s">
        <v>10278</v>
      </c>
      <c r="Z11" s="6759"/>
      <c r="AA11" s="6759"/>
      <c r="AB11" s="6759"/>
      <c r="AC11" s="6759"/>
      <c r="AD11" s="6760"/>
      <c r="AE11" s="2588"/>
      <c r="AF11" s="5083"/>
      <c r="AG11" s="5070"/>
      <c r="AH11" s="2584"/>
      <c r="AI11" s="2584"/>
      <c r="AJ11" s="2584"/>
      <c r="AK11" s="2584"/>
      <c r="AL11" s="2584"/>
      <c r="AM11" s="2584"/>
      <c r="AN11" s="2584"/>
      <c r="AO11" s="2584"/>
      <c r="AP11" s="2584"/>
      <c r="AQ11" s="2584"/>
      <c r="AR11" s="2584"/>
      <c r="AS11" s="2584"/>
      <c r="AT11" s="2584"/>
      <c r="AU11" s="2584"/>
      <c r="AV11" s="2584"/>
      <c r="AW11" s="2584"/>
      <c r="AX11" s="2584"/>
      <c r="AY11" s="2584"/>
      <c r="AZ11" s="2584"/>
      <c r="BA11" s="2584"/>
      <c r="BB11" s="2584"/>
      <c r="BC11" s="2584"/>
      <c r="BD11" s="2584"/>
      <c r="BE11" s="2584"/>
      <c r="BF11" s="2584"/>
      <c r="BG11" s="2584"/>
      <c r="BH11" s="2584"/>
      <c r="BI11" s="2584"/>
      <c r="BJ11" s="2584"/>
      <c r="BK11" s="2584"/>
      <c r="BL11" s="2584"/>
      <c r="BM11" s="2584"/>
      <c r="BN11" s="2584"/>
      <c r="BO11" s="2584"/>
      <c r="BP11" s="2584"/>
      <c r="BQ11" s="2584"/>
      <c r="BR11" s="2584"/>
      <c r="BS11" s="2584"/>
      <c r="BT11" s="2584"/>
      <c r="BU11" s="2584"/>
      <c r="BV11" s="2584"/>
      <c r="BW11" s="6646"/>
      <c r="BX11" s="4774"/>
      <c r="BY11" s="16734"/>
      <c r="BZ11" s="6762"/>
      <c r="CA11" s="5083"/>
      <c r="CB11" s="6762"/>
      <c r="CC11" s="2589"/>
      <c r="CD11" s="2589"/>
      <c r="CE11" s="2589"/>
      <c r="CF11" s="2589"/>
      <c r="CG11" s="2589"/>
      <c r="CH11" s="2589"/>
      <c r="CI11" s="2589"/>
      <c r="CJ11" s="2589"/>
      <c r="CK11" s="2589"/>
      <c r="CL11" s="2589"/>
      <c r="CM11" s="2589"/>
      <c r="CN11" s="2589"/>
      <c r="CO11" s="2589"/>
      <c r="CP11" s="2589"/>
      <c r="CQ11" s="2589"/>
      <c r="CR11" s="2589"/>
      <c r="CS11" s="2589"/>
      <c r="CT11" s="2589"/>
      <c r="CU11" s="2589"/>
      <c r="CV11" s="2589"/>
      <c r="CW11" s="2589"/>
      <c r="CX11" s="2589"/>
      <c r="CY11" s="2589"/>
      <c r="CZ11" s="2589"/>
      <c r="DA11" s="2589"/>
      <c r="DB11" s="2589"/>
      <c r="DC11" s="2589"/>
      <c r="DD11" s="2589"/>
      <c r="DE11" s="2589"/>
      <c r="DF11" s="2589"/>
      <c r="DG11" s="2589"/>
      <c r="DH11" s="2589"/>
      <c r="DI11" s="2589"/>
      <c r="DJ11" s="2589"/>
      <c r="DK11" s="2589"/>
      <c r="DL11" s="2589"/>
      <c r="DM11" s="2589"/>
      <c r="DN11" s="2589"/>
      <c r="DO11" s="2589"/>
      <c r="DP11" s="2589"/>
      <c r="DQ11" s="2589"/>
      <c r="DR11" s="2589"/>
      <c r="DS11" s="2589"/>
      <c r="DT11" s="2589"/>
      <c r="DU11" s="2657"/>
      <c r="DW11" s="6617"/>
      <c r="DX11" s="2584"/>
      <c r="DY11" s="2584"/>
      <c r="DZ11" s="2584"/>
      <c r="EA11" s="2584"/>
      <c r="EB11" s="2584"/>
      <c r="EC11" s="2584"/>
      <c r="ED11" s="2584"/>
      <c r="EE11" s="2584"/>
      <c r="EF11" s="2584"/>
      <c r="EG11" s="2584"/>
      <c r="EH11" s="2584"/>
      <c r="EI11" s="2584"/>
      <c r="EJ11" s="2584"/>
      <c r="EK11" s="2584"/>
      <c r="EL11" s="2584"/>
      <c r="EM11" s="2584"/>
      <c r="EN11" s="2584"/>
      <c r="EO11" s="2584"/>
      <c r="EP11" s="2584"/>
      <c r="EQ11" s="2584"/>
      <c r="ER11" s="2584"/>
      <c r="ES11" s="2584"/>
      <c r="ET11" s="2584"/>
      <c r="EU11" s="2584"/>
      <c r="EV11" s="2584"/>
      <c r="EW11" s="2584"/>
      <c r="EX11" s="2584"/>
      <c r="EY11" s="2584"/>
      <c r="EZ11" s="2584"/>
      <c r="FA11" s="2584"/>
      <c r="FB11" s="2584"/>
      <c r="FC11" s="2584"/>
      <c r="FD11" s="2584"/>
      <c r="FE11" s="2584"/>
      <c r="FF11" s="2584"/>
      <c r="FG11" s="2584"/>
      <c r="FH11" s="2584"/>
      <c r="FI11" s="2584"/>
      <c r="FJ11" s="2584"/>
      <c r="FK11" s="2584"/>
      <c r="FL11" s="2584"/>
      <c r="FM11" s="2584"/>
      <c r="FN11" s="2584"/>
      <c r="FO11" s="2584"/>
      <c r="FP11" s="6618"/>
    </row>
    <row r="12" spans="1:172" s="2578" customFormat="1" ht="15" customHeight="1">
      <c r="A12" s="16721"/>
      <c r="B12" s="16724"/>
      <c r="C12" s="16724"/>
      <c r="D12" s="15986"/>
      <c r="E12" s="15986"/>
      <c r="F12" s="15456"/>
      <c r="G12" s="15456"/>
      <c r="H12" s="5070"/>
      <c r="I12" s="6761"/>
      <c r="J12" s="6761"/>
      <c r="K12" s="15456"/>
      <c r="L12" s="15456"/>
      <c r="M12" s="15456"/>
      <c r="N12" s="15456"/>
      <c r="O12" s="15456"/>
      <c r="P12" s="15456"/>
      <c r="Q12" s="15456"/>
      <c r="R12" s="15456"/>
      <c r="S12" s="15456"/>
      <c r="T12" s="15456"/>
      <c r="U12" s="15456"/>
      <c r="V12" s="15456"/>
      <c r="W12" s="5070" t="s">
        <v>10194</v>
      </c>
      <c r="X12" s="5070"/>
      <c r="Y12" s="5070" t="s">
        <v>733</v>
      </c>
      <c r="Z12" s="6759"/>
      <c r="AA12" s="6759"/>
      <c r="AB12" s="6759"/>
      <c r="AC12" s="6759"/>
      <c r="AD12" s="6760"/>
      <c r="AE12" s="2588"/>
      <c r="AF12" s="5083"/>
      <c r="AG12" s="5070"/>
      <c r="AH12" s="2584"/>
      <c r="AI12" s="2584"/>
      <c r="AJ12" s="2584"/>
      <c r="AK12" s="2584"/>
      <c r="AL12" s="2584"/>
      <c r="AM12" s="2584"/>
      <c r="AN12" s="2584"/>
      <c r="AO12" s="2584"/>
      <c r="AP12" s="2584"/>
      <c r="AQ12" s="2584"/>
      <c r="AR12" s="2584"/>
      <c r="AS12" s="2584"/>
      <c r="AT12" s="2584"/>
      <c r="AU12" s="2584"/>
      <c r="AV12" s="2584"/>
      <c r="AW12" s="2584"/>
      <c r="AX12" s="2584"/>
      <c r="AY12" s="2584"/>
      <c r="AZ12" s="2584"/>
      <c r="BA12" s="2584"/>
      <c r="BB12" s="2584"/>
      <c r="BC12" s="2584"/>
      <c r="BD12" s="2584"/>
      <c r="BE12" s="2584"/>
      <c r="BF12" s="2584"/>
      <c r="BG12" s="2584"/>
      <c r="BH12" s="2584"/>
      <c r="BI12" s="2584"/>
      <c r="BJ12" s="2584"/>
      <c r="BK12" s="2584"/>
      <c r="BL12" s="2584"/>
      <c r="BM12" s="2584"/>
      <c r="BN12" s="2584"/>
      <c r="BO12" s="2584"/>
      <c r="BP12" s="2584"/>
      <c r="BQ12" s="2584"/>
      <c r="BR12" s="2584"/>
      <c r="BS12" s="2584"/>
      <c r="BT12" s="2584"/>
      <c r="BU12" s="2584"/>
      <c r="BV12" s="2584"/>
      <c r="BW12" s="6646"/>
      <c r="BX12" s="4774"/>
      <c r="BY12" s="16734"/>
      <c r="BZ12" s="6762"/>
      <c r="CA12" s="5083"/>
      <c r="CB12" s="6762"/>
      <c r="CC12" s="2589"/>
      <c r="CD12" s="2589"/>
      <c r="CE12" s="2589"/>
      <c r="CF12" s="2589"/>
      <c r="CG12" s="2589"/>
      <c r="CH12" s="2589"/>
      <c r="CI12" s="2589"/>
      <c r="CJ12" s="2589"/>
      <c r="CK12" s="2589"/>
      <c r="CL12" s="2589"/>
      <c r="CM12" s="2589"/>
      <c r="CN12" s="2589"/>
      <c r="CO12" s="2589"/>
      <c r="CP12" s="2589"/>
      <c r="CQ12" s="2589"/>
      <c r="CR12" s="2589"/>
      <c r="CS12" s="2589"/>
      <c r="CT12" s="2589"/>
      <c r="CU12" s="2589"/>
      <c r="CV12" s="2589"/>
      <c r="CW12" s="2589"/>
      <c r="CX12" s="2589"/>
      <c r="CY12" s="2589"/>
      <c r="CZ12" s="2589"/>
      <c r="DA12" s="2589"/>
      <c r="DB12" s="2589"/>
      <c r="DC12" s="2589"/>
      <c r="DD12" s="2589"/>
      <c r="DE12" s="2589"/>
      <c r="DF12" s="2589"/>
      <c r="DG12" s="2589"/>
      <c r="DH12" s="2589"/>
      <c r="DI12" s="2589"/>
      <c r="DJ12" s="2589"/>
      <c r="DK12" s="2589"/>
      <c r="DL12" s="2589"/>
      <c r="DM12" s="2589"/>
      <c r="DN12" s="2589"/>
      <c r="DO12" s="2589"/>
      <c r="DP12" s="2589"/>
      <c r="DQ12" s="2589"/>
      <c r="DR12" s="2589"/>
      <c r="DS12" s="2589"/>
      <c r="DT12" s="2589"/>
      <c r="DU12" s="2657"/>
      <c r="DW12" s="6617"/>
      <c r="DX12" s="2584"/>
      <c r="DY12" s="2584"/>
      <c r="DZ12" s="2584"/>
      <c r="EA12" s="2584"/>
      <c r="EB12" s="2584"/>
      <c r="EC12" s="2584"/>
      <c r="ED12" s="2584"/>
      <c r="EE12" s="2584"/>
      <c r="EF12" s="2584"/>
      <c r="EG12" s="2584"/>
      <c r="EH12" s="2584"/>
      <c r="EI12" s="2584"/>
      <c r="EJ12" s="2584"/>
      <c r="EK12" s="2584"/>
      <c r="EL12" s="2584"/>
      <c r="EM12" s="2584"/>
      <c r="EN12" s="2584"/>
      <c r="EO12" s="2584"/>
      <c r="EP12" s="2584"/>
      <c r="EQ12" s="2584"/>
      <c r="ER12" s="2584"/>
      <c r="ES12" s="2584"/>
      <c r="ET12" s="2584"/>
      <c r="EU12" s="2584"/>
      <c r="EV12" s="2584"/>
      <c r="EW12" s="2584"/>
      <c r="EX12" s="2584"/>
      <c r="EY12" s="2584"/>
      <c r="EZ12" s="2584"/>
      <c r="FA12" s="2584"/>
      <c r="FB12" s="2584"/>
      <c r="FC12" s="2584"/>
      <c r="FD12" s="2584"/>
      <c r="FE12" s="2584"/>
      <c r="FF12" s="2584"/>
      <c r="FG12" s="2584"/>
      <c r="FH12" s="2584"/>
      <c r="FI12" s="2584"/>
      <c r="FJ12" s="2584"/>
      <c r="FK12" s="2584"/>
      <c r="FL12" s="2584"/>
      <c r="FM12" s="2584"/>
      <c r="FN12" s="2584"/>
      <c r="FO12" s="2584"/>
      <c r="FP12" s="6618"/>
    </row>
    <row r="13" spans="1:172" s="2578" customFormat="1" ht="15" customHeight="1">
      <c r="A13" s="16721"/>
      <c r="B13" s="16724"/>
      <c r="C13" s="16724"/>
      <c r="D13" s="15986"/>
      <c r="E13" s="15986"/>
      <c r="F13" s="15456"/>
      <c r="G13" s="15456"/>
      <c r="H13" s="5070"/>
      <c r="I13" s="6761"/>
      <c r="J13" s="6761"/>
      <c r="K13" s="15456"/>
      <c r="L13" s="15456"/>
      <c r="M13" s="15456"/>
      <c r="N13" s="15456"/>
      <c r="O13" s="15456"/>
      <c r="P13" s="15456"/>
      <c r="Q13" s="15456"/>
      <c r="R13" s="15456"/>
      <c r="S13" s="15456"/>
      <c r="T13" s="15456"/>
      <c r="U13" s="15456"/>
      <c r="V13" s="15456"/>
      <c r="W13" s="5070" t="s">
        <v>477</v>
      </c>
      <c r="X13" s="5070"/>
      <c r="Y13" s="5070" t="s">
        <v>477</v>
      </c>
      <c r="Z13" s="6759"/>
      <c r="AA13" s="6759"/>
      <c r="AB13" s="6759"/>
      <c r="AC13" s="6759"/>
      <c r="AD13" s="6760"/>
      <c r="AE13" s="2588"/>
      <c r="AF13" s="5083"/>
      <c r="AG13" s="5070"/>
      <c r="AH13" s="2584"/>
      <c r="AI13" s="2584"/>
      <c r="AJ13" s="2584"/>
      <c r="AK13" s="2584"/>
      <c r="AL13" s="2584"/>
      <c r="AM13" s="2584"/>
      <c r="AN13" s="2584"/>
      <c r="AO13" s="2584"/>
      <c r="AP13" s="2584"/>
      <c r="AQ13" s="2584"/>
      <c r="AR13" s="2584"/>
      <c r="AS13" s="2584"/>
      <c r="AT13" s="2584"/>
      <c r="AU13" s="2584"/>
      <c r="AV13" s="2584"/>
      <c r="AW13" s="2584"/>
      <c r="AX13" s="2584"/>
      <c r="AY13" s="2584"/>
      <c r="AZ13" s="2584"/>
      <c r="BA13" s="2584"/>
      <c r="BB13" s="2584"/>
      <c r="BC13" s="2584"/>
      <c r="BD13" s="2584"/>
      <c r="BE13" s="2584"/>
      <c r="BF13" s="2584"/>
      <c r="BG13" s="2584"/>
      <c r="BH13" s="2584"/>
      <c r="BI13" s="2584"/>
      <c r="BJ13" s="2584"/>
      <c r="BK13" s="2584"/>
      <c r="BL13" s="2584"/>
      <c r="BM13" s="2584"/>
      <c r="BN13" s="2584"/>
      <c r="BO13" s="2584"/>
      <c r="BP13" s="2584"/>
      <c r="BQ13" s="2584"/>
      <c r="BR13" s="2584"/>
      <c r="BS13" s="2584"/>
      <c r="BT13" s="2584"/>
      <c r="BU13" s="2584"/>
      <c r="BV13" s="2584"/>
      <c r="BW13" s="6646"/>
      <c r="BX13" s="4774"/>
      <c r="BY13" s="16734"/>
      <c r="BZ13" s="6762"/>
      <c r="CA13" s="5083"/>
      <c r="CB13" s="6762"/>
      <c r="CC13" s="2589"/>
      <c r="CD13" s="2589"/>
      <c r="CE13" s="2589"/>
      <c r="CF13" s="2589"/>
      <c r="CG13" s="2589"/>
      <c r="CH13" s="2589"/>
      <c r="CI13" s="2589"/>
      <c r="CJ13" s="2589"/>
      <c r="CK13" s="2589"/>
      <c r="CL13" s="2589"/>
      <c r="CM13" s="2589"/>
      <c r="CN13" s="2589"/>
      <c r="CO13" s="2589"/>
      <c r="CP13" s="2589"/>
      <c r="CQ13" s="2589"/>
      <c r="CR13" s="2589"/>
      <c r="CS13" s="2589"/>
      <c r="CT13" s="2589"/>
      <c r="CU13" s="2589"/>
      <c r="CV13" s="2589"/>
      <c r="CW13" s="2589"/>
      <c r="CX13" s="2589"/>
      <c r="CY13" s="2589"/>
      <c r="CZ13" s="2589"/>
      <c r="DA13" s="2589"/>
      <c r="DB13" s="2589"/>
      <c r="DC13" s="2589"/>
      <c r="DD13" s="2589"/>
      <c r="DE13" s="2589"/>
      <c r="DF13" s="2589"/>
      <c r="DG13" s="2589"/>
      <c r="DH13" s="2589"/>
      <c r="DI13" s="2589"/>
      <c r="DJ13" s="2589"/>
      <c r="DK13" s="2589"/>
      <c r="DL13" s="2589"/>
      <c r="DM13" s="2589"/>
      <c r="DN13" s="2589"/>
      <c r="DO13" s="2589"/>
      <c r="DP13" s="2589"/>
      <c r="DQ13" s="2589"/>
      <c r="DR13" s="2589"/>
      <c r="DS13" s="2589"/>
      <c r="DT13" s="2589"/>
      <c r="DU13" s="2657"/>
      <c r="DW13" s="6617"/>
      <c r="DX13" s="2584"/>
      <c r="DY13" s="2584"/>
      <c r="DZ13" s="2584"/>
      <c r="EA13" s="2584"/>
      <c r="EB13" s="2584"/>
      <c r="EC13" s="2584"/>
      <c r="ED13" s="2584"/>
      <c r="EE13" s="2584"/>
      <c r="EF13" s="2584"/>
      <c r="EG13" s="2584"/>
      <c r="EH13" s="2584"/>
      <c r="EI13" s="2584"/>
      <c r="EJ13" s="2584"/>
      <c r="EK13" s="2584"/>
      <c r="EL13" s="2584"/>
      <c r="EM13" s="2584"/>
      <c r="EN13" s="2584"/>
      <c r="EO13" s="2584"/>
      <c r="EP13" s="2584"/>
      <c r="EQ13" s="2584"/>
      <c r="ER13" s="2584"/>
      <c r="ES13" s="2584"/>
      <c r="ET13" s="2584"/>
      <c r="EU13" s="2584"/>
      <c r="EV13" s="2584"/>
      <c r="EW13" s="2584"/>
      <c r="EX13" s="2584"/>
      <c r="EY13" s="2584"/>
      <c r="EZ13" s="2584"/>
      <c r="FA13" s="2584"/>
      <c r="FB13" s="2584"/>
      <c r="FC13" s="2584"/>
      <c r="FD13" s="2584"/>
      <c r="FE13" s="2584"/>
      <c r="FF13" s="2584"/>
      <c r="FG13" s="2584"/>
      <c r="FH13" s="2584"/>
      <c r="FI13" s="2584"/>
      <c r="FJ13" s="2584"/>
      <c r="FK13" s="2584"/>
      <c r="FL13" s="2584"/>
      <c r="FM13" s="2584"/>
      <c r="FN13" s="2584"/>
      <c r="FO13" s="2584"/>
      <c r="FP13" s="6618"/>
    </row>
    <row r="14" spans="1:172" s="2578" customFormat="1" ht="15" customHeight="1">
      <c r="A14" s="16721"/>
      <c r="B14" s="16724"/>
      <c r="C14" s="16724"/>
      <c r="D14" s="15986"/>
      <c r="E14" s="5104" t="s">
        <v>4492</v>
      </c>
      <c r="F14" s="6555" t="s">
        <v>394</v>
      </c>
      <c r="G14" s="7591" t="s">
        <v>395</v>
      </c>
      <c r="H14" s="5070" t="s">
        <v>382</v>
      </c>
      <c r="I14" s="6763">
        <v>0</v>
      </c>
      <c r="J14" s="6763">
        <v>3</v>
      </c>
      <c r="K14" s="6763">
        <v>3</v>
      </c>
      <c r="L14" s="6763">
        <v>3</v>
      </c>
      <c r="M14" s="6763">
        <v>3</v>
      </c>
      <c r="N14" s="6763">
        <v>3</v>
      </c>
      <c r="O14" s="6763">
        <v>3</v>
      </c>
      <c r="P14" s="6763">
        <v>3</v>
      </c>
      <c r="Q14" s="6763">
        <v>3</v>
      </c>
      <c r="R14" s="6763">
        <v>3</v>
      </c>
      <c r="S14" s="6763">
        <v>3</v>
      </c>
      <c r="T14" s="6763">
        <v>3</v>
      </c>
      <c r="U14" s="6763">
        <v>3</v>
      </c>
      <c r="V14" s="5070" t="s">
        <v>383</v>
      </c>
      <c r="W14" s="5070" t="s">
        <v>10066</v>
      </c>
      <c r="X14" s="5070" t="s">
        <v>298</v>
      </c>
      <c r="Y14" s="5070"/>
      <c r="Z14" s="6759">
        <v>15000000</v>
      </c>
      <c r="AA14" s="6759"/>
      <c r="AB14" s="6759"/>
      <c r="AC14" s="6759"/>
      <c r="AD14" s="6760">
        <f t="shared" si="0"/>
        <v>15000000</v>
      </c>
      <c r="AE14" s="2584"/>
      <c r="AF14" s="2584"/>
      <c r="AG14" s="2584"/>
      <c r="AH14" s="2584"/>
      <c r="AI14" s="2584"/>
      <c r="AJ14" s="2584"/>
      <c r="AK14" s="2584"/>
      <c r="AL14" s="2584"/>
      <c r="AM14" s="2584"/>
      <c r="AN14" s="2584"/>
      <c r="AO14" s="2584"/>
      <c r="AP14" s="2584"/>
      <c r="AQ14" s="2584"/>
      <c r="AR14" s="2584"/>
      <c r="AS14" s="2584"/>
      <c r="AT14" s="2584"/>
      <c r="AU14" s="2584"/>
      <c r="AV14" s="2584"/>
      <c r="AW14" s="2584"/>
      <c r="AX14" s="2584"/>
      <c r="AY14" s="2584"/>
      <c r="AZ14" s="2584"/>
      <c r="BA14" s="2584"/>
      <c r="BB14" s="2584"/>
      <c r="BC14" s="2584"/>
      <c r="BD14" s="2584"/>
      <c r="BE14" s="2584"/>
      <c r="BF14" s="2584"/>
      <c r="BG14" s="2584"/>
      <c r="BH14" s="2584"/>
      <c r="BI14" s="2584"/>
      <c r="BJ14" s="2584"/>
      <c r="BK14" s="2584"/>
      <c r="BL14" s="2584"/>
      <c r="BM14" s="2584"/>
      <c r="BN14" s="2584"/>
      <c r="BO14" s="2584"/>
      <c r="BP14" s="2584"/>
      <c r="BQ14" s="2584"/>
      <c r="BR14" s="2584"/>
      <c r="BS14" s="2584"/>
      <c r="BT14" s="2584"/>
      <c r="BU14" s="2584"/>
      <c r="BV14" s="2584"/>
      <c r="BW14" s="5070">
        <v>3</v>
      </c>
      <c r="BX14" s="6764">
        <f>BW14/K14</f>
        <v>1</v>
      </c>
      <c r="BY14" s="16734"/>
      <c r="BZ14" s="6762" t="s">
        <v>9261</v>
      </c>
      <c r="CA14" s="5083" t="s">
        <v>9262</v>
      </c>
      <c r="CB14" s="6762" t="s">
        <v>9263</v>
      </c>
      <c r="CC14" s="2589">
        <v>15000000</v>
      </c>
      <c r="CD14" s="2589" t="s">
        <v>9264</v>
      </c>
      <c r="CE14" s="2589"/>
      <c r="CF14" s="2589"/>
      <c r="CG14" s="2589">
        <v>55</v>
      </c>
      <c r="CH14" s="2589">
        <v>40</v>
      </c>
      <c r="CI14" s="2589">
        <v>15</v>
      </c>
      <c r="CJ14" s="2589"/>
      <c r="CK14" s="2589">
        <v>55</v>
      </c>
      <c r="CL14" s="2589"/>
      <c r="CM14" s="2589"/>
      <c r="CN14" s="2589"/>
      <c r="CO14" s="2589"/>
      <c r="CP14" s="2589"/>
      <c r="CQ14" s="2589"/>
      <c r="CR14" s="2589">
        <v>15</v>
      </c>
      <c r="CS14" s="2589">
        <v>40</v>
      </c>
      <c r="CT14" s="2589"/>
      <c r="CU14" s="2589"/>
      <c r="CV14" s="2589">
        <v>55</v>
      </c>
      <c r="CW14" s="2589"/>
      <c r="CX14" s="2589"/>
      <c r="CY14" s="2589"/>
      <c r="CZ14" s="2589"/>
      <c r="DA14" s="2589"/>
      <c r="DB14" s="2589"/>
      <c r="DC14" s="2589"/>
      <c r="DD14" s="2589"/>
      <c r="DE14" s="2589"/>
      <c r="DF14" s="2589"/>
      <c r="DG14" s="2589"/>
      <c r="DH14" s="2589"/>
      <c r="DI14" s="2589"/>
      <c r="DJ14" s="2589"/>
      <c r="DK14" s="2589"/>
      <c r="DL14" s="2589"/>
      <c r="DM14" s="2589"/>
      <c r="DN14" s="2589"/>
      <c r="DO14" s="2589"/>
      <c r="DP14" s="2589"/>
      <c r="DQ14" s="2589"/>
      <c r="DR14" s="2589"/>
      <c r="DS14" s="2589"/>
      <c r="DT14" s="2589"/>
      <c r="DU14" s="2657"/>
      <c r="DW14" s="6617"/>
      <c r="DX14" s="2584"/>
      <c r="DY14" s="2584"/>
      <c r="DZ14" s="2584"/>
      <c r="EA14" s="2584"/>
      <c r="EB14" s="2584"/>
      <c r="EC14" s="2584"/>
      <c r="ED14" s="2584"/>
      <c r="EE14" s="2584"/>
      <c r="EF14" s="2584"/>
      <c r="EG14" s="2584"/>
      <c r="EH14" s="2584"/>
      <c r="EI14" s="2584"/>
      <c r="EJ14" s="2584"/>
      <c r="EK14" s="2584"/>
      <c r="EL14" s="2584"/>
      <c r="EM14" s="2584"/>
      <c r="EN14" s="2584"/>
      <c r="EO14" s="2584"/>
      <c r="EP14" s="2584"/>
      <c r="EQ14" s="2584"/>
      <c r="ER14" s="2584"/>
      <c r="ES14" s="2584"/>
      <c r="ET14" s="2584"/>
      <c r="EU14" s="2584"/>
      <c r="EV14" s="2584"/>
      <c r="EW14" s="2584"/>
      <c r="EX14" s="2584"/>
      <c r="EY14" s="2584"/>
      <c r="EZ14" s="2584"/>
      <c r="FA14" s="2584"/>
      <c r="FB14" s="2584"/>
      <c r="FC14" s="2584"/>
      <c r="FD14" s="2584"/>
      <c r="FE14" s="2584"/>
      <c r="FF14" s="2584"/>
      <c r="FG14" s="2584"/>
      <c r="FH14" s="2584"/>
      <c r="FI14" s="2584"/>
      <c r="FJ14" s="2584"/>
      <c r="FK14" s="2584"/>
      <c r="FL14" s="2584"/>
      <c r="FM14" s="2584"/>
      <c r="FN14" s="2584"/>
      <c r="FO14" s="2584"/>
      <c r="FP14" s="6618"/>
    </row>
    <row r="15" spans="1:172" s="2578" customFormat="1" ht="15" customHeight="1">
      <c r="A15" s="16721"/>
      <c r="B15" s="16724"/>
      <c r="C15" s="16724"/>
      <c r="D15" s="15986"/>
      <c r="E15" s="15986" t="s">
        <v>4493</v>
      </c>
      <c r="F15" s="16706" t="s">
        <v>396</v>
      </c>
      <c r="G15" s="16706" t="s">
        <v>397</v>
      </c>
      <c r="H15" s="5070" t="s">
        <v>382</v>
      </c>
      <c r="I15" s="6763">
        <v>0</v>
      </c>
      <c r="J15" s="6763">
        <v>2</v>
      </c>
      <c r="K15" s="16706">
        <v>2</v>
      </c>
      <c r="L15" s="15456">
        <v>2</v>
      </c>
      <c r="M15" s="16706">
        <v>2</v>
      </c>
      <c r="N15" s="16706">
        <v>2</v>
      </c>
      <c r="O15" s="16706">
        <v>2</v>
      </c>
      <c r="P15" s="16706">
        <v>2</v>
      </c>
      <c r="Q15" s="16706">
        <v>2</v>
      </c>
      <c r="R15" s="16706">
        <v>2</v>
      </c>
      <c r="S15" s="16706">
        <v>2</v>
      </c>
      <c r="T15" s="16706">
        <v>2</v>
      </c>
      <c r="U15" s="16706">
        <v>2</v>
      </c>
      <c r="V15" s="16706" t="s">
        <v>383</v>
      </c>
      <c r="W15" s="5070" t="s">
        <v>10066</v>
      </c>
      <c r="X15" s="5070" t="s">
        <v>398</v>
      </c>
      <c r="Y15" s="2584"/>
      <c r="Z15" s="6759">
        <v>10000000</v>
      </c>
      <c r="AA15" s="6759"/>
      <c r="AB15" s="6759"/>
      <c r="AC15" s="6759"/>
      <c r="AD15" s="6760">
        <f t="shared" si="0"/>
        <v>10000000</v>
      </c>
      <c r="AE15" s="2584"/>
      <c r="AF15" s="2584"/>
      <c r="AG15" s="2584"/>
      <c r="AH15" s="2584"/>
      <c r="AI15" s="2584"/>
      <c r="AJ15" s="2584"/>
      <c r="AK15" s="2584"/>
      <c r="AL15" s="2584"/>
      <c r="AM15" s="2584"/>
      <c r="AN15" s="2584"/>
      <c r="AO15" s="2584"/>
      <c r="AP15" s="2584"/>
      <c r="AQ15" s="2584"/>
      <c r="AR15" s="2584"/>
      <c r="AS15" s="2584"/>
      <c r="AT15" s="2584"/>
      <c r="AU15" s="2584"/>
      <c r="AV15" s="2584"/>
      <c r="AW15" s="2584"/>
      <c r="AX15" s="2584"/>
      <c r="AY15" s="2584"/>
      <c r="AZ15" s="2584"/>
      <c r="BA15" s="2584"/>
      <c r="BB15" s="2584"/>
      <c r="BC15" s="2584"/>
      <c r="BD15" s="2584"/>
      <c r="BE15" s="2584"/>
      <c r="BF15" s="2584"/>
      <c r="BG15" s="2584"/>
      <c r="BH15" s="2584"/>
      <c r="BI15" s="2584"/>
      <c r="BJ15" s="2584"/>
      <c r="BK15" s="2584"/>
      <c r="BL15" s="2584"/>
      <c r="BM15" s="2584"/>
      <c r="BN15" s="2584"/>
      <c r="BO15" s="2584"/>
      <c r="BP15" s="2584"/>
      <c r="BQ15" s="2584"/>
      <c r="BR15" s="2584"/>
      <c r="BS15" s="2584"/>
      <c r="BT15" s="2584"/>
      <c r="BU15" s="2584"/>
      <c r="BV15" s="2584"/>
      <c r="BW15" s="5070">
        <v>2</v>
      </c>
      <c r="BX15" s="6764">
        <f>BW15/K15</f>
        <v>1</v>
      </c>
      <c r="BY15" s="16734"/>
      <c r="BZ15" s="6762" t="s">
        <v>9265</v>
      </c>
      <c r="CA15" s="5083" t="s">
        <v>9266</v>
      </c>
      <c r="CB15" s="6762" t="s">
        <v>9267</v>
      </c>
      <c r="CC15" s="2589">
        <v>10000000</v>
      </c>
      <c r="CD15" s="2589" t="s">
        <v>9264</v>
      </c>
      <c r="CE15" s="2589"/>
      <c r="CF15" s="2589"/>
      <c r="CG15" s="2589">
        <v>33</v>
      </c>
      <c r="CH15" s="2589">
        <v>15</v>
      </c>
      <c r="CI15" s="2589">
        <v>18</v>
      </c>
      <c r="CJ15" s="2589"/>
      <c r="CK15" s="2589">
        <v>21</v>
      </c>
      <c r="CL15" s="2589">
        <v>12</v>
      </c>
      <c r="CM15" s="2589"/>
      <c r="CN15" s="2589"/>
      <c r="CO15" s="2589"/>
      <c r="CP15" s="2589"/>
      <c r="CQ15" s="2589"/>
      <c r="CR15" s="2589">
        <v>20</v>
      </c>
      <c r="CS15" s="2589">
        <v>13</v>
      </c>
      <c r="CT15" s="2589"/>
      <c r="CU15" s="2589"/>
      <c r="CV15" s="2589">
        <v>33</v>
      </c>
      <c r="CW15" s="2589"/>
      <c r="CX15" s="2589"/>
      <c r="CY15" s="2589"/>
      <c r="CZ15" s="2589"/>
      <c r="DA15" s="2589"/>
      <c r="DB15" s="2589"/>
      <c r="DC15" s="2589"/>
      <c r="DD15" s="2589"/>
      <c r="DE15" s="2589"/>
      <c r="DF15" s="2589"/>
      <c r="DG15" s="2589"/>
      <c r="DH15" s="2589"/>
      <c r="DI15" s="2589"/>
      <c r="DJ15" s="2589"/>
      <c r="DK15" s="2589"/>
      <c r="DL15" s="2589"/>
      <c r="DM15" s="2589"/>
      <c r="DN15" s="2589"/>
      <c r="DO15" s="2589"/>
      <c r="DP15" s="2589"/>
      <c r="DQ15" s="2589"/>
      <c r="DR15" s="2589"/>
      <c r="DS15" s="2589"/>
      <c r="DT15" s="2589"/>
      <c r="DU15" s="2657"/>
      <c r="DW15" s="6617"/>
      <c r="DX15" s="2584"/>
      <c r="DY15" s="2584"/>
      <c r="DZ15" s="2584"/>
      <c r="EA15" s="2584"/>
      <c r="EB15" s="2584"/>
      <c r="EC15" s="2584"/>
      <c r="ED15" s="2584"/>
      <c r="EE15" s="2584"/>
      <c r="EF15" s="2584"/>
      <c r="EG15" s="2584"/>
      <c r="EH15" s="2584"/>
      <c r="EI15" s="2584"/>
      <c r="EJ15" s="2584"/>
      <c r="EK15" s="2584"/>
      <c r="EL15" s="2584"/>
      <c r="EM15" s="2584"/>
      <c r="EN15" s="2584"/>
      <c r="EO15" s="2584"/>
      <c r="EP15" s="2584"/>
      <c r="EQ15" s="2584"/>
      <c r="ER15" s="2584"/>
      <c r="ES15" s="2584"/>
      <c r="ET15" s="2584"/>
      <c r="EU15" s="2584"/>
      <c r="EV15" s="2584"/>
      <c r="EW15" s="2584"/>
      <c r="EX15" s="2584"/>
      <c r="EY15" s="2584"/>
      <c r="EZ15" s="2584"/>
      <c r="FA15" s="2584"/>
      <c r="FB15" s="2584"/>
      <c r="FC15" s="2584"/>
      <c r="FD15" s="2584"/>
      <c r="FE15" s="2584"/>
      <c r="FF15" s="2584"/>
      <c r="FG15" s="2584"/>
      <c r="FH15" s="2584"/>
      <c r="FI15" s="2584"/>
      <c r="FJ15" s="2584"/>
      <c r="FK15" s="2584"/>
      <c r="FL15" s="2584"/>
      <c r="FM15" s="2584"/>
      <c r="FN15" s="2584"/>
      <c r="FO15" s="2584"/>
      <c r="FP15" s="6618"/>
    </row>
    <row r="16" spans="1:172" s="2578" customFormat="1" ht="15" customHeight="1">
      <c r="A16" s="16721"/>
      <c r="B16" s="16724"/>
      <c r="C16" s="16724"/>
      <c r="D16" s="15986"/>
      <c r="E16" s="15986"/>
      <c r="F16" s="16706"/>
      <c r="G16" s="16706"/>
      <c r="H16" s="5070"/>
      <c r="I16" s="6763"/>
      <c r="J16" s="6763"/>
      <c r="K16" s="16706"/>
      <c r="L16" s="15456"/>
      <c r="M16" s="16706"/>
      <c r="N16" s="16706"/>
      <c r="O16" s="16706"/>
      <c r="P16" s="16706"/>
      <c r="Q16" s="16706"/>
      <c r="R16" s="16706"/>
      <c r="S16" s="16706"/>
      <c r="T16" s="16706"/>
      <c r="U16" s="16706"/>
      <c r="V16" s="16706"/>
      <c r="W16" s="5070" t="s">
        <v>477</v>
      </c>
      <c r="X16" s="5070"/>
      <c r="Y16" s="5070" t="s">
        <v>399</v>
      </c>
      <c r="Z16" s="6759"/>
      <c r="AA16" s="6759"/>
      <c r="AB16" s="6759"/>
      <c r="AC16" s="6759"/>
      <c r="AD16" s="6760"/>
      <c r="AE16" s="2584"/>
      <c r="AF16" s="2584"/>
      <c r="AG16" s="2584"/>
      <c r="AH16" s="2584"/>
      <c r="AI16" s="2584"/>
      <c r="AJ16" s="2584"/>
      <c r="AK16" s="2584"/>
      <c r="AL16" s="2584"/>
      <c r="AM16" s="2584"/>
      <c r="AN16" s="2584"/>
      <c r="AO16" s="2584"/>
      <c r="AP16" s="2584"/>
      <c r="AQ16" s="2584"/>
      <c r="AR16" s="2584"/>
      <c r="AS16" s="2584"/>
      <c r="AT16" s="2584"/>
      <c r="AU16" s="2584"/>
      <c r="AV16" s="2584"/>
      <c r="AW16" s="2584"/>
      <c r="AX16" s="2584"/>
      <c r="AY16" s="2584"/>
      <c r="AZ16" s="2584"/>
      <c r="BA16" s="2584"/>
      <c r="BB16" s="2584"/>
      <c r="BC16" s="2584"/>
      <c r="BD16" s="2584"/>
      <c r="BE16" s="2584"/>
      <c r="BF16" s="2584"/>
      <c r="BG16" s="2584"/>
      <c r="BH16" s="2584"/>
      <c r="BI16" s="2584"/>
      <c r="BJ16" s="2584"/>
      <c r="BK16" s="2584"/>
      <c r="BL16" s="2584"/>
      <c r="BM16" s="2584"/>
      <c r="BN16" s="2584"/>
      <c r="BO16" s="2584"/>
      <c r="BP16" s="2584"/>
      <c r="BQ16" s="2584"/>
      <c r="BR16" s="2584"/>
      <c r="BS16" s="2584"/>
      <c r="BT16" s="2584"/>
      <c r="BU16" s="2584"/>
      <c r="BV16" s="2584"/>
      <c r="BW16" s="5070"/>
      <c r="BX16" s="6764"/>
      <c r="BY16" s="16734"/>
      <c r="BZ16" s="6762"/>
      <c r="CA16" s="5083"/>
      <c r="CB16" s="6762"/>
      <c r="CC16" s="2589"/>
      <c r="CD16" s="2589"/>
      <c r="CE16" s="2589"/>
      <c r="CF16" s="2589"/>
      <c r="CG16" s="2589"/>
      <c r="CH16" s="2589"/>
      <c r="CI16" s="2589"/>
      <c r="CJ16" s="2589"/>
      <c r="CK16" s="2589"/>
      <c r="CL16" s="2589"/>
      <c r="CM16" s="2589"/>
      <c r="CN16" s="2589"/>
      <c r="CO16" s="2589"/>
      <c r="CP16" s="2589"/>
      <c r="CQ16" s="2589"/>
      <c r="CR16" s="2589"/>
      <c r="CS16" s="2589"/>
      <c r="CT16" s="2589"/>
      <c r="CU16" s="2589"/>
      <c r="CV16" s="2589"/>
      <c r="CW16" s="2589"/>
      <c r="CX16" s="2589"/>
      <c r="CY16" s="2589"/>
      <c r="CZ16" s="2589"/>
      <c r="DA16" s="2589"/>
      <c r="DB16" s="2589"/>
      <c r="DC16" s="2589"/>
      <c r="DD16" s="2589"/>
      <c r="DE16" s="2589"/>
      <c r="DF16" s="2589"/>
      <c r="DG16" s="2589"/>
      <c r="DH16" s="2589"/>
      <c r="DI16" s="2589"/>
      <c r="DJ16" s="2589"/>
      <c r="DK16" s="2589"/>
      <c r="DL16" s="2589"/>
      <c r="DM16" s="2589"/>
      <c r="DN16" s="2589"/>
      <c r="DO16" s="2589"/>
      <c r="DP16" s="2589"/>
      <c r="DQ16" s="2589"/>
      <c r="DR16" s="2589"/>
      <c r="DS16" s="2589"/>
      <c r="DT16" s="2589"/>
      <c r="DU16" s="2657"/>
      <c r="DW16" s="6617"/>
      <c r="DX16" s="2584"/>
      <c r="DY16" s="2584"/>
      <c r="DZ16" s="2584"/>
      <c r="EA16" s="2584"/>
      <c r="EB16" s="2584"/>
      <c r="EC16" s="2584"/>
      <c r="ED16" s="2584"/>
      <c r="EE16" s="2584"/>
      <c r="EF16" s="2584"/>
      <c r="EG16" s="2584"/>
      <c r="EH16" s="2584"/>
      <c r="EI16" s="2584"/>
      <c r="EJ16" s="2584"/>
      <c r="EK16" s="2584"/>
      <c r="EL16" s="2584"/>
      <c r="EM16" s="2584"/>
      <c r="EN16" s="2584"/>
      <c r="EO16" s="2584"/>
      <c r="EP16" s="2584"/>
      <c r="EQ16" s="2584"/>
      <c r="ER16" s="2584"/>
      <c r="ES16" s="2584"/>
      <c r="ET16" s="2584"/>
      <c r="EU16" s="2584"/>
      <c r="EV16" s="2584"/>
      <c r="EW16" s="2584"/>
      <c r="EX16" s="2584"/>
      <c r="EY16" s="2584"/>
      <c r="EZ16" s="2584"/>
      <c r="FA16" s="2584"/>
      <c r="FB16" s="2584"/>
      <c r="FC16" s="2584"/>
      <c r="FD16" s="2584"/>
      <c r="FE16" s="2584"/>
      <c r="FF16" s="2584"/>
      <c r="FG16" s="2584"/>
      <c r="FH16" s="2584"/>
      <c r="FI16" s="2584"/>
      <c r="FJ16" s="2584"/>
      <c r="FK16" s="2584"/>
      <c r="FL16" s="2584"/>
      <c r="FM16" s="2584"/>
      <c r="FN16" s="2584"/>
      <c r="FO16" s="2584"/>
      <c r="FP16" s="6618"/>
    </row>
    <row r="17" spans="1:172" s="2578" customFormat="1" ht="15" customHeight="1">
      <c r="A17" s="16721"/>
      <c r="B17" s="16724"/>
      <c r="C17" s="16724"/>
      <c r="D17" s="15986"/>
      <c r="E17" s="5104" t="s">
        <v>4494</v>
      </c>
      <c r="F17" s="5072" t="s">
        <v>400</v>
      </c>
      <c r="G17" s="7585" t="s">
        <v>401</v>
      </c>
      <c r="H17" s="5070" t="s">
        <v>386</v>
      </c>
      <c r="I17" s="6763">
        <v>0</v>
      </c>
      <c r="J17" s="2634">
        <v>4</v>
      </c>
      <c r="K17" s="5072">
        <v>4</v>
      </c>
      <c r="L17" s="5072">
        <v>4</v>
      </c>
      <c r="M17" s="5072">
        <v>4</v>
      </c>
      <c r="N17" s="5072">
        <v>4</v>
      </c>
      <c r="O17" s="5072">
        <v>4</v>
      </c>
      <c r="P17" s="5072">
        <v>4</v>
      </c>
      <c r="Q17" s="5072">
        <v>4</v>
      </c>
      <c r="R17" s="5072">
        <v>4</v>
      </c>
      <c r="S17" s="5072">
        <v>4</v>
      </c>
      <c r="T17" s="5072">
        <v>4</v>
      </c>
      <c r="U17" s="5072">
        <v>4</v>
      </c>
      <c r="V17" s="5072" t="s">
        <v>383</v>
      </c>
      <c r="W17" s="5070" t="s">
        <v>26</v>
      </c>
      <c r="X17" s="5070" t="s">
        <v>390</v>
      </c>
      <c r="Y17" s="4769" t="s">
        <v>391</v>
      </c>
      <c r="Z17" s="6759">
        <v>20000000</v>
      </c>
      <c r="AA17" s="6759"/>
      <c r="AB17" s="6759"/>
      <c r="AC17" s="6759"/>
      <c r="AD17" s="6760">
        <f t="shared" si="0"/>
        <v>20000000</v>
      </c>
      <c r="AE17" s="2584"/>
      <c r="AF17" s="2584"/>
      <c r="AG17" s="2584"/>
      <c r="AH17" s="2584"/>
      <c r="AI17" s="2584"/>
      <c r="AJ17" s="2584"/>
      <c r="AK17" s="2584"/>
      <c r="AL17" s="2584"/>
      <c r="AM17" s="2584"/>
      <c r="AN17" s="2584"/>
      <c r="AO17" s="2584"/>
      <c r="AP17" s="2584"/>
      <c r="AQ17" s="2584"/>
      <c r="AR17" s="2584"/>
      <c r="AS17" s="2584"/>
      <c r="AT17" s="2584"/>
      <c r="AU17" s="2584"/>
      <c r="AV17" s="2584"/>
      <c r="AW17" s="2584"/>
      <c r="AX17" s="2584"/>
      <c r="AY17" s="2584"/>
      <c r="AZ17" s="2584"/>
      <c r="BA17" s="2584"/>
      <c r="BB17" s="2584"/>
      <c r="BC17" s="2584"/>
      <c r="BD17" s="2584"/>
      <c r="BE17" s="2584"/>
      <c r="BF17" s="2584"/>
      <c r="BG17" s="2584"/>
      <c r="BH17" s="2584"/>
      <c r="BI17" s="2584"/>
      <c r="BJ17" s="2584"/>
      <c r="BK17" s="2584"/>
      <c r="BL17" s="2584"/>
      <c r="BM17" s="2584"/>
      <c r="BN17" s="2584"/>
      <c r="BO17" s="2584"/>
      <c r="BP17" s="2584"/>
      <c r="BQ17" s="2584"/>
      <c r="BR17" s="2584"/>
      <c r="BS17" s="2584"/>
      <c r="BT17" s="2584"/>
      <c r="BU17" s="2584"/>
      <c r="BV17" s="2584"/>
      <c r="BW17" s="5070">
        <v>6</v>
      </c>
      <c r="BX17" s="4774">
        <f>IF((BW17/K17)&gt;=4,,100%)</f>
        <v>1</v>
      </c>
      <c r="BY17" s="16734"/>
      <c r="BZ17" s="2599" t="s">
        <v>9846</v>
      </c>
      <c r="CA17" s="5083" t="s">
        <v>9847</v>
      </c>
      <c r="CB17" s="2599" t="s">
        <v>9848</v>
      </c>
      <c r="CC17" s="2589">
        <v>5000000</v>
      </c>
      <c r="CD17" s="2589" t="s">
        <v>2943</v>
      </c>
      <c r="CE17" s="2589"/>
      <c r="CF17" s="2589"/>
      <c r="CG17" s="2589">
        <v>200</v>
      </c>
      <c r="CH17" s="2589"/>
      <c r="CI17" s="2589"/>
      <c r="CJ17" s="2589">
        <v>200</v>
      </c>
      <c r="CK17" s="2589"/>
      <c r="CL17" s="2589"/>
      <c r="CM17" s="2589">
        <v>200</v>
      </c>
      <c r="CN17" s="2589"/>
      <c r="CO17" s="2589"/>
      <c r="CP17" s="2589"/>
      <c r="CQ17" s="2589"/>
      <c r="CR17" s="2589"/>
      <c r="CS17" s="2589"/>
      <c r="CT17" s="2589"/>
      <c r="CU17" s="2589">
        <v>200</v>
      </c>
      <c r="CV17" s="2589"/>
      <c r="CW17" s="2589"/>
      <c r="CX17" s="2589"/>
      <c r="CY17" s="2589"/>
      <c r="CZ17" s="2589"/>
      <c r="DA17" s="2589"/>
      <c r="DB17" s="2589"/>
      <c r="DC17" s="2589"/>
      <c r="DD17" s="2589">
        <v>200</v>
      </c>
      <c r="DE17" s="2589"/>
      <c r="DF17" s="2589"/>
      <c r="DG17" s="2589"/>
      <c r="DH17" s="2589"/>
      <c r="DI17" s="2589"/>
      <c r="DJ17" s="2589"/>
      <c r="DK17" s="2589"/>
      <c r="DL17" s="2589"/>
      <c r="DM17" s="2589"/>
      <c r="DN17" s="2589"/>
      <c r="DO17" s="2589"/>
      <c r="DP17" s="2589"/>
      <c r="DQ17" s="2589"/>
      <c r="DR17" s="2589"/>
      <c r="DS17" s="2589" t="s">
        <v>2943</v>
      </c>
      <c r="DT17" s="2589"/>
      <c r="DU17" s="2657" t="s">
        <v>9851</v>
      </c>
      <c r="DW17" s="6617"/>
      <c r="DX17" s="2584"/>
      <c r="DY17" s="2584"/>
      <c r="DZ17" s="2584"/>
      <c r="EA17" s="2584"/>
      <c r="EB17" s="2584"/>
      <c r="EC17" s="2584"/>
      <c r="ED17" s="2584"/>
      <c r="EE17" s="2584"/>
      <c r="EF17" s="2584"/>
      <c r="EG17" s="2584"/>
      <c r="EH17" s="2584"/>
      <c r="EI17" s="2584"/>
      <c r="EJ17" s="2584"/>
      <c r="EK17" s="2584"/>
      <c r="EL17" s="2584"/>
      <c r="EM17" s="2584"/>
      <c r="EN17" s="2584"/>
      <c r="EO17" s="2584"/>
      <c r="EP17" s="2584"/>
      <c r="EQ17" s="2584"/>
      <c r="ER17" s="2584"/>
      <c r="ES17" s="2584"/>
      <c r="ET17" s="2584"/>
      <c r="EU17" s="2584"/>
      <c r="EV17" s="2584"/>
      <c r="EW17" s="2584"/>
      <c r="EX17" s="2584"/>
      <c r="EY17" s="2584"/>
      <c r="EZ17" s="2584"/>
      <c r="FA17" s="2584"/>
      <c r="FB17" s="2584"/>
      <c r="FC17" s="2584"/>
      <c r="FD17" s="2584"/>
      <c r="FE17" s="2584"/>
      <c r="FF17" s="2584"/>
      <c r="FG17" s="2584"/>
      <c r="FH17" s="2584"/>
      <c r="FI17" s="2584"/>
      <c r="FJ17" s="2584"/>
      <c r="FK17" s="2584"/>
      <c r="FL17" s="2584"/>
      <c r="FM17" s="2584"/>
      <c r="FN17" s="2584"/>
      <c r="FO17" s="2584"/>
      <c r="FP17" s="6618"/>
    </row>
    <row r="18" spans="1:172" s="2578" customFormat="1" ht="15" customHeight="1" thickBot="1">
      <c r="A18" s="16722"/>
      <c r="B18" s="16725"/>
      <c r="C18" s="16725"/>
      <c r="D18" s="6765" t="s">
        <v>402</v>
      </c>
      <c r="E18" s="5105" t="s">
        <v>4495</v>
      </c>
      <c r="F18" s="6569" t="s">
        <v>403</v>
      </c>
      <c r="G18" s="6569" t="s">
        <v>404</v>
      </c>
      <c r="H18" s="5071" t="s">
        <v>382</v>
      </c>
      <c r="I18" s="6766">
        <v>0</v>
      </c>
      <c r="J18" s="6766">
        <v>0</v>
      </c>
      <c r="K18" s="6767">
        <v>0.5</v>
      </c>
      <c r="L18" s="6767">
        <v>1</v>
      </c>
      <c r="M18" s="6767">
        <v>1</v>
      </c>
      <c r="N18" s="6767">
        <v>1</v>
      </c>
      <c r="O18" s="6767">
        <v>1</v>
      </c>
      <c r="P18" s="6767">
        <v>1</v>
      </c>
      <c r="Q18" s="6767">
        <v>1</v>
      </c>
      <c r="R18" s="6767">
        <v>1</v>
      </c>
      <c r="S18" s="6767">
        <v>1</v>
      </c>
      <c r="T18" s="6767">
        <v>1</v>
      </c>
      <c r="U18" s="6767">
        <v>1</v>
      </c>
      <c r="V18" s="5071" t="s">
        <v>405</v>
      </c>
      <c r="W18" s="5071" t="s">
        <v>10057</v>
      </c>
      <c r="X18" s="6768" t="s">
        <v>406</v>
      </c>
      <c r="Y18" s="6768" t="s">
        <v>407</v>
      </c>
      <c r="Z18" s="6769">
        <v>13882000</v>
      </c>
      <c r="AA18" s="6769"/>
      <c r="AB18" s="6769"/>
      <c r="AC18" s="6769"/>
      <c r="AD18" s="6770">
        <f t="shared" si="0"/>
        <v>13882000</v>
      </c>
      <c r="AE18" s="6620"/>
      <c r="AF18" s="6620"/>
      <c r="AG18" s="6620"/>
      <c r="AH18" s="6620"/>
      <c r="AI18" s="6620"/>
      <c r="AJ18" s="6620"/>
      <c r="AK18" s="6620"/>
      <c r="AL18" s="6620"/>
      <c r="AM18" s="6620"/>
      <c r="AN18" s="6620"/>
      <c r="AO18" s="6620"/>
      <c r="AP18" s="6620"/>
      <c r="AQ18" s="6620"/>
      <c r="AR18" s="6620"/>
      <c r="AS18" s="6620"/>
      <c r="AT18" s="6620"/>
      <c r="AU18" s="6620"/>
      <c r="AV18" s="6620"/>
      <c r="AW18" s="6620"/>
      <c r="AX18" s="6620"/>
      <c r="AY18" s="6620"/>
      <c r="AZ18" s="6620"/>
      <c r="BA18" s="6620"/>
      <c r="BB18" s="6620"/>
      <c r="BC18" s="6620"/>
      <c r="BD18" s="6620"/>
      <c r="BE18" s="6620"/>
      <c r="BF18" s="6620"/>
      <c r="BG18" s="6620"/>
      <c r="BH18" s="6620"/>
      <c r="BI18" s="6620"/>
      <c r="BJ18" s="6620"/>
      <c r="BK18" s="6620"/>
      <c r="BL18" s="6620"/>
      <c r="BM18" s="6620"/>
      <c r="BN18" s="6620"/>
      <c r="BO18" s="6620"/>
      <c r="BP18" s="6620"/>
      <c r="BQ18" s="6620"/>
      <c r="BR18" s="6620"/>
      <c r="BS18" s="6620"/>
      <c r="BT18" s="6620"/>
      <c r="BU18" s="6620"/>
      <c r="BV18" s="6620"/>
      <c r="BW18" s="5071" t="s">
        <v>9303</v>
      </c>
      <c r="BX18" s="6767">
        <v>1</v>
      </c>
      <c r="BY18" s="16735"/>
      <c r="BZ18" s="6771" t="s">
        <v>9304</v>
      </c>
      <c r="CA18" s="6771" t="s">
        <v>10054</v>
      </c>
      <c r="CB18" s="6772"/>
      <c r="CC18" s="6771">
        <v>15000000</v>
      </c>
      <c r="CD18" s="6773" t="s">
        <v>2951</v>
      </c>
      <c r="CE18" s="6773" t="s">
        <v>2951</v>
      </c>
      <c r="CF18" s="6773" t="s">
        <v>2951</v>
      </c>
      <c r="CG18" s="6771" t="s">
        <v>9305</v>
      </c>
      <c r="CH18" s="6773" t="s">
        <v>2951</v>
      </c>
      <c r="CI18" s="6773" t="s">
        <v>2951</v>
      </c>
      <c r="CJ18" s="6773" t="s">
        <v>2951</v>
      </c>
      <c r="CK18" s="6773" t="s">
        <v>2951</v>
      </c>
      <c r="CL18" s="6773" t="s">
        <v>2951</v>
      </c>
      <c r="CM18" s="6773" t="s">
        <v>2951</v>
      </c>
      <c r="CN18" s="6773" t="s">
        <v>2951</v>
      </c>
      <c r="CO18" s="6773" t="s">
        <v>2951</v>
      </c>
      <c r="CP18" s="6773" t="s">
        <v>2951</v>
      </c>
      <c r="CQ18" s="6773" t="s">
        <v>2951</v>
      </c>
      <c r="CR18" s="6773" t="s">
        <v>2951</v>
      </c>
      <c r="CS18" s="6773" t="s">
        <v>2951</v>
      </c>
      <c r="CT18" s="6773" t="s">
        <v>2951</v>
      </c>
      <c r="CU18" s="6773" t="s">
        <v>2951</v>
      </c>
      <c r="CV18" s="6773" t="s">
        <v>2951</v>
      </c>
      <c r="CW18" s="6773" t="s">
        <v>2951</v>
      </c>
      <c r="CX18" s="6773" t="s">
        <v>2951</v>
      </c>
      <c r="CY18" s="6773" t="s">
        <v>2951</v>
      </c>
      <c r="CZ18" s="6773" t="s">
        <v>2951</v>
      </c>
      <c r="DA18" s="6773" t="s">
        <v>2951</v>
      </c>
      <c r="DB18" s="6773" t="s">
        <v>2951</v>
      </c>
      <c r="DC18" s="6773" t="s">
        <v>2951</v>
      </c>
      <c r="DD18" s="6773" t="s">
        <v>2951</v>
      </c>
      <c r="DE18" s="6773" t="s">
        <v>2951</v>
      </c>
      <c r="DF18" s="6773" t="s">
        <v>2951</v>
      </c>
      <c r="DG18" s="6773" t="s">
        <v>2951</v>
      </c>
      <c r="DH18" s="6773" t="s">
        <v>2951</v>
      </c>
      <c r="DI18" s="6773" t="s">
        <v>2951</v>
      </c>
      <c r="DJ18" s="6773" t="s">
        <v>2951</v>
      </c>
      <c r="DK18" s="6773" t="s">
        <v>2951</v>
      </c>
      <c r="DL18" s="6773" t="s">
        <v>2951</v>
      </c>
      <c r="DM18" s="6773" t="s">
        <v>2951</v>
      </c>
      <c r="DN18" s="6773" t="s">
        <v>2951</v>
      </c>
      <c r="DO18" s="6773" t="s">
        <v>2951</v>
      </c>
      <c r="DP18" s="6773" t="s">
        <v>2951</v>
      </c>
      <c r="DQ18" s="6774" t="s">
        <v>2951</v>
      </c>
      <c r="DR18" s="6774" t="s">
        <v>2951</v>
      </c>
      <c r="DS18" s="6774" t="s">
        <v>2951</v>
      </c>
      <c r="DT18" s="6774" t="s">
        <v>2951</v>
      </c>
      <c r="DU18" s="6775" t="s">
        <v>2951</v>
      </c>
      <c r="DW18" s="6619"/>
      <c r="DX18" s="6620"/>
      <c r="DY18" s="6620"/>
      <c r="DZ18" s="6620"/>
      <c r="EA18" s="6620"/>
      <c r="EB18" s="6620"/>
      <c r="EC18" s="6620"/>
      <c r="ED18" s="6620"/>
      <c r="EE18" s="6620"/>
      <c r="EF18" s="6620"/>
      <c r="EG18" s="6620"/>
      <c r="EH18" s="6620"/>
      <c r="EI18" s="6620"/>
      <c r="EJ18" s="6620"/>
      <c r="EK18" s="6620"/>
      <c r="EL18" s="6620"/>
      <c r="EM18" s="6620"/>
      <c r="EN18" s="6620"/>
      <c r="EO18" s="6620"/>
      <c r="EP18" s="6620"/>
      <c r="EQ18" s="6620"/>
      <c r="ER18" s="6620"/>
      <c r="ES18" s="6620"/>
      <c r="ET18" s="6620"/>
      <c r="EU18" s="6620"/>
      <c r="EV18" s="6620"/>
      <c r="EW18" s="6620"/>
      <c r="EX18" s="6620"/>
      <c r="EY18" s="6620"/>
      <c r="EZ18" s="6620"/>
      <c r="FA18" s="6620"/>
      <c r="FB18" s="6620"/>
      <c r="FC18" s="6620"/>
      <c r="FD18" s="6620"/>
      <c r="FE18" s="6620"/>
      <c r="FF18" s="6620"/>
      <c r="FG18" s="6620"/>
      <c r="FH18" s="6620"/>
      <c r="FI18" s="6620"/>
      <c r="FJ18" s="6620"/>
      <c r="FK18" s="6620"/>
      <c r="FL18" s="6620"/>
      <c r="FM18" s="6620"/>
      <c r="FN18" s="6620"/>
      <c r="FO18" s="6620"/>
      <c r="FP18" s="6621"/>
    </row>
    <row r="19" spans="1:172" s="2251" customFormat="1" ht="15" customHeight="1">
      <c r="A19" s="16718" t="s">
        <v>409</v>
      </c>
      <c r="B19" s="16716" t="s">
        <v>408</v>
      </c>
      <c r="C19" s="15970" t="s">
        <v>410</v>
      </c>
      <c r="D19" s="15970" t="s">
        <v>411</v>
      </c>
      <c r="E19" s="5101" t="s">
        <v>4496</v>
      </c>
      <c r="F19" s="6733" t="s">
        <v>412</v>
      </c>
      <c r="G19" s="6733" t="s">
        <v>413</v>
      </c>
      <c r="H19" s="2714" t="s">
        <v>382</v>
      </c>
      <c r="I19" s="6734">
        <v>0</v>
      </c>
      <c r="J19" s="6734">
        <v>0.25</v>
      </c>
      <c r="K19" s="6734">
        <v>0.7</v>
      </c>
      <c r="L19" s="6734">
        <v>1</v>
      </c>
      <c r="M19" s="6734">
        <v>1</v>
      </c>
      <c r="N19" s="6734">
        <v>1</v>
      </c>
      <c r="O19" s="6734">
        <v>1</v>
      </c>
      <c r="P19" s="6734">
        <v>1</v>
      </c>
      <c r="Q19" s="6734">
        <v>1</v>
      </c>
      <c r="R19" s="6734">
        <v>1</v>
      </c>
      <c r="S19" s="6734">
        <v>1</v>
      </c>
      <c r="T19" s="6734">
        <v>1</v>
      </c>
      <c r="U19" s="6734">
        <v>1</v>
      </c>
      <c r="V19" s="2714" t="s">
        <v>414</v>
      </c>
      <c r="W19" s="2714" t="s">
        <v>26</v>
      </c>
      <c r="X19" s="2714" t="s">
        <v>390</v>
      </c>
      <c r="Y19" s="6776" t="s">
        <v>391</v>
      </c>
      <c r="Z19" s="6735">
        <v>10000000</v>
      </c>
      <c r="AA19" s="6735"/>
      <c r="AB19" s="6735"/>
      <c r="AC19" s="6735"/>
      <c r="AD19" s="6736">
        <f t="shared" ref="AD19:AD41" si="1">SUM(Z19:AC19)</f>
        <v>10000000</v>
      </c>
      <c r="AE19" s="2706"/>
      <c r="AF19" s="2706"/>
      <c r="AG19" s="2706"/>
      <c r="AH19" s="2706"/>
      <c r="AI19" s="2706"/>
      <c r="AJ19" s="2706"/>
      <c r="AK19" s="2706"/>
      <c r="AL19" s="2706"/>
      <c r="AM19" s="2706"/>
      <c r="AN19" s="2706"/>
      <c r="AO19" s="2706"/>
      <c r="AP19" s="2706"/>
      <c r="AQ19" s="2706"/>
      <c r="AR19" s="2706"/>
      <c r="AS19" s="2706"/>
      <c r="AT19" s="2706"/>
      <c r="AU19" s="2706"/>
      <c r="AV19" s="2706"/>
      <c r="AW19" s="2706"/>
      <c r="AX19" s="2706"/>
      <c r="AY19" s="2706"/>
      <c r="AZ19" s="2706"/>
      <c r="BA19" s="2706"/>
      <c r="BB19" s="2706"/>
      <c r="BC19" s="2706"/>
      <c r="BD19" s="2706"/>
      <c r="BE19" s="2706"/>
      <c r="BF19" s="2706"/>
      <c r="BG19" s="2706"/>
      <c r="BH19" s="2706"/>
      <c r="BI19" s="2706"/>
      <c r="BJ19" s="2706"/>
      <c r="BK19" s="2706"/>
      <c r="BL19" s="2706"/>
      <c r="BM19" s="2706"/>
      <c r="BN19" s="2706"/>
      <c r="BO19" s="2706"/>
      <c r="BP19" s="2706"/>
      <c r="BQ19" s="2706"/>
      <c r="BR19" s="2706"/>
      <c r="BS19" s="2706"/>
      <c r="BT19" s="2706"/>
      <c r="BU19" s="2706"/>
      <c r="BV19" s="2706"/>
      <c r="BW19" s="6777">
        <v>0.7</v>
      </c>
      <c r="BX19" s="1713">
        <f>BW19/K19</f>
        <v>1</v>
      </c>
      <c r="BY19" s="16761">
        <f>AVERAGE(BX19:BX43)</f>
        <v>0.86</v>
      </c>
      <c r="BZ19" s="6778" t="s">
        <v>9843</v>
      </c>
      <c r="CA19" s="5087" t="s">
        <v>9849</v>
      </c>
      <c r="CB19" s="6778" t="s">
        <v>9850</v>
      </c>
      <c r="CC19" s="6478">
        <v>29873556</v>
      </c>
      <c r="CD19" s="6478" t="s">
        <v>2943</v>
      </c>
      <c r="CE19" s="6478"/>
      <c r="CF19" s="6478"/>
      <c r="CG19" s="6478"/>
      <c r="CH19" s="6478"/>
      <c r="CI19" s="6478"/>
      <c r="CJ19" s="6478"/>
      <c r="CK19" s="6478"/>
      <c r="CL19" s="6478"/>
      <c r="CM19" s="6478"/>
      <c r="CN19" s="6478"/>
      <c r="CO19" s="6478"/>
      <c r="CP19" s="6478"/>
      <c r="CQ19" s="6478"/>
      <c r="CR19" s="6478"/>
      <c r="CS19" s="6478"/>
      <c r="CT19" s="6478"/>
      <c r="CU19" s="6478"/>
      <c r="CV19" s="6478"/>
      <c r="CW19" s="6478"/>
      <c r="CX19" s="6478"/>
      <c r="CY19" s="6478"/>
      <c r="CZ19" s="6478"/>
      <c r="DA19" s="6478"/>
      <c r="DB19" s="6478"/>
      <c r="DC19" s="6478"/>
      <c r="DD19" s="6478"/>
      <c r="DE19" s="6478"/>
      <c r="DF19" s="6478"/>
      <c r="DG19" s="6478"/>
      <c r="DH19" s="6478"/>
      <c r="DI19" s="6478"/>
      <c r="DJ19" s="6478"/>
      <c r="DK19" s="6478"/>
      <c r="DL19" s="6478"/>
      <c r="DM19" s="6478"/>
      <c r="DN19" s="6478"/>
      <c r="DO19" s="6478"/>
      <c r="DP19" s="6478"/>
      <c r="DQ19" s="6478"/>
      <c r="DR19" s="6478"/>
      <c r="DS19" s="6478"/>
      <c r="DT19" s="6478"/>
      <c r="DU19" s="6737"/>
      <c r="DW19" s="6741"/>
      <c r="DX19" s="2706"/>
      <c r="DY19" s="2706"/>
      <c r="DZ19" s="2706"/>
      <c r="EA19" s="2706"/>
      <c r="EB19" s="2706"/>
      <c r="EC19" s="2706"/>
      <c r="ED19" s="2706"/>
      <c r="EE19" s="2706"/>
      <c r="EF19" s="2706"/>
      <c r="EG19" s="2706"/>
      <c r="EH19" s="2706"/>
      <c r="EI19" s="2706"/>
      <c r="EJ19" s="2706"/>
      <c r="EK19" s="2706"/>
      <c r="EL19" s="2706"/>
      <c r="EM19" s="2706"/>
      <c r="EN19" s="2706"/>
      <c r="EO19" s="2706"/>
      <c r="EP19" s="2706"/>
      <c r="EQ19" s="2706"/>
      <c r="ER19" s="2706"/>
      <c r="ES19" s="2706"/>
      <c r="ET19" s="2706"/>
      <c r="EU19" s="2706"/>
      <c r="EV19" s="2706"/>
      <c r="EW19" s="2706"/>
      <c r="EX19" s="2706"/>
      <c r="EY19" s="2706"/>
      <c r="EZ19" s="2706"/>
      <c r="FA19" s="2706"/>
      <c r="FB19" s="2706"/>
      <c r="FC19" s="2706"/>
      <c r="FD19" s="2706"/>
      <c r="FE19" s="2706"/>
      <c r="FF19" s="2706"/>
      <c r="FG19" s="2706"/>
      <c r="FH19" s="2706"/>
      <c r="FI19" s="2706"/>
      <c r="FJ19" s="2706"/>
      <c r="FK19" s="2706"/>
      <c r="FL19" s="2706"/>
      <c r="FM19" s="2706"/>
      <c r="FN19" s="2706"/>
      <c r="FO19" s="2706"/>
      <c r="FP19" s="2708"/>
    </row>
    <row r="20" spans="1:172" s="2251" customFormat="1" ht="15" customHeight="1">
      <c r="A20" s="16719"/>
      <c r="B20" s="16717"/>
      <c r="C20" s="15971"/>
      <c r="D20" s="15971"/>
      <c r="E20" s="5102" t="s">
        <v>4497</v>
      </c>
      <c r="F20" s="2252" t="s">
        <v>415</v>
      </c>
      <c r="G20" s="2252" t="s">
        <v>416</v>
      </c>
      <c r="H20" s="2253" t="s">
        <v>386</v>
      </c>
      <c r="I20" s="2254">
        <v>0</v>
      </c>
      <c r="J20" s="2254">
        <v>0.3</v>
      </c>
      <c r="K20" s="2254">
        <v>0.6</v>
      </c>
      <c r="L20" s="2254">
        <v>1</v>
      </c>
      <c r="M20" s="2254">
        <v>1</v>
      </c>
      <c r="N20" s="2254">
        <v>1</v>
      </c>
      <c r="O20" s="2254">
        <v>1</v>
      </c>
      <c r="P20" s="2254">
        <v>1</v>
      </c>
      <c r="Q20" s="2254">
        <v>1</v>
      </c>
      <c r="R20" s="2254">
        <v>1</v>
      </c>
      <c r="S20" s="2254">
        <v>1</v>
      </c>
      <c r="T20" s="2254">
        <v>1</v>
      </c>
      <c r="U20" s="2254">
        <v>1</v>
      </c>
      <c r="V20" s="2253" t="s">
        <v>417</v>
      </c>
      <c r="W20" s="2253" t="s">
        <v>26</v>
      </c>
      <c r="X20" s="2253" t="s">
        <v>390</v>
      </c>
      <c r="Y20" s="6779" t="s">
        <v>391</v>
      </c>
      <c r="Z20" s="2256"/>
      <c r="AA20" s="2256"/>
      <c r="AB20" s="2256"/>
      <c r="AC20" s="2256">
        <v>3000000</v>
      </c>
      <c r="AD20" s="2257">
        <f t="shared" si="1"/>
        <v>3000000</v>
      </c>
      <c r="AE20" s="2258"/>
      <c r="AF20" s="2258"/>
      <c r="AG20" s="2258"/>
      <c r="AH20" s="2258"/>
      <c r="AI20" s="2258"/>
      <c r="AJ20" s="2258"/>
      <c r="AK20" s="2258"/>
      <c r="AL20" s="2258"/>
      <c r="AM20" s="2258"/>
      <c r="AN20" s="2258"/>
      <c r="AO20" s="2258"/>
      <c r="AP20" s="2258"/>
      <c r="AQ20" s="2258"/>
      <c r="AR20" s="2258"/>
      <c r="AS20" s="2258"/>
      <c r="AT20" s="2258"/>
      <c r="AU20" s="2258"/>
      <c r="AV20" s="2258"/>
      <c r="AW20" s="2258"/>
      <c r="AX20" s="2258"/>
      <c r="AY20" s="2258"/>
      <c r="AZ20" s="2258"/>
      <c r="BA20" s="2258"/>
      <c r="BB20" s="2258"/>
      <c r="BC20" s="2258"/>
      <c r="BD20" s="2258"/>
      <c r="BE20" s="2258"/>
      <c r="BF20" s="2258"/>
      <c r="BG20" s="2258"/>
      <c r="BH20" s="2258"/>
      <c r="BI20" s="2258"/>
      <c r="BJ20" s="2258"/>
      <c r="BK20" s="2258"/>
      <c r="BL20" s="2258"/>
      <c r="BM20" s="2258"/>
      <c r="BN20" s="2258"/>
      <c r="BO20" s="2258"/>
      <c r="BP20" s="2258"/>
      <c r="BQ20" s="2258"/>
      <c r="BR20" s="2258"/>
      <c r="BS20" s="2258"/>
      <c r="BT20" s="2258"/>
      <c r="BU20" s="2258"/>
      <c r="BV20" s="2258"/>
      <c r="BW20" s="6780">
        <v>0.6</v>
      </c>
      <c r="BX20" s="4785">
        <f>BW20/K20</f>
        <v>1</v>
      </c>
      <c r="BY20" s="16762"/>
      <c r="BZ20" s="2268" t="s">
        <v>9855</v>
      </c>
      <c r="CA20" s="2253" t="s">
        <v>9856</v>
      </c>
      <c r="CB20" s="2268" t="s">
        <v>9857</v>
      </c>
      <c r="CC20" s="6781">
        <v>1000000</v>
      </c>
      <c r="CD20" s="2260" t="s">
        <v>2943</v>
      </c>
      <c r="CE20" s="2260"/>
      <c r="CF20" s="2260"/>
      <c r="CG20" s="2260"/>
      <c r="CH20" s="2260"/>
      <c r="CI20" s="2260"/>
      <c r="CJ20" s="2260"/>
      <c r="CK20" s="2260"/>
      <c r="CL20" s="2260"/>
      <c r="CM20" s="2260"/>
      <c r="CN20" s="2260"/>
      <c r="CO20" s="2260"/>
      <c r="CP20" s="2260"/>
      <c r="CQ20" s="2260"/>
      <c r="CR20" s="2260"/>
      <c r="CS20" s="2260"/>
      <c r="CT20" s="2260"/>
      <c r="CU20" s="2260"/>
      <c r="CV20" s="2260"/>
      <c r="CW20" s="2260"/>
      <c r="CX20" s="2260"/>
      <c r="CY20" s="2260"/>
      <c r="CZ20" s="2260"/>
      <c r="DA20" s="2260"/>
      <c r="DB20" s="2260"/>
      <c r="DC20" s="2260"/>
      <c r="DD20" s="2260"/>
      <c r="DE20" s="2260"/>
      <c r="DF20" s="2260"/>
      <c r="DG20" s="2260"/>
      <c r="DH20" s="2260"/>
      <c r="DI20" s="2260"/>
      <c r="DJ20" s="2260"/>
      <c r="DK20" s="2260"/>
      <c r="DL20" s="2260"/>
      <c r="DM20" s="2260"/>
      <c r="DN20" s="2260"/>
      <c r="DO20" s="2260"/>
      <c r="DP20" s="2260"/>
      <c r="DQ20" s="2260"/>
      <c r="DR20" s="2260"/>
      <c r="DS20" s="2260"/>
      <c r="DT20" s="2260"/>
      <c r="DU20" s="2261"/>
      <c r="DW20" s="6738"/>
      <c r="DX20" s="2258"/>
      <c r="DY20" s="2258"/>
      <c r="DZ20" s="2258"/>
      <c r="EA20" s="2258"/>
      <c r="EB20" s="2258"/>
      <c r="EC20" s="2258"/>
      <c r="ED20" s="2258"/>
      <c r="EE20" s="2258"/>
      <c r="EF20" s="2258"/>
      <c r="EG20" s="2258"/>
      <c r="EH20" s="2258"/>
      <c r="EI20" s="2258"/>
      <c r="EJ20" s="2258"/>
      <c r="EK20" s="2258"/>
      <c r="EL20" s="2258"/>
      <c r="EM20" s="2258"/>
      <c r="EN20" s="2258"/>
      <c r="EO20" s="2258"/>
      <c r="EP20" s="2258"/>
      <c r="EQ20" s="2258"/>
      <c r="ER20" s="2258"/>
      <c r="ES20" s="2258"/>
      <c r="ET20" s="2258"/>
      <c r="EU20" s="2258"/>
      <c r="EV20" s="2258"/>
      <c r="EW20" s="2258"/>
      <c r="EX20" s="2258"/>
      <c r="EY20" s="2258"/>
      <c r="EZ20" s="2258"/>
      <c r="FA20" s="2258"/>
      <c r="FB20" s="2258"/>
      <c r="FC20" s="2258"/>
      <c r="FD20" s="2258"/>
      <c r="FE20" s="2258"/>
      <c r="FF20" s="2258"/>
      <c r="FG20" s="2258"/>
      <c r="FH20" s="2258"/>
      <c r="FI20" s="2258"/>
      <c r="FJ20" s="2258"/>
      <c r="FK20" s="2258"/>
      <c r="FL20" s="2258"/>
      <c r="FM20" s="2258"/>
      <c r="FN20" s="2258"/>
      <c r="FO20" s="2258"/>
      <c r="FP20" s="2713"/>
    </row>
    <row r="21" spans="1:172" s="2251" customFormat="1" ht="15" customHeight="1">
      <c r="A21" s="16719"/>
      <c r="B21" s="16717"/>
      <c r="C21" s="15971"/>
      <c r="D21" s="15971"/>
      <c r="E21" s="15971" t="s">
        <v>4498</v>
      </c>
      <c r="F21" s="16703" t="s">
        <v>418</v>
      </c>
      <c r="G21" s="16703" t="s">
        <v>419</v>
      </c>
      <c r="H21" s="5153" t="s">
        <v>386</v>
      </c>
      <c r="I21" s="2253">
        <v>1500</v>
      </c>
      <c r="J21" s="2253">
        <v>1600</v>
      </c>
      <c r="K21" s="16703">
        <v>1760</v>
      </c>
      <c r="L21" s="16703">
        <v>1936</v>
      </c>
      <c r="M21" s="16703">
        <v>2130</v>
      </c>
      <c r="N21" s="16703">
        <v>2343</v>
      </c>
      <c r="O21" s="16703">
        <v>2578</v>
      </c>
      <c r="P21" s="16703">
        <v>2836</v>
      </c>
      <c r="Q21" s="16703">
        <v>3120</v>
      </c>
      <c r="R21" s="16703">
        <v>3500</v>
      </c>
      <c r="S21" s="16703">
        <v>4000</v>
      </c>
      <c r="T21" s="16703" t="s">
        <v>420</v>
      </c>
      <c r="U21" s="16703" t="s">
        <v>420</v>
      </c>
      <c r="V21" s="16703" t="s">
        <v>421</v>
      </c>
      <c r="W21" s="2253" t="s">
        <v>86</v>
      </c>
      <c r="X21" s="2253" t="s">
        <v>422</v>
      </c>
      <c r="Y21" s="2258"/>
      <c r="Z21" s="2256">
        <v>150000000</v>
      </c>
      <c r="AA21" s="2256"/>
      <c r="AB21" s="2256"/>
      <c r="AC21" s="2256"/>
      <c r="AD21" s="2257">
        <f t="shared" si="1"/>
        <v>150000000</v>
      </c>
      <c r="AE21" s="2262" t="s">
        <v>3556</v>
      </c>
      <c r="AF21" s="2262" t="s">
        <v>3557</v>
      </c>
      <c r="AG21" s="2262" t="s">
        <v>3558</v>
      </c>
      <c r="AH21" s="2258"/>
      <c r="AI21" s="2258"/>
      <c r="AJ21" s="2258"/>
      <c r="AK21" s="2258"/>
      <c r="AL21" s="2258"/>
      <c r="AM21" s="2258"/>
      <c r="AN21" s="2258"/>
      <c r="AO21" s="2258"/>
      <c r="AP21" s="2258"/>
      <c r="AQ21" s="2258"/>
      <c r="AR21" s="2258"/>
      <c r="AS21" s="2258"/>
      <c r="AT21" s="2258"/>
      <c r="AU21" s="2258"/>
      <c r="AV21" s="2258"/>
      <c r="AW21" s="2258"/>
      <c r="AX21" s="2258"/>
      <c r="AY21" s="2258"/>
      <c r="AZ21" s="2258"/>
      <c r="BA21" s="2258"/>
      <c r="BB21" s="2258"/>
      <c r="BC21" s="2258"/>
      <c r="BD21" s="2258"/>
      <c r="BE21" s="2258"/>
      <c r="BF21" s="2258"/>
      <c r="BG21" s="2258"/>
      <c r="BH21" s="2258"/>
      <c r="BI21" s="2258"/>
      <c r="BJ21" s="2258"/>
      <c r="BK21" s="2258"/>
      <c r="BL21" s="2258"/>
      <c r="BM21" s="2258"/>
      <c r="BN21" s="2258"/>
      <c r="BO21" s="2258"/>
      <c r="BP21" s="2258"/>
      <c r="BQ21" s="2258"/>
      <c r="BR21" s="2258"/>
      <c r="BS21" s="2258"/>
      <c r="BT21" s="2258"/>
      <c r="BU21" s="2258"/>
      <c r="BV21" s="2258"/>
      <c r="BW21" s="2253">
        <v>5221</v>
      </c>
      <c r="BX21" s="2254">
        <f>IF((BW21/K21)&gt;=1760,,100%)</f>
        <v>1</v>
      </c>
      <c r="BY21" s="16762"/>
      <c r="BZ21" s="2259" t="s">
        <v>9709</v>
      </c>
      <c r="CA21" s="2259" t="s">
        <v>9250</v>
      </c>
      <c r="CB21" s="2259" t="s">
        <v>9251</v>
      </c>
      <c r="CC21" s="2260"/>
      <c r="CD21" s="2260"/>
      <c r="CE21" s="2260"/>
      <c r="CF21" s="2260"/>
      <c r="CG21" s="6782">
        <v>5121</v>
      </c>
      <c r="CH21" s="2260"/>
      <c r="CI21" s="2260"/>
      <c r="CJ21" s="2260">
        <v>5121</v>
      </c>
      <c r="CK21" s="2260"/>
      <c r="CL21" s="2260"/>
      <c r="CM21" s="2260">
        <v>5121</v>
      </c>
      <c r="CN21" s="2260"/>
      <c r="CO21" s="2260"/>
      <c r="CP21" s="2260"/>
      <c r="CQ21" s="2260"/>
      <c r="CR21" s="2260"/>
      <c r="CS21" s="2260"/>
      <c r="CT21" s="2260"/>
      <c r="CU21" s="2260">
        <v>5121</v>
      </c>
      <c r="CV21" s="2260"/>
      <c r="CW21" s="2260"/>
      <c r="CX21" s="2260"/>
      <c r="CY21" s="2260"/>
      <c r="CZ21" s="2260"/>
      <c r="DA21" s="2260"/>
      <c r="DB21" s="2260"/>
      <c r="DC21" s="2260"/>
      <c r="DD21" s="2260">
        <v>5121</v>
      </c>
      <c r="DE21" s="2260"/>
      <c r="DF21" s="2260"/>
      <c r="DG21" s="2260"/>
      <c r="DH21" s="2260"/>
      <c r="DI21" s="2260"/>
      <c r="DJ21" s="2260"/>
      <c r="DK21" s="2260"/>
      <c r="DL21" s="2260"/>
      <c r="DM21" s="2260"/>
      <c r="DN21" s="2260" t="s">
        <v>9253</v>
      </c>
      <c r="DO21" s="2260"/>
      <c r="DP21" s="2260"/>
      <c r="DQ21" s="6782" t="s">
        <v>9252</v>
      </c>
      <c r="DR21" s="2260"/>
      <c r="DS21" s="2260"/>
      <c r="DT21" s="2260"/>
      <c r="DU21" s="6783" t="s">
        <v>9254</v>
      </c>
      <c r="DW21" s="6738"/>
      <c r="DX21" s="2258"/>
      <c r="DY21" s="2258"/>
      <c r="DZ21" s="2258"/>
      <c r="EA21" s="2258"/>
      <c r="EB21" s="2258"/>
      <c r="EC21" s="2258"/>
      <c r="ED21" s="2258"/>
      <c r="EE21" s="2258"/>
      <c r="EF21" s="2258"/>
      <c r="EG21" s="2258"/>
      <c r="EH21" s="2258"/>
      <c r="EI21" s="2258"/>
      <c r="EJ21" s="2258"/>
      <c r="EK21" s="2258"/>
      <c r="EL21" s="2258"/>
      <c r="EM21" s="2258"/>
      <c r="EN21" s="2258"/>
      <c r="EO21" s="2258"/>
      <c r="EP21" s="2258"/>
      <c r="EQ21" s="2258"/>
      <c r="ER21" s="2258"/>
      <c r="ES21" s="2258"/>
      <c r="ET21" s="2258"/>
      <c r="EU21" s="2258"/>
      <c r="EV21" s="2258"/>
      <c r="EW21" s="2258"/>
      <c r="EX21" s="2258"/>
      <c r="EY21" s="2258"/>
      <c r="EZ21" s="2258"/>
      <c r="FA21" s="2258"/>
      <c r="FB21" s="2258"/>
      <c r="FC21" s="2258"/>
      <c r="FD21" s="2258"/>
      <c r="FE21" s="2258"/>
      <c r="FF21" s="2258"/>
      <c r="FG21" s="2258"/>
      <c r="FH21" s="2258"/>
      <c r="FI21" s="2258"/>
      <c r="FJ21" s="2258"/>
      <c r="FK21" s="2258"/>
      <c r="FL21" s="2258"/>
      <c r="FM21" s="2258"/>
      <c r="FN21" s="2258"/>
      <c r="FO21" s="2258"/>
      <c r="FP21" s="2713"/>
    </row>
    <row r="22" spans="1:172" s="2251" customFormat="1" ht="15" customHeight="1">
      <c r="A22" s="16719"/>
      <c r="B22" s="16717"/>
      <c r="C22" s="15971"/>
      <c r="D22" s="15971"/>
      <c r="E22" s="15971"/>
      <c r="F22" s="16703"/>
      <c r="G22" s="16703"/>
      <c r="H22" s="5153"/>
      <c r="I22" s="2253"/>
      <c r="J22" s="2253"/>
      <c r="K22" s="16703"/>
      <c r="L22" s="16703"/>
      <c r="M22" s="16703"/>
      <c r="N22" s="16703"/>
      <c r="O22" s="16703"/>
      <c r="P22" s="16703"/>
      <c r="Q22" s="16703"/>
      <c r="R22" s="16703"/>
      <c r="S22" s="16703"/>
      <c r="T22" s="16703"/>
      <c r="U22" s="16703"/>
      <c r="V22" s="16703"/>
      <c r="W22" s="2253" t="s">
        <v>26</v>
      </c>
      <c r="X22" s="2253"/>
      <c r="Y22" s="2253" t="s">
        <v>10279</v>
      </c>
      <c r="Z22" s="2256"/>
      <c r="AA22" s="2256"/>
      <c r="AB22" s="2256"/>
      <c r="AC22" s="2256"/>
      <c r="AD22" s="2257"/>
      <c r="AE22" s="2262"/>
      <c r="AF22" s="2262"/>
      <c r="AG22" s="2262"/>
      <c r="AH22" s="2258"/>
      <c r="AI22" s="2258"/>
      <c r="AJ22" s="2258"/>
      <c r="AK22" s="2258"/>
      <c r="AL22" s="2258"/>
      <c r="AM22" s="2258"/>
      <c r="AN22" s="2258"/>
      <c r="AO22" s="2258"/>
      <c r="AP22" s="2258"/>
      <c r="AQ22" s="2258"/>
      <c r="AR22" s="2258"/>
      <c r="AS22" s="2258"/>
      <c r="AT22" s="2258"/>
      <c r="AU22" s="2258"/>
      <c r="AV22" s="2258"/>
      <c r="AW22" s="2258"/>
      <c r="AX22" s="2258"/>
      <c r="AY22" s="2258"/>
      <c r="AZ22" s="2258"/>
      <c r="BA22" s="2258"/>
      <c r="BB22" s="2258"/>
      <c r="BC22" s="2258"/>
      <c r="BD22" s="2258"/>
      <c r="BE22" s="2258"/>
      <c r="BF22" s="2258"/>
      <c r="BG22" s="2258"/>
      <c r="BH22" s="2258"/>
      <c r="BI22" s="2258"/>
      <c r="BJ22" s="2258"/>
      <c r="BK22" s="2258"/>
      <c r="BL22" s="2258"/>
      <c r="BM22" s="2258"/>
      <c r="BN22" s="2258"/>
      <c r="BO22" s="2258"/>
      <c r="BP22" s="2258"/>
      <c r="BQ22" s="2258"/>
      <c r="BR22" s="2258"/>
      <c r="BS22" s="2258"/>
      <c r="BT22" s="2258"/>
      <c r="BU22" s="2258"/>
      <c r="BV22" s="2258"/>
      <c r="BW22" s="2253"/>
      <c r="BX22" s="2254"/>
      <c r="BY22" s="16762"/>
      <c r="BZ22" s="2259"/>
      <c r="CA22" s="2259"/>
      <c r="CB22" s="2259"/>
      <c r="CC22" s="2260"/>
      <c r="CD22" s="2260"/>
      <c r="CE22" s="2260"/>
      <c r="CF22" s="2260"/>
      <c r="CG22" s="6782"/>
      <c r="CH22" s="2260"/>
      <c r="CI22" s="2260"/>
      <c r="CJ22" s="2260"/>
      <c r="CK22" s="2260"/>
      <c r="CL22" s="2260"/>
      <c r="CM22" s="2260"/>
      <c r="CN22" s="2260"/>
      <c r="CO22" s="2260"/>
      <c r="CP22" s="2260"/>
      <c r="CQ22" s="2260"/>
      <c r="CR22" s="2260"/>
      <c r="CS22" s="2260"/>
      <c r="CT22" s="2260"/>
      <c r="CU22" s="2260"/>
      <c r="CV22" s="2260"/>
      <c r="CW22" s="2260"/>
      <c r="CX22" s="2260"/>
      <c r="CY22" s="2260"/>
      <c r="CZ22" s="2260"/>
      <c r="DA22" s="2260"/>
      <c r="DB22" s="2260"/>
      <c r="DC22" s="2260"/>
      <c r="DD22" s="2260"/>
      <c r="DE22" s="2260"/>
      <c r="DF22" s="2260"/>
      <c r="DG22" s="2260"/>
      <c r="DH22" s="2260"/>
      <c r="DI22" s="2260"/>
      <c r="DJ22" s="2260"/>
      <c r="DK22" s="2260"/>
      <c r="DL22" s="2260"/>
      <c r="DM22" s="2260"/>
      <c r="DN22" s="2260"/>
      <c r="DO22" s="2260"/>
      <c r="DP22" s="2260"/>
      <c r="DQ22" s="6782"/>
      <c r="DR22" s="2260"/>
      <c r="DS22" s="2260"/>
      <c r="DT22" s="2260"/>
      <c r="DU22" s="6783"/>
      <c r="DW22" s="6738"/>
      <c r="DX22" s="2258"/>
      <c r="DY22" s="2258"/>
      <c r="DZ22" s="2258"/>
      <c r="EA22" s="2258"/>
      <c r="EB22" s="2258"/>
      <c r="EC22" s="2258"/>
      <c r="ED22" s="2258"/>
      <c r="EE22" s="2258"/>
      <c r="EF22" s="2258"/>
      <c r="EG22" s="2258"/>
      <c r="EH22" s="2258"/>
      <c r="EI22" s="2258"/>
      <c r="EJ22" s="2258"/>
      <c r="EK22" s="2258"/>
      <c r="EL22" s="2258"/>
      <c r="EM22" s="2258"/>
      <c r="EN22" s="2258"/>
      <c r="EO22" s="2258"/>
      <c r="EP22" s="2258"/>
      <c r="EQ22" s="2258"/>
      <c r="ER22" s="2258"/>
      <c r="ES22" s="2258"/>
      <c r="ET22" s="2258"/>
      <c r="EU22" s="2258"/>
      <c r="EV22" s="2258"/>
      <c r="EW22" s="2258"/>
      <c r="EX22" s="2258"/>
      <c r="EY22" s="2258"/>
      <c r="EZ22" s="2258"/>
      <c r="FA22" s="2258"/>
      <c r="FB22" s="2258"/>
      <c r="FC22" s="2258"/>
      <c r="FD22" s="2258"/>
      <c r="FE22" s="2258"/>
      <c r="FF22" s="2258"/>
      <c r="FG22" s="2258"/>
      <c r="FH22" s="2258"/>
      <c r="FI22" s="2258"/>
      <c r="FJ22" s="2258"/>
      <c r="FK22" s="2258"/>
      <c r="FL22" s="2258"/>
      <c r="FM22" s="2258"/>
      <c r="FN22" s="2258"/>
      <c r="FO22" s="2258"/>
      <c r="FP22" s="2713"/>
    </row>
    <row r="23" spans="1:172" s="2251" customFormat="1" ht="15" customHeight="1">
      <c r="A23" s="16719"/>
      <c r="B23" s="16717"/>
      <c r="C23" s="15971"/>
      <c r="D23" s="15971"/>
      <c r="E23" s="15971" t="s">
        <v>4499</v>
      </c>
      <c r="F23" s="16703" t="s">
        <v>423</v>
      </c>
      <c r="G23" s="16703" t="s">
        <v>424</v>
      </c>
      <c r="H23" s="5153" t="s">
        <v>382</v>
      </c>
      <c r="I23" s="2254">
        <v>0.5</v>
      </c>
      <c r="J23" s="2254">
        <v>0.5</v>
      </c>
      <c r="K23" s="16703">
        <v>0.55000000000000004</v>
      </c>
      <c r="L23" s="16703">
        <v>0.6</v>
      </c>
      <c r="M23" s="16703">
        <v>0.65</v>
      </c>
      <c r="N23" s="16703">
        <v>0.7</v>
      </c>
      <c r="O23" s="16703">
        <v>0.75</v>
      </c>
      <c r="P23" s="16703">
        <v>0.8</v>
      </c>
      <c r="Q23" s="16703" t="s">
        <v>425</v>
      </c>
      <c r="R23" s="16703" t="s">
        <v>425</v>
      </c>
      <c r="S23" s="16703" t="s">
        <v>425</v>
      </c>
      <c r="T23" s="16703" t="s">
        <v>425</v>
      </c>
      <c r="U23" s="16703" t="s">
        <v>425</v>
      </c>
      <c r="V23" s="16703" t="s">
        <v>421</v>
      </c>
      <c r="W23" s="2253" t="s">
        <v>86</v>
      </c>
      <c r="X23" s="2253" t="s">
        <v>422</v>
      </c>
      <c r="Y23" s="2258"/>
      <c r="Z23" s="2256"/>
      <c r="AA23" s="2256"/>
      <c r="AB23" s="2256"/>
      <c r="AC23" s="2256">
        <v>35000000</v>
      </c>
      <c r="AD23" s="2257">
        <f t="shared" si="1"/>
        <v>35000000</v>
      </c>
      <c r="AE23" s="2262" t="s">
        <v>3559</v>
      </c>
      <c r="AF23" s="2262" t="s">
        <v>3560</v>
      </c>
      <c r="AG23" s="2262" t="s">
        <v>3561</v>
      </c>
      <c r="AH23" s="2258"/>
      <c r="AI23" s="2258"/>
      <c r="AJ23" s="2258"/>
      <c r="AK23" s="2258"/>
      <c r="AL23" s="2258"/>
      <c r="AM23" s="2258"/>
      <c r="AN23" s="2258"/>
      <c r="AO23" s="2258"/>
      <c r="AP23" s="2258"/>
      <c r="AQ23" s="2258"/>
      <c r="AR23" s="2258"/>
      <c r="AS23" s="2258"/>
      <c r="AT23" s="2258"/>
      <c r="AU23" s="2258"/>
      <c r="AV23" s="2258"/>
      <c r="AW23" s="2258"/>
      <c r="AX23" s="2258"/>
      <c r="AY23" s="2258"/>
      <c r="AZ23" s="2258"/>
      <c r="BA23" s="2258"/>
      <c r="BB23" s="2258"/>
      <c r="BC23" s="2258"/>
      <c r="BD23" s="2258"/>
      <c r="BE23" s="2258"/>
      <c r="BF23" s="2258"/>
      <c r="BG23" s="2258"/>
      <c r="BH23" s="2258"/>
      <c r="BI23" s="2258"/>
      <c r="BJ23" s="2258"/>
      <c r="BK23" s="2258"/>
      <c r="BL23" s="2258"/>
      <c r="BM23" s="2258"/>
      <c r="BN23" s="2258"/>
      <c r="BO23" s="2258"/>
      <c r="BP23" s="2258"/>
      <c r="BQ23" s="2258"/>
      <c r="BR23" s="2258"/>
      <c r="BS23" s="2258"/>
      <c r="BT23" s="2258"/>
      <c r="BU23" s="2258"/>
      <c r="BV23" s="2258"/>
      <c r="BW23" s="2253">
        <v>51604</v>
      </c>
      <c r="BX23" s="2254">
        <v>1</v>
      </c>
      <c r="BY23" s="16762"/>
      <c r="BZ23" s="2259" t="s">
        <v>9710</v>
      </c>
      <c r="CA23" s="2259" t="s">
        <v>9255</v>
      </c>
      <c r="CB23" s="2259" t="s">
        <v>9256</v>
      </c>
      <c r="CC23" s="2260"/>
      <c r="CD23" s="2260"/>
      <c r="CE23" s="2260"/>
      <c r="CF23" s="2260"/>
      <c r="CG23" s="6782">
        <v>51604</v>
      </c>
      <c r="CH23" s="2260"/>
      <c r="CI23" s="2260"/>
      <c r="CJ23" s="2260">
        <v>51604</v>
      </c>
      <c r="CK23" s="2260"/>
      <c r="CL23" s="2260"/>
      <c r="CM23" s="2260">
        <v>51604</v>
      </c>
      <c r="CN23" s="2260">
        <v>1863</v>
      </c>
      <c r="CO23" s="2260">
        <v>3379</v>
      </c>
      <c r="CP23" s="2260">
        <v>5172</v>
      </c>
      <c r="CQ23" s="2260">
        <v>8811</v>
      </c>
      <c r="CR23" s="2259">
        <v>24522</v>
      </c>
      <c r="CS23" s="2259"/>
      <c r="CT23" s="2260">
        <v>6440</v>
      </c>
      <c r="CU23" s="2260">
        <v>1417</v>
      </c>
      <c r="CV23" s="2260"/>
      <c r="CW23" s="2260"/>
      <c r="CX23" s="2260"/>
      <c r="CY23" s="2260"/>
      <c r="CZ23" s="2260"/>
      <c r="DA23" s="2260"/>
      <c r="DB23" s="2260"/>
      <c r="DC23" s="2260"/>
      <c r="DD23" s="2260">
        <v>51604</v>
      </c>
      <c r="DE23" s="2260"/>
      <c r="DF23" s="2260"/>
      <c r="DG23" s="2260"/>
      <c r="DH23" s="2260"/>
      <c r="DI23" s="2260"/>
      <c r="DJ23" s="2260"/>
      <c r="DK23" s="2260"/>
      <c r="DL23" s="2260"/>
      <c r="DM23" s="2260"/>
      <c r="DN23" s="6782" t="s">
        <v>9258</v>
      </c>
      <c r="DO23" s="2260"/>
      <c r="DP23" s="2260"/>
      <c r="DQ23" s="6782" t="s">
        <v>9257</v>
      </c>
      <c r="DR23" s="2260"/>
      <c r="DS23" s="2260"/>
      <c r="DT23" s="2260"/>
      <c r="DU23" s="6783" t="s">
        <v>9254</v>
      </c>
      <c r="DW23" s="6738"/>
      <c r="DX23" s="2258"/>
      <c r="DY23" s="2258"/>
      <c r="DZ23" s="2258"/>
      <c r="EA23" s="2258"/>
      <c r="EB23" s="2258"/>
      <c r="EC23" s="2258"/>
      <c r="ED23" s="2258"/>
      <c r="EE23" s="2258"/>
      <c r="EF23" s="2258"/>
      <c r="EG23" s="2258"/>
      <c r="EH23" s="2258"/>
      <c r="EI23" s="2258"/>
      <c r="EJ23" s="2258"/>
      <c r="EK23" s="2258"/>
      <c r="EL23" s="2258"/>
      <c r="EM23" s="2258"/>
      <c r="EN23" s="2258"/>
      <c r="EO23" s="2258"/>
      <c r="EP23" s="2258"/>
      <c r="EQ23" s="2258"/>
      <c r="ER23" s="2258"/>
      <c r="ES23" s="2258"/>
      <c r="ET23" s="2258"/>
      <c r="EU23" s="2258"/>
      <c r="EV23" s="2258"/>
      <c r="EW23" s="2258"/>
      <c r="EX23" s="2258"/>
      <c r="EY23" s="2258"/>
      <c r="EZ23" s="2258"/>
      <c r="FA23" s="2258"/>
      <c r="FB23" s="2258"/>
      <c r="FC23" s="2258"/>
      <c r="FD23" s="2258"/>
      <c r="FE23" s="2258"/>
      <c r="FF23" s="2258"/>
      <c r="FG23" s="2258"/>
      <c r="FH23" s="2258"/>
      <c r="FI23" s="2258"/>
      <c r="FJ23" s="2258"/>
      <c r="FK23" s="2258"/>
      <c r="FL23" s="2258"/>
      <c r="FM23" s="2258"/>
      <c r="FN23" s="2258"/>
      <c r="FO23" s="2258"/>
      <c r="FP23" s="2713"/>
    </row>
    <row r="24" spans="1:172" s="2251" customFormat="1" ht="15" customHeight="1">
      <c r="A24" s="16719"/>
      <c r="B24" s="16717"/>
      <c r="C24" s="15971"/>
      <c r="D24" s="15971"/>
      <c r="E24" s="15971"/>
      <c r="F24" s="16703"/>
      <c r="G24" s="16703"/>
      <c r="H24" s="5153"/>
      <c r="I24" s="2254"/>
      <c r="J24" s="2254"/>
      <c r="K24" s="16703"/>
      <c r="L24" s="16703"/>
      <c r="M24" s="16703"/>
      <c r="N24" s="16703"/>
      <c r="O24" s="16703"/>
      <c r="P24" s="16703"/>
      <c r="Q24" s="16703"/>
      <c r="R24" s="16703"/>
      <c r="S24" s="16703"/>
      <c r="T24" s="16703"/>
      <c r="U24" s="16703"/>
      <c r="V24" s="16703"/>
      <c r="W24" s="2253" t="s">
        <v>26</v>
      </c>
      <c r="X24" s="2253"/>
      <c r="Y24" s="2253" t="s">
        <v>10279</v>
      </c>
      <c r="Z24" s="2256"/>
      <c r="AA24" s="2256"/>
      <c r="AB24" s="2256"/>
      <c r="AC24" s="2256"/>
      <c r="AD24" s="2257"/>
      <c r="AE24" s="2262"/>
      <c r="AF24" s="2262"/>
      <c r="AG24" s="2262"/>
      <c r="AH24" s="2258"/>
      <c r="AI24" s="2258"/>
      <c r="AJ24" s="2258"/>
      <c r="AK24" s="2258"/>
      <c r="AL24" s="2258"/>
      <c r="AM24" s="2258"/>
      <c r="AN24" s="2258"/>
      <c r="AO24" s="2258"/>
      <c r="AP24" s="2258"/>
      <c r="AQ24" s="2258"/>
      <c r="AR24" s="2258"/>
      <c r="AS24" s="2258"/>
      <c r="AT24" s="2258"/>
      <c r="AU24" s="2258"/>
      <c r="AV24" s="2258"/>
      <c r="AW24" s="2258"/>
      <c r="AX24" s="2258"/>
      <c r="AY24" s="2258"/>
      <c r="AZ24" s="2258"/>
      <c r="BA24" s="2258"/>
      <c r="BB24" s="2258"/>
      <c r="BC24" s="2258"/>
      <c r="BD24" s="2258"/>
      <c r="BE24" s="2258"/>
      <c r="BF24" s="2258"/>
      <c r="BG24" s="2258"/>
      <c r="BH24" s="2258"/>
      <c r="BI24" s="2258"/>
      <c r="BJ24" s="2258"/>
      <c r="BK24" s="2258"/>
      <c r="BL24" s="2258"/>
      <c r="BM24" s="2258"/>
      <c r="BN24" s="2258"/>
      <c r="BO24" s="2258"/>
      <c r="BP24" s="2258"/>
      <c r="BQ24" s="2258"/>
      <c r="BR24" s="2258"/>
      <c r="BS24" s="2258"/>
      <c r="BT24" s="2258"/>
      <c r="BU24" s="2258"/>
      <c r="BV24" s="2258"/>
      <c r="BW24" s="2253"/>
      <c r="BX24" s="2254"/>
      <c r="BY24" s="16762"/>
      <c r="BZ24" s="2259"/>
      <c r="CA24" s="2259"/>
      <c r="CB24" s="2259"/>
      <c r="CC24" s="2260"/>
      <c r="CD24" s="2260"/>
      <c r="CE24" s="2260"/>
      <c r="CF24" s="2260"/>
      <c r="CG24" s="6782"/>
      <c r="CH24" s="2260"/>
      <c r="CI24" s="2260"/>
      <c r="CJ24" s="2260"/>
      <c r="CK24" s="2260"/>
      <c r="CL24" s="2260"/>
      <c r="CM24" s="2260"/>
      <c r="CN24" s="2260"/>
      <c r="CO24" s="2260"/>
      <c r="CP24" s="2260"/>
      <c r="CQ24" s="2260"/>
      <c r="CR24" s="2259"/>
      <c r="CS24" s="2259"/>
      <c r="CT24" s="2260"/>
      <c r="CU24" s="2260"/>
      <c r="CV24" s="2260"/>
      <c r="CW24" s="2260"/>
      <c r="CX24" s="2260"/>
      <c r="CY24" s="2260"/>
      <c r="CZ24" s="2260"/>
      <c r="DA24" s="2260"/>
      <c r="DB24" s="2260"/>
      <c r="DC24" s="2260"/>
      <c r="DD24" s="2260"/>
      <c r="DE24" s="2260"/>
      <c r="DF24" s="2260"/>
      <c r="DG24" s="2260"/>
      <c r="DH24" s="2260"/>
      <c r="DI24" s="2260"/>
      <c r="DJ24" s="2260"/>
      <c r="DK24" s="2260"/>
      <c r="DL24" s="2260"/>
      <c r="DM24" s="2260"/>
      <c r="DN24" s="6782"/>
      <c r="DO24" s="2260"/>
      <c r="DP24" s="2260"/>
      <c r="DQ24" s="6782"/>
      <c r="DR24" s="2260"/>
      <c r="DS24" s="2260"/>
      <c r="DT24" s="2260"/>
      <c r="DU24" s="6783"/>
      <c r="DW24" s="6738"/>
      <c r="DX24" s="2258"/>
      <c r="DY24" s="2258"/>
      <c r="DZ24" s="2258"/>
      <c r="EA24" s="2258"/>
      <c r="EB24" s="2258"/>
      <c r="EC24" s="2258"/>
      <c r="ED24" s="2258"/>
      <c r="EE24" s="2258"/>
      <c r="EF24" s="2258"/>
      <c r="EG24" s="2258"/>
      <c r="EH24" s="2258"/>
      <c r="EI24" s="2258"/>
      <c r="EJ24" s="2258"/>
      <c r="EK24" s="2258"/>
      <c r="EL24" s="2258"/>
      <c r="EM24" s="2258"/>
      <c r="EN24" s="2258"/>
      <c r="EO24" s="2258"/>
      <c r="EP24" s="2258"/>
      <c r="EQ24" s="2258"/>
      <c r="ER24" s="2258"/>
      <c r="ES24" s="2258"/>
      <c r="ET24" s="2258"/>
      <c r="EU24" s="2258"/>
      <c r="EV24" s="2258"/>
      <c r="EW24" s="2258"/>
      <c r="EX24" s="2258"/>
      <c r="EY24" s="2258"/>
      <c r="EZ24" s="2258"/>
      <c r="FA24" s="2258"/>
      <c r="FB24" s="2258"/>
      <c r="FC24" s="2258"/>
      <c r="FD24" s="2258"/>
      <c r="FE24" s="2258"/>
      <c r="FF24" s="2258"/>
      <c r="FG24" s="2258"/>
      <c r="FH24" s="2258"/>
      <c r="FI24" s="2258"/>
      <c r="FJ24" s="2258"/>
      <c r="FK24" s="2258"/>
      <c r="FL24" s="2258"/>
      <c r="FM24" s="2258"/>
      <c r="FN24" s="2258"/>
      <c r="FO24" s="2258"/>
      <c r="FP24" s="2713"/>
    </row>
    <row r="25" spans="1:172" s="2251" customFormat="1" ht="15" customHeight="1">
      <c r="A25" s="16719"/>
      <c r="B25" s="16717"/>
      <c r="C25" s="15971"/>
      <c r="D25" s="15971"/>
      <c r="E25" s="15971"/>
      <c r="F25" s="16703"/>
      <c r="G25" s="16703"/>
      <c r="H25" s="5153"/>
      <c r="I25" s="2254"/>
      <c r="J25" s="2254"/>
      <c r="K25" s="16703"/>
      <c r="L25" s="16703"/>
      <c r="M25" s="16703"/>
      <c r="N25" s="16703"/>
      <c r="O25" s="16703"/>
      <c r="P25" s="16703"/>
      <c r="Q25" s="16703"/>
      <c r="R25" s="16703"/>
      <c r="S25" s="16703"/>
      <c r="T25" s="16703"/>
      <c r="U25" s="16703"/>
      <c r="V25" s="16703"/>
      <c r="W25" s="2253" t="s">
        <v>10281</v>
      </c>
      <c r="X25" s="2253"/>
      <c r="Y25" s="2253" t="s">
        <v>10280</v>
      </c>
      <c r="Z25" s="2256"/>
      <c r="AA25" s="2256"/>
      <c r="AB25" s="2256"/>
      <c r="AC25" s="2256"/>
      <c r="AD25" s="2257"/>
      <c r="AE25" s="2262"/>
      <c r="AF25" s="2262"/>
      <c r="AG25" s="2262"/>
      <c r="AH25" s="2258"/>
      <c r="AI25" s="2258"/>
      <c r="AJ25" s="2258"/>
      <c r="AK25" s="2258"/>
      <c r="AL25" s="2258"/>
      <c r="AM25" s="2258"/>
      <c r="AN25" s="2258"/>
      <c r="AO25" s="2258"/>
      <c r="AP25" s="2258"/>
      <c r="AQ25" s="2258"/>
      <c r="AR25" s="2258"/>
      <c r="AS25" s="2258"/>
      <c r="AT25" s="2258"/>
      <c r="AU25" s="2258"/>
      <c r="AV25" s="2258"/>
      <c r="AW25" s="2258"/>
      <c r="AX25" s="2258"/>
      <c r="AY25" s="2258"/>
      <c r="AZ25" s="2258"/>
      <c r="BA25" s="2258"/>
      <c r="BB25" s="2258"/>
      <c r="BC25" s="2258"/>
      <c r="BD25" s="2258"/>
      <c r="BE25" s="2258"/>
      <c r="BF25" s="2258"/>
      <c r="BG25" s="2258"/>
      <c r="BH25" s="2258"/>
      <c r="BI25" s="2258"/>
      <c r="BJ25" s="2258"/>
      <c r="BK25" s="2258"/>
      <c r="BL25" s="2258"/>
      <c r="BM25" s="2258"/>
      <c r="BN25" s="2258"/>
      <c r="BO25" s="2258"/>
      <c r="BP25" s="2258"/>
      <c r="BQ25" s="2258"/>
      <c r="BR25" s="2258"/>
      <c r="BS25" s="2258"/>
      <c r="BT25" s="2258"/>
      <c r="BU25" s="2258"/>
      <c r="BV25" s="2258"/>
      <c r="BW25" s="2253"/>
      <c r="BX25" s="2254"/>
      <c r="BY25" s="16762"/>
      <c r="BZ25" s="2259"/>
      <c r="CA25" s="2259"/>
      <c r="CB25" s="2259"/>
      <c r="CC25" s="2260"/>
      <c r="CD25" s="2260"/>
      <c r="CE25" s="2260"/>
      <c r="CF25" s="2260"/>
      <c r="CG25" s="6782"/>
      <c r="CH25" s="2260"/>
      <c r="CI25" s="2260"/>
      <c r="CJ25" s="2260"/>
      <c r="CK25" s="2260"/>
      <c r="CL25" s="2260"/>
      <c r="CM25" s="2260"/>
      <c r="CN25" s="2260"/>
      <c r="CO25" s="2260"/>
      <c r="CP25" s="2260"/>
      <c r="CQ25" s="2260"/>
      <c r="CR25" s="2259"/>
      <c r="CS25" s="2259"/>
      <c r="CT25" s="2260"/>
      <c r="CU25" s="2260"/>
      <c r="CV25" s="2260"/>
      <c r="CW25" s="2260"/>
      <c r="CX25" s="2260"/>
      <c r="CY25" s="2260"/>
      <c r="CZ25" s="2260"/>
      <c r="DA25" s="2260"/>
      <c r="DB25" s="2260"/>
      <c r="DC25" s="2260"/>
      <c r="DD25" s="2260"/>
      <c r="DE25" s="2260"/>
      <c r="DF25" s="2260"/>
      <c r="DG25" s="2260"/>
      <c r="DH25" s="2260"/>
      <c r="DI25" s="2260"/>
      <c r="DJ25" s="2260"/>
      <c r="DK25" s="2260"/>
      <c r="DL25" s="2260"/>
      <c r="DM25" s="2260"/>
      <c r="DN25" s="6782"/>
      <c r="DO25" s="2260"/>
      <c r="DP25" s="2260"/>
      <c r="DQ25" s="6782"/>
      <c r="DR25" s="2260"/>
      <c r="DS25" s="2260"/>
      <c r="DT25" s="2260"/>
      <c r="DU25" s="6783"/>
      <c r="DW25" s="6738"/>
      <c r="DX25" s="2258"/>
      <c r="DY25" s="2258"/>
      <c r="DZ25" s="2258"/>
      <c r="EA25" s="2258"/>
      <c r="EB25" s="2258"/>
      <c r="EC25" s="2258"/>
      <c r="ED25" s="2258"/>
      <c r="EE25" s="2258"/>
      <c r="EF25" s="2258"/>
      <c r="EG25" s="2258"/>
      <c r="EH25" s="2258"/>
      <c r="EI25" s="2258"/>
      <c r="EJ25" s="2258"/>
      <c r="EK25" s="2258"/>
      <c r="EL25" s="2258"/>
      <c r="EM25" s="2258"/>
      <c r="EN25" s="2258"/>
      <c r="EO25" s="2258"/>
      <c r="EP25" s="2258"/>
      <c r="EQ25" s="2258"/>
      <c r="ER25" s="2258"/>
      <c r="ES25" s="2258"/>
      <c r="ET25" s="2258"/>
      <c r="EU25" s="2258"/>
      <c r="EV25" s="2258"/>
      <c r="EW25" s="2258"/>
      <c r="EX25" s="2258"/>
      <c r="EY25" s="2258"/>
      <c r="EZ25" s="2258"/>
      <c r="FA25" s="2258"/>
      <c r="FB25" s="2258"/>
      <c r="FC25" s="2258"/>
      <c r="FD25" s="2258"/>
      <c r="FE25" s="2258"/>
      <c r="FF25" s="2258"/>
      <c r="FG25" s="2258"/>
      <c r="FH25" s="2258"/>
      <c r="FI25" s="2258"/>
      <c r="FJ25" s="2258"/>
      <c r="FK25" s="2258"/>
      <c r="FL25" s="2258"/>
      <c r="FM25" s="2258"/>
      <c r="FN25" s="2258"/>
      <c r="FO25" s="2258"/>
      <c r="FP25" s="2713"/>
    </row>
    <row r="26" spans="1:172" s="2251" customFormat="1" ht="15" customHeight="1">
      <c r="A26" s="16719"/>
      <c r="B26" s="16717"/>
      <c r="C26" s="15971"/>
      <c r="D26" s="15971"/>
      <c r="E26" s="5102" t="s">
        <v>4500</v>
      </c>
      <c r="F26" s="6784" t="s">
        <v>426</v>
      </c>
      <c r="G26" s="6784" t="s">
        <v>427</v>
      </c>
      <c r="H26" s="2253" t="s">
        <v>386</v>
      </c>
      <c r="I26" s="2253">
        <v>0</v>
      </c>
      <c r="J26" s="2253">
        <v>0</v>
      </c>
      <c r="K26" s="2253">
        <v>1</v>
      </c>
      <c r="L26" s="2253">
        <v>0</v>
      </c>
      <c r="M26" s="2253">
        <v>0</v>
      </c>
      <c r="N26" s="2253">
        <v>0</v>
      </c>
      <c r="O26" s="2253">
        <v>0</v>
      </c>
      <c r="P26" s="2253">
        <v>0</v>
      </c>
      <c r="Q26" s="2253">
        <v>1</v>
      </c>
      <c r="R26" s="2253">
        <v>0</v>
      </c>
      <c r="S26" s="2253">
        <v>0</v>
      </c>
      <c r="T26" s="2253">
        <v>0</v>
      </c>
      <c r="U26" s="2253">
        <v>2</v>
      </c>
      <c r="V26" s="2253" t="s">
        <v>428</v>
      </c>
      <c r="W26" s="2253" t="s">
        <v>26</v>
      </c>
      <c r="X26" s="2253" t="s">
        <v>390</v>
      </c>
      <c r="Y26" s="2258"/>
      <c r="Z26" s="2256">
        <v>100000000</v>
      </c>
      <c r="AA26" s="2256"/>
      <c r="AB26" s="2256"/>
      <c r="AC26" s="2256"/>
      <c r="AD26" s="2257">
        <f t="shared" si="1"/>
        <v>100000000</v>
      </c>
      <c r="AE26" s="2258"/>
      <c r="AF26" s="2258"/>
      <c r="AG26" s="2258"/>
      <c r="AH26" s="2258"/>
      <c r="AI26" s="2258"/>
      <c r="AJ26" s="2258"/>
      <c r="AK26" s="2258"/>
      <c r="AL26" s="2258"/>
      <c r="AM26" s="2258"/>
      <c r="AN26" s="2258"/>
      <c r="AO26" s="2258"/>
      <c r="AP26" s="2258"/>
      <c r="AQ26" s="2258"/>
      <c r="AR26" s="2258"/>
      <c r="AS26" s="2258"/>
      <c r="AT26" s="2258"/>
      <c r="AU26" s="2258"/>
      <c r="AV26" s="2258"/>
      <c r="AW26" s="2258"/>
      <c r="AX26" s="2258"/>
      <c r="AY26" s="2258"/>
      <c r="AZ26" s="2258"/>
      <c r="BA26" s="2258"/>
      <c r="BB26" s="2258"/>
      <c r="BC26" s="2258"/>
      <c r="BD26" s="2258"/>
      <c r="BE26" s="2258"/>
      <c r="BF26" s="2258"/>
      <c r="BG26" s="2258"/>
      <c r="BH26" s="2258"/>
      <c r="BI26" s="2258"/>
      <c r="BJ26" s="2258"/>
      <c r="BK26" s="2258"/>
      <c r="BL26" s="2258"/>
      <c r="BM26" s="2258"/>
      <c r="BN26" s="2258"/>
      <c r="BO26" s="2258"/>
      <c r="BP26" s="2258"/>
      <c r="BQ26" s="2258"/>
      <c r="BR26" s="2258"/>
      <c r="BS26" s="2258"/>
      <c r="BT26" s="2258"/>
      <c r="BU26" s="2258"/>
      <c r="BV26" s="2258"/>
      <c r="BW26" s="6780">
        <v>1</v>
      </c>
      <c r="BX26" s="4785">
        <f>BW26/K26</f>
        <v>1</v>
      </c>
      <c r="BY26" s="16762"/>
      <c r="BZ26" s="2264"/>
      <c r="CA26" s="2264"/>
      <c r="CB26" s="2253" t="s">
        <v>9858</v>
      </c>
      <c r="CC26" s="2260"/>
      <c r="CD26" s="2260"/>
      <c r="CE26" s="2260"/>
      <c r="CF26" s="2260"/>
      <c r="CG26" s="2260"/>
      <c r="CH26" s="2260"/>
      <c r="CI26" s="2260"/>
      <c r="CJ26" s="2260"/>
      <c r="CK26" s="2260"/>
      <c r="CL26" s="2260"/>
      <c r="CM26" s="2260"/>
      <c r="CN26" s="2260"/>
      <c r="CO26" s="2260"/>
      <c r="CP26" s="2260"/>
      <c r="CQ26" s="2260"/>
      <c r="CR26" s="2260"/>
      <c r="CS26" s="2260"/>
      <c r="CT26" s="2260"/>
      <c r="CU26" s="2260"/>
      <c r="CV26" s="2260"/>
      <c r="CW26" s="2260"/>
      <c r="CX26" s="2260"/>
      <c r="CY26" s="2260"/>
      <c r="CZ26" s="2260"/>
      <c r="DA26" s="2260"/>
      <c r="DB26" s="2260"/>
      <c r="DC26" s="2260"/>
      <c r="DD26" s="2260"/>
      <c r="DE26" s="2260"/>
      <c r="DF26" s="2260"/>
      <c r="DG26" s="2260"/>
      <c r="DH26" s="2260"/>
      <c r="DI26" s="2260"/>
      <c r="DJ26" s="2260"/>
      <c r="DK26" s="2260"/>
      <c r="DL26" s="2260"/>
      <c r="DM26" s="2260"/>
      <c r="DN26" s="2260"/>
      <c r="DO26" s="2260"/>
      <c r="DP26" s="2260"/>
      <c r="DQ26" s="2260"/>
      <c r="DR26" s="2260"/>
      <c r="DS26" s="2260"/>
      <c r="DT26" s="2260"/>
      <c r="DU26" s="2261"/>
      <c r="DW26" s="6738"/>
      <c r="DX26" s="2258"/>
      <c r="DY26" s="2258"/>
      <c r="DZ26" s="2258"/>
      <c r="EA26" s="2258"/>
      <c r="EB26" s="2258"/>
      <c r="EC26" s="2258"/>
      <c r="ED26" s="2258"/>
      <c r="EE26" s="2258"/>
      <c r="EF26" s="2258"/>
      <c r="EG26" s="2258"/>
      <c r="EH26" s="2258"/>
      <c r="EI26" s="2258"/>
      <c r="EJ26" s="2258"/>
      <c r="EK26" s="2258"/>
      <c r="EL26" s="2258"/>
      <c r="EM26" s="2258"/>
      <c r="EN26" s="2258"/>
      <c r="EO26" s="2258"/>
      <c r="EP26" s="2258"/>
      <c r="EQ26" s="2258"/>
      <c r="ER26" s="2258"/>
      <c r="ES26" s="2258"/>
      <c r="ET26" s="2258"/>
      <c r="EU26" s="2258"/>
      <c r="EV26" s="2258"/>
      <c r="EW26" s="2258"/>
      <c r="EX26" s="2258"/>
      <c r="EY26" s="2258"/>
      <c r="EZ26" s="2258"/>
      <c r="FA26" s="2258"/>
      <c r="FB26" s="2258"/>
      <c r="FC26" s="2258"/>
      <c r="FD26" s="2258"/>
      <c r="FE26" s="2258"/>
      <c r="FF26" s="2258"/>
      <c r="FG26" s="2258"/>
      <c r="FH26" s="2258"/>
      <c r="FI26" s="2258"/>
      <c r="FJ26" s="2258"/>
      <c r="FK26" s="2258"/>
      <c r="FL26" s="2258"/>
      <c r="FM26" s="2258"/>
      <c r="FN26" s="2258"/>
      <c r="FO26" s="2258"/>
      <c r="FP26" s="2713"/>
    </row>
    <row r="27" spans="1:172" s="2251" customFormat="1" ht="15" customHeight="1">
      <c r="A27" s="16719"/>
      <c r="B27" s="16717"/>
      <c r="C27" s="15971"/>
      <c r="D27" s="15971"/>
      <c r="E27" s="5102" t="s">
        <v>4501</v>
      </c>
      <c r="F27" s="2252" t="s">
        <v>430</v>
      </c>
      <c r="G27" s="2252" t="s">
        <v>431</v>
      </c>
      <c r="H27" s="2253" t="s">
        <v>382</v>
      </c>
      <c r="I27" s="2253">
        <v>3</v>
      </c>
      <c r="J27" s="2253">
        <v>3</v>
      </c>
      <c r="K27" s="2253">
        <v>3</v>
      </c>
      <c r="L27" s="2253">
        <v>3</v>
      </c>
      <c r="M27" s="2253">
        <v>3</v>
      </c>
      <c r="N27" s="2253">
        <v>3</v>
      </c>
      <c r="O27" s="2253">
        <v>3</v>
      </c>
      <c r="P27" s="2253">
        <v>3</v>
      </c>
      <c r="Q27" s="2253">
        <v>3</v>
      </c>
      <c r="R27" s="2253">
        <v>3</v>
      </c>
      <c r="S27" s="2253">
        <v>3</v>
      </c>
      <c r="T27" s="2253">
        <v>3</v>
      </c>
      <c r="U27" s="2253">
        <v>3</v>
      </c>
      <c r="V27" s="2253" t="s">
        <v>383</v>
      </c>
      <c r="W27" s="2253" t="s">
        <v>26</v>
      </c>
      <c r="X27" s="2253" t="s">
        <v>390</v>
      </c>
      <c r="Y27" s="6779" t="s">
        <v>391</v>
      </c>
      <c r="Z27" s="2256">
        <v>10000000</v>
      </c>
      <c r="AA27" s="2256"/>
      <c r="AB27" s="2256"/>
      <c r="AC27" s="2256"/>
      <c r="AD27" s="2257">
        <f t="shared" si="1"/>
        <v>10000000</v>
      </c>
      <c r="AE27" s="2258"/>
      <c r="AF27" s="2258"/>
      <c r="AG27" s="2258"/>
      <c r="AH27" s="2258"/>
      <c r="AI27" s="2258"/>
      <c r="AJ27" s="2258"/>
      <c r="AK27" s="2258"/>
      <c r="AL27" s="2258"/>
      <c r="AM27" s="2258"/>
      <c r="AN27" s="2258"/>
      <c r="AO27" s="2258"/>
      <c r="AP27" s="2258"/>
      <c r="AQ27" s="2258"/>
      <c r="AR27" s="2258"/>
      <c r="AS27" s="2258"/>
      <c r="AT27" s="2258"/>
      <c r="AU27" s="2258"/>
      <c r="AV27" s="2258"/>
      <c r="AW27" s="2258"/>
      <c r="AX27" s="2258"/>
      <c r="AY27" s="2258"/>
      <c r="AZ27" s="2258"/>
      <c r="BA27" s="2258"/>
      <c r="BB27" s="2258"/>
      <c r="BC27" s="2258"/>
      <c r="BD27" s="2258"/>
      <c r="BE27" s="2258"/>
      <c r="BF27" s="2258"/>
      <c r="BG27" s="2258"/>
      <c r="BH27" s="2258"/>
      <c r="BI27" s="2258"/>
      <c r="BJ27" s="2258"/>
      <c r="BK27" s="2258"/>
      <c r="BL27" s="2258"/>
      <c r="BM27" s="2258"/>
      <c r="BN27" s="2258"/>
      <c r="BO27" s="2258"/>
      <c r="BP27" s="2258"/>
      <c r="BQ27" s="2258"/>
      <c r="BR27" s="2258"/>
      <c r="BS27" s="2258"/>
      <c r="BT27" s="2258"/>
      <c r="BU27" s="2258"/>
      <c r="BV27" s="2258"/>
      <c r="BW27" s="6780">
        <v>1</v>
      </c>
      <c r="BX27" s="4785">
        <v>1</v>
      </c>
      <c r="BY27" s="16762"/>
      <c r="BZ27" s="2262" t="s">
        <v>9859</v>
      </c>
      <c r="CA27" s="2268" t="s">
        <v>9860</v>
      </c>
      <c r="CB27" s="2268" t="s">
        <v>9861</v>
      </c>
      <c r="CC27" s="6781">
        <v>30736554</v>
      </c>
      <c r="CD27" s="2260" t="s">
        <v>2943</v>
      </c>
      <c r="CE27" s="2260"/>
      <c r="CF27" s="2260"/>
      <c r="CG27" s="2260"/>
      <c r="CH27" s="2260"/>
      <c r="CI27" s="2260"/>
      <c r="CJ27" s="2260"/>
      <c r="CK27" s="2260"/>
      <c r="CL27" s="2260"/>
      <c r="CM27" s="2260"/>
      <c r="CN27" s="2260"/>
      <c r="CO27" s="2260"/>
      <c r="CP27" s="2260"/>
      <c r="CQ27" s="2260"/>
      <c r="CR27" s="2260"/>
      <c r="CS27" s="2260"/>
      <c r="CT27" s="2260"/>
      <c r="CU27" s="2260"/>
      <c r="CV27" s="2260"/>
      <c r="CW27" s="2260"/>
      <c r="CX27" s="2260"/>
      <c r="CY27" s="2260"/>
      <c r="CZ27" s="2260"/>
      <c r="DA27" s="2260"/>
      <c r="DB27" s="2260"/>
      <c r="DC27" s="2260"/>
      <c r="DD27" s="2260"/>
      <c r="DE27" s="2260"/>
      <c r="DF27" s="2260"/>
      <c r="DG27" s="2260"/>
      <c r="DH27" s="2260"/>
      <c r="DI27" s="2260"/>
      <c r="DJ27" s="2260"/>
      <c r="DK27" s="2260"/>
      <c r="DL27" s="2260"/>
      <c r="DM27" s="2260"/>
      <c r="DN27" s="2260"/>
      <c r="DO27" s="2260"/>
      <c r="DP27" s="2260"/>
      <c r="DQ27" s="2260"/>
      <c r="DR27" s="2260"/>
      <c r="DS27" s="2260"/>
      <c r="DT27" s="2260"/>
      <c r="DU27" s="2261"/>
      <c r="DW27" s="6738"/>
      <c r="DX27" s="2258"/>
      <c r="DY27" s="2258"/>
      <c r="DZ27" s="2258"/>
      <c r="EA27" s="2258"/>
      <c r="EB27" s="2258"/>
      <c r="EC27" s="2258"/>
      <c r="ED27" s="2258"/>
      <c r="EE27" s="2258"/>
      <c r="EF27" s="2258"/>
      <c r="EG27" s="2258"/>
      <c r="EH27" s="2258"/>
      <c r="EI27" s="2258"/>
      <c r="EJ27" s="2258"/>
      <c r="EK27" s="2258"/>
      <c r="EL27" s="2258"/>
      <c r="EM27" s="2258"/>
      <c r="EN27" s="2258"/>
      <c r="EO27" s="2258"/>
      <c r="EP27" s="2258"/>
      <c r="EQ27" s="2258"/>
      <c r="ER27" s="2258"/>
      <c r="ES27" s="2258"/>
      <c r="ET27" s="2258"/>
      <c r="EU27" s="2258"/>
      <c r="EV27" s="2258"/>
      <c r="EW27" s="2258"/>
      <c r="EX27" s="2258"/>
      <c r="EY27" s="2258"/>
      <c r="EZ27" s="2258"/>
      <c r="FA27" s="2258"/>
      <c r="FB27" s="2258"/>
      <c r="FC27" s="2258"/>
      <c r="FD27" s="2258"/>
      <c r="FE27" s="2258"/>
      <c r="FF27" s="2258"/>
      <c r="FG27" s="2258"/>
      <c r="FH27" s="2258"/>
      <c r="FI27" s="2258"/>
      <c r="FJ27" s="2258"/>
      <c r="FK27" s="2258"/>
      <c r="FL27" s="2258"/>
      <c r="FM27" s="2258"/>
      <c r="FN27" s="2258"/>
      <c r="FO27" s="2258"/>
      <c r="FP27" s="2713"/>
    </row>
    <row r="28" spans="1:172" s="2251" customFormat="1" ht="15" customHeight="1">
      <c r="A28" s="16719"/>
      <c r="B28" s="16717"/>
      <c r="C28" s="15971"/>
      <c r="D28" s="15971"/>
      <c r="E28" s="15971" t="s">
        <v>4502</v>
      </c>
      <c r="F28" s="16704" t="s">
        <v>432</v>
      </c>
      <c r="G28" s="16704" t="s">
        <v>433</v>
      </c>
      <c r="H28" s="2253" t="s">
        <v>382</v>
      </c>
      <c r="I28" s="2254">
        <v>0</v>
      </c>
      <c r="J28" s="2255">
        <v>0.2</v>
      </c>
      <c r="K28" s="16704">
        <v>0.4</v>
      </c>
      <c r="L28" s="16704">
        <v>0.6</v>
      </c>
      <c r="M28" s="16704">
        <v>0.8</v>
      </c>
      <c r="N28" s="16704">
        <v>1</v>
      </c>
      <c r="O28" s="16704">
        <v>1</v>
      </c>
      <c r="P28" s="16704">
        <v>1</v>
      </c>
      <c r="Q28" s="16704">
        <v>1</v>
      </c>
      <c r="R28" s="16704">
        <v>1</v>
      </c>
      <c r="S28" s="16704">
        <v>1</v>
      </c>
      <c r="T28" s="16704">
        <v>1</v>
      </c>
      <c r="U28" s="16704">
        <v>1</v>
      </c>
      <c r="V28" s="16704" t="s">
        <v>434</v>
      </c>
      <c r="W28" s="2253" t="s">
        <v>26</v>
      </c>
      <c r="X28" s="2253" t="s">
        <v>390</v>
      </c>
      <c r="Y28" s="2258"/>
      <c r="Z28" s="2256">
        <v>13882000</v>
      </c>
      <c r="AA28" s="2256"/>
      <c r="AB28" s="2256"/>
      <c r="AC28" s="2256"/>
      <c r="AD28" s="2257">
        <f t="shared" si="1"/>
        <v>13882000</v>
      </c>
      <c r="AE28" s="2258"/>
      <c r="AF28" s="2258"/>
      <c r="AG28" s="2258"/>
      <c r="AH28" s="2258"/>
      <c r="AI28" s="2258"/>
      <c r="AJ28" s="2258"/>
      <c r="AK28" s="2258"/>
      <c r="AL28" s="2258"/>
      <c r="AM28" s="2258"/>
      <c r="AN28" s="2258"/>
      <c r="AO28" s="2258"/>
      <c r="AP28" s="2258"/>
      <c r="AQ28" s="2258"/>
      <c r="AR28" s="2258"/>
      <c r="AS28" s="2258"/>
      <c r="AT28" s="2258"/>
      <c r="AU28" s="2258"/>
      <c r="AV28" s="2258"/>
      <c r="AW28" s="2258"/>
      <c r="AX28" s="2258"/>
      <c r="AY28" s="2258"/>
      <c r="AZ28" s="2258"/>
      <c r="BA28" s="2258"/>
      <c r="BB28" s="2258"/>
      <c r="BC28" s="2258"/>
      <c r="BD28" s="2258"/>
      <c r="BE28" s="2258"/>
      <c r="BF28" s="2258"/>
      <c r="BG28" s="2258"/>
      <c r="BH28" s="2258"/>
      <c r="BI28" s="2258"/>
      <c r="BJ28" s="2258"/>
      <c r="BK28" s="2258"/>
      <c r="BL28" s="2258"/>
      <c r="BM28" s="2258"/>
      <c r="BN28" s="2258"/>
      <c r="BO28" s="2258"/>
      <c r="BP28" s="2258"/>
      <c r="BQ28" s="2258"/>
      <c r="BR28" s="2258"/>
      <c r="BS28" s="2258"/>
      <c r="BT28" s="2258"/>
      <c r="BU28" s="2258"/>
      <c r="BV28" s="2258"/>
      <c r="BW28" s="6780">
        <v>0.4</v>
      </c>
      <c r="BX28" s="4785">
        <v>1</v>
      </c>
      <c r="BY28" s="16762"/>
      <c r="BZ28" s="2253" t="s">
        <v>9862</v>
      </c>
      <c r="CA28" s="2253" t="s">
        <v>9863</v>
      </c>
      <c r="CB28" s="5088" t="s">
        <v>9864</v>
      </c>
      <c r="CC28" s="6781">
        <v>36989894</v>
      </c>
      <c r="CD28" s="2260" t="s">
        <v>2943</v>
      </c>
      <c r="CE28" s="2260"/>
      <c r="CF28" s="2260"/>
      <c r="CG28" s="2260"/>
      <c r="CH28" s="2260"/>
      <c r="CI28" s="2260"/>
      <c r="CJ28" s="2260"/>
      <c r="CK28" s="2260"/>
      <c r="CL28" s="2260"/>
      <c r="CM28" s="2260"/>
      <c r="CN28" s="2260"/>
      <c r="CO28" s="2260"/>
      <c r="CP28" s="2260"/>
      <c r="CQ28" s="2260"/>
      <c r="CR28" s="2260"/>
      <c r="CS28" s="2260"/>
      <c r="CT28" s="2260"/>
      <c r="CU28" s="2260"/>
      <c r="CV28" s="2260"/>
      <c r="CW28" s="2260"/>
      <c r="CX28" s="2260"/>
      <c r="CY28" s="2260"/>
      <c r="CZ28" s="2260"/>
      <c r="DA28" s="2260"/>
      <c r="DB28" s="2260"/>
      <c r="DC28" s="2260"/>
      <c r="DD28" s="2260"/>
      <c r="DE28" s="2260"/>
      <c r="DF28" s="2260"/>
      <c r="DG28" s="2260"/>
      <c r="DH28" s="2260"/>
      <c r="DI28" s="2260"/>
      <c r="DJ28" s="2260"/>
      <c r="DK28" s="2260"/>
      <c r="DL28" s="2260"/>
      <c r="DM28" s="2260"/>
      <c r="DN28" s="2260"/>
      <c r="DO28" s="2260"/>
      <c r="DP28" s="2260"/>
      <c r="DQ28" s="2260"/>
      <c r="DR28" s="2260"/>
      <c r="DS28" s="2260"/>
      <c r="DT28" s="2260"/>
      <c r="DU28" s="2261"/>
      <c r="DW28" s="6738"/>
      <c r="DX28" s="2258"/>
      <c r="DY28" s="2258"/>
      <c r="DZ28" s="2258"/>
      <c r="EA28" s="2258"/>
      <c r="EB28" s="2258"/>
      <c r="EC28" s="2258"/>
      <c r="ED28" s="2258"/>
      <c r="EE28" s="2258"/>
      <c r="EF28" s="2258"/>
      <c r="EG28" s="2258"/>
      <c r="EH28" s="2258"/>
      <c r="EI28" s="2258"/>
      <c r="EJ28" s="2258"/>
      <c r="EK28" s="2258"/>
      <c r="EL28" s="2258"/>
      <c r="EM28" s="2258"/>
      <c r="EN28" s="2258"/>
      <c r="EO28" s="2258"/>
      <c r="EP28" s="2258"/>
      <c r="EQ28" s="2258"/>
      <c r="ER28" s="2258"/>
      <c r="ES28" s="2258"/>
      <c r="ET28" s="2258"/>
      <c r="EU28" s="2258"/>
      <c r="EV28" s="2258"/>
      <c r="EW28" s="2258"/>
      <c r="EX28" s="2258"/>
      <c r="EY28" s="2258"/>
      <c r="EZ28" s="2258"/>
      <c r="FA28" s="2258"/>
      <c r="FB28" s="2258"/>
      <c r="FC28" s="2258"/>
      <c r="FD28" s="2258"/>
      <c r="FE28" s="2258"/>
      <c r="FF28" s="2258"/>
      <c r="FG28" s="2258"/>
      <c r="FH28" s="2258"/>
      <c r="FI28" s="2258"/>
      <c r="FJ28" s="2258"/>
      <c r="FK28" s="2258"/>
      <c r="FL28" s="2258"/>
      <c r="FM28" s="2258"/>
      <c r="FN28" s="2258"/>
      <c r="FO28" s="2258"/>
      <c r="FP28" s="2713"/>
    </row>
    <row r="29" spans="1:172" s="2251" customFormat="1" ht="15" customHeight="1">
      <c r="A29" s="16719"/>
      <c r="B29" s="16717"/>
      <c r="C29" s="15971"/>
      <c r="D29" s="15971"/>
      <c r="E29" s="15971"/>
      <c r="F29" s="16704"/>
      <c r="G29" s="16704"/>
      <c r="H29" s="2253"/>
      <c r="I29" s="2254"/>
      <c r="J29" s="2255"/>
      <c r="K29" s="16704"/>
      <c r="L29" s="16704"/>
      <c r="M29" s="16704"/>
      <c r="N29" s="16704"/>
      <c r="O29" s="16704"/>
      <c r="P29" s="16704"/>
      <c r="Q29" s="16704"/>
      <c r="R29" s="16704"/>
      <c r="S29" s="16704"/>
      <c r="T29" s="16704"/>
      <c r="U29" s="16704"/>
      <c r="V29" s="16704"/>
      <c r="W29" s="2253" t="s">
        <v>477</v>
      </c>
      <c r="X29" s="2253"/>
      <c r="Y29" s="2253" t="s">
        <v>435</v>
      </c>
      <c r="Z29" s="2256"/>
      <c r="AA29" s="2256"/>
      <c r="AB29" s="2256"/>
      <c r="AC29" s="2256"/>
      <c r="AD29" s="2257"/>
      <c r="AE29" s="2258"/>
      <c r="AF29" s="2258"/>
      <c r="AG29" s="2258"/>
      <c r="AH29" s="2258"/>
      <c r="AI29" s="2258"/>
      <c r="AJ29" s="2258"/>
      <c r="AK29" s="2258"/>
      <c r="AL29" s="2258"/>
      <c r="AM29" s="2258"/>
      <c r="AN29" s="2258"/>
      <c r="AO29" s="2258"/>
      <c r="AP29" s="2258"/>
      <c r="AQ29" s="2258"/>
      <c r="AR29" s="2258"/>
      <c r="AS29" s="2258"/>
      <c r="AT29" s="2258"/>
      <c r="AU29" s="2258"/>
      <c r="AV29" s="2258"/>
      <c r="AW29" s="2258"/>
      <c r="AX29" s="2258"/>
      <c r="AY29" s="2258"/>
      <c r="AZ29" s="2258"/>
      <c r="BA29" s="2258"/>
      <c r="BB29" s="2258"/>
      <c r="BC29" s="2258"/>
      <c r="BD29" s="2258"/>
      <c r="BE29" s="2258"/>
      <c r="BF29" s="2258"/>
      <c r="BG29" s="2258"/>
      <c r="BH29" s="2258"/>
      <c r="BI29" s="2258"/>
      <c r="BJ29" s="2258"/>
      <c r="BK29" s="2258"/>
      <c r="BL29" s="2258"/>
      <c r="BM29" s="2258"/>
      <c r="BN29" s="2258"/>
      <c r="BO29" s="2258"/>
      <c r="BP29" s="2258"/>
      <c r="BQ29" s="2258"/>
      <c r="BR29" s="2258"/>
      <c r="BS29" s="2258"/>
      <c r="BT29" s="2258"/>
      <c r="BU29" s="2258"/>
      <c r="BV29" s="2258"/>
      <c r="BW29" s="6780"/>
      <c r="BX29" s="4785"/>
      <c r="BY29" s="16762"/>
      <c r="BZ29" s="2253"/>
      <c r="CA29" s="2253"/>
      <c r="CB29" s="5088"/>
      <c r="CC29" s="6781"/>
      <c r="CD29" s="2260"/>
      <c r="CE29" s="2260"/>
      <c r="CF29" s="2260"/>
      <c r="CG29" s="2260"/>
      <c r="CH29" s="2260"/>
      <c r="CI29" s="2260"/>
      <c r="CJ29" s="2260"/>
      <c r="CK29" s="2260"/>
      <c r="CL29" s="2260"/>
      <c r="CM29" s="2260"/>
      <c r="CN29" s="2260"/>
      <c r="CO29" s="2260"/>
      <c r="CP29" s="2260"/>
      <c r="CQ29" s="2260"/>
      <c r="CR29" s="2260"/>
      <c r="CS29" s="2260"/>
      <c r="CT29" s="2260"/>
      <c r="CU29" s="2260"/>
      <c r="CV29" s="2260"/>
      <c r="CW29" s="2260"/>
      <c r="CX29" s="2260"/>
      <c r="CY29" s="2260"/>
      <c r="CZ29" s="2260"/>
      <c r="DA29" s="2260"/>
      <c r="DB29" s="2260"/>
      <c r="DC29" s="2260"/>
      <c r="DD29" s="2260"/>
      <c r="DE29" s="2260"/>
      <c r="DF29" s="2260"/>
      <c r="DG29" s="2260"/>
      <c r="DH29" s="2260"/>
      <c r="DI29" s="2260"/>
      <c r="DJ29" s="2260"/>
      <c r="DK29" s="2260"/>
      <c r="DL29" s="2260"/>
      <c r="DM29" s="2260"/>
      <c r="DN29" s="2260"/>
      <c r="DO29" s="2260"/>
      <c r="DP29" s="2260"/>
      <c r="DQ29" s="2260"/>
      <c r="DR29" s="2260"/>
      <c r="DS29" s="2260"/>
      <c r="DT29" s="2260"/>
      <c r="DU29" s="2261"/>
      <c r="DW29" s="6738"/>
      <c r="DX29" s="2258"/>
      <c r="DY29" s="2258"/>
      <c r="DZ29" s="2258"/>
      <c r="EA29" s="2258"/>
      <c r="EB29" s="2258"/>
      <c r="EC29" s="2258"/>
      <c r="ED29" s="2258"/>
      <c r="EE29" s="2258"/>
      <c r="EF29" s="2258"/>
      <c r="EG29" s="2258"/>
      <c r="EH29" s="2258"/>
      <c r="EI29" s="2258"/>
      <c r="EJ29" s="2258"/>
      <c r="EK29" s="2258"/>
      <c r="EL29" s="2258"/>
      <c r="EM29" s="2258"/>
      <c r="EN29" s="2258"/>
      <c r="EO29" s="2258"/>
      <c r="EP29" s="2258"/>
      <c r="EQ29" s="2258"/>
      <c r="ER29" s="2258"/>
      <c r="ES29" s="2258"/>
      <c r="ET29" s="2258"/>
      <c r="EU29" s="2258"/>
      <c r="EV29" s="2258"/>
      <c r="EW29" s="2258"/>
      <c r="EX29" s="2258"/>
      <c r="EY29" s="2258"/>
      <c r="EZ29" s="2258"/>
      <c r="FA29" s="2258"/>
      <c r="FB29" s="2258"/>
      <c r="FC29" s="2258"/>
      <c r="FD29" s="2258"/>
      <c r="FE29" s="2258"/>
      <c r="FF29" s="2258"/>
      <c r="FG29" s="2258"/>
      <c r="FH29" s="2258"/>
      <c r="FI29" s="2258"/>
      <c r="FJ29" s="2258"/>
      <c r="FK29" s="2258"/>
      <c r="FL29" s="2258"/>
      <c r="FM29" s="2258"/>
      <c r="FN29" s="2258"/>
      <c r="FO29" s="2258"/>
      <c r="FP29" s="2713"/>
    </row>
    <row r="30" spans="1:172" s="2251" customFormat="1" ht="15" customHeight="1">
      <c r="A30" s="16719"/>
      <c r="B30" s="16717"/>
      <c r="C30" s="15971"/>
      <c r="D30" s="15971"/>
      <c r="E30" s="15971" t="s">
        <v>4503</v>
      </c>
      <c r="F30" s="16704" t="s">
        <v>436</v>
      </c>
      <c r="G30" s="16704" t="s">
        <v>437</v>
      </c>
      <c r="H30" s="2253" t="s">
        <v>382</v>
      </c>
      <c r="I30" s="2254">
        <v>0</v>
      </c>
      <c r="J30" s="2255">
        <v>0.2</v>
      </c>
      <c r="K30" s="16704">
        <v>0.4</v>
      </c>
      <c r="L30" s="16704">
        <v>0.6</v>
      </c>
      <c r="M30" s="16704">
        <v>0.8</v>
      </c>
      <c r="N30" s="16704">
        <v>1</v>
      </c>
      <c r="O30" s="16704">
        <v>1</v>
      </c>
      <c r="P30" s="16704">
        <v>1</v>
      </c>
      <c r="Q30" s="16704">
        <v>1</v>
      </c>
      <c r="R30" s="16704">
        <v>1</v>
      </c>
      <c r="S30" s="16704">
        <v>1</v>
      </c>
      <c r="T30" s="16704">
        <v>1</v>
      </c>
      <c r="U30" s="16704">
        <v>1</v>
      </c>
      <c r="V30" s="16704" t="s">
        <v>438</v>
      </c>
      <c r="W30" s="2253" t="s">
        <v>10066</v>
      </c>
      <c r="X30" s="2253" t="s">
        <v>298</v>
      </c>
      <c r="Y30" s="2258"/>
      <c r="Z30" s="2256">
        <v>13882000</v>
      </c>
      <c r="AA30" s="2256"/>
      <c r="AB30" s="2256"/>
      <c r="AC30" s="2256"/>
      <c r="AD30" s="2257">
        <f t="shared" si="1"/>
        <v>13882000</v>
      </c>
      <c r="AE30" s="2258"/>
      <c r="AF30" s="2258"/>
      <c r="AG30" s="2258"/>
      <c r="AH30" s="2258"/>
      <c r="AI30" s="2258"/>
      <c r="AJ30" s="2258"/>
      <c r="AK30" s="2258"/>
      <c r="AL30" s="2258"/>
      <c r="AM30" s="2258"/>
      <c r="AN30" s="2258"/>
      <c r="AO30" s="2258"/>
      <c r="AP30" s="2258"/>
      <c r="AQ30" s="2258"/>
      <c r="AR30" s="2258"/>
      <c r="AS30" s="2258"/>
      <c r="AT30" s="2258"/>
      <c r="AU30" s="2258"/>
      <c r="AV30" s="2258"/>
      <c r="AW30" s="2258"/>
      <c r="AX30" s="2258"/>
      <c r="AY30" s="2258"/>
      <c r="AZ30" s="2258"/>
      <c r="BA30" s="2258"/>
      <c r="BB30" s="2258"/>
      <c r="BC30" s="2258"/>
      <c r="BD30" s="2258"/>
      <c r="BE30" s="2258"/>
      <c r="BF30" s="2258"/>
      <c r="BG30" s="2258"/>
      <c r="BH30" s="2258"/>
      <c r="BI30" s="2258"/>
      <c r="BJ30" s="2258"/>
      <c r="BK30" s="2258"/>
      <c r="BL30" s="2258"/>
      <c r="BM30" s="2258"/>
      <c r="BN30" s="2258"/>
      <c r="BO30" s="2258"/>
      <c r="BP30" s="2258"/>
      <c r="BQ30" s="2258"/>
      <c r="BR30" s="2258"/>
      <c r="BS30" s="2258"/>
      <c r="BT30" s="2258"/>
      <c r="BU30" s="2258"/>
      <c r="BV30" s="2258"/>
      <c r="BW30" s="2255">
        <v>0.9</v>
      </c>
      <c r="BX30" s="2254">
        <f>IF((BW30/K30)&gt;=40%,100%)</f>
        <v>1</v>
      </c>
      <c r="BY30" s="16762"/>
      <c r="BZ30" s="2259" t="s">
        <v>9268</v>
      </c>
      <c r="CA30" s="2259" t="s">
        <v>9269</v>
      </c>
      <c r="CB30" s="6785" t="s">
        <v>9270</v>
      </c>
      <c r="CC30" s="6786">
        <v>13882000</v>
      </c>
      <c r="CD30" s="2260" t="s">
        <v>9264</v>
      </c>
      <c r="CE30" s="2260"/>
      <c r="CF30" s="2260"/>
      <c r="CG30" s="2260">
        <v>1747</v>
      </c>
      <c r="CH30" s="2260">
        <v>348</v>
      </c>
      <c r="CI30" s="2260">
        <v>1399</v>
      </c>
      <c r="CJ30" s="2260"/>
      <c r="CK30" s="2260">
        <v>1747</v>
      </c>
      <c r="CL30" s="2260"/>
      <c r="CM30" s="2260"/>
      <c r="CN30" s="2260"/>
      <c r="CO30" s="2260"/>
      <c r="CP30" s="2260"/>
      <c r="CQ30" s="2260">
        <v>20</v>
      </c>
      <c r="CR30" s="2260">
        <v>947</v>
      </c>
      <c r="CS30" s="2260">
        <v>780</v>
      </c>
      <c r="CT30" s="2260"/>
      <c r="CU30" s="2260"/>
      <c r="CV30" s="2260">
        <v>1747</v>
      </c>
      <c r="CW30" s="2260"/>
      <c r="CX30" s="2260"/>
      <c r="CY30" s="2260"/>
      <c r="CZ30" s="2260"/>
      <c r="DA30" s="2260"/>
      <c r="DB30" s="2260"/>
      <c r="DC30" s="2260"/>
      <c r="DD30" s="2260"/>
      <c r="DE30" s="2260"/>
      <c r="DF30" s="2260"/>
      <c r="DG30" s="2260"/>
      <c r="DH30" s="2260"/>
      <c r="DI30" s="2260"/>
      <c r="DJ30" s="2260"/>
      <c r="DK30" s="2260"/>
      <c r="DL30" s="2260"/>
      <c r="DM30" s="2260"/>
      <c r="DN30" s="2260"/>
      <c r="DO30" s="2260"/>
      <c r="DP30" s="2260"/>
      <c r="DQ30" s="2260"/>
      <c r="DR30" s="2260"/>
      <c r="DS30" s="2260"/>
      <c r="DT30" s="2260"/>
      <c r="DU30" s="2261"/>
      <c r="DW30" s="6738"/>
      <c r="DX30" s="2258"/>
      <c r="DY30" s="2258"/>
      <c r="DZ30" s="2258"/>
      <c r="EA30" s="2258"/>
      <c r="EB30" s="2258"/>
      <c r="EC30" s="2258"/>
      <c r="ED30" s="2258"/>
      <c r="EE30" s="2258"/>
      <c r="EF30" s="2258"/>
      <c r="EG30" s="2258"/>
      <c r="EH30" s="2258"/>
      <c r="EI30" s="2258"/>
      <c r="EJ30" s="2258"/>
      <c r="EK30" s="2258"/>
      <c r="EL30" s="2258"/>
      <c r="EM30" s="2258"/>
      <c r="EN30" s="2258"/>
      <c r="EO30" s="2258"/>
      <c r="EP30" s="2258"/>
      <c r="EQ30" s="2258"/>
      <c r="ER30" s="2258"/>
      <c r="ES30" s="2258"/>
      <c r="ET30" s="2258"/>
      <c r="EU30" s="2258"/>
      <c r="EV30" s="2258"/>
      <c r="EW30" s="2258"/>
      <c r="EX30" s="2258"/>
      <c r="EY30" s="2258"/>
      <c r="EZ30" s="2258"/>
      <c r="FA30" s="2258"/>
      <c r="FB30" s="2258"/>
      <c r="FC30" s="2258"/>
      <c r="FD30" s="2258"/>
      <c r="FE30" s="2258"/>
      <c r="FF30" s="2258"/>
      <c r="FG30" s="2258"/>
      <c r="FH30" s="2258"/>
      <c r="FI30" s="2258"/>
      <c r="FJ30" s="2258"/>
      <c r="FK30" s="2258"/>
      <c r="FL30" s="2258"/>
      <c r="FM30" s="2258"/>
      <c r="FN30" s="2258"/>
      <c r="FO30" s="2258"/>
      <c r="FP30" s="2713"/>
    </row>
    <row r="31" spans="1:172" s="2251" customFormat="1" ht="15" customHeight="1">
      <c r="A31" s="16719"/>
      <c r="B31" s="16717"/>
      <c r="C31" s="15971"/>
      <c r="D31" s="15971"/>
      <c r="E31" s="15971"/>
      <c r="F31" s="16704"/>
      <c r="G31" s="16704"/>
      <c r="H31" s="2253"/>
      <c r="I31" s="2254"/>
      <c r="J31" s="2255"/>
      <c r="K31" s="16704"/>
      <c r="L31" s="16704"/>
      <c r="M31" s="16704"/>
      <c r="N31" s="16704"/>
      <c r="O31" s="16704"/>
      <c r="P31" s="16704"/>
      <c r="Q31" s="16704"/>
      <c r="R31" s="16704"/>
      <c r="S31" s="16704"/>
      <c r="T31" s="16704"/>
      <c r="U31" s="16704"/>
      <c r="V31" s="16704"/>
      <c r="W31" s="2253" t="s">
        <v>4337</v>
      </c>
      <c r="X31" s="2253"/>
      <c r="Y31" s="2253" t="s">
        <v>439</v>
      </c>
      <c r="Z31" s="2256"/>
      <c r="AA31" s="2256"/>
      <c r="AB31" s="2256"/>
      <c r="AC31" s="2256"/>
      <c r="AD31" s="2257"/>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2258"/>
      <c r="BB31" s="2258"/>
      <c r="BC31" s="2258"/>
      <c r="BD31" s="2258"/>
      <c r="BE31" s="2258"/>
      <c r="BF31" s="2258"/>
      <c r="BG31" s="2258"/>
      <c r="BH31" s="2258"/>
      <c r="BI31" s="2258"/>
      <c r="BJ31" s="2258"/>
      <c r="BK31" s="2258"/>
      <c r="BL31" s="2258"/>
      <c r="BM31" s="2258"/>
      <c r="BN31" s="2258"/>
      <c r="BO31" s="2258"/>
      <c r="BP31" s="2258"/>
      <c r="BQ31" s="2258"/>
      <c r="BR31" s="2258"/>
      <c r="BS31" s="2258"/>
      <c r="BT31" s="2258"/>
      <c r="BU31" s="2258"/>
      <c r="BV31" s="2258"/>
      <c r="BW31" s="2255"/>
      <c r="BX31" s="2254"/>
      <c r="BY31" s="16762"/>
      <c r="BZ31" s="2259"/>
      <c r="CA31" s="2259"/>
      <c r="CB31" s="6785"/>
      <c r="CC31" s="6786"/>
      <c r="CD31" s="2260"/>
      <c r="CE31" s="2260"/>
      <c r="CF31" s="2260"/>
      <c r="CG31" s="2260"/>
      <c r="CH31" s="2260"/>
      <c r="CI31" s="2260"/>
      <c r="CJ31" s="2260"/>
      <c r="CK31" s="2260"/>
      <c r="CL31" s="2260"/>
      <c r="CM31" s="2260"/>
      <c r="CN31" s="2260"/>
      <c r="CO31" s="2260"/>
      <c r="CP31" s="2260"/>
      <c r="CQ31" s="2260"/>
      <c r="CR31" s="2260"/>
      <c r="CS31" s="2260"/>
      <c r="CT31" s="2260"/>
      <c r="CU31" s="2260"/>
      <c r="CV31" s="2260"/>
      <c r="CW31" s="2260"/>
      <c r="CX31" s="2260"/>
      <c r="CY31" s="2260"/>
      <c r="CZ31" s="2260"/>
      <c r="DA31" s="2260"/>
      <c r="DB31" s="2260"/>
      <c r="DC31" s="2260"/>
      <c r="DD31" s="2260"/>
      <c r="DE31" s="2260"/>
      <c r="DF31" s="2260"/>
      <c r="DG31" s="2260"/>
      <c r="DH31" s="2260"/>
      <c r="DI31" s="2260"/>
      <c r="DJ31" s="2260"/>
      <c r="DK31" s="2260"/>
      <c r="DL31" s="2260"/>
      <c r="DM31" s="2260"/>
      <c r="DN31" s="2260"/>
      <c r="DO31" s="2260"/>
      <c r="DP31" s="2260"/>
      <c r="DQ31" s="2260"/>
      <c r="DR31" s="2260"/>
      <c r="DS31" s="2260"/>
      <c r="DT31" s="2260"/>
      <c r="DU31" s="2261"/>
      <c r="DW31" s="6738"/>
      <c r="DX31" s="2258"/>
      <c r="DY31" s="2258"/>
      <c r="DZ31" s="2258"/>
      <c r="EA31" s="2258"/>
      <c r="EB31" s="2258"/>
      <c r="EC31" s="2258"/>
      <c r="ED31" s="2258"/>
      <c r="EE31" s="2258"/>
      <c r="EF31" s="2258"/>
      <c r="EG31" s="2258"/>
      <c r="EH31" s="2258"/>
      <c r="EI31" s="2258"/>
      <c r="EJ31" s="2258"/>
      <c r="EK31" s="2258"/>
      <c r="EL31" s="2258"/>
      <c r="EM31" s="2258"/>
      <c r="EN31" s="2258"/>
      <c r="EO31" s="2258"/>
      <c r="EP31" s="2258"/>
      <c r="EQ31" s="2258"/>
      <c r="ER31" s="2258"/>
      <c r="ES31" s="2258"/>
      <c r="ET31" s="2258"/>
      <c r="EU31" s="2258"/>
      <c r="EV31" s="2258"/>
      <c r="EW31" s="2258"/>
      <c r="EX31" s="2258"/>
      <c r="EY31" s="2258"/>
      <c r="EZ31" s="2258"/>
      <c r="FA31" s="2258"/>
      <c r="FB31" s="2258"/>
      <c r="FC31" s="2258"/>
      <c r="FD31" s="2258"/>
      <c r="FE31" s="2258"/>
      <c r="FF31" s="2258"/>
      <c r="FG31" s="2258"/>
      <c r="FH31" s="2258"/>
      <c r="FI31" s="2258"/>
      <c r="FJ31" s="2258"/>
      <c r="FK31" s="2258"/>
      <c r="FL31" s="2258"/>
      <c r="FM31" s="2258"/>
      <c r="FN31" s="2258"/>
      <c r="FO31" s="2258"/>
      <c r="FP31" s="2713"/>
    </row>
    <row r="32" spans="1:172" s="2251" customFormat="1" ht="15" customHeight="1">
      <c r="A32" s="16719"/>
      <c r="B32" s="16717"/>
      <c r="C32" s="15971"/>
      <c r="D32" s="15971"/>
      <c r="E32" s="5102" t="s">
        <v>4504</v>
      </c>
      <c r="F32" s="2712" t="s">
        <v>440</v>
      </c>
      <c r="G32" s="2712" t="s">
        <v>441</v>
      </c>
      <c r="H32" s="2253" t="s">
        <v>382</v>
      </c>
      <c r="I32" s="2254">
        <v>0</v>
      </c>
      <c r="J32" s="2254">
        <v>0</v>
      </c>
      <c r="K32" s="2254">
        <v>0</v>
      </c>
      <c r="L32" s="2255">
        <v>0.1</v>
      </c>
      <c r="M32" s="2255">
        <v>0.2</v>
      </c>
      <c r="N32" s="2255">
        <v>0.3</v>
      </c>
      <c r="O32" s="2255">
        <v>0.4</v>
      </c>
      <c r="P32" s="2255">
        <v>0.5</v>
      </c>
      <c r="Q32" s="2255">
        <v>0.6</v>
      </c>
      <c r="R32" s="2255">
        <v>0.7</v>
      </c>
      <c r="S32" s="2255">
        <v>0.8</v>
      </c>
      <c r="T32" s="2255">
        <v>0.8</v>
      </c>
      <c r="U32" s="2255">
        <v>0.8</v>
      </c>
      <c r="V32" s="2253" t="s">
        <v>442</v>
      </c>
      <c r="W32" s="2253" t="s">
        <v>26</v>
      </c>
      <c r="X32" s="2253" t="s">
        <v>390</v>
      </c>
      <c r="Y32" s="6779" t="s">
        <v>391</v>
      </c>
      <c r="Z32" s="6787">
        <v>16500000</v>
      </c>
      <c r="AA32" s="2256"/>
      <c r="AB32" s="2256"/>
      <c r="AC32" s="2256"/>
      <c r="AD32" s="2257">
        <f t="shared" si="1"/>
        <v>16500000</v>
      </c>
      <c r="AE32" s="2258"/>
      <c r="AF32" s="2258"/>
      <c r="AG32" s="2258"/>
      <c r="AH32" s="2258"/>
      <c r="AI32" s="2258"/>
      <c r="AJ32" s="2258"/>
      <c r="AK32" s="2258"/>
      <c r="AL32" s="2258"/>
      <c r="AM32" s="2258"/>
      <c r="AN32" s="2258"/>
      <c r="AO32" s="2258"/>
      <c r="AP32" s="2258"/>
      <c r="AQ32" s="2258"/>
      <c r="AR32" s="2258"/>
      <c r="AS32" s="2258"/>
      <c r="AT32" s="2258"/>
      <c r="AU32" s="2258"/>
      <c r="AV32" s="2258"/>
      <c r="AW32" s="2258"/>
      <c r="AX32" s="2258"/>
      <c r="AY32" s="2258"/>
      <c r="AZ32" s="2258"/>
      <c r="BA32" s="2258"/>
      <c r="BB32" s="2258"/>
      <c r="BC32" s="2258"/>
      <c r="BD32" s="2258"/>
      <c r="BE32" s="2258"/>
      <c r="BF32" s="2258"/>
      <c r="BG32" s="2258"/>
      <c r="BH32" s="2258"/>
      <c r="BI32" s="2258"/>
      <c r="BJ32" s="2258"/>
      <c r="BK32" s="2258"/>
      <c r="BL32" s="2258"/>
      <c r="BM32" s="2258"/>
      <c r="BN32" s="2258"/>
      <c r="BO32" s="2258"/>
      <c r="BP32" s="2258"/>
      <c r="BQ32" s="2258"/>
      <c r="BR32" s="2258"/>
      <c r="BS32" s="2258"/>
      <c r="BT32" s="2258"/>
      <c r="BU32" s="2258"/>
      <c r="BV32" s="2258"/>
      <c r="BW32" s="6780">
        <v>1</v>
      </c>
      <c r="BX32" s="4785">
        <v>1</v>
      </c>
      <c r="BY32" s="16762"/>
      <c r="BZ32" s="2268" t="s">
        <v>9865</v>
      </c>
      <c r="CA32" s="2268" t="s">
        <v>9866</v>
      </c>
      <c r="CB32" s="2253" t="s">
        <v>9867</v>
      </c>
      <c r="CC32" s="2260"/>
      <c r="CD32" s="2260"/>
      <c r="CE32" s="2260"/>
      <c r="CF32" s="2260"/>
      <c r="CG32" s="2260"/>
      <c r="CH32" s="2260"/>
      <c r="CI32" s="2260"/>
      <c r="CJ32" s="2260"/>
      <c r="CK32" s="2260"/>
      <c r="CL32" s="2260"/>
      <c r="CM32" s="2260"/>
      <c r="CN32" s="2260"/>
      <c r="CO32" s="2260"/>
      <c r="CP32" s="2260"/>
      <c r="CQ32" s="2260"/>
      <c r="CR32" s="2260"/>
      <c r="CS32" s="2260"/>
      <c r="CT32" s="2260"/>
      <c r="CU32" s="2260"/>
      <c r="CV32" s="2260"/>
      <c r="CW32" s="2260"/>
      <c r="CX32" s="2260"/>
      <c r="CY32" s="2260"/>
      <c r="CZ32" s="2260"/>
      <c r="DA32" s="2260"/>
      <c r="DB32" s="2260"/>
      <c r="DC32" s="2260"/>
      <c r="DD32" s="2260"/>
      <c r="DE32" s="2260"/>
      <c r="DF32" s="2260"/>
      <c r="DG32" s="2260"/>
      <c r="DH32" s="2260"/>
      <c r="DI32" s="2260"/>
      <c r="DJ32" s="2260"/>
      <c r="DK32" s="2260"/>
      <c r="DL32" s="2260"/>
      <c r="DM32" s="2260"/>
      <c r="DN32" s="2260"/>
      <c r="DO32" s="2260"/>
      <c r="DP32" s="2260"/>
      <c r="DQ32" s="2260"/>
      <c r="DR32" s="2260"/>
      <c r="DS32" s="2260"/>
      <c r="DT32" s="2260"/>
      <c r="DU32" s="2261"/>
      <c r="DW32" s="6738"/>
      <c r="DX32" s="2258"/>
      <c r="DY32" s="2258"/>
      <c r="DZ32" s="2258"/>
      <c r="EA32" s="2258"/>
      <c r="EB32" s="2258"/>
      <c r="EC32" s="2258"/>
      <c r="ED32" s="2258"/>
      <c r="EE32" s="2258"/>
      <c r="EF32" s="2258"/>
      <c r="EG32" s="2258"/>
      <c r="EH32" s="2258"/>
      <c r="EI32" s="2258"/>
      <c r="EJ32" s="2258"/>
      <c r="EK32" s="2258"/>
      <c r="EL32" s="2258"/>
      <c r="EM32" s="2258"/>
      <c r="EN32" s="2258"/>
      <c r="EO32" s="2258"/>
      <c r="EP32" s="2258"/>
      <c r="EQ32" s="2258"/>
      <c r="ER32" s="2258"/>
      <c r="ES32" s="2258"/>
      <c r="ET32" s="2258"/>
      <c r="EU32" s="2258"/>
      <c r="EV32" s="2258"/>
      <c r="EW32" s="2258"/>
      <c r="EX32" s="2258"/>
      <c r="EY32" s="2258"/>
      <c r="EZ32" s="2258"/>
      <c r="FA32" s="2258"/>
      <c r="FB32" s="2258"/>
      <c r="FC32" s="2258"/>
      <c r="FD32" s="2258"/>
      <c r="FE32" s="2258"/>
      <c r="FF32" s="2258"/>
      <c r="FG32" s="2258"/>
      <c r="FH32" s="2258"/>
      <c r="FI32" s="2258"/>
      <c r="FJ32" s="2258"/>
      <c r="FK32" s="2258"/>
      <c r="FL32" s="2258"/>
      <c r="FM32" s="2258"/>
      <c r="FN32" s="2258"/>
      <c r="FO32" s="2258"/>
      <c r="FP32" s="2713"/>
    </row>
    <row r="33" spans="1:172" s="2251" customFormat="1" ht="15" customHeight="1">
      <c r="A33" s="16719"/>
      <c r="B33" s="16717"/>
      <c r="C33" s="15971"/>
      <c r="D33" s="15971"/>
      <c r="E33" s="15971" t="s">
        <v>4505</v>
      </c>
      <c r="F33" s="16703" t="s">
        <v>10283</v>
      </c>
      <c r="G33" s="16703" t="s">
        <v>444</v>
      </c>
      <c r="H33" s="2253" t="s">
        <v>382</v>
      </c>
      <c r="I33" s="2253">
        <v>1</v>
      </c>
      <c r="J33" s="2263">
        <v>1</v>
      </c>
      <c r="K33" s="16703">
        <v>1</v>
      </c>
      <c r="L33" s="16703">
        <v>1</v>
      </c>
      <c r="M33" s="16703">
        <v>1</v>
      </c>
      <c r="N33" s="16703">
        <v>1</v>
      </c>
      <c r="O33" s="16703">
        <v>1</v>
      </c>
      <c r="P33" s="16703">
        <v>1</v>
      </c>
      <c r="Q33" s="16703">
        <v>1</v>
      </c>
      <c r="R33" s="16703">
        <v>1</v>
      </c>
      <c r="S33" s="16703">
        <v>1</v>
      </c>
      <c r="T33" s="16703">
        <v>1</v>
      </c>
      <c r="U33" s="16703">
        <v>1</v>
      </c>
      <c r="V33" s="16703" t="s">
        <v>445</v>
      </c>
      <c r="W33" s="2253" t="s">
        <v>26</v>
      </c>
      <c r="X33" s="2253" t="s">
        <v>390</v>
      </c>
      <c r="Y33" s="2258"/>
      <c r="Z33" s="2256"/>
      <c r="AA33" s="2256"/>
      <c r="AB33" s="2256"/>
      <c r="AC33" s="2256"/>
      <c r="AD33" s="2257">
        <f t="shared" si="1"/>
        <v>0</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2258"/>
      <c r="BB33" s="2258"/>
      <c r="BC33" s="2258"/>
      <c r="BD33" s="2258"/>
      <c r="BE33" s="2258"/>
      <c r="BF33" s="2258"/>
      <c r="BG33" s="2258"/>
      <c r="BH33" s="2258"/>
      <c r="BI33" s="2258"/>
      <c r="BJ33" s="2258"/>
      <c r="BK33" s="2258"/>
      <c r="BL33" s="2258"/>
      <c r="BM33" s="2258"/>
      <c r="BN33" s="2258"/>
      <c r="BO33" s="2258"/>
      <c r="BP33" s="2258"/>
      <c r="BQ33" s="2258"/>
      <c r="BR33" s="2258"/>
      <c r="BS33" s="2258"/>
      <c r="BT33" s="2258"/>
      <c r="BU33" s="2258"/>
      <c r="BV33" s="2258"/>
      <c r="BW33" s="2707" t="s">
        <v>9653</v>
      </c>
      <c r="BX33" s="4785">
        <v>0</v>
      </c>
      <c r="BY33" s="16762"/>
      <c r="BZ33" s="2264"/>
      <c r="CA33" s="2264"/>
      <c r="CB33" s="6467" t="s">
        <v>9868</v>
      </c>
      <c r="CC33" s="2260"/>
      <c r="CD33" s="2260"/>
      <c r="CE33" s="2260"/>
      <c r="CF33" s="2260"/>
      <c r="CG33" s="2260"/>
      <c r="CH33" s="2260"/>
      <c r="CI33" s="2260"/>
      <c r="CJ33" s="2260"/>
      <c r="CK33" s="2260"/>
      <c r="CL33" s="2260"/>
      <c r="CM33" s="2260"/>
      <c r="CN33" s="2260"/>
      <c r="CO33" s="2260"/>
      <c r="CP33" s="2260"/>
      <c r="CQ33" s="2260"/>
      <c r="CR33" s="2260"/>
      <c r="CS33" s="2260"/>
      <c r="CT33" s="2260"/>
      <c r="CU33" s="2260"/>
      <c r="CV33" s="2260"/>
      <c r="CW33" s="2260"/>
      <c r="CX33" s="2260"/>
      <c r="CY33" s="2260"/>
      <c r="CZ33" s="2260"/>
      <c r="DA33" s="2260"/>
      <c r="DB33" s="2260"/>
      <c r="DC33" s="2260"/>
      <c r="DD33" s="2260"/>
      <c r="DE33" s="2260"/>
      <c r="DF33" s="2260"/>
      <c r="DG33" s="2260"/>
      <c r="DH33" s="2260"/>
      <c r="DI33" s="2260"/>
      <c r="DJ33" s="2260"/>
      <c r="DK33" s="2260"/>
      <c r="DL33" s="2260"/>
      <c r="DM33" s="2260"/>
      <c r="DN33" s="2260"/>
      <c r="DO33" s="2260"/>
      <c r="DP33" s="2260"/>
      <c r="DQ33" s="2260"/>
      <c r="DR33" s="2260"/>
      <c r="DS33" s="2260"/>
      <c r="DT33" s="2260"/>
      <c r="DU33" s="2261"/>
      <c r="DW33" s="6738"/>
      <c r="DX33" s="2258"/>
      <c r="DY33" s="2258"/>
      <c r="DZ33" s="2258"/>
      <c r="EA33" s="2258"/>
      <c r="EB33" s="2258"/>
      <c r="EC33" s="2258"/>
      <c r="ED33" s="2258"/>
      <c r="EE33" s="2258"/>
      <c r="EF33" s="2258"/>
      <c r="EG33" s="2258"/>
      <c r="EH33" s="2258"/>
      <c r="EI33" s="2258"/>
      <c r="EJ33" s="2258"/>
      <c r="EK33" s="2258"/>
      <c r="EL33" s="2258"/>
      <c r="EM33" s="2258"/>
      <c r="EN33" s="2258"/>
      <c r="EO33" s="2258"/>
      <c r="EP33" s="2258"/>
      <c r="EQ33" s="2258"/>
      <c r="ER33" s="2258"/>
      <c r="ES33" s="2258"/>
      <c r="ET33" s="2258"/>
      <c r="EU33" s="2258"/>
      <c r="EV33" s="2258"/>
      <c r="EW33" s="2258"/>
      <c r="EX33" s="2258"/>
      <c r="EY33" s="2258"/>
      <c r="EZ33" s="2258"/>
      <c r="FA33" s="2258"/>
      <c r="FB33" s="2258"/>
      <c r="FC33" s="2258"/>
      <c r="FD33" s="2258"/>
      <c r="FE33" s="2258"/>
      <c r="FF33" s="2258"/>
      <c r="FG33" s="2258"/>
      <c r="FH33" s="2258"/>
      <c r="FI33" s="2258"/>
      <c r="FJ33" s="2258"/>
      <c r="FK33" s="2258"/>
      <c r="FL33" s="2258"/>
      <c r="FM33" s="2258"/>
      <c r="FN33" s="2258"/>
      <c r="FO33" s="2258"/>
      <c r="FP33" s="2713"/>
    </row>
    <row r="34" spans="1:172" s="2251" customFormat="1" ht="15" customHeight="1">
      <c r="A34" s="16719"/>
      <c r="B34" s="16717"/>
      <c r="C34" s="15971"/>
      <c r="D34" s="15971"/>
      <c r="E34" s="15971"/>
      <c r="F34" s="16703"/>
      <c r="G34" s="16703"/>
      <c r="H34" s="2253"/>
      <c r="I34" s="2253"/>
      <c r="J34" s="2263"/>
      <c r="K34" s="16703"/>
      <c r="L34" s="16703"/>
      <c r="M34" s="16703"/>
      <c r="N34" s="16703"/>
      <c r="O34" s="16703"/>
      <c r="P34" s="16703"/>
      <c r="Q34" s="16703"/>
      <c r="R34" s="16703"/>
      <c r="S34" s="16703"/>
      <c r="T34" s="16703"/>
      <c r="U34" s="16703"/>
      <c r="V34" s="16703"/>
      <c r="W34" s="2253" t="s">
        <v>477</v>
      </c>
      <c r="X34" s="2253"/>
      <c r="Y34" s="2253" t="s">
        <v>477</v>
      </c>
      <c r="Z34" s="2256"/>
      <c r="AA34" s="2256"/>
      <c r="AB34" s="2256"/>
      <c r="AC34" s="2256"/>
      <c r="AD34" s="2257"/>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2258"/>
      <c r="BB34" s="2258"/>
      <c r="BC34" s="2258"/>
      <c r="BD34" s="2258"/>
      <c r="BE34" s="2258"/>
      <c r="BF34" s="2258"/>
      <c r="BG34" s="2258"/>
      <c r="BH34" s="2258"/>
      <c r="BI34" s="2258"/>
      <c r="BJ34" s="2258"/>
      <c r="BK34" s="2258"/>
      <c r="BL34" s="2258"/>
      <c r="BM34" s="2258"/>
      <c r="BN34" s="2258"/>
      <c r="BO34" s="2258"/>
      <c r="BP34" s="2258"/>
      <c r="BQ34" s="2258"/>
      <c r="BR34" s="2258"/>
      <c r="BS34" s="2258"/>
      <c r="BT34" s="2258"/>
      <c r="BU34" s="2258"/>
      <c r="BV34" s="2258"/>
      <c r="BW34" s="2707"/>
      <c r="BX34" s="4785"/>
      <c r="BY34" s="16762"/>
      <c r="BZ34" s="2264"/>
      <c r="CA34" s="2264"/>
      <c r="CB34" s="6467"/>
      <c r="CC34" s="2260"/>
      <c r="CD34" s="2260"/>
      <c r="CE34" s="2260"/>
      <c r="CF34" s="2260"/>
      <c r="CG34" s="2260"/>
      <c r="CH34" s="2260"/>
      <c r="CI34" s="2260"/>
      <c r="CJ34" s="2260"/>
      <c r="CK34" s="2260"/>
      <c r="CL34" s="2260"/>
      <c r="CM34" s="2260"/>
      <c r="CN34" s="2260"/>
      <c r="CO34" s="2260"/>
      <c r="CP34" s="2260"/>
      <c r="CQ34" s="2260"/>
      <c r="CR34" s="2260"/>
      <c r="CS34" s="2260"/>
      <c r="CT34" s="2260"/>
      <c r="CU34" s="2260"/>
      <c r="CV34" s="2260"/>
      <c r="CW34" s="2260"/>
      <c r="CX34" s="2260"/>
      <c r="CY34" s="2260"/>
      <c r="CZ34" s="2260"/>
      <c r="DA34" s="2260"/>
      <c r="DB34" s="2260"/>
      <c r="DC34" s="2260"/>
      <c r="DD34" s="2260"/>
      <c r="DE34" s="2260"/>
      <c r="DF34" s="2260"/>
      <c r="DG34" s="2260"/>
      <c r="DH34" s="2260"/>
      <c r="DI34" s="2260"/>
      <c r="DJ34" s="2260"/>
      <c r="DK34" s="2260"/>
      <c r="DL34" s="2260"/>
      <c r="DM34" s="2260"/>
      <c r="DN34" s="2260"/>
      <c r="DO34" s="2260"/>
      <c r="DP34" s="2260"/>
      <c r="DQ34" s="2260"/>
      <c r="DR34" s="2260"/>
      <c r="DS34" s="2260"/>
      <c r="DT34" s="2260"/>
      <c r="DU34" s="2261"/>
      <c r="DW34" s="6738"/>
      <c r="DX34" s="2258"/>
      <c r="DY34" s="2258"/>
      <c r="DZ34" s="2258"/>
      <c r="EA34" s="2258"/>
      <c r="EB34" s="2258"/>
      <c r="EC34" s="2258"/>
      <c r="ED34" s="2258"/>
      <c r="EE34" s="2258"/>
      <c r="EF34" s="2258"/>
      <c r="EG34" s="2258"/>
      <c r="EH34" s="2258"/>
      <c r="EI34" s="2258"/>
      <c r="EJ34" s="2258"/>
      <c r="EK34" s="2258"/>
      <c r="EL34" s="2258"/>
      <c r="EM34" s="2258"/>
      <c r="EN34" s="2258"/>
      <c r="EO34" s="2258"/>
      <c r="EP34" s="2258"/>
      <c r="EQ34" s="2258"/>
      <c r="ER34" s="2258"/>
      <c r="ES34" s="2258"/>
      <c r="ET34" s="2258"/>
      <c r="EU34" s="2258"/>
      <c r="EV34" s="2258"/>
      <c r="EW34" s="2258"/>
      <c r="EX34" s="2258"/>
      <c r="EY34" s="2258"/>
      <c r="EZ34" s="2258"/>
      <c r="FA34" s="2258"/>
      <c r="FB34" s="2258"/>
      <c r="FC34" s="2258"/>
      <c r="FD34" s="2258"/>
      <c r="FE34" s="2258"/>
      <c r="FF34" s="2258"/>
      <c r="FG34" s="2258"/>
      <c r="FH34" s="2258"/>
      <c r="FI34" s="2258"/>
      <c r="FJ34" s="2258"/>
      <c r="FK34" s="2258"/>
      <c r="FL34" s="2258"/>
      <c r="FM34" s="2258"/>
      <c r="FN34" s="2258"/>
      <c r="FO34" s="2258"/>
      <c r="FP34" s="2713"/>
    </row>
    <row r="35" spans="1:172" s="2251" customFormat="1" ht="15" customHeight="1">
      <c r="A35" s="16719"/>
      <c r="B35" s="16717"/>
      <c r="C35" s="15971"/>
      <c r="D35" s="15971"/>
      <c r="E35" s="15971"/>
      <c r="F35" s="16703"/>
      <c r="G35" s="16703"/>
      <c r="H35" s="2253"/>
      <c r="I35" s="2253"/>
      <c r="J35" s="2263"/>
      <c r="K35" s="16703"/>
      <c r="L35" s="16703"/>
      <c r="M35" s="16703"/>
      <c r="N35" s="16703"/>
      <c r="O35" s="16703"/>
      <c r="P35" s="16703"/>
      <c r="Q35" s="16703"/>
      <c r="R35" s="16703"/>
      <c r="S35" s="16703"/>
      <c r="T35" s="16703"/>
      <c r="U35" s="16703"/>
      <c r="V35" s="16703"/>
      <c r="W35" s="2253" t="s">
        <v>10186</v>
      </c>
      <c r="X35" s="2253"/>
      <c r="Y35" s="2253" t="s">
        <v>10282</v>
      </c>
      <c r="Z35" s="2256"/>
      <c r="AA35" s="2256"/>
      <c r="AB35" s="2256"/>
      <c r="AC35" s="2256"/>
      <c r="AD35" s="2257"/>
      <c r="AE35" s="2258"/>
      <c r="AF35" s="2258"/>
      <c r="AG35" s="2258"/>
      <c r="AH35" s="2258"/>
      <c r="AI35" s="2258"/>
      <c r="AJ35" s="2258"/>
      <c r="AK35" s="2258"/>
      <c r="AL35" s="2258"/>
      <c r="AM35" s="2258"/>
      <c r="AN35" s="2258"/>
      <c r="AO35" s="2258"/>
      <c r="AP35" s="2258"/>
      <c r="AQ35" s="2258"/>
      <c r="AR35" s="2258"/>
      <c r="AS35" s="2258"/>
      <c r="AT35" s="2258"/>
      <c r="AU35" s="2258"/>
      <c r="AV35" s="2258"/>
      <c r="AW35" s="2258"/>
      <c r="AX35" s="2258"/>
      <c r="AY35" s="2258"/>
      <c r="AZ35" s="2258"/>
      <c r="BA35" s="2258"/>
      <c r="BB35" s="2258"/>
      <c r="BC35" s="2258"/>
      <c r="BD35" s="2258"/>
      <c r="BE35" s="2258"/>
      <c r="BF35" s="2258"/>
      <c r="BG35" s="2258"/>
      <c r="BH35" s="2258"/>
      <c r="BI35" s="2258"/>
      <c r="BJ35" s="2258"/>
      <c r="BK35" s="2258"/>
      <c r="BL35" s="2258"/>
      <c r="BM35" s="2258"/>
      <c r="BN35" s="2258"/>
      <c r="BO35" s="2258"/>
      <c r="BP35" s="2258"/>
      <c r="BQ35" s="2258"/>
      <c r="BR35" s="2258"/>
      <c r="BS35" s="2258"/>
      <c r="BT35" s="2258"/>
      <c r="BU35" s="2258"/>
      <c r="BV35" s="2258"/>
      <c r="BW35" s="2707"/>
      <c r="BX35" s="4785"/>
      <c r="BY35" s="16762"/>
      <c r="BZ35" s="2264"/>
      <c r="CA35" s="2264"/>
      <c r="CB35" s="6467"/>
      <c r="CC35" s="2260"/>
      <c r="CD35" s="2260"/>
      <c r="CE35" s="2260"/>
      <c r="CF35" s="2260"/>
      <c r="CG35" s="2260"/>
      <c r="CH35" s="2260"/>
      <c r="CI35" s="2260"/>
      <c r="CJ35" s="2260"/>
      <c r="CK35" s="2260"/>
      <c r="CL35" s="2260"/>
      <c r="CM35" s="2260"/>
      <c r="CN35" s="2260"/>
      <c r="CO35" s="2260"/>
      <c r="CP35" s="2260"/>
      <c r="CQ35" s="2260"/>
      <c r="CR35" s="2260"/>
      <c r="CS35" s="2260"/>
      <c r="CT35" s="2260"/>
      <c r="CU35" s="2260"/>
      <c r="CV35" s="2260"/>
      <c r="CW35" s="2260"/>
      <c r="CX35" s="2260"/>
      <c r="CY35" s="2260"/>
      <c r="CZ35" s="2260"/>
      <c r="DA35" s="2260"/>
      <c r="DB35" s="2260"/>
      <c r="DC35" s="2260"/>
      <c r="DD35" s="2260"/>
      <c r="DE35" s="2260"/>
      <c r="DF35" s="2260"/>
      <c r="DG35" s="2260"/>
      <c r="DH35" s="2260"/>
      <c r="DI35" s="2260"/>
      <c r="DJ35" s="2260"/>
      <c r="DK35" s="2260"/>
      <c r="DL35" s="2260"/>
      <c r="DM35" s="2260"/>
      <c r="DN35" s="2260"/>
      <c r="DO35" s="2260"/>
      <c r="DP35" s="2260"/>
      <c r="DQ35" s="2260"/>
      <c r="DR35" s="2260"/>
      <c r="DS35" s="2260"/>
      <c r="DT35" s="2260"/>
      <c r="DU35" s="2261"/>
      <c r="DW35" s="6738"/>
      <c r="DX35" s="2258"/>
      <c r="DY35" s="2258"/>
      <c r="DZ35" s="2258"/>
      <c r="EA35" s="2258"/>
      <c r="EB35" s="2258"/>
      <c r="EC35" s="2258"/>
      <c r="ED35" s="2258"/>
      <c r="EE35" s="2258"/>
      <c r="EF35" s="2258"/>
      <c r="EG35" s="2258"/>
      <c r="EH35" s="2258"/>
      <c r="EI35" s="2258"/>
      <c r="EJ35" s="2258"/>
      <c r="EK35" s="2258"/>
      <c r="EL35" s="2258"/>
      <c r="EM35" s="2258"/>
      <c r="EN35" s="2258"/>
      <c r="EO35" s="2258"/>
      <c r="EP35" s="2258"/>
      <c r="EQ35" s="2258"/>
      <c r="ER35" s="2258"/>
      <c r="ES35" s="2258"/>
      <c r="ET35" s="2258"/>
      <c r="EU35" s="2258"/>
      <c r="EV35" s="2258"/>
      <c r="EW35" s="2258"/>
      <c r="EX35" s="2258"/>
      <c r="EY35" s="2258"/>
      <c r="EZ35" s="2258"/>
      <c r="FA35" s="2258"/>
      <c r="FB35" s="2258"/>
      <c r="FC35" s="2258"/>
      <c r="FD35" s="2258"/>
      <c r="FE35" s="2258"/>
      <c r="FF35" s="2258"/>
      <c r="FG35" s="2258"/>
      <c r="FH35" s="2258"/>
      <c r="FI35" s="2258"/>
      <c r="FJ35" s="2258"/>
      <c r="FK35" s="2258"/>
      <c r="FL35" s="2258"/>
      <c r="FM35" s="2258"/>
      <c r="FN35" s="2258"/>
      <c r="FO35" s="2258"/>
      <c r="FP35" s="2713"/>
    </row>
    <row r="36" spans="1:172" s="2251" customFormat="1" ht="15" customHeight="1">
      <c r="A36" s="16719"/>
      <c r="B36" s="16717"/>
      <c r="C36" s="15971"/>
      <c r="D36" s="15971"/>
      <c r="E36" s="5102" t="s">
        <v>4506</v>
      </c>
      <c r="F36" s="2712" t="s">
        <v>446</v>
      </c>
      <c r="G36" s="2712" t="s">
        <v>447</v>
      </c>
      <c r="H36" s="2253" t="s">
        <v>448</v>
      </c>
      <c r="I36" s="2253" t="s">
        <v>449</v>
      </c>
      <c r="J36" s="2253" t="s">
        <v>449</v>
      </c>
      <c r="K36" s="2253" t="s">
        <v>450</v>
      </c>
      <c r="L36" s="2253" t="s">
        <v>451</v>
      </c>
      <c r="M36" s="2253" t="s">
        <v>452</v>
      </c>
      <c r="N36" s="2253" t="s">
        <v>453</v>
      </c>
      <c r="O36" s="2253" t="s">
        <v>454</v>
      </c>
      <c r="P36" s="2253" t="s">
        <v>455</v>
      </c>
      <c r="Q36" s="2253" t="s">
        <v>456</v>
      </c>
      <c r="R36" s="2253" t="s">
        <v>457</v>
      </c>
      <c r="S36" s="2253" t="s">
        <v>458</v>
      </c>
      <c r="T36" s="2253" t="s">
        <v>459</v>
      </c>
      <c r="U36" s="2253">
        <v>80</v>
      </c>
      <c r="V36" s="2253" t="s">
        <v>460</v>
      </c>
      <c r="W36" s="2253" t="s">
        <v>26</v>
      </c>
      <c r="X36" s="2253" t="s">
        <v>390</v>
      </c>
      <c r="Y36" s="2253" t="s">
        <v>429</v>
      </c>
      <c r="Z36" s="6788">
        <v>500000000</v>
      </c>
      <c r="AA36" s="2256"/>
      <c r="AB36" s="2256"/>
      <c r="AC36" s="2256"/>
      <c r="AD36" s="2257">
        <f t="shared" si="1"/>
        <v>500000000</v>
      </c>
      <c r="AE36" s="2258"/>
      <c r="AF36" s="2258"/>
      <c r="AG36" s="2258"/>
      <c r="AH36" s="2258"/>
      <c r="AI36" s="2258"/>
      <c r="AJ36" s="2258"/>
      <c r="AK36" s="2258"/>
      <c r="AL36" s="2258"/>
      <c r="AM36" s="2258"/>
      <c r="AN36" s="2258"/>
      <c r="AO36" s="2258"/>
      <c r="AP36" s="2258"/>
      <c r="AQ36" s="2258"/>
      <c r="AR36" s="2258"/>
      <c r="AS36" s="2258"/>
      <c r="AT36" s="2258"/>
      <c r="AU36" s="2258"/>
      <c r="AV36" s="2258"/>
      <c r="AW36" s="2258"/>
      <c r="AX36" s="2258"/>
      <c r="AY36" s="2258"/>
      <c r="AZ36" s="2258"/>
      <c r="BA36" s="2258"/>
      <c r="BB36" s="2258"/>
      <c r="BC36" s="2258"/>
      <c r="BD36" s="2258"/>
      <c r="BE36" s="2258"/>
      <c r="BF36" s="2258"/>
      <c r="BG36" s="2258"/>
      <c r="BH36" s="2258"/>
      <c r="BI36" s="2258"/>
      <c r="BJ36" s="2258"/>
      <c r="BK36" s="2258"/>
      <c r="BL36" s="2258"/>
      <c r="BM36" s="2258"/>
      <c r="BN36" s="2258"/>
      <c r="BO36" s="2258"/>
      <c r="BP36" s="2258"/>
      <c r="BQ36" s="2258"/>
      <c r="BR36" s="2258"/>
      <c r="BS36" s="2258"/>
      <c r="BT36" s="2258"/>
      <c r="BU36" s="2258"/>
      <c r="BV36" s="2258"/>
      <c r="BW36" s="6780">
        <v>1</v>
      </c>
      <c r="BX36" s="4785">
        <v>1</v>
      </c>
      <c r="BY36" s="16762"/>
      <c r="BZ36" s="2253" t="s">
        <v>9869</v>
      </c>
      <c r="CA36" s="2253" t="s">
        <v>9870</v>
      </c>
      <c r="CB36" s="2253" t="s">
        <v>9871</v>
      </c>
      <c r="CC36" s="6782">
        <v>619999996</v>
      </c>
      <c r="CD36" s="2260" t="s">
        <v>2943</v>
      </c>
      <c r="CE36" s="2260"/>
      <c r="CF36" s="2260"/>
      <c r="CG36" s="2260"/>
      <c r="CH36" s="2260"/>
      <c r="CI36" s="2260"/>
      <c r="CJ36" s="2260"/>
      <c r="CK36" s="2260"/>
      <c r="CL36" s="2260"/>
      <c r="CM36" s="2260"/>
      <c r="CN36" s="2260"/>
      <c r="CO36" s="2260"/>
      <c r="CP36" s="2260"/>
      <c r="CQ36" s="2260"/>
      <c r="CR36" s="2260"/>
      <c r="CS36" s="2260"/>
      <c r="CT36" s="2260"/>
      <c r="CU36" s="2260"/>
      <c r="CV36" s="2260"/>
      <c r="CW36" s="2260"/>
      <c r="CX36" s="2260"/>
      <c r="CY36" s="2260"/>
      <c r="CZ36" s="2260"/>
      <c r="DA36" s="2260"/>
      <c r="DB36" s="2260"/>
      <c r="DC36" s="2260"/>
      <c r="DD36" s="2260"/>
      <c r="DE36" s="2260"/>
      <c r="DF36" s="2260"/>
      <c r="DG36" s="2260"/>
      <c r="DH36" s="2260"/>
      <c r="DI36" s="2260"/>
      <c r="DJ36" s="2260"/>
      <c r="DK36" s="2260"/>
      <c r="DL36" s="2260"/>
      <c r="DM36" s="2260"/>
      <c r="DN36" s="2260"/>
      <c r="DO36" s="2260"/>
      <c r="DP36" s="2260"/>
      <c r="DQ36" s="2260"/>
      <c r="DR36" s="2260"/>
      <c r="DS36" s="2260"/>
      <c r="DT36" s="2260"/>
      <c r="DU36" s="2261"/>
      <c r="DW36" s="6738"/>
      <c r="DX36" s="2258"/>
      <c r="DY36" s="2258"/>
      <c r="DZ36" s="2258"/>
      <c r="EA36" s="2258"/>
      <c r="EB36" s="2258"/>
      <c r="EC36" s="2258"/>
      <c r="ED36" s="2258"/>
      <c r="EE36" s="2258"/>
      <c r="EF36" s="2258"/>
      <c r="EG36" s="2258"/>
      <c r="EH36" s="2258"/>
      <c r="EI36" s="2258"/>
      <c r="EJ36" s="2258"/>
      <c r="EK36" s="2258"/>
      <c r="EL36" s="2258"/>
      <c r="EM36" s="2258"/>
      <c r="EN36" s="2258"/>
      <c r="EO36" s="2258"/>
      <c r="EP36" s="2258"/>
      <c r="EQ36" s="2258"/>
      <c r="ER36" s="2258"/>
      <c r="ES36" s="2258"/>
      <c r="ET36" s="2258"/>
      <c r="EU36" s="2258"/>
      <c r="EV36" s="2258"/>
      <c r="EW36" s="2258"/>
      <c r="EX36" s="2258"/>
      <c r="EY36" s="2258"/>
      <c r="EZ36" s="2258"/>
      <c r="FA36" s="2258"/>
      <c r="FB36" s="2258"/>
      <c r="FC36" s="2258"/>
      <c r="FD36" s="2258"/>
      <c r="FE36" s="2258"/>
      <c r="FF36" s="2258"/>
      <c r="FG36" s="2258"/>
      <c r="FH36" s="2258"/>
      <c r="FI36" s="2258"/>
      <c r="FJ36" s="2258"/>
      <c r="FK36" s="2258"/>
      <c r="FL36" s="2258"/>
      <c r="FM36" s="2258"/>
      <c r="FN36" s="2258"/>
      <c r="FO36" s="2258"/>
      <c r="FP36" s="2713"/>
    </row>
    <row r="37" spans="1:172" s="2251" customFormat="1" ht="15" customHeight="1">
      <c r="A37" s="16719"/>
      <c r="B37" s="16717"/>
      <c r="C37" s="15971"/>
      <c r="D37" s="15971" t="s">
        <v>461</v>
      </c>
      <c r="E37" s="5102" t="s">
        <v>4507</v>
      </c>
      <c r="F37" s="2252" t="s">
        <v>462</v>
      </c>
      <c r="G37" s="2252" t="s">
        <v>463</v>
      </c>
      <c r="H37" s="2253" t="s">
        <v>386</v>
      </c>
      <c r="I37" s="2254">
        <v>0</v>
      </c>
      <c r="J37" s="2255">
        <v>0.15</v>
      </c>
      <c r="K37" s="2255">
        <v>0.3</v>
      </c>
      <c r="L37" s="2255">
        <v>0.45</v>
      </c>
      <c r="M37" s="2255">
        <v>0.6</v>
      </c>
      <c r="N37" s="2255">
        <v>0.75</v>
      </c>
      <c r="O37" s="2255">
        <v>0.95</v>
      </c>
      <c r="P37" s="2255">
        <v>1</v>
      </c>
      <c r="Q37" s="2255">
        <v>1</v>
      </c>
      <c r="R37" s="2255">
        <v>1</v>
      </c>
      <c r="S37" s="2255">
        <v>1</v>
      </c>
      <c r="T37" s="2255">
        <v>1</v>
      </c>
      <c r="U37" s="2255">
        <v>1</v>
      </c>
      <c r="V37" s="2253" t="s">
        <v>464</v>
      </c>
      <c r="W37" s="2253" t="s">
        <v>10066</v>
      </c>
      <c r="X37" s="2253" t="s">
        <v>298</v>
      </c>
      <c r="Y37" s="2253"/>
      <c r="Z37" s="16773">
        <v>18194000</v>
      </c>
      <c r="AA37" s="16773"/>
      <c r="AB37" s="16773"/>
      <c r="AC37" s="16773"/>
      <c r="AD37" s="16772">
        <f t="shared" si="1"/>
        <v>18194000</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2258"/>
      <c r="BB37" s="2258"/>
      <c r="BC37" s="2258"/>
      <c r="BD37" s="2258"/>
      <c r="BE37" s="2258"/>
      <c r="BF37" s="2258"/>
      <c r="BG37" s="2258"/>
      <c r="BH37" s="2258"/>
      <c r="BI37" s="2258"/>
      <c r="BJ37" s="2258"/>
      <c r="BK37" s="2258"/>
      <c r="BL37" s="2258"/>
      <c r="BM37" s="2258"/>
      <c r="BN37" s="2258"/>
      <c r="BO37" s="2258"/>
      <c r="BP37" s="2258"/>
      <c r="BQ37" s="2258"/>
      <c r="BR37" s="2258"/>
      <c r="BS37" s="2258"/>
      <c r="BT37" s="2258"/>
      <c r="BU37" s="2258"/>
      <c r="BV37" s="2258"/>
      <c r="BW37" s="2255">
        <v>0.3</v>
      </c>
      <c r="BX37" s="2254">
        <f>BW37/K37</f>
        <v>1</v>
      </c>
      <c r="BY37" s="16762"/>
      <c r="BZ37" s="2259" t="s">
        <v>9781</v>
      </c>
      <c r="CA37" s="2264" t="s">
        <v>9271</v>
      </c>
      <c r="CB37" s="2259" t="s">
        <v>9272</v>
      </c>
      <c r="CC37" s="6786">
        <v>18194000</v>
      </c>
      <c r="CD37" s="2260" t="s">
        <v>9264</v>
      </c>
      <c r="CE37" s="2260"/>
      <c r="CF37" s="2260"/>
      <c r="CG37" s="2260">
        <v>80</v>
      </c>
      <c r="CH37" s="2260">
        <v>16</v>
      </c>
      <c r="CI37" s="2260">
        <v>64</v>
      </c>
      <c r="CJ37" s="2260"/>
      <c r="CK37" s="2260">
        <v>70</v>
      </c>
      <c r="CL37" s="2260">
        <v>10</v>
      </c>
      <c r="CM37" s="2260"/>
      <c r="CN37" s="2260"/>
      <c r="CO37" s="2260"/>
      <c r="CP37" s="2260"/>
      <c r="CQ37" s="2260">
        <v>10</v>
      </c>
      <c r="CR37" s="2260">
        <v>20</v>
      </c>
      <c r="CS37" s="2260">
        <v>50</v>
      </c>
      <c r="CT37" s="2260"/>
      <c r="CU37" s="2260"/>
      <c r="CV37" s="2260">
        <v>80</v>
      </c>
      <c r="CW37" s="2260"/>
      <c r="CX37" s="2260"/>
      <c r="CY37" s="2260"/>
      <c r="CZ37" s="2260"/>
      <c r="DA37" s="2260"/>
      <c r="DB37" s="2260"/>
      <c r="DC37" s="2260"/>
      <c r="DD37" s="2260"/>
      <c r="DE37" s="2260"/>
      <c r="DF37" s="2260"/>
      <c r="DG37" s="2260"/>
      <c r="DH37" s="2260"/>
      <c r="DI37" s="2260"/>
      <c r="DJ37" s="2260"/>
      <c r="DK37" s="2260"/>
      <c r="DL37" s="2260"/>
      <c r="DM37" s="2260"/>
      <c r="DN37" s="2260"/>
      <c r="DO37" s="2260"/>
      <c r="DP37" s="2260"/>
      <c r="DQ37" s="2260"/>
      <c r="DR37" s="2260"/>
      <c r="DS37" s="2260"/>
      <c r="DT37" s="2260"/>
      <c r="DU37" s="2261"/>
      <c r="DW37" s="6738"/>
      <c r="DX37" s="2258"/>
      <c r="DY37" s="2258"/>
      <c r="DZ37" s="2258"/>
      <c r="EA37" s="2258"/>
      <c r="EB37" s="2258"/>
      <c r="EC37" s="2258"/>
      <c r="ED37" s="2258"/>
      <c r="EE37" s="2258"/>
      <c r="EF37" s="2258"/>
      <c r="EG37" s="2258"/>
      <c r="EH37" s="2258"/>
      <c r="EI37" s="2258"/>
      <c r="EJ37" s="2258"/>
      <c r="EK37" s="2258"/>
      <c r="EL37" s="2258"/>
      <c r="EM37" s="2258"/>
      <c r="EN37" s="2258"/>
      <c r="EO37" s="2258"/>
      <c r="EP37" s="2258"/>
      <c r="EQ37" s="2258"/>
      <c r="ER37" s="2258"/>
      <c r="ES37" s="2258"/>
      <c r="ET37" s="2258"/>
      <c r="EU37" s="2258"/>
      <c r="EV37" s="2258"/>
      <c r="EW37" s="2258"/>
      <c r="EX37" s="2258"/>
      <c r="EY37" s="2258"/>
      <c r="EZ37" s="2258"/>
      <c r="FA37" s="2258"/>
      <c r="FB37" s="2258"/>
      <c r="FC37" s="2258"/>
      <c r="FD37" s="2258"/>
      <c r="FE37" s="2258"/>
      <c r="FF37" s="2258"/>
      <c r="FG37" s="2258"/>
      <c r="FH37" s="2258"/>
      <c r="FI37" s="2258"/>
      <c r="FJ37" s="2258"/>
      <c r="FK37" s="2258"/>
      <c r="FL37" s="2258"/>
      <c r="FM37" s="2258"/>
      <c r="FN37" s="2258"/>
      <c r="FO37" s="2258"/>
      <c r="FP37" s="2713"/>
    </row>
    <row r="38" spans="1:172" s="2251" customFormat="1" ht="15" customHeight="1">
      <c r="A38" s="16719"/>
      <c r="B38" s="16717"/>
      <c r="C38" s="15971"/>
      <c r="D38" s="15971"/>
      <c r="E38" s="5102" t="s">
        <v>4508</v>
      </c>
      <c r="F38" s="2252" t="s">
        <v>465</v>
      </c>
      <c r="G38" s="2252" t="s">
        <v>466</v>
      </c>
      <c r="H38" s="2253" t="s">
        <v>382</v>
      </c>
      <c r="I38" s="2253">
        <v>0</v>
      </c>
      <c r="J38" s="2253">
        <v>4</v>
      </c>
      <c r="K38" s="2253">
        <v>4</v>
      </c>
      <c r="L38" s="2253">
        <v>4</v>
      </c>
      <c r="M38" s="2253">
        <v>4</v>
      </c>
      <c r="N38" s="2253">
        <v>4</v>
      </c>
      <c r="O38" s="2253">
        <v>4</v>
      </c>
      <c r="P38" s="2253">
        <v>4</v>
      </c>
      <c r="Q38" s="2253">
        <v>4</v>
      </c>
      <c r="R38" s="2253">
        <v>4</v>
      </c>
      <c r="S38" s="2253">
        <v>4</v>
      </c>
      <c r="T38" s="2253">
        <v>4</v>
      </c>
      <c r="U38" s="2253">
        <v>4</v>
      </c>
      <c r="V38" s="2253" t="s">
        <v>383</v>
      </c>
      <c r="W38" s="2253" t="s">
        <v>10066</v>
      </c>
      <c r="X38" s="2253" t="s">
        <v>298</v>
      </c>
      <c r="Y38" s="2253"/>
      <c r="Z38" s="16773"/>
      <c r="AA38" s="16773"/>
      <c r="AB38" s="16773"/>
      <c r="AC38" s="16773"/>
      <c r="AD38" s="16772"/>
      <c r="AE38" s="2258"/>
      <c r="AF38" s="2258"/>
      <c r="AG38" s="2258"/>
      <c r="AH38" s="2258"/>
      <c r="AI38" s="2258"/>
      <c r="AJ38" s="2258"/>
      <c r="AK38" s="2258"/>
      <c r="AL38" s="2258"/>
      <c r="AM38" s="2258"/>
      <c r="AN38" s="2258"/>
      <c r="AO38" s="2258"/>
      <c r="AP38" s="2258"/>
      <c r="AQ38" s="2258"/>
      <c r="AR38" s="2258"/>
      <c r="AS38" s="2258"/>
      <c r="AT38" s="2258"/>
      <c r="AU38" s="2258"/>
      <c r="AV38" s="2258"/>
      <c r="AW38" s="2258"/>
      <c r="AX38" s="2258"/>
      <c r="AY38" s="2258"/>
      <c r="AZ38" s="2258"/>
      <c r="BA38" s="2258"/>
      <c r="BB38" s="2258"/>
      <c r="BC38" s="2258"/>
      <c r="BD38" s="2258"/>
      <c r="BE38" s="2258"/>
      <c r="BF38" s="2258"/>
      <c r="BG38" s="2258"/>
      <c r="BH38" s="2258"/>
      <c r="BI38" s="2258"/>
      <c r="BJ38" s="2258"/>
      <c r="BK38" s="2258"/>
      <c r="BL38" s="2258"/>
      <c r="BM38" s="2258"/>
      <c r="BN38" s="2258"/>
      <c r="BO38" s="2258"/>
      <c r="BP38" s="2258"/>
      <c r="BQ38" s="2258"/>
      <c r="BR38" s="2258"/>
      <c r="BS38" s="2258"/>
      <c r="BT38" s="2258"/>
      <c r="BU38" s="2258"/>
      <c r="BV38" s="2258"/>
      <c r="BW38" s="2253">
        <v>60</v>
      </c>
      <c r="BX38" s="2254">
        <f>IF((BW38/K38)&gt;=4,100%)</f>
        <v>1</v>
      </c>
      <c r="BY38" s="16762"/>
      <c r="BZ38" s="2259" t="s">
        <v>9273</v>
      </c>
      <c r="CA38" s="2259" t="s">
        <v>9274</v>
      </c>
      <c r="CB38" s="2259" t="s">
        <v>9275</v>
      </c>
      <c r="CC38" s="6786">
        <v>8000000</v>
      </c>
      <c r="CD38" s="2260" t="s">
        <v>9264</v>
      </c>
      <c r="CE38" s="2260"/>
      <c r="CF38" s="2260"/>
      <c r="CG38" s="2260">
        <v>60</v>
      </c>
      <c r="CH38" s="2260">
        <v>15</v>
      </c>
      <c r="CI38" s="2260">
        <v>45</v>
      </c>
      <c r="CJ38" s="2260"/>
      <c r="CK38" s="2260"/>
      <c r="CL38" s="2260"/>
      <c r="CM38" s="2260">
        <v>60</v>
      </c>
      <c r="CN38" s="2260"/>
      <c r="CO38" s="2260"/>
      <c r="CP38" s="2260"/>
      <c r="CQ38" s="2260">
        <v>8</v>
      </c>
      <c r="CR38" s="2260">
        <v>28</v>
      </c>
      <c r="CS38" s="2260">
        <v>24</v>
      </c>
      <c r="CT38" s="2260"/>
      <c r="CU38" s="2260"/>
      <c r="CV38" s="2260">
        <v>60</v>
      </c>
      <c r="CW38" s="2260"/>
      <c r="CX38" s="2260"/>
      <c r="CY38" s="2260"/>
      <c r="CZ38" s="2260"/>
      <c r="DA38" s="2260"/>
      <c r="DB38" s="2260"/>
      <c r="DC38" s="2260"/>
      <c r="DD38" s="2260"/>
      <c r="DE38" s="2260"/>
      <c r="DF38" s="2260"/>
      <c r="DG38" s="2260"/>
      <c r="DH38" s="2260"/>
      <c r="DI38" s="2260"/>
      <c r="DJ38" s="2260"/>
      <c r="DK38" s="2260"/>
      <c r="DL38" s="2260"/>
      <c r="DM38" s="2260"/>
      <c r="DN38" s="2260"/>
      <c r="DO38" s="2260"/>
      <c r="DP38" s="2260"/>
      <c r="DQ38" s="2260"/>
      <c r="DR38" s="2260"/>
      <c r="DS38" s="2260"/>
      <c r="DT38" s="2260"/>
      <c r="DU38" s="2261"/>
      <c r="DW38" s="6738"/>
      <c r="DX38" s="2258"/>
      <c r="DY38" s="2258"/>
      <c r="DZ38" s="2258"/>
      <c r="EA38" s="2258"/>
      <c r="EB38" s="2258"/>
      <c r="EC38" s="2258"/>
      <c r="ED38" s="2258"/>
      <c r="EE38" s="2258"/>
      <c r="EF38" s="2258"/>
      <c r="EG38" s="2258"/>
      <c r="EH38" s="2258"/>
      <c r="EI38" s="2258"/>
      <c r="EJ38" s="2258"/>
      <c r="EK38" s="2258"/>
      <c r="EL38" s="2258"/>
      <c r="EM38" s="2258"/>
      <c r="EN38" s="2258"/>
      <c r="EO38" s="2258"/>
      <c r="EP38" s="2258"/>
      <c r="EQ38" s="2258"/>
      <c r="ER38" s="2258"/>
      <c r="ES38" s="2258"/>
      <c r="ET38" s="2258"/>
      <c r="EU38" s="2258"/>
      <c r="EV38" s="2258"/>
      <c r="EW38" s="2258"/>
      <c r="EX38" s="2258"/>
      <c r="EY38" s="2258"/>
      <c r="EZ38" s="2258"/>
      <c r="FA38" s="2258"/>
      <c r="FB38" s="2258"/>
      <c r="FC38" s="2258"/>
      <c r="FD38" s="2258"/>
      <c r="FE38" s="2258"/>
      <c r="FF38" s="2258"/>
      <c r="FG38" s="2258"/>
      <c r="FH38" s="2258"/>
      <c r="FI38" s="2258"/>
      <c r="FJ38" s="2258"/>
      <c r="FK38" s="2258"/>
      <c r="FL38" s="2258"/>
      <c r="FM38" s="2258"/>
      <c r="FN38" s="2258"/>
      <c r="FO38" s="2258"/>
      <c r="FP38" s="2713"/>
    </row>
    <row r="39" spans="1:172" s="2251" customFormat="1" ht="15" customHeight="1">
      <c r="A39" s="16719"/>
      <c r="B39" s="16717"/>
      <c r="C39" s="15971"/>
      <c r="D39" s="15971"/>
      <c r="E39" s="5102" t="s">
        <v>4509</v>
      </c>
      <c r="F39" s="2252" t="s">
        <v>467</v>
      </c>
      <c r="G39" s="2252" t="s">
        <v>468</v>
      </c>
      <c r="H39" s="2253" t="s">
        <v>382</v>
      </c>
      <c r="I39" s="2253">
        <v>1</v>
      </c>
      <c r="J39" s="2255">
        <v>0.5</v>
      </c>
      <c r="K39" s="2255">
        <v>1</v>
      </c>
      <c r="L39" s="2255">
        <v>1</v>
      </c>
      <c r="M39" s="2255">
        <v>1</v>
      </c>
      <c r="N39" s="2255">
        <v>1</v>
      </c>
      <c r="O39" s="2255">
        <v>1</v>
      </c>
      <c r="P39" s="2255">
        <v>1</v>
      </c>
      <c r="Q39" s="2255">
        <v>1</v>
      </c>
      <c r="R39" s="2255">
        <v>1</v>
      </c>
      <c r="S39" s="2255">
        <v>1</v>
      </c>
      <c r="T39" s="2255">
        <v>1</v>
      </c>
      <c r="U39" s="2255">
        <v>1</v>
      </c>
      <c r="V39" s="2253" t="s">
        <v>469</v>
      </c>
      <c r="W39" s="2253" t="s">
        <v>26</v>
      </c>
      <c r="X39" s="2253" t="s">
        <v>390</v>
      </c>
      <c r="Y39" s="2253" t="s">
        <v>429</v>
      </c>
      <c r="Z39" s="2256">
        <v>18194000</v>
      </c>
      <c r="AA39" s="2256"/>
      <c r="AB39" s="2256"/>
      <c r="AC39" s="2256"/>
      <c r="AD39" s="2257">
        <f t="shared" si="1"/>
        <v>18194000</v>
      </c>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B39" s="2258"/>
      <c r="BC39" s="2258"/>
      <c r="BD39" s="2258"/>
      <c r="BE39" s="2258"/>
      <c r="BF39" s="2258"/>
      <c r="BG39" s="2258"/>
      <c r="BH39" s="2258"/>
      <c r="BI39" s="2258"/>
      <c r="BJ39" s="2258"/>
      <c r="BK39" s="2258"/>
      <c r="BL39" s="2258"/>
      <c r="BM39" s="2258"/>
      <c r="BN39" s="2258"/>
      <c r="BO39" s="2258"/>
      <c r="BP39" s="2258"/>
      <c r="BQ39" s="2258"/>
      <c r="BR39" s="2258"/>
      <c r="BS39" s="2258"/>
      <c r="BT39" s="2258"/>
      <c r="BU39" s="2258"/>
      <c r="BV39" s="2258"/>
      <c r="BW39" s="6780">
        <v>0.9</v>
      </c>
      <c r="BX39" s="4785">
        <f>BW39/K39</f>
        <v>0.9</v>
      </c>
      <c r="BY39" s="16762"/>
      <c r="BZ39" s="2268" t="s">
        <v>9872</v>
      </c>
      <c r="CA39" s="2253" t="s">
        <v>9873</v>
      </c>
      <c r="CB39" s="2253" t="s">
        <v>9874</v>
      </c>
      <c r="CC39" s="6781">
        <v>3064000</v>
      </c>
      <c r="CD39" s="2260"/>
      <c r="CE39" s="2260"/>
      <c r="CF39" s="2260"/>
      <c r="CG39" s="2260">
        <v>40</v>
      </c>
      <c r="CH39" s="2260"/>
      <c r="CI39" s="2260"/>
      <c r="CJ39" s="2260">
        <v>40</v>
      </c>
      <c r="CK39" s="2260"/>
      <c r="CL39" s="2260"/>
      <c r="CM39" s="2260">
        <v>40</v>
      </c>
      <c r="CN39" s="2260"/>
      <c r="CO39" s="2260"/>
      <c r="CP39" s="2260"/>
      <c r="CQ39" s="2260"/>
      <c r="CR39" s="2260"/>
      <c r="CS39" s="2260"/>
      <c r="CT39" s="2260"/>
      <c r="CU39" s="2260">
        <v>40</v>
      </c>
      <c r="CV39" s="2260"/>
      <c r="CW39" s="2260"/>
      <c r="CX39" s="2260"/>
      <c r="CY39" s="2260"/>
      <c r="CZ39" s="2260"/>
      <c r="DA39" s="2260"/>
      <c r="DB39" s="2260"/>
      <c r="DC39" s="2260"/>
      <c r="DD39" s="2260">
        <v>40</v>
      </c>
      <c r="DE39" s="2260"/>
      <c r="DF39" s="2260"/>
      <c r="DG39" s="2260"/>
      <c r="DH39" s="2260"/>
      <c r="DI39" s="2260"/>
      <c r="DJ39" s="2260"/>
      <c r="DK39" s="2260"/>
      <c r="DL39" s="2260"/>
      <c r="DM39" s="2260"/>
      <c r="DN39" s="2260"/>
      <c r="DO39" s="2260"/>
      <c r="DP39" s="2260"/>
      <c r="DQ39" s="2260"/>
      <c r="DR39" s="2260"/>
      <c r="DS39" s="2260"/>
      <c r="DT39" s="2260"/>
      <c r="DU39" s="2261"/>
      <c r="DW39" s="6738"/>
      <c r="DX39" s="2258"/>
      <c r="DY39" s="2258"/>
      <c r="DZ39" s="2258"/>
      <c r="EA39" s="2258"/>
      <c r="EB39" s="2258"/>
      <c r="EC39" s="2258"/>
      <c r="ED39" s="2258"/>
      <c r="EE39" s="2258"/>
      <c r="EF39" s="2258"/>
      <c r="EG39" s="2258"/>
      <c r="EH39" s="2258"/>
      <c r="EI39" s="2258"/>
      <c r="EJ39" s="2258"/>
      <c r="EK39" s="2258"/>
      <c r="EL39" s="2258"/>
      <c r="EM39" s="2258"/>
      <c r="EN39" s="2258"/>
      <c r="EO39" s="2258"/>
      <c r="EP39" s="2258"/>
      <c r="EQ39" s="2258"/>
      <c r="ER39" s="2258"/>
      <c r="ES39" s="2258"/>
      <c r="ET39" s="2258"/>
      <c r="EU39" s="2258"/>
      <c r="EV39" s="2258"/>
      <c r="EW39" s="2258"/>
      <c r="EX39" s="2258"/>
      <c r="EY39" s="2258"/>
      <c r="EZ39" s="2258"/>
      <c r="FA39" s="2258"/>
      <c r="FB39" s="2258"/>
      <c r="FC39" s="2258"/>
      <c r="FD39" s="2258"/>
      <c r="FE39" s="2258"/>
      <c r="FF39" s="2258"/>
      <c r="FG39" s="2258"/>
      <c r="FH39" s="2258"/>
      <c r="FI39" s="2258"/>
      <c r="FJ39" s="2258"/>
      <c r="FK39" s="2258"/>
      <c r="FL39" s="2258"/>
      <c r="FM39" s="2258"/>
      <c r="FN39" s="2258"/>
      <c r="FO39" s="2258"/>
      <c r="FP39" s="2713"/>
    </row>
    <row r="40" spans="1:172" s="2251" customFormat="1" ht="15" customHeight="1">
      <c r="A40" s="16719"/>
      <c r="B40" s="16717"/>
      <c r="C40" s="15971"/>
      <c r="D40" s="15971"/>
      <c r="E40" s="5102" t="s">
        <v>4510</v>
      </c>
      <c r="F40" s="2252" t="s">
        <v>470</v>
      </c>
      <c r="G40" s="2252" t="s">
        <v>471</v>
      </c>
      <c r="H40" s="2253" t="s">
        <v>386</v>
      </c>
      <c r="I40" s="2253">
        <v>0</v>
      </c>
      <c r="J40" s="2253">
        <v>0</v>
      </c>
      <c r="K40" s="2253">
        <v>0</v>
      </c>
      <c r="L40" s="2253">
        <v>1</v>
      </c>
      <c r="M40" s="2253">
        <v>1</v>
      </c>
      <c r="N40" s="2253">
        <v>1</v>
      </c>
      <c r="O40" s="2253">
        <v>1</v>
      </c>
      <c r="P40" s="2253">
        <v>2</v>
      </c>
      <c r="Q40" s="2253">
        <v>2</v>
      </c>
      <c r="R40" s="2253">
        <v>2</v>
      </c>
      <c r="S40" s="2253">
        <v>2</v>
      </c>
      <c r="T40" s="2253">
        <v>2</v>
      </c>
      <c r="U40" s="2253">
        <v>2</v>
      </c>
      <c r="V40" s="2253" t="s">
        <v>472</v>
      </c>
      <c r="W40" s="2253" t="s">
        <v>10066</v>
      </c>
      <c r="X40" s="2253" t="s">
        <v>516</v>
      </c>
      <c r="Y40" s="2253"/>
      <c r="Z40" s="2256">
        <v>5000000</v>
      </c>
      <c r="AA40" s="2256"/>
      <c r="AB40" s="2256"/>
      <c r="AC40" s="2256"/>
      <c r="AD40" s="2257">
        <f t="shared" si="1"/>
        <v>5000000</v>
      </c>
      <c r="AE40" s="2258"/>
      <c r="AF40" s="2258"/>
      <c r="AG40" s="2258"/>
      <c r="AH40" s="2258"/>
      <c r="AI40" s="2258"/>
      <c r="AJ40" s="2258"/>
      <c r="AK40" s="2258"/>
      <c r="AL40" s="2258"/>
      <c r="AM40" s="2258"/>
      <c r="AN40" s="2258"/>
      <c r="AO40" s="2258"/>
      <c r="AP40" s="2258"/>
      <c r="AQ40" s="2258"/>
      <c r="AR40" s="2258"/>
      <c r="AS40" s="2258"/>
      <c r="AT40" s="2258"/>
      <c r="AU40" s="2258"/>
      <c r="AV40" s="2258"/>
      <c r="AW40" s="2258"/>
      <c r="AX40" s="2258"/>
      <c r="AY40" s="2258"/>
      <c r="AZ40" s="2258"/>
      <c r="BA40" s="2258"/>
      <c r="BB40" s="2258"/>
      <c r="BC40" s="2258"/>
      <c r="BD40" s="2258"/>
      <c r="BE40" s="2258"/>
      <c r="BF40" s="2258"/>
      <c r="BG40" s="2258"/>
      <c r="BH40" s="2258"/>
      <c r="BI40" s="2258"/>
      <c r="BJ40" s="2258"/>
      <c r="BK40" s="2258"/>
      <c r="BL40" s="2258"/>
      <c r="BM40" s="2258"/>
      <c r="BN40" s="2258"/>
      <c r="BO40" s="2258"/>
      <c r="BP40" s="2258"/>
      <c r="BQ40" s="2258"/>
      <c r="BR40" s="2258"/>
      <c r="BS40" s="2258"/>
      <c r="BT40" s="2258"/>
      <c r="BU40" s="2258"/>
      <c r="BV40" s="2258"/>
      <c r="BW40" s="2253">
        <v>0</v>
      </c>
      <c r="BX40" s="2254">
        <v>0</v>
      </c>
      <c r="BY40" s="16762"/>
      <c r="BZ40" s="2259" t="s">
        <v>9276</v>
      </c>
      <c r="CA40" s="2264" t="s">
        <v>9277</v>
      </c>
      <c r="CB40" s="6789" t="s">
        <v>9278</v>
      </c>
      <c r="CC40" s="2260">
        <v>0</v>
      </c>
      <c r="CD40" s="2260" t="s">
        <v>9264</v>
      </c>
      <c r="CE40" s="2260"/>
      <c r="CF40" s="2260"/>
      <c r="CG40" s="2260"/>
      <c r="CH40" s="2260"/>
      <c r="CI40" s="2260"/>
      <c r="CJ40" s="2260"/>
      <c r="CK40" s="2260"/>
      <c r="CL40" s="2260"/>
      <c r="CM40" s="2260"/>
      <c r="CN40" s="2260"/>
      <c r="CO40" s="2260"/>
      <c r="CP40" s="2260"/>
      <c r="CQ40" s="2260"/>
      <c r="CR40" s="2260"/>
      <c r="CS40" s="2260"/>
      <c r="CT40" s="2260"/>
      <c r="CU40" s="2260"/>
      <c r="CV40" s="2260"/>
      <c r="CW40" s="2260"/>
      <c r="CX40" s="2260"/>
      <c r="CY40" s="2260"/>
      <c r="CZ40" s="2260"/>
      <c r="DA40" s="2260"/>
      <c r="DB40" s="2260"/>
      <c r="DC40" s="2260"/>
      <c r="DD40" s="2260"/>
      <c r="DE40" s="2260"/>
      <c r="DF40" s="2260"/>
      <c r="DG40" s="2260"/>
      <c r="DH40" s="2260"/>
      <c r="DI40" s="2260"/>
      <c r="DJ40" s="2260"/>
      <c r="DK40" s="2260"/>
      <c r="DL40" s="2260"/>
      <c r="DM40" s="2260"/>
      <c r="DN40" s="2260"/>
      <c r="DO40" s="2260"/>
      <c r="DP40" s="2260"/>
      <c r="DQ40" s="2260"/>
      <c r="DR40" s="2260"/>
      <c r="DS40" s="2260"/>
      <c r="DT40" s="2260"/>
      <c r="DU40" s="2261"/>
      <c r="DW40" s="6738"/>
      <c r="DX40" s="2258"/>
      <c r="DY40" s="2258"/>
      <c r="DZ40" s="2258"/>
      <c r="EA40" s="2258"/>
      <c r="EB40" s="2258"/>
      <c r="EC40" s="2258"/>
      <c r="ED40" s="2258"/>
      <c r="EE40" s="2258"/>
      <c r="EF40" s="2258"/>
      <c r="EG40" s="2258"/>
      <c r="EH40" s="2258"/>
      <c r="EI40" s="2258"/>
      <c r="EJ40" s="2258"/>
      <c r="EK40" s="2258"/>
      <c r="EL40" s="2258"/>
      <c r="EM40" s="2258"/>
      <c r="EN40" s="2258"/>
      <c r="EO40" s="2258"/>
      <c r="EP40" s="2258"/>
      <c r="EQ40" s="2258"/>
      <c r="ER40" s="2258"/>
      <c r="ES40" s="2258"/>
      <c r="ET40" s="2258"/>
      <c r="EU40" s="2258"/>
      <c r="EV40" s="2258"/>
      <c r="EW40" s="2258"/>
      <c r="EX40" s="2258"/>
      <c r="EY40" s="2258"/>
      <c r="EZ40" s="2258"/>
      <c r="FA40" s="2258"/>
      <c r="FB40" s="2258"/>
      <c r="FC40" s="2258"/>
      <c r="FD40" s="2258"/>
      <c r="FE40" s="2258"/>
      <c r="FF40" s="2258"/>
      <c r="FG40" s="2258"/>
      <c r="FH40" s="2258"/>
      <c r="FI40" s="2258"/>
      <c r="FJ40" s="2258"/>
      <c r="FK40" s="2258"/>
      <c r="FL40" s="2258"/>
      <c r="FM40" s="2258"/>
      <c r="FN40" s="2258"/>
      <c r="FO40" s="2258"/>
      <c r="FP40" s="2713"/>
    </row>
    <row r="41" spans="1:172" s="2251" customFormat="1" ht="15" customHeight="1">
      <c r="A41" s="16719"/>
      <c r="B41" s="16717"/>
      <c r="C41" s="15971"/>
      <c r="D41" s="15971" t="s">
        <v>473</v>
      </c>
      <c r="E41" s="15971" t="s">
        <v>4511</v>
      </c>
      <c r="F41" s="16703" t="s">
        <v>474</v>
      </c>
      <c r="G41" s="16703" t="s">
        <v>475</v>
      </c>
      <c r="H41" s="2253" t="s">
        <v>386</v>
      </c>
      <c r="I41" s="2253">
        <v>0</v>
      </c>
      <c r="J41" s="2253">
        <v>0</v>
      </c>
      <c r="K41" s="16703">
        <v>0</v>
      </c>
      <c r="L41" s="16703">
        <v>2</v>
      </c>
      <c r="M41" s="16703">
        <v>2</v>
      </c>
      <c r="N41" s="16703">
        <v>2</v>
      </c>
      <c r="O41" s="16703">
        <v>3</v>
      </c>
      <c r="P41" s="16703">
        <v>3</v>
      </c>
      <c r="Q41" s="16703">
        <v>3</v>
      </c>
      <c r="R41" s="16703">
        <v>3</v>
      </c>
      <c r="S41" s="16703">
        <v>3</v>
      </c>
      <c r="T41" s="16703">
        <v>3</v>
      </c>
      <c r="U41" s="16703">
        <v>3</v>
      </c>
      <c r="V41" s="16703" t="s">
        <v>464</v>
      </c>
      <c r="W41" s="2253" t="s">
        <v>10070</v>
      </c>
      <c r="X41" s="2253" t="s">
        <v>476</v>
      </c>
      <c r="Y41" s="2258"/>
      <c r="Z41" s="2256">
        <v>13882000</v>
      </c>
      <c r="AA41" s="2256"/>
      <c r="AB41" s="2256"/>
      <c r="AC41" s="2256"/>
      <c r="AD41" s="2257">
        <f t="shared" si="1"/>
        <v>13882000</v>
      </c>
      <c r="AE41" s="2258"/>
      <c r="AF41" s="2258"/>
      <c r="AG41" s="2258"/>
      <c r="AH41" s="2258"/>
      <c r="AI41" s="2258"/>
      <c r="AJ41" s="2258"/>
      <c r="AK41" s="2258"/>
      <c r="AL41" s="2258"/>
      <c r="AM41" s="2258"/>
      <c r="AN41" s="2258"/>
      <c r="AO41" s="2258"/>
      <c r="AP41" s="2258"/>
      <c r="AQ41" s="2258"/>
      <c r="AR41" s="2258"/>
      <c r="AS41" s="2258"/>
      <c r="AT41" s="2258"/>
      <c r="AU41" s="2258"/>
      <c r="AV41" s="2258"/>
      <c r="AW41" s="2258"/>
      <c r="AX41" s="2258"/>
      <c r="AY41" s="2258"/>
      <c r="AZ41" s="2258"/>
      <c r="BA41" s="2258"/>
      <c r="BB41" s="2258"/>
      <c r="BC41" s="2258"/>
      <c r="BD41" s="2258"/>
      <c r="BE41" s="2258"/>
      <c r="BF41" s="2258"/>
      <c r="BG41" s="2258"/>
      <c r="BH41" s="2258"/>
      <c r="BI41" s="2258"/>
      <c r="BJ41" s="2258"/>
      <c r="BK41" s="2258"/>
      <c r="BL41" s="2258"/>
      <c r="BM41" s="2258"/>
      <c r="BN41" s="2258"/>
      <c r="BO41" s="2258"/>
      <c r="BP41" s="2258"/>
      <c r="BQ41" s="2258"/>
      <c r="BR41" s="2258"/>
      <c r="BS41" s="2258"/>
      <c r="BT41" s="2258"/>
      <c r="BU41" s="2258"/>
      <c r="BV41" s="2258"/>
      <c r="BW41" s="2707" t="s">
        <v>2951</v>
      </c>
      <c r="BX41" s="4785" t="s">
        <v>8656</v>
      </c>
      <c r="BY41" s="16762"/>
      <c r="BZ41" s="2259" t="s">
        <v>9853</v>
      </c>
      <c r="CA41" s="2264"/>
      <c r="CB41" s="2264"/>
      <c r="CC41" s="2260" t="s">
        <v>8656</v>
      </c>
      <c r="CD41" s="2260"/>
      <c r="CE41" s="2260"/>
      <c r="CF41" s="2260"/>
      <c r="CG41" s="2260"/>
      <c r="CH41" s="2260"/>
      <c r="CI41" s="2260"/>
      <c r="CJ41" s="2260"/>
      <c r="CK41" s="2260"/>
      <c r="CL41" s="2260"/>
      <c r="CM41" s="2260"/>
      <c r="CN41" s="2260"/>
      <c r="CO41" s="2260"/>
      <c r="CP41" s="2260"/>
      <c r="CQ41" s="2260"/>
      <c r="CR41" s="2260"/>
      <c r="CS41" s="2260"/>
      <c r="CT41" s="2260"/>
      <c r="CU41" s="2260"/>
      <c r="CV41" s="2260"/>
      <c r="CW41" s="2260"/>
      <c r="CX41" s="2260"/>
      <c r="CY41" s="2260"/>
      <c r="CZ41" s="2260"/>
      <c r="DA41" s="2260"/>
      <c r="DB41" s="2260"/>
      <c r="DC41" s="2260"/>
      <c r="DD41" s="2260"/>
      <c r="DE41" s="2260"/>
      <c r="DF41" s="2260"/>
      <c r="DG41" s="2260"/>
      <c r="DH41" s="2260"/>
      <c r="DI41" s="2260"/>
      <c r="DJ41" s="2260"/>
      <c r="DK41" s="2260"/>
      <c r="DL41" s="2260"/>
      <c r="DM41" s="2260"/>
      <c r="DN41" s="2260"/>
      <c r="DO41" s="2260"/>
      <c r="DP41" s="2260"/>
      <c r="DQ41" s="2260"/>
      <c r="DR41" s="2260"/>
      <c r="DS41" s="2260"/>
      <c r="DT41" s="2260"/>
      <c r="DU41" s="2261"/>
      <c r="DW41" s="6738"/>
      <c r="DX41" s="2258"/>
      <c r="DY41" s="2258"/>
      <c r="DZ41" s="2258"/>
      <c r="EA41" s="2258"/>
      <c r="EB41" s="2258"/>
      <c r="EC41" s="2258"/>
      <c r="ED41" s="2258"/>
      <c r="EE41" s="2258"/>
      <c r="EF41" s="2258"/>
      <c r="EG41" s="2258"/>
      <c r="EH41" s="2258"/>
      <c r="EI41" s="2258"/>
      <c r="EJ41" s="2258"/>
      <c r="EK41" s="2258"/>
      <c r="EL41" s="2258"/>
      <c r="EM41" s="2258"/>
      <c r="EN41" s="2258"/>
      <c r="EO41" s="2258"/>
      <c r="EP41" s="2258"/>
      <c r="EQ41" s="2258"/>
      <c r="ER41" s="2258"/>
      <c r="ES41" s="2258"/>
      <c r="ET41" s="2258"/>
      <c r="EU41" s="2258"/>
      <c r="EV41" s="2258"/>
      <c r="EW41" s="2258"/>
      <c r="EX41" s="2258"/>
      <c r="EY41" s="2258"/>
      <c r="EZ41" s="2258"/>
      <c r="FA41" s="2258"/>
      <c r="FB41" s="2258"/>
      <c r="FC41" s="2258"/>
      <c r="FD41" s="2258"/>
      <c r="FE41" s="2258"/>
      <c r="FF41" s="2258"/>
      <c r="FG41" s="2258"/>
      <c r="FH41" s="2258"/>
      <c r="FI41" s="2258"/>
      <c r="FJ41" s="2258"/>
      <c r="FK41" s="2258"/>
      <c r="FL41" s="2258"/>
      <c r="FM41" s="2258"/>
      <c r="FN41" s="2258"/>
      <c r="FO41" s="2258"/>
      <c r="FP41" s="2713"/>
    </row>
    <row r="42" spans="1:172" s="2251" customFormat="1" ht="15" customHeight="1">
      <c r="A42" s="16719"/>
      <c r="B42" s="16717"/>
      <c r="C42" s="15971"/>
      <c r="D42" s="15971"/>
      <c r="E42" s="15971"/>
      <c r="F42" s="16703"/>
      <c r="G42" s="16703"/>
      <c r="H42" s="2253"/>
      <c r="I42" s="2253"/>
      <c r="J42" s="2253"/>
      <c r="K42" s="16703"/>
      <c r="L42" s="16703"/>
      <c r="M42" s="16703"/>
      <c r="N42" s="16703"/>
      <c r="O42" s="16703"/>
      <c r="P42" s="16703"/>
      <c r="Q42" s="16703"/>
      <c r="R42" s="16703"/>
      <c r="S42" s="16703"/>
      <c r="T42" s="16703"/>
      <c r="U42" s="16703"/>
      <c r="V42" s="16703"/>
      <c r="W42" s="2253" t="s">
        <v>477</v>
      </c>
      <c r="X42" s="2253"/>
      <c r="Y42" s="2253" t="s">
        <v>477</v>
      </c>
      <c r="Z42" s="2256"/>
      <c r="AA42" s="2256"/>
      <c r="AB42" s="2256"/>
      <c r="AC42" s="2256"/>
      <c r="AD42" s="2257"/>
      <c r="AE42" s="2258"/>
      <c r="AF42" s="2258"/>
      <c r="AG42" s="2258"/>
      <c r="AH42" s="2258"/>
      <c r="AI42" s="2258"/>
      <c r="AJ42" s="2258"/>
      <c r="AK42" s="2258"/>
      <c r="AL42" s="2258"/>
      <c r="AM42" s="2258"/>
      <c r="AN42" s="2258"/>
      <c r="AO42" s="2258"/>
      <c r="AP42" s="2258"/>
      <c r="AQ42" s="2258"/>
      <c r="AR42" s="2258"/>
      <c r="AS42" s="2258"/>
      <c r="AT42" s="2258"/>
      <c r="AU42" s="2258"/>
      <c r="AV42" s="2258"/>
      <c r="AW42" s="2258"/>
      <c r="AX42" s="2258"/>
      <c r="AY42" s="2258"/>
      <c r="AZ42" s="2258"/>
      <c r="BA42" s="2258"/>
      <c r="BB42" s="2258"/>
      <c r="BC42" s="2258"/>
      <c r="BD42" s="2258"/>
      <c r="BE42" s="2258"/>
      <c r="BF42" s="2258"/>
      <c r="BG42" s="2258"/>
      <c r="BH42" s="2258"/>
      <c r="BI42" s="2258"/>
      <c r="BJ42" s="2258"/>
      <c r="BK42" s="2258"/>
      <c r="BL42" s="2258"/>
      <c r="BM42" s="2258"/>
      <c r="BN42" s="2258"/>
      <c r="BO42" s="2258"/>
      <c r="BP42" s="2258"/>
      <c r="BQ42" s="2258"/>
      <c r="BR42" s="2258"/>
      <c r="BS42" s="2258"/>
      <c r="BT42" s="2258"/>
      <c r="BU42" s="2258"/>
      <c r="BV42" s="2258"/>
      <c r="BW42" s="2707"/>
      <c r="BX42" s="4785"/>
      <c r="BY42" s="16762"/>
      <c r="BZ42" s="2259"/>
      <c r="CA42" s="2264"/>
      <c r="CB42" s="2264"/>
      <c r="CC42" s="2260"/>
      <c r="CD42" s="2260"/>
      <c r="CE42" s="2260"/>
      <c r="CF42" s="2260"/>
      <c r="CG42" s="2260"/>
      <c r="CH42" s="2260"/>
      <c r="CI42" s="2260"/>
      <c r="CJ42" s="2260"/>
      <c r="CK42" s="2260"/>
      <c r="CL42" s="2260"/>
      <c r="CM42" s="2260"/>
      <c r="CN42" s="2260"/>
      <c r="CO42" s="2260"/>
      <c r="CP42" s="2260"/>
      <c r="CQ42" s="2260"/>
      <c r="CR42" s="2260"/>
      <c r="CS42" s="2260"/>
      <c r="CT42" s="2260"/>
      <c r="CU42" s="2260"/>
      <c r="CV42" s="2260"/>
      <c r="CW42" s="2260"/>
      <c r="CX42" s="2260"/>
      <c r="CY42" s="2260"/>
      <c r="CZ42" s="2260"/>
      <c r="DA42" s="2260"/>
      <c r="DB42" s="2260"/>
      <c r="DC42" s="2260"/>
      <c r="DD42" s="2260"/>
      <c r="DE42" s="2260"/>
      <c r="DF42" s="2260"/>
      <c r="DG42" s="2260"/>
      <c r="DH42" s="2260"/>
      <c r="DI42" s="2260"/>
      <c r="DJ42" s="2260"/>
      <c r="DK42" s="2260"/>
      <c r="DL42" s="2260"/>
      <c r="DM42" s="2260"/>
      <c r="DN42" s="2260"/>
      <c r="DO42" s="2260"/>
      <c r="DP42" s="2260"/>
      <c r="DQ42" s="2260"/>
      <c r="DR42" s="2260"/>
      <c r="DS42" s="2260"/>
      <c r="DT42" s="2260"/>
      <c r="DU42" s="2261"/>
      <c r="DW42" s="6738"/>
      <c r="DX42" s="2258"/>
      <c r="DY42" s="2258"/>
      <c r="DZ42" s="2258"/>
      <c r="EA42" s="2258"/>
      <c r="EB42" s="2258"/>
      <c r="EC42" s="2258"/>
      <c r="ED42" s="2258"/>
      <c r="EE42" s="2258"/>
      <c r="EF42" s="2258"/>
      <c r="EG42" s="2258"/>
      <c r="EH42" s="2258"/>
      <c r="EI42" s="2258"/>
      <c r="EJ42" s="2258"/>
      <c r="EK42" s="2258"/>
      <c r="EL42" s="2258"/>
      <c r="EM42" s="2258"/>
      <c r="EN42" s="2258"/>
      <c r="EO42" s="2258"/>
      <c r="EP42" s="2258"/>
      <c r="EQ42" s="2258"/>
      <c r="ER42" s="2258"/>
      <c r="ES42" s="2258"/>
      <c r="ET42" s="2258"/>
      <c r="EU42" s="2258"/>
      <c r="EV42" s="2258"/>
      <c r="EW42" s="2258"/>
      <c r="EX42" s="2258"/>
      <c r="EY42" s="2258"/>
      <c r="EZ42" s="2258"/>
      <c r="FA42" s="2258"/>
      <c r="FB42" s="2258"/>
      <c r="FC42" s="2258"/>
      <c r="FD42" s="2258"/>
      <c r="FE42" s="2258"/>
      <c r="FF42" s="2258"/>
      <c r="FG42" s="2258"/>
      <c r="FH42" s="2258"/>
      <c r="FI42" s="2258"/>
      <c r="FJ42" s="2258"/>
      <c r="FK42" s="2258"/>
      <c r="FL42" s="2258"/>
      <c r="FM42" s="2258"/>
      <c r="FN42" s="2258"/>
      <c r="FO42" s="2258"/>
      <c r="FP42" s="2713"/>
    </row>
    <row r="43" spans="1:172" s="2251" customFormat="1" ht="15" customHeight="1">
      <c r="A43" s="16719"/>
      <c r="B43" s="16717"/>
      <c r="C43" s="15971"/>
      <c r="D43" s="15971"/>
      <c r="E43" s="15971" t="s">
        <v>4512</v>
      </c>
      <c r="F43" s="16703" t="s">
        <v>478</v>
      </c>
      <c r="G43" s="16703" t="s">
        <v>479</v>
      </c>
      <c r="H43" s="2253" t="s">
        <v>382</v>
      </c>
      <c r="I43" s="2253">
        <v>0</v>
      </c>
      <c r="J43" s="2253">
        <v>2</v>
      </c>
      <c r="K43" s="16703">
        <v>2</v>
      </c>
      <c r="L43" s="16703">
        <v>2</v>
      </c>
      <c r="M43" s="16703">
        <v>2</v>
      </c>
      <c r="N43" s="16703">
        <v>2</v>
      </c>
      <c r="O43" s="16703">
        <v>2</v>
      </c>
      <c r="P43" s="16703">
        <v>2</v>
      </c>
      <c r="Q43" s="16703">
        <v>2</v>
      </c>
      <c r="R43" s="16703">
        <v>2</v>
      </c>
      <c r="S43" s="16703">
        <v>2</v>
      </c>
      <c r="T43" s="16703">
        <v>2</v>
      </c>
      <c r="U43" s="16703">
        <v>2</v>
      </c>
      <c r="V43" s="16703" t="s">
        <v>383</v>
      </c>
      <c r="W43" s="2253" t="s">
        <v>26</v>
      </c>
      <c r="X43" s="2253" t="s">
        <v>390</v>
      </c>
      <c r="Y43" s="2258"/>
      <c r="Z43" s="6790"/>
      <c r="AA43" s="2256"/>
      <c r="AB43" s="2256"/>
      <c r="AC43" s="2256"/>
      <c r="AD43" s="6791"/>
      <c r="AE43" s="2258"/>
      <c r="AF43" s="2258"/>
      <c r="AG43" s="2258"/>
      <c r="AH43" s="2258"/>
      <c r="AI43" s="2258"/>
      <c r="AJ43" s="2258"/>
      <c r="AK43" s="2258"/>
      <c r="AL43" s="2258"/>
      <c r="AM43" s="2258"/>
      <c r="AN43" s="2258"/>
      <c r="AO43" s="2258"/>
      <c r="AP43" s="2258"/>
      <c r="AQ43" s="2258"/>
      <c r="AR43" s="2258"/>
      <c r="AS43" s="2258"/>
      <c r="AT43" s="2258"/>
      <c r="AU43" s="2258"/>
      <c r="AV43" s="2258"/>
      <c r="AW43" s="2258"/>
      <c r="AX43" s="2258"/>
      <c r="AY43" s="2258"/>
      <c r="AZ43" s="2258"/>
      <c r="BA43" s="2258"/>
      <c r="BB43" s="2258"/>
      <c r="BC43" s="2258"/>
      <c r="BD43" s="2258"/>
      <c r="BE43" s="2258"/>
      <c r="BF43" s="2258"/>
      <c r="BG43" s="2258"/>
      <c r="BH43" s="2258"/>
      <c r="BI43" s="2258"/>
      <c r="BJ43" s="2258"/>
      <c r="BK43" s="2258"/>
      <c r="BL43" s="2258"/>
      <c r="BM43" s="2258"/>
      <c r="BN43" s="2258"/>
      <c r="BO43" s="2258"/>
      <c r="BP43" s="2258"/>
      <c r="BQ43" s="2258"/>
      <c r="BR43" s="2258"/>
      <c r="BS43" s="2258"/>
      <c r="BT43" s="2258"/>
      <c r="BU43" s="2258"/>
      <c r="BV43" s="2258"/>
      <c r="BW43" s="2707" t="s">
        <v>2951</v>
      </c>
      <c r="BX43" s="4785" t="s">
        <v>8656</v>
      </c>
      <c r="BY43" s="16762"/>
      <c r="BZ43" s="2264"/>
      <c r="CA43" s="2264"/>
      <c r="CB43" s="2268" t="s">
        <v>9875</v>
      </c>
      <c r="CC43" s="2260"/>
      <c r="CD43" s="2260"/>
      <c r="CE43" s="2260"/>
      <c r="CF43" s="2260"/>
      <c r="CG43" s="2260"/>
      <c r="CH43" s="2260"/>
      <c r="CI43" s="2260"/>
      <c r="CJ43" s="2260"/>
      <c r="CK43" s="2260"/>
      <c r="CL43" s="2260"/>
      <c r="CM43" s="2260"/>
      <c r="CN43" s="2260"/>
      <c r="CO43" s="2260"/>
      <c r="CP43" s="2260"/>
      <c r="CQ43" s="2260"/>
      <c r="CR43" s="2260"/>
      <c r="CS43" s="2260"/>
      <c r="CT43" s="2260"/>
      <c r="CU43" s="2260"/>
      <c r="CV43" s="2260"/>
      <c r="CW43" s="2260"/>
      <c r="CX43" s="2260"/>
      <c r="CY43" s="2260"/>
      <c r="CZ43" s="2260"/>
      <c r="DA43" s="2260"/>
      <c r="DB43" s="2260"/>
      <c r="DC43" s="2260"/>
      <c r="DD43" s="2260"/>
      <c r="DE43" s="2260"/>
      <c r="DF43" s="2260"/>
      <c r="DG43" s="2260"/>
      <c r="DH43" s="2260"/>
      <c r="DI43" s="2260"/>
      <c r="DJ43" s="2260"/>
      <c r="DK43" s="2260"/>
      <c r="DL43" s="2260"/>
      <c r="DM43" s="2260"/>
      <c r="DN43" s="2260"/>
      <c r="DO43" s="2260"/>
      <c r="DP43" s="2260"/>
      <c r="DQ43" s="2260"/>
      <c r="DR43" s="2260"/>
      <c r="DS43" s="2260"/>
      <c r="DT43" s="2260"/>
      <c r="DU43" s="2261"/>
      <c r="DW43" s="6738"/>
      <c r="DX43" s="2258"/>
      <c r="DY43" s="2258"/>
      <c r="DZ43" s="2258"/>
      <c r="EA43" s="2258"/>
      <c r="EB43" s="2258"/>
      <c r="EC43" s="2258"/>
      <c r="ED43" s="2258"/>
      <c r="EE43" s="2258"/>
      <c r="EF43" s="2258"/>
      <c r="EG43" s="2258"/>
      <c r="EH43" s="2258"/>
      <c r="EI43" s="2258"/>
      <c r="EJ43" s="2258"/>
      <c r="EK43" s="2258"/>
      <c r="EL43" s="2258"/>
      <c r="EM43" s="2258"/>
      <c r="EN43" s="2258"/>
      <c r="EO43" s="2258"/>
      <c r="EP43" s="2258"/>
      <c r="EQ43" s="2258"/>
      <c r="ER43" s="2258"/>
      <c r="ES43" s="2258"/>
      <c r="ET43" s="2258"/>
      <c r="EU43" s="2258"/>
      <c r="EV43" s="2258"/>
      <c r="EW43" s="2258"/>
      <c r="EX43" s="2258"/>
      <c r="EY43" s="2258"/>
      <c r="EZ43" s="2258"/>
      <c r="FA43" s="2258"/>
      <c r="FB43" s="2258"/>
      <c r="FC43" s="2258"/>
      <c r="FD43" s="2258"/>
      <c r="FE43" s="2258"/>
      <c r="FF43" s="2258"/>
      <c r="FG43" s="2258"/>
      <c r="FH43" s="2258"/>
      <c r="FI43" s="2258"/>
      <c r="FJ43" s="2258"/>
      <c r="FK43" s="2258"/>
      <c r="FL43" s="2258"/>
      <c r="FM43" s="2258"/>
      <c r="FN43" s="2258"/>
      <c r="FO43" s="2258"/>
      <c r="FP43" s="2713"/>
    </row>
    <row r="44" spans="1:172" s="2251" customFormat="1" ht="15" customHeight="1" thickBot="1">
      <c r="A44" s="5173"/>
      <c r="B44" s="6792"/>
      <c r="C44" s="15972"/>
      <c r="D44" s="15972"/>
      <c r="E44" s="15972"/>
      <c r="F44" s="16705"/>
      <c r="G44" s="16705"/>
      <c r="H44" s="2265"/>
      <c r="I44" s="2265"/>
      <c r="J44" s="2265"/>
      <c r="K44" s="16705"/>
      <c r="L44" s="16705"/>
      <c r="M44" s="16705"/>
      <c r="N44" s="16705"/>
      <c r="O44" s="16705"/>
      <c r="P44" s="16705"/>
      <c r="Q44" s="16705"/>
      <c r="R44" s="16705"/>
      <c r="S44" s="16705"/>
      <c r="T44" s="16705"/>
      <c r="U44" s="16705"/>
      <c r="V44" s="16705"/>
      <c r="W44" s="2265" t="s">
        <v>477</v>
      </c>
      <c r="X44" s="2265"/>
      <c r="Y44" s="2265" t="s">
        <v>477</v>
      </c>
      <c r="Z44" s="6793"/>
      <c r="AA44" s="2266"/>
      <c r="AB44" s="2266"/>
      <c r="AC44" s="2266"/>
      <c r="AD44" s="6794"/>
      <c r="AE44" s="2267"/>
      <c r="AF44" s="2267"/>
      <c r="AG44" s="2267"/>
      <c r="AH44" s="2267"/>
      <c r="AI44" s="2267"/>
      <c r="AJ44" s="2267"/>
      <c r="AK44" s="2267"/>
      <c r="AL44" s="2267"/>
      <c r="AM44" s="2267"/>
      <c r="AN44" s="2267"/>
      <c r="AO44" s="2267"/>
      <c r="AP44" s="2267"/>
      <c r="AQ44" s="2267"/>
      <c r="AR44" s="2267"/>
      <c r="AS44" s="2267"/>
      <c r="AT44" s="2267"/>
      <c r="AU44" s="2267"/>
      <c r="AV44" s="2267"/>
      <c r="AW44" s="2267"/>
      <c r="AX44" s="2267"/>
      <c r="AY44" s="2267"/>
      <c r="AZ44" s="2267"/>
      <c r="BA44" s="2267"/>
      <c r="BB44" s="2267"/>
      <c r="BC44" s="2267"/>
      <c r="BD44" s="2267"/>
      <c r="BE44" s="2267"/>
      <c r="BF44" s="2267"/>
      <c r="BG44" s="2267"/>
      <c r="BH44" s="2267"/>
      <c r="BI44" s="2267"/>
      <c r="BJ44" s="2267"/>
      <c r="BK44" s="2267"/>
      <c r="BL44" s="2267"/>
      <c r="BM44" s="2267"/>
      <c r="BN44" s="2267"/>
      <c r="BO44" s="2267"/>
      <c r="BP44" s="2267"/>
      <c r="BQ44" s="2267"/>
      <c r="BR44" s="2267"/>
      <c r="BS44" s="2267"/>
      <c r="BT44" s="2267"/>
      <c r="BU44" s="2267"/>
      <c r="BV44" s="2267"/>
      <c r="BW44" s="6795"/>
      <c r="BX44" s="1867"/>
      <c r="BY44" s="6795"/>
      <c r="BZ44" s="6796"/>
      <c r="CA44" s="6796"/>
      <c r="CB44" s="6732"/>
      <c r="CC44" s="2269"/>
      <c r="CD44" s="2269"/>
      <c r="CE44" s="2269"/>
      <c r="CF44" s="2269"/>
      <c r="CG44" s="2269"/>
      <c r="CH44" s="2269"/>
      <c r="CI44" s="2269"/>
      <c r="CJ44" s="2269"/>
      <c r="CK44" s="2269"/>
      <c r="CL44" s="2269"/>
      <c r="CM44" s="2269"/>
      <c r="CN44" s="2269"/>
      <c r="CO44" s="2269"/>
      <c r="CP44" s="2269"/>
      <c r="CQ44" s="2269"/>
      <c r="CR44" s="2269"/>
      <c r="CS44" s="2269"/>
      <c r="CT44" s="2269"/>
      <c r="CU44" s="2269"/>
      <c r="CV44" s="2269"/>
      <c r="CW44" s="2269"/>
      <c r="CX44" s="2269"/>
      <c r="CY44" s="2269"/>
      <c r="CZ44" s="2269"/>
      <c r="DA44" s="2269"/>
      <c r="DB44" s="2269"/>
      <c r="DC44" s="2269"/>
      <c r="DD44" s="2269"/>
      <c r="DE44" s="2269"/>
      <c r="DF44" s="2269"/>
      <c r="DG44" s="2269"/>
      <c r="DH44" s="2269"/>
      <c r="DI44" s="2269"/>
      <c r="DJ44" s="2269"/>
      <c r="DK44" s="2269"/>
      <c r="DL44" s="2269"/>
      <c r="DM44" s="2269"/>
      <c r="DN44" s="2269"/>
      <c r="DO44" s="2269"/>
      <c r="DP44" s="2269"/>
      <c r="DQ44" s="2269"/>
      <c r="DR44" s="2269"/>
      <c r="DS44" s="2269"/>
      <c r="DT44" s="2269"/>
      <c r="DU44" s="2270"/>
      <c r="DW44" s="6739"/>
      <c r="DX44" s="2267"/>
      <c r="DY44" s="2267"/>
      <c r="DZ44" s="2267"/>
      <c r="EA44" s="2267"/>
      <c r="EB44" s="2267"/>
      <c r="EC44" s="2267"/>
      <c r="ED44" s="2267"/>
      <c r="EE44" s="2267"/>
      <c r="EF44" s="2267"/>
      <c r="EG44" s="2267"/>
      <c r="EH44" s="2267"/>
      <c r="EI44" s="2267"/>
      <c r="EJ44" s="2267"/>
      <c r="EK44" s="2267"/>
      <c r="EL44" s="2267"/>
      <c r="EM44" s="2267"/>
      <c r="EN44" s="2267"/>
      <c r="EO44" s="2267"/>
      <c r="EP44" s="2267"/>
      <c r="EQ44" s="2267"/>
      <c r="ER44" s="2267"/>
      <c r="ES44" s="2267"/>
      <c r="ET44" s="2267"/>
      <c r="EU44" s="2267"/>
      <c r="EV44" s="2267"/>
      <c r="EW44" s="2267"/>
      <c r="EX44" s="2267"/>
      <c r="EY44" s="2267"/>
      <c r="EZ44" s="2267"/>
      <c r="FA44" s="2267"/>
      <c r="FB44" s="2267"/>
      <c r="FC44" s="2267"/>
      <c r="FD44" s="2267"/>
      <c r="FE44" s="2267"/>
      <c r="FF44" s="2267"/>
      <c r="FG44" s="2267"/>
      <c r="FH44" s="2267"/>
      <c r="FI44" s="2267"/>
      <c r="FJ44" s="2267"/>
      <c r="FK44" s="2267"/>
      <c r="FL44" s="2267"/>
      <c r="FM44" s="2267"/>
      <c r="FN44" s="2267"/>
      <c r="FO44" s="2267"/>
      <c r="FP44" s="6740"/>
    </row>
    <row r="45" spans="1:172" s="6808" customFormat="1" ht="15" customHeight="1">
      <c r="A45" s="16712" t="s">
        <v>481</v>
      </c>
      <c r="B45" s="16709" t="s">
        <v>480</v>
      </c>
      <c r="C45" s="16715" t="s">
        <v>482</v>
      </c>
      <c r="D45" s="16715" t="s">
        <v>483</v>
      </c>
      <c r="E45" s="6797" t="s">
        <v>4513</v>
      </c>
      <c r="F45" s="6798" t="s">
        <v>484</v>
      </c>
      <c r="G45" s="6798" t="s">
        <v>485</v>
      </c>
      <c r="H45" s="6799" t="s">
        <v>382</v>
      </c>
      <c r="I45" s="4576">
        <v>0</v>
      </c>
      <c r="J45" s="6800">
        <v>0.3</v>
      </c>
      <c r="K45" s="6800">
        <v>0.7</v>
      </c>
      <c r="L45" s="6800">
        <v>1</v>
      </c>
      <c r="M45" s="6800">
        <v>1</v>
      </c>
      <c r="N45" s="6800">
        <v>1</v>
      </c>
      <c r="O45" s="6800">
        <v>1</v>
      </c>
      <c r="P45" s="6800">
        <v>1</v>
      </c>
      <c r="Q45" s="6800">
        <v>1</v>
      </c>
      <c r="R45" s="6800">
        <v>1</v>
      </c>
      <c r="S45" s="6800">
        <v>1</v>
      </c>
      <c r="T45" s="6800">
        <v>1</v>
      </c>
      <c r="U45" s="6800">
        <v>1</v>
      </c>
      <c r="V45" s="6799" t="s">
        <v>383</v>
      </c>
      <c r="W45" s="6799" t="s">
        <v>10066</v>
      </c>
      <c r="X45" s="6799" t="s">
        <v>486</v>
      </c>
      <c r="Y45" s="6799" t="s">
        <v>487</v>
      </c>
      <c r="Z45" s="6801">
        <v>13882000</v>
      </c>
      <c r="AA45" s="6801"/>
      <c r="AB45" s="6801"/>
      <c r="AC45" s="6801"/>
      <c r="AD45" s="6802">
        <f t="shared" ref="AD45:AD60" si="2">SUM(Z45:AC45)</f>
        <v>13882000</v>
      </c>
      <c r="AE45" s="6803"/>
      <c r="AF45" s="6803"/>
      <c r="AG45" s="6803"/>
      <c r="AH45" s="6803"/>
      <c r="AI45" s="6803"/>
      <c r="AJ45" s="6803"/>
      <c r="AK45" s="6803"/>
      <c r="AL45" s="6803"/>
      <c r="AM45" s="6803"/>
      <c r="AN45" s="6803"/>
      <c r="AO45" s="6803"/>
      <c r="AP45" s="6803"/>
      <c r="AQ45" s="6803"/>
      <c r="AR45" s="6803"/>
      <c r="AS45" s="6803"/>
      <c r="AT45" s="6803"/>
      <c r="AU45" s="6803"/>
      <c r="AV45" s="6803"/>
      <c r="AW45" s="6803"/>
      <c r="AX45" s="6803"/>
      <c r="AY45" s="6803"/>
      <c r="AZ45" s="6803"/>
      <c r="BA45" s="6803"/>
      <c r="BB45" s="6803"/>
      <c r="BC45" s="6803"/>
      <c r="BD45" s="6803"/>
      <c r="BE45" s="6803"/>
      <c r="BF45" s="6803"/>
      <c r="BG45" s="6803"/>
      <c r="BH45" s="6803"/>
      <c r="BI45" s="6803"/>
      <c r="BJ45" s="6803"/>
      <c r="BK45" s="6803"/>
      <c r="BL45" s="6803"/>
      <c r="BM45" s="6803"/>
      <c r="BN45" s="6803"/>
      <c r="BO45" s="6803"/>
      <c r="BP45" s="6803"/>
      <c r="BQ45" s="6803"/>
      <c r="BR45" s="6803"/>
      <c r="BS45" s="6803"/>
      <c r="BT45" s="6803"/>
      <c r="BU45" s="6803"/>
      <c r="BV45" s="6803"/>
      <c r="BW45" s="6800">
        <v>0.7</v>
      </c>
      <c r="BX45" s="4576">
        <f>BW45/K45</f>
        <v>1</v>
      </c>
      <c r="BY45" s="16763">
        <f>AVERAGE(BX45:BX60)</f>
        <v>0.9</v>
      </c>
      <c r="BZ45" s="6804" t="s">
        <v>9279</v>
      </c>
      <c r="CA45" s="6804" t="s">
        <v>9280</v>
      </c>
      <c r="CB45" s="6804" t="s">
        <v>9281</v>
      </c>
      <c r="CC45" s="6805">
        <v>13882000</v>
      </c>
      <c r="CD45" s="6806" t="s">
        <v>9264</v>
      </c>
      <c r="CE45" s="6806"/>
      <c r="CF45" s="6806"/>
      <c r="CG45" s="6806"/>
      <c r="CH45" s="6806"/>
      <c r="CI45" s="6806"/>
      <c r="CJ45" s="6806"/>
      <c r="CK45" s="6806"/>
      <c r="CL45" s="6806"/>
      <c r="CM45" s="6806"/>
      <c r="CN45" s="6806"/>
      <c r="CO45" s="6806"/>
      <c r="CP45" s="6806"/>
      <c r="CQ45" s="6806"/>
      <c r="CR45" s="6806"/>
      <c r="CS45" s="6806"/>
      <c r="CT45" s="6806"/>
      <c r="CU45" s="6806"/>
      <c r="CV45" s="6806"/>
      <c r="CW45" s="6806"/>
      <c r="CX45" s="6806"/>
      <c r="CY45" s="6806"/>
      <c r="CZ45" s="6806"/>
      <c r="DA45" s="6806"/>
      <c r="DB45" s="6806"/>
      <c r="DC45" s="6806"/>
      <c r="DD45" s="6806"/>
      <c r="DE45" s="6806"/>
      <c r="DF45" s="6806"/>
      <c r="DG45" s="6806"/>
      <c r="DH45" s="6806"/>
      <c r="DI45" s="6806"/>
      <c r="DJ45" s="6806"/>
      <c r="DK45" s="6806"/>
      <c r="DL45" s="6806"/>
      <c r="DM45" s="6806"/>
      <c r="DN45" s="6806"/>
      <c r="DO45" s="6806"/>
      <c r="DP45" s="6806"/>
      <c r="DQ45" s="6806"/>
      <c r="DR45" s="6806"/>
      <c r="DS45" s="6806"/>
      <c r="DT45" s="6806"/>
      <c r="DU45" s="6807"/>
      <c r="DW45" s="6809"/>
      <c r="DX45" s="6803"/>
      <c r="DY45" s="6803"/>
      <c r="DZ45" s="6803"/>
      <c r="EA45" s="6803"/>
      <c r="EB45" s="6803"/>
      <c r="EC45" s="6803"/>
      <c r="ED45" s="6803"/>
      <c r="EE45" s="6803"/>
      <c r="EF45" s="6803"/>
      <c r="EG45" s="6803"/>
      <c r="EH45" s="6803"/>
      <c r="EI45" s="6803"/>
      <c r="EJ45" s="6803"/>
      <c r="EK45" s="6803"/>
      <c r="EL45" s="6803"/>
      <c r="EM45" s="6803"/>
      <c r="EN45" s="6803"/>
      <c r="EO45" s="6803"/>
      <c r="EP45" s="6803"/>
      <c r="EQ45" s="6803"/>
      <c r="ER45" s="6803"/>
      <c r="ES45" s="6803"/>
      <c r="ET45" s="6803"/>
      <c r="EU45" s="6803"/>
      <c r="EV45" s="6803"/>
      <c r="EW45" s="6803"/>
      <c r="EX45" s="6803"/>
      <c r="EY45" s="6803"/>
      <c r="EZ45" s="6803"/>
      <c r="FA45" s="6803"/>
      <c r="FB45" s="6803"/>
      <c r="FC45" s="6803"/>
      <c r="FD45" s="6803"/>
      <c r="FE45" s="6803"/>
      <c r="FF45" s="6803"/>
      <c r="FG45" s="6803"/>
      <c r="FH45" s="6803"/>
      <c r="FI45" s="6803"/>
      <c r="FJ45" s="6803"/>
      <c r="FK45" s="6803"/>
      <c r="FL45" s="6803"/>
      <c r="FM45" s="6803"/>
      <c r="FN45" s="6803"/>
      <c r="FO45" s="6803"/>
      <c r="FP45" s="6810"/>
    </row>
    <row r="46" spans="1:172" s="6808" customFormat="1" ht="15" customHeight="1">
      <c r="A46" s="16713"/>
      <c r="B46" s="16710"/>
      <c r="C46" s="15953"/>
      <c r="D46" s="15953"/>
      <c r="E46" s="15953" t="s">
        <v>4514</v>
      </c>
      <c r="F46" s="16702" t="s">
        <v>488</v>
      </c>
      <c r="G46" s="16702" t="s">
        <v>489</v>
      </c>
      <c r="H46" s="6811" t="s">
        <v>382</v>
      </c>
      <c r="I46" s="4492">
        <v>0</v>
      </c>
      <c r="J46" s="6812">
        <v>0.5</v>
      </c>
      <c r="K46" s="16702">
        <v>1</v>
      </c>
      <c r="L46" s="16702">
        <v>1</v>
      </c>
      <c r="M46" s="16702">
        <v>1</v>
      </c>
      <c r="N46" s="16702">
        <v>1</v>
      </c>
      <c r="O46" s="16702">
        <v>1</v>
      </c>
      <c r="P46" s="16702">
        <v>1</v>
      </c>
      <c r="Q46" s="16702">
        <v>1</v>
      </c>
      <c r="R46" s="16702">
        <v>1</v>
      </c>
      <c r="S46" s="16702">
        <v>1</v>
      </c>
      <c r="T46" s="16702">
        <v>1</v>
      </c>
      <c r="U46" s="16702">
        <v>1</v>
      </c>
      <c r="V46" s="16702" t="s">
        <v>490</v>
      </c>
      <c r="W46" s="6811" t="s">
        <v>26</v>
      </c>
      <c r="X46" s="6811" t="s">
        <v>390</v>
      </c>
      <c r="Y46" s="6813"/>
      <c r="Z46" s="6814">
        <v>13882000</v>
      </c>
      <c r="AA46" s="6814"/>
      <c r="AB46" s="6814"/>
      <c r="AC46" s="6814"/>
      <c r="AD46" s="6815">
        <f t="shared" si="2"/>
        <v>13882000</v>
      </c>
      <c r="AE46" s="6813"/>
      <c r="AF46" s="6813"/>
      <c r="AG46" s="6813"/>
      <c r="AH46" s="6813"/>
      <c r="AI46" s="6813"/>
      <c r="AJ46" s="6813"/>
      <c r="AK46" s="6813"/>
      <c r="AL46" s="6813"/>
      <c r="AM46" s="6813"/>
      <c r="AN46" s="6813"/>
      <c r="AO46" s="6813"/>
      <c r="AP46" s="6813"/>
      <c r="AQ46" s="6813"/>
      <c r="AR46" s="6813"/>
      <c r="AS46" s="6813"/>
      <c r="AT46" s="6813"/>
      <c r="AU46" s="6813"/>
      <c r="AV46" s="6813"/>
      <c r="AW46" s="6813"/>
      <c r="AX46" s="6813"/>
      <c r="AY46" s="6813"/>
      <c r="AZ46" s="6813"/>
      <c r="BA46" s="6813"/>
      <c r="BB46" s="6813"/>
      <c r="BC46" s="6813"/>
      <c r="BD46" s="6813"/>
      <c r="BE46" s="6813"/>
      <c r="BF46" s="6813"/>
      <c r="BG46" s="6813"/>
      <c r="BH46" s="6813"/>
      <c r="BI46" s="6813"/>
      <c r="BJ46" s="6813"/>
      <c r="BK46" s="6813"/>
      <c r="BL46" s="6813"/>
      <c r="BM46" s="6813"/>
      <c r="BN46" s="6813"/>
      <c r="BO46" s="6813"/>
      <c r="BP46" s="6813"/>
      <c r="BQ46" s="6813"/>
      <c r="BR46" s="6813"/>
      <c r="BS46" s="6813"/>
      <c r="BT46" s="6813"/>
      <c r="BU46" s="6813"/>
      <c r="BV46" s="6813"/>
      <c r="BW46" s="6812">
        <v>1</v>
      </c>
      <c r="BX46" s="4492">
        <f>BW46/K46</f>
        <v>1</v>
      </c>
      <c r="BY46" s="16764"/>
      <c r="BZ46" s="6816" t="s">
        <v>9282</v>
      </c>
      <c r="CA46" s="6816" t="s">
        <v>9280</v>
      </c>
      <c r="CB46" s="6816" t="s">
        <v>9283</v>
      </c>
      <c r="CC46" s="6817">
        <v>41646000</v>
      </c>
      <c r="CD46" s="6818" t="s">
        <v>9264</v>
      </c>
      <c r="CE46" s="6818"/>
      <c r="CF46" s="6818"/>
      <c r="CG46" s="6818">
        <v>60</v>
      </c>
      <c r="CH46" s="6818">
        <v>40</v>
      </c>
      <c r="CI46" s="6818">
        <v>20</v>
      </c>
      <c r="CJ46" s="6818"/>
      <c r="CK46" s="6818">
        <v>60</v>
      </c>
      <c r="CL46" s="6818"/>
      <c r="CM46" s="6818"/>
      <c r="CN46" s="6818"/>
      <c r="CO46" s="6818"/>
      <c r="CP46" s="6818"/>
      <c r="CQ46" s="6818"/>
      <c r="CR46" s="6818">
        <v>20</v>
      </c>
      <c r="CS46" s="6818">
        <v>40</v>
      </c>
      <c r="CT46" s="6818"/>
      <c r="CU46" s="6818"/>
      <c r="CV46" s="6818">
        <v>60</v>
      </c>
      <c r="CW46" s="6818"/>
      <c r="CX46" s="6818"/>
      <c r="CY46" s="6818"/>
      <c r="CZ46" s="6818"/>
      <c r="DA46" s="6818"/>
      <c r="DB46" s="6818"/>
      <c r="DC46" s="6818"/>
      <c r="DD46" s="6818"/>
      <c r="DE46" s="6818"/>
      <c r="DF46" s="6818"/>
      <c r="DG46" s="6818"/>
      <c r="DH46" s="6818"/>
      <c r="DI46" s="6818"/>
      <c r="DJ46" s="6818"/>
      <c r="DK46" s="6818"/>
      <c r="DL46" s="6818"/>
      <c r="DM46" s="6818"/>
      <c r="DN46" s="6818"/>
      <c r="DO46" s="6818"/>
      <c r="DP46" s="6818"/>
      <c r="DQ46" s="6818"/>
      <c r="DR46" s="6818"/>
      <c r="DS46" s="6818"/>
      <c r="DT46" s="6818"/>
      <c r="DU46" s="6819"/>
      <c r="DW46" s="6820"/>
      <c r="DX46" s="6813"/>
      <c r="DY46" s="6813"/>
      <c r="DZ46" s="6813"/>
      <c r="EA46" s="6813"/>
      <c r="EB46" s="6813"/>
      <c r="EC46" s="6813"/>
      <c r="ED46" s="6813"/>
      <c r="EE46" s="6813"/>
      <c r="EF46" s="6813"/>
      <c r="EG46" s="6813"/>
      <c r="EH46" s="6813"/>
      <c r="EI46" s="6813"/>
      <c r="EJ46" s="6813"/>
      <c r="EK46" s="6813"/>
      <c r="EL46" s="6813"/>
      <c r="EM46" s="6813"/>
      <c r="EN46" s="6813"/>
      <c r="EO46" s="6813"/>
      <c r="EP46" s="6813"/>
      <c r="EQ46" s="6813"/>
      <c r="ER46" s="6813"/>
      <c r="ES46" s="6813"/>
      <c r="ET46" s="6813"/>
      <c r="EU46" s="6813"/>
      <c r="EV46" s="6813"/>
      <c r="EW46" s="6813"/>
      <c r="EX46" s="6813"/>
      <c r="EY46" s="6813"/>
      <c r="EZ46" s="6813"/>
      <c r="FA46" s="6813"/>
      <c r="FB46" s="6813"/>
      <c r="FC46" s="6813"/>
      <c r="FD46" s="6813"/>
      <c r="FE46" s="6813"/>
      <c r="FF46" s="6813"/>
      <c r="FG46" s="6813"/>
      <c r="FH46" s="6813"/>
      <c r="FI46" s="6813"/>
      <c r="FJ46" s="6813"/>
      <c r="FK46" s="6813"/>
      <c r="FL46" s="6813"/>
      <c r="FM46" s="6813"/>
      <c r="FN46" s="6813"/>
      <c r="FO46" s="6813"/>
      <c r="FP46" s="6821"/>
    </row>
    <row r="47" spans="1:172" s="6808" customFormat="1" ht="15" customHeight="1">
      <c r="A47" s="16713"/>
      <c r="B47" s="16710"/>
      <c r="C47" s="15953"/>
      <c r="D47" s="15953"/>
      <c r="E47" s="15953"/>
      <c r="F47" s="16702"/>
      <c r="G47" s="16702"/>
      <c r="H47" s="6811"/>
      <c r="I47" s="4492"/>
      <c r="J47" s="6812"/>
      <c r="K47" s="16702"/>
      <c r="L47" s="16702"/>
      <c r="M47" s="16702"/>
      <c r="N47" s="16702"/>
      <c r="O47" s="16702"/>
      <c r="P47" s="16702"/>
      <c r="Q47" s="16702"/>
      <c r="R47" s="16702"/>
      <c r="S47" s="16702"/>
      <c r="T47" s="16702"/>
      <c r="U47" s="16702"/>
      <c r="V47" s="16702"/>
      <c r="W47" s="6811" t="s">
        <v>477</v>
      </c>
      <c r="X47" s="6811"/>
      <c r="Y47" s="6811" t="s">
        <v>477</v>
      </c>
      <c r="Z47" s="6814"/>
      <c r="AA47" s="6814"/>
      <c r="AB47" s="6814"/>
      <c r="AC47" s="6814"/>
      <c r="AD47" s="6815"/>
      <c r="AE47" s="6813"/>
      <c r="AF47" s="6813"/>
      <c r="AG47" s="6813"/>
      <c r="AH47" s="6813"/>
      <c r="AI47" s="6813"/>
      <c r="AJ47" s="6813"/>
      <c r="AK47" s="6813"/>
      <c r="AL47" s="6813"/>
      <c r="AM47" s="6813"/>
      <c r="AN47" s="6813"/>
      <c r="AO47" s="6813"/>
      <c r="AP47" s="6813"/>
      <c r="AQ47" s="6813"/>
      <c r="AR47" s="6813"/>
      <c r="AS47" s="6813"/>
      <c r="AT47" s="6813"/>
      <c r="AU47" s="6813"/>
      <c r="AV47" s="6813"/>
      <c r="AW47" s="6813"/>
      <c r="AX47" s="6813"/>
      <c r="AY47" s="6813"/>
      <c r="AZ47" s="6813"/>
      <c r="BA47" s="6813"/>
      <c r="BB47" s="6813"/>
      <c r="BC47" s="6813"/>
      <c r="BD47" s="6813"/>
      <c r="BE47" s="6813"/>
      <c r="BF47" s="6813"/>
      <c r="BG47" s="6813"/>
      <c r="BH47" s="6813"/>
      <c r="BI47" s="6813"/>
      <c r="BJ47" s="6813"/>
      <c r="BK47" s="6813"/>
      <c r="BL47" s="6813"/>
      <c r="BM47" s="6813"/>
      <c r="BN47" s="6813"/>
      <c r="BO47" s="6813"/>
      <c r="BP47" s="6813"/>
      <c r="BQ47" s="6813"/>
      <c r="BR47" s="6813"/>
      <c r="BS47" s="6813"/>
      <c r="BT47" s="6813"/>
      <c r="BU47" s="6813"/>
      <c r="BV47" s="6813"/>
      <c r="BW47" s="6812"/>
      <c r="BX47" s="4492"/>
      <c r="BY47" s="16764"/>
      <c r="BZ47" s="6816"/>
      <c r="CA47" s="6816"/>
      <c r="CB47" s="6816"/>
      <c r="CC47" s="6817"/>
      <c r="CD47" s="6818"/>
      <c r="CE47" s="6818"/>
      <c r="CF47" s="6818"/>
      <c r="CG47" s="6818"/>
      <c r="CH47" s="6818"/>
      <c r="CI47" s="6818"/>
      <c r="CJ47" s="6818"/>
      <c r="CK47" s="6818"/>
      <c r="CL47" s="6818"/>
      <c r="CM47" s="6818"/>
      <c r="CN47" s="6818"/>
      <c r="CO47" s="6818"/>
      <c r="CP47" s="6818"/>
      <c r="CQ47" s="6818"/>
      <c r="CR47" s="6818"/>
      <c r="CS47" s="6818"/>
      <c r="CT47" s="6818"/>
      <c r="CU47" s="6818"/>
      <c r="CV47" s="6818"/>
      <c r="CW47" s="6818"/>
      <c r="CX47" s="6818"/>
      <c r="CY47" s="6818"/>
      <c r="CZ47" s="6818"/>
      <c r="DA47" s="6818"/>
      <c r="DB47" s="6818"/>
      <c r="DC47" s="6818"/>
      <c r="DD47" s="6818"/>
      <c r="DE47" s="6818"/>
      <c r="DF47" s="6818"/>
      <c r="DG47" s="6818"/>
      <c r="DH47" s="6818"/>
      <c r="DI47" s="6818"/>
      <c r="DJ47" s="6818"/>
      <c r="DK47" s="6818"/>
      <c r="DL47" s="6818"/>
      <c r="DM47" s="6818"/>
      <c r="DN47" s="6818"/>
      <c r="DO47" s="6818"/>
      <c r="DP47" s="6818"/>
      <c r="DQ47" s="6818"/>
      <c r="DR47" s="6818"/>
      <c r="DS47" s="6818"/>
      <c r="DT47" s="6818"/>
      <c r="DU47" s="6819"/>
      <c r="DW47" s="6820"/>
      <c r="DX47" s="6813"/>
      <c r="DY47" s="6813"/>
      <c r="DZ47" s="6813"/>
      <c r="EA47" s="6813"/>
      <c r="EB47" s="6813"/>
      <c r="EC47" s="6813"/>
      <c r="ED47" s="6813"/>
      <c r="EE47" s="6813"/>
      <c r="EF47" s="6813"/>
      <c r="EG47" s="6813"/>
      <c r="EH47" s="6813"/>
      <c r="EI47" s="6813"/>
      <c r="EJ47" s="6813"/>
      <c r="EK47" s="6813"/>
      <c r="EL47" s="6813"/>
      <c r="EM47" s="6813"/>
      <c r="EN47" s="6813"/>
      <c r="EO47" s="6813"/>
      <c r="EP47" s="6813"/>
      <c r="EQ47" s="6813"/>
      <c r="ER47" s="6813"/>
      <c r="ES47" s="6813"/>
      <c r="ET47" s="6813"/>
      <c r="EU47" s="6813"/>
      <c r="EV47" s="6813"/>
      <c r="EW47" s="6813"/>
      <c r="EX47" s="6813"/>
      <c r="EY47" s="6813"/>
      <c r="EZ47" s="6813"/>
      <c r="FA47" s="6813"/>
      <c r="FB47" s="6813"/>
      <c r="FC47" s="6813"/>
      <c r="FD47" s="6813"/>
      <c r="FE47" s="6813"/>
      <c r="FF47" s="6813"/>
      <c r="FG47" s="6813"/>
      <c r="FH47" s="6813"/>
      <c r="FI47" s="6813"/>
      <c r="FJ47" s="6813"/>
      <c r="FK47" s="6813"/>
      <c r="FL47" s="6813"/>
      <c r="FM47" s="6813"/>
      <c r="FN47" s="6813"/>
      <c r="FO47" s="6813"/>
      <c r="FP47" s="6821"/>
    </row>
    <row r="48" spans="1:172" s="6808" customFormat="1" ht="15" customHeight="1">
      <c r="A48" s="16713"/>
      <c r="B48" s="16710"/>
      <c r="C48" s="15953"/>
      <c r="D48" s="15953"/>
      <c r="E48" s="15953"/>
      <c r="F48" s="16702"/>
      <c r="G48" s="16702"/>
      <c r="H48" s="6811"/>
      <c r="I48" s="4492"/>
      <c r="J48" s="6812"/>
      <c r="K48" s="16702"/>
      <c r="L48" s="16702"/>
      <c r="M48" s="16702"/>
      <c r="N48" s="16702"/>
      <c r="O48" s="16702"/>
      <c r="P48" s="16702"/>
      <c r="Q48" s="16702"/>
      <c r="R48" s="16702"/>
      <c r="S48" s="16702"/>
      <c r="T48" s="16702"/>
      <c r="U48" s="16702"/>
      <c r="V48" s="16702"/>
      <c r="W48" s="6811" t="s">
        <v>86</v>
      </c>
      <c r="X48" s="6811"/>
      <c r="Y48" s="6811" t="s">
        <v>10284</v>
      </c>
      <c r="Z48" s="6814"/>
      <c r="AA48" s="6814"/>
      <c r="AB48" s="6814"/>
      <c r="AC48" s="6814"/>
      <c r="AD48" s="6815"/>
      <c r="AE48" s="6813"/>
      <c r="AF48" s="6813"/>
      <c r="AG48" s="6813"/>
      <c r="AH48" s="6813"/>
      <c r="AI48" s="6813"/>
      <c r="AJ48" s="6813"/>
      <c r="AK48" s="6813"/>
      <c r="AL48" s="6813"/>
      <c r="AM48" s="6813"/>
      <c r="AN48" s="6813"/>
      <c r="AO48" s="6813"/>
      <c r="AP48" s="6813"/>
      <c r="AQ48" s="6813"/>
      <c r="AR48" s="6813"/>
      <c r="AS48" s="6813"/>
      <c r="AT48" s="6813"/>
      <c r="AU48" s="6813"/>
      <c r="AV48" s="6813"/>
      <c r="AW48" s="6813"/>
      <c r="AX48" s="6813"/>
      <c r="AY48" s="6813"/>
      <c r="AZ48" s="6813"/>
      <c r="BA48" s="6813"/>
      <c r="BB48" s="6813"/>
      <c r="BC48" s="6813"/>
      <c r="BD48" s="6813"/>
      <c r="BE48" s="6813"/>
      <c r="BF48" s="6813"/>
      <c r="BG48" s="6813"/>
      <c r="BH48" s="6813"/>
      <c r="BI48" s="6813"/>
      <c r="BJ48" s="6813"/>
      <c r="BK48" s="6813"/>
      <c r="BL48" s="6813"/>
      <c r="BM48" s="6813"/>
      <c r="BN48" s="6813"/>
      <c r="BO48" s="6813"/>
      <c r="BP48" s="6813"/>
      <c r="BQ48" s="6813"/>
      <c r="BR48" s="6813"/>
      <c r="BS48" s="6813"/>
      <c r="BT48" s="6813"/>
      <c r="BU48" s="6813"/>
      <c r="BV48" s="6813"/>
      <c r="BW48" s="6812"/>
      <c r="BX48" s="4492"/>
      <c r="BY48" s="16764"/>
      <c r="BZ48" s="6816"/>
      <c r="CA48" s="6816"/>
      <c r="CB48" s="6816"/>
      <c r="CC48" s="6817"/>
      <c r="CD48" s="6818"/>
      <c r="CE48" s="6818"/>
      <c r="CF48" s="6818"/>
      <c r="CG48" s="6818"/>
      <c r="CH48" s="6818"/>
      <c r="CI48" s="6818"/>
      <c r="CJ48" s="6818"/>
      <c r="CK48" s="6818"/>
      <c r="CL48" s="6818"/>
      <c r="CM48" s="6818"/>
      <c r="CN48" s="6818"/>
      <c r="CO48" s="6818"/>
      <c r="CP48" s="6818"/>
      <c r="CQ48" s="6818"/>
      <c r="CR48" s="6818"/>
      <c r="CS48" s="6818"/>
      <c r="CT48" s="6818"/>
      <c r="CU48" s="6818"/>
      <c r="CV48" s="6818"/>
      <c r="CW48" s="6818"/>
      <c r="CX48" s="6818"/>
      <c r="CY48" s="6818"/>
      <c r="CZ48" s="6818"/>
      <c r="DA48" s="6818"/>
      <c r="DB48" s="6818"/>
      <c r="DC48" s="6818"/>
      <c r="DD48" s="6818"/>
      <c r="DE48" s="6818"/>
      <c r="DF48" s="6818"/>
      <c r="DG48" s="6818"/>
      <c r="DH48" s="6818"/>
      <c r="DI48" s="6818"/>
      <c r="DJ48" s="6818"/>
      <c r="DK48" s="6818"/>
      <c r="DL48" s="6818"/>
      <c r="DM48" s="6818"/>
      <c r="DN48" s="6818"/>
      <c r="DO48" s="6818"/>
      <c r="DP48" s="6818"/>
      <c r="DQ48" s="6818"/>
      <c r="DR48" s="6818"/>
      <c r="DS48" s="6818"/>
      <c r="DT48" s="6818"/>
      <c r="DU48" s="6819"/>
      <c r="DW48" s="6820"/>
      <c r="DX48" s="6813"/>
      <c r="DY48" s="6813"/>
      <c r="DZ48" s="6813"/>
      <c r="EA48" s="6813"/>
      <c r="EB48" s="6813"/>
      <c r="EC48" s="6813"/>
      <c r="ED48" s="6813"/>
      <c r="EE48" s="6813"/>
      <c r="EF48" s="6813"/>
      <c r="EG48" s="6813"/>
      <c r="EH48" s="6813"/>
      <c r="EI48" s="6813"/>
      <c r="EJ48" s="6813"/>
      <c r="EK48" s="6813"/>
      <c r="EL48" s="6813"/>
      <c r="EM48" s="6813"/>
      <c r="EN48" s="6813"/>
      <c r="EO48" s="6813"/>
      <c r="EP48" s="6813"/>
      <c r="EQ48" s="6813"/>
      <c r="ER48" s="6813"/>
      <c r="ES48" s="6813"/>
      <c r="ET48" s="6813"/>
      <c r="EU48" s="6813"/>
      <c r="EV48" s="6813"/>
      <c r="EW48" s="6813"/>
      <c r="EX48" s="6813"/>
      <c r="EY48" s="6813"/>
      <c r="EZ48" s="6813"/>
      <c r="FA48" s="6813"/>
      <c r="FB48" s="6813"/>
      <c r="FC48" s="6813"/>
      <c r="FD48" s="6813"/>
      <c r="FE48" s="6813"/>
      <c r="FF48" s="6813"/>
      <c r="FG48" s="6813"/>
      <c r="FH48" s="6813"/>
      <c r="FI48" s="6813"/>
      <c r="FJ48" s="6813"/>
      <c r="FK48" s="6813"/>
      <c r="FL48" s="6813"/>
      <c r="FM48" s="6813"/>
      <c r="FN48" s="6813"/>
      <c r="FO48" s="6813"/>
      <c r="FP48" s="6821"/>
    </row>
    <row r="49" spans="1:172" s="6808" customFormat="1" ht="15" customHeight="1">
      <c r="A49" s="16713"/>
      <c r="B49" s="16710"/>
      <c r="C49" s="15953"/>
      <c r="D49" s="15953"/>
      <c r="E49" s="15953" t="s">
        <v>4515</v>
      </c>
      <c r="F49" s="16702" t="s">
        <v>491</v>
      </c>
      <c r="G49" s="16702" t="s">
        <v>492</v>
      </c>
      <c r="H49" s="6811" t="s">
        <v>382</v>
      </c>
      <c r="I49" s="6811">
        <v>0</v>
      </c>
      <c r="J49" s="6812">
        <v>0.25</v>
      </c>
      <c r="K49" s="16702">
        <v>0.5</v>
      </c>
      <c r="L49" s="16702">
        <v>0.75</v>
      </c>
      <c r="M49" s="16702">
        <v>1</v>
      </c>
      <c r="N49" s="16702">
        <v>1</v>
      </c>
      <c r="O49" s="16702">
        <v>1</v>
      </c>
      <c r="P49" s="16702">
        <v>1</v>
      </c>
      <c r="Q49" s="16702">
        <v>1</v>
      </c>
      <c r="R49" s="16702">
        <v>1</v>
      </c>
      <c r="S49" s="16702">
        <v>1</v>
      </c>
      <c r="T49" s="16702">
        <v>1</v>
      </c>
      <c r="U49" s="16702">
        <v>1</v>
      </c>
      <c r="V49" s="16702" t="s">
        <v>490</v>
      </c>
      <c r="W49" s="6811" t="s">
        <v>10066</v>
      </c>
      <c r="X49" s="6811" t="s">
        <v>486</v>
      </c>
      <c r="Y49" s="6813"/>
      <c r="Z49" s="6814">
        <v>41646000</v>
      </c>
      <c r="AA49" s="6814"/>
      <c r="AB49" s="6814"/>
      <c r="AC49" s="6814"/>
      <c r="AD49" s="6815">
        <f t="shared" si="2"/>
        <v>41646000</v>
      </c>
      <c r="AE49" s="6813"/>
      <c r="AF49" s="6813"/>
      <c r="AG49" s="6813"/>
      <c r="AH49" s="6813"/>
      <c r="AI49" s="6813"/>
      <c r="AJ49" s="6813"/>
      <c r="AK49" s="6813"/>
      <c r="AL49" s="6813"/>
      <c r="AM49" s="6813"/>
      <c r="AN49" s="6813"/>
      <c r="AO49" s="6813"/>
      <c r="AP49" s="6813"/>
      <c r="AQ49" s="6813"/>
      <c r="AR49" s="6813"/>
      <c r="AS49" s="6813"/>
      <c r="AT49" s="6813"/>
      <c r="AU49" s="6813"/>
      <c r="AV49" s="6813"/>
      <c r="AW49" s="6813"/>
      <c r="AX49" s="6813"/>
      <c r="AY49" s="6813"/>
      <c r="AZ49" s="6813"/>
      <c r="BA49" s="6813"/>
      <c r="BB49" s="6813"/>
      <c r="BC49" s="6813"/>
      <c r="BD49" s="6813"/>
      <c r="BE49" s="6813"/>
      <c r="BF49" s="6813"/>
      <c r="BG49" s="6813"/>
      <c r="BH49" s="6813"/>
      <c r="BI49" s="6813"/>
      <c r="BJ49" s="6813"/>
      <c r="BK49" s="6813"/>
      <c r="BL49" s="6813"/>
      <c r="BM49" s="6813"/>
      <c r="BN49" s="6813"/>
      <c r="BO49" s="6813"/>
      <c r="BP49" s="6813"/>
      <c r="BQ49" s="6813"/>
      <c r="BR49" s="6813"/>
      <c r="BS49" s="6813"/>
      <c r="BT49" s="6813"/>
      <c r="BU49" s="6813"/>
      <c r="BV49" s="6813"/>
      <c r="BW49" s="6812">
        <v>1</v>
      </c>
      <c r="BX49" s="4492">
        <f>IF((BW49/K49)&gt;=50%,100%)</f>
        <v>1</v>
      </c>
      <c r="BY49" s="16764"/>
      <c r="BZ49" s="6816" t="s">
        <v>9282</v>
      </c>
      <c r="CA49" s="6816" t="s">
        <v>9280</v>
      </c>
      <c r="CB49" s="6816" t="s">
        <v>9283</v>
      </c>
      <c r="CC49" s="6817">
        <v>41646000</v>
      </c>
      <c r="CD49" s="6818" t="s">
        <v>9264</v>
      </c>
      <c r="CE49" s="6818"/>
      <c r="CF49" s="6818"/>
      <c r="CG49" s="6818">
        <v>60</v>
      </c>
      <c r="CH49" s="6818">
        <v>40</v>
      </c>
      <c r="CI49" s="6818">
        <v>20</v>
      </c>
      <c r="CJ49" s="6818"/>
      <c r="CK49" s="6818">
        <v>60</v>
      </c>
      <c r="CL49" s="6818"/>
      <c r="CM49" s="6818"/>
      <c r="CN49" s="6818"/>
      <c r="CO49" s="6818"/>
      <c r="CP49" s="6818"/>
      <c r="CQ49" s="6818"/>
      <c r="CR49" s="6818">
        <v>20</v>
      </c>
      <c r="CS49" s="6818">
        <v>40</v>
      </c>
      <c r="CT49" s="6818"/>
      <c r="CU49" s="6818"/>
      <c r="CV49" s="6818">
        <v>60</v>
      </c>
      <c r="CW49" s="6818"/>
      <c r="CX49" s="6818"/>
      <c r="CY49" s="6818"/>
      <c r="CZ49" s="6818"/>
      <c r="DA49" s="6818"/>
      <c r="DB49" s="6818"/>
      <c r="DC49" s="6818"/>
      <c r="DD49" s="6818"/>
      <c r="DE49" s="6818"/>
      <c r="DF49" s="6818"/>
      <c r="DG49" s="6818"/>
      <c r="DH49" s="6818"/>
      <c r="DI49" s="6818"/>
      <c r="DJ49" s="6818"/>
      <c r="DK49" s="6818"/>
      <c r="DL49" s="6818"/>
      <c r="DM49" s="6818"/>
      <c r="DN49" s="6818"/>
      <c r="DO49" s="6818"/>
      <c r="DP49" s="6818"/>
      <c r="DQ49" s="6818"/>
      <c r="DR49" s="6818"/>
      <c r="DS49" s="6818"/>
      <c r="DT49" s="6818"/>
      <c r="DU49" s="6819"/>
      <c r="DW49" s="6820"/>
      <c r="DX49" s="6813"/>
      <c r="DY49" s="6813"/>
      <c r="DZ49" s="6813"/>
      <c r="EA49" s="6813"/>
      <c r="EB49" s="6813"/>
      <c r="EC49" s="6813"/>
      <c r="ED49" s="6813"/>
      <c r="EE49" s="6813"/>
      <c r="EF49" s="6813"/>
      <c r="EG49" s="6813"/>
      <c r="EH49" s="6813"/>
      <c r="EI49" s="6813"/>
      <c r="EJ49" s="6813"/>
      <c r="EK49" s="6813"/>
      <c r="EL49" s="6813"/>
      <c r="EM49" s="6813"/>
      <c r="EN49" s="6813"/>
      <c r="EO49" s="6813"/>
      <c r="EP49" s="6813"/>
      <c r="EQ49" s="6813"/>
      <c r="ER49" s="6813"/>
      <c r="ES49" s="6813"/>
      <c r="ET49" s="6813"/>
      <c r="EU49" s="6813"/>
      <c r="EV49" s="6813"/>
      <c r="EW49" s="6813"/>
      <c r="EX49" s="6813"/>
      <c r="EY49" s="6813"/>
      <c r="EZ49" s="6813"/>
      <c r="FA49" s="6813"/>
      <c r="FB49" s="6813"/>
      <c r="FC49" s="6813"/>
      <c r="FD49" s="6813"/>
      <c r="FE49" s="6813"/>
      <c r="FF49" s="6813"/>
      <c r="FG49" s="6813"/>
      <c r="FH49" s="6813"/>
      <c r="FI49" s="6813"/>
      <c r="FJ49" s="6813"/>
      <c r="FK49" s="6813"/>
      <c r="FL49" s="6813"/>
      <c r="FM49" s="6813"/>
      <c r="FN49" s="6813"/>
      <c r="FO49" s="6813"/>
      <c r="FP49" s="6821"/>
    </row>
    <row r="50" spans="1:172" s="6808" customFormat="1" ht="15" customHeight="1">
      <c r="A50" s="16713"/>
      <c r="B50" s="16710"/>
      <c r="C50" s="15953"/>
      <c r="D50" s="15953"/>
      <c r="E50" s="15953"/>
      <c r="F50" s="16702"/>
      <c r="G50" s="16702"/>
      <c r="H50" s="6811"/>
      <c r="I50" s="6811"/>
      <c r="J50" s="6812"/>
      <c r="K50" s="16702"/>
      <c r="L50" s="16702"/>
      <c r="M50" s="16702"/>
      <c r="N50" s="16702"/>
      <c r="O50" s="16702"/>
      <c r="P50" s="16702"/>
      <c r="Q50" s="16702"/>
      <c r="R50" s="16702"/>
      <c r="S50" s="16702"/>
      <c r="T50" s="16702"/>
      <c r="U50" s="16702"/>
      <c r="V50" s="16702"/>
      <c r="W50" s="6811" t="s">
        <v>26</v>
      </c>
      <c r="X50" s="6811"/>
      <c r="Y50" s="6811" t="s">
        <v>10285</v>
      </c>
      <c r="Z50" s="6814"/>
      <c r="AA50" s="6814"/>
      <c r="AB50" s="6814"/>
      <c r="AC50" s="6814"/>
      <c r="AD50" s="6815"/>
      <c r="AE50" s="6813"/>
      <c r="AF50" s="6813"/>
      <c r="AG50" s="6813"/>
      <c r="AH50" s="6813"/>
      <c r="AI50" s="6813"/>
      <c r="AJ50" s="6813"/>
      <c r="AK50" s="6813"/>
      <c r="AL50" s="6813"/>
      <c r="AM50" s="6813"/>
      <c r="AN50" s="6813"/>
      <c r="AO50" s="6813"/>
      <c r="AP50" s="6813"/>
      <c r="AQ50" s="6813"/>
      <c r="AR50" s="6813"/>
      <c r="AS50" s="6813"/>
      <c r="AT50" s="6813"/>
      <c r="AU50" s="6813"/>
      <c r="AV50" s="6813"/>
      <c r="AW50" s="6813"/>
      <c r="AX50" s="6813"/>
      <c r="AY50" s="6813"/>
      <c r="AZ50" s="6813"/>
      <c r="BA50" s="6813"/>
      <c r="BB50" s="6813"/>
      <c r="BC50" s="6813"/>
      <c r="BD50" s="6813"/>
      <c r="BE50" s="6813"/>
      <c r="BF50" s="6813"/>
      <c r="BG50" s="6813"/>
      <c r="BH50" s="6813"/>
      <c r="BI50" s="6813"/>
      <c r="BJ50" s="6813"/>
      <c r="BK50" s="6813"/>
      <c r="BL50" s="6813"/>
      <c r="BM50" s="6813"/>
      <c r="BN50" s="6813"/>
      <c r="BO50" s="6813"/>
      <c r="BP50" s="6813"/>
      <c r="BQ50" s="6813"/>
      <c r="BR50" s="6813"/>
      <c r="BS50" s="6813"/>
      <c r="BT50" s="6813"/>
      <c r="BU50" s="6813"/>
      <c r="BV50" s="6813"/>
      <c r="BW50" s="6812"/>
      <c r="BX50" s="4492"/>
      <c r="BY50" s="16764"/>
      <c r="BZ50" s="6816"/>
      <c r="CA50" s="6816"/>
      <c r="CB50" s="6816"/>
      <c r="CC50" s="6817"/>
      <c r="CD50" s="6818"/>
      <c r="CE50" s="6818"/>
      <c r="CF50" s="6818"/>
      <c r="CG50" s="6818"/>
      <c r="CH50" s="6818"/>
      <c r="CI50" s="6818"/>
      <c r="CJ50" s="6818"/>
      <c r="CK50" s="6818"/>
      <c r="CL50" s="6818"/>
      <c r="CM50" s="6818"/>
      <c r="CN50" s="6818"/>
      <c r="CO50" s="6818"/>
      <c r="CP50" s="6818"/>
      <c r="CQ50" s="6818"/>
      <c r="CR50" s="6818"/>
      <c r="CS50" s="6818"/>
      <c r="CT50" s="6818"/>
      <c r="CU50" s="6818"/>
      <c r="CV50" s="6818"/>
      <c r="CW50" s="6818"/>
      <c r="CX50" s="6818"/>
      <c r="CY50" s="6818"/>
      <c r="CZ50" s="6818"/>
      <c r="DA50" s="6818"/>
      <c r="DB50" s="6818"/>
      <c r="DC50" s="6818"/>
      <c r="DD50" s="6818"/>
      <c r="DE50" s="6818"/>
      <c r="DF50" s="6818"/>
      <c r="DG50" s="6818"/>
      <c r="DH50" s="6818"/>
      <c r="DI50" s="6818"/>
      <c r="DJ50" s="6818"/>
      <c r="DK50" s="6818"/>
      <c r="DL50" s="6818"/>
      <c r="DM50" s="6818"/>
      <c r="DN50" s="6818"/>
      <c r="DO50" s="6818"/>
      <c r="DP50" s="6818"/>
      <c r="DQ50" s="6818"/>
      <c r="DR50" s="6818"/>
      <c r="DS50" s="6818"/>
      <c r="DT50" s="6818"/>
      <c r="DU50" s="6819"/>
      <c r="DW50" s="6820"/>
      <c r="DX50" s="6813"/>
      <c r="DY50" s="6813"/>
      <c r="DZ50" s="6813"/>
      <c r="EA50" s="6813"/>
      <c r="EB50" s="6813"/>
      <c r="EC50" s="6813"/>
      <c r="ED50" s="6813"/>
      <c r="EE50" s="6813"/>
      <c r="EF50" s="6813"/>
      <c r="EG50" s="6813"/>
      <c r="EH50" s="6813"/>
      <c r="EI50" s="6813"/>
      <c r="EJ50" s="6813"/>
      <c r="EK50" s="6813"/>
      <c r="EL50" s="6813"/>
      <c r="EM50" s="6813"/>
      <c r="EN50" s="6813"/>
      <c r="EO50" s="6813"/>
      <c r="EP50" s="6813"/>
      <c r="EQ50" s="6813"/>
      <c r="ER50" s="6813"/>
      <c r="ES50" s="6813"/>
      <c r="ET50" s="6813"/>
      <c r="EU50" s="6813"/>
      <c r="EV50" s="6813"/>
      <c r="EW50" s="6813"/>
      <c r="EX50" s="6813"/>
      <c r="EY50" s="6813"/>
      <c r="EZ50" s="6813"/>
      <c r="FA50" s="6813"/>
      <c r="FB50" s="6813"/>
      <c r="FC50" s="6813"/>
      <c r="FD50" s="6813"/>
      <c r="FE50" s="6813"/>
      <c r="FF50" s="6813"/>
      <c r="FG50" s="6813"/>
      <c r="FH50" s="6813"/>
      <c r="FI50" s="6813"/>
      <c r="FJ50" s="6813"/>
      <c r="FK50" s="6813"/>
      <c r="FL50" s="6813"/>
      <c r="FM50" s="6813"/>
      <c r="FN50" s="6813"/>
      <c r="FO50" s="6813"/>
      <c r="FP50" s="6821"/>
    </row>
    <row r="51" spans="1:172" s="6808" customFormat="1" ht="15" customHeight="1">
      <c r="A51" s="16713"/>
      <c r="B51" s="16710"/>
      <c r="C51" s="15953"/>
      <c r="D51" s="15953"/>
      <c r="E51" s="15953"/>
      <c r="F51" s="16702"/>
      <c r="G51" s="16702"/>
      <c r="H51" s="6811"/>
      <c r="I51" s="6811"/>
      <c r="J51" s="6812"/>
      <c r="K51" s="16702"/>
      <c r="L51" s="16702"/>
      <c r="M51" s="16702"/>
      <c r="N51" s="16702"/>
      <c r="O51" s="16702"/>
      <c r="P51" s="16702"/>
      <c r="Q51" s="16702"/>
      <c r="R51" s="16702"/>
      <c r="S51" s="16702"/>
      <c r="T51" s="16702"/>
      <c r="U51" s="16702"/>
      <c r="V51" s="16702"/>
      <c r="W51" s="6811" t="s">
        <v>477</v>
      </c>
      <c r="X51" s="6811"/>
      <c r="Y51" s="6811" t="s">
        <v>477</v>
      </c>
      <c r="Z51" s="6814"/>
      <c r="AA51" s="6814"/>
      <c r="AB51" s="6814"/>
      <c r="AC51" s="6814"/>
      <c r="AD51" s="6815"/>
      <c r="AE51" s="6813"/>
      <c r="AF51" s="6813"/>
      <c r="AG51" s="6813"/>
      <c r="AH51" s="6813"/>
      <c r="AI51" s="6813"/>
      <c r="AJ51" s="6813"/>
      <c r="AK51" s="6813"/>
      <c r="AL51" s="6813"/>
      <c r="AM51" s="6813"/>
      <c r="AN51" s="6813"/>
      <c r="AO51" s="6813"/>
      <c r="AP51" s="6813"/>
      <c r="AQ51" s="6813"/>
      <c r="AR51" s="6813"/>
      <c r="AS51" s="6813"/>
      <c r="AT51" s="6813"/>
      <c r="AU51" s="6813"/>
      <c r="AV51" s="6813"/>
      <c r="AW51" s="6813"/>
      <c r="AX51" s="6813"/>
      <c r="AY51" s="6813"/>
      <c r="AZ51" s="6813"/>
      <c r="BA51" s="6813"/>
      <c r="BB51" s="6813"/>
      <c r="BC51" s="6813"/>
      <c r="BD51" s="6813"/>
      <c r="BE51" s="6813"/>
      <c r="BF51" s="6813"/>
      <c r="BG51" s="6813"/>
      <c r="BH51" s="6813"/>
      <c r="BI51" s="6813"/>
      <c r="BJ51" s="6813"/>
      <c r="BK51" s="6813"/>
      <c r="BL51" s="6813"/>
      <c r="BM51" s="6813"/>
      <c r="BN51" s="6813"/>
      <c r="BO51" s="6813"/>
      <c r="BP51" s="6813"/>
      <c r="BQ51" s="6813"/>
      <c r="BR51" s="6813"/>
      <c r="BS51" s="6813"/>
      <c r="BT51" s="6813"/>
      <c r="BU51" s="6813"/>
      <c r="BV51" s="6813"/>
      <c r="BW51" s="6812"/>
      <c r="BX51" s="4492"/>
      <c r="BY51" s="16764"/>
      <c r="BZ51" s="6816"/>
      <c r="CA51" s="6816"/>
      <c r="CB51" s="6816"/>
      <c r="CC51" s="6817"/>
      <c r="CD51" s="6818"/>
      <c r="CE51" s="6818"/>
      <c r="CF51" s="6818"/>
      <c r="CG51" s="6818"/>
      <c r="CH51" s="6818"/>
      <c r="CI51" s="6818"/>
      <c r="CJ51" s="6818"/>
      <c r="CK51" s="6818"/>
      <c r="CL51" s="6818"/>
      <c r="CM51" s="6818"/>
      <c r="CN51" s="6818"/>
      <c r="CO51" s="6818"/>
      <c r="CP51" s="6818"/>
      <c r="CQ51" s="6818"/>
      <c r="CR51" s="6818"/>
      <c r="CS51" s="6818"/>
      <c r="CT51" s="6818"/>
      <c r="CU51" s="6818"/>
      <c r="CV51" s="6818"/>
      <c r="CW51" s="6818"/>
      <c r="CX51" s="6818"/>
      <c r="CY51" s="6818"/>
      <c r="CZ51" s="6818"/>
      <c r="DA51" s="6818"/>
      <c r="DB51" s="6818"/>
      <c r="DC51" s="6818"/>
      <c r="DD51" s="6818"/>
      <c r="DE51" s="6818"/>
      <c r="DF51" s="6818"/>
      <c r="DG51" s="6818"/>
      <c r="DH51" s="6818"/>
      <c r="DI51" s="6818"/>
      <c r="DJ51" s="6818"/>
      <c r="DK51" s="6818"/>
      <c r="DL51" s="6818"/>
      <c r="DM51" s="6818"/>
      <c r="DN51" s="6818"/>
      <c r="DO51" s="6818"/>
      <c r="DP51" s="6818"/>
      <c r="DQ51" s="6818"/>
      <c r="DR51" s="6818"/>
      <c r="DS51" s="6818"/>
      <c r="DT51" s="6818"/>
      <c r="DU51" s="6819"/>
      <c r="DW51" s="6820"/>
      <c r="DX51" s="6813"/>
      <c r="DY51" s="6813"/>
      <c r="DZ51" s="6813"/>
      <c r="EA51" s="6813"/>
      <c r="EB51" s="6813"/>
      <c r="EC51" s="6813"/>
      <c r="ED51" s="6813"/>
      <c r="EE51" s="6813"/>
      <c r="EF51" s="6813"/>
      <c r="EG51" s="6813"/>
      <c r="EH51" s="6813"/>
      <c r="EI51" s="6813"/>
      <c r="EJ51" s="6813"/>
      <c r="EK51" s="6813"/>
      <c r="EL51" s="6813"/>
      <c r="EM51" s="6813"/>
      <c r="EN51" s="6813"/>
      <c r="EO51" s="6813"/>
      <c r="EP51" s="6813"/>
      <c r="EQ51" s="6813"/>
      <c r="ER51" s="6813"/>
      <c r="ES51" s="6813"/>
      <c r="ET51" s="6813"/>
      <c r="EU51" s="6813"/>
      <c r="EV51" s="6813"/>
      <c r="EW51" s="6813"/>
      <c r="EX51" s="6813"/>
      <c r="EY51" s="6813"/>
      <c r="EZ51" s="6813"/>
      <c r="FA51" s="6813"/>
      <c r="FB51" s="6813"/>
      <c r="FC51" s="6813"/>
      <c r="FD51" s="6813"/>
      <c r="FE51" s="6813"/>
      <c r="FF51" s="6813"/>
      <c r="FG51" s="6813"/>
      <c r="FH51" s="6813"/>
      <c r="FI51" s="6813"/>
      <c r="FJ51" s="6813"/>
      <c r="FK51" s="6813"/>
      <c r="FL51" s="6813"/>
      <c r="FM51" s="6813"/>
      <c r="FN51" s="6813"/>
      <c r="FO51" s="6813"/>
      <c r="FP51" s="6821"/>
    </row>
    <row r="52" spans="1:172" s="6808" customFormat="1" ht="15" customHeight="1">
      <c r="A52" s="16713"/>
      <c r="B52" s="16710"/>
      <c r="C52" s="15953"/>
      <c r="D52" s="15953"/>
      <c r="E52" s="5099" t="s">
        <v>4516</v>
      </c>
      <c r="F52" s="6822" t="s">
        <v>493</v>
      </c>
      <c r="G52" s="6822" t="s">
        <v>494</v>
      </c>
      <c r="H52" s="6811" t="s">
        <v>382</v>
      </c>
      <c r="I52" s="6811">
        <v>0</v>
      </c>
      <c r="J52" s="6811">
        <v>0</v>
      </c>
      <c r="K52" s="6812">
        <v>0.3</v>
      </c>
      <c r="L52" s="6812">
        <v>0.7</v>
      </c>
      <c r="M52" s="6812">
        <v>1</v>
      </c>
      <c r="N52" s="6812">
        <v>1</v>
      </c>
      <c r="O52" s="6812">
        <v>1</v>
      </c>
      <c r="P52" s="6812">
        <v>1</v>
      </c>
      <c r="Q52" s="6812">
        <v>1</v>
      </c>
      <c r="R52" s="6812">
        <v>1</v>
      </c>
      <c r="S52" s="6812">
        <v>1</v>
      </c>
      <c r="T52" s="6812">
        <v>1</v>
      </c>
      <c r="U52" s="6812">
        <v>1</v>
      </c>
      <c r="V52" s="6812" t="s">
        <v>495</v>
      </c>
      <c r="W52" s="6812" t="s">
        <v>26</v>
      </c>
      <c r="X52" s="6811" t="s">
        <v>390</v>
      </c>
      <c r="Y52" s="6811"/>
      <c r="Z52" s="6814">
        <v>13882000</v>
      </c>
      <c r="AA52" s="6814"/>
      <c r="AB52" s="6814"/>
      <c r="AC52" s="6814"/>
      <c r="AD52" s="6815">
        <f t="shared" si="2"/>
        <v>13882000</v>
      </c>
      <c r="AE52" s="6813"/>
      <c r="AF52" s="6813"/>
      <c r="AG52" s="6813"/>
      <c r="AH52" s="6813"/>
      <c r="AI52" s="6813"/>
      <c r="AJ52" s="6813"/>
      <c r="AK52" s="6813"/>
      <c r="AL52" s="6813"/>
      <c r="AM52" s="6813"/>
      <c r="AN52" s="6813"/>
      <c r="AO52" s="6813"/>
      <c r="AP52" s="6813"/>
      <c r="AQ52" s="6813"/>
      <c r="AR52" s="6813"/>
      <c r="AS52" s="6813"/>
      <c r="AT52" s="6813"/>
      <c r="AU52" s="6813"/>
      <c r="AV52" s="6813"/>
      <c r="AW52" s="6813"/>
      <c r="AX52" s="6813"/>
      <c r="AY52" s="6813"/>
      <c r="AZ52" s="6813"/>
      <c r="BA52" s="6813"/>
      <c r="BB52" s="6813"/>
      <c r="BC52" s="6813"/>
      <c r="BD52" s="6813"/>
      <c r="BE52" s="6813"/>
      <c r="BF52" s="6813"/>
      <c r="BG52" s="6813"/>
      <c r="BH52" s="6813"/>
      <c r="BI52" s="6813"/>
      <c r="BJ52" s="6813"/>
      <c r="BK52" s="6813"/>
      <c r="BL52" s="6813"/>
      <c r="BM52" s="6813"/>
      <c r="BN52" s="6813"/>
      <c r="BO52" s="6813"/>
      <c r="BP52" s="6813"/>
      <c r="BQ52" s="6813"/>
      <c r="BR52" s="6813"/>
      <c r="BS52" s="6813"/>
      <c r="BT52" s="6813"/>
      <c r="BU52" s="6813"/>
      <c r="BV52" s="6813"/>
      <c r="BW52" s="6812">
        <v>0.8</v>
      </c>
      <c r="BX52" s="4492">
        <v>1</v>
      </c>
      <c r="BY52" s="16764"/>
      <c r="BZ52" s="6816" t="s">
        <v>9287</v>
      </c>
      <c r="CA52" s="6816" t="s">
        <v>9274</v>
      </c>
      <c r="CB52" s="6816" t="s">
        <v>9288</v>
      </c>
      <c r="CC52" s="6817">
        <v>13882000</v>
      </c>
      <c r="CD52" s="6818" t="s">
        <v>9264</v>
      </c>
      <c r="CE52" s="6818"/>
      <c r="CF52" s="6818"/>
      <c r="CG52" s="6818">
        <v>25</v>
      </c>
      <c r="CH52" s="6818">
        <v>17</v>
      </c>
      <c r="CI52" s="6818">
        <v>8</v>
      </c>
      <c r="CJ52" s="6818"/>
      <c r="CK52" s="6818">
        <v>18</v>
      </c>
      <c r="CL52" s="6818">
        <v>7</v>
      </c>
      <c r="CM52" s="6818"/>
      <c r="CN52" s="6818"/>
      <c r="CO52" s="6818"/>
      <c r="CP52" s="6818"/>
      <c r="CQ52" s="6818"/>
      <c r="CR52" s="6818">
        <v>15</v>
      </c>
      <c r="CS52" s="6818">
        <v>10</v>
      </c>
      <c r="CT52" s="6818"/>
      <c r="CU52" s="6818"/>
      <c r="CV52" s="6818">
        <v>25</v>
      </c>
      <c r="CW52" s="6818"/>
      <c r="CX52" s="6818"/>
      <c r="CY52" s="6818"/>
      <c r="CZ52" s="6818"/>
      <c r="DA52" s="6818"/>
      <c r="DB52" s="6818"/>
      <c r="DC52" s="6818"/>
      <c r="DD52" s="6818"/>
      <c r="DE52" s="6818"/>
      <c r="DF52" s="6818"/>
      <c r="DG52" s="6818"/>
      <c r="DH52" s="6818"/>
      <c r="DI52" s="6818"/>
      <c r="DJ52" s="6818"/>
      <c r="DK52" s="6818"/>
      <c r="DL52" s="6818"/>
      <c r="DM52" s="6818"/>
      <c r="DN52" s="6818"/>
      <c r="DO52" s="6818"/>
      <c r="DP52" s="6818"/>
      <c r="DQ52" s="6818"/>
      <c r="DR52" s="6818"/>
      <c r="DS52" s="6818"/>
      <c r="DT52" s="6818"/>
      <c r="DU52" s="6819"/>
      <c r="DW52" s="6820"/>
      <c r="DX52" s="6813"/>
      <c r="DY52" s="6813"/>
      <c r="DZ52" s="6813"/>
      <c r="EA52" s="6813"/>
      <c r="EB52" s="6813"/>
      <c r="EC52" s="6813"/>
      <c r="ED52" s="6813"/>
      <c r="EE52" s="6813"/>
      <c r="EF52" s="6813"/>
      <c r="EG52" s="6813"/>
      <c r="EH52" s="6813"/>
      <c r="EI52" s="6813"/>
      <c r="EJ52" s="6813"/>
      <c r="EK52" s="6813"/>
      <c r="EL52" s="6813"/>
      <c r="EM52" s="6813"/>
      <c r="EN52" s="6813"/>
      <c r="EO52" s="6813"/>
      <c r="EP52" s="6813"/>
      <c r="EQ52" s="6813"/>
      <c r="ER52" s="6813"/>
      <c r="ES52" s="6813"/>
      <c r="ET52" s="6813"/>
      <c r="EU52" s="6813"/>
      <c r="EV52" s="6813"/>
      <c r="EW52" s="6813"/>
      <c r="EX52" s="6813"/>
      <c r="EY52" s="6813"/>
      <c r="EZ52" s="6813"/>
      <c r="FA52" s="6813"/>
      <c r="FB52" s="6813"/>
      <c r="FC52" s="6813"/>
      <c r="FD52" s="6813"/>
      <c r="FE52" s="6813"/>
      <c r="FF52" s="6813"/>
      <c r="FG52" s="6813"/>
      <c r="FH52" s="6813"/>
      <c r="FI52" s="6813"/>
      <c r="FJ52" s="6813"/>
      <c r="FK52" s="6813"/>
      <c r="FL52" s="6813"/>
      <c r="FM52" s="6813"/>
      <c r="FN52" s="6813"/>
      <c r="FO52" s="6813"/>
      <c r="FP52" s="6821"/>
    </row>
    <row r="53" spans="1:172" s="6808" customFormat="1" ht="15" customHeight="1">
      <c r="A53" s="16713"/>
      <c r="B53" s="16710"/>
      <c r="C53" s="15953"/>
      <c r="D53" s="15953"/>
      <c r="E53" s="5099" t="s">
        <v>4517</v>
      </c>
      <c r="F53" s="6822" t="s">
        <v>496</v>
      </c>
      <c r="G53" s="6822" t="s">
        <v>497</v>
      </c>
      <c r="H53" s="6811" t="s">
        <v>382</v>
      </c>
      <c r="I53" s="6811">
        <v>0</v>
      </c>
      <c r="J53" s="6811">
        <v>6</v>
      </c>
      <c r="K53" s="6811">
        <v>6</v>
      </c>
      <c r="L53" s="6811">
        <v>6</v>
      </c>
      <c r="M53" s="6811">
        <v>6</v>
      </c>
      <c r="N53" s="6811">
        <v>6</v>
      </c>
      <c r="O53" s="6811">
        <v>6</v>
      </c>
      <c r="P53" s="6811">
        <v>6</v>
      </c>
      <c r="Q53" s="6811">
        <v>6</v>
      </c>
      <c r="R53" s="6811">
        <v>6</v>
      </c>
      <c r="S53" s="6811">
        <v>6</v>
      </c>
      <c r="T53" s="6811">
        <v>6</v>
      </c>
      <c r="U53" s="6811">
        <v>6</v>
      </c>
      <c r="V53" s="6811" t="s">
        <v>383</v>
      </c>
      <c r="W53" s="6811" t="s">
        <v>26</v>
      </c>
      <c r="X53" s="6811" t="s">
        <v>390</v>
      </c>
      <c r="Y53" s="6822" t="s">
        <v>498</v>
      </c>
      <c r="Z53" s="6814">
        <v>13882000</v>
      </c>
      <c r="AA53" s="6814"/>
      <c r="AB53" s="6814"/>
      <c r="AC53" s="6814"/>
      <c r="AD53" s="6815">
        <f t="shared" si="2"/>
        <v>13882000</v>
      </c>
      <c r="AE53" s="6813"/>
      <c r="AF53" s="6813"/>
      <c r="AG53" s="6813"/>
      <c r="AH53" s="6813"/>
      <c r="AI53" s="6813"/>
      <c r="AJ53" s="6813"/>
      <c r="AK53" s="6813"/>
      <c r="AL53" s="6813"/>
      <c r="AM53" s="6813"/>
      <c r="AN53" s="6813"/>
      <c r="AO53" s="6813"/>
      <c r="AP53" s="6813"/>
      <c r="AQ53" s="6813"/>
      <c r="AR53" s="6813"/>
      <c r="AS53" s="6813"/>
      <c r="AT53" s="6813"/>
      <c r="AU53" s="6813"/>
      <c r="AV53" s="6813"/>
      <c r="AW53" s="6813"/>
      <c r="AX53" s="6813"/>
      <c r="AY53" s="6813"/>
      <c r="AZ53" s="6813"/>
      <c r="BA53" s="6813"/>
      <c r="BB53" s="6813"/>
      <c r="BC53" s="6813"/>
      <c r="BD53" s="6813"/>
      <c r="BE53" s="6813"/>
      <c r="BF53" s="6813"/>
      <c r="BG53" s="6813"/>
      <c r="BH53" s="6813"/>
      <c r="BI53" s="6813"/>
      <c r="BJ53" s="6813"/>
      <c r="BK53" s="6813"/>
      <c r="BL53" s="6813"/>
      <c r="BM53" s="6813"/>
      <c r="BN53" s="6813"/>
      <c r="BO53" s="6813"/>
      <c r="BP53" s="6813"/>
      <c r="BQ53" s="6813"/>
      <c r="BR53" s="6813"/>
      <c r="BS53" s="6813"/>
      <c r="BT53" s="6813"/>
      <c r="BU53" s="6813"/>
      <c r="BV53" s="6813"/>
      <c r="BW53" s="6823">
        <v>1</v>
      </c>
      <c r="BX53" s="6824">
        <v>1</v>
      </c>
      <c r="BY53" s="16764"/>
      <c r="BZ53" s="6825" t="s">
        <v>9876</v>
      </c>
      <c r="CA53" s="6826" t="s">
        <v>9877</v>
      </c>
      <c r="CB53" s="6825" t="s">
        <v>9878</v>
      </c>
      <c r="CC53" s="6818"/>
      <c r="CD53" s="6818"/>
      <c r="CE53" s="6818"/>
      <c r="CF53" s="6818"/>
      <c r="CG53" s="6818"/>
      <c r="CH53" s="6818"/>
      <c r="CI53" s="6818"/>
      <c r="CJ53" s="6818"/>
      <c r="CK53" s="6818"/>
      <c r="CL53" s="6818"/>
      <c r="CM53" s="6818"/>
      <c r="CN53" s="6818"/>
      <c r="CO53" s="6818"/>
      <c r="CP53" s="6818"/>
      <c r="CQ53" s="6818"/>
      <c r="CR53" s="6818"/>
      <c r="CS53" s="6818"/>
      <c r="CT53" s="6818"/>
      <c r="CU53" s="6818"/>
      <c r="CV53" s="6818"/>
      <c r="CW53" s="6818"/>
      <c r="CX53" s="6818"/>
      <c r="CY53" s="6818"/>
      <c r="CZ53" s="6818"/>
      <c r="DA53" s="6818"/>
      <c r="DB53" s="6818"/>
      <c r="DC53" s="6818"/>
      <c r="DD53" s="6818"/>
      <c r="DE53" s="6818"/>
      <c r="DF53" s="6818"/>
      <c r="DG53" s="6818"/>
      <c r="DH53" s="6818"/>
      <c r="DI53" s="6818"/>
      <c r="DJ53" s="6818"/>
      <c r="DK53" s="6818"/>
      <c r="DL53" s="6818"/>
      <c r="DM53" s="6818"/>
      <c r="DN53" s="6818"/>
      <c r="DO53" s="6818"/>
      <c r="DP53" s="6818"/>
      <c r="DQ53" s="6818"/>
      <c r="DR53" s="6818"/>
      <c r="DS53" s="6818"/>
      <c r="DT53" s="6818"/>
      <c r="DU53" s="6819"/>
      <c r="DW53" s="6820"/>
      <c r="DX53" s="6813"/>
      <c r="DY53" s="6813"/>
      <c r="DZ53" s="6813"/>
      <c r="EA53" s="6813"/>
      <c r="EB53" s="6813"/>
      <c r="EC53" s="6813"/>
      <c r="ED53" s="6813"/>
      <c r="EE53" s="6813"/>
      <c r="EF53" s="6813"/>
      <c r="EG53" s="6813"/>
      <c r="EH53" s="6813"/>
      <c r="EI53" s="6813"/>
      <c r="EJ53" s="6813"/>
      <c r="EK53" s="6813"/>
      <c r="EL53" s="6813"/>
      <c r="EM53" s="6813"/>
      <c r="EN53" s="6813"/>
      <c r="EO53" s="6813"/>
      <c r="EP53" s="6813"/>
      <c r="EQ53" s="6813"/>
      <c r="ER53" s="6813"/>
      <c r="ES53" s="6813"/>
      <c r="ET53" s="6813"/>
      <c r="EU53" s="6813"/>
      <c r="EV53" s="6813"/>
      <c r="EW53" s="6813"/>
      <c r="EX53" s="6813"/>
      <c r="EY53" s="6813"/>
      <c r="EZ53" s="6813"/>
      <c r="FA53" s="6813"/>
      <c r="FB53" s="6813"/>
      <c r="FC53" s="6813"/>
      <c r="FD53" s="6813"/>
      <c r="FE53" s="6813"/>
      <c r="FF53" s="6813"/>
      <c r="FG53" s="6813"/>
      <c r="FH53" s="6813"/>
      <c r="FI53" s="6813"/>
      <c r="FJ53" s="6813"/>
      <c r="FK53" s="6813"/>
      <c r="FL53" s="6813"/>
      <c r="FM53" s="6813"/>
      <c r="FN53" s="6813"/>
      <c r="FO53" s="6813"/>
      <c r="FP53" s="6821"/>
    </row>
    <row r="54" spans="1:172" s="6808" customFormat="1" ht="15" customHeight="1">
      <c r="A54" s="16713"/>
      <c r="B54" s="16710"/>
      <c r="C54" s="15953"/>
      <c r="D54" s="15953"/>
      <c r="E54" s="5099" t="s">
        <v>4518</v>
      </c>
      <c r="F54" s="6822" t="s">
        <v>517</v>
      </c>
      <c r="G54" s="6822" t="s">
        <v>499</v>
      </c>
      <c r="H54" s="6811" t="s">
        <v>382</v>
      </c>
      <c r="I54" s="6811">
        <v>0</v>
      </c>
      <c r="J54" s="6827">
        <v>2</v>
      </c>
      <c r="K54" s="6827">
        <v>2</v>
      </c>
      <c r="L54" s="6827">
        <v>2</v>
      </c>
      <c r="M54" s="6827">
        <v>2</v>
      </c>
      <c r="N54" s="6827">
        <v>2</v>
      </c>
      <c r="O54" s="6827">
        <v>2</v>
      </c>
      <c r="P54" s="6827">
        <v>2</v>
      </c>
      <c r="Q54" s="6827">
        <v>2</v>
      </c>
      <c r="R54" s="6827">
        <v>2</v>
      </c>
      <c r="S54" s="6827">
        <v>2</v>
      </c>
      <c r="T54" s="6827">
        <v>2</v>
      </c>
      <c r="U54" s="6827">
        <v>2</v>
      </c>
      <c r="V54" s="6811" t="s">
        <v>490</v>
      </c>
      <c r="W54" s="6811" t="s">
        <v>10066</v>
      </c>
      <c r="X54" s="6811" t="s">
        <v>298</v>
      </c>
      <c r="Y54" s="6811" t="s">
        <v>500</v>
      </c>
      <c r="Z54" s="6814">
        <v>18194000</v>
      </c>
      <c r="AA54" s="6814"/>
      <c r="AB54" s="6814"/>
      <c r="AC54" s="6814"/>
      <c r="AD54" s="6815">
        <f t="shared" si="2"/>
        <v>18194000</v>
      </c>
      <c r="AE54" s="6813"/>
      <c r="AF54" s="6813"/>
      <c r="AG54" s="6813"/>
      <c r="AH54" s="6813"/>
      <c r="AI54" s="6813"/>
      <c r="AJ54" s="6813"/>
      <c r="AK54" s="6813"/>
      <c r="AL54" s="6813"/>
      <c r="AM54" s="6813"/>
      <c r="AN54" s="6813"/>
      <c r="AO54" s="6813"/>
      <c r="AP54" s="6813"/>
      <c r="AQ54" s="6813"/>
      <c r="AR54" s="6813"/>
      <c r="AS54" s="6813"/>
      <c r="AT54" s="6813"/>
      <c r="AU54" s="6813"/>
      <c r="AV54" s="6813"/>
      <c r="AW54" s="6813"/>
      <c r="AX54" s="6813"/>
      <c r="AY54" s="6813"/>
      <c r="AZ54" s="6813"/>
      <c r="BA54" s="6813"/>
      <c r="BB54" s="6813"/>
      <c r="BC54" s="6813"/>
      <c r="BD54" s="6813"/>
      <c r="BE54" s="6813"/>
      <c r="BF54" s="6813"/>
      <c r="BG54" s="6813"/>
      <c r="BH54" s="6813"/>
      <c r="BI54" s="6813"/>
      <c r="BJ54" s="6813"/>
      <c r="BK54" s="6813"/>
      <c r="BL54" s="6813"/>
      <c r="BM54" s="6813"/>
      <c r="BN54" s="6813"/>
      <c r="BO54" s="6813"/>
      <c r="BP54" s="6813"/>
      <c r="BQ54" s="6813"/>
      <c r="BR54" s="6813"/>
      <c r="BS54" s="6813"/>
      <c r="BT54" s="6813"/>
      <c r="BU54" s="6813"/>
      <c r="BV54" s="6813"/>
      <c r="BW54" s="6811">
        <v>2</v>
      </c>
      <c r="BX54" s="4492">
        <f>BW54/K54</f>
        <v>1</v>
      </c>
      <c r="BY54" s="16764"/>
      <c r="BZ54" s="6816" t="s">
        <v>9284</v>
      </c>
      <c r="CA54" s="6816" t="s">
        <v>9285</v>
      </c>
      <c r="CB54" s="6816" t="s">
        <v>9286</v>
      </c>
      <c r="CC54" s="6817">
        <v>18194000</v>
      </c>
      <c r="CD54" s="6818" t="s">
        <v>9264</v>
      </c>
      <c r="CE54" s="6818"/>
      <c r="CF54" s="6818"/>
      <c r="CG54" s="6818">
        <v>2</v>
      </c>
      <c r="CH54" s="6818">
        <v>2</v>
      </c>
      <c r="CI54" s="6818">
        <v>0</v>
      </c>
      <c r="CJ54" s="6818"/>
      <c r="CK54" s="6818">
        <v>2</v>
      </c>
      <c r="CL54" s="6818"/>
      <c r="CM54" s="6818"/>
      <c r="CN54" s="6818"/>
      <c r="CO54" s="6818"/>
      <c r="CP54" s="6818"/>
      <c r="CQ54" s="6818"/>
      <c r="CR54" s="6818">
        <v>1</v>
      </c>
      <c r="CS54" s="6818">
        <v>1</v>
      </c>
      <c r="CT54" s="6818"/>
      <c r="CU54" s="6818"/>
      <c r="CV54" s="6818">
        <v>2</v>
      </c>
      <c r="CW54" s="6818"/>
      <c r="CX54" s="6818"/>
      <c r="CY54" s="6818"/>
      <c r="CZ54" s="6818"/>
      <c r="DA54" s="6818"/>
      <c r="DB54" s="6818"/>
      <c r="DC54" s="6818"/>
      <c r="DD54" s="6818"/>
      <c r="DE54" s="6818"/>
      <c r="DF54" s="6818"/>
      <c r="DG54" s="6818"/>
      <c r="DH54" s="6818"/>
      <c r="DI54" s="6818"/>
      <c r="DJ54" s="6818"/>
      <c r="DK54" s="6818"/>
      <c r="DL54" s="6818"/>
      <c r="DM54" s="6818"/>
      <c r="DN54" s="6818"/>
      <c r="DO54" s="6818"/>
      <c r="DP54" s="6818"/>
      <c r="DQ54" s="6818"/>
      <c r="DR54" s="6818"/>
      <c r="DS54" s="6818"/>
      <c r="DT54" s="6818"/>
      <c r="DU54" s="6819"/>
      <c r="DW54" s="6820"/>
      <c r="DX54" s="6813"/>
      <c r="DY54" s="6813"/>
      <c r="DZ54" s="6813"/>
      <c r="EA54" s="6813"/>
      <c r="EB54" s="6813"/>
      <c r="EC54" s="6813"/>
      <c r="ED54" s="6813"/>
      <c r="EE54" s="6813"/>
      <c r="EF54" s="6813"/>
      <c r="EG54" s="6813"/>
      <c r="EH54" s="6813"/>
      <c r="EI54" s="6813"/>
      <c r="EJ54" s="6813"/>
      <c r="EK54" s="6813"/>
      <c r="EL54" s="6813"/>
      <c r="EM54" s="6813"/>
      <c r="EN54" s="6813"/>
      <c r="EO54" s="6813"/>
      <c r="EP54" s="6813"/>
      <c r="EQ54" s="6813"/>
      <c r="ER54" s="6813"/>
      <c r="ES54" s="6813"/>
      <c r="ET54" s="6813"/>
      <c r="EU54" s="6813"/>
      <c r="EV54" s="6813"/>
      <c r="EW54" s="6813"/>
      <c r="EX54" s="6813"/>
      <c r="EY54" s="6813"/>
      <c r="EZ54" s="6813"/>
      <c r="FA54" s="6813"/>
      <c r="FB54" s="6813"/>
      <c r="FC54" s="6813"/>
      <c r="FD54" s="6813"/>
      <c r="FE54" s="6813"/>
      <c r="FF54" s="6813"/>
      <c r="FG54" s="6813"/>
      <c r="FH54" s="6813"/>
      <c r="FI54" s="6813"/>
      <c r="FJ54" s="6813"/>
      <c r="FK54" s="6813"/>
      <c r="FL54" s="6813"/>
      <c r="FM54" s="6813"/>
      <c r="FN54" s="6813"/>
      <c r="FO54" s="6813"/>
      <c r="FP54" s="6821"/>
    </row>
    <row r="55" spans="1:172" s="6808" customFormat="1" ht="15" customHeight="1">
      <c r="A55" s="16713"/>
      <c r="B55" s="16710"/>
      <c r="C55" s="15953"/>
      <c r="D55" s="15953"/>
      <c r="E55" s="15953" t="s">
        <v>4519</v>
      </c>
      <c r="F55" s="16702" t="s">
        <v>501</v>
      </c>
      <c r="G55" s="16702" t="s">
        <v>502</v>
      </c>
      <c r="H55" s="6811" t="s">
        <v>382</v>
      </c>
      <c r="I55" s="6811">
        <v>0</v>
      </c>
      <c r="J55" s="6811">
        <v>4</v>
      </c>
      <c r="K55" s="16702">
        <v>4</v>
      </c>
      <c r="L55" s="16702">
        <v>4</v>
      </c>
      <c r="M55" s="16702">
        <v>4</v>
      </c>
      <c r="N55" s="16702">
        <v>4</v>
      </c>
      <c r="O55" s="16702">
        <v>4</v>
      </c>
      <c r="P55" s="16702">
        <v>4</v>
      </c>
      <c r="Q55" s="16702">
        <v>4</v>
      </c>
      <c r="R55" s="16702">
        <v>4</v>
      </c>
      <c r="S55" s="16702">
        <v>4</v>
      </c>
      <c r="T55" s="16702">
        <v>4</v>
      </c>
      <c r="U55" s="16702">
        <v>4</v>
      </c>
      <c r="V55" s="16702" t="s">
        <v>490</v>
      </c>
      <c r="W55" s="6811" t="s">
        <v>86</v>
      </c>
      <c r="X55" s="6811" t="s">
        <v>422</v>
      </c>
      <c r="Y55" s="6813"/>
      <c r="Z55" s="6814">
        <v>13882000</v>
      </c>
      <c r="AA55" s="6814"/>
      <c r="AB55" s="6814"/>
      <c r="AC55" s="6814"/>
      <c r="AD55" s="6815">
        <f t="shared" si="2"/>
        <v>13882000</v>
      </c>
      <c r="AE55" s="6813"/>
      <c r="AF55" s="6813"/>
      <c r="AG55" s="6813"/>
      <c r="AH55" s="6813"/>
      <c r="AI55" s="6813"/>
      <c r="AJ55" s="6813"/>
      <c r="AK55" s="6813"/>
      <c r="AL55" s="6813"/>
      <c r="AM55" s="6813"/>
      <c r="AN55" s="6813"/>
      <c r="AO55" s="6813"/>
      <c r="AP55" s="6813"/>
      <c r="AQ55" s="6813"/>
      <c r="AR55" s="6813"/>
      <c r="AS55" s="6813"/>
      <c r="AT55" s="6813"/>
      <c r="AU55" s="6813"/>
      <c r="AV55" s="6813"/>
      <c r="AW55" s="6813"/>
      <c r="AX55" s="6813"/>
      <c r="AY55" s="6813"/>
      <c r="AZ55" s="6813"/>
      <c r="BA55" s="6813"/>
      <c r="BB55" s="6813"/>
      <c r="BC55" s="6813"/>
      <c r="BD55" s="6813"/>
      <c r="BE55" s="6813"/>
      <c r="BF55" s="6813"/>
      <c r="BG55" s="6813"/>
      <c r="BH55" s="6813"/>
      <c r="BI55" s="6813"/>
      <c r="BJ55" s="6813"/>
      <c r="BK55" s="6813"/>
      <c r="BL55" s="6813"/>
      <c r="BM55" s="6813"/>
      <c r="BN55" s="6813"/>
      <c r="BO55" s="6813"/>
      <c r="BP55" s="6813"/>
      <c r="BQ55" s="6813"/>
      <c r="BR55" s="6813"/>
      <c r="BS55" s="6813"/>
      <c r="BT55" s="6813"/>
      <c r="BU55" s="6813"/>
      <c r="BV55" s="6813"/>
      <c r="BW55" s="6811" t="s">
        <v>9259</v>
      </c>
      <c r="BX55" s="4492">
        <v>0</v>
      </c>
      <c r="BY55" s="16764"/>
      <c r="BZ55" s="6828"/>
      <c r="CA55" s="6828"/>
      <c r="CB55" s="6816" t="s">
        <v>9260</v>
      </c>
      <c r="CC55" s="6818"/>
      <c r="CD55" s="6818"/>
      <c r="CE55" s="6818"/>
      <c r="CF55" s="6818"/>
      <c r="CG55" s="6818"/>
      <c r="CH55" s="6818"/>
      <c r="CI55" s="6818"/>
      <c r="CJ55" s="6818"/>
      <c r="CK55" s="6818"/>
      <c r="CL55" s="6818"/>
      <c r="CM55" s="6818"/>
      <c r="CN55" s="6818"/>
      <c r="CO55" s="6818"/>
      <c r="CP55" s="6818"/>
      <c r="CQ55" s="6818"/>
      <c r="CR55" s="6818"/>
      <c r="CS55" s="6818"/>
      <c r="CT55" s="6818"/>
      <c r="CU55" s="6818"/>
      <c r="CV55" s="6818"/>
      <c r="CW55" s="6818"/>
      <c r="CX55" s="6818"/>
      <c r="CY55" s="6818"/>
      <c r="CZ55" s="6818"/>
      <c r="DA55" s="6818"/>
      <c r="DB55" s="6818"/>
      <c r="DC55" s="6818"/>
      <c r="DD55" s="6818"/>
      <c r="DE55" s="6818"/>
      <c r="DF55" s="6818"/>
      <c r="DG55" s="6818"/>
      <c r="DH55" s="6818"/>
      <c r="DI55" s="6818"/>
      <c r="DJ55" s="6818"/>
      <c r="DK55" s="6818"/>
      <c r="DL55" s="6818"/>
      <c r="DM55" s="6818"/>
      <c r="DN55" s="6818"/>
      <c r="DO55" s="6818"/>
      <c r="DP55" s="6818"/>
      <c r="DQ55" s="6818"/>
      <c r="DR55" s="6818"/>
      <c r="DS55" s="6818"/>
      <c r="DT55" s="6818"/>
      <c r="DU55" s="6819"/>
      <c r="DW55" s="6820"/>
      <c r="DX55" s="6813"/>
      <c r="DY55" s="6813"/>
      <c r="DZ55" s="6813"/>
      <c r="EA55" s="6813"/>
      <c r="EB55" s="6813"/>
      <c r="EC55" s="6813"/>
      <c r="ED55" s="6813"/>
      <c r="EE55" s="6813"/>
      <c r="EF55" s="6813"/>
      <c r="EG55" s="6813"/>
      <c r="EH55" s="6813"/>
      <c r="EI55" s="6813"/>
      <c r="EJ55" s="6813"/>
      <c r="EK55" s="6813"/>
      <c r="EL55" s="6813"/>
      <c r="EM55" s="6813"/>
      <c r="EN55" s="6813"/>
      <c r="EO55" s="6813"/>
      <c r="EP55" s="6813"/>
      <c r="EQ55" s="6813"/>
      <c r="ER55" s="6813"/>
      <c r="ES55" s="6813"/>
      <c r="ET55" s="6813"/>
      <c r="EU55" s="6813"/>
      <c r="EV55" s="6813"/>
      <c r="EW55" s="6813"/>
      <c r="EX55" s="6813"/>
      <c r="EY55" s="6813"/>
      <c r="EZ55" s="6813"/>
      <c r="FA55" s="6813"/>
      <c r="FB55" s="6813"/>
      <c r="FC55" s="6813"/>
      <c r="FD55" s="6813"/>
      <c r="FE55" s="6813"/>
      <c r="FF55" s="6813"/>
      <c r="FG55" s="6813"/>
      <c r="FH55" s="6813"/>
      <c r="FI55" s="6813"/>
      <c r="FJ55" s="6813"/>
      <c r="FK55" s="6813"/>
      <c r="FL55" s="6813"/>
      <c r="FM55" s="6813"/>
      <c r="FN55" s="6813"/>
      <c r="FO55" s="6813"/>
      <c r="FP55" s="6821"/>
    </row>
    <row r="56" spans="1:172" s="6808" customFormat="1" ht="15" customHeight="1">
      <c r="A56" s="16713"/>
      <c r="B56" s="16710"/>
      <c r="C56" s="15953"/>
      <c r="D56" s="15953"/>
      <c r="E56" s="15953"/>
      <c r="F56" s="16702"/>
      <c r="G56" s="16702"/>
      <c r="H56" s="6811"/>
      <c r="I56" s="6811"/>
      <c r="J56" s="6811"/>
      <c r="K56" s="16702"/>
      <c r="L56" s="16702"/>
      <c r="M56" s="16702"/>
      <c r="N56" s="16702"/>
      <c r="O56" s="16702"/>
      <c r="P56" s="16702"/>
      <c r="Q56" s="16702"/>
      <c r="R56" s="16702"/>
      <c r="S56" s="16702"/>
      <c r="T56" s="16702"/>
      <c r="U56" s="16702"/>
      <c r="V56" s="16702"/>
      <c r="W56" s="6811" t="s">
        <v>10186</v>
      </c>
      <c r="X56" s="6811"/>
      <c r="Y56" s="6811" t="s">
        <v>503</v>
      </c>
      <c r="Z56" s="6814"/>
      <c r="AA56" s="6814"/>
      <c r="AB56" s="6814"/>
      <c r="AC56" s="6814"/>
      <c r="AD56" s="6815"/>
      <c r="AE56" s="6813"/>
      <c r="AF56" s="6813"/>
      <c r="AG56" s="6813"/>
      <c r="AH56" s="6813"/>
      <c r="AI56" s="6813"/>
      <c r="AJ56" s="6813"/>
      <c r="AK56" s="6813"/>
      <c r="AL56" s="6813"/>
      <c r="AM56" s="6813"/>
      <c r="AN56" s="6813"/>
      <c r="AO56" s="6813"/>
      <c r="AP56" s="6813"/>
      <c r="AQ56" s="6813"/>
      <c r="AR56" s="6813"/>
      <c r="AS56" s="6813"/>
      <c r="AT56" s="6813"/>
      <c r="AU56" s="6813"/>
      <c r="AV56" s="6813"/>
      <c r="AW56" s="6813"/>
      <c r="AX56" s="6813"/>
      <c r="AY56" s="6813"/>
      <c r="AZ56" s="6813"/>
      <c r="BA56" s="6813"/>
      <c r="BB56" s="6813"/>
      <c r="BC56" s="6813"/>
      <c r="BD56" s="6813"/>
      <c r="BE56" s="6813"/>
      <c r="BF56" s="6813"/>
      <c r="BG56" s="6813"/>
      <c r="BH56" s="6813"/>
      <c r="BI56" s="6813"/>
      <c r="BJ56" s="6813"/>
      <c r="BK56" s="6813"/>
      <c r="BL56" s="6813"/>
      <c r="BM56" s="6813"/>
      <c r="BN56" s="6813"/>
      <c r="BO56" s="6813"/>
      <c r="BP56" s="6813"/>
      <c r="BQ56" s="6813"/>
      <c r="BR56" s="6813"/>
      <c r="BS56" s="6813"/>
      <c r="BT56" s="6813"/>
      <c r="BU56" s="6813"/>
      <c r="BV56" s="6813"/>
      <c r="BW56" s="6811"/>
      <c r="BX56" s="4492"/>
      <c r="BY56" s="16764"/>
      <c r="BZ56" s="6828"/>
      <c r="CA56" s="6828"/>
      <c r="CB56" s="6816"/>
      <c r="CC56" s="6818"/>
      <c r="CD56" s="6818"/>
      <c r="CE56" s="6818"/>
      <c r="CF56" s="6818"/>
      <c r="CG56" s="6818"/>
      <c r="CH56" s="6818"/>
      <c r="CI56" s="6818"/>
      <c r="CJ56" s="6818"/>
      <c r="CK56" s="6818"/>
      <c r="CL56" s="6818"/>
      <c r="CM56" s="6818"/>
      <c r="CN56" s="6818"/>
      <c r="CO56" s="6818"/>
      <c r="CP56" s="6818"/>
      <c r="CQ56" s="6818"/>
      <c r="CR56" s="6818"/>
      <c r="CS56" s="6818"/>
      <c r="CT56" s="6818"/>
      <c r="CU56" s="6818"/>
      <c r="CV56" s="6818"/>
      <c r="CW56" s="6818"/>
      <c r="CX56" s="6818"/>
      <c r="CY56" s="6818"/>
      <c r="CZ56" s="6818"/>
      <c r="DA56" s="6818"/>
      <c r="DB56" s="6818"/>
      <c r="DC56" s="6818"/>
      <c r="DD56" s="6818"/>
      <c r="DE56" s="6818"/>
      <c r="DF56" s="6818"/>
      <c r="DG56" s="6818"/>
      <c r="DH56" s="6818"/>
      <c r="DI56" s="6818"/>
      <c r="DJ56" s="6818"/>
      <c r="DK56" s="6818"/>
      <c r="DL56" s="6818"/>
      <c r="DM56" s="6818"/>
      <c r="DN56" s="6818"/>
      <c r="DO56" s="6818"/>
      <c r="DP56" s="6818"/>
      <c r="DQ56" s="6818"/>
      <c r="DR56" s="6818"/>
      <c r="DS56" s="6818"/>
      <c r="DT56" s="6818"/>
      <c r="DU56" s="6819"/>
      <c r="DW56" s="6820"/>
      <c r="DX56" s="6813"/>
      <c r="DY56" s="6813"/>
      <c r="DZ56" s="6813"/>
      <c r="EA56" s="6813"/>
      <c r="EB56" s="6813"/>
      <c r="EC56" s="6813"/>
      <c r="ED56" s="6813"/>
      <c r="EE56" s="6813"/>
      <c r="EF56" s="6813"/>
      <c r="EG56" s="6813"/>
      <c r="EH56" s="6813"/>
      <c r="EI56" s="6813"/>
      <c r="EJ56" s="6813"/>
      <c r="EK56" s="6813"/>
      <c r="EL56" s="6813"/>
      <c r="EM56" s="6813"/>
      <c r="EN56" s="6813"/>
      <c r="EO56" s="6813"/>
      <c r="EP56" s="6813"/>
      <c r="EQ56" s="6813"/>
      <c r="ER56" s="6813"/>
      <c r="ES56" s="6813"/>
      <c r="ET56" s="6813"/>
      <c r="EU56" s="6813"/>
      <c r="EV56" s="6813"/>
      <c r="EW56" s="6813"/>
      <c r="EX56" s="6813"/>
      <c r="EY56" s="6813"/>
      <c r="EZ56" s="6813"/>
      <c r="FA56" s="6813"/>
      <c r="FB56" s="6813"/>
      <c r="FC56" s="6813"/>
      <c r="FD56" s="6813"/>
      <c r="FE56" s="6813"/>
      <c r="FF56" s="6813"/>
      <c r="FG56" s="6813"/>
      <c r="FH56" s="6813"/>
      <c r="FI56" s="6813"/>
      <c r="FJ56" s="6813"/>
      <c r="FK56" s="6813"/>
      <c r="FL56" s="6813"/>
      <c r="FM56" s="6813"/>
      <c r="FN56" s="6813"/>
      <c r="FO56" s="6813"/>
      <c r="FP56" s="6821"/>
    </row>
    <row r="57" spans="1:172" s="6808" customFormat="1" ht="15" customHeight="1">
      <c r="A57" s="16713"/>
      <c r="B57" s="16710"/>
      <c r="C57" s="15953"/>
      <c r="D57" s="15953"/>
      <c r="E57" s="15953" t="s">
        <v>4520</v>
      </c>
      <c r="F57" s="16702" t="s">
        <v>504</v>
      </c>
      <c r="G57" s="16702" t="s">
        <v>505</v>
      </c>
      <c r="H57" s="6811" t="s">
        <v>382</v>
      </c>
      <c r="I57" s="4492">
        <v>0</v>
      </c>
      <c r="J57" s="6812">
        <v>0.4</v>
      </c>
      <c r="K57" s="16702">
        <v>0.8</v>
      </c>
      <c r="L57" s="16702">
        <v>1</v>
      </c>
      <c r="M57" s="16702">
        <v>1</v>
      </c>
      <c r="N57" s="16702">
        <v>1</v>
      </c>
      <c r="O57" s="16702">
        <v>1</v>
      </c>
      <c r="P57" s="16702">
        <v>1</v>
      </c>
      <c r="Q57" s="16702">
        <v>1</v>
      </c>
      <c r="R57" s="16702">
        <v>1</v>
      </c>
      <c r="S57" s="16702">
        <v>1</v>
      </c>
      <c r="T57" s="16702">
        <v>1</v>
      </c>
      <c r="U57" s="16702">
        <v>1</v>
      </c>
      <c r="V57" s="16702" t="s">
        <v>506</v>
      </c>
      <c r="W57" s="6811" t="s">
        <v>10066</v>
      </c>
      <c r="X57" s="6811" t="s">
        <v>298</v>
      </c>
      <c r="Y57" s="6813"/>
      <c r="Z57" s="6814">
        <v>13882000</v>
      </c>
      <c r="AA57" s="6814"/>
      <c r="AB57" s="6814"/>
      <c r="AC57" s="6814"/>
      <c r="AD57" s="6815">
        <f t="shared" si="2"/>
        <v>13882000</v>
      </c>
      <c r="AE57" s="6813"/>
      <c r="AF57" s="6813"/>
      <c r="AG57" s="6813"/>
      <c r="AH57" s="6813"/>
      <c r="AI57" s="6813"/>
      <c r="AJ57" s="6813"/>
      <c r="AK57" s="6813"/>
      <c r="AL57" s="6813"/>
      <c r="AM57" s="6813"/>
      <c r="AN57" s="6813"/>
      <c r="AO57" s="6813"/>
      <c r="AP57" s="6813"/>
      <c r="AQ57" s="6813"/>
      <c r="AR57" s="6813"/>
      <c r="AS57" s="6813"/>
      <c r="AT57" s="6813"/>
      <c r="AU57" s="6813"/>
      <c r="AV57" s="6813"/>
      <c r="AW57" s="6813"/>
      <c r="AX57" s="6813"/>
      <c r="AY57" s="6813"/>
      <c r="AZ57" s="6813"/>
      <c r="BA57" s="6813"/>
      <c r="BB57" s="6813"/>
      <c r="BC57" s="6813"/>
      <c r="BD57" s="6813"/>
      <c r="BE57" s="6813"/>
      <c r="BF57" s="6813"/>
      <c r="BG57" s="6813"/>
      <c r="BH57" s="6813"/>
      <c r="BI57" s="6813"/>
      <c r="BJ57" s="6813"/>
      <c r="BK57" s="6813"/>
      <c r="BL57" s="6813"/>
      <c r="BM57" s="6813"/>
      <c r="BN57" s="6813"/>
      <c r="BO57" s="6813"/>
      <c r="BP57" s="6813"/>
      <c r="BQ57" s="6813"/>
      <c r="BR57" s="6813"/>
      <c r="BS57" s="6813"/>
      <c r="BT57" s="6813"/>
      <c r="BU57" s="6813"/>
      <c r="BV57" s="6813"/>
      <c r="BW57" s="6812">
        <v>0.8</v>
      </c>
      <c r="BX57" s="4492">
        <v>1</v>
      </c>
      <c r="BY57" s="16764"/>
      <c r="BZ57" s="6816" t="s">
        <v>9287</v>
      </c>
      <c r="CA57" s="6816" t="s">
        <v>9274</v>
      </c>
      <c r="CB57" s="6816" t="s">
        <v>9288</v>
      </c>
      <c r="CC57" s="6817">
        <v>13882000</v>
      </c>
      <c r="CD57" s="6818" t="s">
        <v>9264</v>
      </c>
      <c r="CE57" s="6818"/>
      <c r="CF57" s="6818"/>
      <c r="CG57" s="6818">
        <v>25</v>
      </c>
      <c r="CH57" s="6818">
        <v>17</v>
      </c>
      <c r="CI57" s="6818">
        <v>8</v>
      </c>
      <c r="CJ57" s="6818"/>
      <c r="CK57" s="6818">
        <v>18</v>
      </c>
      <c r="CL57" s="6818">
        <v>7</v>
      </c>
      <c r="CM57" s="6818"/>
      <c r="CN57" s="6818"/>
      <c r="CO57" s="6818"/>
      <c r="CP57" s="6818"/>
      <c r="CQ57" s="6818"/>
      <c r="CR57" s="6818">
        <v>15</v>
      </c>
      <c r="CS57" s="6818">
        <v>10</v>
      </c>
      <c r="CT57" s="6818"/>
      <c r="CU57" s="6818"/>
      <c r="CV57" s="6818">
        <v>25</v>
      </c>
      <c r="CW57" s="6818"/>
      <c r="CX57" s="6818"/>
      <c r="CY57" s="6818"/>
      <c r="CZ57" s="6818"/>
      <c r="DA57" s="6818"/>
      <c r="DB57" s="6818"/>
      <c r="DC57" s="6818"/>
      <c r="DD57" s="6818"/>
      <c r="DE57" s="6818"/>
      <c r="DF57" s="6818"/>
      <c r="DG57" s="6818"/>
      <c r="DH57" s="6818"/>
      <c r="DI57" s="6818"/>
      <c r="DJ57" s="6818"/>
      <c r="DK57" s="6818"/>
      <c r="DL57" s="6818"/>
      <c r="DM57" s="6818"/>
      <c r="DN57" s="6818"/>
      <c r="DO57" s="6818"/>
      <c r="DP57" s="6818"/>
      <c r="DQ57" s="6818"/>
      <c r="DR57" s="6818"/>
      <c r="DS57" s="6818"/>
      <c r="DT57" s="6818"/>
      <c r="DU57" s="6819"/>
      <c r="DW57" s="6820"/>
      <c r="DX57" s="6813"/>
      <c r="DY57" s="6813"/>
      <c r="DZ57" s="6813"/>
      <c r="EA57" s="6813"/>
      <c r="EB57" s="6813"/>
      <c r="EC57" s="6813"/>
      <c r="ED57" s="6813"/>
      <c r="EE57" s="6813"/>
      <c r="EF57" s="6813"/>
      <c r="EG57" s="6813"/>
      <c r="EH57" s="6813"/>
      <c r="EI57" s="6813"/>
      <c r="EJ57" s="6813"/>
      <c r="EK57" s="6813"/>
      <c r="EL57" s="6813"/>
      <c r="EM57" s="6813"/>
      <c r="EN57" s="6813"/>
      <c r="EO57" s="6813"/>
      <c r="EP57" s="6813"/>
      <c r="EQ57" s="6813"/>
      <c r="ER57" s="6813"/>
      <c r="ES57" s="6813"/>
      <c r="ET57" s="6813"/>
      <c r="EU57" s="6813"/>
      <c r="EV57" s="6813"/>
      <c r="EW57" s="6813"/>
      <c r="EX57" s="6813"/>
      <c r="EY57" s="6813"/>
      <c r="EZ57" s="6813"/>
      <c r="FA57" s="6813"/>
      <c r="FB57" s="6813"/>
      <c r="FC57" s="6813"/>
      <c r="FD57" s="6813"/>
      <c r="FE57" s="6813"/>
      <c r="FF57" s="6813"/>
      <c r="FG57" s="6813"/>
      <c r="FH57" s="6813"/>
      <c r="FI57" s="6813"/>
      <c r="FJ57" s="6813"/>
      <c r="FK57" s="6813"/>
      <c r="FL57" s="6813"/>
      <c r="FM57" s="6813"/>
      <c r="FN57" s="6813"/>
      <c r="FO57" s="6813"/>
      <c r="FP57" s="6821"/>
    </row>
    <row r="58" spans="1:172" s="6808" customFormat="1" ht="15" customHeight="1">
      <c r="A58" s="16713"/>
      <c r="B58" s="16710"/>
      <c r="C58" s="15953"/>
      <c r="D58" s="15953"/>
      <c r="E58" s="15953"/>
      <c r="F58" s="16702"/>
      <c r="G58" s="16702"/>
      <c r="H58" s="6811"/>
      <c r="I58" s="4492"/>
      <c r="J58" s="6812"/>
      <c r="K58" s="16702"/>
      <c r="L58" s="16702"/>
      <c r="M58" s="16702"/>
      <c r="N58" s="16702"/>
      <c r="O58" s="16702"/>
      <c r="P58" s="16702"/>
      <c r="Q58" s="16702"/>
      <c r="R58" s="16702"/>
      <c r="S58" s="16702"/>
      <c r="T58" s="16702"/>
      <c r="U58" s="16702"/>
      <c r="V58" s="16702"/>
      <c r="W58" s="6811" t="s">
        <v>10199</v>
      </c>
      <c r="X58" s="6811"/>
      <c r="Y58" s="6811" t="s">
        <v>507</v>
      </c>
      <c r="Z58" s="6814"/>
      <c r="AA58" s="6814"/>
      <c r="AB58" s="6814"/>
      <c r="AC58" s="6814"/>
      <c r="AD58" s="6815"/>
      <c r="AE58" s="6813"/>
      <c r="AF58" s="6813"/>
      <c r="AG58" s="6813"/>
      <c r="AH58" s="6813"/>
      <c r="AI58" s="6813"/>
      <c r="AJ58" s="6813"/>
      <c r="AK58" s="6813"/>
      <c r="AL58" s="6813"/>
      <c r="AM58" s="6813"/>
      <c r="AN58" s="6813"/>
      <c r="AO58" s="6813"/>
      <c r="AP58" s="6813"/>
      <c r="AQ58" s="6813"/>
      <c r="AR58" s="6813"/>
      <c r="AS58" s="6813"/>
      <c r="AT58" s="6813"/>
      <c r="AU58" s="6813"/>
      <c r="AV58" s="6813"/>
      <c r="AW58" s="6813"/>
      <c r="AX58" s="6813"/>
      <c r="AY58" s="6813"/>
      <c r="AZ58" s="6813"/>
      <c r="BA58" s="6813"/>
      <c r="BB58" s="6813"/>
      <c r="BC58" s="6813"/>
      <c r="BD58" s="6813"/>
      <c r="BE58" s="6813"/>
      <c r="BF58" s="6813"/>
      <c r="BG58" s="6813"/>
      <c r="BH58" s="6813"/>
      <c r="BI58" s="6813"/>
      <c r="BJ58" s="6813"/>
      <c r="BK58" s="6813"/>
      <c r="BL58" s="6813"/>
      <c r="BM58" s="6813"/>
      <c r="BN58" s="6813"/>
      <c r="BO58" s="6813"/>
      <c r="BP58" s="6813"/>
      <c r="BQ58" s="6813"/>
      <c r="BR58" s="6813"/>
      <c r="BS58" s="6813"/>
      <c r="BT58" s="6813"/>
      <c r="BU58" s="6813"/>
      <c r="BV58" s="6813"/>
      <c r="BW58" s="6812"/>
      <c r="BX58" s="4492"/>
      <c r="BY58" s="16764"/>
      <c r="BZ58" s="6816"/>
      <c r="CA58" s="6816"/>
      <c r="CB58" s="6816"/>
      <c r="CC58" s="6817"/>
      <c r="CD58" s="6818"/>
      <c r="CE58" s="6818"/>
      <c r="CF58" s="6818"/>
      <c r="CG58" s="6818"/>
      <c r="CH58" s="6818"/>
      <c r="CI58" s="6818"/>
      <c r="CJ58" s="6818"/>
      <c r="CK58" s="6818"/>
      <c r="CL58" s="6818"/>
      <c r="CM58" s="6818"/>
      <c r="CN58" s="6818"/>
      <c r="CO58" s="6818"/>
      <c r="CP58" s="6818"/>
      <c r="CQ58" s="6818"/>
      <c r="CR58" s="6818"/>
      <c r="CS58" s="6818"/>
      <c r="CT58" s="6818"/>
      <c r="CU58" s="6818"/>
      <c r="CV58" s="6818"/>
      <c r="CW58" s="6818"/>
      <c r="CX58" s="6818"/>
      <c r="CY58" s="6818"/>
      <c r="CZ58" s="6818"/>
      <c r="DA58" s="6818"/>
      <c r="DB58" s="6818"/>
      <c r="DC58" s="6818"/>
      <c r="DD58" s="6818"/>
      <c r="DE58" s="6818"/>
      <c r="DF58" s="6818"/>
      <c r="DG58" s="6818"/>
      <c r="DH58" s="6818"/>
      <c r="DI58" s="6818"/>
      <c r="DJ58" s="6818"/>
      <c r="DK58" s="6818"/>
      <c r="DL58" s="6818"/>
      <c r="DM58" s="6818"/>
      <c r="DN58" s="6818"/>
      <c r="DO58" s="6818"/>
      <c r="DP58" s="6818"/>
      <c r="DQ58" s="6818"/>
      <c r="DR58" s="6818"/>
      <c r="DS58" s="6818"/>
      <c r="DT58" s="6818"/>
      <c r="DU58" s="6819"/>
      <c r="DW58" s="6820"/>
      <c r="DX58" s="6813"/>
      <c r="DY58" s="6813"/>
      <c r="DZ58" s="6813"/>
      <c r="EA58" s="6813"/>
      <c r="EB58" s="6813"/>
      <c r="EC58" s="6813"/>
      <c r="ED58" s="6813"/>
      <c r="EE58" s="6813"/>
      <c r="EF58" s="6813"/>
      <c r="EG58" s="6813"/>
      <c r="EH58" s="6813"/>
      <c r="EI58" s="6813"/>
      <c r="EJ58" s="6813"/>
      <c r="EK58" s="6813"/>
      <c r="EL58" s="6813"/>
      <c r="EM58" s="6813"/>
      <c r="EN58" s="6813"/>
      <c r="EO58" s="6813"/>
      <c r="EP58" s="6813"/>
      <c r="EQ58" s="6813"/>
      <c r="ER58" s="6813"/>
      <c r="ES58" s="6813"/>
      <c r="ET58" s="6813"/>
      <c r="EU58" s="6813"/>
      <c r="EV58" s="6813"/>
      <c r="EW58" s="6813"/>
      <c r="EX58" s="6813"/>
      <c r="EY58" s="6813"/>
      <c r="EZ58" s="6813"/>
      <c r="FA58" s="6813"/>
      <c r="FB58" s="6813"/>
      <c r="FC58" s="6813"/>
      <c r="FD58" s="6813"/>
      <c r="FE58" s="6813"/>
      <c r="FF58" s="6813"/>
      <c r="FG58" s="6813"/>
      <c r="FH58" s="6813"/>
      <c r="FI58" s="6813"/>
      <c r="FJ58" s="6813"/>
      <c r="FK58" s="6813"/>
      <c r="FL58" s="6813"/>
      <c r="FM58" s="6813"/>
      <c r="FN58" s="6813"/>
      <c r="FO58" s="6813"/>
      <c r="FP58" s="6821"/>
    </row>
    <row r="59" spans="1:172" s="6808" customFormat="1" ht="15" customHeight="1">
      <c r="A59" s="16713"/>
      <c r="B59" s="16710"/>
      <c r="C59" s="15953"/>
      <c r="D59" s="15953" t="s">
        <v>508</v>
      </c>
      <c r="E59" s="5099" t="s">
        <v>4521</v>
      </c>
      <c r="F59" s="6822" t="s">
        <v>509</v>
      </c>
      <c r="G59" s="6822" t="s">
        <v>510</v>
      </c>
      <c r="H59" s="6811" t="s">
        <v>386</v>
      </c>
      <c r="I59" s="6811">
        <v>0</v>
      </c>
      <c r="J59" s="6811">
        <v>0</v>
      </c>
      <c r="K59" s="6811">
        <v>1</v>
      </c>
      <c r="L59" s="6811">
        <v>1</v>
      </c>
      <c r="M59" s="6811">
        <v>1</v>
      </c>
      <c r="N59" s="6811">
        <v>1</v>
      </c>
      <c r="O59" s="6811">
        <v>1</v>
      </c>
      <c r="P59" s="6811">
        <v>1</v>
      </c>
      <c r="Q59" s="6811">
        <v>1</v>
      </c>
      <c r="R59" s="6811">
        <v>1</v>
      </c>
      <c r="S59" s="6811">
        <v>1</v>
      </c>
      <c r="T59" s="6811">
        <v>1</v>
      </c>
      <c r="U59" s="6811">
        <v>10</v>
      </c>
      <c r="V59" s="6811" t="s">
        <v>511</v>
      </c>
      <c r="W59" s="6811" t="s">
        <v>10070</v>
      </c>
      <c r="X59" s="6811" t="s">
        <v>512</v>
      </c>
      <c r="Y59" s="6811"/>
      <c r="Z59" s="6814">
        <v>13882000</v>
      </c>
      <c r="AA59" s="6814"/>
      <c r="AB59" s="6814"/>
      <c r="AC59" s="6814"/>
      <c r="AD59" s="6815">
        <f t="shared" si="2"/>
        <v>13882000</v>
      </c>
      <c r="AE59" s="6813"/>
      <c r="AF59" s="6813"/>
      <c r="AG59" s="6813"/>
      <c r="AH59" s="6813"/>
      <c r="AI59" s="6813"/>
      <c r="AJ59" s="6813"/>
      <c r="AK59" s="6813"/>
      <c r="AL59" s="6813"/>
      <c r="AM59" s="6813"/>
      <c r="AN59" s="6813"/>
      <c r="AO59" s="6813"/>
      <c r="AP59" s="6813"/>
      <c r="AQ59" s="6813"/>
      <c r="AR59" s="6813"/>
      <c r="AS59" s="6813"/>
      <c r="AT59" s="6813"/>
      <c r="AU59" s="6813"/>
      <c r="AV59" s="6813"/>
      <c r="AW59" s="6813"/>
      <c r="AX59" s="6813"/>
      <c r="AY59" s="6813"/>
      <c r="AZ59" s="6813"/>
      <c r="BA59" s="6813"/>
      <c r="BB59" s="6813"/>
      <c r="BC59" s="6813"/>
      <c r="BD59" s="6813"/>
      <c r="BE59" s="6813"/>
      <c r="BF59" s="6813"/>
      <c r="BG59" s="6813"/>
      <c r="BH59" s="6813"/>
      <c r="BI59" s="6813"/>
      <c r="BJ59" s="6813"/>
      <c r="BK59" s="6813"/>
      <c r="BL59" s="6813"/>
      <c r="BM59" s="6813"/>
      <c r="BN59" s="6813"/>
      <c r="BO59" s="6813"/>
      <c r="BP59" s="6813"/>
      <c r="BQ59" s="6813"/>
      <c r="BR59" s="6813"/>
      <c r="BS59" s="6813"/>
      <c r="BT59" s="6813"/>
      <c r="BU59" s="6813"/>
      <c r="BV59" s="6813"/>
      <c r="BW59" s="6823">
        <v>1</v>
      </c>
      <c r="BX59" s="6824">
        <v>1</v>
      </c>
      <c r="BY59" s="16764"/>
      <c r="BZ59" s="6816" t="s">
        <v>9852</v>
      </c>
      <c r="CA59" s="6828"/>
      <c r="CB59" s="6828"/>
      <c r="CC59" s="6818" t="s">
        <v>8656</v>
      </c>
      <c r="CD59" s="6818"/>
      <c r="CE59" s="6818"/>
      <c r="CF59" s="6818"/>
      <c r="CG59" s="6818"/>
      <c r="CH59" s="6818"/>
      <c r="CI59" s="6818"/>
      <c r="CJ59" s="6818"/>
      <c r="CK59" s="6818"/>
      <c r="CL59" s="6818"/>
      <c r="CM59" s="6818"/>
      <c r="CN59" s="6818"/>
      <c r="CO59" s="6818"/>
      <c r="CP59" s="6818"/>
      <c r="CQ59" s="6818"/>
      <c r="CR59" s="6818"/>
      <c r="CS59" s="6818"/>
      <c r="CT59" s="6818"/>
      <c r="CU59" s="6818"/>
      <c r="CV59" s="6818"/>
      <c r="CW59" s="6818"/>
      <c r="CX59" s="6818"/>
      <c r="CY59" s="6818"/>
      <c r="CZ59" s="6818"/>
      <c r="DA59" s="6818"/>
      <c r="DB59" s="6818"/>
      <c r="DC59" s="6818"/>
      <c r="DD59" s="6818"/>
      <c r="DE59" s="6818"/>
      <c r="DF59" s="6818"/>
      <c r="DG59" s="6818"/>
      <c r="DH59" s="6818"/>
      <c r="DI59" s="6818"/>
      <c r="DJ59" s="6818"/>
      <c r="DK59" s="6818"/>
      <c r="DL59" s="6818"/>
      <c r="DM59" s="6818"/>
      <c r="DN59" s="6818"/>
      <c r="DO59" s="6818"/>
      <c r="DP59" s="6818"/>
      <c r="DQ59" s="6818"/>
      <c r="DR59" s="6818"/>
      <c r="DS59" s="6818"/>
      <c r="DT59" s="6818"/>
      <c r="DU59" s="6819"/>
      <c r="DW59" s="6820"/>
      <c r="DX59" s="6813"/>
      <c r="DY59" s="6813"/>
      <c r="DZ59" s="6813"/>
      <c r="EA59" s="6813"/>
      <c r="EB59" s="6813"/>
      <c r="EC59" s="6813"/>
      <c r="ED59" s="6813"/>
      <c r="EE59" s="6813"/>
      <c r="EF59" s="6813"/>
      <c r="EG59" s="6813"/>
      <c r="EH59" s="6813"/>
      <c r="EI59" s="6813"/>
      <c r="EJ59" s="6813"/>
      <c r="EK59" s="6813"/>
      <c r="EL59" s="6813"/>
      <c r="EM59" s="6813"/>
      <c r="EN59" s="6813"/>
      <c r="EO59" s="6813"/>
      <c r="EP59" s="6813"/>
      <c r="EQ59" s="6813"/>
      <c r="ER59" s="6813"/>
      <c r="ES59" s="6813"/>
      <c r="ET59" s="6813"/>
      <c r="EU59" s="6813"/>
      <c r="EV59" s="6813"/>
      <c r="EW59" s="6813"/>
      <c r="EX59" s="6813"/>
      <c r="EY59" s="6813"/>
      <c r="EZ59" s="6813"/>
      <c r="FA59" s="6813"/>
      <c r="FB59" s="6813"/>
      <c r="FC59" s="6813"/>
      <c r="FD59" s="6813"/>
      <c r="FE59" s="6813"/>
      <c r="FF59" s="6813"/>
      <c r="FG59" s="6813"/>
      <c r="FH59" s="6813"/>
      <c r="FI59" s="6813"/>
      <c r="FJ59" s="6813"/>
      <c r="FK59" s="6813"/>
      <c r="FL59" s="6813"/>
      <c r="FM59" s="6813"/>
      <c r="FN59" s="6813"/>
      <c r="FO59" s="6813"/>
      <c r="FP59" s="6821"/>
    </row>
    <row r="60" spans="1:172" s="6808" customFormat="1" ht="15" customHeight="1" thickBot="1">
      <c r="A60" s="16714"/>
      <c r="B60" s="16711"/>
      <c r="C60" s="16002"/>
      <c r="D60" s="16002"/>
      <c r="E60" s="5100" t="s">
        <v>4522</v>
      </c>
      <c r="F60" s="6829" t="s">
        <v>513</v>
      </c>
      <c r="G60" s="6829" t="s">
        <v>514</v>
      </c>
      <c r="H60" s="6830" t="s">
        <v>382</v>
      </c>
      <c r="I60" s="6831">
        <v>0</v>
      </c>
      <c r="J60" s="6832">
        <v>0.4</v>
      </c>
      <c r="K60" s="6832">
        <v>0.8</v>
      </c>
      <c r="L60" s="6832">
        <v>1</v>
      </c>
      <c r="M60" s="6832">
        <v>1</v>
      </c>
      <c r="N60" s="6832">
        <v>1</v>
      </c>
      <c r="O60" s="6832">
        <v>1</v>
      </c>
      <c r="P60" s="6832">
        <v>1</v>
      </c>
      <c r="Q60" s="6832">
        <v>1</v>
      </c>
      <c r="R60" s="6832">
        <v>1</v>
      </c>
      <c r="S60" s="6832">
        <v>1</v>
      </c>
      <c r="T60" s="6832">
        <v>1</v>
      </c>
      <c r="U60" s="6832">
        <v>1</v>
      </c>
      <c r="V60" s="6830" t="s">
        <v>515</v>
      </c>
      <c r="W60" s="6830" t="s">
        <v>26</v>
      </c>
      <c r="X60" s="6830" t="s">
        <v>390</v>
      </c>
      <c r="Y60" s="6830" t="s">
        <v>391</v>
      </c>
      <c r="Z60" s="6833">
        <v>13882000</v>
      </c>
      <c r="AA60" s="6833"/>
      <c r="AB60" s="6833"/>
      <c r="AC60" s="6833"/>
      <c r="AD60" s="6834">
        <f t="shared" si="2"/>
        <v>13882000</v>
      </c>
      <c r="AE60" s="6835"/>
      <c r="AF60" s="6835"/>
      <c r="AG60" s="6835"/>
      <c r="AH60" s="6835"/>
      <c r="AI60" s="6835"/>
      <c r="AJ60" s="6835"/>
      <c r="AK60" s="6835"/>
      <c r="AL60" s="6835"/>
      <c r="AM60" s="6835"/>
      <c r="AN60" s="6835"/>
      <c r="AO60" s="6835"/>
      <c r="AP60" s="6835"/>
      <c r="AQ60" s="6835"/>
      <c r="AR60" s="6835"/>
      <c r="AS60" s="6835"/>
      <c r="AT60" s="6835"/>
      <c r="AU60" s="6835"/>
      <c r="AV60" s="6835"/>
      <c r="AW60" s="6835"/>
      <c r="AX60" s="6835"/>
      <c r="AY60" s="6835"/>
      <c r="AZ60" s="6835"/>
      <c r="BA60" s="6835"/>
      <c r="BB60" s="6835"/>
      <c r="BC60" s="6835"/>
      <c r="BD60" s="6835"/>
      <c r="BE60" s="6835"/>
      <c r="BF60" s="6835"/>
      <c r="BG60" s="6835"/>
      <c r="BH60" s="6835"/>
      <c r="BI60" s="6835"/>
      <c r="BJ60" s="6835"/>
      <c r="BK60" s="6835"/>
      <c r="BL60" s="6835"/>
      <c r="BM60" s="6835"/>
      <c r="BN60" s="6835"/>
      <c r="BO60" s="6835"/>
      <c r="BP60" s="6835"/>
      <c r="BQ60" s="6835"/>
      <c r="BR60" s="6835"/>
      <c r="BS60" s="6835"/>
      <c r="BT60" s="6835"/>
      <c r="BU60" s="6835"/>
      <c r="BV60" s="6835"/>
      <c r="BW60" s="6836">
        <v>0.8</v>
      </c>
      <c r="BX60" s="6837">
        <f>BW60/K60</f>
        <v>1</v>
      </c>
      <c r="BY60" s="16765"/>
      <c r="BZ60" s="6838" t="s">
        <v>9879</v>
      </c>
      <c r="CA60" s="6830" t="s">
        <v>9880</v>
      </c>
      <c r="CB60" s="6830" t="s">
        <v>9881</v>
      </c>
      <c r="CC60" s="6839"/>
      <c r="CD60" s="6839"/>
      <c r="CE60" s="6839"/>
      <c r="CF60" s="6839"/>
      <c r="CG60" s="6839"/>
      <c r="CH60" s="6839"/>
      <c r="CI60" s="6839"/>
      <c r="CJ60" s="6839"/>
      <c r="CK60" s="6839"/>
      <c r="CL60" s="6839"/>
      <c r="CM60" s="6839"/>
      <c r="CN60" s="6839"/>
      <c r="CO60" s="6839"/>
      <c r="CP60" s="6839"/>
      <c r="CQ60" s="6839"/>
      <c r="CR60" s="6839"/>
      <c r="CS60" s="6839"/>
      <c r="CT60" s="6839"/>
      <c r="CU60" s="6839"/>
      <c r="CV60" s="6839"/>
      <c r="CW60" s="6839"/>
      <c r="CX60" s="6839"/>
      <c r="CY60" s="6839"/>
      <c r="CZ60" s="6839"/>
      <c r="DA60" s="6839"/>
      <c r="DB60" s="6839"/>
      <c r="DC60" s="6839"/>
      <c r="DD60" s="6839"/>
      <c r="DE60" s="6839"/>
      <c r="DF60" s="6839"/>
      <c r="DG60" s="6839"/>
      <c r="DH60" s="6839"/>
      <c r="DI60" s="6839"/>
      <c r="DJ60" s="6839"/>
      <c r="DK60" s="6839"/>
      <c r="DL60" s="6839"/>
      <c r="DM60" s="6839"/>
      <c r="DN60" s="6839"/>
      <c r="DO60" s="6839"/>
      <c r="DP60" s="6839"/>
      <c r="DQ60" s="6839"/>
      <c r="DR60" s="6839"/>
      <c r="DS60" s="6839"/>
      <c r="DT60" s="6839"/>
      <c r="DU60" s="6840"/>
      <c r="DW60" s="6841"/>
      <c r="DX60" s="6835"/>
      <c r="DY60" s="6835"/>
      <c r="DZ60" s="6835"/>
      <c r="EA60" s="6835"/>
      <c r="EB60" s="6835"/>
      <c r="EC60" s="6835"/>
      <c r="ED60" s="6835"/>
      <c r="EE60" s="6835"/>
      <c r="EF60" s="6835"/>
      <c r="EG60" s="6835"/>
      <c r="EH60" s="6835"/>
      <c r="EI60" s="6835"/>
      <c r="EJ60" s="6835"/>
      <c r="EK60" s="6835"/>
      <c r="EL60" s="6835"/>
      <c r="EM60" s="6835"/>
      <c r="EN60" s="6835"/>
      <c r="EO60" s="6835"/>
      <c r="EP60" s="6835"/>
      <c r="EQ60" s="6835"/>
      <c r="ER60" s="6835"/>
      <c r="ES60" s="6835"/>
      <c r="ET60" s="6835"/>
      <c r="EU60" s="6835"/>
      <c r="EV60" s="6835"/>
      <c r="EW60" s="6835"/>
      <c r="EX60" s="6835"/>
      <c r="EY60" s="6835"/>
      <c r="EZ60" s="6835"/>
      <c r="FA60" s="6835"/>
      <c r="FB60" s="6835"/>
      <c r="FC60" s="6835"/>
      <c r="FD60" s="6835"/>
      <c r="FE60" s="6835"/>
      <c r="FF60" s="6835"/>
      <c r="FG60" s="6835"/>
      <c r="FH60" s="6835"/>
      <c r="FI60" s="6835"/>
      <c r="FJ60" s="6835"/>
      <c r="FK60" s="6835"/>
      <c r="FL60" s="6835"/>
      <c r="FM60" s="6835"/>
      <c r="FN60" s="6835"/>
      <c r="FO60" s="6835"/>
      <c r="FP60" s="6842"/>
    </row>
    <row r="61" spans="1:172" ht="15" customHeight="1">
      <c r="A61" s="2271"/>
      <c r="B61" s="2271"/>
      <c r="C61" s="2271"/>
      <c r="D61" s="2271"/>
      <c r="E61" s="2271"/>
      <c r="F61" s="2271"/>
      <c r="G61" s="2271"/>
      <c r="H61" s="2271"/>
      <c r="I61" s="2271"/>
      <c r="J61" s="2271"/>
      <c r="K61" s="2271"/>
      <c r="L61" s="2271"/>
      <c r="M61" s="2271"/>
      <c r="N61" s="2271"/>
      <c r="O61" s="2271"/>
      <c r="P61" s="2271"/>
      <c r="Q61" s="2271"/>
      <c r="R61" s="2271"/>
      <c r="S61" s="2271"/>
      <c r="T61" s="2271"/>
      <c r="U61" s="2271"/>
      <c r="V61" s="2271"/>
      <c r="W61" s="2271"/>
      <c r="X61" s="2271"/>
      <c r="Y61" s="2271"/>
      <c r="Z61" s="2271"/>
      <c r="AA61" s="2271"/>
      <c r="AB61" s="2271"/>
      <c r="AC61" s="2271"/>
      <c r="AD61" s="2271"/>
      <c r="CG61" s="2273">
        <f>SUM(CG6:CG60)</f>
        <v>59372</v>
      </c>
      <c r="DV61"/>
    </row>
    <row r="62" spans="1:172" ht="15" customHeight="1">
      <c r="A62" s="2271"/>
      <c r="B62" s="2271"/>
      <c r="C62" s="2271"/>
      <c r="D62" s="2271"/>
      <c r="E62" s="2271"/>
      <c r="F62" s="2271"/>
      <c r="G62" s="2271"/>
      <c r="H62" s="2271"/>
      <c r="I62" s="2271"/>
      <c r="J62" s="2271"/>
      <c r="K62" s="2271"/>
      <c r="L62" s="2271"/>
      <c r="M62" s="2271"/>
      <c r="N62" s="2271"/>
      <c r="O62" s="2271"/>
      <c r="P62" s="2271"/>
      <c r="Q62" s="2271"/>
      <c r="R62" s="2271"/>
      <c r="S62" s="2271"/>
      <c r="T62" s="2271"/>
      <c r="U62" s="2271"/>
      <c r="V62" s="2271"/>
      <c r="W62" s="2271"/>
      <c r="X62" s="2271"/>
      <c r="Y62" s="2271"/>
      <c r="Z62" s="2271"/>
      <c r="AA62" s="2271"/>
      <c r="AB62" s="2271"/>
      <c r="AC62" s="2271"/>
      <c r="AD62" s="2271"/>
      <c r="DV62"/>
    </row>
    <row r="63" spans="1:172" ht="15" customHeight="1">
      <c r="A63" s="2271"/>
      <c r="B63" s="2271"/>
      <c r="C63" s="2271"/>
      <c r="D63" s="2271"/>
      <c r="E63" s="2271"/>
      <c r="F63" s="2271"/>
      <c r="G63" s="2271"/>
      <c r="H63" s="2271"/>
      <c r="I63" s="2271"/>
      <c r="J63" s="2271"/>
      <c r="K63" s="2271"/>
      <c r="L63" s="2271"/>
      <c r="M63" s="2271"/>
      <c r="N63" s="2271"/>
      <c r="O63" s="2271"/>
      <c r="P63" s="2271"/>
      <c r="Q63" s="2271"/>
      <c r="R63" s="2271"/>
      <c r="S63" s="2271"/>
      <c r="T63" s="2271"/>
      <c r="U63" s="2271"/>
      <c r="V63" s="2271"/>
      <c r="W63" s="2271"/>
      <c r="X63" s="2271"/>
      <c r="Y63" s="2271"/>
      <c r="Z63" s="2271"/>
      <c r="AA63" s="2271"/>
      <c r="AB63" s="2271"/>
      <c r="AC63" s="2271"/>
      <c r="AD63" s="2271"/>
      <c r="CC63" s="2953">
        <f>SUM(CC6:CC60)</f>
        <v>980160000</v>
      </c>
      <c r="CG63" s="2953">
        <f>SUM(CG6:CG60)</f>
        <v>59372</v>
      </c>
      <c r="DV63"/>
    </row>
    <row r="64" spans="1:172" ht="15" customHeight="1">
      <c r="E64" s="2274"/>
      <c r="DV64"/>
    </row>
    <row r="65" spans="5:126" ht="15" customHeight="1">
      <c r="E65" s="2274"/>
      <c r="DV65"/>
    </row>
    <row r="66" spans="5:126" ht="15" customHeight="1">
      <c r="E66" s="2274"/>
      <c r="DV66"/>
    </row>
    <row r="67" spans="5:126" ht="15" customHeight="1">
      <c r="E67" s="2274"/>
      <c r="DV67"/>
    </row>
  </sheetData>
  <autoFilter ref="A5:DV61" xr:uid="{00000000-0009-0000-0000-000017000000}"/>
  <mergeCells count="309">
    <mergeCell ref="BW3:BW5"/>
    <mergeCell ref="BZ3:BZ5"/>
    <mergeCell ref="CA3:CA5"/>
    <mergeCell ref="CB3:CB5"/>
    <mergeCell ref="CC3:CF3"/>
    <mergeCell ref="DL3:DP3"/>
    <mergeCell ref="CC4:CC5"/>
    <mergeCell ref="CD4:CD5"/>
    <mergeCell ref="CE4:CE5"/>
    <mergeCell ref="CF4:CF5"/>
    <mergeCell ref="CG4:CG5"/>
    <mergeCell ref="CG3:DJ3"/>
    <mergeCell ref="DQ3:DU3"/>
    <mergeCell ref="CH4:CJ4"/>
    <mergeCell ref="CK4:CM4"/>
    <mergeCell ref="CN4:CU4"/>
    <mergeCell ref="CV4:DD4"/>
    <mergeCell ref="DE4:DJ4"/>
    <mergeCell ref="DM4:DM5"/>
    <mergeCell ref="DN4:DN5"/>
    <mergeCell ref="DQ4:DQ5"/>
    <mergeCell ref="DR4:DT4"/>
    <mergeCell ref="DL4:DL5"/>
    <mergeCell ref="BY19:BY43"/>
    <mergeCell ref="BY45:BY60"/>
    <mergeCell ref="J3:T4"/>
    <mergeCell ref="U3:U5"/>
    <mergeCell ref="AD37:AD38"/>
    <mergeCell ref="Z37:Z38"/>
    <mergeCell ref="AA37:AA38"/>
    <mergeCell ref="AB37:AB38"/>
    <mergeCell ref="AC37:AC38"/>
    <mergeCell ref="AJ4:AJ5"/>
    <mergeCell ref="AK4:AK5"/>
    <mergeCell ref="AL4:AL5"/>
    <mergeCell ref="BX3:BX5"/>
    <mergeCell ref="BY3:BY5"/>
    <mergeCell ref="AD3:AD5"/>
    <mergeCell ref="AD6:AD7"/>
    <mergeCell ref="AR4:AX4"/>
    <mergeCell ref="AY4:BF4"/>
    <mergeCell ref="AI4:AI5"/>
    <mergeCell ref="AN4:AO4"/>
    <mergeCell ref="AP4:AQ4"/>
    <mergeCell ref="AM4:AM5"/>
    <mergeCell ref="AG3:AG5"/>
    <mergeCell ref="AH3:AH5"/>
    <mergeCell ref="BY6:BY18"/>
    <mergeCell ref="A1:AD1"/>
    <mergeCell ref="AE1:BV2"/>
    <mergeCell ref="G3:G5"/>
    <mergeCell ref="H3:H5"/>
    <mergeCell ref="B3:B5"/>
    <mergeCell ref="A3:A5"/>
    <mergeCell ref="C3:C5"/>
    <mergeCell ref="D3:D5"/>
    <mergeCell ref="F3:F5"/>
    <mergeCell ref="V3:V5"/>
    <mergeCell ref="X3:X5"/>
    <mergeCell ref="Y3:Y5"/>
    <mergeCell ref="Z3:AC4"/>
    <mergeCell ref="F2:AD2"/>
    <mergeCell ref="AE3:AE5"/>
    <mergeCell ref="AF3:AF5"/>
    <mergeCell ref="E3:E5"/>
    <mergeCell ref="A2:D2"/>
    <mergeCell ref="AA6:AA7"/>
    <mergeCell ref="AB6:AB7"/>
    <mergeCell ref="AC6:AC7"/>
    <mergeCell ref="B6:B18"/>
    <mergeCell ref="BW1:DU2"/>
    <mergeCell ref="A6:A18"/>
    <mergeCell ref="C6:C18"/>
    <mergeCell ref="Z6:Z7"/>
    <mergeCell ref="I3:I5"/>
    <mergeCell ref="W3:W5"/>
    <mergeCell ref="E7:E8"/>
    <mergeCell ref="F7:F8"/>
    <mergeCell ref="K7:K8"/>
    <mergeCell ref="L7:L8"/>
    <mergeCell ref="R7:R8"/>
    <mergeCell ref="S7:S8"/>
    <mergeCell ref="T7:T8"/>
    <mergeCell ref="U7:U8"/>
    <mergeCell ref="V7:V8"/>
    <mergeCell ref="M7:M8"/>
    <mergeCell ref="N7:N8"/>
    <mergeCell ref="O7:O8"/>
    <mergeCell ref="P7:P8"/>
    <mergeCell ref="Q7:Q8"/>
    <mergeCell ref="O10:O13"/>
    <mergeCell ref="P10:P13"/>
    <mergeCell ref="Q10:Q13"/>
    <mergeCell ref="R10:R13"/>
    <mergeCell ref="E10:E13"/>
    <mergeCell ref="B45:B60"/>
    <mergeCell ref="A45:A60"/>
    <mergeCell ref="C45:C60"/>
    <mergeCell ref="D59:D60"/>
    <mergeCell ref="D45:D58"/>
    <mergeCell ref="B19:B43"/>
    <mergeCell ref="A19:A43"/>
    <mergeCell ref="D19:D36"/>
    <mergeCell ref="D37:D40"/>
    <mergeCell ref="E21:E22"/>
    <mergeCell ref="F21:F22"/>
    <mergeCell ref="K21:K22"/>
    <mergeCell ref="L21:L22"/>
    <mergeCell ref="BR3:BV3"/>
    <mergeCell ref="BG4:BL4"/>
    <mergeCell ref="BR4:BR5"/>
    <mergeCell ref="BN4:BN5"/>
    <mergeCell ref="BO4:BO5"/>
    <mergeCell ref="BM3:BQ3"/>
    <mergeCell ref="AM3:BL3"/>
    <mergeCell ref="BS4:BU4"/>
    <mergeCell ref="BM4:BM5"/>
    <mergeCell ref="AI3:AL3"/>
    <mergeCell ref="R15:R16"/>
    <mergeCell ref="S15:S16"/>
    <mergeCell ref="T15:T16"/>
    <mergeCell ref="N10:N13"/>
    <mergeCell ref="F10:F13"/>
    <mergeCell ref="K10:K13"/>
    <mergeCell ref="L10:L13"/>
    <mergeCell ref="M10:M13"/>
    <mergeCell ref="Q15:Q16"/>
    <mergeCell ref="R21:R22"/>
    <mergeCell ref="D6:D17"/>
    <mergeCell ref="E15:E16"/>
    <mergeCell ref="F15:F16"/>
    <mergeCell ref="K15:K16"/>
    <mergeCell ref="L15:L16"/>
    <mergeCell ref="M15:M16"/>
    <mergeCell ref="N15:N16"/>
    <mergeCell ref="O15:O16"/>
    <mergeCell ref="P15:P16"/>
    <mergeCell ref="G7:G8"/>
    <mergeCell ref="G10:G13"/>
    <mergeCell ref="G15:G16"/>
    <mergeCell ref="S23:S25"/>
    <mergeCell ref="T23:T25"/>
    <mergeCell ref="U23:U25"/>
    <mergeCell ref="V23:V25"/>
    <mergeCell ref="U15:U16"/>
    <mergeCell ref="V15:V16"/>
    <mergeCell ref="S10:S13"/>
    <mergeCell ref="T10:T13"/>
    <mergeCell ref="U10:U13"/>
    <mergeCell ref="V10:V13"/>
    <mergeCell ref="S21:S22"/>
    <mergeCell ref="T21:T22"/>
    <mergeCell ref="U21:U22"/>
    <mergeCell ref="V21:V22"/>
    <mergeCell ref="M21:M22"/>
    <mergeCell ref="N21:N22"/>
    <mergeCell ref="O21:O22"/>
    <mergeCell ref="P21:P22"/>
    <mergeCell ref="Q21:Q22"/>
    <mergeCell ref="N23:N25"/>
    <mergeCell ref="O23:O25"/>
    <mergeCell ref="P23:P25"/>
    <mergeCell ref="Q23:Q25"/>
    <mergeCell ref="R23:R25"/>
    <mergeCell ref="E23:E25"/>
    <mergeCell ref="F23:F25"/>
    <mergeCell ref="K23:K25"/>
    <mergeCell ref="E28:E29"/>
    <mergeCell ref="F28:F29"/>
    <mergeCell ref="K28:K29"/>
    <mergeCell ref="L28:L29"/>
    <mergeCell ref="M28:M29"/>
    <mergeCell ref="N28:N29"/>
    <mergeCell ref="O28:O29"/>
    <mergeCell ref="P28:P29"/>
    <mergeCell ref="Q28:Q29"/>
    <mergeCell ref="L23:L25"/>
    <mergeCell ref="M23:M25"/>
    <mergeCell ref="E33:E35"/>
    <mergeCell ref="F33:F35"/>
    <mergeCell ref="K33:K35"/>
    <mergeCell ref="L33:L35"/>
    <mergeCell ref="M33:M35"/>
    <mergeCell ref="U28:U29"/>
    <mergeCell ref="V28:V29"/>
    <mergeCell ref="E30:E31"/>
    <mergeCell ref="F30:F31"/>
    <mergeCell ref="K30:K31"/>
    <mergeCell ref="L30:L31"/>
    <mergeCell ref="M30:M31"/>
    <mergeCell ref="N30:N31"/>
    <mergeCell ref="O30:O31"/>
    <mergeCell ref="P30:P31"/>
    <mergeCell ref="Q30:Q31"/>
    <mergeCell ref="R30:R31"/>
    <mergeCell ref="S30:S31"/>
    <mergeCell ref="T30:T31"/>
    <mergeCell ref="U30:U31"/>
    <mergeCell ref="V30:V31"/>
    <mergeCell ref="R28:R29"/>
    <mergeCell ref="S28:S29"/>
    <mergeCell ref="T28:T29"/>
    <mergeCell ref="M41:M42"/>
    <mergeCell ref="N41:N42"/>
    <mergeCell ref="O41:O42"/>
    <mergeCell ref="P41:P42"/>
    <mergeCell ref="Q41:Q42"/>
    <mergeCell ref="R41:R42"/>
    <mergeCell ref="S41:S42"/>
    <mergeCell ref="T41:T42"/>
    <mergeCell ref="N33:N35"/>
    <mergeCell ref="O33:O35"/>
    <mergeCell ref="P33:P35"/>
    <mergeCell ref="Q33:Q35"/>
    <mergeCell ref="R33:R35"/>
    <mergeCell ref="U41:U42"/>
    <mergeCell ref="V41:V42"/>
    <mergeCell ref="C19:C44"/>
    <mergeCell ref="D41:D44"/>
    <mergeCell ref="E43:E44"/>
    <mergeCell ref="F43:F44"/>
    <mergeCell ref="K43:K44"/>
    <mergeCell ref="L43:L44"/>
    <mergeCell ref="M43:M44"/>
    <mergeCell ref="N43:N44"/>
    <mergeCell ref="O43:O44"/>
    <mergeCell ref="P43:P44"/>
    <mergeCell ref="Q43:Q44"/>
    <mergeCell ref="R43:R44"/>
    <mergeCell ref="S43:S44"/>
    <mergeCell ref="T43:T44"/>
    <mergeCell ref="S33:S35"/>
    <mergeCell ref="T33:T35"/>
    <mergeCell ref="U33:U35"/>
    <mergeCell ref="V33:V35"/>
    <mergeCell ref="E41:E42"/>
    <mergeCell ref="F41:F42"/>
    <mergeCell ref="K41:K42"/>
    <mergeCell ref="L41:L42"/>
    <mergeCell ref="U43:U44"/>
    <mergeCell ref="V43:V44"/>
    <mergeCell ref="E46:E48"/>
    <mergeCell ref="F46:F48"/>
    <mergeCell ref="K46:K48"/>
    <mergeCell ref="L46:L48"/>
    <mergeCell ref="M46:M48"/>
    <mergeCell ref="N46:N48"/>
    <mergeCell ref="O46:O48"/>
    <mergeCell ref="P46:P48"/>
    <mergeCell ref="Q46:Q48"/>
    <mergeCell ref="R46:R48"/>
    <mergeCell ref="S46:S48"/>
    <mergeCell ref="T46:T48"/>
    <mergeCell ref="U46:U48"/>
    <mergeCell ref="V46:V48"/>
    <mergeCell ref="N49:N51"/>
    <mergeCell ref="O49:O51"/>
    <mergeCell ref="P49:P51"/>
    <mergeCell ref="Q49:Q51"/>
    <mergeCell ref="R49:R51"/>
    <mergeCell ref="E49:E51"/>
    <mergeCell ref="F49:F51"/>
    <mergeCell ref="K49:K51"/>
    <mergeCell ref="L49:L51"/>
    <mergeCell ref="M49:M51"/>
    <mergeCell ref="L55:L56"/>
    <mergeCell ref="M55:M56"/>
    <mergeCell ref="N55:N56"/>
    <mergeCell ref="O55:O56"/>
    <mergeCell ref="P55:P56"/>
    <mergeCell ref="Q55:Q56"/>
    <mergeCell ref="R55:R56"/>
    <mergeCell ref="S55:S56"/>
    <mergeCell ref="T55:T56"/>
    <mergeCell ref="DW2:FP2"/>
    <mergeCell ref="U55:U56"/>
    <mergeCell ref="V55:V56"/>
    <mergeCell ref="E57:E58"/>
    <mergeCell ref="F57:F58"/>
    <mergeCell ref="K57:K58"/>
    <mergeCell ref="L57:L58"/>
    <mergeCell ref="M57:M58"/>
    <mergeCell ref="N57:N58"/>
    <mergeCell ref="O57:O58"/>
    <mergeCell ref="P57:P58"/>
    <mergeCell ref="Q57:Q58"/>
    <mergeCell ref="R57:R58"/>
    <mergeCell ref="S57:S58"/>
    <mergeCell ref="T57:T58"/>
    <mergeCell ref="U57:U58"/>
    <mergeCell ref="V57:V58"/>
    <mergeCell ref="S49:S51"/>
    <mergeCell ref="T49:T51"/>
    <mergeCell ref="U49:U51"/>
    <mergeCell ref="V49:V51"/>
    <mergeCell ref="E55:E56"/>
    <mergeCell ref="F55:F56"/>
    <mergeCell ref="K55:K56"/>
    <mergeCell ref="G55:G56"/>
    <mergeCell ref="G57:G58"/>
    <mergeCell ref="G21:G22"/>
    <mergeCell ref="G23:G25"/>
    <mergeCell ref="G28:G29"/>
    <mergeCell ref="G30:G31"/>
    <mergeCell ref="G33:G35"/>
    <mergeCell ref="G41:G42"/>
    <mergeCell ref="G43:G44"/>
    <mergeCell ref="G46:G48"/>
    <mergeCell ref="G49:G51"/>
  </mergeCells>
  <conditionalFormatting sqref="BX6:BX60">
    <cfRule type="cellIs" dxfId="3" priority="1" operator="between">
      <formula>0.81</formula>
      <formula>1</formula>
    </cfRule>
    <cfRule type="cellIs" dxfId="2" priority="2" operator="between">
      <formula>0.61</formula>
      <formula>0.8</formula>
    </cfRule>
    <cfRule type="cellIs" dxfId="1" priority="3" operator="between">
      <formula>0.31</formula>
      <formula>0.6</formula>
    </cfRule>
    <cfRule type="cellIs" dxfId="0" priority="4" operator="between">
      <formula>0</formula>
      <formula>0.3</formula>
    </cfRule>
  </conditionalFormatting>
  <pageMargins left="0.7" right="0.7" top="0.75" bottom="0.75" header="0.3" footer="0.3"/>
  <pageSetup paperSize="9" orientation="portrait" horizontalDpi="300" verticalDpi="300"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tabColor theme="2" tint="-0.89999084444715716"/>
  </sheetPr>
  <dimension ref="A2:BW108"/>
  <sheetViews>
    <sheetView topLeftCell="G92" zoomScale="80" zoomScaleNormal="80" workbookViewId="0">
      <selection sqref="A1:FP181"/>
    </sheetView>
  </sheetViews>
  <sheetFormatPr baseColWidth="10" defaultColWidth="11.42578125" defaultRowHeight="15" customHeight="1"/>
  <cols>
    <col min="1" max="1" width="29.7109375" style="24" hidden="1" customWidth="1"/>
    <col min="2" max="2" width="45.140625" style="24" hidden="1" customWidth="1"/>
    <col min="3" max="3" width="16.7109375" style="24" hidden="1" customWidth="1"/>
    <col min="4" max="4" width="20" style="24" hidden="1" customWidth="1"/>
    <col min="5" max="5" width="22.28515625" style="24" hidden="1" customWidth="1"/>
    <col min="6" max="6" width="20.28515625" style="24" hidden="1" customWidth="1"/>
    <col min="7" max="7" width="18.140625" style="24" bestFit="1" customWidth="1"/>
    <col min="8" max="8" width="58.7109375" style="24" customWidth="1"/>
    <col min="9" max="11" width="1.7109375" style="24" hidden="1" customWidth="1"/>
    <col min="12" max="12" width="12.85546875" style="24" customWidth="1"/>
    <col min="13" max="22" width="1.7109375" style="24" hidden="1" customWidth="1"/>
    <col min="23" max="23" width="15.42578125" style="24" hidden="1" customWidth="1"/>
    <col min="24" max="24" width="23.85546875" style="7134" customWidth="1"/>
    <col min="25" max="25" width="27.7109375" style="24" customWidth="1"/>
    <col min="26" max="26" width="30.85546875" style="24" customWidth="1"/>
    <col min="27" max="27" width="28.140625" style="24" hidden="1" customWidth="1"/>
    <col min="28" max="28" width="1.42578125" style="7143" customWidth="1"/>
    <col min="29" max="29" width="17.5703125" style="36" customWidth="1"/>
    <col min="30" max="30" width="18.28515625" style="36" customWidth="1"/>
    <col min="31" max="31" width="11.42578125" style="36" customWidth="1"/>
    <col min="32" max="75" width="11.42578125" style="36"/>
    <col min="76" max="266" width="11.42578125" style="24"/>
    <col min="267" max="267" width="9.7109375" style="24" customWidth="1"/>
    <col min="268" max="268" width="17.42578125" style="24" customWidth="1"/>
    <col min="269" max="269" width="73" style="24" customWidth="1"/>
    <col min="270" max="270" width="22.28515625" style="24" customWidth="1"/>
    <col min="271" max="271" width="20.42578125" style="24" customWidth="1"/>
    <col min="272" max="272" width="26.42578125" style="24" customWidth="1"/>
    <col min="273" max="273" width="44" style="24" customWidth="1"/>
    <col min="274" max="274" width="46.42578125" style="24" customWidth="1"/>
    <col min="275" max="522" width="11.42578125" style="24"/>
    <col min="523" max="523" width="9.7109375" style="24" customWidth="1"/>
    <col min="524" max="524" width="17.42578125" style="24" customWidth="1"/>
    <col min="525" max="525" width="73" style="24" customWidth="1"/>
    <col min="526" max="526" width="22.28515625" style="24" customWidth="1"/>
    <col min="527" max="527" width="20.42578125" style="24" customWidth="1"/>
    <col min="528" max="528" width="26.42578125" style="24" customWidth="1"/>
    <col min="529" max="529" width="44" style="24" customWidth="1"/>
    <col min="530" max="530" width="46.42578125" style="24" customWidth="1"/>
    <col min="531" max="778" width="11.42578125" style="24"/>
    <col min="779" max="779" width="9.7109375" style="24" customWidth="1"/>
    <col min="780" max="780" width="17.42578125" style="24" customWidth="1"/>
    <col min="781" max="781" width="73" style="24" customWidth="1"/>
    <col min="782" max="782" width="22.28515625" style="24" customWidth="1"/>
    <col min="783" max="783" width="20.42578125" style="24" customWidth="1"/>
    <col min="784" max="784" width="26.42578125" style="24" customWidth="1"/>
    <col min="785" max="785" width="44" style="24" customWidth="1"/>
    <col min="786" max="786" width="46.42578125" style="24" customWidth="1"/>
    <col min="787" max="1034" width="11.42578125" style="24"/>
    <col min="1035" max="1035" width="9.7109375" style="24" customWidth="1"/>
    <col min="1036" max="1036" width="17.42578125" style="24" customWidth="1"/>
    <col min="1037" max="1037" width="73" style="24" customWidth="1"/>
    <col min="1038" max="1038" width="22.28515625" style="24" customWidth="1"/>
    <col min="1039" max="1039" width="20.42578125" style="24" customWidth="1"/>
    <col min="1040" max="1040" width="26.42578125" style="24" customWidth="1"/>
    <col min="1041" max="1041" width="44" style="24" customWidth="1"/>
    <col min="1042" max="1042" width="46.42578125" style="24" customWidth="1"/>
    <col min="1043" max="1290" width="11.42578125" style="24"/>
    <col min="1291" max="1291" width="9.7109375" style="24" customWidth="1"/>
    <col min="1292" max="1292" width="17.42578125" style="24" customWidth="1"/>
    <col min="1293" max="1293" width="73" style="24" customWidth="1"/>
    <col min="1294" max="1294" width="22.28515625" style="24" customWidth="1"/>
    <col min="1295" max="1295" width="20.42578125" style="24" customWidth="1"/>
    <col min="1296" max="1296" width="26.42578125" style="24" customWidth="1"/>
    <col min="1297" max="1297" width="44" style="24" customWidth="1"/>
    <col min="1298" max="1298" width="46.42578125" style="24" customWidth="1"/>
    <col min="1299" max="1546" width="11.42578125" style="24"/>
    <col min="1547" max="1547" width="9.7109375" style="24" customWidth="1"/>
    <col min="1548" max="1548" width="17.42578125" style="24" customWidth="1"/>
    <col min="1549" max="1549" width="73" style="24" customWidth="1"/>
    <col min="1550" max="1550" width="22.28515625" style="24" customWidth="1"/>
    <col min="1551" max="1551" width="20.42578125" style="24" customWidth="1"/>
    <col min="1552" max="1552" width="26.42578125" style="24" customWidth="1"/>
    <col min="1553" max="1553" width="44" style="24" customWidth="1"/>
    <col min="1554" max="1554" width="46.42578125" style="24" customWidth="1"/>
    <col min="1555" max="1802" width="11.42578125" style="24"/>
    <col min="1803" max="1803" width="9.7109375" style="24" customWidth="1"/>
    <col min="1804" max="1804" width="17.42578125" style="24" customWidth="1"/>
    <col min="1805" max="1805" width="73" style="24" customWidth="1"/>
    <col min="1806" max="1806" width="22.28515625" style="24" customWidth="1"/>
    <col min="1807" max="1807" width="20.42578125" style="24" customWidth="1"/>
    <col min="1808" max="1808" width="26.42578125" style="24" customWidth="1"/>
    <col min="1809" max="1809" width="44" style="24" customWidth="1"/>
    <col min="1810" max="1810" width="46.42578125" style="24" customWidth="1"/>
    <col min="1811" max="2058" width="11.42578125" style="24"/>
    <col min="2059" max="2059" width="9.7109375" style="24" customWidth="1"/>
    <col min="2060" max="2060" width="17.42578125" style="24" customWidth="1"/>
    <col min="2061" max="2061" width="73" style="24" customWidth="1"/>
    <col min="2062" max="2062" width="22.28515625" style="24" customWidth="1"/>
    <col min="2063" max="2063" width="20.42578125" style="24" customWidth="1"/>
    <col min="2064" max="2064" width="26.42578125" style="24" customWidth="1"/>
    <col min="2065" max="2065" width="44" style="24" customWidth="1"/>
    <col min="2066" max="2066" width="46.42578125" style="24" customWidth="1"/>
    <col min="2067" max="2314" width="11.42578125" style="24"/>
    <col min="2315" max="2315" width="9.7109375" style="24" customWidth="1"/>
    <col min="2316" max="2316" width="17.42578125" style="24" customWidth="1"/>
    <col min="2317" max="2317" width="73" style="24" customWidth="1"/>
    <col min="2318" max="2318" width="22.28515625" style="24" customWidth="1"/>
    <col min="2319" max="2319" width="20.42578125" style="24" customWidth="1"/>
    <col min="2320" max="2320" width="26.42578125" style="24" customWidth="1"/>
    <col min="2321" max="2321" width="44" style="24" customWidth="1"/>
    <col min="2322" max="2322" width="46.42578125" style="24" customWidth="1"/>
    <col min="2323" max="2570" width="11.42578125" style="24"/>
    <col min="2571" max="2571" width="9.7109375" style="24" customWidth="1"/>
    <col min="2572" max="2572" width="17.42578125" style="24" customWidth="1"/>
    <col min="2573" max="2573" width="73" style="24" customWidth="1"/>
    <col min="2574" max="2574" width="22.28515625" style="24" customWidth="1"/>
    <col min="2575" max="2575" width="20.42578125" style="24" customWidth="1"/>
    <col min="2576" max="2576" width="26.42578125" style="24" customWidth="1"/>
    <col min="2577" max="2577" width="44" style="24" customWidth="1"/>
    <col min="2578" max="2578" width="46.42578125" style="24" customWidth="1"/>
    <col min="2579" max="2826" width="11.42578125" style="24"/>
    <col min="2827" max="2827" width="9.7109375" style="24" customWidth="1"/>
    <col min="2828" max="2828" width="17.42578125" style="24" customWidth="1"/>
    <col min="2829" max="2829" width="73" style="24" customWidth="1"/>
    <col min="2830" max="2830" width="22.28515625" style="24" customWidth="1"/>
    <col min="2831" max="2831" width="20.42578125" style="24" customWidth="1"/>
    <col min="2832" max="2832" width="26.42578125" style="24" customWidth="1"/>
    <col min="2833" max="2833" width="44" style="24" customWidth="1"/>
    <col min="2834" max="2834" width="46.42578125" style="24" customWidth="1"/>
    <col min="2835" max="3082" width="11.42578125" style="24"/>
    <col min="3083" max="3083" width="9.7109375" style="24" customWidth="1"/>
    <col min="3084" max="3084" width="17.42578125" style="24" customWidth="1"/>
    <col min="3085" max="3085" width="73" style="24" customWidth="1"/>
    <col min="3086" max="3086" width="22.28515625" style="24" customWidth="1"/>
    <col min="3087" max="3087" width="20.42578125" style="24" customWidth="1"/>
    <col min="3088" max="3088" width="26.42578125" style="24" customWidth="1"/>
    <col min="3089" max="3089" width="44" style="24" customWidth="1"/>
    <col min="3090" max="3090" width="46.42578125" style="24" customWidth="1"/>
    <col min="3091" max="3338" width="11.42578125" style="24"/>
    <col min="3339" max="3339" width="9.7109375" style="24" customWidth="1"/>
    <col min="3340" max="3340" width="17.42578125" style="24" customWidth="1"/>
    <col min="3341" max="3341" width="73" style="24" customWidth="1"/>
    <col min="3342" max="3342" width="22.28515625" style="24" customWidth="1"/>
    <col min="3343" max="3343" width="20.42578125" style="24" customWidth="1"/>
    <col min="3344" max="3344" width="26.42578125" style="24" customWidth="1"/>
    <col min="3345" max="3345" width="44" style="24" customWidth="1"/>
    <col min="3346" max="3346" width="46.42578125" style="24" customWidth="1"/>
    <col min="3347" max="3594" width="11.42578125" style="24"/>
    <col min="3595" max="3595" width="9.7109375" style="24" customWidth="1"/>
    <col min="3596" max="3596" width="17.42578125" style="24" customWidth="1"/>
    <col min="3597" max="3597" width="73" style="24" customWidth="1"/>
    <col min="3598" max="3598" width="22.28515625" style="24" customWidth="1"/>
    <col min="3599" max="3599" width="20.42578125" style="24" customWidth="1"/>
    <col min="3600" max="3600" width="26.42578125" style="24" customWidth="1"/>
    <col min="3601" max="3601" width="44" style="24" customWidth="1"/>
    <col min="3602" max="3602" width="46.42578125" style="24" customWidth="1"/>
    <col min="3603" max="3850" width="11.42578125" style="24"/>
    <col min="3851" max="3851" width="9.7109375" style="24" customWidth="1"/>
    <col min="3852" max="3852" width="17.42578125" style="24" customWidth="1"/>
    <col min="3853" max="3853" width="73" style="24" customWidth="1"/>
    <col min="3854" max="3854" width="22.28515625" style="24" customWidth="1"/>
    <col min="3855" max="3855" width="20.42578125" style="24" customWidth="1"/>
    <col min="3856" max="3856" width="26.42578125" style="24" customWidth="1"/>
    <col min="3857" max="3857" width="44" style="24" customWidth="1"/>
    <col min="3858" max="3858" width="46.42578125" style="24" customWidth="1"/>
    <col min="3859" max="4106" width="11.42578125" style="24"/>
    <col min="4107" max="4107" width="9.7109375" style="24" customWidth="1"/>
    <col min="4108" max="4108" width="17.42578125" style="24" customWidth="1"/>
    <col min="4109" max="4109" width="73" style="24" customWidth="1"/>
    <col min="4110" max="4110" width="22.28515625" style="24" customWidth="1"/>
    <col min="4111" max="4111" width="20.42578125" style="24" customWidth="1"/>
    <col min="4112" max="4112" width="26.42578125" style="24" customWidth="1"/>
    <col min="4113" max="4113" width="44" style="24" customWidth="1"/>
    <col min="4114" max="4114" width="46.42578125" style="24" customWidth="1"/>
    <col min="4115" max="4362" width="11.42578125" style="24"/>
    <col min="4363" max="4363" width="9.7109375" style="24" customWidth="1"/>
    <col min="4364" max="4364" width="17.42578125" style="24" customWidth="1"/>
    <col min="4365" max="4365" width="73" style="24" customWidth="1"/>
    <col min="4366" max="4366" width="22.28515625" style="24" customWidth="1"/>
    <col min="4367" max="4367" width="20.42578125" style="24" customWidth="1"/>
    <col min="4368" max="4368" width="26.42578125" style="24" customWidth="1"/>
    <col min="4369" max="4369" width="44" style="24" customWidth="1"/>
    <col min="4370" max="4370" width="46.42578125" style="24" customWidth="1"/>
    <col min="4371" max="4618" width="11.42578125" style="24"/>
    <col min="4619" max="4619" width="9.7109375" style="24" customWidth="1"/>
    <col min="4620" max="4620" width="17.42578125" style="24" customWidth="1"/>
    <col min="4621" max="4621" width="73" style="24" customWidth="1"/>
    <col min="4622" max="4622" width="22.28515625" style="24" customWidth="1"/>
    <col min="4623" max="4623" width="20.42578125" style="24" customWidth="1"/>
    <col min="4624" max="4624" width="26.42578125" style="24" customWidth="1"/>
    <col min="4625" max="4625" width="44" style="24" customWidth="1"/>
    <col min="4626" max="4626" width="46.42578125" style="24" customWidth="1"/>
    <col min="4627" max="4874" width="11.42578125" style="24"/>
    <col min="4875" max="4875" width="9.7109375" style="24" customWidth="1"/>
    <col min="4876" max="4876" width="17.42578125" style="24" customWidth="1"/>
    <col min="4877" max="4877" width="73" style="24" customWidth="1"/>
    <col min="4878" max="4878" width="22.28515625" style="24" customWidth="1"/>
    <col min="4879" max="4879" width="20.42578125" style="24" customWidth="1"/>
    <col min="4880" max="4880" width="26.42578125" style="24" customWidth="1"/>
    <col min="4881" max="4881" width="44" style="24" customWidth="1"/>
    <col min="4882" max="4882" width="46.42578125" style="24" customWidth="1"/>
    <col min="4883" max="5130" width="11.42578125" style="24"/>
    <col min="5131" max="5131" width="9.7109375" style="24" customWidth="1"/>
    <col min="5132" max="5132" width="17.42578125" style="24" customWidth="1"/>
    <col min="5133" max="5133" width="73" style="24" customWidth="1"/>
    <col min="5134" max="5134" width="22.28515625" style="24" customWidth="1"/>
    <col min="5135" max="5135" width="20.42578125" style="24" customWidth="1"/>
    <col min="5136" max="5136" width="26.42578125" style="24" customWidth="1"/>
    <col min="5137" max="5137" width="44" style="24" customWidth="1"/>
    <col min="5138" max="5138" width="46.42578125" style="24" customWidth="1"/>
    <col min="5139" max="5386" width="11.42578125" style="24"/>
    <col min="5387" max="5387" width="9.7109375" style="24" customWidth="1"/>
    <col min="5388" max="5388" width="17.42578125" style="24" customWidth="1"/>
    <col min="5389" max="5389" width="73" style="24" customWidth="1"/>
    <col min="5390" max="5390" width="22.28515625" style="24" customWidth="1"/>
    <col min="5391" max="5391" width="20.42578125" style="24" customWidth="1"/>
    <col min="5392" max="5392" width="26.42578125" style="24" customWidth="1"/>
    <col min="5393" max="5393" width="44" style="24" customWidth="1"/>
    <col min="5394" max="5394" width="46.42578125" style="24" customWidth="1"/>
    <col min="5395" max="5642" width="11.42578125" style="24"/>
    <col min="5643" max="5643" width="9.7109375" style="24" customWidth="1"/>
    <col min="5644" max="5644" width="17.42578125" style="24" customWidth="1"/>
    <col min="5645" max="5645" width="73" style="24" customWidth="1"/>
    <col min="5646" max="5646" width="22.28515625" style="24" customWidth="1"/>
    <col min="5647" max="5647" width="20.42578125" style="24" customWidth="1"/>
    <col min="5648" max="5648" width="26.42578125" style="24" customWidth="1"/>
    <col min="5649" max="5649" width="44" style="24" customWidth="1"/>
    <col min="5650" max="5650" width="46.42578125" style="24" customWidth="1"/>
    <col min="5651" max="5898" width="11.42578125" style="24"/>
    <col min="5899" max="5899" width="9.7109375" style="24" customWidth="1"/>
    <col min="5900" max="5900" width="17.42578125" style="24" customWidth="1"/>
    <col min="5901" max="5901" width="73" style="24" customWidth="1"/>
    <col min="5902" max="5902" width="22.28515625" style="24" customWidth="1"/>
    <col min="5903" max="5903" width="20.42578125" style="24" customWidth="1"/>
    <col min="5904" max="5904" width="26.42578125" style="24" customWidth="1"/>
    <col min="5905" max="5905" width="44" style="24" customWidth="1"/>
    <col min="5906" max="5906" width="46.42578125" style="24" customWidth="1"/>
    <col min="5907" max="6154" width="11.42578125" style="24"/>
    <col min="6155" max="6155" width="9.7109375" style="24" customWidth="1"/>
    <col min="6156" max="6156" width="17.42578125" style="24" customWidth="1"/>
    <col min="6157" max="6157" width="73" style="24" customWidth="1"/>
    <col min="6158" max="6158" width="22.28515625" style="24" customWidth="1"/>
    <col min="6159" max="6159" width="20.42578125" style="24" customWidth="1"/>
    <col min="6160" max="6160" width="26.42578125" style="24" customWidth="1"/>
    <col min="6161" max="6161" width="44" style="24" customWidth="1"/>
    <col min="6162" max="6162" width="46.42578125" style="24" customWidth="1"/>
    <col min="6163" max="6410" width="11.42578125" style="24"/>
    <col min="6411" max="6411" width="9.7109375" style="24" customWidth="1"/>
    <col min="6412" max="6412" width="17.42578125" style="24" customWidth="1"/>
    <col min="6413" max="6413" width="73" style="24" customWidth="1"/>
    <col min="6414" max="6414" width="22.28515625" style="24" customWidth="1"/>
    <col min="6415" max="6415" width="20.42578125" style="24" customWidth="1"/>
    <col min="6416" max="6416" width="26.42578125" style="24" customWidth="1"/>
    <col min="6417" max="6417" width="44" style="24" customWidth="1"/>
    <col min="6418" max="6418" width="46.42578125" style="24" customWidth="1"/>
    <col min="6419" max="6666" width="11.42578125" style="24"/>
    <col min="6667" max="6667" width="9.7109375" style="24" customWidth="1"/>
    <col min="6668" max="6668" width="17.42578125" style="24" customWidth="1"/>
    <col min="6669" max="6669" width="73" style="24" customWidth="1"/>
    <col min="6670" max="6670" width="22.28515625" style="24" customWidth="1"/>
    <col min="6671" max="6671" width="20.42578125" style="24" customWidth="1"/>
    <col min="6672" max="6672" width="26.42578125" style="24" customWidth="1"/>
    <col min="6673" max="6673" width="44" style="24" customWidth="1"/>
    <col min="6674" max="6674" width="46.42578125" style="24" customWidth="1"/>
    <col min="6675" max="6922" width="11.42578125" style="24"/>
    <col min="6923" max="6923" width="9.7109375" style="24" customWidth="1"/>
    <col min="6924" max="6924" width="17.42578125" style="24" customWidth="1"/>
    <col min="6925" max="6925" width="73" style="24" customWidth="1"/>
    <col min="6926" max="6926" width="22.28515625" style="24" customWidth="1"/>
    <col min="6927" max="6927" width="20.42578125" style="24" customWidth="1"/>
    <col min="6928" max="6928" width="26.42578125" style="24" customWidth="1"/>
    <col min="6929" max="6929" width="44" style="24" customWidth="1"/>
    <col min="6930" max="6930" width="46.42578125" style="24" customWidth="1"/>
    <col min="6931" max="7178" width="11.42578125" style="24"/>
    <col min="7179" max="7179" width="9.7109375" style="24" customWidth="1"/>
    <col min="7180" max="7180" width="17.42578125" style="24" customWidth="1"/>
    <col min="7181" max="7181" width="73" style="24" customWidth="1"/>
    <col min="7182" max="7182" width="22.28515625" style="24" customWidth="1"/>
    <col min="7183" max="7183" width="20.42578125" style="24" customWidth="1"/>
    <col min="7184" max="7184" width="26.42578125" style="24" customWidth="1"/>
    <col min="7185" max="7185" width="44" style="24" customWidth="1"/>
    <col min="7186" max="7186" width="46.42578125" style="24" customWidth="1"/>
    <col min="7187" max="7434" width="11.42578125" style="24"/>
    <col min="7435" max="7435" width="9.7109375" style="24" customWidth="1"/>
    <col min="7436" max="7436" width="17.42578125" style="24" customWidth="1"/>
    <col min="7437" max="7437" width="73" style="24" customWidth="1"/>
    <col min="7438" max="7438" width="22.28515625" style="24" customWidth="1"/>
    <col min="7439" max="7439" width="20.42578125" style="24" customWidth="1"/>
    <col min="7440" max="7440" width="26.42578125" style="24" customWidth="1"/>
    <col min="7441" max="7441" width="44" style="24" customWidth="1"/>
    <col min="7442" max="7442" width="46.42578125" style="24" customWidth="1"/>
    <col min="7443" max="7690" width="11.42578125" style="24"/>
    <col min="7691" max="7691" width="9.7109375" style="24" customWidth="1"/>
    <col min="7692" max="7692" width="17.42578125" style="24" customWidth="1"/>
    <col min="7693" max="7693" width="73" style="24" customWidth="1"/>
    <col min="7694" max="7694" width="22.28515625" style="24" customWidth="1"/>
    <col min="7695" max="7695" width="20.42578125" style="24" customWidth="1"/>
    <col min="7696" max="7696" width="26.42578125" style="24" customWidth="1"/>
    <col min="7697" max="7697" width="44" style="24" customWidth="1"/>
    <col min="7698" max="7698" width="46.42578125" style="24" customWidth="1"/>
    <col min="7699" max="7946" width="11.42578125" style="24"/>
    <col min="7947" max="7947" width="9.7109375" style="24" customWidth="1"/>
    <col min="7948" max="7948" width="17.42578125" style="24" customWidth="1"/>
    <col min="7949" max="7949" width="73" style="24" customWidth="1"/>
    <col min="7950" max="7950" width="22.28515625" style="24" customWidth="1"/>
    <col min="7951" max="7951" width="20.42578125" style="24" customWidth="1"/>
    <col min="7952" max="7952" width="26.42578125" style="24" customWidth="1"/>
    <col min="7953" max="7953" width="44" style="24" customWidth="1"/>
    <col min="7954" max="7954" width="46.42578125" style="24" customWidth="1"/>
    <col min="7955" max="8202" width="11.42578125" style="24"/>
    <col min="8203" max="8203" width="9.7109375" style="24" customWidth="1"/>
    <col min="8204" max="8204" width="17.42578125" style="24" customWidth="1"/>
    <col min="8205" max="8205" width="73" style="24" customWidth="1"/>
    <col min="8206" max="8206" width="22.28515625" style="24" customWidth="1"/>
    <col min="8207" max="8207" width="20.42578125" style="24" customWidth="1"/>
    <col min="8208" max="8208" width="26.42578125" style="24" customWidth="1"/>
    <col min="8209" max="8209" width="44" style="24" customWidth="1"/>
    <col min="8210" max="8210" width="46.42578125" style="24" customWidth="1"/>
    <col min="8211" max="8458" width="11.42578125" style="24"/>
    <col min="8459" max="8459" width="9.7109375" style="24" customWidth="1"/>
    <col min="8460" max="8460" width="17.42578125" style="24" customWidth="1"/>
    <col min="8461" max="8461" width="73" style="24" customWidth="1"/>
    <col min="8462" max="8462" width="22.28515625" style="24" customWidth="1"/>
    <col min="8463" max="8463" width="20.42578125" style="24" customWidth="1"/>
    <col min="8464" max="8464" width="26.42578125" style="24" customWidth="1"/>
    <col min="8465" max="8465" width="44" style="24" customWidth="1"/>
    <col min="8466" max="8466" width="46.42578125" style="24" customWidth="1"/>
    <col min="8467" max="8714" width="11.42578125" style="24"/>
    <col min="8715" max="8715" width="9.7109375" style="24" customWidth="1"/>
    <col min="8716" max="8716" width="17.42578125" style="24" customWidth="1"/>
    <col min="8717" max="8717" width="73" style="24" customWidth="1"/>
    <col min="8718" max="8718" width="22.28515625" style="24" customWidth="1"/>
    <col min="8719" max="8719" width="20.42578125" style="24" customWidth="1"/>
    <col min="8720" max="8720" width="26.42578125" style="24" customWidth="1"/>
    <col min="8721" max="8721" width="44" style="24" customWidth="1"/>
    <col min="8722" max="8722" width="46.42578125" style="24" customWidth="1"/>
    <col min="8723" max="8970" width="11.42578125" style="24"/>
    <col min="8971" max="8971" width="9.7109375" style="24" customWidth="1"/>
    <col min="8972" max="8972" width="17.42578125" style="24" customWidth="1"/>
    <col min="8973" max="8973" width="73" style="24" customWidth="1"/>
    <col min="8974" max="8974" width="22.28515625" style="24" customWidth="1"/>
    <col min="8975" max="8975" width="20.42578125" style="24" customWidth="1"/>
    <col min="8976" max="8976" width="26.42578125" style="24" customWidth="1"/>
    <col min="8977" max="8977" width="44" style="24" customWidth="1"/>
    <col min="8978" max="8978" width="46.42578125" style="24" customWidth="1"/>
    <col min="8979" max="9226" width="11.42578125" style="24"/>
    <col min="9227" max="9227" width="9.7109375" style="24" customWidth="1"/>
    <col min="9228" max="9228" width="17.42578125" style="24" customWidth="1"/>
    <col min="9229" max="9229" width="73" style="24" customWidth="1"/>
    <col min="9230" max="9230" width="22.28515625" style="24" customWidth="1"/>
    <col min="9231" max="9231" width="20.42578125" style="24" customWidth="1"/>
    <col min="9232" max="9232" width="26.42578125" style="24" customWidth="1"/>
    <col min="9233" max="9233" width="44" style="24" customWidth="1"/>
    <col min="9234" max="9234" width="46.42578125" style="24" customWidth="1"/>
    <col min="9235" max="9482" width="11.42578125" style="24"/>
    <col min="9483" max="9483" width="9.7109375" style="24" customWidth="1"/>
    <col min="9484" max="9484" width="17.42578125" style="24" customWidth="1"/>
    <col min="9485" max="9485" width="73" style="24" customWidth="1"/>
    <col min="9486" max="9486" width="22.28515625" style="24" customWidth="1"/>
    <col min="9487" max="9487" width="20.42578125" style="24" customWidth="1"/>
    <col min="9488" max="9488" width="26.42578125" style="24" customWidth="1"/>
    <col min="9489" max="9489" width="44" style="24" customWidth="1"/>
    <col min="9490" max="9490" width="46.42578125" style="24" customWidth="1"/>
    <col min="9491" max="9738" width="11.42578125" style="24"/>
    <col min="9739" max="9739" width="9.7109375" style="24" customWidth="1"/>
    <col min="9740" max="9740" width="17.42578125" style="24" customWidth="1"/>
    <col min="9741" max="9741" width="73" style="24" customWidth="1"/>
    <col min="9742" max="9742" width="22.28515625" style="24" customWidth="1"/>
    <col min="9743" max="9743" width="20.42578125" style="24" customWidth="1"/>
    <col min="9744" max="9744" width="26.42578125" style="24" customWidth="1"/>
    <col min="9745" max="9745" width="44" style="24" customWidth="1"/>
    <col min="9746" max="9746" width="46.42578125" style="24" customWidth="1"/>
    <col min="9747" max="9994" width="11.42578125" style="24"/>
    <col min="9995" max="9995" width="9.7109375" style="24" customWidth="1"/>
    <col min="9996" max="9996" width="17.42578125" style="24" customWidth="1"/>
    <col min="9997" max="9997" width="73" style="24" customWidth="1"/>
    <col min="9998" max="9998" width="22.28515625" style="24" customWidth="1"/>
    <col min="9999" max="9999" width="20.42578125" style="24" customWidth="1"/>
    <col min="10000" max="10000" width="26.42578125" style="24" customWidth="1"/>
    <col min="10001" max="10001" width="44" style="24" customWidth="1"/>
    <col min="10002" max="10002" width="46.42578125" style="24" customWidth="1"/>
    <col min="10003" max="10250" width="11.42578125" style="24"/>
    <col min="10251" max="10251" width="9.7109375" style="24" customWidth="1"/>
    <col min="10252" max="10252" width="17.42578125" style="24" customWidth="1"/>
    <col min="10253" max="10253" width="73" style="24" customWidth="1"/>
    <col min="10254" max="10254" width="22.28515625" style="24" customWidth="1"/>
    <col min="10255" max="10255" width="20.42578125" style="24" customWidth="1"/>
    <col min="10256" max="10256" width="26.42578125" style="24" customWidth="1"/>
    <col min="10257" max="10257" width="44" style="24" customWidth="1"/>
    <col min="10258" max="10258" width="46.42578125" style="24" customWidth="1"/>
    <col min="10259" max="10506" width="11.42578125" style="24"/>
    <col min="10507" max="10507" width="9.7109375" style="24" customWidth="1"/>
    <col min="10508" max="10508" width="17.42578125" style="24" customWidth="1"/>
    <col min="10509" max="10509" width="73" style="24" customWidth="1"/>
    <col min="10510" max="10510" width="22.28515625" style="24" customWidth="1"/>
    <col min="10511" max="10511" width="20.42578125" style="24" customWidth="1"/>
    <col min="10512" max="10512" width="26.42578125" style="24" customWidth="1"/>
    <col min="10513" max="10513" width="44" style="24" customWidth="1"/>
    <col min="10514" max="10514" width="46.42578125" style="24" customWidth="1"/>
    <col min="10515" max="10762" width="11.42578125" style="24"/>
    <col min="10763" max="10763" width="9.7109375" style="24" customWidth="1"/>
    <col min="10764" max="10764" width="17.42578125" style="24" customWidth="1"/>
    <col min="10765" max="10765" width="73" style="24" customWidth="1"/>
    <col min="10766" max="10766" width="22.28515625" style="24" customWidth="1"/>
    <col min="10767" max="10767" width="20.42578125" style="24" customWidth="1"/>
    <col min="10768" max="10768" width="26.42578125" style="24" customWidth="1"/>
    <col min="10769" max="10769" width="44" style="24" customWidth="1"/>
    <col min="10770" max="10770" width="46.42578125" style="24" customWidth="1"/>
    <col min="10771" max="11018" width="11.42578125" style="24"/>
    <col min="11019" max="11019" width="9.7109375" style="24" customWidth="1"/>
    <col min="11020" max="11020" width="17.42578125" style="24" customWidth="1"/>
    <col min="11021" max="11021" width="73" style="24" customWidth="1"/>
    <col min="11022" max="11022" width="22.28515625" style="24" customWidth="1"/>
    <col min="11023" max="11023" width="20.42578125" style="24" customWidth="1"/>
    <col min="11024" max="11024" width="26.42578125" style="24" customWidth="1"/>
    <col min="11025" max="11025" width="44" style="24" customWidth="1"/>
    <col min="11026" max="11026" width="46.42578125" style="24" customWidth="1"/>
    <col min="11027" max="11274" width="11.42578125" style="24"/>
    <col min="11275" max="11275" width="9.7109375" style="24" customWidth="1"/>
    <col min="11276" max="11276" width="17.42578125" style="24" customWidth="1"/>
    <col min="11277" max="11277" width="73" style="24" customWidth="1"/>
    <col min="11278" max="11278" width="22.28515625" style="24" customWidth="1"/>
    <col min="11279" max="11279" width="20.42578125" style="24" customWidth="1"/>
    <col min="11280" max="11280" width="26.42578125" style="24" customWidth="1"/>
    <col min="11281" max="11281" width="44" style="24" customWidth="1"/>
    <col min="11282" max="11282" width="46.42578125" style="24" customWidth="1"/>
    <col min="11283" max="11530" width="11.42578125" style="24"/>
    <col min="11531" max="11531" width="9.7109375" style="24" customWidth="1"/>
    <col min="11532" max="11532" width="17.42578125" style="24" customWidth="1"/>
    <col min="11533" max="11533" width="73" style="24" customWidth="1"/>
    <col min="11534" max="11534" width="22.28515625" style="24" customWidth="1"/>
    <col min="11535" max="11535" width="20.42578125" style="24" customWidth="1"/>
    <col min="11536" max="11536" width="26.42578125" style="24" customWidth="1"/>
    <col min="11537" max="11537" width="44" style="24" customWidth="1"/>
    <col min="11538" max="11538" width="46.42578125" style="24" customWidth="1"/>
    <col min="11539" max="11786" width="11.42578125" style="24"/>
    <col min="11787" max="11787" width="9.7109375" style="24" customWidth="1"/>
    <col min="11788" max="11788" width="17.42578125" style="24" customWidth="1"/>
    <col min="11789" max="11789" width="73" style="24" customWidth="1"/>
    <col min="11790" max="11790" width="22.28515625" style="24" customWidth="1"/>
    <col min="11791" max="11791" width="20.42578125" style="24" customWidth="1"/>
    <col min="11792" max="11792" width="26.42578125" style="24" customWidth="1"/>
    <col min="11793" max="11793" width="44" style="24" customWidth="1"/>
    <col min="11794" max="11794" width="46.42578125" style="24" customWidth="1"/>
    <col min="11795" max="12042" width="11.42578125" style="24"/>
    <col min="12043" max="12043" width="9.7109375" style="24" customWidth="1"/>
    <col min="12044" max="12044" width="17.42578125" style="24" customWidth="1"/>
    <col min="12045" max="12045" width="73" style="24" customWidth="1"/>
    <col min="12046" max="12046" width="22.28515625" style="24" customWidth="1"/>
    <col min="12047" max="12047" width="20.42578125" style="24" customWidth="1"/>
    <col min="12048" max="12048" width="26.42578125" style="24" customWidth="1"/>
    <col min="12049" max="12049" width="44" style="24" customWidth="1"/>
    <col min="12050" max="12050" width="46.42578125" style="24" customWidth="1"/>
    <col min="12051" max="12298" width="11.42578125" style="24"/>
    <col min="12299" max="12299" width="9.7109375" style="24" customWidth="1"/>
    <col min="12300" max="12300" width="17.42578125" style="24" customWidth="1"/>
    <col min="12301" max="12301" width="73" style="24" customWidth="1"/>
    <col min="12302" max="12302" width="22.28515625" style="24" customWidth="1"/>
    <col min="12303" max="12303" width="20.42578125" style="24" customWidth="1"/>
    <col min="12304" max="12304" width="26.42578125" style="24" customWidth="1"/>
    <col min="12305" max="12305" width="44" style="24" customWidth="1"/>
    <col min="12306" max="12306" width="46.42578125" style="24" customWidth="1"/>
    <col min="12307" max="12554" width="11.42578125" style="24"/>
    <col min="12555" max="12555" width="9.7109375" style="24" customWidth="1"/>
    <col min="12556" max="12556" width="17.42578125" style="24" customWidth="1"/>
    <col min="12557" max="12557" width="73" style="24" customWidth="1"/>
    <col min="12558" max="12558" width="22.28515625" style="24" customWidth="1"/>
    <col min="12559" max="12559" width="20.42578125" style="24" customWidth="1"/>
    <col min="12560" max="12560" width="26.42578125" style="24" customWidth="1"/>
    <col min="12561" max="12561" width="44" style="24" customWidth="1"/>
    <col min="12562" max="12562" width="46.42578125" style="24" customWidth="1"/>
    <col min="12563" max="12810" width="11.42578125" style="24"/>
    <col min="12811" max="12811" width="9.7109375" style="24" customWidth="1"/>
    <col min="12812" max="12812" width="17.42578125" style="24" customWidth="1"/>
    <col min="12813" max="12813" width="73" style="24" customWidth="1"/>
    <col min="12814" max="12814" width="22.28515625" style="24" customWidth="1"/>
    <col min="12815" max="12815" width="20.42578125" style="24" customWidth="1"/>
    <col min="12816" max="12816" width="26.42578125" style="24" customWidth="1"/>
    <col min="12817" max="12817" width="44" style="24" customWidth="1"/>
    <col min="12818" max="12818" width="46.42578125" style="24" customWidth="1"/>
    <col min="12819" max="13066" width="11.42578125" style="24"/>
    <col min="13067" max="13067" width="9.7109375" style="24" customWidth="1"/>
    <col min="13068" max="13068" width="17.42578125" style="24" customWidth="1"/>
    <col min="13069" max="13069" width="73" style="24" customWidth="1"/>
    <col min="13070" max="13070" width="22.28515625" style="24" customWidth="1"/>
    <col min="13071" max="13071" width="20.42578125" style="24" customWidth="1"/>
    <col min="13072" max="13072" width="26.42578125" style="24" customWidth="1"/>
    <col min="13073" max="13073" width="44" style="24" customWidth="1"/>
    <col min="13074" max="13074" width="46.42578125" style="24" customWidth="1"/>
    <col min="13075" max="13322" width="11.42578125" style="24"/>
    <col min="13323" max="13323" width="9.7109375" style="24" customWidth="1"/>
    <col min="13324" max="13324" width="17.42578125" style="24" customWidth="1"/>
    <col min="13325" max="13325" width="73" style="24" customWidth="1"/>
    <col min="13326" max="13326" width="22.28515625" style="24" customWidth="1"/>
    <col min="13327" max="13327" width="20.42578125" style="24" customWidth="1"/>
    <col min="13328" max="13328" width="26.42578125" style="24" customWidth="1"/>
    <col min="13329" max="13329" width="44" style="24" customWidth="1"/>
    <col min="13330" max="13330" width="46.42578125" style="24" customWidth="1"/>
    <col min="13331" max="13578" width="11.42578125" style="24"/>
    <col min="13579" max="13579" width="9.7109375" style="24" customWidth="1"/>
    <col min="13580" max="13580" width="17.42578125" style="24" customWidth="1"/>
    <col min="13581" max="13581" width="73" style="24" customWidth="1"/>
    <col min="13582" max="13582" width="22.28515625" style="24" customWidth="1"/>
    <col min="13583" max="13583" width="20.42578125" style="24" customWidth="1"/>
    <col min="13584" max="13584" width="26.42578125" style="24" customWidth="1"/>
    <col min="13585" max="13585" width="44" style="24" customWidth="1"/>
    <col min="13586" max="13586" width="46.42578125" style="24" customWidth="1"/>
    <col min="13587" max="13834" width="11.42578125" style="24"/>
    <col min="13835" max="13835" width="9.7109375" style="24" customWidth="1"/>
    <col min="13836" max="13836" width="17.42578125" style="24" customWidth="1"/>
    <col min="13837" max="13837" width="73" style="24" customWidth="1"/>
    <col min="13838" max="13838" width="22.28515625" style="24" customWidth="1"/>
    <col min="13839" max="13839" width="20.42578125" style="24" customWidth="1"/>
    <col min="13840" max="13840" width="26.42578125" style="24" customWidth="1"/>
    <col min="13841" max="13841" width="44" style="24" customWidth="1"/>
    <col min="13842" max="13842" width="46.42578125" style="24" customWidth="1"/>
    <col min="13843" max="14090" width="11.42578125" style="24"/>
    <col min="14091" max="14091" width="9.7109375" style="24" customWidth="1"/>
    <col min="14092" max="14092" width="17.42578125" style="24" customWidth="1"/>
    <col min="14093" max="14093" width="73" style="24" customWidth="1"/>
    <col min="14094" max="14094" width="22.28515625" style="24" customWidth="1"/>
    <col min="14095" max="14095" width="20.42578125" style="24" customWidth="1"/>
    <col min="14096" max="14096" width="26.42578125" style="24" customWidth="1"/>
    <col min="14097" max="14097" width="44" style="24" customWidth="1"/>
    <col min="14098" max="14098" width="46.42578125" style="24" customWidth="1"/>
    <col min="14099" max="14346" width="11.42578125" style="24"/>
    <col min="14347" max="14347" width="9.7109375" style="24" customWidth="1"/>
    <col min="14348" max="14348" width="17.42578125" style="24" customWidth="1"/>
    <col min="14349" max="14349" width="73" style="24" customWidth="1"/>
    <col min="14350" max="14350" width="22.28515625" style="24" customWidth="1"/>
    <col min="14351" max="14351" width="20.42578125" style="24" customWidth="1"/>
    <col min="14352" max="14352" width="26.42578125" style="24" customWidth="1"/>
    <col min="14353" max="14353" width="44" style="24" customWidth="1"/>
    <col min="14354" max="14354" width="46.42578125" style="24" customWidth="1"/>
    <col min="14355" max="14602" width="11.42578125" style="24"/>
    <col min="14603" max="14603" width="9.7109375" style="24" customWidth="1"/>
    <col min="14604" max="14604" width="17.42578125" style="24" customWidth="1"/>
    <col min="14605" max="14605" width="73" style="24" customWidth="1"/>
    <col min="14606" max="14606" width="22.28515625" style="24" customWidth="1"/>
    <col min="14607" max="14607" width="20.42578125" style="24" customWidth="1"/>
    <col min="14608" max="14608" width="26.42578125" style="24" customWidth="1"/>
    <col min="14609" max="14609" width="44" style="24" customWidth="1"/>
    <col min="14610" max="14610" width="46.42578125" style="24" customWidth="1"/>
    <col min="14611" max="14858" width="11.42578125" style="24"/>
    <col min="14859" max="14859" width="9.7109375" style="24" customWidth="1"/>
    <col min="14860" max="14860" width="17.42578125" style="24" customWidth="1"/>
    <col min="14861" max="14861" width="73" style="24" customWidth="1"/>
    <col min="14862" max="14862" width="22.28515625" style="24" customWidth="1"/>
    <col min="14863" max="14863" width="20.42578125" style="24" customWidth="1"/>
    <col min="14864" max="14864" width="26.42578125" style="24" customWidth="1"/>
    <col min="14865" max="14865" width="44" style="24" customWidth="1"/>
    <col min="14866" max="14866" width="46.42578125" style="24" customWidth="1"/>
    <col min="14867" max="15114" width="11.42578125" style="24"/>
    <col min="15115" max="15115" width="9.7109375" style="24" customWidth="1"/>
    <col min="15116" max="15116" width="17.42578125" style="24" customWidth="1"/>
    <col min="15117" max="15117" width="73" style="24" customWidth="1"/>
    <col min="15118" max="15118" width="22.28515625" style="24" customWidth="1"/>
    <col min="15119" max="15119" width="20.42578125" style="24" customWidth="1"/>
    <col min="15120" max="15120" width="26.42578125" style="24" customWidth="1"/>
    <col min="15121" max="15121" width="44" style="24" customWidth="1"/>
    <col min="15122" max="15122" width="46.42578125" style="24" customWidth="1"/>
    <col min="15123" max="15370" width="11.42578125" style="24"/>
    <col min="15371" max="15371" width="9.7109375" style="24" customWidth="1"/>
    <col min="15372" max="15372" width="17.42578125" style="24" customWidth="1"/>
    <col min="15373" max="15373" width="73" style="24" customWidth="1"/>
    <col min="15374" max="15374" width="22.28515625" style="24" customWidth="1"/>
    <col min="15375" max="15375" width="20.42578125" style="24" customWidth="1"/>
    <col min="15376" max="15376" width="26.42578125" style="24" customWidth="1"/>
    <col min="15377" max="15377" width="44" style="24" customWidth="1"/>
    <col min="15378" max="15378" width="46.42578125" style="24" customWidth="1"/>
    <col min="15379" max="15626" width="11.42578125" style="24"/>
    <col min="15627" max="15627" width="9.7109375" style="24" customWidth="1"/>
    <col min="15628" max="15628" width="17.42578125" style="24" customWidth="1"/>
    <col min="15629" max="15629" width="73" style="24" customWidth="1"/>
    <col min="15630" max="15630" width="22.28515625" style="24" customWidth="1"/>
    <col min="15631" max="15631" width="20.42578125" style="24" customWidth="1"/>
    <col min="15632" max="15632" width="26.42578125" style="24" customWidth="1"/>
    <col min="15633" max="15633" width="44" style="24" customWidth="1"/>
    <col min="15634" max="15634" width="46.42578125" style="24" customWidth="1"/>
    <col min="15635" max="15882" width="11.42578125" style="24"/>
    <col min="15883" max="15883" width="9.7109375" style="24" customWidth="1"/>
    <col min="15884" max="15884" width="17.42578125" style="24" customWidth="1"/>
    <col min="15885" max="15885" width="73" style="24" customWidth="1"/>
    <col min="15886" max="15886" width="22.28515625" style="24" customWidth="1"/>
    <col min="15887" max="15887" width="20.42578125" style="24" customWidth="1"/>
    <col min="15888" max="15888" width="26.42578125" style="24" customWidth="1"/>
    <col min="15889" max="15889" width="44" style="24" customWidth="1"/>
    <col min="15890" max="15890" width="46.42578125" style="24" customWidth="1"/>
    <col min="15891" max="16138" width="11.42578125" style="24"/>
    <col min="16139" max="16139" width="9.7109375" style="24" customWidth="1"/>
    <col min="16140" max="16140" width="17.42578125" style="24" customWidth="1"/>
    <col min="16141" max="16141" width="73" style="24" customWidth="1"/>
    <col min="16142" max="16142" width="22.28515625" style="24" customWidth="1"/>
    <col min="16143" max="16143" width="20.42578125" style="24" customWidth="1"/>
    <col min="16144" max="16144" width="26.42578125" style="24" customWidth="1"/>
    <col min="16145" max="16145" width="44" style="24" customWidth="1"/>
    <col min="16146" max="16146" width="46.42578125" style="24" customWidth="1"/>
    <col min="16147" max="16384" width="11.42578125" style="24"/>
  </cols>
  <sheetData>
    <row r="2" spans="1:75" ht="15" customHeight="1">
      <c r="B2" s="16796" t="s">
        <v>5119</v>
      </c>
      <c r="C2" s="16796"/>
      <c r="D2" s="16796"/>
      <c r="E2" s="16796"/>
      <c r="F2" s="16796"/>
      <c r="G2" s="16796"/>
      <c r="H2" s="16796"/>
      <c r="I2" s="16796"/>
      <c r="J2" s="16796"/>
      <c r="K2" s="16796"/>
      <c r="L2" s="16796"/>
      <c r="M2" s="16796"/>
      <c r="N2" s="16796"/>
      <c r="O2" s="16796"/>
      <c r="P2" s="16796"/>
      <c r="Q2" s="16796"/>
      <c r="R2" s="16796"/>
      <c r="S2" s="16796"/>
      <c r="T2" s="16796"/>
      <c r="U2" s="16796"/>
      <c r="V2" s="16796"/>
      <c r="W2" s="1"/>
      <c r="X2" s="756"/>
    </row>
    <row r="3" spans="1:75" ht="15" customHeight="1">
      <c r="B3" s="1" t="s">
        <v>5120</v>
      </c>
      <c r="C3" s="16797" t="s">
        <v>5121</v>
      </c>
      <c r="D3" s="16797"/>
      <c r="E3" s="16797"/>
      <c r="F3" s="16797"/>
      <c r="G3" s="16797"/>
      <c r="H3" s="16797"/>
      <c r="I3" s="16797"/>
      <c r="J3" s="16797"/>
      <c r="K3" s="16797"/>
      <c r="L3" s="16797"/>
      <c r="M3" s="16797"/>
      <c r="N3" s="16797"/>
      <c r="O3" s="16797"/>
      <c r="P3" s="16797"/>
      <c r="Q3" s="16797"/>
      <c r="R3" s="16797"/>
      <c r="S3" s="16797"/>
      <c r="T3" s="16797"/>
      <c r="U3" s="16797"/>
      <c r="V3" s="16797"/>
      <c r="W3" s="756"/>
      <c r="X3" s="756"/>
    </row>
    <row r="4" spans="1:75" ht="15" customHeight="1" thickBot="1">
      <c r="B4" s="16812" t="s">
        <v>5122</v>
      </c>
      <c r="C4" s="16813"/>
      <c r="D4" s="16813"/>
      <c r="E4" s="16813"/>
      <c r="F4" s="16813"/>
      <c r="G4" s="16813"/>
      <c r="H4" s="16813"/>
      <c r="I4" s="16813"/>
      <c r="J4" s="16813"/>
      <c r="K4" s="16813"/>
      <c r="L4" s="16813"/>
      <c r="M4" s="16813"/>
      <c r="N4" s="16813"/>
      <c r="O4" s="16813"/>
      <c r="P4" s="16813"/>
      <c r="Q4" s="16813"/>
      <c r="R4" s="16813"/>
      <c r="S4" s="16813"/>
      <c r="T4" s="16813"/>
      <c r="U4" s="16813"/>
      <c r="V4" s="16813"/>
      <c r="W4" s="16813"/>
      <c r="X4" s="16814"/>
      <c r="Y4" s="16813"/>
      <c r="Z4" s="16813"/>
      <c r="AA4" s="16815"/>
      <c r="AB4" s="7144"/>
      <c r="AC4" s="7127"/>
      <c r="AD4" s="7127"/>
      <c r="AE4" s="7127"/>
      <c r="AF4" s="7127"/>
      <c r="AG4" s="7127"/>
      <c r="AH4" s="7127"/>
      <c r="AI4" s="7127"/>
      <c r="AJ4" s="7127"/>
      <c r="AK4" s="7127"/>
      <c r="AL4" s="7127"/>
      <c r="AM4" s="7127"/>
      <c r="AN4" s="7127"/>
      <c r="AO4" s="7127"/>
      <c r="AP4" s="7127"/>
      <c r="AQ4" s="7127"/>
      <c r="AR4" s="7127"/>
      <c r="AS4" s="7127"/>
      <c r="AT4" s="7127"/>
      <c r="AU4" s="7127"/>
      <c r="AV4" s="7127"/>
      <c r="AW4" s="7127"/>
      <c r="AX4" s="7127"/>
      <c r="AY4" s="7127"/>
      <c r="AZ4" s="7127"/>
      <c r="BA4" s="7127"/>
      <c r="BB4" s="7127"/>
      <c r="BC4" s="7127"/>
      <c r="BD4" s="7127"/>
      <c r="BE4" s="7127"/>
      <c r="BF4" s="7127"/>
      <c r="BG4" s="7127"/>
      <c r="BH4" s="7127"/>
      <c r="BI4" s="7127"/>
      <c r="BJ4" s="7127"/>
      <c r="BK4" s="7127"/>
      <c r="BL4" s="7127"/>
      <c r="BM4" s="7127"/>
      <c r="BN4" s="7127"/>
      <c r="BO4" s="7127"/>
      <c r="BP4" s="7127"/>
      <c r="BQ4" s="7127"/>
      <c r="BR4" s="7127"/>
      <c r="BS4" s="7127"/>
    </row>
    <row r="5" spans="1:75" ht="15" customHeight="1" thickBot="1">
      <c r="B5" s="16816"/>
      <c r="C5" s="16817"/>
      <c r="D5" s="16817"/>
      <c r="E5" s="16817"/>
      <c r="F5" s="16817"/>
      <c r="G5" s="16817"/>
      <c r="H5" s="16817"/>
      <c r="I5" s="16817"/>
      <c r="J5" s="16817"/>
      <c r="K5" s="16817"/>
      <c r="L5" s="16817"/>
      <c r="M5" s="16817"/>
      <c r="N5" s="16817"/>
      <c r="O5" s="16817"/>
      <c r="P5" s="16817"/>
      <c r="Q5" s="16817"/>
      <c r="R5" s="16817"/>
      <c r="S5" s="16817"/>
      <c r="T5" s="16817"/>
      <c r="U5" s="16817"/>
      <c r="V5" s="16817"/>
      <c r="W5" s="16817"/>
      <c r="X5" s="16817"/>
      <c r="Y5" s="16817"/>
      <c r="Z5" s="16817"/>
      <c r="AA5" s="16818"/>
      <c r="AB5" s="7144"/>
      <c r="AC5" s="13291" t="s">
        <v>8497</v>
      </c>
      <c r="AD5" s="13291"/>
      <c r="AE5" s="13291"/>
      <c r="AF5" s="13291"/>
      <c r="AG5" s="13291"/>
      <c r="AH5" s="13291"/>
      <c r="AI5" s="13618"/>
      <c r="AJ5" s="13618"/>
      <c r="AK5" s="13618"/>
      <c r="AL5" s="13618"/>
      <c r="AM5" s="13291"/>
      <c r="AN5" s="13291"/>
      <c r="AO5" s="13291"/>
      <c r="AP5" s="13291"/>
      <c r="AQ5" s="13291"/>
      <c r="AR5" s="13291"/>
      <c r="AS5" s="13291"/>
      <c r="AT5" s="13291"/>
      <c r="AU5" s="13291"/>
      <c r="AV5" s="13291"/>
      <c r="AW5" s="13291"/>
      <c r="AX5" s="13291"/>
      <c r="AY5" s="13291"/>
      <c r="AZ5" s="13291"/>
      <c r="BA5" s="13291"/>
      <c r="BB5" s="13291"/>
      <c r="BC5" s="13291"/>
      <c r="BD5" s="13291"/>
      <c r="BE5" s="13291"/>
      <c r="BF5" s="13291"/>
      <c r="BG5" s="13291"/>
      <c r="BH5" s="13291"/>
      <c r="BI5" s="13291"/>
      <c r="BJ5" s="13291"/>
      <c r="BK5" s="13291"/>
      <c r="BL5" s="13291"/>
      <c r="BM5" s="13291"/>
      <c r="BN5" s="13291"/>
      <c r="BO5" s="13291"/>
      <c r="BP5" s="13291"/>
      <c r="BQ5" s="13291"/>
      <c r="BR5" s="13291"/>
      <c r="BS5" s="13291"/>
      <c r="BT5" s="13291"/>
      <c r="BU5" s="13291"/>
      <c r="BV5" s="13292"/>
    </row>
    <row r="6" spans="1:75" ht="15" customHeight="1" thickBot="1">
      <c r="B6" s="16819" t="s">
        <v>5120</v>
      </c>
      <c r="C6" s="16819" t="s">
        <v>5123</v>
      </c>
      <c r="D6" s="16819"/>
      <c r="E6" s="16819"/>
      <c r="F6" s="16819"/>
      <c r="G6" s="16819"/>
      <c r="H6" s="16819"/>
      <c r="I6" s="16819"/>
      <c r="J6" s="16819"/>
      <c r="K6" s="16819"/>
      <c r="L6" s="16819"/>
      <c r="M6" s="16819"/>
      <c r="N6" s="16819"/>
      <c r="O6" s="16819"/>
      <c r="P6" s="16819"/>
      <c r="Q6" s="16819"/>
      <c r="R6" s="16819"/>
      <c r="S6" s="16819"/>
      <c r="T6" s="16819"/>
      <c r="U6" s="16819"/>
      <c r="V6" s="16819"/>
      <c r="W6" s="16819"/>
      <c r="X6" s="15964"/>
      <c r="Y6" s="16819"/>
      <c r="Z6" s="16819"/>
      <c r="AA6" s="16819"/>
      <c r="AB6" s="16820"/>
      <c r="AC6" s="5000" t="s">
        <v>8498</v>
      </c>
      <c r="AD6" s="5156" t="s">
        <v>10189</v>
      </c>
      <c r="AE6" s="5156" t="s">
        <v>10190</v>
      </c>
      <c r="AF6" s="4984" t="s">
        <v>8499</v>
      </c>
      <c r="AG6" s="4984" t="s">
        <v>8500</v>
      </c>
      <c r="AH6" s="4986" t="s">
        <v>4</v>
      </c>
      <c r="AI6" s="5002" t="s">
        <v>355</v>
      </c>
      <c r="AJ6" s="5003"/>
      <c r="AK6" s="5003"/>
      <c r="AL6" s="5004"/>
      <c r="AM6" s="4988" t="s">
        <v>356</v>
      </c>
      <c r="AN6" s="4989"/>
      <c r="AO6" s="4989"/>
      <c r="AP6" s="4989"/>
      <c r="AQ6" s="4989"/>
      <c r="AR6" s="4989"/>
      <c r="AS6" s="4989"/>
      <c r="AT6" s="4989"/>
      <c r="AU6" s="4989"/>
      <c r="AV6" s="4989"/>
      <c r="AW6" s="4989"/>
      <c r="AX6" s="4989"/>
      <c r="AY6" s="5030"/>
      <c r="AZ6" s="5030"/>
      <c r="BA6" s="5030"/>
      <c r="BB6" s="5030"/>
      <c r="BC6" s="5030"/>
      <c r="BD6" s="5030"/>
      <c r="BE6" s="5030"/>
      <c r="BF6" s="5030"/>
      <c r="BG6" s="5030"/>
      <c r="BH6" s="5030"/>
      <c r="BI6" s="5030"/>
      <c r="BJ6" s="5030"/>
      <c r="BK6" s="5030"/>
      <c r="BL6" s="5031"/>
      <c r="BM6" s="5032" t="s">
        <v>357</v>
      </c>
      <c r="BN6" s="5033"/>
      <c r="BO6" s="5033"/>
      <c r="BP6" s="5033"/>
      <c r="BQ6" s="5034"/>
      <c r="BR6" s="4990" t="s">
        <v>5</v>
      </c>
      <c r="BS6" s="4991"/>
      <c r="BT6" s="4991"/>
      <c r="BU6" s="4991"/>
      <c r="BV6" s="4992"/>
    </row>
    <row r="7" spans="1:75" ht="15" customHeight="1">
      <c r="B7" s="16819"/>
      <c r="C7" s="16819"/>
      <c r="D7" s="16819"/>
      <c r="E7" s="16819"/>
      <c r="F7" s="16819"/>
      <c r="G7" s="16819"/>
      <c r="H7" s="16819"/>
      <c r="I7" s="16819"/>
      <c r="J7" s="16819"/>
      <c r="K7" s="16819"/>
      <c r="L7" s="16819"/>
      <c r="M7" s="16819"/>
      <c r="N7" s="16819"/>
      <c r="O7" s="16819"/>
      <c r="P7" s="16819"/>
      <c r="Q7" s="16819"/>
      <c r="R7" s="16819"/>
      <c r="S7" s="16819"/>
      <c r="T7" s="16819"/>
      <c r="U7" s="16819"/>
      <c r="V7" s="16819"/>
      <c r="W7" s="16819"/>
      <c r="X7" s="15964"/>
      <c r="Y7" s="16819"/>
      <c r="Z7" s="16819"/>
      <c r="AA7" s="16819"/>
      <c r="AB7" s="16820"/>
      <c r="AC7" s="5001"/>
      <c r="AD7" s="5156"/>
      <c r="AE7" s="5156"/>
      <c r="AF7" s="4985"/>
      <c r="AG7" s="4985"/>
      <c r="AH7" s="4987"/>
      <c r="AI7" s="5005" t="s">
        <v>6</v>
      </c>
      <c r="AJ7" s="5008" t="s">
        <v>7</v>
      </c>
      <c r="AK7" s="4995" t="s">
        <v>8</v>
      </c>
      <c r="AL7" s="4997" t="s">
        <v>9</v>
      </c>
      <c r="AM7" s="4993" t="s">
        <v>10</v>
      </c>
      <c r="AN7" s="4981" t="s">
        <v>11</v>
      </c>
      <c r="AO7" s="4983"/>
      <c r="AP7" s="4981" t="s">
        <v>12</v>
      </c>
      <c r="AQ7" s="4983"/>
      <c r="AR7" s="4981" t="s">
        <v>13</v>
      </c>
      <c r="AS7" s="4982"/>
      <c r="AT7" s="4982"/>
      <c r="AU7" s="4982"/>
      <c r="AV7" s="4982"/>
      <c r="AW7" s="4982"/>
      <c r="AX7" s="4982"/>
      <c r="AY7" s="5035" t="s">
        <v>14</v>
      </c>
      <c r="AZ7" s="5036"/>
      <c r="BA7" s="5036"/>
      <c r="BB7" s="5036"/>
      <c r="BC7" s="5036"/>
      <c r="BD7" s="5036"/>
      <c r="BE7" s="5036"/>
      <c r="BF7" s="5036"/>
      <c r="BG7" s="5036" t="s">
        <v>15</v>
      </c>
      <c r="BH7" s="5036"/>
      <c r="BI7" s="5036"/>
      <c r="BJ7" s="5036"/>
      <c r="BK7" s="5036"/>
      <c r="BL7" s="5037"/>
      <c r="BM7" s="5038" t="s">
        <v>16</v>
      </c>
      <c r="BN7" s="5040" t="s">
        <v>17</v>
      </c>
      <c r="BO7" s="5042" t="s">
        <v>18</v>
      </c>
      <c r="BP7" s="3375" t="s">
        <v>19</v>
      </c>
      <c r="BQ7" s="3376" t="s">
        <v>20</v>
      </c>
      <c r="BR7" s="5027" t="s">
        <v>21</v>
      </c>
      <c r="BS7" s="4978" t="s">
        <v>22</v>
      </c>
      <c r="BT7" s="4979"/>
      <c r="BU7" s="4980"/>
      <c r="BV7" s="12" t="s">
        <v>20</v>
      </c>
    </row>
    <row r="8" spans="1:75" s="169" customFormat="1" ht="15" customHeight="1" thickBot="1">
      <c r="A8" s="5152" t="s">
        <v>6015</v>
      </c>
      <c r="B8" s="5152" t="s">
        <v>5124</v>
      </c>
      <c r="C8" s="7086" t="s">
        <v>952</v>
      </c>
      <c r="D8" s="7086" t="s">
        <v>5125</v>
      </c>
      <c r="E8" s="7086" t="s">
        <v>5126</v>
      </c>
      <c r="F8" s="7086" t="s">
        <v>4634</v>
      </c>
      <c r="G8" s="7086" t="s">
        <v>4635</v>
      </c>
      <c r="H8" s="7086" t="s">
        <v>5127</v>
      </c>
      <c r="I8" s="7086" t="s">
        <v>5128</v>
      </c>
      <c r="J8" s="7086" t="s">
        <v>5129</v>
      </c>
      <c r="K8" s="7086" t="s">
        <v>5130</v>
      </c>
      <c r="L8" s="7086" t="s">
        <v>5131</v>
      </c>
      <c r="M8" s="7086" t="s">
        <v>5132</v>
      </c>
      <c r="N8" s="7086" t="s">
        <v>5133</v>
      </c>
      <c r="O8" s="7086" t="s">
        <v>5134</v>
      </c>
      <c r="P8" s="7086" t="s">
        <v>5135</v>
      </c>
      <c r="Q8" s="7086" t="s">
        <v>5136</v>
      </c>
      <c r="R8" s="7086" t="s">
        <v>5137</v>
      </c>
      <c r="S8" s="7086" t="s">
        <v>5138</v>
      </c>
      <c r="T8" s="7086" t="s">
        <v>5139</v>
      </c>
      <c r="U8" s="7086" t="s">
        <v>5140</v>
      </c>
      <c r="V8" s="7086" t="s">
        <v>4641</v>
      </c>
      <c r="W8" s="7082" t="s">
        <v>5141</v>
      </c>
      <c r="X8" s="7133" t="s">
        <v>10056</v>
      </c>
      <c r="Y8" s="7086" t="s">
        <v>5142</v>
      </c>
      <c r="Z8" s="7086" t="s">
        <v>5143</v>
      </c>
      <c r="AA8" s="7123" t="s">
        <v>5144</v>
      </c>
      <c r="AB8" s="16820"/>
      <c r="AC8" s="5001"/>
      <c r="AD8" s="5029"/>
      <c r="AE8" s="5029"/>
      <c r="AF8" s="4985"/>
      <c r="AG8" s="4985"/>
      <c r="AH8" s="4987"/>
      <c r="AI8" s="5006"/>
      <c r="AJ8" s="5009"/>
      <c r="AK8" s="4996"/>
      <c r="AL8" s="4998"/>
      <c r="AM8" s="4994"/>
      <c r="AN8" s="3462" t="s">
        <v>23</v>
      </c>
      <c r="AO8" s="3463" t="s">
        <v>24</v>
      </c>
      <c r="AP8" s="3462" t="s">
        <v>25</v>
      </c>
      <c r="AQ8" s="3463" t="s">
        <v>26</v>
      </c>
      <c r="AR8" s="3464" t="s">
        <v>27</v>
      </c>
      <c r="AS8" s="3465" t="s">
        <v>28</v>
      </c>
      <c r="AT8" s="3466" t="s">
        <v>29</v>
      </c>
      <c r="AU8" s="3466" t="s">
        <v>30</v>
      </c>
      <c r="AV8" s="3466" t="s">
        <v>31</v>
      </c>
      <c r="AW8" s="3466" t="s">
        <v>32</v>
      </c>
      <c r="AX8" s="3373" t="s">
        <v>33</v>
      </c>
      <c r="AY8" s="3464" t="s">
        <v>34</v>
      </c>
      <c r="AZ8" s="3466" t="s">
        <v>35</v>
      </c>
      <c r="BA8" s="3466" t="s">
        <v>36</v>
      </c>
      <c r="BB8" s="3466" t="s">
        <v>37</v>
      </c>
      <c r="BC8" s="3466" t="s">
        <v>38</v>
      </c>
      <c r="BD8" s="3466" t="s">
        <v>39</v>
      </c>
      <c r="BE8" s="3466" t="s">
        <v>40</v>
      </c>
      <c r="BF8" s="3466" t="s">
        <v>41</v>
      </c>
      <c r="BG8" s="3466" t="s">
        <v>42</v>
      </c>
      <c r="BH8" s="3466" t="s">
        <v>43</v>
      </c>
      <c r="BI8" s="3466" t="s">
        <v>44</v>
      </c>
      <c r="BJ8" s="3466" t="s">
        <v>45</v>
      </c>
      <c r="BK8" s="3466" t="s">
        <v>46</v>
      </c>
      <c r="BL8" s="3467" t="s">
        <v>47</v>
      </c>
      <c r="BM8" s="5039"/>
      <c r="BN8" s="5041"/>
      <c r="BO8" s="5043"/>
      <c r="BP8" s="5043" t="s">
        <v>48</v>
      </c>
      <c r="BQ8" s="3469" t="s">
        <v>49</v>
      </c>
      <c r="BR8" s="5028"/>
      <c r="BS8" s="5041" t="s">
        <v>50</v>
      </c>
      <c r="BT8" s="5041" t="s">
        <v>51</v>
      </c>
      <c r="BU8" s="5041" t="s">
        <v>52</v>
      </c>
      <c r="BV8" s="2217" t="s">
        <v>49</v>
      </c>
      <c r="BW8" s="1"/>
    </row>
    <row r="9" spans="1:75" s="7079" customFormat="1" ht="15" customHeight="1">
      <c r="A9" s="16805" t="s">
        <v>6016</v>
      </c>
      <c r="B9" s="7101" t="s">
        <v>5145</v>
      </c>
      <c r="C9" s="16798" t="s">
        <v>5146</v>
      </c>
      <c r="D9" s="16799" t="s">
        <v>5147</v>
      </c>
      <c r="E9" s="16798" t="s">
        <v>5148</v>
      </c>
      <c r="F9" s="16798" t="s">
        <v>5149</v>
      </c>
      <c r="G9" s="16798" t="s">
        <v>8236</v>
      </c>
      <c r="H9" s="16799" t="s">
        <v>5150</v>
      </c>
      <c r="I9" s="16798" t="s">
        <v>5151</v>
      </c>
      <c r="J9" s="16798" t="s">
        <v>5152</v>
      </c>
      <c r="K9" s="16798" t="s">
        <v>5153</v>
      </c>
      <c r="L9" s="16798" t="s">
        <v>5154</v>
      </c>
      <c r="M9" s="16798" t="s">
        <v>5155</v>
      </c>
      <c r="N9" s="16798" t="s">
        <v>5156</v>
      </c>
      <c r="O9" s="16798" t="s">
        <v>5157</v>
      </c>
      <c r="P9" s="16798" t="s">
        <v>5158</v>
      </c>
      <c r="Q9" s="16798" t="s">
        <v>5159</v>
      </c>
      <c r="R9" s="16798" t="s">
        <v>5160</v>
      </c>
      <c r="S9" s="16798" t="s">
        <v>5161</v>
      </c>
      <c r="T9" s="16798" t="s">
        <v>5162</v>
      </c>
      <c r="U9" s="16798" t="s">
        <v>5163</v>
      </c>
      <c r="V9" s="16798" t="s">
        <v>5164</v>
      </c>
      <c r="W9" s="16798" t="s">
        <v>5165</v>
      </c>
      <c r="X9" s="7101" t="s">
        <v>86</v>
      </c>
      <c r="Y9" s="7130" t="s">
        <v>10286</v>
      </c>
      <c r="Z9" s="7130"/>
      <c r="AA9" s="16821">
        <f>(50000000)*10</f>
        <v>500000000</v>
      </c>
      <c r="AB9" s="16824"/>
      <c r="AC9" s="16822"/>
      <c r="AD9" s="16822"/>
      <c r="AE9" s="16822"/>
      <c r="AF9" s="16822"/>
      <c r="AG9" s="16822"/>
      <c r="AH9" s="16822"/>
      <c r="AI9" s="16822"/>
      <c r="AJ9" s="16822"/>
      <c r="AK9" s="16822"/>
      <c r="AL9" s="16822"/>
      <c r="AM9" s="16822"/>
      <c r="AN9" s="16822"/>
      <c r="AO9" s="16822"/>
      <c r="AP9" s="16822"/>
      <c r="AQ9" s="16822"/>
      <c r="AR9" s="16822"/>
      <c r="AS9" s="16822"/>
      <c r="AT9" s="16822"/>
      <c r="AU9" s="16822"/>
      <c r="AV9" s="16822"/>
      <c r="AW9" s="16822"/>
      <c r="AX9" s="16822"/>
      <c r="AY9" s="16822"/>
      <c r="AZ9" s="16822"/>
      <c r="BA9" s="16822"/>
      <c r="BB9" s="16822"/>
      <c r="BC9" s="16822"/>
      <c r="BD9" s="16822"/>
      <c r="BE9" s="16822"/>
      <c r="BF9" s="16822"/>
      <c r="BG9" s="16822"/>
      <c r="BH9" s="16822"/>
      <c r="BI9" s="16822"/>
      <c r="BJ9" s="16822"/>
      <c r="BK9" s="16822"/>
      <c r="BL9" s="16822"/>
      <c r="BM9" s="16822"/>
      <c r="BN9" s="16822"/>
      <c r="BO9" s="16822"/>
      <c r="BP9" s="16822"/>
      <c r="BQ9" s="16822"/>
      <c r="BR9" s="16822"/>
      <c r="BS9" s="16822"/>
      <c r="BT9" s="7128"/>
      <c r="BU9" s="7128"/>
      <c r="BV9" s="7129"/>
      <c r="BW9" s="7124"/>
    </row>
    <row r="10" spans="1:75" s="7079" customFormat="1" ht="15" customHeight="1">
      <c r="A10" s="14708"/>
      <c r="B10" s="7089" t="s">
        <v>5167</v>
      </c>
      <c r="C10" s="16783"/>
      <c r="D10" s="16785"/>
      <c r="E10" s="16783"/>
      <c r="F10" s="16783"/>
      <c r="G10" s="16783"/>
      <c r="H10" s="16785"/>
      <c r="I10" s="16783"/>
      <c r="J10" s="16783"/>
      <c r="K10" s="16783"/>
      <c r="L10" s="16783"/>
      <c r="M10" s="16783"/>
      <c r="N10" s="16783"/>
      <c r="O10" s="16783"/>
      <c r="P10" s="16783"/>
      <c r="Q10" s="16783"/>
      <c r="R10" s="16783"/>
      <c r="S10" s="16783"/>
      <c r="T10" s="16783"/>
      <c r="U10" s="16783"/>
      <c r="V10" s="16783"/>
      <c r="W10" s="16783"/>
      <c r="X10" s="7083" t="s">
        <v>8644</v>
      </c>
      <c r="Y10" s="7089"/>
      <c r="Z10" s="7089" t="s">
        <v>10287</v>
      </c>
      <c r="AA10" s="16793"/>
      <c r="AB10" s="16825"/>
      <c r="AC10" s="16823"/>
      <c r="AD10" s="16823"/>
      <c r="AE10" s="16823"/>
      <c r="AF10" s="16823"/>
      <c r="AG10" s="16823"/>
      <c r="AH10" s="16823"/>
      <c r="AI10" s="16823"/>
      <c r="AJ10" s="16823"/>
      <c r="AK10" s="16823"/>
      <c r="AL10" s="16823"/>
      <c r="AM10" s="16823"/>
      <c r="AN10" s="16823"/>
      <c r="AO10" s="16823"/>
      <c r="AP10" s="16823"/>
      <c r="AQ10" s="16823"/>
      <c r="AR10" s="16823"/>
      <c r="AS10" s="16823"/>
      <c r="AT10" s="16823"/>
      <c r="AU10" s="16823"/>
      <c r="AV10" s="16823"/>
      <c r="AW10" s="16823"/>
      <c r="AX10" s="16823"/>
      <c r="AY10" s="16823"/>
      <c r="AZ10" s="16823"/>
      <c r="BA10" s="16823"/>
      <c r="BB10" s="16823"/>
      <c r="BC10" s="16823"/>
      <c r="BD10" s="16823"/>
      <c r="BE10" s="16823"/>
      <c r="BF10" s="16823"/>
      <c r="BG10" s="16823"/>
      <c r="BH10" s="16823"/>
      <c r="BI10" s="16823"/>
      <c r="BJ10" s="16823"/>
      <c r="BK10" s="16823"/>
      <c r="BL10" s="16823"/>
      <c r="BM10" s="16823"/>
      <c r="BN10" s="16823"/>
      <c r="BO10" s="16823"/>
      <c r="BP10" s="16823"/>
      <c r="BQ10" s="16823"/>
      <c r="BR10" s="16823"/>
      <c r="BS10" s="16823"/>
      <c r="BT10" s="6972"/>
      <c r="BU10" s="6972"/>
      <c r="BV10" s="7102"/>
      <c r="BW10" s="7124"/>
    </row>
    <row r="11" spans="1:75" s="7079" customFormat="1" ht="15" customHeight="1">
      <c r="A11" s="14708"/>
      <c r="B11" s="7088" t="s">
        <v>5168</v>
      </c>
      <c r="C11" s="16783"/>
      <c r="D11" s="16785"/>
      <c r="E11" s="16783"/>
      <c r="F11" s="16783"/>
      <c r="G11" s="7088" t="s">
        <v>8237</v>
      </c>
      <c r="H11" s="7088" t="s">
        <v>5169</v>
      </c>
      <c r="I11" s="7088" t="s">
        <v>5170</v>
      </c>
      <c r="J11" s="7088" t="s">
        <v>5171</v>
      </c>
      <c r="K11" s="7088" t="s">
        <v>5172</v>
      </c>
      <c r="L11" s="7088" t="s">
        <v>5173</v>
      </c>
      <c r="M11" s="7088" t="s">
        <v>5174</v>
      </c>
      <c r="N11" s="7088" t="s">
        <v>5175</v>
      </c>
      <c r="O11" s="7088" t="s">
        <v>5176</v>
      </c>
      <c r="P11" s="7088" t="s">
        <v>5177</v>
      </c>
      <c r="Q11" s="7088" t="s">
        <v>5178</v>
      </c>
      <c r="R11" s="7088" t="s">
        <v>5179</v>
      </c>
      <c r="S11" s="7088" t="s">
        <v>5180</v>
      </c>
      <c r="T11" s="7088" t="s">
        <v>5181</v>
      </c>
      <c r="U11" s="7088" t="s">
        <v>5182</v>
      </c>
      <c r="V11" s="7088" t="s">
        <v>5183</v>
      </c>
      <c r="W11" s="7088" t="s">
        <v>5184</v>
      </c>
      <c r="X11" s="7083" t="s">
        <v>86</v>
      </c>
      <c r="Y11" s="7089" t="s">
        <v>5185</v>
      </c>
      <c r="Z11" s="7089"/>
      <c r="AA11" s="7090">
        <f>(24000000)*10</f>
        <v>240000000</v>
      </c>
      <c r="AB11" s="7145"/>
      <c r="AC11" s="7121"/>
      <c r="AD11" s="7121"/>
      <c r="AE11" s="7121"/>
      <c r="AF11" s="7121"/>
      <c r="AG11" s="7121"/>
      <c r="AH11" s="7121"/>
      <c r="AI11" s="7121"/>
      <c r="AJ11" s="7121"/>
      <c r="AK11" s="7121"/>
      <c r="AL11" s="7121"/>
      <c r="AM11" s="7121"/>
      <c r="AN11" s="7121"/>
      <c r="AO11" s="7121"/>
      <c r="AP11" s="7121"/>
      <c r="AQ11" s="7121"/>
      <c r="AR11" s="7121"/>
      <c r="AS11" s="7121"/>
      <c r="AT11" s="7121"/>
      <c r="AU11" s="7121"/>
      <c r="AV11" s="7121"/>
      <c r="AW11" s="7121"/>
      <c r="AX11" s="7121"/>
      <c r="AY11" s="7121"/>
      <c r="AZ11" s="7121"/>
      <c r="BA11" s="7121"/>
      <c r="BB11" s="7121"/>
      <c r="BC11" s="7121"/>
      <c r="BD11" s="7121"/>
      <c r="BE11" s="7121"/>
      <c r="BF11" s="7121"/>
      <c r="BG11" s="7121"/>
      <c r="BH11" s="7121"/>
      <c r="BI11" s="7121"/>
      <c r="BJ11" s="7121"/>
      <c r="BK11" s="7121"/>
      <c r="BL11" s="7121"/>
      <c r="BM11" s="7121"/>
      <c r="BN11" s="7121"/>
      <c r="BO11" s="7121"/>
      <c r="BP11" s="7121"/>
      <c r="BQ11" s="7121"/>
      <c r="BR11" s="7121"/>
      <c r="BS11" s="7121"/>
      <c r="BT11" s="6972"/>
      <c r="BU11" s="6972"/>
      <c r="BV11" s="7102"/>
      <c r="BW11" s="7124"/>
    </row>
    <row r="12" spans="1:75" s="7079" customFormat="1" ht="15" customHeight="1">
      <c r="A12" s="14708"/>
      <c r="B12" s="7089" t="s">
        <v>5186</v>
      </c>
      <c r="C12" s="16783"/>
      <c r="D12" s="16785"/>
      <c r="E12" s="16783"/>
      <c r="F12" s="16783"/>
      <c r="G12" s="7088" t="s">
        <v>8238</v>
      </c>
      <c r="H12" s="7088" t="s">
        <v>5187</v>
      </c>
      <c r="I12" s="7088" t="s">
        <v>5188</v>
      </c>
      <c r="J12" s="7088" t="s">
        <v>5189</v>
      </c>
      <c r="K12" s="7088" t="s">
        <v>5190</v>
      </c>
      <c r="L12" s="7088" t="s">
        <v>5191</v>
      </c>
      <c r="M12" s="7088" t="s">
        <v>5192</v>
      </c>
      <c r="N12" s="7088" t="s">
        <v>5193</v>
      </c>
      <c r="O12" s="7088" t="s">
        <v>5194</v>
      </c>
      <c r="P12" s="7088" t="s">
        <v>5195</v>
      </c>
      <c r="Q12" s="7088" t="s">
        <v>5196</v>
      </c>
      <c r="R12" s="7088" t="s">
        <v>5197</v>
      </c>
      <c r="S12" s="7088" t="s">
        <v>5198</v>
      </c>
      <c r="T12" s="7088" t="s">
        <v>5199</v>
      </c>
      <c r="U12" s="7088" t="s">
        <v>5200</v>
      </c>
      <c r="V12" s="7088" t="s">
        <v>5201</v>
      </c>
      <c r="W12" s="7088" t="s">
        <v>5202</v>
      </c>
      <c r="X12" s="7083" t="s">
        <v>86</v>
      </c>
      <c r="Y12" s="7089" t="s">
        <v>5166</v>
      </c>
      <c r="Z12" s="7131" t="s">
        <v>5166</v>
      </c>
      <c r="AA12" s="7090">
        <f>(50000000)*10</f>
        <v>500000000</v>
      </c>
      <c r="AB12" s="7146"/>
      <c r="AC12" s="7122"/>
      <c r="AD12" s="7122"/>
      <c r="AE12" s="7122"/>
      <c r="AF12" s="7122"/>
      <c r="AG12" s="7122"/>
      <c r="AH12" s="7122"/>
      <c r="AI12" s="7122"/>
      <c r="AJ12" s="7122"/>
      <c r="AK12" s="7122"/>
      <c r="AL12" s="7122"/>
      <c r="AM12" s="7122"/>
      <c r="AN12" s="7122"/>
      <c r="AO12" s="7122"/>
      <c r="AP12" s="7122"/>
      <c r="AQ12" s="7122"/>
      <c r="AR12" s="7122"/>
      <c r="AS12" s="7122"/>
      <c r="AT12" s="7122"/>
      <c r="AU12" s="7122"/>
      <c r="AV12" s="7122"/>
      <c r="AW12" s="7122"/>
      <c r="AX12" s="7122"/>
      <c r="AY12" s="7122"/>
      <c r="AZ12" s="7122"/>
      <c r="BA12" s="7122"/>
      <c r="BB12" s="7122"/>
      <c r="BC12" s="7122"/>
      <c r="BD12" s="7122"/>
      <c r="BE12" s="7122"/>
      <c r="BF12" s="7122"/>
      <c r="BG12" s="7122"/>
      <c r="BH12" s="7122"/>
      <c r="BI12" s="7122"/>
      <c r="BJ12" s="7122"/>
      <c r="BK12" s="7122"/>
      <c r="BL12" s="7122"/>
      <c r="BM12" s="7122"/>
      <c r="BN12" s="7122"/>
      <c r="BO12" s="7122"/>
      <c r="BP12" s="7122"/>
      <c r="BQ12" s="7122"/>
      <c r="BR12" s="7122"/>
      <c r="BS12" s="7122"/>
      <c r="BT12" s="6972"/>
      <c r="BU12" s="6972"/>
      <c r="BV12" s="7102"/>
      <c r="BW12" s="7124"/>
    </row>
    <row r="13" spans="1:75" s="7079" customFormat="1" ht="15" customHeight="1">
      <c r="A13" s="14708"/>
      <c r="B13" s="7089" t="s">
        <v>5203</v>
      </c>
      <c r="C13" s="16783"/>
      <c r="D13" s="16785"/>
      <c r="E13" s="16783"/>
      <c r="F13" s="16783"/>
      <c r="G13" s="7088" t="s">
        <v>8239</v>
      </c>
      <c r="H13" s="7083" t="s">
        <v>5204</v>
      </c>
      <c r="I13" s="7088" t="s">
        <v>5205</v>
      </c>
      <c r="J13" s="7088" t="s">
        <v>5206</v>
      </c>
      <c r="K13" s="7088" t="s">
        <v>5207</v>
      </c>
      <c r="L13" s="7088" t="s">
        <v>5208</v>
      </c>
      <c r="M13" s="7088" t="s">
        <v>5209</v>
      </c>
      <c r="N13" s="7088" t="s">
        <v>5210</v>
      </c>
      <c r="O13" s="7088" t="s">
        <v>5211</v>
      </c>
      <c r="P13" s="7088" t="s">
        <v>5212</v>
      </c>
      <c r="Q13" s="7088" t="s">
        <v>5213</v>
      </c>
      <c r="R13" s="7088" t="s">
        <v>5214</v>
      </c>
      <c r="S13" s="7088" t="s">
        <v>5215</v>
      </c>
      <c r="T13" s="7088" t="s">
        <v>5216</v>
      </c>
      <c r="U13" s="7088" t="s">
        <v>5217</v>
      </c>
      <c r="V13" s="7088" t="s">
        <v>5218</v>
      </c>
      <c r="W13" s="7088" t="s">
        <v>5219</v>
      </c>
      <c r="X13" s="7083" t="s">
        <v>86</v>
      </c>
      <c r="Y13" s="7089" t="s">
        <v>5220</v>
      </c>
      <c r="Z13" s="7131" t="s">
        <v>5166</v>
      </c>
      <c r="AA13" s="7090">
        <f>(24000000)*10</f>
        <v>240000000</v>
      </c>
      <c r="AB13" s="7147"/>
      <c r="AC13" s="6972"/>
      <c r="AD13" s="6972"/>
      <c r="AE13" s="6972"/>
      <c r="AF13" s="6972"/>
      <c r="AG13" s="6972"/>
      <c r="AH13" s="6972"/>
      <c r="AI13" s="6972"/>
      <c r="AJ13" s="6972"/>
      <c r="AK13" s="6972"/>
      <c r="AL13" s="6972"/>
      <c r="AM13" s="6972"/>
      <c r="AN13" s="6972"/>
      <c r="AO13" s="6972"/>
      <c r="AP13" s="6972"/>
      <c r="AQ13" s="6972"/>
      <c r="AR13" s="6972"/>
      <c r="AS13" s="6972"/>
      <c r="AT13" s="6972"/>
      <c r="AU13" s="6972"/>
      <c r="AV13" s="6972"/>
      <c r="AW13" s="6972"/>
      <c r="AX13" s="6972"/>
      <c r="AY13" s="6972"/>
      <c r="AZ13" s="6972"/>
      <c r="BA13" s="6972"/>
      <c r="BB13" s="6972"/>
      <c r="BC13" s="6972"/>
      <c r="BD13" s="6972"/>
      <c r="BE13" s="6972"/>
      <c r="BF13" s="6972"/>
      <c r="BG13" s="6972"/>
      <c r="BH13" s="6972"/>
      <c r="BI13" s="6972"/>
      <c r="BJ13" s="6972"/>
      <c r="BK13" s="6972"/>
      <c r="BL13" s="6972"/>
      <c r="BM13" s="6972"/>
      <c r="BN13" s="6972"/>
      <c r="BO13" s="6972"/>
      <c r="BP13" s="6972"/>
      <c r="BQ13" s="6972"/>
      <c r="BR13" s="6972"/>
      <c r="BS13" s="6972"/>
      <c r="BT13" s="6972"/>
      <c r="BU13" s="6972"/>
      <c r="BV13" s="7102"/>
      <c r="BW13" s="7124"/>
    </row>
    <row r="14" spans="1:75" s="7079" customFormat="1" ht="15" customHeight="1">
      <c r="A14" s="14708"/>
      <c r="B14" s="7089" t="s">
        <v>5221</v>
      </c>
      <c r="C14" s="16783"/>
      <c r="D14" s="16785"/>
      <c r="E14" s="16783"/>
      <c r="F14" s="16783"/>
      <c r="G14" s="7088" t="s">
        <v>8240</v>
      </c>
      <c r="H14" s="7083" t="s">
        <v>5222</v>
      </c>
      <c r="I14" s="7088" t="s">
        <v>5223</v>
      </c>
      <c r="J14" s="7088" t="s">
        <v>5224</v>
      </c>
      <c r="K14" s="7089" t="s">
        <v>5225</v>
      </c>
      <c r="L14" s="7088" t="s">
        <v>5226</v>
      </c>
      <c r="M14" s="7089" t="s">
        <v>5227</v>
      </c>
      <c r="N14" s="7089" t="s">
        <v>5228</v>
      </c>
      <c r="O14" s="7088" t="s">
        <v>5229</v>
      </c>
      <c r="P14" s="7088" t="s">
        <v>5230</v>
      </c>
      <c r="Q14" s="7088" t="s">
        <v>5231</v>
      </c>
      <c r="R14" s="7088" t="s">
        <v>5232</v>
      </c>
      <c r="S14" s="7088" t="s">
        <v>5233</v>
      </c>
      <c r="T14" s="7088" t="s">
        <v>5234</v>
      </c>
      <c r="U14" s="7088" t="s">
        <v>5235</v>
      </c>
      <c r="V14" s="7088" t="s">
        <v>5236</v>
      </c>
      <c r="W14" s="7088" t="s">
        <v>5237</v>
      </c>
      <c r="X14" s="7083" t="s">
        <v>86</v>
      </c>
      <c r="Y14" s="7089" t="s">
        <v>5220</v>
      </c>
      <c r="Z14" s="7131" t="s">
        <v>5166</v>
      </c>
      <c r="AA14" s="7090">
        <f>(40000000)*10</f>
        <v>400000000</v>
      </c>
      <c r="AB14" s="7147"/>
      <c r="AC14" s="6972"/>
      <c r="AD14" s="6972"/>
      <c r="AE14" s="6972"/>
      <c r="AF14" s="6972"/>
      <c r="AG14" s="6972"/>
      <c r="AH14" s="6972"/>
      <c r="AI14" s="6972"/>
      <c r="AJ14" s="6972"/>
      <c r="AK14" s="6972"/>
      <c r="AL14" s="6972"/>
      <c r="AM14" s="6972"/>
      <c r="AN14" s="6972"/>
      <c r="AO14" s="6972"/>
      <c r="AP14" s="6972"/>
      <c r="AQ14" s="6972"/>
      <c r="AR14" s="6972"/>
      <c r="AS14" s="6972"/>
      <c r="AT14" s="6972"/>
      <c r="AU14" s="6972"/>
      <c r="AV14" s="6972"/>
      <c r="AW14" s="6972"/>
      <c r="AX14" s="6972"/>
      <c r="AY14" s="6972"/>
      <c r="AZ14" s="6972"/>
      <c r="BA14" s="6972"/>
      <c r="BB14" s="6972"/>
      <c r="BC14" s="6972"/>
      <c r="BD14" s="6972"/>
      <c r="BE14" s="6972"/>
      <c r="BF14" s="6972"/>
      <c r="BG14" s="6972"/>
      <c r="BH14" s="6972"/>
      <c r="BI14" s="6972"/>
      <c r="BJ14" s="6972"/>
      <c r="BK14" s="6972"/>
      <c r="BL14" s="6972"/>
      <c r="BM14" s="6972"/>
      <c r="BN14" s="6972"/>
      <c r="BO14" s="6972"/>
      <c r="BP14" s="6972"/>
      <c r="BQ14" s="6972"/>
      <c r="BR14" s="6972"/>
      <c r="BS14" s="6972"/>
      <c r="BT14" s="6972"/>
      <c r="BU14" s="6972"/>
      <c r="BV14" s="7102"/>
      <c r="BW14" s="7124"/>
    </row>
    <row r="15" spans="1:75" s="7079" customFormat="1" ht="15" customHeight="1">
      <c r="A15" s="14708"/>
      <c r="B15" s="7089" t="s">
        <v>5238</v>
      </c>
      <c r="C15" s="16783"/>
      <c r="D15" s="16785"/>
      <c r="E15" s="16783"/>
      <c r="F15" s="16783"/>
      <c r="G15" s="16783" t="s">
        <v>8241</v>
      </c>
      <c r="H15" s="16783" t="s">
        <v>5239</v>
      </c>
      <c r="I15" s="16783" t="s">
        <v>5240</v>
      </c>
      <c r="J15" s="16783" t="s">
        <v>5241</v>
      </c>
      <c r="K15" s="16783"/>
      <c r="L15" s="16783" t="s">
        <v>5242</v>
      </c>
      <c r="M15" s="16783"/>
      <c r="N15" s="16783" t="s">
        <v>5243</v>
      </c>
      <c r="O15" s="16783"/>
      <c r="P15" s="16783" t="s">
        <v>5244</v>
      </c>
      <c r="Q15" s="16783"/>
      <c r="R15" s="16783" t="s">
        <v>5245</v>
      </c>
      <c r="S15" s="16783"/>
      <c r="T15" s="16783" t="s">
        <v>5246</v>
      </c>
      <c r="U15" s="16783" t="s">
        <v>5247</v>
      </c>
      <c r="V15" s="16783" t="s">
        <v>5248</v>
      </c>
      <c r="W15" s="16783" t="s">
        <v>5249</v>
      </c>
      <c r="X15" s="7083" t="s">
        <v>86</v>
      </c>
      <c r="Y15" s="7089" t="s">
        <v>5220</v>
      </c>
      <c r="Z15" s="6972"/>
      <c r="AA15" s="16793">
        <f>(4000000)*10</f>
        <v>40000000</v>
      </c>
      <c r="AB15" s="16826"/>
      <c r="AC15" s="14707"/>
      <c r="AD15" s="14707"/>
      <c r="AE15" s="14707"/>
      <c r="AF15" s="14707"/>
      <c r="AG15" s="14707"/>
      <c r="AH15" s="14707"/>
      <c r="AI15" s="14707"/>
      <c r="AJ15" s="14707"/>
      <c r="AK15" s="14707"/>
      <c r="AL15" s="14707"/>
      <c r="AM15" s="14707"/>
      <c r="AN15" s="14707"/>
      <c r="AO15" s="14707"/>
      <c r="AP15" s="14707"/>
      <c r="AQ15" s="14707"/>
      <c r="AR15" s="14707"/>
      <c r="AS15" s="14707"/>
      <c r="AT15" s="14707"/>
      <c r="AU15" s="14707"/>
      <c r="AV15" s="14707"/>
      <c r="AW15" s="14707"/>
      <c r="AX15" s="14707"/>
      <c r="AY15" s="14707"/>
      <c r="AZ15" s="14707"/>
      <c r="BA15" s="14707"/>
      <c r="BB15" s="14707"/>
      <c r="BC15" s="14707"/>
      <c r="BD15" s="14707"/>
      <c r="BE15" s="14707"/>
      <c r="BF15" s="14707"/>
      <c r="BG15" s="14707"/>
      <c r="BH15" s="14707"/>
      <c r="BI15" s="14707"/>
      <c r="BJ15" s="14707"/>
      <c r="BK15" s="14707"/>
      <c r="BL15" s="14707"/>
      <c r="BM15" s="14707"/>
      <c r="BN15" s="14707"/>
      <c r="BO15" s="14707"/>
      <c r="BP15" s="14707"/>
      <c r="BQ15" s="14707"/>
      <c r="BR15" s="14707"/>
      <c r="BS15" s="14707"/>
      <c r="BT15" s="6972"/>
      <c r="BU15" s="6972"/>
      <c r="BV15" s="7102"/>
      <c r="BW15" s="7124"/>
    </row>
    <row r="16" spans="1:75" s="7079" customFormat="1" ht="15" customHeight="1">
      <c r="A16" s="14708"/>
      <c r="B16" s="7089" t="s">
        <v>5251</v>
      </c>
      <c r="C16" s="16783"/>
      <c r="D16" s="16785"/>
      <c r="E16" s="16783"/>
      <c r="F16" s="16783"/>
      <c r="G16" s="16783"/>
      <c r="H16" s="16783"/>
      <c r="I16" s="16783"/>
      <c r="J16" s="16783"/>
      <c r="K16" s="16783"/>
      <c r="L16" s="16783"/>
      <c r="M16" s="16783"/>
      <c r="N16" s="16783"/>
      <c r="O16" s="16783"/>
      <c r="P16" s="16783"/>
      <c r="Q16" s="16783"/>
      <c r="R16" s="16783"/>
      <c r="S16" s="16783"/>
      <c r="T16" s="16783"/>
      <c r="U16" s="16783"/>
      <c r="V16" s="16783"/>
      <c r="W16" s="16783"/>
      <c r="X16" s="7083" t="s">
        <v>10194</v>
      </c>
      <c r="Y16" s="7089"/>
      <c r="Z16" s="7089" t="s">
        <v>5250</v>
      </c>
      <c r="AA16" s="16793"/>
      <c r="AB16" s="16826"/>
      <c r="AC16" s="14707"/>
      <c r="AD16" s="14707"/>
      <c r="AE16" s="14707"/>
      <c r="AF16" s="14707"/>
      <c r="AG16" s="14707"/>
      <c r="AH16" s="14707"/>
      <c r="AI16" s="14707"/>
      <c r="AJ16" s="14707"/>
      <c r="AK16" s="14707"/>
      <c r="AL16" s="14707"/>
      <c r="AM16" s="14707"/>
      <c r="AN16" s="14707"/>
      <c r="AO16" s="14707"/>
      <c r="AP16" s="14707"/>
      <c r="AQ16" s="14707"/>
      <c r="AR16" s="14707"/>
      <c r="AS16" s="14707"/>
      <c r="AT16" s="14707"/>
      <c r="AU16" s="14707"/>
      <c r="AV16" s="14707"/>
      <c r="AW16" s="14707"/>
      <c r="AX16" s="14707"/>
      <c r="AY16" s="14707"/>
      <c r="AZ16" s="14707"/>
      <c r="BA16" s="14707"/>
      <c r="BB16" s="14707"/>
      <c r="BC16" s="14707"/>
      <c r="BD16" s="14707"/>
      <c r="BE16" s="14707"/>
      <c r="BF16" s="14707"/>
      <c r="BG16" s="14707"/>
      <c r="BH16" s="14707"/>
      <c r="BI16" s="14707"/>
      <c r="BJ16" s="14707"/>
      <c r="BK16" s="14707"/>
      <c r="BL16" s="14707"/>
      <c r="BM16" s="14707"/>
      <c r="BN16" s="14707"/>
      <c r="BO16" s="14707"/>
      <c r="BP16" s="14707"/>
      <c r="BQ16" s="14707"/>
      <c r="BR16" s="14707"/>
      <c r="BS16" s="14707"/>
      <c r="BT16" s="6972"/>
      <c r="BU16" s="6972"/>
      <c r="BV16" s="7102"/>
      <c r="BW16" s="7124"/>
    </row>
    <row r="17" spans="1:75" s="7079" customFormat="1" ht="15" customHeight="1">
      <c r="A17" s="14708"/>
      <c r="B17" s="7089" t="s">
        <v>5252</v>
      </c>
      <c r="C17" s="16783" t="s">
        <v>5253</v>
      </c>
      <c r="D17" s="16783" t="s">
        <v>5254</v>
      </c>
      <c r="E17" s="16783" t="s">
        <v>5255</v>
      </c>
      <c r="F17" s="16783" t="s">
        <v>5256</v>
      </c>
      <c r="G17" s="16783" t="s">
        <v>8242</v>
      </c>
      <c r="H17" s="16785" t="s">
        <v>5257</v>
      </c>
      <c r="I17" s="16783" t="s">
        <v>5258</v>
      </c>
      <c r="J17" s="16783" t="s">
        <v>5259</v>
      </c>
      <c r="K17" s="7088"/>
      <c r="L17" s="7088"/>
      <c r="M17" s="7088"/>
      <c r="N17" s="7088"/>
      <c r="O17" s="7088"/>
      <c r="P17" s="7088"/>
      <c r="Q17" s="7088"/>
      <c r="R17" s="7088"/>
      <c r="S17" s="7088"/>
      <c r="T17" s="16783" t="s">
        <v>5260</v>
      </c>
      <c r="U17" s="16783" t="s">
        <v>5261</v>
      </c>
      <c r="V17" s="16783" t="s">
        <v>5262</v>
      </c>
      <c r="W17" s="16783" t="s">
        <v>5263</v>
      </c>
      <c r="X17" s="7083" t="s">
        <v>10063</v>
      </c>
      <c r="Y17" s="7089" t="s">
        <v>144</v>
      </c>
      <c r="Z17" s="6972"/>
      <c r="AA17" s="16793">
        <f>(((2524000*12)*3)/2)*10</f>
        <v>454320000</v>
      </c>
      <c r="AB17" s="16826"/>
      <c r="AC17" s="14707"/>
      <c r="AD17" s="14707"/>
      <c r="AE17" s="14707"/>
      <c r="AF17" s="14707"/>
      <c r="AG17" s="14707"/>
      <c r="AH17" s="14707"/>
      <c r="AI17" s="14707"/>
      <c r="AJ17" s="14707"/>
      <c r="AK17" s="14707"/>
      <c r="AL17" s="14707"/>
      <c r="AM17" s="14707"/>
      <c r="AN17" s="14707"/>
      <c r="AO17" s="14707"/>
      <c r="AP17" s="14707"/>
      <c r="AQ17" s="14707"/>
      <c r="AR17" s="14707"/>
      <c r="AS17" s="14707"/>
      <c r="AT17" s="14707"/>
      <c r="AU17" s="14707"/>
      <c r="AV17" s="14707"/>
      <c r="AW17" s="14707"/>
      <c r="AX17" s="14707"/>
      <c r="AY17" s="14707"/>
      <c r="AZ17" s="14707"/>
      <c r="BA17" s="14707"/>
      <c r="BB17" s="14707"/>
      <c r="BC17" s="14707"/>
      <c r="BD17" s="14707"/>
      <c r="BE17" s="14707"/>
      <c r="BF17" s="14707"/>
      <c r="BG17" s="14707"/>
      <c r="BH17" s="14707"/>
      <c r="BI17" s="14707"/>
      <c r="BJ17" s="14707"/>
      <c r="BK17" s="14707"/>
      <c r="BL17" s="14707"/>
      <c r="BM17" s="14707"/>
      <c r="BN17" s="14707"/>
      <c r="BO17" s="14707"/>
      <c r="BP17" s="14707"/>
      <c r="BQ17" s="14707"/>
      <c r="BR17" s="14707"/>
      <c r="BS17" s="14707"/>
      <c r="BT17" s="6972"/>
      <c r="BU17" s="6972"/>
      <c r="BV17" s="7102"/>
      <c r="BW17" s="7124"/>
    </row>
    <row r="18" spans="1:75" s="7079" customFormat="1" ht="15" customHeight="1">
      <c r="A18" s="14708"/>
      <c r="B18" s="7089" t="s">
        <v>5264</v>
      </c>
      <c r="C18" s="16783"/>
      <c r="D18" s="16783"/>
      <c r="E18" s="16783"/>
      <c r="F18" s="16783"/>
      <c r="G18" s="16783"/>
      <c r="H18" s="16785"/>
      <c r="I18" s="16783"/>
      <c r="J18" s="16783"/>
      <c r="K18" s="7088"/>
      <c r="L18" s="7088"/>
      <c r="M18" s="7088"/>
      <c r="N18" s="7088"/>
      <c r="O18" s="7088"/>
      <c r="P18" s="7088"/>
      <c r="Q18" s="7088"/>
      <c r="R18" s="7088"/>
      <c r="S18" s="7088"/>
      <c r="T18" s="16783"/>
      <c r="U18" s="16783"/>
      <c r="V18" s="16783"/>
      <c r="W18" s="16783"/>
      <c r="X18" s="7083" t="s">
        <v>208</v>
      </c>
      <c r="Y18" s="7089"/>
      <c r="Z18" s="7089" t="s">
        <v>208</v>
      </c>
      <c r="AA18" s="16793"/>
      <c r="AB18" s="16826"/>
      <c r="AC18" s="14707"/>
      <c r="AD18" s="14707"/>
      <c r="AE18" s="14707"/>
      <c r="AF18" s="14707"/>
      <c r="AG18" s="14707"/>
      <c r="AH18" s="14707"/>
      <c r="AI18" s="14707"/>
      <c r="AJ18" s="14707"/>
      <c r="AK18" s="14707"/>
      <c r="AL18" s="14707"/>
      <c r="AM18" s="14707"/>
      <c r="AN18" s="14707"/>
      <c r="AO18" s="14707"/>
      <c r="AP18" s="14707"/>
      <c r="AQ18" s="14707"/>
      <c r="AR18" s="14707"/>
      <c r="AS18" s="14707"/>
      <c r="AT18" s="14707"/>
      <c r="AU18" s="14707"/>
      <c r="AV18" s="14707"/>
      <c r="AW18" s="14707"/>
      <c r="AX18" s="14707"/>
      <c r="AY18" s="14707"/>
      <c r="AZ18" s="14707"/>
      <c r="BA18" s="14707"/>
      <c r="BB18" s="14707"/>
      <c r="BC18" s="14707"/>
      <c r="BD18" s="14707"/>
      <c r="BE18" s="14707"/>
      <c r="BF18" s="14707"/>
      <c r="BG18" s="14707"/>
      <c r="BH18" s="14707"/>
      <c r="BI18" s="14707"/>
      <c r="BJ18" s="14707"/>
      <c r="BK18" s="14707"/>
      <c r="BL18" s="14707"/>
      <c r="BM18" s="14707"/>
      <c r="BN18" s="14707"/>
      <c r="BO18" s="14707"/>
      <c r="BP18" s="14707"/>
      <c r="BQ18" s="14707"/>
      <c r="BR18" s="14707"/>
      <c r="BS18" s="14707"/>
      <c r="BT18" s="6972"/>
      <c r="BU18" s="6972"/>
      <c r="BV18" s="7102"/>
      <c r="BW18" s="7124"/>
    </row>
    <row r="19" spans="1:75" s="7079" customFormat="1" ht="15" customHeight="1">
      <c r="A19" s="14708"/>
      <c r="B19" s="7089" t="s">
        <v>5265</v>
      </c>
      <c r="C19" s="16783"/>
      <c r="D19" s="16783"/>
      <c r="E19" s="16783"/>
      <c r="F19" s="16783"/>
      <c r="G19" s="16783"/>
      <c r="H19" s="16785"/>
      <c r="I19" s="16783"/>
      <c r="J19" s="16783"/>
      <c r="K19" s="7088"/>
      <c r="L19" s="7088"/>
      <c r="M19" s="7088"/>
      <c r="N19" s="7088"/>
      <c r="O19" s="7088"/>
      <c r="P19" s="7088"/>
      <c r="Q19" s="7088"/>
      <c r="R19" s="7088"/>
      <c r="S19" s="7088"/>
      <c r="T19" s="16783"/>
      <c r="U19" s="16783"/>
      <c r="V19" s="16783"/>
      <c r="W19" s="16783"/>
      <c r="X19" s="7083" t="s">
        <v>8644</v>
      </c>
      <c r="Y19" s="7089"/>
      <c r="Z19" s="7089" t="s">
        <v>10288</v>
      </c>
      <c r="AA19" s="16793"/>
      <c r="AB19" s="16826"/>
      <c r="AC19" s="14707"/>
      <c r="AD19" s="14707"/>
      <c r="AE19" s="14707"/>
      <c r="AF19" s="14707"/>
      <c r="AG19" s="14707"/>
      <c r="AH19" s="14707"/>
      <c r="AI19" s="14707"/>
      <c r="AJ19" s="14707"/>
      <c r="AK19" s="14707"/>
      <c r="AL19" s="14707"/>
      <c r="AM19" s="14707"/>
      <c r="AN19" s="14707"/>
      <c r="AO19" s="14707"/>
      <c r="AP19" s="14707"/>
      <c r="AQ19" s="14707"/>
      <c r="AR19" s="14707"/>
      <c r="AS19" s="14707"/>
      <c r="AT19" s="14707"/>
      <c r="AU19" s="14707"/>
      <c r="AV19" s="14707"/>
      <c r="AW19" s="14707"/>
      <c r="AX19" s="14707"/>
      <c r="AY19" s="14707"/>
      <c r="AZ19" s="14707"/>
      <c r="BA19" s="14707"/>
      <c r="BB19" s="14707"/>
      <c r="BC19" s="14707"/>
      <c r="BD19" s="14707"/>
      <c r="BE19" s="14707"/>
      <c r="BF19" s="14707"/>
      <c r="BG19" s="14707"/>
      <c r="BH19" s="14707"/>
      <c r="BI19" s="14707"/>
      <c r="BJ19" s="14707"/>
      <c r="BK19" s="14707"/>
      <c r="BL19" s="14707"/>
      <c r="BM19" s="14707"/>
      <c r="BN19" s="14707"/>
      <c r="BO19" s="14707"/>
      <c r="BP19" s="14707"/>
      <c r="BQ19" s="14707"/>
      <c r="BR19" s="14707"/>
      <c r="BS19" s="14707"/>
      <c r="BT19" s="6972"/>
      <c r="BU19" s="6972"/>
      <c r="BV19" s="7102"/>
      <c r="BW19" s="7124"/>
    </row>
    <row r="20" spans="1:75" s="7079" customFormat="1" ht="15" customHeight="1">
      <c r="A20" s="14708"/>
      <c r="B20" s="7083" t="s">
        <v>5266</v>
      </c>
      <c r="C20" s="16783"/>
      <c r="D20" s="16783"/>
      <c r="E20" s="16783"/>
      <c r="F20" s="16783"/>
      <c r="G20" s="16783"/>
      <c r="H20" s="16785"/>
      <c r="I20" s="16783"/>
      <c r="J20" s="16783"/>
      <c r="K20" s="7088"/>
      <c r="L20" s="7088"/>
      <c r="M20" s="7088"/>
      <c r="N20" s="7088"/>
      <c r="O20" s="7088"/>
      <c r="P20" s="7088"/>
      <c r="Q20" s="7088"/>
      <c r="R20" s="7088"/>
      <c r="S20" s="7088"/>
      <c r="T20" s="16783"/>
      <c r="U20" s="16783"/>
      <c r="V20" s="16783"/>
      <c r="W20" s="16783"/>
      <c r="X20" s="7083" t="s">
        <v>10186</v>
      </c>
      <c r="Y20" s="7089"/>
      <c r="Z20" s="7089" t="s">
        <v>10289</v>
      </c>
      <c r="AA20" s="16793"/>
      <c r="AB20" s="16826"/>
      <c r="AC20" s="14707"/>
      <c r="AD20" s="14707"/>
      <c r="AE20" s="14707"/>
      <c r="AF20" s="14707"/>
      <c r="AG20" s="14707"/>
      <c r="AH20" s="14707"/>
      <c r="AI20" s="14707"/>
      <c r="AJ20" s="14707"/>
      <c r="AK20" s="14707"/>
      <c r="AL20" s="14707"/>
      <c r="AM20" s="14707"/>
      <c r="AN20" s="14707"/>
      <c r="AO20" s="14707"/>
      <c r="AP20" s="14707"/>
      <c r="AQ20" s="14707"/>
      <c r="AR20" s="14707"/>
      <c r="AS20" s="14707"/>
      <c r="AT20" s="14707"/>
      <c r="AU20" s="14707"/>
      <c r="AV20" s="14707"/>
      <c r="AW20" s="14707"/>
      <c r="AX20" s="14707"/>
      <c r="AY20" s="14707"/>
      <c r="AZ20" s="14707"/>
      <c r="BA20" s="14707"/>
      <c r="BB20" s="14707"/>
      <c r="BC20" s="14707"/>
      <c r="BD20" s="14707"/>
      <c r="BE20" s="14707"/>
      <c r="BF20" s="14707"/>
      <c r="BG20" s="14707"/>
      <c r="BH20" s="14707"/>
      <c r="BI20" s="14707"/>
      <c r="BJ20" s="14707"/>
      <c r="BK20" s="14707"/>
      <c r="BL20" s="14707"/>
      <c r="BM20" s="14707"/>
      <c r="BN20" s="14707"/>
      <c r="BO20" s="14707"/>
      <c r="BP20" s="14707"/>
      <c r="BQ20" s="14707"/>
      <c r="BR20" s="14707"/>
      <c r="BS20" s="14707"/>
      <c r="BT20" s="6972"/>
      <c r="BU20" s="6972"/>
      <c r="BV20" s="7102"/>
      <c r="BW20" s="7124"/>
    </row>
    <row r="21" spans="1:75" s="7079" customFormat="1" ht="15" customHeight="1">
      <c r="A21" s="14708"/>
      <c r="B21" s="7089" t="s">
        <v>5267</v>
      </c>
      <c r="C21" s="16783"/>
      <c r="D21" s="16783"/>
      <c r="E21" s="16783"/>
      <c r="F21" s="16783"/>
      <c r="G21" s="16783" t="s">
        <v>8243</v>
      </c>
      <c r="H21" s="16785" t="s">
        <v>5268</v>
      </c>
      <c r="I21" s="16783" t="s">
        <v>5269</v>
      </c>
      <c r="J21" s="16783" t="s">
        <v>5270</v>
      </c>
      <c r="K21" s="16783" t="s">
        <v>5271</v>
      </c>
      <c r="L21" s="16783" t="s">
        <v>5272</v>
      </c>
      <c r="M21" s="16783" t="s">
        <v>5273</v>
      </c>
      <c r="N21" s="16783" t="s">
        <v>5274</v>
      </c>
      <c r="O21" s="7088" t="s">
        <v>5275</v>
      </c>
      <c r="P21" s="7088" t="s">
        <v>5276</v>
      </c>
      <c r="Q21" s="7088" t="s">
        <v>5277</v>
      </c>
      <c r="R21" s="7088" t="s">
        <v>5278</v>
      </c>
      <c r="S21" s="7088" t="s">
        <v>5279</v>
      </c>
      <c r="T21" s="16783" t="s">
        <v>5280</v>
      </c>
      <c r="U21" s="16783" t="s">
        <v>5281</v>
      </c>
      <c r="V21" s="16783" t="s">
        <v>5282</v>
      </c>
      <c r="W21" s="16783" t="s">
        <v>5283</v>
      </c>
      <c r="X21" s="7083" t="s">
        <v>10290</v>
      </c>
      <c r="Y21" s="16783" t="s">
        <v>5284</v>
      </c>
      <c r="Z21" s="16794" t="s">
        <v>5285</v>
      </c>
      <c r="AA21" s="16793">
        <f>3000000*10</f>
        <v>30000000</v>
      </c>
      <c r="AB21" s="16826"/>
      <c r="AC21" s="14707"/>
      <c r="AD21" s="14707"/>
      <c r="AE21" s="14707"/>
      <c r="AF21" s="14707"/>
      <c r="AG21" s="14707"/>
      <c r="AH21" s="14707"/>
      <c r="AI21" s="14707"/>
      <c r="AJ21" s="14707"/>
      <c r="AK21" s="14707"/>
      <c r="AL21" s="14707"/>
      <c r="AM21" s="14707"/>
      <c r="AN21" s="14707"/>
      <c r="AO21" s="14707"/>
      <c r="AP21" s="14707"/>
      <c r="AQ21" s="14707"/>
      <c r="AR21" s="14707"/>
      <c r="AS21" s="14707"/>
      <c r="AT21" s="14707"/>
      <c r="AU21" s="14707"/>
      <c r="AV21" s="14707"/>
      <c r="AW21" s="14707"/>
      <c r="AX21" s="14707"/>
      <c r="AY21" s="14707"/>
      <c r="AZ21" s="14707"/>
      <c r="BA21" s="14707"/>
      <c r="BB21" s="14707"/>
      <c r="BC21" s="14707"/>
      <c r="BD21" s="14707"/>
      <c r="BE21" s="14707"/>
      <c r="BF21" s="14707"/>
      <c r="BG21" s="14707"/>
      <c r="BH21" s="14707"/>
      <c r="BI21" s="14707"/>
      <c r="BJ21" s="14707"/>
      <c r="BK21" s="14707"/>
      <c r="BL21" s="14707"/>
      <c r="BM21" s="14707"/>
      <c r="BN21" s="14707"/>
      <c r="BO21" s="14707"/>
      <c r="BP21" s="14707"/>
      <c r="BQ21" s="14707"/>
      <c r="BR21" s="14707"/>
      <c r="BS21" s="14707"/>
      <c r="BT21" s="6972"/>
      <c r="BU21" s="6972"/>
      <c r="BV21" s="7102"/>
      <c r="BW21" s="7124"/>
    </row>
    <row r="22" spans="1:75" s="7079" customFormat="1" ht="15" customHeight="1">
      <c r="A22" s="14708"/>
      <c r="B22" s="7089" t="s">
        <v>5286</v>
      </c>
      <c r="C22" s="16783"/>
      <c r="D22" s="16783"/>
      <c r="E22" s="16783"/>
      <c r="F22" s="16783"/>
      <c r="G22" s="16783"/>
      <c r="H22" s="16785"/>
      <c r="I22" s="16783"/>
      <c r="J22" s="16783"/>
      <c r="K22" s="16783"/>
      <c r="L22" s="16783"/>
      <c r="M22" s="16783"/>
      <c r="N22" s="16783"/>
      <c r="O22" s="7088"/>
      <c r="P22" s="7088"/>
      <c r="Q22" s="7088"/>
      <c r="R22" s="7088"/>
      <c r="S22" s="7088"/>
      <c r="T22" s="16783"/>
      <c r="U22" s="16783"/>
      <c r="V22" s="16783"/>
      <c r="W22" s="16783"/>
      <c r="X22" s="7083" t="s">
        <v>10063</v>
      </c>
      <c r="Y22" s="16783"/>
      <c r="Z22" s="16794"/>
      <c r="AA22" s="16793"/>
      <c r="AB22" s="16826"/>
      <c r="AC22" s="14707"/>
      <c r="AD22" s="14707"/>
      <c r="AE22" s="14707"/>
      <c r="AF22" s="14707"/>
      <c r="AG22" s="14707"/>
      <c r="AH22" s="14707"/>
      <c r="AI22" s="14707"/>
      <c r="AJ22" s="14707"/>
      <c r="AK22" s="14707"/>
      <c r="AL22" s="14707"/>
      <c r="AM22" s="14707"/>
      <c r="AN22" s="14707"/>
      <c r="AO22" s="14707"/>
      <c r="AP22" s="14707"/>
      <c r="AQ22" s="14707"/>
      <c r="AR22" s="14707"/>
      <c r="AS22" s="14707"/>
      <c r="AT22" s="14707"/>
      <c r="AU22" s="14707"/>
      <c r="AV22" s="14707"/>
      <c r="AW22" s="14707"/>
      <c r="AX22" s="14707"/>
      <c r="AY22" s="14707"/>
      <c r="AZ22" s="14707"/>
      <c r="BA22" s="14707"/>
      <c r="BB22" s="14707"/>
      <c r="BC22" s="14707"/>
      <c r="BD22" s="14707"/>
      <c r="BE22" s="14707"/>
      <c r="BF22" s="14707"/>
      <c r="BG22" s="14707"/>
      <c r="BH22" s="14707"/>
      <c r="BI22" s="14707"/>
      <c r="BJ22" s="14707"/>
      <c r="BK22" s="14707"/>
      <c r="BL22" s="14707"/>
      <c r="BM22" s="14707"/>
      <c r="BN22" s="14707"/>
      <c r="BO22" s="14707"/>
      <c r="BP22" s="14707"/>
      <c r="BQ22" s="14707"/>
      <c r="BR22" s="14707"/>
      <c r="BS22" s="14707"/>
      <c r="BT22" s="6972"/>
      <c r="BU22" s="6972"/>
      <c r="BV22" s="7102"/>
      <c r="BW22" s="7124"/>
    </row>
    <row r="23" spans="1:75" s="7079" customFormat="1" ht="15" customHeight="1">
      <c r="A23" s="14708"/>
      <c r="B23" s="7089" t="s">
        <v>5287</v>
      </c>
      <c r="C23" s="16783"/>
      <c r="D23" s="16783"/>
      <c r="E23" s="16783"/>
      <c r="F23" s="16783"/>
      <c r="G23" s="7088" t="s">
        <v>8244</v>
      </c>
      <c r="H23" s="7083" t="s">
        <v>5288</v>
      </c>
      <c r="I23" s="7083" t="s">
        <v>5289</v>
      </c>
      <c r="J23" s="7083" t="s">
        <v>5290</v>
      </c>
      <c r="K23" s="7083"/>
      <c r="L23" s="7088"/>
      <c r="M23" s="7083"/>
      <c r="N23" s="7083"/>
      <c r="O23" s="7083"/>
      <c r="P23" s="7083"/>
      <c r="Q23" s="7083"/>
      <c r="R23" s="7083"/>
      <c r="S23" s="7083"/>
      <c r="T23" s="7083" t="s">
        <v>5291</v>
      </c>
      <c r="U23" s="7083" t="s">
        <v>5292</v>
      </c>
      <c r="V23" s="7083" t="s">
        <v>5293</v>
      </c>
      <c r="W23" s="7083" t="s">
        <v>5294</v>
      </c>
      <c r="X23" s="7083" t="s">
        <v>10063</v>
      </c>
      <c r="Y23" s="7088" t="s">
        <v>144</v>
      </c>
      <c r="Z23" s="7088" t="s">
        <v>545</v>
      </c>
      <c r="AA23" s="7090">
        <f>10000000*10</f>
        <v>100000000</v>
      </c>
      <c r="AB23" s="7147"/>
      <c r="AC23" s="6972"/>
      <c r="AD23" s="6972"/>
      <c r="AE23" s="6972"/>
      <c r="AF23" s="6972"/>
      <c r="AG23" s="6972"/>
      <c r="AH23" s="6972"/>
      <c r="AI23" s="6972"/>
      <c r="AJ23" s="6972"/>
      <c r="AK23" s="6972"/>
      <c r="AL23" s="6972"/>
      <c r="AM23" s="6972"/>
      <c r="AN23" s="6972"/>
      <c r="AO23" s="6972"/>
      <c r="AP23" s="6972"/>
      <c r="AQ23" s="6972"/>
      <c r="AR23" s="6972"/>
      <c r="AS23" s="6972"/>
      <c r="AT23" s="6972"/>
      <c r="AU23" s="6972"/>
      <c r="AV23" s="6972"/>
      <c r="AW23" s="6972"/>
      <c r="AX23" s="6972"/>
      <c r="AY23" s="6972"/>
      <c r="AZ23" s="6972"/>
      <c r="BA23" s="6972"/>
      <c r="BB23" s="6972"/>
      <c r="BC23" s="6972"/>
      <c r="BD23" s="6972"/>
      <c r="BE23" s="6972"/>
      <c r="BF23" s="6972"/>
      <c r="BG23" s="6972"/>
      <c r="BH23" s="6972"/>
      <c r="BI23" s="6972"/>
      <c r="BJ23" s="6972"/>
      <c r="BK23" s="6972"/>
      <c r="BL23" s="6972"/>
      <c r="BM23" s="6972"/>
      <c r="BN23" s="6972"/>
      <c r="BO23" s="6972"/>
      <c r="BP23" s="6972"/>
      <c r="BQ23" s="6972"/>
      <c r="BR23" s="6972"/>
      <c r="BS23" s="6972"/>
      <c r="BT23" s="6972"/>
      <c r="BU23" s="6972"/>
      <c r="BV23" s="7102"/>
      <c r="BW23" s="7124"/>
    </row>
    <row r="24" spans="1:75" s="7079" customFormat="1" ht="15" customHeight="1">
      <c r="A24" s="14708"/>
      <c r="B24" s="7089" t="s">
        <v>5295</v>
      </c>
      <c r="C24" s="16783"/>
      <c r="D24" s="16783"/>
      <c r="E24" s="16783"/>
      <c r="F24" s="16783"/>
      <c r="G24" s="16783" t="s">
        <v>8245</v>
      </c>
      <c r="H24" s="16785" t="s">
        <v>5296</v>
      </c>
      <c r="I24" s="16783" t="s">
        <v>5297</v>
      </c>
      <c r="J24" s="16783" t="s">
        <v>5298</v>
      </c>
      <c r="K24" s="7088"/>
      <c r="L24" s="7088"/>
      <c r="M24" s="7088"/>
      <c r="N24" s="7088"/>
      <c r="O24" s="7088"/>
      <c r="P24" s="7088"/>
      <c r="Q24" s="7088"/>
      <c r="R24" s="7088"/>
      <c r="S24" s="7088"/>
      <c r="T24" s="16783" t="s">
        <v>5299</v>
      </c>
      <c r="U24" s="16783" t="s">
        <v>5300</v>
      </c>
      <c r="V24" s="16783" t="s">
        <v>5301</v>
      </c>
      <c r="W24" s="16783" t="s">
        <v>5300</v>
      </c>
      <c r="X24" s="7083" t="s">
        <v>10063</v>
      </c>
      <c r="Y24" s="7089" t="s">
        <v>724</v>
      </c>
      <c r="Z24" s="6972"/>
      <c r="AA24" s="16793">
        <f>((1664000*12)*10)/2</f>
        <v>99840000</v>
      </c>
      <c r="AB24" s="16826"/>
      <c r="AC24" s="14707"/>
      <c r="AD24" s="14707"/>
      <c r="AE24" s="14707"/>
      <c r="AF24" s="14707"/>
      <c r="AG24" s="14707"/>
      <c r="AH24" s="14707"/>
      <c r="AI24" s="14707"/>
      <c r="AJ24" s="14707"/>
      <c r="AK24" s="14707"/>
      <c r="AL24" s="14707"/>
      <c r="AM24" s="14707"/>
      <c r="AN24" s="14707"/>
      <c r="AO24" s="14707"/>
      <c r="AP24" s="14707"/>
      <c r="AQ24" s="14707"/>
      <c r="AR24" s="14707"/>
      <c r="AS24" s="14707"/>
      <c r="AT24" s="14707"/>
      <c r="AU24" s="14707"/>
      <c r="AV24" s="14707"/>
      <c r="AW24" s="14707"/>
      <c r="AX24" s="14707"/>
      <c r="AY24" s="14707"/>
      <c r="AZ24" s="14707"/>
      <c r="BA24" s="14707"/>
      <c r="BB24" s="14707"/>
      <c r="BC24" s="14707"/>
      <c r="BD24" s="14707"/>
      <c r="BE24" s="14707"/>
      <c r="BF24" s="14707"/>
      <c r="BG24" s="14707"/>
      <c r="BH24" s="14707"/>
      <c r="BI24" s="14707"/>
      <c r="BJ24" s="14707"/>
      <c r="BK24" s="14707"/>
      <c r="BL24" s="14707"/>
      <c r="BM24" s="14707"/>
      <c r="BN24" s="14707"/>
      <c r="BO24" s="14707"/>
      <c r="BP24" s="14707"/>
      <c r="BQ24" s="14707"/>
      <c r="BR24" s="14707"/>
      <c r="BS24" s="14707"/>
      <c r="BT24" s="6972"/>
      <c r="BU24" s="6972"/>
      <c r="BV24" s="7102"/>
      <c r="BW24" s="7124"/>
    </row>
    <row r="25" spans="1:75" s="7079" customFormat="1" ht="15" customHeight="1">
      <c r="A25" s="14708"/>
      <c r="B25" s="7089" t="s">
        <v>5302</v>
      </c>
      <c r="C25" s="16783"/>
      <c r="D25" s="16783"/>
      <c r="E25" s="16783"/>
      <c r="F25" s="16783"/>
      <c r="G25" s="16783"/>
      <c r="H25" s="16785"/>
      <c r="I25" s="16783"/>
      <c r="J25" s="16783"/>
      <c r="K25" s="7088"/>
      <c r="L25" s="7088"/>
      <c r="M25" s="7088"/>
      <c r="N25" s="7088"/>
      <c r="O25" s="7088"/>
      <c r="P25" s="7088"/>
      <c r="Q25" s="7088"/>
      <c r="R25" s="7088"/>
      <c r="S25" s="7088"/>
      <c r="T25" s="16783"/>
      <c r="U25" s="16783"/>
      <c r="V25" s="16783"/>
      <c r="W25" s="16783"/>
      <c r="X25" s="7083" t="s">
        <v>10199</v>
      </c>
      <c r="Y25" s="7089"/>
      <c r="Z25" s="7089" t="s">
        <v>507</v>
      </c>
      <c r="AA25" s="16793"/>
      <c r="AB25" s="16826"/>
      <c r="AC25" s="14707"/>
      <c r="AD25" s="14707"/>
      <c r="AE25" s="14707"/>
      <c r="AF25" s="14707"/>
      <c r="AG25" s="14707"/>
      <c r="AH25" s="14707"/>
      <c r="AI25" s="14707"/>
      <c r="AJ25" s="14707"/>
      <c r="AK25" s="14707"/>
      <c r="AL25" s="14707"/>
      <c r="AM25" s="14707"/>
      <c r="AN25" s="14707"/>
      <c r="AO25" s="14707"/>
      <c r="AP25" s="14707"/>
      <c r="AQ25" s="14707"/>
      <c r="AR25" s="14707"/>
      <c r="AS25" s="14707"/>
      <c r="AT25" s="14707"/>
      <c r="AU25" s="14707"/>
      <c r="AV25" s="14707"/>
      <c r="AW25" s="14707"/>
      <c r="AX25" s="14707"/>
      <c r="AY25" s="14707"/>
      <c r="AZ25" s="14707"/>
      <c r="BA25" s="14707"/>
      <c r="BB25" s="14707"/>
      <c r="BC25" s="14707"/>
      <c r="BD25" s="14707"/>
      <c r="BE25" s="14707"/>
      <c r="BF25" s="14707"/>
      <c r="BG25" s="14707"/>
      <c r="BH25" s="14707"/>
      <c r="BI25" s="14707"/>
      <c r="BJ25" s="14707"/>
      <c r="BK25" s="14707"/>
      <c r="BL25" s="14707"/>
      <c r="BM25" s="14707"/>
      <c r="BN25" s="14707"/>
      <c r="BO25" s="14707"/>
      <c r="BP25" s="14707"/>
      <c r="BQ25" s="14707"/>
      <c r="BR25" s="14707"/>
      <c r="BS25" s="14707"/>
      <c r="BT25" s="6972"/>
      <c r="BU25" s="6972"/>
      <c r="BV25" s="7102"/>
      <c r="BW25" s="7124"/>
    </row>
    <row r="26" spans="1:75" s="7079" customFormat="1" ht="15" customHeight="1">
      <c r="A26" s="14708"/>
      <c r="B26" s="7089" t="s">
        <v>5303</v>
      </c>
      <c r="C26" s="16783"/>
      <c r="D26" s="16783"/>
      <c r="E26" s="16783"/>
      <c r="F26" s="16783"/>
      <c r="G26" s="16783" t="s">
        <v>8246</v>
      </c>
      <c r="H26" s="16783" t="s">
        <v>5304</v>
      </c>
      <c r="I26" s="16783" t="s">
        <v>5305</v>
      </c>
      <c r="J26" s="16783" t="s">
        <v>5306</v>
      </c>
      <c r="K26" s="16783" t="s">
        <v>5307</v>
      </c>
      <c r="L26" s="16783" t="s">
        <v>5308</v>
      </c>
      <c r="M26" s="16783" t="s">
        <v>5309</v>
      </c>
      <c r="N26" s="16783" t="s">
        <v>5310</v>
      </c>
      <c r="O26" s="16783" t="s">
        <v>5311</v>
      </c>
      <c r="P26" s="16783" t="s">
        <v>5312</v>
      </c>
      <c r="Q26" s="16783" t="s">
        <v>5313</v>
      </c>
      <c r="R26" s="16783" t="s">
        <v>5314</v>
      </c>
      <c r="S26" s="16783" t="s">
        <v>5315</v>
      </c>
      <c r="T26" s="16783" t="s">
        <v>5316</v>
      </c>
      <c r="U26" s="16783" t="s">
        <v>5317</v>
      </c>
      <c r="V26" s="16783" t="s">
        <v>5318</v>
      </c>
      <c r="W26" s="16783" t="s">
        <v>5319</v>
      </c>
      <c r="X26" s="7083" t="s">
        <v>4305</v>
      </c>
      <c r="Y26" s="7088" t="s">
        <v>5320</v>
      </c>
      <c r="Z26" s="6972"/>
      <c r="AA26" s="7088"/>
      <c r="AB26" s="7147"/>
      <c r="AC26" s="6972"/>
      <c r="AD26" s="6972"/>
      <c r="AE26" s="6972"/>
      <c r="AF26" s="6972"/>
      <c r="AG26" s="6972"/>
      <c r="AH26" s="6972"/>
      <c r="AI26" s="6972"/>
      <c r="AJ26" s="6972"/>
      <c r="AK26" s="6972"/>
      <c r="AL26" s="6972"/>
      <c r="AM26" s="6972"/>
      <c r="AN26" s="6972"/>
      <c r="AO26" s="6972"/>
      <c r="AP26" s="6972"/>
      <c r="AQ26" s="6972"/>
      <c r="AR26" s="6972"/>
      <c r="AS26" s="6972"/>
      <c r="AT26" s="6972"/>
      <c r="AU26" s="6972"/>
      <c r="AV26" s="6972"/>
      <c r="AW26" s="6972"/>
      <c r="AX26" s="6972"/>
      <c r="AY26" s="6972"/>
      <c r="AZ26" s="6972"/>
      <c r="BA26" s="6972"/>
      <c r="BB26" s="6972"/>
      <c r="BC26" s="6972"/>
      <c r="BD26" s="6972"/>
      <c r="BE26" s="6972"/>
      <c r="BF26" s="6972"/>
      <c r="BG26" s="6972"/>
      <c r="BH26" s="6972"/>
      <c r="BI26" s="6972"/>
      <c r="BJ26" s="6972"/>
      <c r="BK26" s="6972"/>
      <c r="BL26" s="6972"/>
      <c r="BM26" s="6972"/>
      <c r="BN26" s="6972"/>
      <c r="BO26" s="6972"/>
      <c r="BP26" s="6972"/>
      <c r="BQ26" s="6972"/>
      <c r="BR26" s="6972"/>
      <c r="BS26" s="6972"/>
      <c r="BT26" s="6972"/>
      <c r="BU26" s="6972"/>
      <c r="BV26" s="7102"/>
      <c r="BW26" s="7124"/>
    </row>
    <row r="27" spans="1:75" s="7079" customFormat="1" ht="15" customHeight="1">
      <c r="A27" s="14708"/>
      <c r="B27" s="7089"/>
      <c r="C27" s="16783"/>
      <c r="D27" s="16783"/>
      <c r="E27" s="16783"/>
      <c r="F27" s="16783"/>
      <c r="G27" s="16783"/>
      <c r="H27" s="16783"/>
      <c r="I27" s="16783"/>
      <c r="J27" s="16783"/>
      <c r="K27" s="16783"/>
      <c r="L27" s="16783"/>
      <c r="M27" s="16783"/>
      <c r="N27" s="16783"/>
      <c r="O27" s="16783"/>
      <c r="P27" s="16783"/>
      <c r="Q27" s="16783"/>
      <c r="R27" s="16783"/>
      <c r="S27" s="16783"/>
      <c r="T27" s="16783"/>
      <c r="U27" s="16783"/>
      <c r="V27" s="16783"/>
      <c r="W27" s="16783"/>
      <c r="X27" s="7083" t="s">
        <v>329</v>
      </c>
      <c r="Y27" s="7088"/>
      <c r="Z27" s="7088" t="s">
        <v>5321</v>
      </c>
      <c r="AA27" s="7088"/>
      <c r="AB27" s="7147"/>
      <c r="AC27" s="6972"/>
      <c r="AD27" s="6972"/>
      <c r="AE27" s="6972"/>
      <c r="AF27" s="6972"/>
      <c r="AG27" s="6972"/>
      <c r="AH27" s="6972"/>
      <c r="AI27" s="6972"/>
      <c r="AJ27" s="6972"/>
      <c r="AK27" s="6972"/>
      <c r="AL27" s="6972"/>
      <c r="AM27" s="6972"/>
      <c r="AN27" s="6972"/>
      <c r="AO27" s="6972"/>
      <c r="AP27" s="6972"/>
      <c r="AQ27" s="6972"/>
      <c r="AR27" s="6972"/>
      <c r="AS27" s="6972"/>
      <c r="AT27" s="6972"/>
      <c r="AU27" s="6972"/>
      <c r="AV27" s="6972"/>
      <c r="AW27" s="6972"/>
      <c r="AX27" s="6972"/>
      <c r="AY27" s="6972"/>
      <c r="AZ27" s="6972"/>
      <c r="BA27" s="6972"/>
      <c r="BB27" s="6972"/>
      <c r="BC27" s="6972"/>
      <c r="BD27" s="6972"/>
      <c r="BE27" s="6972"/>
      <c r="BF27" s="6972"/>
      <c r="BG27" s="6972"/>
      <c r="BH27" s="6972"/>
      <c r="BI27" s="6972"/>
      <c r="BJ27" s="6972"/>
      <c r="BK27" s="6972"/>
      <c r="BL27" s="6972"/>
      <c r="BM27" s="6972"/>
      <c r="BN27" s="6972"/>
      <c r="BO27" s="6972"/>
      <c r="BP27" s="6972"/>
      <c r="BQ27" s="6972"/>
      <c r="BR27" s="6972"/>
      <c r="BS27" s="6972"/>
      <c r="BT27" s="6972"/>
      <c r="BU27" s="6972"/>
      <c r="BV27" s="7102"/>
      <c r="BW27" s="7124"/>
    </row>
    <row r="28" spans="1:75" s="7079" customFormat="1" ht="15" customHeight="1">
      <c r="A28" s="14708"/>
      <c r="B28" s="7089" t="s">
        <v>5322</v>
      </c>
      <c r="C28" s="16783"/>
      <c r="D28" s="16783"/>
      <c r="E28" s="16783"/>
      <c r="F28" s="16783"/>
      <c r="G28" s="7088" t="s">
        <v>8247</v>
      </c>
      <c r="H28" s="7083" t="s">
        <v>5323</v>
      </c>
      <c r="I28" s="7088" t="s">
        <v>5324</v>
      </c>
      <c r="J28" s="7088" t="s">
        <v>5325</v>
      </c>
      <c r="K28" s="7088"/>
      <c r="L28" s="7088"/>
      <c r="M28" s="7088"/>
      <c r="N28" s="7088"/>
      <c r="O28" s="7088"/>
      <c r="P28" s="7088"/>
      <c r="Q28" s="7088"/>
      <c r="R28" s="7088"/>
      <c r="S28" s="7088"/>
      <c r="T28" s="7088" t="s">
        <v>5326</v>
      </c>
      <c r="U28" s="7088" t="s">
        <v>5327</v>
      </c>
      <c r="V28" s="7088" t="s">
        <v>5328</v>
      </c>
      <c r="W28" s="7088" t="s">
        <v>5329</v>
      </c>
      <c r="X28" s="7083" t="s">
        <v>10063</v>
      </c>
      <c r="Y28" s="7089" t="s">
        <v>144</v>
      </c>
      <c r="Z28" s="7089"/>
      <c r="AA28" s="7090">
        <f>(((2524000)*12)*10)/3</f>
        <v>100960000</v>
      </c>
      <c r="AB28" s="7147"/>
      <c r="AC28" s="6972"/>
      <c r="AD28" s="6972"/>
      <c r="AE28" s="6972"/>
      <c r="AF28" s="6972"/>
      <c r="AG28" s="6972"/>
      <c r="AH28" s="6972"/>
      <c r="AI28" s="6972"/>
      <c r="AJ28" s="6972"/>
      <c r="AK28" s="6972"/>
      <c r="AL28" s="6972"/>
      <c r="AM28" s="6972"/>
      <c r="AN28" s="6972"/>
      <c r="AO28" s="6972"/>
      <c r="AP28" s="6972"/>
      <c r="AQ28" s="6972"/>
      <c r="AR28" s="6972"/>
      <c r="AS28" s="6972"/>
      <c r="AT28" s="6972"/>
      <c r="AU28" s="6972"/>
      <c r="AV28" s="6972"/>
      <c r="AW28" s="6972"/>
      <c r="AX28" s="6972"/>
      <c r="AY28" s="6972"/>
      <c r="AZ28" s="6972"/>
      <c r="BA28" s="6972"/>
      <c r="BB28" s="6972"/>
      <c r="BC28" s="6972"/>
      <c r="BD28" s="6972"/>
      <c r="BE28" s="6972"/>
      <c r="BF28" s="6972"/>
      <c r="BG28" s="6972"/>
      <c r="BH28" s="6972"/>
      <c r="BI28" s="6972"/>
      <c r="BJ28" s="6972"/>
      <c r="BK28" s="6972"/>
      <c r="BL28" s="6972"/>
      <c r="BM28" s="6972"/>
      <c r="BN28" s="6972"/>
      <c r="BO28" s="6972"/>
      <c r="BP28" s="6972"/>
      <c r="BQ28" s="6972"/>
      <c r="BR28" s="6972"/>
      <c r="BS28" s="6972"/>
      <c r="BT28" s="6972"/>
      <c r="BU28" s="6972"/>
      <c r="BV28" s="7102"/>
      <c r="BW28" s="7124"/>
    </row>
    <row r="29" spans="1:75" s="7079" customFormat="1" ht="15" customHeight="1">
      <c r="A29" s="14708"/>
      <c r="B29" s="7089" t="s">
        <v>5330</v>
      </c>
      <c r="C29" s="16783" t="s">
        <v>5331</v>
      </c>
      <c r="D29" s="16783" t="s">
        <v>5332</v>
      </c>
      <c r="E29" s="16783" t="s">
        <v>5333</v>
      </c>
      <c r="F29" s="16783" t="s">
        <v>10291</v>
      </c>
      <c r="G29" s="16783" t="s">
        <v>8248</v>
      </c>
      <c r="H29" s="16785" t="s">
        <v>5334</v>
      </c>
      <c r="I29" s="16783" t="s">
        <v>5335</v>
      </c>
      <c r="J29" s="16783" t="s">
        <v>5336</v>
      </c>
      <c r="K29" s="16783" t="s">
        <v>5337</v>
      </c>
      <c r="L29" s="16783" t="s">
        <v>5338</v>
      </c>
      <c r="M29" s="16783" t="s">
        <v>5339</v>
      </c>
      <c r="N29" s="16783" t="s">
        <v>5340</v>
      </c>
      <c r="O29" s="16783" t="s">
        <v>5341</v>
      </c>
      <c r="P29" s="16783" t="s">
        <v>5342</v>
      </c>
      <c r="Q29" s="16783" t="s">
        <v>5343</v>
      </c>
      <c r="R29" s="16783" t="s">
        <v>5344</v>
      </c>
      <c r="S29" s="16783" t="s">
        <v>5345</v>
      </c>
      <c r="T29" s="16783" t="s">
        <v>5346</v>
      </c>
      <c r="U29" s="16783" t="s">
        <v>5347</v>
      </c>
      <c r="V29" s="16783" t="s">
        <v>5348</v>
      </c>
      <c r="W29" s="16783" t="s">
        <v>5349</v>
      </c>
      <c r="X29" s="7083" t="s">
        <v>10063</v>
      </c>
      <c r="Y29" s="16783" t="s">
        <v>5350</v>
      </c>
      <c r="Z29" s="6994"/>
      <c r="AA29" s="16795">
        <f>(((((2524000)*4*12)*10))*7)/4</f>
        <v>2120160000</v>
      </c>
      <c r="AB29" s="16826"/>
      <c r="AC29" s="14707"/>
      <c r="AD29" s="14707"/>
      <c r="AE29" s="14707"/>
      <c r="AF29" s="14707"/>
      <c r="AG29" s="14707"/>
      <c r="AH29" s="14707"/>
      <c r="AI29" s="14707"/>
      <c r="AJ29" s="14707"/>
      <c r="AK29" s="14707"/>
      <c r="AL29" s="14707"/>
      <c r="AM29" s="14707"/>
      <c r="AN29" s="14707"/>
      <c r="AO29" s="14707"/>
      <c r="AP29" s="14707"/>
      <c r="AQ29" s="14707"/>
      <c r="AR29" s="14707"/>
      <c r="AS29" s="14707"/>
      <c r="AT29" s="14707"/>
      <c r="AU29" s="14707"/>
      <c r="AV29" s="14707"/>
      <c r="AW29" s="14707"/>
      <c r="AX29" s="14707"/>
      <c r="AY29" s="14707"/>
      <c r="AZ29" s="14707"/>
      <c r="BA29" s="14707"/>
      <c r="BB29" s="14707"/>
      <c r="BC29" s="14707"/>
      <c r="BD29" s="14707"/>
      <c r="BE29" s="14707"/>
      <c r="BF29" s="14707"/>
      <c r="BG29" s="14707"/>
      <c r="BH29" s="14707"/>
      <c r="BI29" s="14707"/>
      <c r="BJ29" s="14707"/>
      <c r="BK29" s="14707"/>
      <c r="BL29" s="14707"/>
      <c r="BM29" s="14707"/>
      <c r="BN29" s="14707"/>
      <c r="BO29" s="14707"/>
      <c r="BP29" s="14707"/>
      <c r="BQ29" s="14707"/>
      <c r="BR29" s="14707"/>
      <c r="BS29" s="14707"/>
      <c r="BT29" s="6972"/>
      <c r="BU29" s="6972"/>
      <c r="BV29" s="7102"/>
      <c r="BW29" s="7124"/>
    </row>
    <row r="30" spans="1:75" s="7079" customFormat="1" ht="15" customHeight="1">
      <c r="A30" s="14708"/>
      <c r="B30" s="7089" t="s">
        <v>5351</v>
      </c>
      <c r="C30" s="16783"/>
      <c r="D30" s="16783"/>
      <c r="E30" s="16783"/>
      <c r="F30" s="16783"/>
      <c r="G30" s="16783"/>
      <c r="H30" s="16785"/>
      <c r="I30" s="16783"/>
      <c r="J30" s="16783"/>
      <c r="K30" s="16783"/>
      <c r="L30" s="16783"/>
      <c r="M30" s="16783"/>
      <c r="N30" s="16783"/>
      <c r="O30" s="16783"/>
      <c r="P30" s="16783"/>
      <c r="Q30" s="16783"/>
      <c r="R30" s="16783"/>
      <c r="S30" s="16783"/>
      <c r="T30" s="16783"/>
      <c r="U30" s="16783"/>
      <c r="V30" s="16783"/>
      <c r="W30" s="16783"/>
      <c r="X30" s="7083" t="s">
        <v>2896</v>
      </c>
      <c r="Y30" s="16783"/>
      <c r="Z30" s="6994"/>
      <c r="AA30" s="16795"/>
      <c r="AB30" s="16826"/>
      <c r="AC30" s="14707"/>
      <c r="AD30" s="14707"/>
      <c r="AE30" s="14707"/>
      <c r="AF30" s="14707"/>
      <c r="AG30" s="14707"/>
      <c r="AH30" s="14707"/>
      <c r="AI30" s="14707"/>
      <c r="AJ30" s="14707"/>
      <c r="AK30" s="14707"/>
      <c r="AL30" s="14707"/>
      <c r="AM30" s="14707"/>
      <c r="AN30" s="14707"/>
      <c r="AO30" s="14707"/>
      <c r="AP30" s="14707"/>
      <c r="AQ30" s="14707"/>
      <c r="AR30" s="14707"/>
      <c r="AS30" s="14707"/>
      <c r="AT30" s="14707"/>
      <c r="AU30" s="14707"/>
      <c r="AV30" s="14707"/>
      <c r="AW30" s="14707"/>
      <c r="AX30" s="14707"/>
      <c r="AY30" s="14707"/>
      <c r="AZ30" s="14707"/>
      <c r="BA30" s="14707"/>
      <c r="BB30" s="14707"/>
      <c r="BC30" s="14707"/>
      <c r="BD30" s="14707"/>
      <c r="BE30" s="14707"/>
      <c r="BF30" s="14707"/>
      <c r="BG30" s="14707"/>
      <c r="BH30" s="14707"/>
      <c r="BI30" s="14707"/>
      <c r="BJ30" s="14707"/>
      <c r="BK30" s="14707"/>
      <c r="BL30" s="14707"/>
      <c r="BM30" s="14707"/>
      <c r="BN30" s="14707"/>
      <c r="BO30" s="14707"/>
      <c r="BP30" s="14707"/>
      <c r="BQ30" s="14707"/>
      <c r="BR30" s="14707"/>
      <c r="BS30" s="14707"/>
      <c r="BT30" s="6972"/>
      <c r="BU30" s="6972"/>
      <c r="BV30" s="7102"/>
      <c r="BW30" s="7124"/>
    </row>
    <row r="31" spans="1:75" s="7079" customFormat="1" ht="15" customHeight="1">
      <c r="A31" s="14708"/>
      <c r="B31" s="16783" t="s">
        <v>5352</v>
      </c>
      <c r="C31" s="16783"/>
      <c r="D31" s="16783"/>
      <c r="E31" s="16783"/>
      <c r="F31" s="16783"/>
      <c r="G31" s="16783" t="s">
        <v>8249</v>
      </c>
      <c r="H31" s="16783" t="s">
        <v>5353</v>
      </c>
      <c r="I31" s="16783" t="s">
        <v>5354</v>
      </c>
      <c r="J31" s="16783" t="s">
        <v>5355</v>
      </c>
      <c r="K31" s="16783"/>
      <c r="L31" s="16783"/>
      <c r="M31" s="16783"/>
      <c r="N31" s="16783"/>
      <c r="O31" s="16783"/>
      <c r="P31" s="16783"/>
      <c r="Q31" s="16783"/>
      <c r="R31" s="16783"/>
      <c r="S31" s="16783"/>
      <c r="T31" s="16783" t="s">
        <v>5356</v>
      </c>
      <c r="U31" s="16783" t="s">
        <v>5357</v>
      </c>
      <c r="V31" s="16783" t="s">
        <v>5358</v>
      </c>
      <c r="W31" s="16783" t="s">
        <v>5359</v>
      </c>
      <c r="X31" s="7083" t="s">
        <v>10063</v>
      </c>
      <c r="Y31" s="6972" t="s">
        <v>724</v>
      </c>
      <c r="Z31" s="6972"/>
      <c r="AA31" s="7091">
        <f>(((((2524000)*4*12)*10))*7)/4</f>
        <v>2120160000</v>
      </c>
      <c r="AB31" s="7147"/>
      <c r="AC31" s="6972"/>
      <c r="AD31" s="6972"/>
      <c r="AE31" s="6972"/>
      <c r="AF31" s="6972"/>
      <c r="AG31" s="6972"/>
      <c r="AH31" s="6972"/>
      <c r="AI31" s="6972"/>
      <c r="AJ31" s="6972"/>
      <c r="AK31" s="6972"/>
      <c r="AL31" s="6972"/>
      <c r="AM31" s="6972"/>
      <c r="AN31" s="6972"/>
      <c r="AO31" s="6972"/>
      <c r="AP31" s="6972"/>
      <c r="AQ31" s="6972"/>
      <c r="AR31" s="6972"/>
      <c r="AS31" s="6972"/>
      <c r="AT31" s="6972"/>
      <c r="AU31" s="6972"/>
      <c r="AV31" s="6972"/>
      <c r="AW31" s="6972"/>
      <c r="AX31" s="6972"/>
      <c r="AY31" s="6972"/>
      <c r="AZ31" s="6972"/>
      <c r="BA31" s="6972"/>
      <c r="BB31" s="6972"/>
      <c r="BC31" s="6972"/>
      <c r="BD31" s="6972"/>
      <c r="BE31" s="6972"/>
      <c r="BF31" s="6972"/>
      <c r="BG31" s="6972"/>
      <c r="BH31" s="6972"/>
      <c r="BI31" s="6972"/>
      <c r="BJ31" s="6972"/>
      <c r="BK31" s="6972"/>
      <c r="BL31" s="6972"/>
      <c r="BM31" s="6972"/>
      <c r="BN31" s="6972"/>
      <c r="BO31" s="6972"/>
      <c r="BP31" s="6972"/>
      <c r="BQ31" s="6972"/>
      <c r="BR31" s="6972"/>
      <c r="BS31" s="6972"/>
      <c r="BT31" s="6972"/>
      <c r="BU31" s="6972"/>
      <c r="BV31" s="7102"/>
      <c r="BW31" s="7124"/>
    </row>
    <row r="32" spans="1:75" s="7079" customFormat="1" ht="15" customHeight="1">
      <c r="A32" s="14708"/>
      <c r="B32" s="16783"/>
      <c r="C32" s="16783"/>
      <c r="D32" s="16783"/>
      <c r="E32" s="16783"/>
      <c r="F32" s="16783"/>
      <c r="G32" s="16783"/>
      <c r="H32" s="16783"/>
      <c r="I32" s="16783"/>
      <c r="J32" s="16783"/>
      <c r="K32" s="16783"/>
      <c r="L32" s="16783"/>
      <c r="M32" s="16783"/>
      <c r="N32" s="16783"/>
      <c r="O32" s="16783"/>
      <c r="P32" s="16783"/>
      <c r="Q32" s="16783"/>
      <c r="R32" s="16783"/>
      <c r="S32" s="16783"/>
      <c r="T32" s="16783"/>
      <c r="U32" s="16783"/>
      <c r="V32" s="16783"/>
      <c r="W32" s="16783"/>
      <c r="X32" s="7083" t="s">
        <v>295</v>
      </c>
      <c r="Y32" s="6972"/>
      <c r="Z32" s="6972" t="s">
        <v>295</v>
      </c>
      <c r="AA32" s="7091"/>
      <c r="AB32" s="7147"/>
      <c r="AC32" s="6972"/>
      <c r="AD32" s="6972"/>
      <c r="AE32" s="6972"/>
      <c r="AF32" s="6972"/>
      <c r="AG32" s="6972"/>
      <c r="AH32" s="6972"/>
      <c r="AI32" s="6972"/>
      <c r="AJ32" s="6972"/>
      <c r="AK32" s="6972"/>
      <c r="AL32" s="6972"/>
      <c r="AM32" s="6972"/>
      <c r="AN32" s="6972"/>
      <c r="AO32" s="6972"/>
      <c r="AP32" s="6972"/>
      <c r="AQ32" s="6972"/>
      <c r="AR32" s="6972"/>
      <c r="AS32" s="6972"/>
      <c r="AT32" s="6972"/>
      <c r="AU32" s="6972"/>
      <c r="AV32" s="6972"/>
      <c r="AW32" s="6972"/>
      <c r="AX32" s="6972"/>
      <c r="AY32" s="6972"/>
      <c r="AZ32" s="6972"/>
      <c r="BA32" s="6972"/>
      <c r="BB32" s="6972"/>
      <c r="BC32" s="6972"/>
      <c r="BD32" s="6972"/>
      <c r="BE32" s="6972"/>
      <c r="BF32" s="6972"/>
      <c r="BG32" s="6972"/>
      <c r="BH32" s="6972"/>
      <c r="BI32" s="6972"/>
      <c r="BJ32" s="6972"/>
      <c r="BK32" s="6972"/>
      <c r="BL32" s="6972"/>
      <c r="BM32" s="6972"/>
      <c r="BN32" s="6972"/>
      <c r="BO32" s="6972"/>
      <c r="BP32" s="6972"/>
      <c r="BQ32" s="6972"/>
      <c r="BR32" s="6972"/>
      <c r="BS32" s="6972"/>
      <c r="BT32" s="6972"/>
      <c r="BU32" s="6972"/>
      <c r="BV32" s="7102"/>
      <c r="BW32" s="7124"/>
    </row>
    <row r="33" spans="1:75" s="7079" customFormat="1" ht="15" customHeight="1" thickBot="1">
      <c r="A33" s="14747"/>
      <c r="B33" s="16784"/>
      <c r="C33" s="16784"/>
      <c r="D33" s="16784"/>
      <c r="E33" s="16784"/>
      <c r="F33" s="16784"/>
      <c r="G33" s="16784"/>
      <c r="H33" s="16784"/>
      <c r="I33" s="16784"/>
      <c r="J33" s="16784"/>
      <c r="K33" s="16784"/>
      <c r="L33" s="16784"/>
      <c r="M33" s="16784"/>
      <c r="N33" s="16784"/>
      <c r="O33" s="16784"/>
      <c r="P33" s="16784"/>
      <c r="Q33" s="16784"/>
      <c r="R33" s="16784"/>
      <c r="S33" s="16784"/>
      <c r="T33" s="16784"/>
      <c r="U33" s="16784"/>
      <c r="V33" s="16784"/>
      <c r="W33" s="16784"/>
      <c r="X33" s="7118" t="s">
        <v>329</v>
      </c>
      <c r="Y33" s="7064"/>
      <c r="Z33" s="7064" t="s">
        <v>10292</v>
      </c>
      <c r="AA33" s="7119"/>
      <c r="AB33" s="7148"/>
      <c r="AC33" s="7064"/>
      <c r="AD33" s="7064"/>
      <c r="AE33" s="7064"/>
      <c r="AF33" s="7064"/>
      <c r="AG33" s="7064"/>
      <c r="AH33" s="7064"/>
      <c r="AI33" s="7064"/>
      <c r="AJ33" s="7064"/>
      <c r="AK33" s="7064"/>
      <c r="AL33" s="7064"/>
      <c r="AM33" s="7064"/>
      <c r="AN33" s="7064"/>
      <c r="AO33" s="7064"/>
      <c r="AP33" s="7064"/>
      <c r="AQ33" s="7064"/>
      <c r="AR33" s="7064"/>
      <c r="AS33" s="7064"/>
      <c r="AT33" s="7064"/>
      <c r="AU33" s="7064"/>
      <c r="AV33" s="7064"/>
      <c r="AW33" s="7064"/>
      <c r="AX33" s="7064"/>
      <c r="AY33" s="7064"/>
      <c r="AZ33" s="7064"/>
      <c r="BA33" s="7064"/>
      <c r="BB33" s="7064"/>
      <c r="BC33" s="7064"/>
      <c r="BD33" s="7064"/>
      <c r="BE33" s="7064"/>
      <c r="BF33" s="7064"/>
      <c r="BG33" s="7064"/>
      <c r="BH33" s="7064"/>
      <c r="BI33" s="7064"/>
      <c r="BJ33" s="7064"/>
      <c r="BK33" s="7064"/>
      <c r="BL33" s="7064"/>
      <c r="BM33" s="7064"/>
      <c r="BN33" s="7064"/>
      <c r="BO33" s="7064"/>
      <c r="BP33" s="7064"/>
      <c r="BQ33" s="7064"/>
      <c r="BR33" s="7064"/>
      <c r="BS33" s="7064"/>
      <c r="BT33" s="7064"/>
      <c r="BU33" s="7064"/>
      <c r="BV33" s="7120"/>
      <c r="BW33" s="7124"/>
    </row>
    <row r="34" spans="1:75" s="7080" customFormat="1" ht="15" customHeight="1">
      <c r="A34" s="16807" t="s">
        <v>6017</v>
      </c>
      <c r="B34" s="7109" t="s">
        <v>5360</v>
      </c>
      <c r="C34" s="15375" t="s">
        <v>5361</v>
      </c>
      <c r="D34" s="15375" t="s">
        <v>5362</v>
      </c>
      <c r="E34" s="15375" t="s">
        <v>5363</v>
      </c>
      <c r="F34" s="15375" t="s">
        <v>5364</v>
      </c>
      <c r="G34" s="5061" t="s">
        <v>8250</v>
      </c>
      <c r="H34" s="7109" t="s">
        <v>5365</v>
      </c>
      <c r="I34" s="7116" t="s">
        <v>5366</v>
      </c>
      <c r="J34" s="7116" t="s">
        <v>5367</v>
      </c>
      <c r="K34" s="7116" t="s">
        <v>5368</v>
      </c>
      <c r="L34" s="5061" t="s">
        <v>5369</v>
      </c>
      <c r="M34" s="7116" t="s">
        <v>5370</v>
      </c>
      <c r="N34" s="7116" t="s">
        <v>5371</v>
      </c>
      <c r="O34" s="7116" t="s">
        <v>5372</v>
      </c>
      <c r="P34" s="7116" t="s">
        <v>5373</v>
      </c>
      <c r="Q34" s="7116" t="s">
        <v>5374</v>
      </c>
      <c r="R34" s="7116" t="s">
        <v>5375</v>
      </c>
      <c r="S34" s="7116" t="s">
        <v>5376</v>
      </c>
      <c r="T34" s="7116" t="s">
        <v>5377</v>
      </c>
      <c r="U34" s="7116" t="s">
        <v>5378</v>
      </c>
      <c r="V34" s="7116" t="s">
        <v>5379</v>
      </c>
      <c r="W34" s="7116" t="s">
        <v>5380</v>
      </c>
      <c r="X34" s="7116" t="s">
        <v>10063</v>
      </c>
      <c r="Y34" s="5061" t="s">
        <v>144</v>
      </c>
      <c r="Z34" s="7135" t="s">
        <v>5381</v>
      </c>
      <c r="AA34" s="7117">
        <f>((3000+1400)*200*7)*10*10</f>
        <v>616000000</v>
      </c>
      <c r="AB34" s="7149"/>
      <c r="AC34" s="4944"/>
      <c r="AD34" s="4944"/>
      <c r="AE34" s="4944"/>
      <c r="AF34" s="4944"/>
      <c r="AG34" s="4944"/>
      <c r="AH34" s="4944"/>
      <c r="AI34" s="4944"/>
      <c r="AJ34" s="4944"/>
      <c r="AK34" s="4944"/>
      <c r="AL34" s="4944"/>
      <c r="AM34" s="4944"/>
      <c r="AN34" s="4944"/>
      <c r="AO34" s="4944"/>
      <c r="AP34" s="4944"/>
      <c r="AQ34" s="4944"/>
      <c r="AR34" s="4944"/>
      <c r="AS34" s="4944"/>
      <c r="AT34" s="4944"/>
      <c r="AU34" s="4944"/>
      <c r="AV34" s="4944"/>
      <c r="AW34" s="4944"/>
      <c r="AX34" s="4944"/>
      <c r="AY34" s="4944"/>
      <c r="AZ34" s="4944"/>
      <c r="BA34" s="4944"/>
      <c r="BB34" s="4944"/>
      <c r="BC34" s="4944"/>
      <c r="BD34" s="4944"/>
      <c r="BE34" s="4944"/>
      <c r="BF34" s="4944"/>
      <c r="BG34" s="4944"/>
      <c r="BH34" s="4944"/>
      <c r="BI34" s="4944"/>
      <c r="BJ34" s="4944"/>
      <c r="BK34" s="4944"/>
      <c r="BL34" s="4944"/>
      <c r="BM34" s="4944"/>
      <c r="BN34" s="4944"/>
      <c r="BO34" s="4944"/>
      <c r="BP34" s="4944"/>
      <c r="BQ34" s="4944"/>
      <c r="BR34" s="4944"/>
      <c r="BS34" s="4944"/>
      <c r="BT34" s="4944"/>
      <c r="BU34" s="4944"/>
      <c r="BV34" s="7112"/>
      <c r="BW34" s="7125"/>
    </row>
    <row r="35" spans="1:75" s="7080" customFormat="1" ht="15" customHeight="1">
      <c r="A35" s="16808"/>
      <c r="B35" s="7084" t="s">
        <v>5382</v>
      </c>
      <c r="C35" s="15376"/>
      <c r="D35" s="15376"/>
      <c r="E35" s="15376"/>
      <c r="F35" s="15376"/>
      <c r="G35" s="5062" t="s">
        <v>8251</v>
      </c>
      <c r="H35" s="7092" t="s">
        <v>5383</v>
      </c>
      <c r="I35" s="7084" t="s">
        <v>5384</v>
      </c>
      <c r="J35" s="7084" t="s">
        <v>5385</v>
      </c>
      <c r="K35" s="7084" t="s">
        <v>5386</v>
      </c>
      <c r="L35" s="5062" t="s">
        <v>5387</v>
      </c>
      <c r="M35" s="7084" t="s">
        <v>5388</v>
      </c>
      <c r="N35" s="7084" t="s">
        <v>5389</v>
      </c>
      <c r="O35" s="7084" t="s">
        <v>5390</v>
      </c>
      <c r="P35" s="7084" t="s">
        <v>5391</v>
      </c>
      <c r="Q35" s="7084" t="s">
        <v>5392</v>
      </c>
      <c r="R35" s="7084" t="s">
        <v>5393</v>
      </c>
      <c r="S35" s="7084" t="s">
        <v>5394</v>
      </c>
      <c r="T35" s="7084" t="s">
        <v>5395</v>
      </c>
      <c r="U35" s="7084" t="s">
        <v>5396</v>
      </c>
      <c r="V35" s="7084" t="s">
        <v>5397</v>
      </c>
      <c r="W35" s="7084" t="s">
        <v>5398</v>
      </c>
      <c r="X35" s="7084" t="s">
        <v>10063</v>
      </c>
      <c r="Y35" s="5062" t="s">
        <v>144</v>
      </c>
      <c r="Z35" s="5062" t="s">
        <v>545</v>
      </c>
      <c r="AA35" s="7093">
        <f>(56000*200*7)*10</f>
        <v>784000000</v>
      </c>
      <c r="AB35" s="7147"/>
      <c r="AC35" s="5096"/>
      <c r="AD35" s="5096"/>
      <c r="AE35" s="5096"/>
      <c r="AF35" s="5096"/>
      <c r="AG35" s="5096"/>
      <c r="AH35" s="5096"/>
      <c r="AI35" s="5096"/>
      <c r="AJ35" s="5096"/>
      <c r="AK35" s="5096"/>
      <c r="AL35" s="5096"/>
      <c r="AM35" s="5096"/>
      <c r="AN35" s="5096"/>
      <c r="AO35" s="5096"/>
      <c r="AP35" s="5096"/>
      <c r="AQ35" s="5096"/>
      <c r="AR35" s="5096"/>
      <c r="AS35" s="5096"/>
      <c r="AT35" s="5096"/>
      <c r="AU35" s="5096"/>
      <c r="AV35" s="5096"/>
      <c r="AW35" s="5096"/>
      <c r="AX35" s="5096"/>
      <c r="AY35" s="5096"/>
      <c r="AZ35" s="5096"/>
      <c r="BA35" s="5096"/>
      <c r="BB35" s="5096"/>
      <c r="BC35" s="5096"/>
      <c r="BD35" s="5096"/>
      <c r="BE35" s="5096"/>
      <c r="BF35" s="5096"/>
      <c r="BG35" s="5096"/>
      <c r="BH35" s="5096"/>
      <c r="BI35" s="5096"/>
      <c r="BJ35" s="5096"/>
      <c r="BK35" s="5096"/>
      <c r="BL35" s="5096"/>
      <c r="BM35" s="5096"/>
      <c r="BN35" s="5096"/>
      <c r="BO35" s="5096"/>
      <c r="BP35" s="5096"/>
      <c r="BQ35" s="5096"/>
      <c r="BR35" s="5096"/>
      <c r="BS35" s="5096"/>
      <c r="BT35" s="5096"/>
      <c r="BU35" s="5096"/>
      <c r="BV35" s="7103"/>
      <c r="BW35" s="7125"/>
    </row>
    <row r="36" spans="1:75" s="7080" customFormat="1" ht="15" customHeight="1">
      <c r="A36" s="16808"/>
      <c r="B36" s="7084" t="s">
        <v>5399</v>
      </c>
      <c r="C36" s="15376"/>
      <c r="D36" s="15376"/>
      <c r="E36" s="15376"/>
      <c r="F36" s="15376"/>
      <c r="G36" s="15376" t="s">
        <v>8252</v>
      </c>
      <c r="H36" s="15376" t="s">
        <v>5400</v>
      </c>
      <c r="I36" s="15376" t="s">
        <v>5401</v>
      </c>
      <c r="J36" s="15376" t="s">
        <v>5402</v>
      </c>
      <c r="K36" s="15376" t="s">
        <v>5403</v>
      </c>
      <c r="L36" s="15376" t="s">
        <v>5404</v>
      </c>
      <c r="M36" s="15376" t="s">
        <v>5405</v>
      </c>
      <c r="N36" s="15376" t="s">
        <v>5406</v>
      </c>
      <c r="O36" s="15376" t="s">
        <v>5407</v>
      </c>
      <c r="P36" s="15376" t="s">
        <v>5408</v>
      </c>
      <c r="Q36" s="15376" t="s">
        <v>5409</v>
      </c>
      <c r="R36" s="15376" t="s">
        <v>5410</v>
      </c>
      <c r="S36" s="15376" t="s">
        <v>5411</v>
      </c>
      <c r="T36" s="15376" t="s">
        <v>5412</v>
      </c>
      <c r="U36" s="15376" t="s">
        <v>5413</v>
      </c>
      <c r="V36" s="15376" t="s">
        <v>5414</v>
      </c>
      <c r="W36" s="15376" t="s">
        <v>5413</v>
      </c>
      <c r="X36" s="7084" t="s">
        <v>10063</v>
      </c>
      <c r="Y36" s="15376" t="s">
        <v>5415</v>
      </c>
      <c r="Z36" s="5096"/>
      <c r="AA36" s="16786">
        <v>207000000</v>
      </c>
      <c r="AB36" s="16826"/>
      <c r="AC36" s="15930"/>
      <c r="AD36" s="15930"/>
      <c r="AE36" s="15930"/>
      <c r="AF36" s="15930"/>
      <c r="AG36" s="15930"/>
      <c r="AH36" s="15930"/>
      <c r="AI36" s="15930"/>
      <c r="AJ36" s="15930"/>
      <c r="AK36" s="15930"/>
      <c r="AL36" s="15930"/>
      <c r="AM36" s="15930"/>
      <c r="AN36" s="15930"/>
      <c r="AO36" s="15930"/>
      <c r="AP36" s="15930"/>
      <c r="AQ36" s="15930"/>
      <c r="AR36" s="15930"/>
      <c r="AS36" s="15930"/>
      <c r="AT36" s="15930"/>
      <c r="AU36" s="15930"/>
      <c r="AV36" s="15930"/>
      <c r="AW36" s="15930"/>
      <c r="AX36" s="15930"/>
      <c r="AY36" s="15930"/>
      <c r="AZ36" s="15930"/>
      <c r="BA36" s="15930"/>
      <c r="BB36" s="15930"/>
      <c r="BC36" s="15930"/>
      <c r="BD36" s="15930"/>
      <c r="BE36" s="15930"/>
      <c r="BF36" s="15930"/>
      <c r="BG36" s="15930"/>
      <c r="BH36" s="15930"/>
      <c r="BI36" s="15930"/>
      <c r="BJ36" s="15930"/>
      <c r="BK36" s="15930"/>
      <c r="BL36" s="15930"/>
      <c r="BM36" s="15930"/>
      <c r="BN36" s="15930"/>
      <c r="BO36" s="15930"/>
      <c r="BP36" s="15930"/>
      <c r="BQ36" s="15930"/>
      <c r="BR36" s="15930"/>
      <c r="BS36" s="15930"/>
      <c r="BT36" s="5096"/>
      <c r="BU36" s="5096"/>
      <c r="BV36" s="7103"/>
      <c r="BW36" s="7125"/>
    </row>
    <row r="37" spans="1:75" s="7080" customFormat="1" ht="15" customHeight="1">
      <c r="A37" s="16808"/>
      <c r="B37" s="7084" t="s">
        <v>5417</v>
      </c>
      <c r="C37" s="15376"/>
      <c r="D37" s="15376"/>
      <c r="E37" s="15376"/>
      <c r="F37" s="15376"/>
      <c r="G37" s="15376"/>
      <c r="H37" s="15376"/>
      <c r="I37" s="15376"/>
      <c r="J37" s="15376"/>
      <c r="K37" s="15376"/>
      <c r="L37" s="15376"/>
      <c r="M37" s="15376"/>
      <c r="N37" s="15376"/>
      <c r="O37" s="15376"/>
      <c r="P37" s="15376"/>
      <c r="Q37" s="15376"/>
      <c r="R37" s="15376"/>
      <c r="S37" s="15376"/>
      <c r="T37" s="15376"/>
      <c r="U37" s="15376"/>
      <c r="V37" s="15376"/>
      <c r="W37" s="15376"/>
      <c r="X37" s="7084" t="s">
        <v>218</v>
      </c>
      <c r="Y37" s="15376"/>
      <c r="Z37" s="7092"/>
      <c r="AA37" s="16786"/>
      <c r="AB37" s="16826"/>
      <c r="AC37" s="15930"/>
      <c r="AD37" s="15930"/>
      <c r="AE37" s="15930"/>
      <c r="AF37" s="15930"/>
      <c r="AG37" s="15930"/>
      <c r="AH37" s="15930"/>
      <c r="AI37" s="15930"/>
      <c r="AJ37" s="15930"/>
      <c r="AK37" s="15930"/>
      <c r="AL37" s="15930"/>
      <c r="AM37" s="15930"/>
      <c r="AN37" s="15930"/>
      <c r="AO37" s="15930"/>
      <c r="AP37" s="15930"/>
      <c r="AQ37" s="15930"/>
      <c r="AR37" s="15930"/>
      <c r="AS37" s="15930"/>
      <c r="AT37" s="15930"/>
      <c r="AU37" s="15930"/>
      <c r="AV37" s="15930"/>
      <c r="AW37" s="15930"/>
      <c r="AX37" s="15930"/>
      <c r="AY37" s="15930"/>
      <c r="AZ37" s="15930"/>
      <c r="BA37" s="15930"/>
      <c r="BB37" s="15930"/>
      <c r="BC37" s="15930"/>
      <c r="BD37" s="15930"/>
      <c r="BE37" s="15930"/>
      <c r="BF37" s="15930"/>
      <c r="BG37" s="15930"/>
      <c r="BH37" s="15930"/>
      <c r="BI37" s="15930"/>
      <c r="BJ37" s="15930"/>
      <c r="BK37" s="15930"/>
      <c r="BL37" s="15930"/>
      <c r="BM37" s="15930"/>
      <c r="BN37" s="15930"/>
      <c r="BO37" s="15930"/>
      <c r="BP37" s="15930"/>
      <c r="BQ37" s="15930"/>
      <c r="BR37" s="15930"/>
      <c r="BS37" s="15930"/>
      <c r="BT37" s="5096"/>
      <c r="BU37" s="5096"/>
      <c r="BV37" s="7103"/>
      <c r="BW37" s="7125"/>
    </row>
    <row r="38" spans="1:75" s="7080" customFormat="1" ht="15" customHeight="1">
      <c r="A38" s="16808"/>
      <c r="B38" s="7092" t="s">
        <v>5418</v>
      </c>
      <c r="C38" s="15376"/>
      <c r="D38" s="15376"/>
      <c r="E38" s="15376"/>
      <c r="F38" s="15376"/>
      <c r="G38" s="15376"/>
      <c r="H38" s="15376"/>
      <c r="I38" s="15376"/>
      <c r="J38" s="15376"/>
      <c r="K38" s="15376"/>
      <c r="L38" s="15376"/>
      <c r="M38" s="15376"/>
      <c r="N38" s="15376"/>
      <c r="O38" s="15376"/>
      <c r="P38" s="15376"/>
      <c r="Q38" s="15376"/>
      <c r="R38" s="15376"/>
      <c r="S38" s="15376"/>
      <c r="T38" s="15376"/>
      <c r="U38" s="15376"/>
      <c r="V38" s="15376"/>
      <c r="W38" s="15376"/>
      <c r="X38" s="7084" t="s">
        <v>4305</v>
      </c>
      <c r="Y38" s="15376"/>
      <c r="Z38" s="7092"/>
      <c r="AA38" s="16786"/>
      <c r="AB38" s="16826"/>
      <c r="AC38" s="15930"/>
      <c r="AD38" s="15930"/>
      <c r="AE38" s="15930"/>
      <c r="AF38" s="15930"/>
      <c r="AG38" s="15930"/>
      <c r="AH38" s="15930"/>
      <c r="AI38" s="15930"/>
      <c r="AJ38" s="15930"/>
      <c r="AK38" s="15930"/>
      <c r="AL38" s="15930"/>
      <c r="AM38" s="15930"/>
      <c r="AN38" s="15930"/>
      <c r="AO38" s="15930"/>
      <c r="AP38" s="15930"/>
      <c r="AQ38" s="15930"/>
      <c r="AR38" s="15930"/>
      <c r="AS38" s="15930"/>
      <c r="AT38" s="15930"/>
      <c r="AU38" s="15930"/>
      <c r="AV38" s="15930"/>
      <c r="AW38" s="15930"/>
      <c r="AX38" s="15930"/>
      <c r="AY38" s="15930"/>
      <c r="AZ38" s="15930"/>
      <c r="BA38" s="15930"/>
      <c r="BB38" s="15930"/>
      <c r="BC38" s="15930"/>
      <c r="BD38" s="15930"/>
      <c r="BE38" s="15930"/>
      <c r="BF38" s="15930"/>
      <c r="BG38" s="15930"/>
      <c r="BH38" s="15930"/>
      <c r="BI38" s="15930"/>
      <c r="BJ38" s="15930"/>
      <c r="BK38" s="15930"/>
      <c r="BL38" s="15930"/>
      <c r="BM38" s="15930"/>
      <c r="BN38" s="15930"/>
      <c r="BO38" s="15930"/>
      <c r="BP38" s="15930"/>
      <c r="BQ38" s="15930"/>
      <c r="BR38" s="15930"/>
      <c r="BS38" s="15930"/>
      <c r="BT38" s="5096"/>
      <c r="BU38" s="5096"/>
      <c r="BV38" s="7103"/>
      <c r="BW38" s="7125"/>
    </row>
    <row r="39" spans="1:75" s="7080" customFormat="1" ht="15" customHeight="1">
      <c r="A39" s="16808"/>
      <c r="B39" s="7092"/>
      <c r="C39" s="15376"/>
      <c r="D39" s="15376"/>
      <c r="E39" s="15376"/>
      <c r="F39" s="15376"/>
      <c r="G39" s="15376"/>
      <c r="H39" s="15376"/>
      <c r="I39" s="15376"/>
      <c r="J39" s="15376"/>
      <c r="K39" s="15376"/>
      <c r="L39" s="15376"/>
      <c r="M39" s="15376"/>
      <c r="N39" s="15376"/>
      <c r="O39" s="15376"/>
      <c r="P39" s="15376"/>
      <c r="Q39" s="15376"/>
      <c r="R39" s="15376"/>
      <c r="S39" s="15376"/>
      <c r="T39" s="15376"/>
      <c r="U39" s="15376"/>
      <c r="V39" s="15376"/>
      <c r="W39" s="15376"/>
      <c r="X39" s="7084" t="s">
        <v>4321</v>
      </c>
      <c r="Y39" s="5062"/>
      <c r="Z39" s="7092" t="s">
        <v>5416</v>
      </c>
      <c r="AA39" s="7093"/>
      <c r="AB39" s="7147"/>
      <c r="AC39" s="5096"/>
      <c r="AD39" s="5096"/>
      <c r="AE39" s="5096"/>
      <c r="AF39" s="5096"/>
      <c r="AG39" s="5096"/>
      <c r="AH39" s="5096"/>
      <c r="AI39" s="5096"/>
      <c r="AJ39" s="5096"/>
      <c r="AK39" s="5096"/>
      <c r="AL39" s="5096"/>
      <c r="AM39" s="5096"/>
      <c r="AN39" s="5096"/>
      <c r="AO39" s="5096"/>
      <c r="AP39" s="5096"/>
      <c r="AQ39" s="5096"/>
      <c r="AR39" s="5096"/>
      <c r="AS39" s="5096"/>
      <c r="AT39" s="5096"/>
      <c r="AU39" s="5096"/>
      <c r="AV39" s="5096"/>
      <c r="AW39" s="5096"/>
      <c r="AX39" s="5096"/>
      <c r="AY39" s="5096"/>
      <c r="AZ39" s="5096"/>
      <c r="BA39" s="5096"/>
      <c r="BB39" s="5096"/>
      <c r="BC39" s="5096"/>
      <c r="BD39" s="5096"/>
      <c r="BE39" s="5096"/>
      <c r="BF39" s="5096"/>
      <c r="BG39" s="5096"/>
      <c r="BH39" s="5096"/>
      <c r="BI39" s="5096"/>
      <c r="BJ39" s="5096"/>
      <c r="BK39" s="5096"/>
      <c r="BL39" s="5096"/>
      <c r="BM39" s="5096"/>
      <c r="BN39" s="5096"/>
      <c r="BO39" s="5096"/>
      <c r="BP39" s="5096"/>
      <c r="BQ39" s="5096"/>
      <c r="BR39" s="5096"/>
      <c r="BS39" s="5096"/>
      <c r="BT39" s="5096"/>
      <c r="BU39" s="5096"/>
      <c r="BV39" s="7103"/>
      <c r="BW39" s="7125"/>
    </row>
    <row r="40" spans="1:75" s="7080" customFormat="1" ht="15" customHeight="1">
      <c r="A40" s="16808"/>
      <c r="B40" s="7092" t="s">
        <v>5419</v>
      </c>
      <c r="C40" s="15376"/>
      <c r="D40" s="15376"/>
      <c r="E40" s="15376"/>
      <c r="F40" s="15376"/>
      <c r="G40" s="15376" t="s">
        <v>8253</v>
      </c>
      <c r="H40" s="15376" t="s">
        <v>5420</v>
      </c>
      <c r="I40" s="15376" t="s">
        <v>5421</v>
      </c>
      <c r="J40" s="15376" t="s">
        <v>5422</v>
      </c>
      <c r="K40" s="15376" t="s">
        <v>5423</v>
      </c>
      <c r="L40" s="15376" t="s">
        <v>5424</v>
      </c>
      <c r="M40" s="15376" t="s">
        <v>5425</v>
      </c>
      <c r="N40" s="15376" t="s">
        <v>5426</v>
      </c>
      <c r="O40" s="15376" t="s">
        <v>5427</v>
      </c>
      <c r="P40" s="15376" t="s">
        <v>5428</v>
      </c>
      <c r="Q40" s="15376" t="s">
        <v>5429</v>
      </c>
      <c r="R40" s="15376" t="s">
        <v>5430</v>
      </c>
      <c r="S40" s="15376" t="s">
        <v>5431</v>
      </c>
      <c r="T40" s="15376" t="s">
        <v>5432</v>
      </c>
      <c r="U40" s="15376" t="s">
        <v>5433</v>
      </c>
      <c r="V40" s="15376" t="s">
        <v>5434</v>
      </c>
      <c r="W40" s="15376" t="s">
        <v>5435</v>
      </c>
      <c r="X40" s="7084" t="s">
        <v>218</v>
      </c>
      <c r="Y40" s="15376" t="s">
        <v>5436</v>
      </c>
      <c r="Z40" s="7092" t="s">
        <v>545</v>
      </c>
      <c r="AA40" s="16786">
        <f>10000000*10</f>
        <v>100000000</v>
      </c>
      <c r="AB40" s="16826"/>
      <c r="AC40" s="15930"/>
      <c r="AD40" s="15930"/>
      <c r="AE40" s="15930"/>
      <c r="AF40" s="15930"/>
      <c r="AG40" s="15930"/>
      <c r="AH40" s="15930"/>
      <c r="AI40" s="15930"/>
      <c r="AJ40" s="15930"/>
      <c r="AK40" s="15930"/>
      <c r="AL40" s="15930"/>
      <c r="AM40" s="15930"/>
      <c r="AN40" s="15930"/>
      <c r="AO40" s="15930"/>
      <c r="AP40" s="15930"/>
      <c r="AQ40" s="15930"/>
      <c r="AR40" s="15930"/>
      <c r="AS40" s="15930"/>
      <c r="AT40" s="15930"/>
      <c r="AU40" s="15930"/>
      <c r="AV40" s="15930"/>
      <c r="AW40" s="15930"/>
      <c r="AX40" s="15930"/>
      <c r="AY40" s="15930"/>
      <c r="AZ40" s="15930"/>
      <c r="BA40" s="15930"/>
      <c r="BB40" s="15930"/>
      <c r="BC40" s="15930"/>
      <c r="BD40" s="15930"/>
      <c r="BE40" s="15930"/>
      <c r="BF40" s="15930"/>
      <c r="BG40" s="15930"/>
      <c r="BH40" s="15930"/>
      <c r="BI40" s="15930"/>
      <c r="BJ40" s="15930"/>
      <c r="BK40" s="15930"/>
      <c r="BL40" s="15930"/>
      <c r="BM40" s="15930"/>
      <c r="BN40" s="15930"/>
      <c r="BO40" s="15930"/>
      <c r="BP40" s="15930"/>
      <c r="BQ40" s="15930"/>
      <c r="BR40" s="15930"/>
      <c r="BS40" s="15930"/>
      <c r="BT40" s="5096"/>
      <c r="BU40" s="5096"/>
      <c r="BV40" s="7103"/>
      <c r="BW40" s="7125"/>
    </row>
    <row r="41" spans="1:75" s="7080" customFormat="1" ht="15" customHeight="1">
      <c r="A41" s="16808"/>
      <c r="B41" s="7092" t="s">
        <v>5437</v>
      </c>
      <c r="C41" s="15376"/>
      <c r="D41" s="15376"/>
      <c r="E41" s="15376"/>
      <c r="F41" s="15376"/>
      <c r="G41" s="15376"/>
      <c r="H41" s="15376"/>
      <c r="I41" s="15376"/>
      <c r="J41" s="15376"/>
      <c r="K41" s="15376"/>
      <c r="L41" s="15376"/>
      <c r="M41" s="15376"/>
      <c r="N41" s="15376"/>
      <c r="O41" s="15376"/>
      <c r="P41" s="15376"/>
      <c r="Q41" s="15376"/>
      <c r="R41" s="15376"/>
      <c r="S41" s="15376"/>
      <c r="T41" s="15376"/>
      <c r="U41" s="15376"/>
      <c r="V41" s="15376"/>
      <c r="W41" s="15376"/>
      <c r="X41" s="7084" t="s">
        <v>10072</v>
      </c>
      <c r="Y41" s="15376"/>
      <c r="Z41" s="7092"/>
      <c r="AA41" s="16786"/>
      <c r="AB41" s="16826"/>
      <c r="AC41" s="15930"/>
      <c r="AD41" s="15930"/>
      <c r="AE41" s="15930"/>
      <c r="AF41" s="15930"/>
      <c r="AG41" s="15930"/>
      <c r="AH41" s="15930"/>
      <c r="AI41" s="15930"/>
      <c r="AJ41" s="15930"/>
      <c r="AK41" s="15930"/>
      <c r="AL41" s="15930"/>
      <c r="AM41" s="15930"/>
      <c r="AN41" s="15930"/>
      <c r="AO41" s="15930"/>
      <c r="AP41" s="15930"/>
      <c r="AQ41" s="15930"/>
      <c r="AR41" s="15930"/>
      <c r="AS41" s="15930"/>
      <c r="AT41" s="15930"/>
      <c r="AU41" s="15930"/>
      <c r="AV41" s="15930"/>
      <c r="AW41" s="15930"/>
      <c r="AX41" s="15930"/>
      <c r="AY41" s="15930"/>
      <c r="AZ41" s="15930"/>
      <c r="BA41" s="15930"/>
      <c r="BB41" s="15930"/>
      <c r="BC41" s="15930"/>
      <c r="BD41" s="15930"/>
      <c r="BE41" s="15930"/>
      <c r="BF41" s="15930"/>
      <c r="BG41" s="15930"/>
      <c r="BH41" s="15930"/>
      <c r="BI41" s="15930"/>
      <c r="BJ41" s="15930"/>
      <c r="BK41" s="15930"/>
      <c r="BL41" s="15930"/>
      <c r="BM41" s="15930"/>
      <c r="BN41" s="15930"/>
      <c r="BO41" s="15930"/>
      <c r="BP41" s="15930"/>
      <c r="BQ41" s="15930"/>
      <c r="BR41" s="15930"/>
      <c r="BS41" s="15930"/>
      <c r="BT41" s="5096"/>
      <c r="BU41" s="5096"/>
      <c r="BV41" s="7103"/>
      <c r="BW41" s="7125"/>
    </row>
    <row r="42" spans="1:75" s="7080" customFormat="1" ht="15" customHeight="1">
      <c r="A42" s="16808"/>
      <c r="B42" s="15376" t="s">
        <v>5438</v>
      </c>
      <c r="C42" s="15376"/>
      <c r="D42" s="15376"/>
      <c r="E42" s="15376"/>
      <c r="F42" s="15376"/>
      <c r="G42" s="15376" t="s">
        <v>8254</v>
      </c>
      <c r="H42" s="15376" t="s">
        <v>5439</v>
      </c>
      <c r="I42" s="15376" t="s">
        <v>5440</v>
      </c>
      <c r="J42" s="15376" t="s">
        <v>5441</v>
      </c>
      <c r="K42" s="15376" t="s">
        <v>5442</v>
      </c>
      <c r="L42" s="15376" t="s">
        <v>5443</v>
      </c>
      <c r="M42" s="15376" t="s">
        <v>5444</v>
      </c>
      <c r="N42" s="15376" t="s">
        <v>5445</v>
      </c>
      <c r="O42" s="15376" t="s">
        <v>5446</v>
      </c>
      <c r="P42" s="15376" t="s">
        <v>5447</v>
      </c>
      <c r="Q42" s="15376" t="s">
        <v>5448</v>
      </c>
      <c r="R42" s="15376" t="s">
        <v>5449</v>
      </c>
      <c r="S42" s="15376" t="s">
        <v>5450</v>
      </c>
      <c r="T42" s="15376" t="s">
        <v>5451</v>
      </c>
      <c r="U42" s="15376" t="s">
        <v>5452</v>
      </c>
      <c r="V42" s="15376" t="s">
        <v>5453</v>
      </c>
      <c r="W42" s="15376" t="s">
        <v>5452</v>
      </c>
      <c r="X42" s="7084" t="s">
        <v>10092</v>
      </c>
      <c r="Y42" s="15376" t="s">
        <v>5454</v>
      </c>
      <c r="Z42" s="5062" t="s">
        <v>545</v>
      </c>
      <c r="AA42" s="7093">
        <f>(3749248152+6124895318+4905434887)*2</f>
        <v>29559156714</v>
      </c>
      <c r="AB42" s="7147"/>
      <c r="AC42" s="5096"/>
      <c r="AD42" s="5096"/>
      <c r="AE42" s="5096"/>
      <c r="AF42" s="5096"/>
      <c r="AG42" s="5096"/>
      <c r="AH42" s="5096"/>
      <c r="AI42" s="5096"/>
      <c r="AJ42" s="5096"/>
      <c r="AK42" s="5096"/>
      <c r="AL42" s="5096"/>
      <c r="AM42" s="5096"/>
      <c r="AN42" s="5096"/>
      <c r="AO42" s="5096"/>
      <c r="AP42" s="5096"/>
      <c r="AQ42" s="5096"/>
      <c r="AR42" s="5096"/>
      <c r="AS42" s="5096"/>
      <c r="AT42" s="5096"/>
      <c r="AU42" s="5096"/>
      <c r="AV42" s="5096"/>
      <c r="AW42" s="5096"/>
      <c r="AX42" s="5096"/>
      <c r="AY42" s="5096"/>
      <c r="AZ42" s="5096"/>
      <c r="BA42" s="5096"/>
      <c r="BB42" s="5096"/>
      <c r="BC42" s="5096"/>
      <c r="BD42" s="5096"/>
      <c r="BE42" s="5096"/>
      <c r="BF42" s="5096"/>
      <c r="BG42" s="5096"/>
      <c r="BH42" s="5096"/>
      <c r="BI42" s="5096"/>
      <c r="BJ42" s="5096"/>
      <c r="BK42" s="5096"/>
      <c r="BL42" s="5096"/>
      <c r="BM42" s="5096"/>
      <c r="BN42" s="5096"/>
      <c r="BO42" s="5096"/>
      <c r="BP42" s="5096"/>
      <c r="BQ42" s="5096"/>
      <c r="BR42" s="5096"/>
      <c r="BS42" s="5096"/>
      <c r="BT42" s="5096"/>
      <c r="BU42" s="5096"/>
      <c r="BV42" s="7103"/>
      <c r="BW42" s="7125"/>
    </row>
    <row r="43" spans="1:75" s="7080" customFormat="1" ht="15" customHeight="1">
      <c r="A43" s="16808"/>
      <c r="B43" s="15376"/>
      <c r="C43" s="15376"/>
      <c r="D43" s="15376"/>
      <c r="E43" s="15376"/>
      <c r="F43" s="15376"/>
      <c r="G43" s="15376"/>
      <c r="H43" s="15376"/>
      <c r="I43" s="15376"/>
      <c r="J43" s="15376"/>
      <c r="K43" s="15376"/>
      <c r="L43" s="15376"/>
      <c r="M43" s="15376"/>
      <c r="N43" s="15376"/>
      <c r="O43" s="15376"/>
      <c r="P43" s="15376"/>
      <c r="Q43" s="15376"/>
      <c r="R43" s="15376"/>
      <c r="S43" s="15376"/>
      <c r="T43" s="15376"/>
      <c r="U43" s="15376"/>
      <c r="V43" s="15376"/>
      <c r="W43" s="15376"/>
      <c r="X43" s="7084" t="s">
        <v>10063</v>
      </c>
      <c r="Y43" s="15376"/>
      <c r="Z43" s="5062"/>
      <c r="AA43" s="7093"/>
      <c r="AB43" s="7147"/>
      <c r="AC43" s="5096"/>
      <c r="AD43" s="5096"/>
      <c r="AE43" s="5096"/>
      <c r="AF43" s="5096"/>
      <c r="AG43" s="5096"/>
      <c r="AH43" s="5096"/>
      <c r="AI43" s="5096"/>
      <c r="AJ43" s="5096"/>
      <c r="AK43" s="5096"/>
      <c r="AL43" s="5096"/>
      <c r="AM43" s="5096"/>
      <c r="AN43" s="5096"/>
      <c r="AO43" s="5096"/>
      <c r="AP43" s="5096"/>
      <c r="AQ43" s="5096"/>
      <c r="AR43" s="5096"/>
      <c r="AS43" s="5096"/>
      <c r="AT43" s="5096"/>
      <c r="AU43" s="5096"/>
      <c r="AV43" s="5096"/>
      <c r="AW43" s="5096"/>
      <c r="AX43" s="5096"/>
      <c r="AY43" s="5096"/>
      <c r="AZ43" s="5096"/>
      <c r="BA43" s="5096"/>
      <c r="BB43" s="5096"/>
      <c r="BC43" s="5096"/>
      <c r="BD43" s="5096"/>
      <c r="BE43" s="5096"/>
      <c r="BF43" s="5096"/>
      <c r="BG43" s="5096"/>
      <c r="BH43" s="5096"/>
      <c r="BI43" s="5096"/>
      <c r="BJ43" s="5096"/>
      <c r="BK43" s="5096"/>
      <c r="BL43" s="5096"/>
      <c r="BM43" s="5096"/>
      <c r="BN43" s="5096"/>
      <c r="BO43" s="5096"/>
      <c r="BP43" s="5096"/>
      <c r="BQ43" s="5096"/>
      <c r="BR43" s="5096"/>
      <c r="BS43" s="5096"/>
      <c r="BT43" s="5096"/>
      <c r="BU43" s="5096"/>
      <c r="BV43" s="7103"/>
      <c r="BW43" s="7125"/>
    </row>
    <row r="44" spans="1:75" s="7080" customFormat="1" ht="15" customHeight="1">
      <c r="A44" s="16808"/>
      <c r="B44" s="15376"/>
      <c r="C44" s="15376"/>
      <c r="D44" s="15376"/>
      <c r="E44" s="15376"/>
      <c r="F44" s="15376"/>
      <c r="G44" s="5062" t="s">
        <v>8255</v>
      </c>
      <c r="H44" s="7092" t="s">
        <v>5455</v>
      </c>
      <c r="I44" s="5062" t="s">
        <v>5456</v>
      </c>
      <c r="J44" s="5062" t="s">
        <v>5457</v>
      </c>
      <c r="K44" s="5062" t="s">
        <v>5458</v>
      </c>
      <c r="L44" s="5062" t="s">
        <v>5459</v>
      </c>
      <c r="M44" s="5062" t="s">
        <v>5460</v>
      </c>
      <c r="N44" s="5062" t="s">
        <v>5461</v>
      </c>
      <c r="O44" s="5062" t="s">
        <v>5462</v>
      </c>
      <c r="P44" s="5062" t="s">
        <v>5463</v>
      </c>
      <c r="Q44" s="5062" t="s">
        <v>5464</v>
      </c>
      <c r="R44" s="5062" t="s">
        <v>5465</v>
      </c>
      <c r="S44" s="5062" t="s">
        <v>5466</v>
      </c>
      <c r="T44" s="5062" t="s">
        <v>5467</v>
      </c>
      <c r="U44" s="5062" t="s">
        <v>5468</v>
      </c>
      <c r="V44" s="5062" t="s">
        <v>5469</v>
      </c>
      <c r="W44" s="5062" t="s">
        <v>5470</v>
      </c>
      <c r="X44" s="7084" t="s">
        <v>10063</v>
      </c>
      <c r="Y44" s="5062" t="s">
        <v>144</v>
      </c>
      <c r="Z44" s="5062" t="s">
        <v>545</v>
      </c>
      <c r="AA44" s="7093">
        <f>800000000*7</f>
        <v>5600000000</v>
      </c>
      <c r="AB44" s="7147"/>
      <c r="AC44" s="5096"/>
      <c r="AD44" s="5096"/>
      <c r="AE44" s="5096"/>
      <c r="AF44" s="5096"/>
      <c r="AG44" s="5096"/>
      <c r="AH44" s="5096"/>
      <c r="AI44" s="5096"/>
      <c r="AJ44" s="5096"/>
      <c r="AK44" s="5096"/>
      <c r="AL44" s="5096"/>
      <c r="AM44" s="5096"/>
      <c r="AN44" s="5096"/>
      <c r="AO44" s="5096"/>
      <c r="AP44" s="5096"/>
      <c r="AQ44" s="5096"/>
      <c r="AR44" s="5096"/>
      <c r="AS44" s="5096"/>
      <c r="AT44" s="5096"/>
      <c r="AU44" s="5096"/>
      <c r="AV44" s="5096"/>
      <c r="AW44" s="5096"/>
      <c r="AX44" s="5096"/>
      <c r="AY44" s="5096"/>
      <c r="AZ44" s="5096"/>
      <c r="BA44" s="5096"/>
      <c r="BB44" s="5096"/>
      <c r="BC44" s="5096"/>
      <c r="BD44" s="5096"/>
      <c r="BE44" s="5096"/>
      <c r="BF44" s="5096"/>
      <c r="BG44" s="5096"/>
      <c r="BH44" s="5096"/>
      <c r="BI44" s="5096"/>
      <c r="BJ44" s="5096"/>
      <c r="BK44" s="5096"/>
      <c r="BL44" s="5096"/>
      <c r="BM44" s="5096"/>
      <c r="BN44" s="5096"/>
      <c r="BO44" s="5096"/>
      <c r="BP44" s="5096"/>
      <c r="BQ44" s="5096"/>
      <c r="BR44" s="5096"/>
      <c r="BS44" s="5096"/>
      <c r="BT44" s="5096"/>
      <c r="BU44" s="5096"/>
      <c r="BV44" s="7103"/>
      <c r="BW44" s="7125"/>
    </row>
    <row r="45" spans="1:75" s="7080" customFormat="1" ht="15" customHeight="1">
      <c r="A45" s="16808"/>
      <c r="B45" s="15376"/>
      <c r="C45" s="15376"/>
      <c r="D45" s="15376"/>
      <c r="E45" s="15376"/>
      <c r="F45" s="15376"/>
      <c r="G45" s="15376" t="s">
        <v>8256</v>
      </c>
      <c r="H45" s="15376" t="s">
        <v>5471</v>
      </c>
      <c r="I45" s="15376" t="s">
        <v>5472</v>
      </c>
      <c r="J45" s="15376" t="s">
        <v>5473</v>
      </c>
      <c r="K45" s="15376" t="s">
        <v>5474</v>
      </c>
      <c r="L45" s="15376" t="s">
        <v>5475</v>
      </c>
      <c r="M45" s="15376" t="s">
        <v>5476</v>
      </c>
      <c r="N45" s="15376" t="s">
        <v>5477</v>
      </c>
      <c r="O45" s="15376" t="s">
        <v>5478</v>
      </c>
      <c r="P45" s="15376" t="s">
        <v>5479</v>
      </c>
      <c r="Q45" s="15376" t="s">
        <v>5480</v>
      </c>
      <c r="R45" s="15376" t="s">
        <v>5481</v>
      </c>
      <c r="S45" s="15376" t="s">
        <v>5482</v>
      </c>
      <c r="T45" s="15376" t="s">
        <v>5483</v>
      </c>
      <c r="U45" s="15376" t="s">
        <v>5484</v>
      </c>
      <c r="V45" s="15376" t="s">
        <v>5485</v>
      </c>
      <c r="W45" s="15376" t="s">
        <v>5486</v>
      </c>
      <c r="X45" s="7084" t="s">
        <v>86</v>
      </c>
      <c r="Y45" s="15376" t="s">
        <v>5487</v>
      </c>
      <c r="Z45" s="5096"/>
      <c r="AA45" s="7093">
        <f>48000000+(((2524000*12)*3)/2)*10</f>
        <v>502320000</v>
      </c>
      <c r="AB45" s="7147"/>
      <c r="AC45" s="5096"/>
      <c r="AD45" s="5096"/>
      <c r="AE45" s="5096"/>
      <c r="AF45" s="5096"/>
      <c r="AG45" s="5096"/>
      <c r="AH45" s="5096"/>
      <c r="AI45" s="5096"/>
      <c r="AJ45" s="5096"/>
      <c r="AK45" s="5096"/>
      <c r="AL45" s="5096"/>
      <c r="AM45" s="5096"/>
      <c r="AN45" s="5096"/>
      <c r="AO45" s="5096"/>
      <c r="AP45" s="5096"/>
      <c r="AQ45" s="5096"/>
      <c r="AR45" s="5096"/>
      <c r="AS45" s="5096"/>
      <c r="AT45" s="5096"/>
      <c r="AU45" s="5096"/>
      <c r="AV45" s="5096"/>
      <c r="AW45" s="5096"/>
      <c r="AX45" s="5096"/>
      <c r="AY45" s="5096"/>
      <c r="AZ45" s="5096"/>
      <c r="BA45" s="5096"/>
      <c r="BB45" s="5096"/>
      <c r="BC45" s="5096"/>
      <c r="BD45" s="5096"/>
      <c r="BE45" s="5096"/>
      <c r="BF45" s="5096"/>
      <c r="BG45" s="5096"/>
      <c r="BH45" s="5096"/>
      <c r="BI45" s="5096"/>
      <c r="BJ45" s="5096"/>
      <c r="BK45" s="5096"/>
      <c r="BL45" s="5096"/>
      <c r="BM45" s="5096"/>
      <c r="BN45" s="5096"/>
      <c r="BO45" s="5096"/>
      <c r="BP45" s="5096"/>
      <c r="BQ45" s="5096"/>
      <c r="BR45" s="5096"/>
      <c r="BS45" s="5096"/>
      <c r="BT45" s="5096"/>
      <c r="BU45" s="5096"/>
      <c r="BV45" s="7103"/>
      <c r="BW45" s="7125"/>
    </row>
    <row r="46" spans="1:75" s="7080" customFormat="1" ht="15" customHeight="1">
      <c r="A46" s="16808"/>
      <c r="B46" s="5062"/>
      <c r="C46" s="15376"/>
      <c r="D46" s="15376"/>
      <c r="E46" s="15376"/>
      <c r="F46" s="15376"/>
      <c r="G46" s="15376"/>
      <c r="H46" s="15376"/>
      <c r="I46" s="15376"/>
      <c r="J46" s="15376"/>
      <c r="K46" s="15376"/>
      <c r="L46" s="15376"/>
      <c r="M46" s="15376"/>
      <c r="N46" s="15376"/>
      <c r="O46" s="15376"/>
      <c r="P46" s="15376"/>
      <c r="Q46" s="15376"/>
      <c r="R46" s="15376"/>
      <c r="S46" s="15376"/>
      <c r="T46" s="15376"/>
      <c r="U46" s="15376"/>
      <c r="V46" s="15376"/>
      <c r="W46" s="15376"/>
      <c r="X46" s="7084" t="s">
        <v>10063</v>
      </c>
      <c r="Y46" s="15376"/>
      <c r="Z46" s="5062"/>
      <c r="AA46" s="7093"/>
      <c r="AB46" s="7147"/>
      <c r="AC46" s="5096"/>
      <c r="AD46" s="5096"/>
      <c r="AE46" s="5096"/>
      <c r="AF46" s="5096"/>
      <c r="AG46" s="5096"/>
      <c r="AH46" s="5096"/>
      <c r="AI46" s="5096"/>
      <c r="AJ46" s="5096"/>
      <c r="AK46" s="5096"/>
      <c r="AL46" s="5096"/>
      <c r="AM46" s="5096"/>
      <c r="AN46" s="5096"/>
      <c r="AO46" s="5096"/>
      <c r="AP46" s="5096"/>
      <c r="AQ46" s="5096"/>
      <c r="AR46" s="5096"/>
      <c r="AS46" s="5096"/>
      <c r="AT46" s="5096"/>
      <c r="AU46" s="5096"/>
      <c r="AV46" s="5096"/>
      <c r="AW46" s="5096"/>
      <c r="AX46" s="5096"/>
      <c r="AY46" s="5096"/>
      <c r="AZ46" s="5096"/>
      <c r="BA46" s="5096"/>
      <c r="BB46" s="5096"/>
      <c r="BC46" s="5096"/>
      <c r="BD46" s="5096"/>
      <c r="BE46" s="5096"/>
      <c r="BF46" s="5096"/>
      <c r="BG46" s="5096"/>
      <c r="BH46" s="5096"/>
      <c r="BI46" s="5096"/>
      <c r="BJ46" s="5096"/>
      <c r="BK46" s="5096"/>
      <c r="BL46" s="5096"/>
      <c r="BM46" s="5096"/>
      <c r="BN46" s="5096"/>
      <c r="BO46" s="5096"/>
      <c r="BP46" s="5096"/>
      <c r="BQ46" s="5096"/>
      <c r="BR46" s="5096"/>
      <c r="BS46" s="5096"/>
      <c r="BT46" s="5096"/>
      <c r="BU46" s="5096"/>
      <c r="BV46" s="7103"/>
      <c r="BW46" s="7125"/>
    </row>
    <row r="47" spans="1:75" s="7080" customFormat="1" ht="15" customHeight="1">
      <c r="A47" s="16808"/>
      <c r="B47" s="5062"/>
      <c r="C47" s="15376"/>
      <c r="D47" s="15376"/>
      <c r="E47" s="15376"/>
      <c r="F47" s="15376"/>
      <c r="G47" s="15376"/>
      <c r="H47" s="15376"/>
      <c r="I47" s="15376"/>
      <c r="J47" s="15376"/>
      <c r="K47" s="15376"/>
      <c r="L47" s="15376"/>
      <c r="M47" s="15376"/>
      <c r="N47" s="15376"/>
      <c r="O47" s="15376"/>
      <c r="P47" s="15376"/>
      <c r="Q47" s="15376"/>
      <c r="R47" s="15376"/>
      <c r="S47" s="15376"/>
      <c r="T47" s="15376"/>
      <c r="U47" s="15376"/>
      <c r="V47" s="15376"/>
      <c r="W47" s="15376"/>
      <c r="X47" s="7084" t="s">
        <v>10199</v>
      </c>
      <c r="Y47" s="5062"/>
      <c r="Z47" s="5062" t="s">
        <v>10293</v>
      </c>
      <c r="AA47" s="7093"/>
      <c r="AB47" s="7147"/>
      <c r="AC47" s="5096"/>
      <c r="AD47" s="5096"/>
      <c r="AE47" s="5096"/>
      <c r="AF47" s="5096"/>
      <c r="AG47" s="5096"/>
      <c r="AH47" s="5096"/>
      <c r="AI47" s="5096"/>
      <c r="AJ47" s="5096"/>
      <c r="AK47" s="5096"/>
      <c r="AL47" s="5096"/>
      <c r="AM47" s="5096"/>
      <c r="AN47" s="5096"/>
      <c r="AO47" s="5096"/>
      <c r="AP47" s="5096"/>
      <c r="AQ47" s="5096"/>
      <c r="AR47" s="5096"/>
      <c r="AS47" s="5096"/>
      <c r="AT47" s="5096"/>
      <c r="AU47" s="5096"/>
      <c r="AV47" s="5096"/>
      <c r="AW47" s="5096"/>
      <c r="AX47" s="5096"/>
      <c r="AY47" s="5096"/>
      <c r="AZ47" s="5096"/>
      <c r="BA47" s="5096"/>
      <c r="BB47" s="5096"/>
      <c r="BC47" s="5096"/>
      <c r="BD47" s="5096"/>
      <c r="BE47" s="5096"/>
      <c r="BF47" s="5096"/>
      <c r="BG47" s="5096"/>
      <c r="BH47" s="5096"/>
      <c r="BI47" s="5096"/>
      <c r="BJ47" s="5096"/>
      <c r="BK47" s="5096"/>
      <c r="BL47" s="5096"/>
      <c r="BM47" s="5096"/>
      <c r="BN47" s="5096"/>
      <c r="BO47" s="5096"/>
      <c r="BP47" s="5096"/>
      <c r="BQ47" s="5096"/>
      <c r="BR47" s="5096"/>
      <c r="BS47" s="5096"/>
      <c r="BT47" s="5096"/>
      <c r="BU47" s="5096"/>
      <c r="BV47" s="7103"/>
      <c r="BW47" s="7125"/>
    </row>
    <row r="48" spans="1:75" s="7080" customFormat="1" ht="15" customHeight="1">
      <c r="A48" s="16808"/>
      <c r="B48" s="5062"/>
      <c r="C48" s="15376"/>
      <c r="D48" s="15376"/>
      <c r="E48" s="15376"/>
      <c r="F48" s="15376"/>
      <c r="G48" s="15376"/>
      <c r="H48" s="15376"/>
      <c r="I48" s="15376"/>
      <c r="J48" s="15376"/>
      <c r="K48" s="15376"/>
      <c r="L48" s="15376"/>
      <c r="M48" s="15376"/>
      <c r="N48" s="15376"/>
      <c r="O48" s="15376"/>
      <c r="P48" s="15376"/>
      <c r="Q48" s="15376"/>
      <c r="R48" s="15376"/>
      <c r="S48" s="15376"/>
      <c r="T48" s="15376"/>
      <c r="U48" s="15376"/>
      <c r="V48" s="15376"/>
      <c r="W48" s="15376"/>
      <c r="X48" s="7084" t="s">
        <v>4338</v>
      </c>
      <c r="Y48" s="5062"/>
      <c r="Z48" s="5062" t="s">
        <v>10294</v>
      </c>
      <c r="AA48" s="7093"/>
      <c r="AB48" s="7147"/>
      <c r="AC48" s="5096"/>
      <c r="AD48" s="5096"/>
      <c r="AE48" s="5096"/>
      <c r="AF48" s="5096"/>
      <c r="AG48" s="5096"/>
      <c r="AH48" s="5096"/>
      <c r="AI48" s="5096"/>
      <c r="AJ48" s="5096"/>
      <c r="AK48" s="5096"/>
      <c r="AL48" s="5096"/>
      <c r="AM48" s="5096"/>
      <c r="AN48" s="5096"/>
      <c r="AO48" s="5096"/>
      <c r="AP48" s="5096"/>
      <c r="AQ48" s="5096"/>
      <c r="AR48" s="5096"/>
      <c r="AS48" s="5096"/>
      <c r="AT48" s="5096"/>
      <c r="AU48" s="5096"/>
      <c r="AV48" s="5096"/>
      <c r="AW48" s="5096"/>
      <c r="AX48" s="5096"/>
      <c r="AY48" s="5096"/>
      <c r="AZ48" s="5096"/>
      <c r="BA48" s="5096"/>
      <c r="BB48" s="5096"/>
      <c r="BC48" s="5096"/>
      <c r="BD48" s="5096"/>
      <c r="BE48" s="5096"/>
      <c r="BF48" s="5096"/>
      <c r="BG48" s="5096"/>
      <c r="BH48" s="5096"/>
      <c r="BI48" s="5096"/>
      <c r="BJ48" s="5096"/>
      <c r="BK48" s="5096"/>
      <c r="BL48" s="5096"/>
      <c r="BM48" s="5096"/>
      <c r="BN48" s="5096"/>
      <c r="BO48" s="5096"/>
      <c r="BP48" s="5096"/>
      <c r="BQ48" s="5096"/>
      <c r="BR48" s="5096"/>
      <c r="BS48" s="5096"/>
      <c r="BT48" s="5096"/>
      <c r="BU48" s="5096"/>
      <c r="BV48" s="7103"/>
      <c r="BW48" s="7125"/>
    </row>
    <row r="49" spans="1:75" s="7080" customFormat="1" ht="15" customHeight="1">
      <c r="A49" s="16808"/>
      <c r="B49" s="5062"/>
      <c r="C49" s="15376"/>
      <c r="D49" s="15376"/>
      <c r="E49" s="15376"/>
      <c r="F49" s="15376"/>
      <c r="G49" s="15376"/>
      <c r="H49" s="15376"/>
      <c r="I49" s="15376"/>
      <c r="J49" s="15376"/>
      <c r="K49" s="15376"/>
      <c r="L49" s="15376"/>
      <c r="M49" s="15376"/>
      <c r="N49" s="15376"/>
      <c r="O49" s="15376"/>
      <c r="P49" s="15376"/>
      <c r="Q49" s="15376"/>
      <c r="R49" s="15376"/>
      <c r="S49" s="15376"/>
      <c r="T49" s="15376"/>
      <c r="U49" s="15376"/>
      <c r="V49" s="15376"/>
      <c r="W49" s="15376"/>
      <c r="X49" s="7084" t="s">
        <v>10273</v>
      </c>
      <c r="Y49" s="5062"/>
      <c r="Z49" s="5062" t="s">
        <v>10295</v>
      </c>
      <c r="AA49" s="7093"/>
      <c r="AB49" s="7147"/>
      <c r="AC49" s="5096"/>
      <c r="AD49" s="5096"/>
      <c r="AE49" s="5096"/>
      <c r="AF49" s="5096"/>
      <c r="AG49" s="5096"/>
      <c r="AH49" s="5096"/>
      <c r="AI49" s="5096"/>
      <c r="AJ49" s="5096"/>
      <c r="AK49" s="5096"/>
      <c r="AL49" s="5096"/>
      <c r="AM49" s="5096"/>
      <c r="AN49" s="5096"/>
      <c r="AO49" s="5096"/>
      <c r="AP49" s="5096"/>
      <c r="AQ49" s="5096"/>
      <c r="AR49" s="5096"/>
      <c r="AS49" s="5096"/>
      <c r="AT49" s="5096"/>
      <c r="AU49" s="5096"/>
      <c r="AV49" s="5096"/>
      <c r="AW49" s="5096"/>
      <c r="AX49" s="5096"/>
      <c r="AY49" s="5096"/>
      <c r="AZ49" s="5096"/>
      <c r="BA49" s="5096"/>
      <c r="BB49" s="5096"/>
      <c r="BC49" s="5096"/>
      <c r="BD49" s="5096"/>
      <c r="BE49" s="5096"/>
      <c r="BF49" s="5096"/>
      <c r="BG49" s="5096"/>
      <c r="BH49" s="5096"/>
      <c r="BI49" s="5096"/>
      <c r="BJ49" s="5096"/>
      <c r="BK49" s="5096"/>
      <c r="BL49" s="5096"/>
      <c r="BM49" s="5096"/>
      <c r="BN49" s="5096"/>
      <c r="BO49" s="5096"/>
      <c r="BP49" s="5096"/>
      <c r="BQ49" s="5096"/>
      <c r="BR49" s="5096"/>
      <c r="BS49" s="5096"/>
      <c r="BT49" s="5096"/>
      <c r="BU49" s="5096"/>
      <c r="BV49" s="7103"/>
      <c r="BW49" s="7125"/>
    </row>
    <row r="50" spans="1:75" s="7080" customFormat="1" ht="15" customHeight="1">
      <c r="A50" s="16808"/>
      <c r="B50" s="7092" t="s">
        <v>5488</v>
      </c>
      <c r="C50" s="15376"/>
      <c r="D50" s="15376"/>
      <c r="E50" s="15376"/>
      <c r="F50" s="15376"/>
      <c r="G50" s="5062" t="s">
        <v>8257</v>
      </c>
      <c r="H50" s="7092" t="s">
        <v>5489</v>
      </c>
      <c r="I50" s="5062" t="s">
        <v>5490</v>
      </c>
      <c r="J50" s="5062" t="s">
        <v>5491</v>
      </c>
      <c r="K50" s="5062" t="s">
        <v>545</v>
      </c>
      <c r="L50" s="5062" t="s">
        <v>5492</v>
      </c>
      <c r="M50" s="5062" t="s">
        <v>5493</v>
      </c>
      <c r="N50" s="5062" t="s">
        <v>5494</v>
      </c>
      <c r="O50" s="5062" t="s">
        <v>5495</v>
      </c>
      <c r="P50" s="5062" t="s">
        <v>5496</v>
      </c>
      <c r="Q50" s="5062" t="s">
        <v>5497</v>
      </c>
      <c r="R50" s="5062" t="s">
        <v>5498</v>
      </c>
      <c r="S50" s="5062" t="s">
        <v>5499</v>
      </c>
      <c r="T50" s="5062" t="s">
        <v>5500</v>
      </c>
      <c r="U50" s="5062" t="s">
        <v>5501</v>
      </c>
      <c r="V50" s="5062" t="s">
        <v>5502</v>
      </c>
      <c r="W50" s="5062" t="s">
        <v>5501</v>
      </c>
      <c r="X50" s="7084" t="s">
        <v>10063</v>
      </c>
      <c r="Y50" s="7092" t="s">
        <v>724</v>
      </c>
      <c r="Z50" s="7092" t="s">
        <v>545</v>
      </c>
      <c r="AA50" s="7141">
        <f>(7500000)*12*10</f>
        <v>900000000</v>
      </c>
      <c r="AB50" s="7147"/>
      <c r="AC50" s="5096"/>
      <c r="AD50" s="5096"/>
      <c r="AE50" s="5096"/>
      <c r="AF50" s="5096"/>
      <c r="AG50" s="5096"/>
      <c r="AH50" s="5096"/>
      <c r="AI50" s="5096"/>
      <c r="AJ50" s="5096"/>
      <c r="AK50" s="5096"/>
      <c r="AL50" s="5096"/>
      <c r="AM50" s="5096"/>
      <c r="AN50" s="5096"/>
      <c r="AO50" s="5096"/>
      <c r="AP50" s="5096"/>
      <c r="AQ50" s="5096"/>
      <c r="AR50" s="5096"/>
      <c r="AS50" s="5096"/>
      <c r="AT50" s="5096"/>
      <c r="AU50" s="5096"/>
      <c r="AV50" s="5096"/>
      <c r="AW50" s="5096"/>
      <c r="AX50" s="5096"/>
      <c r="AY50" s="5096"/>
      <c r="AZ50" s="5096"/>
      <c r="BA50" s="5096"/>
      <c r="BB50" s="5096"/>
      <c r="BC50" s="5096"/>
      <c r="BD50" s="5096"/>
      <c r="BE50" s="5096"/>
      <c r="BF50" s="5096"/>
      <c r="BG50" s="5096"/>
      <c r="BH50" s="5096"/>
      <c r="BI50" s="5096"/>
      <c r="BJ50" s="5096"/>
      <c r="BK50" s="5096"/>
      <c r="BL50" s="5096"/>
      <c r="BM50" s="5096"/>
      <c r="BN50" s="5096"/>
      <c r="BO50" s="5096"/>
      <c r="BP50" s="5096"/>
      <c r="BQ50" s="5096"/>
      <c r="BR50" s="5096"/>
      <c r="BS50" s="5096"/>
      <c r="BT50" s="5096"/>
      <c r="BU50" s="5096"/>
      <c r="BV50" s="7103"/>
      <c r="BW50" s="7125"/>
    </row>
    <row r="51" spans="1:75" s="7080" customFormat="1" ht="15" customHeight="1">
      <c r="A51" s="16808"/>
      <c r="B51" s="7084" t="s">
        <v>5503</v>
      </c>
      <c r="C51" s="15376"/>
      <c r="D51" s="15376"/>
      <c r="E51" s="15376"/>
      <c r="F51" s="15376"/>
      <c r="G51" s="5062" t="s">
        <v>8258</v>
      </c>
      <c r="H51" s="7092" t="s">
        <v>5504</v>
      </c>
      <c r="I51" s="7084" t="s">
        <v>5505</v>
      </c>
      <c r="J51" s="7084" t="s">
        <v>5506</v>
      </c>
      <c r="K51" s="7084" t="s">
        <v>5507</v>
      </c>
      <c r="L51" s="5062" t="s">
        <v>5508</v>
      </c>
      <c r="M51" s="7084" t="s">
        <v>5509</v>
      </c>
      <c r="N51" s="7084" t="s">
        <v>5510</v>
      </c>
      <c r="O51" s="7084" t="s">
        <v>5511</v>
      </c>
      <c r="P51" s="7084" t="s">
        <v>5512</v>
      </c>
      <c r="Q51" s="7084" t="s">
        <v>5513</v>
      </c>
      <c r="R51" s="7084" t="s">
        <v>5514</v>
      </c>
      <c r="S51" s="7084" t="s">
        <v>5515</v>
      </c>
      <c r="T51" s="7084" t="s">
        <v>5516</v>
      </c>
      <c r="U51" s="7084" t="s">
        <v>5517</v>
      </c>
      <c r="V51" s="7084" t="s">
        <v>5518</v>
      </c>
      <c r="W51" s="7084" t="s">
        <v>5517</v>
      </c>
      <c r="X51" s="7084" t="s">
        <v>10063</v>
      </c>
      <c r="Y51" s="7093" t="s">
        <v>724</v>
      </c>
      <c r="Z51" s="7136" t="s">
        <v>5519</v>
      </c>
      <c r="AA51" s="6516">
        <f>3700000000*10</f>
        <v>37000000000</v>
      </c>
      <c r="AB51" s="7147"/>
      <c r="AC51" s="5096"/>
      <c r="AD51" s="5096"/>
      <c r="AE51" s="5096"/>
      <c r="AF51" s="5096"/>
      <c r="AG51" s="5096"/>
      <c r="AH51" s="5096"/>
      <c r="AI51" s="5096"/>
      <c r="AJ51" s="5096"/>
      <c r="AK51" s="5096"/>
      <c r="AL51" s="5096"/>
      <c r="AM51" s="5096"/>
      <c r="AN51" s="5096"/>
      <c r="AO51" s="5096"/>
      <c r="AP51" s="5096"/>
      <c r="AQ51" s="5096"/>
      <c r="AR51" s="5096"/>
      <c r="AS51" s="5096"/>
      <c r="AT51" s="5096"/>
      <c r="AU51" s="5096"/>
      <c r="AV51" s="5096"/>
      <c r="AW51" s="5096"/>
      <c r="AX51" s="5096"/>
      <c r="AY51" s="5096"/>
      <c r="AZ51" s="5096"/>
      <c r="BA51" s="5096"/>
      <c r="BB51" s="5096"/>
      <c r="BC51" s="5096"/>
      <c r="BD51" s="5096"/>
      <c r="BE51" s="5096"/>
      <c r="BF51" s="5096"/>
      <c r="BG51" s="5096"/>
      <c r="BH51" s="5096"/>
      <c r="BI51" s="5096"/>
      <c r="BJ51" s="5096"/>
      <c r="BK51" s="5096"/>
      <c r="BL51" s="5096"/>
      <c r="BM51" s="5096"/>
      <c r="BN51" s="5096"/>
      <c r="BO51" s="5096"/>
      <c r="BP51" s="5096"/>
      <c r="BQ51" s="5096"/>
      <c r="BR51" s="5096"/>
      <c r="BS51" s="5096"/>
      <c r="BT51" s="5096"/>
      <c r="BU51" s="5096"/>
      <c r="BV51" s="7103"/>
      <c r="BW51" s="7125"/>
    </row>
    <row r="52" spans="1:75" s="7080" customFormat="1" ht="15" customHeight="1">
      <c r="A52" s="16808"/>
      <c r="B52" s="7092" t="s">
        <v>5520</v>
      </c>
      <c r="C52" s="15376" t="s">
        <v>5521</v>
      </c>
      <c r="D52" s="16788" t="s">
        <v>5522</v>
      </c>
      <c r="E52" s="15930" t="s">
        <v>5523</v>
      </c>
      <c r="F52" s="15930" t="s">
        <v>5524</v>
      </c>
      <c r="G52" s="15930" t="s">
        <v>8259</v>
      </c>
      <c r="H52" s="16790" t="s">
        <v>5525</v>
      </c>
      <c r="I52" s="15930" t="s">
        <v>5526</v>
      </c>
      <c r="J52" s="15930" t="s">
        <v>5422</v>
      </c>
      <c r="K52" s="15930" t="s">
        <v>5527</v>
      </c>
      <c r="L52" s="15930" t="s">
        <v>5528</v>
      </c>
      <c r="M52" s="15930" t="s">
        <v>5529</v>
      </c>
      <c r="N52" s="15930" t="s">
        <v>5530</v>
      </c>
      <c r="O52" s="15930" t="s">
        <v>5531</v>
      </c>
      <c r="P52" s="15930" t="s">
        <v>5532</v>
      </c>
      <c r="Q52" s="15930" t="s">
        <v>5533</v>
      </c>
      <c r="R52" s="15930" t="s">
        <v>5534</v>
      </c>
      <c r="S52" s="15930" t="s">
        <v>5535</v>
      </c>
      <c r="T52" s="15930" t="s">
        <v>5536</v>
      </c>
      <c r="U52" s="15930" t="s">
        <v>5537</v>
      </c>
      <c r="V52" s="15930" t="s">
        <v>5538</v>
      </c>
      <c r="W52" s="15930" t="s">
        <v>5539</v>
      </c>
      <c r="X52" s="7085" t="s">
        <v>10063</v>
      </c>
      <c r="Y52" s="4622" t="s">
        <v>724</v>
      </c>
      <c r="Z52" s="5096"/>
      <c r="AA52" s="16786">
        <f>((1664000*12)*10)/2</f>
        <v>99840000</v>
      </c>
      <c r="AB52" s="16826"/>
      <c r="AC52" s="15930"/>
      <c r="AD52" s="15930"/>
      <c r="AE52" s="15930"/>
      <c r="AF52" s="15930"/>
      <c r="AG52" s="15930"/>
      <c r="AH52" s="15930"/>
      <c r="AI52" s="15930"/>
      <c r="AJ52" s="15930"/>
      <c r="AK52" s="15930"/>
      <c r="AL52" s="15930"/>
      <c r="AM52" s="15930"/>
      <c r="AN52" s="15930"/>
      <c r="AO52" s="15930"/>
      <c r="AP52" s="15930"/>
      <c r="AQ52" s="15930"/>
      <c r="AR52" s="15930"/>
      <c r="AS52" s="15930"/>
      <c r="AT52" s="15930"/>
      <c r="AU52" s="15930"/>
      <c r="AV52" s="15930"/>
      <c r="AW52" s="15930"/>
      <c r="AX52" s="15930"/>
      <c r="AY52" s="15930"/>
      <c r="AZ52" s="15930"/>
      <c r="BA52" s="15930"/>
      <c r="BB52" s="15930"/>
      <c r="BC52" s="15930"/>
      <c r="BD52" s="15930"/>
      <c r="BE52" s="15930"/>
      <c r="BF52" s="15930"/>
      <c r="BG52" s="15930"/>
      <c r="BH52" s="15930"/>
      <c r="BI52" s="15930"/>
      <c r="BJ52" s="15930"/>
      <c r="BK52" s="15930"/>
      <c r="BL52" s="15930"/>
      <c r="BM52" s="15930"/>
      <c r="BN52" s="15930"/>
      <c r="BO52" s="15930"/>
      <c r="BP52" s="15930"/>
      <c r="BQ52" s="15930"/>
      <c r="BR52" s="15930"/>
      <c r="BS52" s="15930"/>
      <c r="BT52" s="5096"/>
      <c r="BU52" s="5096"/>
      <c r="BV52" s="7103"/>
      <c r="BW52" s="7125"/>
    </row>
    <row r="53" spans="1:75" s="7080" customFormat="1" ht="15" customHeight="1">
      <c r="A53" s="16808"/>
      <c r="B53" s="7084" t="s">
        <v>5540</v>
      </c>
      <c r="C53" s="15376"/>
      <c r="D53" s="16788"/>
      <c r="E53" s="15930"/>
      <c r="F53" s="15930"/>
      <c r="G53" s="15930"/>
      <c r="H53" s="16790"/>
      <c r="I53" s="15930"/>
      <c r="J53" s="15930"/>
      <c r="K53" s="15930"/>
      <c r="L53" s="15930"/>
      <c r="M53" s="15930"/>
      <c r="N53" s="15930"/>
      <c r="O53" s="15930"/>
      <c r="P53" s="15930"/>
      <c r="Q53" s="15930"/>
      <c r="R53" s="15930"/>
      <c r="S53" s="15930"/>
      <c r="T53" s="15930"/>
      <c r="U53" s="15930"/>
      <c r="V53" s="15930"/>
      <c r="W53" s="15930"/>
      <c r="X53" s="7085" t="s">
        <v>10199</v>
      </c>
      <c r="Y53" s="4622"/>
      <c r="Z53" s="4622" t="s">
        <v>507</v>
      </c>
      <c r="AA53" s="16786"/>
      <c r="AB53" s="16826"/>
      <c r="AC53" s="15930"/>
      <c r="AD53" s="15930"/>
      <c r="AE53" s="15930"/>
      <c r="AF53" s="15930"/>
      <c r="AG53" s="15930"/>
      <c r="AH53" s="15930"/>
      <c r="AI53" s="15930"/>
      <c r="AJ53" s="15930"/>
      <c r="AK53" s="15930"/>
      <c r="AL53" s="15930"/>
      <c r="AM53" s="15930"/>
      <c r="AN53" s="15930"/>
      <c r="AO53" s="15930"/>
      <c r="AP53" s="15930"/>
      <c r="AQ53" s="15930"/>
      <c r="AR53" s="15930"/>
      <c r="AS53" s="15930"/>
      <c r="AT53" s="15930"/>
      <c r="AU53" s="15930"/>
      <c r="AV53" s="15930"/>
      <c r="AW53" s="15930"/>
      <c r="AX53" s="15930"/>
      <c r="AY53" s="15930"/>
      <c r="AZ53" s="15930"/>
      <c r="BA53" s="15930"/>
      <c r="BB53" s="15930"/>
      <c r="BC53" s="15930"/>
      <c r="BD53" s="15930"/>
      <c r="BE53" s="15930"/>
      <c r="BF53" s="15930"/>
      <c r="BG53" s="15930"/>
      <c r="BH53" s="15930"/>
      <c r="BI53" s="15930"/>
      <c r="BJ53" s="15930"/>
      <c r="BK53" s="15930"/>
      <c r="BL53" s="15930"/>
      <c r="BM53" s="15930"/>
      <c r="BN53" s="15930"/>
      <c r="BO53" s="15930"/>
      <c r="BP53" s="15930"/>
      <c r="BQ53" s="15930"/>
      <c r="BR53" s="15930"/>
      <c r="BS53" s="15930"/>
      <c r="BT53" s="5096"/>
      <c r="BU53" s="5096"/>
      <c r="BV53" s="7103"/>
      <c r="BW53" s="7125"/>
    </row>
    <row r="54" spans="1:75" s="7080" customFormat="1" ht="15" customHeight="1" thickBot="1">
      <c r="A54" s="16809"/>
      <c r="B54" s="7104" t="s">
        <v>5541</v>
      </c>
      <c r="C54" s="16572"/>
      <c r="D54" s="16789"/>
      <c r="E54" s="16787"/>
      <c r="F54" s="16787"/>
      <c r="G54" s="16787"/>
      <c r="H54" s="16791"/>
      <c r="I54" s="16787"/>
      <c r="J54" s="16787"/>
      <c r="K54" s="16787"/>
      <c r="L54" s="16787"/>
      <c r="M54" s="16787"/>
      <c r="N54" s="16787"/>
      <c r="O54" s="16787"/>
      <c r="P54" s="16787"/>
      <c r="Q54" s="16787"/>
      <c r="R54" s="16787"/>
      <c r="S54" s="16787"/>
      <c r="T54" s="16787"/>
      <c r="U54" s="16787"/>
      <c r="V54" s="16787"/>
      <c r="W54" s="16787"/>
      <c r="X54" s="7106" t="s">
        <v>10251</v>
      </c>
      <c r="Y54" s="4935"/>
      <c r="Z54" s="4935" t="s">
        <v>10296</v>
      </c>
      <c r="AA54" s="16792"/>
      <c r="AB54" s="16827"/>
      <c r="AC54" s="16787"/>
      <c r="AD54" s="16787"/>
      <c r="AE54" s="16787"/>
      <c r="AF54" s="16787"/>
      <c r="AG54" s="16787"/>
      <c r="AH54" s="16787"/>
      <c r="AI54" s="16787"/>
      <c r="AJ54" s="16787"/>
      <c r="AK54" s="16787"/>
      <c r="AL54" s="16787"/>
      <c r="AM54" s="16787"/>
      <c r="AN54" s="16787"/>
      <c r="AO54" s="16787"/>
      <c r="AP54" s="16787"/>
      <c r="AQ54" s="16787"/>
      <c r="AR54" s="16787"/>
      <c r="AS54" s="16787"/>
      <c r="AT54" s="16787"/>
      <c r="AU54" s="16787"/>
      <c r="AV54" s="16787"/>
      <c r="AW54" s="16787"/>
      <c r="AX54" s="16787"/>
      <c r="AY54" s="16787"/>
      <c r="AZ54" s="16787"/>
      <c r="BA54" s="16787"/>
      <c r="BB54" s="16787"/>
      <c r="BC54" s="16787"/>
      <c r="BD54" s="16787"/>
      <c r="BE54" s="16787"/>
      <c r="BF54" s="16787"/>
      <c r="BG54" s="16787"/>
      <c r="BH54" s="16787"/>
      <c r="BI54" s="16787"/>
      <c r="BJ54" s="16787"/>
      <c r="BK54" s="16787"/>
      <c r="BL54" s="16787"/>
      <c r="BM54" s="16787"/>
      <c r="BN54" s="16787"/>
      <c r="BO54" s="16787"/>
      <c r="BP54" s="16787"/>
      <c r="BQ54" s="16787"/>
      <c r="BR54" s="16787"/>
      <c r="BS54" s="16787"/>
      <c r="BT54" s="4931"/>
      <c r="BU54" s="4931"/>
      <c r="BV54" s="7108"/>
      <c r="BW54" s="7125"/>
    </row>
    <row r="55" spans="1:75" s="7081" customFormat="1" ht="15" customHeight="1">
      <c r="A55" s="15338" t="s">
        <v>6018</v>
      </c>
      <c r="B55" s="7113" t="s">
        <v>5542</v>
      </c>
      <c r="C55" s="16534" t="s">
        <v>5543</v>
      </c>
      <c r="D55" s="16803" t="s">
        <v>5544</v>
      </c>
      <c r="E55" s="16534" t="s">
        <v>5545</v>
      </c>
      <c r="F55" s="16534" t="s">
        <v>5546</v>
      </c>
      <c r="G55" s="16534" t="s">
        <v>8260</v>
      </c>
      <c r="H55" s="16534" t="s">
        <v>5547</v>
      </c>
      <c r="I55" s="14665" t="s">
        <v>5548</v>
      </c>
      <c r="J55" s="14665" t="s">
        <v>5549</v>
      </c>
      <c r="K55" s="14665" t="s">
        <v>5550</v>
      </c>
      <c r="L55" s="14665" t="s">
        <v>5551</v>
      </c>
      <c r="M55" s="14665" t="s">
        <v>5552</v>
      </c>
      <c r="N55" s="14665" t="s">
        <v>5553</v>
      </c>
      <c r="O55" s="14665" t="s">
        <v>5554</v>
      </c>
      <c r="P55" s="14665" t="s">
        <v>5555</v>
      </c>
      <c r="Q55" s="14665" t="s">
        <v>5556</v>
      </c>
      <c r="R55" s="14665" t="s">
        <v>5557</v>
      </c>
      <c r="S55" s="14665" t="s">
        <v>5558</v>
      </c>
      <c r="T55" s="14665" t="s">
        <v>5559</v>
      </c>
      <c r="U55" s="14665" t="s">
        <v>5560</v>
      </c>
      <c r="V55" s="14665" t="s">
        <v>5561</v>
      </c>
      <c r="W55" s="14665" t="s">
        <v>5562</v>
      </c>
      <c r="X55" s="403" t="s">
        <v>10063</v>
      </c>
      <c r="Y55" s="14665" t="s">
        <v>5563</v>
      </c>
      <c r="Z55" s="5047"/>
      <c r="AA55" s="7114">
        <f>(7700000+20000000+25240000+20000000)*10</f>
        <v>729400000</v>
      </c>
      <c r="AB55" s="7149"/>
      <c r="AC55" s="5047"/>
      <c r="AD55" s="5047"/>
      <c r="AE55" s="5047"/>
      <c r="AF55" s="5047"/>
      <c r="AG55" s="5047"/>
      <c r="AH55" s="5047"/>
      <c r="AI55" s="5047"/>
      <c r="AJ55" s="5047"/>
      <c r="AK55" s="5047"/>
      <c r="AL55" s="5047"/>
      <c r="AM55" s="5047"/>
      <c r="AN55" s="5047"/>
      <c r="AO55" s="5047"/>
      <c r="AP55" s="5047"/>
      <c r="AQ55" s="5047"/>
      <c r="AR55" s="5047"/>
      <c r="AS55" s="5047"/>
      <c r="AT55" s="5047"/>
      <c r="AU55" s="5047"/>
      <c r="AV55" s="5047"/>
      <c r="AW55" s="5047"/>
      <c r="AX55" s="5047"/>
      <c r="AY55" s="5047"/>
      <c r="AZ55" s="5047"/>
      <c r="BA55" s="5047"/>
      <c r="BB55" s="5047"/>
      <c r="BC55" s="5047"/>
      <c r="BD55" s="5047"/>
      <c r="BE55" s="5047"/>
      <c r="BF55" s="5047"/>
      <c r="BG55" s="5047"/>
      <c r="BH55" s="5047"/>
      <c r="BI55" s="5047"/>
      <c r="BJ55" s="5047"/>
      <c r="BK55" s="5047"/>
      <c r="BL55" s="5047"/>
      <c r="BM55" s="5047"/>
      <c r="BN55" s="5047"/>
      <c r="BO55" s="5047"/>
      <c r="BP55" s="5047"/>
      <c r="BQ55" s="5047"/>
      <c r="BR55" s="5047"/>
      <c r="BS55" s="5047"/>
      <c r="BT55" s="5047"/>
      <c r="BU55" s="5047"/>
      <c r="BV55" s="7115"/>
      <c r="BW55" s="7126"/>
    </row>
    <row r="56" spans="1:75" s="7081" customFormat="1" ht="15" customHeight="1">
      <c r="A56" s="15339"/>
      <c r="B56" s="2616"/>
      <c r="C56" s="15456"/>
      <c r="D56" s="16802"/>
      <c r="E56" s="15456"/>
      <c r="F56" s="15456"/>
      <c r="G56" s="15456"/>
      <c r="H56" s="15456"/>
      <c r="I56" s="15340"/>
      <c r="J56" s="15340"/>
      <c r="K56" s="15340"/>
      <c r="L56" s="15340"/>
      <c r="M56" s="15340"/>
      <c r="N56" s="15340"/>
      <c r="O56" s="15340"/>
      <c r="P56" s="15340"/>
      <c r="Q56" s="15340"/>
      <c r="R56" s="15340"/>
      <c r="S56" s="15340"/>
      <c r="T56" s="15340"/>
      <c r="U56" s="15340"/>
      <c r="V56" s="15340"/>
      <c r="W56" s="15340"/>
      <c r="X56" s="4074" t="s">
        <v>218</v>
      </c>
      <c r="Y56" s="15340"/>
      <c r="Z56" s="5048"/>
      <c r="AA56" s="7097"/>
      <c r="AB56" s="7147"/>
      <c r="AC56" s="5048"/>
      <c r="AD56" s="5048"/>
      <c r="AE56" s="5048"/>
      <c r="AF56" s="5048"/>
      <c r="AG56" s="5048"/>
      <c r="AH56" s="5048"/>
      <c r="AI56" s="5048"/>
      <c r="AJ56" s="5048"/>
      <c r="AK56" s="5048"/>
      <c r="AL56" s="5048"/>
      <c r="AM56" s="5048"/>
      <c r="AN56" s="5048"/>
      <c r="AO56" s="5048"/>
      <c r="AP56" s="5048"/>
      <c r="AQ56" s="5048"/>
      <c r="AR56" s="5048"/>
      <c r="AS56" s="5048"/>
      <c r="AT56" s="5048"/>
      <c r="AU56" s="5048"/>
      <c r="AV56" s="5048"/>
      <c r="AW56" s="5048"/>
      <c r="AX56" s="5048"/>
      <c r="AY56" s="5048"/>
      <c r="AZ56" s="5048"/>
      <c r="BA56" s="5048"/>
      <c r="BB56" s="5048"/>
      <c r="BC56" s="5048"/>
      <c r="BD56" s="5048"/>
      <c r="BE56" s="5048"/>
      <c r="BF56" s="5048"/>
      <c r="BG56" s="5048"/>
      <c r="BH56" s="5048"/>
      <c r="BI56" s="5048"/>
      <c r="BJ56" s="5048"/>
      <c r="BK56" s="5048"/>
      <c r="BL56" s="5048"/>
      <c r="BM56" s="5048"/>
      <c r="BN56" s="5048"/>
      <c r="BO56" s="5048"/>
      <c r="BP56" s="5048"/>
      <c r="BQ56" s="5048"/>
      <c r="BR56" s="5048"/>
      <c r="BS56" s="5048"/>
      <c r="BT56" s="5048"/>
      <c r="BU56" s="5048"/>
      <c r="BV56" s="4563"/>
      <c r="BW56" s="7126"/>
    </row>
    <row r="57" spans="1:75" s="7081" customFormat="1" ht="15" customHeight="1">
      <c r="A57" s="15339"/>
      <c r="B57" s="2616"/>
      <c r="C57" s="15456"/>
      <c r="D57" s="16802"/>
      <c r="E57" s="15456"/>
      <c r="F57" s="15456"/>
      <c r="G57" s="15456"/>
      <c r="H57" s="15456"/>
      <c r="I57" s="15340"/>
      <c r="J57" s="15340"/>
      <c r="K57" s="15340"/>
      <c r="L57" s="15340"/>
      <c r="M57" s="15340"/>
      <c r="N57" s="15340"/>
      <c r="O57" s="15340"/>
      <c r="P57" s="15340"/>
      <c r="Q57" s="15340"/>
      <c r="R57" s="15340"/>
      <c r="S57" s="15340"/>
      <c r="T57" s="15340"/>
      <c r="U57" s="15340"/>
      <c r="V57" s="15340"/>
      <c r="W57" s="15340"/>
      <c r="X57" s="4074" t="s">
        <v>86</v>
      </c>
      <c r="Y57" s="15340"/>
      <c r="Z57" s="5048"/>
      <c r="AA57" s="7097"/>
      <c r="AB57" s="7147"/>
      <c r="AC57" s="5048"/>
      <c r="AD57" s="5048"/>
      <c r="AE57" s="5048"/>
      <c r="AF57" s="5048"/>
      <c r="AG57" s="5048"/>
      <c r="AH57" s="5048"/>
      <c r="AI57" s="5048"/>
      <c r="AJ57" s="5048"/>
      <c r="AK57" s="5048"/>
      <c r="AL57" s="5048"/>
      <c r="AM57" s="5048"/>
      <c r="AN57" s="5048"/>
      <c r="AO57" s="5048"/>
      <c r="AP57" s="5048"/>
      <c r="AQ57" s="5048"/>
      <c r="AR57" s="5048"/>
      <c r="AS57" s="5048"/>
      <c r="AT57" s="5048"/>
      <c r="AU57" s="5048"/>
      <c r="AV57" s="5048"/>
      <c r="AW57" s="5048"/>
      <c r="AX57" s="5048"/>
      <c r="AY57" s="5048"/>
      <c r="AZ57" s="5048"/>
      <c r="BA57" s="5048"/>
      <c r="BB57" s="5048"/>
      <c r="BC57" s="5048"/>
      <c r="BD57" s="5048"/>
      <c r="BE57" s="5048"/>
      <c r="BF57" s="5048"/>
      <c r="BG57" s="5048"/>
      <c r="BH57" s="5048"/>
      <c r="BI57" s="5048"/>
      <c r="BJ57" s="5048"/>
      <c r="BK57" s="5048"/>
      <c r="BL57" s="5048"/>
      <c r="BM57" s="5048"/>
      <c r="BN57" s="5048"/>
      <c r="BO57" s="5048"/>
      <c r="BP57" s="5048"/>
      <c r="BQ57" s="5048"/>
      <c r="BR57" s="5048"/>
      <c r="BS57" s="5048"/>
      <c r="BT57" s="5048"/>
      <c r="BU57" s="5048"/>
      <c r="BV57" s="4563"/>
      <c r="BW57" s="7126"/>
    </row>
    <row r="58" spans="1:75" s="7081" customFormat="1" ht="15" customHeight="1">
      <c r="A58" s="15339"/>
      <c r="B58" s="2616"/>
      <c r="C58" s="15456"/>
      <c r="D58" s="16802"/>
      <c r="E58" s="15456"/>
      <c r="F58" s="15456"/>
      <c r="G58" s="15456"/>
      <c r="H58" s="15456"/>
      <c r="I58" s="15340"/>
      <c r="J58" s="15340"/>
      <c r="K58" s="15340"/>
      <c r="L58" s="15340"/>
      <c r="M58" s="15340"/>
      <c r="N58" s="15340"/>
      <c r="O58" s="15340"/>
      <c r="P58" s="15340"/>
      <c r="Q58" s="15340"/>
      <c r="R58" s="15340"/>
      <c r="S58" s="15340"/>
      <c r="T58" s="15340"/>
      <c r="U58" s="15340"/>
      <c r="V58" s="15340"/>
      <c r="W58" s="15340"/>
      <c r="X58" s="4074" t="s">
        <v>2896</v>
      </c>
      <c r="Y58" s="15340"/>
      <c r="Z58" s="5048"/>
      <c r="AA58" s="7097"/>
      <c r="AB58" s="7147"/>
      <c r="AC58" s="5048"/>
      <c r="AD58" s="5048"/>
      <c r="AE58" s="5048"/>
      <c r="AF58" s="5048"/>
      <c r="AG58" s="5048"/>
      <c r="AH58" s="5048"/>
      <c r="AI58" s="5048"/>
      <c r="AJ58" s="5048"/>
      <c r="AK58" s="5048"/>
      <c r="AL58" s="5048"/>
      <c r="AM58" s="5048"/>
      <c r="AN58" s="5048"/>
      <c r="AO58" s="5048"/>
      <c r="AP58" s="5048"/>
      <c r="AQ58" s="5048"/>
      <c r="AR58" s="5048"/>
      <c r="AS58" s="5048"/>
      <c r="AT58" s="5048"/>
      <c r="AU58" s="5048"/>
      <c r="AV58" s="5048"/>
      <c r="AW58" s="5048"/>
      <c r="AX58" s="5048"/>
      <c r="AY58" s="5048"/>
      <c r="AZ58" s="5048"/>
      <c r="BA58" s="5048"/>
      <c r="BB58" s="5048"/>
      <c r="BC58" s="5048"/>
      <c r="BD58" s="5048"/>
      <c r="BE58" s="5048"/>
      <c r="BF58" s="5048"/>
      <c r="BG58" s="5048"/>
      <c r="BH58" s="5048"/>
      <c r="BI58" s="5048"/>
      <c r="BJ58" s="5048"/>
      <c r="BK58" s="5048"/>
      <c r="BL58" s="5048"/>
      <c r="BM58" s="5048"/>
      <c r="BN58" s="5048"/>
      <c r="BO58" s="5048"/>
      <c r="BP58" s="5048"/>
      <c r="BQ58" s="5048"/>
      <c r="BR58" s="5048"/>
      <c r="BS58" s="5048"/>
      <c r="BT58" s="5048"/>
      <c r="BU58" s="5048"/>
      <c r="BV58" s="4563"/>
      <c r="BW58" s="7126"/>
    </row>
    <row r="59" spans="1:75" s="7081" customFormat="1" ht="15" customHeight="1">
      <c r="A59" s="15339"/>
      <c r="B59" s="2616"/>
      <c r="C59" s="15456"/>
      <c r="D59" s="16802"/>
      <c r="E59" s="15456"/>
      <c r="F59" s="15456"/>
      <c r="G59" s="15456"/>
      <c r="H59" s="15456"/>
      <c r="I59" s="15340"/>
      <c r="J59" s="15340"/>
      <c r="K59" s="15340"/>
      <c r="L59" s="15340"/>
      <c r="M59" s="15340"/>
      <c r="N59" s="15340"/>
      <c r="O59" s="15340"/>
      <c r="P59" s="15340"/>
      <c r="Q59" s="15340"/>
      <c r="R59" s="15340"/>
      <c r="S59" s="15340"/>
      <c r="T59" s="15340"/>
      <c r="U59" s="15340"/>
      <c r="V59" s="15340"/>
      <c r="W59" s="15340"/>
      <c r="X59" s="4074" t="s">
        <v>208</v>
      </c>
      <c r="Y59" s="5048"/>
      <c r="Z59" s="5048" t="s">
        <v>208</v>
      </c>
      <c r="AA59" s="7097"/>
      <c r="AB59" s="7147"/>
      <c r="AC59" s="5048"/>
      <c r="AD59" s="5048"/>
      <c r="AE59" s="5048"/>
      <c r="AF59" s="5048"/>
      <c r="AG59" s="5048"/>
      <c r="AH59" s="5048"/>
      <c r="AI59" s="5048"/>
      <c r="AJ59" s="5048"/>
      <c r="AK59" s="5048"/>
      <c r="AL59" s="5048"/>
      <c r="AM59" s="5048"/>
      <c r="AN59" s="5048"/>
      <c r="AO59" s="5048"/>
      <c r="AP59" s="5048"/>
      <c r="AQ59" s="5048"/>
      <c r="AR59" s="5048"/>
      <c r="AS59" s="5048"/>
      <c r="AT59" s="5048"/>
      <c r="AU59" s="5048"/>
      <c r="AV59" s="5048"/>
      <c r="AW59" s="5048"/>
      <c r="AX59" s="5048"/>
      <c r="AY59" s="5048"/>
      <c r="AZ59" s="5048"/>
      <c r="BA59" s="5048"/>
      <c r="BB59" s="5048"/>
      <c r="BC59" s="5048"/>
      <c r="BD59" s="5048"/>
      <c r="BE59" s="5048"/>
      <c r="BF59" s="5048"/>
      <c r="BG59" s="5048"/>
      <c r="BH59" s="5048"/>
      <c r="BI59" s="5048"/>
      <c r="BJ59" s="5048"/>
      <c r="BK59" s="5048"/>
      <c r="BL59" s="5048"/>
      <c r="BM59" s="5048"/>
      <c r="BN59" s="5048"/>
      <c r="BO59" s="5048"/>
      <c r="BP59" s="5048"/>
      <c r="BQ59" s="5048"/>
      <c r="BR59" s="5048"/>
      <c r="BS59" s="5048"/>
      <c r="BT59" s="5048"/>
      <c r="BU59" s="5048"/>
      <c r="BV59" s="4563"/>
      <c r="BW59" s="7126"/>
    </row>
    <row r="60" spans="1:75" s="7081" customFormat="1" ht="15" customHeight="1">
      <c r="A60" s="15339"/>
      <c r="B60" s="2616" t="s">
        <v>5564</v>
      </c>
      <c r="C60" s="15456"/>
      <c r="D60" s="16802"/>
      <c r="E60" s="15456"/>
      <c r="F60" s="15456"/>
      <c r="G60" s="5072" t="s">
        <v>8261</v>
      </c>
      <c r="H60" s="2616" t="s">
        <v>5565</v>
      </c>
      <c r="I60" s="2580" t="s">
        <v>5566</v>
      </c>
      <c r="J60" s="2580" t="s">
        <v>5567</v>
      </c>
      <c r="K60" s="2580" t="s">
        <v>5568</v>
      </c>
      <c r="L60" s="5072" t="s">
        <v>5569</v>
      </c>
      <c r="M60" s="2580" t="s">
        <v>5570</v>
      </c>
      <c r="N60" s="2580" t="s">
        <v>5571</v>
      </c>
      <c r="O60" s="2580" t="s">
        <v>5572</v>
      </c>
      <c r="P60" s="2580" t="s">
        <v>5573</v>
      </c>
      <c r="Q60" s="2580" t="s">
        <v>5574</v>
      </c>
      <c r="R60" s="2580" t="s">
        <v>5575</v>
      </c>
      <c r="S60" s="2580" t="s">
        <v>5576</v>
      </c>
      <c r="T60" s="2580" t="s">
        <v>5577</v>
      </c>
      <c r="U60" s="7098" t="s">
        <v>5578</v>
      </c>
      <c r="V60" s="2580" t="s">
        <v>5579</v>
      </c>
      <c r="W60" s="2580" t="s">
        <v>5580</v>
      </c>
      <c r="X60" s="2580" t="s">
        <v>2859</v>
      </c>
      <c r="Y60" s="5048" t="s">
        <v>5581</v>
      </c>
      <c r="Z60" s="5048" t="s">
        <v>545</v>
      </c>
      <c r="AA60" s="7097">
        <f>10000000*10</f>
        <v>100000000</v>
      </c>
      <c r="AB60" s="7147"/>
      <c r="AC60" s="5048"/>
      <c r="AD60" s="5048"/>
      <c r="AE60" s="5048"/>
      <c r="AF60" s="5048"/>
      <c r="AG60" s="5048"/>
      <c r="AH60" s="5048"/>
      <c r="AI60" s="5048"/>
      <c r="AJ60" s="5048"/>
      <c r="AK60" s="5048"/>
      <c r="AL60" s="5048"/>
      <c r="AM60" s="5048"/>
      <c r="AN60" s="5048"/>
      <c r="AO60" s="5048"/>
      <c r="AP60" s="5048"/>
      <c r="AQ60" s="5048"/>
      <c r="AR60" s="5048"/>
      <c r="AS60" s="5048"/>
      <c r="AT60" s="5048"/>
      <c r="AU60" s="5048"/>
      <c r="AV60" s="5048"/>
      <c r="AW60" s="5048"/>
      <c r="AX60" s="5048"/>
      <c r="AY60" s="5048"/>
      <c r="AZ60" s="5048"/>
      <c r="BA60" s="5048"/>
      <c r="BB60" s="5048"/>
      <c r="BC60" s="5048"/>
      <c r="BD60" s="5048"/>
      <c r="BE60" s="5048"/>
      <c r="BF60" s="5048"/>
      <c r="BG60" s="5048"/>
      <c r="BH60" s="5048"/>
      <c r="BI60" s="5048"/>
      <c r="BJ60" s="5048"/>
      <c r="BK60" s="5048"/>
      <c r="BL60" s="5048"/>
      <c r="BM60" s="5048"/>
      <c r="BN60" s="5048"/>
      <c r="BO60" s="5048"/>
      <c r="BP60" s="5048"/>
      <c r="BQ60" s="5048"/>
      <c r="BR60" s="5048"/>
      <c r="BS60" s="5048"/>
      <c r="BT60" s="5048"/>
      <c r="BU60" s="5048"/>
      <c r="BV60" s="4563"/>
      <c r="BW60" s="7126"/>
    </row>
    <row r="61" spans="1:75" s="7081" customFormat="1" ht="15" customHeight="1">
      <c r="A61" s="15339"/>
      <c r="B61" s="2616" t="s">
        <v>5582</v>
      </c>
      <c r="C61" s="15456"/>
      <c r="D61" s="16802"/>
      <c r="E61" s="15456"/>
      <c r="F61" s="15456"/>
      <c r="G61" s="15456" t="s">
        <v>8262</v>
      </c>
      <c r="H61" s="16782" t="s">
        <v>5583</v>
      </c>
      <c r="I61" s="15340" t="s">
        <v>5584</v>
      </c>
      <c r="J61" s="15340" t="s">
        <v>5585</v>
      </c>
      <c r="K61" s="15456" t="s">
        <v>5586</v>
      </c>
      <c r="L61" s="15456" t="s">
        <v>5587</v>
      </c>
      <c r="M61" s="15456" t="s">
        <v>5588</v>
      </c>
      <c r="N61" s="15456" t="s">
        <v>5589</v>
      </c>
      <c r="O61" s="15456" t="s">
        <v>5590</v>
      </c>
      <c r="P61" s="15456" t="s">
        <v>5591</v>
      </c>
      <c r="Q61" s="15456" t="s">
        <v>5592</v>
      </c>
      <c r="R61" s="15456" t="s">
        <v>5593</v>
      </c>
      <c r="S61" s="15456" t="s">
        <v>5594</v>
      </c>
      <c r="T61" s="15456" t="s">
        <v>5595</v>
      </c>
      <c r="U61" s="15340" t="s">
        <v>5596</v>
      </c>
      <c r="V61" s="15340" t="s">
        <v>5597</v>
      </c>
      <c r="W61" s="15340" t="s">
        <v>5598</v>
      </c>
      <c r="X61" s="4074" t="s">
        <v>10063</v>
      </c>
      <c r="Y61" s="15340" t="s">
        <v>5599</v>
      </c>
      <c r="Z61" s="4491" t="s">
        <v>545</v>
      </c>
      <c r="AA61" s="16800">
        <f>(((((2524000)*4*12)*10))*7)/4+110000000</f>
        <v>2230160000</v>
      </c>
      <c r="AB61" s="16826"/>
      <c r="AC61" s="15340"/>
      <c r="AD61" s="15340"/>
      <c r="AE61" s="15340"/>
      <c r="AF61" s="15340"/>
      <c r="AG61" s="15340"/>
      <c r="AH61" s="15340"/>
      <c r="AI61" s="15340"/>
      <c r="AJ61" s="15340"/>
      <c r="AK61" s="15340"/>
      <c r="AL61" s="15340"/>
      <c r="AM61" s="15340"/>
      <c r="AN61" s="15340"/>
      <c r="AO61" s="15340"/>
      <c r="AP61" s="15340"/>
      <c r="AQ61" s="15340"/>
      <c r="AR61" s="15340"/>
      <c r="AS61" s="15340"/>
      <c r="AT61" s="15340"/>
      <c r="AU61" s="15340"/>
      <c r="AV61" s="15340"/>
      <c r="AW61" s="15340"/>
      <c r="AX61" s="15340"/>
      <c r="AY61" s="15340"/>
      <c r="AZ61" s="15340"/>
      <c r="BA61" s="15340"/>
      <c r="BB61" s="15340"/>
      <c r="BC61" s="15340"/>
      <c r="BD61" s="15340"/>
      <c r="BE61" s="15340"/>
      <c r="BF61" s="15340"/>
      <c r="BG61" s="15340"/>
      <c r="BH61" s="15340"/>
      <c r="BI61" s="15340"/>
      <c r="BJ61" s="15340"/>
      <c r="BK61" s="15340"/>
      <c r="BL61" s="15340"/>
      <c r="BM61" s="15340"/>
      <c r="BN61" s="15340"/>
      <c r="BO61" s="15340"/>
      <c r="BP61" s="15340"/>
      <c r="BQ61" s="15340"/>
      <c r="BR61" s="15340"/>
      <c r="BS61" s="15340"/>
      <c r="BT61" s="5048"/>
      <c r="BU61" s="5048"/>
      <c r="BV61" s="4563"/>
      <c r="BW61" s="7126"/>
    </row>
    <row r="62" spans="1:75" s="7081" customFormat="1" ht="15" customHeight="1">
      <c r="A62" s="15339"/>
      <c r="B62" s="2616" t="s">
        <v>5600</v>
      </c>
      <c r="C62" s="15456"/>
      <c r="D62" s="16802"/>
      <c r="E62" s="15456"/>
      <c r="F62" s="15456"/>
      <c r="G62" s="15456"/>
      <c r="H62" s="16782"/>
      <c r="I62" s="15340"/>
      <c r="J62" s="15340"/>
      <c r="K62" s="15456"/>
      <c r="L62" s="15456"/>
      <c r="M62" s="15456"/>
      <c r="N62" s="15456"/>
      <c r="O62" s="15456"/>
      <c r="P62" s="15456"/>
      <c r="Q62" s="15456"/>
      <c r="R62" s="15456"/>
      <c r="S62" s="15456"/>
      <c r="T62" s="15456"/>
      <c r="U62" s="15340"/>
      <c r="V62" s="15340"/>
      <c r="W62" s="15340"/>
      <c r="X62" s="4074" t="s">
        <v>218</v>
      </c>
      <c r="Y62" s="15340"/>
      <c r="Z62" s="4491"/>
      <c r="AA62" s="16800"/>
      <c r="AB62" s="16826"/>
      <c r="AC62" s="15340"/>
      <c r="AD62" s="15340"/>
      <c r="AE62" s="15340"/>
      <c r="AF62" s="15340"/>
      <c r="AG62" s="15340"/>
      <c r="AH62" s="15340"/>
      <c r="AI62" s="15340"/>
      <c r="AJ62" s="15340"/>
      <c r="AK62" s="15340"/>
      <c r="AL62" s="15340"/>
      <c r="AM62" s="15340"/>
      <c r="AN62" s="15340"/>
      <c r="AO62" s="15340"/>
      <c r="AP62" s="15340"/>
      <c r="AQ62" s="15340"/>
      <c r="AR62" s="15340"/>
      <c r="AS62" s="15340"/>
      <c r="AT62" s="15340"/>
      <c r="AU62" s="15340"/>
      <c r="AV62" s="15340"/>
      <c r="AW62" s="15340"/>
      <c r="AX62" s="15340"/>
      <c r="AY62" s="15340"/>
      <c r="AZ62" s="15340"/>
      <c r="BA62" s="15340"/>
      <c r="BB62" s="15340"/>
      <c r="BC62" s="15340"/>
      <c r="BD62" s="15340"/>
      <c r="BE62" s="15340"/>
      <c r="BF62" s="15340"/>
      <c r="BG62" s="15340"/>
      <c r="BH62" s="15340"/>
      <c r="BI62" s="15340"/>
      <c r="BJ62" s="15340"/>
      <c r="BK62" s="15340"/>
      <c r="BL62" s="15340"/>
      <c r="BM62" s="15340"/>
      <c r="BN62" s="15340"/>
      <c r="BO62" s="15340"/>
      <c r="BP62" s="15340"/>
      <c r="BQ62" s="15340"/>
      <c r="BR62" s="15340"/>
      <c r="BS62" s="15340"/>
      <c r="BT62" s="5048"/>
      <c r="BU62" s="5048"/>
      <c r="BV62" s="4563"/>
      <c r="BW62" s="7126"/>
    </row>
    <row r="63" spans="1:75" s="7081" customFormat="1" ht="15" customHeight="1">
      <c r="A63" s="15339"/>
      <c r="B63" s="2616" t="s">
        <v>5601</v>
      </c>
      <c r="C63" s="15456"/>
      <c r="D63" s="16802"/>
      <c r="E63" s="15456"/>
      <c r="F63" s="15456"/>
      <c r="G63" s="15456"/>
      <c r="H63" s="16782"/>
      <c r="I63" s="15340"/>
      <c r="J63" s="15340"/>
      <c r="K63" s="15456"/>
      <c r="L63" s="15456"/>
      <c r="M63" s="15456"/>
      <c r="N63" s="15456"/>
      <c r="O63" s="15456"/>
      <c r="P63" s="15456"/>
      <c r="Q63" s="15456"/>
      <c r="R63" s="15456"/>
      <c r="S63" s="15456"/>
      <c r="T63" s="15456"/>
      <c r="U63" s="15340"/>
      <c r="V63" s="15340"/>
      <c r="W63" s="15340"/>
      <c r="X63" s="4074" t="s">
        <v>10072</v>
      </c>
      <c r="Y63" s="15340"/>
      <c r="Z63" s="4491"/>
      <c r="AA63" s="16800"/>
      <c r="AB63" s="16826"/>
      <c r="AC63" s="15340"/>
      <c r="AD63" s="15340"/>
      <c r="AE63" s="15340"/>
      <c r="AF63" s="15340"/>
      <c r="AG63" s="15340"/>
      <c r="AH63" s="15340"/>
      <c r="AI63" s="15340"/>
      <c r="AJ63" s="15340"/>
      <c r="AK63" s="15340"/>
      <c r="AL63" s="15340"/>
      <c r="AM63" s="15340"/>
      <c r="AN63" s="15340"/>
      <c r="AO63" s="15340"/>
      <c r="AP63" s="15340"/>
      <c r="AQ63" s="15340"/>
      <c r="AR63" s="15340"/>
      <c r="AS63" s="15340"/>
      <c r="AT63" s="15340"/>
      <c r="AU63" s="15340"/>
      <c r="AV63" s="15340"/>
      <c r="AW63" s="15340"/>
      <c r="AX63" s="15340"/>
      <c r="AY63" s="15340"/>
      <c r="AZ63" s="15340"/>
      <c r="BA63" s="15340"/>
      <c r="BB63" s="15340"/>
      <c r="BC63" s="15340"/>
      <c r="BD63" s="15340"/>
      <c r="BE63" s="15340"/>
      <c r="BF63" s="15340"/>
      <c r="BG63" s="15340"/>
      <c r="BH63" s="15340"/>
      <c r="BI63" s="15340"/>
      <c r="BJ63" s="15340"/>
      <c r="BK63" s="15340"/>
      <c r="BL63" s="15340"/>
      <c r="BM63" s="15340"/>
      <c r="BN63" s="15340"/>
      <c r="BO63" s="15340"/>
      <c r="BP63" s="15340"/>
      <c r="BQ63" s="15340"/>
      <c r="BR63" s="15340"/>
      <c r="BS63" s="15340"/>
      <c r="BT63" s="5048"/>
      <c r="BU63" s="5048"/>
      <c r="BV63" s="4563"/>
      <c r="BW63" s="7126"/>
    </row>
    <row r="64" spans="1:75" s="7081" customFormat="1" ht="15" customHeight="1">
      <c r="A64" s="15339"/>
      <c r="B64" s="2616" t="s">
        <v>5602</v>
      </c>
      <c r="C64" s="15456"/>
      <c r="D64" s="16802"/>
      <c r="E64" s="15456"/>
      <c r="F64" s="15456"/>
      <c r="G64" s="15456"/>
      <c r="H64" s="16782"/>
      <c r="I64" s="15340"/>
      <c r="J64" s="15340"/>
      <c r="K64" s="15456"/>
      <c r="L64" s="15456"/>
      <c r="M64" s="15456"/>
      <c r="N64" s="15456"/>
      <c r="O64" s="15456"/>
      <c r="P64" s="15456"/>
      <c r="Q64" s="15456"/>
      <c r="R64" s="15456"/>
      <c r="S64" s="15456"/>
      <c r="T64" s="15456"/>
      <c r="U64" s="15340"/>
      <c r="V64" s="15340"/>
      <c r="W64" s="15340"/>
      <c r="X64" s="4074" t="s">
        <v>86</v>
      </c>
      <c r="Y64" s="15340"/>
      <c r="Z64" s="4491"/>
      <c r="AA64" s="16800"/>
      <c r="AB64" s="16826"/>
      <c r="AC64" s="15340"/>
      <c r="AD64" s="15340"/>
      <c r="AE64" s="15340"/>
      <c r="AF64" s="15340"/>
      <c r="AG64" s="15340"/>
      <c r="AH64" s="15340"/>
      <c r="AI64" s="15340"/>
      <c r="AJ64" s="15340"/>
      <c r="AK64" s="15340"/>
      <c r="AL64" s="15340"/>
      <c r="AM64" s="15340"/>
      <c r="AN64" s="15340"/>
      <c r="AO64" s="15340"/>
      <c r="AP64" s="15340"/>
      <c r="AQ64" s="15340"/>
      <c r="AR64" s="15340"/>
      <c r="AS64" s="15340"/>
      <c r="AT64" s="15340"/>
      <c r="AU64" s="15340"/>
      <c r="AV64" s="15340"/>
      <c r="AW64" s="15340"/>
      <c r="AX64" s="15340"/>
      <c r="AY64" s="15340"/>
      <c r="AZ64" s="15340"/>
      <c r="BA64" s="15340"/>
      <c r="BB64" s="15340"/>
      <c r="BC64" s="15340"/>
      <c r="BD64" s="15340"/>
      <c r="BE64" s="15340"/>
      <c r="BF64" s="15340"/>
      <c r="BG64" s="15340"/>
      <c r="BH64" s="15340"/>
      <c r="BI64" s="15340"/>
      <c r="BJ64" s="15340"/>
      <c r="BK64" s="15340"/>
      <c r="BL64" s="15340"/>
      <c r="BM64" s="15340"/>
      <c r="BN64" s="15340"/>
      <c r="BO64" s="15340"/>
      <c r="BP64" s="15340"/>
      <c r="BQ64" s="15340"/>
      <c r="BR64" s="15340"/>
      <c r="BS64" s="15340"/>
      <c r="BT64" s="5048"/>
      <c r="BU64" s="5048"/>
      <c r="BV64" s="4563"/>
      <c r="BW64" s="7126"/>
    </row>
    <row r="65" spans="1:75" s="7081" customFormat="1" ht="15" customHeight="1">
      <c r="A65" s="15339"/>
      <c r="B65" s="2580" t="s">
        <v>5603</v>
      </c>
      <c r="C65" s="15340" t="s">
        <v>5604</v>
      </c>
      <c r="D65" s="15456" t="s">
        <v>5605</v>
      </c>
      <c r="E65" s="15340" t="s">
        <v>5606</v>
      </c>
      <c r="F65" s="15340" t="s">
        <v>5607</v>
      </c>
      <c r="G65" s="15340" t="s">
        <v>8263</v>
      </c>
      <c r="H65" s="16801" t="s">
        <v>5608</v>
      </c>
      <c r="I65" s="15340" t="s">
        <v>5609</v>
      </c>
      <c r="J65" s="15340" t="s">
        <v>5610</v>
      </c>
      <c r="K65" s="15340" t="s">
        <v>5611</v>
      </c>
      <c r="L65" s="15340" t="s">
        <v>5612</v>
      </c>
      <c r="M65" s="15340" t="s">
        <v>5613</v>
      </c>
      <c r="N65" s="15340" t="s">
        <v>5614</v>
      </c>
      <c r="O65" s="15340" t="s">
        <v>5615</v>
      </c>
      <c r="P65" s="15340" t="s">
        <v>5616</v>
      </c>
      <c r="Q65" s="15340" t="s">
        <v>5617</v>
      </c>
      <c r="R65" s="15340" t="s">
        <v>5618</v>
      </c>
      <c r="S65" s="15340" t="s">
        <v>5619</v>
      </c>
      <c r="T65" s="15340" t="s">
        <v>5620</v>
      </c>
      <c r="U65" s="15340" t="s">
        <v>5621</v>
      </c>
      <c r="V65" s="15340" t="s">
        <v>5622</v>
      </c>
      <c r="W65" s="15340" t="s">
        <v>5623</v>
      </c>
      <c r="X65" s="4074" t="s">
        <v>4305</v>
      </c>
      <c r="Y65" s="4491" t="s">
        <v>5624</v>
      </c>
      <c r="Z65" s="5048"/>
      <c r="AA65" s="16800">
        <f>30000000*10</f>
        <v>300000000</v>
      </c>
      <c r="AB65" s="16826"/>
      <c r="AC65" s="15340"/>
      <c r="AD65" s="15340"/>
      <c r="AE65" s="15340"/>
      <c r="AF65" s="15340"/>
      <c r="AG65" s="15340"/>
      <c r="AH65" s="15340"/>
      <c r="AI65" s="15340"/>
      <c r="AJ65" s="15340"/>
      <c r="AK65" s="15340"/>
      <c r="AL65" s="15340"/>
      <c r="AM65" s="15340"/>
      <c r="AN65" s="15340"/>
      <c r="AO65" s="15340"/>
      <c r="AP65" s="15340"/>
      <c r="AQ65" s="15340"/>
      <c r="AR65" s="15340"/>
      <c r="AS65" s="15340"/>
      <c r="AT65" s="15340"/>
      <c r="AU65" s="15340"/>
      <c r="AV65" s="15340"/>
      <c r="AW65" s="15340"/>
      <c r="AX65" s="15340"/>
      <c r="AY65" s="15340"/>
      <c r="AZ65" s="15340"/>
      <c r="BA65" s="15340"/>
      <c r="BB65" s="15340"/>
      <c r="BC65" s="15340"/>
      <c r="BD65" s="15340"/>
      <c r="BE65" s="15340"/>
      <c r="BF65" s="15340"/>
      <c r="BG65" s="15340"/>
      <c r="BH65" s="15340"/>
      <c r="BI65" s="15340"/>
      <c r="BJ65" s="15340"/>
      <c r="BK65" s="15340"/>
      <c r="BL65" s="15340"/>
      <c r="BM65" s="15340"/>
      <c r="BN65" s="15340"/>
      <c r="BO65" s="15340"/>
      <c r="BP65" s="15340"/>
      <c r="BQ65" s="15340"/>
      <c r="BR65" s="15340"/>
      <c r="BS65" s="15340"/>
      <c r="BT65" s="5048"/>
      <c r="BU65" s="5048"/>
      <c r="BV65" s="4563"/>
      <c r="BW65" s="7126"/>
    </row>
    <row r="66" spans="1:75" s="7081" customFormat="1" ht="15" customHeight="1">
      <c r="A66" s="15339"/>
      <c r="B66" s="2580" t="s">
        <v>5625</v>
      </c>
      <c r="C66" s="15340"/>
      <c r="D66" s="15456"/>
      <c r="E66" s="15340"/>
      <c r="F66" s="15340"/>
      <c r="G66" s="15340"/>
      <c r="H66" s="16801"/>
      <c r="I66" s="15340"/>
      <c r="J66" s="15340"/>
      <c r="K66" s="15340"/>
      <c r="L66" s="15340"/>
      <c r="M66" s="15340"/>
      <c r="N66" s="15340"/>
      <c r="O66" s="15340"/>
      <c r="P66" s="15340"/>
      <c r="Q66" s="15340"/>
      <c r="R66" s="15340"/>
      <c r="S66" s="15340"/>
      <c r="T66" s="15340"/>
      <c r="U66" s="15340"/>
      <c r="V66" s="15340"/>
      <c r="W66" s="15340"/>
      <c r="X66" s="4074" t="s">
        <v>329</v>
      </c>
      <c r="Y66" s="4491"/>
      <c r="Z66" s="4491" t="s">
        <v>329</v>
      </c>
      <c r="AA66" s="16800"/>
      <c r="AB66" s="16826"/>
      <c r="AC66" s="15340"/>
      <c r="AD66" s="15340"/>
      <c r="AE66" s="15340"/>
      <c r="AF66" s="15340"/>
      <c r="AG66" s="15340"/>
      <c r="AH66" s="15340"/>
      <c r="AI66" s="15340"/>
      <c r="AJ66" s="15340"/>
      <c r="AK66" s="15340"/>
      <c r="AL66" s="15340"/>
      <c r="AM66" s="15340"/>
      <c r="AN66" s="15340"/>
      <c r="AO66" s="15340"/>
      <c r="AP66" s="15340"/>
      <c r="AQ66" s="15340"/>
      <c r="AR66" s="15340"/>
      <c r="AS66" s="15340"/>
      <c r="AT66" s="15340"/>
      <c r="AU66" s="15340"/>
      <c r="AV66" s="15340"/>
      <c r="AW66" s="15340"/>
      <c r="AX66" s="15340"/>
      <c r="AY66" s="15340"/>
      <c r="AZ66" s="15340"/>
      <c r="BA66" s="15340"/>
      <c r="BB66" s="15340"/>
      <c r="BC66" s="15340"/>
      <c r="BD66" s="15340"/>
      <c r="BE66" s="15340"/>
      <c r="BF66" s="15340"/>
      <c r="BG66" s="15340"/>
      <c r="BH66" s="15340"/>
      <c r="BI66" s="15340"/>
      <c r="BJ66" s="15340"/>
      <c r="BK66" s="15340"/>
      <c r="BL66" s="15340"/>
      <c r="BM66" s="15340"/>
      <c r="BN66" s="15340"/>
      <c r="BO66" s="15340"/>
      <c r="BP66" s="15340"/>
      <c r="BQ66" s="15340"/>
      <c r="BR66" s="15340"/>
      <c r="BS66" s="15340"/>
      <c r="BT66" s="5048"/>
      <c r="BU66" s="5048"/>
      <c r="BV66" s="4563"/>
      <c r="BW66" s="7126"/>
    </row>
    <row r="67" spans="1:75" s="7081" customFormat="1" ht="15" customHeight="1">
      <c r="A67" s="15339"/>
      <c r="B67" s="2616" t="s">
        <v>5626</v>
      </c>
      <c r="C67" s="15340"/>
      <c r="D67" s="15456"/>
      <c r="E67" s="15340"/>
      <c r="F67" s="15340"/>
      <c r="G67" s="15340"/>
      <c r="H67" s="16801"/>
      <c r="I67" s="15340"/>
      <c r="J67" s="15340"/>
      <c r="K67" s="15340"/>
      <c r="L67" s="15340"/>
      <c r="M67" s="15340"/>
      <c r="N67" s="15340"/>
      <c r="O67" s="15340"/>
      <c r="P67" s="15340"/>
      <c r="Q67" s="15340"/>
      <c r="R67" s="15340"/>
      <c r="S67" s="15340"/>
      <c r="T67" s="15340"/>
      <c r="U67" s="15340"/>
      <c r="V67" s="15340"/>
      <c r="W67" s="15340"/>
      <c r="X67" s="4074" t="s">
        <v>10297</v>
      </c>
      <c r="Y67" s="4491"/>
      <c r="Z67" s="4491" t="s">
        <v>10297</v>
      </c>
      <c r="AA67" s="16800"/>
      <c r="AB67" s="16826"/>
      <c r="AC67" s="15340"/>
      <c r="AD67" s="15340"/>
      <c r="AE67" s="15340"/>
      <c r="AF67" s="15340"/>
      <c r="AG67" s="15340"/>
      <c r="AH67" s="15340"/>
      <c r="AI67" s="15340"/>
      <c r="AJ67" s="15340"/>
      <c r="AK67" s="15340"/>
      <c r="AL67" s="15340"/>
      <c r="AM67" s="15340"/>
      <c r="AN67" s="15340"/>
      <c r="AO67" s="15340"/>
      <c r="AP67" s="15340"/>
      <c r="AQ67" s="15340"/>
      <c r="AR67" s="15340"/>
      <c r="AS67" s="15340"/>
      <c r="AT67" s="15340"/>
      <c r="AU67" s="15340"/>
      <c r="AV67" s="15340"/>
      <c r="AW67" s="15340"/>
      <c r="AX67" s="15340"/>
      <c r="AY67" s="15340"/>
      <c r="AZ67" s="15340"/>
      <c r="BA67" s="15340"/>
      <c r="BB67" s="15340"/>
      <c r="BC67" s="15340"/>
      <c r="BD67" s="15340"/>
      <c r="BE67" s="15340"/>
      <c r="BF67" s="15340"/>
      <c r="BG67" s="15340"/>
      <c r="BH67" s="15340"/>
      <c r="BI67" s="15340"/>
      <c r="BJ67" s="15340"/>
      <c r="BK67" s="15340"/>
      <c r="BL67" s="15340"/>
      <c r="BM67" s="15340"/>
      <c r="BN67" s="15340"/>
      <c r="BO67" s="15340"/>
      <c r="BP67" s="15340"/>
      <c r="BQ67" s="15340"/>
      <c r="BR67" s="15340"/>
      <c r="BS67" s="15340"/>
      <c r="BT67" s="5048"/>
      <c r="BU67" s="5048"/>
      <c r="BV67" s="4563"/>
      <c r="BW67" s="7126"/>
    </row>
    <row r="68" spans="1:75" s="7081" customFormat="1" ht="15" customHeight="1">
      <c r="A68" s="15339"/>
      <c r="B68" s="2616" t="s">
        <v>5627</v>
      </c>
      <c r="C68" s="15340"/>
      <c r="D68" s="15456"/>
      <c r="E68" s="15340"/>
      <c r="F68" s="15340"/>
      <c r="G68" s="5048" t="s">
        <v>8264</v>
      </c>
      <c r="H68" s="4074" t="s">
        <v>5628</v>
      </c>
      <c r="I68" s="4074" t="s">
        <v>5629</v>
      </c>
      <c r="J68" s="5048" t="s">
        <v>5630</v>
      </c>
      <c r="K68" s="4074" t="s">
        <v>5631</v>
      </c>
      <c r="L68" s="5048" t="s">
        <v>5632</v>
      </c>
      <c r="M68" s="4074" t="s">
        <v>5633</v>
      </c>
      <c r="N68" s="4074" t="s">
        <v>5634</v>
      </c>
      <c r="O68" s="4074" t="s">
        <v>5635</v>
      </c>
      <c r="P68" s="4074" t="s">
        <v>5636</v>
      </c>
      <c r="Q68" s="4074" t="s">
        <v>5637</v>
      </c>
      <c r="R68" s="4074" t="s">
        <v>5638</v>
      </c>
      <c r="S68" s="4074" t="s">
        <v>5639</v>
      </c>
      <c r="T68" s="4074" t="s">
        <v>5640</v>
      </c>
      <c r="U68" s="4074" t="s">
        <v>5641</v>
      </c>
      <c r="V68" s="4074" t="s">
        <v>5642</v>
      </c>
      <c r="W68" s="5048" t="s">
        <v>5643</v>
      </c>
      <c r="X68" s="4074" t="s">
        <v>26</v>
      </c>
      <c r="Y68" s="4491" t="s">
        <v>390</v>
      </c>
      <c r="Z68" s="4491" t="s">
        <v>545</v>
      </c>
      <c r="AA68" s="7097">
        <f>((2524000*12)*2)*10</f>
        <v>605760000</v>
      </c>
      <c r="AB68" s="7147"/>
      <c r="AC68" s="5048"/>
      <c r="AD68" s="5048"/>
      <c r="AE68" s="5048"/>
      <c r="AF68" s="5048"/>
      <c r="AG68" s="5048"/>
      <c r="AH68" s="5048"/>
      <c r="AI68" s="5048"/>
      <c r="AJ68" s="5048"/>
      <c r="AK68" s="5048"/>
      <c r="AL68" s="5048"/>
      <c r="AM68" s="5048"/>
      <c r="AN68" s="5048"/>
      <c r="AO68" s="5048"/>
      <c r="AP68" s="5048"/>
      <c r="AQ68" s="5048"/>
      <c r="AR68" s="5048"/>
      <c r="AS68" s="5048"/>
      <c r="AT68" s="5048"/>
      <c r="AU68" s="5048"/>
      <c r="AV68" s="5048"/>
      <c r="AW68" s="5048"/>
      <c r="AX68" s="5048"/>
      <c r="AY68" s="5048"/>
      <c r="AZ68" s="5048"/>
      <c r="BA68" s="5048"/>
      <c r="BB68" s="5048"/>
      <c r="BC68" s="5048"/>
      <c r="BD68" s="5048"/>
      <c r="BE68" s="5048"/>
      <c r="BF68" s="5048"/>
      <c r="BG68" s="5048"/>
      <c r="BH68" s="5048"/>
      <c r="BI68" s="5048"/>
      <c r="BJ68" s="5048"/>
      <c r="BK68" s="5048"/>
      <c r="BL68" s="5048"/>
      <c r="BM68" s="5048"/>
      <c r="BN68" s="5048"/>
      <c r="BO68" s="5048"/>
      <c r="BP68" s="5048"/>
      <c r="BQ68" s="5048"/>
      <c r="BR68" s="5048"/>
      <c r="BS68" s="5048"/>
      <c r="BT68" s="5048"/>
      <c r="BU68" s="5048"/>
      <c r="BV68" s="4563"/>
      <c r="BW68" s="7126"/>
    </row>
    <row r="69" spans="1:75" s="7081" customFormat="1" ht="15" customHeight="1">
      <c r="A69" s="15339"/>
      <c r="B69" s="2580" t="s">
        <v>5644</v>
      </c>
      <c r="C69" s="15456" t="s">
        <v>5645</v>
      </c>
      <c r="D69" s="15340" t="s">
        <v>5646</v>
      </c>
      <c r="E69" s="15340" t="s">
        <v>5647</v>
      </c>
      <c r="F69" s="15340" t="s">
        <v>5648</v>
      </c>
      <c r="G69" s="15340" t="s">
        <v>8265</v>
      </c>
      <c r="H69" s="16801" t="s">
        <v>5649</v>
      </c>
      <c r="I69" s="15340" t="s">
        <v>5650</v>
      </c>
      <c r="J69" s="15340" t="s">
        <v>5651</v>
      </c>
      <c r="K69" s="15340" t="s">
        <v>5652</v>
      </c>
      <c r="L69" s="15340" t="s">
        <v>5653</v>
      </c>
      <c r="M69" s="15340" t="s">
        <v>5654</v>
      </c>
      <c r="N69" s="15340" t="s">
        <v>5655</v>
      </c>
      <c r="O69" s="15340" t="s">
        <v>5656</v>
      </c>
      <c r="P69" s="15340" t="s">
        <v>5657</v>
      </c>
      <c r="Q69" s="15340" t="s">
        <v>5658</v>
      </c>
      <c r="R69" s="15340" t="s">
        <v>5659</v>
      </c>
      <c r="S69" s="15340" t="s">
        <v>5660</v>
      </c>
      <c r="T69" s="15340" t="s">
        <v>5661</v>
      </c>
      <c r="U69" s="15340" t="s">
        <v>5662</v>
      </c>
      <c r="V69" s="15340" t="s">
        <v>5663</v>
      </c>
      <c r="W69" s="15340" t="s">
        <v>5664</v>
      </c>
      <c r="X69" s="4074" t="s">
        <v>10070</v>
      </c>
      <c r="Y69" s="15456" t="s">
        <v>5665</v>
      </c>
      <c r="Z69" s="7137" t="s">
        <v>5666</v>
      </c>
      <c r="AA69" s="16800">
        <f>((2524000*12)*2)*10</f>
        <v>605760000</v>
      </c>
      <c r="AB69" s="16826"/>
      <c r="AC69" s="15340"/>
      <c r="AD69" s="15340"/>
      <c r="AE69" s="15340"/>
      <c r="AF69" s="15340"/>
      <c r="AG69" s="15340"/>
      <c r="AH69" s="15340"/>
      <c r="AI69" s="15340"/>
      <c r="AJ69" s="15340"/>
      <c r="AK69" s="15340"/>
      <c r="AL69" s="15340"/>
      <c r="AM69" s="15340"/>
      <c r="AN69" s="15340"/>
      <c r="AO69" s="15340"/>
      <c r="AP69" s="15340"/>
      <c r="AQ69" s="15340"/>
      <c r="AR69" s="15340"/>
      <c r="AS69" s="15340"/>
      <c r="AT69" s="15340"/>
      <c r="AU69" s="15340"/>
      <c r="AV69" s="15340"/>
      <c r="AW69" s="15340"/>
      <c r="AX69" s="15340"/>
      <c r="AY69" s="15340"/>
      <c r="AZ69" s="15340"/>
      <c r="BA69" s="15340"/>
      <c r="BB69" s="15340"/>
      <c r="BC69" s="15340"/>
      <c r="BD69" s="15340"/>
      <c r="BE69" s="15340"/>
      <c r="BF69" s="15340"/>
      <c r="BG69" s="15340"/>
      <c r="BH69" s="15340"/>
      <c r="BI69" s="15340"/>
      <c r="BJ69" s="15340"/>
      <c r="BK69" s="15340"/>
      <c r="BL69" s="15340"/>
      <c r="BM69" s="15340"/>
      <c r="BN69" s="15340"/>
      <c r="BO69" s="15340"/>
      <c r="BP69" s="15340"/>
      <c r="BQ69" s="15340"/>
      <c r="BR69" s="15340"/>
      <c r="BS69" s="15340"/>
      <c r="BT69" s="5048"/>
      <c r="BU69" s="5048"/>
      <c r="BV69" s="4563"/>
      <c r="BW69" s="7126"/>
    </row>
    <row r="70" spans="1:75" s="7081" customFormat="1" ht="15" customHeight="1">
      <c r="A70" s="15339"/>
      <c r="B70" s="4074" t="s">
        <v>5667</v>
      </c>
      <c r="C70" s="15456"/>
      <c r="D70" s="15340"/>
      <c r="E70" s="15340"/>
      <c r="F70" s="15340"/>
      <c r="G70" s="15340"/>
      <c r="H70" s="16801"/>
      <c r="I70" s="15340"/>
      <c r="J70" s="15340"/>
      <c r="K70" s="15340"/>
      <c r="L70" s="15340"/>
      <c r="M70" s="15340"/>
      <c r="N70" s="15340"/>
      <c r="O70" s="15340"/>
      <c r="P70" s="15340"/>
      <c r="Q70" s="15340"/>
      <c r="R70" s="15340"/>
      <c r="S70" s="15340"/>
      <c r="T70" s="15340"/>
      <c r="U70" s="15340"/>
      <c r="V70" s="15340"/>
      <c r="W70" s="15340"/>
      <c r="X70" s="4074" t="s">
        <v>4305</v>
      </c>
      <c r="Y70" s="15456"/>
      <c r="Z70" s="4491"/>
      <c r="AA70" s="16800"/>
      <c r="AB70" s="16826"/>
      <c r="AC70" s="15340"/>
      <c r="AD70" s="15340"/>
      <c r="AE70" s="15340"/>
      <c r="AF70" s="15340"/>
      <c r="AG70" s="15340"/>
      <c r="AH70" s="15340"/>
      <c r="AI70" s="15340"/>
      <c r="AJ70" s="15340"/>
      <c r="AK70" s="15340"/>
      <c r="AL70" s="15340"/>
      <c r="AM70" s="15340"/>
      <c r="AN70" s="15340"/>
      <c r="AO70" s="15340"/>
      <c r="AP70" s="15340"/>
      <c r="AQ70" s="15340"/>
      <c r="AR70" s="15340"/>
      <c r="AS70" s="15340"/>
      <c r="AT70" s="15340"/>
      <c r="AU70" s="15340"/>
      <c r="AV70" s="15340"/>
      <c r="AW70" s="15340"/>
      <c r="AX70" s="15340"/>
      <c r="AY70" s="15340"/>
      <c r="AZ70" s="15340"/>
      <c r="BA70" s="15340"/>
      <c r="BB70" s="15340"/>
      <c r="BC70" s="15340"/>
      <c r="BD70" s="15340"/>
      <c r="BE70" s="15340"/>
      <c r="BF70" s="15340"/>
      <c r="BG70" s="15340"/>
      <c r="BH70" s="15340"/>
      <c r="BI70" s="15340"/>
      <c r="BJ70" s="15340"/>
      <c r="BK70" s="15340"/>
      <c r="BL70" s="15340"/>
      <c r="BM70" s="15340"/>
      <c r="BN70" s="15340"/>
      <c r="BO70" s="15340"/>
      <c r="BP70" s="15340"/>
      <c r="BQ70" s="15340"/>
      <c r="BR70" s="15340"/>
      <c r="BS70" s="15340"/>
      <c r="BT70" s="5048"/>
      <c r="BU70" s="5048"/>
      <c r="BV70" s="4563"/>
      <c r="BW70" s="7126"/>
    </row>
    <row r="71" spans="1:75" s="7081" customFormat="1" ht="15" customHeight="1">
      <c r="A71" s="15339"/>
      <c r="B71" s="4074" t="s">
        <v>5668</v>
      </c>
      <c r="C71" s="15456"/>
      <c r="D71" s="15340"/>
      <c r="E71" s="15340"/>
      <c r="F71" s="15340"/>
      <c r="G71" s="15340"/>
      <c r="H71" s="16801"/>
      <c r="I71" s="15340"/>
      <c r="J71" s="15340"/>
      <c r="K71" s="15340"/>
      <c r="L71" s="15340"/>
      <c r="M71" s="15340"/>
      <c r="N71" s="15340"/>
      <c r="O71" s="15340"/>
      <c r="P71" s="15340"/>
      <c r="Q71" s="15340"/>
      <c r="R71" s="15340"/>
      <c r="S71" s="15340"/>
      <c r="T71" s="15340"/>
      <c r="U71" s="15340"/>
      <c r="V71" s="15340"/>
      <c r="W71" s="15340"/>
      <c r="X71" s="4074" t="s">
        <v>10063</v>
      </c>
      <c r="Y71" s="15456"/>
      <c r="Z71" s="4491"/>
      <c r="AA71" s="16800"/>
      <c r="AB71" s="16826"/>
      <c r="AC71" s="15340"/>
      <c r="AD71" s="15340"/>
      <c r="AE71" s="15340"/>
      <c r="AF71" s="15340"/>
      <c r="AG71" s="15340"/>
      <c r="AH71" s="15340"/>
      <c r="AI71" s="15340"/>
      <c r="AJ71" s="15340"/>
      <c r="AK71" s="15340"/>
      <c r="AL71" s="15340"/>
      <c r="AM71" s="15340"/>
      <c r="AN71" s="15340"/>
      <c r="AO71" s="15340"/>
      <c r="AP71" s="15340"/>
      <c r="AQ71" s="15340"/>
      <c r="AR71" s="15340"/>
      <c r="AS71" s="15340"/>
      <c r="AT71" s="15340"/>
      <c r="AU71" s="15340"/>
      <c r="AV71" s="15340"/>
      <c r="AW71" s="15340"/>
      <c r="AX71" s="15340"/>
      <c r="AY71" s="15340"/>
      <c r="AZ71" s="15340"/>
      <c r="BA71" s="15340"/>
      <c r="BB71" s="15340"/>
      <c r="BC71" s="15340"/>
      <c r="BD71" s="15340"/>
      <c r="BE71" s="15340"/>
      <c r="BF71" s="15340"/>
      <c r="BG71" s="15340"/>
      <c r="BH71" s="15340"/>
      <c r="BI71" s="15340"/>
      <c r="BJ71" s="15340"/>
      <c r="BK71" s="15340"/>
      <c r="BL71" s="15340"/>
      <c r="BM71" s="15340"/>
      <c r="BN71" s="15340"/>
      <c r="BO71" s="15340"/>
      <c r="BP71" s="15340"/>
      <c r="BQ71" s="15340"/>
      <c r="BR71" s="15340"/>
      <c r="BS71" s="15340"/>
      <c r="BT71" s="5048"/>
      <c r="BU71" s="5048"/>
      <c r="BV71" s="4563"/>
      <c r="BW71" s="7126"/>
    </row>
    <row r="72" spans="1:75" s="7081" customFormat="1" ht="15" customHeight="1">
      <c r="A72" s="15339"/>
      <c r="B72" s="4074" t="s">
        <v>5669</v>
      </c>
      <c r="C72" s="15456" t="s">
        <v>5670</v>
      </c>
      <c r="D72" s="15340" t="s">
        <v>5671</v>
      </c>
      <c r="E72" s="15340" t="s">
        <v>5672</v>
      </c>
      <c r="F72" s="15340" t="s">
        <v>5673</v>
      </c>
      <c r="G72" s="15340" t="s">
        <v>8266</v>
      </c>
      <c r="H72" s="16802" t="s">
        <v>5674</v>
      </c>
      <c r="I72" s="15340" t="s">
        <v>5675</v>
      </c>
      <c r="J72" s="15340" t="s">
        <v>5676</v>
      </c>
      <c r="K72" s="15340" t="s">
        <v>5677</v>
      </c>
      <c r="L72" s="15340" t="s">
        <v>5678</v>
      </c>
      <c r="M72" s="15340" t="s">
        <v>5679</v>
      </c>
      <c r="N72" s="15340" t="s">
        <v>5680</v>
      </c>
      <c r="O72" s="15340" t="s">
        <v>5681</v>
      </c>
      <c r="P72" s="15340" t="s">
        <v>5682</v>
      </c>
      <c r="Q72" s="15340" t="s">
        <v>5683</v>
      </c>
      <c r="R72" s="15340" t="s">
        <v>5684</v>
      </c>
      <c r="S72" s="15340" t="s">
        <v>5685</v>
      </c>
      <c r="T72" s="15340" t="s">
        <v>5686</v>
      </c>
      <c r="U72" s="15340" t="s">
        <v>5687</v>
      </c>
      <c r="V72" s="15340" t="s">
        <v>5688</v>
      </c>
      <c r="W72" s="15340" t="s">
        <v>5689</v>
      </c>
      <c r="X72" s="4074" t="s">
        <v>10067</v>
      </c>
      <c r="Y72" s="2616" t="s">
        <v>5690</v>
      </c>
      <c r="Z72" s="4491" t="s">
        <v>545</v>
      </c>
      <c r="AA72" s="16800">
        <f>(1986000*2)*10*7*10</f>
        <v>2780400000</v>
      </c>
      <c r="AB72" s="16826"/>
      <c r="AC72" s="15340"/>
      <c r="AD72" s="15340"/>
      <c r="AE72" s="15340"/>
      <c r="AF72" s="15340"/>
      <c r="AG72" s="15340"/>
      <c r="AH72" s="15340"/>
      <c r="AI72" s="15340"/>
      <c r="AJ72" s="15340"/>
      <c r="AK72" s="15340"/>
      <c r="AL72" s="15340"/>
      <c r="AM72" s="15340"/>
      <c r="AN72" s="15340"/>
      <c r="AO72" s="15340"/>
      <c r="AP72" s="15340"/>
      <c r="AQ72" s="15340"/>
      <c r="AR72" s="15340"/>
      <c r="AS72" s="15340"/>
      <c r="AT72" s="15340"/>
      <c r="AU72" s="15340"/>
      <c r="AV72" s="15340"/>
      <c r="AW72" s="15340"/>
      <c r="AX72" s="15340"/>
      <c r="AY72" s="15340"/>
      <c r="AZ72" s="15340"/>
      <c r="BA72" s="15340"/>
      <c r="BB72" s="15340"/>
      <c r="BC72" s="15340"/>
      <c r="BD72" s="15340"/>
      <c r="BE72" s="15340"/>
      <c r="BF72" s="15340"/>
      <c r="BG72" s="15340"/>
      <c r="BH72" s="15340"/>
      <c r="BI72" s="15340"/>
      <c r="BJ72" s="15340"/>
      <c r="BK72" s="15340"/>
      <c r="BL72" s="15340"/>
      <c r="BM72" s="15340"/>
      <c r="BN72" s="15340"/>
      <c r="BO72" s="15340"/>
      <c r="BP72" s="15340"/>
      <c r="BQ72" s="15340"/>
      <c r="BR72" s="15340"/>
      <c r="BS72" s="15340"/>
      <c r="BT72" s="5048"/>
      <c r="BU72" s="5048"/>
      <c r="BV72" s="4563"/>
      <c r="BW72" s="7126"/>
    </row>
    <row r="73" spans="1:75" s="7081" customFormat="1" ht="15" customHeight="1">
      <c r="A73" s="15339"/>
      <c r="B73" s="2616" t="s">
        <v>5691</v>
      </c>
      <c r="C73" s="15456"/>
      <c r="D73" s="15340"/>
      <c r="E73" s="15340"/>
      <c r="F73" s="15340"/>
      <c r="G73" s="15340"/>
      <c r="H73" s="16802"/>
      <c r="I73" s="15340"/>
      <c r="J73" s="15340"/>
      <c r="K73" s="15340"/>
      <c r="L73" s="15340"/>
      <c r="M73" s="15340"/>
      <c r="N73" s="15340"/>
      <c r="O73" s="15340"/>
      <c r="P73" s="15340"/>
      <c r="Q73" s="15340"/>
      <c r="R73" s="15340"/>
      <c r="S73" s="15340"/>
      <c r="T73" s="15340"/>
      <c r="U73" s="15340"/>
      <c r="V73" s="15340"/>
      <c r="W73" s="15340"/>
      <c r="X73" s="4074" t="s">
        <v>10063</v>
      </c>
      <c r="Y73" s="2616"/>
      <c r="Z73" s="4491"/>
      <c r="AA73" s="16800"/>
      <c r="AB73" s="16826"/>
      <c r="AC73" s="15340"/>
      <c r="AD73" s="15340"/>
      <c r="AE73" s="15340"/>
      <c r="AF73" s="15340"/>
      <c r="AG73" s="15340"/>
      <c r="AH73" s="15340"/>
      <c r="AI73" s="15340"/>
      <c r="AJ73" s="15340"/>
      <c r="AK73" s="15340"/>
      <c r="AL73" s="15340"/>
      <c r="AM73" s="15340"/>
      <c r="AN73" s="15340"/>
      <c r="AO73" s="15340"/>
      <c r="AP73" s="15340"/>
      <c r="AQ73" s="15340"/>
      <c r="AR73" s="15340"/>
      <c r="AS73" s="15340"/>
      <c r="AT73" s="15340"/>
      <c r="AU73" s="15340"/>
      <c r="AV73" s="15340"/>
      <c r="AW73" s="15340"/>
      <c r="AX73" s="15340"/>
      <c r="AY73" s="15340"/>
      <c r="AZ73" s="15340"/>
      <c r="BA73" s="15340"/>
      <c r="BB73" s="15340"/>
      <c r="BC73" s="15340"/>
      <c r="BD73" s="15340"/>
      <c r="BE73" s="15340"/>
      <c r="BF73" s="15340"/>
      <c r="BG73" s="15340"/>
      <c r="BH73" s="15340"/>
      <c r="BI73" s="15340"/>
      <c r="BJ73" s="15340"/>
      <c r="BK73" s="15340"/>
      <c r="BL73" s="15340"/>
      <c r="BM73" s="15340"/>
      <c r="BN73" s="15340"/>
      <c r="BO73" s="15340"/>
      <c r="BP73" s="15340"/>
      <c r="BQ73" s="15340"/>
      <c r="BR73" s="15340"/>
      <c r="BS73" s="15340"/>
      <c r="BT73" s="5048"/>
      <c r="BU73" s="5048"/>
      <c r="BV73" s="4563"/>
      <c r="BW73" s="7126"/>
    </row>
    <row r="74" spans="1:75" s="7081" customFormat="1" ht="15" customHeight="1">
      <c r="A74" s="15339"/>
      <c r="B74" s="2616" t="s">
        <v>5692</v>
      </c>
      <c r="C74" s="15456" t="s">
        <v>5693</v>
      </c>
      <c r="D74" s="15340" t="s">
        <v>5694</v>
      </c>
      <c r="E74" s="15340" t="s">
        <v>5695</v>
      </c>
      <c r="F74" s="15340" t="s">
        <v>5696</v>
      </c>
      <c r="G74" s="5048" t="s">
        <v>8267</v>
      </c>
      <c r="H74" s="5048" t="s">
        <v>5697</v>
      </c>
      <c r="I74" s="5048" t="s">
        <v>5698</v>
      </c>
      <c r="J74" s="5048" t="s">
        <v>5699</v>
      </c>
      <c r="K74" s="5048" t="s">
        <v>5700</v>
      </c>
      <c r="L74" s="5048" t="s">
        <v>5701</v>
      </c>
      <c r="M74" s="5048" t="s">
        <v>5702</v>
      </c>
      <c r="N74" s="5048" t="s">
        <v>5703</v>
      </c>
      <c r="O74" s="5048" t="s">
        <v>5704</v>
      </c>
      <c r="P74" s="5048" t="s">
        <v>5705</v>
      </c>
      <c r="Q74" s="5048" t="s">
        <v>5706</v>
      </c>
      <c r="R74" s="5048" t="s">
        <v>5707</v>
      </c>
      <c r="S74" s="5048" t="s">
        <v>5708</v>
      </c>
      <c r="T74" s="5048" t="s">
        <v>5709</v>
      </c>
      <c r="U74" s="5048" t="s">
        <v>5710</v>
      </c>
      <c r="V74" s="5048" t="s">
        <v>5711</v>
      </c>
      <c r="W74" s="5048" t="s">
        <v>5712</v>
      </c>
      <c r="X74" s="4074" t="s">
        <v>218</v>
      </c>
      <c r="Y74" s="5048" t="s">
        <v>768</v>
      </c>
      <c r="Z74" s="4491" t="s">
        <v>545</v>
      </c>
      <c r="AA74" s="7097">
        <v>170312300</v>
      </c>
      <c r="AB74" s="7147"/>
      <c r="AC74" s="5048"/>
      <c r="AD74" s="5048"/>
      <c r="AE74" s="5048"/>
      <c r="AF74" s="5048"/>
      <c r="AG74" s="5048"/>
      <c r="AH74" s="5048"/>
      <c r="AI74" s="5048"/>
      <c r="AJ74" s="5048"/>
      <c r="AK74" s="5048"/>
      <c r="AL74" s="5048"/>
      <c r="AM74" s="5048"/>
      <c r="AN74" s="5048"/>
      <c r="AO74" s="5048"/>
      <c r="AP74" s="5048"/>
      <c r="AQ74" s="5048"/>
      <c r="AR74" s="5048"/>
      <c r="AS74" s="5048"/>
      <c r="AT74" s="5048"/>
      <c r="AU74" s="5048"/>
      <c r="AV74" s="5048"/>
      <c r="AW74" s="5048"/>
      <c r="AX74" s="5048"/>
      <c r="AY74" s="5048"/>
      <c r="AZ74" s="5048"/>
      <c r="BA74" s="5048"/>
      <c r="BB74" s="5048"/>
      <c r="BC74" s="5048"/>
      <c r="BD74" s="5048"/>
      <c r="BE74" s="5048"/>
      <c r="BF74" s="5048"/>
      <c r="BG74" s="5048"/>
      <c r="BH74" s="5048"/>
      <c r="BI74" s="5048"/>
      <c r="BJ74" s="5048"/>
      <c r="BK74" s="5048"/>
      <c r="BL74" s="5048"/>
      <c r="BM74" s="5048"/>
      <c r="BN74" s="5048"/>
      <c r="BO74" s="5048"/>
      <c r="BP74" s="5048"/>
      <c r="BQ74" s="5048"/>
      <c r="BR74" s="5048"/>
      <c r="BS74" s="5048"/>
      <c r="BT74" s="5048"/>
      <c r="BU74" s="5048"/>
      <c r="BV74" s="4563"/>
      <c r="BW74" s="7126"/>
    </row>
    <row r="75" spans="1:75" s="7081" customFormat="1" ht="15" customHeight="1">
      <c r="A75" s="15339"/>
      <c r="B75" s="2616" t="s">
        <v>5713</v>
      </c>
      <c r="C75" s="15456"/>
      <c r="D75" s="15340"/>
      <c r="E75" s="15340"/>
      <c r="F75" s="15340"/>
      <c r="G75" s="5048" t="s">
        <v>8268</v>
      </c>
      <c r="H75" s="4074" t="s">
        <v>5714</v>
      </c>
      <c r="I75" s="4074" t="s">
        <v>5715</v>
      </c>
      <c r="J75" s="4074" t="s">
        <v>5716</v>
      </c>
      <c r="K75" s="4074" t="s">
        <v>5717</v>
      </c>
      <c r="L75" s="5048" t="s">
        <v>5718</v>
      </c>
      <c r="M75" s="4074" t="s">
        <v>5719</v>
      </c>
      <c r="N75" s="4074" t="s">
        <v>5720</v>
      </c>
      <c r="O75" s="4074" t="s">
        <v>5721</v>
      </c>
      <c r="P75" s="4074" t="s">
        <v>5722</v>
      </c>
      <c r="Q75" s="4074" t="s">
        <v>5723</v>
      </c>
      <c r="R75" s="4074" t="s">
        <v>5724</v>
      </c>
      <c r="S75" s="4074" t="s">
        <v>5725</v>
      </c>
      <c r="T75" s="4074" t="s">
        <v>5726</v>
      </c>
      <c r="U75" s="4074" t="s">
        <v>5727</v>
      </c>
      <c r="V75" s="4074" t="s">
        <v>5728</v>
      </c>
      <c r="W75" s="4074" t="s">
        <v>5729</v>
      </c>
      <c r="X75" s="4074" t="s">
        <v>218</v>
      </c>
      <c r="Y75" s="5048" t="s">
        <v>768</v>
      </c>
      <c r="Z75" s="5048" t="s">
        <v>545</v>
      </c>
      <c r="AA75" s="7097">
        <v>8290000000</v>
      </c>
      <c r="AB75" s="7147"/>
      <c r="AC75" s="5048"/>
      <c r="AD75" s="5048"/>
      <c r="AE75" s="5048"/>
      <c r="AF75" s="5048"/>
      <c r="AG75" s="5048"/>
      <c r="AH75" s="5048"/>
      <c r="AI75" s="5048"/>
      <c r="AJ75" s="5048"/>
      <c r="AK75" s="5048"/>
      <c r="AL75" s="5048"/>
      <c r="AM75" s="5048"/>
      <c r="AN75" s="5048"/>
      <c r="AO75" s="5048"/>
      <c r="AP75" s="5048"/>
      <c r="AQ75" s="5048"/>
      <c r="AR75" s="5048"/>
      <c r="AS75" s="5048"/>
      <c r="AT75" s="5048"/>
      <c r="AU75" s="5048"/>
      <c r="AV75" s="5048"/>
      <c r="AW75" s="5048"/>
      <c r="AX75" s="5048"/>
      <c r="AY75" s="5048"/>
      <c r="AZ75" s="5048"/>
      <c r="BA75" s="5048"/>
      <c r="BB75" s="5048"/>
      <c r="BC75" s="5048"/>
      <c r="BD75" s="5048"/>
      <c r="BE75" s="5048"/>
      <c r="BF75" s="5048"/>
      <c r="BG75" s="5048"/>
      <c r="BH75" s="5048"/>
      <c r="BI75" s="5048"/>
      <c r="BJ75" s="5048"/>
      <c r="BK75" s="5048"/>
      <c r="BL75" s="5048"/>
      <c r="BM75" s="5048"/>
      <c r="BN75" s="5048"/>
      <c r="BO75" s="5048"/>
      <c r="BP75" s="5048"/>
      <c r="BQ75" s="5048"/>
      <c r="BR75" s="5048"/>
      <c r="BS75" s="5048"/>
      <c r="BT75" s="5048"/>
      <c r="BU75" s="5048"/>
      <c r="BV75" s="4563"/>
      <c r="BW75" s="7126"/>
    </row>
    <row r="76" spans="1:75" s="7081" customFormat="1" ht="15" customHeight="1">
      <c r="A76" s="15339"/>
      <c r="B76" s="2616" t="s">
        <v>5730</v>
      </c>
      <c r="C76" s="15456"/>
      <c r="D76" s="15340"/>
      <c r="E76" s="15340"/>
      <c r="F76" s="15340"/>
      <c r="G76" s="5048" t="s">
        <v>8269</v>
      </c>
      <c r="H76" s="2580" t="s">
        <v>5731</v>
      </c>
      <c r="I76" s="2580" t="s">
        <v>5732</v>
      </c>
      <c r="J76" s="2580" t="s">
        <v>5585</v>
      </c>
      <c r="K76" s="7099"/>
      <c r="L76" s="5072" t="s">
        <v>5733</v>
      </c>
      <c r="M76" s="7099"/>
      <c r="N76" s="2580" t="s">
        <v>5734</v>
      </c>
      <c r="O76" s="7099"/>
      <c r="P76" s="2580" t="s">
        <v>5735</v>
      </c>
      <c r="Q76" s="7099"/>
      <c r="R76" s="2580" t="s">
        <v>5736</v>
      </c>
      <c r="S76" s="2580"/>
      <c r="T76" s="2580" t="s">
        <v>5737</v>
      </c>
      <c r="U76" s="5072" t="s">
        <v>5738</v>
      </c>
      <c r="V76" s="5072" t="s">
        <v>5739</v>
      </c>
      <c r="W76" s="5072" t="s">
        <v>5738</v>
      </c>
      <c r="X76" s="4074" t="s">
        <v>218</v>
      </c>
      <c r="Y76" s="5048" t="s">
        <v>768</v>
      </c>
      <c r="Z76" s="5048" t="s">
        <v>545</v>
      </c>
      <c r="AA76" s="7097">
        <v>8000000</v>
      </c>
      <c r="AB76" s="7147"/>
      <c r="AC76" s="5048"/>
      <c r="AD76" s="5048"/>
      <c r="AE76" s="5048"/>
      <c r="AF76" s="5048"/>
      <c r="AG76" s="5048"/>
      <c r="AH76" s="5048"/>
      <c r="AI76" s="5048"/>
      <c r="AJ76" s="5048"/>
      <c r="AK76" s="5048"/>
      <c r="AL76" s="5048"/>
      <c r="AM76" s="5048"/>
      <c r="AN76" s="5048"/>
      <c r="AO76" s="5048"/>
      <c r="AP76" s="5048"/>
      <c r="AQ76" s="5048"/>
      <c r="AR76" s="5048"/>
      <c r="AS76" s="5048"/>
      <c r="AT76" s="5048"/>
      <c r="AU76" s="5048"/>
      <c r="AV76" s="5048"/>
      <c r="AW76" s="5048"/>
      <c r="AX76" s="5048"/>
      <c r="AY76" s="5048"/>
      <c r="AZ76" s="5048"/>
      <c r="BA76" s="5048"/>
      <c r="BB76" s="5048"/>
      <c r="BC76" s="5048"/>
      <c r="BD76" s="5048"/>
      <c r="BE76" s="5048"/>
      <c r="BF76" s="5048"/>
      <c r="BG76" s="5048"/>
      <c r="BH76" s="5048"/>
      <c r="BI76" s="5048"/>
      <c r="BJ76" s="5048"/>
      <c r="BK76" s="5048"/>
      <c r="BL76" s="5048"/>
      <c r="BM76" s="5048"/>
      <c r="BN76" s="5048"/>
      <c r="BO76" s="5048"/>
      <c r="BP76" s="5048"/>
      <c r="BQ76" s="5048"/>
      <c r="BR76" s="5048"/>
      <c r="BS76" s="5048"/>
      <c r="BT76" s="5048"/>
      <c r="BU76" s="5048"/>
      <c r="BV76" s="4563"/>
      <c r="BW76" s="7126"/>
    </row>
    <row r="77" spans="1:75" s="7081" customFormat="1" ht="15" customHeight="1" thickBot="1">
      <c r="A77" s="16810"/>
      <c r="B77" s="408" t="s">
        <v>5740</v>
      </c>
      <c r="C77" s="5073" t="s">
        <v>5741</v>
      </c>
      <c r="D77" s="5073" t="s">
        <v>5742</v>
      </c>
      <c r="E77" s="5073" t="s">
        <v>5743</v>
      </c>
      <c r="F77" s="5073" t="s">
        <v>5744</v>
      </c>
      <c r="G77" s="5073" t="s">
        <v>8270</v>
      </c>
      <c r="H77" s="405" t="s">
        <v>5745</v>
      </c>
      <c r="I77" s="5073" t="s">
        <v>5746</v>
      </c>
      <c r="J77" s="1634" t="s">
        <v>5747</v>
      </c>
      <c r="K77" s="5073" t="s">
        <v>5748</v>
      </c>
      <c r="L77" s="5073" t="s">
        <v>5749</v>
      </c>
      <c r="M77" s="5073" t="s">
        <v>5750</v>
      </c>
      <c r="N77" s="5073" t="s">
        <v>5751</v>
      </c>
      <c r="O77" s="5073" t="s">
        <v>5752</v>
      </c>
      <c r="P77" s="5073" t="s">
        <v>5753</v>
      </c>
      <c r="Q77" s="5073" t="s">
        <v>5754</v>
      </c>
      <c r="R77" s="5073" t="s">
        <v>5755</v>
      </c>
      <c r="S77" s="5073" t="s">
        <v>5756</v>
      </c>
      <c r="T77" s="5073" t="s">
        <v>5757</v>
      </c>
      <c r="U77" s="1634" t="s">
        <v>5758</v>
      </c>
      <c r="V77" s="1634" t="s">
        <v>5759</v>
      </c>
      <c r="W77" s="1634" t="s">
        <v>5760</v>
      </c>
      <c r="X77" s="405" t="s">
        <v>10063</v>
      </c>
      <c r="Y77" s="408" t="s">
        <v>144</v>
      </c>
      <c r="Z77" s="408" t="s">
        <v>545</v>
      </c>
      <c r="AA77" s="7142">
        <f>(((((2524000)*4*12)*10))*7)/4</f>
        <v>2120160000</v>
      </c>
      <c r="AB77" s="7148"/>
      <c r="AC77" s="1634"/>
      <c r="AD77" s="1634"/>
      <c r="AE77" s="1634"/>
      <c r="AF77" s="1634"/>
      <c r="AG77" s="1634"/>
      <c r="AH77" s="1634"/>
      <c r="AI77" s="1634"/>
      <c r="AJ77" s="1634"/>
      <c r="AK77" s="1634"/>
      <c r="AL77" s="1634"/>
      <c r="AM77" s="1634"/>
      <c r="AN77" s="1634"/>
      <c r="AO77" s="1634"/>
      <c r="AP77" s="1634"/>
      <c r="AQ77" s="1634"/>
      <c r="AR77" s="1634"/>
      <c r="AS77" s="1634"/>
      <c r="AT77" s="1634"/>
      <c r="AU77" s="1634"/>
      <c r="AV77" s="1634"/>
      <c r="AW77" s="1634"/>
      <c r="AX77" s="1634"/>
      <c r="AY77" s="1634"/>
      <c r="AZ77" s="1634"/>
      <c r="BA77" s="1634"/>
      <c r="BB77" s="1634"/>
      <c r="BC77" s="1634"/>
      <c r="BD77" s="1634"/>
      <c r="BE77" s="1634"/>
      <c r="BF77" s="1634"/>
      <c r="BG77" s="1634"/>
      <c r="BH77" s="1634"/>
      <c r="BI77" s="1634"/>
      <c r="BJ77" s="1634"/>
      <c r="BK77" s="1634"/>
      <c r="BL77" s="1634"/>
      <c r="BM77" s="1634"/>
      <c r="BN77" s="1634"/>
      <c r="BO77" s="1634"/>
      <c r="BP77" s="1634"/>
      <c r="BQ77" s="1634"/>
      <c r="BR77" s="1634"/>
      <c r="BS77" s="1634"/>
      <c r="BT77" s="1634"/>
      <c r="BU77" s="1634"/>
      <c r="BV77" s="4579"/>
      <c r="BW77" s="7126"/>
    </row>
    <row r="78" spans="1:75" s="7080" customFormat="1" ht="15" customHeight="1">
      <c r="A78" s="16807" t="s">
        <v>6019</v>
      </c>
      <c r="B78" s="15375" t="s">
        <v>5761</v>
      </c>
      <c r="C78" s="15375" t="s">
        <v>5762</v>
      </c>
      <c r="D78" s="16433" t="s">
        <v>5763</v>
      </c>
      <c r="E78" s="16433" t="s">
        <v>5764</v>
      </c>
      <c r="F78" s="16433" t="s">
        <v>5765</v>
      </c>
      <c r="G78" s="16433" t="s">
        <v>8271</v>
      </c>
      <c r="H78" s="15375" t="s">
        <v>5766</v>
      </c>
      <c r="I78" s="16433" t="s">
        <v>5767</v>
      </c>
      <c r="J78" s="16433" t="s">
        <v>5422</v>
      </c>
      <c r="K78" s="16433" t="s">
        <v>5768</v>
      </c>
      <c r="L78" s="16433" t="s">
        <v>5769</v>
      </c>
      <c r="M78" s="16433" t="s">
        <v>5770</v>
      </c>
      <c r="N78" s="16433" t="s">
        <v>5771</v>
      </c>
      <c r="O78" s="16433" t="s">
        <v>5772</v>
      </c>
      <c r="P78" s="16433" t="s">
        <v>5773</v>
      </c>
      <c r="Q78" s="16433" t="s">
        <v>5774</v>
      </c>
      <c r="R78" s="16433" t="s">
        <v>5775</v>
      </c>
      <c r="S78" s="16433" t="s">
        <v>5776</v>
      </c>
      <c r="T78" s="16433" t="s">
        <v>5777</v>
      </c>
      <c r="U78" s="16433" t="s">
        <v>5778</v>
      </c>
      <c r="V78" s="16433" t="s">
        <v>5779</v>
      </c>
      <c r="W78" s="16433" t="s">
        <v>5780</v>
      </c>
      <c r="X78" s="7110" t="s">
        <v>10063</v>
      </c>
      <c r="Y78" s="4944" t="s">
        <v>144</v>
      </c>
      <c r="Z78" s="4944"/>
      <c r="AA78" s="7111">
        <f>3000000*10</f>
        <v>30000000</v>
      </c>
      <c r="AB78" s="7149"/>
      <c r="AC78" s="4944"/>
      <c r="AD78" s="4944"/>
      <c r="AE78" s="4944"/>
      <c r="AF78" s="4944"/>
      <c r="AG78" s="4944"/>
      <c r="AH78" s="4944"/>
      <c r="AI78" s="4944"/>
      <c r="AJ78" s="4944"/>
      <c r="AK78" s="4944"/>
      <c r="AL78" s="4944"/>
      <c r="AM78" s="4944"/>
      <c r="AN78" s="4944"/>
      <c r="AO78" s="4944"/>
      <c r="AP78" s="4944"/>
      <c r="AQ78" s="4944"/>
      <c r="AR78" s="4944"/>
      <c r="AS78" s="4944"/>
      <c r="AT78" s="4944"/>
      <c r="AU78" s="4944"/>
      <c r="AV78" s="4944"/>
      <c r="AW78" s="4944"/>
      <c r="AX78" s="4944"/>
      <c r="AY78" s="4944"/>
      <c r="AZ78" s="4944"/>
      <c r="BA78" s="4944"/>
      <c r="BB78" s="4944"/>
      <c r="BC78" s="4944"/>
      <c r="BD78" s="4944"/>
      <c r="BE78" s="4944"/>
      <c r="BF78" s="4944"/>
      <c r="BG78" s="4944"/>
      <c r="BH78" s="4944"/>
      <c r="BI78" s="4944"/>
      <c r="BJ78" s="4944"/>
      <c r="BK78" s="4944"/>
      <c r="BL78" s="4944"/>
      <c r="BM78" s="4944"/>
      <c r="BN78" s="4944"/>
      <c r="BO78" s="4944"/>
      <c r="BP78" s="4944"/>
      <c r="BQ78" s="4944"/>
      <c r="BR78" s="4944"/>
      <c r="BS78" s="4944"/>
      <c r="BT78" s="4944"/>
      <c r="BU78" s="4944"/>
      <c r="BV78" s="7112"/>
      <c r="BW78" s="7125"/>
    </row>
    <row r="79" spans="1:75" s="7080" customFormat="1" ht="15" customHeight="1">
      <c r="A79" s="16808"/>
      <c r="B79" s="15376"/>
      <c r="C79" s="15376"/>
      <c r="D79" s="15930"/>
      <c r="E79" s="15930"/>
      <c r="F79" s="15930"/>
      <c r="G79" s="15930"/>
      <c r="H79" s="15376"/>
      <c r="I79" s="15930"/>
      <c r="J79" s="15930"/>
      <c r="K79" s="15930"/>
      <c r="L79" s="15930"/>
      <c r="M79" s="15930"/>
      <c r="N79" s="15930"/>
      <c r="O79" s="15930"/>
      <c r="P79" s="15930"/>
      <c r="Q79" s="15930"/>
      <c r="R79" s="15930"/>
      <c r="S79" s="15930"/>
      <c r="T79" s="15930"/>
      <c r="U79" s="15930"/>
      <c r="V79" s="15930"/>
      <c r="W79" s="15930"/>
      <c r="X79" s="7085" t="s">
        <v>10194</v>
      </c>
      <c r="Y79" s="5096"/>
      <c r="Z79" s="5096" t="s">
        <v>3685</v>
      </c>
      <c r="AA79" s="6516"/>
      <c r="AB79" s="7147"/>
      <c r="AC79" s="5096"/>
      <c r="AD79" s="5096"/>
      <c r="AE79" s="5096"/>
      <c r="AF79" s="5096"/>
      <c r="AG79" s="5096"/>
      <c r="AH79" s="5096"/>
      <c r="AI79" s="5096"/>
      <c r="AJ79" s="5096"/>
      <c r="AK79" s="5096"/>
      <c r="AL79" s="5096"/>
      <c r="AM79" s="5096"/>
      <c r="AN79" s="5096"/>
      <c r="AO79" s="5096"/>
      <c r="AP79" s="5096"/>
      <c r="AQ79" s="5096"/>
      <c r="AR79" s="5096"/>
      <c r="AS79" s="5096"/>
      <c r="AT79" s="5096"/>
      <c r="AU79" s="5096"/>
      <c r="AV79" s="5096"/>
      <c r="AW79" s="5096"/>
      <c r="AX79" s="5096"/>
      <c r="AY79" s="5096"/>
      <c r="AZ79" s="5096"/>
      <c r="BA79" s="5096"/>
      <c r="BB79" s="5096"/>
      <c r="BC79" s="5096"/>
      <c r="BD79" s="5096"/>
      <c r="BE79" s="5096"/>
      <c r="BF79" s="5096"/>
      <c r="BG79" s="5096"/>
      <c r="BH79" s="5096"/>
      <c r="BI79" s="5096"/>
      <c r="BJ79" s="5096"/>
      <c r="BK79" s="5096"/>
      <c r="BL79" s="5096"/>
      <c r="BM79" s="5096"/>
      <c r="BN79" s="5096"/>
      <c r="BO79" s="5096"/>
      <c r="BP79" s="5096"/>
      <c r="BQ79" s="5096"/>
      <c r="BR79" s="5096"/>
      <c r="BS79" s="5096"/>
      <c r="BT79" s="5096"/>
      <c r="BU79" s="5096"/>
      <c r="BV79" s="7103"/>
      <c r="BW79" s="7125"/>
    </row>
    <row r="80" spans="1:75" s="7080" customFormat="1" ht="15" customHeight="1">
      <c r="A80" s="16808"/>
      <c r="B80" s="15376" t="s">
        <v>5781</v>
      </c>
      <c r="C80" s="15376"/>
      <c r="D80" s="15930"/>
      <c r="E80" s="15930"/>
      <c r="F80" s="15930"/>
      <c r="G80" s="5096" t="s">
        <v>8272</v>
      </c>
      <c r="H80" s="7092" t="s">
        <v>5782</v>
      </c>
      <c r="I80" s="4622" t="s">
        <v>5783</v>
      </c>
      <c r="J80" s="7085" t="s">
        <v>5784</v>
      </c>
      <c r="K80" s="5096" t="s">
        <v>545</v>
      </c>
      <c r="L80" s="5096" t="s">
        <v>545</v>
      </c>
      <c r="M80" s="5096" t="s">
        <v>545</v>
      </c>
      <c r="N80" s="5096" t="s">
        <v>545</v>
      </c>
      <c r="O80" s="5096" t="s">
        <v>545</v>
      </c>
      <c r="P80" s="7085" t="s">
        <v>5785</v>
      </c>
      <c r="Q80" s="7085" t="s">
        <v>5786</v>
      </c>
      <c r="R80" s="7085" t="s">
        <v>5787</v>
      </c>
      <c r="S80" s="7085" t="s">
        <v>5788</v>
      </c>
      <c r="T80" s="7085" t="s">
        <v>5789</v>
      </c>
      <c r="U80" s="7085" t="s">
        <v>5790</v>
      </c>
      <c r="V80" s="7085" t="s">
        <v>5791</v>
      </c>
      <c r="W80" s="7085" t="s">
        <v>5792</v>
      </c>
      <c r="X80" s="7085" t="s">
        <v>10194</v>
      </c>
      <c r="Y80" s="7138" t="s">
        <v>545</v>
      </c>
      <c r="Z80" s="5096" t="s">
        <v>3685</v>
      </c>
      <c r="AA80" s="6516">
        <v>0</v>
      </c>
      <c r="AB80" s="7147"/>
      <c r="AC80" s="5096"/>
      <c r="AD80" s="5096"/>
      <c r="AE80" s="5096"/>
      <c r="AF80" s="5096"/>
      <c r="AG80" s="5096"/>
      <c r="AH80" s="5096"/>
      <c r="AI80" s="5096"/>
      <c r="AJ80" s="5096"/>
      <c r="AK80" s="5096"/>
      <c r="AL80" s="5096"/>
      <c r="AM80" s="5096"/>
      <c r="AN80" s="5096"/>
      <c r="AO80" s="5096"/>
      <c r="AP80" s="5096"/>
      <c r="AQ80" s="5096"/>
      <c r="AR80" s="5096"/>
      <c r="AS80" s="5096"/>
      <c r="AT80" s="5096"/>
      <c r="AU80" s="5096"/>
      <c r="AV80" s="5096"/>
      <c r="AW80" s="5096"/>
      <c r="AX80" s="5096"/>
      <c r="AY80" s="5096"/>
      <c r="AZ80" s="5096"/>
      <c r="BA80" s="5096"/>
      <c r="BB80" s="5096"/>
      <c r="BC80" s="5096"/>
      <c r="BD80" s="5096"/>
      <c r="BE80" s="5096"/>
      <c r="BF80" s="5096"/>
      <c r="BG80" s="5096"/>
      <c r="BH80" s="5096"/>
      <c r="BI80" s="5096"/>
      <c r="BJ80" s="5096"/>
      <c r="BK80" s="5096"/>
      <c r="BL80" s="5096"/>
      <c r="BM80" s="5096"/>
      <c r="BN80" s="5096"/>
      <c r="BO80" s="5096"/>
      <c r="BP80" s="5096"/>
      <c r="BQ80" s="5096"/>
      <c r="BR80" s="5096"/>
      <c r="BS80" s="5096"/>
      <c r="BT80" s="5096"/>
      <c r="BU80" s="5096"/>
      <c r="BV80" s="7103"/>
      <c r="BW80" s="7125"/>
    </row>
    <row r="81" spans="1:75" s="7080" customFormat="1" ht="15" customHeight="1">
      <c r="A81" s="16808"/>
      <c r="B81" s="15376"/>
      <c r="C81" s="15376"/>
      <c r="D81" s="15930"/>
      <c r="E81" s="15930"/>
      <c r="F81" s="15930"/>
      <c r="G81" s="5096" t="s">
        <v>8273</v>
      </c>
      <c r="H81" s="7092" t="s">
        <v>5793</v>
      </c>
      <c r="I81" s="7092" t="s">
        <v>5794</v>
      </c>
      <c r="J81" s="7084" t="s">
        <v>5795</v>
      </c>
      <c r="K81" s="7084" t="s">
        <v>5796</v>
      </c>
      <c r="L81" s="5062" t="s">
        <v>5797</v>
      </c>
      <c r="M81" s="7084" t="s">
        <v>5798</v>
      </c>
      <c r="N81" s="7084" t="s">
        <v>5799</v>
      </c>
      <c r="O81" s="7084" t="s">
        <v>5800</v>
      </c>
      <c r="P81" s="7084" t="s">
        <v>5801</v>
      </c>
      <c r="Q81" s="7084" t="s">
        <v>5802</v>
      </c>
      <c r="R81" s="7084" t="s">
        <v>5803</v>
      </c>
      <c r="S81" s="7084" t="s">
        <v>5804</v>
      </c>
      <c r="T81" s="7084" t="s">
        <v>5805</v>
      </c>
      <c r="U81" s="7084" t="s">
        <v>5806</v>
      </c>
      <c r="V81" s="7084" t="s">
        <v>5807</v>
      </c>
      <c r="W81" s="7084" t="s">
        <v>5808</v>
      </c>
      <c r="X81" s="7084" t="s">
        <v>2896</v>
      </c>
      <c r="Y81" s="7100" t="s">
        <v>163</v>
      </c>
      <c r="Z81" s="5062" t="s">
        <v>545</v>
      </c>
      <c r="AA81" s="7093">
        <v>25240000</v>
      </c>
      <c r="AB81" s="7147"/>
      <c r="AC81" s="5096"/>
      <c r="AD81" s="5096"/>
      <c r="AE81" s="5096"/>
      <c r="AF81" s="5096"/>
      <c r="AG81" s="5096"/>
      <c r="AH81" s="5096"/>
      <c r="AI81" s="5096"/>
      <c r="AJ81" s="5096"/>
      <c r="AK81" s="5096"/>
      <c r="AL81" s="5096"/>
      <c r="AM81" s="5096"/>
      <c r="AN81" s="5096"/>
      <c r="AO81" s="5096"/>
      <c r="AP81" s="5096"/>
      <c r="AQ81" s="5096"/>
      <c r="AR81" s="5096"/>
      <c r="AS81" s="5096"/>
      <c r="AT81" s="5096"/>
      <c r="AU81" s="5096"/>
      <c r="AV81" s="5096"/>
      <c r="AW81" s="5096"/>
      <c r="AX81" s="5096"/>
      <c r="AY81" s="5096"/>
      <c r="AZ81" s="5096"/>
      <c r="BA81" s="5096"/>
      <c r="BB81" s="5096"/>
      <c r="BC81" s="5096"/>
      <c r="BD81" s="5096"/>
      <c r="BE81" s="5096"/>
      <c r="BF81" s="5096"/>
      <c r="BG81" s="5096"/>
      <c r="BH81" s="5096"/>
      <c r="BI81" s="5096"/>
      <c r="BJ81" s="5096"/>
      <c r="BK81" s="5096"/>
      <c r="BL81" s="5096"/>
      <c r="BM81" s="5096"/>
      <c r="BN81" s="5096"/>
      <c r="BO81" s="5096"/>
      <c r="BP81" s="5096"/>
      <c r="BQ81" s="5096"/>
      <c r="BR81" s="5096"/>
      <c r="BS81" s="5096"/>
      <c r="BT81" s="5096"/>
      <c r="BU81" s="5096"/>
      <c r="BV81" s="7103"/>
      <c r="BW81" s="7125"/>
    </row>
    <row r="82" spans="1:75" s="7080" customFormat="1" ht="15" customHeight="1">
      <c r="A82" s="16808"/>
      <c r="B82" s="15376"/>
      <c r="C82" s="15376"/>
      <c r="D82" s="15930"/>
      <c r="E82" s="15930"/>
      <c r="F82" s="15930"/>
      <c r="G82" s="5096" t="s">
        <v>8274</v>
      </c>
      <c r="H82" s="7092" t="s">
        <v>5809</v>
      </c>
      <c r="I82" s="4622" t="s">
        <v>5810</v>
      </c>
      <c r="J82" s="7085" t="s">
        <v>5811</v>
      </c>
      <c r="K82" s="7085" t="s">
        <v>5812</v>
      </c>
      <c r="L82" s="5096" t="s">
        <v>5813</v>
      </c>
      <c r="M82" s="7085" t="s">
        <v>5814</v>
      </c>
      <c r="N82" s="7085" t="s">
        <v>5815</v>
      </c>
      <c r="O82" s="7085" t="s">
        <v>5816</v>
      </c>
      <c r="P82" s="7085" t="s">
        <v>5817</v>
      </c>
      <c r="Q82" s="7085" t="s">
        <v>5818</v>
      </c>
      <c r="R82" s="7085" t="s">
        <v>5819</v>
      </c>
      <c r="S82" s="7085" t="s">
        <v>5820</v>
      </c>
      <c r="T82" s="7085" t="s">
        <v>5821</v>
      </c>
      <c r="U82" s="7085" t="s">
        <v>5822</v>
      </c>
      <c r="V82" s="7085" t="s">
        <v>5823</v>
      </c>
      <c r="W82" s="7085" t="s">
        <v>5824</v>
      </c>
      <c r="X82" s="7085" t="s">
        <v>10194</v>
      </c>
      <c r="Y82" s="7138" t="s">
        <v>545</v>
      </c>
      <c r="Z82" s="5096" t="s">
        <v>3685</v>
      </c>
      <c r="AA82" s="6516">
        <v>0</v>
      </c>
      <c r="AB82" s="7147"/>
      <c r="AC82" s="5096"/>
      <c r="AD82" s="5096"/>
      <c r="AE82" s="5096"/>
      <c r="AF82" s="5096"/>
      <c r="AG82" s="5096"/>
      <c r="AH82" s="5096"/>
      <c r="AI82" s="5096"/>
      <c r="AJ82" s="5096"/>
      <c r="AK82" s="5096"/>
      <c r="AL82" s="5096"/>
      <c r="AM82" s="5096"/>
      <c r="AN82" s="5096"/>
      <c r="AO82" s="5096"/>
      <c r="AP82" s="5096"/>
      <c r="AQ82" s="5096"/>
      <c r="AR82" s="5096"/>
      <c r="AS82" s="5096"/>
      <c r="AT82" s="5096"/>
      <c r="AU82" s="5096"/>
      <c r="AV82" s="5096"/>
      <c r="AW82" s="5096"/>
      <c r="AX82" s="5096"/>
      <c r="AY82" s="5096"/>
      <c r="AZ82" s="5096"/>
      <c r="BA82" s="5096"/>
      <c r="BB82" s="5096"/>
      <c r="BC82" s="5096"/>
      <c r="BD82" s="5096"/>
      <c r="BE82" s="5096"/>
      <c r="BF82" s="5096"/>
      <c r="BG82" s="5096"/>
      <c r="BH82" s="5096"/>
      <c r="BI82" s="5096"/>
      <c r="BJ82" s="5096"/>
      <c r="BK82" s="5096"/>
      <c r="BL82" s="5096"/>
      <c r="BM82" s="5096"/>
      <c r="BN82" s="5096"/>
      <c r="BO82" s="5096"/>
      <c r="BP82" s="5096"/>
      <c r="BQ82" s="5096"/>
      <c r="BR82" s="5096"/>
      <c r="BS82" s="5096"/>
      <c r="BT82" s="5096"/>
      <c r="BU82" s="5096"/>
      <c r="BV82" s="7103"/>
      <c r="BW82" s="7125"/>
    </row>
    <row r="83" spans="1:75" s="7080" customFormat="1" ht="15" customHeight="1">
      <c r="A83" s="16808"/>
      <c r="B83" s="7085" t="s">
        <v>5825</v>
      </c>
      <c r="C83" s="15376"/>
      <c r="D83" s="15930"/>
      <c r="E83" s="15930"/>
      <c r="F83" s="15930"/>
      <c r="G83" s="15930" t="s">
        <v>8275</v>
      </c>
      <c r="H83" s="15376" t="s">
        <v>5826</v>
      </c>
      <c r="I83" s="15930" t="s">
        <v>5827</v>
      </c>
      <c r="J83" s="15930" t="s">
        <v>5828</v>
      </c>
      <c r="K83" s="15376" t="s">
        <v>5829</v>
      </c>
      <c r="L83" s="15376" t="s">
        <v>5830</v>
      </c>
      <c r="M83" s="15376" t="s">
        <v>5831</v>
      </c>
      <c r="N83" s="15376" t="s">
        <v>5832</v>
      </c>
      <c r="O83" s="15376" t="s">
        <v>5833</v>
      </c>
      <c r="P83" s="15376" t="s">
        <v>5834</v>
      </c>
      <c r="Q83" s="15376" t="s">
        <v>5835</v>
      </c>
      <c r="R83" s="15376" t="s">
        <v>5836</v>
      </c>
      <c r="S83" s="15376" t="s">
        <v>5837</v>
      </c>
      <c r="T83" s="15376" t="s">
        <v>5838</v>
      </c>
      <c r="U83" s="15930" t="s">
        <v>5839</v>
      </c>
      <c r="V83" s="15930" t="s">
        <v>5840</v>
      </c>
      <c r="W83" s="15930" t="s">
        <v>5841</v>
      </c>
      <c r="X83" s="7085" t="s">
        <v>10063</v>
      </c>
      <c r="Y83" s="4622" t="s">
        <v>144</v>
      </c>
      <c r="Z83" s="5096"/>
      <c r="AA83" s="16811">
        <f>(200000*30)*10</f>
        <v>60000000</v>
      </c>
      <c r="AB83" s="16826"/>
      <c r="AC83" s="15930"/>
      <c r="AD83" s="15930"/>
      <c r="AE83" s="15930"/>
      <c r="AF83" s="15930"/>
      <c r="AG83" s="15930"/>
      <c r="AH83" s="15930"/>
      <c r="AI83" s="15930"/>
      <c r="AJ83" s="15930"/>
      <c r="AK83" s="15930"/>
      <c r="AL83" s="15930"/>
      <c r="AM83" s="15930"/>
      <c r="AN83" s="15930"/>
      <c r="AO83" s="15930"/>
      <c r="AP83" s="15930"/>
      <c r="AQ83" s="15930"/>
      <c r="AR83" s="15930"/>
      <c r="AS83" s="15930"/>
      <c r="AT83" s="15930"/>
      <c r="AU83" s="15930"/>
      <c r="AV83" s="15930"/>
      <c r="AW83" s="15930"/>
      <c r="AX83" s="15930"/>
      <c r="AY83" s="15930"/>
      <c r="AZ83" s="15930"/>
      <c r="BA83" s="15930"/>
      <c r="BB83" s="15930"/>
      <c r="BC83" s="15930"/>
      <c r="BD83" s="15930"/>
      <c r="BE83" s="15930"/>
      <c r="BF83" s="15930"/>
      <c r="BG83" s="15930"/>
      <c r="BH83" s="15930"/>
      <c r="BI83" s="15930"/>
      <c r="BJ83" s="15930"/>
      <c r="BK83" s="15930"/>
      <c r="BL83" s="15930"/>
      <c r="BM83" s="15930"/>
      <c r="BN83" s="15930"/>
      <c r="BO83" s="15930"/>
      <c r="BP83" s="15930"/>
      <c r="BQ83" s="15930"/>
      <c r="BR83" s="15930"/>
      <c r="BS83" s="15930"/>
      <c r="BT83" s="5096"/>
      <c r="BU83" s="5096"/>
      <c r="BV83" s="7103"/>
      <c r="BW83" s="7125"/>
    </row>
    <row r="84" spans="1:75" s="7080" customFormat="1" ht="15" customHeight="1">
      <c r="A84" s="16808"/>
      <c r="B84" s="7092" t="s">
        <v>5842</v>
      </c>
      <c r="C84" s="15376"/>
      <c r="D84" s="15930"/>
      <c r="E84" s="15930"/>
      <c r="F84" s="15930"/>
      <c r="G84" s="15930"/>
      <c r="H84" s="15376"/>
      <c r="I84" s="15930"/>
      <c r="J84" s="15930"/>
      <c r="K84" s="15376"/>
      <c r="L84" s="15376"/>
      <c r="M84" s="15376"/>
      <c r="N84" s="15376"/>
      <c r="O84" s="15376"/>
      <c r="P84" s="15376"/>
      <c r="Q84" s="15376"/>
      <c r="R84" s="15376"/>
      <c r="S84" s="15376"/>
      <c r="T84" s="15376"/>
      <c r="U84" s="15930"/>
      <c r="V84" s="15930"/>
      <c r="W84" s="15930"/>
      <c r="X84" s="7085" t="s">
        <v>10194</v>
      </c>
      <c r="Y84" s="4622"/>
      <c r="Z84" s="7132" t="s">
        <v>3685</v>
      </c>
      <c r="AA84" s="16811"/>
      <c r="AB84" s="16826"/>
      <c r="AC84" s="15930"/>
      <c r="AD84" s="15930"/>
      <c r="AE84" s="15930"/>
      <c r="AF84" s="15930"/>
      <c r="AG84" s="15930"/>
      <c r="AH84" s="15930"/>
      <c r="AI84" s="15930"/>
      <c r="AJ84" s="15930"/>
      <c r="AK84" s="15930"/>
      <c r="AL84" s="15930"/>
      <c r="AM84" s="15930"/>
      <c r="AN84" s="15930"/>
      <c r="AO84" s="15930"/>
      <c r="AP84" s="15930"/>
      <c r="AQ84" s="15930"/>
      <c r="AR84" s="15930"/>
      <c r="AS84" s="15930"/>
      <c r="AT84" s="15930"/>
      <c r="AU84" s="15930"/>
      <c r="AV84" s="15930"/>
      <c r="AW84" s="15930"/>
      <c r="AX84" s="15930"/>
      <c r="AY84" s="15930"/>
      <c r="AZ84" s="15930"/>
      <c r="BA84" s="15930"/>
      <c r="BB84" s="15930"/>
      <c r="BC84" s="15930"/>
      <c r="BD84" s="15930"/>
      <c r="BE84" s="15930"/>
      <c r="BF84" s="15930"/>
      <c r="BG84" s="15930"/>
      <c r="BH84" s="15930"/>
      <c r="BI84" s="15930"/>
      <c r="BJ84" s="15930"/>
      <c r="BK84" s="15930"/>
      <c r="BL84" s="15930"/>
      <c r="BM84" s="15930"/>
      <c r="BN84" s="15930"/>
      <c r="BO84" s="15930"/>
      <c r="BP84" s="15930"/>
      <c r="BQ84" s="15930"/>
      <c r="BR84" s="15930"/>
      <c r="BS84" s="15930"/>
      <c r="BT84" s="5096"/>
      <c r="BU84" s="5096"/>
      <c r="BV84" s="7103"/>
      <c r="BW84" s="7125"/>
    </row>
    <row r="85" spans="1:75" s="7080" customFormat="1" ht="15" customHeight="1">
      <c r="A85" s="16808"/>
      <c r="B85" s="7084" t="s">
        <v>5843</v>
      </c>
      <c r="C85" s="15376" t="s">
        <v>5844</v>
      </c>
      <c r="D85" s="15376" t="s">
        <v>5845</v>
      </c>
      <c r="E85" s="15376" t="s">
        <v>5846</v>
      </c>
      <c r="F85" s="15376" t="s">
        <v>5847</v>
      </c>
      <c r="G85" s="15376" t="s">
        <v>8276</v>
      </c>
      <c r="H85" s="16806" t="s">
        <v>5848</v>
      </c>
      <c r="I85" s="15376" t="s">
        <v>5849</v>
      </c>
      <c r="J85" s="15376" t="s">
        <v>5850</v>
      </c>
      <c r="K85" s="15376" t="s">
        <v>5851</v>
      </c>
      <c r="L85" s="15376" t="s">
        <v>5852</v>
      </c>
      <c r="M85" s="15376" t="s">
        <v>5853</v>
      </c>
      <c r="N85" s="15376" t="s">
        <v>5854</v>
      </c>
      <c r="O85" s="15376" t="s">
        <v>5855</v>
      </c>
      <c r="P85" s="15376" t="s">
        <v>5856</v>
      </c>
      <c r="Q85" s="15376" t="s">
        <v>5857</v>
      </c>
      <c r="R85" s="15376" t="s">
        <v>5858</v>
      </c>
      <c r="S85" s="15376" t="s">
        <v>5859</v>
      </c>
      <c r="T85" s="15376" t="s">
        <v>5860</v>
      </c>
      <c r="U85" s="15376" t="s">
        <v>5861</v>
      </c>
      <c r="V85" s="15376" t="s">
        <v>5862</v>
      </c>
      <c r="W85" s="15376" t="s">
        <v>5863</v>
      </c>
      <c r="X85" s="7084" t="s">
        <v>2896</v>
      </c>
      <c r="Y85" s="7092" t="s">
        <v>172</v>
      </c>
      <c r="Z85" s="5096"/>
      <c r="AA85" s="16786">
        <f>10000000*10</f>
        <v>100000000</v>
      </c>
      <c r="AB85" s="16826"/>
      <c r="AC85" s="15930"/>
      <c r="AD85" s="15930"/>
      <c r="AE85" s="15930"/>
      <c r="AF85" s="15930"/>
      <c r="AG85" s="15930"/>
      <c r="AH85" s="15930"/>
      <c r="AI85" s="15930"/>
      <c r="AJ85" s="15930"/>
      <c r="AK85" s="15930"/>
      <c r="AL85" s="15930"/>
      <c r="AM85" s="15930"/>
      <c r="AN85" s="15930"/>
      <c r="AO85" s="15930"/>
      <c r="AP85" s="15930"/>
      <c r="AQ85" s="15930"/>
      <c r="AR85" s="15930"/>
      <c r="AS85" s="15930"/>
      <c r="AT85" s="15930"/>
      <c r="AU85" s="15930"/>
      <c r="AV85" s="15930"/>
      <c r="AW85" s="15930"/>
      <c r="AX85" s="15930"/>
      <c r="AY85" s="15930"/>
      <c r="AZ85" s="15930"/>
      <c r="BA85" s="15930"/>
      <c r="BB85" s="15930"/>
      <c r="BC85" s="15930"/>
      <c r="BD85" s="15930"/>
      <c r="BE85" s="15930"/>
      <c r="BF85" s="15930"/>
      <c r="BG85" s="15930"/>
      <c r="BH85" s="15930"/>
      <c r="BI85" s="15930"/>
      <c r="BJ85" s="15930"/>
      <c r="BK85" s="15930"/>
      <c r="BL85" s="15930"/>
      <c r="BM85" s="15930"/>
      <c r="BN85" s="15930"/>
      <c r="BO85" s="15930"/>
      <c r="BP85" s="15930"/>
      <c r="BQ85" s="15930"/>
      <c r="BR85" s="15930"/>
      <c r="BS85" s="15930"/>
      <c r="BT85" s="5096"/>
      <c r="BU85" s="5096"/>
      <c r="BV85" s="7103"/>
      <c r="BW85" s="7125"/>
    </row>
    <row r="86" spans="1:75" s="7080" customFormat="1" ht="15" customHeight="1">
      <c r="A86" s="16808"/>
      <c r="B86" s="7084" t="s">
        <v>5864</v>
      </c>
      <c r="C86" s="15376"/>
      <c r="D86" s="15376"/>
      <c r="E86" s="15376"/>
      <c r="F86" s="15376"/>
      <c r="G86" s="15376"/>
      <c r="H86" s="16806"/>
      <c r="I86" s="15376"/>
      <c r="J86" s="15376"/>
      <c r="K86" s="15376"/>
      <c r="L86" s="15376"/>
      <c r="M86" s="15376"/>
      <c r="N86" s="15376"/>
      <c r="O86" s="15376"/>
      <c r="P86" s="15376"/>
      <c r="Q86" s="15376"/>
      <c r="R86" s="15376"/>
      <c r="S86" s="15376"/>
      <c r="T86" s="15376"/>
      <c r="U86" s="15376"/>
      <c r="V86" s="15376"/>
      <c r="W86" s="15376"/>
      <c r="X86" s="7084" t="s">
        <v>10194</v>
      </c>
      <c r="Y86" s="7092"/>
      <c r="Z86" s="7092" t="s">
        <v>3685</v>
      </c>
      <c r="AA86" s="16786"/>
      <c r="AB86" s="16826"/>
      <c r="AC86" s="15930"/>
      <c r="AD86" s="15930"/>
      <c r="AE86" s="15930"/>
      <c r="AF86" s="15930"/>
      <c r="AG86" s="15930"/>
      <c r="AH86" s="15930"/>
      <c r="AI86" s="15930"/>
      <c r="AJ86" s="15930"/>
      <c r="AK86" s="15930"/>
      <c r="AL86" s="15930"/>
      <c r="AM86" s="15930"/>
      <c r="AN86" s="15930"/>
      <c r="AO86" s="15930"/>
      <c r="AP86" s="15930"/>
      <c r="AQ86" s="15930"/>
      <c r="AR86" s="15930"/>
      <c r="AS86" s="15930"/>
      <c r="AT86" s="15930"/>
      <c r="AU86" s="15930"/>
      <c r="AV86" s="15930"/>
      <c r="AW86" s="15930"/>
      <c r="AX86" s="15930"/>
      <c r="AY86" s="15930"/>
      <c r="AZ86" s="15930"/>
      <c r="BA86" s="15930"/>
      <c r="BB86" s="15930"/>
      <c r="BC86" s="15930"/>
      <c r="BD86" s="15930"/>
      <c r="BE86" s="15930"/>
      <c r="BF86" s="15930"/>
      <c r="BG86" s="15930"/>
      <c r="BH86" s="15930"/>
      <c r="BI86" s="15930"/>
      <c r="BJ86" s="15930"/>
      <c r="BK86" s="15930"/>
      <c r="BL86" s="15930"/>
      <c r="BM86" s="15930"/>
      <c r="BN86" s="15930"/>
      <c r="BO86" s="15930"/>
      <c r="BP86" s="15930"/>
      <c r="BQ86" s="15930"/>
      <c r="BR86" s="15930"/>
      <c r="BS86" s="15930"/>
      <c r="BT86" s="5096"/>
      <c r="BU86" s="5096"/>
      <c r="BV86" s="7103"/>
      <c r="BW86" s="7125"/>
    </row>
    <row r="87" spans="1:75" s="7080" customFormat="1" ht="15" customHeight="1">
      <c r="A87" s="16808"/>
      <c r="B87" s="15376" t="s">
        <v>5865</v>
      </c>
      <c r="C87" s="15376"/>
      <c r="D87" s="15376"/>
      <c r="E87" s="15376"/>
      <c r="F87" s="15376"/>
      <c r="G87" s="15376" t="s">
        <v>8277</v>
      </c>
      <c r="H87" s="15376" t="s">
        <v>5866</v>
      </c>
      <c r="I87" s="15376" t="s">
        <v>5867</v>
      </c>
      <c r="J87" s="15376" t="s">
        <v>5868</v>
      </c>
      <c r="K87" s="15376" t="s">
        <v>5869</v>
      </c>
      <c r="L87" s="15376" t="s">
        <v>5870</v>
      </c>
      <c r="M87" s="15376" t="s">
        <v>5871</v>
      </c>
      <c r="N87" s="15376" t="s">
        <v>5872</v>
      </c>
      <c r="O87" s="15376" t="s">
        <v>5873</v>
      </c>
      <c r="P87" s="15376" t="s">
        <v>5874</v>
      </c>
      <c r="Q87" s="15376" t="s">
        <v>5875</v>
      </c>
      <c r="R87" s="15376" t="s">
        <v>5876</v>
      </c>
      <c r="S87" s="15376" t="s">
        <v>5877</v>
      </c>
      <c r="T87" s="15376" t="s">
        <v>5878</v>
      </c>
      <c r="U87" s="15376" t="s">
        <v>5879</v>
      </c>
      <c r="V87" s="15376" t="s">
        <v>5880</v>
      </c>
      <c r="W87" s="15376" t="s">
        <v>5881</v>
      </c>
      <c r="X87" s="7084" t="s">
        <v>10063</v>
      </c>
      <c r="Y87" s="7084" t="s">
        <v>724</v>
      </c>
      <c r="Z87" s="5096"/>
      <c r="AA87" s="7093">
        <f>14000000*10</f>
        <v>140000000</v>
      </c>
      <c r="AB87" s="7147"/>
      <c r="AC87" s="5096"/>
      <c r="AD87" s="5096"/>
      <c r="AE87" s="5096"/>
      <c r="AF87" s="5096"/>
      <c r="AG87" s="5096"/>
      <c r="AH87" s="5096"/>
      <c r="AI87" s="5096"/>
      <c r="AJ87" s="5096"/>
      <c r="AK87" s="5096"/>
      <c r="AL87" s="5096"/>
      <c r="AM87" s="5096"/>
      <c r="AN87" s="5096"/>
      <c r="AO87" s="5096"/>
      <c r="AP87" s="5096"/>
      <c r="AQ87" s="5096"/>
      <c r="AR87" s="5096"/>
      <c r="AS87" s="5096"/>
      <c r="AT87" s="5096"/>
      <c r="AU87" s="5096"/>
      <c r="AV87" s="5096"/>
      <c r="AW87" s="5096"/>
      <c r="AX87" s="5096"/>
      <c r="AY87" s="5096"/>
      <c r="AZ87" s="5096"/>
      <c r="BA87" s="5096"/>
      <c r="BB87" s="5096"/>
      <c r="BC87" s="5096"/>
      <c r="BD87" s="5096"/>
      <c r="BE87" s="5096"/>
      <c r="BF87" s="5096"/>
      <c r="BG87" s="5096"/>
      <c r="BH87" s="5096"/>
      <c r="BI87" s="5096"/>
      <c r="BJ87" s="5096"/>
      <c r="BK87" s="5096"/>
      <c r="BL87" s="5096"/>
      <c r="BM87" s="5096"/>
      <c r="BN87" s="5096"/>
      <c r="BO87" s="5096"/>
      <c r="BP87" s="5096"/>
      <c r="BQ87" s="5096"/>
      <c r="BR87" s="5096"/>
      <c r="BS87" s="5096"/>
      <c r="BT87" s="5096"/>
      <c r="BU87" s="5096"/>
      <c r="BV87" s="7103"/>
      <c r="BW87" s="7125"/>
    </row>
    <row r="88" spans="1:75" s="7080" customFormat="1" ht="15" customHeight="1">
      <c r="A88" s="16808"/>
      <c r="B88" s="15376"/>
      <c r="C88" s="15376"/>
      <c r="D88" s="15376"/>
      <c r="E88" s="15376"/>
      <c r="F88" s="15376"/>
      <c r="G88" s="15376"/>
      <c r="H88" s="15376"/>
      <c r="I88" s="15376"/>
      <c r="J88" s="15376"/>
      <c r="K88" s="15376"/>
      <c r="L88" s="15376"/>
      <c r="M88" s="15376"/>
      <c r="N88" s="15376"/>
      <c r="O88" s="15376"/>
      <c r="P88" s="15376"/>
      <c r="Q88" s="15376"/>
      <c r="R88" s="15376"/>
      <c r="S88" s="15376"/>
      <c r="T88" s="15376"/>
      <c r="U88" s="15376"/>
      <c r="V88" s="15376"/>
      <c r="W88" s="15376"/>
      <c r="X88" s="7084" t="s">
        <v>10194</v>
      </c>
      <c r="Y88" s="7084"/>
      <c r="Z88" s="5096" t="s">
        <v>10298</v>
      </c>
      <c r="AA88" s="7093"/>
      <c r="AB88" s="7147"/>
      <c r="AC88" s="5096"/>
      <c r="AD88" s="5096"/>
      <c r="AE88" s="5096"/>
      <c r="AF88" s="5096"/>
      <c r="AG88" s="5096"/>
      <c r="AH88" s="5096"/>
      <c r="AI88" s="5096"/>
      <c r="AJ88" s="5096"/>
      <c r="AK88" s="5096"/>
      <c r="AL88" s="5096"/>
      <c r="AM88" s="5096"/>
      <c r="AN88" s="5096"/>
      <c r="AO88" s="5096"/>
      <c r="AP88" s="5096"/>
      <c r="AQ88" s="5096"/>
      <c r="AR88" s="5096"/>
      <c r="AS88" s="5096"/>
      <c r="AT88" s="5096"/>
      <c r="AU88" s="5096"/>
      <c r="AV88" s="5096"/>
      <c r="AW88" s="5096"/>
      <c r="AX88" s="5096"/>
      <c r="AY88" s="5096"/>
      <c r="AZ88" s="5096"/>
      <c r="BA88" s="5096"/>
      <c r="BB88" s="5096"/>
      <c r="BC88" s="5096"/>
      <c r="BD88" s="5096"/>
      <c r="BE88" s="5096"/>
      <c r="BF88" s="5096"/>
      <c r="BG88" s="5096"/>
      <c r="BH88" s="5096"/>
      <c r="BI88" s="5096"/>
      <c r="BJ88" s="5096"/>
      <c r="BK88" s="5096"/>
      <c r="BL88" s="5096"/>
      <c r="BM88" s="5096"/>
      <c r="BN88" s="5096"/>
      <c r="BO88" s="5096"/>
      <c r="BP88" s="5096"/>
      <c r="BQ88" s="5096"/>
      <c r="BR88" s="5096"/>
      <c r="BS88" s="5096"/>
      <c r="BT88" s="5096"/>
      <c r="BU88" s="5096"/>
      <c r="BV88" s="7103"/>
      <c r="BW88" s="7125"/>
    </row>
    <row r="89" spans="1:75" s="7080" customFormat="1" ht="15" customHeight="1">
      <c r="A89" s="16808"/>
      <c r="B89" s="15376"/>
      <c r="C89" s="15376"/>
      <c r="D89" s="15376"/>
      <c r="E89" s="15376"/>
      <c r="F89" s="15376"/>
      <c r="G89" s="15376"/>
      <c r="H89" s="15376"/>
      <c r="I89" s="15376"/>
      <c r="J89" s="15376"/>
      <c r="K89" s="15376"/>
      <c r="L89" s="15376"/>
      <c r="M89" s="15376"/>
      <c r="N89" s="15376"/>
      <c r="O89" s="15376"/>
      <c r="P89" s="15376"/>
      <c r="Q89" s="15376"/>
      <c r="R89" s="15376"/>
      <c r="S89" s="15376"/>
      <c r="T89" s="15376"/>
      <c r="U89" s="15376"/>
      <c r="V89" s="15376"/>
      <c r="W89" s="15376"/>
      <c r="X89" s="7084" t="s">
        <v>329</v>
      </c>
      <c r="Y89" s="7084"/>
      <c r="Z89" s="5096" t="s">
        <v>10299</v>
      </c>
      <c r="AA89" s="7093"/>
      <c r="AB89" s="7147"/>
      <c r="AC89" s="5096"/>
      <c r="AD89" s="5096"/>
      <c r="AE89" s="5096"/>
      <c r="AF89" s="5096"/>
      <c r="AG89" s="5096"/>
      <c r="AH89" s="5096"/>
      <c r="AI89" s="5096"/>
      <c r="AJ89" s="5096"/>
      <c r="AK89" s="5096"/>
      <c r="AL89" s="5096"/>
      <c r="AM89" s="5096"/>
      <c r="AN89" s="5096"/>
      <c r="AO89" s="5096"/>
      <c r="AP89" s="5096"/>
      <c r="AQ89" s="5096"/>
      <c r="AR89" s="5096"/>
      <c r="AS89" s="5096"/>
      <c r="AT89" s="5096"/>
      <c r="AU89" s="5096"/>
      <c r="AV89" s="5096"/>
      <c r="AW89" s="5096"/>
      <c r="AX89" s="5096"/>
      <c r="AY89" s="5096"/>
      <c r="AZ89" s="5096"/>
      <c r="BA89" s="5096"/>
      <c r="BB89" s="5096"/>
      <c r="BC89" s="5096"/>
      <c r="BD89" s="5096"/>
      <c r="BE89" s="5096"/>
      <c r="BF89" s="5096"/>
      <c r="BG89" s="5096"/>
      <c r="BH89" s="5096"/>
      <c r="BI89" s="5096"/>
      <c r="BJ89" s="5096"/>
      <c r="BK89" s="5096"/>
      <c r="BL89" s="5096"/>
      <c r="BM89" s="5096"/>
      <c r="BN89" s="5096"/>
      <c r="BO89" s="5096"/>
      <c r="BP89" s="5096"/>
      <c r="BQ89" s="5096"/>
      <c r="BR89" s="5096"/>
      <c r="BS89" s="5096"/>
      <c r="BT89" s="5096"/>
      <c r="BU89" s="5096"/>
      <c r="BV89" s="7103"/>
      <c r="BW89" s="7125"/>
    </row>
    <row r="90" spans="1:75" s="7080" customFormat="1" ht="15" customHeight="1">
      <c r="A90" s="16808"/>
      <c r="B90" s="15376"/>
      <c r="C90" s="15376"/>
      <c r="D90" s="15376"/>
      <c r="E90" s="15376"/>
      <c r="F90" s="15376"/>
      <c r="G90" s="15376"/>
      <c r="H90" s="15376"/>
      <c r="I90" s="15376"/>
      <c r="J90" s="15376"/>
      <c r="K90" s="15376"/>
      <c r="L90" s="15376"/>
      <c r="M90" s="15376"/>
      <c r="N90" s="15376"/>
      <c r="O90" s="15376"/>
      <c r="P90" s="15376"/>
      <c r="Q90" s="15376"/>
      <c r="R90" s="15376"/>
      <c r="S90" s="15376"/>
      <c r="T90" s="15376"/>
      <c r="U90" s="15376"/>
      <c r="V90" s="15376"/>
      <c r="W90" s="15376"/>
      <c r="X90" s="7084" t="s">
        <v>10297</v>
      </c>
      <c r="Y90" s="7084"/>
      <c r="Z90" s="5096" t="s">
        <v>10300</v>
      </c>
      <c r="AA90" s="7093"/>
      <c r="AB90" s="7147"/>
      <c r="AC90" s="5096"/>
      <c r="AD90" s="5096"/>
      <c r="AE90" s="5096"/>
      <c r="AF90" s="5096"/>
      <c r="AG90" s="5096"/>
      <c r="AH90" s="5096"/>
      <c r="AI90" s="5096"/>
      <c r="AJ90" s="5096"/>
      <c r="AK90" s="5096"/>
      <c r="AL90" s="5096"/>
      <c r="AM90" s="5096"/>
      <c r="AN90" s="5096"/>
      <c r="AO90" s="5096"/>
      <c r="AP90" s="5096"/>
      <c r="AQ90" s="5096"/>
      <c r="AR90" s="5096"/>
      <c r="AS90" s="5096"/>
      <c r="AT90" s="5096"/>
      <c r="AU90" s="5096"/>
      <c r="AV90" s="5096"/>
      <c r="AW90" s="5096"/>
      <c r="AX90" s="5096"/>
      <c r="AY90" s="5096"/>
      <c r="AZ90" s="5096"/>
      <c r="BA90" s="5096"/>
      <c r="BB90" s="5096"/>
      <c r="BC90" s="5096"/>
      <c r="BD90" s="5096"/>
      <c r="BE90" s="5096"/>
      <c r="BF90" s="5096"/>
      <c r="BG90" s="5096"/>
      <c r="BH90" s="5096"/>
      <c r="BI90" s="5096"/>
      <c r="BJ90" s="5096"/>
      <c r="BK90" s="5096"/>
      <c r="BL90" s="5096"/>
      <c r="BM90" s="5096"/>
      <c r="BN90" s="5096"/>
      <c r="BO90" s="5096"/>
      <c r="BP90" s="5096"/>
      <c r="BQ90" s="5096"/>
      <c r="BR90" s="5096"/>
      <c r="BS90" s="5096"/>
      <c r="BT90" s="5096"/>
      <c r="BU90" s="5096"/>
      <c r="BV90" s="7103"/>
      <c r="BW90" s="7125"/>
    </row>
    <row r="91" spans="1:75" s="7080" customFormat="1" ht="15" customHeight="1">
      <c r="A91" s="16808"/>
      <c r="B91" s="15376"/>
      <c r="C91" s="15376"/>
      <c r="D91" s="15376"/>
      <c r="E91" s="15376"/>
      <c r="F91" s="15376"/>
      <c r="G91" s="15376"/>
      <c r="H91" s="15376"/>
      <c r="I91" s="15376"/>
      <c r="J91" s="15376"/>
      <c r="K91" s="15376"/>
      <c r="L91" s="15376"/>
      <c r="M91" s="15376"/>
      <c r="N91" s="15376"/>
      <c r="O91" s="15376"/>
      <c r="P91" s="15376"/>
      <c r="Q91" s="15376"/>
      <c r="R91" s="15376"/>
      <c r="S91" s="15376"/>
      <c r="T91" s="15376"/>
      <c r="U91" s="15376"/>
      <c r="V91" s="15376"/>
      <c r="W91" s="15376"/>
      <c r="X91" s="7084" t="s">
        <v>295</v>
      </c>
      <c r="Y91" s="7084"/>
      <c r="Z91" s="5062" t="s">
        <v>295</v>
      </c>
      <c r="AA91" s="7093"/>
      <c r="AB91" s="7147"/>
      <c r="AC91" s="5096"/>
      <c r="AD91" s="5096"/>
      <c r="AE91" s="5096"/>
      <c r="AF91" s="5096"/>
      <c r="AG91" s="5096"/>
      <c r="AH91" s="5096"/>
      <c r="AI91" s="5096"/>
      <c r="AJ91" s="5096"/>
      <c r="AK91" s="5096"/>
      <c r="AL91" s="5096"/>
      <c r="AM91" s="5096"/>
      <c r="AN91" s="5096"/>
      <c r="AO91" s="5096"/>
      <c r="AP91" s="5096"/>
      <c r="AQ91" s="5096"/>
      <c r="AR91" s="5096"/>
      <c r="AS91" s="5096"/>
      <c r="AT91" s="5096"/>
      <c r="AU91" s="5096"/>
      <c r="AV91" s="5096"/>
      <c r="AW91" s="5096"/>
      <c r="AX91" s="5096"/>
      <c r="AY91" s="5096"/>
      <c r="AZ91" s="5096"/>
      <c r="BA91" s="5096"/>
      <c r="BB91" s="5096"/>
      <c r="BC91" s="5096"/>
      <c r="BD91" s="5096"/>
      <c r="BE91" s="5096"/>
      <c r="BF91" s="5096"/>
      <c r="BG91" s="5096"/>
      <c r="BH91" s="5096"/>
      <c r="BI91" s="5096"/>
      <c r="BJ91" s="5096"/>
      <c r="BK91" s="5096"/>
      <c r="BL91" s="5096"/>
      <c r="BM91" s="5096"/>
      <c r="BN91" s="5096"/>
      <c r="BO91" s="5096"/>
      <c r="BP91" s="5096"/>
      <c r="BQ91" s="5096"/>
      <c r="BR91" s="5096"/>
      <c r="BS91" s="5096"/>
      <c r="BT91" s="5096"/>
      <c r="BU91" s="5096"/>
      <c r="BV91" s="7103"/>
      <c r="BW91" s="7125"/>
    </row>
    <row r="92" spans="1:75" s="7080" customFormat="1" ht="15" customHeight="1">
      <c r="A92" s="16808"/>
      <c r="B92" s="15376" t="s">
        <v>5882</v>
      </c>
      <c r="C92" s="15376"/>
      <c r="D92" s="15376"/>
      <c r="E92" s="15376"/>
      <c r="F92" s="15376"/>
      <c r="G92" s="15376" t="s">
        <v>8278</v>
      </c>
      <c r="H92" s="15376" t="s">
        <v>5883</v>
      </c>
      <c r="I92" s="15376" t="s">
        <v>5884</v>
      </c>
      <c r="J92" s="15376" t="s">
        <v>5885</v>
      </c>
      <c r="K92" s="15376" t="s">
        <v>5886</v>
      </c>
      <c r="L92" s="15376" t="s">
        <v>5887</v>
      </c>
      <c r="M92" s="15376" t="s">
        <v>5888</v>
      </c>
      <c r="N92" s="15376" t="s">
        <v>5889</v>
      </c>
      <c r="O92" s="15376" t="s">
        <v>5890</v>
      </c>
      <c r="P92" s="15376" t="s">
        <v>5891</v>
      </c>
      <c r="Q92" s="15376" t="s">
        <v>5892</v>
      </c>
      <c r="R92" s="15376" t="s">
        <v>5893</v>
      </c>
      <c r="S92" s="15376" t="s">
        <v>5894</v>
      </c>
      <c r="T92" s="15376" t="s">
        <v>5895</v>
      </c>
      <c r="U92" s="15376" t="s">
        <v>5896</v>
      </c>
      <c r="V92" s="15376" t="s">
        <v>5897</v>
      </c>
      <c r="W92" s="15376" t="s">
        <v>5898</v>
      </c>
      <c r="X92" s="7084" t="s">
        <v>10063</v>
      </c>
      <c r="Y92" s="16804" t="s">
        <v>5899</v>
      </c>
      <c r="Z92" s="5062" t="s">
        <v>5900</v>
      </c>
      <c r="AA92" s="7093">
        <f>4000000+4000000+4000000+12620000</f>
        <v>24620000</v>
      </c>
      <c r="AB92" s="7147"/>
      <c r="AC92" s="5096"/>
      <c r="AD92" s="5096"/>
      <c r="AE92" s="5096"/>
      <c r="AF92" s="5096"/>
      <c r="AG92" s="5096"/>
      <c r="AH92" s="5096"/>
      <c r="AI92" s="5096"/>
      <c r="AJ92" s="5096"/>
      <c r="AK92" s="5096"/>
      <c r="AL92" s="5096"/>
      <c r="AM92" s="5096"/>
      <c r="AN92" s="5096"/>
      <c r="AO92" s="5096"/>
      <c r="AP92" s="5096"/>
      <c r="AQ92" s="5096"/>
      <c r="AR92" s="5096"/>
      <c r="AS92" s="5096"/>
      <c r="AT92" s="5096"/>
      <c r="AU92" s="5096"/>
      <c r="AV92" s="5096"/>
      <c r="AW92" s="5096"/>
      <c r="AX92" s="5096"/>
      <c r="AY92" s="5096"/>
      <c r="AZ92" s="5096"/>
      <c r="BA92" s="5096"/>
      <c r="BB92" s="5096"/>
      <c r="BC92" s="5096"/>
      <c r="BD92" s="5096"/>
      <c r="BE92" s="5096"/>
      <c r="BF92" s="5096"/>
      <c r="BG92" s="5096"/>
      <c r="BH92" s="5096"/>
      <c r="BI92" s="5096"/>
      <c r="BJ92" s="5096"/>
      <c r="BK92" s="5096"/>
      <c r="BL92" s="5096"/>
      <c r="BM92" s="5096"/>
      <c r="BN92" s="5096"/>
      <c r="BO92" s="5096"/>
      <c r="BP92" s="5096"/>
      <c r="BQ92" s="5096"/>
      <c r="BR92" s="5096"/>
      <c r="BS92" s="5096"/>
      <c r="BT92" s="5096"/>
      <c r="BU92" s="5096"/>
      <c r="BV92" s="7103"/>
      <c r="BW92" s="7125"/>
    </row>
    <row r="93" spans="1:75" s="7080" customFormat="1" ht="15" customHeight="1">
      <c r="A93" s="16808"/>
      <c r="B93" s="15376"/>
      <c r="C93" s="15376"/>
      <c r="D93" s="15376"/>
      <c r="E93" s="15376"/>
      <c r="F93" s="15376"/>
      <c r="G93" s="15376"/>
      <c r="H93" s="15376"/>
      <c r="I93" s="15376"/>
      <c r="J93" s="15376"/>
      <c r="K93" s="15376"/>
      <c r="L93" s="15376"/>
      <c r="M93" s="15376"/>
      <c r="N93" s="15376"/>
      <c r="O93" s="15376"/>
      <c r="P93" s="15376"/>
      <c r="Q93" s="15376"/>
      <c r="R93" s="15376"/>
      <c r="S93" s="15376"/>
      <c r="T93" s="15376"/>
      <c r="U93" s="15376"/>
      <c r="V93" s="15376"/>
      <c r="W93" s="15376"/>
      <c r="X93" s="7084" t="s">
        <v>218</v>
      </c>
      <c r="Y93" s="16804"/>
      <c r="Z93" s="5062"/>
      <c r="AA93" s="7093"/>
      <c r="AB93" s="7147"/>
      <c r="AC93" s="5096"/>
      <c r="AD93" s="5096"/>
      <c r="AE93" s="5096"/>
      <c r="AF93" s="5096"/>
      <c r="AG93" s="5096"/>
      <c r="AH93" s="5096"/>
      <c r="AI93" s="5096"/>
      <c r="AJ93" s="5096"/>
      <c r="AK93" s="5096"/>
      <c r="AL93" s="5096"/>
      <c r="AM93" s="5096"/>
      <c r="AN93" s="5096"/>
      <c r="AO93" s="5096"/>
      <c r="AP93" s="5096"/>
      <c r="AQ93" s="5096"/>
      <c r="AR93" s="5096"/>
      <c r="AS93" s="5096"/>
      <c r="AT93" s="5096"/>
      <c r="AU93" s="5096"/>
      <c r="AV93" s="5096"/>
      <c r="AW93" s="5096"/>
      <c r="AX93" s="5096"/>
      <c r="AY93" s="5096"/>
      <c r="AZ93" s="5096"/>
      <c r="BA93" s="5096"/>
      <c r="BB93" s="5096"/>
      <c r="BC93" s="5096"/>
      <c r="BD93" s="5096"/>
      <c r="BE93" s="5096"/>
      <c r="BF93" s="5096"/>
      <c r="BG93" s="5096"/>
      <c r="BH93" s="5096"/>
      <c r="BI93" s="5096"/>
      <c r="BJ93" s="5096"/>
      <c r="BK93" s="5096"/>
      <c r="BL93" s="5096"/>
      <c r="BM93" s="5096"/>
      <c r="BN93" s="5096"/>
      <c r="BO93" s="5096"/>
      <c r="BP93" s="5096"/>
      <c r="BQ93" s="5096"/>
      <c r="BR93" s="5096"/>
      <c r="BS93" s="5096"/>
      <c r="BT93" s="5096"/>
      <c r="BU93" s="5096"/>
      <c r="BV93" s="7103"/>
      <c r="BW93" s="7125"/>
    </row>
    <row r="94" spans="1:75" s="7080" customFormat="1" ht="15" customHeight="1">
      <c r="A94" s="16808"/>
      <c r="B94" s="15376"/>
      <c r="C94" s="15376"/>
      <c r="D94" s="15376"/>
      <c r="E94" s="15376"/>
      <c r="F94" s="15376"/>
      <c r="G94" s="15376"/>
      <c r="H94" s="15376"/>
      <c r="I94" s="15376"/>
      <c r="J94" s="15376"/>
      <c r="K94" s="15376"/>
      <c r="L94" s="15376"/>
      <c r="M94" s="15376"/>
      <c r="N94" s="15376"/>
      <c r="O94" s="15376"/>
      <c r="P94" s="15376"/>
      <c r="Q94" s="15376"/>
      <c r="R94" s="15376"/>
      <c r="S94" s="15376"/>
      <c r="T94" s="15376"/>
      <c r="U94" s="15376"/>
      <c r="V94" s="15376"/>
      <c r="W94" s="15376"/>
      <c r="X94" s="7084" t="s">
        <v>10067</v>
      </c>
      <c r="Y94" s="16804"/>
      <c r="Z94" s="5062"/>
      <c r="AA94" s="7093"/>
      <c r="AB94" s="7147"/>
      <c r="AC94" s="5096"/>
      <c r="AD94" s="5096"/>
      <c r="AE94" s="5096"/>
      <c r="AF94" s="5096"/>
      <c r="AG94" s="5096"/>
      <c r="AH94" s="5096"/>
      <c r="AI94" s="5096"/>
      <c r="AJ94" s="5096"/>
      <c r="AK94" s="5096"/>
      <c r="AL94" s="5096"/>
      <c r="AM94" s="5096"/>
      <c r="AN94" s="5096"/>
      <c r="AO94" s="5096"/>
      <c r="AP94" s="5096"/>
      <c r="AQ94" s="5096"/>
      <c r="AR94" s="5096"/>
      <c r="AS94" s="5096"/>
      <c r="AT94" s="5096"/>
      <c r="AU94" s="5096"/>
      <c r="AV94" s="5096"/>
      <c r="AW94" s="5096"/>
      <c r="AX94" s="5096"/>
      <c r="AY94" s="5096"/>
      <c r="AZ94" s="5096"/>
      <c r="BA94" s="5096"/>
      <c r="BB94" s="5096"/>
      <c r="BC94" s="5096"/>
      <c r="BD94" s="5096"/>
      <c r="BE94" s="5096"/>
      <c r="BF94" s="5096"/>
      <c r="BG94" s="5096"/>
      <c r="BH94" s="5096"/>
      <c r="BI94" s="5096"/>
      <c r="BJ94" s="5096"/>
      <c r="BK94" s="5096"/>
      <c r="BL94" s="5096"/>
      <c r="BM94" s="5096"/>
      <c r="BN94" s="5096"/>
      <c r="BO94" s="5096"/>
      <c r="BP94" s="5096"/>
      <c r="BQ94" s="5096"/>
      <c r="BR94" s="5096"/>
      <c r="BS94" s="5096"/>
      <c r="BT94" s="5096"/>
      <c r="BU94" s="5096"/>
      <c r="BV94" s="7103"/>
      <c r="BW94" s="7125"/>
    </row>
    <row r="95" spans="1:75" s="7080" customFormat="1" ht="15" customHeight="1">
      <c r="A95" s="16808"/>
      <c r="B95" s="15376"/>
      <c r="C95" s="15376"/>
      <c r="D95" s="15376"/>
      <c r="E95" s="15376"/>
      <c r="F95" s="15376"/>
      <c r="G95" s="15376"/>
      <c r="H95" s="15376"/>
      <c r="I95" s="15376"/>
      <c r="J95" s="15376"/>
      <c r="K95" s="15376"/>
      <c r="L95" s="15376"/>
      <c r="M95" s="15376"/>
      <c r="N95" s="15376"/>
      <c r="O95" s="15376"/>
      <c r="P95" s="15376"/>
      <c r="Q95" s="15376"/>
      <c r="R95" s="15376"/>
      <c r="S95" s="15376"/>
      <c r="T95" s="15376"/>
      <c r="U95" s="15376"/>
      <c r="V95" s="15376"/>
      <c r="W95" s="15376"/>
      <c r="X95" s="7084" t="s">
        <v>86</v>
      </c>
      <c r="Y95" s="16804"/>
      <c r="Z95" s="5062"/>
      <c r="AA95" s="7093"/>
      <c r="AB95" s="7147"/>
      <c r="AC95" s="5096"/>
      <c r="AD95" s="5096"/>
      <c r="AE95" s="5096"/>
      <c r="AF95" s="5096"/>
      <c r="AG95" s="5096"/>
      <c r="AH95" s="5096"/>
      <c r="AI95" s="5096"/>
      <c r="AJ95" s="5096"/>
      <c r="AK95" s="5096"/>
      <c r="AL95" s="5096"/>
      <c r="AM95" s="5096"/>
      <c r="AN95" s="5096"/>
      <c r="AO95" s="5096"/>
      <c r="AP95" s="5096"/>
      <c r="AQ95" s="5096"/>
      <c r="AR95" s="5096"/>
      <c r="AS95" s="5096"/>
      <c r="AT95" s="5096"/>
      <c r="AU95" s="5096"/>
      <c r="AV95" s="5096"/>
      <c r="AW95" s="5096"/>
      <c r="AX95" s="5096"/>
      <c r="AY95" s="5096"/>
      <c r="AZ95" s="5096"/>
      <c r="BA95" s="5096"/>
      <c r="BB95" s="5096"/>
      <c r="BC95" s="5096"/>
      <c r="BD95" s="5096"/>
      <c r="BE95" s="5096"/>
      <c r="BF95" s="5096"/>
      <c r="BG95" s="5096"/>
      <c r="BH95" s="5096"/>
      <c r="BI95" s="5096"/>
      <c r="BJ95" s="5096"/>
      <c r="BK95" s="5096"/>
      <c r="BL95" s="5096"/>
      <c r="BM95" s="5096"/>
      <c r="BN95" s="5096"/>
      <c r="BO95" s="5096"/>
      <c r="BP95" s="5096"/>
      <c r="BQ95" s="5096"/>
      <c r="BR95" s="5096"/>
      <c r="BS95" s="5096"/>
      <c r="BT95" s="5096"/>
      <c r="BU95" s="5096"/>
      <c r="BV95" s="7103"/>
      <c r="BW95" s="7125"/>
    </row>
    <row r="96" spans="1:75" s="7080" customFormat="1" ht="15" customHeight="1">
      <c r="A96" s="16808"/>
      <c r="B96" s="15376"/>
      <c r="C96" s="15376"/>
      <c r="D96" s="15376"/>
      <c r="E96" s="15376"/>
      <c r="F96" s="15376"/>
      <c r="G96" s="15376"/>
      <c r="H96" s="15376"/>
      <c r="I96" s="15376"/>
      <c r="J96" s="15376"/>
      <c r="K96" s="15376"/>
      <c r="L96" s="15376"/>
      <c r="M96" s="15376"/>
      <c r="N96" s="15376"/>
      <c r="O96" s="15376"/>
      <c r="P96" s="15376"/>
      <c r="Q96" s="15376"/>
      <c r="R96" s="15376"/>
      <c r="S96" s="15376"/>
      <c r="T96" s="15376"/>
      <c r="U96" s="15376"/>
      <c r="V96" s="15376"/>
      <c r="W96" s="15376"/>
      <c r="X96" s="7084" t="s">
        <v>4305</v>
      </c>
      <c r="Y96" s="16804"/>
      <c r="Z96" s="5062"/>
      <c r="AA96" s="7093"/>
      <c r="AB96" s="7147"/>
      <c r="AC96" s="5096"/>
      <c r="AD96" s="5096"/>
      <c r="AE96" s="5096"/>
      <c r="AF96" s="5096"/>
      <c r="AG96" s="5096"/>
      <c r="AH96" s="5096"/>
      <c r="AI96" s="5096"/>
      <c r="AJ96" s="5096"/>
      <c r="AK96" s="5096"/>
      <c r="AL96" s="5096"/>
      <c r="AM96" s="5096"/>
      <c r="AN96" s="5096"/>
      <c r="AO96" s="5096"/>
      <c r="AP96" s="5096"/>
      <c r="AQ96" s="5096"/>
      <c r="AR96" s="5096"/>
      <c r="AS96" s="5096"/>
      <c r="AT96" s="5096"/>
      <c r="AU96" s="5096"/>
      <c r="AV96" s="5096"/>
      <c r="AW96" s="5096"/>
      <c r="AX96" s="5096"/>
      <c r="AY96" s="5096"/>
      <c r="AZ96" s="5096"/>
      <c r="BA96" s="5096"/>
      <c r="BB96" s="5096"/>
      <c r="BC96" s="5096"/>
      <c r="BD96" s="5096"/>
      <c r="BE96" s="5096"/>
      <c r="BF96" s="5096"/>
      <c r="BG96" s="5096"/>
      <c r="BH96" s="5096"/>
      <c r="BI96" s="5096"/>
      <c r="BJ96" s="5096"/>
      <c r="BK96" s="5096"/>
      <c r="BL96" s="5096"/>
      <c r="BM96" s="5096"/>
      <c r="BN96" s="5096"/>
      <c r="BO96" s="5096"/>
      <c r="BP96" s="5096"/>
      <c r="BQ96" s="5096"/>
      <c r="BR96" s="5096"/>
      <c r="BS96" s="5096"/>
      <c r="BT96" s="5096"/>
      <c r="BU96" s="5096"/>
      <c r="BV96" s="7103"/>
      <c r="BW96" s="7125"/>
    </row>
    <row r="97" spans="1:75" s="7080" customFormat="1" ht="15" customHeight="1">
      <c r="A97" s="16808"/>
      <c r="B97" s="15376"/>
      <c r="C97" s="15376"/>
      <c r="D97" s="15376"/>
      <c r="E97" s="15376"/>
      <c r="F97" s="15376"/>
      <c r="G97" s="15376"/>
      <c r="H97" s="15376"/>
      <c r="I97" s="15376"/>
      <c r="J97" s="15376"/>
      <c r="K97" s="15376"/>
      <c r="L97" s="15376"/>
      <c r="M97" s="15376"/>
      <c r="N97" s="15376"/>
      <c r="O97" s="15376"/>
      <c r="P97" s="15376"/>
      <c r="Q97" s="15376"/>
      <c r="R97" s="15376"/>
      <c r="S97" s="15376"/>
      <c r="T97" s="15376"/>
      <c r="U97" s="15376"/>
      <c r="V97" s="15376"/>
      <c r="W97" s="15376"/>
      <c r="X97" s="7084" t="s">
        <v>4335</v>
      </c>
      <c r="Y97" s="16804"/>
      <c r="Z97" s="5062"/>
      <c r="AA97" s="7093"/>
      <c r="AB97" s="7147"/>
      <c r="AC97" s="5096"/>
      <c r="AD97" s="5096"/>
      <c r="AE97" s="5096"/>
      <c r="AF97" s="5096"/>
      <c r="AG97" s="5096"/>
      <c r="AH97" s="5096"/>
      <c r="AI97" s="5096"/>
      <c r="AJ97" s="5096"/>
      <c r="AK97" s="5096"/>
      <c r="AL97" s="5096"/>
      <c r="AM97" s="5096"/>
      <c r="AN97" s="5096"/>
      <c r="AO97" s="5096"/>
      <c r="AP97" s="5096"/>
      <c r="AQ97" s="5096"/>
      <c r="AR97" s="5096"/>
      <c r="AS97" s="5096"/>
      <c r="AT97" s="5096"/>
      <c r="AU97" s="5096"/>
      <c r="AV97" s="5096"/>
      <c r="AW97" s="5096"/>
      <c r="AX97" s="5096"/>
      <c r="AY97" s="5096"/>
      <c r="AZ97" s="5096"/>
      <c r="BA97" s="5096"/>
      <c r="BB97" s="5096"/>
      <c r="BC97" s="5096"/>
      <c r="BD97" s="5096"/>
      <c r="BE97" s="5096"/>
      <c r="BF97" s="5096"/>
      <c r="BG97" s="5096"/>
      <c r="BH97" s="5096"/>
      <c r="BI97" s="5096"/>
      <c r="BJ97" s="5096"/>
      <c r="BK97" s="5096"/>
      <c r="BL97" s="5096"/>
      <c r="BM97" s="5096"/>
      <c r="BN97" s="5096"/>
      <c r="BO97" s="5096"/>
      <c r="BP97" s="5096"/>
      <c r="BQ97" s="5096"/>
      <c r="BR97" s="5096"/>
      <c r="BS97" s="5096"/>
      <c r="BT97" s="5096"/>
      <c r="BU97" s="5096"/>
      <c r="BV97" s="7103"/>
      <c r="BW97" s="7125"/>
    </row>
    <row r="98" spans="1:75" s="7080" customFormat="1" ht="15" customHeight="1">
      <c r="A98" s="16808"/>
      <c r="B98" s="15376"/>
      <c r="C98" s="15376"/>
      <c r="D98" s="15376"/>
      <c r="E98" s="15376"/>
      <c r="F98" s="15376"/>
      <c r="G98" s="15376"/>
      <c r="H98" s="15376"/>
      <c r="I98" s="15376"/>
      <c r="J98" s="15376"/>
      <c r="K98" s="15376"/>
      <c r="L98" s="15376"/>
      <c r="M98" s="15376"/>
      <c r="N98" s="15376"/>
      <c r="O98" s="15376"/>
      <c r="P98" s="15376"/>
      <c r="Q98" s="15376"/>
      <c r="R98" s="15376"/>
      <c r="S98" s="15376"/>
      <c r="T98" s="15376"/>
      <c r="U98" s="15376"/>
      <c r="V98" s="15376"/>
      <c r="W98" s="15376"/>
      <c r="X98" s="7084" t="s">
        <v>4329</v>
      </c>
      <c r="Y98" s="16804"/>
      <c r="Z98" s="5062"/>
      <c r="AA98" s="7093"/>
      <c r="AB98" s="7147"/>
      <c r="AC98" s="5096"/>
      <c r="AD98" s="5096"/>
      <c r="AE98" s="5096"/>
      <c r="AF98" s="5096"/>
      <c r="AG98" s="5096"/>
      <c r="AH98" s="5096"/>
      <c r="AI98" s="5096"/>
      <c r="AJ98" s="5096"/>
      <c r="AK98" s="5096"/>
      <c r="AL98" s="5096"/>
      <c r="AM98" s="5096"/>
      <c r="AN98" s="5096"/>
      <c r="AO98" s="5096"/>
      <c r="AP98" s="5096"/>
      <c r="AQ98" s="5096"/>
      <c r="AR98" s="5096"/>
      <c r="AS98" s="5096"/>
      <c r="AT98" s="5096"/>
      <c r="AU98" s="5096"/>
      <c r="AV98" s="5096"/>
      <c r="AW98" s="5096"/>
      <c r="AX98" s="5096"/>
      <c r="AY98" s="5096"/>
      <c r="AZ98" s="5096"/>
      <c r="BA98" s="5096"/>
      <c r="BB98" s="5096"/>
      <c r="BC98" s="5096"/>
      <c r="BD98" s="5096"/>
      <c r="BE98" s="5096"/>
      <c r="BF98" s="5096"/>
      <c r="BG98" s="5096"/>
      <c r="BH98" s="5096"/>
      <c r="BI98" s="5096"/>
      <c r="BJ98" s="5096"/>
      <c r="BK98" s="5096"/>
      <c r="BL98" s="5096"/>
      <c r="BM98" s="5096"/>
      <c r="BN98" s="5096"/>
      <c r="BO98" s="5096"/>
      <c r="BP98" s="5096"/>
      <c r="BQ98" s="5096"/>
      <c r="BR98" s="5096"/>
      <c r="BS98" s="5096"/>
      <c r="BT98" s="5096"/>
      <c r="BU98" s="5096"/>
      <c r="BV98" s="7103"/>
      <c r="BW98" s="7125"/>
    </row>
    <row r="99" spans="1:75" s="7080" customFormat="1" ht="15" customHeight="1">
      <c r="A99" s="16808"/>
      <c r="B99" s="15376"/>
      <c r="C99" s="15376"/>
      <c r="D99" s="15376"/>
      <c r="E99" s="15376"/>
      <c r="F99" s="15376"/>
      <c r="G99" s="15376"/>
      <c r="H99" s="15376"/>
      <c r="I99" s="15376"/>
      <c r="J99" s="15376"/>
      <c r="K99" s="15376"/>
      <c r="L99" s="15376"/>
      <c r="M99" s="15376"/>
      <c r="N99" s="15376"/>
      <c r="O99" s="15376"/>
      <c r="P99" s="15376"/>
      <c r="Q99" s="15376"/>
      <c r="R99" s="15376"/>
      <c r="S99" s="15376"/>
      <c r="T99" s="15376"/>
      <c r="U99" s="15376"/>
      <c r="V99" s="15376"/>
      <c r="W99" s="15376"/>
      <c r="X99" s="7084" t="s">
        <v>2896</v>
      </c>
      <c r="Y99" s="16804"/>
      <c r="Z99" s="5062"/>
      <c r="AA99" s="7093"/>
      <c r="AB99" s="7147"/>
      <c r="AC99" s="5096"/>
      <c r="AD99" s="5096"/>
      <c r="AE99" s="5096"/>
      <c r="AF99" s="5096"/>
      <c r="AG99" s="5096"/>
      <c r="AH99" s="5096"/>
      <c r="AI99" s="5096"/>
      <c r="AJ99" s="5096"/>
      <c r="AK99" s="5096"/>
      <c r="AL99" s="5096"/>
      <c r="AM99" s="5096"/>
      <c r="AN99" s="5096"/>
      <c r="AO99" s="5096"/>
      <c r="AP99" s="5096"/>
      <c r="AQ99" s="5096"/>
      <c r="AR99" s="5096"/>
      <c r="AS99" s="5096"/>
      <c r="AT99" s="5096"/>
      <c r="AU99" s="5096"/>
      <c r="AV99" s="5096"/>
      <c r="AW99" s="5096"/>
      <c r="AX99" s="5096"/>
      <c r="AY99" s="5096"/>
      <c r="AZ99" s="5096"/>
      <c r="BA99" s="5096"/>
      <c r="BB99" s="5096"/>
      <c r="BC99" s="5096"/>
      <c r="BD99" s="5096"/>
      <c r="BE99" s="5096"/>
      <c r="BF99" s="5096"/>
      <c r="BG99" s="5096"/>
      <c r="BH99" s="5096"/>
      <c r="BI99" s="5096"/>
      <c r="BJ99" s="5096"/>
      <c r="BK99" s="5096"/>
      <c r="BL99" s="5096"/>
      <c r="BM99" s="5096"/>
      <c r="BN99" s="5096"/>
      <c r="BO99" s="5096"/>
      <c r="BP99" s="5096"/>
      <c r="BQ99" s="5096"/>
      <c r="BR99" s="5096"/>
      <c r="BS99" s="5096"/>
      <c r="BT99" s="5096"/>
      <c r="BU99" s="5096"/>
      <c r="BV99" s="7103"/>
      <c r="BW99" s="7125"/>
    </row>
    <row r="100" spans="1:75" s="7080" customFormat="1" ht="15" customHeight="1">
      <c r="A100" s="16808"/>
      <c r="B100" s="15376"/>
      <c r="C100" s="15376"/>
      <c r="D100" s="15376"/>
      <c r="E100" s="15376"/>
      <c r="F100" s="15376"/>
      <c r="G100" s="15376"/>
      <c r="H100" s="15376"/>
      <c r="I100" s="15376"/>
      <c r="J100" s="15376"/>
      <c r="K100" s="15376"/>
      <c r="L100" s="15376"/>
      <c r="M100" s="15376"/>
      <c r="N100" s="15376"/>
      <c r="O100" s="15376"/>
      <c r="P100" s="15376"/>
      <c r="Q100" s="15376"/>
      <c r="R100" s="15376"/>
      <c r="S100" s="15376"/>
      <c r="T100" s="15376"/>
      <c r="U100" s="15376"/>
      <c r="V100" s="15376"/>
      <c r="W100" s="15376"/>
      <c r="X100" s="7084" t="s">
        <v>2859</v>
      </c>
      <c r="Y100" s="16804"/>
      <c r="Z100" s="5062"/>
      <c r="AA100" s="7093"/>
      <c r="AB100" s="7147"/>
      <c r="AC100" s="5096"/>
      <c r="AD100" s="5096"/>
      <c r="AE100" s="5096"/>
      <c r="AF100" s="5096"/>
      <c r="AG100" s="5096"/>
      <c r="AH100" s="5096"/>
      <c r="AI100" s="5096"/>
      <c r="AJ100" s="5096"/>
      <c r="AK100" s="5096"/>
      <c r="AL100" s="5096"/>
      <c r="AM100" s="5096"/>
      <c r="AN100" s="5096"/>
      <c r="AO100" s="5096"/>
      <c r="AP100" s="5096"/>
      <c r="AQ100" s="5096"/>
      <c r="AR100" s="5096"/>
      <c r="AS100" s="5096"/>
      <c r="AT100" s="5096"/>
      <c r="AU100" s="5096"/>
      <c r="AV100" s="5096"/>
      <c r="AW100" s="5096"/>
      <c r="AX100" s="5096"/>
      <c r="AY100" s="5096"/>
      <c r="AZ100" s="5096"/>
      <c r="BA100" s="5096"/>
      <c r="BB100" s="5096"/>
      <c r="BC100" s="5096"/>
      <c r="BD100" s="5096"/>
      <c r="BE100" s="5096"/>
      <c r="BF100" s="5096"/>
      <c r="BG100" s="5096"/>
      <c r="BH100" s="5096"/>
      <c r="BI100" s="5096"/>
      <c r="BJ100" s="5096"/>
      <c r="BK100" s="5096"/>
      <c r="BL100" s="5096"/>
      <c r="BM100" s="5096"/>
      <c r="BN100" s="5096"/>
      <c r="BO100" s="5096"/>
      <c r="BP100" s="5096"/>
      <c r="BQ100" s="5096"/>
      <c r="BR100" s="5096"/>
      <c r="BS100" s="5096"/>
      <c r="BT100" s="5096"/>
      <c r="BU100" s="5096"/>
      <c r="BV100" s="7103"/>
      <c r="BW100" s="7125"/>
    </row>
    <row r="101" spans="1:75" s="7080" customFormat="1" ht="15" customHeight="1">
      <c r="A101" s="16808"/>
      <c r="B101" s="15376"/>
      <c r="C101" s="15376"/>
      <c r="D101" s="15376"/>
      <c r="E101" s="15376"/>
      <c r="F101" s="15376"/>
      <c r="G101" s="15376"/>
      <c r="H101" s="15376"/>
      <c r="I101" s="15376"/>
      <c r="J101" s="15376"/>
      <c r="K101" s="15376"/>
      <c r="L101" s="15376"/>
      <c r="M101" s="15376"/>
      <c r="N101" s="15376"/>
      <c r="O101" s="15376"/>
      <c r="P101" s="15376"/>
      <c r="Q101" s="15376"/>
      <c r="R101" s="15376"/>
      <c r="S101" s="15376"/>
      <c r="T101" s="15376"/>
      <c r="U101" s="15376"/>
      <c r="V101" s="15376"/>
      <c r="W101" s="15376"/>
      <c r="X101" s="7084" t="s">
        <v>8644</v>
      </c>
      <c r="Y101" s="16804"/>
      <c r="Z101" s="5062"/>
      <c r="AA101" s="7093"/>
      <c r="AB101" s="7147"/>
      <c r="AC101" s="5096"/>
      <c r="AD101" s="5096"/>
      <c r="AE101" s="5096"/>
      <c r="AF101" s="5096"/>
      <c r="AG101" s="5096"/>
      <c r="AH101" s="5096"/>
      <c r="AI101" s="5096"/>
      <c r="AJ101" s="5096"/>
      <c r="AK101" s="5096"/>
      <c r="AL101" s="5096"/>
      <c r="AM101" s="5096"/>
      <c r="AN101" s="5096"/>
      <c r="AO101" s="5096"/>
      <c r="AP101" s="5096"/>
      <c r="AQ101" s="5096"/>
      <c r="AR101" s="5096"/>
      <c r="AS101" s="5096"/>
      <c r="AT101" s="5096"/>
      <c r="AU101" s="5096"/>
      <c r="AV101" s="5096"/>
      <c r="AW101" s="5096"/>
      <c r="AX101" s="5096"/>
      <c r="AY101" s="5096"/>
      <c r="AZ101" s="5096"/>
      <c r="BA101" s="5096"/>
      <c r="BB101" s="5096"/>
      <c r="BC101" s="5096"/>
      <c r="BD101" s="5096"/>
      <c r="BE101" s="5096"/>
      <c r="BF101" s="5096"/>
      <c r="BG101" s="5096"/>
      <c r="BH101" s="5096"/>
      <c r="BI101" s="5096"/>
      <c r="BJ101" s="5096"/>
      <c r="BK101" s="5096"/>
      <c r="BL101" s="5096"/>
      <c r="BM101" s="5096"/>
      <c r="BN101" s="5096"/>
      <c r="BO101" s="5096"/>
      <c r="BP101" s="5096"/>
      <c r="BQ101" s="5096"/>
      <c r="BR101" s="5096"/>
      <c r="BS101" s="5096"/>
      <c r="BT101" s="5096"/>
      <c r="BU101" s="5096"/>
      <c r="BV101" s="7103"/>
      <c r="BW101" s="7125"/>
    </row>
    <row r="102" spans="1:75" s="7080" customFormat="1" ht="15" customHeight="1">
      <c r="A102" s="16808"/>
      <c r="B102" s="15376" t="s">
        <v>5901</v>
      </c>
      <c r="C102" s="15376" t="s">
        <v>5902</v>
      </c>
      <c r="D102" s="15376" t="s">
        <v>5903</v>
      </c>
      <c r="E102" s="15376" t="s">
        <v>5904</v>
      </c>
      <c r="F102" s="15376" t="s">
        <v>5905</v>
      </c>
      <c r="G102" s="15376" t="s">
        <v>8279</v>
      </c>
      <c r="H102" s="15376" t="s">
        <v>5906</v>
      </c>
      <c r="I102" s="15376" t="s">
        <v>5907</v>
      </c>
      <c r="J102" s="15376" t="s">
        <v>5908</v>
      </c>
      <c r="K102" s="15376" t="s">
        <v>5909</v>
      </c>
      <c r="L102" s="15376" t="s">
        <v>5910</v>
      </c>
      <c r="M102" s="15376" t="s">
        <v>5911</v>
      </c>
      <c r="N102" s="15376" t="s">
        <v>5912</v>
      </c>
      <c r="O102" s="15376" t="s">
        <v>5913</v>
      </c>
      <c r="P102" s="15376" t="s">
        <v>5914</v>
      </c>
      <c r="Q102" s="15376" t="s">
        <v>5915</v>
      </c>
      <c r="R102" s="15376" t="s">
        <v>5916</v>
      </c>
      <c r="S102" s="15376" t="s">
        <v>5917</v>
      </c>
      <c r="T102" s="15376" t="s">
        <v>5918</v>
      </c>
      <c r="U102" s="15376" t="s">
        <v>5919</v>
      </c>
      <c r="V102" s="15376" t="s">
        <v>5920</v>
      </c>
      <c r="W102" s="15376" t="s">
        <v>5921</v>
      </c>
      <c r="X102" s="7084" t="s">
        <v>10063</v>
      </c>
      <c r="Y102" s="15376" t="s">
        <v>5922</v>
      </c>
      <c r="Z102" s="5062" t="s">
        <v>545</v>
      </c>
      <c r="AA102" s="7093">
        <f>5000000*10</f>
        <v>50000000</v>
      </c>
      <c r="AB102" s="7147"/>
      <c r="AC102" s="5096"/>
      <c r="AD102" s="5096"/>
      <c r="AE102" s="5096"/>
      <c r="AF102" s="5096"/>
      <c r="AG102" s="5096"/>
      <c r="AH102" s="5096"/>
      <c r="AI102" s="5096"/>
      <c r="AJ102" s="5096"/>
      <c r="AK102" s="5096"/>
      <c r="AL102" s="5096"/>
      <c r="AM102" s="5096"/>
      <c r="AN102" s="5096"/>
      <c r="AO102" s="5096"/>
      <c r="AP102" s="5096"/>
      <c r="AQ102" s="5096"/>
      <c r="AR102" s="5096"/>
      <c r="AS102" s="5096"/>
      <c r="AT102" s="5096"/>
      <c r="AU102" s="5096"/>
      <c r="AV102" s="5096"/>
      <c r="AW102" s="5096"/>
      <c r="AX102" s="5096"/>
      <c r="AY102" s="5096"/>
      <c r="AZ102" s="5096"/>
      <c r="BA102" s="5096"/>
      <c r="BB102" s="5096"/>
      <c r="BC102" s="5096"/>
      <c r="BD102" s="5096"/>
      <c r="BE102" s="5096"/>
      <c r="BF102" s="5096"/>
      <c r="BG102" s="5096"/>
      <c r="BH102" s="5096"/>
      <c r="BI102" s="5096"/>
      <c r="BJ102" s="5096"/>
      <c r="BK102" s="5096"/>
      <c r="BL102" s="5096"/>
      <c r="BM102" s="5096"/>
      <c r="BN102" s="5096"/>
      <c r="BO102" s="5096"/>
      <c r="BP102" s="5096"/>
      <c r="BQ102" s="5096"/>
      <c r="BR102" s="5096"/>
      <c r="BS102" s="5096"/>
      <c r="BT102" s="5096"/>
      <c r="BU102" s="5096"/>
      <c r="BV102" s="7103"/>
      <c r="BW102" s="7125"/>
    </row>
    <row r="103" spans="1:75" s="7080" customFormat="1" ht="15" customHeight="1">
      <c r="A103" s="16808"/>
      <c r="B103" s="15376"/>
      <c r="C103" s="15376"/>
      <c r="D103" s="15376"/>
      <c r="E103" s="15376"/>
      <c r="F103" s="15376"/>
      <c r="G103" s="15376"/>
      <c r="H103" s="15376"/>
      <c r="I103" s="15376"/>
      <c r="J103" s="15376"/>
      <c r="K103" s="15376"/>
      <c r="L103" s="15376"/>
      <c r="M103" s="15376"/>
      <c r="N103" s="15376"/>
      <c r="O103" s="15376"/>
      <c r="P103" s="15376"/>
      <c r="Q103" s="15376"/>
      <c r="R103" s="15376"/>
      <c r="S103" s="15376"/>
      <c r="T103" s="15376"/>
      <c r="U103" s="15376"/>
      <c r="V103" s="15376"/>
      <c r="W103" s="15376"/>
      <c r="X103" s="7084" t="s">
        <v>10238</v>
      </c>
      <c r="Y103" s="15376"/>
      <c r="Z103" s="5062"/>
      <c r="AA103" s="7093"/>
      <c r="AB103" s="7147"/>
      <c r="AC103" s="5096"/>
      <c r="AD103" s="5096"/>
      <c r="AE103" s="5096"/>
      <c r="AF103" s="5096"/>
      <c r="AG103" s="5096"/>
      <c r="AH103" s="5096"/>
      <c r="AI103" s="5096"/>
      <c r="AJ103" s="5096"/>
      <c r="AK103" s="5096"/>
      <c r="AL103" s="5096"/>
      <c r="AM103" s="5096"/>
      <c r="AN103" s="5096"/>
      <c r="AO103" s="5096"/>
      <c r="AP103" s="5096"/>
      <c r="AQ103" s="5096"/>
      <c r="AR103" s="5096"/>
      <c r="AS103" s="5096"/>
      <c r="AT103" s="5096"/>
      <c r="AU103" s="5096"/>
      <c r="AV103" s="5096"/>
      <c r="AW103" s="5096"/>
      <c r="AX103" s="5096"/>
      <c r="AY103" s="5096"/>
      <c r="AZ103" s="5096"/>
      <c r="BA103" s="5096"/>
      <c r="BB103" s="5096"/>
      <c r="BC103" s="5096"/>
      <c r="BD103" s="5096"/>
      <c r="BE103" s="5096"/>
      <c r="BF103" s="5096"/>
      <c r="BG103" s="5096"/>
      <c r="BH103" s="5096"/>
      <c r="BI103" s="5096"/>
      <c r="BJ103" s="5096"/>
      <c r="BK103" s="5096"/>
      <c r="BL103" s="5096"/>
      <c r="BM103" s="5096"/>
      <c r="BN103" s="5096"/>
      <c r="BO103" s="5096"/>
      <c r="BP103" s="5096"/>
      <c r="BQ103" s="5096"/>
      <c r="BR103" s="5096"/>
      <c r="BS103" s="5096"/>
      <c r="BT103" s="5096"/>
      <c r="BU103" s="5096"/>
      <c r="BV103" s="7103"/>
      <c r="BW103" s="7125"/>
    </row>
    <row r="104" spans="1:75" s="7080" customFormat="1" ht="15" customHeight="1">
      <c r="A104" s="16808"/>
      <c r="B104" s="7084" t="s">
        <v>5923</v>
      </c>
      <c r="C104" s="15376" t="s">
        <v>5924</v>
      </c>
      <c r="D104" s="15930" t="s">
        <v>5925</v>
      </c>
      <c r="E104" s="15930" t="s">
        <v>5926</v>
      </c>
      <c r="F104" s="15930" t="s">
        <v>5927</v>
      </c>
      <c r="G104" s="5096" t="s">
        <v>8280</v>
      </c>
      <c r="H104" s="7092" t="s">
        <v>5928</v>
      </c>
      <c r="I104" s="5096" t="s">
        <v>5929</v>
      </c>
      <c r="J104" s="5096" t="s">
        <v>5422</v>
      </c>
      <c r="K104" s="5096" t="s">
        <v>5930</v>
      </c>
      <c r="L104" s="5096" t="s">
        <v>5931</v>
      </c>
      <c r="M104" s="5096" t="s">
        <v>5932</v>
      </c>
      <c r="N104" s="5096" t="s">
        <v>5933</v>
      </c>
      <c r="O104" s="5096" t="s">
        <v>5934</v>
      </c>
      <c r="P104" s="5096" t="s">
        <v>5935</v>
      </c>
      <c r="Q104" s="5096" t="s">
        <v>5936</v>
      </c>
      <c r="R104" s="5096" t="s">
        <v>5937</v>
      </c>
      <c r="S104" s="5096" t="s">
        <v>5938</v>
      </c>
      <c r="T104" s="5096" t="s">
        <v>5939</v>
      </c>
      <c r="U104" s="5096" t="s">
        <v>5940</v>
      </c>
      <c r="V104" s="5096" t="s">
        <v>5941</v>
      </c>
      <c r="W104" s="5096" t="s">
        <v>5942</v>
      </c>
      <c r="X104" s="7085" t="s">
        <v>10070</v>
      </c>
      <c r="Y104" s="7092" t="s">
        <v>5943</v>
      </c>
      <c r="Z104" s="7140" t="s">
        <v>5944</v>
      </c>
      <c r="AA104" s="6516"/>
      <c r="AB104" s="7147"/>
      <c r="AC104" s="5096"/>
      <c r="AD104" s="5096"/>
      <c r="AE104" s="5096"/>
      <c r="AF104" s="5096"/>
      <c r="AG104" s="5096"/>
      <c r="AH104" s="5096"/>
      <c r="AI104" s="5096"/>
      <c r="AJ104" s="5096"/>
      <c r="AK104" s="5096"/>
      <c r="AL104" s="5096"/>
      <c r="AM104" s="5096"/>
      <c r="AN104" s="5096"/>
      <c r="AO104" s="5096"/>
      <c r="AP104" s="5096"/>
      <c r="AQ104" s="5096"/>
      <c r="AR104" s="5096"/>
      <c r="AS104" s="5096"/>
      <c r="AT104" s="5096"/>
      <c r="AU104" s="5096"/>
      <c r="AV104" s="5096"/>
      <c r="AW104" s="5096"/>
      <c r="AX104" s="5096"/>
      <c r="AY104" s="5096"/>
      <c r="AZ104" s="5096"/>
      <c r="BA104" s="5096"/>
      <c r="BB104" s="5096"/>
      <c r="BC104" s="5096"/>
      <c r="BD104" s="5096"/>
      <c r="BE104" s="5096"/>
      <c r="BF104" s="5096"/>
      <c r="BG104" s="5096"/>
      <c r="BH104" s="5096"/>
      <c r="BI104" s="5096"/>
      <c r="BJ104" s="5096"/>
      <c r="BK104" s="5096"/>
      <c r="BL104" s="5096"/>
      <c r="BM104" s="5096"/>
      <c r="BN104" s="5096"/>
      <c r="BO104" s="5096"/>
      <c r="BP104" s="5096"/>
      <c r="BQ104" s="5096"/>
      <c r="BR104" s="5096"/>
      <c r="BS104" s="5096"/>
      <c r="BT104" s="5096"/>
      <c r="BU104" s="5096"/>
      <c r="BV104" s="7103"/>
      <c r="BW104" s="7125"/>
    </row>
    <row r="105" spans="1:75" s="7080" customFormat="1" ht="15" customHeight="1">
      <c r="A105" s="16808"/>
      <c r="B105" s="7084" t="s">
        <v>5945</v>
      </c>
      <c r="C105" s="15376"/>
      <c r="D105" s="15930"/>
      <c r="E105" s="15930"/>
      <c r="F105" s="15930"/>
      <c r="G105" s="5096" t="s">
        <v>8281</v>
      </c>
      <c r="H105" s="7092" t="s">
        <v>5946</v>
      </c>
      <c r="I105" s="5096" t="s">
        <v>5947</v>
      </c>
      <c r="J105" s="5096" t="s">
        <v>5948</v>
      </c>
      <c r="K105" s="5096" t="s">
        <v>5949</v>
      </c>
      <c r="L105" s="5096" t="s">
        <v>5950</v>
      </c>
      <c r="M105" s="5096" t="s">
        <v>5951</v>
      </c>
      <c r="N105" s="5096" t="s">
        <v>5952</v>
      </c>
      <c r="O105" s="5096" t="s">
        <v>5953</v>
      </c>
      <c r="P105" s="5096" t="s">
        <v>5954</v>
      </c>
      <c r="Q105" s="5096" t="s">
        <v>5955</v>
      </c>
      <c r="R105" s="5096" t="s">
        <v>5956</v>
      </c>
      <c r="S105" s="5096" t="s">
        <v>5957</v>
      </c>
      <c r="T105" s="5096" t="s">
        <v>5958</v>
      </c>
      <c r="U105" s="5096" t="s">
        <v>5959</v>
      </c>
      <c r="V105" s="5096" t="s">
        <v>5960</v>
      </c>
      <c r="W105" s="5096" t="s">
        <v>5961</v>
      </c>
      <c r="X105" s="7085" t="s">
        <v>10057</v>
      </c>
      <c r="Y105" s="4622" t="s">
        <v>5962</v>
      </c>
      <c r="Z105" s="7140" t="s">
        <v>5944</v>
      </c>
      <c r="AA105" s="6516">
        <f>15000000*10</f>
        <v>150000000</v>
      </c>
      <c r="AB105" s="7147"/>
      <c r="AC105" s="5096"/>
      <c r="AD105" s="5096"/>
      <c r="AE105" s="5096"/>
      <c r="AF105" s="5096"/>
      <c r="AG105" s="5096"/>
      <c r="AH105" s="5096"/>
      <c r="AI105" s="5096"/>
      <c r="AJ105" s="5096"/>
      <c r="AK105" s="5096"/>
      <c r="AL105" s="5096"/>
      <c r="AM105" s="5096"/>
      <c r="AN105" s="5096"/>
      <c r="AO105" s="5096"/>
      <c r="AP105" s="5096"/>
      <c r="AQ105" s="5096"/>
      <c r="AR105" s="5096"/>
      <c r="AS105" s="5096"/>
      <c r="AT105" s="5096"/>
      <c r="AU105" s="5096"/>
      <c r="AV105" s="5096"/>
      <c r="AW105" s="5096"/>
      <c r="AX105" s="5096"/>
      <c r="AY105" s="5096"/>
      <c r="AZ105" s="5096"/>
      <c r="BA105" s="5096"/>
      <c r="BB105" s="5096"/>
      <c r="BC105" s="5096"/>
      <c r="BD105" s="5096"/>
      <c r="BE105" s="5096"/>
      <c r="BF105" s="5096"/>
      <c r="BG105" s="5096"/>
      <c r="BH105" s="5096"/>
      <c r="BI105" s="5096"/>
      <c r="BJ105" s="5096"/>
      <c r="BK105" s="5096"/>
      <c r="BL105" s="5096"/>
      <c r="BM105" s="5096"/>
      <c r="BN105" s="5096"/>
      <c r="BO105" s="5096"/>
      <c r="BP105" s="5096"/>
      <c r="BQ105" s="5096"/>
      <c r="BR105" s="5096"/>
      <c r="BS105" s="5096"/>
      <c r="BT105" s="5096"/>
      <c r="BU105" s="5096"/>
      <c r="BV105" s="7103"/>
      <c r="BW105" s="7125"/>
    </row>
    <row r="106" spans="1:75" s="7080" customFormat="1" ht="15" customHeight="1">
      <c r="A106" s="16808"/>
      <c r="B106" s="7084" t="s">
        <v>5963</v>
      </c>
      <c r="C106" s="15376"/>
      <c r="D106" s="15930"/>
      <c r="E106" s="15930"/>
      <c r="F106" s="15930"/>
      <c r="G106" s="5096" t="s">
        <v>8282</v>
      </c>
      <c r="H106" s="7092" t="s">
        <v>5964</v>
      </c>
      <c r="I106" s="4622" t="s">
        <v>5965</v>
      </c>
      <c r="J106" s="7085" t="s">
        <v>5966</v>
      </c>
      <c r="K106" s="7085" t="s">
        <v>5967</v>
      </c>
      <c r="L106" s="5096" t="s">
        <v>5968</v>
      </c>
      <c r="M106" s="7085" t="s">
        <v>5969</v>
      </c>
      <c r="N106" s="7085" t="s">
        <v>5970</v>
      </c>
      <c r="O106" s="7085" t="s">
        <v>5971</v>
      </c>
      <c r="P106" s="7085" t="s">
        <v>5972</v>
      </c>
      <c r="Q106" s="7085" t="s">
        <v>5973</v>
      </c>
      <c r="R106" s="7085" t="s">
        <v>5974</v>
      </c>
      <c r="S106" s="7085" t="s">
        <v>5975</v>
      </c>
      <c r="T106" s="7085" t="s">
        <v>5976</v>
      </c>
      <c r="U106" s="7085" t="s">
        <v>5977</v>
      </c>
      <c r="V106" s="7085" t="s">
        <v>5978</v>
      </c>
      <c r="W106" s="7085" t="s">
        <v>5979</v>
      </c>
      <c r="X106" s="7085" t="s">
        <v>4337</v>
      </c>
      <c r="Y106" s="5096" t="s">
        <v>5980</v>
      </c>
      <c r="Z106" s="5096" t="s">
        <v>545</v>
      </c>
      <c r="AA106" s="6516">
        <f>100000*12*10</f>
        <v>12000000</v>
      </c>
      <c r="AB106" s="7147"/>
      <c r="AC106" s="5096"/>
      <c r="AD106" s="5096"/>
      <c r="AE106" s="5096"/>
      <c r="AF106" s="5096"/>
      <c r="AG106" s="5096"/>
      <c r="AH106" s="5096"/>
      <c r="AI106" s="5096"/>
      <c r="AJ106" s="5096"/>
      <c r="AK106" s="5096"/>
      <c r="AL106" s="5096"/>
      <c r="AM106" s="5096"/>
      <c r="AN106" s="5096"/>
      <c r="AO106" s="5096"/>
      <c r="AP106" s="5096"/>
      <c r="AQ106" s="5096"/>
      <c r="AR106" s="5096"/>
      <c r="AS106" s="5096"/>
      <c r="AT106" s="5096"/>
      <c r="AU106" s="5096"/>
      <c r="AV106" s="5096"/>
      <c r="AW106" s="5096"/>
      <c r="AX106" s="5096"/>
      <c r="AY106" s="5096"/>
      <c r="AZ106" s="5096"/>
      <c r="BA106" s="5096"/>
      <c r="BB106" s="5096"/>
      <c r="BC106" s="5096"/>
      <c r="BD106" s="5096"/>
      <c r="BE106" s="5096"/>
      <c r="BF106" s="5096"/>
      <c r="BG106" s="5096"/>
      <c r="BH106" s="5096"/>
      <c r="BI106" s="5096"/>
      <c r="BJ106" s="5096"/>
      <c r="BK106" s="5096"/>
      <c r="BL106" s="5096"/>
      <c r="BM106" s="5096"/>
      <c r="BN106" s="5096"/>
      <c r="BO106" s="5096"/>
      <c r="BP106" s="5096"/>
      <c r="BQ106" s="5096"/>
      <c r="BR106" s="5096"/>
      <c r="BS106" s="5096"/>
      <c r="BT106" s="5096"/>
      <c r="BU106" s="5096"/>
      <c r="BV106" s="7103"/>
      <c r="BW106" s="7125"/>
    </row>
    <row r="107" spans="1:75" s="7080" customFormat="1" ht="15" customHeight="1">
      <c r="A107" s="16808"/>
      <c r="B107" s="7085" t="s">
        <v>5981</v>
      </c>
      <c r="C107" s="15376"/>
      <c r="D107" s="15930"/>
      <c r="E107" s="15930"/>
      <c r="F107" s="15930"/>
      <c r="G107" s="5096" t="s">
        <v>8283</v>
      </c>
      <c r="H107" s="7092" t="s">
        <v>5982</v>
      </c>
      <c r="I107" s="7085" t="s">
        <v>5983</v>
      </c>
      <c r="J107" s="7085" t="s">
        <v>5984</v>
      </c>
      <c r="K107" s="7085" t="s">
        <v>5985</v>
      </c>
      <c r="L107" s="5096" t="s">
        <v>5986</v>
      </c>
      <c r="M107" s="7085" t="s">
        <v>5987</v>
      </c>
      <c r="N107" s="7085" t="s">
        <v>5988</v>
      </c>
      <c r="O107" s="7085" t="s">
        <v>5989</v>
      </c>
      <c r="P107" s="7085" t="s">
        <v>5990</v>
      </c>
      <c r="Q107" s="7085" t="s">
        <v>5991</v>
      </c>
      <c r="R107" s="7085" t="s">
        <v>5992</v>
      </c>
      <c r="S107" s="7085" t="s">
        <v>5993</v>
      </c>
      <c r="T107" s="7085" t="s">
        <v>5994</v>
      </c>
      <c r="U107" s="7085" t="s">
        <v>5995</v>
      </c>
      <c r="V107" s="7085" t="s">
        <v>5996</v>
      </c>
      <c r="W107" s="7085" t="s">
        <v>5996</v>
      </c>
      <c r="X107" s="7085" t="s">
        <v>10063</v>
      </c>
      <c r="Y107" s="5096" t="s">
        <v>5997</v>
      </c>
      <c r="Z107" s="5096" t="s">
        <v>545</v>
      </c>
      <c r="AA107" s="6516">
        <f>+(120000*6)*10</f>
        <v>7200000</v>
      </c>
      <c r="AB107" s="7147"/>
      <c r="AC107" s="5096"/>
      <c r="AD107" s="5096"/>
      <c r="AE107" s="5096"/>
      <c r="AF107" s="5096"/>
      <c r="AG107" s="5096"/>
      <c r="AH107" s="5096"/>
      <c r="AI107" s="5096"/>
      <c r="AJ107" s="5096"/>
      <c r="AK107" s="5096"/>
      <c r="AL107" s="5096"/>
      <c r="AM107" s="5096"/>
      <c r="AN107" s="5096"/>
      <c r="AO107" s="5096"/>
      <c r="AP107" s="5096"/>
      <c r="AQ107" s="5096"/>
      <c r="AR107" s="5096"/>
      <c r="AS107" s="5096"/>
      <c r="AT107" s="5096"/>
      <c r="AU107" s="5096"/>
      <c r="AV107" s="5096"/>
      <c r="AW107" s="5096"/>
      <c r="AX107" s="5096"/>
      <c r="AY107" s="5096"/>
      <c r="AZ107" s="5096"/>
      <c r="BA107" s="5096"/>
      <c r="BB107" s="5096"/>
      <c r="BC107" s="5096"/>
      <c r="BD107" s="5096"/>
      <c r="BE107" s="5096"/>
      <c r="BF107" s="5096"/>
      <c r="BG107" s="5096"/>
      <c r="BH107" s="5096"/>
      <c r="BI107" s="5096"/>
      <c r="BJ107" s="5096"/>
      <c r="BK107" s="5096"/>
      <c r="BL107" s="5096"/>
      <c r="BM107" s="5096"/>
      <c r="BN107" s="5096"/>
      <c r="BO107" s="5096"/>
      <c r="BP107" s="5096"/>
      <c r="BQ107" s="5096"/>
      <c r="BR107" s="5096"/>
      <c r="BS107" s="5096"/>
      <c r="BT107" s="5096"/>
      <c r="BU107" s="5096"/>
      <c r="BV107" s="7103"/>
      <c r="BW107" s="7125"/>
    </row>
    <row r="108" spans="1:75" s="7080" customFormat="1" ht="15" customHeight="1" thickBot="1">
      <c r="A108" s="16809"/>
      <c r="B108" s="4935" t="s">
        <v>5998</v>
      </c>
      <c r="C108" s="16572"/>
      <c r="D108" s="16787"/>
      <c r="E108" s="16787"/>
      <c r="F108" s="16787"/>
      <c r="G108" s="4931" t="s">
        <v>8284</v>
      </c>
      <c r="H108" s="7104" t="s">
        <v>5999</v>
      </c>
      <c r="I108" s="7105" t="s">
        <v>6000</v>
      </c>
      <c r="J108" s="7105" t="s">
        <v>5984</v>
      </c>
      <c r="K108" s="7106" t="s">
        <v>6001</v>
      </c>
      <c r="L108" s="4931" t="s">
        <v>6002</v>
      </c>
      <c r="M108" s="7106" t="s">
        <v>6003</v>
      </c>
      <c r="N108" s="7106" t="s">
        <v>6004</v>
      </c>
      <c r="O108" s="7106" t="s">
        <v>6005</v>
      </c>
      <c r="P108" s="7106" t="s">
        <v>6006</v>
      </c>
      <c r="Q108" s="7106" t="s">
        <v>6007</v>
      </c>
      <c r="R108" s="7106" t="s">
        <v>6008</v>
      </c>
      <c r="S108" s="7106" t="s">
        <v>6009</v>
      </c>
      <c r="T108" s="7106" t="s">
        <v>6010</v>
      </c>
      <c r="U108" s="7106" t="s">
        <v>6011</v>
      </c>
      <c r="V108" s="7107" t="s">
        <v>6012</v>
      </c>
      <c r="W108" s="7107" t="s">
        <v>6013</v>
      </c>
      <c r="X108" s="7107" t="s">
        <v>8575</v>
      </c>
      <c r="Y108" s="6528" t="s">
        <v>6014</v>
      </c>
      <c r="Z108" s="4931" t="s">
        <v>545</v>
      </c>
      <c r="AA108" s="6535">
        <v>0</v>
      </c>
      <c r="AB108" s="7148"/>
      <c r="AC108" s="4931"/>
      <c r="AD108" s="4931"/>
      <c r="AE108" s="4931"/>
      <c r="AF108" s="4931"/>
      <c r="AG108" s="4931"/>
      <c r="AH108" s="4931"/>
      <c r="AI108" s="4931"/>
      <c r="AJ108" s="4931"/>
      <c r="AK108" s="4931"/>
      <c r="AL108" s="4931"/>
      <c r="AM108" s="4931"/>
      <c r="AN108" s="4931"/>
      <c r="AO108" s="4931"/>
      <c r="AP108" s="4931"/>
      <c r="AQ108" s="4931"/>
      <c r="AR108" s="4931"/>
      <c r="AS108" s="4931"/>
      <c r="AT108" s="4931"/>
      <c r="AU108" s="4931"/>
      <c r="AV108" s="4931"/>
      <c r="AW108" s="4931"/>
      <c r="AX108" s="4931"/>
      <c r="AY108" s="4931"/>
      <c r="AZ108" s="4931"/>
      <c r="BA108" s="4931"/>
      <c r="BB108" s="4931"/>
      <c r="BC108" s="4931"/>
      <c r="BD108" s="4931"/>
      <c r="BE108" s="4931"/>
      <c r="BF108" s="4931"/>
      <c r="BG108" s="4931"/>
      <c r="BH108" s="4931"/>
      <c r="BI108" s="4931"/>
      <c r="BJ108" s="4931"/>
      <c r="BK108" s="4931"/>
      <c r="BL108" s="4931"/>
      <c r="BM108" s="4931"/>
      <c r="BN108" s="4931"/>
      <c r="BO108" s="4931"/>
      <c r="BP108" s="4931"/>
      <c r="BQ108" s="4931"/>
      <c r="BR108" s="4931"/>
      <c r="BS108" s="4931"/>
      <c r="BT108" s="4931"/>
      <c r="BU108" s="4931"/>
      <c r="BV108" s="7108"/>
      <c r="BW108" s="7125"/>
    </row>
  </sheetData>
  <autoFilter ref="A8:WVZ108" xr:uid="{00000000-0009-0000-0000-000018000000}"/>
  <mergeCells count="1146">
    <mergeCell ref="AF85:AF86"/>
    <mergeCell ref="AG85:AG86"/>
    <mergeCell ref="AH85:AH86"/>
    <mergeCell ref="AI85:AI86"/>
    <mergeCell ref="AJ85:AJ86"/>
    <mergeCell ref="AK85:AK86"/>
    <mergeCell ref="AL85:AL86"/>
    <mergeCell ref="AM85:AM86"/>
    <mergeCell ref="AN85:AN86"/>
    <mergeCell ref="AO85:AO86"/>
    <mergeCell ref="AP85:AP86"/>
    <mergeCell ref="AQ85:AQ86"/>
    <mergeCell ref="AR85:AR86"/>
    <mergeCell ref="AS85:AS86"/>
    <mergeCell ref="BL85:BL86"/>
    <mergeCell ref="AU85:AU86"/>
    <mergeCell ref="AV85:AV86"/>
    <mergeCell ref="AW85:AW86"/>
    <mergeCell ref="AX85:AX86"/>
    <mergeCell ref="AY85:AY86"/>
    <mergeCell ref="AZ85:AZ86"/>
    <mergeCell ref="BA85:BA86"/>
    <mergeCell ref="BB85:BB86"/>
    <mergeCell ref="BC85:BC86"/>
    <mergeCell ref="AT85:AT86"/>
    <mergeCell ref="BM85:BM86"/>
    <mergeCell ref="BN85:BN86"/>
    <mergeCell ref="BO85:BO86"/>
    <mergeCell ref="BP85:BP86"/>
    <mergeCell ref="BQ85:BQ86"/>
    <mergeCell ref="BR85:BR86"/>
    <mergeCell ref="BS83:BS84"/>
    <mergeCell ref="BB83:BB84"/>
    <mergeCell ref="BC83:BC84"/>
    <mergeCell ref="BD83:BD84"/>
    <mergeCell ref="BE83:BE84"/>
    <mergeCell ref="BF83:BF84"/>
    <mergeCell ref="BG83:BG84"/>
    <mergeCell ref="BH83:BH84"/>
    <mergeCell ref="BI83:BI84"/>
    <mergeCell ref="BJ83:BJ84"/>
    <mergeCell ref="BS85:BS86"/>
    <mergeCell ref="BD85:BD86"/>
    <mergeCell ref="BE85:BE86"/>
    <mergeCell ref="BF85:BF86"/>
    <mergeCell ref="BG85:BG86"/>
    <mergeCell ref="BH85:BH86"/>
    <mergeCell ref="BI85:BI86"/>
    <mergeCell ref="BJ85:BJ86"/>
    <mergeCell ref="BK85:BK86"/>
    <mergeCell ref="AS83:AS84"/>
    <mergeCell ref="AT83:AT84"/>
    <mergeCell ref="AU83:AU84"/>
    <mergeCell ref="AV83:AV84"/>
    <mergeCell ref="AW83:AW84"/>
    <mergeCell ref="AX83:AX84"/>
    <mergeCell ref="AY83:AY84"/>
    <mergeCell ref="AZ83:AZ84"/>
    <mergeCell ref="BA83:BA84"/>
    <mergeCell ref="BK83:BK84"/>
    <mergeCell ref="BL83:BL84"/>
    <mergeCell ref="BM83:BM84"/>
    <mergeCell ref="BN83:BN84"/>
    <mergeCell ref="BO83:BO84"/>
    <mergeCell ref="BP83:BP84"/>
    <mergeCell ref="BQ83:BQ84"/>
    <mergeCell ref="BR83:BR84"/>
    <mergeCell ref="AF83:AF84"/>
    <mergeCell ref="AG83:AG84"/>
    <mergeCell ref="AH83:AH84"/>
    <mergeCell ref="AI83:AI84"/>
    <mergeCell ref="AJ83:AJ84"/>
    <mergeCell ref="AK83:AK84"/>
    <mergeCell ref="AL83:AL84"/>
    <mergeCell ref="AM83:AM84"/>
    <mergeCell ref="AN83:AN84"/>
    <mergeCell ref="AO83:AO84"/>
    <mergeCell ref="AP83:AP84"/>
    <mergeCell ref="AQ83:AQ84"/>
    <mergeCell ref="AR83:AR84"/>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BS69:BS71"/>
    <mergeCell ref="BD69:BD71"/>
    <mergeCell ref="BE69:BE71"/>
    <mergeCell ref="BF69:BF71"/>
    <mergeCell ref="BG69:BG71"/>
    <mergeCell ref="BH69:BH71"/>
    <mergeCell ref="BI69:BI71"/>
    <mergeCell ref="BJ69:BJ71"/>
    <mergeCell ref="BK69:BK71"/>
    <mergeCell ref="BK72:BK73"/>
    <mergeCell ref="BL72:BL73"/>
    <mergeCell ref="BM72:BM73"/>
    <mergeCell ref="BN72:BN73"/>
    <mergeCell ref="BO72:BO73"/>
    <mergeCell ref="BP72:BP73"/>
    <mergeCell ref="BQ72:BQ73"/>
    <mergeCell ref="BR72:BR73"/>
    <mergeCell ref="BS72:BS73"/>
    <mergeCell ref="BD72:BD73"/>
    <mergeCell ref="BE72:BE73"/>
    <mergeCell ref="BF72:BF73"/>
    <mergeCell ref="BG72:BG73"/>
    <mergeCell ref="BH72:BH73"/>
    <mergeCell ref="BI72:BI73"/>
    <mergeCell ref="BJ72:BJ73"/>
    <mergeCell ref="BC69:BC71"/>
    <mergeCell ref="AT69:AT71"/>
    <mergeCell ref="AU69:AU71"/>
    <mergeCell ref="AV69:AV71"/>
    <mergeCell ref="AW69:AW71"/>
    <mergeCell ref="AX69:AX71"/>
    <mergeCell ref="AY69:AY71"/>
    <mergeCell ref="AZ69:AZ71"/>
    <mergeCell ref="BA69:BA71"/>
    <mergeCell ref="BB69:BB71"/>
    <mergeCell ref="AS72:AS73"/>
    <mergeCell ref="AT72:AT73"/>
    <mergeCell ref="BB72:BB73"/>
    <mergeCell ref="BC72:BC73"/>
    <mergeCell ref="AU72:AU73"/>
    <mergeCell ref="AV72:AV73"/>
    <mergeCell ref="AW72:AW73"/>
    <mergeCell ref="AX72:AX73"/>
    <mergeCell ref="AY72:AY73"/>
    <mergeCell ref="AZ72:AZ73"/>
    <mergeCell ref="BA72:BA73"/>
    <mergeCell ref="BK65:BK67"/>
    <mergeCell ref="BL65:BL67"/>
    <mergeCell ref="BM65:BM67"/>
    <mergeCell ref="BN65:BN67"/>
    <mergeCell ref="BO65:BO67"/>
    <mergeCell ref="BP65:BP67"/>
    <mergeCell ref="BQ65:BQ67"/>
    <mergeCell ref="BR65:BR67"/>
    <mergeCell ref="AC69:AC71"/>
    <mergeCell ref="AD69:AD71"/>
    <mergeCell ref="AE69:AE71"/>
    <mergeCell ref="AF69:AF71"/>
    <mergeCell ref="AG69:AG71"/>
    <mergeCell ref="AH69:AH71"/>
    <mergeCell ref="AI69:AI71"/>
    <mergeCell ref="AJ69:AJ71"/>
    <mergeCell ref="AK69:AK71"/>
    <mergeCell ref="AL69:AL71"/>
    <mergeCell ref="AM69:AM71"/>
    <mergeCell ref="AN69:AN71"/>
    <mergeCell ref="AO69:AO71"/>
    <mergeCell ref="AP69:AP71"/>
    <mergeCell ref="AQ69:AQ71"/>
    <mergeCell ref="AR69:AR71"/>
    <mergeCell ref="AS69:AS71"/>
    <mergeCell ref="BL69:BL71"/>
    <mergeCell ref="BM69:BM71"/>
    <mergeCell ref="BN69:BN71"/>
    <mergeCell ref="BO69:BO71"/>
    <mergeCell ref="BP69:BP71"/>
    <mergeCell ref="BQ69:BQ71"/>
    <mergeCell ref="BR69:BR71"/>
    <mergeCell ref="BC65:BC67"/>
    <mergeCell ref="BD65:BD67"/>
    <mergeCell ref="BE65:BE67"/>
    <mergeCell ref="BF65:BF67"/>
    <mergeCell ref="BG65:BG67"/>
    <mergeCell ref="BH65:BH67"/>
    <mergeCell ref="BI65:BI67"/>
    <mergeCell ref="BJ65:BJ67"/>
    <mergeCell ref="AS65:AS67"/>
    <mergeCell ref="AT65:AT67"/>
    <mergeCell ref="AU65:AU67"/>
    <mergeCell ref="AV65:AV67"/>
    <mergeCell ref="AW65:AW67"/>
    <mergeCell ref="AX65:AX67"/>
    <mergeCell ref="AY65:AY67"/>
    <mergeCell ref="AZ65:AZ67"/>
    <mergeCell ref="BA65:BA67"/>
    <mergeCell ref="BN61:BN64"/>
    <mergeCell ref="BO61:BO64"/>
    <mergeCell ref="BP61:BP64"/>
    <mergeCell ref="BQ61:BQ64"/>
    <mergeCell ref="BR61:BR64"/>
    <mergeCell ref="BS61:BS64"/>
    <mergeCell ref="AC65:AC67"/>
    <mergeCell ref="AD65:AD67"/>
    <mergeCell ref="AE65:AE67"/>
    <mergeCell ref="AF65:AF67"/>
    <mergeCell ref="AG65:AG67"/>
    <mergeCell ref="AH65:AH67"/>
    <mergeCell ref="AI65:AI67"/>
    <mergeCell ref="AJ65:AJ67"/>
    <mergeCell ref="AK65:AK67"/>
    <mergeCell ref="AL65:AL67"/>
    <mergeCell ref="AM65:AM67"/>
    <mergeCell ref="AN65:AN67"/>
    <mergeCell ref="AO65:AO67"/>
    <mergeCell ref="AP65:AP67"/>
    <mergeCell ref="AQ65:AQ67"/>
    <mergeCell ref="AR65:AR67"/>
    <mergeCell ref="BC61:BC64"/>
    <mergeCell ref="BD61:BD64"/>
    <mergeCell ref="BE61:BE64"/>
    <mergeCell ref="BF61:BF64"/>
    <mergeCell ref="BG61:BG64"/>
    <mergeCell ref="BH61:BH64"/>
    <mergeCell ref="BI61:BI64"/>
    <mergeCell ref="BJ61:BJ64"/>
    <mergeCell ref="BS65:BS67"/>
    <mergeCell ref="BB65:BB67"/>
    <mergeCell ref="BN52:BN54"/>
    <mergeCell ref="BO52:BO54"/>
    <mergeCell ref="BP52:BP54"/>
    <mergeCell ref="BQ52:BQ54"/>
    <mergeCell ref="BR52:BR54"/>
    <mergeCell ref="BS52:BS54"/>
    <mergeCell ref="BD52:BD54"/>
    <mergeCell ref="BE52:BE54"/>
    <mergeCell ref="BF52:BF54"/>
    <mergeCell ref="BG52:BG54"/>
    <mergeCell ref="BH52:BH54"/>
    <mergeCell ref="BI52:BI54"/>
    <mergeCell ref="BJ52:BJ54"/>
    <mergeCell ref="BK52:BK54"/>
    <mergeCell ref="BL52:BL54"/>
    <mergeCell ref="AU52:AU54"/>
    <mergeCell ref="AV52:AV54"/>
    <mergeCell ref="AW52:AW54"/>
    <mergeCell ref="AX52:AX54"/>
    <mergeCell ref="AY52:AY54"/>
    <mergeCell ref="AZ52:AZ54"/>
    <mergeCell ref="BA52:BA54"/>
    <mergeCell ref="BB52:BB54"/>
    <mergeCell ref="BC52:BC54"/>
    <mergeCell ref="AN61:AN64"/>
    <mergeCell ref="AO61:AO64"/>
    <mergeCell ref="AP61:AP64"/>
    <mergeCell ref="AQ61:AQ64"/>
    <mergeCell ref="AR61:AR64"/>
    <mergeCell ref="AS61:AS64"/>
    <mergeCell ref="BK61:BK64"/>
    <mergeCell ref="AT61:AT64"/>
    <mergeCell ref="AU61:AU64"/>
    <mergeCell ref="AV61:AV64"/>
    <mergeCell ref="AW61:AW64"/>
    <mergeCell ref="AX61:AX64"/>
    <mergeCell ref="AY61:AY64"/>
    <mergeCell ref="AZ61:AZ64"/>
    <mergeCell ref="BA61:BA64"/>
    <mergeCell ref="BB61:BB64"/>
    <mergeCell ref="BM52:BM54"/>
    <mergeCell ref="BL61:BL64"/>
    <mergeCell ref="BM61:BM64"/>
    <mergeCell ref="AN52:AN54"/>
    <mergeCell ref="AO52:AO54"/>
    <mergeCell ref="AP52:AP54"/>
    <mergeCell ref="AQ52:AQ54"/>
    <mergeCell ref="AR52:AR54"/>
    <mergeCell ref="AS52:AS54"/>
    <mergeCell ref="AT52:AT54"/>
    <mergeCell ref="AF52:AF54"/>
    <mergeCell ref="AG52:AG54"/>
    <mergeCell ref="AH52:AH54"/>
    <mergeCell ref="AI52:AI54"/>
    <mergeCell ref="AJ52:AJ54"/>
    <mergeCell ref="AK52:AK54"/>
    <mergeCell ref="AC61:AC64"/>
    <mergeCell ref="AD61:AD64"/>
    <mergeCell ref="AE61:AE64"/>
    <mergeCell ref="AF61:AF64"/>
    <mergeCell ref="AG61:AG64"/>
    <mergeCell ref="AH61:AH64"/>
    <mergeCell ref="AI61:AI64"/>
    <mergeCell ref="AJ61:AJ64"/>
    <mergeCell ref="AK61:AK64"/>
    <mergeCell ref="AL61:AL64"/>
    <mergeCell ref="AM61:AM64"/>
    <mergeCell ref="AL52:AL54"/>
    <mergeCell ref="AM52:AM54"/>
    <mergeCell ref="BM40:BM41"/>
    <mergeCell ref="BN40:BN41"/>
    <mergeCell ref="BO40:BO41"/>
    <mergeCell ref="BP40:BP41"/>
    <mergeCell ref="BQ40:BQ41"/>
    <mergeCell ref="BR40:BR41"/>
    <mergeCell ref="BS40:BS41"/>
    <mergeCell ref="BL40:BL41"/>
    <mergeCell ref="BD40:BD41"/>
    <mergeCell ref="BE40:BE41"/>
    <mergeCell ref="BF40:BF41"/>
    <mergeCell ref="BG40:BG41"/>
    <mergeCell ref="BH40:BH41"/>
    <mergeCell ref="BI40:BI41"/>
    <mergeCell ref="BJ40:BJ41"/>
    <mergeCell ref="BK40:BK41"/>
    <mergeCell ref="BC40:BC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BD36:BD38"/>
    <mergeCell ref="BE36:BE38"/>
    <mergeCell ref="BF36:BF38"/>
    <mergeCell ref="AT40:AT41"/>
    <mergeCell ref="AU40:AU41"/>
    <mergeCell ref="AV40:AV41"/>
    <mergeCell ref="AW40:AW41"/>
    <mergeCell ref="AX40:AX41"/>
    <mergeCell ref="AY40:AY41"/>
    <mergeCell ref="AZ40:AZ41"/>
    <mergeCell ref="BA40:BA41"/>
    <mergeCell ref="BB40:BB41"/>
    <mergeCell ref="AV36:AV38"/>
    <mergeCell ref="AW36:AW38"/>
    <mergeCell ref="AX36:AX38"/>
    <mergeCell ref="AY36:AY38"/>
    <mergeCell ref="BS29:BS30"/>
    <mergeCell ref="AZ36:AZ38"/>
    <mergeCell ref="BA36:BA38"/>
    <mergeCell ref="BB36:BB38"/>
    <mergeCell ref="BC36:BC38"/>
    <mergeCell ref="BK36:BK38"/>
    <mergeCell ref="BE29:BE30"/>
    <mergeCell ref="BF29:BF30"/>
    <mergeCell ref="BG29:BG30"/>
    <mergeCell ref="BH29:BH30"/>
    <mergeCell ref="BI29:BI30"/>
    <mergeCell ref="BJ29:BJ30"/>
    <mergeCell ref="BM36:BM38"/>
    <mergeCell ref="BI36:BI38"/>
    <mergeCell ref="BJ36:BJ38"/>
    <mergeCell ref="BB29:BB30"/>
    <mergeCell ref="BC29:BC30"/>
    <mergeCell ref="BD29:BD30"/>
    <mergeCell ref="BS36:BS38"/>
    <mergeCell ref="BG36:BG38"/>
    <mergeCell ref="BH36:BH38"/>
    <mergeCell ref="BK29:BK30"/>
    <mergeCell ref="BL29:BL30"/>
    <mergeCell ref="BM29:BM30"/>
    <mergeCell ref="BN29:BN30"/>
    <mergeCell ref="BO29:BO30"/>
    <mergeCell ref="BP29:BP30"/>
    <mergeCell ref="BQ29:BQ30"/>
    <mergeCell ref="BR29:BR30"/>
    <mergeCell ref="BL36:BL38"/>
    <mergeCell ref="BN36:BN38"/>
    <mergeCell ref="BO36:BO38"/>
    <mergeCell ref="BP36:BP38"/>
    <mergeCell ref="BQ36:BQ38"/>
    <mergeCell ref="BR36:BR38"/>
    <mergeCell ref="AS29:AS30"/>
    <mergeCell ref="AT29:AT30"/>
    <mergeCell ref="AU29:AU30"/>
    <mergeCell ref="AV29:AV30"/>
    <mergeCell ref="AW29:AW30"/>
    <mergeCell ref="AX29:AX30"/>
    <mergeCell ref="AY29:AY30"/>
    <mergeCell ref="AZ29:AZ30"/>
    <mergeCell ref="BA29:BA30"/>
    <mergeCell ref="AC36:AC38"/>
    <mergeCell ref="AD36:AD38"/>
    <mergeCell ref="AE36:AE38"/>
    <mergeCell ref="AF36:AF38"/>
    <mergeCell ref="AG36:AG38"/>
    <mergeCell ref="AH36:AH38"/>
    <mergeCell ref="AI36:AI38"/>
    <mergeCell ref="AJ36:AJ38"/>
    <mergeCell ref="AK36:AK38"/>
    <mergeCell ref="AL36:AL38"/>
    <mergeCell ref="AM36:AM38"/>
    <mergeCell ref="AN36:AN38"/>
    <mergeCell ref="AO36:AO38"/>
    <mergeCell ref="AP36:AP38"/>
    <mergeCell ref="AQ36:AQ38"/>
    <mergeCell ref="AR36:AR38"/>
    <mergeCell ref="AS36:AS38"/>
    <mergeCell ref="AT36:AT38"/>
    <mergeCell ref="AU36:AU38"/>
    <mergeCell ref="AC29:AC30"/>
    <mergeCell ref="AD29:AD30"/>
    <mergeCell ref="AE29:AE30"/>
    <mergeCell ref="AF29:AF30"/>
    <mergeCell ref="AS21:AS22"/>
    <mergeCell ref="AT24:AT25"/>
    <mergeCell ref="BL21:BL22"/>
    <mergeCell ref="BM21:BM22"/>
    <mergeCell ref="AV21:AV22"/>
    <mergeCell ref="BQ21:BQ22"/>
    <mergeCell ref="BR21:BR22"/>
    <mergeCell ref="BG17:BG20"/>
    <mergeCell ref="BK17:BK20"/>
    <mergeCell ref="AG29:AG30"/>
    <mergeCell ref="AH29:AH30"/>
    <mergeCell ref="AI29:AI30"/>
    <mergeCell ref="AJ29:AJ30"/>
    <mergeCell ref="AK29:AK30"/>
    <mergeCell ref="AL29:AL30"/>
    <mergeCell ref="AM29:AM30"/>
    <mergeCell ref="AN29:AN30"/>
    <mergeCell ref="AO29:AO30"/>
    <mergeCell ref="AP29:AP30"/>
    <mergeCell ref="AQ29:AQ30"/>
    <mergeCell ref="AR29:AR30"/>
    <mergeCell ref="BD24:BD25"/>
    <mergeCell ref="BE24:BE25"/>
    <mergeCell ref="BF24:BF25"/>
    <mergeCell ref="BG24:BG25"/>
    <mergeCell ref="BH24:BH25"/>
    <mergeCell ref="BI24:BI25"/>
    <mergeCell ref="BJ24:BJ25"/>
    <mergeCell ref="BK24:BK25"/>
    <mergeCell ref="AU24:AU25"/>
    <mergeCell ref="AV24:AV25"/>
    <mergeCell ref="AM24:AM25"/>
    <mergeCell ref="AN24:AN25"/>
    <mergeCell ref="AO24:AO25"/>
    <mergeCell ref="AP24:AP25"/>
    <mergeCell ref="AQ24:AQ25"/>
    <mergeCell ref="AR24:AR25"/>
    <mergeCell ref="AS24:AS25"/>
    <mergeCell ref="AC24:AC25"/>
    <mergeCell ref="AD24:AD25"/>
    <mergeCell ref="AE24:AE25"/>
    <mergeCell ref="AF24:AF25"/>
    <mergeCell ref="AG24:AG25"/>
    <mergeCell ref="AH24:AH25"/>
    <mergeCell ref="AI24:AI25"/>
    <mergeCell ref="AJ24:AJ25"/>
    <mergeCell ref="AK24:AK25"/>
    <mergeCell ref="BN17:BN20"/>
    <mergeCell ref="BP21:BP22"/>
    <mergeCell ref="AW17:AW20"/>
    <mergeCell ref="AX17:AX20"/>
    <mergeCell ref="BE21:BE22"/>
    <mergeCell ref="BF21:BF22"/>
    <mergeCell ref="BG21:BG22"/>
    <mergeCell ref="BH21:BH22"/>
    <mergeCell ref="BI21:BI22"/>
    <mergeCell ref="BM24:BM25"/>
    <mergeCell ref="BN24:BN25"/>
    <mergeCell ref="BO24:BO25"/>
    <mergeCell ref="BP24:BP25"/>
    <mergeCell ref="BQ24:BQ25"/>
    <mergeCell ref="BS17:BS20"/>
    <mergeCell ref="BS21:BS22"/>
    <mergeCell ref="BR24:BR25"/>
    <mergeCell ref="BO17:BO20"/>
    <mergeCell ref="BB24:BB25"/>
    <mergeCell ref="BC24:BC25"/>
    <mergeCell ref="BN21:BN22"/>
    <mergeCell ref="BO21:BO22"/>
    <mergeCell ref="BS24:BS25"/>
    <mergeCell ref="BL24:BL25"/>
    <mergeCell ref="BA24:BA25"/>
    <mergeCell ref="AW24:AW25"/>
    <mergeCell ref="AX24:AX25"/>
    <mergeCell ref="AY24:AY25"/>
    <mergeCell ref="AZ24:AZ25"/>
    <mergeCell ref="AT21:AT22"/>
    <mergeCell ref="AU21:AU22"/>
    <mergeCell ref="BF17:BF20"/>
    <mergeCell ref="BJ21:BJ22"/>
    <mergeCell ref="BK21:BK22"/>
    <mergeCell ref="AY17:AY20"/>
    <mergeCell ref="BN15:BN16"/>
    <mergeCell ref="BJ15:BJ16"/>
    <mergeCell ref="BK15:BK16"/>
    <mergeCell ref="BL15:BL16"/>
    <mergeCell ref="BM15:BM16"/>
    <mergeCell ref="AL21:AL22"/>
    <mergeCell ref="AM21:AM22"/>
    <mergeCell ref="AN21:AN22"/>
    <mergeCell ref="AO21:AO22"/>
    <mergeCell ref="AP21:AP22"/>
    <mergeCell ref="AQ21:AQ22"/>
    <mergeCell ref="AR21:AR22"/>
    <mergeCell ref="AW21:AW22"/>
    <mergeCell ref="AX21:AX22"/>
    <mergeCell ref="AY21:AY22"/>
    <mergeCell ref="AZ21:AZ22"/>
    <mergeCell ref="BA21:BA22"/>
    <mergeCell ref="BB21:BB22"/>
    <mergeCell ref="BC21:BC22"/>
    <mergeCell ref="BD21:BD22"/>
    <mergeCell ref="AM17:AM20"/>
    <mergeCell ref="AN17:AN20"/>
    <mergeCell ref="AO17:AO20"/>
    <mergeCell ref="AP17:AP20"/>
    <mergeCell ref="AQ17:AQ20"/>
    <mergeCell ref="AR17:AR20"/>
    <mergeCell ref="AS17:AS20"/>
    <mergeCell ref="AT17:AT20"/>
    <mergeCell ref="AU17:AU20"/>
    <mergeCell ref="AV17:AV20"/>
    <mergeCell ref="BP17:BP20"/>
    <mergeCell ref="BQ17:BQ20"/>
    <mergeCell ref="BR17:BR20"/>
    <mergeCell ref="AZ17:AZ20"/>
    <mergeCell ref="BA17:BA20"/>
    <mergeCell ref="BB17:BB20"/>
    <mergeCell ref="BC17:BC20"/>
    <mergeCell ref="BD17:BD20"/>
    <mergeCell ref="BE17:BE20"/>
    <mergeCell ref="AM15:AM16"/>
    <mergeCell ref="AN15:AN16"/>
    <mergeCell ref="AO15:AO16"/>
    <mergeCell ref="AP15:AP16"/>
    <mergeCell ref="AQ15:AQ16"/>
    <mergeCell ref="AR15:AR16"/>
    <mergeCell ref="AS15:AS16"/>
    <mergeCell ref="BH15:BH16"/>
    <mergeCell ref="BI15:BI16"/>
    <mergeCell ref="AT15:AT16"/>
    <mergeCell ref="AU15:AU16"/>
    <mergeCell ref="BP15:BP16"/>
    <mergeCell ref="BQ15:BQ16"/>
    <mergeCell ref="BR15:BR16"/>
    <mergeCell ref="BH17:BH20"/>
    <mergeCell ref="BI17:BI20"/>
    <mergeCell ref="BJ17:BJ20"/>
    <mergeCell ref="BL17:BL20"/>
    <mergeCell ref="BM17:BM20"/>
    <mergeCell ref="BS15:BS16"/>
    <mergeCell ref="AV15:AV16"/>
    <mergeCell ref="AW15:AW16"/>
    <mergeCell ref="BO15:BO16"/>
    <mergeCell ref="AX15:AX16"/>
    <mergeCell ref="AY15:AY16"/>
    <mergeCell ref="AZ15:AZ16"/>
    <mergeCell ref="BA15:BA16"/>
    <mergeCell ref="BB15:BB16"/>
    <mergeCell ref="BC15:BC16"/>
    <mergeCell ref="BD15:BD16"/>
    <mergeCell ref="BE15:BE16"/>
    <mergeCell ref="BF15:BF16"/>
    <mergeCell ref="BG15:BG16"/>
    <mergeCell ref="AL24:AL25"/>
    <mergeCell ref="AC17:AC20"/>
    <mergeCell ref="AD17:AD20"/>
    <mergeCell ref="AE17:AE20"/>
    <mergeCell ref="AF21:AF22"/>
    <mergeCell ref="AG21:AG22"/>
    <mergeCell ref="AH21:AH22"/>
    <mergeCell ref="AI21:AI22"/>
    <mergeCell ref="AJ21:AJ22"/>
    <mergeCell ref="AK21:AK22"/>
    <mergeCell ref="AC15:AC16"/>
    <mergeCell ref="AD15:AD16"/>
    <mergeCell ref="AE15:AE16"/>
    <mergeCell ref="AF15:AF16"/>
    <mergeCell ref="AG15:AG16"/>
    <mergeCell ref="AH15:AH16"/>
    <mergeCell ref="AI15:AI16"/>
    <mergeCell ref="AJ15:AJ16"/>
    <mergeCell ref="AB15:AB16"/>
    <mergeCell ref="AB17:AB20"/>
    <mergeCell ref="AB21:AB22"/>
    <mergeCell ref="AB24:AB25"/>
    <mergeCell ref="AB29:AB30"/>
    <mergeCell ref="AB85:AB86"/>
    <mergeCell ref="AB36:AB38"/>
    <mergeCell ref="AB40:AB41"/>
    <mergeCell ref="AB52:AB54"/>
    <mergeCell ref="AB61:AB64"/>
    <mergeCell ref="AB65:AB67"/>
    <mergeCell ref="AB83:AB84"/>
    <mergeCell ref="AB69:AB71"/>
    <mergeCell ref="AB72:AB73"/>
    <mergeCell ref="AC21:AC22"/>
    <mergeCell ref="AD21:AD22"/>
    <mergeCell ref="AE21:AE22"/>
    <mergeCell ref="AC52:AC54"/>
    <mergeCell ref="AD52:AD54"/>
    <mergeCell ref="AE52:AE54"/>
    <mergeCell ref="AC72:AC73"/>
    <mergeCell ref="AD72:AD73"/>
    <mergeCell ref="AE72:AE73"/>
    <mergeCell ref="AC83:AC84"/>
    <mergeCell ref="AD83:AD84"/>
    <mergeCell ref="AE83:AE84"/>
    <mergeCell ref="AC85:AC86"/>
    <mergeCell ref="AD85:AD86"/>
    <mergeCell ref="AE85:AE86"/>
    <mergeCell ref="AC40:AC41"/>
    <mergeCell ref="AD40:AD41"/>
    <mergeCell ref="AE40:AE41"/>
    <mergeCell ref="BP9:BP10"/>
    <mergeCell ref="BQ9:BQ10"/>
    <mergeCell ref="BR9:BR10"/>
    <mergeCell ref="AJ9:AJ10"/>
    <mergeCell ref="AK9:AK10"/>
    <mergeCell ref="AL9:AL10"/>
    <mergeCell ref="AM9:AM10"/>
    <mergeCell ref="AN9:AN10"/>
    <mergeCell ref="AO9:AO10"/>
    <mergeCell ref="AP9:AP10"/>
    <mergeCell ref="AQ9:AQ10"/>
    <mergeCell ref="AR9:AR10"/>
    <mergeCell ref="AB9:AB10"/>
    <mergeCell ref="AC9:AC10"/>
    <mergeCell ref="AD9:AD10"/>
    <mergeCell ref="AE9:AE10"/>
    <mergeCell ref="AF9:AF10"/>
    <mergeCell ref="AG9:AG10"/>
    <mergeCell ref="AH9:AH10"/>
    <mergeCell ref="AI9:AI10"/>
    <mergeCell ref="AZ9:AZ10"/>
    <mergeCell ref="BA9:BA10"/>
    <mergeCell ref="BK9:BK10"/>
    <mergeCell ref="BL9:BL10"/>
    <mergeCell ref="BM9:BM10"/>
    <mergeCell ref="BN9:BN10"/>
    <mergeCell ref="BO9:BO10"/>
    <mergeCell ref="AK15:AK16"/>
    <mergeCell ref="AL15:AL16"/>
    <mergeCell ref="AF17:AF20"/>
    <mergeCell ref="AG17:AG20"/>
    <mergeCell ref="AH17:AH20"/>
    <mergeCell ref="AI17:AI20"/>
    <mergeCell ref="AJ17:AJ20"/>
    <mergeCell ref="AK17:AK20"/>
    <mergeCell ref="AL17:AL20"/>
    <mergeCell ref="B4:AA5"/>
    <mergeCell ref="B6:B7"/>
    <mergeCell ref="C6:AA7"/>
    <mergeCell ref="AB6:AB8"/>
    <mergeCell ref="AA9:AA10"/>
    <mergeCell ref="T9:T10"/>
    <mergeCell ref="BS9:BS10"/>
    <mergeCell ref="BB9:BB10"/>
    <mergeCell ref="BC9:BC10"/>
    <mergeCell ref="BD9:BD10"/>
    <mergeCell ref="BE9:BE10"/>
    <mergeCell ref="BF9:BF10"/>
    <mergeCell ref="BG9:BG10"/>
    <mergeCell ref="BH9:BH10"/>
    <mergeCell ref="BI9:BI10"/>
    <mergeCell ref="BJ9:BJ10"/>
    <mergeCell ref="AS9:AS10"/>
    <mergeCell ref="AT9:AT10"/>
    <mergeCell ref="AU9:AU10"/>
    <mergeCell ref="AV9:AV10"/>
    <mergeCell ref="AW9:AW10"/>
    <mergeCell ref="AX9:AX10"/>
    <mergeCell ref="AY9:AY10"/>
    <mergeCell ref="W9:W10"/>
    <mergeCell ref="AC5:BV5"/>
    <mergeCell ref="G29:G30"/>
    <mergeCell ref="G40:G41"/>
    <mergeCell ref="B80:B82"/>
    <mergeCell ref="G61:G64"/>
    <mergeCell ref="G65:G67"/>
    <mergeCell ref="G69:G71"/>
    <mergeCell ref="G72:G73"/>
    <mergeCell ref="C69:C71"/>
    <mergeCell ref="D69:D71"/>
    <mergeCell ref="C78:C84"/>
    <mergeCell ref="D78:D84"/>
    <mergeCell ref="E78:E84"/>
    <mergeCell ref="F78:F84"/>
    <mergeCell ref="F69:F71"/>
    <mergeCell ref="E69:E71"/>
    <mergeCell ref="G26:G27"/>
    <mergeCell ref="AA83:AA84"/>
    <mergeCell ref="U72:U73"/>
    <mergeCell ref="V72:V73"/>
    <mergeCell ref="M72:M73"/>
    <mergeCell ref="N72:N73"/>
    <mergeCell ref="O72:O73"/>
    <mergeCell ref="P72:P73"/>
    <mergeCell ref="Q72:Q73"/>
    <mergeCell ref="R72:R73"/>
    <mergeCell ref="W72:W73"/>
    <mergeCell ref="V69:V71"/>
    <mergeCell ref="W69:W71"/>
    <mergeCell ref="M69:M71"/>
    <mergeCell ref="AA69:AA71"/>
    <mergeCell ref="A9:A33"/>
    <mergeCell ref="B31:B33"/>
    <mergeCell ref="C29:C33"/>
    <mergeCell ref="D29:D33"/>
    <mergeCell ref="E29:E33"/>
    <mergeCell ref="F29:F33"/>
    <mergeCell ref="G31:G33"/>
    <mergeCell ref="S85:S86"/>
    <mergeCell ref="T85:T86"/>
    <mergeCell ref="U85:U86"/>
    <mergeCell ref="H85:H86"/>
    <mergeCell ref="I85:I86"/>
    <mergeCell ref="J85:J86"/>
    <mergeCell ref="K85:K86"/>
    <mergeCell ref="L85:L86"/>
    <mergeCell ref="H83:H84"/>
    <mergeCell ref="I83:I84"/>
    <mergeCell ref="P83:P84"/>
    <mergeCell ref="Q83:Q84"/>
    <mergeCell ref="R83:R84"/>
    <mergeCell ref="S83:S84"/>
    <mergeCell ref="T83:T84"/>
    <mergeCell ref="A34:A54"/>
    <mergeCell ref="A55:A77"/>
    <mergeCell ref="A78:A108"/>
    <mergeCell ref="C85:C101"/>
    <mergeCell ref="G87:G91"/>
    <mergeCell ref="H87:H91"/>
    <mergeCell ref="C74:C76"/>
    <mergeCell ref="D74:D76"/>
    <mergeCell ref="E74:E76"/>
    <mergeCell ref="F74:F76"/>
    <mergeCell ref="AA85:AA86"/>
    <mergeCell ref="C104:C108"/>
    <mergeCell ref="D104:D108"/>
    <mergeCell ref="E104:E108"/>
    <mergeCell ref="F104:F108"/>
    <mergeCell ref="M85:M86"/>
    <mergeCell ref="N85:N86"/>
    <mergeCell ref="O85:O86"/>
    <mergeCell ref="J83:J84"/>
    <mergeCell ref="K83:K84"/>
    <mergeCell ref="L83:L84"/>
    <mergeCell ref="M83:M84"/>
    <mergeCell ref="N83:N84"/>
    <mergeCell ref="O83:O84"/>
    <mergeCell ref="R87:R91"/>
    <mergeCell ref="S87:S91"/>
    <mergeCell ref="T87:T91"/>
    <mergeCell ref="U87:U91"/>
    <mergeCell ref="V87:V91"/>
    <mergeCell ref="W87:W91"/>
    <mergeCell ref="Y92:Y101"/>
    <mergeCell ref="R92:R101"/>
    <mergeCell ref="S92:S101"/>
    <mergeCell ref="T92:T101"/>
    <mergeCell ref="U92:U101"/>
    <mergeCell ref="V92:V101"/>
    <mergeCell ref="G83:G84"/>
    <mergeCell ref="G85:G86"/>
    <mergeCell ref="V85:V86"/>
    <mergeCell ref="P92:P101"/>
    <mergeCell ref="Q92:Q101"/>
    <mergeCell ref="I87:I91"/>
    <mergeCell ref="N69:N71"/>
    <mergeCell ref="O69:O71"/>
    <mergeCell ref="T69:T71"/>
    <mergeCell ref="U69:U71"/>
    <mergeCell ref="S72:S73"/>
    <mergeCell ref="T72:T73"/>
    <mergeCell ref="P69:P71"/>
    <mergeCell ref="Q69:Q71"/>
    <mergeCell ref="R69:R71"/>
    <mergeCell ref="S69:S71"/>
    <mergeCell ref="AA65:AA67"/>
    <mergeCell ref="S61:S64"/>
    <mergeCell ref="T61:T64"/>
    <mergeCell ref="H69:H71"/>
    <mergeCell ref="I69:I71"/>
    <mergeCell ref="C72:C73"/>
    <mergeCell ref="D72:D73"/>
    <mergeCell ref="E72:E73"/>
    <mergeCell ref="F72:F73"/>
    <mergeCell ref="H72:H73"/>
    <mergeCell ref="I72:I73"/>
    <mergeCell ref="J72:J73"/>
    <mergeCell ref="K72:K73"/>
    <mergeCell ref="L72:L73"/>
    <mergeCell ref="J69:J71"/>
    <mergeCell ref="K69:K71"/>
    <mergeCell ref="L69:L71"/>
    <mergeCell ref="AA72:AA73"/>
    <mergeCell ref="C55:C64"/>
    <mergeCell ref="D55:D64"/>
    <mergeCell ref="E55:E64"/>
    <mergeCell ref="F55:F64"/>
    <mergeCell ref="U52:U54"/>
    <mergeCell ref="G36:G39"/>
    <mergeCell ref="P9:P10"/>
    <mergeCell ref="Q9:Q10"/>
    <mergeCell ref="R9:R10"/>
    <mergeCell ref="H15:H16"/>
    <mergeCell ref="I15:I16"/>
    <mergeCell ref="G45:G49"/>
    <mergeCell ref="L40:L41"/>
    <mergeCell ref="M40:M41"/>
    <mergeCell ref="V61:V64"/>
    <mergeCell ref="W61:W64"/>
    <mergeCell ref="AA61:AA64"/>
    <mergeCell ref="C65:C68"/>
    <mergeCell ref="D65:D68"/>
    <mergeCell ref="E65:E68"/>
    <mergeCell ref="F65:F68"/>
    <mergeCell ref="H65:H67"/>
    <mergeCell ref="I65:I67"/>
    <mergeCell ref="J65:J67"/>
    <mergeCell ref="K65:K67"/>
    <mergeCell ref="L65:L67"/>
    <mergeCell ref="M65:M67"/>
    <mergeCell ref="N65:N67"/>
    <mergeCell ref="O65:O67"/>
    <mergeCell ref="P65:P67"/>
    <mergeCell ref="Q65:Q67"/>
    <mergeCell ref="R65:R67"/>
    <mergeCell ref="S65:S67"/>
    <mergeCell ref="T65:T67"/>
    <mergeCell ref="U65:U67"/>
    <mergeCell ref="V65:V67"/>
    <mergeCell ref="K61:K64"/>
    <mergeCell ref="L61:L64"/>
    <mergeCell ref="J9:J10"/>
    <mergeCell ref="K9:K10"/>
    <mergeCell ref="L9:L10"/>
    <mergeCell ref="M9:M10"/>
    <mergeCell ref="N9:N10"/>
    <mergeCell ref="O9:O10"/>
    <mergeCell ref="T52:T54"/>
    <mergeCell ref="C34:C51"/>
    <mergeCell ref="D34:D51"/>
    <mergeCell ref="E34:E51"/>
    <mergeCell ref="F34:F51"/>
    <mergeCell ref="G52:G54"/>
    <mergeCell ref="M61:M64"/>
    <mergeCell ref="N61:N64"/>
    <mergeCell ref="O61:O64"/>
    <mergeCell ref="P61:P64"/>
    <mergeCell ref="Q61:Q64"/>
    <mergeCell ref="R61:R64"/>
    <mergeCell ref="G9:G10"/>
    <mergeCell ref="G15:G16"/>
    <mergeCell ref="G17:G20"/>
    <mergeCell ref="G21:G22"/>
    <mergeCell ref="G24:G25"/>
    <mergeCell ref="R31:R33"/>
    <mergeCell ref="S31:S33"/>
    <mergeCell ref="T31:T33"/>
    <mergeCell ref="H31:H33"/>
    <mergeCell ref="I31:I33"/>
    <mergeCell ref="J31:J33"/>
    <mergeCell ref="K31:K33"/>
    <mergeCell ref="B2:V2"/>
    <mergeCell ref="C3:V3"/>
    <mergeCell ref="C9:C16"/>
    <mergeCell ref="D9:D16"/>
    <mergeCell ref="E9:E16"/>
    <mergeCell ref="F9:F16"/>
    <mergeCell ref="H9:H10"/>
    <mergeCell ref="I9:I10"/>
    <mergeCell ref="S9:S10"/>
    <mergeCell ref="U9:U10"/>
    <mergeCell ref="V9:V10"/>
    <mergeCell ref="J15:J16"/>
    <mergeCell ref="K15:K16"/>
    <mergeCell ref="L15:L16"/>
    <mergeCell ref="M15:M16"/>
    <mergeCell ref="AA24:AA25"/>
    <mergeCell ref="V15:V16"/>
    <mergeCell ref="W15:W16"/>
    <mergeCell ref="AA15:AA16"/>
    <mergeCell ref="C17:C28"/>
    <mergeCell ref="D17:D28"/>
    <mergeCell ref="E17:E28"/>
    <mergeCell ref="F17:F28"/>
    <mergeCell ref="H17:H20"/>
    <mergeCell ref="T15:T16"/>
    <mergeCell ref="U15:U16"/>
    <mergeCell ref="N15:N16"/>
    <mergeCell ref="O15:O16"/>
    <mergeCell ref="P15:P16"/>
    <mergeCell ref="Q15:Q16"/>
    <mergeCell ref="R15:R16"/>
    <mergeCell ref="S15:S16"/>
    <mergeCell ref="AA17:AA20"/>
    <mergeCell ref="T17:T20"/>
    <mergeCell ref="I17:I20"/>
    <mergeCell ref="J17:J20"/>
    <mergeCell ref="J21:J22"/>
    <mergeCell ref="K21:K22"/>
    <mergeCell ref="L21:L22"/>
    <mergeCell ref="M21:M22"/>
    <mergeCell ref="U17:U20"/>
    <mergeCell ref="R29:R30"/>
    <mergeCell ref="S29:S30"/>
    <mergeCell ref="I29:I30"/>
    <mergeCell ref="J29:J30"/>
    <mergeCell ref="K29:K30"/>
    <mergeCell ref="L29:L30"/>
    <mergeCell ref="M29:M30"/>
    <mergeCell ref="N29:N30"/>
    <mergeCell ref="Y21:Y22"/>
    <mergeCell ref="Z21:Z22"/>
    <mergeCell ref="AA21:AA22"/>
    <mergeCell ref="AA29:AA30"/>
    <mergeCell ref="V29:V30"/>
    <mergeCell ref="W29:W30"/>
    <mergeCell ref="T24:T25"/>
    <mergeCell ref="U24:U25"/>
    <mergeCell ref="V24:V25"/>
    <mergeCell ref="W24:W25"/>
    <mergeCell ref="T29:T30"/>
    <mergeCell ref="U29:U30"/>
    <mergeCell ref="O29:O30"/>
    <mergeCell ref="P29:P30"/>
    <mergeCell ref="Y29:Y30"/>
    <mergeCell ref="U31:U33"/>
    <mergeCell ref="V31:V33"/>
    <mergeCell ref="W31:W33"/>
    <mergeCell ref="AA40:AA41"/>
    <mergeCell ref="T40:T41"/>
    <mergeCell ref="B42:B45"/>
    <mergeCell ref="U40:U41"/>
    <mergeCell ref="I36:I39"/>
    <mergeCell ref="J36:J39"/>
    <mergeCell ref="M36:M39"/>
    <mergeCell ref="N36:N39"/>
    <mergeCell ref="J52:J54"/>
    <mergeCell ref="K52:K54"/>
    <mergeCell ref="L52:L54"/>
    <mergeCell ref="M52:M54"/>
    <mergeCell ref="N52:N54"/>
    <mergeCell ref="O52:O54"/>
    <mergeCell ref="C52:C54"/>
    <mergeCell ref="D52:D54"/>
    <mergeCell ref="E52:E54"/>
    <mergeCell ref="F52:F54"/>
    <mergeCell ref="H52:H54"/>
    <mergeCell ref="I52:I54"/>
    <mergeCell ref="V52:V54"/>
    <mergeCell ref="W52:W54"/>
    <mergeCell ref="AA52:AA54"/>
    <mergeCell ref="P52:P54"/>
    <mergeCell ref="Q52:Q54"/>
    <mergeCell ref="R52:R54"/>
    <mergeCell ref="S52:S54"/>
    <mergeCell ref="S36:S39"/>
    <mergeCell ref="T36:T39"/>
    <mergeCell ref="AA36:AA38"/>
    <mergeCell ref="H40:H41"/>
    <mergeCell ref="I40:I41"/>
    <mergeCell ref="S26:S27"/>
    <mergeCell ref="T26:T27"/>
    <mergeCell ref="U26:U27"/>
    <mergeCell ref="V26:V27"/>
    <mergeCell ref="W26:W27"/>
    <mergeCell ref="V17:V20"/>
    <mergeCell ref="W17:W20"/>
    <mergeCell ref="V21:V22"/>
    <mergeCell ref="W21:W22"/>
    <mergeCell ref="H24:H25"/>
    <mergeCell ref="I24:I25"/>
    <mergeCell ref="J24:J25"/>
    <mergeCell ref="T21:T22"/>
    <mergeCell ref="U21:U22"/>
    <mergeCell ref="N21:N22"/>
    <mergeCell ref="H21:H22"/>
    <mergeCell ref="V40:V41"/>
    <mergeCell ref="K36:K39"/>
    <mergeCell ref="L36:L39"/>
    <mergeCell ref="J40:J41"/>
    <mergeCell ref="H36:H39"/>
    <mergeCell ref="W40:W41"/>
    <mergeCell ref="N40:N41"/>
    <mergeCell ref="O40:O41"/>
    <mergeCell ref="P40:P41"/>
    <mergeCell ref="Q40:Q41"/>
    <mergeCell ref="R40:R41"/>
    <mergeCell ref="S40:S41"/>
    <mergeCell ref="K40:K41"/>
    <mergeCell ref="L31:L33"/>
    <mergeCell ref="M31:M33"/>
    <mergeCell ref="N31:N33"/>
    <mergeCell ref="O31:O33"/>
    <mergeCell ref="P31:P33"/>
    <mergeCell ref="Q31:Q33"/>
    <mergeCell ref="H29:H30"/>
    <mergeCell ref="Q29:Q30"/>
    <mergeCell ref="I21:I22"/>
    <mergeCell ref="O36:O39"/>
    <mergeCell ref="P36:P39"/>
    <mergeCell ref="Q36:Q39"/>
    <mergeCell ref="R36:R39"/>
    <mergeCell ref="H26:H27"/>
    <mergeCell ref="I26:I27"/>
    <mergeCell ref="J26:J27"/>
    <mergeCell ref="K26:K27"/>
    <mergeCell ref="L26:L27"/>
    <mergeCell ref="M26:M27"/>
    <mergeCell ref="N26:N27"/>
    <mergeCell ref="O26:O27"/>
    <mergeCell ref="P26:P27"/>
    <mergeCell ref="Q26:Q27"/>
    <mergeCell ref="R26:R27"/>
    <mergeCell ref="U36:U39"/>
    <mergeCell ref="V36:V39"/>
    <mergeCell ref="W36:W39"/>
    <mergeCell ref="Y40:Y41"/>
    <mergeCell ref="G42:G43"/>
    <mergeCell ref="H42:H43"/>
    <mergeCell ref="I42:I43"/>
    <mergeCell ref="J42:J43"/>
    <mergeCell ref="K42:K43"/>
    <mergeCell ref="L42:L43"/>
    <mergeCell ref="M42:M43"/>
    <mergeCell ref="N42:N43"/>
    <mergeCell ref="O42:O43"/>
    <mergeCell ref="P42:P43"/>
    <mergeCell ref="Q42:Q43"/>
    <mergeCell ref="R42:R43"/>
    <mergeCell ref="S42:S43"/>
    <mergeCell ref="T42:T43"/>
    <mergeCell ref="U42:U43"/>
    <mergeCell ref="V42:V43"/>
    <mergeCell ref="W42:W43"/>
    <mergeCell ref="Y42:Y43"/>
    <mergeCell ref="Y36:Y38"/>
    <mergeCell ref="H45:H49"/>
    <mergeCell ref="I45:I49"/>
    <mergeCell ref="J45:J49"/>
    <mergeCell ref="K45:K49"/>
    <mergeCell ref="L45:L49"/>
    <mergeCell ref="M45:M49"/>
    <mergeCell ref="N45:N49"/>
    <mergeCell ref="O45:O49"/>
    <mergeCell ref="P45:P49"/>
    <mergeCell ref="Q45:Q49"/>
    <mergeCell ref="R45:R49"/>
    <mergeCell ref="S45:S49"/>
    <mergeCell ref="T45:T49"/>
    <mergeCell ref="U45:U49"/>
    <mergeCell ref="V45:V49"/>
    <mergeCell ref="W45:W49"/>
    <mergeCell ref="Y45:Y46"/>
    <mergeCell ref="J87:J91"/>
    <mergeCell ref="K87:K91"/>
    <mergeCell ref="Y55:Y58"/>
    <mergeCell ref="G55:G59"/>
    <mergeCell ref="H55:H59"/>
    <mergeCell ref="I55:I59"/>
    <mergeCell ref="J55:J59"/>
    <mergeCell ref="K55:K59"/>
    <mergeCell ref="L55:L59"/>
    <mergeCell ref="M55:M59"/>
    <mergeCell ref="N55:N59"/>
    <mergeCell ref="O55:O59"/>
    <mergeCell ref="P55:P59"/>
    <mergeCell ref="Q55:Q59"/>
    <mergeCell ref="R55:R59"/>
    <mergeCell ref="S55:S59"/>
    <mergeCell ref="T55:T59"/>
    <mergeCell ref="U55:U59"/>
    <mergeCell ref="V55:V59"/>
    <mergeCell ref="W55:W59"/>
    <mergeCell ref="U61:U64"/>
    <mergeCell ref="W65:W67"/>
    <mergeCell ref="U83:U84"/>
    <mergeCell ref="V83:V84"/>
    <mergeCell ref="W83:W84"/>
    <mergeCell ref="W85:W86"/>
    <mergeCell ref="P85:P86"/>
    <mergeCell ref="Q85:Q86"/>
    <mergeCell ref="R85:R86"/>
    <mergeCell ref="H61:H64"/>
    <mergeCell ref="I61:I64"/>
    <mergeCell ref="J61:J64"/>
    <mergeCell ref="U102:U103"/>
    <mergeCell ref="V102:V103"/>
    <mergeCell ref="W102:W103"/>
    <mergeCell ref="B87:B91"/>
    <mergeCell ref="B92:B101"/>
    <mergeCell ref="W92:W101"/>
    <mergeCell ref="Y61:Y64"/>
    <mergeCell ref="Y69:Y71"/>
    <mergeCell ref="G78:G79"/>
    <mergeCell ref="H78:H79"/>
    <mergeCell ref="I78:I79"/>
    <mergeCell ref="J78:J79"/>
    <mergeCell ref="K78:K79"/>
    <mergeCell ref="L78:L79"/>
    <mergeCell ref="M78:M79"/>
    <mergeCell ref="N78:N79"/>
    <mergeCell ref="O78:O79"/>
    <mergeCell ref="P78:P79"/>
    <mergeCell ref="Q78:Q79"/>
    <mergeCell ref="R78:R79"/>
    <mergeCell ref="S78:S79"/>
    <mergeCell ref="T78:T79"/>
    <mergeCell ref="U78:U79"/>
    <mergeCell ref="V78:V79"/>
    <mergeCell ref="W78:W79"/>
    <mergeCell ref="I92:I101"/>
    <mergeCell ref="J92:J101"/>
    <mergeCell ref="K92:K101"/>
    <mergeCell ref="L92:L101"/>
    <mergeCell ref="M92:M101"/>
    <mergeCell ref="N92:N101"/>
    <mergeCell ref="O92:O101"/>
    <mergeCell ref="D85:D101"/>
    <mergeCell ref="E85:E101"/>
    <mergeCell ref="F85:F101"/>
    <mergeCell ref="G92:G101"/>
    <mergeCell ref="H92:H101"/>
    <mergeCell ref="L87:L91"/>
    <mergeCell ref="M87:M91"/>
    <mergeCell ref="N87:N91"/>
    <mergeCell ref="O87:O91"/>
    <mergeCell ref="P87:P91"/>
    <mergeCell ref="Q87:Q91"/>
    <mergeCell ref="B78:B79"/>
    <mergeCell ref="Y102:Y103"/>
    <mergeCell ref="B102:B103"/>
    <mergeCell ref="C102:C103"/>
    <mergeCell ref="D102:D103"/>
    <mergeCell ref="E102:E103"/>
    <mergeCell ref="F102:F103"/>
    <mergeCell ref="G102:G103"/>
    <mergeCell ref="H102:H103"/>
    <mergeCell ref="I102:I103"/>
    <mergeCell ref="J102:J103"/>
    <mergeCell ref="K102:K103"/>
    <mergeCell ref="L102:L103"/>
    <mergeCell ref="M102:M103"/>
    <mergeCell ref="N102:N103"/>
    <mergeCell ref="O102:O103"/>
    <mergeCell ref="P102:P103"/>
    <mergeCell ref="Q102:Q103"/>
    <mergeCell ref="R102:R103"/>
    <mergeCell ref="S102:S103"/>
    <mergeCell ref="T102:T103"/>
  </mergeCells>
  <pageMargins left="0.7" right="0.7" top="0.75" bottom="0.75" header="0.3" footer="0.3"/>
  <pageSetup paperSize="9" orientation="portrait" horizontalDpi="300" verticalDpi="30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tabColor theme="2" tint="-0.89999084444715716"/>
  </sheetPr>
  <dimension ref="A1:BX81"/>
  <sheetViews>
    <sheetView topLeftCell="F55" zoomScale="80" zoomScaleNormal="80" workbookViewId="0">
      <selection activeCell="CF6" sqref="CF6:CF93"/>
    </sheetView>
  </sheetViews>
  <sheetFormatPr baseColWidth="10" defaultColWidth="11.42578125" defaultRowHeight="15" customHeight="1"/>
  <cols>
    <col min="1" max="4" width="19" style="123" customWidth="1"/>
    <col min="5" max="7" width="7.85546875" style="123" customWidth="1"/>
    <col min="8" max="8" width="8.5703125" style="123" customWidth="1"/>
    <col min="9" max="9" width="12.42578125" style="123" bestFit="1" customWidth="1"/>
    <col min="10" max="10" width="32.140625" style="2" customWidth="1"/>
    <col min="11" max="13" width="2.85546875" style="123" customWidth="1"/>
    <col min="14" max="14" width="26.5703125" style="123" customWidth="1"/>
    <col min="15" max="15" width="2.85546875" style="123" customWidth="1"/>
    <col min="16" max="18" width="3.28515625" style="123" customWidth="1"/>
    <col min="19" max="20" width="3" style="123" customWidth="1"/>
    <col min="21" max="21" width="5.140625" style="288" customWidth="1"/>
    <col min="22" max="23" width="5.140625" style="123" customWidth="1"/>
    <col min="24" max="24" width="25.5703125" style="123" customWidth="1"/>
    <col min="25" max="25" width="5.42578125" style="123" customWidth="1"/>
    <col min="26" max="26" width="17" style="123" customWidth="1"/>
    <col min="27" max="27" width="20.42578125" style="123" customWidth="1"/>
    <col min="28" max="28" width="31.140625" style="123" customWidth="1"/>
    <col min="29" max="29" width="11.42578125" style="123" customWidth="1"/>
    <col min="30" max="30" width="1.42578125" style="7164" customWidth="1"/>
    <col min="31" max="16384" width="11.42578125" style="123"/>
  </cols>
  <sheetData>
    <row r="1" spans="1:76" ht="15" customHeight="1" thickBot="1">
      <c r="A1" s="16883" t="s">
        <v>6020</v>
      </c>
      <c r="B1" s="16883"/>
      <c r="C1" s="16883"/>
      <c r="D1" s="16883"/>
      <c r="E1" s="16883"/>
      <c r="F1" s="16883"/>
      <c r="G1" s="16883"/>
      <c r="H1" s="16883"/>
      <c r="I1" s="16883"/>
      <c r="J1" s="16883"/>
      <c r="K1" s="16883"/>
      <c r="L1" s="16883"/>
      <c r="M1" s="16883"/>
      <c r="N1" s="16883"/>
      <c r="O1" s="16883"/>
      <c r="P1" s="16883"/>
      <c r="Q1" s="16883"/>
      <c r="R1" s="16883"/>
      <c r="S1" s="16883"/>
      <c r="T1" s="16883"/>
      <c r="U1" s="16883"/>
      <c r="V1" s="16883"/>
      <c r="W1" s="16883"/>
      <c r="X1" s="16883"/>
      <c r="Y1" s="16883"/>
      <c r="Z1" s="16883"/>
      <c r="AA1" s="16883"/>
      <c r="AB1" s="16883"/>
      <c r="AE1" s="7127"/>
      <c r="AF1" s="7127"/>
      <c r="AG1" s="7127"/>
      <c r="AH1" s="7127"/>
      <c r="AI1" s="7127"/>
      <c r="AJ1" s="7127"/>
      <c r="AK1" s="7127"/>
      <c r="AL1" s="7127"/>
      <c r="AM1" s="7127"/>
      <c r="AN1" s="7127"/>
      <c r="AO1" s="7127"/>
      <c r="AP1" s="7127"/>
      <c r="AQ1" s="7127"/>
      <c r="AR1" s="7127"/>
      <c r="AS1" s="7127"/>
      <c r="AT1" s="7127"/>
      <c r="AU1" s="7127"/>
      <c r="AV1" s="7127"/>
      <c r="AW1" s="7127"/>
      <c r="AX1" s="7127"/>
      <c r="AY1" s="7127"/>
      <c r="AZ1" s="7127"/>
      <c r="BA1" s="7127"/>
      <c r="BB1" s="7127"/>
      <c r="BC1" s="7127"/>
      <c r="BD1" s="7127"/>
      <c r="BE1" s="7127"/>
      <c r="BF1" s="7127"/>
      <c r="BG1" s="7127"/>
      <c r="BH1" s="7127"/>
      <c r="BI1" s="7127"/>
      <c r="BJ1" s="7127"/>
      <c r="BK1" s="7127"/>
      <c r="BL1" s="7127"/>
      <c r="BM1" s="7127"/>
      <c r="BN1" s="7127"/>
      <c r="BO1" s="7127"/>
      <c r="BP1" s="7127"/>
      <c r="BQ1" s="7127"/>
      <c r="BR1" s="7127"/>
      <c r="BS1" s="7127"/>
      <c r="BT1" s="7127"/>
      <c r="BU1" s="7127"/>
      <c r="BV1" s="36"/>
      <c r="BW1" s="36"/>
      <c r="BX1" s="36"/>
    </row>
    <row r="2" spans="1:76" ht="15" customHeight="1" thickBot="1">
      <c r="A2" s="16884"/>
      <c r="B2" s="16884"/>
      <c r="C2" s="16884"/>
      <c r="D2" s="16884"/>
      <c r="E2" s="16884"/>
      <c r="F2" s="16884"/>
      <c r="G2" s="16884"/>
      <c r="H2" s="16884"/>
      <c r="I2" s="16884"/>
      <c r="J2" s="16884"/>
      <c r="K2" s="16884"/>
      <c r="L2" s="16884"/>
      <c r="M2" s="16884"/>
      <c r="N2" s="16884"/>
      <c r="O2" s="16884"/>
      <c r="P2" s="16884"/>
      <c r="Q2" s="16884"/>
      <c r="R2" s="16884"/>
      <c r="S2" s="16884"/>
      <c r="T2" s="16884"/>
      <c r="U2" s="16884"/>
      <c r="V2" s="16884"/>
      <c r="W2" s="16884"/>
      <c r="X2" s="16884"/>
      <c r="Y2" s="16884"/>
      <c r="Z2" s="16884"/>
      <c r="AA2" s="16884"/>
      <c r="AB2" s="16884"/>
      <c r="AE2" s="13291" t="s">
        <v>8497</v>
      </c>
      <c r="AF2" s="13291"/>
      <c r="AG2" s="13291"/>
      <c r="AH2" s="13291"/>
      <c r="AI2" s="13291"/>
      <c r="AJ2" s="13291"/>
      <c r="AK2" s="13618"/>
      <c r="AL2" s="13618"/>
      <c r="AM2" s="13618"/>
      <c r="AN2" s="13618"/>
      <c r="AO2" s="13291"/>
      <c r="AP2" s="13291"/>
      <c r="AQ2" s="13291"/>
      <c r="AR2" s="13291"/>
      <c r="AS2" s="13291"/>
      <c r="AT2" s="13291"/>
      <c r="AU2" s="13291"/>
      <c r="AV2" s="13291"/>
      <c r="AW2" s="13291"/>
      <c r="AX2" s="13291"/>
      <c r="AY2" s="13291"/>
      <c r="AZ2" s="13291"/>
      <c r="BA2" s="13291"/>
      <c r="BB2" s="13291"/>
      <c r="BC2" s="13291"/>
      <c r="BD2" s="13291"/>
      <c r="BE2" s="13291"/>
      <c r="BF2" s="13291"/>
      <c r="BG2" s="13291"/>
      <c r="BH2" s="13291"/>
      <c r="BI2" s="13291"/>
      <c r="BJ2" s="13291"/>
      <c r="BK2" s="13291"/>
      <c r="BL2" s="13291"/>
      <c r="BM2" s="13291"/>
      <c r="BN2" s="13291"/>
      <c r="BO2" s="13291"/>
      <c r="BP2" s="13291"/>
      <c r="BQ2" s="13291"/>
      <c r="BR2" s="13291"/>
      <c r="BS2" s="13291"/>
      <c r="BT2" s="13291"/>
      <c r="BU2" s="13291"/>
      <c r="BV2" s="13291"/>
      <c r="BW2" s="13291"/>
      <c r="BX2" s="13292"/>
    </row>
    <row r="3" spans="1:76" ht="15" customHeight="1" thickBot="1">
      <c r="A3" s="16885" t="s">
        <v>6021</v>
      </c>
      <c r="B3" s="16886"/>
      <c r="C3" s="16886"/>
      <c r="D3" s="16886"/>
      <c r="E3" s="16886"/>
      <c r="F3" s="16886"/>
      <c r="G3" s="16886"/>
      <c r="H3" s="16886"/>
      <c r="I3" s="16886"/>
      <c r="J3" s="16886"/>
      <c r="K3" s="16886"/>
      <c r="L3" s="16886"/>
      <c r="M3" s="16886"/>
      <c r="N3" s="16886"/>
      <c r="O3" s="16886"/>
      <c r="P3" s="16886"/>
      <c r="Q3" s="16886"/>
      <c r="R3" s="16886"/>
      <c r="S3" s="16886"/>
      <c r="T3" s="16886"/>
      <c r="U3" s="16886"/>
      <c r="V3" s="16886"/>
      <c r="W3" s="16886"/>
      <c r="X3" s="16886"/>
      <c r="Y3" s="16886"/>
      <c r="Z3" s="16887"/>
      <c r="AA3" s="16886"/>
      <c r="AB3" s="16888"/>
      <c r="AE3" s="14600" t="s">
        <v>8498</v>
      </c>
      <c r="AF3" s="5156" t="s">
        <v>10189</v>
      </c>
      <c r="AG3" s="5156" t="s">
        <v>10190</v>
      </c>
      <c r="AH3" s="4984" t="s">
        <v>8499</v>
      </c>
      <c r="AI3" s="4984" t="s">
        <v>8500</v>
      </c>
      <c r="AJ3" s="4986" t="s">
        <v>4</v>
      </c>
      <c r="AK3" s="5002" t="s">
        <v>355</v>
      </c>
      <c r="AL3" s="5003"/>
      <c r="AM3" s="5003"/>
      <c r="AN3" s="5004"/>
      <c r="AO3" s="4988" t="s">
        <v>356</v>
      </c>
      <c r="AP3" s="4989"/>
      <c r="AQ3" s="4989"/>
      <c r="AR3" s="4989"/>
      <c r="AS3" s="4989"/>
      <c r="AT3" s="4989"/>
      <c r="AU3" s="4989"/>
      <c r="AV3" s="4989"/>
      <c r="AW3" s="4989"/>
      <c r="AX3" s="4989"/>
      <c r="AY3" s="4989"/>
      <c r="AZ3" s="4989"/>
      <c r="BA3" s="5030"/>
      <c r="BB3" s="5030"/>
      <c r="BC3" s="5030"/>
      <c r="BD3" s="5030"/>
      <c r="BE3" s="5030"/>
      <c r="BF3" s="5030"/>
      <c r="BG3" s="5030"/>
      <c r="BH3" s="5030"/>
      <c r="BI3" s="5030"/>
      <c r="BJ3" s="5030"/>
      <c r="BK3" s="5030"/>
      <c r="BL3" s="5030"/>
      <c r="BM3" s="5030"/>
      <c r="BN3" s="5031"/>
      <c r="BO3" s="5032" t="s">
        <v>357</v>
      </c>
      <c r="BP3" s="5033"/>
      <c r="BQ3" s="5033"/>
      <c r="BR3" s="5033"/>
      <c r="BS3" s="5034"/>
      <c r="BT3" s="4990" t="s">
        <v>5</v>
      </c>
      <c r="BU3" s="4991"/>
      <c r="BV3" s="4991"/>
      <c r="BW3" s="4991"/>
      <c r="BX3" s="4992"/>
    </row>
    <row r="4" spans="1:76" ht="15" customHeight="1" thickBot="1">
      <c r="A4" s="16889"/>
      <c r="B4" s="16883"/>
      <c r="C4" s="16883"/>
      <c r="D4" s="16883"/>
      <c r="E4" s="16883"/>
      <c r="F4" s="16883"/>
      <c r="G4" s="16883"/>
      <c r="H4" s="16883"/>
      <c r="I4" s="16883"/>
      <c r="J4" s="16883"/>
      <c r="K4" s="16883"/>
      <c r="L4" s="16883"/>
      <c r="M4" s="16883"/>
      <c r="N4" s="16883"/>
      <c r="O4" s="16883"/>
      <c r="P4" s="16883"/>
      <c r="Q4" s="16883"/>
      <c r="R4" s="16883"/>
      <c r="S4" s="16883"/>
      <c r="T4" s="16883"/>
      <c r="U4" s="16883"/>
      <c r="V4" s="16883"/>
      <c r="W4" s="16883"/>
      <c r="X4" s="16883"/>
      <c r="Y4" s="16883"/>
      <c r="Z4" s="16883"/>
      <c r="AA4" s="16883"/>
      <c r="AB4" s="16890"/>
      <c r="AE4" s="14601"/>
      <c r="AF4" s="5156"/>
      <c r="AG4" s="5156"/>
      <c r="AH4" s="4985"/>
      <c r="AI4" s="4985"/>
      <c r="AJ4" s="4987"/>
      <c r="AK4" s="5005" t="s">
        <v>6</v>
      </c>
      <c r="AL4" s="5008" t="s">
        <v>7</v>
      </c>
      <c r="AM4" s="4995" t="s">
        <v>8</v>
      </c>
      <c r="AN4" s="4997" t="s">
        <v>9</v>
      </c>
      <c r="AO4" s="4993" t="s">
        <v>10</v>
      </c>
      <c r="AP4" s="4981" t="s">
        <v>11</v>
      </c>
      <c r="AQ4" s="4983"/>
      <c r="AR4" s="4981" t="s">
        <v>12</v>
      </c>
      <c r="AS4" s="4983"/>
      <c r="AT4" s="4981" t="s">
        <v>13</v>
      </c>
      <c r="AU4" s="4982"/>
      <c r="AV4" s="4982"/>
      <c r="AW4" s="4982"/>
      <c r="AX4" s="4982"/>
      <c r="AY4" s="4982"/>
      <c r="AZ4" s="4982"/>
      <c r="BA4" s="5035" t="s">
        <v>14</v>
      </c>
      <c r="BB4" s="5036"/>
      <c r="BC4" s="5036"/>
      <c r="BD4" s="5036"/>
      <c r="BE4" s="5036"/>
      <c r="BF4" s="5036"/>
      <c r="BG4" s="5036"/>
      <c r="BH4" s="5036"/>
      <c r="BI4" s="5036" t="s">
        <v>15</v>
      </c>
      <c r="BJ4" s="5036"/>
      <c r="BK4" s="5036"/>
      <c r="BL4" s="5036"/>
      <c r="BM4" s="5036"/>
      <c r="BN4" s="5037"/>
      <c r="BO4" s="5038" t="s">
        <v>16</v>
      </c>
      <c r="BP4" s="5040" t="s">
        <v>17</v>
      </c>
      <c r="BQ4" s="5042" t="s">
        <v>18</v>
      </c>
      <c r="BR4" s="3375" t="s">
        <v>19</v>
      </c>
      <c r="BS4" s="3376" t="s">
        <v>20</v>
      </c>
      <c r="BT4" s="5027" t="s">
        <v>21</v>
      </c>
      <c r="BU4" s="4978" t="s">
        <v>22</v>
      </c>
      <c r="BV4" s="4979"/>
      <c r="BW4" s="4980"/>
      <c r="BX4" s="12" t="s">
        <v>20</v>
      </c>
    </row>
    <row r="5" spans="1:76" ht="15" customHeight="1" thickBot="1">
      <c r="A5" s="7167" t="s">
        <v>6022</v>
      </c>
      <c r="B5" s="7168" t="s">
        <v>952</v>
      </c>
      <c r="C5" s="7168" t="s">
        <v>6023</v>
      </c>
      <c r="D5" s="7168" t="s">
        <v>6024</v>
      </c>
      <c r="E5" s="7168" t="s">
        <v>522</v>
      </c>
      <c r="F5" s="7168" t="s">
        <v>5125</v>
      </c>
      <c r="G5" s="7168" t="s">
        <v>5126</v>
      </c>
      <c r="H5" s="7168" t="s">
        <v>4634</v>
      </c>
      <c r="I5" s="7230" t="s">
        <v>4635</v>
      </c>
      <c r="J5" s="7231" t="s">
        <v>5127</v>
      </c>
      <c r="K5" s="7230" t="s">
        <v>5128</v>
      </c>
      <c r="L5" s="7230" t="s">
        <v>5129</v>
      </c>
      <c r="M5" s="7230" t="s">
        <v>6025</v>
      </c>
      <c r="N5" s="7230" t="s">
        <v>6026</v>
      </c>
      <c r="O5" s="7230" t="s">
        <v>6027</v>
      </c>
      <c r="P5" s="7230" t="s">
        <v>6028</v>
      </c>
      <c r="Q5" s="7230" t="s">
        <v>6029</v>
      </c>
      <c r="R5" s="7230" t="s">
        <v>6030</v>
      </c>
      <c r="S5" s="7230" t="s">
        <v>6031</v>
      </c>
      <c r="T5" s="7230" t="s">
        <v>6032</v>
      </c>
      <c r="U5" s="7230" t="s">
        <v>6033</v>
      </c>
      <c r="V5" s="7230" t="s">
        <v>6034</v>
      </c>
      <c r="W5" s="7230" t="s">
        <v>5140</v>
      </c>
      <c r="X5" s="7232" t="s">
        <v>4641</v>
      </c>
      <c r="Y5" s="7232" t="s">
        <v>6035</v>
      </c>
      <c r="Z5" s="7232" t="s">
        <v>10056</v>
      </c>
      <c r="AA5" s="7230" t="s">
        <v>5142</v>
      </c>
      <c r="AB5" s="7230" t="s">
        <v>5143</v>
      </c>
      <c r="AC5" s="7233" t="s">
        <v>5144</v>
      </c>
      <c r="AD5" s="494"/>
      <c r="AE5" s="14601"/>
      <c r="AF5" s="5029"/>
      <c r="AG5" s="5029"/>
      <c r="AH5" s="4985"/>
      <c r="AI5" s="4985"/>
      <c r="AJ5" s="4987"/>
      <c r="AK5" s="5006"/>
      <c r="AL5" s="5009"/>
      <c r="AM5" s="4996"/>
      <c r="AN5" s="4998"/>
      <c r="AO5" s="4994"/>
      <c r="AP5" s="3462" t="s">
        <v>23</v>
      </c>
      <c r="AQ5" s="3463" t="s">
        <v>24</v>
      </c>
      <c r="AR5" s="3462" t="s">
        <v>25</v>
      </c>
      <c r="AS5" s="3463" t="s">
        <v>26</v>
      </c>
      <c r="AT5" s="3464" t="s">
        <v>27</v>
      </c>
      <c r="AU5" s="3465" t="s">
        <v>28</v>
      </c>
      <c r="AV5" s="3466" t="s">
        <v>29</v>
      </c>
      <c r="AW5" s="3466" t="s">
        <v>30</v>
      </c>
      <c r="AX5" s="3466" t="s">
        <v>31</v>
      </c>
      <c r="AY5" s="3466" t="s">
        <v>32</v>
      </c>
      <c r="AZ5" s="3373" t="s">
        <v>33</v>
      </c>
      <c r="BA5" s="3464" t="s">
        <v>34</v>
      </c>
      <c r="BB5" s="3466" t="s">
        <v>35</v>
      </c>
      <c r="BC5" s="3466" t="s">
        <v>36</v>
      </c>
      <c r="BD5" s="3466" t="s">
        <v>37</v>
      </c>
      <c r="BE5" s="3466" t="s">
        <v>38</v>
      </c>
      <c r="BF5" s="3466" t="s">
        <v>39</v>
      </c>
      <c r="BG5" s="3466" t="s">
        <v>40</v>
      </c>
      <c r="BH5" s="3466" t="s">
        <v>41</v>
      </c>
      <c r="BI5" s="3466" t="s">
        <v>42</v>
      </c>
      <c r="BJ5" s="3466" t="s">
        <v>43</v>
      </c>
      <c r="BK5" s="3466" t="s">
        <v>44</v>
      </c>
      <c r="BL5" s="3466" t="s">
        <v>45</v>
      </c>
      <c r="BM5" s="3466" t="s">
        <v>46</v>
      </c>
      <c r="BN5" s="3467" t="s">
        <v>47</v>
      </c>
      <c r="BO5" s="5039"/>
      <c r="BP5" s="5041"/>
      <c r="BQ5" s="5043"/>
      <c r="BR5" s="5043" t="s">
        <v>48</v>
      </c>
      <c r="BS5" s="3469" t="s">
        <v>49</v>
      </c>
      <c r="BT5" s="5028"/>
      <c r="BU5" s="5041" t="s">
        <v>50</v>
      </c>
      <c r="BV5" s="5041" t="s">
        <v>51</v>
      </c>
      <c r="BW5" s="5041" t="s">
        <v>52</v>
      </c>
      <c r="BX5" s="2217" t="s">
        <v>49</v>
      </c>
    </row>
    <row r="6" spans="1:76" s="7173" customFormat="1" ht="15" customHeight="1">
      <c r="A6" s="7172" t="s">
        <v>6036</v>
      </c>
      <c r="B6" s="15359" t="s">
        <v>6037</v>
      </c>
      <c r="C6" s="15359" t="s">
        <v>6038</v>
      </c>
      <c r="D6" s="16900" t="s">
        <v>6039</v>
      </c>
      <c r="E6" s="16902" t="s">
        <v>6040</v>
      </c>
      <c r="F6" s="15359" t="s">
        <v>6041</v>
      </c>
      <c r="G6" s="15359" t="s">
        <v>6042</v>
      </c>
      <c r="H6" s="16904" t="s">
        <v>6043</v>
      </c>
      <c r="I6" s="5165" t="s">
        <v>8285</v>
      </c>
      <c r="J6" s="7243" t="s">
        <v>6044</v>
      </c>
      <c r="K6" s="7244" t="s">
        <v>6045</v>
      </c>
      <c r="L6" s="7245"/>
      <c r="M6" s="5054" t="s">
        <v>6046</v>
      </c>
      <c r="N6" s="5054" t="s">
        <v>6047</v>
      </c>
      <c r="O6" s="5054" t="s">
        <v>6048</v>
      </c>
      <c r="P6" s="5054" t="s">
        <v>6049</v>
      </c>
      <c r="Q6" s="5054" t="s">
        <v>6050</v>
      </c>
      <c r="R6" s="5054" t="s">
        <v>6051</v>
      </c>
      <c r="S6" s="5054" t="s">
        <v>6052</v>
      </c>
      <c r="T6" s="5054" t="s">
        <v>6053</v>
      </c>
      <c r="U6" s="5054" t="s">
        <v>6054</v>
      </c>
      <c r="V6" s="7246" t="s">
        <v>6055</v>
      </c>
      <c r="W6" s="5054" t="s">
        <v>6056</v>
      </c>
      <c r="X6" s="7246" t="s">
        <v>6057</v>
      </c>
      <c r="Y6" s="7247" t="s">
        <v>6058</v>
      </c>
      <c r="Z6" s="7247" t="s">
        <v>86</v>
      </c>
      <c r="AA6" s="5054" t="s">
        <v>1509</v>
      </c>
      <c r="AB6" s="5054"/>
      <c r="AC6" s="7248">
        <v>63200000</v>
      </c>
      <c r="AD6" s="7335"/>
      <c r="AE6" s="5054"/>
      <c r="AF6" s="5054"/>
      <c r="AG6" s="5054"/>
      <c r="AH6" s="5054"/>
      <c r="AI6" s="5054"/>
      <c r="AJ6" s="5054"/>
      <c r="AK6" s="5054"/>
      <c r="AL6" s="5054"/>
      <c r="AM6" s="5054"/>
      <c r="AN6" s="5054"/>
      <c r="AO6" s="5054"/>
      <c r="AP6" s="5054"/>
      <c r="AQ6" s="5054"/>
      <c r="AR6" s="5054"/>
      <c r="AS6" s="5054"/>
      <c r="AT6" s="5054"/>
      <c r="AU6" s="5054"/>
      <c r="AV6" s="5054"/>
      <c r="AW6" s="5054"/>
      <c r="AX6" s="5054"/>
      <c r="AY6" s="5054"/>
      <c r="AZ6" s="5054"/>
      <c r="BA6" s="5054"/>
      <c r="BB6" s="5054"/>
      <c r="BC6" s="5054"/>
      <c r="BD6" s="5054"/>
      <c r="BE6" s="5054"/>
      <c r="BF6" s="5054"/>
      <c r="BG6" s="5054"/>
      <c r="BH6" s="5054"/>
      <c r="BI6" s="5054"/>
      <c r="BJ6" s="5054"/>
      <c r="BK6" s="5054"/>
      <c r="BL6" s="5054"/>
      <c r="BM6" s="5054"/>
      <c r="BN6" s="5054"/>
      <c r="BO6" s="5054"/>
      <c r="BP6" s="5054"/>
      <c r="BQ6" s="5054"/>
      <c r="BR6" s="5054"/>
      <c r="BS6" s="5054"/>
      <c r="BT6" s="5054"/>
      <c r="BU6" s="5054"/>
      <c r="BV6" s="5054"/>
      <c r="BW6" s="5054"/>
      <c r="BX6" s="2976"/>
    </row>
    <row r="7" spans="1:76" s="7173" customFormat="1" ht="15" customHeight="1">
      <c r="A7" s="7174" t="s">
        <v>6059</v>
      </c>
      <c r="B7" s="15359"/>
      <c r="C7" s="15359"/>
      <c r="D7" s="16900"/>
      <c r="E7" s="16902"/>
      <c r="F7" s="15359"/>
      <c r="G7" s="15359"/>
      <c r="H7" s="16904"/>
      <c r="I7" s="16672" t="s">
        <v>8286</v>
      </c>
      <c r="J7" s="16891" t="s">
        <v>6060</v>
      </c>
      <c r="K7" s="16892" t="s">
        <v>6061</v>
      </c>
      <c r="L7" s="6590"/>
      <c r="M7" s="15359" t="s">
        <v>6062</v>
      </c>
      <c r="N7" s="15359" t="s">
        <v>6063</v>
      </c>
      <c r="O7" s="15359" t="s">
        <v>6064</v>
      </c>
      <c r="P7" s="15359" t="s">
        <v>6065</v>
      </c>
      <c r="Q7" s="15359" t="s">
        <v>6066</v>
      </c>
      <c r="R7" s="15359" t="s">
        <v>6067</v>
      </c>
      <c r="S7" s="15359" t="s">
        <v>6068</v>
      </c>
      <c r="T7" s="15359" t="s">
        <v>6069</v>
      </c>
      <c r="U7" s="15359" t="s">
        <v>6070</v>
      </c>
      <c r="V7" s="16894" t="s">
        <v>6071</v>
      </c>
      <c r="W7" s="15359" t="s">
        <v>6072</v>
      </c>
      <c r="X7" s="16894" t="s">
        <v>6073</v>
      </c>
      <c r="Y7" s="16895" t="s">
        <v>6074</v>
      </c>
      <c r="Z7" s="6595" t="s">
        <v>86</v>
      </c>
      <c r="AA7" s="15359" t="s">
        <v>6075</v>
      </c>
      <c r="AB7" s="15359" t="s">
        <v>6076</v>
      </c>
      <c r="AC7" s="16893">
        <v>2890000000</v>
      </c>
      <c r="AD7" s="7153"/>
      <c r="AE7" s="15359"/>
      <c r="AF7" s="15359"/>
      <c r="AG7" s="15359"/>
      <c r="AH7" s="15359"/>
      <c r="AI7" s="15359"/>
      <c r="AJ7" s="15359"/>
      <c r="AK7" s="15359"/>
      <c r="AL7" s="15359"/>
      <c r="AM7" s="15359"/>
      <c r="AN7" s="15359"/>
      <c r="AO7" s="15359"/>
      <c r="AP7" s="15359"/>
      <c r="AQ7" s="15359"/>
      <c r="AR7" s="15359"/>
      <c r="AS7" s="15359"/>
      <c r="AT7" s="15359"/>
      <c r="AU7" s="15359"/>
      <c r="AV7" s="15359"/>
      <c r="AW7" s="15359"/>
      <c r="AX7" s="15359"/>
      <c r="AY7" s="15359"/>
      <c r="AZ7" s="15359"/>
      <c r="BA7" s="15359"/>
      <c r="BB7" s="15359"/>
      <c r="BC7" s="15359"/>
      <c r="BD7" s="15359"/>
      <c r="BE7" s="15359"/>
      <c r="BF7" s="15359"/>
      <c r="BG7" s="15359"/>
      <c r="BH7" s="15359"/>
      <c r="BI7" s="15359"/>
      <c r="BJ7" s="15359"/>
      <c r="BK7" s="15359"/>
      <c r="BL7" s="15359"/>
      <c r="BM7" s="15359"/>
      <c r="BN7" s="15359"/>
      <c r="BO7" s="15359"/>
      <c r="BP7" s="15359"/>
      <c r="BQ7" s="15359"/>
      <c r="BR7" s="15359"/>
      <c r="BS7" s="15359"/>
      <c r="BT7" s="15359"/>
      <c r="BU7" s="15359"/>
      <c r="BV7" s="15359"/>
      <c r="BW7" s="15359"/>
      <c r="BX7" s="16855"/>
    </row>
    <row r="8" spans="1:76" s="7173" customFormat="1" ht="15" customHeight="1">
      <c r="A8" s="7174" t="s">
        <v>6077</v>
      </c>
      <c r="B8" s="15359"/>
      <c r="C8" s="15359"/>
      <c r="D8" s="16900"/>
      <c r="E8" s="16902"/>
      <c r="F8" s="15359"/>
      <c r="G8" s="15359"/>
      <c r="H8" s="16904"/>
      <c r="I8" s="16672"/>
      <c r="J8" s="16891"/>
      <c r="K8" s="16892"/>
      <c r="L8" s="6590"/>
      <c r="M8" s="15359"/>
      <c r="N8" s="15359"/>
      <c r="O8" s="15359"/>
      <c r="P8" s="15359"/>
      <c r="Q8" s="15359"/>
      <c r="R8" s="15359"/>
      <c r="S8" s="15359"/>
      <c r="T8" s="15359"/>
      <c r="U8" s="15359"/>
      <c r="V8" s="16894"/>
      <c r="W8" s="15359"/>
      <c r="X8" s="16894"/>
      <c r="Y8" s="16895"/>
      <c r="Z8" s="6595" t="s">
        <v>2896</v>
      </c>
      <c r="AA8" s="15359"/>
      <c r="AB8" s="15359"/>
      <c r="AC8" s="16893"/>
      <c r="AD8" s="7153"/>
      <c r="AE8" s="15359"/>
      <c r="AF8" s="15359"/>
      <c r="AG8" s="15359"/>
      <c r="AH8" s="15359"/>
      <c r="AI8" s="15359"/>
      <c r="AJ8" s="15359"/>
      <c r="AK8" s="15359"/>
      <c r="AL8" s="15359"/>
      <c r="AM8" s="15359"/>
      <c r="AN8" s="15359"/>
      <c r="AO8" s="15359"/>
      <c r="AP8" s="15359"/>
      <c r="AQ8" s="15359"/>
      <c r="AR8" s="15359"/>
      <c r="AS8" s="15359"/>
      <c r="AT8" s="15359"/>
      <c r="AU8" s="15359"/>
      <c r="AV8" s="15359"/>
      <c r="AW8" s="15359"/>
      <c r="AX8" s="15359"/>
      <c r="AY8" s="15359"/>
      <c r="AZ8" s="15359"/>
      <c r="BA8" s="15359"/>
      <c r="BB8" s="15359"/>
      <c r="BC8" s="15359"/>
      <c r="BD8" s="15359"/>
      <c r="BE8" s="15359"/>
      <c r="BF8" s="15359"/>
      <c r="BG8" s="15359"/>
      <c r="BH8" s="15359"/>
      <c r="BI8" s="15359"/>
      <c r="BJ8" s="15359"/>
      <c r="BK8" s="15359"/>
      <c r="BL8" s="15359"/>
      <c r="BM8" s="15359"/>
      <c r="BN8" s="15359"/>
      <c r="BO8" s="15359"/>
      <c r="BP8" s="15359"/>
      <c r="BQ8" s="15359"/>
      <c r="BR8" s="15359"/>
      <c r="BS8" s="15359"/>
      <c r="BT8" s="15359"/>
      <c r="BU8" s="15359"/>
      <c r="BV8" s="15359"/>
      <c r="BW8" s="15359"/>
      <c r="BX8" s="16855"/>
    </row>
    <row r="9" spans="1:76" s="7173" customFormat="1" ht="15" customHeight="1">
      <c r="A9" s="7174" t="s">
        <v>6078</v>
      </c>
      <c r="B9" s="15359"/>
      <c r="C9" s="15359"/>
      <c r="D9" s="16900"/>
      <c r="E9" s="16902"/>
      <c r="F9" s="15359"/>
      <c r="G9" s="15359"/>
      <c r="H9" s="16904"/>
      <c r="I9" s="5166" t="s">
        <v>8287</v>
      </c>
      <c r="J9" s="7176" t="s">
        <v>6079</v>
      </c>
      <c r="K9" s="2563" t="s">
        <v>6080</v>
      </c>
      <c r="L9" s="6590"/>
      <c r="M9" s="5055" t="s">
        <v>6081</v>
      </c>
      <c r="N9" s="5055" t="s">
        <v>6082</v>
      </c>
      <c r="O9" s="5055" t="s">
        <v>6083</v>
      </c>
      <c r="P9" s="5055" t="s">
        <v>6084</v>
      </c>
      <c r="Q9" s="5055" t="s">
        <v>6085</v>
      </c>
      <c r="R9" s="5055" t="s">
        <v>6086</v>
      </c>
      <c r="S9" s="5055" t="s">
        <v>6087</v>
      </c>
      <c r="T9" s="5055" t="s">
        <v>6088</v>
      </c>
      <c r="U9" s="5055" t="s">
        <v>6089</v>
      </c>
      <c r="V9" s="4254" t="s">
        <v>6090</v>
      </c>
      <c r="W9" s="5055" t="s">
        <v>6091</v>
      </c>
      <c r="X9" s="4254" t="s">
        <v>6092</v>
      </c>
      <c r="Y9" s="4254" t="s">
        <v>6093</v>
      </c>
      <c r="Z9" s="5055" t="s">
        <v>10063</v>
      </c>
      <c r="AA9" s="5055" t="s">
        <v>6094</v>
      </c>
      <c r="AB9" s="5055"/>
      <c r="AC9" s="7234">
        <f>(420000000*10)+(2524000*10)*10/3</f>
        <v>4284133333.3333335</v>
      </c>
      <c r="AD9" s="7154"/>
      <c r="AE9" s="5055"/>
      <c r="AF9" s="5055"/>
      <c r="AG9" s="5055"/>
      <c r="AH9" s="5055"/>
      <c r="AI9" s="5055"/>
      <c r="AJ9" s="5055"/>
      <c r="AK9" s="5055"/>
      <c r="AL9" s="5055"/>
      <c r="AM9" s="5055"/>
      <c r="AN9" s="5055"/>
      <c r="AO9" s="5055"/>
      <c r="AP9" s="5055"/>
      <c r="AQ9" s="5055"/>
      <c r="AR9" s="5055"/>
      <c r="AS9" s="5055"/>
      <c r="AT9" s="5055"/>
      <c r="AU9" s="5055"/>
      <c r="AV9" s="5055"/>
      <c r="AW9" s="5055"/>
      <c r="AX9" s="5055"/>
      <c r="AY9" s="5055"/>
      <c r="AZ9" s="5055"/>
      <c r="BA9" s="5055"/>
      <c r="BB9" s="5055"/>
      <c r="BC9" s="5055"/>
      <c r="BD9" s="5055"/>
      <c r="BE9" s="5055"/>
      <c r="BF9" s="5055"/>
      <c r="BG9" s="5055"/>
      <c r="BH9" s="5055"/>
      <c r="BI9" s="5055"/>
      <c r="BJ9" s="5055"/>
      <c r="BK9" s="5055"/>
      <c r="BL9" s="5055"/>
      <c r="BM9" s="5055"/>
      <c r="BN9" s="5055"/>
      <c r="BO9" s="5055"/>
      <c r="BP9" s="5055"/>
      <c r="BQ9" s="5055"/>
      <c r="BR9" s="5055"/>
      <c r="BS9" s="5055"/>
      <c r="BT9" s="5055"/>
      <c r="BU9" s="5055"/>
      <c r="BV9" s="5055"/>
      <c r="BW9" s="5055"/>
      <c r="BX9" s="6719"/>
    </row>
    <row r="10" spans="1:76" s="7173" customFormat="1" ht="15" customHeight="1" thickBot="1">
      <c r="A10" s="5166"/>
      <c r="B10" s="15359"/>
      <c r="C10" s="15359"/>
      <c r="D10" s="16900"/>
      <c r="E10" s="16902"/>
      <c r="F10" s="15359"/>
      <c r="G10" s="15359"/>
      <c r="H10" s="16904"/>
      <c r="I10" s="5167" t="s">
        <v>8288</v>
      </c>
      <c r="J10" s="7330" t="s">
        <v>6095</v>
      </c>
      <c r="K10" s="7331" t="s">
        <v>6096</v>
      </c>
      <c r="L10" s="6609"/>
      <c r="M10" s="2121" t="s">
        <v>6097</v>
      </c>
      <c r="N10" s="2121" t="s">
        <v>6098</v>
      </c>
      <c r="O10" s="2121" t="s">
        <v>6099</v>
      </c>
      <c r="P10" s="2121" t="s">
        <v>6100</v>
      </c>
      <c r="Q10" s="2121" t="s">
        <v>6101</v>
      </c>
      <c r="R10" s="2121" t="s">
        <v>6102</v>
      </c>
      <c r="S10" s="2121" t="s">
        <v>6103</v>
      </c>
      <c r="T10" s="2121" t="s">
        <v>6104</v>
      </c>
      <c r="U10" s="2121" t="s">
        <v>6105</v>
      </c>
      <c r="V10" s="7332" t="s">
        <v>6106</v>
      </c>
      <c r="W10" s="5056" t="s">
        <v>6107</v>
      </c>
      <c r="X10" s="7332" t="s">
        <v>6108</v>
      </c>
      <c r="Y10" s="5056" t="s">
        <v>6109</v>
      </c>
      <c r="Z10" s="5056" t="s">
        <v>86</v>
      </c>
      <c r="AA10" s="5056" t="s">
        <v>1509</v>
      </c>
      <c r="AB10" s="2121"/>
      <c r="AC10" s="7333">
        <v>15000000</v>
      </c>
      <c r="AD10" s="7336"/>
      <c r="AE10" s="2121"/>
      <c r="AF10" s="2121"/>
      <c r="AG10" s="2121"/>
      <c r="AH10" s="2121"/>
      <c r="AI10" s="2121"/>
      <c r="AJ10" s="2121"/>
      <c r="AK10" s="2121"/>
      <c r="AL10" s="2121"/>
      <c r="AM10" s="2121"/>
      <c r="AN10" s="2121"/>
      <c r="AO10" s="2121"/>
      <c r="AP10" s="2121"/>
      <c r="AQ10" s="2121"/>
      <c r="AR10" s="2121"/>
      <c r="AS10" s="2121"/>
      <c r="AT10" s="2121"/>
      <c r="AU10" s="2121"/>
      <c r="AV10" s="2121"/>
      <c r="AW10" s="2121"/>
      <c r="AX10" s="2121"/>
      <c r="AY10" s="2121"/>
      <c r="AZ10" s="2121"/>
      <c r="BA10" s="2121"/>
      <c r="BB10" s="2121"/>
      <c r="BC10" s="2121"/>
      <c r="BD10" s="2121"/>
      <c r="BE10" s="2121"/>
      <c r="BF10" s="2121"/>
      <c r="BG10" s="2121"/>
      <c r="BH10" s="2121"/>
      <c r="BI10" s="2121"/>
      <c r="BJ10" s="2121"/>
      <c r="BK10" s="2121"/>
      <c r="BL10" s="2121"/>
      <c r="BM10" s="2121"/>
      <c r="BN10" s="2121"/>
      <c r="BO10" s="2121"/>
      <c r="BP10" s="2121"/>
      <c r="BQ10" s="2121"/>
      <c r="BR10" s="2121"/>
      <c r="BS10" s="2121"/>
      <c r="BT10" s="2121"/>
      <c r="BU10" s="2121"/>
      <c r="BV10" s="2121"/>
      <c r="BW10" s="2121"/>
      <c r="BX10" s="7334"/>
    </row>
    <row r="11" spans="1:76" s="7180" customFormat="1" ht="15" customHeight="1">
      <c r="A11" s="7177" t="s">
        <v>6110</v>
      </c>
      <c r="B11" s="15377" t="s">
        <v>6111</v>
      </c>
      <c r="C11" s="15359"/>
      <c r="D11" s="16900"/>
      <c r="E11" s="16902"/>
      <c r="F11" s="15376" t="s">
        <v>6112</v>
      </c>
      <c r="G11" s="15376" t="s">
        <v>6113</v>
      </c>
      <c r="H11" s="16912" t="s">
        <v>6114</v>
      </c>
      <c r="I11" s="7325" t="s">
        <v>8289</v>
      </c>
      <c r="J11" s="7326" t="s">
        <v>6115</v>
      </c>
      <c r="K11" s="7116" t="s">
        <v>6116</v>
      </c>
      <c r="L11" s="6496"/>
      <c r="M11" s="5061" t="s">
        <v>6117</v>
      </c>
      <c r="N11" s="5061" t="s">
        <v>6118</v>
      </c>
      <c r="O11" s="5061" t="s">
        <v>6119</v>
      </c>
      <c r="P11" s="5061" t="s">
        <v>6120</v>
      </c>
      <c r="Q11" s="5061" t="s">
        <v>6121</v>
      </c>
      <c r="R11" s="5061" t="s">
        <v>6122</v>
      </c>
      <c r="S11" s="5061" t="s">
        <v>6123</v>
      </c>
      <c r="T11" s="5061" t="s">
        <v>6124</v>
      </c>
      <c r="U11" s="5061" t="s">
        <v>6125</v>
      </c>
      <c r="V11" s="7327" t="s">
        <v>6126</v>
      </c>
      <c r="W11" s="5061" t="s">
        <v>6127</v>
      </c>
      <c r="X11" s="7327" t="s">
        <v>6128</v>
      </c>
      <c r="Y11" s="5061" t="s">
        <v>6129</v>
      </c>
      <c r="Z11" s="5061" t="s">
        <v>10066</v>
      </c>
      <c r="AA11" s="5061" t="s">
        <v>6130</v>
      </c>
      <c r="AB11" s="5061"/>
      <c r="AC11" s="7328">
        <f>(6*6*84200000)*10</f>
        <v>30312000000</v>
      </c>
      <c r="AD11" s="7337"/>
      <c r="AE11" s="5061"/>
      <c r="AF11" s="5061"/>
      <c r="AG11" s="5061"/>
      <c r="AH11" s="5061"/>
      <c r="AI11" s="5061"/>
      <c r="AJ11" s="5061"/>
      <c r="AK11" s="5061"/>
      <c r="AL11" s="5061"/>
      <c r="AM11" s="5061"/>
      <c r="AN11" s="5061"/>
      <c r="AO11" s="5061"/>
      <c r="AP11" s="5061"/>
      <c r="AQ11" s="5061"/>
      <c r="AR11" s="5061"/>
      <c r="AS11" s="5061"/>
      <c r="AT11" s="5061"/>
      <c r="AU11" s="5061"/>
      <c r="AV11" s="5061"/>
      <c r="AW11" s="5061"/>
      <c r="AX11" s="5061"/>
      <c r="AY11" s="5061"/>
      <c r="AZ11" s="5061"/>
      <c r="BA11" s="5061"/>
      <c r="BB11" s="5061"/>
      <c r="BC11" s="5061"/>
      <c r="BD11" s="5061"/>
      <c r="BE11" s="5061"/>
      <c r="BF11" s="5061"/>
      <c r="BG11" s="5061"/>
      <c r="BH11" s="5061"/>
      <c r="BI11" s="5061"/>
      <c r="BJ11" s="5061"/>
      <c r="BK11" s="5061"/>
      <c r="BL11" s="5061"/>
      <c r="BM11" s="5061"/>
      <c r="BN11" s="5061"/>
      <c r="BO11" s="5061"/>
      <c r="BP11" s="5061"/>
      <c r="BQ11" s="5061"/>
      <c r="BR11" s="5061"/>
      <c r="BS11" s="5061"/>
      <c r="BT11" s="5061"/>
      <c r="BU11" s="5061"/>
      <c r="BV11" s="5061"/>
      <c r="BW11" s="5061"/>
      <c r="BX11" s="7329"/>
    </row>
    <row r="12" spans="1:76" s="7180" customFormat="1" ht="15" customHeight="1">
      <c r="A12" s="15515" t="s">
        <v>6131</v>
      </c>
      <c r="B12" s="16841"/>
      <c r="C12" s="15359"/>
      <c r="D12" s="16900"/>
      <c r="E12" s="16902"/>
      <c r="F12" s="15376"/>
      <c r="G12" s="15376"/>
      <c r="H12" s="16912"/>
      <c r="I12" s="15515" t="s">
        <v>8290</v>
      </c>
      <c r="J12" s="15930" t="s">
        <v>6132</v>
      </c>
      <c r="K12" s="15376" t="s">
        <v>6133</v>
      </c>
      <c r="L12" s="7178"/>
      <c r="M12" s="15376" t="s">
        <v>6134</v>
      </c>
      <c r="N12" s="15376" t="s">
        <v>6135</v>
      </c>
      <c r="O12" s="15376" t="s">
        <v>6136</v>
      </c>
      <c r="P12" s="15376" t="s">
        <v>6137</v>
      </c>
      <c r="Q12" s="15376" t="s">
        <v>6138</v>
      </c>
      <c r="R12" s="15376" t="s">
        <v>6139</v>
      </c>
      <c r="S12" s="15376" t="s">
        <v>6140</v>
      </c>
      <c r="T12" s="15376" t="s">
        <v>6141</v>
      </c>
      <c r="U12" s="15376" t="s">
        <v>6142</v>
      </c>
      <c r="V12" s="16882" t="s">
        <v>6143</v>
      </c>
      <c r="W12" s="15376" t="s">
        <v>6144</v>
      </c>
      <c r="X12" s="15376" t="s">
        <v>6145</v>
      </c>
      <c r="Y12" s="15376" t="s">
        <v>6146</v>
      </c>
      <c r="Z12" s="6519" t="s">
        <v>86</v>
      </c>
      <c r="AA12" s="5062" t="s">
        <v>6147</v>
      </c>
      <c r="AB12" s="7092"/>
      <c r="AC12" s="7235">
        <f>360000000+(2524000*10)*10</f>
        <v>612400000</v>
      </c>
      <c r="AD12" s="7154"/>
      <c r="AE12" s="7092"/>
      <c r="AF12" s="7092"/>
      <c r="AG12" s="7092"/>
      <c r="AH12" s="7092"/>
      <c r="AI12" s="7092"/>
      <c r="AJ12" s="7092"/>
      <c r="AK12" s="7092"/>
      <c r="AL12" s="7092"/>
      <c r="AM12" s="7092"/>
      <c r="AN12" s="7092"/>
      <c r="AO12" s="7092"/>
      <c r="AP12" s="7092"/>
      <c r="AQ12" s="7092"/>
      <c r="AR12" s="7092"/>
      <c r="AS12" s="7092"/>
      <c r="AT12" s="7092"/>
      <c r="AU12" s="7092"/>
      <c r="AV12" s="7092"/>
      <c r="AW12" s="7092"/>
      <c r="AX12" s="7092"/>
      <c r="AY12" s="7092"/>
      <c r="AZ12" s="7092"/>
      <c r="BA12" s="7092"/>
      <c r="BB12" s="7092"/>
      <c r="BC12" s="7092"/>
      <c r="BD12" s="7092"/>
      <c r="BE12" s="7092"/>
      <c r="BF12" s="7092"/>
      <c r="BG12" s="7092"/>
      <c r="BH12" s="7092"/>
      <c r="BI12" s="7092"/>
      <c r="BJ12" s="7092"/>
      <c r="BK12" s="7092"/>
      <c r="BL12" s="7092"/>
      <c r="BM12" s="7092"/>
      <c r="BN12" s="7092"/>
      <c r="BO12" s="7092"/>
      <c r="BP12" s="7092"/>
      <c r="BQ12" s="7092"/>
      <c r="BR12" s="7092"/>
      <c r="BS12" s="7092"/>
      <c r="BT12" s="7092"/>
      <c r="BU12" s="7092"/>
      <c r="BV12" s="7092"/>
      <c r="BW12" s="7092"/>
      <c r="BX12" s="7250"/>
    </row>
    <row r="13" spans="1:76" s="7180" customFormat="1" ht="15" customHeight="1">
      <c r="A13" s="15515"/>
      <c r="B13" s="16841"/>
      <c r="C13" s="15359"/>
      <c r="D13" s="16900"/>
      <c r="E13" s="16902"/>
      <c r="F13" s="15376"/>
      <c r="G13" s="15376"/>
      <c r="H13" s="16912"/>
      <c r="I13" s="15515"/>
      <c r="J13" s="15930"/>
      <c r="K13" s="15376"/>
      <c r="L13" s="7178"/>
      <c r="M13" s="15376"/>
      <c r="N13" s="15376"/>
      <c r="O13" s="15376"/>
      <c r="P13" s="15376"/>
      <c r="Q13" s="15376"/>
      <c r="R13" s="15376"/>
      <c r="S13" s="15376"/>
      <c r="T13" s="15376"/>
      <c r="U13" s="15376"/>
      <c r="V13" s="16882"/>
      <c r="W13" s="15376"/>
      <c r="X13" s="15376"/>
      <c r="Y13" s="15376"/>
      <c r="Z13" s="6519" t="s">
        <v>10063</v>
      </c>
      <c r="AA13" s="5062"/>
      <c r="AB13" s="7092"/>
      <c r="AC13" s="7235"/>
      <c r="AD13" s="7154"/>
      <c r="AE13" s="7092"/>
      <c r="AF13" s="7092"/>
      <c r="AG13" s="7092"/>
      <c r="AH13" s="7092"/>
      <c r="AI13" s="7092"/>
      <c r="AJ13" s="7092"/>
      <c r="AK13" s="7092"/>
      <c r="AL13" s="7092"/>
      <c r="AM13" s="7092"/>
      <c r="AN13" s="7092"/>
      <c r="AO13" s="7092"/>
      <c r="AP13" s="7092"/>
      <c r="AQ13" s="7092"/>
      <c r="AR13" s="7092"/>
      <c r="AS13" s="7092"/>
      <c r="AT13" s="7092"/>
      <c r="AU13" s="7092"/>
      <c r="AV13" s="7092"/>
      <c r="AW13" s="7092"/>
      <c r="AX13" s="7092"/>
      <c r="AY13" s="7092"/>
      <c r="AZ13" s="7092"/>
      <c r="BA13" s="7092"/>
      <c r="BB13" s="7092"/>
      <c r="BC13" s="7092"/>
      <c r="BD13" s="7092"/>
      <c r="BE13" s="7092"/>
      <c r="BF13" s="7092"/>
      <c r="BG13" s="7092"/>
      <c r="BH13" s="7092"/>
      <c r="BI13" s="7092"/>
      <c r="BJ13" s="7092"/>
      <c r="BK13" s="7092"/>
      <c r="BL13" s="7092"/>
      <c r="BM13" s="7092"/>
      <c r="BN13" s="7092"/>
      <c r="BO13" s="7092"/>
      <c r="BP13" s="7092"/>
      <c r="BQ13" s="7092"/>
      <c r="BR13" s="7092"/>
      <c r="BS13" s="7092"/>
      <c r="BT13" s="7092"/>
      <c r="BU13" s="7092"/>
      <c r="BV13" s="7092"/>
      <c r="BW13" s="7092"/>
      <c r="BX13" s="7250"/>
    </row>
    <row r="14" spans="1:76" s="7180" customFormat="1" ht="15" customHeight="1">
      <c r="A14" s="15515"/>
      <c r="B14" s="16841"/>
      <c r="C14" s="15359"/>
      <c r="D14" s="16900"/>
      <c r="E14" s="16902"/>
      <c r="F14" s="15376"/>
      <c r="G14" s="15376"/>
      <c r="H14" s="16912"/>
      <c r="I14" s="15515"/>
      <c r="J14" s="15930"/>
      <c r="K14" s="15376"/>
      <c r="L14" s="7178"/>
      <c r="M14" s="15376"/>
      <c r="N14" s="15376"/>
      <c r="O14" s="15376"/>
      <c r="P14" s="15376"/>
      <c r="Q14" s="15376"/>
      <c r="R14" s="15376"/>
      <c r="S14" s="15376"/>
      <c r="T14" s="15376"/>
      <c r="U14" s="15376"/>
      <c r="V14" s="16882"/>
      <c r="W14" s="15376"/>
      <c r="X14" s="15376"/>
      <c r="Y14" s="15376"/>
      <c r="Z14" s="6519" t="s">
        <v>10301</v>
      </c>
      <c r="AA14" s="5062"/>
      <c r="AB14" s="7092" t="s">
        <v>6148</v>
      </c>
      <c r="AC14" s="7235"/>
      <c r="AD14" s="7154"/>
      <c r="AE14" s="7092"/>
      <c r="AF14" s="7092"/>
      <c r="AG14" s="7092"/>
      <c r="AH14" s="7092"/>
      <c r="AI14" s="7092"/>
      <c r="AJ14" s="7092"/>
      <c r="AK14" s="7092"/>
      <c r="AL14" s="7092"/>
      <c r="AM14" s="7092"/>
      <c r="AN14" s="7092"/>
      <c r="AO14" s="7092"/>
      <c r="AP14" s="7092"/>
      <c r="AQ14" s="7092"/>
      <c r="AR14" s="7092"/>
      <c r="AS14" s="7092"/>
      <c r="AT14" s="7092"/>
      <c r="AU14" s="7092"/>
      <c r="AV14" s="7092"/>
      <c r="AW14" s="7092"/>
      <c r="AX14" s="7092"/>
      <c r="AY14" s="7092"/>
      <c r="AZ14" s="7092"/>
      <c r="BA14" s="7092"/>
      <c r="BB14" s="7092"/>
      <c r="BC14" s="7092"/>
      <c r="BD14" s="7092"/>
      <c r="BE14" s="7092"/>
      <c r="BF14" s="7092"/>
      <c r="BG14" s="7092"/>
      <c r="BH14" s="7092"/>
      <c r="BI14" s="7092"/>
      <c r="BJ14" s="7092"/>
      <c r="BK14" s="7092"/>
      <c r="BL14" s="7092"/>
      <c r="BM14" s="7092"/>
      <c r="BN14" s="7092"/>
      <c r="BO14" s="7092"/>
      <c r="BP14" s="7092"/>
      <c r="BQ14" s="7092"/>
      <c r="BR14" s="7092"/>
      <c r="BS14" s="7092"/>
      <c r="BT14" s="7092"/>
      <c r="BU14" s="7092"/>
      <c r="BV14" s="7092"/>
      <c r="BW14" s="7092"/>
      <c r="BX14" s="7250"/>
    </row>
    <row r="15" spans="1:76" s="7180" customFormat="1" ht="15" customHeight="1">
      <c r="A15" s="15515"/>
      <c r="B15" s="16841"/>
      <c r="C15" s="15359"/>
      <c r="D15" s="16900"/>
      <c r="E15" s="16902"/>
      <c r="F15" s="15376"/>
      <c r="G15" s="15376"/>
      <c r="H15" s="16912"/>
      <c r="I15" s="5081" t="s">
        <v>8291</v>
      </c>
      <c r="J15" s="7085" t="s">
        <v>6149</v>
      </c>
      <c r="K15" s="7084" t="s">
        <v>6150</v>
      </c>
      <c r="L15" s="7178"/>
      <c r="M15" s="7181" t="s">
        <v>6151</v>
      </c>
      <c r="N15" s="7181" t="s">
        <v>6152</v>
      </c>
      <c r="O15" s="7181" t="s">
        <v>6153</v>
      </c>
      <c r="P15" s="7181" t="s">
        <v>6154</v>
      </c>
      <c r="Q15" s="7181" t="s">
        <v>6155</v>
      </c>
      <c r="R15" s="7181" t="s">
        <v>6156</v>
      </c>
      <c r="S15" s="7181" t="s">
        <v>6157</v>
      </c>
      <c r="T15" s="7181" t="s">
        <v>6158</v>
      </c>
      <c r="U15" s="7181" t="s">
        <v>6159</v>
      </c>
      <c r="V15" s="7182" t="s">
        <v>6160</v>
      </c>
      <c r="W15" s="5062" t="s">
        <v>6161</v>
      </c>
      <c r="X15" s="7179" t="s">
        <v>6162</v>
      </c>
      <c r="Y15" s="5062" t="s">
        <v>6163</v>
      </c>
      <c r="Z15" s="5062" t="s">
        <v>10063</v>
      </c>
      <c r="AA15" s="5062" t="s">
        <v>6164</v>
      </c>
      <c r="AB15" s="7092"/>
      <c r="AC15" s="7235">
        <f>+((2524000*10)*10)/3</f>
        <v>84133333.333333328</v>
      </c>
      <c r="AD15" s="7154"/>
      <c r="AE15" s="7092"/>
      <c r="AF15" s="7092"/>
      <c r="AG15" s="7092"/>
      <c r="AH15" s="7092"/>
      <c r="AI15" s="7092"/>
      <c r="AJ15" s="7092"/>
      <c r="AK15" s="7092"/>
      <c r="AL15" s="7092"/>
      <c r="AM15" s="7092"/>
      <c r="AN15" s="7092"/>
      <c r="AO15" s="7092"/>
      <c r="AP15" s="7092"/>
      <c r="AQ15" s="7092"/>
      <c r="AR15" s="7092"/>
      <c r="AS15" s="7092"/>
      <c r="AT15" s="7092"/>
      <c r="AU15" s="7092"/>
      <c r="AV15" s="7092"/>
      <c r="AW15" s="7092"/>
      <c r="AX15" s="7092"/>
      <c r="AY15" s="7092"/>
      <c r="AZ15" s="7092"/>
      <c r="BA15" s="7092"/>
      <c r="BB15" s="7092"/>
      <c r="BC15" s="7092"/>
      <c r="BD15" s="7092"/>
      <c r="BE15" s="7092"/>
      <c r="BF15" s="7092"/>
      <c r="BG15" s="7092"/>
      <c r="BH15" s="7092"/>
      <c r="BI15" s="7092"/>
      <c r="BJ15" s="7092"/>
      <c r="BK15" s="7092"/>
      <c r="BL15" s="7092"/>
      <c r="BM15" s="7092"/>
      <c r="BN15" s="7092"/>
      <c r="BO15" s="7092"/>
      <c r="BP15" s="7092"/>
      <c r="BQ15" s="7092"/>
      <c r="BR15" s="7092"/>
      <c r="BS15" s="7092"/>
      <c r="BT15" s="7092"/>
      <c r="BU15" s="7092"/>
      <c r="BV15" s="7092"/>
      <c r="BW15" s="7092"/>
      <c r="BX15" s="7250"/>
    </row>
    <row r="16" spans="1:76" s="7180" customFormat="1" ht="15" customHeight="1">
      <c r="A16" s="15516" t="s">
        <v>6165</v>
      </c>
      <c r="B16" s="16841"/>
      <c r="C16" s="15359"/>
      <c r="D16" s="16900"/>
      <c r="E16" s="16902"/>
      <c r="F16" s="15376"/>
      <c r="G16" s="15376"/>
      <c r="H16" s="16912"/>
      <c r="I16" s="15515" t="s">
        <v>8292</v>
      </c>
      <c r="J16" s="15930" t="s">
        <v>6166</v>
      </c>
      <c r="K16" s="15376" t="s">
        <v>6167</v>
      </c>
      <c r="L16" s="7178"/>
      <c r="M16" s="15376" t="s">
        <v>6168</v>
      </c>
      <c r="N16" s="15376" t="s">
        <v>6169</v>
      </c>
      <c r="O16" s="15376" t="s">
        <v>6170</v>
      </c>
      <c r="P16" s="15376" t="s">
        <v>6171</v>
      </c>
      <c r="Q16" s="15376" t="s">
        <v>6172</v>
      </c>
      <c r="R16" s="15376" t="s">
        <v>6173</v>
      </c>
      <c r="S16" s="15376" t="s">
        <v>6174</v>
      </c>
      <c r="T16" s="15376" t="s">
        <v>6175</v>
      </c>
      <c r="U16" s="15376" t="s">
        <v>6176</v>
      </c>
      <c r="V16" s="16915" t="s">
        <v>6177</v>
      </c>
      <c r="W16" s="15376" t="s">
        <v>6178</v>
      </c>
      <c r="X16" s="15376" t="s">
        <v>6179</v>
      </c>
      <c r="Y16" s="15376" t="s">
        <v>6180</v>
      </c>
      <c r="Z16" s="5062" t="s">
        <v>10063</v>
      </c>
      <c r="AA16" s="15376" t="s">
        <v>6181</v>
      </c>
      <c r="AB16" s="7183"/>
      <c r="AC16" s="7235">
        <f>(235000000)*10</f>
        <v>2350000000</v>
      </c>
      <c r="AD16" s="7154"/>
      <c r="AE16" s="7183"/>
      <c r="AF16" s="7183"/>
      <c r="AG16" s="7183"/>
      <c r="AH16" s="7183"/>
      <c r="AI16" s="7183"/>
      <c r="AJ16" s="7183"/>
      <c r="AK16" s="7183"/>
      <c r="AL16" s="7183"/>
      <c r="AM16" s="7183"/>
      <c r="AN16" s="7183"/>
      <c r="AO16" s="7183"/>
      <c r="AP16" s="7183"/>
      <c r="AQ16" s="7183"/>
      <c r="AR16" s="7183"/>
      <c r="AS16" s="7183"/>
      <c r="AT16" s="7183"/>
      <c r="AU16" s="7183"/>
      <c r="AV16" s="7183"/>
      <c r="AW16" s="7183"/>
      <c r="AX16" s="7183"/>
      <c r="AY16" s="7183"/>
      <c r="AZ16" s="7183"/>
      <c r="BA16" s="7183"/>
      <c r="BB16" s="7183"/>
      <c r="BC16" s="7183"/>
      <c r="BD16" s="7183"/>
      <c r="BE16" s="7183"/>
      <c r="BF16" s="7183"/>
      <c r="BG16" s="7183"/>
      <c r="BH16" s="7183"/>
      <c r="BI16" s="7183"/>
      <c r="BJ16" s="7183"/>
      <c r="BK16" s="7183"/>
      <c r="BL16" s="7183"/>
      <c r="BM16" s="7183"/>
      <c r="BN16" s="7183"/>
      <c r="BO16" s="7183"/>
      <c r="BP16" s="7183"/>
      <c r="BQ16" s="7183"/>
      <c r="BR16" s="7183"/>
      <c r="BS16" s="7183"/>
      <c r="BT16" s="7183"/>
      <c r="BU16" s="7183"/>
      <c r="BV16" s="7183"/>
      <c r="BW16" s="7183"/>
      <c r="BX16" s="7251"/>
    </row>
    <row r="17" spans="1:76" s="7180" customFormat="1" ht="15" customHeight="1">
      <c r="A17" s="16842"/>
      <c r="B17" s="16841"/>
      <c r="C17" s="15359"/>
      <c r="D17" s="16900"/>
      <c r="E17" s="16902"/>
      <c r="F17" s="15376"/>
      <c r="G17" s="15376"/>
      <c r="H17" s="16912"/>
      <c r="I17" s="15515"/>
      <c r="J17" s="15930"/>
      <c r="K17" s="15376"/>
      <c r="L17" s="7178"/>
      <c r="M17" s="15376"/>
      <c r="N17" s="15376"/>
      <c r="O17" s="15376"/>
      <c r="P17" s="15376"/>
      <c r="Q17" s="15376"/>
      <c r="R17" s="15376"/>
      <c r="S17" s="15376"/>
      <c r="T17" s="15376"/>
      <c r="U17" s="15376"/>
      <c r="V17" s="16915"/>
      <c r="W17" s="15376"/>
      <c r="X17" s="15376"/>
      <c r="Y17" s="15376"/>
      <c r="Z17" s="5062" t="s">
        <v>10066</v>
      </c>
      <c r="AA17" s="15376"/>
      <c r="AB17" s="7183"/>
      <c r="AC17" s="7235"/>
      <c r="AD17" s="7154"/>
      <c r="AE17" s="7183"/>
      <c r="AF17" s="7183"/>
      <c r="AG17" s="7183"/>
      <c r="AH17" s="7183"/>
      <c r="AI17" s="7183"/>
      <c r="AJ17" s="7183"/>
      <c r="AK17" s="7183"/>
      <c r="AL17" s="7183"/>
      <c r="AM17" s="7183"/>
      <c r="AN17" s="7183"/>
      <c r="AO17" s="7183"/>
      <c r="AP17" s="7183"/>
      <c r="AQ17" s="7183"/>
      <c r="AR17" s="7183"/>
      <c r="AS17" s="7183"/>
      <c r="AT17" s="7183"/>
      <c r="AU17" s="7183"/>
      <c r="AV17" s="7183"/>
      <c r="AW17" s="7183"/>
      <c r="AX17" s="7183"/>
      <c r="AY17" s="7183"/>
      <c r="AZ17" s="7183"/>
      <c r="BA17" s="7183"/>
      <c r="BB17" s="7183"/>
      <c r="BC17" s="7183"/>
      <c r="BD17" s="7183"/>
      <c r="BE17" s="7183"/>
      <c r="BF17" s="7183"/>
      <c r="BG17" s="7183"/>
      <c r="BH17" s="7183"/>
      <c r="BI17" s="7183"/>
      <c r="BJ17" s="7183"/>
      <c r="BK17" s="7183"/>
      <c r="BL17" s="7183"/>
      <c r="BM17" s="7183"/>
      <c r="BN17" s="7183"/>
      <c r="BO17" s="7183"/>
      <c r="BP17" s="7183"/>
      <c r="BQ17" s="7183"/>
      <c r="BR17" s="7183"/>
      <c r="BS17" s="7183"/>
      <c r="BT17" s="7183"/>
      <c r="BU17" s="7183"/>
      <c r="BV17" s="7183"/>
      <c r="BW17" s="7183"/>
      <c r="BX17" s="7251"/>
    </row>
    <row r="18" spans="1:76" s="7180" customFormat="1" ht="15" customHeight="1">
      <c r="A18" s="7177" t="s">
        <v>6182</v>
      </c>
      <c r="B18" s="16841"/>
      <c r="C18" s="15359"/>
      <c r="D18" s="16900"/>
      <c r="E18" s="16902"/>
      <c r="F18" s="15376"/>
      <c r="G18" s="15376"/>
      <c r="H18" s="16912"/>
      <c r="I18" s="15515" t="s">
        <v>8293</v>
      </c>
      <c r="J18" s="16907" t="s">
        <v>6183</v>
      </c>
      <c r="K18" s="16908" t="s">
        <v>6184</v>
      </c>
      <c r="L18" s="7178"/>
      <c r="M18" s="15376" t="s">
        <v>6185</v>
      </c>
      <c r="N18" s="15376" t="s">
        <v>6186</v>
      </c>
      <c r="O18" s="15376" t="s">
        <v>6187</v>
      </c>
      <c r="P18" s="15376" t="s">
        <v>6188</v>
      </c>
      <c r="Q18" s="15376" t="s">
        <v>6189</v>
      </c>
      <c r="R18" s="15376" t="s">
        <v>6190</v>
      </c>
      <c r="S18" s="15376" t="s">
        <v>6191</v>
      </c>
      <c r="T18" s="15376" t="s">
        <v>6192</v>
      </c>
      <c r="U18" s="15376" t="s">
        <v>6193</v>
      </c>
      <c r="V18" s="16882" t="s">
        <v>6194</v>
      </c>
      <c r="W18" s="15376" t="s">
        <v>6195</v>
      </c>
      <c r="X18" s="16882" t="s">
        <v>6196</v>
      </c>
      <c r="Y18" s="15376" t="s">
        <v>6197</v>
      </c>
      <c r="Z18" s="5062" t="s">
        <v>10066</v>
      </c>
      <c r="AA18" s="15376" t="s">
        <v>6198</v>
      </c>
      <c r="AB18" s="15376"/>
      <c r="AC18" s="16914">
        <f>30000000*10+1620000000</f>
        <v>1920000000</v>
      </c>
      <c r="AD18" s="7154"/>
      <c r="AE18" s="15376"/>
      <c r="AF18" s="15376"/>
      <c r="AG18" s="15376"/>
      <c r="AH18" s="15376"/>
      <c r="AI18" s="15376"/>
      <c r="AJ18" s="15376"/>
      <c r="AK18" s="15376"/>
      <c r="AL18" s="15376"/>
      <c r="AM18" s="15376"/>
      <c r="AN18" s="15376"/>
      <c r="AO18" s="15376"/>
      <c r="AP18" s="15376"/>
      <c r="AQ18" s="15376"/>
      <c r="AR18" s="15376"/>
      <c r="AS18" s="15376"/>
      <c r="AT18" s="15376"/>
      <c r="AU18" s="15376"/>
      <c r="AV18" s="15376"/>
      <c r="AW18" s="15376"/>
      <c r="AX18" s="15376"/>
      <c r="AY18" s="15376"/>
      <c r="AZ18" s="15376"/>
      <c r="BA18" s="15376"/>
      <c r="BB18" s="15376"/>
      <c r="BC18" s="15376"/>
      <c r="BD18" s="15376"/>
      <c r="BE18" s="15376"/>
      <c r="BF18" s="15376"/>
      <c r="BG18" s="15376"/>
      <c r="BH18" s="15376"/>
      <c r="BI18" s="15376"/>
      <c r="BJ18" s="15376"/>
      <c r="BK18" s="15376"/>
      <c r="BL18" s="15376"/>
      <c r="BM18" s="15376"/>
      <c r="BN18" s="15376"/>
      <c r="BO18" s="15376"/>
      <c r="BP18" s="15376"/>
      <c r="BQ18" s="15376"/>
      <c r="BR18" s="15376"/>
      <c r="BS18" s="15376"/>
      <c r="BT18" s="15376"/>
      <c r="BU18" s="15376"/>
      <c r="BV18" s="15376"/>
      <c r="BW18" s="15376"/>
      <c r="BX18" s="16856"/>
    </row>
    <row r="19" spans="1:76" s="7180" customFormat="1" ht="15" customHeight="1">
      <c r="A19" s="7177" t="s">
        <v>6199</v>
      </c>
      <c r="B19" s="16841"/>
      <c r="C19" s="15359"/>
      <c r="D19" s="16900"/>
      <c r="E19" s="16902"/>
      <c r="F19" s="15376"/>
      <c r="G19" s="15376"/>
      <c r="H19" s="16912"/>
      <c r="I19" s="15515"/>
      <c r="J19" s="16907"/>
      <c r="K19" s="16908"/>
      <c r="L19" s="7178"/>
      <c r="M19" s="15376"/>
      <c r="N19" s="15376"/>
      <c r="O19" s="15376"/>
      <c r="P19" s="15376"/>
      <c r="Q19" s="15376"/>
      <c r="R19" s="15376"/>
      <c r="S19" s="15376"/>
      <c r="T19" s="15376"/>
      <c r="U19" s="15376"/>
      <c r="V19" s="16882"/>
      <c r="W19" s="15376"/>
      <c r="X19" s="16882"/>
      <c r="Y19" s="15376"/>
      <c r="Z19" s="5062" t="s">
        <v>10302</v>
      </c>
      <c r="AA19" s="15376"/>
      <c r="AB19" s="15376"/>
      <c r="AC19" s="16914"/>
      <c r="AD19" s="7154"/>
      <c r="AE19" s="15376"/>
      <c r="AF19" s="15376"/>
      <c r="AG19" s="15376"/>
      <c r="AH19" s="15376"/>
      <c r="AI19" s="15376"/>
      <c r="AJ19" s="15376"/>
      <c r="AK19" s="15376"/>
      <c r="AL19" s="15376"/>
      <c r="AM19" s="15376"/>
      <c r="AN19" s="15376"/>
      <c r="AO19" s="15376"/>
      <c r="AP19" s="15376"/>
      <c r="AQ19" s="15376"/>
      <c r="AR19" s="15376"/>
      <c r="AS19" s="15376"/>
      <c r="AT19" s="15376"/>
      <c r="AU19" s="15376"/>
      <c r="AV19" s="15376"/>
      <c r="AW19" s="15376"/>
      <c r="AX19" s="15376"/>
      <c r="AY19" s="15376"/>
      <c r="AZ19" s="15376"/>
      <c r="BA19" s="15376"/>
      <c r="BB19" s="15376"/>
      <c r="BC19" s="15376"/>
      <c r="BD19" s="15376"/>
      <c r="BE19" s="15376"/>
      <c r="BF19" s="15376"/>
      <c r="BG19" s="15376"/>
      <c r="BH19" s="15376"/>
      <c r="BI19" s="15376"/>
      <c r="BJ19" s="15376"/>
      <c r="BK19" s="15376"/>
      <c r="BL19" s="15376"/>
      <c r="BM19" s="15376"/>
      <c r="BN19" s="15376"/>
      <c r="BO19" s="15376"/>
      <c r="BP19" s="15376"/>
      <c r="BQ19" s="15376"/>
      <c r="BR19" s="15376"/>
      <c r="BS19" s="15376"/>
      <c r="BT19" s="15376"/>
      <c r="BU19" s="15376"/>
      <c r="BV19" s="15376"/>
      <c r="BW19" s="15376"/>
      <c r="BX19" s="16856"/>
    </row>
    <row r="20" spans="1:76" s="7180" customFormat="1" ht="15" customHeight="1">
      <c r="A20" s="15516" t="s">
        <v>6200</v>
      </c>
      <c r="B20" s="16841"/>
      <c r="C20" s="15359"/>
      <c r="D20" s="16900"/>
      <c r="E20" s="16902"/>
      <c r="F20" s="15376"/>
      <c r="G20" s="15376"/>
      <c r="H20" s="16912"/>
      <c r="I20" s="15515" t="s">
        <v>8294</v>
      </c>
      <c r="J20" s="15930" t="s">
        <v>6201</v>
      </c>
      <c r="K20" s="16804" t="s">
        <v>6202</v>
      </c>
      <c r="L20" s="7178"/>
      <c r="M20" s="16804" t="s">
        <v>6203</v>
      </c>
      <c r="N20" s="16804" t="s">
        <v>6204</v>
      </c>
      <c r="O20" s="16804" t="s">
        <v>6205</v>
      </c>
      <c r="P20" s="16804" t="s">
        <v>6206</v>
      </c>
      <c r="Q20" s="16804" t="s">
        <v>6207</v>
      </c>
      <c r="R20" s="16804" t="s">
        <v>6208</v>
      </c>
      <c r="S20" s="16804" t="s">
        <v>6209</v>
      </c>
      <c r="T20" s="16804" t="s">
        <v>6210</v>
      </c>
      <c r="U20" s="16804" t="s">
        <v>6211</v>
      </c>
      <c r="V20" s="16882" t="s">
        <v>6212</v>
      </c>
      <c r="W20" s="16804" t="s">
        <v>6213</v>
      </c>
      <c r="X20" s="16804" t="s">
        <v>6214</v>
      </c>
      <c r="Y20" s="16804" t="s">
        <v>6215</v>
      </c>
      <c r="Z20" s="5062" t="s">
        <v>10063</v>
      </c>
      <c r="AA20" s="15376" t="s">
        <v>6216</v>
      </c>
      <c r="AB20" s="15376"/>
      <c r="AC20" s="7235">
        <f>31*(2524000*3)/20+45000000+108000000</f>
        <v>164736600</v>
      </c>
      <c r="AD20" s="7154"/>
      <c r="AE20" s="5062"/>
      <c r="AF20" s="5062"/>
      <c r="AG20" s="5062"/>
      <c r="AH20" s="5062"/>
      <c r="AI20" s="5062"/>
      <c r="AJ20" s="5062"/>
      <c r="AK20" s="5062"/>
      <c r="AL20" s="5062"/>
      <c r="AM20" s="5062"/>
      <c r="AN20" s="5062"/>
      <c r="AO20" s="5062"/>
      <c r="AP20" s="5062"/>
      <c r="AQ20" s="5062"/>
      <c r="AR20" s="5062"/>
      <c r="AS20" s="5062"/>
      <c r="AT20" s="5062"/>
      <c r="AU20" s="5062"/>
      <c r="AV20" s="5062"/>
      <c r="AW20" s="5062"/>
      <c r="AX20" s="5062"/>
      <c r="AY20" s="5062"/>
      <c r="AZ20" s="5062"/>
      <c r="BA20" s="5062"/>
      <c r="BB20" s="5062"/>
      <c r="BC20" s="5062"/>
      <c r="BD20" s="5062"/>
      <c r="BE20" s="5062"/>
      <c r="BF20" s="5062"/>
      <c r="BG20" s="5062"/>
      <c r="BH20" s="5062"/>
      <c r="BI20" s="5062"/>
      <c r="BJ20" s="5062"/>
      <c r="BK20" s="5062"/>
      <c r="BL20" s="5062"/>
      <c r="BM20" s="5062"/>
      <c r="BN20" s="5062"/>
      <c r="BO20" s="5062"/>
      <c r="BP20" s="5062"/>
      <c r="BQ20" s="5062"/>
      <c r="BR20" s="5062"/>
      <c r="BS20" s="5062"/>
      <c r="BT20" s="5062"/>
      <c r="BU20" s="5062"/>
      <c r="BV20" s="5062"/>
      <c r="BW20" s="5062"/>
      <c r="BX20" s="7249"/>
    </row>
    <row r="21" spans="1:76" s="7180" customFormat="1" ht="15" customHeight="1">
      <c r="A21" s="16843"/>
      <c r="B21" s="16841"/>
      <c r="C21" s="15359"/>
      <c r="D21" s="16900"/>
      <c r="E21" s="16902"/>
      <c r="F21" s="15376"/>
      <c r="G21" s="15376"/>
      <c r="H21" s="16912"/>
      <c r="I21" s="15515"/>
      <c r="J21" s="15930"/>
      <c r="K21" s="16804"/>
      <c r="L21" s="7178"/>
      <c r="M21" s="16804"/>
      <c r="N21" s="16804"/>
      <c r="O21" s="16804"/>
      <c r="P21" s="16804"/>
      <c r="Q21" s="16804"/>
      <c r="R21" s="16804"/>
      <c r="S21" s="16804"/>
      <c r="T21" s="16804"/>
      <c r="U21" s="16804"/>
      <c r="V21" s="16882"/>
      <c r="W21" s="16804"/>
      <c r="X21" s="16804"/>
      <c r="Y21" s="16804"/>
      <c r="Z21" s="5062" t="s">
        <v>10066</v>
      </c>
      <c r="AA21" s="15376"/>
      <c r="AB21" s="15376"/>
      <c r="AC21" s="7235"/>
      <c r="AD21" s="7154"/>
      <c r="AE21" s="5062"/>
      <c r="AF21" s="5062"/>
      <c r="AG21" s="5062"/>
      <c r="AH21" s="5062"/>
      <c r="AI21" s="5062"/>
      <c r="AJ21" s="5062"/>
      <c r="AK21" s="5062"/>
      <c r="AL21" s="5062"/>
      <c r="AM21" s="5062"/>
      <c r="AN21" s="5062"/>
      <c r="AO21" s="5062"/>
      <c r="AP21" s="5062"/>
      <c r="AQ21" s="5062"/>
      <c r="AR21" s="5062"/>
      <c r="AS21" s="5062"/>
      <c r="AT21" s="5062"/>
      <c r="AU21" s="5062"/>
      <c r="AV21" s="5062"/>
      <c r="AW21" s="5062"/>
      <c r="AX21" s="5062"/>
      <c r="AY21" s="5062"/>
      <c r="AZ21" s="5062"/>
      <c r="BA21" s="5062"/>
      <c r="BB21" s="5062"/>
      <c r="BC21" s="5062"/>
      <c r="BD21" s="5062"/>
      <c r="BE21" s="5062"/>
      <c r="BF21" s="5062"/>
      <c r="BG21" s="5062"/>
      <c r="BH21" s="5062"/>
      <c r="BI21" s="5062"/>
      <c r="BJ21" s="5062"/>
      <c r="BK21" s="5062"/>
      <c r="BL21" s="5062"/>
      <c r="BM21" s="5062"/>
      <c r="BN21" s="5062"/>
      <c r="BO21" s="5062"/>
      <c r="BP21" s="5062"/>
      <c r="BQ21" s="5062"/>
      <c r="BR21" s="5062"/>
      <c r="BS21" s="5062"/>
      <c r="BT21" s="5062"/>
      <c r="BU21" s="5062"/>
      <c r="BV21" s="5062"/>
      <c r="BW21" s="5062"/>
      <c r="BX21" s="7249"/>
    </row>
    <row r="22" spans="1:76" s="7180" customFormat="1" ht="15" customHeight="1">
      <c r="A22" s="16843"/>
      <c r="B22" s="16841"/>
      <c r="C22" s="15359"/>
      <c r="D22" s="16900"/>
      <c r="E22" s="16902"/>
      <c r="F22" s="15376"/>
      <c r="G22" s="15376"/>
      <c r="H22" s="16912"/>
      <c r="I22" s="15515"/>
      <c r="J22" s="15930"/>
      <c r="K22" s="16804"/>
      <c r="L22" s="7178"/>
      <c r="M22" s="16804"/>
      <c r="N22" s="16804"/>
      <c r="O22" s="16804"/>
      <c r="P22" s="16804"/>
      <c r="Q22" s="16804"/>
      <c r="R22" s="16804"/>
      <c r="S22" s="16804"/>
      <c r="T22" s="16804"/>
      <c r="U22" s="16804"/>
      <c r="V22" s="16882"/>
      <c r="W22" s="16804"/>
      <c r="X22" s="16804"/>
      <c r="Y22" s="16804"/>
      <c r="Z22" s="5062" t="s">
        <v>86</v>
      </c>
      <c r="AA22" s="15376"/>
      <c r="AB22" s="5062"/>
      <c r="AC22" s="7235"/>
      <c r="AD22" s="7154"/>
      <c r="AE22" s="5062"/>
      <c r="AF22" s="5062"/>
      <c r="AG22" s="5062"/>
      <c r="AH22" s="5062"/>
      <c r="AI22" s="5062"/>
      <c r="AJ22" s="5062"/>
      <c r="AK22" s="5062"/>
      <c r="AL22" s="5062"/>
      <c r="AM22" s="5062"/>
      <c r="AN22" s="5062"/>
      <c r="AO22" s="5062"/>
      <c r="AP22" s="5062"/>
      <c r="AQ22" s="5062"/>
      <c r="AR22" s="5062"/>
      <c r="AS22" s="5062"/>
      <c r="AT22" s="5062"/>
      <c r="AU22" s="5062"/>
      <c r="AV22" s="5062"/>
      <c r="AW22" s="5062"/>
      <c r="AX22" s="5062"/>
      <c r="AY22" s="5062"/>
      <c r="AZ22" s="5062"/>
      <c r="BA22" s="5062"/>
      <c r="BB22" s="5062"/>
      <c r="BC22" s="5062"/>
      <c r="BD22" s="5062"/>
      <c r="BE22" s="5062"/>
      <c r="BF22" s="5062"/>
      <c r="BG22" s="5062"/>
      <c r="BH22" s="5062"/>
      <c r="BI22" s="5062"/>
      <c r="BJ22" s="5062"/>
      <c r="BK22" s="5062"/>
      <c r="BL22" s="5062"/>
      <c r="BM22" s="5062"/>
      <c r="BN22" s="5062"/>
      <c r="BO22" s="5062"/>
      <c r="BP22" s="5062"/>
      <c r="BQ22" s="5062"/>
      <c r="BR22" s="5062"/>
      <c r="BS22" s="5062"/>
      <c r="BT22" s="5062"/>
      <c r="BU22" s="5062"/>
      <c r="BV22" s="5062"/>
      <c r="BW22" s="5062"/>
      <c r="BX22" s="7249"/>
    </row>
    <row r="23" spans="1:76" s="7180" customFormat="1" ht="15" customHeight="1">
      <c r="A23" s="16843"/>
      <c r="B23" s="16841"/>
      <c r="C23" s="15359"/>
      <c r="D23" s="16900"/>
      <c r="E23" s="16902"/>
      <c r="F23" s="15376"/>
      <c r="G23" s="15376"/>
      <c r="H23" s="16912"/>
      <c r="I23" s="15515"/>
      <c r="J23" s="15930"/>
      <c r="K23" s="16804"/>
      <c r="L23" s="7178"/>
      <c r="M23" s="16804"/>
      <c r="N23" s="16804"/>
      <c r="O23" s="16804"/>
      <c r="P23" s="16804"/>
      <c r="Q23" s="16804"/>
      <c r="R23" s="16804"/>
      <c r="S23" s="16804"/>
      <c r="T23" s="16804"/>
      <c r="U23" s="16804"/>
      <c r="V23" s="16882"/>
      <c r="W23" s="16804"/>
      <c r="X23" s="16804"/>
      <c r="Y23" s="16804"/>
      <c r="Z23" s="5062" t="s">
        <v>218</v>
      </c>
      <c r="AA23" s="15376"/>
      <c r="AB23" s="5062"/>
      <c r="AC23" s="7235"/>
      <c r="AD23" s="7154"/>
      <c r="AE23" s="5062"/>
      <c r="AF23" s="5062"/>
      <c r="AG23" s="5062"/>
      <c r="AH23" s="5062"/>
      <c r="AI23" s="5062"/>
      <c r="AJ23" s="5062"/>
      <c r="AK23" s="5062"/>
      <c r="AL23" s="5062"/>
      <c r="AM23" s="5062"/>
      <c r="AN23" s="5062"/>
      <c r="AO23" s="5062"/>
      <c r="AP23" s="5062"/>
      <c r="AQ23" s="5062"/>
      <c r="AR23" s="5062"/>
      <c r="AS23" s="5062"/>
      <c r="AT23" s="5062"/>
      <c r="AU23" s="5062"/>
      <c r="AV23" s="5062"/>
      <c r="AW23" s="5062"/>
      <c r="AX23" s="5062"/>
      <c r="AY23" s="5062"/>
      <c r="AZ23" s="5062"/>
      <c r="BA23" s="5062"/>
      <c r="BB23" s="5062"/>
      <c r="BC23" s="5062"/>
      <c r="BD23" s="5062"/>
      <c r="BE23" s="5062"/>
      <c r="BF23" s="5062"/>
      <c r="BG23" s="5062"/>
      <c r="BH23" s="5062"/>
      <c r="BI23" s="5062"/>
      <c r="BJ23" s="5062"/>
      <c r="BK23" s="5062"/>
      <c r="BL23" s="5062"/>
      <c r="BM23" s="5062"/>
      <c r="BN23" s="5062"/>
      <c r="BO23" s="5062"/>
      <c r="BP23" s="5062"/>
      <c r="BQ23" s="5062"/>
      <c r="BR23" s="5062"/>
      <c r="BS23" s="5062"/>
      <c r="BT23" s="5062"/>
      <c r="BU23" s="5062"/>
      <c r="BV23" s="5062"/>
      <c r="BW23" s="5062"/>
      <c r="BX23" s="7249"/>
    </row>
    <row r="24" spans="1:76" s="7180" customFormat="1" ht="15" customHeight="1">
      <c r="A24" s="16843"/>
      <c r="B24" s="16841"/>
      <c r="C24" s="15359"/>
      <c r="D24" s="16900"/>
      <c r="E24" s="16902"/>
      <c r="F24" s="15376"/>
      <c r="G24" s="15376"/>
      <c r="H24" s="16912"/>
      <c r="I24" s="15515"/>
      <c r="J24" s="15930"/>
      <c r="K24" s="16804"/>
      <c r="L24" s="7178"/>
      <c r="M24" s="16804"/>
      <c r="N24" s="16804"/>
      <c r="O24" s="16804"/>
      <c r="P24" s="16804"/>
      <c r="Q24" s="16804"/>
      <c r="R24" s="16804"/>
      <c r="S24" s="16804"/>
      <c r="T24" s="16804"/>
      <c r="U24" s="16804"/>
      <c r="V24" s="16882"/>
      <c r="W24" s="16804"/>
      <c r="X24" s="16804"/>
      <c r="Y24" s="16804"/>
      <c r="Z24" s="5062" t="s">
        <v>2896</v>
      </c>
      <c r="AA24" s="15376"/>
      <c r="AB24" s="5062"/>
      <c r="AC24" s="7235"/>
      <c r="AD24" s="7154"/>
      <c r="AE24" s="5062"/>
      <c r="AF24" s="5062"/>
      <c r="AG24" s="5062"/>
      <c r="AH24" s="5062"/>
      <c r="AI24" s="5062"/>
      <c r="AJ24" s="5062"/>
      <c r="AK24" s="5062"/>
      <c r="AL24" s="5062"/>
      <c r="AM24" s="5062"/>
      <c r="AN24" s="5062"/>
      <c r="AO24" s="5062"/>
      <c r="AP24" s="5062"/>
      <c r="AQ24" s="5062"/>
      <c r="AR24" s="5062"/>
      <c r="AS24" s="5062"/>
      <c r="AT24" s="5062"/>
      <c r="AU24" s="5062"/>
      <c r="AV24" s="5062"/>
      <c r="AW24" s="5062"/>
      <c r="AX24" s="5062"/>
      <c r="AY24" s="5062"/>
      <c r="AZ24" s="5062"/>
      <c r="BA24" s="5062"/>
      <c r="BB24" s="5062"/>
      <c r="BC24" s="5062"/>
      <c r="BD24" s="5062"/>
      <c r="BE24" s="5062"/>
      <c r="BF24" s="5062"/>
      <c r="BG24" s="5062"/>
      <c r="BH24" s="5062"/>
      <c r="BI24" s="5062"/>
      <c r="BJ24" s="5062"/>
      <c r="BK24" s="5062"/>
      <c r="BL24" s="5062"/>
      <c r="BM24" s="5062"/>
      <c r="BN24" s="5062"/>
      <c r="BO24" s="5062"/>
      <c r="BP24" s="5062"/>
      <c r="BQ24" s="5062"/>
      <c r="BR24" s="5062"/>
      <c r="BS24" s="5062"/>
      <c r="BT24" s="5062"/>
      <c r="BU24" s="5062"/>
      <c r="BV24" s="5062"/>
      <c r="BW24" s="5062"/>
      <c r="BX24" s="7249"/>
    </row>
    <row r="25" spans="1:76" s="7180" customFormat="1" ht="15" customHeight="1">
      <c r="A25" s="16842"/>
      <c r="B25" s="15375"/>
      <c r="C25" s="15359"/>
      <c r="D25" s="16900"/>
      <c r="E25" s="16902"/>
      <c r="F25" s="15376"/>
      <c r="G25" s="15376"/>
      <c r="H25" s="16912"/>
      <c r="I25" s="15515"/>
      <c r="J25" s="15930"/>
      <c r="K25" s="16804"/>
      <c r="L25" s="7178"/>
      <c r="M25" s="16804"/>
      <c r="N25" s="16804"/>
      <c r="O25" s="16804"/>
      <c r="P25" s="16804"/>
      <c r="Q25" s="16804"/>
      <c r="R25" s="16804"/>
      <c r="S25" s="16804"/>
      <c r="T25" s="16804"/>
      <c r="U25" s="16804"/>
      <c r="V25" s="16882"/>
      <c r="W25" s="16804"/>
      <c r="X25" s="16804"/>
      <c r="Y25" s="16804"/>
      <c r="Z25" s="5062" t="s">
        <v>208</v>
      </c>
      <c r="AA25" s="5062"/>
      <c r="AB25" s="5062" t="s">
        <v>208</v>
      </c>
      <c r="AC25" s="7235"/>
      <c r="AD25" s="7154"/>
      <c r="AE25" s="5062"/>
      <c r="AF25" s="5062"/>
      <c r="AG25" s="5062"/>
      <c r="AH25" s="5062"/>
      <c r="AI25" s="5062"/>
      <c r="AJ25" s="5062"/>
      <c r="AK25" s="5062"/>
      <c r="AL25" s="5062"/>
      <c r="AM25" s="5062"/>
      <c r="AN25" s="5062"/>
      <c r="AO25" s="5062"/>
      <c r="AP25" s="5062"/>
      <c r="AQ25" s="5062"/>
      <c r="AR25" s="5062"/>
      <c r="AS25" s="5062"/>
      <c r="AT25" s="5062"/>
      <c r="AU25" s="5062"/>
      <c r="AV25" s="5062"/>
      <c r="AW25" s="5062"/>
      <c r="AX25" s="5062"/>
      <c r="AY25" s="5062"/>
      <c r="AZ25" s="5062"/>
      <c r="BA25" s="5062"/>
      <c r="BB25" s="5062"/>
      <c r="BC25" s="5062"/>
      <c r="BD25" s="5062"/>
      <c r="BE25" s="5062"/>
      <c r="BF25" s="5062"/>
      <c r="BG25" s="5062"/>
      <c r="BH25" s="5062"/>
      <c r="BI25" s="5062"/>
      <c r="BJ25" s="5062"/>
      <c r="BK25" s="5062"/>
      <c r="BL25" s="5062"/>
      <c r="BM25" s="5062"/>
      <c r="BN25" s="5062"/>
      <c r="BO25" s="5062"/>
      <c r="BP25" s="5062"/>
      <c r="BQ25" s="5062"/>
      <c r="BR25" s="5062"/>
      <c r="BS25" s="5062"/>
      <c r="BT25" s="5062"/>
      <c r="BU25" s="5062"/>
      <c r="BV25" s="5062"/>
      <c r="BW25" s="5062"/>
      <c r="BX25" s="7249"/>
    </row>
    <row r="26" spans="1:76" s="7180" customFormat="1" ht="15" customHeight="1" thickBot="1">
      <c r="A26" s="7186" t="s">
        <v>6217</v>
      </c>
      <c r="B26" s="7104" t="s">
        <v>6218</v>
      </c>
      <c r="C26" s="15360"/>
      <c r="D26" s="16901"/>
      <c r="E26" s="16903"/>
      <c r="F26" s="16572"/>
      <c r="G26" s="16572"/>
      <c r="H26" s="16913"/>
      <c r="I26" s="7322" t="s">
        <v>8295</v>
      </c>
      <c r="J26" s="7106" t="s">
        <v>5304</v>
      </c>
      <c r="K26" s="7105" t="s">
        <v>6219</v>
      </c>
      <c r="L26" s="6531"/>
      <c r="M26" s="7104" t="s">
        <v>6220</v>
      </c>
      <c r="N26" s="7104" t="s">
        <v>6221</v>
      </c>
      <c r="O26" s="7104" t="s">
        <v>6222</v>
      </c>
      <c r="P26" s="7104" t="s">
        <v>6223</v>
      </c>
      <c r="Q26" s="7104" t="s">
        <v>6224</v>
      </c>
      <c r="R26" s="7104" t="s">
        <v>6225</v>
      </c>
      <c r="S26" s="7104" t="s">
        <v>6226</v>
      </c>
      <c r="T26" s="7104" t="s">
        <v>6227</v>
      </c>
      <c r="U26" s="7104" t="s">
        <v>6228</v>
      </c>
      <c r="V26" s="7187" t="s">
        <v>6229</v>
      </c>
      <c r="W26" s="6528" t="s">
        <v>6230</v>
      </c>
      <c r="X26" s="7187" t="s">
        <v>5318</v>
      </c>
      <c r="Y26" s="6537" t="s">
        <v>6231</v>
      </c>
      <c r="Z26" s="6537" t="s">
        <v>10063</v>
      </c>
      <c r="AA26" s="6528" t="s">
        <v>6232</v>
      </c>
      <c r="AB26" s="7188"/>
      <c r="AC26" s="7323">
        <f>(800000*30*12)*10</f>
        <v>2880000000</v>
      </c>
      <c r="AD26" s="7336"/>
      <c r="AE26" s="7188"/>
      <c r="AF26" s="7188"/>
      <c r="AG26" s="7188"/>
      <c r="AH26" s="7188"/>
      <c r="AI26" s="7188"/>
      <c r="AJ26" s="7188"/>
      <c r="AK26" s="7188"/>
      <c r="AL26" s="7188"/>
      <c r="AM26" s="7188"/>
      <c r="AN26" s="7188"/>
      <c r="AO26" s="7188"/>
      <c r="AP26" s="7188"/>
      <c r="AQ26" s="7188"/>
      <c r="AR26" s="7188"/>
      <c r="AS26" s="7188"/>
      <c r="AT26" s="7188"/>
      <c r="AU26" s="7188"/>
      <c r="AV26" s="7188"/>
      <c r="AW26" s="7188"/>
      <c r="AX26" s="7188"/>
      <c r="AY26" s="7188"/>
      <c r="AZ26" s="7188"/>
      <c r="BA26" s="7188"/>
      <c r="BB26" s="7188"/>
      <c r="BC26" s="7188"/>
      <c r="BD26" s="7188"/>
      <c r="BE26" s="7188"/>
      <c r="BF26" s="7188"/>
      <c r="BG26" s="7188"/>
      <c r="BH26" s="7188"/>
      <c r="BI26" s="7188"/>
      <c r="BJ26" s="7188"/>
      <c r="BK26" s="7188"/>
      <c r="BL26" s="7188"/>
      <c r="BM26" s="7188"/>
      <c r="BN26" s="7188"/>
      <c r="BO26" s="7188"/>
      <c r="BP26" s="7188"/>
      <c r="BQ26" s="7188"/>
      <c r="BR26" s="7188"/>
      <c r="BS26" s="7188"/>
      <c r="BT26" s="7188"/>
      <c r="BU26" s="7188"/>
      <c r="BV26" s="7188"/>
      <c r="BW26" s="7188"/>
      <c r="BX26" s="7324"/>
    </row>
    <row r="27" spans="1:76" s="1599" customFormat="1" ht="15" customHeight="1">
      <c r="A27" s="7171" t="s">
        <v>6233</v>
      </c>
      <c r="B27" s="16534" t="s">
        <v>6234</v>
      </c>
      <c r="C27" s="16535" t="s">
        <v>6235</v>
      </c>
      <c r="D27" s="16535" t="s">
        <v>6236</v>
      </c>
      <c r="E27" s="16534" t="s">
        <v>144</v>
      </c>
      <c r="F27" s="16534" t="s">
        <v>6237</v>
      </c>
      <c r="G27" s="16534" t="s">
        <v>6238</v>
      </c>
      <c r="H27" s="16905" t="s">
        <v>6239</v>
      </c>
      <c r="I27" s="16658" t="s">
        <v>8296</v>
      </c>
      <c r="J27" s="16910" t="s">
        <v>6240</v>
      </c>
      <c r="K27" s="16909" t="s">
        <v>6241</v>
      </c>
      <c r="L27" s="16534" t="s">
        <v>6242</v>
      </c>
      <c r="M27" s="16534" t="s">
        <v>6243</v>
      </c>
      <c r="N27" s="16534" t="s">
        <v>6244</v>
      </c>
      <c r="O27" s="16534" t="s">
        <v>6245</v>
      </c>
      <c r="P27" s="16534" t="s">
        <v>6246</v>
      </c>
      <c r="Q27" s="16534" t="s">
        <v>6247</v>
      </c>
      <c r="R27" s="16534" t="s">
        <v>6248</v>
      </c>
      <c r="S27" s="16534" t="s">
        <v>6249</v>
      </c>
      <c r="T27" s="16534" t="s">
        <v>6250</v>
      </c>
      <c r="U27" s="16534" t="s">
        <v>6251</v>
      </c>
      <c r="V27" s="16918" t="s">
        <v>6252</v>
      </c>
      <c r="W27" s="16534" t="s">
        <v>6253</v>
      </c>
      <c r="X27" s="16918" t="s">
        <v>6254</v>
      </c>
      <c r="Y27" s="16534" t="s">
        <v>6253</v>
      </c>
      <c r="Z27" s="5176" t="s">
        <v>10063</v>
      </c>
      <c r="AA27" s="7113" t="s">
        <v>724</v>
      </c>
      <c r="AB27" s="4602"/>
      <c r="AC27" s="16917">
        <v>10000000</v>
      </c>
      <c r="AD27" s="7338"/>
      <c r="AE27" s="16829"/>
      <c r="AF27" s="16829"/>
      <c r="AG27" s="16829"/>
      <c r="AH27" s="16829"/>
      <c r="AI27" s="16829"/>
      <c r="AJ27" s="16829"/>
      <c r="AK27" s="16829"/>
      <c r="AL27" s="16829"/>
      <c r="AM27" s="16829"/>
      <c r="AN27" s="16829"/>
      <c r="AO27" s="16829"/>
      <c r="AP27" s="16829"/>
      <c r="AQ27" s="16829"/>
      <c r="AR27" s="16829"/>
      <c r="AS27" s="16829"/>
      <c r="AT27" s="16829"/>
      <c r="AU27" s="16829"/>
      <c r="AV27" s="16829"/>
      <c r="AW27" s="16829"/>
      <c r="AX27" s="16829"/>
      <c r="AY27" s="16829"/>
      <c r="AZ27" s="16829"/>
      <c r="BA27" s="16829"/>
      <c r="BB27" s="16829"/>
      <c r="BC27" s="16829"/>
      <c r="BD27" s="16829"/>
      <c r="BE27" s="16829"/>
      <c r="BF27" s="16829"/>
      <c r="BG27" s="16829"/>
      <c r="BH27" s="16829"/>
      <c r="BI27" s="16829"/>
      <c r="BJ27" s="16829"/>
      <c r="BK27" s="16829"/>
      <c r="BL27" s="16829"/>
      <c r="BM27" s="16829"/>
      <c r="BN27" s="16829"/>
      <c r="BO27" s="16829"/>
      <c r="BP27" s="16829"/>
      <c r="BQ27" s="16829"/>
      <c r="BR27" s="16829"/>
      <c r="BS27" s="16829"/>
      <c r="BT27" s="16829"/>
      <c r="BU27" s="16829"/>
      <c r="BV27" s="16829"/>
      <c r="BW27" s="16829"/>
      <c r="BX27" s="16857"/>
    </row>
    <row r="28" spans="1:76" s="1599" customFormat="1" ht="15" customHeight="1">
      <c r="A28" s="7170" t="s">
        <v>6255</v>
      </c>
      <c r="B28" s="15456"/>
      <c r="C28" s="15359"/>
      <c r="D28" s="15359"/>
      <c r="E28" s="15456"/>
      <c r="F28" s="15456"/>
      <c r="G28" s="15456"/>
      <c r="H28" s="16906"/>
      <c r="I28" s="16659"/>
      <c r="J28" s="16911"/>
      <c r="K28" s="16782"/>
      <c r="L28" s="15456"/>
      <c r="M28" s="15456"/>
      <c r="N28" s="15456"/>
      <c r="O28" s="15456"/>
      <c r="P28" s="15456"/>
      <c r="Q28" s="15456"/>
      <c r="R28" s="15456"/>
      <c r="S28" s="15456"/>
      <c r="T28" s="15456"/>
      <c r="U28" s="15456"/>
      <c r="V28" s="16916"/>
      <c r="W28" s="15456"/>
      <c r="X28" s="16916"/>
      <c r="Y28" s="15456"/>
      <c r="Z28" s="5072" t="s">
        <v>329</v>
      </c>
      <c r="AA28" s="2616"/>
      <c r="AB28" s="2636" t="s">
        <v>329</v>
      </c>
      <c r="AC28" s="16830"/>
      <c r="AD28" s="2619"/>
      <c r="AE28" s="16830"/>
      <c r="AF28" s="16830"/>
      <c r="AG28" s="16830"/>
      <c r="AH28" s="16830"/>
      <c r="AI28" s="16830"/>
      <c r="AJ28" s="16830"/>
      <c r="AK28" s="16830"/>
      <c r="AL28" s="16830"/>
      <c r="AM28" s="16830"/>
      <c r="AN28" s="16830"/>
      <c r="AO28" s="16830"/>
      <c r="AP28" s="16830"/>
      <c r="AQ28" s="16830"/>
      <c r="AR28" s="16830"/>
      <c r="AS28" s="16830"/>
      <c r="AT28" s="16830"/>
      <c r="AU28" s="16830"/>
      <c r="AV28" s="16830"/>
      <c r="AW28" s="16830"/>
      <c r="AX28" s="16830"/>
      <c r="AY28" s="16830"/>
      <c r="AZ28" s="16830"/>
      <c r="BA28" s="16830"/>
      <c r="BB28" s="16830"/>
      <c r="BC28" s="16830"/>
      <c r="BD28" s="16830"/>
      <c r="BE28" s="16830"/>
      <c r="BF28" s="16830"/>
      <c r="BG28" s="16830"/>
      <c r="BH28" s="16830"/>
      <c r="BI28" s="16830"/>
      <c r="BJ28" s="16830"/>
      <c r="BK28" s="16830"/>
      <c r="BL28" s="16830"/>
      <c r="BM28" s="16830"/>
      <c r="BN28" s="16830"/>
      <c r="BO28" s="16830"/>
      <c r="BP28" s="16830"/>
      <c r="BQ28" s="16830"/>
      <c r="BR28" s="16830"/>
      <c r="BS28" s="16830"/>
      <c r="BT28" s="16830"/>
      <c r="BU28" s="16830"/>
      <c r="BV28" s="16830"/>
      <c r="BW28" s="16830"/>
      <c r="BX28" s="16858"/>
    </row>
    <row r="29" spans="1:76" s="1599" customFormat="1" ht="15" customHeight="1">
      <c r="A29" s="7170" t="s">
        <v>6256</v>
      </c>
      <c r="B29" s="15456"/>
      <c r="C29" s="15359"/>
      <c r="D29" s="15359"/>
      <c r="E29" s="15456"/>
      <c r="F29" s="15456"/>
      <c r="G29" s="15456"/>
      <c r="H29" s="16906"/>
      <c r="I29" s="16659"/>
      <c r="J29" s="16911"/>
      <c r="K29" s="16782"/>
      <c r="L29" s="15456"/>
      <c r="M29" s="15456"/>
      <c r="N29" s="15456"/>
      <c r="O29" s="15456"/>
      <c r="P29" s="15456"/>
      <c r="Q29" s="15456"/>
      <c r="R29" s="15456"/>
      <c r="S29" s="15456"/>
      <c r="T29" s="15456"/>
      <c r="U29" s="15456"/>
      <c r="V29" s="16916"/>
      <c r="W29" s="15456"/>
      <c r="X29" s="16916"/>
      <c r="Y29" s="15456"/>
      <c r="Z29" s="5072" t="s">
        <v>10194</v>
      </c>
      <c r="AA29" s="2616"/>
      <c r="AB29" s="2636" t="s">
        <v>10303</v>
      </c>
      <c r="AC29" s="16830"/>
      <c r="AD29" s="2619"/>
      <c r="AE29" s="16830"/>
      <c r="AF29" s="16830"/>
      <c r="AG29" s="16830"/>
      <c r="AH29" s="16830"/>
      <c r="AI29" s="16830"/>
      <c r="AJ29" s="16830"/>
      <c r="AK29" s="16830"/>
      <c r="AL29" s="16830"/>
      <c r="AM29" s="16830"/>
      <c r="AN29" s="16830"/>
      <c r="AO29" s="16830"/>
      <c r="AP29" s="16830"/>
      <c r="AQ29" s="16830"/>
      <c r="AR29" s="16830"/>
      <c r="AS29" s="16830"/>
      <c r="AT29" s="16830"/>
      <c r="AU29" s="16830"/>
      <c r="AV29" s="16830"/>
      <c r="AW29" s="16830"/>
      <c r="AX29" s="16830"/>
      <c r="AY29" s="16830"/>
      <c r="AZ29" s="16830"/>
      <c r="BA29" s="16830"/>
      <c r="BB29" s="16830"/>
      <c r="BC29" s="16830"/>
      <c r="BD29" s="16830"/>
      <c r="BE29" s="16830"/>
      <c r="BF29" s="16830"/>
      <c r="BG29" s="16830"/>
      <c r="BH29" s="16830"/>
      <c r="BI29" s="16830"/>
      <c r="BJ29" s="16830"/>
      <c r="BK29" s="16830"/>
      <c r="BL29" s="16830"/>
      <c r="BM29" s="16830"/>
      <c r="BN29" s="16830"/>
      <c r="BO29" s="16830"/>
      <c r="BP29" s="16830"/>
      <c r="BQ29" s="16830"/>
      <c r="BR29" s="16830"/>
      <c r="BS29" s="16830"/>
      <c r="BT29" s="16830"/>
      <c r="BU29" s="16830"/>
      <c r="BV29" s="16830"/>
      <c r="BW29" s="16830"/>
      <c r="BX29" s="16858"/>
    </row>
    <row r="30" spans="1:76" s="1599" customFormat="1" ht="15" customHeight="1">
      <c r="A30" s="7170" t="s">
        <v>6257</v>
      </c>
      <c r="B30" s="15456"/>
      <c r="C30" s="15359"/>
      <c r="D30" s="15359"/>
      <c r="E30" s="15456"/>
      <c r="F30" s="15456"/>
      <c r="G30" s="15456"/>
      <c r="H30" s="16906"/>
      <c r="I30" s="5161" t="s">
        <v>8297</v>
      </c>
      <c r="J30" s="4491" t="s">
        <v>6258</v>
      </c>
      <c r="K30" s="2616" t="s">
        <v>6259</v>
      </c>
      <c r="L30" s="2616" t="s">
        <v>6260</v>
      </c>
      <c r="M30" s="2616" t="s">
        <v>6261</v>
      </c>
      <c r="N30" s="2616" t="s">
        <v>6262</v>
      </c>
      <c r="O30" s="2616" t="s">
        <v>6263</v>
      </c>
      <c r="P30" s="2616" t="s">
        <v>6264</v>
      </c>
      <c r="Q30" s="2616" t="s">
        <v>6265</v>
      </c>
      <c r="R30" s="2616" t="s">
        <v>6266</v>
      </c>
      <c r="S30" s="2616" t="s">
        <v>6267</v>
      </c>
      <c r="T30" s="2616" t="s">
        <v>6268</v>
      </c>
      <c r="U30" s="2616" t="s">
        <v>6269</v>
      </c>
      <c r="V30" s="7137" t="s">
        <v>6270</v>
      </c>
      <c r="W30" s="2616" t="s">
        <v>6271</v>
      </c>
      <c r="X30" s="7137" t="s">
        <v>6272</v>
      </c>
      <c r="Y30" s="2616" t="s">
        <v>6273</v>
      </c>
      <c r="Z30" s="2616" t="s">
        <v>10063</v>
      </c>
      <c r="AA30" s="2616" t="s">
        <v>6232</v>
      </c>
      <c r="AB30" s="2636" t="s">
        <v>6274</v>
      </c>
      <c r="AC30" s="7151">
        <v>50000000</v>
      </c>
      <c r="AD30" s="7156"/>
      <c r="AE30" s="2636"/>
      <c r="AF30" s="2636"/>
      <c r="AG30" s="2636"/>
      <c r="AH30" s="2636"/>
      <c r="AI30" s="2636"/>
      <c r="AJ30" s="2636"/>
      <c r="AK30" s="2636"/>
      <c r="AL30" s="2636"/>
      <c r="AM30" s="2636"/>
      <c r="AN30" s="2636"/>
      <c r="AO30" s="2636"/>
      <c r="AP30" s="2636"/>
      <c r="AQ30" s="2636"/>
      <c r="AR30" s="2636"/>
      <c r="AS30" s="2636"/>
      <c r="AT30" s="2636"/>
      <c r="AU30" s="2636"/>
      <c r="AV30" s="2636"/>
      <c r="AW30" s="2636"/>
      <c r="AX30" s="2636"/>
      <c r="AY30" s="2636"/>
      <c r="AZ30" s="2636"/>
      <c r="BA30" s="2636"/>
      <c r="BB30" s="2636"/>
      <c r="BC30" s="2636"/>
      <c r="BD30" s="2636"/>
      <c r="BE30" s="2636"/>
      <c r="BF30" s="2636"/>
      <c r="BG30" s="2636"/>
      <c r="BH30" s="2636"/>
      <c r="BI30" s="2636"/>
      <c r="BJ30" s="2636"/>
      <c r="BK30" s="2636"/>
      <c r="BL30" s="2636"/>
      <c r="BM30" s="2636"/>
      <c r="BN30" s="2636"/>
      <c r="BO30" s="2636"/>
      <c r="BP30" s="2636"/>
      <c r="BQ30" s="2636"/>
      <c r="BR30" s="2636"/>
      <c r="BS30" s="2636"/>
      <c r="BT30" s="2636"/>
      <c r="BU30" s="2636"/>
      <c r="BV30" s="2636"/>
      <c r="BW30" s="2636"/>
      <c r="BX30" s="7252"/>
    </row>
    <row r="31" spans="1:76" s="1599" customFormat="1" ht="15" customHeight="1">
      <c r="A31" s="7169" t="s">
        <v>6275</v>
      </c>
      <c r="B31" s="15456"/>
      <c r="C31" s="15359"/>
      <c r="D31" s="15359"/>
      <c r="E31" s="15456"/>
      <c r="F31" s="15456"/>
      <c r="G31" s="15456"/>
      <c r="H31" s="16906"/>
      <c r="I31" s="5161" t="s">
        <v>8298</v>
      </c>
      <c r="J31" s="4491" t="s">
        <v>6276</v>
      </c>
      <c r="K31" s="2616" t="s">
        <v>6277</v>
      </c>
      <c r="L31" s="5072" t="s">
        <v>6278</v>
      </c>
      <c r="M31" s="5072" t="s">
        <v>6279</v>
      </c>
      <c r="N31" s="5072" t="s">
        <v>6280</v>
      </c>
      <c r="O31" s="5072" t="s">
        <v>6281</v>
      </c>
      <c r="P31" s="5072" t="s">
        <v>6282</v>
      </c>
      <c r="Q31" s="5072" t="s">
        <v>6283</v>
      </c>
      <c r="R31" s="5072" t="s">
        <v>6284</v>
      </c>
      <c r="S31" s="5072" t="s">
        <v>6285</v>
      </c>
      <c r="T31" s="5072" t="s">
        <v>6286</v>
      </c>
      <c r="U31" s="5072" t="s">
        <v>6287</v>
      </c>
      <c r="V31" s="4769" t="s">
        <v>6288</v>
      </c>
      <c r="W31" s="5072" t="s">
        <v>6289</v>
      </c>
      <c r="X31" s="7165" t="s">
        <v>6290</v>
      </c>
      <c r="Y31" s="5072" t="s">
        <v>6291</v>
      </c>
      <c r="Z31" s="5072" t="s">
        <v>10063</v>
      </c>
      <c r="AA31" s="5072" t="s">
        <v>144</v>
      </c>
      <c r="AB31" s="2615"/>
      <c r="AC31" s="7152">
        <v>10000000</v>
      </c>
      <c r="AD31" s="715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c r="BA31" s="2615"/>
      <c r="BB31" s="2615"/>
      <c r="BC31" s="2615"/>
      <c r="BD31" s="2615"/>
      <c r="BE31" s="2615"/>
      <c r="BF31" s="2615"/>
      <c r="BG31" s="2615"/>
      <c r="BH31" s="2615"/>
      <c r="BI31" s="2615"/>
      <c r="BJ31" s="2615"/>
      <c r="BK31" s="2615"/>
      <c r="BL31" s="2615"/>
      <c r="BM31" s="2615"/>
      <c r="BN31" s="2615"/>
      <c r="BO31" s="2615"/>
      <c r="BP31" s="2615"/>
      <c r="BQ31" s="2615"/>
      <c r="BR31" s="2615"/>
      <c r="BS31" s="2615"/>
      <c r="BT31" s="2615"/>
      <c r="BU31" s="2615"/>
      <c r="BV31" s="2615"/>
      <c r="BW31" s="2615"/>
      <c r="BX31" s="7253"/>
    </row>
    <row r="32" spans="1:76" s="1599" customFormat="1" ht="15" customHeight="1">
      <c r="A32" s="16844" t="s">
        <v>6292</v>
      </c>
      <c r="B32" s="15456"/>
      <c r="C32" s="15359"/>
      <c r="D32" s="15359"/>
      <c r="E32" s="15456"/>
      <c r="F32" s="15456"/>
      <c r="G32" s="15456"/>
      <c r="H32" s="16906"/>
      <c r="I32" s="16659" t="s">
        <v>8299</v>
      </c>
      <c r="J32" s="15340" t="s">
        <v>6293</v>
      </c>
      <c r="K32" s="15456" t="s">
        <v>6294</v>
      </c>
      <c r="L32" s="15456" t="s">
        <v>6295</v>
      </c>
      <c r="M32" s="15456" t="s">
        <v>6296</v>
      </c>
      <c r="N32" s="15456" t="s">
        <v>6297</v>
      </c>
      <c r="O32" s="15456" t="s">
        <v>6298</v>
      </c>
      <c r="P32" s="15456" t="s">
        <v>6299</v>
      </c>
      <c r="Q32" s="15456" t="s">
        <v>6300</v>
      </c>
      <c r="R32" s="15456" t="s">
        <v>6301</v>
      </c>
      <c r="S32" s="15456" t="s">
        <v>6302</v>
      </c>
      <c r="T32" s="15456" t="s">
        <v>6303</v>
      </c>
      <c r="U32" s="15456" t="s">
        <v>6304</v>
      </c>
      <c r="V32" s="16916" t="s">
        <v>6305</v>
      </c>
      <c r="W32" s="15456" t="s">
        <v>6306</v>
      </c>
      <c r="X32" s="16916" t="s">
        <v>6307</v>
      </c>
      <c r="Y32" s="15456" t="s">
        <v>6308</v>
      </c>
      <c r="Z32" s="2616" t="s">
        <v>10063</v>
      </c>
      <c r="AA32" s="15456" t="s">
        <v>6309</v>
      </c>
      <c r="AB32" s="2602"/>
      <c r="AC32" s="7151">
        <f>30000000+((2524000*10)*10)/3</f>
        <v>114133333.33333333</v>
      </c>
      <c r="AD32" s="715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c r="BA32" s="2616"/>
      <c r="BB32" s="2616"/>
      <c r="BC32" s="2616"/>
      <c r="BD32" s="2616"/>
      <c r="BE32" s="2616"/>
      <c r="BF32" s="2616"/>
      <c r="BG32" s="2616"/>
      <c r="BH32" s="2616"/>
      <c r="BI32" s="2616"/>
      <c r="BJ32" s="2616"/>
      <c r="BK32" s="2616"/>
      <c r="BL32" s="2616"/>
      <c r="BM32" s="2616"/>
      <c r="BN32" s="2616"/>
      <c r="BO32" s="2616"/>
      <c r="BP32" s="2616"/>
      <c r="BQ32" s="2616"/>
      <c r="BR32" s="2616"/>
      <c r="BS32" s="2616"/>
      <c r="BT32" s="2616"/>
      <c r="BU32" s="2616"/>
      <c r="BV32" s="2616"/>
      <c r="BW32" s="2616"/>
      <c r="BX32" s="7254"/>
    </row>
    <row r="33" spans="1:76" s="1599" customFormat="1" ht="15" customHeight="1">
      <c r="A33" s="16845"/>
      <c r="B33" s="15456"/>
      <c r="C33" s="15359"/>
      <c r="D33" s="15359"/>
      <c r="E33" s="15456"/>
      <c r="F33" s="15456"/>
      <c r="G33" s="15456"/>
      <c r="H33" s="16906"/>
      <c r="I33" s="16659"/>
      <c r="J33" s="15340"/>
      <c r="K33" s="15456"/>
      <c r="L33" s="15456"/>
      <c r="M33" s="15456"/>
      <c r="N33" s="15456"/>
      <c r="O33" s="15456"/>
      <c r="P33" s="15456"/>
      <c r="Q33" s="15456"/>
      <c r="R33" s="15456"/>
      <c r="S33" s="15456"/>
      <c r="T33" s="15456"/>
      <c r="U33" s="15456"/>
      <c r="V33" s="16916"/>
      <c r="W33" s="15456"/>
      <c r="X33" s="16916"/>
      <c r="Y33" s="15456"/>
      <c r="Z33" s="2616" t="s">
        <v>86</v>
      </c>
      <c r="AA33" s="15456"/>
      <c r="AB33" s="2616"/>
      <c r="AC33" s="7151"/>
      <c r="AD33" s="715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c r="BA33" s="2616"/>
      <c r="BB33" s="2616"/>
      <c r="BC33" s="2616"/>
      <c r="BD33" s="2616"/>
      <c r="BE33" s="2616"/>
      <c r="BF33" s="2616"/>
      <c r="BG33" s="2616"/>
      <c r="BH33" s="2616"/>
      <c r="BI33" s="2616"/>
      <c r="BJ33" s="2616"/>
      <c r="BK33" s="2616"/>
      <c r="BL33" s="2616"/>
      <c r="BM33" s="2616"/>
      <c r="BN33" s="2616"/>
      <c r="BO33" s="2616"/>
      <c r="BP33" s="2616"/>
      <c r="BQ33" s="2616"/>
      <c r="BR33" s="2616"/>
      <c r="BS33" s="2616"/>
      <c r="BT33" s="2616"/>
      <c r="BU33" s="2616"/>
      <c r="BV33" s="2616"/>
      <c r="BW33" s="2616"/>
      <c r="BX33" s="7254"/>
    </row>
    <row r="34" spans="1:76" s="1599" customFormat="1" ht="15" customHeight="1">
      <c r="A34" s="16845"/>
      <c r="B34" s="15456"/>
      <c r="C34" s="15359"/>
      <c r="D34" s="15359"/>
      <c r="E34" s="15456"/>
      <c r="F34" s="15456"/>
      <c r="G34" s="15456"/>
      <c r="H34" s="16906"/>
      <c r="I34" s="16659"/>
      <c r="J34" s="15340"/>
      <c r="K34" s="15456"/>
      <c r="L34" s="15456"/>
      <c r="M34" s="15456"/>
      <c r="N34" s="15456"/>
      <c r="O34" s="15456"/>
      <c r="P34" s="15456"/>
      <c r="Q34" s="15456"/>
      <c r="R34" s="15456"/>
      <c r="S34" s="15456"/>
      <c r="T34" s="15456"/>
      <c r="U34" s="15456"/>
      <c r="V34" s="16916"/>
      <c r="W34" s="15456"/>
      <c r="X34" s="16916"/>
      <c r="Y34" s="15456"/>
      <c r="Z34" s="2616" t="s">
        <v>218</v>
      </c>
      <c r="AA34" s="15456"/>
      <c r="AB34" s="2616"/>
      <c r="AC34" s="7151"/>
      <c r="AD34" s="715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c r="BA34" s="2616"/>
      <c r="BB34" s="2616"/>
      <c r="BC34" s="2616"/>
      <c r="BD34" s="2616"/>
      <c r="BE34" s="2616"/>
      <c r="BF34" s="2616"/>
      <c r="BG34" s="2616"/>
      <c r="BH34" s="2616"/>
      <c r="BI34" s="2616"/>
      <c r="BJ34" s="2616"/>
      <c r="BK34" s="2616"/>
      <c r="BL34" s="2616"/>
      <c r="BM34" s="2616"/>
      <c r="BN34" s="2616"/>
      <c r="BO34" s="2616"/>
      <c r="BP34" s="2616"/>
      <c r="BQ34" s="2616"/>
      <c r="BR34" s="2616"/>
      <c r="BS34" s="2616"/>
      <c r="BT34" s="2616"/>
      <c r="BU34" s="2616"/>
      <c r="BV34" s="2616"/>
      <c r="BW34" s="2616"/>
      <c r="BX34" s="7254"/>
    </row>
    <row r="35" spans="1:76" s="1599" customFormat="1" ht="15" customHeight="1">
      <c r="A35" s="16658"/>
      <c r="B35" s="15456"/>
      <c r="C35" s="15359"/>
      <c r="D35" s="15359"/>
      <c r="E35" s="15456"/>
      <c r="F35" s="15456"/>
      <c r="G35" s="15456"/>
      <c r="H35" s="16906"/>
      <c r="I35" s="16659"/>
      <c r="J35" s="15340"/>
      <c r="K35" s="15456"/>
      <c r="L35" s="15456"/>
      <c r="M35" s="15456"/>
      <c r="N35" s="15456"/>
      <c r="O35" s="15456"/>
      <c r="P35" s="15456"/>
      <c r="Q35" s="15456"/>
      <c r="R35" s="15456"/>
      <c r="S35" s="15456"/>
      <c r="T35" s="15456"/>
      <c r="U35" s="15456"/>
      <c r="V35" s="16916"/>
      <c r="W35" s="15456"/>
      <c r="X35" s="16916"/>
      <c r="Y35" s="15456"/>
      <c r="Z35" s="2616" t="s">
        <v>4321</v>
      </c>
      <c r="AA35" s="2616"/>
      <c r="AB35" s="2616" t="s">
        <v>6310</v>
      </c>
      <c r="AC35" s="7151"/>
      <c r="AD35" s="715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c r="BA35" s="2616"/>
      <c r="BB35" s="2616"/>
      <c r="BC35" s="2616"/>
      <c r="BD35" s="2616"/>
      <c r="BE35" s="2616"/>
      <c r="BF35" s="2616"/>
      <c r="BG35" s="2616"/>
      <c r="BH35" s="2616"/>
      <c r="BI35" s="2616"/>
      <c r="BJ35" s="2616"/>
      <c r="BK35" s="2616"/>
      <c r="BL35" s="2616"/>
      <c r="BM35" s="2616"/>
      <c r="BN35" s="2616"/>
      <c r="BO35" s="2616"/>
      <c r="BP35" s="2616"/>
      <c r="BQ35" s="2616"/>
      <c r="BR35" s="2616"/>
      <c r="BS35" s="2616"/>
      <c r="BT35" s="2616"/>
      <c r="BU35" s="2616"/>
      <c r="BV35" s="2616"/>
      <c r="BW35" s="2616"/>
      <c r="BX35" s="7254"/>
    </row>
    <row r="36" spans="1:76" s="1599" customFormat="1" ht="15" customHeight="1" thickBot="1">
      <c r="A36" s="7170" t="s">
        <v>6311</v>
      </c>
      <c r="B36" s="15456"/>
      <c r="C36" s="15359"/>
      <c r="D36" s="15359"/>
      <c r="E36" s="15456"/>
      <c r="F36" s="15456"/>
      <c r="G36" s="15456"/>
      <c r="H36" s="16906"/>
      <c r="I36" s="5162" t="s">
        <v>8300</v>
      </c>
      <c r="J36" s="1634" t="s">
        <v>6312</v>
      </c>
      <c r="K36" s="5073" t="s">
        <v>6313</v>
      </c>
      <c r="L36" s="5073" t="s">
        <v>6314</v>
      </c>
      <c r="M36" s="5073" t="s">
        <v>6315</v>
      </c>
      <c r="N36" s="5073" t="s">
        <v>6316</v>
      </c>
      <c r="O36" s="5073" t="s">
        <v>6317</v>
      </c>
      <c r="P36" s="5073" t="s">
        <v>6318</v>
      </c>
      <c r="Q36" s="5073" t="s">
        <v>6319</v>
      </c>
      <c r="R36" s="5073" t="s">
        <v>6320</v>
      </c>
      <c r="S36" s="5073" t="s">
        <v>6321</v>
      </c>
      <c r="T36" s="5073" t="s">
        <v>6322</v>
      </c>
      <c r="U36" s="5073" t="s">
        <v>6323</v>
      </c>
      <c r="V36" s="6768" t="s">
        <v>6324</v>
      </c>
      <c r="W36" s="5073" t="s">
        <v>6325</v>
      </c>
      <c r="X36" s="6768" t="s">
        <v>6326</v>
      </c>
      <c r="Y36" s="5073" t="s">
        <v>6325</v>
      </c>
      <c r="Z36" s="5073" t="s">
        <v>10063</v>
      </c>
      <c r="AA36" s="5073" t="s">
        <v>6327</v>
      </c>
      <c r="AB36" s="5073"/>
      <c r="AC36" s="7321">
        <f>11000000*10</f>
        <v>110000000</v>
      </c>
      <c r="AD36" s="7339"/>
      <c r="AE36" s="5073"/>
      <c r="AF36" s="5073"/>
      <c r="AG36" s="5073"/>
      <c r="AH36" s="5073"/>
      <c r="AI36" s="5073"/>
      <c r="AJ36" s="5073"/>
      <c r="AK36" s="5073"/>
      <c r="AL36" s="5073"/>
      <c r="AM36" s="5073"/>
      <c r="AN36" s="5073"/>
      <c r="AO36" s="5073"/>
      <c r="AP36" s="5073"/>
      <c r="AQ36" s="5073"/>
      <c r="AR36" s="5073"/>
      <c r="AS36" s="5073"/>
      <c r="AT36" s="5073"/>
      <c r="AU36" s="5073"/>
      <c r="AV36" s="5073"/>
      <c r="AW36" s="5073"/>
      <c r="AX36" s="5073"/>
      <c r="AY36" s="5073"/>
      <c r="AZ36" s="5073"/>
      <c r="BA36" s="5073"/>
      <c r="BB36" s="5073"/>
      <c r="BC36" s="5073"/>
      <c r="BD36" s="5073"/>
      <c r="BE36" s="5073"/>
      <c r="BF36" s="5073"/>
      <c r="BG36" s="5073"/>
      <c r="BH36" s="5073"/>
      <c r="BI36" s="5073"/>
      <c r="BJ36" s="5073"/>
      <c r="BK36" s="5073"/>
      <c r="BL36" s="5073"/>
      <c r="BM36" s="5073"/>
      <c r="BN36" s="5073"/>
      <c r="BO36" s="5073"/>
      <c r="BP36" s="5073"/>
      <c r="BQ36" s="5073"/>
      <c r="BR36" s="5073"/>
      <c r="BS36" s="5073"/>
      <c r="BT36" s="5073"/>
      <c r="BU36" s="5073"/>
      <c r="BV36" s="5073"/>
      <c r="BW36" s="5073"/>
      <c r="BX36" s="6723"/>
    </row>
    <row r="37" spans="1:76" s="7194" customFormat="1" ht="15" customHeight="1">
      <c r="A37" s="7192" t="s">
        <v>6328</v>
      </c>
      <c r="B37" s="16833" t="s">
        <v>6329</v>
      </c>
      <c r="C37" s="15359"/>
      <c r="D37" s="15359"/>
      <c r="E37" s="15456"/>
      <c r="F37" s="16833" t="s">
        <v>6330</v>
      </c>
      <c r="G37" s="16833" t="s">
        <v>6331</v>
      </c>
      <c r="H37" s="16924" t="s">
        <v>6332</v>
      </c>
      <c r="I37" s="16851" t="s">
        <v>8301</v>
      </c>
      <c r="J37" s="16925" t="s">
        <v>6333</v>
      </c>
      <c r="K37" s="16927" t="s">
        <v>6334</v>
      </c>
      <c r="L37" s="16871" t="s">
        <v>6335</v>
      </c>
      <c r="M37" s="16871" t="s">
        <v>6336</v>
      </c>
      <c r="N37" s="16871" t="s">
        <v>6337</v>
      </c>
      <c r="O37" s="16871" t="s">
        <v>6338</v>
      </c>
      <c r="P37" s="16871" t="s">
        <v>6339</v>
      </c>
      <c r="Q37" s="16871" t="s">
        <v>6340</v>
      </c>
      <c r="R37" s="16871" t="s">
        <v>6341</v>
      </c>
      <c r="S37" s="16871" t="s">
        <v>6342</v>
      </c>
      <c r="T37" s="16871" t="s">
        <v>6343</v>
      </c>
      <c r="U37" s="16871" t="s">
        <v>6344</v>
      </c>
      <c r="V37" s="16928" t="s">
        <v>6345</v>
      </c>
      <c r="W37" s="16871" t="s">
        <v>6346</v>
      </c>
      <c r="X37" s="16928" t="s">
        <v>6347</v>
      </c>
      <c r="Y37" s="16871" t="s">
        <v>6348</v>
      </c>
      <c r="Z37" s="7205" t="s">
        <v>10290</v>
      </c>
      <c r="AA37" s="16871" t="s">
        <v>6349</v>
      </c>
      <c r="AB37" s="16831" t="s">
        <v>6350</v>
      </c>
      <c r="AC37" s="16930">
        <f>60576000+((2524000*10)*10)/3</f>
        <v>144709333.33333331</v>
      </c>
      <c r="AD37" s="7338"/>
      <c r="AE37" s="16831"/>
      <c r="AF37" s="16831"/>
      <c r="AG37" s="16831"/>
      <c r="AH37" s="16831"/>
      <c r="AI37" s="16831"/>
      <c r="AJ37" s="16831"/>
      <c r="AK37" s="16831"/>
      <c r="AL37" s="16831"/>
      <c r="AM37" s="16831"/>
      <c r="AN37" s="16831"/>
      <c r="AO37" s="16831"/>
      <c r="AP37" s="16831"/>
      <c r="AQ37" s="16831"/>
      <c r="AR37" s="16831"/>
      <c r="AS37" s="16831"/>
      <c r="AT37" s="16831"/>
      <c r="AU37" s="16831"/>
      <c r="AV37" s="16831"/>
      <c r="AW37" s="16831"/>
      <c r="AX37" s="16831"/>
      <c r="AY37" s="16831"/>
      <c r="AZ37" s="16831"/>
      <c r="BA37" s="16831"/>
      <c r="BB37" s="16831"/>
      <c r="BC37" s="16831"/>
      <c r="BD37" s="16831"/>
      <c r="BE37" s="16831"/>
      <c r="BF37" s="16831"/>
      <c r="BG37" s="16831"/>
      <c r="BH37" s="16831"/>
      <c r="BI37" s="16831"/>
      <c r="BJ37" s="16831"/>
      <c r="BK37" s="16831"/>
      <c r="BL37" s="16831"/>
      <c r="BM37" s="16831"/>
      <c r="BN37" s="16831"/>
      <c r="BO37" s="16831"/>
      <c r="BP37" s="16831"/>
      <c r="BQ37" s="16831"/>
      <c r="BR37" s="16831"/>
      <c r="BS37" s="16831"/>
      <c r="BT37" s="16831"/>
      <c r="BU37" s="16831"/>
      <c r="BV37" s="16831"/>
      <c r="BW37" s="16831"/>
      <c r="BX37" s="16859"/>
    </row>
    <row r="38" spans="1:76" s="7194" customFormat="1" ht="15" customHeight="1">
      <c r="A38" s="7192" t="s">
        <v>6351</v>
      </c>
      <c r="B38" s="16833"/>
      <c r="C38" s="15359"/>
      <c r="D38" s="15359"/>
      <c r="E38" s="15456"/>
      <c r="F38" s="16833"/>
      <c r="G38" s="16833"/>
      <c r="H38" s="16924"/>
      <c r="I38" s="16879"/>
      <c r="J38" s="16926"/>
      <c r="K38" s="16922"/>
      <c r="L38" s="16833"/>
      <c r="M38" s="16833"/>
      <c r="N38" s="16833"/>
      <c r="O38" s="16833"/>
      <c r="P38" s="16833"/>
      <c r="Q38" s="16833"/>
      <c r="R38" s="16833"/>
      <c r="S38" s="16833"/>
      <c r="T38" s="16833"/>
      <c r="U38" s="16833"/>
      <c r="V38" s="16929"/>
      <c r="W38" s="16833"/>
      <c r="X38" s="16929"/>
      <c r="Y38" s="16833"/>
      <c r="Z38" s="7193" t="s">
        <v>10063</v>
      </c>
      <c r="AA38" s="16833"/>
      <c r="AB38" s="16832"/>
      <c r="AC38" s="16931"/>
      <c r="AD38" s="7155"/>
      <c r="AE38" s="16832"/>
      <c r="AF38" s="16832"/>
      <c r="AG38" s="16832"/>
      <c r="AH38" s="16832"/>
      <c r="AI38" s="16832"/>
      <c r="AJ38" s="16832"/>
      <c r="AK38" s="16832"/>
      <c r="AL38" s="16832"/>
      <c r="AM38" s="16832"/>
      <c r="AN38" s="16832"/>
      <c r="AO38" s="16832"/>
      <c r="AP38" s="16832"/>
      <c r="AQ38" s="16832"/>
      <c r="AR38" s="16832"/>
      <c r="AS38" s="16832"/>
      <c r="AT38" s="16832"/>
      <c r="AU38" s="16832"/>
      <c r="AV38" s="16832"/>
      <c r="AW38" s="16832"/>
      <c r="AX38" s="16832"/>
      <c r="AY38" s="16832"/>
      <c r="AZ38" s="16832"/>
      <c r="BA38" s="16832"/>
      <c r="BB38" s="16832"/>
      <c r="BC38" s="16832"/>
      <c r="BD38" s="16832"/>
      <c r="BE38" s="16832"/>
      <c r="BF38" s="16832"/>
      <c r="BG38" s="16832"/>
      <c r="BH38" s="16832"/>
      <c r="BI38" s="16832"/>
      <c r="BJ38" s="16832"/>
      <c r="BK38" s="16832"/>
      <c r="BL38" s="16832"/>
      <c r="BM38" s="16832"/>
      <c r="BN38" s="16832"/>
      <c r="BO38" s="16832"/>
      <c r="BP38" s="16832"/>
      <c r="BQ38" s="16832"/>
      <c r="BR38" s="16832"/>
      <c r="BS38" s="16832"/>
      <c r="BT38" s="16832"/>
      <c r="BU38" s="16832"/>
      <c r="BV38" s="16832"/>
      <c r="BW38" s="16832"/>
      <c r="BX38" s="16860"/>
    </row>
    <row r="39" spans="1:76" s="7194" customFormat="1" ht="15" customHeight="1">
      <c r="A39" s="7192" t="s">
        <v>6352</v>
      </c>
      <c r="B39" s="16833"/>
      <c r="C39" s="15359"/>
      <c r="D39" s="15359"/>
      <c r="E39" s="15456"/>
      <c r="F39" s="16833"/>
      <c r="G39" s="16833"/>
      <c r="H39" s="16924"/>
      <c r="I39" s="16879" t="s">
        <v>8302</v>
      </c>
      <c r="J39" s="16926" t="s">
        <v>6353</v>
      </c>
      <c r="K39" s="16922" t="s">
        <v>6354</v>
      </c>
      <c r="L39" s="16833" t="s">
        <v>6335</v>
      </c>
      <c r="M39" s="16833" t="s">
        <v>6355</v>
      </c>
      <c r="N39" s="16833" t="s">
        <v>545</v>
      </c>
      <c r="O39" s="16833" t="s">
        <v>545</v>
      </c>
      <c r="P39" s="16833" t="s">
        <v>6356</v>
      </c>
      <c r="Q39" s="16833" t="s">
        <v>545</v>
      </c>
      <c r="R39" s="16833" t="s">
        <v>545</v>
      </c>
      <c r="S39" s="16833" t="s">
        <v>6357</v>
      </c>
      <c r="T39" s="16833" t="s">
        <v>545</v>
      </c>
      <c r="U39" s="16833" t="s">
        <v>545</v>
      </c>
      <c r="V39" s="16929" t="s">
        <v>6358</v>
      </c>
      <c r="W39" s="16833" t="s">
        <v>6359</v>
      </c>
      <c r="X39" s="16929" t="s">
        <v>6360</v>
      </c>
      <c r="Y39" s="16833" t="s">
        <v>6361</v>
      </c>
      <c r="Z39" s="7193" t="s">
        <v>10290</v>
      </c>
      <c r="AA39" s="16833" t="s">
        <v>6362</v>
      </c>
      <c r="AB39" s="16833"/>
      <c r="AC39" s="16931">
        <v>60517000</v>
      </c>
      <c r="AD39" s="7155"/>
      <c r="AE39" s="16833"/>
      <c r="AF39" s="16833"/>
      <c r="AG39" s="16833"/>
      <c r="AH39" s="16833"/>
      <c r="AI39" s="16833"/>
      <c r="AJ39" s="16833"/>
      <c r="AK39" s="16833"/>
      <c r="AL39" s="16833"/>
      <c r="AM39" s="16833"/>
      <c r="AN39" s="16833"/>
      <c r="AO39" s="16833"/>
      <c r="AP39" s="16833"/>
      <c r="AQ39" s="16833"/>
      <c r="AR39" s="16833"/>
      <c r="AS39" s="16833"/>
      <c r="AT39" s="16833"/>
      <c r="AU39" s="16833"/>
      <c r="AV39" s="16833"/>
      <c r="AW39" s="16833"/>
      <c r="AX39" s="16833"/>
      <c r="AY39" s="16833"/>
      <c r="AZ39" s="16833"/>
      <c r="BA39" s="16833"/>
      <c r="BB39" s="16833"/>
      <c r="BC39" s="16833"/>
      <c r="BD39" s="16833"/>
      <c r="BE39" s="16833"/>
      <c r="BF39" s="16833"/>
      <c r="BG39" s="16833"/>
      <c r="BH39" s="16833"/>
      <c r="BI39" s="16833"/>
      <c r="BJ39" s="16833"/>
      <c r="BK39" s="16833"/>
      <c r="BL39" s="16833"/>
      <c r="BM39" s="16833"/>
      <c r="BN39" s="16833"/>
      <c r="BO39" s="16833"/>
      <c r="BP39" s="16833"/>
      <c r="BQ39" s="16833"/>
      <c r="BR39" s="16833"/>
      <c r="BS39" s="16833"/>
      <c r="BT39" s="16833"/>
      <c r="BU39" s="16833"/>
      <c r="BV39" s="16833"/>
      <c r="BW39" s="16833"/>
      <c r="BX39" s="16861"/>
    </row>
    <row r="40" spans="1:76" s="7194" customFormat="1" ht="15" customHeight="1" thickBot="1">
      <c r="A40" s="7192" t="s">
        <v>6363</v>
      </c>
      <c r="B40" s="16833"/>
      <c r="C40" s="15359"/>
      <c r="D40" s="15359"/>
      <c r="E40" s="15456"/>
      <c r="F40" s="16833"/>
      <c r="G40" s="16833"/>
      <c r="H40" s="16924"/>
      <c r="I40" s="16896"/>
      <c r="J40" s="16939"/>
      <c r="K40" s="16923"/>
      <c r="L40" s="16834"/>
      <c r="M40" s="16834"/>
      <c r="N40" s="16834"/>
      <c r="O40" s="16834"/>
      <c r="P40" s="16834"/>
      <c r="Q40" s="16834"/>
      <c r="R40" s="16834"/>
      <c r="S40" s="16834"/>
      <c r="T40" s="16834"/>
      <c r="U40" s="16834"/>
      <c r="V40" s="16938"/>
      <c r="W40" s="16834"/>
      <c r="X40" s="16938"/>
      <c r="Y40" s="16834"/>
      <c r="Z40" s="7320" t="s">
        <v>10066</v>
      </c>
      <c r="AA40" s="16834"/>
      <c r="AB40" s="16834"/>
      <c r="AC40" s="16934"/>
      <c r="AD40" s="7339"/>
      <c r="AE40" s="16834"/>
      <c r="AF40" s="16834"/>
      <c r="AG40" s="16834"/>
      <c r="AH40" s="16834"/>
      <c r="AI40" s="16834"/>
      <c r="AJ40" s="16834"/>
      <c r="AK40" s="16834"/>
      <c r="AL40" s="16834"/>
      <c r="AM40" s="16834"/>
      <c r="AN40" s="16834"/>
      <c r="AO40" s="16834"/>
      <c r="AP40" s="16834"/>
      <c r="AQ40" s="16834"/>
      <c r="AR40" s="16834"/>
      <c r="AS40" s="16834"/>
      <c r="AT40" s="16834"/>
      <c r="AU40" s="16834"/>
      <c r="AV40" s="16834"/>
      <c r="AW40" s="16834"/>
      <c r="AX40" s="16834"/>
      <c r="AY40" s="16834"/>
      <c r="AZ40" s="16834"/>
      <c r="BA40" s="16834"/>
      <c r="BB40" s="16834"/>
      <c r="BC40" s="16834"/>
      <c r="BD40" s="16834"/>
      <c r="BE40" s="16834"/>
      <c r="BF40" s="16834"/>
      <c r="BG40" s="16834"/>
      <c r="BH40" s="16834"/>
      <c r="BI40" s="16834"/>
      <c r="BJ40" s="16834"/>
      <c r="BK40" s="16834"/>
      <c r="BL40" s="16834"/>
      <c r="BM40" s="16834"/>
      <c r="BN40" s="16834"/>
      <c r="BO40" s="16834"/>
      <c r="BP40" s="16834"/>
      <c r="BQ40" s="16834"/>
      <c r="BR40" s="16834"/>
      <c r="BS40" s="16834"/>
      <c r="BT40" s="16834"/>
      <c r="BU40" s="16834"/>
      <c r="BV40" s="16834"/>
      <c r="BW40" s="16834"/>
      <c r="BX40" s="16862"/>
    </row>
    <row r="41" spans="1:76" s="7196" customFormat="1" ht="15" customHeight="1">
      <c r="A41" s="16846" t="s">
        <v>6364</v>
      </c>
      <c r="B41" s="16835" t="s">
        <v>6365</v>
      </c>
      <c r="C41" s="15359"/>
      <c r="D41" s="15359"/>
      <c r="E41" s="15456"/>
      <c r="F41" s="16835" t="s">
        <v>6366</v>
      </c>
      <c r="G41" s="16835" t="s">
        <v>6367</v>
      </c>
      <c r="H41" s="16919" t="s">
        <v>6368</v>
      </c>
      <c r="I41" s="16848" t="s">
        <v>8303</v>
      </c>
      <c r="J41" s="16940" t="s">
        <v>6369</v>
      </c>
      <c r="K41" s="16876" t="s">
        <v>6370</v>
      </c>
      <c r="L41" s="16876" t="s">
        <v>6371</v>
      </c>
      <c r="M41" s="16876" t="s">
        <v>545</v>
      </c>
      <c r="N41" s="16876" t="s">
        <v>6372</v>
      </c>
      <c r="O41" s="16876" t="s">
        <v>545</v>
      </c>
      <c r="P41" s="16876" t="s">
        <v>545</v>
      </c>
      <c r="Q41" s="16876" t="s">
        <v>545</v>
      </c>
      <c r="R41" s="16876" t="s">
        <v>545</v>
      </c>
      <c r="S41" s="16876" t="s">
        <v>545</v>
      </c>
      <c r="T41" s="16876" t="s">
        <v>545</v>
      </c>
      <c r="U41" s="16876" t="s">
        <v>545</v>
      </c>
      <c r="V41" s="16877" t="s">
        <v>6373</v>
      </c>
      <c r="W41" s="16876" t="s">
        <v>6374</v>
      </c>
      <c r="X41" s="16877" t="s">
        <v>6375</v>
      </c>
      <c r="Y41" s="16876" t="s">
        <v>6376</v>
      </c>
      <c r="Z41" s="286" t="s">
        <v>10063</v>
      </c>
      <c r="AA41" s="286" t="s">
        <v>724</v>
      </c>
      <c r="AB41" s="7317"/>
      <c r="AC41" s="7318">
        <v>50000000</v>
      </c>
      <c r="AD41" s="7340"/>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7319"/>
    </row>
    <row r="42" spans="1:76" s="7196" customFormat="1" ht="15" customHeight="1">
      <c r="A42" s="16847"/>
      <c r="B42" s="16835"/>
      <c r="C42" s="15359"/>
      <c r="D42" s="15359"/>
      <c r="E42" s="15456"/>
      <c r="F42" s="16835"/>
      <c r="G42" s="16835"/>
      <c r="H42" s="16919"/>
      <c r="I42" s="16897"/>
      <c r="J42" s="16941"/>
      <c r="K42" s="16835"/>
      <c r="L42" s="16835"/>
      <c r="M42" s="16835"/>
      <c r="N42" s="16835"/>
      <c r="O42" s="16835"/>
      <c r="P42" s="16835"/>
      <c r="Q42" s="16835"/>
      <c r="R42" s="16835"/>
      <c r="S42" s="16835"/>
      <c r="T42" s="16835"/>
      <c r="U42" s="16835"/>
      <c r="V42" s="16878"/>
      <c r="W42" s="16835"/>
      <c r="X42" s="16878"/>
      <c r="Y42" s="16835"/>
      <c r="Z42" s="7195" t="s">
        <v>10194</v>
      </c>
      <c r="AA42" s="7195"/>
      <c r="AB42" s="7195" t="s">
        <v>6377</v>
      </c>
      <c r="AC42" s="7236"/>
      <c r="AD42" s="7157"/>
      <c r="AE42" s="7195"/>
      <c r="AF42" s="7195"/>
      <c r="AG42" s="7195"/>
      <c r="AH42" s="7195"/>
      <c r="AI42" s="7195"/>
      <c r="AJ42" s="7195"/>
      <c r="AK42" s="7195"/>
      <c r="AL42" s="7195"/>
      <c r="AM42" s="7195"/>
      <c r="AN42" s="7195"/>
      <c r="AO42" s="7195"/>
      <c r="AP42" s="7195"/>
      <c r="AQ42" s="7195"/>
      <c r="AR42" s="7195"/>
      <c r="AS42" s="7195"/>
      <c r="AT42" s="7195"/>
      <c r="AU42" s="7195"/>
      <c r="AV42" s="7195"/>
      <c r="AW42" s="7195"/>
      <c r="AX42" s="7195"/>
      <c r="AY42" s="7195"/>
      <c r="AZ42" s="7195"/>
      <c r="BA42" s="7195"/>
      <c r="BB42" s="7195"/>
      <c r="BC42" s="7195"/>
      <c r="BD42" s="7195"/>
      <c r="BE42" s="7195"/>
      <c r="BF42" s="7195"/>
      <c r="BG42" s="7195"/>
      <c r="BH42" s="7195"/>
      <c r="BI42" s="7195"/>
      <c r="BJ42" s="7195"/>
      <c r="BK42" s="7195"/>
      <c r="BL42" s="7195"/>
      <c r="BM42" s="7195"/>
      <c r="BN42" s="7195"/>
      <c r="BO42" s="7195"/>
      <c r="BP42" s="7195"/>
      <c r="BQ42" s="7195"/>
      <c r="BR42" s="7195"/>
      <c r="BS42" s="7195"/>
      <c r="BT42" s="7195"/>
      <c r="BU42" s="7195"/>
      <c r="BV42" s="7195"/>
      <c r="BW42" s="7195"/>
      <c r="BX42" s="7255"/>
    </row>
    <row r="43" spans="1:76" s="7196" customFormat="1" ht="15" customHeight="1">
      <c r="A43" s="16847"/>
      <c r="B43" s="16835"/>
      <c r="C43" s="15359"/>
      <c r="D43" s="15359"/>
      <c r="E43" s="15456"/>
      <c r="F43" s="16835"/>
      <c r="G43" s="16835"/>
      <c r="H43" s="16919"/>
      <c r="I43" s="16897" t="s">
        <v>8304</v>
      </c>
      <c r="J43" s="16920" t="s">
        <v>6378</v>
      </c>
      <c r="K43" s="16921" t="s">
        <v>6379</v>
      </c>
      <c r="L43" s="16835" t="s">
        <v>6380</v>
      </c>
      <c r="M43" s="16835" t="s">
        <v>6381</v>
      </c>
      <c r="N43" s="16835" t="s">
        <v>6382</v>
      </c>
      <c r="O43" s="16835" t="s">
        <v>6383</v>
      </c>
      <c r="P43" s="16835" t="s">
        <v>6384</v>
      </c>
      <c r="Q43" s="16835" t="s">
        <v>6385</v>
      </c>
      <c r="R43" s="16835" t="s">
        <v>6386</v>
      </c>
      <c r="S43" s="16835" t="s">
        <v>6387</v>
      </c>
      <c r="T43" s="16835" t="s">
        <v>6388</v>
      </c>
      <c r="U43" s="16835" t="s">
        <v>6389</v>
      </c>
      <c r="V43" s="16933" t="s">
        <v>6390</v>
      </c>
      <c r="W43" s="16835" t="s">
        <v>6391</v>
      </c>
      <c r="X43" s="16933" t="s">
        <v>6392</v>
      </c>
      <c r="Y43" s="16835" t="s">
        <v>6393</v>
      </c>
      <c r="Z43" s="7195" t="s">
        <v>10057</v>
      </c>
      <c r="AA43" s="16835" t="s">
        <v>6394</v>
      </c>
      <c r="AB43" s="16835"/>
      <c r="AC43" s="16932">
        <f>(84200*2*4*10)*10</f>
        <v>67360000</v>
      </c>
      <c r="AD43" s="7155"/>
      <c r="AE43" s="16835"/>
      <c r="AF43" s="16835"/>
      <c r="AG43" s="16835"/>
      <c r="AH43" s="16835"/>
      <c r="AI43" s="16835"/>
      <c r="AJ43" s="16835"/>
      <c r="AK43" s="16835"/>
      <c r="AL43" s="16835"/>
      <c r="AM43" s="16835"/>
      <c r="AN43" s="16835"/>
      <c r="AO43" s="16835"/>
      <c r="AP43" s="16835"/>
      <c r="AQ43" s="16835"/>
      <c r="AR43" s="16835"/>
      <c r="AS43" s="16835"/>
      <c r="AT43" s="16835"/>
      <c r="AU43" s="16835"/>
      <c r="AV43" s="16835"/>
      <c r="AW43" s="16835"/>
      <c r="AX43" s="16835"/>
      <c r="AY43" s="16835"/>
      <c r="AZ43" s="16835"/>
      <c r="BA43" s="16835"/>
      <c r="BB43" s="16835"/>
      <c r="BC43" s="16835"/>
      <c r="BD43" s="16835"/>
      <c r="BE43" s="16835"/>
      <c r="BF43" s="16835"/>
      <c r="BG43" s="16835"/>
      <c r="BH43" s="16835"/>
      <c r="BI43" s="16835"/>
      <c r="BJ43" s="16835"/>
      <c r="BK43" s="16835"/>
      <c r="BL43" s="16835"/>
      <c r="BM43" s="16835"/>
      <c r="BN43" s="16835"/>
      <c r="BO43" s="16835"/>
      <c r="BP43" s="16835"/>
      <c r="BQ43" s="16835"/>
      <c r="BR43" s="16835"/>
      <c r="BS43" s="16835"/>
      <c r="BT43" s="16835"/>
      <c r="BU43" s="16835"/>
      <c r="BV43" s="16835"/>
      <c r="BW43" s="16835"/>
      <c r="BX43" s="16863"/>
    </row>
    <row r="44" spans="1:76" s="7196" customFormat="1" ht="15" customHeight="1">
      <c r="A44" s="16847"/>
      <c r="B44" s="16835"/>
      <c r="C44" s="15359"/>
      <c r="D44" s="15359"/>
      <c r="E44" s="15456"/>
      <c r="F44" s="16835"/>
      <c r="G44" s="16835"/>
      <c r="H44" s="16919"/>
      <c r="I44" s="16897"/>
      <c r="J44" s="16920"/>
      <c r="K44" s="16921"/>
      <c r="L44" s="16835"/>
      <c r="M44" s="16835"/>
      <c r="N44" s="16835"/>
      <c r="O44" s="16835"/>
      <c r="P44" s="16835"/>
      <c r="Q44" s="16835"/>
      <c r="R44" s="16835"/>
      <c r="S44" s="16835"/>
      <c r="T44" s="16835"/>
      <c r="U44" s="16835"/>
      <c r="V44" s="16933"/>
      <c r="W44" s="16835"/>
      <c r="X44" s="16933"/>
      <c r="Y44" s="16835"/>
      <c r="Z44" s="7195" t="s">
        <v>10063</v>
      </c>
      <c r="AA44" s="16835"/>
      <c r="AB44" s="16835"/>
      <c r="AC44" s="16932"/>
      <c r="AD44" s="7155"/>
      <c r="AE44" s="16835"/>
      <c r="AF44" s="16835"/>
      <c r="AG44" s="16835"/>
      <c r="AH44" s="16835"/>
      <c r="AI44" s="16835"/>
      <c r="AJ44" s="16835"/>
      <c r="AK44" s="16835"/>
      <c r="AL44" s="16835"/>
      <c r="AM44" s="16835"/>
      <c r="AN44" s="16835"/>
      <c r="AO44" s="16835"/>
      <c r="AP44" s="16835"/>
      <c r="AQ44" s="16835"/>
      <c r="AR44" s="16835"/>
      <c r="AS44" s="16835"/>
      <c r="AT44" s="16835"/>
      <c r="AU44" s="16835"/>
      <c r="AV44" s="16835"/>
      <c r="AW44" s="16835"/>
      <c r="AX44" s="16835"/>
      <c r="AY44" s="16835"/>
      <c r="AZ44" s="16835"/>
      <c r="BA44" s="16835"/>
      <c r="BB44" s="16835"/>
      <c r="BC44" s="16835"/>
      <c r="BD44" s="16835"/>
      <c r="BE44" s="16835"/>
      <c r="BF44" s="16835"/>
      <c r="BG44" s="16835"/>
      <c r="BH44" s="16835"/>
      <c r="BI44" s="16835"/>
      <c r="BJ44" s="16835"/>
      <c r="BK44" s="16835"/>
      <c r="BL44" s="16835"/>
      <c r="BM44" s="16835"/>
      <c r="BN44" s="16835"/>
      <c r="BO44" s="16835"/>
      <c r="BP44" s="16835"/>
      <c r="BQ44" s="16835"/>
      <c r="BR44" s="16835"/>
      <c r="BS44" s="16835"/>
      <c r="BT44" s="16835"/>
      <c r="BU44" s="16835"/>
      <c r="BV44" s="16835"/>
      <c r="BW44" s="16835"/>
      <c r="BX44" s="16863"/>
    </row>
    <row r="45" spans="1:76" s="7196" customFormat="1" ht="15" customHeight="1">
      <c r="A45" s="16847"/>
      <c r="B45" s="16835"/>
      <c r="C45" s="15359"/>
      <c r="D45" s="15359"/>
      <c r="E45" s="15456"/>
      <c r="F45" s="16835"/>
      <c r="G45" s="16835"/>
      <c r="H45" s="16919"/>
      <c r="I45" s="16897"/>
      <c r="J45" s="16920"/>
      <c r="K45" s="16921"/>
      <c r="L45" s="16835"/>
      <c r="M45" s="16835"/>
      <c r="N45" s="16835"/>
      <c r="O45" s="16835"/>
      <c r="P45" s="16835"/>
      <c r="Q45" s="16835"/>
      <c r="R45" s="16835"/>
      <c r="S45" s="16835"/>
      <c r="T45" s="16835"/>
      <c r="U45" s="16835"/>
      <c r="V45" s="16933"/>
      <c r="W45" s="16835"/>
      <c r="X45" s="16933"/>
      <c r="Y45" s="16835"/>
      <c r="Z45" s="7195" t="s">
        <v>2896</v>
      </c>
      <c r="AA45" s="16835"/>
      <c r="AB45" s="16835"/>
      <c r="AC45" s="16932"/>
      <c r="AD45" s="7155"/>
      <c r="AE45" s="16835"/>
      <c r="AF45" s="16835"/>
      <c r="AG45" s="16835"/>
      <c r="AH45" s="16835"/>
      <c r="AI45" s="16835"/>
      <c r="AJ45" s="16835"/>
      <c r="AK45" s="16835"/>
      <c r="AL45" s="16835"/>
      <c r="AM45" s="16835"/>
      <c r="AN45" s="16835"/>
      <c r="AO45" s="16835"/>
      <c r="AP45" s="16835"/>
      <c r="AQ45" s="16835"/>
      <c r="AR45" s="16835"/>
      <c r="AS45" s="16835"/>
      <c r="AT45" s="16835"/>
      <c r="AU45" s="16835"/>
      <c r="AV45" s="16835"/>
      <c r="AW45" s="16835"/>
      <c r="AX45" s="16835"/>
      <c r="AY45" s="16835"/>
      <c r="AZ45" s="16835"/>
      <c r="BA45" s="16835"/>
      <c r="BB45" s="16835"/>
      <c r="BC45" s="16835"/>
      <c r="BD45" s="16835"/>
      <c r="BE45" s="16835"/>
      <c r="BF45" s="16835"/>
      <c r="BG45" s="16835"/>
      <c r="BH45" s="16835"/>
      <c r="BI45" s="16835"/>
      <c r="BJ45" s="16835"/>
      <c r="BK45" s="16835"/>
      <c r="BL45" s="16835"/>
      <c r="BM45" s="16835"/>
      <c r="BN45" s="16835"/>
      <c r="BO45" s="16835"/>
      <c r="BP45" s="16835"/>
      <c r="BQ45" s="16835"/>
      <c r="BR45" s="16835"/>
      <c r="BS45" s="16835"/>
      <c r="BT45" s="16835"/>
      <c r="BU45" s="16835"/>
      <c r="BV45" s="16835"/>
      <c r="BW45" s="16835"/>
      <c r="BX45" s="16863"/>
    </row>
    <row r="46" spans="1:76" s="7196" customFormat="1" ht="15" customHeight="1">
      <c r="A46" s="16848"/>
      <c r="B46" s="16835"/>
      <c r="C46" s="15359"/>
      <c r="D46" s="15359"/>
      <c r="E46" s="15456"/>
      <c r="F46" s="16835"/>
      <c r="G46" s="16835"/>
      <c r="H46" s="16919"/>
      <c r="I46" s="16897"/>
      <c r="J46" s="16920"/>
      <c r="K46" s="16921"/>
      <c r="L46" s="16835"/>
      <c r="M46" s="16835"/>
      <c r="N46" s="16835"/>
      <c r="O46" s="16835"/>
      <c r="P46" s="16835"/>
      <c r="Q46" s="16835"/>
      <c r="R46" s="16835"/>
      <c r="S46" s="16835"/>
      <c r="T46" s="16835"/>
      <c r="U46" s="16835"/>
      <c r="V46" s="16933"/>
      <c r="W46" s="16835"/>
      <c r="X46" s="16933"/>
      <c r="Y46" s="16835"/>
      <c r="Z46" s="7195" t="s">
        <v>218</v>
      </c>
      <c r="AA46" s="16835"/>
      <c r="AB46" s="16835"/>
      <c r="AC46" s="16932"/>
      <c r="AD46" s="7155"/>
      <c r="AE46" s="16835"/>
      <c r="AF46" s="16835"/>
      <c r="AG46" s="16835"/>
      <c r="AH46" s="16835"/>
      <c r="AI46" s="16835"/>
      <c r="AJ46" s="16835"/>
      <c r="AK46" s="16835"/>
      <c r="AL46" s="16835"/>
      <c r="AM46" s="16835"/>
      <c r="AN46" s="16835"/>
      <c r="AO46" s="16835"/>
      <c r="AP46" s="16835"/>
      <c r="AQ46" s="16835"/>
      <c r="AR46" s="16835"/>
      <c r="AS46" s="16835"/>
      <c r="AT46" s="16835"/>
      <c r="AU46" s="16835"/>
      <c r="AV46" s="16835"/>
      <c r="AW46" s="16835"/>
      <c r="AX46" s="16835"/>
      <c r="AY46" s="16835"/>
      <c r="AZ46" s="16835"/>
      <c r="BA46" s="16835"/>
      <c r="BB46" s="16835"/>
      <c r="BC46" s="16835"/>
      <c r="BD46" s="16835"/>
      <c r="BE46" s="16835"/>
      <c r="BF46" s="16835"/>
      <c r="BG46" s="16835"/>
      <c r="BH46" s="16835"/>
      <c r="BI46" s="16835"/>
      <c r="BJ46" s="16835"/>
      <c r="BK46" s="16835"/>
      <c r="BL46" s="16835"/>
      <c r="BM46" s="16835"/>
      <c r="BN46" s="16835"/>
      <c r="BO46" s="16835"/>
      <c r="BP46" s="16835"/>
      <c r="BQ46" s="16835"/>
      <c r="BR46" s="16835"/>
      <c r="BS46" s="16835"/>
      <c r="BT46" s="16835"/>
      <c r="BU46" s="16835"/>
      <c r="BV46" s="16835"/>
      <c r="BW46" s="16835"/>
      <c r="BX46" s="16863"/>
    </row>
    <row r="47" spans="1:76" s="7196" customFormat="1" ht="15" customHeight="1">
      <c r="A47" s="7197" t="s">
        <v>6395</v>
      </c>
      <c r="B47" s="16835"/>
      <c r="C47" s="15359"/>
      <c r="D47" s="15359"/>
      <c r="E47" s="15456"/>
      <c r="F47" s="16835"/>
      <c r="G47" s="16835"/>
      <c r="H47" s="16919"/>
      <c r="I47" s="16897"/>
      <c r="J47" s="16920"/>
      <c r="K47" s="16921"/>
      <c r="L47" s="16835"/>
      <c r="M47" s="16835"/>
      <c r="N47" s="16835"/>
      <c r="O47" s="16835"/>
      <c r="P47" s="16835"/>
      <c r="Q47" s="16835"/>
      <c r="R47" s="16835"/>
      <c r="S47" s="16835"/>
      <c r="T47" s="16835"/>
      <c r="U47" s="16835"/>
      <c r="V47" s="16933"/>
      <c r="W47" s="16835"/>
      <c r="X47" s="16933"/>
      <c r="Y47" s="16835"/>
      <c r="Z47" s="7195" t="s">
        <v>10066</v>
      </c>
      <c r="AA47" s="16835"/>
      <c r="AB47" s="16835"/>
      <c r="AC47" s="16932"/>
      <c r="AD47" s="7155"/>
      <c r="AE47" s="16835"/>
      <c r="AF47" s="16835"/>
      <c r="AG47" s="16835"/>
      <c r="AH47" s="16835"/>
      <c r="AI47" s="16835"/>
      <c r="AJ47" s="16835"/>
      <c r="AK47" s="16835"/>
      <c r="AL47" s="16835"/>
      <c r="AM47" s="16835"/>
      <c r="AN47" s="16835"/>
      <c r="AO47" s="16835"/>
      <c r="AP47" s="16835"/>
      <c r="AQ47" s="16835"/>
      <c r="AR47" s="16835"/>
      <c r="AS47" s="16835"/>
      <c r="AT47" s="16835"/>
      <c r="AU47" s="16835"/>
      <c r="AV47" s="16835"/>
      <c r="AW47" s="16835"/>
      <c r="AX47" s="16835"/>
      <c r="AY47" s="16835"/>
      <c r="AZ47" s="16835"/>
      <c r="BA47" s="16835"/>
      <c r="BB47" s="16835"/>
      <c r="BC47" s="16835"/>
      <c r="BD47" s="16835"/>
      <c r="BE47" s="16835"/>
      <c r="BF47" s="16835"/>
      <c r="BG47" s="16835"/>
      <c r="BH47" s="16835"/>
      <c r="BI47" s="16835"/>
      <c r="BJ47" s="16835"/>
      <c r="BK47" s="16835"/>
      <c r="BL47" s="16835"/>
      <c r="BM47" s="16835"/>
      <c r="BN47" s="16835"/>
      <c r="BO47" s="16835"/>
      <c r="BP47" s="16835"/>
      <c r="BQ47" s="16835"/>
      <c r="BR47" s="16835"/>
      <c r="BS47" s="16835"/>
      <c r="BT47" s="16835"/>
      <c r="BU47" s="16835"/>
      <c r="BV47" s="16835"/>
      <c r="BW47" s="16835"/>
      <c r="BX47" s="16863"/>
    </row>
    <row r="48" spans="1:76" s="7196" customFormat="1" ht="15" customHeight="1">
      <c r="A48" s="7197" t="s">
        <v>6396</v>
      </c>
      <c r="B48" s="16835"/>
      <c r="C48" s="15359"/>
      <c r="D48" s="15359"/>
      <c r="E48" s="15456"/>
      <c r="F48" s="16835"/>
      <c r="G48" s="16835"/>
      <c r="H48" s="16919"/>
      <c r="I48" s="7256" t="s">
        <v>8305</v>
      </c>
      <c r="J48" s="7198" t="s">
        <v>6397</v>
      </c>
      <c r="K48" s="7199" t="s">
        <v>6398</v>
      </c>
      <c r="L48" s="7200" t="s">
        <v>6399</v>
      </c>
      <c r="M48" s="7200" t="s">
        <v>6400</v>
      </c>
      <c r="N48" s="7200" t="s">
        <v>6401</v>
      </c>
      <c r="O48" s="7200" t="s">
        <v>6402</v>
      </c>
      <c r="P48" s="7200" t="s">
        <v>6403</v>
      </c>
      <c r="Q48" s="7200" t="s">
        <v>6404</v>
      </c>
      <c r="R48" s="7200" t="s">
        <v>6405</v>
      </c>
      <c r="S48" s="7200" t="s">
        <v>6406</v>
      </c>
      <c r="T48" s="7200" t="s">
        <v>6407</v>
      </c>
      <c r="U48" s="7200" t="s">
        <v>6408</v>
      </c>
      <c r="V48" s="7201" t="s">
        <v>6409</v>
      </c>
      <c r="W48" s="7199" t="s">
        <v>6410</v>
      </c>
      <c r="X48" s="7201" t="s">
        <v>6411</v>
      </c>
      <c r="Y48" s="7199" t="s">
        <v>6412</v>
      </c>
      <c r="Z48" s="7199" t="s">
        <v>10063</v>
      </c>
      <c r="AA48" s="7199" t="s">
        <v>144</v>
      </c>
      <c r="AB48" s="7199"/>
      <c r="AC48" s="7237">
        <f>(2524000*10)/3*10</f>
        <v>84133333.333333343</v>
      </c>
      <c r="AD48" s="7156"/>
      <c r="AE48" s="7199"/>
      <c r="AF48" s="7199"/>
      <c r="AG48" s="7199"/>
      <c r="AH48" s="7199"/>
      <c r="AI48" s="7199"/>
      <c r="AJ48" s="7199"/>
      <c r="AK48" s="7199"/>
      <c r="AL48" s="7199"/>
      <c r="AM48" s="7199"/>
      <c r="AN48" s="7199"/>
      <c r="AO48" s="7199"/>
      <c r="AP48" s="7199"/>
      <c r="AQ48" s="7199"/>
      <c r="AR48" s="7199"/>
      <c r="AS48" s="7199"/>
      <c r="AT48" s="7199"/>
      <c r="AU48" s="7199"/>
      <c r="AV48" s="7199"/>
      <c r="AW48" s="7199"/>
      <c r="AX48" s="7199"/>
      <c r="AY48" s="7199"/>
      <c r="AZ48" s="7199"/>
      <c r="BA48" s="7199"/>
      <c r="BB48" s="7199"/>
      <c r="BC48" s="7199"/>
      <c r="BD48" s="7199"/>
      <c r="BE48" s="7199"/>
      <c r="BF48" s="7199"/>
      <c r="BG48" s="7199"/>
      <c r="BH48" s="7199"/>
      <c r="BI48" s="7199"/>
      <c r="BJ48" s="7199"/>
      <c r="BK48" s="7199"/>
      <c r="BL48" s="7199"/>
      <c r="BM48" s="7199"/>
      <c r="BN48" s="7199"/>
      <c r="BO48" s="7199"/>
      <c r="BP48" s="7199"/>
      <c r="BQ48" s="7199"/>
      <c r="BR48" s="7199"/>
      <c r="BS48" s="7199"/>
      <c r="BT48" s="7199"/>
      <c r="BU48" s="7199"/>
      <c r="BV48" s="7199"/>
      <c r="BW48" s="7199"/>
      <c r="BX48" s="7257"/>
    </row>
    <row r="49" spans="1:76" s="7196" customFormat="1" ht="15" customHeight="1">
      <c r="A49" s="7197" t="s">
        <v>6413</v>
      </c>
      <c r="B49" s="16835"/>
      <c r="C49" s="15359"/>
      <c r="D49" s="15359"/>
      <c r="E49" s="15456"/>
      <c r="F49" s="16835"/>
      <c r="G49" s="16835"/>
      <c r="H49" s="16919"/>
      <c r="I49" s="7256" t="s">
        <v>8306</v>
      </c>
      <c r="J49" s="7198" t="s">
        <v>6414</v>
      </c>
      <c r="K49" s="7199" t="s">
        <v>6415</v>
      </c>
      <c r="L49" s="7199" t="s">
        <v>6416</v>
      </c>
      <c r="M49" s="7199" t="s">
        <v>6417</v>
      </c>
      <c r="N49" s="7199" t="s">
        <v>6418</v>
      </c>
      <c r="O49" s="7199" t="s">
        <v>6419</v>
      </c>
      <c r="P49" s="7199" t="s">
        <v>6420</v>
      </c>
      <c r="Q49" s="7199" t="s">
        <v>6421</v>
      </c>
      <c r="R49" s="7199" t="s">
        <v>6422</v>
      </c>
      <c r="S49" s="7199" t="s">
        <v>6423</v>
      </c>
      <c r="T49" s="7199" t="s">
        <v>6424</v>
      </c>
      <c r="U49" s="7199" t="s">
        <v>6425</v>
      </c>
      <c r="V49" s="7202" t="s">
        <v>6426</v>
      </c>
      <c r="W49" s="7199" t="s">
        <v>6427</v>
      </c>
      <c r="X49" s="7202" t="s">
        <v>6428</v>
      </c>
      <c r="Y49" s="7199" t="s">
        <v>6429</v>
      </c>
      <c r="Z49" s="7199" t="s">
        <v>10063</v>
      </c>
      <c r="AA49" s="7199" t="s">
        <v>144</v>
      </c>
      <c r="AB49" s="7195" t="s">
        <v>6430</v>
      </c>
      <c r="AC49" s="7236">
        <f>5000000*10</f>
        <v>50000000</v>
      </c>
      <c r="AD49" s="7157"/>
      <c r="AE49" s="7195"/>
      <c r="AF49" s="7195"/>
      <c r="AG49" s="7195"/>
      <c r="AH49" s="7195"/>
      <c r="AI49" s="7195"/>
      <c r="AJ49" s="7195"/>
      <c r="AK49" s="7195"/>
      <c r="AL49" s="7195"/>
      <c r="AM49" s="7195"/>
      <c r="AN49" s="7195"/>
      <c r="AO49" s="7195"/>
      <c r="AP49" s="7195"/>
      <c r="AQ49" s="7195"/>
      <c r="AR49" s="7195"/>
      <c r="AS49" s="7195"/>
      <c r="AT49" s="7195"/>
      <c r="AU49" s="7195"/>
      <c r="AV49" s="7195"/>
      <c r="AW49" s="7195"/>
      <c r="AX49" s="7195"/>
      <c r="AY49" s="7195"/>
      <c r="AZ49" s="7195"/>
      <c r="BA49" s="7195"/>
      <c r="BB49" s="7195"/>
      <c r="BC49" s="7195"/>
      <c r="BD49" s="7195"/>
      <c r="BE49" s="7195"/>
      <c r="BF49" s="7195"/>
      <c r="BG49" s="7195"/>
      <c r="BH49" s="7195"/>
      <c r="BI49" s="7195"/>
      <c r="BJ49" s="7195"/>
      <c r="BK49" s="7195"/>
      <c r="BL49" s="7195"/>
      <c r="BM49" s="7195"/>
      <c r="BN49" s="7195"/>
      <c r="BO49" s="7195"/>
      <c r="BP49" s="7195"/>
      <c r="BQ49" s="7195"/>
      <c r="BR49" s="7195"/>
      <c r="BS49" s="7195"/>
      <c r="BT49" s="7195"/>
      <c r="BU49" s="7195"/>
      <c r="BV49" s="7195"/>
      <c r="BW49" s="7195"/>
      <c r="BX49" s="7255"/>
    </row>
    <row r="50" spans="1:76" s="7196" customFormat="1" ht="15" customHeight="1">
      <c r="A50" s="7197" t="s">
        <v>6431</v>
      </c>
      <c r="B50" s="16835"/>
      <c r="C50" s="15359"/>
      <c r="D50" s="15359"/>
      <c r="E50" s="15456"/>
      <c r="F50" s="16835"/>
      <c r="G50" s="16835"/>
      <c r="H50" s="16919"/>
      <c r="I50" s="7256" t="s">
        <v>8307</v>
      </c>
      <c r="J50" s="7198" t="s">
        <v>6432</v>
      </c>
      <c r="K50" s="7199" t="s">
        <v>6433</v>
      </c>
      <c r="L50" s="7195" t="s">
        <v>6434</v>
      </c>
      <c r="M50" s="7195" t="s">
        <v>6435</v>
      </c>
      <c r="N50" s="7195" t="s">
        <v>6436</v>
      </c>
      <c r="O50" s="7195" t="s">
        <v>6437</v>
      </c>
      <c r="P50" s="7195" t="s">
        <v>6438</v>
      </c>
      <c r="Q50" s="7195" t="s">
        <v>6439</v>
      </c>
      <c r="R50" s="7195" t="s">
        <v>6440</v>
      </c>
      <c r="S50" s="7195" t="s">
        <v>6441</v>
      </c>
      <c r="T50" s="7195" t="s">
        <v>6442</v>
      </c>
      <c r="U50" s="7195" t="s">
        <v>6443</v>
      </c>
      <c r="V50" s="7203" t="s">
        <v>6444</v>
      </c>
      <c r="W50" s="7195" t="s">
        <v>6445</v>
      </c>
      <c r="X50" s="7203" t="s">
        <v>6446</v>
      </c>
      <c r="Y50" s="7195" t="s">
        <v>6447</v>
      </c>
      <c r="Z50" s="7195" t="s">
        <v>10070</v>
      </c>
      <c r="AA50" s="7195" t="s">
        <v>6448</v>
      </c>
      <c r="AB50" s="7195"/>
      <c r="AC50" s="7238">
        <f>(3825000/20)*10</f>
        <v>1912500</v>
      </c>
      <c r="AD50" s="7158"/>
      <c r="AE50" s="7195"/>
      <c r="AF50" s="7195"/>
      <c r="AG50" s="7195"/>
      <c r="AH50" s="7195"/>
      <c r="AI50" s="7195"/>
      <c r="AJ50" s="7195"/>
      <c r="AK50" s="7195"/>
      <c r="AL50" s="7195"/>
      <c r="AM50" s="7195"/>
      <c r="AN50" s="7195"/>
      <c r="AO50" s="7195"/>
      <c r="AP50" s="7195"/>
      <c r="AQ50" s="7195"/>
      <c r="AR50" s="7195"/>
      <c r="AS50" s="7195"/>
      <c r="AT50" s="7195"/>
      <c r="AU50" s="7195"/>
      <c r="AV50" s="7195"/>
      <c r="AW50" s="7195"/>
      <c r="AX50" s="7195"/>
      <c r="AY50" s="7195"/>
      <c r="AZ50" s="7195"/>
      <c r="BA50" s="7195"/>
      <c r="BB50" s="7195"/>
      <c r="BC50" s="7195"/>
      <c r="BD50" s="7195"/>
      <c r="BE50" s="7195"/>
      <c r="BF50" s="7195"/>
      <c r="BG50" s="7195"/>
      <c r="BH50" s="7195"/>
      <c r="BI50" s="7195"/>
      <c r="BJ50" s="7195"/>
      <c r="BK50" s="7195"/>
      <c r="BL50" s="7195"/>
      <c r="BM50" s="7195"/>
      <c r="BN50" s="7195"/>
      <c r="BO50" s="7195"/>
      <c r="BP50" s="7195"/>
      <c r="BQ50" s="7195"/>
      <c r="BR50" s="7195"/>
      <c r="BS50" s="7195"/>
      <c r="BT50" s="7195"/>
      <c r="BU50" s="7195"/>
      <c r="BV50" s="7195"/>
      <c r="BW50" s="7195"/>
      <c r="BX50" s="7255"/>
    </row>
    <row r="51" spans="1:76" s="7196" customFormat="1" ht="15" customHeight="1" thickBot="1">
      <c r="A51" s="7197" t="s">
        <v>6449</v>
      </c>
      <c r="B51" s="16835"/>
      <c r="C51" s="15359"/>
      <c r="D51" s="15359"/>
      <c r="E51" s="15456"/>
      <c r="F51" s="16835"/>
      <c r="G51" s="16835"/>
      <c r="H51" s="16919"/>
      <c r="I51" s="7313" t="s">
        <v>8308</v>
      </c>
      <c r="J51" s="67" t="s">
        <v>6450</v>
      </c>
      <c r="K51" s="99" t="s">
        <v>6451</v>
      </c>
      <c r="L51" s="99" t="s">
        <v>6452</v>
      </c>
      <c r="M51" s="99" t="s">
        <v>6453</v>
      </c>
      <c r="N51" s="99" t="s">
        <v>6454</v>
      </c>
      <c r="O51" s="99" t="s">
        <v>6455</v>
      </c>
      <c r="P51" s="99" t="s">
        <v>6456</v>
      </c>
      <c r="Q51" s="99" t="s">
        <v>6457</v>
      </c>
      <c r="R51" s="99" t="s">
        <v>6458</v>
      </c>
      <c r="S51" s="99" t="s">
        <v>6459</v>
      </c>
      <c r="T51" s="99" t="s">
        <v>6460</v>
      </c>
      <c r="U51" s="99" t="s">
        <v>6461</v>
      </c>
      <c r="V51" s="7314" t="s">
        <v>6462</v>
      </c>
      <c r="W51" s="99" t="s">
        <v>6463</v>
      </c>
      <c r="X51" s="7314" t="s">
        <v>6464</v>
      </c>
      <c r="Y51" s="99" t="s">
        <v>6465</v>
      </c>
      <c r="Z51" s="99" t="s">
        <v>10063</v>
      </c>
      <c r="AA51" s="99" t="s">
        <v>6232</v>
      </c>
      <c r="AB51" s="99"/>
      <c r="AC51" s="7315">
        <f>(2524000*10*10)/3</f>
        <v>84133333.333333328</v>
      </c>
      <c r="AD51" s="7341"/>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7316"/>
    </row>
    <row r="52" spans="1:76" s="7190" customFormat="1" ht="15" customHeight="1">
      <c r="A52" s="7189" t="s">
        <v>6466</v>
      </c>
      <c r="B52" s="15436" t="s">
        <v>6467</v>
      </c>
      <c r="C52" s="15359"/>
      <c r="D52" s="15359"/>
      <c r="E52" s="15456"/>
      <c r="F52" s="15436" t="s">
        <v>6468</v>
      </c>
      <c r="G52" s="15436" t="s">
        <v>6469</v>
      </c>
      <c r="H52" s="16935" t="s">
        <v>6470</v>
      </c>
      <c r="I52" s="16898" t="s">
        <v>8309</v>
      </c>
      <c r="J52" s="14596" t="s">
        <v>6471</v>
      </c>
      <c r="K52" s="15389" t="s">
        <v>6472</v>
      </c>
      <c r="L52" s="15389" t="s">
        <v>6473</v>
      </c>
      <c r="M52" s="15389" t="s">
        <v>6474</v>
      </c>
      <c r="N52" s="15389" t="s">
        <v>6475</v>
      </c>
      <c r="O52" s="15389" t="s">
        <v>6476</v>
      </c>
      <c r="P52" s="15389" t="s">
        <v>6477</v>
      </c>
      <c r="Q52" s="15389" t="s">
        <v>6478</v>
      </c>
      <c r="R52" s="15389" t="s">
        <v>6479</v>
      </c>
      <c r="S52" s="15389" t="s">
        <v>6480</v>
      </c>
      <c r="T52" s="15389" t="s">
        <v>6481</v>
      </c>
      <c r="U52" s="15389" t="s">
        <v>6482</v>
      </c>
      <c r="V52" s="16946" t="s">
        <v>6483</v>
      </c>
      <c r="W52" s="15389" t="s">
        <v>6484</v>
      </c>
      <c r="X52" s="16946" t="s">
        <v>6485</v>
      </c>
      <c r="Y52" s="15389" t="s">
        <v>6486</v>
      </c>
      <c r="Z52" s="5063" t="s">
        <v>10070</v>
      </c>
      <c r="AA52" s="15389" t="s">
        <v>6487</v>
      </c>
      <c r="AB52" s="16836"/>
      <c r="AC52" s="16942">
        <f>(25000000+4000000+(2524000))*10</f>
        <v>315240000</v>
      </c>
      <c r="AD52" s="7338"/>
      <c r="AE52" s="16836"/>
      <c r="AF52" s="16836"/>
      <c r="AG52" s="16836"/>
      <c r="AH52" s="16836"/>
      <c r="AI52" s="16836"/>
      <c r="AJ52" s="16836"/>
      <c r="AK52" s="16836"/>
      <c r="AL52" s="16836"/>
      <c r="AM52" s="16836"/>
      <c r="AN52" s="16836"/>
      <c r="AO52" s="16836"/>
      <c r="AP52" s="16836"/>
      <c r="AQ52" s="16836"/>
      <c r="AR52" s="16836"/>
      <c r="AS52" s="16836"/>
      <c r="AT52" s="16836"/>
      <c r="AU52" s="16836"/>
      <c r="AV52" s="16836"/>
      <c r="AW52" s="16836"/>
      <c r="AX52" s="16836"/>
      <c r="AY52" s="16836"/>
      <c r="AZ52" s="16836"/>
      <c r="BA52" s="16836"/>
      <c r="BB52" s="16836"/>
      <c r="BC52" s="16836"/>
      <c r="BD52" s="16836"/>
      <c r="BE52" s="16836"/>
      <c r="BF52" s="16836"/>
      <c r="BG52" s="16836"/>
      <c r="BH52" s="16836"/>
      <c r="BI52" s="16836"/>
      <c r="BJ52" s="16836"/>
      <c r="BK52" s="16836"/>
      <c r="BL52" s="16836"/>
      <c r="BM52" s="16836"/>
      <c r="BN52" s="16836"/>
      <c r="BO52" s="16836"/>
      <c r="BP52" s="16836"/>
      <c r="BQ52" s="16836"/>
      <c r="BR52" s="16836"/>
      <c r="BS52" s="16836"/>
      <c r="BT52" s="16836"/>
      <c r="BU52" s="16836"/>
      <c r="BV52" s="16836"/>
      <c r="BW52" s="16836"/>
      <c r="BX52" s="16864"/>
    </row>
    <row r="53" spans="1:76" s="7190" customFormat="1" ht="15" customHeight="1" thickBot="1">
      <c r="A53" s="7191" t="s">
        <v>6488</v>
      </c>
      <c r="B53" s="15437"/>
      <c r="C53" s="15360"/>
      <c r="D53" s="15360"/>
      <c r="E53" s="15457"/>
      <c r="F53" s="15437"/>
      <c r="G53" s="15437"/>
      <c r="H53" s="16936"/>
      <c r="I53" s="16899"/>
      <c r="J53" s="16937"/>
      <c r="K53" s="15437"/>
      <c r="L53" s="15437"/>
      <c r="M53" s="15437"/>
      <c r="N53" s="15437"/>
      <c r="O53" s="15437"/>
      <c r="P53" s="15437"/>
      <c r="Q53" s="15437"/>
      <c r="R53" s="15437"/>
      <c r="S53" s="15437"/>
      <c r="T53" s="15437"/>
      <c r="U53" s="15437"/>
      <c r="V53" s="16947"/>
      <c r="W53" s="15437"/>
      <c r="X53" s="16947"/>
      <c r="Y53" s="15437"/>
      <c r="Z53" s="5065" t="s">
        <v>10063</v>
      </c>
      <c r="AA53" s="15437"/>
      <c r="AB53" s="16837"/>
      <c r="AC53" s="16943"/>
      <c r="AD53" s="7339"/>
      <c r="AE53" s="16837"/>
      <c r="AF53" s="16837"/>
      <c r="AG53" s="16837"/>
      <c r="AH53" s="16837"/>
      <c r="AI53" s="16837"/>
      <c r="AJ53" s="16837"/>
      <c r="AK53" s="16837"/>
      <c r="AL53" s="16837"/>
      <c r="AM53" s="16837"/>
      <c r="AN53" s="16837"/>
      <c r="AO53" s="16837"/>
      <c r="AP53" s="16837"/>
      <c r="AQ53" s="16837"/>
      <c r="AR53" s="16837"/>
      <c r="AS53" s="16837"/>
      <c r="AT53" s="16837"/>
      <c r="AU53" s="16837"/>
      <c r="AV53" s="16837"/>
      <c r="AW53" s="16837"/>
      <c r="AX53" s="16837"/>
      <c r="AY53" s="16837"/>
      <c r="AZ53" s="16837"/>
      <c r="BA53" s="16837"/>
      <c r="BB53" s="16837"/>
      <c r="BC53" s="16837"/>
      <c r="BD53" s="16837"/>
      <c r="BE53" s="16837"/>
      <c r="BF53" s="16837"/>
      <c r="BG53" s="16837"/>
      <c r="BH53" s="16837"/>
      <c r="BI53" s="16837"/>
      <c r="BJ53" s="16837"/>
      <c r="BK53" s="16837"/>
      <c r="BL53" s="16837"/>
      <c r="BM53" s="16837"/>
      <c r="BN53" s="16837"/>
      <c r="BO53" s="16837"/>
      <c r="BP53" s="16837"/>
      <c r="BQ53" s="16837"/>
      <c r="BR53" s="16837"/>
      <c r="BS53" s="16837"/>
      <c r="BT53" s="16837"/>
      <c r="BU53" s="16837"/>
      <c r="BV53" s="16837"/>
      <c r="BW53" s="16837"/>
      <c r="BX53" s="16865"/>
    </row>
    <row r="54" spans="1:76" s="7194" customFormat="1" ht="15" customHeight="1">
      <c r="A54" s="16849" t="s">
        <v>6489</v>
      </c>
      <c r="B54" s="16871" t="s">
        <v>6490</v>
      </c>
      <c r="C54" s="16944" t="s">
        <v>6491</v>
      </c>
      <c r="D54" s="16944" t="s">
        <v>6492</v>
      </c>
      <c r="E54" s="16944" t="s">
        <v>311</v>
      </c>
      <c r="F54" s="16871" t="s">
        <v>6493</v>
      </c>
      <c r="G54" s="16871" t="s">
        <v>6494</v>
      </c>
      <c r="H54" s="16945" t="s">
        <v>6495</v>
      </c>
      <c r="I54" s="16851" t="s">
        <v>8310</v>
      </c>
      <c r="J54" s="16880" t="s">
        <v>6496</v>
      </c>
      <c r="K54" s="16871" t="s">
        <v>6497</v>
      </c>
      <c r="L54" s="16871" t="s">
        <v>6498</v>
      </c>
      <c r="M54" s="16871" t="s">
        <v>6499</v>
      </c>
      <c r="N54" s="16871" t="s">
        <v>6500</v>
      </c>
      <c r="O54" s="16871" t="s">
        <v>6501</v>
      </c>
      <c r="P54" s="16871" t="s">
        <v>6502</v>
      </c>
      <c r="Q54" s="16871" t="s">
        <v>6503</v>
      </c>
      <c r="R54" s="16871" t="s">
        <v>6504</v>
      </c>
      <c r="S54" s="16871" t="s">
        <v>6505</v>
      </c>
      <c r="T54" s="16871" t="s">
        <v>6506</v>
      </c>
      <c r="U54" s="16871" t="s">
        <v>6507</v>
      </c>
      <c r="V54" s="16869" t="s">
        <v>6508</v>
      </c>
      <c r="W54" s="16871" t="s">
        <v>6509</v>
      </c>
      <c r="X54" s="16869" t="s">
        <v>6510</v>
      </c>
      <c r="Y54" s="16871" t="s">
        <v>6511</v>
      </c>
      <c r="Z54" s="7204" t="s">
        <v>4337</v>
      </c>
      <c r="AA54" s="7204" t="s">
        <v>6512</v>
      </c>
      <c r="AB54" s="7205"/>
      <c r="AC54" s="7311">
        <f>7138800*10</f>
        <v>71388000</v>
      </c>
      <c r="AD54" s="7342"/>
      <c r="AE54" s="7205"/>
      <c r="AF54" s="7205"/>
      <c r="AG54" s="7205"/>
      <c r="AH54" s="7205"/>
      <c r="AI54" s="7205"/>
      <c r="AJ54" s="7205"/>
      <c r="AK54" s="7205"/>
      <c r="AL54" s="7205"/>
      <c r="AM54" s="7205"/>
      <c r="AN54" s="7205"/>
      <c r="AO54" s="7205"/>
      <c r="AP54" s="7205"/>
      <c r="AQ54" s="7205"/>
      <c r="AR54" s="7205"/>
      <c r="AS54" s="7205"/>
      <c r="AT54" s="7205"/>
      <c r="AU54" s="7205"/>
      <c r="AV54" s="7205"/>
      <c r="AW54" s="7205"/>
      <c r="AX54" s="7205"/>
      <c r="AY54" s="7205"/>
      <c r="AZ54" s="7205"/>
      <c r="BA54" s="7205"/>
      <c r="BB54" s="7205"/>
      <c r="BC54" s="7205"/>
      <c r="BD54" s="7205"/>
      <c r="BE54" s="7205"/>
      <c r="BF54" s="7205"/>
      <c r="BG54" s="7205"/>
      <c r="BH54" s="7205"/>
      <c r="BI54" s="7205"/>
      <c r="BJ54" s="7205"/>
      <c r="BK54" s="7205"/>
      <c r="BL54" s="7205"/>
      <c r="BM54" s="7205"/>
      <c r="BN54" s="7205"/>
      <c r="BO54" s="7205"/>
      <c r="BP54" s="7205"/>
      <c r="BQ54" s="7205"/>
      <c r="BR54" s="7205"/>
      <c r="BS54" s="7205"/>
      <c r="BT54" s="7205"/>
      <c r="BU54" s="7205"/>
      <c r="BV54" s="7205"/>
      <c r="BW54" s="7205"/>
      <c r="BX54" s="7312"/>
    </row>
    <row r="55" spans="1:76" s="7194" customFormat="1" ht="15" customHeight="1">
      <c r="A55" s="16850"/>
      <c r="B55" s="16833"/>
      <c r="C55" s="16902"/>
      <c r="D55" s="16902"/>
      <c r="E55" s="16902"/>
      <c r="F55" s="16833"/>
      <c r="G55" s="16833"/>
      <c r="H55" s="16924"/>
      <c r="I55" s="16879"/>
      <c r="J55" s="16881"/>
      <c r="K55" s="16833"/>
      <c r="L55" s="16833"/>
      <c r="M55" s="16833"/>
      <c r="N55" s="16833"/>
      <c r="O55" s="16833"/>
      <c r="P55" s="16833"/>
      <c r="Q55" s="16833"/>
      <c r="R55" s="16833"/>
      <c r="S55" s="16833"/>
      <c r="T55" s="16833"/>
      <c r="U55" s="16833"/>
      <c r="V55" s="16870"/>
      <c r="W55" s="16833"/>
      <c r="X55" s="16870"/>
      <c r="Y55" s="16833"/>
      <c r="Z55" s="7206" t="s">
        <v>4305</v>
      </c>
      <c r="AA55" s="7206"/>
      <c r="AB55" s="7193"/>
      <c r="AC55" s="7239"/>
      <c r="AD55" s="7159"/>
      <c r="AE55" s="7193"/>
      <c r="AF55" s="7193"/>
      <c r="AG55" s="7193"/>
      <c r="AH55" s="7193"/>
      <c r="AI55" s="7193"/>
      <c r="AJ55" s="7193"/>
      <c r="AK55" s="7193"/>
      <c r="AL55" s="7193"/>
      <c r="AM55" s="7193"/>
      <c r="AN55" s="7193"/>
      <c r="AO55" s="7193"/>
      <c r="AP55" s="7193"/>
      <c r="AQ55" s="7193"/>
      <c r="AR55" s="7193"/>
      <c r="AS55" s="7193"/>
      <c r="AT55" s="7193"/>
      <c r="AU55" s="7193"/>
      <c r="AV55" s="7193"/>
      <c r="AW55" s="7193"/>
      <c r="AX55" s="7193"/>
      <c r="AY55" s="7193"/>
      <c r="AZ55" s="7193"/>
      <c r="BA55" s="7193"/>
      <c r="BB55" s="7193"/>
      <c r="BC55" s="7193"/>
      <c r="BD55" s="7193"/>
      <c r="BE55" s="7193"/>
      <c r="BF55" s="7193"/>
      <c r="BG55" s="7193"/>
      <c r="BH55" s="7193"/>
      <c r="BI55" s="7193"/>
      <c r="BJ55" s="7193"/>
      <c r="BK55" s="7193"/>
      <c r="BL55" s="7193"/>
      <c r="BM55" s="7193"/>
      <c r="BN55" s="7193"/>
      <c r="BO55" s="7193"/>
      <c r="BP55" s="7193"/>
      <c r="BQ55" s="7193"/>
      <c r="BR55" s="7193"/>
      <c r="BS55" s="7193"/>
      <c r="BT55" s="7193"/>
      <c r="BU55" s="7193"/>
      <c r="BV55" s="7193"/>
      <c r="BW55" s="7193"/>
      <c r="BX55" s="7258"/>
    </row>
    <row r="56" spans="1:76" s="7194" customFormat="1" ht="15" customHeight="1">
      <c r="A56" s="16850"/>
      <c r="B56" s="16833"/>
      <c r="C56" s="16902"/>
      <c r="D56" s="16902"/>
      <c r="E56" s="16902"/>
      <c r="F56" s="16833"/>
      <c r="G56" s="16833"/>
      <c r="H56" s="16924"/>
      <c r="I56" s="16879"/>
      <c r="J56" s="16881"/>
      <c r="K56" s="16833"/>
      <c r="L56" s="16833"/>
      <c r="M56" s="16833"/>
      <c r="N56" s="16833"/>
      <c r="O56" s="16833"/>
      <c r="P56" s="16833"/>
      <c r="Q56" s="16833"/>
      <c r="R56" s="16833"/>
      <c r="S56" s="16833"/>
      <c r="T56" s="16833"/>
      <c r="U56" s="16833"/>
      <c r="V56" s="16870"/>
      <c r="W56" s="16833"/>
      <c r="X56" s="16870"/>
      <c r="Y56" s="16833"/>
      <c r="Z56" s="7206" t="s">
        <v>329</v>
      </c>
      <c r="AA56" s="7206"/>
      <c r="AB56" s="7193" t="s">
        <v>329</v>
      </c>
      <c r="AC56" s="7239"/>
      <c r="AD56" s="7159"/>
      <c r="AE56" s="7193"/>
      <c r="AF56" s="7193"/>
      <c r="AG56" s="7193"/>
      <c r="AH56" s="7193"/>
      <c r="AI56" s="7193"/>
      <c r="AJ56" s="7193"/>
      <c r="AK56" s="7193"/>
      <c r="AL56" s="7193"/>
      <c r="AM56" s="7193"/>
      <c r="AN56" s="7193"/>
      <c r="AO56" s="7193"/>
      <c r="AP56" s="7193"/>
      <c r="AQ56" s="7193"/>
      <c r="AR56" s="7193"/>
      <c r="AS56" s="7193"/>
      <c r="AT56" s="7193"/>
      <c r="AU56" s="7193"/>
      <c r="AV56" s="7193"/>
      <c r="AW56" s="7193"/>
      <c r="AX56" s="7193"/>
      <c r="AY56" s="7193"/>
      <c r="AZ56" s="7193"/>
      <c r="BA56" s="7193"/>
      <c r="BB56" s="7193"/>
      <c r="BC56" s="7193"/>
      <c r="BD56" s="7193"/>
      <c r="BE56" s="7193"/>
      <c r="BF56" s="7193"/>
      <c r="BG56" s="7193"/>
      <c r="BH56" s="7193"/>
      <c r="BI56" s="7193"/>
      <c r="BJ56" s="7193"/>
      <c r="BK56" s="7193"/>
      <c r="BL56" s="7193"/>
      <c r="BM56" s="7193"/>
      <c r="BN56" s="7193"/>
      <c r="BO56" s="7193"/>
      <c r="BP56" s="7193"/>
      <c r="BQ56" s="7193"/>
      <c r="BR56" s="7193"/>
      <c r="BS56" s="7193"/>
      <c r="BT56" s="7193"/>
      <c r="BU56" s="7193"/>
      <c r="BV56" s="7193"/>
      <c r="BW56" s="7193"/>
      <c r="BX56" s="7258"/>
    </row>
    <row r="57" spans="1:76" s="7194" customFormat="1" ht="15" customHeight="1">
      <c r="A57" s="16851"/>
      <c r="B57" s="16833"/>
      <c r="C57" s="16902"/>
      <c r="D57" s="16902"/>
      <c r="E57" s="16902"/>
      <c r="F57" s="16833"/>
      <c r="G57" s="16833"/>
      <c r="H57" s="16924"/>
      <c r="I57" s="16879"/>
      <c r="J57" s="16881"/>
      <c r="K57" s="16833"/>
      <c r="L57" s="16833"/>
      <c r="M57" s="16833"/>
      <c r="N57" s="16833"/>
      <c r="O57" s="16833"/>
      <c r="P57" s="16833"/>
      <c r="Q57" s="16833"/>
      <c r="R57" s="16833"/>
      <c r="S57" s="16833"/>
      <c r="T57" s="16833"/>
      <c r="U57" s="16833"/>
      <c r="V57" s="16870"/>
      <c r="W57" s="16833"/>
      <c r="X57" s="16870"/>
      <c r="Y57" s="16833"/>
      <c r="Z57" s="7206" t="s">
        <v>10297</v>
      </c>
      <c r="AA57" s="7206"/>
      <c r="AB57" s="7193" t="s">
        <v>10304</v>
      </c>
      <c r="AC57" s="7239"/>
      <c r="AD57" s="7159"/>
      <c r="AE57" s="7193"/>
      <c r="AF57" s="7193"/>
      <c r="AG57" s="7193"/>
      <c r="AH57" s="7193"/>
      <c r="AI57" s="7193"/>
      <c r="AJ57" s="7193"/>
      <c r="AK57" s="7193"/>
      <c r="AL57" s="7193"/>
      <c r="AM57" s="7193"/>
      <c r="AN57" s="7193"/>
      <c r="AO57" s="7193"/>
      <c r="AP57" s="7193"/>
      <c r="AQ57" s="7193"/>
      <c r="AR57" s="7193"/>
      <c r="AS57" s="7193"/>
      <c r="AT57" s="7193"/>
      <c r="AU57" s="7193"/>
      <c r="AV57" s="7193"/>
      <c r="AW57" s="7193"/>
      <c r="AX57" s="7193"/>
      <c r="AY57" s="7193"/>
      <c r="AZ57" s="7193"/>
      <c r="BA57" s="7193"/>
      <c r="BB57" s="7193"/>
      <c r="BC57" s="7193"/>
      <c r="BD57" s="7193"/>
      <c r="BE57" s="7193"/>
      <c r="BF57" s="7193"/>
      <c r="BG57" s="7193"/>
      <c r="BH57" s="7193"/>
      <c r="BI57" s="7193"/>
      <c r="BJ57" s="7193"/>
      <c r="BK57" s="7193"/>
      <c r="BL57" s="7193"/>
      <c r="BM57" s="7193"/>
      <c r="BN57" s="7193"/>
      <c r="BO57" s="7193"/>
      <c r="BP57" s="7193"/>
      <c r="BQ57" s="7193"/>
      <c r="BR57" s="7193"/>
      <c r="BS57" s="7193"/>
      <c r="BT57" s="7193"/>
      <c r="BU57" s="7193"/>
      <c r="BV57" s="7193"/>
      <c r="BW57" s="7193"/>
      <c r="BX57" s="7258"/>
    </row>
    <row r="58" spans="1:76" s="7194" customFormat="1" ht="15" customHeight="1">
      <c r="A58" s="7207" t="s">
        <v>6513</v>
      </c>
      <c r="B58" s="16833"/>
      <c r="C58" s="16902"/>
      <c r="D58" s="16902"/>
      <c r="E58" s="16902"/>
      <c r="F58" s="16833"/>
      <c r="G58" s="16833"/>
      <c r="H58" s="16924"/>
      <c r="I58" s="16879" t="s">
        <v>8311</v>
      </c>
      <c r="J58" s="16954" t="s">
        <v>6514</v>
      </c>
      <c r="K58" s="16955" t="s">
        <v>6515</v>
      </c>
      <c r="L58" s="16833" t="s">
        <v>6473</v>
      </c>
      <c r="M58" s="16833" t="s">
        <v>6516</v>
      </c>
      <c r="N58" s="16833" t="s">
        <v>6517</v>
      </c>
      <c r="O58" s="16833" t="s">
        <v>6518</v>
      </c>
      <c r="P58" s="16833" t="s">
        <v>6519</v>
      </c>
      <c r="Q58" s="16833" t="s">
        <v>6520</v>
      </c>
      <c r="R58" s="16833" t="s">
        <v>6521</v>
      </c>
      <c r="S58" s="16833" t="s">
        <v>6522</v>
      </c>
      <c r="T58" s="16833" t="s">
        <v>6523</v>
      </c>
      <c r="U58" s="16833" t="s">
        <v>6524</v>
      </c>
      <c r="V58" s="16953" t="s">
        <v>6525</v>
      </c>
      <c r="W58" s="16833" t="s">
        <v>6526</v>
      </c>
      <c r="X58" s="16870" t="s">
        <v>6527</v>
      </c>
      <c r="Y58" s="16833" t="s">
        <v>6528</v>
      </c>
      <c r="Z58" s="7193" t="s">
        <v>4305</v>
      </c>
      <c r="AA58" s="7206" t="s">
        <v>1322</v>
      </c>
      <c r="AB58" s="3750"/>
      <c r="AC58" s="16948">
        <f>7138800*10</f>
        <v>71388000</v>
      </c>
      <c r="AD58" s="7160"/>
      <c r="AE58" s="16838"/>
      <c r="AF58" s="16838"/>
      <c r="AG58" s="16838"/>
      <c r="AH58" s="16838"/>
      <c r="AI58" s="16838"/>
      <c r="AJ58" s="16838"/>
      <c r="AK58" s="16838"/>
      <c r="AL58" s="16838"/>
      <c r="AM58" s="16838"/>
      <c r="AN58" s="16838"/>
      <c r="AO58" s="16838"/>
      <c r="AP58" s="16838"/>
      <c r="AQ58" s="16838"/>
      <c r="AR58" s="16838"/>
      <c r="AS58" s="16838"/>
      <c r="AT58" s="16838"/>
      <c r="AU58" s="16838"/>
      <c r="AV58" s="16838"/>
      <c r="AW58" s="16838"/>
      <c r="AX58" s="16838"/>
      <c r="AY58" s="16838"/>
      <c r="AZ58" s="16838"/>
      <c r="BA58" s="16838"/>
      <c r="BB58" s="16838"/>
      <c r="BC58" s="16838"/>
      <c r="BD58" s="16838"/>
      <c r="BE58" s="16838"/>
      <c r="BF58" s="16838"/>
      <c r="BG58" s="16838"/>
      <c r="BH58" s="16838"/>
      <c r="BI58" s="16838"/>
      <c r="BJ58" s="16838"/>
      <c r="BK58" s="16838"/>
      <c r="BL58" s="16838"/>
      <c r="BM58" s="16838"/>
      <c r="BN58" s="16838"/>
      <c r="BO58" s="16838"/>
      <c r="BP58" s="16838"/>
      <c r="BQ58" s="16838"/>
      <c r="BR58" s="16838"/>
      <c r="BS58" s="16838"/>
      <c r="BT58" s="16838"/>
      <c r="BU58" s="16838"/>
      <c r="BV58" s="16838"/>
      <c r="BW58" s="16838"/>
      <c r="BX58" s="16866"/>
    </row>
    <row r="59" spans="1:76" s="7194" customFormat="1" ht="15" customHeight="1">
      <c r="A59" s="7192" t="s">
        <v>6529</v>
      </c>
      <c r="B59" s="16833"/>
      <c r="C59" s="16902"/>
      <c r="D59" s="16902"/>
      <c r="E59" s="16902"/>
      <c r="F59" s="16833"/>
      <c r="G59" s="16833"/>
      <c r="H59" s="16924"/>
      <c r="I59" s="16879"/>
      <c r="J59" s="16954"/>
      <c r="K59" s="16955"/>
      <c r="L59" s="16833"/>
      <c r="M59" s="16833"/>
      <c r="N59" s="16833"/>
      <c r="O59" s="16833"/>
      <c r="P59" s="16833"/>
      <c r="Q59" s="16833"/>
      <c r="R59" s="16833"/>
      <c r="S59" s="16833"/>
      <c r="T59" s="16833"/>
      <c r="U59" s="16833"/>
      <c r="V59" s="16953"/>
      <c r="W59" s="16833"/>
      <c r="X59" s="16870"/>
      <c r="Y59" s="16833"/>
      <c r="Z59" s="7206" t="s">
        <v>329</v>
      </c>
      <c r="AA59" s="7206"/>
      <c r="AB59" s="7193" t="s">
        <v>329</v>
      </c>
      <c r="AC59" s="16948"/>
      <c r="AD59" s="7160"/>
      <c r="AE59" s="16838"/>
      <c r="AF59" s="16838"/>
      <c r="AG59" s="16838"/>
      <c r="AH59" s="16838"/>
      <c r="AI59" s="16838"/>
      <c r="AJ59" s="16838"/>
      <c r="AK59" s="16838"/>
      <c r="AL59" s="16838"/>
      <c r="AM59" s="16838"/>
      <c r="AN59" s="16838"/>
      <c r="AO59" s="16838"/>
      <c r="AP59" s="16838"/>
      <c r="AQ59" s="16838"/>
      <c r="AR59" s="16838"/>
      <c r="AS59" s="16838"/>
      <c r="AT59" s="16838"/>
      <c r="AU59" s="16838"/>
      <c r="AV59" s="16838"/>
      <c r="AW59" s="16838"/>
      <c r="AX59" s="16838"/>
      <c r="AY59" s="16838"/>
      <c r="AZ59" s="16838"/>
      <c r="BA59" s="16838"/>
      <c r="BB59" s="16838"/>
      <c r="BC59" s="16838"/>
      <c r="BD59" s="16838"/>
      <c r="BE59" s="16838"/>
      <c r="BF59" s="16838"/>
      <c r="BG59" s="16838"/>
      <c r="BH59" s="16838"/>
      <c r="BI59" s="16838"/>
      <c r="BJ59" s="16838"/>
      <c r="BK59" s="16838"/>
      <c r="BL59" s="16838"/>
      <c r="BM59" s="16838"/>
      <c r="BN59" s="16838"/>
      <c r="BO59" s="16838"/>
      <c r="BP59" s="16838"/>
      <c r="BQ59" s="16838"/>
      <c r="BR59" s="16838"/>
      <c r="BS59" s="16838"/>
      <c r="BT59" s="16838"/>
      <c r="BU59" s="16838"/>
      <c r="BV59" s="16838"/>
      <c r="BW59" s="16838"/>
      <c r="BX59" s="16866"/>
    </row>
    <row r="60" spans="1:76" s="7194" customFormat="1" ht="15" customHeight="1">
      <c r="A60" s="7207" t="s">
        <v>6530</v>
      </c>
      <c r="B60" s="16833"/>
      <c r="C60" s="16902"/>
      <c r="D60" s="16902"/>
      <c r="E60" s="16902"/>
      <c r="F60" s="16833"/>
      <c r="G60" s="16833"/>
      <c r="H60" s="16924"/>
      <c r="I60" s="16879"/>
      <c r="J60" s="16954"/>
      <c r="K60" s="16955"/>
      <c r="L60" s="16833"/>
      <c r="M60" s="16833"/>
      <c r="N60" s="16833"/>
      <c r="O60" s="16833"/>
      <c r="P60" s="16833"/>
      <c r="Q60" s="16833"/>
      <c r="R60" s="16833"/>
      <c r="S60" s="16833"/>
      <c r="T60" s="16833"/>
      <c r="U60" s="16833"/>
      <c r="V60" s="16953"/>
      <c r="W60" s="16833"/>
      <c r="X60" s="16870"/>
      <c r="Y60" s="16833"/>
      <c r="Z60" s="7206" t="s">
        <v>10297</v>
      </c>
      <c r="AA60" s="7206"/>
      <c r="AB60" s="7193" t="s">
        <v>10304</v>
      </c>
      <c r="AC60" s="16948"/>
      <c r="AD60" s="7160"/>
      <c r="AE60" s="16838"/>
      <c r="AF60" s="16838"/>
      <c r="AG60" s="16838"/>
      <c r="AH60" s="16838"/>
      <c r="AI60" s="16838"/>
      <c r="AJ60" s="16838"/>
      <c r="AK60" s="16838"/>
      <c r="AL60" s="16838"/>
      <c r="AM60" s="16838"/>
      <c r="AN60" s="16838"/>
      <c r="AO60" s="16838"/>
      <c r="AP60" s="16838"/>
      <c r="AQ60" s="16838"/>
      <c r="AR60" s="16838"/>
      <c r="AS60" s="16838"/>
      <c r="AT60" s="16838"/>
      <c r="AU60" s="16838"/>
      <c r="AV60" s="16838"/>
      <c r="AW60" s="16838"/>
      <c r="AX60" s="16838"/>
      <c r="AY60" s="16838"/>
      <c r="AZ60" s="16838"/>
      <c r="BA60" s="16838"/>
      <c r="BB60" s="16838"/>
      <c r="BC60" s="16838"/>
      <c r="BD60" s="16838"/>
      <c r="BE60" s="16838"/>
      <c r="BF60" s="16838"/>
      <c r="BG60" s="16838"/>
      <c r="BH60" s="16838"/>
      <c r="BI60" s="16838"/>
      <c r="BJ60" s="16838"/>
      <c r="BK60" s="16838"/>
      <c r="BL60" s="16838"/>
      <c r="BM60" s="16838"/>
      <c r="BN60" s="16838"/>
      <c r="BO60" s="16838"/>
      <c r="BP60" s="16838"/>
      <c r="BQ60" s="16838"/>
      <c r="BR60" s="16838"/>
      <c r="BS60" s="16838"/>
      <c r="BT60" s="16838"/>
      <c r="BU60" s="16838"/>
      <c r="BV60" s="16838"/>
      <c r="BW60" s="16838"/>
      <c r="BX60" s="16866"/>
    </row>
    <row r="61" spans="1:76" s="7210" customFormat="1" ht="15" customHeight="1">
      <c r="A61" s="7208" t="s">
        <v>6531</v>
      </c>
      <c r="B61" s="16873" t="s">
        <v>6532</v>
      </c>
      <c r="C61" s="16902"/>
      <c r="D61" s="16902"/>
      <c r="E61" s="16902"/>
      <c r="F61" s="16873" t="s">
        <v>6533</v>
      </c>
      <c r="G61" s="16873" t="s">
        <v>6534</v>
      </c>
      <c r="H61" s="16949" t="s">
        <v>6535</v>
      </c>
      <c r="I61" s="16951" t="s">
        <v>8312</v>
      </c>
      <c r="J61" s="16950" t="s">
        <v>6536</v>
      </c>
      <c r="K61" s="16872" t="s">
        <v>6537</v>
      </c>
      <c r="L61" s="16873" t="s">
        <v>6538</v>
      </c>
      <c r="M61" s="16873" t="s">
        <v>6539</v>
      </c>
      <c r="N61" s="16873" t="s">
        <v>6540</v>
      </c>
      <c r="O61" s="16873" t="s">
        <v>6541</v>
      </c>
      <c r="P61" s="16873" t="s">
        <v>6542</v>
      </c>
      <c r="Q61" s="16873" t="s">
        <v>6543</v>
      </c>
      <c r="R61" s="16873" t="s">
        <v>6544</v>
      </c>
      <c r="S61" s="16873" t="s">
        <v>6545</v>
      </c>
      <c r="T61" s="16873" t="s">
        <v>6546</v>
      </c>
      <c r="U61" s="16873" t="s">
        <v>6547</v>
      </c>
      <c r="V61" s="16960" t="s">
        <v>6548</v>
      </c>
      <c r="W61" s="16873" t="s">
        <v>6549</v>
      </c>
      <c r="X61" s="16960" t="s">
        <v>6550</v>
      </c>
      <c r="Y61" s="16873" t="s">
        <v>6551</v>
      </c>
      <c r="Z61" s="7209" t="s">
        <v>4305</v>
      </c>
      <c r="AA61" s="16873" t="s">
        <v>6552</v>
      </c>
      <c r="AB61" s="16839"/>
      <c r="AC61" s="16956">
        <f>(2524500*10*10)/2+(2524500*10*10)/2+(2524500*10*10)/2+(7138800*10)</f>
        <v>450063000</v>
      </c>
      <c r="AD61" s="7160"/>
      <c r="AE61" s="16839"/>
      <c r="AF61" s="16839"/>
      <c r="AG61" s="16839"/>
      <c r="AH61" s="16839"/>
      <c r="AI61" s="16839"/>
      <c r="AJ61" s="16839"/>
      <c r="AK61" s="16839"/>
      <c r="AL61" s="16839"/>
      <c r="AM61" s="16839"/>
      <c r="AN61" s="16839"/>
      <c r="AO61" s="16839"/>
      <c r="AP61" s="16839"/>
      <c r="AQ61" s="16839"/>
      <c r="AR61" s="16839"/>
      <c r="AS61" s="16839"/>
      <c r="AT61" s="16839"/>
      <c r="AU61" s="16839"/>
      <c r="AV61" s="16839"/>
      <c r="AW61" s="16839"/>
      <c r="AX61" s="16839"/>
      <c r="AY61" s="16839"/>
      <c r="AZ61" s="16839"/>
      <c r="BA61" s="16839"/>
      <c r="BB61" s="16839"/>
      <c r="BC61" s="16839"/>
      <c r="BD61" s="16839"/>
      <c r="BE61" s="16839"/>
      <c r="BF61" s="16839"/>
      <c r="BG61" s="16839"/>
      <c r="BH61" s="16839"/>
      <c r="BI61" s="16839"/>
      <c r="BJ61" s="16839"/>
      <c r="BK61" s="16839"/>
      <c r="BL61" s="16839"/>
      <c r="BM61" s="16839"/>
      <c r="BN61" s="16839"/>
      <c r="BO61" s="16839"/>
      <c r="BP61" s="16839"/>
      <c r="BQ61" s="16839"/>
      <c r="BR61" s="16839"/>
      <c r="BS61" s="16839"/>
      <c r="BT61" s="16839"/>
      <c r="BU61" s="16839"/>
      <c r="BV61" s="16839"/>
      <c r="BW61" s="16839"/>
      <c r="BX61" s="16828"/>
    </row>
    <row r="62" spans="1:76" s="7210" customFormat="1" ht="15" customHeight="1">
      <c r="A62" s="7208" t="s">
        <v>6553</v>
      </c>
      <c r="B62" s="16873"/>
      <c r="C62" s="16902"/>
      <c r="D62" s="16902"/>
      <c r="E62" s="16902"/>
      <c r="F62" s="16873"/>
      <c r="G62" s="16873"/>
      <c r="H62" s="16949"/>
      <c r="I62" s="16951"/>
      <c r="J62" s="16950"/>
      <c r="K62" s="16872"/>
      <c r="L62" s="16873"/>
      <c r="M62" s="16873"/>
      <c r="N62" s="16873"/>
      <c r="O62" s="16873"/>
      <c r="P62" s="16873"/>
      <c r="Q62" s="16873"/>
      <c r="R62" s="16873"/>
      <c r="S62" s="16873"/>
      <c r="T62" s="16873"/>
      <c r="U62" s="16873"/>
      <c r="V62" s="16960"/>
      <c r="W62" s="16873"/>
      <c r="X62" s="16960"/>
      <c r="Y62" s="16873"/>
      <c r="Z62" s="7209" t="s">
        <v>10063</v>
      </c>
      <c r="AA62" s="16873"/>
      <c r="AB62" s="16839"/>
      <c r="AC62" s="16957"/>
      <c r="AD62" s="2619"/>
      <c r="AE62" s="16839"/>
      <c r="AF62" s="16839"/>
      <c r="AG62" s="16839"/>
      <c r="AH62" s="16839"/>
      <c r="AI62" s="16839"/>
      <c r="AJ62" s="16839"/>
      <c r="AK62" s="16839"/>
      <c r="AL62" s="16839"/>
      <c r="AM62" s="16839"/>
      <c r="AN62" s="16839"/>
      <c r="AO62" s="16839"/>
      <c r="AP62" s="16839"/>
      <c r="AQ62" s="16839"/>
      <c r="AR62" s="16839"/>
      <c r="AS62" s="16839"/>
      <c r="AT62" s="16839"/>
      <c r="AU62" s="16839"/>
      <c r="AV62" s="16839"/>
      <c r="AW62" s="16839"/>
      <c r="AX62" s="16839"/>
      <c r="AY62" s="16839"/>
      <c r="AZ62" s="16839"/>
      <c r="BA62" s="16839"/>
      <c r="BB62" s="16839"/>
      <c r="BC62" s="16839"/>
      <c r="BD62" s="16839"/>
      <c r="BE62" s="16839"/>
      <c r="BF62" s="16839"/>
      <c r="BG62" s="16839"/>
      <c r="BH62" s="16839"/>
      <c r="BI62" s="16839"/>
      <c r="BJ62" s="16839"/>
      <c r="BK62" s="16839"/>
      <c r="BL62" s="16839"/>
      <c r="BM62" s="16839"/>
      <c r="BN62" s="16839"/>
      <c r="BO62" s="16839"/>
      <c r="BP62" s="16839"/>
      <c r="BQ62" s="16839"/>
      <c r="BR62" s="16839"/>
      <c r="BS62" s="16839"/>
      <c r="BT62" s="16839"/>
      <c r="BU62" s="16839"/>
      <c r="BV62" s="16839"/>
      <c r="BW62" s="16839"/>
      <c r="BX62" s="16828"/>
    </row>
    <row r="63" spans="1:76" s="7210" customFormat="1" ht="15" customHeight="1">
      <c r="A63" s="7208" t="s">
        <v>6554</v>
      </c>
      <c r="B63" s="16873"/>
      <c r="C63" s="16902"/>
      <c r="D63" s="16902"/>
      <c r="E63" s="16902"/>
      <c r="F63" s="16873"/>
      <c r="G63" s="16873"/>
      <c r="H63" s="16949"/>
      <c r="I63" s="16951"/>
      <c r="J63" s="16950"/>
      <c r="K63" s="16872"/>
      <c r="L63" s="16873"/>
      <c r="M63" s="16873"/>
      <c r="N63" s="16873"/>
      <c r="O63" s="16873"/>
      <c r="P63" s="16873"/>
      <c r="Q63" s="16873"/>
      <c r="R63" s="16873"/>
      <c r="S63" s="16873"/>
      <c r="T63" s="16873"/>
      <c r="U63" s="16873"/>
      <c r="V63" s="16960"/>
      <c r="W63" s="16873"/>
      <c r="X63" s="16960"/>
      <c r="Y63" s="16873"/>
      <c r="Z63" s="7209" t="s">
        <v>10070</v>
      </c>
      <c r="AA63" s="16873"/>
      <c r="AB63" s="16839"/>
      <c r="AC63" s="16957"/>
      <c r="AD63" s="2619"/>
      <c r="AE63" s="16839"/>
      <c r="AF63" s="16839"/>
      <c r="AG63" s="16839"/>
      <c r="AH63" s="16839"/>
      <c r="AI63" s="16839"/>
      <c r="AJ63" s="16839"/>
      <c r="AK63" s="16839"/>
      <c r="AL63" s="16839"/>
      <c r="AM63" s="16839"/>
      <c r="AN63" s="16839"/>
      <c r="AO63" s="16839"/>
      <c r="AP63" s="16839"/>
      <c r="AQ63" s="16839"/>
      <c r="AR63" s="16839"/>
      <c r="AS63" s="16839"/>
      <c r="AT63" s="16839"/>
      <c r="AU63" s="16839"/>
      <c r="AV63" s="16839"/>
      <c r="AW63" s="16839"/>
      <c r="AX63" s="16839"/>
      <c r="AY63" s="16839"/>
      <c r="AZ63" s="16839"/>
      <c r="BA63" s="16839"/>
      <c r="BB63" s="16839"/>
      <c r="BC63" s="16839"/>
      <c r="BD63" s="16839"/>
      <c r="BE63" s="16839"/>
      <c r="BF63" s="16839"/>
      <c r="BG63" s="16839"/>
      <c r="BH63" s="16839"/>
      <c r="BI63" s="16839"/>
      <c r="BJ63" s="16839"/>
      <c r="BK63" s="16839"/>
      <c r="BL63" s="16839"/>
      <c r="BM63" s="16839"/>
      <c r="BN63" s="16839"/>
      <c r="BO63" s="16839"/>
      <c r="BP63" s="16839"/>
      <c r="BQ63" s="16839"/>
      <c r="BR63" s="16839"/>
      <c r="BS63" s="16839"/>
      <c r="BT63" s="16839"/>
      <c r="BU63" s="16839"/>
      <c r="BV63" s="16839"/>
      <c r="BW63" s="16839"/>
      <c r="BX63" s="16828"/>
    </row>
    <row r="64" spans="1:76" s="7210" customFormat="1" ht="15" customHeight="1" thickBot="1">
      <c r="A64" s="7211" t="s">
        <v>6555</v>
      </c>
      <c r="B64" s="16873"/>
      <c r="C64" s="16902"/>
      <c r="D64" s="16902"/>
      <c r="E64" s="16902"/>
      <c r="F64" s="16873"/>
      <c r="G64" s="16873"/>
      <c r="H64" s="16949"/>
      <c r="I64" s="16952"/>
      <c r="J64" s="7225" t="s">
        <v>6556</v>
      </c>
      <c r="K64" s="7226" t="s">
        <v>6557</v>
      </c>
      <c r="L64" s="7227" t="s">
        <v>6558</v>
      </c>
      <c r="M64" s="7227" t="s">
        <v>6559</v>
      </c>
      <c r="N64" s="7227" t="s">
        <v>6560</v>
      </c>
      <c r="O64" s="7227" t="s">
        <v>6561</v>
      </c>
      <c r="P64" s="7227" t="s">
        <v>6562</v>
      </c>
      <c r="Q64" s="7227" t="s">
        <v>6563</v>
      </c>
      <c r="R64" s="7227" t="s">
        <v>6564</v>
      </c>
      <c r="S64" s="7227" t="s">
        <v>6565</v>
      </c>
      <c r="T64" s="7227" t="s">
        <v>6566</v>
      </c>
      <c r="U64" s="7227" t="s">
        <v>6567</v>
      </c>
      <c r="V64" s="7309" t="s">
        <v>6568</v>
      </c>
      <c r="W64" s="7227" t="s">
        <v>6569</v>
      </c>
      <c r="X64" s="7309" t="s">
        <v>6570</v>
      </c>
      <c r="Y64" s="7227" t="s">
        <v>6571</v>
      </c>
      <c r="Z64" s="7227" t="s">
        <v>4305</v>
      </c>
      <c r="AA64" s="7227" t="s">
        <v>6572</v>
      </c>
      <c r="AB64" s="7227" t="s">
        <v>6573</v>
      </c>
      <c r="AC64" s="7264">
        <f>10000000*10</f>
        <v>100000000</v>
      </c>
      <c r="AD64" s="7343"/>
      <c r="AE64" s="7227"/>
      <c r="AF64" s="7227"/>
      <c r="AG64" s="7227"/>
      <c r="AH64" s="7227"/>
      <c r="AI64" s="7227"/>
      <c r="AJ64" s="7227"/>
      <c r="AK64" s="7227"/>
      <c r="AL64" s="7227"/>
      <c r="AM64" s="7227"/>
      <c r="AN64" s="7227"/>
      <c r="AO64" s="7227"/>
      <c r="AP64" s="7227"/>
      <c r="AQ64" s="7227"/>
      <c r="AR64" s="7227"/>
      <c r="AS64" s="7227"/>
      <c r="AT64" s="7227"/>
      <c r="AU64" s="7227"/>
      <c r="AV64" s="7227"/>
      <c r="AW64" s="7227"/>
      <c r="AX64" s="7227"/>
      <c r="AY64" s="7227"/>
      <c r="AZ64" s="7227"/>
      <c r="BA64" s="7227"/>
      <c r="BB64" s="7227"/>
      <c r="BC64" s="7227"/>
      <c r="BD64" s="7227"/>
      <c r="BE64" s="7227"/>
      <c r="BF64" s="7227"/>
      <c r="BG64" s="7227"/>
      <c r="BH64" s="7227"/>
      <c r="BI64" s="7227"/>
      <c r="BJ64" s="7227"/>
      <c r="BK64" s="7227"/>
      <c r="BL64" s="7227"/>
      <c r="BM64" s="7227"/>
      <c r="BN64" s="7227"/>
      <c r="BO64" s="7227"/>
      <c r="BP64" s="7227"/>
      <c r="BQ64" s="7227"/>
      <c r="BR64" s="7227"/>
      <c r="BS64" s="7227"/>
      <c r="BT64" s="7227"/>
      <c r="BU64" s="7227"/>
      <c r="BV64" s="7227"/>
      <c r="BW64" s="7227"/>
      <c r="BX64" s="7310"/>
    </row>
    <row r="65" spans="1:76" s="7217" customFormat="1" ht="15" customHeight="1">
      <c r="A65" s="7212" t="s">
        <v>6574</v>
      </c>
      <c r="B65" s="16958" t="s">
        <v>6575</v>
      </c>
      <c r="C65" s="16902"/>
      <c r="D65" s="16902"/>
      <c r="E65" s="16902"/>
      <c r="F65" s="16958" t="s">
        <v>6576</v>
      </c>
      <c r="G65" s="16958" t="s">
        <v>6577</v>
      </c>
      <c r="H65" s="16959" t="s">
        <v>6578</v>
      </c>
      <c r="I65" s="7301" t="s">
        <v>8313</v>
      </c>
      <c r="J65" s="7302" t="s">
        <v>6579</v>
      </c>
      <c r="K65" s="7303" t="s">
        <v>6580</v>
      </c>
      <c r="L65" s="7304" t="s">
        <v>6581</v>
      </c>
      <c r="M65" s="7304" t="s">
        <v>6582</v>
      </c>
      <c r="N65" s="7304" t="s">
        <v>6583</v>
      </c>
      <c r="O65" s="7304" t="s">
        <v>6584</v>
      </c>
      <c r="P65" s="7304" t="s">
        <v>6585</v>
      </c>
      <c r="Q65" s="7304" t="s">
        <v>6586</v>
      </c>
      <c r="R65" s="7304" t="s">
        <v>6587</v>
      </c>
      <c r="S65" s="7304" t="s">
        <v>6588</v>
      </c>
      <c r="T65" s="7304" t="s">
        <v>6589</v>
      </c>
      <c r="U65" s="7304" t="s">
        <v>6590</v>
      </c>
      <c r="V65" s="7305" t="s">
        <v>6591</v>
      </c>
      <c r="W65" s="7304" t="s">
        <v>6592</v>
      </c>
      <c r="X65" s="7305" t="s">
        <v>6593</v>
      </c>
      <c r="Y65" s="7304" t="s">
        <v>6594</v>
      </c>
      <c r="Z65" s="7304" t="s">
        <v>4305</v>
      </c>
      <c r="AA65" s="7304" t="s">
        <v>6595</v>
      </c>
      <c r="AB65" s="7306" t="s">
        <v>6596</v>
      </c>
      <c r="AC65" s="7307">
        <f>1297935*10*10</f>
        <v>129793500</v>
      </c>
      <c r="AD65" s="7344"/>
      <c r="AE65" s="7306"/>
      <c r="AF65" s="7306"/>
      <c r="AG65" s="7306"/>
      <c r="AH65" s="7306"/>
      <c r="AI65" s="7306"/>
      <c r="AJ65" s="7306"/>
      <c r="AK65" s="7306"/>
      <c r="AL65" s="7306"/>
      <c r="AM65" s="7306"/>
      <c r="AN65" s="7306"/>
      <c r="AO65" s="7306"/>
      <c r="AP65" s="7306"/>
      <c r="AQ65" s="7306"/>
      <c r="AR65" s="7306"/>
      <c r="AS65" s="7306"/>
      <c r="AT65" s="7306"/>
      <c r="AU65" s="7306"/>
      <c r="AV65" s="7306"/>
      <c r="AW65" s="7306"/>
      <c r="AX65" s="7306"/>
      <c r="AY65" s="7306"/>
      <c r="AZ65" s="7306"/>
      <c r="BA65" s="7306"/>
      <c r="BB65" s="7306"/>
      <c r="BC65" s="7306"/>
      <c r="BD65" s="7306"/>
      <c r="BE65" s="7306"/>
      <c r="BF65" s="7306"/>
      <c r="BG65" s="7306"/>
      <c r="BH65" s="7306"/>
      <c r="BI65" s="7306"/>
      <c r="BJ65" s="7306"/>
      <c r="BK65" s="7306"/>
      <c r="BL65" s="7306"/>
      <c r="BM65" s="7306"/>
      <c r="BN65" s="7306"/>
      <c r="BO65" s="7306"/>
      <c r="BP65" s="7306"/>
      <c r="BQ65" s="7306"/>
      <c r="BR65" s="7306"/>
      <c r="BS65" s="7306"/>
      <c r="BT65" s="7306"/>
      <c r="BU65" s="7306"/>
      <c r="BV65" s="7306"/>
      <c r="BW65" s="7306"/>
      <c r="BX65" s="7308"/>
    </row>
    <row r="66" spans="1:76" s="7217" customFormat="1" ht="15" customHeight="1">
      <c r="A66" s="7212" t="s">
        <v>6597</v>
      </c>
      <c r="B66" s="16958"/>
      <c r="C66" s="16902"/>
      <c r="D66" s="16902"/>
      <c r="E66" s="16902"/>
      <c r="F66" s="16958"/>
      <c r="G66" s="16958"/>
      <c r="H66" s="16959"/>
      <c r="I66" s="7259" t="s">
        <v>8314</v>
      </c>
      <c r="J66" s="7214" t="s">
        <v>6598</v>
      </c>
      <c r="K66" s="7215" t="s">
        <v>6599</v>
      </c>
      <c r="L66" s="7213" t="s">
        <v>6600</v>
      </c>
      <c r="M66" s="7213" t="s">
        <v>6601</v>
      </c>
      <c r="N66" s="7213" t="s">
        <v>6602</v>
      </c>
      <c r="O66" s="7213" t="s">
        <v>6603</v>
      </c>
      <c r="P66" s="7213" t="s">
        <v>6604</v>
      </c>
      <c r="Q66" s="7213" t="s">
        <v>6605</v>
      </c>
      <c r="R66" s="7213" t="s">
        <v>6606</v>
      </c>
      <c r="S66" s="7213" t="s">
        <v>6607</v>
      </c>
      <c r="T66" s="7213" t="s">
        <v>6608</v>
      </c>
      <c r="U66" s="7213" t="s">
        <v>6609</v>
      </c>
      <c r="V66" s="7216" t="s">
        <v>6610</v>
      </c>
      <c r="W66" s="7213" t="s">
        <v>6611</v>
      </c>
      <c r="X66" s="7216" t="s">
        <v>6612</v>
      </c>
      <c r="Y66" s="7213" t="s">
        <v>6613</v>
      </c>
      <c r="Z66" s="7213" t="s">
        <v>4305</v>
      </c>
      <c r="AA66" s="7213" t="s">
        <v>6614</v>
      </c>
      <c r="AB66" s="7218"/>
      <c r="AC66" s="7240">
        <f>6793424*10</f>
        <v>67934240</v>
      </c>
      <c r="AD66" s="7160"/>
      <c r="AE66" s="7218"/>
      <c r="AF66" s="7218"/>
      <c r="AG66" s="7218"/>
      <c r="AH66" s="7218"/>
      <c r="AI66" s="7218"/>
      <c r="AJ66" s="7218"/>
      <c r="AK66" s="7218"/>
      <c r="AL66" s="7218"/>
      <c r="AM66" s="7218"/>
      <c r="AN66" s="7218"/>
      <c r="AO66" s="7218"/>
      <c r="AP66" s="7218"/>
      <c r="AQ66" s="7218"/>
      <c r="AR66" s="7218"/>
      <c r="AS66" s="7218"/>
      <c r="AT66" s="7218"/>
      <c r="AU66" s="7218"/>
      <c r="AV66" s="7218"/>
      <c r="AW66" s="7218"/>
      <c r="AX66" s="7218"/>
      <c r="AY66" s="7218"/>
      <c r="AZ66" s="7218"/>
      <c r="BA66" s="7218"/>
      <c r="BB66" s="7218"/>
      <c r="BC66" s="7218"/>
      <c r="BD66" s="7218"/>
      <c r="BE66" s="7218"/>
      <c r="BF66" s="7218"/>
      <c r="BG66" s="7218"/>
      <c r="BH66" s="7218"/>
      <c r="BI66" s="7218"/>
      <c r="BJ66" s="7218"/>
      <c r="BK66" s="7218"/>
      <c r="BL66" s="7218"/>
      <c r="BM66" s="7218"/>
      <c r="BN66" s="7218"/>
      <c r="BO66" s="7218"/>
      <c r="BP66" s="7218"/>
      <c r="BQ66" s="7218"/>
      <c r="BR66" s="7218"/>
      <c r="BS66" s="7218"/>
      <c r="BT66" s="7218"/>
      <c r="BU66" s="7218"/>
      <c r="BV66" s="7218"/>
      <c r="BW66" s="7218"/>
      <c r="BX66" s="7260"/>
    </row>
    <row r="67" spans="1:76" s="7217" customFormat="1" ht="15" customHeight="1" thickBot="1">
      <c r="A67" s="7212" t="s">
        <v>6615</v>
      </c>
      <c r="B67" s="16958"/>
      <c r="C67" s="16902"/>
      <c r="D67" s="16902"/>
      <c r="E67" s="16902"/>
      <c r="F67" s="16958"/>
      <c r="G67" s="16958"/>
      <c r="H67" s="16959"/>
      <c r="I67" s="7293" t="s">
        <v>8315</v>
      </c>
      <c r="J67" s="7294" t="s">
        <v>6616</v>
      </c>
      <c r="K67" s="7295" t="s">
        <v>6617</v>
      </c>
      <c r="L67" s="7296" t="s">
        <v>6618</v>
      </c>
      <c r="M67" s="7296" t="s">
        <v>6619</v>
      </c>
      <c r="N67" s="7296" t="s">
        <v>6620</v>
      </c>
      <c r="O67" s="7296" t="s">
        <v>6621</v>
      </c>
      <c r="P67" s="7296" t="s">
        <v>6622</v>
      </c>
      <c r="Q67" s="7296" t="s">
        <v>6623</v>
      </c>
      <c r="R67" s="7296" t="s">
        <v>6624</v>
      </c>
      <c r="S67" s="7296" t="s">
        <v>6625</v>
      </c>
      <c r="T67" s="7296" t="s">
        <v>6626</v>
      </c>
      <c r="U67" s="7296" t="s">
        <v>6627</v>
      </c>
      <c r="V67" s="7297" t="s">
        <v>6628</v>
      </c>
      <c r="W67" s="7296" t="s">
        <v>6629</v>
      </c>
      <c r="X67" s="7297" t="s">
        <v>6630</v>
      </c>
      <c r="Y67" s="7296" t="s">
        <v>6631</v>
      </c>
      <c r="Z67" s="7296" t="s">
        <v>4305</v>
      </c>
      <c r="AA67" s="7296" t="s">
        <v>6632</v>
      </c>
      <c r="AB67" s="7298"/>
      <c r="AC67" s="7299">
        <f>23362831*10</f>
        <v>233628310</v>
      </c>
      <c r="AD67" s="7345"/>
      <c r="AE67" s="7298"/>
      <c r="AF67" s="7298"/>
      <c r="AG67" s="7298"/>
      <c r="AH67" s="7298"/>
      <c r="AI67" s="7298"/>
      <c r="AJ67" s="7298"/>
      <c r="AK67" s="7298"/>
      <c r="AL67" s="7298"/>
      <c r="AM67" s="7298"/>
      <c r="AN67" s="7298"/>
      <c r="AO67" s="7298"/>
      <c r="AP67" s="7298"/>
      <c r="AQ67" s="7298"/>
      <c r="AR67" s="7298"/>
      <c r="AS67" s="7298"/>
      <c r="AT67" s="7298"/>
      <c r="AU67" s="7298"/>
      <c r="AV67" s="7298"/>
      <c r="AW67" s="7298"/>
      <c r="AX67" s="7298"/>
      <c r="AY67" s="7298"/>
      <c r="AZ67" s="7298"/>
      <c r="BA67" s="7298"/>
      <c r="BB67" s="7298"/>
      <c r="BC67" s="7298"/>
      <c r="BD67" s="7298"/>
      <c r="BE67" s="7298"/>
      <c r="BF67" s="7298"/>
      <c r="BG67" s="7298"/>
      <c r="BH67" s="7298"/>
      <c r="BI67" s="7298"/>
      <c r="BJ67" s="7298"/>
      <c r="BK67" s="7298"/>
      <c r="BL67" s="7298"/>
      <c r="BM67" s="7298"/>
      <c r="BN67" s="7298"/>
      <c r="BO67" s="7298"/>
      <c r="BP67" s="7298"/>
      <c r="BQ67" s="7298"/>
      <c r="BR67" s="7298"/>
      <c r="BS67" s="7298"/>
      <c r="BT67" s="7298"/>
      <c r="BU67" s="7298"/>
      <c r="BV67" s="7298"/>
      <c r="BW67" s="7298"/>
      <c r="BX67" s="7300"/>
    </row>
    <row r="68" spans="1:76" s="7222" customFormat="1" ht="15" customHeight="1">
      <c r="A68" s="7219" t="s">
        <v>6633</v>
      </c>
      <c r="B68" s="16840" t="s">
        <v>6634</v>
      </c>
      <c r="C68" s="16902"/>
      <c r="D68" s="16902"/>
      <c r="E68" s="16902"/>
      <c r="F68" s="16840" t="s">
        <v>6635</v>
      </c>
      <c r="G68" s="16840" t="s">
        <v>6636</v>
      </c>
      <c r="H68" s="16961" t="s">
        <v>6637</v>
      </c>
      <c r="I68" s="7283" t="s">
        <v>8316</v>
      </c>
      <c r="J68" s="7284" t="s">
        <v>6638</v>
      </c>
      <c r="K68" s="7285" t="s">
        <v>6639</v>
      </c>
      <c r="L68" s="7286" t="s">
        <v>6640</v>
      </c>
      <c r="M68" s="7287" t="s">
        <v>6641</v>
      </c>
      <c r="N68" s="7287" t="s">
        <v>6642</v>
      </c>
      <c r="O68" s="7287" t="s">
        <v>6643</v>
      </c>
      <c r="P68" s="7287" t="s">
        <v>6644</v>
      </c>
      <c r="Q68" s="7287" t="s">
        <v>6645</v>
      </c>
      <c r="R68" s="7287" t="s">
        <v>6646</v>
      </c>
      <c r="S68" s="7287" t="s">
        <v>6647</v>
      </c>
      <c r="T68" s="7287" t="s">
        <v>6648</v>
      </c>
      <c r="U68" s="7287" t="s">
        <v>6649</v>
      </c>
      <c r="V68" s="7288" t="s">
        <v>6650</v>
      </c>
      <c r="W68" s="7286" t="s">
        <v>6651</v>
      </c>
      <c r="X68" s="7288" t="s">
        <v>6652</v>
      </c>
      <c r="Y68" s="7286" t="s">
        <v>6651</v>
      </c>
      <c r="Z68" s="7286" t="s">
        <v>10194</v>
      </c>
      <c r="AA68" s="7289"/>
      <c r="AB68" s="7290" t="s">
        <v>6653</v>
      </c>
      <c r="AC68" s="7291">
        <f>5000000+3000000*9</f>
        <v>32000000</v>
      </c>
      <c r="AD68" s="7344"/>
      <c r="AE68" s="7290"/>
      <c r="AF68" s="7290"/>
      <c r="AG68" s="7290"/>
      <c r="AH68" s="7290"/>
      <c r="AI68" s="7290"/>
      <c r="AJ68" s="7290"/>
      <c r="AK68" s="7290"/>
      <c r="AL68" s="7290"/>
      <c r="AM68" s="7290"/>
      <c r="AN68" s="7290"/>
      <c r="AO68" s="7290"/>
      <c r="AP68" s="7290"/>
      <c r="AQ68" s="7290"/>
      <c r="AR68" s="7290"/>
      <c r="AS68" s="7290"/>
      <c r="AT68" s="7290"/>
      <c r="AU68" s="7290"/>
      <c r="AV68" s="7290"/>
      <c r="AW68" s="7290"/>
      <c r="AX68" s="7290"/>
      <c r="AY68" s="7290"/>
      <c r="AZ68" s="7290"/>
      <c r="BA68" s="7290"/>
      <c r="BB68" s="7290"/>
      <c r="BC68" s="7290"/>
      <c r="BD68" s="7290"/>
      <c r="BE68" s="7290"/>
      <c r="BF68" s="7290"/>
      <c r="BG68" s="7290"/>
      <c r="BH68" s="7290"/>
      <c r="BI68" s="7290"/>
      <c r="BJ68" s="7290"/>
      <c r="BK68" s="7290"/>
      <c r="BL68" s="7290"/>
      <c r="BM68" s="7290"/>
      <c r="BN68" s="7290"/>
      <c r="BO68" s="7290"/>
      <c r="BP68" s="7290"/>
      <c r="BQ68" s="7290"/>
      <c r="BR68" s="7290"/>
      <c r="BS68" s="7290"/>
      <c r="BT68" s="7290"/>
      <c r="BU68" s="7290"/>
      <c r="BV68" s="7290"/>
      <c r="BW68" s="7290"/>
      <c r="BX68" s="7292"/>
    </row>
    <row r="69" spans="1:76" s="7222" customFormat="1" ht="15" customHeight="1">
      <c r="A69" s="16852" t="s">
        <v>6654</v>
      </c>
      <c r="B69" s="16840"/>
      <c r="C69" s="16902"/>
      <c r="D69" s="16902"/>
      <c r="E69" s="16902"/>
      <c r="F69" s="16840"/>
      <c r="G69" s="16840"/>
      <c r="H69" s="16961"/>
      <c r="I69" s="16867" t="s">
        <v>8317</v>
      </c>
      <c r="J69" s="16868" t="s">
        <v>6655</v>
      </c>
      <c r="K69" s="16875" t="s">
        <v>9625</v>
      </c>
      <c r="L69" s="16875" t="s">
        <v>6656</v>
      </c>
      <c r="M69" s="16875" t="s">
        <v>6657</v>
      </c>
      <c r="N69" s="16875" t="s">
        <v>6658</v>
      </c>
      <c r="O69" s="16875" t="s">
        <v>6659</v>
      </c>
      <c r="P69" s="16875" t="s">
        <v>6660</v>
      </c>
      <c r="Q69" s="16875" t="s">
        <v>6661</v>
      </c>
      <c r="R69" s="16875" t="s">
        <v>6662</v>
      </c>
      <c r="S69" s="16875" t="s">
        <v>6663</v>
      </c>
      <c r="T69" s="16875" t="s">
        <v>6664</v>
      </c>
      <c r="U69" s="16875" t="s">
        <v>6665</v>
      </c>
      <c r="V69" s="16874" t="s">
        <v>6666</v>
      </c>
      <c r="W69" s="16840" t="s">
        <v>6667</v>
      </c>
      <c r="X69" s="16874" t="s">
        <v>6668</v>
      </c>
      <c r="Y69" s="16875" t="s">
        <v>6669</v>
      </c>
      <c r="Z69" s="7223" t="s">
        <v>2896</v>
      </c>
      <c r="AA69" s="7220" t="s">
        <v>163</v>
      </c>
      <c r="AB69" s="7221"/>
      <c r="AC69" s="7242">
        <f>(304*13000000)+(50*1780000*6)+(65*1598174*5)</f>
        <v>5005406550</v>
      </c>
      <c r="AD69" s="7161"/>
      <c r="AE69" s="7221"/>
      <c r="AF69" s="7221"/>
      <c r="AG69" s="7221"/>
      <c r="AH69" s="7221"/>
      <c r="AI69" s="7221"/>
      <c r="AJ69" s="7221"/>
      <c r="AK69" s="7221"/>
      <c r="AL69" s="7221"/>
      <c r="AM69" s="7221"/>
      <c r="AN69" s="7221"/>
      <c r="AO69" s="7221"/>
      <c r="AP69" s="7221"/>
      <c r="AQ69" s="7221"/>
      <c r="AR69" s="7221"/>
      <c r="AS69" s="7221"/>
      <c r="AT69" s="7221"/>
      <c r="AU69" s="7221"/>
      <c r="AV69" s="7221"/>
      <c r="AW69" s="7221"/>
      <c r="AX69" s="7221"/>
      <c r="AY69" s="7221"/>
      <c r="AZ69" s="7221"/>
      <c r="BA69" s="7221"/>
      <c r="BB69" s="7221"/>
      <c r="BC69" s="7221"/>
      <c r="BD69" s="7221"/>
      <c r="BE69" s="7221"/>
      <c r="BF69" s="7221"/>
      <c r="BG69" s="7221"/>
      <c r="BH69" s="7221"/>
      <c r="BI69" s="7221"/>
      <c r="BJ69" s="7221"/>
      <c r="BK69" s="7221"/>
      <c r="BL69" s="7221"/>
      <c r="BM69" s="7221"/>
      <c r="BN69" s="7221"/>
      <c r="BO69" s="7221"/>
      <c r="BP69" s="7221"/>
      <c r="BQ69" s="7221"/>
      <c r="BR69" s="7221"/>
      <c r="BS69" s="7221"/>
      <c r="BT69" s="7221"/>
      <c r="BU69" s="7221"/>
      <c r="BV69" s="7221"/>
      <c r="BW69" s="7221"/>
      <c r="BX69" s="7261"/>
    </row>
    <row r="70" spans="1:76" s="7222" customFormat="1" ht="15" customHeight="1">
      <c r="A70" s="16853"/>
      <c r="B70" s="16840"/>
      <c r="C70" s="16902"/>
      <c r="D70" s="16902"/>
      <c r="E70" s="16902"/>
      <c r="F70" s="16840"/>
      <c r="G70" s="16840"/>
      <c r="H70" s="16961"/>
      <c r="I70" s="16867"/>
      <c r="J70" s="16868"/>
      <c r="K70" s="16875"/>
      <c r="L70" s="16875"/>
      <c r="M70" s="16875"/>
      <c r="N70" s="16875"/>
      <c r="O70" s="16875"/>
      <c r="P70" s="16875"/>
      <c r="Q70" s="16875"/>
      <c r="R70" s="16875"/>
      <c r="S70" s="16875"/>
      <c r="T70" s="16875"/>
      <c r="U70" s="16875"/>
      <c r="V70" s="16874"/>
      <c r="W70" s="16840"/>
      <c r="X70" s="16874"/>
      <c r="Y70" s="16875"/>
      <c r="Z70" s="7223" t="s">
        <v>10194</v>
      </c>
      <c r="AA70" s="7220"/>
      <c r="AB70" s="7221" t="s">
        <v>6670</v>
      </c>
      <c r="AC70" s="7242"/>
      <c r="AD70" s="7161"/>
      <c r="AE70" s="7221"/>
      <c r="AF70" s="7221"/>
      <c r="AG70" s="7221"/>
      <c r="AH70" s="7221"/>
      <c r="AI70" s="7221"/>
      <c r="AJ70" s="7221"/>
      <c r="AK70" s="7221"/>
      <c r="AL70" s="7221"/>
      <c r="AM70" s="7221"/>
      <c r="AN70" s="7221"/>
      <c r="AO70" s="7221"/>
      <c r="AP70" s="7221"/>
      <c r="AQ70" s="7221"/>
      <c r="AR70" s="7221"/>
      <c r="AS70" s="7221"/>
      <c r="AT70" s="7221"/>
      <c r="AU70" s="7221"/>
      <c r="AV70" s="7221"/>
      <c r="AW70" s="7221"/>
      <c r="AX70" s="7221"/>
      <c r="AY70" s="7221"/>
      <c r="AZ70" s="7221"/>
      <c r="BA70" s="7221"/>
      <c r="BB70" s="7221"/>
      <c r="BC70" s="7221"/>
      <c r="BD70" s="7221"/>
      <c r="BE70" s="7221"/>
      <c r="BF70" s="7221"/>
      <c r="BG70" s="7221"/>
      <c r="BH70" s="7221"/>
      <c r="BI70" s="7221"/>
      <c r="BJ70" s="7221"/>
      <c r="BK70" s="7221"/>
      <c r="BL70" s="7221"/>
      <c r="BM70" s="7221"/>
      <c r="BN70" s="7221"/>
      <c r="BO70" s="7221"/>
      <c r="BP70" s="7221"/>
      <c r="BQ70" s="7221"/>
      <c r="BR70" s="7221"/>
      <c r="BS70" s="7221"/>
      <c r="BT70" s="7221"/>
      <c r="BU70" s="7221"/>
      <c r="BV70" s="7221"/>
      <c r="BW70" s="7221"/>
      <c r="BX70" s="7261"/>
    </row>
    <row r="71" spans="1:76" s="7222" customFormat="1" ht="15" customHeight="1">
      <c r="A71" s="16853"/>
      <c r="B71" s="16840"/>
      <c r="C71" s="16902"/>
      <c r="D71" s="16902"/>
      <c r="E71" s="16902"/>
      <c r="F71" s="16840"/>
      <c r="G71" s="16840"/>
      <c r="H71" s="16961"/>
      <c r="I71" s="16867" t="s">
        <v>8318</v>
      </c>
      <c r="J71" s="16868" t="s">
        <v>6671</v>
      </c>
      <c r="K71" s="16840" t="s">
        <v>6672</v>
      </c>
      <c r="L71" s="16840" t="s">
        <v>6673</v>
      </c>
      <c r="M71" s="16840" t="s">
        <v>6674</v>
      </c>
      <c r="N71" s="16840" t="s">
        <v>6675</v>
      </c>
      <c r="O71" s="16840" t="s">
        <v>6676</v>
      </c>
      <c r="P71" s="16840" t="s">
        <v>6677</v>
      </c>
      <c r="Q71" s="16840" t="s">
        <v>6678</v>
      </c>
      <c r="R71" s="16840" t="s">
        <v>6679</v>
      </c>
      <c r="S71" s="16840" t="s">
        <v>6680</v>
      </c>
      <c r="T71" s="16840" t="s">
        <v>6681</v>
      </c>
      <c r="U71" s="16840" t="s">
        <v>6682</v>
      </c>
      <c r="V71" s="16874" t="s">
        <v>6683</v>
      </c>
      <c r="W71" s="16840" t="s">
        <v>6684</v>
      </c>
      <c r="X71" s="16874" t="s">
        <v>6685</v>
      </c>
      <c r="Y71" s="16840" t="s">
        <v>6684</v>
      </c>
      <c r="Z71" s="7220" t="s">
        <v>2896</v>
      </c>
      <c r="AA71" s="16840" t="s">
        <v>6686</v>
      </c>
      <c r="AB71" s="7220"/>
      <c r="AC71" s="7241">
        <f>(2524500*10*10)/2+(2524500*10*10)/2</f>
        <v>252450000</v>
      </c>
      <c r="AD71" s="7160"/>
      <c r="AE71" s="7220"/>
      <c r="AF71" s="7220"/>
      <c r="AG71" s="7220"/>
      <c r="AH71" s="7220"/>
      <c r="AI71" s="7220"/>
      <c r="AJ71" s="7220"/>
      <c r="AK71" s="7220"/>
      <c r="AL71" s="7220"/>
      <c r="AM71" s="7220"/>
      <c r="AN71" s="7220"/>
      <c r="AO71" s="7220"/>
      <c r="AP71" s="7220"/>
      <c r="AQ71" s="7220"/>
      <c r="AR71" s="7220"/>
      <c r="AS71" s="7220"/>
      <c r="AT71" s="7220"/>
      <c r="AU71" s="7220"/>
      <c r="AV71" s="7220"/>
      <c r="AW71" s="7220"/>
      <c r="AX71" s="7220"/>
      <c r="AY71" s="7220"/>
      <c r="AZ71" s="7220"/>
      <c r="BA71" s="7220"/>
      <c r="BB71" s="7220"/>
      <c r="BC71" s="7220"/>
      <c r="BD71" s="7220"/>
      <c r="BE71" s="7220"/>
      <c r="BF71" s="7220"/>
      <c r="BG71" s="7220"/>
      <c r="BH71" s="7220"/>
      <c r="BI71" s="7220"/>
      <c r="BJ71" s="7220"/>
      <c r="BK71" s="7220"/>
      <c r="BL71" s="7220"/>
      <c r="BM71" s="7220"/>
      <c r="BN71" s="7220"/>
      <c r="BO71" s="7220"/>
      <c r="BP71" s="7220"/>
      <c r="BQ71" s="7220"/>
      <c r="BR71" s="7220"/>
      <c r="BS71" s="7220"/>
      <c r="BT71" s="7220"/>
      <c r="BU71" s="7220"/>
      <c r="BV71" s="7220"/>
      <c r="BW71" s="7220"/>
      <c r="BX71" s="7262"/>
    </row>
    <row r="72" spans="1:76" s="7222" customFormat="1" ht="15" customHeight="1">
      <c r="A72" s="16853"/>
      <c r="B72" s="16840"/>
      <c r="C72" s="16902"/>
      <c r="D72" s="16902"/>
      <c r="E72" s="16902"/>
      <c r="F72" s="16840"/>
      <c r="G72" s="16840"/>
      <c r="H72" s="16961"/>
      <c r="I72" s="16867"/>
      <c r="J72" s="16868"/>
      <c r="K72" s="16840"/>
      <c r="L72" s="16840"/>
      <c r="M72" s="16840"/>
      <c r="N72" s="16840"/>
      <c r="O72" s="16840"/>
      <c r="P72" s="16840"/>
      <c r="Q72" s="16840"/>
      <c r="R72" s="16840"/>
      <c r="S72" s="16840"/>
      <c r="T72" s="16840"/>
      <c r="U72" s="16840"/>
      <c r="V72" s="16874"/>
      <c r="W72" s="16840"/>
      <c r="X72" s="16874"/>
      <c r="Y72" s="16840"/>
      <c r="Z72" s="7220" t="s">
        <v>10063</v>
      </c>
      <c r="AA72" s="16840"/>
      <c r="AB72" s="7220"/>
      <c r="AC72" s="7241"/>
      <c r="AD72" s="7160"/>
      <c r="AE72" s="7220"/>
      <c r="AF72" s="7220"/>
      <c r="AG72" s="7220"/>
      <c r="AH72" s="7220"/>
      <c r="AI72" s="7220"/>
      <c r="AJ72" s="7220"/>
      <c r="AK72" s="7220"/>
      <c r="AL72" s="7220"/>
      <c r="AM72" s="7220"/>
      <c r="AN72" s="7220"/>
      <c r="AO72" s="7220"/>
      <c r="AP72" s="7220"/>
      <c r="AQ72" s="7220"/>
      <c r="AR72" s="7220"/>
      <c r="AS72" s="7220"/>
      <c r="AT72" s="7220"/>
      <c r="AU72" s="7220"/>
      <c r="AV72" s="7220"/>
      <c r="AW72" s="7220"/>
      <c r="AX72" s="7220"/>
      <c r="AY72" s="7220"/>
      <c r="AZ72" s="7220"/>
      <c r="BA72" s="7220"/>
      <c r="BB72" s="7220"/>
      <c r="BC72" s="7220"/>
      <c r="BD72" s="7220"/>
      <c r="BE72" s="7220"/>
      <c r="BF72" s="7220"/>
      <c r="BG72" s="7220"/>
      <c r="BH72" s="7220"/>
      <c r="BI72" s="7220"/>
      <c r="BJ72" s="7220"/>
      <c r="BK72" s="7220"/>
      <c r="BL72" s="7220"/>
      <c r="BM72" s="7220"/>
      <c r="BN72" s="7220"/>
      <c r="BO72" s="7220"/>
      <c r="BP72" s="7220"/>
      <c r="BQ72" s="7220"/>
      <c r="BR72" s="7220"/>
      <c r="BS72" s="7220"/>
      <c r="BT72" s="7220"/>
      <c r="BU72" s="7220"/>
      <c r="BV72" s="7220"/>
      <c r="BW72" s="7220"/>
      <c r="BX72" s="7262"/>
    </row>
    <row r="73" spans="1:76" s="7222" customFormat="1" ht="15" customHeight="1">
      <c r="A73" s="16854"/>
      <c r="B73" s="16840"/>
      <c r="C73" s="16902"/>
      <c r="D73" s="16902"/>
      <c r="E73" s="16902"/>
      <c r="F73" s="16840"/>
      <c r="G73" s="16840"/>
      <c r="H73" s="16961"/>
      <c r="I73" s="16867"/>
      <c r="J73" s="16868"/>
      <c r="K73" s="16840"/>
      <c r="L73" s="16840"/>
      <c r="M73" s="16840"/>
      <c r="N73" s="16840"/>
      <c r="O73" s="16840"/>
      <c r="P73" s="16840"/>
      <c r="Q73" s="16840"/>
      <c r="R73" s="16840"/>
      <c r="S73" s="16840"/>
      <c r="T73" s="16840"/>
      <c r="U73" s="16840"/>
      <c r="V73" s="16874"/>
      <c r="W73" s="16840"/>
      <c r="X73" s="16874"/>
      <c r="Y73" s="16840"/>
      <c r="Z73" s="7220" t="s">
        <v>10194</v>
      </c>
      <c r="AA73" s="7220"/>
      <c r="AB73" s="7220" t="s">
        <v>6687</v>
      </c>
      <c r="AC73" s="7241"/>
      <c r="AD73" s="7160"/>
      <c r="AE73" s="7220"/>
      <c r="AF73" s="7220"/>
      <c r="AG73" s="7220"/>
      <c r="AH73" s="7220"/>
      <c r="AI73" s="7220"/>
      <c r="AJ73" s="7220"/>
      <c r="AK73" s="7220"/>
      <c r="AL73" s="7220"/>
      <c r="AM73" s="7220"/>
      <c r="AN73" s="7220"/>
      <c r="AO73" s="7220"/>
      <c r="AP73" s="7220"/>
      <c r="AQ73" s="7220"/>
      <c r="AR73" s="7220"/>
      <c r="AS73" s="7220"/>
      <c r="AT73" s="7220"/>
      <c r="AU73" s="7220"/>
      <c r="AV73" s="7220"/>
      <c r="AW73" s="7220"/>
      <c r="AX73" s="7220"/>
      <c r="AY73" s="7220"/>
      <c r="AZ73" s="7220"/>
      <c r="BA73" s="7220"/>
      <c r="BB73" s="7220"/>
      <c r="BC73" s="7220"/>
      <c r="BD73" s="7220"/>
      <c r="BE73" s="7220"/>
      <c r="BF73" s="7220"/>
      <c r="BG73" s="7220"/>
      <c r="BH73" s="7220"/>
      <c r="BI73" s="7220"/>
      <c r="BJ73" s="7220"/>
      <c r="BK73" s="7220"/>
      <c r="BL73" s="7220"/>
      <c r="BM73" s="7220"/>
      <c r="BN73" s="7220"/>
      <c r="BO73" s="7220"/>
      <c r="BP73" s="7220"/>
      <c r="BQ73" s="7220"/>
      <c r="BR73" s="7220"/>
      <c r="BS73" s="7220"/>
      <c r="BT73" s="7220"/>
      <c r="BU73" s="7220"/>
      <c r="BV73" s="7220"/>
      <c r="BW73" s="7220"/>
      <c r="BX73" s="7262"/>
    </row>
    <row r="74" spans="1:76" s="7222" customFormat="1" ht="15" customHeight="1" thickBot="1">
      <c r="A74" s="7219" t="s">
        <v>6688</v>
      </c>
      <c r="B74" s="16840"/>
      <c r="C74" s="16902"/>
      <c r="D74" s="16902"/>
      <c r="E74" s="16902"/>
      <c r="F74" s="16840"/>
      <c r="G74" s="16840"/>
      <c r="H74" s="16961"/>
      <c r="I74" s="7273" t="s">
        <v>8319</v>
      </c>
      <c r="J74" s="7274" t="s">
        <v>6689</v>
      </c>
      <c r="K74" s="7275" t="s">
        <v>6690</v>
      </c>
      <c r="L74" s="7276" t="s">
        <v>6691</v>
      </c>
      <c r="M74" s="7276" t="s">
        <v>6692</v>
      </c>
      <c r="N74" s="7276" t="s">
        <v>6693</v>
      </c>
      <c r="O74" s="7276" t="s">
        <v>6694</v>
      </c>
      <c r="P74" s="7276" t="s">
        <v>6695</v>
      </c>
      <c r="Q74" s="7276" t="s">
        <v>6696</v>
      </c>
      <c r="R74" s="7276" t="s">
        <v>6697</v>
      </c>
      <c r="S74" s="7276" t="s">
        <v>6698</v>
      </c>
      <c r="T74" s="7276" t="s">
        <v>6699</v>
      </c>
      <c r="U74" s="7276" t="s">
        <v>6700</v>
      </c>
      <c r="V74" s="7277" t="s">
        <v>6701</v>
      </c>
      <c r="W74" s="7278" t="s">
        <v>6702</v>
      </c>
      <c r="X74" s="7277" t="s">
        <v>6703</v>
      </c>
      <c r="Y74" s="7278" t="s">
        <v>6704</v>
      </c>
      <c r="Z74" s="7278" t="s">
        <v>2896</v>
      </c>
      <c r="AA74" s="7279" t="s">
        <v>163</v>
      </c>
      <c r="AB74" s="7280"/>
      <c r="AC74" s="7281">
        <f>+(2524500*10*10)/2</f>
        <v>126225000</v>
      </c>
      <c r="AD74" s="7343"/>
      <c r="AE74" s="7280"/>
      <c r="AF74" s="7280"/>
      <c r="AG74" s="7280"/>
      <c r="AH74" s="7280"/>
      <c r="AI74" s="7280"/>
      <c r="AJ74" s="7280"/>
      <c r="AK74" s="7280"/>
      <c r="AL74" s="7280"/>
      <c r="AM74" s="7280"/>
      <c r="AN74" s="7280"/>
      <c r="AO74" s="7280"/>
      <c r="AP74" s="7280"/>
      <c r="AQ74" s="7280"/>
      <c r="AR74" s="7280"/>
      <c r="AS74" s="7280"/>
      <c r="AT74" s="7280"/>
      <c r="AU74" s="7280"/>
      <c r="AV74" s="7280"/>
      <c r="AW74" s="7280"/>
      <c r="AX74" s="7280"/>
      <c r="AY74" s="7280"/>
      <c r="AZ74" s="7280"/>
      <c r="BA74" s="7280"/>
      <c r="BB74" s="7280"/>
      <c r="BC74" s="7280"/>
      <c r="BD74" s="7280"/>
      <c r="BE74" s="7280"/>
      <c r="BF74" s="7280"/>
      <c r="BG74" s="7280"/>
      <c r="BH74" s="7280"/>
      <c r="BI74" s="7280"/>
      <c r="BJ74" s="7280"/>
      <c r="BK74" s="7280"/>
      <c r="BL74" s="7280"/>
      <c r="BM74" s="7280"/>
      <c r="BN74" s="7280"/>
      <c r="BO74" s="7280"/>
      <c r="BP74" s="7280"/>
      <c r="BQ74" s="7280"/>
      <c r="BR74" s="7280"/>
      <c r="BS74" s="7280"/>
      <c r="BT74" s="7280"/>
      <c r="BU74" s="7280"/>
      <c r="BV74" s="7280"/>
      <c r="BW74" s="7280"/>
      <c r="BX74" s="7282"/>
    </row>
    <row r="75" spans="1:76" s="7210" customFormat="1" ht="15" customHeight="1">
      <c r="A75" s="7208" t="s">
        <v>6705</v>
      </c>
      <c r="B75" s="16873" t="s">
        <v>6706</v>
      </c>
      <c r="C75" s="16902"/>
      <c r="D75" s="16902"/>
      <c r="E75" s="16902"/>
      <c r="F75" s="16873" t="s">
        <v>6707</v>
      </c>
      <c r="G75" s="16873" t="s">
        <v>6708</v>
      </c>
      <c r="H75" s="16949" t="s">
        <v>6709</v>
      </c>
      <c r="I75" s="7266" t="s">
        <v>8320</v>
      </c>
      <c r="J75" s="7267" t="s">
        <v>6710</v>
      </c>
      <c r="K75" s="7268" t="s">
        <v>6711</v>
      </c>
      <c r="L75" s="7269" t="s">
        <v>6712</v>
      </c>
      <c r="M75" s="7269" t="s">
        <v>6713</v>
      </c>
      <c r="N75" s="7269" t="s">
        <v>6714</v>
      </c>
      <c r="O75" s="7269" t="s">
        <v>6715</v>
      </c>
      <c r="P75" s="7269" t="s">
        <v>6716</v>
      </c>
      <c r="Q75" s="7269" t="s">
        <v>6717</v>
      </c>
      <c r="R75" s="7269" t="s">
        <v>6718</v>
      </c>
      <c r="S75" s="7269" t="s">
        <v>6719</v>
      </c>
      <c r="T75" s="7269" t="s">
        <v>6720</v>
      </c>
      <c r="U75" s="7269" t="s">
        <v>6721</v>
      </c>
      <c r="V75" s="7270" t="s">
        <v>6722</v>
      </c>
      <c r="W75" s="7269" t="s">
        <v>6723</v>
      </c>
      <c r="X75" s="7270" t="s">
        <v>6724</v>
      </c>
      <c r="Y75" s="7269" t="s">
        <v>6725</v>
      </c>
      <c r="Z75" s="7269" t="s">
        <v>218</v>
      </c>
      <c r="AA75" s="7269" t="s">
        <v>6726</v>
      </c>
      <c r="AB75" s="7269" t="s">
        <v>6727</v>
      </c>
      <c r="AC75" s="7271">
        <v>120000000</v>
      </c>
      <c r="AD75" s="7346"/>
      <c r="AE75" s="7269"/>
      <c r="AF75" s="7269"/>
      <c r="AG75" s="7269"/>
      <c r="AH75" s="7269"/>
      <c r="AI75" s="7269"/>
      <c r="AJ75" s="7269"/>
      <c r="AK75" s="7269"/>
      <c r="AL75" s="7269"/>
      <c r="AM75" s="7269"/>
      <c r="AN75" s="7269"/>
      <c r="AO75" s="7269"/>
      <c r="AP75" s="7269"/>
      <c r="AQ75" s="7269"/>
      <c r="AR75" s="7269"/>
      <c r="AS75" s="7269"/>
      <c r="AT75" s="7269"/>
      <c r="AU75" s="7269"/>
      <c r="AV75" s="7269"/>
      <c r="AW75" s="7269"/>
      <c r="AX75" s="7269"/>
      <c r="AY75" s="7269"/>
      <c r="AZ75" s="7269"/>
      <c r="BA75" s="7269"/>
      <c r="BB75" s="7269"/>
      <c r="BC75" s="7269"/>
      <c r="BD75" s="7269"/>
      <c r="BE75" s="7269"/>
      <c r="BF75" s="7269"/>
      <c r="BG75" s="7269"/>
      <c r="BH75" s="7269"/>
      <c r="BI75" s="7269"/>
      <c r="BJ75" s="7269"/>
      <c r="BK75" s="7269"/>
      <c r="BL75" s="7269"/>
      <c r="BM75" s="7269"/>
      <c r="BN75" s="7269"/>
      <c r="BO75" s="7269"/>
      <c r="BP75" s="7269"/>
      <c r="BQ75" s="7269"/>
      <c r="BR75" s="7269"/>
      <c r="BS75" s="7269"/>
      <c r="BT75" s="7269"/>
      <c r="BU75" s="7269"/>
      <c r="BV75" s="7269"/>
      <c r="BW75" s="7269"/>
      <c r="BX75" s="7272"/>
    </row>
    <row r="76" spans="1:76" s="7210" customFormat="1" ht="15" customHeight="1">
      <c r="A76" s="7208" t="s">
        <v>6728</v>
      </c>
      <c r="B76" s="16873"/>
      <c r="C76" s="16902"/>
      <c r="D76" s="16902"/>
      <c r="E76" s="16902"/>
      <c r="F76" s="16873"/>
      <c r="G76" s="16873"/>
      <c r="H76" s="16949"/>
      <c r="I76" s="16951" t="s">
        <v>8321</v>
      </c>
      <c r="J76" s="16950" t="s">
        <v>6729</v>
      </c>
      <c r="K76" s="16872" t="s">
        <v>6730</v>
      </c>
      <c r="L76" s="16873" t="s">
        <v>6731</v>
      </c>
      <c r="M76" s="16873" t="s">
        <v>6732</v>
      </c>
      <c r="N76" s="16873" t="s">
        <v>6733</v>
      </c>
      <c r="O76" s="16873" t="s">
        <v>6734</v>
      </c>
      <c r="P76" s="16873" t="s">
        <v>6735</v>
      </c>
      <c r="Q76" s="16873" t="s">
        <v>6736</v>
      </c>
      <c r="R76" s="16873" t="s">
        <v>6737</v>
      </c>
      <c r="S76" s="16873" t="s">
        <v>6738</v>
      </c>
      <c r="T76" s="16873" t="s">
        <v>6739</v>
      </c>
      <c r="U76" s="16873" t="s">
        <v>6740</v>
      </c>
      <c r="V76" s="16962" t="s">
        <v>6741</v>
      </c>
      <c r="W76" s="16873" t="s">
        <v>6742</v>
      </c>
      <c r="X76" s="16962" t="s">
        <v>6743</v>
      </c>
      <c r="Y76" s="16873" t="s">
        <v>6744</v>
      </c>
      <c r="Z76" s="7209" t="s">
        <v>10063</v>
      </c>
      <c r="AA76" s="16873" t="s">
        <v>6745</v>
      </c>
      <c r="AB76" s="16839"/>
      <c r="AC76" s="16963">
        <f>100000000+100000000+100000000+100000000</f>
        <v>400000000</v>
      </c>
      <c r="AD76" s="7162"/>
      <c r="AE76" s="16839"/>
      <c r="AF76" s="16839"/>
      <c r="AG76" s="16839"/>
      <c r="AH76" s="16839"/>
      <c r="AI76" s="16839"/>
      <c r="AJ76" s="16839"/>
      <c r="AK76" s="16839"/>
      <c r="AL76" s="16839"/>
      <c r="AM76" s="16839"/>
      <c r="AN76" s="16839"/>
      <c r="AO76" s="16839"/>
      <c r="AP76" s="16839"/>
      <c r="AQ76" s="16839"/>
      <c r="AR76" s="16839"/>
      <c r="AS76" s="16839"/>
      <c r="AT76" s="16839"/>
      <c r="AU76" s="16839"/>
      <c r="AV76" s="16839"/>
      <c r="AW76" s="16839"/>
      <c r="AX76" s="16839"/>
      <c r="AY76" s="16839"/>
      <c r="AZ76" s="16839"/>
      <c r="BA76" s="16839"/>
      <c r="BB76" s="16839"/>
      <c r="BC76" s="16839"/>
      <c r="BD76" s="16839"/>
      <c r="BE76" s="16839"/>
      <c r="BF76" s="16839"/>
      <c r="BG76" s="16839"/>
      <c r="BH76" s="16839"/>
      <c r="BI76" s="16839"/>
      <c r="BJ76" s="16839"/>
      <c r="BK76" s="16839"/>
      <c r="BL76" s="16839"/>
      <c r="BM76" s="16839"/>
      <c r="BN76" s="16839"/>
      <c r="BO76" s="16839"/>
      <c r="BP76" s="16839"/>
      <c r="BQ76" s="16839"/>
      <c r="BR76" s="16839"/>
      <c r="BS76" s="16839"/>
      <c r="BT76" s="16839"/>
      <c r="BU76" s="16839"/>
      <c r="BV76" s="16839"/>
      <c r="BW76" s="16839"/>
      <c r="BX76" s="16828"/>
    </row>
    <row r="77" spans="1:76" s="7210" customFormat="1" ht="15" customHeight="1">
      <c r="A77" s="7208" t="s">
        <v>6746</v>
      </c>
      <c r="B77" s="16873"/>
      <c r="C77" s="16902"/>
      <c r="D77" s="16902"/>
      <c r="E77" s="16902"/>
      <c r="F77" s="16873"/>
      <c r="G77" s="16873"/>
      <c r="H77" s="16949"/>
      <c r="I77" s="16951"/>
      <c r="J77" s="16950"/>
      <c r="K77" s="16872"/>
      <c r="L77" s="16873"/>
      <c r="M77" s="16873"/>
      <c r="N77" s="16873"/>
      <c r="O77" s="16873"/>
      <c r="P77" s="16873"/>
      <c r="Q77" s="16873"/>
      <c r="R77" s="16873"/>
      <c r="S77" s="16873"/>
      <c r="T77" s="16873"/>
      <c r="U77" s="16873"/>
      <c r="V77" s="16962"/>
      <c r="W77" s="16873"/>
      <c r="X77" s="16962"/>
      <c r="Y77" s="16873"/>
      <c r="Z77" s="7209" t="s">
        <v>218</v>
      </c>
      <c r="AA77" s="16873"/>
      <c r="AB77" s="16839"/>
      <c r="AC77" s="16964"/>
      <c r="AD77" s="7163"/>
      <c r="AE77" s="16839"/>
      <c r="AF77" s="16839"/>
      <c r="AG77" s="16839"/>
      <c r="AH77" s="16839"/>
      <c r="AI77" s="16839"/>
      <c r="AJ77" s="16839"/>
      <c r="AK77" s="16839"/>
      <c r="AL77" s="16839"/>
      <c r="AM77" s="16839"/>
      <c r="AN77" s="16839"/>
      <c r="AO77" s="16839"/>
      <c r="AP77" s="16839"/>
      <c r="AQ77" s="16839"/>
      <c r="AR77" s="16839"/>
      <c r="AS77" s="16839"/>
      <c r="AT77" s="16839"/>
      <c r="AU77" s="16839"/>
      <c r="AV77" s="16839"/>
      <c r="AW77" s="16839"/>
      <c r="AX77" s="16839"/>
      <c r="AY77" s="16839"/>
      <c r="AZ77" s="16839"/>
      <c r="BA77" s="16839"/>
      <c r="BB77" s="16839"/>
      <c r="BC77" s="16839"/>
      <c r="BD77" s="16839"/>
      <c r="BE77" s="16839"/>
      <c r="BF77" s="16839"/>
      <c r="BG77" s="16839"/>
      <c r="BH77" s="16839"/>
      <c r="BI77" s="16839"/>
      <c r="BJ77" s="16839"/>
      <c r="BK77" s="16839"/>
      <c r="BL77" s="16839"/>
      <c r="BM77" s="16839"/>
      <c r="BN77" s="16839"/>
      <c r="BO77" s="16839"/>
      <c r="BP77" s="16839"/>
      <c r="BQ77" s="16839"/>
      <c r="BR77" s="16839"/>
      <c r="BS77" s="16839"/>
      <c r="BT77" s="16839"/>
      <c r="BU77" s="16839"/>
      <c r="BV77" s="16839"/>
      <c r="BW77" s="16839"/>
      <c r="BX77" s="16828"/>
    </row>
    <row r="78" spans="1:76" s="7210" customFormat="1" ht="15" customHeight="1">
      <c r="A78" s="7208" t="s">
        <v>6747</v>
      </c>
      <c r="B78" s="16873"/>
      <c r="C78" s="16902"/>
      <c r="D78" s="16902"/>
      <c r="E78" s="16902"/>
      <c r="F78" s="16873"/>
      <c r="G78" s="16873"/>
      <c r="H78" s="16949"/>
      <c r="I78" s="16951"/>
      <c r="J78" s="16950"/>
      <c r="K78" s="16872"/>
      <c r="L78" s="16873"/>
      <c r="M78" s="16873"/>
      <c r="N78" s="16873"/>
      <c r="O78" s="16873"/>
      <c r="P78" s="16873"/>
      <c r="Q78" s="16873"/>
      <c r="R78" s="16873"/>
      <c r="S78" s="16873"/>
      <c r="T78" s="16873"/>
      <c r="U78" s="16873"/>
      <c r="V78" s="16962"/>
      <c r="W78" s="16873"/>
      <c r="X78" s="16962"/>
      <c r="Y78" s="16873"/>
      <c r="Z78" s="7209" t="s">
        <v>10067</v>
      </c>
      <c r="AA78" s="16873"/>
      <c r="AB78" s="16839"/>
      <c r="AC78" s="16964"/>
      <c r="AD78" s="7163"/>
      <c r="AE78" s="16839"/>
      <c r="AF78" s="16839"/>
      <c r="AG78" s="16839"/>
      <c r="AH78" s="16839"/>
      <c r="AI78" s="16839"/>
      <c r="AJ78" s="16839"/>
      <c r="AK78" s="16839"/>
      <c r="AL78" s="16839"/>
      <c r="AM78" s="16839"/>
      <c r="AN78" s="16839"/>
      <c r="AO78" s="16839"/>
      <c r="AP78" s="16839"/>
      <c r="AQ78" s="16839"/>
      <c r="AR78" s="16839"/>
      <c r="AS78" s="16839"/>
      <c r="AT78" s="16839"/>
      <c r="AU78" s="16839"/>
      <c r="AV78" s="16839"/>
      <c r="AW78" s="16839"/>
      <c r="AX78" s="16839"/>
      <c r="AY78" s="16839"/>
      <c r="AZ78" s="16839"/>
      <c r="BA78" s="16839"/>
      <c r="BB78" s="16839"/>
      <c r="BC78" s="16839"/>
      <c r="BD78" s="16839"/>
      <c r="BE78" s="16839"/>
      <c r="BF78" s="16839"/>
      <c r="BG78" s="16839"/>
      <c r="BH78" s="16839"/>
      <c r="BI78" s="16839"/>
      <c r="BJ78" s="16839"/>
      <c r="BK78" s="16839"/>
      <c r="BL78" s="16839"/>
      <c r="BM78" s="16839"/>
      <c r="BN78" s="16839"/>
      <c r="BO78" s="16839"/>
      <c r="BP78" s="16839"/>
      <c r="BQ78" s="16839"/>
      <c r="BR78" s="16839"/>
      <c r="BS78" s="16839"/>
      <c r="BT78" s="16839"/>
      <c r="BU78" s="16839"/>
      <c r="BV78" s="16839"/>
      <c r="BW78" s="16839"/>
      <c r="BX78" s="16828"/>
    </row>
    <row r="79" spans="1:76" s="7210" customFormat="1" ht="15" customHeight="1">
      <c r="A79" s="16951" t="s">
        <v>6748</v>
      </c>
      <c r="B79" s="16873"/>
      <c r="C79" s="16902"/>
      <c r="D79" s="16902"/>
      <c r="E79" s="16902"/>
      <c r="F79" s="16873"/>
      <c r="G79" s="16873"/>
      <c r="H79" s="16949"/>
      <c r="I79" s="16951"/>
      <c r="J79" s="16950"/>
      <c r="K79" s="16872"/>
      <c r="L79" s="16873"/>
      <c r="M79" s="16873"/>
      <c r="N79" s="16873"/>
      <c r="O79" s="16873"/>
      <c r="P79" s="16873"/>
      <c r="Q79" s="16873"/>
      <c r="R79" s="16873"/>
      <c r="S79" s="16873"/>
      <c r="T79" s="16873"/>
      <c r="U79" s="16873"/>
      <c r="V79" s="16962"/>
      <c r="W79" s="16873"/>
      <c r="X79" s="16962"/>
      <c r="Y79" s="16873"/>
      <c r="Z79" s="7209" t="s">
        <v>4305</v>
      </c>
      <c r="AA79" s="16873"/>
      <c r="AB79" s="16839"/>
      <c r="AC79" s="16964"/>
      <c r="AD79" s="7163"/>
      <c r="AE79" s="16839"/>
      <c r="AF79" s="16839"/>
      <c r="AG79" s="16839"/>
      <c r="AH79" s="16839"/>
      <c r="AI79" s="16839"/>
      <c r="AJ79" s="16839"/>
      <c r="AK79" s="16839"/>
      <c r="AL79" s="16839"/>
      <c r="AM79" s="16839"/>
      <c r="AN79" s="16839"/>
      <c r="AO79" s="16839"/>
      <c r="AP79" s="16839"/>
      <c r="AQ79" s="16839"/>
      <c r="AR79" s="16839"/>
      <c r="AS79" s="16839"/>
      <c r="AT79" s="16839"/>
      <c r="AU79" s="16839"/>
      <c r="AV79" s="16839"/>
      <c r="AW79" s="16839"/>
      <c r="AX79" s="16839"/>
      <c r="AY79" s="16839"/>
      <c r="AZ79" s="16839"/>
      <c r="BA79" s="16839"/>
      <c r="BB79" s="16839"/>
      <c r="BC79" s="16839"/>
      <c r="BD79" s="16839"/>
      <c r="BE79" s="16839"/>
      <c r="BF79" s="16839"/>
      <c r="BG79" s="16839"/>
      <c r="BH79" s="16839"/>
      <c r="BI79" s="16839"/>
      <c r="BJ79" s="16839"/>
      <c r="BK79" s="16839"/>
      <c r="BL79" s="16839"/>
      <c r="BM79" s="16839"/>
      <c r="BN79" s="16839"/>
      <c r="BO79" s="16839"/>
      <c r="BP79" s="16839"/>
      <c r="BQ79" s="16839"/>
      <c r="BR79" s="16839"/>
      <c r="BS79" s="16839"/>
      <c r="BT79" s="16839"/>
      <c r="BU79" s="16839"/>
      <c r="BV79" s="16839"/>
      <c r="BW79" s="16839"/>
      <c r="BX79" s="16828"/>
    </row>
    <row r="80" spans="1:76" s="7210" customFormat="1" ht="15" customHeight="1" thickBot="1">
      <c r="A80" s="16952"/>
      <c r="B80" s="16965"/>
      <c r="C80" s="16903"/>
      <c r="D80" s="16903"/>
      <c r="E80" s="16903"/>
      <c r="F80" s="16965"/>
      <c r="G80" s="16965"/>
      <c r="H80" s="16966"/>
      <c r="I80" s="7263" t="s">
        <v>8322</v>
      </c>
      <c r="J80" s="7225" t="s">
        <v>6749</v>
      </c>
      <c r="K80" s="7226" t="s">
        <v>6750</v>
      </c>
      <c r="L80" s="7227" t="s">
        <v>6751</v>
      </c>
      <c r="M80" s="7224" t="s">
        <v>6752</v>
      </c>
      <c r="N80" s="7224" t="s">
        <v>6753</v>
      </c>
      <c r="O80" s="7224" t="s">
        <v>6754</v>
      </c>
      <c r="P80" s="7224" t="s">
        <v>6755</v>
      </c>
      <c r="Q80" s="7224" t="s">
        <v>6756</v>
      </c>
      <c r="R80" s="7224" t="s">
        <v>6757</v>
      </c>
      <c r="S80" s="7224" t="s">
        <v>6758</v>
      </c>
      <c r="T80" s="7224" t="s">
        <v>6759</v>
      </c>
      <c r="U80" s="7224" t="s">
        <v>6760</v>
      </c>
      <c r="V80" s="7224" t="s">
        <v>6761</v>
      </c>
      <c r="W80" s="7227" t="s">
        <v>6762</v>
      </c>
      <c r="X80" s="7228" t="s">
        <v>6763</v>
      </c>
      <c r="Y80" s="7227" t="s">
        <v>6764</v>
      </c>
      <c r="Z80" s="7227" t="s">
        <v>26</v>
      </c>
      <c r="AA80" s="7227" t="s">
        <v>6765</v>
      </c>
      <c r="AB80" s="7229" t="s">
        <v>6766</v>
      </c>
      <c r="AC80" s="7264">
        <v>100000000</v>
      </c>
      <c r="AD80" s="7343"/>
      <c r="AE80" s="7229"/>
      <c r="AF80" s="7229"/>
      <c r="AG80" s="7229"/>
      <c r="AH80" s="7229"/>
      <c r="AI80" s="7229"/>
      <c r="AJ80" s="7229"/>
      <c r="AK80" s="7229"/>
      <c r="AL80" s="7229"/>
      <c r="AM80" s="7229"/>
      <c r="AN80" s="7229"/>
      <c r="AO80" s="7229"/>
      <c r="AP80" s="7229"/>
      <c r="AQ80" s="7229"/>
      <c r="AR80" s="7229"/>
      <c r="AS80" s="7229"/>
      <c r="AT80" s="7229"/>
      <c r="AU80" s="7229"/>
      <c r="AV80" s="7229"/>
      <c r="AW80" s="7229"/>
      <c r="AX80" s="7229"/>
      <c r="AY80" s="7229"/>
      <c r="AZ80" s="7229"/>
      <c r="BA80" s="7229"/>
      <c r="BB80" s="7229"/>
      <c r="BC80" s="7229"/>
      <c r="BD80" s="7229"/>
      <c r="BE80" s="7229"/>
      <c r="BF80" s="7229"/>
      <c r="BG80" s="7229"/>
      <c r="BH80" s="7229"/>
      <c r="BI80" s="7229"/>
      <c r="BJ80" s="7229"/>
      <c r="BK80" s="7229"/>
      <c r="BL80" s="7229"/>
      <c r="BM80" s="7229"/>
      <c r="BN80" s="7229"/>
      <c r="BO80" s="7229"/>
      <c r="BP80" s="7229"/>
      <c r="BQ80" s="7229"/>
      <c r="BR80" s="7229"/>
      <c r="BS80" s="7229"/>
      <c r="BT80" s="7229"/>
      <c r="BU80" s="7229"/>
      <c r="BV80" s="7229"/>
      <c r="BW80" s="7229"/>
      <c r="BX80" s="7265"/>
    </row>
    <row r="81" spans="31:31" ht="15" customHeight="1">
      <c r="AE81" s="481"/>
    </row>
  </sheetData>
  <mergeCells count="857">
    <mergeCell ref="X76:X79"/>
    <mergeCell ref="Y76:Y79"/>
    <mergeCell ref="AA76:AA79"/>
    <mergeCell ref="AB76:AB79"/>
    <mergeCell ref="AC76:AC79"/>
    <mergeCell ref="A79:A80"/>
    <mergeCell ref="R76:R79"/>
    <mergeCell ref="S76:S79"/>
    <mergeCell ref="T76:T79"/>
    <mergeCell ref="U76:U79"/>
    <mergeCell ref="V76:V79"/>
    <mergeCell ref="W76:W79"/>
    <mergeCell ref="L76:L79"/>
    <mergeCell ref="M76:M79"/>
    <mergeCell ref="N76:N79"/>
    <mergeCell ref="O76:O79"/>
    <mergeCell ref="P76:P79"/>
    <mergeCell ref="Q76:Q79"/>
    <mergeCell ref="B75:B80"/>
    <mergeCell ref="F75:F80"/>
    <mergeCell ref="G75:G80"/>
    <mergeCell ref="H75:H80"/>
    <mergeCell ref="J76:J79"/>
    <mergeCell ref="B68:B74"/>
    <mergeCell ref="F68:F74"/>
    <mergeCell ref="G68:G74"/>
    <mergeCell ref="H68:H74"/>
    <mergeCell ref="I69:I70"/>
    <mergeCell ref="J69:J70"/>
    <mergeCell ref="K69:K70"/>
    <mergeCell ref="L69:L70"/>
    <mergeCell ref="I76:I79"/>
    <mergeCell ref="K76:K79"/>
    <mergeCell ref="AB61:AB63"/>
    <mergeCell ref="L58:L60"/>
    <mergeCell ref="M58:M60"/>
    <mergeCell ref="N58:N60"/>
    <mergeCell ref="O58:O60"/>
    <mergeCell ref="AC61:AC63"/>
    <mergeCell ref="B65:B67"/>
    <mergeCell ref="F65:F67"/>
    <mergeCell ref="G65:G67"/>
    <mergeCell ref="H65:H67"/>
    <mergeCell ref="U61:U63"/>
    <mergeCell ref="V61:V63"/>
    <mergeCell ref="W61:W63"/>
    <mergeCell ref="X61:X63"/>
    <mergeCell ref="Y61:Y63"/>
    <mergeCell ref="AA61:AA63"/>
    <mergeCell ref="O61:O63"/>
    <mergeCell ref="P61:P63"/>
    <mergeCell ref="Q61:Q63"/>
    <mergeCell ref="R61:R63"/>
    <mergeCell ref="S61:S63"/>
    <mergeCell ref="T61:T63"/>
    <mergeCell ref="N61:N63"/>
    <mergeCell ref="V69:V70"/>
    <mergeCell ref="I61:I64"/>
    <mergeCell ref="V58:V60"/>
    <mergeCell ref="W58:W60"/>
    <mergeCell ref="X58:X60"/>
    <mergeCell ref="Y58:Y60"/>
    <mergeCell ref="P58:P60"/>
    <mergeCell ref="Q58:Q60"/>
    <mergeCell ref="R58:R60"/>
    <mergeCell ref="S58:S60"/>
    <mergeCell ref="T58:T60"/>
    <mergeCell ref="U58:U60"/>
    <mergeCell ref="J58:J60"/>
    <mergeCell ref="K58:K60"/>
    <mergeCell ref="M69:M70"/>
    <mergeCell ref="Y69:Y70"/>
    <mergeCell ref="AC52:AC53"/>
    <mergeCell ref="B54:B60"/>
    <mergeCell ref="C54:C80"/>
    <mergeCell ref="D54:D80"/>
    <mergeCell ref="E54:E80"/>
    <mergeCell ref="F54:F60"/>
    <mergeCell ref="G54:G60"/>
    <mergeCell ref="H54:H60"/>
    <mergeCell ref="U52:U53"/>
    <mergeCell ref="V52:V53"/>
    <mergeCell ref="W52:W53"/>
    <mergeCell ref="X52:X53"/>
    <mergeCell ref="Y52:Y53"/>
    <mergeCell ref="AA52:AA53"/>
    <mergeCell ref="O52:O53"/>
    <mergeCell ref="P52:P53"/>
    <mergeCell ref="Q52:Q53"/>
    <mergeCell ref="R52:R53"/>
    <mergeCell ref="AC58:AC60"/>
    <mergeCell ref="B61:B64"/>
    <mergeCell ref="F61:F64"/>
    <mergeCell ref="G61:G64"/>
    <mergeCell ref="H61:H64"/>
    <mergeCell ref="J61:J63"/>
    <mergeCell ref="H52:H53"/>
    <mergeCell ref="J52:J53"/>
    <mergeCell ref="K52:K53"/>
    <mergeCell ref="L52:L53"/>
    <mergeCell ref="M52:M53"/>
    <mergeCell ref="N52:N53"/>
    <mergeCell ref="AB52:AB53"/>
    <mergeCell ref="V39:V40"/>
    <mergeCell ref="L39:L40"/>
    <mergeCell ref="Y43:Y47"/>
    <mergeCell ref="J39:J40"/>
    <mergeCell ref="AA43:AA47"/>
    <mergeCell ref="AB43:AB47"/>
    <mergeCell ref="M39:M40"/>
    <mergeCell ref="N39:N40"/>
    <mergeCell ref="AB39:AB40"/>
    <mergeCell ref="S52:S53"/>
    <mergeCell ref="T52:T53"/>
    <mergeCell ref="X39:X40"/>
    <mergeCell ref="I41:I42"/>
    <mergeCell ref="J41:J42"/>
    <mergeCell ref="K41:K42"/>
    <mergeCell ref="L41:L42"/>
    <mergeCell ref="M41:M42"/>
    <mergeCell ref="K37:K38"/>
    <mergeCell ref="X37:X38"/>
    <mergeCell ref="Y37:Y38"/>
    <mergeCell ref="AC37:AC38"/>
    <mergeCell ref="W37:W38"/>
    <mergeCell ref="L37:L38"/>
    <mergeCell ref="AC43:AC47"/>
    <mergeCell ref="S43:S47"/>
    <mergeCell ref="T43:T47"/>
    <mergeCell ref="U43:U47"/>
    <mergeCell ref="V43:V47"/>
    <mergeCell ref="W43:W47"/>
    <mergeCell ref="X43:X47"/>
    <mergeCell ref="M43:M47"/>
    <mergeCell ref="N43:N47"/>
    <mergeCell ref="O43:O47"/>
    <mergeCell ref="P43:P47"/>
    <mergeCell ref="Q43:Q47"/>
    <mergeCell ref="R43:R47"/>
    <mergeCell ref="Y39:Y40"/>
    <mergeCell ref="AA39:AA40"/>
    <mergeCell ref="V37:V38"/>
    <mergeCell ref="AC39:AC40"/>
    <mergeCell ref="W39:W40"/>
    <mergeCell ref="B41:B51"/>
    <mergeCell ref="F41:F51"/>
    <mergeCell ref="G41:G51"/>
    <mergeCell ref="H41:H51"/>
    <mergeCell ref="J43:J47"/>
    <mergeCell ref="K43:K47"/>
    <mergeCell ref="L43:L47"/>
    <mergeCell ref="U39:U40"/>
    <mergeCell ref="O39:O40"/>
    <mergeCell ref="P39:P40"/>
    <mergeCell ref="Q39:Q40"/>
    <mergeCell ref="R39:R40"/>
    <mergeCell ref="S39:S40"/>
    <mergeCell ref="T39:T40"/>
    <mergeCell ref="K39:K40"/>
    <mergeCell ref="B37:B40"/>
    <mergeCell ref="F37:F40"/>
    <mergeCell ref="G37:G40"/>
    <mergeCell ref="H37:H40"/>
    <mergeCell ref="J37:J38"/>
    <mergeCell ref="M37:M38"/>
    <mergeCell ref="N37:N38"/>
    <mergeCell ref="O37:O38"/>
    <mergeCell ref="P37:P38"/>
    <mergeCell ref="AC27:AC29"/>
    <mergeCell ref="Q27:Q29"/>
    <mergeCell ref="R27:R29"/>
    <mergeCell ref="S27:S29"/>
    <mergeCell ref="T27:T29"/>
    <mergeCell ref="U27:U29"/>
    <mergeCell ref="V27:V29"/>
    <mergeCell ref="Y27:Y29"/>
    <mergeCell ref="W27:W29"/>
    <mergeCell ref="X27:X29"/>
    <mergeCell ref="U18:U19"/>
    <mergeCell ref="AB18:AB19"/>
    <mergeCell ref="AB20:AB21"/>
    <mergeCell ref="Y20:Y25"/>
    <mergeCell ref="V20:V25"/>
    <mergeCell ref="Q37:Q38"/>
    <mergeCell ref="R37:R38"/>
    <mergeCell ref="S37:S38"/>
    <mergeCell ref="T37:T38"/>
    <mergeCell ref="U37:U38"/>
    <mergeCell ref="V32:V35"/>
    <mergeCell ref="W32:W35"/>
    <mergeCell ref="X32:X35"/>
    <mergeCell ref="Y32:Y35"/>
    <mergeCell ref="AA32:AA34"/>
    <mergeCell ref="AA37:AA38"/>
    <mergeCell ref="AB37:AB38"/>
    <mergeCell ref="F11:F26"/>
    <mergeCell ref="G11:G26"/>
    <mergeCell ref="H11:H26"/>
    <mergeCell ref="A12:A15"/>
    <mergeCell ref="AC18:AC19"/>
    <mergeCell ref="W18:W19"/>
    <mergeCell ref="X18:X19"/>
    <mergeCell ref="Y18:Y19"/>
    <mergeCell ref="AA18:AA19"/>
    <mergeCell ref="P18:P19"/>
    <mergeCell ref="S12:S14"/>
    <mergeCell ref="T12:T14"/>
    <mergeCell ref="U12:U14"/>
    <mergeCell ref="V12:V14"/>
    <mergeCell ref="W12:W14"/>
    <mergeCell ref="X12:X14"/>
    <mergeCell ref="Y12:Y14"/>
    <mergeCell ref="I16:I17"/>
    <mergeCell ref="Q16:Q17"/>
    <mergeCell ref="R16:R17"/>
    <mergeCell ref="S16:S17"/>
    <mergeCell ref="T16:T17"/>
    <mergeCell ref="U16:U17"/>
    <mergeCell ref="V16:V17"/>
    <mergeCell ref="O7:O8"/>
    <mergeCell ref="J18:J19"/>
    <mergeCell ref="K18:K19"/>
    <mergeCell ref="M18:M19"/>
    <mergeCell ref="N18:N19"/>
    <mergeCell ref="O18:O19"/>
    <mergeCell ref="N27:N29"/>
    <mergeCell ref="O27:O29"/>
    <mergeCell ref="P27:P29"/>
    <mergeCell ref="K27:K29"/>
    <mergeCell ref="L27:L29"/>
    <mergeCell ref="M27:M29"/>
    <mergeCell ref="J27:J29"/>
    <mergeCell ref="J16:J17"/>
    <mergeCell ref="K16:K17"/>
    <mergeCell ref="M16:M17"/>
    <mergeCell ref="N16:N17"/>
    <mergeCell ref="O16:O17"/>
    <mergeCell ref="P16:P17"/>
    <mergeCell ref="I37:I38"/>
    <mergeCell ref="I39:I40"/>
    <mergeCell ref="I43:I47"/>
    <mergeCell ref="I52:I53"/>
    <mergeCell ref="I58:I60"/>
    <mergeCell ref="B6:B10"/>
    <mergeCell ref="C6:C26"/>
    <mergeCell ref="D6:D26"/>
    <mergeCell ref="E6:E26"/>
    <mergeCell ref="F6:F10"/>
    <mergeCell ref="G6:G10"/>
    <mergeCell ref="H6:H10"/>
    <mergeCell ref="I7:I8"/>
    <mergeCell ref="I18:I19"/>
    <mergeCell ref="B27:B36"/>
    <mergeCell ref="C27:C53"/>
    <mergeCell ref="D27:D53"/>
    <mergeCell ref="E27:E53"/>
    <mergeCell ref="F27:F36"/>
    <mergeCell ref="G27:G36"/>
    <mergeCell ref="H27:H36"/>
    <mergeCell ref="B52:B53"/>
    <mergeCell ref="F52:F53"/>
    <mergeCell ref="G52:G53"/>
    <mergeCell ref="A1:AB2"/>
    <mergeCell ref="AE7:AE8"/>
    <mergeCell ref="AE18:AE19"/>
    <mergeCell ref="AE27:AE29"/>
    <mergeCell ref="A3:AB4"/>
    <mergeCell ref="AE3:AE5"/>
    <mergeCell ref="J7:J8"/>
    <mergeCell ref="K7:K8"/>
    <mergeCell ref="M7:M8"/>
    <mergeCell ref="N7:N8"/>
    <mergeCell ref="I27:I29"/>
    <mergeCell ref="AC7:AC8"/>
    <mergeCell ref="AB7:AB8"/>
    <mergeCell ref="V7:V8"/>
    <mergeCell ref="W7:W8"/>
    <mergeCell ref="X7:X8"/>
    <mergeCell ref="Y7:Y8"/>
    <mergeCell ref="AA7:AA8"/>
    <mergeCell ref="P7:P8"/>
    <mergeCell ref="Q7:Q8"/>
    <mergeCell ref="R7:R8"/>
    <mergeCell ref="S7:S8"/>
    <mergeCell ref="T7:T8"/>
    <mergeCell ref="U7:U8"/>
    <mergeCell ref="BD7:BD8"/>
    <mergeCell ref="BE7:BE8"/>
    <mergeCell ref="BF7:BF8"/>
    <mergeCell ref="BG7:BG8"/>
    <mergeCell ref="BH7:BH8"/>
    <mergeCell ref="BN7:BN8"/>
    <mergeCell ref="BO7:BO8"/>
    <mergeCell ref="AE76:AE79"/>
    <mergeCell ref="AE37:AE38"/>
    <mergeCell ref="AE39:AE40"/>
    <mergeCell ref="AE43:AE47"/>
    <mergeCell ref="AE52:AE53"/>
    <mergeCell ref="AE58:AE60"/>
    <mergeCell ref="AE61:AE63"/>
    <mergeCell ref="AF7:AF8"/>
    <mergeCell ref="AG7:AG8"/>
    <mergeCell ref="AH7:AH8"/>
    <mergeCell ref="AI7:AI8"/>
    <mergeCell ref="AJ7:AJ8"/>
    <mergeCell ref="AK7:AK8"/>
    <mergeCell ref="AL7:AL8"/>
    <mergeCell ref="AM7:AM8"/>
    <mergeCell ref="AN7:AN8"/>
    <mergeCell ref="AO18:AO19"/>
    <mergeCell ref="BR7:BR8"/>
    <mergeCell ref="BS7:BS8"/>
    <mergeCell ref="BT7:BT8"/>
    <mergeCell ref="BU7:BU8"/>
    <mergeCell ref="BV7:BV8"/>
    <mergeCell ref="BI7:BI8"/>
    <mergeCell ref="BJ7:BJ8"/>
    <mergeCell ref="BK7:BK8"/>
    <mergeCell ref="BL7:BL8"/>
    <mergeCell ref="BM7:BM8"/>
    <mergeCell ref="BQ7:BQ8"/>
    <mergeCell ref="AP18:AP19"/>
    <mergeCell ref="AQ18:AQ19"/>
    <mergeCell ref="AR18:AR19"/>
    <mergeCell ref="AS18:AS19"/>
    <mergeCell ref="AT18:AT19"/>
    <mergeCell ref="AU18:AU19"/>
    <mergeCell ref="AV18:AV19"/>
    <mergeCell ref="BP7:BP8"/>
    <mergeCell ref="AO7:AO8"/>
    <mergeCell ref="AP7:AP8"/>
    <mergeCell ref="AQ7:AQ8"/>
    <mergeCell ref="AR7:AR8"/>
    <mergeCell ref="AS7:AS8"/>
    <mergeCell ref="AT7:AT8"/>
    <mergeCell ref="AU7:AU8"/>
    <mergeCell ref="AV7:AV8"/>
    <mergeCell ref="AW7:AW8"/>
    <mergeCell ref="AX7:AX8"/>
    <mergeCell ref="AY7:AY8"/>
    <mergeCell ref="AZ7:AZ8"/>
    <mergeCell ref="BA7:BA8"/>
    <mergeCell ref="BB7:BB8"/>
    <mergeCell ref="BC7:BC8"/>
    <mergeCell ref="BF18:BF19"/>
    <mergeCell ref="AF18:AF19"/>
    <mergeCell ref="AG18:AG19"/>
    <mergeCell ref="AH18:AH19"/>
    <mergeCell ref="AI18:AI19"/>
    <mergeCell ref="AJ18:AJ19"/>
    <mergeCell ref="AK18:AK19"/>
    <mergeCell ref="AL18:AL19"/>
    <mergeCell ref="AM18:AM19"/>
    <mergeCell ref="AN18:AN19"/>
    <mergeCell ref="AW18:AW19"/>
    <mergeCell ref="AX18:AX19"/>
    <mergeCell ref="AY18:AY19"/>
    <mergeCell ref="AZ18:AZ19"/>
    <mergeCell ref="BA18:BA19"/>
    <mergeCell ref="BB18:BB19"/>
    <mergeCell ref="BC18:BC19"/>
    <mergeCell ref="BD18:BD19"/>
    <mergeCell ref="BE18:BE19"/>
    <mergeCell ref="BP27:BP29"/>
    <mergeCell ref="BQ27:BQ29"/>
    <mergeCell ref="BR27:BR29"/>
    <mergeCell ref="BS27:BS29"/>
    <mergeCell ref="BT27:BT29"/>
    <mergeCell ref="BU27:BU29"/>
    <mergeCell ref="BV27:BV29"/>
    <mergeCell ref="AF27:AF29"/>
    <mergeCell ref="AG27:AG29"/>
    <mergeCell ref="AH27:AH29"/>
    <mergeCell ref="AI27:AI29"/>
    <mergeCell ref="AJ27:AJ29"/>
    <mergeCell ref="AK27:AK29"/>
    <mergeCell ref="AL27:AL29"/>
    <mergeCell ref="AM27:AM29"/>
    <mergeCell ref="AN27:AN29"/>
    <mergeCell ref="BM27:BM29"/>
    <mergeCell ref="AX27:AX29"/>
    <mergeCell ref="AY27:AY29"/>
    <mergeCell ref="AZ27:AZ29"/>
    <mergeCell ref="BA27:BA29"/>
    <mergeCell ref="BB27:BB29"/>
    <mergeCell ref="BC27:BC29"/>
    <mergeCell ref="BD27:BD29"/>
    <mergeCell ref="BP18:BP19"/>
    <mergeCell ref="BQ18:BQ19"/>
    <mergeCell ref="BR18:BR19"/>
    <mergeCell ref="BS18:BS19"/>
    <mergeCell ref="BT18:BT19"/>
    <mergeCell ref="BU18:BU19"/>
    <mergeCell ref="BV18:BV19"/>
    <mergeCell ref="BG18:BG19"/>
    <mergeCell ref="BH18:BH19"/>
    <mergeCell ref="BI18:BI19"/>
    <mergeCell ref="BJ18:BJ19"/>
    <mergeCell ref="BK18:BK19"/>
    <mergeCell ref="BL18:BL19"/>
    <mergeCell ref="BM18:BM19"/>
    <mergeCell ref="BN18:BN19"/>
    <mergeCell ref="BO18:BO19"/>
    <mergeCell ref="BN27:BN29"/>
    <mergeCell ref="BO27:BO29"/>
    <mergeCell ref="AZ37:AZ38"/>
    <mergeCell ref="BA37:BA38"/>
    <mergeCell ref="BF27:BF29"/>
    <mergeCell ref="BG27:BG29"/>
    <mergeCell ref="BH27:BH29"/>
    <mergeCell ref="BI27:BI29"/>
    <mergeCell ref="BJ27:BJ29"/>
    <mergeCell ref="BK27:BK29"/>
    <mergeCell ref="BL27:BL29"/>
    <mergeCell ref="BE27:BE29"/>
    <mergeCell ref="BC37:BC38"/>
    <mergeCell ref="BD37:BD38"/>
    <mergeCell ref="BE37:BE38"/>
    <mergeCell ref="BF37:BF38"/>
    <mergeCell ref="BG37:BG38"/>
    <mergeCell ref="BH37:BH38"/>
    <mergeCell ref="BI37:BI38"/>
    <mergeCell ref="BL37:BL38"/>
    <mergeCell ref="BM37:BM38"/>
    <mergeCell ref="BN37:BN38"/>
    <mergeCell ref="BO37:BO38"/>
    <mergeCell ref="AO27:AO29"/>
    <mergeCell ref="AP27:AP29"/>
    <mergeCell ref="AQ27:AQ29"/>
    <mergeCell ref="AR27:AR29"/>
    <mergeCell ref="AS27:AS29"/>
    <mergeCell ref="AT27:AT29"/>
    <mergeCell ref="AU27:AU29"/>
    <mergeCell ref="AV27:AV29"/>
    <mergeCell ref="AW27:AW29"/>
    <mergeCell ref="AF37:AF38"/>
    <mergeCell ref="AG37:AG38"/>
    <mergeCell ref="AH37:AH38"/>
    <mergeCell ref="AI37:AI38"/>
    <mergeCell ref="AJ37:AJ38"/>
    <mergeCell ref="AK37:AK38"/>
    <mergeCell ref="AL37:AL38"/>
    <mergeCell ref="AM37:AM38"/>
    <mergeCell ref="AN37:AN38"/>
    <mergeCell ref="AO37:AO38"/>
    <mergeCell ref="AP37:AP38"/>
    <mergeCell ref="AQ37:AQ38"/>
    <mergeCell ref="AR37:AR38"/>
    <mergeCell ref="AS37:AS38"/>
    <mergeCell ref="AT37:AT38"/>
    <mergeCell ref="AU37:AU38"/>
    <mergeCell ref="AV37:AV38"/>
    <mergeCell ref="BK37:BK38"/>
    <mergeCell ref="BI39:BI40"/>
    <mergeCell ref="BP37:BP38"/>
    <mergeCell ref="BQ37:BQ38"/>
    <mergeCell ref="BR37:BR38"/>
    <mergeCell ref="BQ39:BQ40"/>
    <mergeCell ref="BJ39:BJ40"/>
    <mergeCell ref="BK39:BK40"/>
    <mergeCell ref="BS37:BS38"/>
    <mergeCell ref="BB37:BB38"/>
    <mergeCell ref="BS39:BS40"/>
    <mergeCell ref="AO39:AO40"/>
    <mergeCell ref="AP39:AP40"/>
    <mergeCell ref="AQ39:AQ40"/>
    <mergeCell ref="AR39:AR40"/>
    <mergeCell ref="AS39:AS40"/>
    <mergeCell ref="AT39:AT40"/>
    <mergeCell ref="AU39:AU40"/>
    <mergeCell ref="AV39:AV40"/>
    <mergeCell ref="AW39:AW40"/>
    <mergeCell ref="AF39:AF40"/>
    <mergeCell ref="AG39:AG40"/>
    <mergeCell ref="AH39:AH40"/>
    <mergeCell ref="AI39:AI40"/>
    <mergeCell ref="AJ39:AJ40"/>
    <mergeCell ref="AK39:AK40"/>
    <mergeCell ref="AL39:AL40"/>
    <mergeCell ref="AM39:AM40"/>
    <mergeCell ref="AN39:AN40"/>
    <mergeCell ref="AU43:AU47"/>
    <mergeCell ref="AV43:AV47"/>
    <mergeCell ref="AW43:AW47"/>
    <mergeCell ref="AX43:AX47"/>
    <mergeCell ref="AY39:AY40"/>
    <mergeCell ref="BV43:BV47"/>
    <mergeCell ref="BI43:BI47"/>
    <mergeCell ref="BJ43:BJ47"/>
    <mergeCell ref="BV37:BV38"/>
    <mergeCell ref="AW37:AW38"/>
    <mergeCell ref="AX37:AX38"/>
    <mergeCell ref="AY37:AY38"/>
    <mergeCell ref="BJ37:BJ38"/>
    <mergeCell ref="BR39:BR40"/>
    <mergeCell ref="BT37:BT38"/>
    <mergeCell ref="BU37:BU38"/>
    <mergeCell ref="BA39:BA40"/>
    <mergeCell ref="BB39:BB40"/>
    <mergeCell ref="BC39:BC40"/>
    <mergeCell ref="BD39:BD40"/>
    <mergeCell ref="BE39:BE40"/>
    <mergeCell ref="BF39:BF40"/>
    <mergeCell ref="BG39:BG40"/>
    <mergeCell ref="BH39:BH40"/>
    <mergeCell ref="AL43:AL47"/>
    <mergeCell ref="AM43:AM47"/>
    <mergeCell ref="AN43:AN47"/>
    <mergeCell ref="AO43:AO47"/>
    <mergeCell ref="AP43:AP47"/>
    <mergeCell ref="AQ43:AQ47"/>
    <mergeCell ref="AR43:AR47"/>
    <mergeCell ref="AS43:AS47"/>
    <mergeCell ref="AT43:AT47"/>
    <mergeCell ref="BP43:BP47"/>
    <mergeCell ref="BQ43:BQ47"/>
    <mergeCell ref="BR43:BR47"/>
    <mergeCell ref="BL39:BL40"/>
    <mergeCell ref="BM39:BM40"/>
    <mergeCell ref="BN39:BN40"/>
    <mergeCell ref="BO39:BO40"/>
    <mergeCell ref="BP39:BP40"/>
    <mergeCell ref="BV39:BV40"/>
    <mergeCell ref="BT39:BT40"/>
    <mergeCell ref="BU39:BU40"/>
    <mergeCell ref="BB43:BB47"/>
    <mergeCell ref="AZ43:AZ47"/>
    <mergeCell ref="BA43:BA47"/>
    <mergeCell ref="AY43:AY47"/>
    <mergeCell ref="BK43:BK47"/>
    <mergeCell ref="BL43:BL47"/>
    <mergeCell ref="BM43:BM47"/>
    <mergeCell ref="BN43:BN47"/>
    <mergeCell ref="BO43:BO47"/>
    <mergeCell ref="AX39:AX40"/>
    <mergeCell ref="AZ39:AZ40"/>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T52:AT53"/>
    <mergeCell ref="AU52:AU53"/>
    <mergeCell ref="AF43:AF47"/>
    <mergeCell ref="AG43:AG47"/>
    <mergeCell ref="AH43:AH47"/>
    <mergeCell ref="AI43:AI47"/>
    <mergeCell ref="AJ43:AJ47"/>
    <mergeCell ref="AK43:AK47"/>
    <mergeCell ref="AV58:AV60"/>
    <mergeCell ref="BU43:BU47"/>
    <mergeCell ref="BC43:BC47"/>
    <mergeCell ref="BD43:BD47"/>
    <mergeCell ref="BE43:BE47"/>
    <mergeCell ref="BF43:BF47"/>
    <mergeCell ref="BG43:BG47"/>
    <mergeCell ref="BH43:BH47"/>
    <mergeCell ref="BD52:BD53"/>
    <mergeCell ref="BE52:BE53"/>
    <mergeCell ref="BF52:BF53"/>
    <mergeCell ref="BS43:BS47"/>
    <mergeCell ref="BT43:BT47"/>
    <mergeCell ref="AX52:AX53"/>
    <mergeCell ref="AY52:AY53"/>
    <mergeCell ref="AZ52:AZ53"/>
    <mergeCell ref="BA52:BA53"/>
    <mergeCell ref="BB52:BB53"/>
    <mergeCell ref="BC52:BC53"/>
    <mergeCell ref="AV52:AV53"/>
    <mergeCell ref="AW52:AW53"/>
    <mergeCell ref="BR52:BR53"/>
    <mergeCell ref="BS52:BS53"/>
    <mergeCell ref="BT52:BT53"/>
    <mergeCell ref="AF58:AF60"/>
    <mergeCell ref="AG58:AG60"/>
    <mergeCell ref="AH58:AH60"/>
    <mergeCell ref="AI58:AI60"/>
    <mergeCell ref="AJ58:AJ60"/>
    <mergeCell ref="AK58:AK60"/>
    <mergeCell ref="AL58:AL60"/>
    <mergeCell ref="AM58:AM60"/>
    <mergeCell ref="AN58:AN60"/>
    <mergeCell ref="AO58:AO60"/>
    <mergeCell ref="AP58:AP60"/>
    <mergeCell ref="AQ58:AQ60"/>
    <mergeCell ref="AR58:AR60"/>
    <mergeCell ref="AS58:AS60"/>
    <mergeCell ref="AT58:AT60"/>
    <mergeCell ref="AU58:AU60"/>
    <mergeCell ref="BP52:BP53"/>
    <mergeCell ref="BQ52:BQ53"/>
    <mergeCell ref="AW58:AW60"/>
    <mergeCell ref="AX58:AX60"/>
    <mergeCell ref="AY58:AY60"/>
    <mergeCell ref="AZ58:AZ60"/>
    <mergeCell ref="BA58:BA60"/>
    <mergeCell ref="BB58:BB60"/>
    <mergeCell ref="BC58:BC60"/>
    <mergeCell ref="BD58:BD60"/>
    <mergeCell ref="BE58:BE60"/>
    <mergeCell ref="BF58:BF60"/>
    <mergeCell ref="BG58:BG60"/>
    <mergeCell ref="BH58:BH60"/>
    <mergeCell ref="BI58:BI60"/>
    <mergeCell ref="BJ58:BJ60"/>
    <mergeCell ref="BK58:BK60"/>
    <mergeCell ref="BU52:BU53"/>
    <mergeCell ref="BV52:BV53"/>
    <mergeCell ref="BG52:BG53"/>
    <mergeCell ref="BH52:BH53"/>
    <mergeCell ref="BI52:BI53"/>
    <mergeCell ref="BJ52:BJ53"/>
    <mergeCell ref="BK52:BK53"/>
    <mergeCell ref="BL52:BL53"/>
    <mergeCell ref="BM52:BM53"/>
    <mergeCell ref="BN52:BN53"/>
    <mergeCell ref="BO52:BO53"/>
    <mergeCell ref="BL58:BL60"/>
    <mergeCell ref="BM58:BM60"/>
    <mergeCell ref="BN58:BN60"/>
    <mergeCell ref="BO58:BO60"/>
    <mergeCell ref="BP58:BP60"/>
    <mergeCell ref="BQ58:BQ60"/>
    <mergeCell ref="BR58:BR60"/>
    <mergeCell ref="BS58:BS60"/>
    <mergeCell ref="BT58:BT60"/>
    <mergeCell ref="BU58:BU60"/>
    <mergeCell ref="BV58:BV60"/>
    <mergeCell ref="AF61:AF63"/>
    <mergeCell ref="AG61:AG63"/>
    <mergeCell ref="AH61:AH63"/>
    <mergeCell ref="AI61:AI63"/>
    <mergeCell ref="AJ61:AJ63"/>
    <mergeCell ref="AK61:AK63"/>
    <mergeCell ref="AL61:AL63"/>
    <mergeCell ref="AM61:AM63"/>
    <mergeCell ref="AN61:AN63"/>
    <mergeCell ref="AO61:AO63"/>
    <mergeCell ref="AP61:AP63"/>
    <mergeCell ref="AQ61:AQ63"/>
    <mergeCell ref="AR61:AR63"/>
    <mergeCell ref="AS61:AS63"/>
    <mergeCell ref="AT61:AT63"/>
    <mergeCell ref="AU61:AU63"/>
    <mergeCell ref="AV61:AV63"/>
    <mergeCell ref="AW61:AW63"/>
    <mergeCell ref="AX61:AX63"/>
    <mergeCell ref="AY61:AY63"/>
    <mergeCell ref="AZ61:AZ63"/>
    <mergeCell ref="BA61:BA63"/>
    <mergeCell ref="BB61:BB63"/>
    <mergeCell ref="BC61:BC63"/>
    <mergeCell ref="BD61:BD63"/>
    <mergeCell ref="BE61:BE63"/>
    <mergeCell ref="BF61:BF63"/>
    <mergeCell ref="BG61:BG63"/>
    <mergeCell ref="BH61:BH63"/>
    <mergeCell ref="BI61:BI63"/>
    <mergeCell ref="BJ61:BJ63"/>
    <mergeCell ref="BK61:BK63"/>
    <mergeCell ref="BL61:BL63"/>
    <mergeCell ref="BM61:BM63"/>
    <mergeCell ref="BN61:BN63"/>
    <mergeCell ref="BO61:BO63"/>
    <mergeCell ref="BP61:BP63"/>
    <mergeCell ref="BQ61:BQ63"/>
    <mergeCell ref="BR61:BR63"/>
    <mergeCell ref="BS61:BS63"/>
    <mergeCell ref="BT61:BT63"/>
    <mergeCell ref="BU61:BU63"/>
    <mergeCell ref="BV61:BV63"/>
    <mergeCell ref="BH76:BH79"/>
    <mergeCell ref="BI76:BI79"/>
    <mergeCell ref="AF76:AF79"/>
    <mergeCell ref="AG76:AG79"/>
    <mergeCell ref="AH76:AH79"/>
    <mergeCell ref="AI76:AI79"/>
    <mergeCell ref="AJ76:AJ79"/>
    <mergeCell ref="AK76:AK79"/>
    <mergeCell ref="AL76:AL79"/>
    <mergeCell ref="AM76:AM79"/>
    <mergeCell ref="AN76:AN79"/>
    <mergeCell ref="AO76:AO79"/>
    <mergeCell ref="AP76:AP79"/>
    <mergeCell ref="AQ76:AQ79"/>
    <mergeCell ref="AR76:AR79"/>
    <mergeCell ref="AS76:AS79"/>
    <mergeCell ref="AT76:AT79"/>
    <mergeCell ref="AU76:AU79"/>
    <mergeCell ref="AV76:AV79"/>
    <mergeCell ref="AW76:AW79"/>
    <mergeCell ref="AX76:AX79"/>
    <mergeCell ref="AY76:AY79"/>
    <mergeCell ref="AZ76:AZ79"/>
    <mergeCell ref="BS76:BS79"/>
    <mergeCell ref="BT76:BT79"/>
    <mergeCell ref="BU76:BU79"/>
    <mergeCell ref="BV76:BV79"/>
    <mergeCell ref="BJ76:BJ79"/>
    <mergeCell ref="BK76:BK79"/>
    <mergeCell ref="BL76:BL79"/>
    <mergeCell ref="BM76:BM79"/>
    <mergeCell ref="BN76:BN79"/>
    <mergeCell ref="BO76:BO79"/>
    <mergeCell ref="BP76:BP79"/>
    <mergeCell ref="BQ76:BQ79"/>
    <mergeCell ref="BR76:BR79"/>
    <mergeCell ref="BA76:BA79"/>
    <mergeCell ref="BB76:BB79"/>
    <mergeCell ref="BC76:BC79"/>
    <mergeCell ref="BD76:BD79"/>
    <mergeCell ref="BE76:BE79"/>
    <mergeCell ref="BF76:BF79"/>
    <mergeCell ref="BG76:BG79"/>
    <mergeCell ref="I12:I14"/>
    <mergeCell ref="J12:J14"/>
    <mergeCell ref="K12:K14"/>
    <mergeCell ref="M12:M14"/>
    <mergeCell ref="N12:N14"/>
    <mergeCell ref="O12:O14"/>
    <mergeCell ref="P12:P14"/>
    <mergeCell ref="Q12:Q14"/>
    <mergeCell ref="R12:R14"/>
    <mergeCell ref="AA16:AA17"/>
    <mergeCell ref="AA20:AA24"/>
    <mergeCell ref="I20:I25"/>
    <mergeCell ref="J20:J25"/>
    <mergeCell ref="K20:K25"/>
    <mergeCell ref="M20:M25"/>
    <mergeCell ref="N20:N25"/>
    <mergeCell ref="O20:O25"/>
    <mergeCell ref="P20:P25"/>
    <mergeCell ref="Q20:Q25"/>
    <mergeCell ref="R20:R25"/>
    <mergeCell ref="S20:S25"/>
    <mergeCell ref="T20:T25"/>
    <mergeCell ref="U20:U25"/>
    <mergeCell ref="W20:W25"/>
    <mergeCell ref="X20:X25"/>
    <mergeCell ref="W16:W17"/>
    <mergeCell ref="X16:X17"/>
    <mergeCell ref="Y16:Y17"/>
    <mergeCell ref="V18:V19"/>
    <mergeCell ref="Q18:Q19"/>
    <mergeCell ref="R18:R19"/>
    <mergeCell ref="S18:S19"/>
    <mergeCell ref="T18:T19"/>
    <mergeCell ref="M32:M35"/>
    <mergeCell ref="N32:N35"/>
    <mergeCell ref="O32:O35"/>
    <mergeCell ref="P32:P35"/>
    <mergeCell ref="Q32:Q35"/>
    <mergeCell ref="R32:R35"/>
    <mergeCell ref="S32:S35"/>
    <mergeCell ref="T32:T35"/>
    <mergeCell ref="U32:U35"/>
    <mergeCell ref="N41:N42"/>
    <mergeCell ref="O41:O42"/>
    <mergeCell ref="P41:P42"/>
    <mergeCell ref="Q41:Q42"/>
    <mergeCell ref="R41:R42"/>
    <mergeCell ref="S41:S42"/>
    <mergeCell ref="T41:T42"/>
    <mergeCell ref="U41:U42"/>
    <mergeCell ref="V41:V42"/>
    <mergeCell ref="W41:W42"/>
    <mergeCell ref="X41:X42"/>
    <mergeCell ref="Y41:Y42"/>
    <mergeCell ref="I32:I35"/>
    <mergeCell ref="J32:J35"/>
    <mergeCell ref="K32:K35"/>
    <mergeCell ref="L32:L35"/>
    <mergeCell ref="X71:X73"/>
    <mergeCell ref="Y71:Y73"/>
    <mergeCell ref="I54:I57"/>
    <mergeCell ref="J54:J57"/>
    <mergeCell ref="K54:K57"/>
    <mergeCell ref="L54:L57"/>
    <mergeCell ref="M54:M57"/>
    <mergeCell ref="N54:N57"/>
    <mergeCell ref="O54:O57"/>
    <mergeCell ref="P54:P57"/>
    <mergeCell ref="Q54:Q57"/>
    <mergeCell ref="R54:R57"/>
    <mergeCell ref="S54:S57"/>
    <mergeCell ref="T54:T57"/>
    <mergeCell ref="U54:U57"/>
    <mergeCell ref="V54:V57"/>
    <mergeCell ref="W54:W57"/>
    <mergeCell ref="X54:X57"/>
    <mergeCell ref="Y54:Y57"/>
    <mergeCell ref="K61:K63"/>
    <mergeCell ref="L61:L63"/>
    <mergeCell ref="M61:M63"/>
    <mergeCell ref="W69:W70"/>
    <mergeCell ref="X69:X70"/>
    <mergeCell ref="O71:O73"/>
    <mergeCell ref="P71:P73"/>
    <mergeCell ref="Q71:Q73"/>
    <mergeCell ref="R71:R73"/>
    <mergeCell ref="S71:S73"/>
    <mergeCell ref="T71:T73"/>
    <mergeCell ref="U71:U73"/>
    <mergeCell ref="V71:V73"/>
    <mergeCell ref="W71:W73"/>
    <mergeCell ref="N69:N70"/>
    <mergeCell ref="O69:O70"/>
    <mergeCell ref="P69:P70"/>
    <mergeCell ref="Q69:Q70"/>
    <mergeCell ref="R69:R70"/>
    <mergeCell ref="S69:S70"/>
    <mergeCell ref="T69:T70"/>
    <mergeCell ref="U69:U70"/>
    <mergeCell ref="AA71:AA72"/>
    <mergeCell ref="AE2:BX2"/>
    <mergeCell ref="B11:B25"/>
    <mergeCell ref="A16:A17"/>
    <mergeCell ref="A20:A25"/>
    <mergeCell ref="A32:A35"/>
    <mergeCell ref="A41:A46"/>
    <mergeCell ref="A54:A57"/>
    <mergeCell ref="A69:A73"/>
    <mergeCell ref="BX7:BX8"/>
    <mergeCell ref="BX18:BX19"/>
    <mergeCell ref="BX27:BX29"/>
    <mergeCell ref="BX37:BX38"/>
    <mergeCell ref="BX39:BX40"/>
    <mergeCell ref="BX43:BX47"/>
    <mergeCell ref="BX52:BX53"/>
    <mergeCell ref="BX58:BX60"/>
    <mergeCell ref="BX61:BX63"/>
    <mergeCell ref="I71:I73"/>
    <mergeCell ref="J71:J73"/>
    <mergeCell ref="K71:K73"/>
    <mergeCell ref="L71:L73"/>
    <mergeCell ref="M71:M73"/>
    <mergeCell ref="N71:N73"/>
    <mergeCell ref="BX76:BX79"/>
    <mergeCell ref="BW7:BW8"/>
    <mergeCell ref="BW18:BW19"/>
    <mergeCell ref="BW27:BW29"/>
    <mergeCell ref="BW37:BW38"/>
    <mergeCell ref="BW39:BW40"/>
    <mergeCell ref="BW43:BW47"/>
    <mergeCell ref="BW52:BW53"/>
    <mergeCell ref="BW58:BW60"/>
    <mergeCell ref="BW61:BW63"/>
    <mergeCell ref="BW76:BW79"/>
  </mergeCell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theme="2" tint="-0.89999084444715716"/>
  </sheetPr>
  <dimension ref="A1:DC181"/>
  <sheetViews>
    <sheetView topLeftCell="AI62" zoomScale="80" zoomScaleNormal="80" workbookViewId="0">
      <selection sqref="A1:FP181"/>
    </sheetView>
  </sheetViews>
  <sheetFormatPr baseColWidth="10" defaultColWidth="11.42578125" defaultRowHeight="15" customHeight="1"/>
  <cols>
    <col min="1" max="17" width="2" style="2" customWidth="1"/>
    <col min="18" max="23" width="8.28515625" style="2" customWidth="1"/>
    <col min="24" max="24" width="2.42578125" style="2" customWidth="1"/>
    <col min="25" max="25" width="6.28515625" style="2" customWidth="1"/>
    <col min="26" max="34" width="1.5703125" style="2" customWidth="1"/>
    <col min="35" max="35" width="13.28515625" style="2" customWidth="1"/>
    <col min="36" max="36" width="14.42578125" style="2" customWidth="1"/>
    <col min="37" max="37" width="50.28515625" style="2" customWidth="1"/>
    <col min="38" max="38" width="10.140625" style="2" customWidth="1"/>
    <col min="39" max="39" width="7.7109375" style="2" customWidth="1"/>
    <col min="40" max="40" width="7.42578125" style="2" customWidth="1"/>
    <col min="41" max="41" width="3.42578125" style="2" customWidth="1"/>
    <col min="42" max="42" width="8.28515625" style="2" customWidth="1"/>
    <col min="43" max="51" width="2.5703125" style="2" customWidth="1"/>
    <col min="52" max="52" width="13.28515625" style="2" customWidth="1"/>
    <col min="53" max="53" width="13.28515625" style="3055" customWidth="1"/>
    <col min="54" max="54" width="42.28515625" style="2" customWidth="1"/>
    <col min="55" max="55" width="28.85546875" style="2" customWidth="1"/>
    <col min="56" max="60" width="13.28515625" style="2" customWidth="1"/>
    <col min="61" max="61" width="1.42578125" style="3453" customWidth="1"/>
    <col min="62" max="16384" width="11.42578125" style="2"/>
  </cols>
  <sheetData>
    <row r="1" spans="1:107" ht="15" customHeight="1" thickBot="1">
      <c r="A1" s="16602" t="s">
        <v>6767</v>
      </c>
      <c r="B1" s="17027"/>
      <c r="C1" s="17027"/>
      <c r="D1" s="17027"/>
      <c r="E1" s="17027"/>
      <c r="F1" s="17027"/>
      <c r="G1" s="17027"/>
      <c r="H1" s="17027"/>
      <c r="I1" s="17027"/>
      <c r="J1" s="17027"/>
      <c r="K1" s="17027"/>
      <c r="L1" s="17027"/>
      <c r="M1" s="17027"/>
      <c r="N1" s="17027"/>
      <c r="O1" s="17027"/>
      <c r="P1" s="17027"/>
      <c r="Q1" s="17027"/>
      <c r="R1" s="17027"/>
      <c r="S1" s="17027"/>
      <c r="T1" s="17027"/>
      <c r="U1" s="17027"/>
      <c r="V1" s="17027"/>
      <c r="W1" s="17027"/>
      <c r="X1" s="17027"/>
      <c r="Y1" s="17027"/>
      <c r="Z1" s="17027"/>
      <c r="AA1" s="17027"/>
      <c r="AB1" s="17027"/>
      <c r="AC1" s="17027"/>
      <c r="AD1" s="17027"/>
      <c r="AE1" s="17027"/>
      <c r="AF1" s="17027"/>
      <c r="AG1" s="17027"/>
      <c r="AH1" s="17027"/>
      <c r="AI1" s="17027"/>
      <c r="AJ1" s="17027"/>
      <c r="AK1" s="17027"/>
      <c r="AL1" s="17027"/>
      <c r="AM1" s="17027"/>
      <c r="AN1" s="17027"/>
      <c r="AO1" s="17027"/>
      <c r="AP1" s="17027"/>
      <c r="AQ1" s="17027"/>
      <c r="AR1" s="17027"/>
      <c r="AS1" s="17027"/>
      <c r="AT1" s="17027"/>
      <c r="AU1" s="17027"/>
      <c r="AV1" s="17027"/>
      <c r="AW1" s="17027"/>
      <c r="AX1" s="17027"/>
      <c r="AY1" s="17027"/>
      <c r="AZ1" s="17027"/>
      <c r="BA1" s="17027"/>
      <c r="BB1" s="17027"/>
      <c r="BC1" s="17027"/>
      <c r="BD1" s="17027"/>
      <c r="BE1" s="17027"/>
      <c r="BF1" s="17027"/>
      <c r="BG1" s="17027"/>
      <c r="BH1" s="17027"/>
      <c r="BI1" s="7380"/>
      <c r="BJ1" s="7127"/>
      <c r="BK1" s="7127"/>
      <c r="BL1" s="7127"/>
      <c r="BM1" s="7127"/>
      <c r="BN1" s="7127"/>
      <c r="BO1" s="7127"/>
      <c r="BP1" s="7127"/>
      <c r="BQ1" s="7127"/>
      <c r="BR1" s="7127"/>
      <c r="BS1" s="7127"/>
      <c r="BT1" s="7127"/>
      <c r="BU1" s="7127"/>
      <c r="BV1" s="7127"/>
      <c r="BW1" s="7127"/>
      <c r="BX1" s="7127"/>
      <c r="BY1" s="7127"/>
      <c r="BZ1" s="7127"/>
      <c r="CA1" s="7127"/>
      <c r="CB1" s="7127"/>
      <c r="CC1" s="7127"/>
      <c r="CD1" s="7127"/>
      <c r="CE1" s="7127"/>
      <c r="CF1" s="7127"/>
      <c r="CG1" s="7127"/>
      <c r="CH1" s="7127"/>
      <c r="CI1" s="7127"/>
      <c r="CJ1" s="7127"/>
      <c r="CK1" s="7127"/>
      <c r="CL1" s="7127"/>
      <c r="CM1" s="7127"/>
      <c r="CN1" s="7127"/>
      <c r="CO1" s="7127"/>
      <c r="CP1" s="7127"/>
      <c r="CQ1" s="7127"/>
      <c r="CR1" s="7127"/>
      <c r="CS1" s="7127"/>
      <c r="CT1" s="7127"/>
      <c r="CU1" s="7127"/>
      <c r="CV1" s="7127"/>
      <c r="CW1" s="7127"/>
      <c r="CX1" s="7127"/>
      <c r="CY1" s="7127"/>
      <c r="CZ1" s="7127"/>
      <c r="DA1" s="36"/>
      <c r="DB1" s="36"/>
      <c r="DC1" s="36"/>
    </row>
    <row r="2" spans="1:107" ht="15" customHeight="1" thickBot="1">
      <c r="A2" s="17028" t="s">
        <v>9626</v>
      </c>
      <c r="B2" s="17029"/>
      <c r="C2" s="17029"/>
      <c r="D2" s="17029"/>
      <c r="E2" s="17029"/>
      <c r="F2" s="17029"/>
      <c r="G2" s="17029"/>
      <c r="H2" s="17029"/>
      <c r="I2" s="17029"/>
      <c r="J2" s="17029"/>
      <c r="K2" s="17029"/>
      <c r="L2" s="17029"/>
      <c r="M2" s="17029"/>
      <c r="N2" s="17029"/>
      <c r="O2" s="17029"/>
      <c r="P2" s="17029"/>
      <c r="Q2" s="17029"/>
      <c r="R2" s="17029"/>
      <c r="S2" s="17029"/>
      <c r="T2" s="17029"/>
      <c r="U2" s="17029"/>
      <c r="V2" s="17029"/>
      <c r="W2" s="17029"/>
      <c r="X2" s="17029"/>
      <c r="Y2" s="17029"/>
      <c r="Z2" s="17029"/>
      <c r="AA2" s="17029"/>
      <c r="AB2" s="17029"/>
      <c r="AC2" s="17029"/>
      <c r="AD2" s="17029"/>
      <c r="AE2" s="17029"/>
      <c r="AF2" s="17029"/>
      <c r="AG2" s="17029"/>
      <c r="AH2" s="17029"/>
      <c r="AI2" s="17029"/>
      <c r="AJ2" s="17029"/>
      <c r="AK2" s="17029"/>
      <c r="AL2" s="17029"/>
      <c r="AM2" s="17029"/>
      <c r="AN2" s="17029"/>
      <c r="AO2" s="17029"/>
      <c r="AP2" s="17029"/>
      <c r="AQ2" s="17029"/>
      <c r="AR2" s="17029"/>
      <c r="AS2" s="17029"/>
      <c r="AT2" s="17029"/>
      <c r="AU2" s="17029"/>
      <c r="AV2" s="17029"/>
      <c r="AW2" s="17029"/>
      <c r="AX2" s="17029"/>
      <c r="AY2" s="17029"/>
      <c r="AZ2" s="17029"/>
      <c r="BA2" s="17029"/>
      <c r="BB2" s="17029"/>
      <c r="BC2" s="17029"/>
      <c r="BD2" s="17029"/>
      <c r="BE2" s="17029"/>
      <c r="BF2" s="17029"/>
      <c r="BG2" s="17029"/>
      <c r="BH2" s="17029"/>
      <c r="BI2" s="3450"/>
      <c r="BJ2" s="13291" t="s">
        <v>8497</v>
      </c>
      <c r="BK2" s="13291"/>
      <c r="BL2" s="13291"/>
      <c r="BM2" s="13291"/>
      <c r="BN2" s="13291"/>
      <c r="BO2" s="13291"/>
      <c r="BP2" s="13618"/>
      <c r="BQ2" s="13618"/>
      <c r="BR2" s="13618"/>
      <c r="BS2" s="13618"/>
      <c r="BT2" s="13291"/>
      <c r="BU2" s="13291"/>
      <c r="BV2" s="13291"/>
      <c r="BW2" s="13291"/>
      <c r="BX2" s="13291"/>
      <c r="BY2" s="13291"/>
      <c r="BZ2" s="13291"/>
      <c r="CA2" s="13291"/>
      <c r="CB2" s="13291"/>
      <c r="CC2" s="13291"/>
      <c r="CD2" s="13291"/>
      <c r="CE2" s="13291"/>
      <c r="CF2" s="13291"/>
      <c r="CG2" s="13291"/>
      <c r="CH2" s="13291"/>
      <c r="CI2" s="13291"/>
      <c r="CJ2" s="13291"/>
      <c r="CK2" s="13291"/>
      <c r="CL2" s="13291"/>
      <c r="CM2" s="13291"/>
      <c r="CN2" s="13291"/>
      <c r="CO2" s="13291"/>
      <c r="CP2" s="13291"/>
      <c r="CQ2" s="13291"/>
      <c r="CR2" s="13291"/>
      <c r="CS2" s="13291"/>
      <c r="CT2" s="13291"/>
      <c r="CU2" s="13291"/>
      <c r="CV2" s="13291"/>
      <c r="CW2" s="13291"/>
      <c r="CX2" s="13291"/>
      <c r="CY2" s="13291"/>
      <c r="CZ2" s="13291"/>
      <c r="DA2" s="13291"/>
      <c r="DB2" s="13291"/>
      <c r="DC2" s="13292"/>
    </row>
    <row r="3" spans="1:107" ht="15" customHeight="1" thickBot="1">
      <c r="A3" s="17030" t="s">
        <v>1795</v>
      </c>
      <c r="B3" s="17031"/>
      <c r="C3" s="17031"/>
      <c r="D3" s="17031"/>
      <c r="E3" s="17031"/>
      <c r="F3" s="17031"/>
      <c r="G3" s="17031"/>
      <c r="H3" s="17031"/>
      <c r="I3" s="17031"/>
      <c r="J3" s="17031"/>
      <c r="K3" s="17031"/>
      <c r="L3" s="17031"/>
      <c r="M3" s="17031"/>
      <c r="N3" s="17031"/>
      <c r="O3" s="17031"/>
      <c r="P3" s="17031"/>
      <c r="Q3" s="17031"/>
      <c r="R3" s="17031"/>
      <c r="S3" s="17031"/>
      <c r="T3" s="17031"/>
      <c r="U3" s="17031"/>
      <c r="V3" s="17031"/>
      <c r="W3" s="17031"/>
      <c r="X3" s="17031"/>
      <c r="Y3" s="17031"/>
      <c r="Z3" s="17031"/>
      <c r="AA3" s="17031"/>
      <c r="AB3" s="17031"/>
      <c r="AC3" s="17031"/>
      <c r="AD3" s="17031"/>
      <c r="AE3" s="17031"/>
      <c r="AF3" s="17031"/>
      <c r="AG3" s="17031"/>
      <c r="AH3" s="17031"/>
      <c r="AI3" s="17031"/>
      <c r="AJ3" s="17031"/>
      <c r="AK3" s="17031"/>
      <c r="AL3" s="17031"/>
      <c r="AM3" s="17031"/>
      <c r="AN3" s="17031"/>
      <c r="AO3" s="17031"/>
      <c r="AP3" s="17031"/>
      <c r="AQ3" s="17031"/>
      <c r="AR3" s="17031"/>
      <c r="AS3" s="17031"/>
      <c r="AT3" s="17031"/>
      <c r="AU3" s="17031"/>
      <c r="AV3" s="17031"/>
      <c r="AW3" s="17031"/>
      <c r="AX3" s="17031"/>
      <c r="AY3" s="17031"/>
      <c r="AZ3" s="17031"/>
      <c r="BA3" s="17031"/>
      <c r="BB3" s="17031"/>
      <c r="BC3" s="17031"/>
      <c r="BD3" s="17031"/>
      <c r="BE3" s="17031"/>
      <c r="BF3" s="17031"/>
      <c r="BG3" s="17031"/>
      <c r="BH3" s="17031"/>
      <c r="BI3" s="7381"/>
      <c r="BJ3" s="14600" t="s">
        <v>8498</v>
      </c>
      <c r="BK3" s="5253" t="s">
        <v>10189</v>
      </c>
      <c r="BL3" s="5253" t="s">
        <v>10190</v>
      </c>
      <c r="BM3" s="5203" t="s">
        <v>8499</v>
      </c>
      <c r="BN3" s="5203" t="s">
        <v>8500</v>
      </c>
      <c r="BO3" s="5205" t="s">
        <v>4</v>
      </c>
      <c r="BP3" s="5215" t="s">
        <v>355</v>
      </c>
      <c r="BQ3" s="5216"/>
      <c r="BR3" s="5216"/>
      <c r="BS3" s="5217"/>
      <c r="BT3" s="5207" t="s">
        <v>356</v>
      </c>
      <c r="BU3" s="5208"/>
      <c r="BV3" s="5208"/>
      <c r="BW3" s="5208"/>
      <c r="BX3" s="5208"/>
      <c r="BY3" s="5208"/>
      <c r="BZ3" s="5208"/>
      <c r="CA3" s="5208"/>
      <c r="CB3" s="5208"/>
      <c r="CC3" s="5208"/>
      <c r="CD3" s="5208"/>
      <c r="CE3" s="5208"/>
      <c r="CF3" s="5228"/>
      <c r="CG3" s="5228"/>
      <c r="CH3" s="5228"/>
      <c r="CI3" s="5228"/>
      <c r="CJ3" s="5228"/>
      <c r="CK3" s="5228"/>
      <c r="CL3" s="5228"/>
      <c r="CM3" s="5228"/>
      <c r="CN3" s="5228"/>
      <c r="CO3" s="5228"/>
      <c r="CP3" s="5228"/>
      <c r="CQ3" s="5228"/>
      <c r="CR3" s="5228"/>
      <c r="CS3" s="5229"/>
      <c r="CT3" s="5230" t="s">
        <v>357</v>
      </c>
      <c r="CU3" s="5231"/>
      <c r="CV3" s="5231"/>
      <c r="CW3" s="5231"/>
      <c r="CX3" s="5232"/>
      <c r="CY3" s="5192" t="s">
        <v>5</v>
      </c>
      <c r="CZ3" s="5193"/>
      <c r="DA3" s="5193"/>
      <c r="DB3" s="5193"/>
      <c r="DC3" s="5194"/>
    </row>
    <row r="4" spans="1:107" ht="15" customHeight="1" thickBot="1">
      <c r="A4" s="16968" t="s">
        <v>521</v>
      </c>
      <c r="B4" s="16968" t="s">
        <v>6768</v>
      </c>
      <c r="C4" s="16968" t="s">
        <v>6769</v>
      </c>
      <c r="D4" s="16968" t="s">
        <v>364</v>
      </c>
      <c r="E4" s="16968" t="s">
        <v>58</v>
      </c>
      <c r="F4" s="16972" t="s">
        <v>6770</v>
      </c>
      <c r="G4" s="16972"/>
      <c r="H4" s="16972"/>
      <c r="I4" s="16972"/>
      <c r="J4" s="16972"/>
      <c r="K4" s="16972"/>
      <c r="L4" s="16972"/>
      <c r="M4" s="16972"/>
      <c r="N4" s="16972"/>
      <c r="O4" s="16972"/>
      <c r="P4" s="16972" t="s">
        <v>6771</v>
      </c>
      <c r="Q4" s="16974" t="s">
        <v>367</v>
      </c>
      <c r="R4" s="16976" t="s">
        <v>361</v>
      </c>
      <c r="S4" s="16970" t="s">
        <v>521</v>
      </c>
      <c r="T4" s="16970" t="s">
        <v>6768</v>
      </c>
      <c r="U4" s="16970" t="s">
        <v>6769</v>
      </c>
      <c r="V4" s="16970" t="s">
        <v>364</v>
      </c>
      <c r="W4" s="16970" t="s">
        <v>58</v>
      </c>
      <c r="X4" s="16978" t="s">
        <v>6770</v>
      </c>
      <c r="Y4" s="16979"/>
      <c r="Z4" s="16979"/>
      <c r="AA4" s="16979"/>
      <c r="AB4" s="16979"/>
      <c r="AC4" s="16979"/>
      <c r="AD4" s="16979"/>
      <c r="AE4" s="16979"/>
      <c r="AF4" s="16979"/>
      <c r="AG4" s="16980"/>
      <c r="AH4" s="16981" t="s">
        <v>6771</v>
      </c>
      <c r="AI4" s="16986" t="s">
        <v>367</v>
      </c>
      <c r="AJ4" s="16986" t="s">
        <v>4635</v>
      </c>
      <c r="AK4" s="16991" t="s">
        <v>56</v>
      </c>
      <c r="AL4" s="16970" t="s">
        <v>57</v>
      </c>
      <c r="AM4" s="16970" t="s">
        <v>364</v>
      </c>
      <c r="AN4" s="16970" t="s">
        <v>58</v>
      </c>
      <c r="AO4" s="16978" t="s">
        <v>6772</v>
      </c>
      <c r="AP4" s="16979"/>
      <c r="AQ4" s="16979"/>
      <c r="AR4" s="16979"/>
      <c r="AS4" s="16979"/>
      <c r="AT4" s="16979"/>
      <c r="AU4" s="16979"/>
      <c r="AV4" s="16979"/>
      <c r="AW4" s="16979"/>
      <c r="AX4" s="16980"/>
      <c r="AY4" s="16981" t="s">
        <v>6771</v>
      </c>
      <c r="AZ4" s="16986" t="s">
        <v>367</v>
      </c>
      <c r="BA4" s="16986" t="s">
        <v>10056</v>
      </c>
      <c r="BB4" s="16986" t="s">
        <v>1799</v>
      </c>
      <c r="BC4" s="16986" t="s">
        <v>10305</v>
      </c>
      <c r="BD4" s="16988" t="s">
        <v>370</v>
      </c>
      <c r="BE4" s="16989"/>
      <c r="BF4" s="16989"/>
      <c r="BG4" s="16990"/>
      <c r="BH4" s="757" t="s">
        <v>371</v>
      </c>
      <c r="BI4" s="3450"/>
      <c r="BJ4" s="14601"/>
      <c r="BK4" s="5253"/>
      <c r="BL4" s="5253"/>
      <c r="BM4" s="5204"/>
      <c r="BN4" s="5204"/>
      <c r="BO4" s="5206"/>
      <c r="BP4" s="5218" t="s">
        <v>6</v>
      </c>
      <c r="BQ4" s="5209" t="s">
        <v>7</v>
      </c>
      <c r="BR4" s="5211" t="s">
        <v>8</v>
      </c>
      <c r="BS4" s="5213" t="s">
        <v>9</v>
      </c>
      <c r="BT4" s="5195" t="s">
        <v>10</v>
      </c>
      <c r="BU4" s="5197" t="s">
        <v>11</v>
      </c>
      <c r="BV4" s="5198"/>
      <c r="BW4" s="5197" t="s">
        <v>12</v>
      </c>
      <c r="BX4" s="5198"/>
      <c r="BY4" s="5197" t="s">
        <v>13</v>
      </c>
      <c r="BZ4" s="5202"/>
      <c r="CA4" s="5202"/>
      <c r="CB4" s="5202"/>
      <c r="CC4" s="5202"/>
      <c r="CD4" s="5202"/>
      <c r="CE4" s="5202"/>
      <c r="CF4" s="5233" t="s">
        <v>14</v>
      </c>
      <c r="CG4" s="5234"/>
      <c r="CH4" s="5234"/>
      <c r="CI4" s="5234"/>
      <c r="CJ4" s="5234"/>
      <c r="CK4" s="5234"/>
      <c r="CL4" s="5234"/>
      <c r="CM4" s="5234"/>
      <c r="CN4" s="5234" t="s">
        <v>15</v>
      </c>
      <c r="CO4" s="5234"/>
      <c r="CP4" s="5234"/>
      <c r="CQ4" s="5234"/>
      <c r="CR4" s="5234"/>
      <c r="CS4" s="5235"/>
      <c r="CT4" s="5236" t="s">
        <v>16</v>
      </c>
      <c r="CU4" s="5221" t="s">
        <v>17</v>
      </c>
      <c r="CV4" s="5223" t="s">
        <v>18</v>
      </c>
      <c r="CW4" s="3375" t="s">
        <v>19</v>
      </c>
      <c r="CX4" s="3376" t="s">
        <v>20</v>
      </c>
      <c r="CY4" s="5225" t="s">
        <v>21</v>
      </c>
      <c r="CZ4" s="5199" t="s">
        <v>22</v>
      </c>
      <c r="DA4" s="5200"/>
      <c r="DB4" s="5201"/>
      <c r="DC4" s="12" t="s">
        <v>20</v>
      </c>
    </row>
    <row r="5" spans="1:107" ht="15" customHeight="1" thickBot="1">
      <c r="A5" s="16969"/>
      <c r="B5" s="16969"/>
      <c r="C5" s="16969"/>
      <c r="D5" s="16969"/>
      <c r="E5" s="16969"/>
      <c r="F5" s="7347">
        <v>2019</v>
      </c>
      <c r="G5" s="7347">
        <v>2020</v>
      </c>
      <c r="H5" s="7347">
        <v>2021</v>
      </c>
      <c r="I5" s="7347">
        <v>2022</v>
      </c>
      <c r="J5" s="7347">
        <v>2023</v>
      </c>
      <c r="K5" s="7347">
        <v>2024</v>
      </c>
      <c r="L5" s="7347">
        <v>2025</v>
      </c>
      <c r="M5" s="7347">
        <v>2026</v>
      </c>
      <c r="N5" s="7347">
        <v>2027</v>
      </c>
      <c r="O5" s="7347">
        <v>2028</v>
      </c>
      <c r="P5" s="16973"/>
      <c r="Q5" s="16975"/>
      <c r="R5" s="16977"/>
      <c r="S5" s="16971"/>
      <c r="T5" s="16971"/>
      <c r="U5" s="16971"/>
      <c r="V5" s="16971"/>
      <c r="W5" s="16971"/>
      <c r="X5" s="758">
        <v>2019</v>
      </c>
      <c r="Y5" s="758">
        <v>2020</v>
      </c>
      <c r="Z5" s="758">
        <v>2021</v>
      </c>
      <c r="AA5" s="758">
        <v>2022</v>
      </c>
      <c r="AB5" s="758">
        <v>2023</v>
      </c>
      <c r="AC5" s="758">
        <v>2024</v>
      </c>
      <c r="AD5" s="758">
        <v>2025</v>
      </c>
      <c r="AE5" s="758">
        <v>2026</v>
      </c>
      <c r="AF5" s="758">
        <v>2027</v>
      </c>
      <c r="AG5" s="758">
        <v>2028</v>
      </c>
      <c r="AH5" s="16982"/>
      <c r="AI5" s="16987"/>
      <c r="AJ5" s="16987"/>
      <c r="AK5" s="16992"/>
      <c r="AL5" s="16971"/>
      <c r="AM5" s="16971"/>
      <c r="AN5" s="16971"/>
      <c r="AO5" s="758">
        <v>2019</v>
      </c>
      <c r="AP5" s="758">
        <v>2020</v>
      </c>
      <c r="AQ5" s="758">
        <v>2021</v>
      </c>
      <c r="AR5" s="758">
        <v>2022</v>
      </c>
      <c r="AS5" s="758">
        <v>2023</v>
      </c>
      <c r="AT5" s="758">
        <v>2024</v>
      </c>
      <c r="AU5" s="758">
        <v>2025</v>
      </c>
      <c r="AV5" s="758">
        <v>2026</v>
      </c>
      <c r="AW5" s="758">
        <v>2027</v>
      </c>
      <c r="AX5" s="758">
        <v>2028</v>
      </c>
      <c r="AY5" s="16982"/>
      <c r="AZ5" s="16987"/>
      <c r="BA5" s="16987"/>
      <c r="BB5" s="16987"/>
      <c r="BC5" s="16987"/>
      <c r="BD5" s="7348" t="s">
        <v>372</v>
      </c>
      <c r="BE5" s="7348" t="s">
        <v>373</v>
      </c>
      <c r="BF5" s="7348" t="s">
        <v>374</v>
      </c>
      <c r="BG5" s="7348" t="s">
        <v>375</v>
      </c>
      <c r="BH5" s="7349" t="s">
        <v>6773</v>
      </c>
      <c r="BI5" s="3450"/>
      <c r="BJ5" s="14601"/>
      <c r="BK5" s="5227"/>
      <c r="BL5" s="5227"/>
      <c r="BM5" s="5204"/>
      <c r="BN5" s="5204"/>
      <c r="BO5" s="5206"/>
      <c r="BP5" s="5219"/>
      <c r="BQ5" s="5210"/>
      <c r="BR5" s="5212"/>
      <c r="BS5" s="5214"/>
      <c r="BT5" s="5196"/>
      <c r="BU5" s="3462" t="s">
        <v>23</v>
      </c>
      <c r="BV5" s="3463" t="s">
        <v>24</v>
      </c>
      <c r="BW5" s="3462" t="s">
        <v>25</v>
      </c>
      <c r="BX5" s="3463" t="s">
        <v>26</v>
      </c>
      <c r="BY5" s="3464" t="s">
        <v>27</v>
      </c>
      <c r="BZ5" s="3465" t="s">
        <v>28</v>
      </c>
      <c r="CA5" s="3466" t="s">
        <v>29</v>
      </c>
      <c r="CB5" s="3466" t="s">
        <v>30</v>
      </c>
      <c r="CC5" s="3466" t="s">
        <v>31</v>
      </c>
      <c r="CD5" s="3466" t="s">
        <v>32</v>
      </c>
      <c r="CE5" s="3373" t="s">
        <v>33</v>
      </c>
      <c r="CF5" s="3464" t="s">
        <v>34</v>
      </c>
      <c r="CG5" s="3466" t="s">
        <v>35</v>
      </c>
      <c r="CH5" s="3466" t="s">
        <v>36</v>
      </c>
      <c r="CI5" s="3466" t="s">
        <v>37</v>
      </c>
      <c r="CJ5" s="3466" t="s">
        <v>38</v>
      </c>
      <c r="CK5" s="3466" t="s">
        <v>39</v>
      </c>
      <c r="CL5" s="3466" t="s">
        <v>40</v>
      </c>
      <c r="CM5" s="3466" t="s">
        <v>41</v>
      </c>
      <c r="CN5" s="3466" t="s">
        <v>42</v>
      </c>
      <c r="CO5" s="3466" t="s">
        <v>43</v>
      </c>
      <c r="CP5" s="3466" t="s">
        <v>44</v>
      </c>
      <c r="CQ5" s="3466" t="s">
        <v>45</v>
      </c>
      <c r="CR5" s="3466" t="s">
        <v>46</v>
      </c>
      <c r="CS5" s="3467" t="s">
        <v>47</v>
      </c>
      <c r="CT5" s="5237"/>
      <c r="CU5" s="5222"/>
      <c r="CV5" s="5224"/>
      <c r="CW5" s="5224" t="s">
        <v>48</v>
      </c>
      <c r="CX5" s="3469" t="s">
        <v>49</v>
      </c>
      <c r="CY5" s="5226"/>
      <c r="CZ5" s="5222" t="s">
        <v>50</v>
      </c>
      <c r="DA5" s="5222" t="s">
        <v>51</v>
      </c>
      <c r="DB5" s="5222" t="s">
        <v>52</v>
      </c>
      <c r="DC5" s="2217" t="s">
        <v>49</v>
      </c>
    </row>
    <row r="6" spans="1:107" s="1810" customFormat="1" ht="15" customHeight="1">
      <c r="A6" s="17034" t="s">
        <v>6809</v>
      </c>
      <c r="B6" s="17037" t="s">
        <v>7529</v>
      </c>
      <c r="C6" s="17037" t="s">
        <v>6774</v>
      </c>
      <c r="D6" s="17037" t="s">
        <v>6775</v>
      </c>
      <c r="E6" s="17037" t="s">
        <v>1019</v>
      </c>
      <c r="F6" s="17037" t="s">
        <v>6776</v>
      </c>
      <c r="G6" s="17037">
        <v>0.02</v>
      </c>
      <c r="H6" s="17037">
        <v>0.04</v>
      </c>
      <c r="I6" s="17037">
        <v>0.06</v>
      </c>
      <c r="J6" s="17037">
        <v>0.09</v>
      </c>
      <c r="K6" s="17037">
        <v>0.12</v>
      </c>
      <c r="L6" s="17037">
        <v>0.15</v>
      </c>
      <c r="M6" s="17037">
        <v>0.17</v>
      </c>
      <c r="N6" s="17037">
        <v>0.19</v>
      </c>
      <c r="O6" s="17037">
        <v>0.2</v>
      </c>
      <c r="P6" s="17037">
        <v>0.2</v>
      </c>
      <c r="Q6" s="17040" t="s">
        <v>6777</v>
      </c>
      <c r="R6" s="17016" t="s">
        <v>6778</v>
      </c>
      <c r="S6" s="16967" t="s">
        <v>6779</v>
      </c>
      <c r="T6" s="16967" t="s">
        <v>6780</v>
      </c>
      <c r="U6" s="16967" t="s">
        <v>6781</v>
      </c>
      <c r="V6" s="16967" t="s">
        <v>5126</v>
      </c>
      <c r="W6" s="16967" t="s">
        <v>1019</v>
      </c>
      <c r="X6" s="16967" t="s">
        <v>6776</v>
      </c>
      <c r="Y6" s="16985">
        <v>0.3</v>
      </c>
      <c r="Z6" s="16985">
        <v>0.3</v>
      </c>
      <c r="AA6" s="16985">
        <v>0.4</v>
      </c>
      <c r="AB6" s="16985">
        <v>0.4</v>
      </c>
      <c r="AC6" s="16985">
        <v>0.4</v>
      </c>
      <c r="AD6" s="16985">
        <v>0.5</v>
      </c>
      <c r="AE6" s="16985">
        <v>0.5</v>
      </c>
      <c r="AF6" s="16985">
        <v>0.5</v>
      </c>
      <c r="AG6" s="16985">
        <v>0.5</v>
      </c>
      <c r="AH6" s="16985">
        <v>0.5</v>
      </c>
      <c r="AI6" s="16967" t="s">
        <v>6782</v>
      </c>
      <c r="AJ6" s="16967" t="s">
        <v>8323</v>
      </c>
      <c r="AK6" s="16996" t="s">
        <v>6783</v>
      </c>
      <c r="AL6" s="16967" t="s">
        <v>6784</v>
      </c>
      <c r="AM6" s="16967" t="s">
        <v>6785</v>
      </c>
      <c r="AN6" s="16967">
        <v>6</v>
      </c>
      <c r="AO6" s="16967">
        <v>6</v>
      </c>
      <c r="AP6" s="16967">
        <v>6</v>
      </c>
      <c r="AQ6" s="16967">
        <v>6</v>
      </c>
      <c r="AR6" s="16967">
        <v>6</v>
      </c>
      <c r="AS6" s="16967">
        <v>6</v>
      </c>
      <c r="AT6" s="16967">
        <v>6</v>
      </c>
      <c r="AU6" s="16967">
        <v>6</v>
      </c>
      <c r="AV6" s="16967">
        <v>6</v>
      </c>
      <c r="AW6" s="16967">
        <v>6</v>
      </c>
      <c r="AX6" s="16967">
        <v>6</v>
      </c>
      <c r="AY6" s="16967">
        <v>60</v>
      </c>
      <c r="AZ6" s="16967" t="s">
        <v>6786</v>
      </c>
      <c r="BA6" s="7421" t="s">
        <v>10066</v>
      </c>
      <c r="BB6" s="7354" t="s">
        <v>6787</v>
      </c>
      <c r="BC6" s="7354"/>
      <c r="BD6" s="16967" t="s">
        <v>6788</v>
      </c>
      <c r="BE6" s="16967" t="s">
        <v>6789</v>
      </c>
      <c r="BF6" s="16967" t="s">
        <v>6790</v>
      </c>
      <c r="BG6" s="16967" t="s">
        <v>6791</v>
      </c>
      <c r="BH6" s="17000" t="s">
        <v>6792</v>
      </c>
      <c r="BI6" s="3451"/>
      <c r="BJ6" s="7420"/>
      <c r="BK6" s="7412"/>
      <c r="BL6" s="7412"/>
      <c r="BM6" s="7412"/>
      <c r="BN6" s="7412"/>
      <c r="BO6" s="7412"/>
      <c r="BP6" s="7412"/>
      <c r="BQ6" s="7412"/>
      <c r="BR6" s="7412"/>
      <c r="BS6" s="7412"/>
      <c r="BT6" s="7412"/>
      <c r="BU6" s="7412"/>
      <c r="BV6" s="7412"/>
      <c r="BW6" s="7412"/>
      <c r="BX6" s="7412"/>
      <c r="BY6" s="7412"/>
      <c r="BZ6" s="7412"/>
      <c r="CA6" s="7412"/>
      <c r="CB6" s="7412"/>
      <c r="CC6" s="7412"/>
      <c r="CD6" s="7412"/>
      <c r="CE6" s="7412"/>
      <c r="CF6" s="7412"/>
      <c r="CG6" s="7412"/>
      <c r="CH6" s="7412"/>
      <c r="CI6" s="7412"/>
      <c r="CJ6" s="7412"/>
      <c r="CK6" s="7412"/>
      <c r="CL6" s="7412"/>
      <c r="CM6" s="7412"/>
      <c r="CN6" s="7412"/>
      <c r="CO6" s="7412"/>
      <c r="CP6" s="7412"/>
      <c r="CQ6" s="7412"/>
      <c r="CR6" s="7412"/>
      <c r="CS6" s="7412"/>
      <c r="CT6" s="7412"/>
      <c r="CU6" s="7412"/>
      <c r="CV6" s="7412"/>
      <c r="CW6" s="7412"/>
      <c r="CX6" s="7412"/>
      <c r="CY6" s="7412"/>
      <c r="CZ6" s="7412"/>
      <c r="DA6" s="7412"/>
      <c r="DB6" s="7412"/>
      <c r="DC6" s="7404"/>
    </row>
    <row r="7" spans="1:107" s="1810" customFormat="1" ht="15" customHeight="1">
      <c r="A7" s="17035"/>
      <c r="B7" s="17038"/>
      <c r="C7" s="17038"/>
      <c r="D7" s="17038"/>
      <c r="E7" s="17038"/>
      <c r="F7" s="17038"/>
      <c r="G7" s="17038"/>
      <c r="H7" s="17038"/>
      <c r="I7" s="17038"/>
      <c r="J7" s="17038"/>
      <c r="K7" s="17038"/>
      <c r="L7" s="17038"/>
      <c r="M7" s="17038"/>
      <c r="N7" s="17038"/>
      <c r="O7" s="17038"/>
      <c r="P7" s="17038"/>
      <c r="Q7" s="17041"/>
      <c r="R7" s="17017"/>
      <c r="S7" s="15619"/>
      <c r="T7" s="15619"/>
      <c r="U7" s="15619"/>
      <c r="V7" s="15619"/>
      <c r="W7" s="15619"/>
      <c r="X7" s="15619"/>
      <c r="Y7" s="15911"/>
      <c r="Z7" s="15911"/>
      <c r="AA7" s="15911"/>
      <c r="AB7" s="15911"/>
      <c r="AC7" s="15911"/>
      <c r="AD7" s="15911"/>
      <c r="AE7" s="15911"/>
      <c r="AF7" s="15911"/>
      <c r="AG7" s="15911"/>
      <c r="AH7" s="15911"/>
      <c r="AI7" s="15619"/>
      <c r="AJ7" s="15619"/>
      <c r="AK7" s="16997"/>
      <c r="AL7" s="15619"/>
      <c r="AM7" s="15619"/>
      <c r="AN7" s="15619"/>
      <c r="AO7" s="15619"/>
      <c r="AP7" s="15619"/>
      <c r="AQ7" s="15619"/>
      <c r="AR7" s="15619"/>
      <c r="AS7" s="15619"/>
      <c r="AT7" s="15619"/>
      <c r="AU7" s="15619"/>
      <c r="AV7" s="15619"/>
      <c r="AW7" s="15619"/>
      <c r="AX7" s="15619"/>
      <c r="AY7" s="15619"/>
      <c r="AZ7" s="15619"/>
      <c r="BA7" s="3899" t="s">
        <v>10186</v>
      </c>
      <c r="BB7" s="3470"/>
      <c r="BC7" s="5242" t="s">
        <v>6793</v>
      </c>
      <c r="BD7" s="15619"/>
      <c r="BE7" s="15619"/>
      <c r="BF7" s="15619"/>
      <c r="BG7" s="15619"/>
      <c r="BH7" s="17001"/>
      <c r="BI7" s="3451"/>
      <c r="BJ7" s="7399"/>
      <c r="BK7" s="6453"/>
      <c r="BL7" s="6453"/>
      <c r="BM7" s="6453"/>
      <c r="BN7" s="6453"/>
      <c r="BO7" s="6453"/>
      <c r="BP7" s="6453"/>
      <c r="BQ7" s="6453"/>
      <c r="BR7" s="6453"/>
      <c r="BS7" s="6453"/>
      <c r="BT7" s="6453"/>
      <c r="BU7" s="6453"/>
      <c r="BV7" s="6453"/>
      <c r="BW7" s="6453"/>
      <c r="BX7" s="6453"/>
      <c r="BY7" s="6453"/>
      <c r="BZ7" s="6453"/>
      <c r="CA7" s="6453"/>
      <c r="CB7" s="6453"/>
      <c r="CC7" s="6453"/>
      <c r="CD7" s="6453"/>
      <c r="CE7" s="6453"/>
      <c r="CF7" s="6453"/>
      <c r="CG7" s="6453"/>
      <c r="CH7" s="6453"/>
      <c r="CI7" s="6453"/>
      <c r="CJ7" s="6453"/>
      <c r="CK7" s="6453"/>
      <c r="CL7" s="6453"/>
      <c r="CM7" s="6453"/>
      <c r="CN7" s="6453"/>
      <c r="CO7" s="6453"/>
      <c r="CP7" s="6453"/>
      <c r="CQ7" s="6453"/>
      <c r="CR7" s="6453"/>
      <c r="CS7" s="6453"/>
      <c r="CT7" s="6453"/>
      <c r="CU7" s="6453"/>
      <c r="CV7" s="6453"/>
      <c r="CW7" s="6453"/>
      <c r="CX7" s="6453"/>
      <c r="CY7" s="6453"/>
      <c r="CZ7" s="6453"/>
      <c r="DA7" s="6453"/>
      <c r="DB7" s="6453"/>
      <c r="DC7" s="7376"/>
    </row>
    <row r="8" spans="1:107" s="1810" customFormat="1" ht="15" customHeight="1">
      <c r="A8" s="17035"/>
      <c r="B8" s="17038"/>
      <c r="C8" s="17038"/>
      <c r="D8" s="17038"/>
      <c r="E8" s="17038"/>
      <c r="F8" s="17038"/>
      <c r="G8" s="17038"/>
      <c r="H8" s="17038"/>
      <c r="I8" s="17038"/>
      <c r="J8" s="17038"/>
      <c r="K8" s="17038"/>
      <c r="L8" s="17038"/>
      <c r="M8" s="17038"/>
      <c r="N8" s="17038"/>
      <c r="O8" s="17038"/>
      <c r="P8" s="17038"/>
      <c r="Q8" s="17041"/>
      <c r="R8" s="17017"/>
      <c r="S8" s="15619"/>
      <c r="T8" s="15619"/>
      <c r="U8" s="15619"/>
      <c r="V8" s="15619"/>
      <c r="W8" s="15619"/>
      <c r="X8" s="15619"/>
      <c r="Y8" s="15911"/>
      <c r="Z8" s="15911"/>
      <c r="AA8" s="15911"/>
      <c r="AB8" s="15911"/>
      <c r="AC8" s="15911"/>
      <c r="AD8" s="15911"/>
      <c r="AE8" s="15911"/>
      <c r="AF8" s="15911"/>
      <c r="AG8" s="15911"/>
      <c r="AH8" s="15911"/>
      <c r="AI8" s="15619"/>
      <c r="AJ8" s="5242" t="s">
        <v>8324</v>
      </c>
      <c r="AK8" s="2646" t="s">
        <v>6794</v>
      </c>
      <c r="AL8" s="5242" t="s">
        <v>6795</v>
      </c>
      <c r="AM8" s="5242" t="s">
        <v>6796</v>
      </c>
      <c r="AN8" s="5252">
        <v>1</v>
      </c>
      <c r="AO8" s="5252">
        <v>1</v>
      </c>
      <c r="AP8" s="5252">
        <v>1</v>
      </c>
      <c r="AQ8" s="5252">
        <v>1</v>
      </c>
      <c r="AR8" s="5252">
        <v>1</v>
      </c>
      <c r="AS8" s="5252">
        <v>1</v>
      </c>
      <c r="AT8" s="5252">
        <v>1</v>
      </c>
      <c r="AU8" s="5252">
        <v>1</v>
      </c>
      <c r="AV8" s="5252">
        <v>1</v>
      </c>
      <c r="AW8" s="5252">
        <v>1</v>
      </c>
      <c r="AX8" s="5252">
        <v>1</v>
      </c>
      <c r="AY8" s="5252">
        <v>1</v>
      </c>
      <c r="AZ8" s="5242" t="s">
        <v>6797</v>
      </c>
      <c r="BA8" s="3899" t="s">
        <v>10063</v>
      </c>
      <c r="BB8" s="5242" t="s">
        <v>6798</v>
      </c>
      <c r="BC8" s="5242"/>
      <c r="BD8" s="5242" t="s">
        <v>6799</v>
      </c>
      <c r="BE8" s="5242" t="s">
        <v>6789</v>
      </c>
      <c r="BF8" s="5242" t="s">
        <v>6800</v>
      </c>
      <c r="BG8" s="5242" t="s">
        <v>6791</v>
      </c>
      <c r="BH8" s="7382" t="s">
        <v>6801</v>
      </c>
      <c r="BI8" s="3451"/>
      <c r="BJ8" s="3766"/>
      <c r="BK8" s="3470"/>
      <c r="BL8" s="3470"/>
      <c r="BM8" s="3470"/>
      <c r="BN8" s="3470"/>
      <c r="BO8" s="3470"/>
      <c r="BP8" s="3470"/>
      <c r="BQ8" s="3470"/>
      <c r="BR8" s="3470"/>
      <c r="BS8" s="3470"/>
      <c r="BT8" s="3470"/>
      <c r="BU8" s="3470"/>
      <c r="BV8" s="3470"/>
      <c r="BW8" s="3470"/>
      <c r="BX8" s="3470"/>
      <c r="BY8" s="3470"/>
      <c r="BZ8" s="3470"/>
      <c r="CA8" s="3470"/>
      <c r="CB8" s="3470"/>
      <c r="CC8" s="3470"/>
      <c r="CD8" s="3470"/>
      <c r="CE8" s="3470"/>
      <c r="CF8" s="3470"/>
      <c r="CG8" s="3470"/>
      <c r="CH8" s="3470"/>
      <c r="CI8" s="3470"/>
      <c r="CJ8" s="3470"/>
      <c r="CK8" s="3470"/>
      <c r="CL8" s="3470"/>
      <c r="CM8" s="3470"/>
      <c r="CN8" s="3470"/>
      <c r="CO8" s="3470"/>
      <c r="CP8" s="3470"/>
      <c r="CQ8" s="3470"/>
      <c r="CR8" s="3470"/>
      <c r="CS8" s="3470"/>
      <c r="CT8" s="3470"/>
      <c r="CU8" s="3470"/>
      <c r="CV8" s="3470"/>
      <c r="CW8" s="3470"/>
      <c r="CX8" s="3470"/>
      <c r="CY8" s="3470"/>
      <c r="CZ8" s="3470"/>
      <c r="DA8" s="3470"/>
      <c r="DB8" s="3470"/>
      <c r="DC8" s="3475"/>
    </row>
    <row r="9" spans="1:107" s="1810" customFormat="1" ht="15" customHeight="1">
      <c r="A9" s="17035"/>
      <c r="B9" s="17038"/>
      <c r="C9" s="17038"/>
      <c r="D9" s="17038"/>
      <c r="E9" s="17038"/>
      <c r="F9" s="17038"/>
      <c r="G9" s="17038"/>
      <c r="H9" s="17038"/>
      <c r="I9" s="17038"/>
      <c r="J9" s="17038"/>
      <c r="K9" s="17038"/>
      <c r="L9" s="17038"/>
      <c r="M9" s="17038"/>
      <c r="N9" s="17038"/>
      <c r="O9" s="17038"/>
      <c r="P9" s="17038"/>
      <c r="Q9" s="17041"/>
      <c r="R9" s="17017"/>
      <c r="S9" s="15619"/>
      <c r="T9" s="15619"/>
      <c r="U9" s="15619"/>
      <c r="V9" s="15619"/>
      <c r="W9" s="15619"/>
      <c r="X9" s="15619"/>
      <c r="Y9" s="15911"/>
      <c r="Z9" s="15911"/>
      <c r="AA9" s="15911"/>
      <c r="AB9" s="15911"/>
      <c r="AC9" s="15911"/>
      <c r="AD9" s="15911"/>
      <c r="AE9" s="15911"/>
      <c r="AF9" s="15911"/>
      <c r="AG9" s="15911"/>
      <c r="AH9" s="15911"/>
      <c r="AI9" s="15619"/>
      <c r="AJ9" s="15619" t="s">
        <v>8325</v>
      </c>
      <c r="AK9" s="16997" t="s">
        <v>6802</v>
      </c>
      <c r="AL9" s="15619" t="s">
        <v>6803</v>
      </c>
      <c r="AM9" s="15619" t="s">
        <v>6804</v>
      </c>
      <c r="AN9" s="15619">
        <v>6</v>
      </c>
      <c r="AO9" s="15619">
        <v>7</v>
      </c>
      <c r="AP9" s="15619">
        <v>7</v>
      </c>
      <c r="AQ9" s="15619">
        <v>8</v>
      </c>
      <c r="AR9" s="15619">
        <v>8</v>
      </c>
      <c r="AS9" s="15619">
        <v>8</v>
      </c>
      <c r="AT9" s="15619">
        <v>8</v>
      </c>
      <c r="AU9" s="15619">
        <v>9</v>
      </c>
      <c r="AV9" s="15619">
        <v>9</v>
      </c>
      <c r="AW9" s="15619">
        <v>9</v>
      </c>
      <c r="AX9" s="15619">
        <v>9</v>
      </c>
      <c r="AY9" s="15619">
        <v>82</v>
      </c>
      <c r="AZ9" s="15619" t="s">
        <v>6786</v>
      </c>
      <c r="BA9" s="3899" t="s">
        <v>10066</v>
      </c>
      <c r="BB9" s="5242" t="s">
        <v>6805</v>
      </c>
      <c r="BC9" s="5242"/>
      <c r="BD9" s="15619" t="s">
        <v>6806</v>
      </c>
      <c r="BE9" s="15619" t="s">
        <v>6807</v>
      </c>
      <c r="BF9" s="15619" t="s">
        <v>6790</v>
      </c>
      <c r="BG9" s="15619" t="s">
        <v>6791</v>
      </c>
      <c r="BH9" s="17001" t="s">
        <v>6808</v>
      </c>
      <c r="BI9" s="3451"/>
      <c r="BJ9" s="7399"/>
      <c r="BK9" s="6453"/>
      <c r="BL9" s="6453"/>
      <c r="BM9" s="6453"/>
      <c r="BN9" s="6453"/>
      <c r="BO9" s="6453"/>
      <c r="BP9" s="6453"/>
      <c r="BQ9" s="6453"/>
      <c r="BR9" s="6453"/>
      <c r="BS9" s="6453"/>
      <c r="BT9" s="6453"/>
      <c r="BU9" s="6453"/>
      <c r="BV9" s="6453"/>
      <c r="BW9" s="6453"/>
      <c r="BX9" s="6453"/>
      <c r="BY9" s="6453"/>
      <c r="BZ9" s="6453"/>
      <c r="CA9" s="6453"/>
      <c r="CB9" s="6453"/>
      <c r="CC9" s="6453"/>
      <c r="CD9" s="6453"/>
      <c r="CE9" s="6453"/>
      <c r="CF9" s="6453"/>
      <c r="CG9" s="6453"/>
      <c r="CH9" s="6453"/>
      <c r="CI9" s="6453"/>
      <c r="CJ9" s="6453"/>
      <c r="CK9" s="6453"/>
      <c r="CL9" s="6453"/>
      <c r="CM9" s="6453"/>
      <c r="CN9" s="6453"/>
      <c r="CO9" s="6453"/>
      <c r="CP9" s="6453"/>
      <c r="CQ9" s="6453"/>
      <c r="CR9" s="6453"/>
      <c r="CS9" s="6453"/>
      <c r="CT9" s="6453"/>
      <c r="CU9" s="6453"/>
      <c r="CV9" s="6453"/>
      <c r="CW9" s="6453"/>
      <c r="CX9" s="6453"/>
      <c r="CY9" s="6453"/>
      <c r="CZ9" s="6453"/>
      <c r="DA9" s="6453"/>
      <c r="DB9" s="6453"/>
      <c r="DC9" s="7376"/>
    </row>
    <row r="10" spans="1:107" s="1810" customFormat="1" ht="15" customHeight="1">
      <c r="A10" s="17035"/>
      <c r="B10" s="17038"/>
      <c r="C10" s="17038"/>
      <c r="D10" s="17038"/>
      <c r="E10" s="17038"/>
      <c r="F10" s="17038"/>
      <c r="G10" s="17038"/>
      <c r="H10" s="17038"/>
      <c r="I10" s="17038"/>
      <c r="J10" s="17038"/>
      <c r="K10" s="17038"/>
      <c r="L10" s="17038"/>
      <c r="M10" s="17038"/>
      <c r="N10" s="17038"/>
      <c r="O10" s="17038"/>
      <c r="P10" s="17038"/>
      <c r="Q10" s="17041"/>
      <c r="R10" s="17017"/>
      <c r="S10" s="15619"/>
      <c r="T10" s="15619"/>
      <c r="U10" s="15619"/>
      <c r="V10" s="15619"/>
      <c r="W10" s="15619"/>
      <c r="X10" s="15619"/>
      <c r="Y10" s="15911"/>
      <c r="Z10" s="15911"/>
      <c r="AA10" s="15911"/>
      <c r="AB10" s="15911"/>
      <c r="AC10" s="15911"/>
      <c r="AD10" s="15911"/>
      <c r="AE10" s="15911"/>
      <c r="AF10" s="15911"/>
      <c r="AG10" s="15911"/>
      <c r="AH10" s="15911"/>
      <c r="AI10" s="15619"/>
      <c r="AJ10" s="15619"/>
      <c r="AK10" s="16997"/>
      <c r="AL10" s="15619"/>
      <c r="AM10" s="15619"/>
      <c r="AN10" s="15619"/>
      <c r="AO10" s="15619"/>
      <c r="AP10" s="15619"/>
      <c r="AQ10" s="15619"/>
      <c r="AR10" s="15619"/>
      <c r="AS10" s="15619"/>
      <c r="AT10" s="15619"/>
      <c r="AU10" s="15619"/>
      <c r="AV10" s="15619"/>
      <c r="AW10" s="15619"/>
      <c r="AX10" s="15619"/>
      <c r="AY10" s="15619"/>
      <c r="AZ10" s="15619"/>
      <c r="BA10" s="3899" t="s">
        <v>86</v>
      </c>
      <c r="BB10" s="5242" t="s">
        <v>1509</v>
      </c>
      <c r="BC10" s="5242"/>
      <c r="BD10" s="15619"/>
      <c r="BE10" s="15619"/>
      <c r="BF10" s="15619"/>
      <c r="BG10" s="15619"/>
      <c r="BH10" s="17001"/>
      <c r="BI10" s="3451"/>
      <c r="BJ10" s="7399"/>
      <c r="BK10" s="6453"/>
      <c r="BL10" s="6453"/>
      <c r="BM10" s="6453"/>
      <c r="BN10" s="6453"/>
      <c r="BO10" s="6453"/>
      <c r="BP10" s="6453"/>
      <c r="BQ10" s="6453"/>
      <c r="BR10" s="6453"/>
      <c r="BS10" s="6453"/>
      <c r="BT10" s="6453"/>
      <c r="BU10" s="6453"/>
      <c r="BV10" s="6453"/>
      <c r="BW10" s="6453"/>
      <c r="BX10" s="6453"/>
      <c r="BY10" s="6453"/>
      <c r="BZ10" s="6453"/>
      <c r="CA10" s="6453"/>
      <c r="CB10" s="6453"/>
      <c r="CC10" s="6453"/>
      <c r="CD10" s="6453"/>
      <c r="CE10" s="6453"/>
      <c r="CF10" s="6453"/>
      <c r="CG10" s="6453"/>
      <c r="CH10" s="6453"/>
      <c r="CI10" s="6453"/>
      <c r="CJ10" s="6453"/>
      <c r="CK10" s="6453"/>
      <c r="CL10" s="6453"/>
      <c r="CM10" s="6453"/>
      <c r="CN10" s="6453"/>
      <c r="CO10" s="6453"/>
      <c r="CP10" s="6453"/>
      <c r="CQ10" s="6453"/>
      <c r="CR10" s="6453"/>
      <c r="CS10" s="6453"/>
      <c r="CT10" s="6453"/>
      <c r="CU10" s="6453"/>
      <c r="CV10" s="6453"/>
      <c r="CW10" s="6453"/>
      <c r="CX10" s="6453"/>
      <c r="CY10" s="6453"/>
      <c r="CZ10" s="6453"/>
      <c r="DA10" s="6453"/>
      <c r="DB10" s="6453"/>
      <c r="DC10" s="7376"/>
    </row>
    <row r="11" spans="1:107" s="1810" customFormat="1" ht="15" customHeight="1">
      <c r="A11" s="17035"/>
      <c r="B11" s="17038"/>
      <c r="C11" s="17038"/>
      <c r="D11" s="17038"/>
      <c r="E11" s="17038"/>
      <c r="F11" s="17038"/>
      <c r="G11" s="17038"/>
      <c r="H11" s="17038"/>
      <c r="I11" s="17038"/>
      <c r="J11" s="17038"/>
      <c r="K11" s="17038"/>
      <c r="L11" s="17038"/>
      <c r="M11" s="17038"/>
      <c r="N11" s="17038"/>
      <c r="O11" s="17038"/>
      <c r="P11" s="17038"/>
      <c r="Q11" s="17041"/>
      <c r="R11" s="17017"/>
      <c r="S11" s="15619"/>
      <c r="T11" s="15619"/>
      <c r="U11" s="15619"/>
      <c r="V11" s="15619"/>
      <c r="W11" s="15619"/>
      <c r="X11" s="15619"/>
      <c r="Y11" s="15911"/>
      <c r="Z11" s="15911"/>
      <c r="AA11" s="15911"/>
      <c r="AB11" s="15911"/>
      <c r="AC11" s="15911"/>
      <c r="AD11" s="15911"/>
      <c r="AE11" s="15911"/>
      <c r="AF11" s="15911"/>
      <c r="AG11" s="15911"/>
      <c r="AH11" s="15911"/>
      <c r="AI11" s="15619"/>
      <c r="AJ11" s="15619"/>
      <c r="AK11" s="16997"/>
      <c r="AL11" s="15619"/>
      <c r="AM11" s="15619"/>
      <c r="AN11" s="15619"/>
      <c r="AO11" s="15619"/>
      <c r="AP11" s="15619"/>
      <c r="AQ11" s="15619"/>
      <c r="AR11" s="15619"/>
      <c r="AS11" s="15619"/>
      <c r="AT11" s="15619"/>
      <c r="AU11" s="15619"/>
      <c r="AV11" s="15619"/>
      <c r="AW11" s="15619"/>
      <c r="AX11" s="15619"/>
      <c r="AY11" s="15619"/>
      <c r="AZ11" s="15619"/>
      <c r="BA11" s="3899" t="s">
        <v>10072</v>
      </c>
      <c r="BB11" s="5242" t="s">
        <v>1293</v>
      </c>
      <c r="BC11" s="5242"/>
      <c r="BD11" s="15619"/>
      <c r="BE11" s="15619"/>
      <c r="BF11" s="15619"/>
      <c r="BG11" s="15619"/>
      <c r="BH11" s="17001"/>
      <c r="BI11" s="3451"/>
      <c r="BJ11" s="7399"/>
      <c r="BK11" s="6453"/>
      <c r="BL11" s="6453"/>
      <c r="BM11" s="6453"/>
      <c r="BN11" s="6453"/>
      <c r="BO11" s="6453"/>
      <c r="BP11" s="6453"/>
      <c r="BQ11" s="6453"/>
      <c r="BR11" s="6453"/>
      <c r="BS11" s="6453"/>
      <c r="BT11" s="6453"/>
      <c r="BU11" s="6453"/>
      <c r="BV11" s="6453"/>
      <c r="BW11" s="6453"/>
      <c r="BX11" s="6453"/>
      <c r="BY11" s="6453"/>
      <c r="BZ11" s="6453"/>
      <c r="CA11" s="6453"/>
      <c r="CB11" s="6453"/>
      <c r="CC11" s="6453"/>
      <c r="CD11" s="6453"/>
      <c r="CE11" s="6453"/>
      <c r="CF11" s="6453"/>
      <c r="CG11" s="6453"/>
      <c r="CH11" s="6453"/>
      <c r="CI11" s="6453"/>
      <c r="CJ11" s="6453"/>
      <c r="CK11" s="6453"/>
      <c r="CL11" s="6453"/>
      <c r="CM11" s="6453"/>
      <c r="CN11" s="6453"/>
      <c r="CO11" s="6453"/>
      <c r="CP11" s="6453"/>
      <c r="CQ11" s="6453"/>
      <c r="CR11" s="6453"/>
      <c r="CS11" s="6453"/>
      <c r="CT11" s="6453"/>
      <c r="CU11" s="6453"/>
      <c r="CV11" s="6453"/>
      <c r="CW11" s="6453"/>
      <c r="CX11" s="6453"/>
      <c r="CY11" s="6453"/>
      <c r="CZ11" s="6453"/>
      <c r="DA11" s="6453"/>
      <c r="DB11" s="6453"/>
      <c r="DC11" s="7376"/>
    </row>
    <row r="12" spans="1:107" s="1810" customFormat="1" ht="15" customHeight="1">
      <c r="A12" s="17035"/>
      <c r="B12" s="17038"/>
      <c r="C12" s="17038"/>
      <c r="D12" s="17038"/>
      <c r="E12" s="17038"/>
      <c r="F12" s="17038"/>
      <c r="G12" s="17038"/>
      <c r="H12" s="17038"/>
      <c r="I12" s="17038"/>
      <c r="J12" s="17038"/>
      <c r="K12" s="17038"/>
      <c r="L12" s="17038"/>
      <c r="M12" s="17038"/>
      <c r="N12" s="17038"/>
      <c r="O12" s="17038"/>
      <c r="P12" s="17038"/>
      <c r="Q12" s="17041"/>
      <c r="R12" s="17017"/>
      <c r="S12" s="15619"/>
      <c r="T12" s="15619"/>
      <c r="U12" s="15619"/>
      <c r="V12" s="15619"/>
      <c r="W12" s="15619"/>
      <c r="X12" s="15619"/>
      <c r="Y12" s="15911"/>
      <c r="Z12" s="15911"/>
      <c r="AA12" s="15911"/>
      <c r="AB12" s="15911"/>
      <c r="AC12" s="15911"/>
      <c r="AD12" s="15911"/>
      <c r="AE12" s="15911"/>
      <c r="AF12" s="15911"/>
      <c r="AG12" s="15911"/>
      <c r="AH12" s="15911"/>
      <c r="AI12" s="15619"/>
      <c r="AJ12" s="15619"/>
      <c r="AK12" s="16997"/>
      <c r="AL12" s="15619"/>
      <c r="AM12" s="15619"/>
      <c r="AN12" s="15619"/>
      <c r="AO12" s="15619"/>
      <c r="AP12" s="15619"/>
      <c r="AQ12" s="15619"/>
      <c r="AR12" s="15619"/>
      <c r="AS12" s="15619"/>
      <c r="AT12" s="15619"/>
      <c r="AU12" s="15619"/>
      <c r="AV12" s="15619"/>
      <c r="AW12" s="15619"/>
      <c r="AX12" s="15619"/>
      <c r="AY12" s="15619"/>
      <c r="AZ12" s="15619"/>
      <c r="BA12" s="3899" t="s">
        <v>2896</v>
      </c>
      <c r="BB12" s="5242" t="s">
        <v>172</v>
      </c>
      <c r="BC12" s="5242"/>
      <c r="BD12" s="15619"/>
      <c r="BE12" s="15619"/>
      <c r="BF12" s="15619"/>
      <c r="BG12" s="15619"/>
      <c r="BH12" s="17001"/>
      <c r="BI12" s="3451"/>
      <c r="BJ12" s="7399"/>
      <c r="BK12" s="6453"/>
      <c r="BL12" s="6453"/>
      <c r="BM12" s="6453"/>
      <c r="BN12" s="6453"/>
      <c r="BO12" s="6453"/>
      <c r="BP12" s="6453"/>
      <c r="BQ12" s="6453"/>
      <c r="BR12" s="6453"/>
      <c r="BS12" s="6453"/>
      <c r="BT12" s="6453"/>
      <c r="BU12" s="6453"/>
      <c r="BV12" s="6453"/>
      <c r="BW12" s="6453"/>
      <c r="BX12" s="6453"/>
      <c r="BY12" s="6453"/>
      <c r="BZ12" s="6453"/>
      <c r="CA12" s="6453"/>
      <c r="CB12" s="6453"/>
      <c r="CC12" s="6453"/>
      <c r="CD12" s="6453"/>
      <c r="CE12" s="6453"/>
      <c r="CF12" s="6453"/>
      <c r="CG12" s="6453"/>
      <c r="CH12" s="6453"/>
      <c r="CI12" s="6453"/>
      <c r="CJ12" s="6453"/>
      <c r="CK12" s="6453"/>
      <c r="CL12" s="6453"/>
      <c r="CM12" s="6453"/>
      <c r="CN12" s="6453"/>
      <c r="CO12" s="6453"/>
      <c r="CP12" s="6453"/>
      <c r="CQ12" s="6453"/>
      <c r="CR12" s="6453"/>
      <c r="CS12" s="6453"/>
      <c r="CT12" s="6453"/>
      <c r="CU12" s="6453"/>
      <c r="CV12" s="6453"/>
      <c r="CW12" s="6453"/>
      <c r="CX12" s="6453"/>
      <c r="CY12" s="6453"/>
      <c r="CZ12" s="6453"/>
      <c r="DA12" s="6453"/>
      <c r="DB12" s="6453"/>
      <c r="DC12" s="7376"/>
    </row>
    <row r="13" spans="1:107" s="1810" customFormat="1" ht="15" customHeight="1">
      <c r="A13" s="17035"/>
      <c r="B13" s="17038"/>
      <c r="C13" s="17038"/>
      <c r="D13" s="17038"/>
      <c r="E13" s="17038"/>
      <c r="F13" s="17038"/>
      <c r="G13" s="17038"/>
      <c r="H13" s="17038"/>
      <c r="I13" s="17038"/>
      <c r="J13" s="17038"/>
      <c r="K13" s="17038"/>
      <c r="L13" s="17038"/>
      <c r="M13" s="17038"/>
      <c r="N13" s="17038"/>
      <c r="O13" s="17038"/>
      <c r="P13" s="17038"/>
      <c r="Q13" s="17041"/>
      <c r="R13" s="17017"/>
      <c r="S13" s="15619"/>
      <c r="T13" s="15619"/>
      <c r="U13" s="15619"/>
      <c r="V13" s="15619"/>
      <c r="W13" s="15619"/>
      <c r="X13" s="15619"/>
      <c r="Y13" s="15911"/>
      <c r="Z13" s="15911"/>
      <c r="AA13" s="15911"/>
      <c r="AB13" s="15911"/>
      <c r="AC13" s="15911"/>
      <c r="AD13" s="15911"/>
      <c r="AE13" s="15911"/>
      <c r="AF13" s="15911"/>
      <c r="AG13" s="15911"/>
      <c r="AH13" s="15911"/>
      <c r="AI13" s="15619"/>
      <c r="AJ13" s="15619" t="s">
        <v>8326</v>
      </c>
      <c r="AK13" s="15619" t="s">
        <v>6810</v>
      </c>
      <c r="AL13" s="15619" t="s">
        <v>6811</v>
      </c>
      <c r="AM13" s="15619" t="s">
        <v>6785</v>
      </c>
      <c r="AN13" s="15619">
        <v>0</v>
      </c>
      <c r="AO13" s="15619">
        <v>1</v>
      </c>
      <c r="AP13" s="15619">
        <v>1</v>
      </c>
      <c r="AQ13" s="15619">
        <v>1</v>
      </c>
      <c r="AR13" s="15619">
        <v>1</v>
      </c>
      <c r="AS13" s="15619">
        <v>1</v>
      </c>
      <c r="AT13" s="15619">
        <v>1</v>
      </c>
      <c r="AU13" s="15619">
        <v>1</v>
      </c>
      <c r="AV13" s="15619">
        <v>1</v>
      </c>
      <c r="AW13" s="15619">
        <v>1</v>
      </c>
      <c r="AX13" s="15619">
        <v>1</v>
      </c>
      <c r="AY13" s="15619">
        <v>10</v>
      </c>
      <c r="AZ13" s="15619" t="s">
        <v>6812</v>
      </c>
      <c r="BA13" s="3899" t="s">
        <v>10066</v>
      </c>
      <c r="BB13" s="15619" t="s">
        <v>6813</v>
      </c>
      <c r="BC13" s="5242"/>
      <c r="BD13" s="5242" t="s">
        <v>6799</v>
      </c>
      <c r="BE13" s="5242" t="s">
        <v>6789</v>
      </c>
      <c r="BF13" s="5242" t="s">
        <v>6790</v>
      </c>
      <c r="BG13" s="5242" t="s">
        <v>6791</v>
      </c>
      <c r="BH13" s="7382" t="s">
        <v>6814</v>
      </c>
      <c r="BI13" s="3451"/>
      <c r="BJ13" s="3766"/>
      <c r="BK13" s="3470"/>
      <c r="BL13" s="3470"/>
      <c r="BM13" s="3470"/>
      <c r="BN13" s="3470"/>
      <c r="BO13" s="3470"/>
      <c r="BP13" s="3470"/>
      <c r="BQ13" s="3470"/>
      <c r="BR13" s="3470"/>
      <c r="BS13" s="3470"/>
      <c r="BT13" s="3470"/>
      <c r="BU13" s="3470"/>
      <c r="BV13" s="3470"/>
      <c r="BW13" s="3470"/>
      <c r="BX13" s="3470"/>
      <c r="BY13" s="3470"/>
      <c r="BZ13" s="3470"/>
      <c r="CA13" s="3470"/>
      <c r="CB13" s="3470"/>
      <c r="CC13" s="3470"/>
      <c r="CD13" s="3470"/>
      <c r="CE13" s="3470"/>
      <c r="CF13" s="3470"/>
      <c r="CG13" s="3470"/>
      <c r="CH13" s="3470"/>
      <c r="CI13" s="3470"/>
      <c r="CJ13" s="3470"/>
      <c r="CK13" s="3470"/>
      <c r="CL13" s="3470"/>
      <c r="CM13" s="3470"/>
      <c r="CN13" s="3470"/>
      <c r="CO13" s="3470"/>
      <c r="CP13" s="3470"/>
      <c r="CQ13" s="3470"/>
      <c r="CR13" s="3470"/>
      <c r="CS13" s="3470"/>
      <c r="CT13" s="3470"/>
      <c r="CU13" s="3470"/>
      <c r="CV13" s="3470"/>
      <c r="CW13" s="3470"/>
      <c r="CX13" s="3470"/>
      <c r="CY13" s="3470"/>
      <c r="CZ13" s="3470"/>
      <c r="DA13" s="3470"/>
      <c r="DB13" s="3470"/>
      <c r="DC13" s="3475"/>
    </row>
    <row r="14" spans="1:107" s="1810" customFormat="1" ht="15" customHeight="1">
      <c r="A14" s="17035"/>
      <c r="B14" s="17038"/>
      <c r="C14" s="17038"/>
      <c r="D14" s="17038"/>
      <c r="E14" s="17038"/>
      <c r="F14" s="17038"/>
      <c r="G14" s="17038"/>
      <c r="H14" s="17038"/>
      <c r="I14" s="17038"/>
      <c r="J14" s="17038"/>
      <c r="K14" s="17038"/>
      <c r="L14" s="17038"/>
      <c r="M14" s="17038"/>
      <c r="N14" s="17038"/>
      <c r="O14" s="17038"/>
      <c r="P14" s="17038"/>
      <c r="Q14" s="17041"/>
      <c r="R14" s="17017"/>
      <c r="S14" s="15619"/>
      <c r="T14" s="15619"/>
      <c r="U14" s="15619"/>
      <c r="V14" s="15619"/>
      <c r="W14" s="15619"/>
      <c r="X14" s="15619"/>
      <c r="Y14" s="15911"/>
      <c r="Z14" s="15911"/>
      <c r="AA14" s="15911"/>
      <c r="AB14" s="15911"/>
      <c r="AC14" s="15911"/>
      <c r="AD14" s="15911"/>
      <c r="AE14" s="15911"/>
      <c r="AF14" s="15911"/>
      <c r="AG14" s="15911"/>
      <c r="AH14" s="15911"/>
      <c r="AI14" s="15619"/>
      <c r="AJ14" s="15619"/>
      <c r="AK14" s="15619"/>
      <c r="AL14" s="15619"/>
      <c r="AM14" s="15619"/>
      <c r="AN14" s="15619"/>
      <c r="AO14" s="15619"/>
      <c r="AP14" s="15619"/>
      <c r="AQ14" s="15619"/>
      <c r="AR14" s="15619"/>
      <c r="AS14" s="15619"/>
      <c r="AT14" s="15619"/>
      <c r="AU14" s="15619"/>
      <c r="AV14" s="15619"/>
      <c r="AW14" s="15619"/>
      <c r="AX14" s="15619"/>
      <c r="AY14" s="15619"/>
      <c r="AZ14" s="15619"/>
      <c r="BA14" s="3899" t="s">
        <v>10302</v>
      </c>
      <c r="BB14" s="15619"/>
      <c r="BC14" s="5242"/>
      <c r="BD14" s="5242"/>
      <c r="BE14" s="5242"/>
      <c r="BF14" s="5242"/>
      <c r="BG14" s="5242"/>
      <c r="BH14" s="7382"/>
      <c r="BI14" s="3451"/>
      <c r="BJ14" s="3766"/>
      <c r="BK14" s="3470"/>
      <c r="BL14" s="3470"/>
      <c r="BM14" s="3470"/>
      <c r="BN14" s="3470"/>
      <c r="BO14" s="3470"/>
      <c r="BP14" s="3470"/>
      <c r="BQ14" s="3470"/>
      <c r="BR14" s="3470"/>
      <c r="BS14" s="3470"/>
      <c r="BT14" s="3470"/>
      <c r="BU14" s="3470"/>
      <c r="BV14" s="3470"/>
      <c r="BW14" s="3470"/>
      <c r="BX14" s="3470"/>
      <c r="BY14" s="3470"/>
      <c r="BZ14" s="3470"/>
      <c r="CA14" s="3470"/>
      <c r="CB14" s="3470"/>
      <c r="CC14" s="3470"/>
      <c r="CD14" s="3470"/>
      <c r="CE14" s="3470"/>
      <c r="CF14" s="3470"/>
      <c r="CG14" s="3470"/>
      <c r="CH14" s="3470"/>
      <c r="CI14" s="3470"/>
      <c r="CJ14" s="3470"/>
      <c r="CK14" s="3470"/>
      <c r="CL14" s="3470"/>
      <c r="CM14" s="3470"/>
      <c r="CN14" s="3470"/>
      <c r="CO14" s="3470"/>
      <c r="CP14" s="3470"/>
      <c r="CQ14" s="3470"/>
      <c r="CR14" s="3470"/>
      <c r="CS14" s="3470"/>
      <c r="CT14" s="3470"/>
      <c r="CU14" s="3470"/>
      <c r="CV14" s="3470"/>
      <c r="CW14" s="3470"/>
      <c r="CX14" s="3470"/>
      <c r="CY14" s="3470"/>
      <c r="CZ14" s="3470"/>
      <c r="DA14" s="3470"/>
      <c r="DB14" s="3470"/>
      <c r="DC14" s="3475"/>
    </row>
    <row r="15" spans="1:107" s="1810" customFormat="1" ht="15" customHeight="1">
      <c r="A15" s="17035"/>
      <c r="B15" s="17038"/>
      <c r="C15" s="17038"/>
      <c r="D15" s="17038"/>
      <c r="E15" s="17038"/>
      <c r="F15" s="17038"/>
      <c r="G15" s="17038"/>
      <c r="H15" s="17038"/>
      <c r="I15" s="17038"/>
      <c r="J15" s="17038"/>
      <c r="K15" s="17038"/>
      <c r="L15" s="17038"/>
      <c r="M15" s="17038"/>
      <c r="N15" s="17038"/>
      <c r="O15" s="17038"/>
      <c r="P15" s="17038"/>
      <c r="Q15" s="17041"/>
      <c r="R15" s="17017"/>
      <c r="S15" s="15619"/>
      <c r="T15" s="15619"/>
      <c r="U15" s="15619"/>
      <c r="V15" s="15619"/>
      <c r="W15" s="15619"/>
      <c r="X15" s="15619"/>
      <c r="Y15" s="15911"/>
      <c r="Z15" s="15911"/>
      <c r="AA15" s="15911"/>
      <c r="AB15" s="15911"/>
      <c r="AC15" s="15911"/>
      <c r="AD15" s="15911"/>
      <c r="AE15" s="15911"/>
      <c r="AF15" s="15911"/>
      <c r="AG15" s="15911"/>
      <c r="AH15" s="15911"/>
      <c r="AI15" s="15619"/>
      <c r="AJ15" s="15619"/>
      <c r="AK15" s="15619"/>
      <c r="AL15" s="15619"/>
      <c r="AM15" s="15619"/>
      <c r="AN15" s="15619"/>
      <c r="AO15" s="15619"/>
      <c r="AP15" s="15619"/>
      <c r="AQ15" s="15619"/>
      <c r="AR15" s="15619"/>
      <c r="AS15" s="15619"/>
      <c r="AT15" s="15619"/>
      <c r="AU15" s="15619"/>
      <c r="AV15" s="15619"/>
      <c r="AW15" s="15619"/>
      <c r="AX15" s="15619"/>
      <c r="AY15" s="15619"/>
      <c r="AZ15" s="15619"/>
      <c r="BA15" s="3899" t="s">
        <v>10063</v>
      </c>
      <c r="BB15" s="15619"/>
      <c r="BC15" s="5242"/>
      <c r="BD15" s="5242"/>
      <c r="BE15" s="5242"/>
      <c r="BF15" s="5242"/>
      <c r="BG15" s="5242"/>
      <c r="BH15" s="7382"/>
      <c r="BI15" s="3451"/>
      <c r="BJ15" s="3766"/>
      <c r="BK15" s="3470"/>
      <c r="BL15" s="3470"/>
      <c r="BM15" s="3470"/>
      <c r="BN15" s="3470"/>
      <c r="BO15" s="3470"/>
      <c r="BP15" s="3470"/>
      <c r="BQ15" s="3470"/>
      <c r="BR15" s="3470"/>
      <c r="BS15" s="3470"/>
      <c r="BT15" s="3470"/>
      <c r="BU15" s="3470"/>
      <c r="BV15" s="3470"/>
      <c r="BW15" s="3470"/>
      <c r="BX15" s="3470"/>
      <c r="BY15" s="3470"/>
      <c r="BZ15" s="3470"/>
      <c r="CA15" s="3470"/>
      <c r="CB15" s="3470"/>
      <c r="CC15" s="3470"/>
      <c r="CD15" s="3470"/>
      <c r="CE15" s="3470"/>
      <c r="CF15" s="3470"/>
      <c r="CG15" s="3470"/>
      <c r="CH15" s="3470"/>
      <c r="CI15" s="3470"/>
      <c r="CJ15" s="3470"/>
      <c r="CK15" s="3470"/>
      <c r="CL15" s="3470"/>
      <c r="CM15" s="3470"/>
      <c r="CN15" s="3470"/>
      <c r="CO15" s="3470"/>
      <c r="CP15" s="3470"/>
      <c r="CQ15" s="3470"/>
      <c r="CR15" s="3470"/>
      <c r="CS15" s="3470"/>
      <c r="CT15" s="3470"/>
      <c r="CU15" s="3470"/>
      <c r="CV15" s="3470"/>
      <c r="CW15" s="3470"/>
      <c r="CX15" s="3470"/>
      <c r="CY15" s="3470"/>
      <c r="CZ15" s="3470"/>
      <c r="DA15" s="3470"/>
      <c r="DB15" s="3470"/>
      <c r="DC15" s="3475"/>
    </row>
    <row r="16" spans="1:107" s="1810" customFormat="1" ht="15" customHeight="1">
      <c r="A16" s="17035"/>
      <c r="B16" s="17038"/>
      <c r="C16" s="17038"/>
      <c r="D16" s="17038"/>
      <c r="E16" s="17038"/>
      <c r="F16" s="17038"/>
      <c r="G16" s="17038"/>
      <c r="H16" s="17038"/>
      <c r="I16" s="17038"/>
      <c r="J16" s="17038"/>
      <c r="K16" s="17038"/>
      <c r="L16" s="17038"/>
      <c r="M16" s="17038"/>
      <c r="N16" s="17038"/>
      <c r="O16" s="17038"/>
      <c r="P16" s="17038"/>
      <c r="Q16" s="17041"/>
      <c r="R16" s="17017"/>
      <c r="S16" s="15619"/>
      <c r="T16" s="15619"/>
      <c r="U16" s="15619"/>
      <c r="V16" s="15619"/>
      <c r="W16" s="15619"/>
      <c r="X16" s="15619"/>
      <c r="Y16" s="15911"/>
      <c r="Z16" s="15911"/>
      <c r="AA16" s="15911"/>
      <c r="AB16" s="15911"/>
      <c r="AC16" s="15911"/>
      <c r="AD16" s="15911"/>
      <c r="AE16" s="15911"/>
      <c r="AF16" s="15911"/>
      <c r="AG16" s="15911"/>
      <c r="AH16" s="15911"/>
      <c r="AI16" s="15619"/>
      <c r="AJ16" s="15619"/>
      <c r="AK16" s="15619"/>
      <c r="AL16" s="15619"/>
      <c r="AM16" s="15619"/>
      <c r="AN16" s="15619"/>
      <c r="AO16" s="15619"/>
      <c r="AP16" s="15619"/>
      <c r="AQ16" s="15619"/>
      <c r="AR16" s="15619"/>
      <c r="AS16" s="15619"/>
      <c r="AT16" s="15619"/>
      <c r="AU16" s="15619"/>
      <c r="AV16" s="15619"/>
      <c r="AW16" s="15619"/>
      <c r="AX16" s="15619"/>
      <c r="AY16" s="15619"/>
      <c r="AZ16" s="15619"/>
      <c r="BA16" s="3899" t="s">
        <v>10306</v>
      </c>
      <c r="BB16" s="15619"/>
      <c r="BC16" s="5242"/>
      <c r="BD16" s="5242"/>
      <c r="BE16" s="5242"/>
      <c r="BF16" s="5242"/>
      <c r="BG16" s="5242"/>
      <c r="BH16" s="7382"/>
      <c r="BI16" s="3451"/>
      <c r="BJ16" s="3766"/>
      <c r="BK16" s="3470"/>
      <c r="BL16" s="3470"/>
      <c r="BM16" s="3470"/>
      <c r="BN16" s="3470"/>
      <c r="BO16" s="3470"/>
      <c r="BP16" s="3470"/>
      <c r="BQ16" s="3470"/>
      <c r="BR16" s="3470"/>
      <c r="BS16" s="3470"/>
      <c r="BT16" s="3470"/>
      <c r="BU16" s="3470"/>
      <c r="BV16" s="3470"/>
      <c r="BW16" s="3470"/>
      <c r="BX16" s="3470"/>
      <c r="BY16" s="3470"/>
      <c r="BZ16" s="3470"/>
      <c r="CA16" s="3470"/>
      <c r="CB16" s="3470"/>
      <c r="CC16" s="3470"/>
      <c r="CD16" s="3470"/>
      <c r="CE16" s="3470"/>
      <c r="CF16" s="3470"/>
      <c r="CG16" s="3470"/>
      <c r="CH16" s="3470"/>
      <c r="CI16" s="3470"/>
      <c r="CJ16" s="3470"/>
      <c r="CK16" s="3470"/>
      <c r="CL16" s="3470"/>
      <c r="CM16" s="3470"/>
      <c r="CN16" s="3470"/>
      <c r="CO16" s="3470"/>
      <c r="CP16" s="3470"/>
      <c r="CQ16" s="3470"/>
      <c r="CR16" s="3470"/>
      <c r="CS16" s="3470"/>
      <c r="CT16" s="3470"/>
      <c r="CU16" s="3470"/>
      <c r="CV16" s="3470"/>
      <c r="CW16" s="3470"/>
      <c r="CX16" s="3470"/>
      <c r="CY16" s="3470"/>
      <c r="CZ16" s="3470"/>
      <c r="DA16" s="3470"/>
      <c r="DB16" s="3470"/>
      <c r="DC16" s="3475"/>
    </row>
    <row r="17" spans="1:107" s="1810" customFormat="1" ht="15" customHeight="1">
      <c r="A17" s="17035"/>
      <c r="B17" s="17038"/>
      <c r="C17" s="17038"/>
      <c r="D17" s="17038"/>
      <c r="E17" s="17038"/>
      <c r="F17" s="17038"/>
      <c r="G17" s="17038"/>
      <c r="H17" s="17038"/>
      <c r="I17" s="17038"/>
      <c r="J17" s="17038"/>
      <c r="K17" s="17038"/>
      <c r="L17" s="17038"/>
      <c r="M17" s="17038"/>
      <c r="N17" s="17038"/>
      <c r="O17" s="17038"/>
      <c r="P17" s="17038"/>
      <c r="Q17" s="17041"/>
      <c r="R17" s="17017"/>
      <c r="S17" s="15619"/>
      <c r="T17" s="15619"/>
      <c r="U17" s="15619"/>
      <c r="V17" s="15619"/>
      <c r="W17" s="15619"/>
      <c r="X17" s="15619"/>
      <c r="Y17" s="15911"/>
      <c r="Z17" s="15911"/>
      <c r="AA17" s="15911"/>
      <c r="AB17" s="15911"/>
      <c r="AC17" s="15911"/>
      <c r="AD17" s="15911"/>
      <c r="AE17" s="15911"/>
      <c r="AF17" s="15911"/>
      <c r="AG17" s="15911"/>
      <c r="AH17" s="15911"/>
      <c r="AI17" s="15619"/>
      <c r="AJ17" s="15619"/>
      <c r="AK17" s="15619"/>
      <c r="AL17" s="15619"/>
      <c r="AM17" s="15619"/>
      <c r="AN17" s="15619"/>
      <c r="AO17" s="15619"/>
      <c r="AP17" s="15619"/>
      <c r="AQ17" s="15619"/>
      <c r="AR17" s="15619"/>
      <c r="AS17" s="15619"/>
      <c r="AT17" s="15619"/>
      <c r="AU17" s="15619"/>
      <c r="AV17" s="15619"/>
      <c r="AW17" s="15619"/>
      <c r="AX17" s="15619"/>
      <c r="AY17" s="15619"/>
      <c r="AZ17" s="15619"/>
      <c r="BA17" s="3899" t="s">
        <v>2896</v>
      </c>
      <c r="BB17" s="15619"/>
      <c r="BC17" s="5242"/>
      <c r="BD17" s="5242"/>
      <c r="BE17" s="5242"/>
      <c r="BF17" s="5242"/>
      <c r="BG17" s="5242"/>
      <c r="BH17" s="7382"/>
      <c r="BI17" s="3451"/>
      <c r="BJ17" s="3766"/>
      <c r="BK17" s="3470"/>
      <c r="BL17" s="3470"/>
      <c r="BM17" s="3470"/>
      <c r="BN17" s="3470"/>
      <c r="BO17" s="3470"/>
      <c r="BP17" s="3470"/>
      <c r="BQ17" s="3470"/>
      <c r="BR17" s="3470"/>
      <c r="BS17" s="3470"/>
      <c r="BT17" s="3470"/>
      <c r="BU17" s="3470"/>
      <c r="BV17" s="3470"/>
      <c r="BW17" s="3470"/>
      <c r="BX17" s="3470"/>
      <c r="BY17" s="3470"/>
      <c r="BZ17" s="3470"/>
      <c r="CA17" s="3470"/>
      <c r="CB17" s="3470"/>
      <c r="CC17" s="3470"/>
      <c r="CD17" s="3470"/>
      <c r="CE17" s="3470"/>
      <c r="CF17" s="3470"/>
      <c r="CG17" s="3470"/>
      <c r="CH17" s="3470"/>
      <c r="CI17" s="3470"/>
      <c r="CJ17" s="3470"/>
      <c r="CK17" s="3470"/>
      <c r="CL17" s="3470"/>
      <c r="CM17" s="3470"/>
      <c r="CN17" s="3470"/>
      <c r="CO17" s="3470"/>
      <c r="CP17" s="3470"/>
      <c r="CQ17" s="3470"/>
      <c r="CR17" s="3470"/>
      <c r="CS17" s="3470"/>
      <c r="CT17" s="3470"/>
      <c r="CU17" s="3470"/>
      <c r="CV17" s="3470"/>
      <c r="CW17" s="3470"/>
      <c r="CX17" s="3470"/>
      <c r="CY17" s="3470"/>
      <c r="CZ17" s="3470"/>
      <c r="DA17" s="3470"/>
      <c r="DB17" s="3470"/>
      <c r="DC17" s="3475"/>
    </row>
    <row r="18" spans="1:107" s="1810" customFormat="1" ht="15" customHeight="1">
      <c r="A18" s="17035"/>
      <c r="B18" s="17038"/>
      <c r="C18" s="17038"/>
      <c r="D18" s="17038"/>
      <c r="E18" s="17038"/>
      <c r="F18" s="17038"/>
      <c r="G18" s="17038"/>
      <c r="H18" s="17038"/>
      <c r="I18" s="17038"/>
      <c r="J18" s="17038"/>
      <c r="K18" s="17038"/>
      <c r="L18" s="17038"/>
      <c r="M18" s="17038"/>
      <c r="N18" s="17038"/>
      <c r="O18" s="17038"/>
      <c r="P18" s="17038"/>
      <c r="Q18" s="17041"/>
      <c r="R18" s="17017"/>
      <c r="S18" s="15619"/>
      <c r="T18" s="15619"/>
      <c r="U18" s="15619"/>
      <c r="V18" s="15619"/>
      <c r="W18" s="15619"/>
      <c r="X18" s="15619"/>
      <c r="Y18" s="15911"/>
      <c r="Z18" s="15911"/>
      <c r="AA18" s="15911"/>
      <c r="AB18" s="15911"/>
      <c r="AC18" s="15911"/>
      <c r="AD18" s="15911"/>
      <c r="AE18" s="15911"/>
      <c r="AF18" s="15911"/>
      <c r="AG18" s="15911"/>
      <c r="AH18" s="15911"/>
      <c r="AI18" s="15619"/>
      <c r="AJ18" s="15619" t="s">
        <v>8327</v>
      </c>
      <c r="AK18" s="15619" t="s">
        <v>6815</v>
      </c>
      <c r="AL18" s="15619" t="s">
        <v>6816</v>
      </c>
      <c r="AM18" s="15619" t="s">
        <v>6785</v>
      </c>
      <c r="AN18" s="15619">
        <v>0</v>
      </c>
      <c r="AO18" s="15619">
        <v>1</v>
      </c>
      <c r="AP18" s="15619">
        <v>1</v>
      </c>
      <c r="AQ18" s="15619">
        <v>1</v>
      </c>
      <c r="AR18" s="15619">
        <v>1</v>
      </c>
      <c r="AS18" s="15619">
        <v>1</v>
      </c>
      <c r="AT18" s="15619">
        <v>1</v>
      </c>
      <c r="AU18" s="15619">
        <v>1</v>
      </c>
      <c r="AV18" s="15619">
        <v>1</v>
      </c>
      <c r="AW18" s="15619">
        <v>1</v>
      </c>
      <c r="AX18" s="15619">
        <v>1</v>
      </c>
      <c r="AY18" s="15619">
        <v>10</v>
      </c>
      <c r="AZ18" s="15619" t="s">
        <v>6817</v>
      </c>
      <c r="BA18" s="3899" t="s">
        <v>10066</v>
      </c>
      <c r="BB18" s="15619" t="s">
        <v>10307</v>
      </c>
      <c r="BC18" s="5242"/>
      <c r="BD18" s="5242" t="s">
        <v>6818</v>
      </c>
      <c r="BE18" s="5242" t="s">
        <v>6789</v>
      </c>
      <c r="BF18" s="5242" t="s">
        <v>6790</v>
      </c>
      <c r="BG18" s="5242" t="s">
        <v>6791</v>
      </c>
      <c r="BH18" s="7382" t="s">
        <v>6819</v>
      </c>
      <c r="BI18" s="3451"/>
      <c r="BJ18" s="3766"/>
      <c r="BK18" s="3470"/>
      <c r="BL18" s="3470"/>
      <c r="BM18" s="3470"/>
      <c r="BN18" s="3470"/>
      <c r="BO18" s="3470"/>
      <c r="BP18" s="3470"/>
      <c r="BQ18" s="3470"/>
      <c r="BR18" s="3470"/>
      <c r="BS18" s="3470"/>
      <c r="BT18" s="3470"/>
      <c r="BU18" s="3470"/>
      <c r="BV18" s="3470"/>
      <c r="BW18" s="3470"/>
      <c r="BX18" s="3470"/>
      <c r="BY18" s="3470"/>
      <c r="BZ18" s="3470"/>
      <c r="CA18" s="3470"/>
      <c r="CB18" s="3470"/>
      <c r="CC18" s="3470"/>
      <c r="CD18" s="3470"/>
      <c r="CE18" s="3470"/>
      <c r="CF18" s="3470"/>
      <c r="CG18" s="3470"/>
      <c r="CH18" s="3470"/>
      <c r="CI18" s="3470"/>
      <c r="CJ18" s="3470"/>
      <c r="CK18" s="3470"/>
      <c r="CL18" s="3470"/>
      <c r="CM18" s="3470"/>
      <c r="CN18" s="3470"/>
      <c r="CO18" s="3470"/>
      <c r="CP18" s="3470"/>
      <c r="CQ18" s="3470"/>
      <c r="CR18" s="3470"/>
      <c r="CS18" s="3470"/>
      <c r="CT18" s="3470"/>
      <c r="CU18" s="3470"/>
      <c r="CV18" s="3470"/>
      <c r="CW18" s="3470"/>
      <c r="CX18" s="3470"/>
      <c r="CY18" s="3470"/>
      <c r="CZ18" s="3470"/>
      <c r="DA18" s="3470"/>
      <c r="DB18" s="3470"/>
      <c r="DC18" s="3475"/>
    </row>
    <row r="19" spans="1:107" s="1810" customFormat="1" ht="15" customHeight="1">
      <c r="A19" s="17035"/>
      <c r="B19" s="17038"/>
      <c r="C19" s="17038"/>
      <c r="D19" s="17038"/>
      <c r="E19" s="17038"/>
      <c r="F19" s="17038"/>
      <c r="G19" s="17038"/>
      <c r="H19" s="17038"/>
      <c r="I19" s="17038"/>
      <c r="J19" s="17038"/>
      <c r="K19" s="17038"/>
      <c r="L19" s="17038"/>
      <c r="M19" s="17038"/>
      <c r="N19" s="17038"/>
      <c r="O19" s="17038"/>
      <c r="P19" s="17038"/>
      <c r="Q19" s="17041"/>
      <c r="R19" s="17017"/>
      <c r="S19" s="15619"/>
      <c r="T19" s="15619"/>
      <c r="U19" s="15619"/>
      <c r="V19" s="15619"/>
      <c r="W19" s="15619"/>
      <c r="X19" s="15619"/>
      <c r="Y19" s="15911"/>
      <c r="Z19" s="15911"/>
      <c r="AA19" s="15911"/>
      <c r="AB19" s="15911"/>
      <c r="AC19" s="15911"/>
      <c r="AD19" s="15911"/>
      <c r="AE19" s="15911"/>
      <c r="AF19" s="15911"/>
      <c r="AG19" s="15911"/>
      <c r="AH19" s="15911"/>
      <c r="AI19" s="15619"/>
      <c r="AJ19" s="15619"/>
      <c r="AK19" s="15619"/>
      <c r="AL19" s="15619"/>
      <c r="AM19" s="15619"/>
      <c r="AN19" s="15619"/>
      <c r="AO19" s="15619"/>
      <c r="AP19" s="15619"/>
      <c r="AQ19" s="15619"/>
      <c r="AR19" s="15619"/>
      <c r="AS19" s="15619"/>
      <c r="AT19" s="15619"/>
      <c r="AU19" s="15619"/>
      <c r="AV19" s="15619"/>
      <c r="AW19" s="15619"/>
      <c r="AX19" s="15619"/>
      <c r="AY19" s="15619"/>
      <c r="AZ19" s="15619"/>
      <c r="BA19" s="3899" t="s">
        <v>10302</v>
      </c>
      <c r="BB19" s="15619"/>
      <c r="BC19" s="3470"/>
      <c r="BD19" s="5242"/>
      <c r="BE19" s="5242"/>
      <c r="BF19" s="5242"/>
      <c r="BG19" s="5242"/>
      <c r="BH19" s="7382"/>
      <c r="BI19" s="3451"/>
      <c r="BJ19" s="3766"/>
      <c r="BK19" s="3470"/>
      <c r="BL19" s="3470"/>
      <c r="BM19" s="3470"/>
      <c r="BN19" s="3470"/>
      <c r="BO19" s="3470"/>
      <c r="BP19" s="3470"/>
      <c r="BQ19" s="3470"/>
      <c r="BR19" s="3470"/>
      <c r="BS19" s="3470"/>
      <c r="BT19" s="3470"/>
      <c r="BU19" s="3470"/>
      <c r="BV19" s="3470"/>
      <c r="BW19" s="3470"/>
      <c r="BX19" s="3470"/>
      <c r="BY19" s="3470"/>
      <c r="BZ19" s="3470"/>
      <c r="CA19" s="3470"/>
      <c r="CB19" s="3470"/>
      <c r="CC19" s="3470"/>
      <c r="CD19" s="3470"/>
      <c r="CE19" s="3470"/>
      <c r="CF19" s="3470"/>
      <c r="CG19" s="3470"/>
      <c r="CH19" s="3470"/>
      <c r="CI19" s="3470"/>
      <c r="CJ19" s="3470"/>
      <c r="CK19" s="3470"/>
      <c r="CL19" s="3470"/>
      <c r="CM19" s="3470"/>
      <c r="CN19" s="3470"/>
      <c r="CO19" s="3470"/>
      <c r="CP19" s="3470"/>
      <c r="CQ19" s="3470"/>
      <c r="CR19" s="3470"/>
      <c r="CS19" s="3470"/>
      <c r="CT19" s="3470"/>
      <c r="CU19" s="3470"/>
      <c r="CV19" s="3470"/>
      <c r="CW19" s="3470"/>
      <c r="CX19" s="3470"/>
      <c r="CY19" s="3470"/>
      <c r="CZ19" s="3470"/>
      <c r="DA19" s="3470"/>
      <c r="DB19" s="3470"/>
      <c r="DC19" s="3475"/>
    </row>
    <row r="20" spans="1:107" s="1810" customFormat="1" ht="15" customHeight="1">
      <c r="A20" s="17035"/>
      <c r="B20" s="17038"/>
      <c r="C20" s="17038"/>
      <c r="D20" s="17038"/>
      <c r="E20" s="17038"/>
      <c r="F20" s="17038"/>
      <c r="G20" s="17038"/>
      <c r="H20" s="17038"/>
      <c r="I20" s="17038"/>
      <c r="J20" s="17038"/>
      <c r="K20" s="17038"/>
      <c r="L20" s="17038"/>
      <c r="M20" s="17038"/>
      <c r="N20" s="17038"/>
      <c r="O20" s="17038"/>
      <c r="P20" s="17038"/>
      <c r="Q20" s="17041"/>
      <c r="R20" s="17017"/>
      <c r="S20" s="15619"/>
      <c r="T20" s="15619"/>
      <c r="U20" s="15619"/>
      <c r="V20" s="15619"/>
      <c r="W20" s="15619"/>
      <c r="X20" s="15619"/>
      <c r="Y20" s="15911"/>
      <c r="Z20" s="15911"/>
      <c r="AA20" s="15911"/>
      <c r="AB20" s="15911"/>
      <c r="AC20" s="15911"/>
      <c r="AD20" s="15911"/>
      <c r="AE20" s="15911"/>
      <c r="AF20" s="15911"/>
      <c r="AG20" s="15911"/>
      <c r="AH20" s="15911"/>
      <c r="AI20" s="15619"/>
      <c r="AJ20" s="15619"/>
      <c r="AK20" s="15619"/>
      <c r="AL20" s="15619"/>
      <c r="AM20" s="15619"/>
      <c r="AN20" s="15619"/>
      <c r="AO20" s="15619"/>
      <c r="AP20" s="15619"/>
      <c r="AQ20" s="15619"/>
      <c r="AR20" s="15619"/>
      <c r="AS20" s="15619"/>
      <c r="AT20" s="15619"/>
      <c r="AU20" s="15619"/>
      <c r="AV20" s="15619"/>
      <c r="AW20" s="15619"/>
      <c r="AX20" s="15619"/>
      <c r="AY20" s="15619"/>
      <c r="AZ20" s="15619"/>
      <c r="BA20" s="3899" t="s">
        <v>10309</v>
      </c>
      <c r="BB20" s="5242"/>
      <c r="BC20" s="5242" t="s">
        <v>10308</v>
      </c>
      <c r="BD20" s="5242"/>
      <c r="BE20" s="5242"/>
      <c r="BF20" s="5242"/>
      <c r="BG20" s="5242"/>
      <c r="BH20" s="7382"/>
      <c r="BI20" s="3451"/>
      <c r="BJ20" s="3766"/>
      <c r="BK20" s="3470"/>
      <c r="BL20" s="3470"/>
      <c r="BM20" s="3470"/>
      <c r="BN20" s="3470"/>
      <c r="BO20" s="3470"/>
      <c r="BP20" s="3470"/>
      <c r="BQ20" s="3470"/>
      <c r="BR20" s="3470"/>
      <c r="BS20" s="3470"/>
      <c r="BT20" s="3470"/>
      <c r="BU20" s="3470"/>
      <c r="BV20" s="3470"/>
      <c r="BW20" s="3470"/>
      <c r="BX20" s="3470"/>
      <c r="BY20" s="3470"/>
      <c r="BZ20" s="3470"/>
      <c r="CA20" s="3470"/>
      <c r="CB20" s="3470"/>
      <c r="CC20" s="3470"/>
      <c r="CD20" s="3470"/>
      <c r="CE20" s="3470"/>
      <c r="CF20" s="3470"/>
      <c r="CG20" s="3470"/>
      <c r="CH20" s="3470"/>
      <c r="CI20" s="3470"/>
      <c r="CJ20" s="3470"/>
      <c r="CK20" s="3470"/>
      <c r="CL20" s="3470"/>
      <c r="CM20" s="3470"/>
      <c r="CN20" s="3470"/>
      <c r="CO20" s="3470"/>
      <c r="CP20" s="3470"/>
      <c r="CQ20" s="3470"/>
      <c r="CR20" s="3470"/>
      <c r="CS20" s="3470"/>
      <c r="CT20" s="3470"/>
      <c r="CU20" s="3470"/>
      <c r="CV20" s="3470"/>
      <c r="CW20" s="3470"/>
      <c r="CX20" s="3470"/>
      <c r="CY20" s="3470"/>
      <c r="CZ20" s="3470"/>
      <c r="DA20" s="3470"/>
      <c r="DB20" s="3470"/>
      <c r="DC20" s="3475"/>
    </row>
    <row r="21" spans="1:107" s="1810" customFormat="1" ht="15" customHeight="1">
      <c r="A21" s="17035"/>
      <c r="B21" s="17038"/>
      <c r="C21" s="17038"/>
      <c r="D21" s="17038"/>
      <c r="E21" s="17038"/>
      <c r="F21" s="17038"/>
      <c r="G21" s="17038"/>
      <c r="H21" s="17038"/>
      <c r="I21" s="17038"/>
      <c r="J21" s="17038"/>
      <c r="K21" s="17038"/>
      <c r="L21" s="17038"/>
      <c r="M21" s="17038"/>
      <c r="N21" s="17038"/>
      <c r="O21" s="17038"/>
      <c r="P21" s="17038"/>
      <c r="Q21" s="17041"/>
      <c r="R21" s="17017"/>
      <c r="S21" s="15619"/>
      <c r="T21" s="15619"/>
      <c r="U21" s="15619"/>
      <c r="V21" s="15619"/>
      <c r="W21" s="15619"/>
      <c r="X21" s="15619"/>
      <c r="Y21" s="15911"/>
      <c r="Z21" s="15911"/>
      <c r="AA21" s="15911"/>
      <c r="AB21" s="15911"/>
      <c r="AC21" s="15911"/>
      <c r="AD21" s="15911"/>
      <c r="AE21" s="15911"/>
      <c r="AF21" s="15911"/>
      <c r="AG21" s="15911"/>
      <c r="AH21" s="15911"/>
      <c r="AI21" s="15619"/>
      <c r="AJ21" s="15619" t="s">
        <v>8328</v>
      </c>
      <c r="AK21" s="16997" t="s">
        <v>6820</v>
      </c>
      <c r="AL21" s="5242" t="s">
        <v>6821</v>
      </c>
      <c r="AM21" s="5242" t="s">
        <v>1510</v>
      </c>
      <c r="AN21" s="5242">
        <v>100</v>
      </c>
      <c r="AO21" s="5242">
        <v>120</v>
      </c>
      <c r="AP21" s="5242">
        <v>120</v>
      </c>
      <c r="AQ21" s="5242">
        <v>120</v>
      </c>
      <c r="AR21" s="5242">
        <v>129</v>
      </c>
      <c r="AS21" s="5242">
        <v>140</v>
      </c>
      <c r="AT21" s="5242">
        <v>140</v>
      </c>
      <c r="AU21" s="5242">
        <v>140</v>
      </c>
      <c r="AV21" s="5242">
        <v>140</v>
      </c>
      <c r="AW21" s="5242">
        <v>140</v>
      </c>
      <c r="AX21" s="5242">
        <v>150</v>
      </c>
      <c r="AY21" s="5242">
        <v>150</v>
      </c>
      <c r="AZ21" s="5242" t="s">
        <v>6822</v>
      </c>
      <c r="BA21" s="17032" t="s">
        <v>218</v>
      </c>
      <c r="BB21" s="5242" t="s">
        <v>6823</v>
      </c>
      <c r="BC21" s="5242"/>
      <c r="BD21" s="5242" t="s">
        <v>6824</v>
      </c>
      <c r="BE21" s="5242"/>
      <c r="BF21" s="5242"/>
      <c r="BG21" s="5242"/>
      <c r="BH21" s="7382" t="s">
        <v>6824</v>
      </c>
      <c r="BI21" s="3451"/>
      <c r="BJ21" s="7399"/>
      <c r="BK21" s="6453"/>
      <c r="BL21" s="6453"/>
      <c r="BM21" s="6453"/>
      <c r="BN21" s="6453"/>
      <c r="BO21" s="6453"/>
      <c r="BP21" s="6453"/>
      <c r="BQ21" s="6453"/>
      <c r="BR21" s="6453"/>
      <c r="BS21" s="6453"/>
      <c r="BT21" s="6453"/>
      <c r="BU21" s="6453"/>
      <c r="BV21" s="6453"/>
      <c r="BW21" s="6453"/>
      <c r="BX21" s="6453"/>
      <c r="BY21" s="6453"/>
      <c r="BZ21" s="6453"/>
      <c r="CA21" s="6453"/>
      <c r="CB21" s="6453"/>
      <c r="CC21" s="6453"/>
      <c r="CD21" s="6453"/>
      <c r="CE21" s="6453"/>
      <c r="CF21" s="6453"/>
      <c r="CG21" s="6453"/>
      <c r="CH21" s="6453"/>
      <c r="CI21" s="6453"/>
      <c r="CJ21" s="6453"/>
      <c r="CK21" s="6453"/>
      <c r="CL21" s="6453"/>
      <c r="CM21" s="6453"/>
      <c r="CN21" s="6453"/>
      <c r="CO21" s="6453"/>
      <c r="CP21" s="6453"/>
      <c r="CQ21" s="6453"/>
      <c r="CR21" s="6453"/>
      <c r="CS21" s="6453"/>
      <c r="CT21" s="6453"/>
      <c r="CU21" s="6453"/>
      <c r="CV21" s="6453"/>
      <c r="CW21" s="6453"/>
      <c r="CX21" s="6453"/>
      <c r="CY21" s="6453"/>
      <c r="CZ21" s="6453"/>
      <c r="DA21" s="6453"/>
      <c r="DB21" s="6453"/>
      <c r="DC21" s="6455"/>
    </row>
    <row r="22" spans="1:107" s="1810" customFormat="1" ht="15" customHeight="1" thickBot="1">
      <c r="A22" s="17035"/>
      <c r="B22" s="17038"/>
      <c r="C22" s="17038"/>
      <c r="D22" s="17038"/>
      <c r="E22" s="17038"/>
      <c r="F22" s="17038"/>
      <c r="G22" s="17038"/>
      <c r="H22" s="17038"/>
      <c r="I22" s="17038"/>
      <c r="J22" s="17038"/>
      <c r="K22" s="17038"/>
      <c r="L22" s="17038"/>
      <c r="M22" s="17038"/>
      <c r="N22" s="17038"/>
      <c r="O22" s="17038"/>
      <c r="P22" s="17038"/>
      <c r="Q22" s="17041"/>
      <c r="R22" s="17018"/>
      <c r="S22" s="15910"/>
      <c r="T22" s="15910"/>
      <c r="U22" s="15910"/>
      <c r="V22" s="15910"/>
      <c r="W22" s="15910"/>
      <c r="X22" s="15910"/>
      <c r="Y22" s="15912"/>
      <c r="Z22" s="15912"/>
      <c r="AA22" s="15912"/>
      <c r="AB22" s="15912"/>
      <c r="AC22" s="15912"/>
      <c r="AD22" s="15912"/>
      <c r="AE22" s="15912"/>
      <c r="AF22" s="15912"/>
      <c r="AG22" s="15912"/>
      <c r="AH22" s="15912"/>
      <c r="AI22" s="15910"/>
      <c r="AJ22" s="15910"/>
      <c r="AK22" s="17002"/>
      <c r="AL22" s="5251" t="s">
        <v>6825</v>
      </c>
      <c r="AM22" s="5251" t="s">
        <v>6796</v>
      </c>
      <c r="AN22" s="5251"/>
      <c r="AO22" s="5251"/>
      <c r="AP22" s="5251"/>
      <c r="AQ22" s="5251"/>
      <c r="AR22" s="5251"/>
      <c r="AS22" s="5251"/>
      <c r="AT22" s="5251"/>
      <c r="AU22" s="5251"/>
      <c r="AV22" s="5251"/>
      <c r="AW22" s="5251"/>
      <c r="AX22" s="5251"/>
      <c r="AY22" s="5251"/>
      <c r="AZ22" s="5251" t="s">
        <v>6826</v>
      </c>
      <c r="BA22" s="17033"/>
      <c r="BB22" s="5251" t="s">
        <v>6823</v>
      </c>
      <c r="BC22" s="5251"/>
      <c r="BD22" s="5251" t="s">
        <v>6827</v>
      </c>
      <c r="BE22" s="5251"/>
      <c r="BF22" s="5251"/>
      <c r="BG22" s="5251"/>
      <c r="BH22" s="7383" t="s">
        <v>6827</v>
      </c>
      <c r="BI22" s="3451"/>
      <c r="BJ22" s="7400"/>
      <c r="BK22" s="6458"/>
      <c r="BL22" s="6458"/>
      <c r="BM22" s="6458"/>
      <c r="BN22" s="6458"/>
      <c r="BO22" s="6458"/>
      <c r="BP22" s="6458"/>
      <c r="BQ22" s="6458"/>
      <c r="BR22" s="6458"/>
      <c r="BS22" s="6458"/>
      <c r="BT22" s="6458"/>
      <c r="BU22" s="6458"/>
      <c r="BV22" s="6458"/>
      <c r="BW22" s="6458"/>
      <c r="BX22" s="6458"/>
      <c r="BY22" s="6458"/>
      <c r="BZ22" s="6458"/>
      <c r="CA22" s="6458"/>
      <c r="CB22" s="6458"/>
      <c r="CC22" s="6458"/>
      <c r="CD22" s="6458"/>
      <c r="CE22" s="6458"/>
      <c r="CF22" s="6458"/>
      <c r="CG22" s="6458"/>
      <c r="CH22" s="6458"/>
      <c r="CI22" s="6458"/>
      <c r="CJ22" s="6458"/>
      <c r="CK22" s="6458"/>
      <c r="CL22" s="6458"/>
      <c r="CM22" s="6458"/>
      <c r="CN22" s="6458"/>
      <c r="CO22" s="6458"/>
      <c r="CP22" s="6458"/>
      <c r="CQ22" s="6458"/>
      <c r="CR22" s="6458"/>
      <c r="CS22" s="6458"/>
      <c r="CT22" s="6458"/>
      <c r="CU22" s="6458"/>
      <c r="CV22" s="6458"/>
      <c r="CW22" s="6458"/>
      <c r="CX22" s="6458"/>
      <c r="CY22" s="6458"/>
      <c r="CZ22" s="6458"/>
      <c r="DA22" s="6458"/>
      <c r="DB22" s="6458"/>
      <c r="DC22" s="6462"/>
    </row>
    <row r="23" spans="1:107" s="1780" customFormat="1" ht="15" customHeight="1">
      <c r="A23" s="17035"/>
      <c r="B23" s="17038"/>
      <c r="C23" s="17038"/>
      <c r="D23" s="17038"/>
      <c r="E23" s="17038"/>
      <c r="F23" s="17038"/>
      <c r="G23" s="17038"/>
      <c r="H23" s="17038"/>
      <c r="I23" s="17038"/>
      <c r="J23" s="17038"/>
      <c r="K23" s="17038"/>
      <c r="L23" s="17038"/>
      <c r="M23" s="17038"/>
      <c r="N23" s="17038"/>
      <c r="O23" s="17038"/>
      <c r="P23" s="17038"/>
      <c r="Q23" s="17041"/>
      <c r="R23" s="17004" t="s">
        <v>6828</v>
      </c>
      <c r="S23" s="16994" t="s">
        <v>6829</v>
      </c>
      <c r="T23" s="16994" t="s">
        <v>6830</v>
      </c>
      <c r="U23" s="16994" t="s">
        <v>6831</v>
      </c>
      <c r="V23" s="16994" t="s">
        <v>5126</v>
      </c>
      <c r="W23" s="16994" t="s">
        <v>1019</v>
      </c>
      <c r="X23" s="16983">
        <v>0.3</v>
      </c>
      <c r="Y23" s="16983">
        <v>0.3</v>
      </c>
      <c r="Z23" s="16983">
        <v>0.3</v>
      </c>
      <c r="AA23" s="16983">
        <v>0.4</v>
      </c>
      <c r="AB23" s="16983">
        <v>0.4</v>
      </c>
      <c r="AC23" s="16983">
        <v>0.4</v>
      </c>
      <c r="AD23" s="16983">
        <v>0.5</v>
      </c>
      <c r="AE23" s="16983">
        <v>0.5</v>
      </c>
      <c r="AF23" s="16983">
        <v>0.5</v>
      </c>
      <c r="AG23" s="16983">
        <v>0.5</v>
      </c>
      <c r="AH23" s="16983">
        <v>0.5</v>
      </c>
      <c r="AI23" s="16994" t="s">
        <v>6832</v>
      </c>
      <c r="AJ23" s="16994" t="s">
        <v>8329</v>
      </c>
      <c r="AK23" s="16999" t="s">
        <v>6833</v>
      </c>
      <c r="AL23" s="16999" t="s">
        <v>6834</v>
      </c>
      <c r="AM23" s="16994" t="s">
        <v>6785</v>
      </c>
      <c r="AN23" s="16994">
        <v>4</v>
      </c>
      <c r="AO23" s="16994">
        <v>4</v>
      </c>
      <c r="AP23" s="16994">
        <v>4</v>
      </c>
      <c r="AQ23" s="16994">
        <v>4</v>
      </c>
      <c r="AR23" s="16994">
        <v>4</v>
      </c>
      <c r="AS23" s="16994">
        <v>4</v>
      </c>
      <c r="AT23" s="16994">
        <v>4</v>
      </c>
      <c r="AU23" s="16994">
        <v>4</v>
      </c>
      <c r="AV23" s="16994">
        <v>4</v>
      </c>
      <c r="AW23" s="16994">
        <v>4</v>
      </c>
      <c r="AX23" s="16994">
        <v>4</v>
      </c>
      <c r="AY23" s="16994">
        <v>40</v>
      </c>
      <c r="AZ23" s="16994" t="s">
        <v>6835</v>
      </c>
      <c r="BA23" s="7422" t="s">
        <v>10066</v>
      </c>
      <c r="BB23" s="7355" t="s">
        <v>6787</v>
      </c>
      <c r="BC23" s="7355"/>
      <c r="BD23" s="16994" t="s">
        <v>6836</v>
      </c>
      <c r="BE23" s="16994" t="s">
        <v>6837</v>
      </c>
      <c r="BF23" s="16994" t="s">
        <v>6838</v>
      </c>
      <c r="BG23" s="16994" t="s">
        <v>6839</v>
      </c>
      <c r="BH23" s="17007" t="s">
        <v>6840</v>
      </c>
      <c r="BI23" s="3451"/>
      <c r="BJ23" s="7419"/>
      <c r="BK23" s="7411"/>
      <c r="BL23" s="7411"/>
      <c r="BM23" s="7411"/>
      <c r="BN23" s="7411"/>
      <c r="BO23" s="7411"/>
      <c r="BP23" s="7411"/>
      <c r="BQ23" s="7411"/>
      <c r="BR23" s="7411"/>
      <c r="BS23" s="7411"/>
      <c r="BT23" s="7411"/>
      <c r="BU23" s="7411"/>
      <c r="BV23" s="7411"/>
      <c r="BW23" s="7411"/>
      <c r="BX23" s="7411"/>
      <c r="BY23" s="7411"/>
      <c r="BZ23" s="7411"/>
      <c r="CA23" s="7411"/>
      <c r="CB23" s="7411"/>
      <c r="CC23" s="7411"/>
      <c r="CD23" s="7411"/>
      <c r="CE23" s="7411"/>
      <c r="CF23" s="7411"/>
      <c r="CG23" s="7411"/>
      <c r="CH23" s="7411"/>
      <c r="CI23" s="7411"/>
      <c r="CJ23" s="7411"/>
      <c r="CK23" s="7411"/>
      <c r="CL23" s="7411"/>
      <c r="CM23" s="7411"/>
      <c r="CN23" s="7411"/>
      <c r="CO23" s="7411"/>
      <c r="CP23" s="7411"/>
      <c r="CQ23" s="7411"/>
      <c r="CR23" s="7411"/>
      <c r="CS23" s="7411"/>
      <c r="CT23" s="7411"/>
      <c r="CU23" s="7411"/>
      <c r="CV23" s="7411"/>
      <c r="CW23" s="7411"/>
      <c r="CX23" s="7411"/>
      <c r="CY23" s="7411"/>
      <c r="CZ23" s="7411"/>
      <c r="DA23" s="7411"/>
      <c r="DB23" s="7411"/>
      <c r="DC23" s="7405"/>
    </row>
    <row r="24" spans="1:107" s="1780" customFormat="1" ht="15" customHeight="1">
      <c r="A24" s="17035"/>
      <c r="B24" s="17038"/>
      <c r="C24" s="17038"/>
      <c r="D24" s="17038"/>
      <c r="E24" s="17038"/>
      <c r="F24" s="17038"/>
      <c r="G24" s="17038"/>
      <c r="H24" s="17038"/>
      <c r="I24" s="17038"/>
      <c r="J24" s="17038"/>
      <c r="K24" s="17038"/>
      <c r="L24" s="17038"/>
      <c r="M24" s="17038"/>
      <c r="N24" s="17038"/>
      <c r="O24" s="17038"/>
      <c r="P24" s="17038"/>
      <c r="Q24" s="17041"/>
      <c r="R24" s="17005"/>
      <c r="S24" s="16993"/>
      <c r="T24" s="16993"/>
      <c r="U24" s="16993"/>
      <c r="V24" s="16993"/>
      <c r="W24" s="16993"/>
      <c r="X24" s="16515"/>
      <c r="Y24" s="16515"/>
      <c r="Z24" s="16515"/>
      <c r="AA24" s="16515"/>
      <c r="AB24" s="16515"/>
      <c r="AC24" s="16515"/>
      <c r="AD24" s="16515"/>
      <c r="AE24" s="16515"/>
      <c r="AF24" s="16515"/>
      <c r="AG24" s="16515"/>
      <c r="AH24" s="16515"/>
      <c r="AI24" s="16993"/>
      <c r="AJ24" s="16993"/>
      <c r="AK24" s="16998"/>
      <c r="AL24" s="16998"/>
      <c r="AM24" s="16993"/>
      <c r="AN24" s="16993"/>
      <c r="AO24" s="16993"/>
      <c r="AP24" s="16993"/>
      <c r="AQ24" s="16993"/>
      <c r="AR24" s="16993"/>
      <c r="AS24" s="16993"/>
      <c r="AT24" s="16993"/>
      <c r="AU24" s="16993"/>
      <c r="AV24" s="16993"/>
      <c r="AW24" s="16993"/>
      <c r="AX24" s="16993"/>
      <c r="AY24" s="16993"/>
      <c r="AZ24" s="16993"/>
      <c r="BA24" s="7423" t="s">
        <v>10213</v>
      </c>
      <c r="BB24" s="6322"/>
      <c r="BC24" s="16442" t="s">
        <v>6841</v>
      </c>
      <c r="BD24" s="16993"/>
      <c r="BE24" s="16993"/>
      <c r="BF24" s="16993"/>
      <c r="BG24" s="16993"/>
      <c r="BH24" s="17003"/>
      <c r="BI24" s="3451"/>
      <c r="BJ24" s="7416"/>
      <c r="BK24" s="7410"/>
      <c r="BL24" s="7410"/>
      <c r="BM24" s="7410"/>
      <c r="BN24" s="7410"/>
      <c r="BO24" s="7410"/>
      <c r="BP24" s="7410"/>
      <c r="BQ24" s="7410"/>
      <c r="BR24" s="7410"/>
      <c r="BS24" s="7410"/>
      <c r="BT24" s="7410"/>
      <c r="BU24" s="7410"/>
      <c r="BV24" s="7410"/>
      <c r="BW24" s="7410"/>
      <c r="BX24" s="7410"/>
      <c r="BY24" s="7410"/>
      <c r="BZ24" s="7410"/>
      <c r="CA24" s="7410"/>
      <c r="CB24" s="7410"/>
      <c r="CC24" s="7410"/>
      <c r="CD24" s="7410"/>
      <c r="CE24" s="7410"/>
      <c r="CF24" s="7410"/>
      <c r="CG24" s="7410"/>
      <c r="CH24" s="7410"/>
      <c r="CI24" s="7410"/>
      <c r="CJ24" s="7410"/>
      <c r="CK24" s="7410"/>
      <c r="CL24" s="7410"/>
      <c r="CM24" s="7410"/>
      <c r="CN24" s="7410"/>
      <c r="CO24" s="7410"/>
      <c r="CP24" s="7410"/>
      <c r="CQ24" s="7410"/>
      <c r="CR24" s="7410"/>
      <c r="CS24" s="7410"/>
      <c r="CT24" s="7410"/>
      <c r="CU24" s="7410"/>
      <c r="CV24" s="7410"/>
      <c r="CW24" s="7410"/>
      <c r="CX24" s="7410"/>
      <c r="CY24" s="7410"/>
      <c r="CZ24" s="7410"/>
      <c r="DA24" s="7410"/>
      <c r="DB24" s="7410"/>
      <c r="DC24" s="7357"/>
    </row>
    <row r="25" spans="1:107" s="1780" customFormat="1" ht="15" customHeight="1">
      <c r="A25" s="17035"/>
      <c r="B25" s="17038"/>
      <c r="C25" s="17038"/>
      <c r="D25" s="17038"/>
      <c r="E25" s="17038"/>
      <c r="F25" s="17038"/>
      <c r="G25" s="17038"/>
      <c r="H25" s="17038"/>
      <c r="I25" s="17038"/>
      <c r="J25" s="17038"/>
      <c r="K25" s="17038"/>
      <c r="L25" s="17038"/>
      <c r="M25" s="17038"/>
      <c r="N25" s="17038"/>
      <c r="O25" s="17038"/>
      <c r="P25" s="17038"/>
      <c r="Q25" s="17041"/>
      <c r="R25" s="17005"/>
      <c r="S25" s="16993"/>
      <c r="T25" s="16993"/>
      <c r="U25" s="16993"/>
      <c r="V25" s="16993"/>
      <c r="W25" s="16993"/>
      <c r="X25" s="16515"/>
      <c r="Y25" s="16515"/>
      <c r="Z25" s="16515"/>
      <c r="AA25" s="16515"/>
      <c r="AB25" s="16515"/>
      <c r="AC25" s="16515"/>
      <c r="AD25" s="16515"/>
      <c r="AE25" s="16515"/>
      <c r="AF25" s="16515"/>
      <c r="AG25" s="16515"/>
      <c r="AH25" s="16515"/>
      <c r="AI25" s="16993"/>
      <c r="AJ25" s="16993"/>
      <c r="AK25" s="16998"/>
      <c r="AL25" s="16998"/>
      <c r="AM25" s="16993"/>
      <c r="AN25" s="16993"/>
      <c r="AO25" s="16993"/>
      <c r="AP25" s="16993"/>
      <c r="AQ25" s="16993"/>
      <c r="AR25" s="16993"/>
      <c r="AS25" s="16993"/>
      <c r="AT25" s="16993"/>
      <c r="AU25" s="16993"/>
      <c r="AV25" s="16993"/>
      <c r="AW25" s="16993"/>
      <c r="AX25" s="16993"/>
      <c r="AY25" s="16993"/>
      <c r="AZ25" s="16993"/>
      <c r="BA25" s="7423" t="s">
        <v>10302</v>
      </c>
      <c r="BB25" s="6322"/>
      <c r="BC25" s="16442"/>
      <c r="BD25" s="16993"/>
      <c r="BE25" s="16993"/>
      <c r="BF25" s="16993"/>
      <c r="BG25" s="16993"/>
      <c r="BH25" s="17003"/>
      <c r="BI25" s="3451"/>
      <c r="BJ25" s="7416"/>
      <c r="BK25" s="7410"/>
      <c r="BL25" s="7410"/>
      <c r="BM25" s="7410"/>
      <c r="BN25" s="7410"/>
      <c r="BO25" s="7410"/>
      <c r="BP25" s="7410"/>
      <c r="BQ25" s="7410"/>
      <c r="BR25" s="7410"/>
      <c r="BS25" s="7410"/>
      <c r="BT25" s="7410"/>
      <c r="BU25" s="7410"/>
      <c r="BV25" s="7410"/>
      <c r="BW25" s="7410"/>
      <c r="BX25" s="7410"/>
      <c r="BY25" s="7410"/>
      <c r="BZ25" s="7410"/>
      <c r="CA25" s="7410"/>
      <c r="CB25" s="7410"/>
      <c r="CC25" s="7410"/>
      <c r="CD25" s="7410"/>
      <c r="CE25" s="7410"/>
      <c r="CF25" s="7410"/>
      <c r="CG25" s="7410"/>
      <c r="CH25" s="7410"/>
      <c r="CI25" s="7410"/>
      <c r="CJ25" s="7410"/>
      <c r="CK25" s="7410"/>
      <c r="CL25" s="7410"/>
      <c r="CM25" s="7410"/>
      <c r="CN25" s="7410"/>
      <c r="CO25" s="7410"/>
      <c r="CP25" s="7410"/>
      <c r="CQ25" s="7410"/>
      <c r="CR25" s="7410"/>
      <c r="CS25" s="7410"/>
      <c r="CT25" s="7410"/>
      <c r="CU25" s="7410"/>
      <c r="CV25" s="7410"/>
      <c r="CW25" s="7410"/>
      <c r="CX25" s="7410"/>
      <c r="CY25" s="7410"/>
      <c r="CZ25" s="7410"/>
      <c r="DA25" s="7410"/>
      <c r="DB25" s="7410"/>
      <c r="DC25" s="7357"/>
    </row>
    <row r="26" spans="1:107" s="1780" customFormat="1" ht="15" customHeight="1">
      <c r="A26" s="17035"/>
      <c r="B26" s="17038"/>
      <c r="C26" s="17038"/>
      <c r="D26" s="17038"/>
      <c r="E26" s="17038"/>
      <c r="F26" s="17038"/>
      <c r="G26" s="17038"/>
      <c r="H26" s="17038"/>
      <c r="I26" s="17038"/>
      <c r="J26" s="17038"/>
      <c r="K26" s="17038"/>
      <c r="L26" s="17038"/>
      <c r="M26" s="17038"/>
      <c r="N26" s="17038"/>
      <c r="O26" s="17038"/>
      <c r="P26" s="17038"/>
      <c r="Q26" s="17041"/>
      <c r="R26" s="17005"/>
      <c r="S26" s="16993"/>
      <c r="T26" s="16993"/>
      <c r="U26" s="16993"/>
      <c r="V26" s="16993"/>
      <c r="W26" s="16993"/>
      <c r="X26" s="16515"/>
      <c r="Y26" s="16515"/>
      <c r="Z26" s="16515"/>
      <c r="AA26" s="16515"/>
      <c r="AB26" s="16515"/>
      <c r="AC26" s="16515"/>
      <c r="AD26" s="16515"/>
      <c r="AE26" s="16515"/>
      <c r="AF26" s="16515"/>
      <c r="AG26" s="16515"/>
      <c r="AH26" s="16515"/>
      <c r="AI26" s="16993"/>
      <c r="AJ26" s="16993"/>
      <c r="AK26" s="16998"/>
      <c r="AL26" s="16998"/>
      <c r="AM26" s="16993"/>
      <c r="AN26" s="16993"/>
      <c r="AO26" s="16993"/>
      <c r="AP26" s="16993"/>
      <c r="AQ26" s="16993"/>
      <c r="AR26" s="16993"/>
      <c r="AS26" s="16993"/>
      <c r="AT26" s="16993"/>
      <c r="AU26" s="16993"/>
      <c r="AV26" s="16993"/>
      <c r="AW26" s="16993"/>
      <c r="AX26" s="16993"/>
      <c r="AY26" s="16993"/>
      <c r="AZ26" s="16993"/>
      <c r="BA26" s="7423" t="s">
        <v>10186</v>
      </c>
      <c r="BB26" s="6322"/>
      <c r="BC26" s="16442"/>
      <c r="BD26" s="16993"/>
      <c r="BE26" s="16993"/>
      <c r="BF26" s="16993"/>
      <c r="BG26" s="16993"/>
      <c r="BH26" s="17003"/>
      <c r="BI26" s="3451"/>
      <c r="BJ26" s="7416"/>
      <c r="BK26" s="7410"/>
      <c r="BL26" s="7410"/>
      <c r="BM26" s="7410"/>
      <c r="BN26" s="7410"/>
      <c r="BO26" s="7410"/>
      <c r="BP26" s="7410"/>
      <c r="BQ26" s="7410"/>
      <c r="BR26" s="7410"/>
      <c r="BS26" s="7410"/>
      <c r="BT26" s="7410"/>
      <c r="BU26" s="7410"/>
      <c r="BV26" s="7410"/>
      <c r="BW26" s="7410"/>
      <c r="BX26" s="7410"/>
      <c r="BY26" s="7410"/>
      <c r="BZ26" s="7410"/>
      <c r="CA26" s="7410"/>
      <c r="CB26" s="7410"/>
      <c r="CC26" s="7410"/>
      <c r="CD26" s="7410"/>
      <c r="CE26" s="7410"/>
      <c r="CF26" s="7410"/>
      <c r="CG26" s="7410"/>
      <c r="CH26" s="7410"/>
      <c r="CI26" s="7410"/>
      <c r="CJ26" s="7410"/>
      <c r="CK26" s="7410"/>
      <c r="CL26" s="7410"/>
      <c r="CM26" s="7410"/>
      <c r="CN26" s="7410"/>
      <c r="CO26" s="7410"/>
      <c r="CP26" s="7410"/>
      <c r="CQ26" s="7410"/>
      <c r="CR26" s="7410"/>
      <c r="CS26" s="7410"/>
      <c r="CT26" s="7410"/>
      <c r="CU26" s="7410"/>
      <c r="CV26" s="7410"/>
      <c r="CW26" s="7410"/>
      <c r="CX26" s="7410"/>
      <c r="CY26" s="7410"/>
      <c r="CZ26" s="7410"/>
      <c r="DA26" s="7410"/>
      <c r="DB26" s="7410"/>
      <c r="DC26" s="7357"/>
    </row>
    <row r="27" spans="1:107" s="1780" customFormat="1" ht="15" customHeight="1">
      <c r="A27" s="17035"/>
      <c r="B27" s="17038"/>
      <c r="C27" s="17038"/>
      <c r="D27" s="17038"/>
      <c r="E27" s="17038"/>
      <c r="F27" s="17038"/>
      <c r="G27" s="17038"/>
      <c r="H27" s="17038"/>
      <c r="I27" s="17038"/>
      <c r="J27" s="17038"/>
      <c r="K27" s="17038"/>
      <c r="L27" s="17038"/>
      <c r="M27" s="17038"/>
      <c r="N27" s="17038"/>
      <c r="O27" s="17038"/>
      <c r="P27" s="17038"/>
      <c r="Q27" s="17041"/>
      <c r="R27" s="17005"/>
      <c r="S27" s="16993"/>
      <c r="T27" s="16993"/>
      <c r="U27" s="16993"/>
      <c r="V27" s="16993"/>
      <c r="W27" s="16993"/>
      <c r="X27" s="16515"/>
      <c r="Y27" s="16515"/>
      <c r="Z27" s="16515"/>
      <c r="AA27" s="16515"/>
      <c r="AB27" s="16515"/>
      <c r="AC27" s="16515"/>
      <c r="AD27" s="16515"/>
      <c r="AE27" s="16515"/>
      <c r="AF27" s="16515"/>
      <c r="AG27" s="16515"/>
      <c r="AH27" s="16515"/>
      <c r="AI27" s="16993"/>
      <c r="AJ27" s="16993"/>
      <c r="AK27" s="16998"/>
      <c r="AL27" s="16998" t="s">
        <v>6842</v>
      </c>
      <c r="AM27" s="16993" t="s">
        <v>6785</v>
      </c>
      <c r="AN27" s="16993">
        <v>1800</v>
      </c>
      <c r="AO27" s="16993">
        <v>1800</v>
      </c>
      <c r="AP27" s="16993">
        <v>1800</v>
      </c>
      <c r="AQ27" s="16993">
        <v>1800</v>
      </c>
      <c r="AR27" s="16993">
        <v>1800</v>
      </c>
      <c r="AS27" s="16993">
        <v>1800</v>
      </c>
      <c r="AT27" s="16993">
        <v>1800</v>
      </c>
      <c r="AU27" s="16993">
        <v>1800</v>
      </c>
      <c r="AV27" s="16993">
        <v>1800</v>
      </c>
      <c r="AW27" s="16993">
        <v>1800</v>
      </c>
      <c r="AX27" s="16993">
        <v>1800</v>
      </c>
      <c r="AY27" s="16993">
        <v>1800</v>
      </c>
      <c r="AZ27" s="16993" t="s">
        <v>6835</v>
      </c>
      <c r="BA27" s="7423" t="s">
        <v>10066</v>
      </c>
      <c r="BB27" s="2727" t="s">
        <v>6787</v>
      </c>
      <c r="BC27" s="2727"/>
      <c r="BD27" s="16993" t="s">
        <v>6843</v>
      </c>
      <c r="BE27" s="16993" t="s">
        <v>6837</v>
      </c>
      <c r="BF27" s="16993" t="s">
        <v>6838</v>
      </c>
      <c r="BG27" s="16993" t="s">
        <v>6839</v>
      </c>
      <c r="BH27" s="17003" t="s">
        <v>6844</v>
      </c>
      <c r="BI27" s="3451"/>
      <c r="BJ27" s="7416"/>
      <c r="BK27" s="7410"/>
      <c r="BL27" s="7410"/>
      <c r="BM27" s="7410"/>
      <c r="BN27" s="7410"/>
      <c r="BO27" s="7410"/>
      <c r="BP27" s="7410"/>
      <c r="BQ27" s="7410"/>
      <c r="BR27" s="7410"/>
      <c r="BS27" s="7410"/>
      <c r="BT27" s="7410"/>
      <c r="BU27" s="7410"/>
      <c r="BV27" s="7410"/>
      <c r="BW27" s="7410"/>
      <c r="BX27" s="7410"/>
      <c r="BY27" s="7410"/>
      <c r="BZ27" s="7410"/>
      <c r="CA27" s="7410"/>
      <c r="CB27" s="7410"/>
      <c r="CC27" s="7410"/>
      <c r="CD27" s="7410"/>
      <c r="CE27" s="7410"/>
      <c r="CF27" s="7410"/>
      <c r="CG27" s="7410"/>
      <c r="CH27" s="7410"/>
      <c r="CI27" s="7410"/>
      <c r="CJ27" s="7410"/>
      <c r="CK27" s="7410"/>
      <c r="CL27" s="7410"/>
      <c r="CM27" s="7410"/>
      <c r="CN27" s="7410"/>
      <c r="CO27" s="7410"/>
      <c r="CP27" s="7410"/>
      <c r="CQ27" s="7410"/>
      <c r="CR27" s="7410"/>
      <c r="CS27" s="7410"/>
      <c r="CT27" s="7410"/>
      <c r="CU27" s="7410"/>
      <c r="CV27" s="7410"/>
      <c r="CW27" s="7410"/>
      <c r="CX27" s="7410"/>
      <c r="CY27" s="7410"/>
      <c r="CZ27" s="7410"/>
      <c r="DA27" s="7410"/>
      <c r="DB27" s="7410"/>
      <c r="DC27" s="7357"/>
    </row>
    <row r="28" spans="1:107" s="1780" customFormat="1" ht="15" customHeight="1">
      <c r="A28" s="17035"/>
      <c r="B28" s="17038"/>
      <c r="C28" s="17038"/>
      <c r="D28" s="17038"/>
      <c r="E28" s="17038"/>
      <c r="F28" s="17038"/>
      <c r="G28" s="17038"/>
      <c r="H28" s="17038"/>
      <c r="I28" s="17038"/>
      <c r="J28" s="17038"/>
      <c r="K28" s="17038"/>
      <c r="L28" s="17038"/>
      <c r="M28" s="17038"/>
      <c r="N28" s="17038"/>
      <c r="O28" s="17038"/>
      <c r="P28" s="17038"/>
      <c r="Q28" s="17041"/>
      <c r="R28" s="17005"/>
      <c r="S28" s="16993"/>
      <c r="T28" s="16993"/>
      <c r="U28" s="16993"/>
      <c r="V28" s="16993"/>
      <c r="W28" s="16993"/>
      <c r="X28" s="16515"/>
      <c r="Y28" s="16515"/>
      <c r="Z28" s="16515"/>
      <c r="AA28" s="16515"/>
      <c r="AB28" s="16515"/>
      <c r="AC28" s="16515"/>
      <c r="AD28" s="16515"/>
      <c r="AE28" s="16515"/>
      <c r="AF28" s="16515"/>
      <c r="AG28" s="16515"/>
      <c r="AH28" s="16515"/>
      <c r="AI28" s="16993"/>
      <c r="AJ28" s="16993"/>
      <c r="AK28" s="16998"/>
      <c r="AL28" s="16998"/>
      <c r="AM28" s="16993"/>
      <c r="AN28" s="16993"/>
      <c r="AO28" s="16993"/>
      <c r="AP28" s="16993"/>
      <c r="AQ28" s="16993"/>
      <c r="AR28" s="16993"/>
      <c r="AS28" s="16993"/>
      <c r="AT28" s="16993"/>
      <c r="AU28" s="16993"/>
      <c r="AV28" s="16993"/>
      <c r="AW28" s="16993"/>
      <c r="AX28" s="16993"/>
      <c r="AY28" s="16993"/>
      <c r="AZ28" s="16993"/>
      <c r="BA28" s="7423" t="s">
        <v>10310</v>
      </c>
      <c r="BB28" s="2727" t="s">
        <v>6845</v>
      </c>
      <c r="BC28" s="2727"/>
      <c r="BD28" s="16993"/>
      <c r="BE28" s="16993"/>
      <c r="BF28" s="16993"/>
      <c r="BG28" s="16993"/>
      <c r="BH28" s="17003"/>
      <c r="BI28" s="3451"/>
      <c r="BJ28" s="7416"/>
      <c r="BK28" s="7410"/>
      <c r="BL28" s="7410"/>
      <c r="BM28" s="7410"/>
      <c r="BN28" s="7410"/>
      <c r="BO28" s="7410"/>
      <c r="BP28" s="7410"/>
      <c r="BQ28" s="7410"/>
      <c r="BR28" s="7410"/>
      <c r="BS28" s="7410"/>
      <c r="BT28" s="7410"/>
      <c r="BU28" s="7410"/>
      <c r="BV28" s="7410"/>
      <c r="BW28" s="7410"/>
      <c r="BX28" s="7410"/>
      <c r="BY28" s="7410"/>
      <c r="BZ28" s="7410"/>
      <c r="CA28" s="7410"/>
      <c r="CB28" s="7410"/>
      <c r="CC28" s="7410"/>
      <c r="CD28" s="7410"/>
      <c r="CE28" s="7410"/>
      <c r="CF28" s="7410"/>
      <c r="CG28" s="7410"/>
      <c r="CH28" s="7410"/>
      <c r="CI28" s="7410"/>
      <c r="CJ28" s="7410"/>
      <c r="CK28" s="7410"/>
      <c r="CL28" s="7410"/>
      <c r="CM28" s="7410"/>
      <c r="CN28" s="7410"/>
      <c r="CO28" s="7410"/>
      <c r="CP28" s="7410"/>
      <c r="CQ28" s="7410"/>
      <c r="CR28" s="7410"/>
      <c r="CS28" s="7410"/>
      <c r="CT28" s="7410"/>
      <c r="CU28" s="7410"/>
      <c r="CV28" s="7410"/>
      <c r="CW28" s="7410"/>
      <c r="CX28" s="7410"/>
      <c r="CY28" s="7410"/>
      <c r="CZ28" s="7410"/>
      <c r="DA28" s="7410"/>
      <c r="DB28" s="7410"/>
      <c r="DC28" s="7357"/>
    </row>
    <row r="29" spans="1:107" s="1780" customFormat="1" ht="15" customHeight="1">
      <c r="A29" s="17035"/>
      <c r="B29" s="17038"/>
      <c r="C29" s="17038"/>
      <c r="D29" s="17038"/>
      <c r="E29" s="17038"/>
      <c r="F29" s="17038"/>
      <c r="G29" s="17038"/>
      <c r="H29" s="17038"/>
      <c r="I29" s="17038"/>
      <c r="J29" s="17038"/>
      <c r="K29" s="17038"/>
      <c r="L29" s="17038"/>
      <c r="M29" s="17038"/>
      <c r="N29" s="17038"/>
      <c r="O29" s="17038"/>
      <c r="P29" s="17038"/>
      <c r="Q29" s="17041"/>
      <c r="R29" s="17005"/>
      <c r="S29" s="16993"/>
      <c r="T29" s="16993"/>
      <c r="U29" s="16993"/>
      <c r="V29" s="16993"/>
      <c r="W29" s="16993"/>
      <c r="X29" s="16515"/>
      <c r="Y29" s="16515"/>
      <c r="Z29" s="16515"/>
      <c r="AA29" s="16515"/>
      <c r="AB29" s="16515"/>
      <c r="AC29" s="16515"/>
      <c r="AD29" s="16515"/>
      <c r="AE29" s="16515"/>
      <c r="AF29" s="16515"/>
      <c r="AG29" s="16515"/>
      <c r="AH29" s="16515"/>
      <c r="AI29" s="16993"/>
      <c r="AJ29" s="16993" t="s">
        <v>8330</v>
      </c>
      <c r="AK29" s="16998" t="s">
        <v>6846</v>
      </c>
      <c r="AL29" s="16993" t="s">
        <v>6847</v>
      </c>
      <c r="AM29" s="16993" t="s">
        <v>6804</v>
      </c>
      <c r="AN29" s="16993" t="s">
        <v>1019</v>
      </c>
      <c r="AO29" s="16993" t="s">
        <v>6776</v>
      </c>
      <c r="AP29" s="16515">
        <v>1</v>
      </c>
      <c r="AQ29" s="16515">
        <v>1</v>
      </c>
      <c r="AR29" s="16515">
        <v>1</v>
      </c>
      <c r="AS29" s="16515">
        <v>1</v>
      </c>
      <c r="AT29" s="16515">
        <v>1</v>
      </c>
      <c r="AU29" s="16515">
        <v>1</v>
      </c>
      <c r="AV29" s="16515">
        <v>1</v>
      </c>
      <c r="AW29" s="16515">
        <v>1</v>
      </c>
      <c r="AX29" s="16515">
        <v>1</v>
      </c>
      <c r="AY29" s="16515">
        <v>1</v>
      </c>
      <c r="AZ29" s="16993" t="s">
        <v>6817</v>
      </c>
      <c r="BA29" s="7423" t="s">
        <v>10066</v>
      </c>
      <c r="BB29" s="16993" t="s">
        <v>6850</v>
      </c>
      <c r="BC29" s="2727"/>
      <c r="BD29" s="16993" t="s">
        <v>6848</v>
      </c>
      <c r="BE29" s="16993" t="s">
        <v>6837</v>
      </c>
      <c r="BF29" s="16993" t="s">
        <v>6838</v>
      </c>
      <c r="BG29" s="16993" t="s">
        <v>6839</v>
      </c>
      <c r="BH29" s="17003" t="s">
        <v>6849</v>
      </c>
      <c r="BI29" s="3451"/>
      <c r="BJ29" s="7416"/>
      <c r="BK29" s="7410"/>
      <c r="BL29" s="7410"/>
      <c r="BM29" s="7410"/>
      <c r="BN29" s="7410"/>
      <c r="BO29" s="7410"/>
      <c r="BP29" s="7410"/>
      <c r="BQ29" s="7410"/>
      <c r="BR29" s="7410"/>
      <c r="BS29" s="7410"/>
      <c r="BT29" s="7410"/>
      <c r="BU29" s="7410"/>
      <c r="BV29" s="7410"/>
      <c r="BW29" s="7410"/>
      <c r="BX29" s="7410"/>
      <c r="BY29" s="7410"/>
      <c r="BZ29" s="7410"/>
      <c r="CA29" s="7410"/>
      <c r="CB29" s="7410"/>
      <c r="CC29" s="7410"/>
      <c r="CD29" s="7410"/>
      <c r="CE29" s="7410"/>
      <c r="CF29" s="7410"/>
      <c r="CG29" s="7410"/>
      <c r="CH29" s="7410"/>
      <c r="CI29" s="7410"/>
      <c r="CJ29" s="7410"/>
      <c r="CK29" s="7410"/>
      <c r="CL29" s="7410"/>
      <c r="CM29" s="7410"/>
      <c r="CN29" s="7410"/>
      <c r="CO29" s="7410"/>
      <c r="CP29" s="7410"/>
      <c r="CQ29" s="7410"/>
      <c r="CR29" s="7410"/>
      <c r="CS29" s="7410"/>
      <c r="CT29" s="7410"/>
      <c r="CU29" s="7410"/>
      <c r="CV29" s="7410"/>
      <c r="CW29" s="7410"/>
      <c r="CX29" s="7410"/>
      <c r="CY29" s="7410"/>
      <c r="CZ29" s="7410"/>
      <c r="DA29" s="7410"/>
      <c r="DB29" s="7410"/>
      <c r="DC29" s="7357"/>
    </row>
    <row r="30" spans="1:107" s="1780" customFormat="1" ht="15" customHeight="1">
      <c r="A30" s="17035"/>
      <c r="B30" s="17038"/>
      <c r="C30" s="17038"/>
      <c r="D30" s="17038"/>
      <c r="E30" s="17038"/>
      <c r="F30" s="17038"/>
      <c r="G30" s="17038"/>
      <c r="H30" s="17038"/>
      <c r="I30" s="17038"/>
      <c r="J30" s="17038"/>
      <c r="K30" s="17038"/>
      <c r="L30" s="17038"/>
      <c r="M30" s="17038"/>
      <c r="N30" s="17038"/>
      <c r="O30" s="17038"/>
      <c r="P30" s="17038"/>
      <c r="Q30" s="17041"/>
      <c r="R30" s="17005"/>
      <c r="S30" s="16993"/>
      <c r="T30" s="16993"/>
      <c r="U30" s="16993"/>
      <c r="V30" s="16993"/>
      <c r="W30" s="16993"/>
      <c r="X30" s="16515"/>
      <c r="Y30" s="16515"/>
      <c r="Z30" s="16515"/>
      <c r="AA30" s="16515"/>
      <c r="AB30" s="16515"/>
      <c r="AC30" s="16515"/>
      <c r="AD30" s="16515"/>
      <c r="AE30" s="16515"/>
      <c r="AF30" s="16515"/>
      <c r="AG30" s="16515"/>
      <c r="AH30" s="16515"/>
      <c r="AI30" s="16993"/>
      <c r="AJ30" s="16993"/>
      <c r="AK30" s="16998"/>
      <c r="AL30" s="16993"/>
      <c r="AM30" s="16993"/>
      <c r="AN30" s="16993"/>
      <c r="AO30" s="16993"/>
      <c r="AP30" s="16515"/>
      <c r="AQ30" s="16515"/>
      <c r="AR30" s="16515"/>
      <c r="AS30" s="16515"/>
      <c r="AT30" s="16515"/>
      <c r="AU30" s="16515"/>
      <c r="AV30" s="16515"/>
      <c r="AW30" s="16515"/>
      <c r="AX30" s="16515"/>
      <c r="AY30" s="16515"/>
      <c r="AZ30" s="16993"/>
      <c r="BA30" s="7423" t="s">
        <v>10311</v>
      </c>
      <c r="BB30" s="16993"/>
      <c r="BC30" s="2727"/>
      <c r="BD30" s="16993"/>
      <c r="BE30" s="16993"/>
      <c r="BF30" s="16993"/>
      <c r="BG30" s="16993"/>
      <c r="BH30" s="17003"/>
      <c r="BI30" s="3451"/>
      <c r="BJ30" s="7416"/>
      <c r="BK30" s="7410"/>
      <c r="BL30" s="7410"/>
      <c r="BM30" s="7410"/>
      <c r="BN30" s="7410"/>
      <c r="BO30" s="7410"/>
      <c r="BP30" s="7410"/>
      <c r="BQ30" s="7410"/>
      <c r="BR30" s="7410"/>
      <c r="BS30" s="7410"/>
      <c r="BT30" s="7410"/>
      <c r="BU30" s="7410"/>
      <c r="BV30" s="7410"/>
      <c r="BW30" s="7410"/>
      <c r="BX30" s="7410"/>
      <c r="BY30" s="7410"/>
      <c r="BZ30" s="7410"/>
      <c r="CA30" s="7410"/>
      <c r="CB30" s="7410"/>
      <c r="CC30" s="7410"/>
      <c r="CD30" s="7410"/>
      <c r="CE30" s="7410"/>
      <c r="CF30" s="7410"/>
      <c r="CG30" s="7410"/>
      <c r="CH30" s="7410"/>
      <c r="CI30" s="7410"/>
      <c r="CJ30" s="7410"/>
      <c r="CK30" s="7410"/>
      <c r="CL30" s="7410"/>
      <c r="CM30" s="7410"/>
      <c r="CN30" s="7410"/>
      <c r="CO30" s="7410"/>
      <c r="CP30" s="7410"/>
      <c r="CQ30" s="7410"/>
      <c r="CR30" s="7410"/>
      <c r="CS30" s="7410"/>
      <c r="CT30" s="7410"/>
      <c r="CU30" s="7410"/>
      <c r="CV30" s="7410"/>
      <c r="CW30" s="7410"/>
      <c r="CX30" s="7410"/>
      <c r="CY30" s="7410"/>
      <c r="CZ30" s="7410"/>
      <c r="DA30" s="7410"/>
      <c r="DB30" s="7410"/>
      <c r="DC30" s="7357"/>
    </row>
    <row r="31" spans="1:107" s="1780" customFormat="1" ht="15" customHeight="1">
      <c r="A31" s="17035"/>
      <c r="B31" s="17038"/>
      <c r="C31" s="17038"/>
      <c r="D31" s="17038"/>
      <c r="E31" s="17038"/>
      <c r="F31" s="17038"/>
      <c r="G31" s="17038"/>
      <c r="H31" s="17038"/>
      <c r="I31" s="17038"/>
      <c r="J31" s="17038"/>
      <c r="K31" s="17038"/>
      <c r="L31" s="17038"/>
      <c r="M31" s="17038"/>
      <c r="N31" s="17038"/>
      <c r="O31" s="17038"/>
      <c r="P31" s="17038"/>
      <c r="Q31" s="17041"/>
      <c r="R31" s="17005"/>
      <c r="S31" s="16993"/>
      <c r="T31" s="16993"/>
      <c r="U31" s="16993"/>
      <c r="V31" s="16993"/>
      <c r="W31" s="16993"/>
      <c r="X31" s="16515"/>
      <c r="Y31" s="16515"/>
      <c r="Z31" s="16515"/>
      <c r="AA31" s="16515"/>
      <c r="AB31" s="16515"/>
      <c r="AC31" s="16515"/>
      <c r="AD31" s="16515"/>
      <c r="AE31" s="16515"/>
      <c r="AF31" s="16515"/>
      <c r="AG31" s="16515"/>
      <c r="AH31" s="16515"/>
      <c r="AI31" s="16993"/>
      <c r="AJ31" s="16993"/>
      <c r="AK31" s="16998"/>
      <c r="AL31" s="16993"/>
      <c r="AM31" s="16993"/>
      <c r="AN31" s="16993"/>
      <c r="AO31" s="16993"/>
      <c r="AP31" s="16515"/>
      <c r="AQ31" s="16515"/>
      <c r="AR31" s="16515"/>
      <c r="AS31" s="16515"/>
      <c r="AT31" s="16515"/>
      <c r="AU31" s="16515"/>
      <c r="AV31" s="16515"/>
      <c r="AW31" s="16515"/>
      <c r="AX31" s="16515"/>
      <c r="AY31" s="16515"/>
      <c r="AZ31" s="16993"/>
      <c r="BA31" s="7423" t="s">
        <v>218</v>
      </c>
      <c r="BB31" s="16993"/>
      <c r="BC31" s="2727"/>
      <c r="BD31" s="16993"/>
      <c r="BE31" s="16993"/>
      <c r="BF31" s="16993"/>
      <c r="BG31" s="16993"/>
      <c r="BH31" s="17003"/>
      <c r="BI31" s="3451"/>
      <c r="BJ31" s="7416"/>
      <c r="BK31" s="7410"/>
      <c r="BL31" s="7410"/>
      <c r="BM31" s="7410"/>
      <c r="BN31" s="7410"/>
      <c r="BO31" s="7410"/>
      <c r="BP31" s="7410"/>
      <c r="BQ31" s="7410"/>
      <c r="BR31" s="7410"/>
      <c r="BS31" s="7410"/>
      <c r="BT31" s="7410"/>
      <c r="BU31" s="7410"/>
      <c r="BV31" s="7410"/>
      <c r="BW31" s="7410"/>
      <c r="BX31" s="7410"/>
      <c r="BY31" s="7410"/>
      <c r="BZ31" s="7410"/>
      <c r="CA31" s="7410"/>
      <c r="CB31" s="7410"/>
      <c r="CC31" s="7410"/>
      <c r="CD31" s="7410"/>
      <c r="CE31" s="7410"/>
      <c r="CF31" s="7410"/>
      <c r="CG31" s="7410"/>
      <c r="CH31" s="7410"/>
      <c r="CI31" s="7410"/>
      <c r="CJ31" s="7410"/>
      <c r="CK31" s="7410"/>
      <c r="CL31" s="7410"/>
      <c r="CM31" s="7410"/>
      <c r="CN31" s="7410"/>
      <c r="CO31" s="7410"/>
      <c r="CP31" s="7410"/>
      <c r="CQ31" s="7410"/>
      <c r="CR31" s="7410"/>
      <c r="CS31" s="7410"/>
      <c r="CT31" s="7410"/>
      <c r="CU31" s="7410"/>
      <c r="CV31" s="7410"/>
      <c r="CW31" s="7410"/>
      <c r="CX31" s="7410"/>
      <c r="CY31" s="7410"/>
      <c r="CZ31" s="7410"/>
      <c r="DA31" s="7410"/>
      <c r="DB31" s="7410"/>
      <c r="DC31" s="7357"/>
    </row>
    <row r="32" spans="1:107" s="1780" customFormat="1" ht="15" customHeight="1">
      <c r="A32" s="17035"/>
      <c r="B32" s="17038"/>
      <c r="C32" s="17038"/>
      <c r="D32" s="17038"/>
      <c r="E32" s="17038"/>
      <c r="F32" s="17038"/>
      <c r="G32" s="17038"/>
      <c r="H32" s="17038"/>
      <c r="I32" s="17038"/>
      <c r="J32" s="17038"/>
      <c r="K32" s="17038"/>
      <c r="L32" s="17038"/>
      <c r="M32" s="17038"/>
      <c r="N32" s="17038"/>
      <c r="O32" s="17038"/>
      <c r="P32" s="17038"/>
      <c r="Q32" s="17041"/>
      <c r="R32" s="17005"/>
      <c r="S32" s="16993"/>
      <c r="T32" s="16993"/>
      <c r="U32" s="16993"/>
      <c r="V32" s="16993"/>
      <c r="W32" s="16993"/>
      <c r="X32" s="16515"/>
      <c r="Y32" s="16515"/>
      <c r="Z32" s="16515"/>
      <c r="AA32" s="16515"/>
      <c r="AB32" s="16515"/>
      <c r="AC32" s="16515"/>
      <c r="AD32" s="16515"/>
      <c r="AE32" s="16515"/>
      <c r="AF32" s="16515"/>
      <c r="AG32" s="16515"/>
      <c r="AH32" s="16515"/>
      <c r="AI32" s="16993"/>
      <c r="AJ32" s="16993"/>
      <c r="AK32" s="16998"/>
      <c r="AL32" s="16993"/>
      <c r="AM32" s="16993"/>
      <c r="AN32" s="16993"/>
      <c r="AO32" s="16993"/>
      <c r="AP32" s="16515"/>
      <c r="AQ32" s="16515"/>
      <c r="AR32" s="16515"/>
      <c r="AS32" s="16515"/>
      <c r="AT32" s="16515"/>
      <c r="AU32" s="16515"/>
      <c r="AV32" s="16515"/>
      <c r="AW32" s="16515"/>
      <c r="AX32" s="16515"/>
      <c r="AY32" s="16515"/>
      <c r="AZ32" s="16993"/>
      <c r="BA32" s="7423" t="s">
        <v>10063</v>
      </c>
      <c r="BB32" s="16993"/>
      <c r="BC32" s="2727"/>
      <c r="BD32" s="16993"/>
      <c r="BE32" s="16993"/>
      <c r="BF32" s="16993"/>
      <c r="BG32" s="16993"/>
      <c r="BH32" s="17003"/>
      <c r="BI32" s="3451"/>
      <c r="BJ32" s="7416"/>
      <c r="BK32" s="7410"/>
      <c r="BL32" s="7410"/>
      <c r="BM32" s="7410"/>
      <c r="BN32" s="7410"/>
      <c r="BO32" s="7410"/>
      <c r="BP32" s="7410"/>
      <c r="BQ32" s="7410"/>
      <c r="BR32" s="7410"/>
      <c r="BS32" s="7410"/>
      <c r="BT32" s="7410"/>
      <c r="BU32" s="7410"/>
      <c r="BV32" s="7410"/>
      <c r="BW32" s="7410"/>
      <c r="BX32" s="7410"/>
      <c r="BY32" s="7410"/>
      <c r="BZ32" s="7410"/>
      <c r="CA32" s="7410"/>
      <c r="CB32" s="7410"/>
      <c r="CC32" s="7410"/>
      <c r="CD32" s="7410"/>
      <c r="CE32" s="7410"/>
      <c r="CF32" s="7410"/>
      <c r="CG32" s="7410"/>
      <c r="CH32" s="7410"/>
      <c r="CI32" s="7410"/>
      <c r="CJ32" s="7410"/>
      <c r="CK32" s="7410"/>
      <c r="CL32" s="7410"/>
      <c r="CM32" s="7410"/>
      <c r="CN32" s="7410"/>
      <c r="CO32" s="7410"/>
      <c r="CP32" s="7410"/>
      <c r="CQ32" s="7410"/>
      <c r="CR32" s="7410"/>
      <c r="CS32" s="7410"/>
      <c r="CT32" s="7410"/>
      <c r="CU32" s="7410"/>
      <c r="CV32" s="7410"/>
      <c r="CW32" s="7410"/>
      <c r="CX32" s="7410"/>
      <c r="CY32" s="7410"/>
      <c r="CZ32" s="7410"/>
      <c r="DA32" s="7410"/>
      <c r="DB32" s="7410"/>
      <c r="DC32" s="7357"/>
    </row>
    <row r="33" spans="1:107" s="1780" customFormat="1" ht="15" customHeight="1">
      <c r="A33" s="17035"/>
      <c r="B33" s="17038"/>
      <c r="C33" s="17038"/>
      <c r="D33" s="17038"/>
      <c r="E33" s="17038"/>
      <c r="F33" s="17038"/>
      <c r="G33" s="17038"/>
      <c r="H33" s="17038"/>
      <c r="I33" s="17038"/>
      <c r="J33" s="17038"/>
      <c r="K33" s="17038"/>
      <c r="L33" s="17038"/>
      <c r="M33" s="17038"/>
      <c r="N33" s="17038"/>
      <c r="O33" s="17038"/>
      <c r="P33" s="17038"/>
      <c r="Q33" s="17041"/>
      <c r="R33" s="17005"/>
      <c r="S33" s="16993"/>
      <c r="T33" s="16993"/>
      <c r="U33" s="16993"/>
      <c r="V33" s="16993"/>
      <c r="W33" s="16993"/>
      <c r="X33" s="16515"/>
      <c r="Y33" s="16515"/>
      <c r="Z33" s="16515"/>
      <c r="AA33" s="16515"/>
      <c r="AB33" s="16515"/>
      <c r="AC33" s="16515"/>
      <c r="AD33" s="16515"/>
      <c r="AE33" s="16515"/>
      <c r="AF33" s="16515"/>
      <c r="AG33" s="16515"/>
      <c r="AH33" s="16515"/>
      <c r="AI33" s="16993"/>
      <c r="AJ33" s="16993"/>
      <c r="AK33" s="16998"/>
      <c r="AL33" s="16993"/>
      <c r="AM33" s="16993"/>
      <c r="AN33" s="16993"/>
      <c r="AO33" s="16993"/>
      <c r="AP33" s="16515"/>
      <c r="AQ33" s="16515"/>
      <c r="AR33" s="16515"/>
      <c r="AS33" s="16515"/>
      <c r="AT33" s="16515"/>
      <c r="AU33" s="16515"/>
      <c r="AV33" s="16515"/>
      <c r="AW33" s="16515"/>
      <c r="AX33" s="16515"/>
      <c r="AY33" s="16515"/>
      <c r="AZ33" s="16993"/>
      <c r="BA33" s="7423" t="s">
        <v>10302</v>
      </c>
      <c r="BB33" s="16993"/>
      <c r="BC33" s="2727"/>
      <c r="BD33" s="16993"/>
      <c r="BE33" s="16993"/>
      <c r="BF33" s="16993"/>
      <c r="BG33" s="16993"/>
      <c r="BH33" s="17003"/>
      <c r="BI33" s="3451"/>
      <c r="BJ33" s="7416"/>
      <c r="BK33" s="7410"/>
      <c r="BL33" s="7410"/>
      <c r="BM33" s="7410"/>
      <c r="BN33" s="7410"/>
      <c r="BO33" s="7410"/>
      <c r="BP33" s="7410"/>
      <c r="BQ33" s="7410"/>
      <c r="BR33" s="7410"/>
      <c r="BS33" s="7410"/>
      <c r="BT33" s="7410"/>
      <c r="BU33" s="7410"/>
      <c r="BV33" s="7410"/>
      <c r="BW33" s="7410"/>
      <c r="BX33" s="7410"/>
      <c r="BY33" s="7410"/>
      <c r="BZ33" s="7410"/>
      <c r="CA33" s="7410"/>
      <c r="CB33" s="7410"/>
      <c r="CC33" s="7410"/>
      <c r="CD33" s="7410"/>
      <c r="CE33" s="7410"/>
      <c r="CF33" s="7410"/>
      <c r="CG33" s="7410"/>
      <c r="CH33" s="7410"/>
      <c r="CI33" s="7410"/>
      <c r="CJ33" s="7410"/>
      <c r="CK33" s="7410"/>
      <c r="CL33" s="7410"/>
      <c r="CM33" s="7410"/>
      <c r="CN33" s="7410"/>
      <c r="CO33" s="7410"/>
      <c r="CP33" s="7410"/>
      <c r="CQ33" s="7410"/>
      <c r="CR33" s="7410"/>
      <c r="CS33" s="7410"/>
      <c r="CT33" s="7410"/>
      <c r="CU33" s="7410"/>
      <c r="CV33" s="7410"/>
      <c r="CW33" s="7410"/>
      <c r="CX33" s="7410"/>
      <c r="CY33" s="7410"/>
      <c r="CZ33" s="7410"/>
      <c r="DA33" s="7410"/>
      <c r="DB33" s="7410"/>
      <c r="DC33" s="7357"/>
    </row>
    <row r="34" spans="1:107" s="1780" customFormat="1" ht="15" customHeight="1">
      <c r="A34" s="17035"/>
      <c r="B34" s="17038"/>
      <c r="C34" s="17038"/>
      <c r="D34" s="17038"/>
      <c r="E34" s="17038"/>
      <c r="F34" s="17038"/>
      <c r="G34" s="17038"/>
      <c r="H34" s="17038"/>
      <c r="I34" s="17038"/>
      <c r="J34" s="17038"/>
      <c r="K34" s="17038"/>
      <c r="L34" s="17038"/>
      <c r="M34" s="17038"/>
      <c r="N34" s="17038"/>
      <c r="O34" s="17038"/>
      <c r="P34" s="17038"/>
      <c r="Q34" s="17041"/>
      <c r="R34" s="17005"/>
      <c r="S34" s="16993"/>
      <c r="T34" s="16993"/>
      <c r="U34" s="16993"/>
      <c r="V34" s="16993"/>
      <c r="W34" s="16993"/>
      <c r="X34" s="16515"/>
      <c r="Y34" s="16515"/>
      <c r="Z34" s="16515"/>
      <c r="AA34" s="16515"/>
      <c r="AB34" s="16515"/>
      <c r="AC34" s="16515"/>
      <c r="AD34" s="16515"/>
      <c r="AE34" s="16515"/>
      <c r="AF34" s="16515"/>
      <c r="AG34" s="16515"/>
      <c r="AH34" s="16515"/>
      <c r="AI34" s="16993"/>
      <c r="AJ34" s="16993"/>
      <c r="AK34" s="16998"/>
      <c r="AL34" s="16993"/>
      <c r="AM34" s="16993"/>
      <c r="AN34" s="16993"/>
      <c r="AO34" s="16993"/>
      <c r="AP34" s="16515"/>
      <c r="AQ34" s="16515"/>
      <c r="AR34" s="16515"/>
      <c r="AS34" s="16515"/>
      <c r="AT34" s="16515"/>
      <c r="AU34" s="16515"/>
      <c r="AV34" s="16515"/>
      <c r="AW34" s="16515"/>
      <c r="AX34" s="16515"/>
      <c r="AY34" s="16515"/>
      <c r="AZ34" s="16993"/>
      <c r="BA34" s="7423" t="s">
        <v>86</v>
      </c>
      <c r="BB34" s="16993"/>
      <c r="BC34" s="2727"/>
      <c r="BD34" s="16993"/>
      <c r="BE34" s="16993"/>
      <c r="BF34" s="16993"/>
      <c r="BG34" s="16993"/>
      <c r="BH34" s="17003"/>
      <c r="BI34" s="3451"/>
      <c r="BJ34" s="7416"/>
      <c r="BK34" s="7410"/>
      <c r="BL34" s="7410"/>
      <c r="BM34" s="7410"/>
      <c r="BN34" s="7410"/>
      <c r="BO34" s="7410"/>
      <c r="BP34" s="7410"/>
      <c r="BQ34" s="7410"/>
      <c r="BR34" s="7410"/>
      <c r="BS34" s="7410"/>
      <c r="BT34" s="7410"/>
      <c r="BU34" s="7410"/>
      <c r="BV34" s="7410"/>
      <c r="BW34" s="7410"/>
      <c r="BX34" s="7410"/>
      <c r="BY34" s="7410"/>
      <c r="BZ34" s="7410"/>
      <c r="CA34" s="7410"/>
      <c r="CB34" s="7410"/>
      <c r="CC34" s="7410"/>
      <c r="CD34" s="7410"/>
      <c r="CE34" s="7410"/>
      <c r="CF34" s="7410"/>
      <c r="CG34" s="7410"/>
      <c r="CH34" s="7410"/>
      <c r="CI34" s="7410"/>
      <c r="CJ34" s="7410"/>
      <c r="CK34" s="7410"/>
      <c r="CL34" s="7410"/>
      <c r="CM34" s="7410"/>
      <c r="CN34" s="7410"/>
      <c r="CO34" s="7410"/>
      <c r="CP34" s="7410"/>
      <c r="CQ34" s="7410"/>
      <c r="CR34" s="7410"/>
      <c r="CS34" s="7410"/>
      <c r="CT34" s="7410"/>
      <c r="CU34" s="7410"/>
      <c r="CV34" s="7410"/>
      <c r="CW34" s="7410"/>
      <c r="CX34" s="7410"/>
      <c r="CY34" s="7410"/>
      <c r="CZ34" s="7410"/>
      <c r="DA34" s="7410"/>
      <c r="DB34" s="7410"/>
      <c r="DC34" s="7357"/>
    </row>
    <row r="35" spans="1:107" s="1780" customFormat="1" ht="15" customHeight="1">
      <c r="A35" s="17035"/>
      <c r="B35" s="17038"/>
      <c r="C35" s="17038"/>
      <c r="D35" s="17038"/>
      <c r="E35" s="17038"/>
      <c r="F35" s="17038"/>
      <c r="G35" s="17038"/>
      <c r="H35" s="17038"/>
      <c r="I35" s="17038"/>
      <c r="J35" s="17038"/>
      <c r="K35" s="17038"/>
      <c r="L35" s="17038"/>
      <c r="M35" s="17038"/>
      <c r="N35" s="17038"/>
      <c r="O35" s="17038"/>
      <c r="P35" s="17038"/>
      <c r="Q35" s="17041"/>
      <c r="R35" s="17005"/>
      <c r="S35" s="16993"/>
      <c r="T35" s="16993"/>
      <c r="U35" s="16993"/>
      <c r="V35" s="16993"/>
      <c r="W35" s="16993"/>
      <c r="X35" s="16515"/>
      <c r="Y35" s="16515"/>
      <c r="Z35" s="16515"/>
      <c r="AA35" s="16515"/>
      <c r="AB35" s="16515"/>
      <c r="AC35" s="16515"/>
      <c r="AD35" s="16515"/>
      <c r="AE35" s="16515"/>
      <c r="AF35" s="16515"/>
      <c r="AG35" s="16515"/>
      <c r="AH35" s="16515"/>
      <c r="AI35" s="16993"/>
      <c r="AJ35" s="2727" t="s">
        <v>8331</v>
      </c>
      <c r="AK35" s="2560" t="s">
        <v>6851</v>
      </c>
      <c r="AL35" s="2727" t="s">
        <v>6852</v>
      </c>
      <c r="AM35" s="2727" t="s">
        <v>6796</v>
      </c>
      <c r="AN35" s="2727">
        <v>0</v>
      </c>
      <c r="AO35" s="2727">
        <v>1</v>
      </c>
      <c r="AP35" s="2727">
        <v>1</v>
      </c>
      <c r="AQ35" s="2727">
        <v>1</v>
      </c>
      <c r="AR35" s="2727">
        <v>1</v>
      </c>
      <c r="AS35" s="2727">
        <v>1</v>
      </c>
      <c r="AT35" s="2727">
        <v>1</v>
      </c>
      <c r="AU35" s="2727">
        <v>1</v>
      </c>
      <c r="AV35" s="2727">
        <v>1</v>
      </c>
      <c r="AW35" s="2727">
        <v>1</v>
      </c>
      <c r="AX35" s="2727">
        <v>1</v>
      </c>
      <c r="AY35" s="2727">
        <v>10</v>
      </c>
      <c r="AZ35" s="2727" t="s">
        <v>6853</v>
      </c>
      <c r="BA35" s="7423" t="s">
        <v>2896</v>
      </c>
      <c r="BB35" s="2727" t="s">
        <v>6854</v>
      </c>
      <c r="BC35" s="2727"/>
      <c r="BD35" s="2727" t="s">
        <v>6855</v>
      </c>
      <c r="BE35" s="7356"/>
      <c r="BF35" s="7356"/>
      <c r="BG35" s="7356"/>
      <c r="BH35" s="7384" t="s">
        <v>6855</v>
      </c>
      <c r="BI35" s="3451"/>
      <c r="BJ35" s="3772"/>
      <c r="BK35" s="3471"/>
      <c r="BL35" s="3471"/>
      <c r="BM35" s="3471"/>
      <c r="BN35" s="3471"/>
      <c r="BO35" s="3471"/>
      <c r="BP35" s="3471"/>
      <c r="BQ35" s="3471"/>
      <c r="BR35" s="3471"/>
      <c r="BS35" s="3471"/>
      <c r="BT35" s="3471"/>
      <c r="BU35" s="3471"/>
      <c r="BV35" s="3471"/>
      <c r="BW35" s="3471"/>
      <c r="BX35" s="3471"/>
      <c r="BY35" s="3471"/>
      <c r="BZ35" s="3471"/>
      <c r="CA35" s="3471"/>
      <c r="CB35" s="3471"/>
      <c r="CC35" s="3471"/>
      <c r="CD35" s="3471"/>
      <c r="CE35" s="3471"/>
      <c r="CF35" s="3471"/>
      <c r="CG35" s="3471"/>
      <c r="CH35" s="3471"/>
      <c r="CI35" s="3471"/>
      <c r="CJ35" s="3471"/>
      <c r="CK35" s="3471"/>
      <c r="CL35" s="3471"/>
      <c r="CM35" s="3471"/>
      <c r="CN35" s="3471"/>
      <c r="CO35" s="3471"/>
      <c r="CP35" s="3471"/>
      <c r="CQ35" s="3471"/>
      <c r="CR35" s="3471"/>
      <c r="CS35" s="3471"/>
      <c r="CT35" s="3471"/>
      <c r="CU35" s="3471"/>
      <c r="CV35" s="3471"/>
      <c r="CW35" s="3471"/>
      <c r="CX35" s="3471"/>
      <c r="CY35" s="3471"/>
      <c r="CZ35" s="3471"/>
      <c r="DA35" s="3471"/>
      <c r="DB35" s="3471"/>
      <c r="DC35" s="2054"/>
    </row>
    <row r="36" spans="1:107" s="1780" customFormat="1" ht="15" customHeight="1">
      <c r="A36" s="17035"/>
      <c r="B36" s="17038"/>
      <c r="C36" s="17038"/>
      <c r="D36" s="17038"/>
      <c r="E36" s="17038"/>
      <c r="F36" s="17038"/>
      <c r="G36" s="17038"/>
      <c r="H36" s="17038"/>
      <c r="I36" s="17038"/>
      <c r="J36" s="17038"/>
      <c r="K36" s="17038"/>
      <c r="L36" s="17038"/>
      <c r="M36" s="17038"/>
      <c r="N36" s="17038"/>
      <c r="O36" s="17038"/>
      <c r="P36" s="17038"/>
      <c r="Q36" s="17041"/>
      <c r="R36" s="17005"/>
      <c r="S36" s="16993"/>
      <c r="T36" s="16993"/>
      <c r="U36" s="16993"/>
      <c r="V36" s="16993"/>
      <c r="W36" s="16993"/>
      <c r="X36" s="16515"/>
      <c r="Y36" s="16515"/>
      <c r="Z36" s="16515"/>
      <c r="AA36" s="16515"/>
      <c r="AB36" s="16515"/>
      <c r="AC36" s="16515"/>
      <c r="AD36" s="16515"/>
      <c r="AE36" s="16515"/>
      <c r="AF36" s="16515"/>
      <c r="AG36" s="16515"/>
      <c r="AH36" s="16515"/>
      <c r="AI36" s="16993"/>
      <c r="AJ36" s="16993" t="s">
        <v>8332</v>
      </c>
      <c r="AK36" s="16993" t="s">
        <v>6856</v>
      </c>
      <c r="AL36" s="16993" t="s">
        <v>6857</v>
      </c>
      <c r="AM36" s="16993" t="s">
        <v>6785</v>
      </c>
      <c r="AN36" s="16993">
        <v>2</v>
      </c>
      <c r="AO36" s="16993">
        <v>2</v>
      </c>
      <c r="AP36" s="16993">
        <v>2</v>
      </c>
      <c r="AQ36" s="16993">
        <v>2</v>
      </c>
      <c r="AR36" s="16993">
        <v>2</v>
      </c>
      <c r="AS36" s="16993">
        <v>2</v>
      </c>
      <c r="AT36" s="16993">
        <v>2</v>
      </c>
      <c r="AU36" s="16993">
        <v>2</v>
      </c>
      <c r="AV36" s="16993">
        <v>2</v>
      </c>
      <c r="AW36" s="16993">
        <v>2</v>
      </c>
      <c r="AX36" s="16993">
        <v>2</v>
      </c>
      <c r="AY36" s="16993">
        <v>20</v>
      </c>
      <c r="AZ36" s="16993" t="s">
        <v>6817</v>
      </c>
      <c r="BA36" s="7423" t="s">
        <v>10063</v>
      </c>
      <c r="BB36" s="16993" t="s">
        <v>6858</v>
      </c>
      <c r="BC36" s="2727"/>
      <c r="BD36" s="2727" t="s">
        <v>6859</v>
      </c>
      <c r="BE36" s="2727" t="s">
        <v>6837</v>
      </c>
      <c r="BF36" s="2727" t="s">
        <v>6838</v>
      </c>
      <c r="BG36" s="2727" t="s">
        <v>6839</v>
      </c>
      <c r="BH36" s="7384" t="s">
        <v>6860</v>
      </c>
      <c r="BI36" s="3451"/>
      <c r="BJ36" s="3772"/>
      <c r="BK36" s="3471"/>
      <c r="BL36" s="3471"/>
      <c r="BM36" s="3471"/>
      <c r="BN36" s="3471"/>
      <c r="BO36" s="3471"/>
      <c r="BP36" s="3471"/>
      <c r="BQ36" s="3471"/>
      <c r="BR36" s="3471"/>
      <c r="BS36" s="3471"/>
      <c r="BT36" s="3471"/>
      <c r="BU36" s="3471"/>
      <c r="BV36" s="3471"/>
      <c r="BW36" s="3471"/>
      <c r="BX36" s="3471"/>
      <c r="BY36" s="3471"/>
      <c r="BZ36" s="3471"/>
      <c r="CA36" s="3471"/>
      <c r="CB36" s="3471"/>
      <c r="CC36" s="3471"/>
      <c r="CD36" s="3471"/>
      <c r="CE36" s="3471"/>
      <c r="CF36" s="3471"/>
      <c r="CG36" s="3471"/>
      <c r="CH36" s="3471"/>
      <c r="CI36" s="3471"/>
      <c r="CJ36" s="3471"/>
      <c r="CK36" s="3471"/>
      <c r="CL36" s="3471"/>
      <c r="CM36" s="3471"/>
      <c r="CN36" s="3471"/>
      <c r="CO36" s="3471"/>
      <c r="CP36" s="3471"/>
      <c r="CQ36" s="3471"/>
      <c r="CR36" s="3471"/>
      <c r="CS36" s="3471"/>
      <c r="CT36" s="3471"/>
      <c r="CU36" s="3471"/>
      <c r="CV36" s="3471"/>
      <c r="CW36" s="3471"/>
      <c r="CX36" s="3471"/>
      <c r="CY36" s="3471"/>
      <c r="CZ36" s="3471"/>
      <c r="DA36" s="3471"/>
      <c r="DB36" s="3471"/>
      <c r="DC36" s="2054"/>
    </row>
    <row r="37" spans="1:107" s="1780" customFormat="1" ht="15" customHeight="1">
      <c r="A37" s="17035"/>
      <c r="B37" s="17038"/>
      <c r="C37" s="17038"/>
      <c r="D37" s="17038"/>
      <c r="E37" s="17038"/>
      <c r="F37" s="17038"/>
      <c r="G37" s="17038"/>
      <c r="H37" s="17038"/>
      <c r="I37" s="17038"/>
      <c r="J37" s="17038"/>
      <c r="K37" s="17038"/>
      <c r="L37" s="17038"/>
      <c r="M37" s="17038"/>
      <c r="N37" s="17038"/>
      <c r="O37" s="17038"/>
      <c r="P37" s="17038"/>
      <c r="Q37" s="17041"/>
      <c r="R37" s="17005"/>
      <c r="S37" s="16993"/>
      <c r="T37" s="16993"/>
      <c r="U37" s="16993"/>
      <c r="V37" s="16993"/>
      <c r="W37" s="16993"/>
      <c r="X37" s="16515"/>
      <c r="Y37" s="16515"/>
      <c r="Z37" s="16515"/>
      <c r="AA37" s="16515"/>
      <c r="AB37" s="16515"/>
      <c r="AC37" s="16515"/>
      <c r="AD37" s="16515"/>
      <c r="AE37" s="16515"/>
      <c r="AF37" s="16515"/>
      <c r="AG37" s="16515"/>
      <c r="AH37" s="16515"/>
      <c r="AI37" s="16993"/>
      <c r="AJ37" s="16993"/>
      <c r="AK37" s="16993"/>
      <c r="AL37" s="16993"/>
      <c r="AM37" s="16993"/>
      <c r="AN37" s="16993"/>
      <c r="AO37" s="16993"/>
      <c r="AP37" s="16993"/>
      <c r="AQ37" s="16993"/>
      <c r="AR37" s="16993"/>
      <c r="AS37" s="16993"/>
      <c r="AT37" s="16993"/>
      <c r="AU37" s="16993"/>
      <c r="AV37" s="16993"/>
      <c r="AW37" s="16993"/>
      <c r="AX37" s="16993"/>
      <c r="AY37" s="16993"/>
      <c r="AZ37" s="16993"/>
      <c r="BA37" s="7423" t="s">
        <v>10066</v>
      </c>
      <c r="BB37" s="16993"/>
      <c r="BC37" s="2727"/>
      <c r="BD37" s="2727"/>
      <c r="BE37" s="2727"/>
      <c r="BF37" s="2727"/>
      <c r="BG37" s="2727"/>
      <c r="BH37" s="7384"/>
      <c r="BI37" s="3451"/>
      <c r="BJ37" s="3772"/>
      <c r="BK37" s="3471"/>
      <c r="BL37" s="3471"/>
      <c r="BM37" s="3471"/>
      <c r="BN37" s="3471"/>
      <c r="BO37" s="3471"/>
      <c r="BP37" s="3471"/>
      <c r="BQ37" s="3471"/>
      <c r="BR37" s="3471"/>
      <c r="BS37" s="3471"/>
      <c r="BT37" s="3471"/>
      <c r="BU37" s="3471"/>
      <c r="BV37" s="3471"/>
      <c r="BW37" s="3471"/>
      <c r="BX37" s="3471"/>
      <c r="BY37" s="3471"/>
      <c r="BZ37" s="3471"/>
      <c r="CA37" s="3471"/>
      <c r="CB37" s="3471"/>
      <c r="CC37" s="3471"/>
      <c r="CD37" s="3471"/>
      <c r="CE37" s="3471"/>
      <c r="CF37" s="3471"/>
      <c r="CG37" s="3471"/>
      <c r="CH37" s="3471"/>
      <c r="CI37" s="3471"/>
      <c r="CJ37" s="3471"/>
      <c r="CK37" s="3471"/>
      <c r="CL37" s="3471"/>
      <c r="CM37" s="3471"/>
      <c r="CN37" s="3471"/>
      <c r="CO37" s="3471"/>
      <c r="CP37" s="3471"/>
      <c r="CQ37" s="3471"/>
      <c r="CR37" s="3471"/>
      <c r="CS37" s="3471"/>
      <c r="CT37" s="3471"/>
      <c r="CU37" s="3471"/>
      <c r="CV37" s="3471"/>
      <c r="CW37" s="3471"/>
      <c r="CX37" s="3471"/>
      <c r="CY37" s="3471"/>
      <c r="CZ37" s="3471"/>
      <c r="DA37" s="3471"/>
      <c r="DB37" s="3471"/>
      <c r="DC37" s="2054"/>
    </row>
    <row r="38" spans="1:107" s="1780" customFormat="1" ht="15" customHeight="1">
      <c r="A38" s="17035"/>
      <c r="B38" s="17038"/>
      <c r="C38" s="17038"/>
      <c r="D38" s="17038"/>
      <c r="E38" s="17038"/>
      <c r="F38" s="17038"/>
      <c r="G38" s="17038"/>
      <c r="H38" s="17038"/>
      <c r="I38" s="17038"/>
      <c r="J38" s="17038"/>
      <c r="K38" s="17038"/>
      <c r="L38" s="17038"/>
      <c r="M38" s="17038"/>
      <c r="N38" s="17038"/>
      <c r="O38" s="17038"/>
      <c r="P38" s="17038"/>
      <c r="Q38" s="17041"/>
      <c r="R38" s="17005"/>
      <c r="S38" s="16993"/>
      <c r="T38" s="16993"/>
      <c r="U38" s="16993"/>
      <c r="V38" s="16993"/>
      <c r="W38" s="16993"/>
      <c r="X38" s="16515"/>
      <c r="Y38" s="16515"/>
      <c r="Z38" s="16515"/>
      <c r="AA38" s="16515"/>
      <c r="AB38" s="16515"/>
      <c r="AC38" s="16515"/>
      <c r="AD38" s="16515"/>
      <c r="AE38" s="16515"/>
      <c r="AF38" s="16515"/>
      <c r="AG38" s="16515"/>
      <c r="AH38" s="16515"/>
      <c r="AI38" s="16993"/>
      <c r="AJ38" s="16993"/>
      <c r="AK38" s="16993"/>
      <c r="AL38" s="16993"/>
      <c r="AM38" s="16993"/>
      <c r="AN38" s="16993"/>
      <c r="AO38" s="16993"/>
      <c r="AP38" s="16993"/>
      <c r="AQ38" s="16993"/>
      <c r="AR38" s="16993"/>
      <c r="AS38" s="16993"/>
      <c r="AT38" s="16993"/>
      <c r="AU38" s="16993"/>
      <c r="AV38" s="16993"/>
      <c r="AW38" s="16993"/>
      <c r="AX38" s="16993"/>
      <c r="AY38" s="16993"/>
      <c r="AZ38" s="16993"/>
      <c r="BA38" s="7423" t="s">
        <v>10290</v>
      </c>
      <c r="BB38" s="16993"/>
      <c r="BC38" s="2727"/>
      <c r="BD38" s="2727"/>
      <c r="BE38" s="2727"/>
      <c r="BF38" s="2727"/>
      <c r="BG38" s="2727"/>
      <c r="BH38" s="7384"/>
      <c r="BI38" s="3451"/>
      <c r="BJ38" s="3772"/>
      <c r="BK38" s="3471"/>
      <c r="BL38" s="3471"/>
      <c r="BM38" s="3471"/>
      <c r="BN38" s="3471"/>
      <c r="BO38" s="3471"/>
      <c r="BP38" s="3471"/>
      <c r="BQ38" s="3471"/>
      <c r="BR38" s="3471"/>
      <c r="BS38" s="3471"/>
      <c r="BT38" s="3471"/>
      <c r="BU38" s="3471"/>
      <c r="BV38" s="3471"/>
      <c r="BW38" s="3471"/>
      <c r="BX38" s="3471"/>
      <c r="BY38" s="3471"/>
      <c r="BZ38" s="3471"/>
      <c r="CA38" s="3471"/>
      <c r="CB38" s="3471"/>
      <c r="CC38" s="3471"/>
      <c r="CD38" s="3471"/>
      <c r="CE38" s="3471"/>
      <c r="CF38" s="3471"/>
      <c r="CG38" s="3471"/>
      <c r="CH38" s="3471"/>
      <c r="CI38" s="3471"/>
      <c r="CJ38" s="3471"/>
      <c r="CK38" s="3471"/>
      <c r="CL38" s="3471"/>
      <c r="CM38" s="3471"/>
      <c r="CN38" s="3471"/>
      <c r="CO38" s="3471"/>
      <c r="CP38" s="3471"/>
      <c r="CQ38" s="3471"/>
      <c r="CR38" s="3471"/>
      <c r="CS38" s="3471"/>
      <c r="CT38" s="3471"/>
      <c r="CU38" s="3471"/>
      <c r="CV38" s="3471"/>
      <c r="CW38" s="3471"/>
      <c r="CX38" s="3471"/>
      <c r="CY38" s="3471"/>
      <c r="CZ38" s="3471"/>
      <c r="DA38" s="3471"/>
      <c r="DB38" s="3471"/>
      <c r="DC38" s="2054"/>
    </row>
    <row r="39" spans="1:107" s="1780" customFormat="1" ht="15" customHeight="1">
      <c r="A39" s="17035"/>
      <c r="B39" s="17038"/>
      <c r="C39" s="17038"/>
      <c r="D39" s="17038"/>
      <c r="E39" s="17038"/>
      <c r="F39" s="17038"/>
      <c r="G39" s="17038"/>
      <c r="H39" s="17038"/>
      <c r="I39" s="17038"/>
      <c r="J39" s="17038"/>
      <c r="K39" s="17038"/>
      <c r="L39" s="17038"/>
      <c r="M39" s="17038"/>
      <c r="N39" s="17038"/>
      <c r="O39" s="17038"/>
      <c r="P39" s="17038"/>
      <c r="Q39" s="17041"/>
      <c r="R39" s="17005"/>
      <c r="S39" s="16993"/>
      <c r="T39" s="16993"/>
      <c r="U39" s="16993"/>
      <c r="V39" s="16993"/>
      <c r="W39" s="16993"/>
      <c r="X39" s="16515"/>
      <c r="Y39" s="16515"/>
      <c r="Z39" s="16515"/>
      <c r="AA39" s="16515"/>
      <c r="AB39" s="16515"/>
      <c r="AC39" s="16515"/>
      <c r="AD39" s="16515"/>
      <c r="AE39" s="16515"/>
      <c r="AF39" s="16515"/>
      <c r="AG39" s="16515"/>
      <c r="AH39" s="16515"/>
      <c r="AI39" s="16993"/>
      <c r="AJ39" s="16993"/>
      <c r="AK39" s="16993"/>
      <c r="AL39" s="16993"/>
      <c r="AM39" s="16993"/>
      <c r="AN39" s="16993"/>
      <c r="AO39" s="16993"/>
      <c r="AP39" s="16993"/>
      <c r="AQ39" s="16993"/>
      <c r="AR39" s="16993"/>
      <c r="AS39" s="16993"/>
      <c r="AT39" s="16993"/>
      <c r="AU39" s="16993"/>
      <c r="AV39" s="16993"/>
      <c r="AW39" s="16993"/>
      <c r="AX39" s="16993"/>
      <c r="AY39" s="16993"/>
      <c r="AZ39" s="16993"/>
      <c r="BA39" s="7423" t="s">
        <v>218</v>
      </c>
      <c r="BB39" s="16993"/>
      <c r="BC39" s="2727"/>
      <c r="BD39" s="2727"/>
      <c r="BE39" s="2727"/>
      <c r="BF39" s="2727"/>
      <c r="BG39" s="2727"/>
      <c r="BH39" s="7384"/>
      <c r="BI39" s="3451"/>
      <c r="BJ39" s="3772"/>
      <c r="BK39" s="3471"/>
      <c r="BL39" s="3471"/>
      <c r="BM39" s="3471"/>
      <c r="BN39" s="3471"/>
      <c r="BO39" s="3471"/>
      <c r="BP39" s="3471"/>
      <c r="BQ39" s="3471"/>
      <c r="BR39" s="3471"/>
      <c r="BS39" s="3471"/>
      <c r="BT39" s="3471"/>
      <c r="BU39" s="3471"/>
      <c r="BV39" s="3471"/>
      <c r="BW39" s="3471"/>
      <c r="BX39" s="3471"/>
      <c r="BY39" s="3471"/>
      <c r="BZ39" s="3471"/>
      <c r="CA39" s="3471"/>
      <c r="CB39" s="3471"/>
      <c r="CC39" s="3471"/>
      <c r="CD39" s="3471"/>
      <c r="CE39" s="3471"/>
      <c r="CF39" s="3471"/>
      <c r="CG39" s="3471"/>
      <c r="CH39" s="3471"/>
      <c r="CI39" s="3471"/>
      <c r="CJ39" s="3471"/>
      <c r="CK39" s="3471"/>
      <c r="CL39" s="3471"/>
      <c r="CM39" s="3471"/>
      <c r="CN39" s="3471"/>
      <c r="CO39" s="3471"/>
      <c r="CP39" s="3471"/>
      <c r="CQ39" s="3471"/>
      <c r="CR39" s="3471"/>
      <c r="CS39" s="3471"/>
      <c r="CT39" s="3471"/>
      <c r="CU39" s="3471"/>
      <c r="CV39" s="3471"/>
      <c r="CW39" s="3471"/>
      <c r="CX39" s="3471"/>
      <c r="CY39" s="3471"/>
      <c r="CZ39" s="3471"/>
      <c r="DA39" s="3471"/>
      <c r="DB39" s="3471"/>
      <c r="DC39" s="2054"/>
    </row>
    <row r="40" spans="1:107" s="1780" customFormat="1" ht="15" customHeight="1">
      <c r="A40" s="17035"/>
      <c r="B40" s="17038"/>
      <c r="C40" s="17038"/>
      <c r="D40" s="17038"/>
      <c r="E40" s="17038"/>
      <c r="F40" s="17038"/>
      <c r="G40" s="17038"/>
      <c r="H40" s="17038"/>
      <c r="I40" s="17038"/>
      <c r="J40" s="17038"/>
      <c r="K40" s="17038"/>
      <c r="L40" s="17038"/>
      <c r="M40" s="17038"/>
      <c r="N40" s="17038"/>
      <c r="O40" s="17038"/>
      <c r="P40" s="17038"/>
      <c r="Q40" s="17041"/>
      <c r="R40" s="17005"/>
      <c r="S40" s="16993"/>
      <c r="T40" s="16993"/>
      <c r="U40" s="16993"/>
      <c r="V40" s="16993"/>
      <c r="W40" s="16993"/>
      <c r="X40" s="16515"/>
      <c r="Y40" s="16515"/>
      <c r="Z40" s="16515"/>
      <c r="AA40" s="16515"/>
      <c r="AB40" s="16515"/>
      <c r="AC40" s="16515"/>
      <c r="AD40" s="16515"/>
      <c r="AE40" s="16515"/>
      <c r="AF40" s="16515"/>
      <c r="AG40" s="16515"/>
      <c r="AH40" s="16515"/>
      <c r="AI40" s="16993"/>
      <c r="AJ40" s="16993" t="s">
        <v>8333</v>
      </c>
      <c r="AK40" s="16998" t="s">
        <v>6861</v>
      </c>
      <c r="AL40" s="16993" t="s">
        <v>6862</v>
      </c>
      <c r="AM40" s="16993" t="s">
        <v>6796</v>
      </c>
      <c r="AN40" s="16993" t="s">
        <v>1019</v>
      </c>
      <c r="AO40" s="16993" t="s">
        <v>6776</v>
      </c>
      <c r="AP40" s="16515">
        <v>1</v>
      </c>
      <c r="AQ40" s="16515">
        <v>1</v>
      </c>
      <c r="AR40" s="16515">
        <v>1</v>
      </c>
      <c r="AS40" s="16515">
        <v>1</v>
      </c>
      <c r="AT40" s="16515">
        <v>1</v>
      </c>
      <c r="AU40" s="16515">
        <v>1</v>
      </c>
      <c r="AV40" s="16515">
        <v>1</v>
      </c>
      <c r="AW40" s="16515">
        <v>1</v>
      </c>
      <c r="AX40" s="16515">
        <v>1</v>
      </c>
      <c r="AY40" s="16515">
        <v>1</v>
      </c>
      <c r="AZ40" s="16993" t="s">
        <v>6817</v>
      </c>
      <c r="BA40" s="7423" t="s">
        <v>10066</v>
      </c>
      <c r="BB40" s="16993" t="s">
        <v>6850</v>
      </c>
      <c r="BC40" s="2727"/>
      <c r="BD40" s="16993" t="s">
        <v>6848</v>
      </c>
      <c r="BE40" s="16993" t="s">
        <v>6837</v>
      </c>
      <c r="BF40" s="16993" t="s">
        <v>6838</v>
      </c>
      <c r="BG40" s="16993" t="s">
        <v>6839</v>
      </c>
      <c r="BH40" s="17003" t="s">
        <v>6849</v>
      </c>
      <c r="BI40" s="3451"/>
      <c r="BJ40" s="7416"/>
      <c r="BK40" s="7410"/>
      <c r="BL40" s="7410"/>
      <c r="BM40" s="7410"/>
      <c r="BN40" s="7410"/>
      <c r="BO40" s="7410"/>
      <c r="BP40" s="7410"/>
      <c r="BQ40" s="7410"/>
      <c r="BR40" s="7410"/>
      <c r="BS40" s="7410"/>
      <c r="BT40" s="7410"/>
      <c r="BU40" s="7410"/>
      <c r="BV40" s="7410"/>
      <c r="BW40" s="7410"/>
      <c r="BX40" s="7410"/>
      <c r="BY40" s="7410"/>
      <c r="BZ40" s="7410"/>
      <c r="CA40" s="7410"/>
      <c r="CB40" s="7410"/>
      <c r="CC40" s="7410"/>
      <c r="CD40" s="7410"/>
      <c r="CE40" s="7410"/>
      <c r="CF40" s="7410"/>
      <c r="CG40" s="7410"/>
      <c r="CH40" s="7410"/>
      <c r="CI40" s="7410"/>
      <c r="CJ40" s="7410"/>
      <c r="CK40" s="7410"/>
      <c r="CL40" s="7410"/>
      <c r="CM40" s="7410"/>
      <c r="CN40" s="7410"/>
      <c r="CO40" s="7410"/>
      <c r="CP40" s="7410"/>
      <c r="CQ40" s="7410"/>
      <c r="CR40" s="7410"/>
      <c r="CS40" s="7410"/>
      <c r="CT40" s="7410"/>
      <c r="CU40" s="7410"/>
      <c r="CV40" s="7410"/>
      <c r="CW40" s="7410"/>
      <c r="CX40" s="7410"/>
      <c r="CY40" s="7410"/>
      <c r="CZ40" s="7410"/>
      <c r="DA40" s="7410"/>
      <c r="DB40" s="7410"/>
      <c r="DC40" s="7357"/>
    </row>
    <row r="41" spans="1:107" s="1780" customFormat="1" ht="15" customHeight="1">
      <c r="A41" s="17035"/>
      <c r="B41" s="17038"/>
      <c r="C41" s="17038"/>
      <c r="D41" s="17038"/>
      <c r="E41" s="17038"/>
      <c r="F41" s="17038"/>
      <c r="G41" s="17038"/>
      <c r="H41" s="17038"/>
      <c r="I41" s="17038"/>
      <c r="J41" s="17038"/>
      <c r="K41" s="17038"/>
      <c r="L41" s="17038"/>
      <c r="M41" s="17038"/>
      <c r="N41" s="17038"/>
      <c r="O41" s="17038"/>
      <c r="P41" s="17038"/>
      <c r="Q41" s="17041"/>
      <c r="R41" s="17005"/>
      <c r="S41" s="16993"/>
      <c r="T41" s="16993"/>
      <c r="U41" s="16993"/>
      <c r="V41" s="16993"/>
      <c r="W41" s="16993"/>
      <c r="X41" s="16515"/>
      <c r="Y41" s="16515"/>
      <c r="Z41" s="16515"/>
      <c r="AA41" s="16515"/>
      <c r="AB41" s="16515"/>
      <c r="AC41" s="16515"/>
      <c r="AD41" s="16515"/>
      <c r="AE41" s="16515"/>
      <c r="AF41" s="16515"/>
      <c r="AG41" s="16515"/>
      <c r="AH41" s="16515"/>
      <c r="AI41" s="16993"/>
      <c r="AJ41" s="16993"/>
      <c r="AK41" s="16998"/>
      <c r="AL41" s="16993"/>
      <c r="AM41" s="16993"/>
      <c r="AN41" s="16993"/>
      <c r="AO41" s="16993"/>
      <c r="AP41" s="16515"/>
      <c r="AQ41" s="16515"/>
      <c r="AR41" s="16515"/>
      <c r="AS41" s="16515"/>
      <c r="AT41" s="16515"/>
      <c r="AU41" s="16515"/>
      <c r="AV41" s="16515"/>
      <c r="AW41" s="16515"/>
      <c r="AX41" s="16515"/>
      <c r="AY41" s="16515"/>
      <c r="AZ41" s="16993"/>
      <c r="BA41" s="7423" t="s">
        <v>2896</v>
      </c>
      <c r="BB41" s="16993"/>
      <c r="BC41" s="2727"/>
      <c r="BD41" s="16993"/>
      <c r="BE41" s="16993"/>
      <c r="BF41" s="16993"/>
      <c r="BG41" s="16993"/>
      <c r="BH41" s="17003"/>
      <c r="BI41" s="3451"/>
      <c r="BJ41" s="7416"/>
      <c r="BK41" s="7410"/>
      <c r="BL41" s="7410"/>
      <c r="BM41" s="7410"/>
      <c r="BN41" s="7410"/>
      <c r="BO41" s="7410"/>
      <c r="BP41" s="7410"/>
      <c r="BQ41" s="7410"/>
      <c r="BR41" s="7410"/>
      <c r="BS41" s="7410"/>
      <c r="BT41" s="7410"/>
      <c r="BU41" s="7410"/>
      <c r="BV41" s="7410"/>
      <c r="BW41" s="7410"/>
      <c r="BX41" s="7410"/>
      <c r="BY41" s="7410"/>
      <c r="BZ41" s="7410"/>
      <c r="CA41" s="7410"/>
      <c r="CB41" s="7410"/>
      <c r="CC41" s="7410"/>
      <c r="CD41" s="7410"/>
      <c r="CE41" s="7410"/>
      <c r="CF41" s="7410"/>
      <c r="CG41" s="7410"/>
      <c r="CH41" s="7410"/>
      <c r="CI41" s="7410"/>
      <c r="CJ41" s="7410"/>
      <c r="CK41" s="7410"/>
      <c r="CL41" s="7410"/>
      <c r="CM41" s="7410"/>
      <c r="CN41" s="7410"/>
      <c r="CO41" s="7410"/>
      <c r="CP41" s="7410"/>
      <c r="CQ41" s="7410"/>
      <c r="CR41" s="7410"/>
      <c r="CS41" s="7410"/>
      <c r="CT41" s="7410"/>
      <c r="CU41" s="7410"/>
      <c r="CV41" s="7410"/>
      <c r="CW41" s="7410"/>
      <c r="CX41" s="7410"/>
      <c r="CY41" s="7410"/>
      <c r="CZ41" s="7410"/>
      <c r="DA41" s="7410"/>
      <c r="DB41" s="7410"/>
      <c r="DC41" s="7357"/>
    </row>
    <row r="42" spans="1:107" s="1780" customFormat="1" ht="15" customHeight="1">
      <c r="A42" s="17035"/>
      <c r="B42" s="17038"/>
      <c r="C42" s="17038"/>
      <c r="D42" s="17038"/>
      <c r="E42" s="17038"/>
      <c r="F42" s="17038"/>
      <c r="G42" s="17038"/>
      <c r="H42" s="17038"/>
      <c r="I42" s="17038"/>
      <c r="J42" s="17038"/>
      <c r="K42" s="17038"/>
      <c r="L42" s="17038"/>
      <c r="M42" s="17038"/>
      <c r="N42" s="17038"/>
      <c r="O42" s="17038"/>
      <c r="P42" s="17038"/>
      <c r="Q42" s="17041"/>
      <c r="R42" s="17005"/>
      <c r="S42" s="16993"/>
      <c r="T42" s="16993"/>
      <c r="U42" s="16993"/>
      <c r="V42" s="16993"/>
      <c r="W42" s="16993"/>
      <c r="X42" s="16515"/>
      <c r="Y42" s="16515"/>
      <c r="Z42" s="16515"/>
      <c r="AA42" s="16515"/>
      <c r="AB42" s="16515"/>
      <c r="AC42" s="16515"/>
      <c r="AD42" s="16515"/>
      <c r="AE42" s="16515"/>
      <c r="AF42" s="16515"/>
      <c r="AG42" s="16515"/>
      <c r="AH42" s="16515"/>
      <c r="AI42" s="16993"/>
      <c r="AJ42" s="16993"/>
      <c r="AK42" s="16998"/>
      <c r="AL42" s="16993"/>
      <c r="AM42" s="16993"/>
      <c r="AN42" s="16993"/>
      <c r="AO42" s="16993"/>
      <c r="AP42" s="16515"/>
      <c r="AQ42" s="16515"/>
      <c r="AR42" s="16515"/>
      <c r="AS42" s="16515"/>
      <c r="AT42" s="16515"/>
      <c r="AU42" s="16515"/>
      <c r="AV42" s="16515"/>
      <c r="AW42" s="16515"/>
      <c r="AX42" s="16515"/>
      <c r="AY42" s="16515"/>
      <c r="AZ42" s="16993"/>
      <c r="BA42" s="7423" t="s">
        <v>218</v>
      </c>
      <c r="BB42" s="16993"/>
      <c r="BC42" s="2727"/>
      <c r="BD42" s="16993"/>
      <c r="BE42" s="16993"/>
      <c r="BF42" s="16993"/>
      <c r="BG42" s="16993"/>
      <c r="BH42" s="17003"/>
      <c r="BI42" s="3451"/>
      <c r="BJ42" s="7416"/>
      <c r="BK42" s="7410"/>
      <c r="BL42" s="7410"/>
      <c r="BM42" s="7410"/>
      <c r="BN42" s="7410"/>
      <c r="BO42" s="7410"/>
      <c r="BP42" s="7410"/>
      <c r="BQ42" s="7410"/>
      <c r="BR42" s="7410"/>
      <c r="BS42" s="7410"/>
      <c r="BT42" s="7410"/>
      <c r="BU42" s="7410"/>
      <c r="BV42" s="7410"/>
      <c r="BW42" s="7410"/>
      <c r="BX42" s="7410"/>
      <c r="BY42" s="7410"/>
      <c r="BZ42" s="7410"/>
      <c r="CA42" s="7410"/>
      <c r="CB42" s="7410"/>
      <c r="CC42" s="7410"/>
      <c r="CD42" s="7410"/>
      <c r="CE42" s="7410"/>
      <c r="CF42" s="7410"/>
      <c r="CG42" s="7410"/>
      <c r="CH42" s="7410"/>
      <c r="CI42" s="7410"/>
      <c r="CJ42" s="7410"/>
      <c r="CK42" s="7410"/>
      <c r="CL42" s="7410"/>
      <c r="CM42" s="7410"/>
      <c r="CN42" s="7410"/>
      <c r="CO42" s="7410"/>
      <c r="CP42" s="7410"/>
      <c r="CQ42" s="7410"/>
      <c r="CR42" s="7410"/>
      <c r="CS42" s="7410"/>
      <c r="CT42" s="7410"/>
      <c r="CU42" s="7410"/>
      <c r="CV42" s="7410"/>
      <c r="CW42" s="7410"/>
      <c r="CX42" s="7410"/>
      <c r="CY42" s="7410"/>
      <c r="CZ42" s="7410"/>
      <c r="DA42" s="7410"/>
      <c r="DB42" s="7410"/>
      <c r="DC42" s="7357"/>
    </row>
    <row r="43" spans="1:107" s="1780" customFormat="1" ht="15" customHeight="1">
      <c r="A43" s="17035"/>
      <c r="B43" s="17038"/>
      <c r="C43" s="17038"/>
      <c r="D43" s="17038"/>
      <c r="E43" s="17038"/>
      <c r="F43" s="17038"/>
      <c r="G43" s="17038"/>
      <c r="H43" s="17038"/>
      <c r="I43" s="17038"/>
      <c r="J43" s="17038"/>
      <c r="K43" s="17038"/>
      <c r="L43" s="17038"/>
      <c r="M43" s="17038"/>
      <c r="N43" s="17038"/>
      <c r="O43" s="17038"/>
      <c r="P43" s="17038"/>
      <c r="Q43" s="17041"/>
      <c r="R43" s="17005"/>
      <c r="S43" s="16993"/>
      <c r="T43" s="16993"/>
      <c r="U43" s="16993"/>
      <c r="V43" s="16993"/>
      <c r="W43" s="16993"/>
      <c r="X43" s="16515"/>
      <c r="Y43" s="16515"/>
      <c r="Z43" s="16515"/>
      <c r="AA43" s="16515"/>
      <c r="AB43" s="16515"/>
      <c r="AC43" s="16515"/>
      <c r="AD43" s="16515"/>
      <c r="AE43" s="16515"/>
      <c r="AF43" s="16515"/>
      <c r="AG43" s="16515"/>
      <c r="AH43" s="16515"/>
      <c r="AI43" s="16993"/>
      <c r="AJ43" s="16993"/>
      <c r="AK43" s="16998"/>
      <c r="AL43" s="16993"/>
      <c r="AM43" s="16993"/>
      <c r="AN43" s="16993"/>
      <c r="AO43" s="16993"/>
      <c r="AP43" s="16515"/>
      <c r="AQ43" s="16515"/>
      <c r="AR43" s="16515"/>
      <c r="AS43" s="16515"/>
      <c r="AT43" s="16515"/>
      <c r="AU43" s="16515"/>
      <c r="AV43" s="16515"/>
      <c r="AW43" s="16515"/>
      <c r="AX43" s="16515"/>
      <c r="AY43" s="16515"/>
      <c r="AZ43" s="16993"/>
      <c r="BA43" s="7423" t="s">
        <v>10063</v>
      </c>
      <c r="BB43" s="16993"/>
      <c r="BC43" s="2727"/>
      <c r="BD43" s="16993"/>
      <c r="BE43" s="16993"/>
      <c r="BF43" s="16993"/>
      <c r="BG43" s="16993"/>
      <c r="BH43" s="17003"/>
      <c r="BI43" s="3451"/>
      <c r="BJ43" s="7416"/>
      <c r="BK43" s="7410"/>
      <c r="BL43" s="7410"/>
      <c r="BM43" s="7410"/>
      <c r="BN43" s="7410"/>
      <c r="BO43" s="7410"/>
      <c r="BP43" s="7410"/>
      <c r="BQ43" s="7410"/>
      <c r="BR43" s="7410"/>
      <c r="BS43" s="7410"/>
      <c r="BT43" s="7410"/>
      <c r="BU43" s="7410"/>
      <c r="BV43" s="7410"/>
      <c r="BW43" s="7410"/>
      <c r="BX43" s="7410"/>
      <c r="BY43" s="7410"/>
      <c r="BZ43" s="7410"/>
      <c r="CA43" s="7410"/>
      <c r="CB43" s="7410"/>
      <c r="CC43" s="7410"/>
      <c r="CD43" s="7410"/>
      <c r="CE43" s="7410"/>
      <c r="CF43" s="7410"/>
      <c r="CG43" s="7410"/>
      <c r="CH43" s="7410"/>
      <c r="CI43" s="7410"/>
      <c r="CJ43" s="7410"/>
      <c r="CK43" s="7410"/>
      <c r="CL43" s="7410"/>
      <c r="CM43" s="7410"/>
      <c r="CN43" s="7410"/>
      <c r="CO43" s="7410"/>
      <c r="CP43" s="7410"/>
      <c r="CQ43" s="7410"/>
      <c r="CR43" s="7410"/>
      <c r="CS43" s="7410"/>
      <c r="CT43" s="7410"/>
      <c r="CU43" s="7410"/>
      <c r="CV43" s="7410"/>
      <c r="CW43" s="7410"/>
      <c r="CX43" s="7410"/>
      <c r="CY43" s="7410"/>
      <c r="CZ43" s="7410"/>
      <c r="DA43" s="7410"/>
      <c r="DB43" s="7410"/>
      <c r="DC43" s="7357"/>
    </row>
    <row r="44" spans="1:107" s="1780" customFormat="1" ht="15" customHeight="1">
      <c r="A44" s="17035"/>
      <c r="B44" s="17038"/>
      <c r="C44" s="17038"/>
      <c r="D44" s="17038"/>
      <c r="E44" s="17038"/>
      <c r="F44" s="17038"/>
      <c r="G44" s="17038"/>
      <c r="H44" s="17038"/>
      <c r="I44" s="17038"/>
      <c r="J44" s="17038"/>
      <c r="K44" s="17038"/>
      <c r="L44" s="17038"/>
      <c r="M44" s="17038"/>
      <c r="N44" s="17038"/>
      <c r="O44" s="17038"/>
      <c r="P44" s="17038"/>
      <c r="Q44" s="17041"/>
      <c r="R44" s="17005"/>
      <c r="S44" s="16993"/>
      <c r="T44" s="16993"/>
      <c r="U44" s="16993"/>
      <c r="V44" s="16993"/>
      <c r="W44" s="16993"/>
      <c r="X44" s="16515"/>
      <c r="Y44" s="16515"/>
      <c r="Z44" s="16515"/>
      <c r="AA44" s="16515"/>
      <c r="AB44" s="16515"/>
      <c r="AC44" s="16515"/>
      <c r="AD44" s="16515"/>
      <c r="AE44" s="16515"/>
      <c r="AF44" s="16515"/>
      <c r="AG44" s="16515"/>
      <c r="AH44" s="16515"/>
      <c r="AI44" s="16993"/>
      <c r="AJ44" s="16993"/>
      <c r="AK44" s="16998"/>
      <c r="AL44" s="16993"/>
      <c r="AM44" s="16993"/>
      <c r="AN44" s="16993"/>
      <c r="AO44" s="16993"/>
      <c r="AP44" s="16515"/>
      <c r="AQ44" s="16515"/>
      <c r="AR44" s="16515"/>
      <c r="AS44" s="16515"/>
      <c r="AT44" s="16515"/>
      <c r="AU44" s="16515"/>
      <c r="AV44" s="16515"/>
      <c r="AW44" s="16515"/>
      <c r="AX44" s="16515"/>
      <c r="AY44" s="16515"/>
      <c r="AZ44" s="16993"/>
      <c r="BA44" s="7423" t="s">
        <v>10290</v>
      </c>
      <c r="BB44" s="16993"/>
      <c r="BC44" s="2727"/>
      <c r="BD44" s="16993"/>
      <c r="BE44" s="16993"/>
      <c r="BF44" s="16993"/>
      <c r="BG44" s="16993"/>
      <c r="BH44" s="17003"/>
      <c r="BI44" s="3451"/>
      <c r="BJ44" s="7416"/>
      <c r="BK44" s="7410"/>
      <c r="BL44" s="7410"/>
      <c r="BM44" s="7410"/>
      <c r="BN44" s="7410"/>
      <c r="BO44" s="7410"/>
      <c r="BP44" s="7410"/>
      <c r="BQ44" s="7410"/>
      <c r="BR44" s="7410"/>
      <c r="BS44" s="7410"/>
      <c r="BT44" s="7410"/>
      <c r="BU44" s="7410"/>
      <c r="BV44" s="7410"/>
      <c r="BW44" s="7410"/>
      <c r="BX44" s="7410"/>
      <c r="BY44" s="7410"/>
      <c r="BZ44" s="7410"/>
      <c r="CA44" s="7410"/>
      <c r="CB44" s="7410"/>
      <c r="CC44" s="7410"/>
      <c r="CD44" s="7410"/>
      <c r="CE44" s="7410"/>
      <c r="CF44" s="7410"/>
      <c r="CG44" s="7410"/>
      <c r="CH44" s="7410"/>
      <c r="CI44" s="7410"/>
      <c r="CJ44" s="7410"/>
      <c r="CK44" s="7410"/>
      <c r="CL44" s="7410"/>
      <c r="CM44" s="7410"/>
      <c r="CN44" s="7410"/>
      <c r="CO44" s="7410"/>
      <c r="CP44" s="7410"/>
      <c r="CQ44" s="7410"/>
      <c r="CR44" s="7410"/>
      <c r="CS44" s="7410"/>
      <c r="CT44" s="7410"/>
      <c r="CU44" s="7410"/>
      <c r="CV44" s="7410"/>
      <c r="CW44" s="7410"/>
      <c r="CX44" s="7410"/>
      <c r="CY44" s="7410"/>
      <c r="CZ44" s="7410"/>
      <c r="DA44" s="7410"/>
      <c r="DB44" s="7410"/>
      <c r="DC44" s="7357"/>
    </row>
    <row r="45" spans="1:107" s="1780" customFormat="1" ht="15" customHeight="1">
      <c r="A45" s="17035"/>
      <c r="B45" s="17038"/>
      <c r="C45" s="17038"/>
      <c r="D45" s="17038"/>
      <c r="E45" s="17038"/>
      <c r="F45" s="17038"/>
      <c r="G45" s="17038"/>
      <c r="H45" s="17038"/>
      <c r="I45" s="17038"/>
      <c r="J45" s="17038"/>
      <c r="K45" s="17038"/>
      <c r="L45" s="17038"/>
      <c r="M45" s="17038"/>
      <c r="N45" s="17038"/>
      <c r="O45" s="17038"/>
      <c r="P45" s="17038"/>
      <c r="Q45" s="17041"/>
      <c r="R45" s="17005"/>
      <c r="S45" s="16993"/>
      <c r="T45" s="16993"/>
      <c r="U45" s="16993"/>
      <c r="V45" s="16993"/>
      <c r="W45" s="16993"/>
      <c r="X45" s="16515"/>
      <c r="Y45" s="16515"/>
      <c r="Z45" s="16515"/>
      <c r="AA45" s="16515"/>
      <c r="AB45" s="16515"/>
      <c r="AC45" s="16515"/>
      <c r="AD45" s="16515"/>
      <c r="AE45" s="16515"/>
      <c r="AF45" s="16515"/>
      <c r="AG45" s="16515"/>
      <c r="AH45" s="16515"/>
      <c r="AI45" s="16993"/>
      <c r="AJ45" s="16993"/>
      <c r="AK45" s="16998"/>
      <c r="AL45" s="16993"/>
      <c r="AM45" s="16993"/>
      <c r="AN45" s="16993"/>
      <c r="AO45" s="16993"/>
      <c r="AP45" s="16515"/>
      <c r="AQ45" s="16515"/>
      <c r="AR45" s="16515"/>
      <c r="AS45" s="16515"/>
      <c r="AT45" s="16515"/>
      <c r="AU45" s="16515"/>
      <c r="AV45" s="16515"/>
      <c r="AW45" s="16515"/>
      <c r="AX45" s="16515"/>
      <c r="AY45" s="16515"/>
      <c r="AZ45" s="16993"/>
      <c r="BA45" s="7423" t="s">
        <v>86</v>
      </c>
      <c r="BB45" s="16993"/>
      <c r="BC45" s="2727"/>
      <c r="BD45" s="16993"/>
      <c r="BE45" s="16993"/>
      <c r="BF45" s="16993"/>
      <c r="BG45" s="16993"/>
      <c r="BH45" s="17003"/>
      <c r="BI45" s="3451"/>
      <c r="BJ45" s="7416"/>
      <c r="BK45" s="7410"/>
      <c r="BL45" s="7410"/>
      <c r="BM45" s="7410"/>
      <c r="BN45" s="7410"/>
      <c r="BO45" s="7410"/>
      <c r="BP45" s="7410"/>
      <c r="BQ45" s="7410"/>
      <c r="BR45" s="7410"/>
      <c r="BS45" s="7410"/>
      <c r="BT45" s="7410"/>
      <c r="BU45" s="7410"/>
      <c r="BV45" s="7410"/>
      <c r="BW45" s="7410"/>
      <c r="BX45" s="7410"/>
      <c r="BY45" s="7410"/>
      <c r="BZ45" s="7410"/>
      <c r="CA45" s="7410"/>
      <c r="CB45" s="7410"/>
      <c r="CC45" s="7410"/>
      <c r="CD45" s="7410"/>
      <c r="CE45" s="7410"/>
      <c r="CF45" s="7410"/>
      <c r="CG45" s="7410"/>
      <c r="CH45" s="7410"/>
      <c r="CI45" s="7410"/>
      <c r="CJ45" s="7410"/>
      <c r="CK45" s="7410"/>
      <c r="CL45" s="7410"/>
      <c r="CM45" s="7410"/>
      <c r="CN45" s="7410"/>
      <c r="CO45" s="7410"/>
      <c r="CP45" s="7410"/>
      <c r="CQ45" s="7410"/>
      <c r="CR45" s="7410"/>
      <c r="CS45" s="7410"/>
      <c r="CT45" s="7410"/>
      <c r="CU45" s="7410"/>
      <c r="CV45" s="7410"/>
      <c r="CW45" s="7410"/>
      <c r="CX45" s="7410"/>
      <c r="CY45" s="7410"/>
      <c r="CZ45" s="7410"/>
      <c r="DA45" s="7410"/>
      <c r="DB45" s="7410"/>
      <c r="DC45" s="7357"/>
    </row>
    <row r="46" spans="1:107" s="1780" customFormat="1" ht="15" customHeight="1">
      <c r="A46" s="17035"/>
      <c r="B46" s="17038"/>
      <c r="C46" s="17038"/>
      <c r="D46" s="17038"/>
      <c r="E46" s="17038"/>
      <c r="F46" s="17038"/>
      <c r="G46" s="17038"/>
      <c r="H46" s="17038"/>
      <c r="I46" s="17038"/>
      <c r="J46" s="17038"/>
      <c r="K46" s="17038"/>
      <c r="L46" s="17038"/>
      <c r="M46" s="17038"/>
      <c r="N46" s="17038"/>
      <c r="O46" s="17038"/>
      <c r="P46" s="17038"/>
      <c r="Q46" s="17041"/>
      <c r="R46" s="17005"/>
      <c r="S46" s="16993"/>
      <c r="T46" s="16993"/>
      <c r="U46" s="16993"/>
      <c r="V46" s="16993"/>
      <c r="W46" s="16993"/>
      <c r="X46" s="16515"/>
      <c r="Y46" s="16515"/>
      <c r="Z46" s="16515"/>
      <c r="AA46" s="16515"/>
      <c r="AB46" s="16515"/>
      <c r="AC46" s="16515"/>
      <c r="AD46" s="16515"/>
      <c r="AE46" s="16515"/>
      <c r="AF46" s="16515"/>
      <c r="AG46" s="16515"/>
      <c r="AH46" s="16515"/>
      <c r="AI46" s="16993"/>
      <c r="AJ46" s="16993" t="s">
        <v>8334</v>
      </c>
      <c r="AK46" s="16993" t="s">
        <v>6863</v>
      </c>
      <c r="AL46" s="16993" t="s">
        <v>6864</v>
      </c>
      <c r="AM46" s="16993" t="s">
        <v>6785</v>
      </c>
      <c r="AN46" s="16993">
        <v>0</v>
      </c>
      <c r="AO46" s="16993">
        <v>1</v>
      </c>
      <c r="AP46" s="16993">
        <v>1</v>
      </c>
      <c r="AQ46" s="16993">
        <v>1</v>
      </c>
      <c r="AR46" s="16993">
        <v>1</v>
      </c>
      <c r="AS46" s="16993">
        <v>1</v>
      </c>
      <c r="AT46" s="16993">
        <v>1</v>
      </c>
      <c r="AU46" s="16993">
        <v>1</v>
      </c>
      <c r="AV46" s="16993">
        <v>1</v>
      </c>
      <c r="AW46" s="16993">
        <v>1</v>
      </c>
      <c r="AX46" s="16993">
        <v>1</v>
      </c>
      <c r="AY46" s="16993">
        <v>10</v>
      </c>
      <c r="AZ46" s="16993" t="s">
        <v>6786</v>
      </c>
      <c r="BA46" s="7423" t="s">
        <v>10290</v>
      </c>
      <c r="BB46" s="16993" t="s">
        <v>10312</v>
      </c>
      <c r="BC46" s="3471"/>
      <c r="BD46" s="2727" t="s">
        <v>6865</v>
      </c>
      <c r="BE46" s="2727" t="s">
        <v>6837</v>
      </c>
      <c r="BF46" s="2727" t="s">
        <v>6838</v>
      </c>
      <c r="BG46" s="2727" t="s">
        <v>6839</v>
      </c>
      <c r="BH46" s="7384" t="s">
        <v>6866</v>
      </c>
      <c r="BI46" s="3451"/>
      <c r="BJ46" s="3772"/>
      <c r="BK46" s="3471"/>
      <c r="BL46" s="3471"/>
      <c r="BM46" s="3471"/>
      <c r="BN46" s="3471"/>
      <c r="BO46" s="3471"/>
      <c r="BP46" s="3471"/>
      <c r="BQ46" s="3471"/>
      <c r="BR46" s="3471"/>
      <c r="BS46" s="3471"/>
      <c r="BT46" s="3471"/>
      <c r="BU46" s="3471"/>
      <c r="BV46" s="3471"/>
      <c r="BW46" s="3471"/>
      <c r="BX46" s="3471"/>
      <c r="BY46" s="3471"/>
      <c r="BZ46" s="3471"/>
      <c r="CA46" s="3471"/>
      <c r="CB46" s="3471"/>
      <c r="CC46" s="3471"/>
      <c r="CD46" s="3471"/>
      <c r="CE46" s="3471"/>
      <c r="CF46" s="3471"/>
      <c r="CG46" s="3471"/>
      <c r="CH46" s="3471"/>
      <c r="CI46" s="3471"/>
      <c r="CJ46" s="3471"/>
      <c r="CK46" s="3471"/>
      <c r="CL46" s="3471"/>
      <c r="CM46" s="3471"/>
      <c r="CN46" s="3471"/>
      <c r="CO46" s="3471"/>
      <c r="CP46" s="3471"/>
      <c r="CQ46" s="3471"/>
      <c r="CR46" s="3471"/>
      <c r="CS46" s="3471"/>
      <c r="CT46" s="3471"/>
      <c r="CU46" s="3471"/>
      <c r="CV46" s="3471"/>
      <c r="CW46" s="3471"/>
      <c r="CX46" s="3471"/>
      <c r="CY46" s="3471"/>
      <c r="CZ46" s="3471"/>
      <c r="DA46" s="3471"/>
      <c r="DB46" s="3471"/>
      <c r="DC46" s="2054"/>
    </row>
    <row r="47" spans="1:107" s="1780" customFormat="1" ht="15" customHeight="1">
      <c r="A47" s="17035"/>
      <c r="B47" s="17038"/>
      <c r="C47" s="17038"/>
      <c r="D47" s="17038"/>
      <c r="E47" s="17038"/>
      <c r="F47" s="17038"/>
      <c r="G47" s="17038"/>
      <c r="H47" s="17038"/>
      <c r="I47" s="17038"/>
      <c r="J47" s="17038"/>
      <c r="K47" s="17038"/>
      <c r="L47" s="17038"/>
      <c r="M47" s="17038"/>
      <c r="N47" s="17038"/>
      <c r="O47" s="17038"/>
      <c r="P47" s="17038"/>
      <c r="Q47" s="17041"/>
      <c r="R47" s="17005"/>
      <c r="S47" s="16993"/>
      <c r="T47" s="16993"/>
      <c r="U47" s="16993"/>
      <c r="V47" s="16993"/>
      <c r="W47" s="16993"/>
      <c r="X47" s="16515"/>
      <c r="Y47" s="16515"/>
      <c r="Z47" s="16515"/>
      <c r="AA47" s="16515"/>
      <c r="AB47" s="16515"/>
      <c r="AC47" s="16515"/>
      <c r="AD47" s="16515"/>
      <c r="AE47" s="16515"/>
      <c r="AF47" s="16515"/>
      <c r="AG47" s="16515"/>
      <c r="AH47" s="16515"/>
      <c r="AI47" s="16993"/>
      <c r="AJ47" s="16993"/>
      <c r="AK47" s="16993"/>
      <c r="AL47" s="16993"/>
      <c r="AM47" s="16993"/>
      <c r="AN47" s="16993"/>
      <c r="AO47" s="16993"/>
      <c r="AP47" s="16993"/>
      <c r="AQ47" s="16993"/>
      <c r="AR47" s="16993"/>
      <c r="AS47" s="16993"/>
      <c r="AT47" s="16993"/>
      <c r="AU47" s="16993"/>
      <c r="AV47" s="16993"/>
      <c r="AW47" s="16993"/>
      <c r="AX47" s="16993"/>
      <c r="AY47" s="16993"/>
      <c r="AZ47" s="16993"/>
      <c r="BA47" s="7423" t="s">
        <v>10066</v>
      </c>
      <c r="BB47" s="16993"/>
      <c r="BC47" s="2727"/>
      <c r="BD47" s="2727"/>
      <c r="BE47" s="2727"/>
      <c r="BF47" s="2727"/>
      <c r="BG47" s="2727"/>
      <c r="BH47" s="7384"/>
      <c r="BI47" s="3451"/>
      <c r="BJ47" s="3772"/>
      <c r="BK47" s="3471"/>
      <c r="BL47" s="3471"/>
      <c r="BM47" s="3471"/>
      <c r="BN47" s="3471"/>
      <c r="BO47" s="3471"/>
      <c r="BP47" s="3471"/>
      <c r="BQ47" s="3471"/>
      <c r="BR47" s="3471"/>
      <c r="BS47" s="3471"/>
      <c r="BT47" s="3471"/>
      <c r="BU47" s="3471"/>
      <c r="BV47" s="3471"/>
      <c r="BW47" s="3471"/>
      <c r="BX47" s="3471"/>
      <c r="BY47" s="3471"/>
      <c r="BZ47" s="3471"/>
      <c r="CA47" s="3471"/>
      <c r="CB47" s="3471"/>
      <c r="CC47" s="3471"/>
      <c r="CD47" s="3471"/>
      <c r="CE47" s="3471"/>
      <c r="CF47" s="3471"/>
      <c r="CG47" s="3471"/>
      <c r="CH47" s="3471"/>
      <c r="CI47" s="3471"/>
      <c r="CJ47" s="3471"/>
      <c r="CK47" s="3471"/>
      <c r="CL47" s="3471"/>
      <c r="CM47" s="3471"/>
      <c r="CN47" s="3471"/>
      <c r="CO47" s="3471"/>
      <c r="CP47" s="3471"/>
      <c r="CQ47" s="3471"/>
      <c r="CR47" s="3471"/>
      <c r="CS47" s="3471"/>
      <c r="CT47" s="3471"/>
      <c r="CU47" s="3471"/>
      <c r="CV47" s="3471"/>
      <c r="CW47" s="3471"/>
      <c r="CX47" s="3471"/>
      <c r="CY47" s="3471"/>
      <c r="CZ47" s="3471"/>
      <c r="DA47" s="3471"/>
      <c r="DB47" s="3471"/>
      <c r="DC47" s="2054"/>
    </row>
    <row r="48" spans="1:107" s="1780" customFormat="1" ht="15" customHeight="1">
      <c r="A48" s="17035"/>
      <c r="B48" s="17038"/>
      <c r="C48" s="17038"/>
      <c r="D48" s="17038"/>
      <c r="E48" s="17038"/>
      <c r="F48" s="17038"/>
      <c r="G48" s="17038"/>
      <c r="H48" s="17038"/>
      <c r="I48" s="17038"/>
      <c r="J48" s="17038"/>
      <c r="K48" s="17038"/>
      <c r="L48" s="17038"/>
      <c r="M48" s="17038"/>
      <c r="N48" s="17038"/>
      <c r="O48" s="17038"/>
      <c r="P48" s="17038"/>
      <c r="Q48" s="17041"/>
      <c r="R48" s="17005"/>
      <c r="S48" s="16993"/>
      <c r="T48" s="16993"/>
      <c r="U48" s="16993"/>
      <c r="V48" s="16993"/>
      <c r="W48" s="16993"/>
      <c r="X48" s="16515"/>
      <c r="Y48" s="16515"/>
      <c r="Z48" s="16515"/>
      <c r="AA48" s="16515"/>
      <c r="AB48" s="16515"/>
      <c r="AC48" s="16515"/>
      <c r="AD48" s="16515"/>
      <c r="AE48" s="16515"/>
      <c r="AF48" s="16515"/>
      <c r="AG48" s="16515"/>
      <c r="AH48" s="16515"/>
      <c r="AI48" s="16993"/>
      <c r="AJ48" s="16993"/>
      <c r="AK48" s="16993"/>
      <c r="AL48" s="16993"/>
      <c r="AM48" s="16993"/>
      <c r="AN48" s="16993"/>
      <c r="AO48" s="16993"/>
      <c r="AP48" s="16993"/>
      <c r="AQ48" s="16993"/>
      <c r="AR48" s="16993"/>
      <c r="AS48" s="16993"/>
      <c r="AT48" s="16993"/>
      <c r="AU48" s="16993"/>
      <c r="AV48" s="16993"/>
      <c r="AW48" s="16993"/>
      <c r="AX48" s="16993"/>
      <c r="AY48" s="16993"/>
      <c r="AZ48" s="16993"/>
      <c r="BA48" s="7423" t="s">
        <v>10194</v>
      </c>
      <c r="BB48" s="2727"/>
      <c r="BC48" s="2727" t="s">
        <v>10313</v>
      </c>
      <c r="BD48" s="2727"/>
      <c r="BE48" s="2727"/>
      <c r="BF48" s="2727"/>
      <c r="BG48" s="2727"/>
      <c r="BH48" s="7384"/>
      <c r="BI48" s="3451"/>
      <c r="BJ48" s="3772"/>
      <c r="BK48" s="3471"/>
      <c r="BL48" s="3471"/>
      <c r="BM48" s="3471"/>
      <c r="BN48" s="3471"/>
      <c r="BO48" s="3471"/>
      <c r="BP48" s="3471"/>
      <c r="BQ48" s="3471"/>
      <c r="BR48" s="3471"/>
      <c r="BS48" s="3471"/>
      <c r="BT48" s="3471"/>
      <c r="BU48" s="3471"/>
      <c r="BV48" s="3471"/>
      <c r="BW48" s="3471"/>
      <c r="BX48" s="3471"/>
      <c r="BY48" s="3471"/>
      <c r="BZ48" s="3471"/>
      <c r="CA48" s="3471"/>
      <c r="CB48" s="3471"/>
      <c r="CC48" s="3471"/>
      <c r="CD48" s="3471"/>
      <c r="CE48" s="3471"/>
      <c r="CF48" s="3471"/>
      <c r="CG48" s="3471"/>
      <c r="CH48" s="3471"/>
      <c r="CI48" s="3471"/>
      <c r="CJ48" s="3471"/>
      <c r="CK48" s="3471"/>
      <c r="CL48" s="3471"/>
      <c r="CM48" s="3471"/>
      <c r="CN48" s="3471"/>
      <c r="CO48" s="3471"/>
      <c r="CP48" s="3471"/>
      <c r="CQ48" s="3471"/>
      <c r="CR48" s="3471"/>
      <c r="CS48" s="3471"/>
      <c r="CT48" s="3471"/>
      <c r="CU48" s="3471"/>
      <c r="CV48" s="3471"/>
      <c r="CW48" s="3471"/>
      <c r="CX48" s="3471"/>
      <c r="CY48" s="3471"/>
      <c r="CZ48" s="3471"/>
      <c r="DA48" s="3471"/>
      <c r="DB48" s="3471"/>
      <c r="DC48" s="2054"/>
    </row>
    <row r="49" spans="1:107" s="1780" customFormat="1" ht="15" customHeight="1">
      <c r="A49" s="17035"/>
      <c r="B49" s="17038"/>
      <c r="C49" s="17038"/>
      <c r="D49" s="17038"/>
      <c r="E49" s="17038"/>
      <c r="F49" s="17038"/>
      <c r="G49" s="17038"/>
      <c r="H49" s="17038"/>
      <c r="I49" s="17038"/>
      <c r="J49" s="17038"/>
      <c r="K49" s="17038"/>
      <c r="L49" s="17038"/>
      <c r="M49" s="17038"/>
      <c r="N49" s="17038"/>
      <c r="O49" s="17038"/>
      <c r="P49" s="17038"/>
      <c r="Q49" s="17041"/>
      <c r="R49" s="17005"/>
      <c r="S49" s="16993"/>
      <c r="T49" s="16993"/>
      <c r="U49" s="16993"/>
      <c r="V49" s="16993"/>
      <c r="W49" s="16993"/>
      <c r="X49" s="16515"/>
      <c r="Y49" s="16515"/>
      <c r="Z49" s="16515"/>
      <c r="AA49" s="16515"/>
      <c r="AB49" s="16515"/>
      <c r="AC49" s="16515"/>
      <c r="AD49" s="16515"/>
      <c r="AE49" s="16515"/>
      <c r="AF49" s="16515"/>
      <c r="AG49" s="16515"/>
      <c r="AH49" s="16515"/>
      <c r="AI49" s="16993"/>
      <c r="AJ49" s="2727" t="s">
        <v>8335</v>
      </c>
      <c r="AK49" s="2560" t="s">
        <v>6867</v>
      </c>
      <c r="AL49" s="2727" t="s">
        <v>6868</v>
      </c>
      <c r="AM49" s="2727" t="s">
        <v>6804</v>
      </c>
      <c r="AN49" s="2727">
        <v>80</v>
      </c>
      <c r="AO49" s="2727">
        <v>100</v>
      </c>
      <c r="AP49" s="2727">
        <v>100</v>
      </c>
      <c r="AQ49" s="2727">
        <v>100</v>
      </c>
      <c r="AR49" s="2727">
        <v>100</v>
      </c>
      <c r="AS49" s="2727">
        <v>100</v>
      </c>
      <c r="AT49" s="2727">
        <v>100</v>
      </c>
      <c r="AU49" s="2727">
        <v>100</v>
      </c>
      <c r="AV49" s="2727">
        <v>100</v>
      </c>
      <c r="AW49" s="2727">
        <v>100</v>
      </c>
      <c r="AX49" s="2727">
        <v>100</v>
      </c>
      <c r="AY49" s="2727">
        <v>1000</v>
      </c>
      <c r="AZ49" s="2727" t="s">
        <v>6869</v>
      </c>
      <c r="BA49" s="7423" t="s">
        <v>2896</v>
      </c>
      <c r="BB49" s="2727" t="s">
        <v>10314</v>
      </c>
      <c r="BC49" s="7175" t="s">
        <v>10315</v>
      </c>
      <c r="BD49" s="2727" t="s">
        <v>6870</v>
      </c>
      <c r="BE49" s="2727" t="s">
        <v>6837</v>
      </c>
      <c r="BF49" s="2727" t="s">
        <v>6838</v>
      </c>
      <c r="BG49" s="2727" t="s">
        <v>6839</v>
      </c>
      <c r="BH49" s="7384" t="s">
        <v>6871</v>
      </c>
      <c r="BI49" s="3451"/>
      <c r="BJ49" s="3772"/>
      <c r="BK49" s="3471"/>
      <c r="BL49" s="3471"/>
      <c r="BM49" s="3471"/>
      <c r="BN49" s="3471"/>
      <c r="BO49" s="3471"/>
      <c r="BP49" s="3471"/>
      <c r="BQ49" s="3471"/>
      <c r="BR49" s="3471"/>
      <c r="BS49" s="3471"/>
      <c r="BT49" s="3471"/>
      <c r="BU49" s="3471"/>
      <c r="BV49" s="3471"/>
      <c r="BW49" s="3471"/>
      <c r="BX49" s="3471"/>
      <c r="BY49" s="3471"/>
      <c r="BZ49" s="3471"/>
      <c r="CA49" s="3471"/>
      <c r="CB49" s="3471"/>
      <c r="CC49" s="3471"/>
      <c r="CD49" s="3471"/>
      <c r="CE49" s="3471"/>
      <c r="CF49" s="3471"/>
      <c r="CG49" s="3471"/>
      <c r="CH49" s="3471"/>
      <c r="CI49" s="3471"/>
      <c r="CJ49" s="3471"/>
      <c r="CK49" s="3471"/>
      <c r="CL49" s="3471"/>
      <c r="CM49" s="3471"/>
      <c r="CN49" s="3471"/>
      <c r="CO49" s="3471"/>
      <c r="CP49" s="3471"/>
      <c r="CQ49" s="3471"/>
      <c r="CR49" s="3471"/>
      <c r="CS49" s="3471"/>
      <c r="CT49" s="3471"/>
      <c r="CU49" s="3471"/>
      <c r="CV49" s="3471"/>
      <c r="CW49" s="3471"/>
      <c r="CX49" s="3471"/>
      <c r="CY49" s="3471"/>
      <c r="CZ49" s="3471"/>
      <c r="DA49" s="3471"/>
      <c r="DB49" s="3471"/>
      <c r="DC49" s="2054"/>
    </row>
    <row r="50" spans="1:107" s="1780" customFormat="1" ht="15" customHeight="1">
      <c r="A50" s="17035"/>
      <c r="B50" s="17038"/>
      <c r="C50" s="17038"/>
      <c r="D50" s="17038"/>
      <c r="E50" s="17038"/>
      <c r="F50" s="17038"/>
      <c r="G50" s="17038"/>
      <c r="H50" s="17038"/>
      <c r="I50" s="17038"/>
      <c r="J50" s="17038"/>
      <c r="K50" s="17038"/>
      <c r="L50" s="17038"/>
      <c r="M50" s="17038"/>
      <c r="N50" s="17038"/>
      <c r="O50" s="17038"/>
      <c r="P50" s="17038"/>
      <c r="Q50" s="17041"/>
      <c r="R50" s="17005"/>
      <c r="S50" s="16993"/>
      <c r="T50" s="16993"/>
      <c r="U50" s="16993"/>
      <c r="V50" s="16993"/>
      <c r="W50" s="16993"/>
      <c r="X50" s="16515"/>
      <c r="Y50" s="16515"/>
      <c r="Z50" s="16515"/>
      <c r="AA50" s="16515"/>
      <c r="AB50" s="16515"/>
      <c r="AC50" s="16515"/>
      <c r="AD50" s="16515"/>
      <c r="AE50" s="16515"/>
      <c r="AF50" s="16515"/>
      <c r="AG50" s="16515"/>
      <c r="AH50" s="16515"/>
      <c r="AI50" s="16993"/>
      <c r="AJ50" s="16993" t="s">
        <v>8336</v>
      </c>
      <c r="AK50" s="16998" t="s">
        <v>6872</v>
      </c>
      <c r="AL50" s="16993" t="s">
        <v>6873</v>
      </c>
      <c r="AM50" s="16993" t="s">
        <v>6785</v>
      </c>
      <c r="AN50" s="16993">
        <v>1</v>
      </c>
      <c r="AO50" s="16993">
        <v>1</v>
      </c>
      <c r="AP50" s="16993">
        <v>1</v>
      </c>
      <c r="AQ50" s="16993">
        <v>1</v>
      </c>
      <c r="AR50" s="16993">
        <v>1</v>
      </c>
      <c r="AS50" s="16993">
        <v>1</v>
      </c>
      <c r="AT50" s="16993">
        <v>1</v>
      </c>
      <c r="AU50" s="16993">
        <v>1</v>
      </c>
      <c r="AV50" s="16993">
        <v>1</v>
      </c>
      <c r="AW50" s="16993">
        <v>1</v>
      </c>
      <c r="AX50" s="16993">
        <v>1</v>
      </c>
      <c r="AY50" s="16993">
        <v>10</v>
      </c>
      <c r="AZ50" s="16993" t="s">
        <v>6874</v>
      </c>
      <c r="BA50" s="7423" t="s">
        <v>10290</v>
      </c>
      <c r="BB50" s="2727" t="s">
        <v>6875</v>
      </c>
      <c r="BC50" s="2727"/>
      <c r="BD50" s="16993" t="s">
        <v>6876</v>
      </c>
      <c r="BE50" s="16993" t="s">
        <v>6837</v>
      </c>
      <c r="BF50" s="16993" t="s">
        <v>6838</v>
      </c>
      <c r="BG50" s="16993" t="s">
        <v>6839</v>
      </c>
      <c r="BH50" s="17003" t="s">
        <v>6877</v>
      </c>
      <c r="BI50" s="3451"/>
      <c r="BJ50" s="7416"/>
      <c r="BK50" s="7410"/>
      <c r="BL50" s="7410"/>
      <c r="BM50" s="7410"/>
      <c r="BN50" s="7410"/>
      <c r="BO50" s="7410"/>
      <c r="BP50" s="7410"/>
      <c r="BQ50" s="7410"/>
      <c r="BR50" s="7410"/>
      <c r="BS50" s="7410"/>
      <c r="BT50" s="7410"/>
      <c r="BU50" s="7410"/>
      <c r="BV50" s="7410"/>
      <c r="BW50" s="7410"/>
      <c r="BX50" s="7410"/>
      <c r="BY50" s="7410"/>
      <c r="BZ50" s="7410"/>
      <c r="CA50" s="7410"/>
      <c r="CB50" s="7410"/>
      <c r="CC50" s="7410"/>
      <c r="CD50" s="7410"/>
      <c r="CE50" s="7410"/>
      <c r="CF50" s="7410"/>
      <c r="CG50" s="7410"/>
      <c r="CH50" s="7410"/>
      <c r="CI50" s="7410"/>
      <c r="CJ50" s="7410"/>
      <c r="CK50" s="7410"/>
      <c r="CL50" s="7410"/>
      <c r="CM50" s="7410"/>
      <c r="CN50" s="7410"/>
      <c r="CO50" s="7410"/>
      <c r="CP50" s="7410"/>
      <c r="CQ50" s="7410"/>
      <c r="CR50" s="7410"/>
      <c r="CS50" s="7410"/>
      <c r="CT50" s="7410"/>
      <c r="CU50" s="7410"/>
      <c r="CV50" s="7410"/>
      <c r="CW50" s="7410"/>
      <c r="CX50" s="7410"/>
      <c r="CY50" s="7410"/>
      <c r="CZ50" s="7410"/>
      <c r="DA50" s="7410"/>
      <c r="DB50" s="7410"/>
      <c r="DC50" s="7357"/>
    </row>
    <row r="51" spans="1:107" s="1780" customFormat="1" ht="15" customHeight="1">
      <c r="A51" s="17035"/>
      <c r="B51" s="17038"/>
      <c r="C51" s="17038"/>
      <c r="D51" s="17038"/>
      <c r="E51" s="17038"/>
      <c r="F51" s="17038"/>
      <c r="G51" s="17038"/>
      <c r="H51" s="17038"/>
      <c r="I51" s="17038"/>
      <c r="J51" s="17038"/>
      <c r="K51" s="17038"/>
      <c r="L51" s="17038"/>
      <c r="M51" s="17038"/>
      <c r="N51" s="17038"/>
      <c r="O51" s="17038"/>
      <c r="P51" s="17038"/>
      <c r="Q51" s="17041"/>
      <c r="R51" s="17005"/>
      <c r="S51" s="16993"/>
      <c r="T51" s="16993"/>
      <c r="U51" s="16993"/>
      <c r="V51" s="16993"/>
      <c r="W51" s="16993"/>
      <c r="X51" s="16515"/>
      <c r="Y51" s="16515"/>
      <c r="Z51" s="16515"/>
      <c r="AA51" s="16515"/>
      <c r="AB51" s="16515"/>
      <c r="AC51" s="16515"/>
      <c r="AD51" s="16515"/>
      <c r="AE51" s="16515"/>
      <c r="AF51" s="16515"/>
      <c r="AG51" s="16515"/>
      <c r="AH51" s="16515"/>
      <c r="AI51" s="16993"/>
      <c r="AJ51" s="16993"/>
      <c r="AK51" s="16998"/>
      <c r="AL51" s="16993"/>
      <c r="AM51" s="16993"/>
      <c r="AN51" s="16993"/>
      <c r="AO51" s="16993"/>
      <c r="AP51" s="16993"/>
      <c r="AQ51" s="16993"/>
      <c r="AR51" s="16993"/>
      <c r="AS51" s="16993"/>
      <c r="AT51" s="16993"/>
      <c r="AU51" s="16993"/>
      <c r="AV51" s="16993"/>
      <c r="AW51" s="16993"/>
      <c r="AX51" s="16993"/>
      <c r="AY51" s="16993"/>
      <c r="AZ51" s="16993"/>
      <c r="BA51" s="7423" t="s">
        <v>10194</v>
      </c>
      <c r="BB51" s="3471"/>
      <c r="BC51" s="2727" t="s">
        <v>6878</v>
      </c>
      <c r="BD51" s="16993"/>
      <c r="BE51" s="16993"/>
      <c r="BF51" s="16993"/>
      <c r="BG51" s="16993"/>
      <c r="BH51" s="17003"/>
      <c r="BI51" s="3451"/>
      <c r="BJ51" s="7416"/>
      <c r="BK51" s="7410"/>
      <c r="BL51" s="7410"/>
      <c r="BM51" s="7410"/>
      <c r="BN51" s="7410"/>
      <c r="BO51" s="7410"/>
      <c r="BP51" s="7410"/>
      <c r="BQ51" s="7410"/>
      <c r="BR51" s="7410"/>
      <c r="BS51" s="7410"/>
      <c r="BT51" s="7410"/>
      <c r="BU51" s="7410"/>
      <c r="BV51" s="7410"/>
      <c r="BW51" s="7410"/>
      <c r="BX51" s="7410"/>
      <c r="BY51" s="7410"/>
      <c r="BZ51" s="7410"/>
      <c r="CA51" s="7410"/>
      <c r="CB51" s="7410"/>
      <c r="CC51" s="7410"/>
      <c r="CD51" s="7410"/>
      <c r="CE51" s="7410"/>
      <c r="CF51" s="7410"/>
      <c r="CG51" s="7410"/>
      <c r="CH51" s="7410"/>
      <c r="CI51" s="7410"/>
      <c r="CJ51" s="7410"/>
      <c r="CK51" s="7410"/>
      <c r="CL51" s="7410"/>
      <c r="CM51" s="7410"/>
      <c r="CN51" s="7410"/>
      <c r="CO51" s="7410"/>
      <c r="CP51" s="7410"/>
      <c r="CQ51" s="7410"/>
      <c r="CR51" s="7410"/>
      <c r="CS51" s="7410"/>
      <c r="CT51" s="7410"/>
      <c r="CU51" s="7410"/>
      <c r="CV51" s="7410"/>
      <c r="CW51" s="7410"/>
      <c r="CX51" s="7410"/>
      <c r="CY51" s="7410"/>
      <c r="CZ51" s="7410"/>
      <c r="DA51" s="7410"/>
      <c r="DB51" s="7410"/>
      <c r="DC51" s="7357"/>
    </row>
    <row r="52" spans="1:107" s="1780" customFormat="1" ht="15" customHeight="1">
      <c r="A52" s="17035"/>
      <c r="B52" s="17038"/>
      <c r="C52" s="17038"/>
      <c r="D52" s="17038"/>
      <c r="E52" s="17038"/>
      <c r="F52" s="17038"/>
      <c r="G52" s="17038"/>
      <c r="H52" s="17038"/>
      <c r="I52" s="17038"/>
      <c r="J52" s="17038"/>
      <c r="K52" s="17038"/>
      <c r="L52" s="17038"/>
      <c r="M52" s="17038"/>
      <c r="N52" s="17038"/>
      <c r="O52" s="17038"/>
      <c r="P52" s="17038"/>
      <c r="Q52" s="17041"/>
      <c r="R52" s="17005"/>
      <c r="S52" s="16993"/>
      <c r="T52" s="16993"/>
      <c r="U52" s="16993"/>
      <c r="V52" s="16993"/>
      <c r="W52" s="16993"/>
      <c r="X52" s="16515"/>
      <c r="Y52" s="16515"/>
      <c r="Z52" s="16515"/>
      <c r="AA52" s="16515"/>
      <c r="AB52" s="16515"/>
      <c r="AC52" s="16515"/>
      <c r="AD52" s="16515"/>
      <c r="AE52" s="16515"/>
      <c r="AF52" s="16515"/>
      <c r="AG52" s="16515"/>
      <c r="AH52" s="16515"/>
      <c r="AI52" s="16993"/>
      <c r="AJ52" s="16993" t="s">
        <v>8337</v>
      </c>
      <c r="AK52" s="16993" t="s">
        <v>6879</v>
      </c>
      <c r="AL52" s="16993" t="s">
        <v>6880</v>
      </c>
      <c r="AM52" s="16993" t="s">
        <v>6785</v>
      </c>
      <c r="AN52" s="16993">
        <v>0</v>
      </c>
      <c r="AO52" s="16993">
        <v>4</v>
      </c>
      <c r="AP52" s="16993">
        <v>4</v>
      </c>
      <c r="AQ52" s="16993">
        <v>4</v>
      </c>
      <c r="AR52" s="16993">
        <v>4</v>
      </c>
      <c r="AS52" s="16993">
        <v>4</v>
      </c>
      <c r="AT52" s="16993">
        <v>4</v>
      </c>
      <c r="AU52" s="16993">
        <v>4</v>
      </c>
      <c r="AV52" s="16993">
        <v>4</v>
      </c>
      <c r="AW52" s="16993">
        <v>4</v>
      </c>
      <c r="AX52" s="16993">
        <v>4</v>
      </c>
      <c r="AY52" s="16993">
        <v>40</v>
      </c>
      <c r="AZ52" s="16993" t="s">
        <v>6881</v>
      </c>
      <c r="BA52" s="7423" t="s">
        <v>10290</v>
      </c>
      <c r="BB52" s="16993" t="s">
        <v>10316</v>
      </c>
      <c r="BC52" s="2727" t="s">
        <v>10317</v>
      </c>
      <c r="BD52" s="2727" t="s">
        <v>6882</v>
      </c>
      <c r="BE52" s="2727" t="s">
        <v>6837</v>
      </c>
      <c r="BF52" s="2727" t="s">
        <v>6838</v>
      </c>
      <c r="BG52" s="2727" t="s">
        <v>6839</v>
      </c>
      <c r="BH52" s="7384" t="s">
        <v>6883</v>
      </c>
      <c r="BI52" s="3451"/>
      <c r="BJ52" s="3772"/>
      <c r="BK52" s="3471"/>
      <c r="BL52" s="3471"/>
      <c r="BM52" s="3471"/>
      <c r="BN52" s="3471"/>
      <c r="BO52" s="3471"/>
      <c r="BP52" s="3471"/>
      <c r="BQ52" s="3471"/>
      <c r="BR52" s="3471"/>
      <c r="BS52" s="3471"/>
      <c r="BT52" s="3471"/>
      <c r="BU52" s="3471"/>
      <c r="BV52" s="3471"/>
      <c r="BW52" s="3471"/>
      <c r="BX52" s="3471"/>
      <c r="BY52" s="3471"/>
      <c r="BZ52" s="3471"/>
      <c r="CA52" s="3471"/>
      <c r="CB52" s="3471"/>
      <c r="CC52" s="3471"/>
      <c r="CD52" s="3471"/>
      <c r="CE52" s="3471"/>
      <c r="CF52" s="3471"/>
      <c r="CG52" s="3471"/>
      <c r="CH52" s="3471"/>
      <c r="CI52" s="3471"/>
      <c r="CJ52" s="3471"/>
      <c r="CK52" s="3471"/>
      <c r="CL52" s="3471"/>
      <c r="CM52" s="3471"/>
      <c r="CN52" s="3471"/>
      <c r="CO52" s="3471"/>
      <c r="CP52" s="3471"/>
      <c r="CQ52" s="3471"/>
      <c r="CR52" s="3471"/>
      <c r="CS52" s="3471"/>
      <c r="CT52" s="3471"/>
      <c r="CU52" s="3471"/>
      <c r="CV52" s="3471"/>
      <c r="CW52" s="3471"/>
      <c r="CX52" s="3471"/>
      <c r="CY52" s="3471"/>
      <c r="CZ52" s="3471"/>
      <c r="DA52" s="3471"/>
      <c r="DB52" s="3471"/>
      <c r="DC52" s="2054"/>
    </row>
    <row r="53" spans="1:107" s="1780" customFormat="1" ht="15" customHeight="1">
      <c r="A53" s="17035"/>
      <c r="B53" s="17038"/>
      <c r="C53" s="17038"/>
      <c r="D53" s="17038"/>
      <c r="E53" s="17038"/>
      <c r="F53" s="17038"/>
      <c r="G53" s="17038"/>
      <c r="H53" s="17038"/>
      <c r="I53" s="17038"/>
      <c r="J53" s="17038"/>
      <c r="K53" s="17038"/>
      <c r="L53" s="17038"/>
      <c r="M53" s="17038"/>
      <c r="N53" s="17038"/>
      <c r="O53" s="17038"/>
      <c r="P53" s="17038"/>
      <c r="Q53" s="17041"/>
      <c r="R53" s="17005"/>
      <c r="S53" s="16993"/>
      <c r="T53" s="16993"/>
      <c r="U53" s="16993"/>
      <c r="V53" s="16993"/>
      <c r="W53" s="16993"/>
      <c r="X53" s="16515"/>
      <c r="Y53" s="16515"/>
      <c r="Z53" s="16515"/>
      <c r="AA53" s="16515"/>
      <c r="AB53" s="16515"/>
      <c r="AC53" s="16515"/>
      <c r="AD53" s="16515"/>
      <c r="AE53" s="16515"/>
      <c r="AF53" s="16515"/>
      <c r="AG53" s="16515"/>
      <c r="AH53" s="16515"/>
      <c r="AI53" s="16993"/>
      <c r="AJ53" s="16993"/>
      <c r="AK53" s="16993"/>
      <c r="AL53" s="16993"/>
      <c r="AM53" s="16993"/>
      <c r="AN53" s="16993"/>
      <c r="AO53" s="16993"/>
      <c r="AP53" s="16993"/>
      <c r="AQ53" s="16993"/>
      <c r="AR53" s="16993"/>
      <c r="AS53" s="16993"/>
      <c r="AT53" s="16993"/>
      <c r="AU53" s="16993"/>
      <c r="AV53" s="16993"/>
      <c r="AW53" s="16993"/>
      <c r="AX53" s="16993"/>
      <c r="AY53" s="16993"/>
      <c r="AZ53" s="16993"/>
      <c r="BA53" s="7423" t="s">
        <v>10066</v>
      </c>
      <c r="BB53" s="16993"/>
      <c r="BC53" s="2727"/>
      <c r="BD53" s="2727"/>
      <c r="BE53" s="2727"/>
      <c r="BF53" s="2727"/>
      <c r="BG53" s="2727"/>
      <c r="BH53" s="7384"/>
      <c r="BI53" s="3451"/>
      <c r="BJ53" s="3772"/>
      <c r="BK53" s="3471"/>
      <c r="BL53" s="3471"/>
      <c r="BM53" s="3471"/>
      <c r="BN53" s="3471"/>
      <c r="BO53" s="3471"/>
      <c r="BP53" s="3471"/>
      <c r="BQ53" s="3471"/>
      <c r="BR53" s="3471"/>
      <c r="BS53" s="3471"/>
      <c r="BT53" s="3471"/>
      <c r="BU53" s="3471"/>
      <c r="BV53" s="3471"/>
      <c r="BW53" s="3471"/>
      <c r="BX53" s="3471"/>
      <c r="BY53" s="3471"/>
      <c r="BZ53" s="3471"/>
      <c r="CA53" s="3471"/>
      <c r="CB53" s="3471"/>
      <c r="CC53" s="3471"/>
      <c r="CD53" s="3471"/>
      <c r="CE53" s="3471"/>
      <c r="CF53" s="3471"/>
      <c r="CG53" s="3471"/>
      <c r="CH53" s="3471"/>
      <c r="CI53" s="3471"/>
      <c r="CJ53" s="3471"/>
      <c r="CK53" s="3471"/>
      <c r="CL53" s="3471"/>
      <c r="CM53" s="3471"/>
      <c r="CN53" s="3471"/>
      <c r="CO53" s="3471"/>
      <c r="CP53" s="3471"/>
      <c r="CQ53" s="3471"/>
      <c r="CR53" s="3471"/>
      <c r="CS53" s="3471"/>
      <c r="CT53" s="3471"/>
      <c r="CU53" s="3471"/>
      <c r="CV53" s="3471"/>
      <c r="CW53" s="3471"/>
      <c r="CX53" s="3471"/>
      <c r="CY53" s="3471"/>
      <c r="CZ53" s="3471"/>
      <c r="DA53" s="3471"/>
      <c r="DB53" s="3471"/>
      <c r="DC53" s="2054"/>
    </row>
    <row r="54" spans="1:107" s="1780" customFormat="1" ht="15" customHeight="1">
      <c r="A54" s="17035"/>
      <c r="B54" s="17038"/>
      <c r="C54" s="17038"/>
      <c r="D54" s="17038"/>
      <c r="E54" s="17038"/>
      <c r="F54" s="17038"/>
      <c r="G54" s="17038"/>
      <c r="H54" s="17038"/>
      <c r="I54" s="17038"/>
      <c r="J54" s="17038"/>
      <c r="K54" s="17038"/>
      <c r="L54" s="17038"/>
      <c r="M54" s="17038"/>
      <c r="N54" s="17038"/>
      <c r="O54" s="17038"/>
      <c r="P54" s="17038"/>
      <c r="Q54" s="17041"/>
      <c r="R54" s="17005"/>
      <c r="S54" s="16993"/>
      <c r="T54" s="16993"/>
      <c r="U54" s="16993"/>
      <c r="V54" s="16993"/>
      <c r="W54" s="16993"/>
      <c r="X54" s="16515"/>
      <c r="Y54" s="16515"/>
      <c r="Z54" s="16515"/>
      <c r="AA54" s="16515"/>
      <c r="AB54" s="16515"/>
      <c r="AC54" s="16515"/>
      <c r="AD54" s="16515"/>
      <c r="AE54" s="16515"/>
      <c r="AF54" s="16515"/>
      <c r="AG54" s="16515"/>
      <c r="AH54" s="16515"/>
      <c r="AI54" s="16993"/>
      <c r="AJ54" s="2727" t="s">
        <v>8338</v>
      </c>
      <c r="AK54" s="2560" t="s">
        <v>6884</v>
      </c>
      <c r="AL54" s="2727" t="s">
        <v>6885</v>
      </c>
      <c r="AM54" s="2727" t="s">
        <v>6804</v>
      </c>
      <c r="AN54" s="2727">
        <v>0</v>
      </c>
      <c r="AO54" s="2727">
        <v>8</v>
      </c>
      <c r="AP54" s="2727">
        <v>8</v>
      </c>
      <c r="AQ54" s="2727">
        <v>8</v>
      </c>
      <c r="AR54" s="2727">
        <v>8</v>
      </c>
      <c r="AS54" s="2727">
        <v>8</v>
      </c>
      <c r="AT54" s="2727">
        <v>8</v>
      </c>
      <c r="AU54" s="2727">
        <v>8</v>
      </c>
      <c r="AV54" s="2727">
        <v>8</v>
      </c>
      <c r="AW54" s="2727">
        <v>8</v>
      </c>
      <c r="AX54" s="2727">
        <v>8</v>
      </c>
      <c r="AY54" s="2727">
        <v>88</v>
      </c>
      <c r="AZ54" s="2727" t="s">
        <v>6817</v>
      </c>
      <c r="BA54" s="7423" t="s">
        <v>10290</v>
      </c>
      <c r="BB54" s="2727" t="s">
        <v>6886</v>
      </c>
      <c r="BC54" s="2727" t="s">
        <v>6889</v>
      </c>
      <c r="BD54" s="2727" t="s">
        <v>6887</v>
      </c>
      <c r="BE54" s="2727" t="s">
        <v>6837</v>
      </c>
      <c r="BF54" s="2727" t="s">
        <v>6838</v>
      </c>
      <c r="BG54" s="2727" t="s">
        <v>6839</v>
      </c>
      <c r="BH54" s="7384" t="s">
        <v>6888</v>
      </c>
      <c r="BI54" s="3451"/>
      <c r="BJ54" s="7416"/>
      <c r="BK54" s="7410"/>
      <c r="BL54" s="7410"/>
      <c r="BM54" s="7410"/>
      <c r="BN54" s="7410"/>
      <c r="BO54" s="7410"/>
      <c r="BP54" s="7410"/>
      <c r="BQ54" s="7410"/>
      <c r="BR54" s="7410"/>
      <c r="BS54" s="7410"/>
      <c r="BT54" s="7410"/>
      <c r="BU54" s="7410"/>
      <c r="BV54" s="7410"/>
      <c r="BW54" s="7410"/>
      <c r="BX54" s="7410"/>
      <c r="BY54" s="7410"/>
      <c r="BZ54" s="7410"/>
      <c r="CA54" s="7410"/>
      <c r="CB54" s="7410"/>
      <c r="CC54" s="7410"/>
      <c r="CD54" s="7410"/>
      <c r="CE54" s="7410"/>
      <c r="CF54" s="7410"/>
      <c r="CG54" s="7410"/>
      <c r="CH54" s="7410"/>
      <c r="CI54" s="7410"/>
      <c r="CJ54" s="7410"/>
      <c r="CK54" s="7410"/>
      <c r="CL54" s="7410"/>
      <c r="CM54" s="7410"/>
      <c r="CN54" s="7410"/>
      <c r="CO54" s="7410"/>
      <c r="CP54" s="7410"/>
      <c r="CQ54" s="7410"/>
      <c r="CR54" s="7410"/>
      <c r="CS54" s="7410"/>
      <c r="CT54" s="7410"/>
      <c r="CU54" s="7410"/>
      <c r="CV54" s="7410"/>
      <c r="CW54" s="7410"/>
      <c r="CX54" s="7410"/>
      <c r="CY54" s="7410"/>
      <c r="CZ54" s="7410"/>
      <c r="DA54" s="4045"/>
      <c r="DB54" s="4045"/>
      <c r="DC54" s="7357"/>
    </row>
    <row r="55" spans="1:107" s="1780" customFormat="1" ht="15" customHeight="1">
      <c r="A55" s="17035"/>
      <c r="B55" s="17038"/>
      <c r="C55" s="17038"/>
      <c r="D55" s="17038"/>
      <c r="E55" s="17038"/>
      <c r="F55" s="17038"/>
      <c r="G55" s="17038"/>
      <c r="H55" s="17038"/>
      <c r="I55" s="17038"/>
      <c r="J55" s="17038"/>
      <c r="K55" s="17038"/>
      <c r="L55" s="17038"/>
      <c r="M55" s="17038"/>
      <c r="N55" s="17038"/>
      <c r="O55" s="17038"/>
      <c r="P55" s="17038"/>
      <c r="Q55" s="17041"/>
      <c r="R55" s="17005"/>
      <c r="S55" s="16993"/>
      <c r="T55" s="16993"/>
      <c r="U55" s="16993"/>
      <c r="V55" s="16993"/>
      <c r="W55" s="16993"/>
      <c r="X55" s="16515"/>
      <c r="Y55" s="16515"/>
      <c r="Z55" s="16515"/>
      <c r="AA55" s="16515"/>
      <c r="AB55" s="16515"/>
      <c r="AC55" s="16515"/>
      <c r="AD55" s="16515"/>
      <c r="AE55" s="16515"/>
      <c r="AF55" s="16515"/>
      <c r="AG55" s="16515"/>
      <c r="AH55" s="16515"/>
      <c r="AI55" s="16993"/>
      <c r="AJ55" s="2727" t="s">
        <v>8339</v>
      </c>
      <c r="AK55" s="2560" t="s">
        <v>6890</v>
      </c>
      <c r="AL55" s="2727" t="s">
        <v>6891</v>
      </c>
      <c r="AM55" s="2727" t="s">
        <v>6804</v>
      </c>
      <c r="AN55" s="2727">
        <v>0</v>
      </c>
      <c r="AO55" s="2727">
        <v>10</v>
      </c>
      <c r="AP55" s="2727">
        <v>10</v>
      </c>
      <c r="AQ55" s="2727">
        <v>10</v>
      </c>
      <c r="AR55" s="2727">
        <v>10</v>
      </c>
      <c r="AS55" s="2727">
        <v>10</v>
      </c>
      <c r="AT55" s="2727">
        <v>10</v>
      </c>
      <c r="AU55" s="2727">
        <v>10</v>
      </c>
      <c r="AV55" s="2727">
        <v>10</v>
      </c>
      <c r="AW55" s="2727">
        <v>10</v>
      </c>
      <c r="AX55" s="2727">
        <v>10</v>
      </c>
      <c r="AY55" s="2727">
        <v>100</v>
      </c>
      <c r="AZ55" s="2727" t="s">
        <v>6892</v>
      </c>
      <c r="BA55" s="7423" t="s">
        <v>10290</v>
      </c>
      <c r="BB55" s="2727" t="s">
        <v>6893</v>
      </c>
      <c r="BC55" s="2727" t="s">
        <v>6894</v>
      </c>
      <c r="BD55" s="2727" t="s">
        <v>6887</v>
      </c>
      <c r="BE55" s="2727" t="s">
        <v>6837</v>
      </c>
      <c r="BF55" s="2727" t="s">
        <v>6838</v>
      </c>
      <c r="BG55" s="2727" t="s">
        <v>6839</v>
      </c>
      <c r="BH55" s="7384" t="s">
        <v>6888</v>
      </c>
      <c r="BI55" s="3451"/>
      <c r="BJ55" s="7416"/>
      <c r="BK55" s="7410"/>
      <c r="BL55" s="7410"/>
      <c r="BM55" s="7410"/>
      <c r="BN55" s="7410"/>
      <c r="BO55" s="7410"/>
      <c r="BP55" s="7410"/>
      <c r="BQ55" s="7410"/>
      <c r="BR55" s="7410"/>
      <c r="BS55" s="7410"/>
      <c r="BT55" s="7410"/>
      <c r="BU55" s="7410"/>
      <c r="BV55" s="7410"/>
      <c r="BW55" s="7410"/>
      <c r="BX55" s="7410"/>
      <c r="BY55" s="7410"/>
      <c r="BZ55" s="7410"/>
      <c r="CA55" s="7410"/>
      <c r="CB55" s="7410"/>
      <c r="CC55" s="7410"/>
      <c r="CD55" s="7410"/>
      <c r="CE55" s="7410"/>
      <c r="CF55" s="7410"/>
      <c r="CG55" s="7410"/>
      <c r="CH55" s="7410"/>
      <c r="CI55" s="7410"/>
      <c r="CJ55" s="7410"/>
      <c r="CK55" s="7410"/>
      <c r="CL55" s="7410"/>
      <c r="CM55" s="7410"/>
      <c r="CN55" s="7410"/>
      <c r="CO55" s="7410"/>
      <c r="CP55" s="7410"/>
      <c r="CQ55" s="7410"/>
      <c r="CR55" s="7410"/>
      <c r="CS55" s="7410"/>
      <c r="CT55" s="7410"/>
      <c r="CU55" s="7410"/>
      <c r="CV55" s="7410"/>
      <c r="CW55" s="7410"/>
      <c r="CX55" s="7410"/>
      <c r="CY55" s="7410"/>
      <c r="CZ55" s="7410"/>
      <c r="DA55" s="4045"/>
      <c r="DB55" s="4045"/>
      <c r="DC55" s="7357"/>
    </row>
    <row r="56" spans="1:107" s="1780" customFormat="1" ht="15" customHeight="1">
      <c r="A56" s="17035"/>
      <c r="B56" s="17038"/>
      <c r="C56" s="17038"/>
      <c r="D56" s="17038"/>
      <c r="E56" s="17038"/>
      <c r="F56" s="17038"/>
      <c r="G56" s="17038"/>
      <c r="H56" s="17038"/>
      <c r="I56" s="17038"/>
      <c r="J56" s="17038"/>
      <c r="K56" s="17038"/>
      <c r="L56" s="17038"/>
      <c r="M56" s="17038"/>
      <c r="N56" s="17038"/>
      <c r="O56" s="17038"/>
      <c r="P56" s="17038"/>
      <c r="Q56" s="17041"/>
      <c r="R56" s="17005"/>
      <c r="S56" s="16993"/>
      <c r="T56" s="16993"/>
      <c r="U56" s="16993"/>
      <c r="V56" s="16993"/>
      <c r="W56" s="16993"/>
      <c r="X56" s="16515"/>
      <c r="Y56" s="16515"/>
      <c r="Z56" s="16515"/>
      <c r="AA56" s="16515"/>
      <c r="AB56" s="16515"/>
      <c r="AC56" s="16515"/>
      <c r="AD56" s="16515"/>
      <c r="AE56" s="16515"/>
      <c r="AF56" s="16515"/>
      <c r="AG56" s="16515"/>
      <c r="AH56" s="16515"/>
      <c r="AI56" s="16993"/>
      <c r="AJ56" s="2727" t="s">
        <v>8340</v>
      </c>
      <c r="AK56" s="2560" t="s">
        <v>6895</v>
      </c>
      <c r="AL56" s="2727" t="s">
        <v>6896</v>
      </c>
      <c r="AM56" s="2727" t="s">
        <v>6804</v>
      </c>
      <c r="AN56" s="2727">
        <v>100</v>
      </c>
      <c r="AO56" s="2727">
        <v>100</v>
      </c>
      <c r="AP56" s="2727">
        <v>150</v>
      </c>
      <c r="AQ56" s="2727">
        <v>200</v>
      </c>
      <c r="AR56" s="2727">
        <v>200</v>
      </c>
      <c r="AS56" s="2727">
        <v>200</v>
      </c>
      <c r="AT56" s="2727">
        <v>200</v>
      </c>
      <c r="AU56" s="2727">
        <v>200</v>
      </c>
      <c r="AV56" s="2727">
        <v>200</v>
      </c>
      <c r="AW56" s="2727">
        <v>200</v>
      </c>
      <c r="AX56" s="2727">
        <v>200</v>
      </c>
      <c r="AY56" s="2727">
        <v>1850</v>
      </c>
      <c r="AZ56" s="2727" t="s">
        <v>6892</v>
      </c>
      <c r="BA56" s="7423" t="s">
        <v>10290</v>
      </c>
      <c r="BB56" s="2727" t="s">
        <v>6897</v>
      </c>
      <c r="BC56" s="2727" t="s">
        <v>6894</v>
      </c>
      <c r="BD56" s="2727" t="s">
        <v>6898</v>
      </c>
      <c r="BE56" s="2727" t="s">
        <v>6837</v>
      </c>
      <c r="BF56" s="2727" t="s">
        <v>6838</v>
      </c>
      <c r="BG56" s="2727" t="s">
        <v>6839</v>
      </c>
      <c r="BH56" s="7384" t="s">
        <v>6899</v>
      </c>
      <c r="BI56" s="3451"/>
      <c r="BJ56" s="7416"/>
      <c r="BK56" s="7410"/>
      <c r="BL56" s="7410"/>
      <c r="BM56" s="7410"/>
      <c r="BN56" s="7410"/>
      <c r="BO56" s="7410"/>
      <c r="BP56" s="7410"/>
      <c r="BQ56" s="7410"/>
      <c r="BR56" s="7410"/>
      <c r="BS56" s="7410"/>
      <c r="BT56" s="7410"/>
      <c r="BU56" s="7410"/>
      <c r="BV56" s="7410"/>
      <c r="BW56" s="7410"/>
      <c r="BX56" s="7410"/>
      <c r="BY56" s="7410"/>
      <c r="BZ56" s="7410"/>
      <c r="CA56" s="7410"/>
      <c r="CB56" s="7410"/>
      <c r="CC56" s="7410"/>
      <c r="CD56" s="7410"/>
      <c r="CE56" s="7410"/>
      <c r="CF56" s="7410"/>
      <c r="CG56" s="7410"/>
      <c r="CH56" s="7410"/>
      <c r="CI56" s="7410"/>
      <c r="CJ56" s="7410"/>
      <c r="CK56" s="7410"/>
      <c r="CL56" s="7410"/>
      <c r="CM56" s="7410"/>
      <c r="CN56" s="7410"/>
      <c r="CO56" s="7410"/>
      <c r="CP56" s="7410"/>
      <c r="CQ56" s="7410"/>
      <c r="CR56" s="7410"/>
      <c r="CS56" s="7410"/>
      <c r="CT56" s="7410"/>
      <c r="CU56" s="7410"/>
      <c r="CV56" s="7410"/>
      <c r="CW56" s="7410"/>
      <c r="CX56" s="7410"/>
      <c r="CY56" s="7410"/>
      <c r="CZ56" s="7410"/>
      <c r="DA56" s="4045"/>
      <c r="DB56" s="4045"/>
      <c r="DC56" s="7357"/>
    </row>
    <row r="57" spans="1:107" s="1780" customFormat="1" ht="15" customHeight="1">
      <c r="A57" s="17035"/>
      <c r="B57" s="17038"/>
      <c r="C57" s="17038"/>
      <c r="D57" s="17038"/>
      <c r="E57" s="17038"/>
      <c r="F57" s="17038"/>
      <c r="G57" s="17038"/>
      <c r="H57" s="17038"/>
      <c r="I57" s="17038"/>
      <c r="J57" s="17038"/>
      <c r="K57" s="17038"/>
      <c r="L57" s="17038"/>
      <c r="M57" s="17038"/>
      <c r="N57" s="17038"/>
      <c r="O57" s="17038"/>
      <c r="P57" s="17038"/>
      <c r="Q57" s="17041"/>
      <c r="R57" s="17005"/>
      <c r="S57" s="16993"/>
      <c r="T57" s="16993"/>
      <c r="U57" s="16993"/>
      <c r="V57" s="16993"/>
      <c r="W57" s="16993"/>
      <c r="X57" s="16515"/>
      <c r="Y57" s="16515"/>
      <c r="Z57" s="16515"/>
      <c r="AA57" s="16515"/>
      <c r="AB57" s="16515"/>
      <c r="AC57" s="16515"/>
      <c r="AD57" s="16515"/>
      <c r="AE57" s="16515"/>
      <c r="AF57" s="16515"/>
      <c r="AG57" s="16515"/>
      <c r="AH57" s="16515"/>
      <c r="AI57" s="16993"/>
      <c r="AJ57" s="16993" t="s">
        <v>8341</v>
      </c>
      <c r="AK57" s="16993" t="s">
        <v>6900</v>
      </c>
      <c r="AL57" s="16993" t="s">
        <v>6901</v>
      </c>
      <c r="AM57" s="16993" t="s">
        <v>6785</v>
      </c>
      <c r="AN57" s="16993">
        <v>2</v>
      </c>
      <c r="AO57" s="16993">
        <v>2</v>
      </c>
      <c r="AP57" s="16993">
        <v>2</v>
      </c>
      <c r="AQ57" s="16993">
        <v>2</v>
      </c>
      <c r="AR57" s="16993">
        <v>2</v>
      </c>
      <c r="AS57" s="16993">
        <v>2</v>
      </c>
      <c r="AT57" s="16993">
        <v>2</v>
      </c>
      <c r="AU57" s="16993">
        <v>2</v>
      </c>
      <c r="AV57" s="16993">
        <v>2</v>
      </c>
      <c r="AW57" s="16993">
        <v>2</v>
      </c>
      <c r="AX57" s="16993">
        <v>2</v>
      </c>
      <c r="AY57" s="16993">
        <v>20</v>
      </c>
      <c r="AZ57" s="16993" t="s">
        <v>6902</v>
      </c>
      <c r="BA57" s="7423" t="s">
        <v>2896</v>
      </c>
      <c r="BB57" s="16993" t="s">
        <v>10318</v>
      </c>
      <c r="BC57" s="2727" t="s">
        <v>10319</v>
      </c>
      <c r="BD57" s="2727" t="s">
        <v>6903</v>
      </c>
      <c r="BE57" s="2727" t="s">
        <v>6837</v>
      </c>
      <c r="BF57" s="2727" t="s">
        <v>6838</v>
      </c>
      <c r="BG57" s="2727" t="s">
        <v>6839</v>
      </c>
      <c r="BH57" s="7384" t="s">
        <v>6904</v>
      </c>
      <c r="BI57" s="3451"/>
      <c r="BJ57" s="7416"/>
      <c r="BK57" s="7410"/>
      <c r="BL57" s="7410"/>
      <c r="BM57" s="7410"/>
      <c r="BN57" s="7410"/>
      <c r="BO57" s="7410"/>
      <c r="BP57" s="7410"/>
      <c r="BQ57" s="7410"/>
      <c r="BR57" s="7410"/>
      <c r="BS57" s="7410"/>
      <c r="BT57" s="7410"/>
      <c r="BU57" s="7410"/>
      <c r="BV57" s="7410"/>
      <c r="BW57" s="7410"/>
      <c r="BX57" s="7410"/>
      <c r="BY57" s="7410"/>
      <c r="BZ57" s="7410"/>
      <c r="CA57" s="7410"/>
      <c r="CB57" s="7410"/>
      <c r="CC57" s="7410"/>
      <c r="CD57" s="7410"/>
      <c r="CE57" s="7410"/>
      <c r="CF57" s="7410"/>
      <c r="CG57" s="7410"/>
      <c r="CH57" s="7410"/>
      <c r="CI57" s="7410"/>
      <c r="CJ57" s="7410"/>
      <c r="CK57" s="7410"/>
      <c r="CL57" s="7410"/>
      <c r="CM57" s="7410"/>
      <c r="CN57" s="7410"/>
      <c r="CO57" s="7410"/>
      <c r="CP57" s="7410"/>
      <c r="CQ57" s="7410"/>
      <c r="CR57" s="7410"/>
      <c r="CS57" s="7410"/>
      <c r="CT57" s="7410"/>
      <c r="CU57" s="7410"/>
      <c r="CV57" s="7410"/>
      <c r="CW57" s="7410"/>
      <c r="CX57" s="7410"/>
      <c r="CY57" s="7410"/>
      <c r="CZ57" s="7410"/>
      <c r="DA57" s="3471"/>
      <c r="DB57" s="3471"/>
      <c r="DC57" s="2054"/>
    </row>
    <row r="58" spans="1:107" s="1780" customFormat="1" ht="15" customHeight="1">
      <c r="A58" s="17035"/>
      <c r="B58" s="17038"/>
      <c r="C58" s="17038"/>
      <c r="D58" s="17038"/>
      <c r="E58" s="17038"/>
      <c r="F58" s="17038"/>
      <c r="G58" s="17038"/>
      <c r="H58" s="17038"/>
      <c r="I58" s="17038"/>
      <c r="J58" s="17038"/>
      <c r="K58" s="17038"/>
      <c r="L58" s="17038"/>
      <c r="M58" s="17038"/>
      <c r="N58" s="17038"/>
      <c r="O58" s="17038"/>
      <c r="P58" s="17038"/>
      <c r="Q58" s="17041"/>
      <c r="R58" s="17005"/>
      <c r="S58" s="16993"/>
      <c r="T58" s="16993"/>
      <c r="U58" s="16993"/>
      <c r="V58" s="16993"/>
      <c r="W58" s="16993"/>
      <c r="X58" s="16515"/>
      <c r="Y58" s="16515"/>
      <c r="Z58" s="16515"/>
      <c r="AA58" s="16515"/>
      <c r="AB58" s="16515"/>
      <c r="AC58" s="16515"/>
      <c r="AD58" s="16515"/>
      <c r="AE58" s="16515"/>
      <c r="AF58" s="16515"/>
      <c r="AG58" s="16515"/>
      <c r="AH58" s="16515"/>
      <c r="AI58" s="16993"/>
      <c r="AJ58" s="16993"/>
      <c r="AK58" s="16993"/>
      <c r="AL58" s="16993"/>
      <c r="AM58" s="16993"/>
      <c r="AN58" s="16993"/>
      <c r="AO58" s="16993"/>
      <c r="AP58" s="16993"/>
      <c r="AQ58" s="16993"/>
      <c r="AR58" s="16993"/>
      <c r="AS58" s="16993"/>
      <c r="AT58" s="16993"/>
      <c r="AU58" s="16993"/>
      <c r="AV58" s="16993"/>
      <c r="AW58" s="16993"/>
      <c r="AX58" s="16993"/>
      <c r="AY58" s="16993"/>
      <c r="AZ58" s="16993"/>
      <c r="BA58" s="7423" t="s">
        <v>10290</v>
      </c>
      <c r="BB58" s="16993"/>
      <c r="BC58" s="2727"/>
      <c r="BD58" s="2727"/>
      <c r="BE58" s="2727"/>
      <c r="BF58" s="2727"/>
      <c r="BG58" s="2727"/>
      <c r="BH58" s="7384"/>
      <c r="BI58" s="3451"/>
      <c r="BJ58" s="3772"/>
      <c r="BK58" s="3471"/>
      <c r="BL58" s="3471"/>
      <c r="BM58" s="3471"/>
      <c r="BN58" s="3471"/>
      <c r="BO58" s="3471"/>
      <c r="BP58" s="3471"/>
      <c r="BQ58" s="3471"/>
      <c r="BR58" s="3471"/>
      <c r="BS58" s="3471"/>
      <c r="BT58" s="3471"/>
      <c r="BU58" s="3471"/>
      <c r="BV58" s="3471"/>
      <c r="BW58" s="3471"/>
      <c r="BX58" s="3471"/>
      <c r="BY58" s="3471"/>
      <c r="BZ58" s="3471"/>
      <c r="CA58" s="3471"/>
      <c r="CB58" s="3471"/>
      <c r="CC58" s="3471"/>
      <c r="CD58" s="3471"/>
      <c r="CE58" s="3471"/>
      <c r="CF58" s="3471"/>
      <c r="CG58" s="3471"/>
      <c r="CH58" s="3471"/>
      <c r="CI58" s="3471"/>
      <c r="CJ58" s="3471"/>
      <c r="CK58" s="3471"/>
      <c r="CL58" s="3471"/>
      <c r="CM58" s="3471"/>
      <c r="CN58" s="3471"/>
      <c r="CO58" s="3471"/>
      <c r="CP58" s="3471"/>
      <c r="CQ58" s="3471"/>
      <c r="CR58" s="3471"/>
      <c r="CS58" s="3471"/>
      <c r="CT58" s="3471"/>
      <c r="CU58" s="3471"/>
      <c r="CV58" s="3471"/>
      <c r="CW58" s="3471"/>
      <c r="CX58" s="3471"/>
      <c r="CY58" s="3471"/>
      <c r="CZ58" s="3471"/>
      <c r="DA58" s="3471"/>
      <c r="DB58" s="3471"/>
      <c r="DC58" s="2054"/>
    </row>
    <row r="59" spans="1:107" s="1780" customFormat="1" ht="15" customHeight="1" thickBot="1">
      <c r="A59" s="17035"/>
      <c r="B59" s="17038"/>
      <c r="C59" s="17038"/>
      <c r="D59" s="17038"/>
      <c r="E59" s="17038"/>
      <c r="F59" s="17038"/>
      <c r="G59" s="17038"/>
      <c r="H59" s="17038"/>
      <c r="I59" s="17038"/>
      <c r="J59" s="17038"/>
      <c r="K59" s="17038"/>
      <c r="L59" s="17038"/>
      <c r="M59" s="17038"/>
      <c r="N59" s="17038"/>
      <c r="O59" s="17038"/>
      <c r="P59" s="17038"/>
      <c r="Q59" s="17041"/>
      <c r="R59" s="17006"/>
      <c r="S59" s="16995"/>
      <c r="T59" s="16995"/>
      <c r="U59" s="16995"/>
      <c r="V59" s="16995"/>
      <c r="W59" s="16995"/>
      <c r="X59" s="16984"/>
      <c r="Y59" s="16984"/>
      <c r="Z59" s="16984"/>
      <c r="AA59" s="16984"/>
      <c r="AB59" s="16984"/>
      <c r="AC59" s="16984"/>
      <c r="AD59" s="16984"/>
      <c r="AE59" s="16984"/>
      <c r="AF59" s="16984"/>
      <c r="AG59" s="16984"/>
      <c r="AH59" s="16984"/>
      <c r="AI59" s="16995"/>
      <c r="AJ59" s="4347" t="s">
        <v>8342</v>
      </c>
      <c r="AK59" s="7358" t="s">
        <v>6905</v>
      </c>
      <c r="AL59" s="4347" t="s">
        <v>6906</v>
      </c>
      <c r="AM59" s="4347" t="s">
        <v>6785</v>
      </c>
      <c r="AN59" s="4347">
        <v>100</v>
      </c>
      <c r="AO59" s="4347">
        <v>150</v>
      </c>
      <c r="AP59" s="4347">
        <v>150</v>
      </c>
      <c r="AQ59" s="4347">
        <v>150</v>
      </c>
      <c r="AR59" s="4347">
        <v>150</v>
      </c>
      <c r="AS59" s="4347">
        <v>150</v>
      </c>
      <c r="AT59" s="4347">
        <v>150</v>
      </c>
      <c r="AU59" s="4347">
        <v>150</v>
      </c>
      <c r="AV59" s="4347">
        <v>150</v>
      </c>
      <c r="AW59" s="4347">
        <v>150</v>
      </c>
      <c r="AX59" s="4347">
        <v>150</v>
      </c>
      <c r="AY59" s="4347">
        <v>1500</v>
      </c>
      <c r="AZ59" s="4347" t="s">
        <v>6892</v>
      </c>
      <c r="BA59" s="7424" t="s">
        <v>10290</v>
      </c>
      <c r="BB59" s="4347" t="s">
        <v>6907</v>
      </c>
      <c r="BC59" s="4347"/>
      <c r="BD59" s="4347" t="s">
        <v>6908</v>
      </c>
      <c r="BE59" s="4347" t="s">
        <v>6837</v>
      </c>
      <c r="BF59" s="4347" t="s">
        <v>6838</v>
      </c>
      <c r="BG59" s="4347" t="s">
        <v>6839</v>
      </c>
      <c r="BH59" s="7385" t="s">
        <v>6909</v>
      </c>
      <c r="BI59" s="3451"/>
      <c r="BJ59" s="3810"/>
      <c r="BK59" s="1943"/>
      <c r="BL59" s="1943"/>
      <c r="BM59" s="1943"/>
      <c r="BN59" s="1943"/>
      <c r="BO59" s="1943"/>
      <c r="BP59" s="1943"/>
      <c r="BQ59" s="1943"/>
      <c r="BR59" s="1943"/>
      <c r="BS59" s="1943"/>
      <c r="BT59" s="1943"/>
      <c r="BU59" s="1943"/>
      <c r="BV59" s="1943"/>
      <c r="BW59" s="1943"/>
      <c r="BX59" s="1943"/>
      <c r="BY59" s="1943"/>
      <c r="BZ59" s="1943"/>
      <c r="CA59" s="1943"/>
      <c r="CB59" s="1943"/>
      <c r="CC59" s="1943"/>
      <c r="CD59" s="1943"/>
      <c r="CE59" s="1943"/>
      <c r="CF59" s="1943"/>
      <c r="CG59" s="1943"/>
      <c r="CH59" s="1943"/>
      <c r="CI59" s="1943"/>
      <c r="CJ59" s="1943"/>
      <c r="CK59" s="1943"/>
      <c r="CL59" s="1943"/>
      <c r="CM59" s="1943"/>
      <c r="CN59" s="1943"/>
      <c r="CO59" s="1943"/>
      <c r="CP59" s="1943"/>
      <c r="CQ59" s="1943"/>
      <c r="CR59" s="1943"/>
      <c r="CS59" s="1943"/>
      <c r="CT59" s="1943"/>
      <c r="CU59" s="1943"/>
      <c r="CV59" s="1943"/>
      <c r="CW59" s="1943"/>
      <c r="CX59" s="1943"/>
      <c r="CY59" s="1943"/>
      <c r="CZ59" s="1943"/>
      <c r="DA59" s="1943"/>
      <c r="DB59" s="1943"/>
      <c r="DC59" s="1944"/>
    </row>
    <row r="60" spans="1:107" s="1799" customFormat="1" ht="15" customHeight="1">
      <c r="A60" s="17035"/>
      <c r="B60" s="17038"/>
      <c r="C60" s="17038"/>
      <c r="D60" s="17038"/>
      <c r="E60" s="17038"/>
      <c r="F60" s="17038"/>
      <c r="G60" s="17038"/>
      <c r="H60" s="17038"/>
      <c r="I60" s="17038"/>
      <c r="J60" s="17038"/>
      <c r="K60" s="17038"/>
      <c r="L60" s="17038"/>
      <c r="M60" s="17038"/>
      <c r="N60" s="17038"/>
      <c r="O60" s="17038"/>
      <c r="P60" s="17038"/>
      <c r="Q60" s="17041"/>
      <c r="R60" s="17024" t="s">
        <v>6910</v>
      </c>
      <c r="S60" s="17012" t="s">
        <v>6911</v>
      </c>
      <c r="T60" s="17012" t="s">
        <v>6912</v>
      </c>
      <c r="U60" s="17012" t="s">
        <v>6913</v>
      </c>
      <c r="V60" s="17012" t="s">
        <v>5126</v>
      </c>
      <c r="W60" s="17012" t="s">
        <v>1019</v>
      </c>
      <c r="X60" s="17013">
        <v>0.3</v>
      </c>
      <c r="Y60" s="17013">
        <v>0.3</v>
      </c>
      <c r="Z60" s="17013">
        <v>0.3</v>
      </c>
      <c r="AA60" s="17013">
        <v>0.4</v>
      </c>
      <c r="AB60" s="17013">
        <v>0.4</v>
      </c>
      <c r="AC60" s="17013">
        <v>0.4</v>
      </c>
      <c r="AD60" s="17013">
        <v>0.5</v>
      </c>
      <c r="AE60" s="17013">
        <v>0.5</v>
      </c>
      <c r="AF60" s="17013">
        <v>0.5</v>
      </c>
      <c r="AG60" s="17013">
        <v>0.5</v>
      </c>
      <c r="AH60" s="17013">
        <v>0.5</v>
      </c>
      <c r="AI60" s="17012" t="s">
        <v>6782</v>
      </c>
      <c r="AJ60" s="17012" t="s">
        <v>8343</v>
      </c>
      <c r="AK60" s="17012" t="s">
        <v>6914</v>
      </c>
      <c r="AL60" s="17012" t="s">
        <v>6915</v>
      </c>
      <c r="AM60" s="17012" t="s">
        <v>6796</v>
      </c>
      <c r="AN60" s="17012">
        <v>0</v>
      </c>
      <c r="AO60" s="17012">
        <v>1</v>
      </c>
      <c r="AP60" s="17012">
        <v>1</v>
      </c>
      <c r="AQ60" s="17012">
        <v>1</v>
      </c>
      <c r="AR60" s="17012">
        <v>1</v>
      </c>
      <c r="AS60" s="17012">
        <v>1</v>
      </c>
      <c r="AT60" s="17012">
        <v>1</v>
      </c>
      <c r="AU60" s="17012">
        <v>1</v>
      </c>
      <c r="AV60" s="17012">
        <v>1</v>
      </c>
      <c r="AW60" s="17012">
        <v>1</v>
      </c>
      <c r="AX60" s="17012">
        <v>1</v>
      </c>
      <c r="AY60" s="17012">
        <v>10</v>
      </c>
      <c r="AZ60" s="17012" t="s">
        <v>6916</v>
      </c>
      <c r="BA60" s="7425" t="s">
        <v>10320</v>
      </c>
      <c r="BB60" s="17012" t="s">
        <v>6917</v>
      </c>
      <c r="BC60" s="7359"/>
      <c r="BD60" s="7360" t="s">
        <v>6918</v>
      </c>
      <c r="BE60" s="7360"/>
      <c r="BF60" s="7360"/>
      <c r="BG60" s="7360"/>
      <c r="BH60" s="7386" t="s">
        <v>6918</v>
      </c>
      <c r="BI60" s="3451"/>
      <c r="BJ60" s="7401"/>
      <c r="BK60" s="7361"/>
      <c r="BL60" s="7361"/>
      <c r="BM60" s="7361"/>
      <c r="BN60" s="7361"/>
      <c r="BO60" s="7361"/>
      <c r="BP60" s="7361"/>
      <c r="BQ60" s="7361"/>
      <c r="BR60" s="7361"/>
      <c r="BS60" s="7361"/>
      <c r="BT60" s="7361"/>
      <c r="BU60" s="7361"/>
      <c r="BV60" s="7361"/>
      <c r="BW60" s="7361"/>
      <c r="BX60" s="7361"/>
      <c r="BY60" s="7361"/>
      <c r="BZ60" s="7361"/>
      <c r="CA60" s="7361"/>
      <c r="CB60" s="7361"/>
      <c r="CC60" s="7361"/>
      <c r="CD60" s="7361"/>
      <c r="CE60" s="7361"/>
      <c r="CF60" s="7361"/>
      <c r="CG60" s="7361"/>
      <c r="CH60" s="7361"/>
      <c r="CI60" s="7361"/>
      <c r="CJ60" s="7361"/>
      <c r="CK60" s="7361"/>
      <c r="CL60" s="7361"/>
      <c r="CM60" s="7361"/>
      <c r="CN60" s="7361"/>
      <c r="CO60" s="7361"/>
      <c r="CP60" s="7361"/>
      <c r="CQ60" s="7361"/>
      <c r="CR60" s="7361"/>
      <c r="CS60" s="7361"/>
      <c r="CT60" s="7361"/>
      <c r="CU60" s="7361"/>
      <c r="CV60" s="7361"/>
      <c r="CW60" s="7361"/>
      <c r="CX60" s="7361"/>
      <c r="CY60" s="7361"/>
      <c r="CZ60" s="7361"/>
      <c r="DA60" s="7361"/>
      <c r="DB60" s="7361"/>
      <c r="DC60" s="7362"/>
    </row>
    <row r="61" spans="1:107" s="1799" customFormat="1" ht="15" customHeight="1">
      <c r="A61" s="17035"/>
      <c r="B61" s="17038"/>
      <c r="C61" s="17038"/>
      <c r="D61" s="17038"/>
      <c r="E61" s="17038"/>
      <c r="F61" s="17038"/>
      <c r="G61" s="17038"/>
      <c r="H61" s="17038"/>
      <c r="I61" s="17038"/>
      <c r="J61" s="17038"/>
      <c r="K61" s="17038"/>
      <c r="L61" s="17038"/>
      <c r="M61" s="17038"/>
      <c r="N61" s="17038"/>
      <c r="O61" s="17038"/>
      <c r="P61" s="17038"/>
      <c r="Q61" s="17041"/>
      <c r="R61" s="17025"/>
      <c r="S61" s="15925"/>
      <c r="T61" s="15925"/>
      <c r="U61" s="15925"/>
      <c r="V61" s="15925"/>
      <c r="W61" s="15925"/>
      <c r="X61" s="16525"/>
      <c r="Y61" s="16525"/>
      <c r="Z61" s="16525"/>
      <c r="AA61" s="16525"/>
      <c r="AB61" s="16525"/>
      <c r="AC61" s="16525"/>
      <c r="AD61" s="16525"/>
      <c r="AE61" s="16525"/>
      <c r="AF61" s="16525"/>
      <c r="AG61" s="16525"/>
      <c r="AH61" s="16525"/>
      <c r="AI61" s="15925"/>
      <c r="AJ61" s="15925"/>
      <c r="AK61" s="15925"/>
      <c r="AL61" s="15925"/>
      <c r="AM61" s="15925"/>
      <c r="AN61" s="15925"/>
      <c r="AO61" s="15925"/>
      <c r="AP61" s="15925"/>
      <c r="AQ61" s="15925"/>
      <c r="AR61" s="15925"/>
      <c r="AS61" s="15925"/>
      <c r="AT61" s="15925"/>
      <c r="AU61" s="15925"/>
      <c r="AV61" s="15925"/>
      <c r="AW61" s="15925"/>
      <c r="AX61" s="15925"/>
      <c r="AY61" s="15925"/>
      <c r="AZ61" s="15925"/>
      <c r="BA61" s="5247" t="s">
        <v>218</v>
      </c>
      <c r="BB61" s="15925"/>
      <c r="BC61" s="7363"/>
      <c r="BD61" s="5248"/>
      <c r="BE61" s="5248"/>
      <c r="BF61" s="5248"/>
      <c r="BG61" s="5248"/>
      <c r="BH61" s="7387"/>
      <c r="BI61" s="3451"/>
      <c r="BJ61" s="3769"/>
      <c r="BK61" s="3437"/>
      <c r="BL61" s="3437"/>
      <c r="BM61" s="3437"/>
      <c r="BN61" s="3437"/>
      <c r="BO61" s="3437"/>
      <c r="BP61" s="3437"/>
      <c r="BQ61" s="3437"/>
      <c r="BR61" s="3437"/>
      <c r="BS61" s="3437"/>
      <c r="BT61" s="3437"/>
      <c r="BU61" s="3437"/>
      <c r="BV61" s="3437"/>
      <c r="BW61" s="3437"/>
      <c r="BX61" s="3437"/>
      <c r="BY61" s="3437"/>
      <c r="BZ61" s="3437"/>
      <c r="CA61" s="3437"/>
      <c r="CB61" s="3437"/>
      <c r="CC61" s="3437"/>
      <c r="CD61" s="3437"/>
      <c r="CE61" s="3437"/>
      <c r="CF61" s="3437"/>
      <c r="CG61" s="3437"/>
      <c r="CH61" s="3437"/>
      <c r="CI61" s="3437"/>
      <c r="CJ61" s="3437"/>
      <c r="CK61" s="3437"/>
      <c r="CL61" s="3437"/>
      <c r="CM61" s="3437"/>
      <c r="CN61" s="3437"/>
      <c r="CO61" s="3437"/>
      <c r="CP61" s="3437"/>
      <c r="CQ61" s="3437"/>
      <c r="CR61" s="3437"/>
      <c r="CS61" s="3437"/>
      <c r="CT61" s="3437"/>
      <c r="CU61" s="3437"/>
      <c r="CV61" s="3437"/>
      <c r="CW61" s="3437"/>
      <c r="CX61" s="3437"/>
      <c r="CY61" s="3437"/>
      <c r="CZ61" s="3437"/>
      <c r="DA61" s="3437"/>
      <c r="DB61" s="3437"/>
      <c r="DC61" s="3473"/>
    </row>
    <row r="62" spans="1:107" s="1799" customFormat="1" ht="15" customHeight="1">
      <c r="A62" s="17035"/>
      <c r="B62" s="17038"/>
      <c r="C62" s="17038"/>
      <c r="D62" s="17038"/>
      <c r="E62" s="17038"/>
      <c r="F62" s="17038"/>
      <c r="G62" s="17038"/>
      <c r="H62" s="17038"/>
      <c r="I62" s="17038"/>
      <c r="J62" s="17038"/>
      <c r="K62" s="17038"/>
      <c r="L62" s="17038"/>
      <c r="M62" s="17038"/>
      <c r="N62" s="17038"/>
      <c r="O62" s="17038"/>
      <c r="P62" s="17038"/>
      <c r="Q62" s="17041"/>
      <c r="R62" s="17025"/>
      <c r="S62" s="15925"/>
      <c r="T62" s="15925"/>
      <c r="U62" s="15925"/>
      <c r="V62" s="15925"/>
      <c r="W62" s="15925"/>
      <c r="X62" s="16525"/>
      <c r="Y62" s="16525"/>
      <c r="Z62" s="16525"/>
      <c r="AA62" s="16525"/>
      <c r="AB62" s="16525"/>
      <c r="AC62" s="16525"/>
      <c r="AD62" s="16525"/>
      <c r="AE62" s="16525"/>
      <c r="AF62" s="16525"/>
      <c r="AG62" s="16525"/>
      <c r="AH62" s="16525"/>
      <c r="AI62" s="15925"/>
      <c r="AJ62" s="15925"/>
      <c r="AK62" s="15925"/>
      <c r="AL62" s="15925"/>
      <c r="AM62" s="15925"/>
      <c r="AN62" s="15925"/>
      <c r="AO62" s="15925"/>
      <c r="AP62" s="15925"/>
      <c r="AQ62" s="15925"/>
      <c r="AR62" s="15925"/>
      <c r="AS62" s="15925"/>
      <c r="AT62" s="15925"/>
      <c r="AU62" s="15925"/>
      <c r="AV62" s="15925"/>
      <c r="AW62" s="15925"/>
      <c r="AX62" s="15925"/>
      <c r="AY62" s="15925"/>
      <c r="AZ62" s="15925"/>
      <c r="BA62" s="5247" t="s">
        <v>2896</v>
      </c>
      <c r="BB62" s="15925"/>
      <c r="BC62" s="7363"/>
      <c r="BD62" s="5248"/>
      <c r="BE62" s="5248"/>
      <c r="BF62" s="5248"/>
      <c r="BG62" s="5248"/>
      <c r="BH62" s="7387"/>
      <c r="BI62" s="3451"/>
      <c r="BJ62" s="3769"/>
      <c r="BK62" s="3437"/>
      <c r="BL62" s="3437"/>
      <c r="BM62" s="3437"/>
      <c r="BN62" s="3437"/>
      <c r="BO62" s="3437"/>
      <c r="BP62" s="3437"/>
      <c r="BQ62" s="3437"/>
      <c r="BR62" s="3437"/>
      <c r="BS62" s="3437"/>
      <c r="BT62" s="3437"/>
      <c r="BU62" s="3437"/>
      <c r="BV62" s="3437"/>
      <c r="BW62" s="3437"/>
      <c r="BX62" s="3437"/>
      <c r="BY62" s="3437"/>
      <c r="BZ62" s="3437"/>
      <c r="CA62" s="3437"/>
      <c r="CB62" s="3437"/>
      <c r="CC62" s="3437"/>
      <c r="CD62" s="3437"/>
      <c r="CE62" s="3437"/>
      <c r="CF62" s="3437"/>
      <c r="CG62" s="3437"/>
      <c r="CH62" s="3437"/>
      <c r="CI62" s="3437"/>
      <c r="CJ62" s="3437"/>
      <c r="CK62" s="3437"/>
      <c r="CL62" s="3437"/>
      <c r="CM62" s="3437"/>
      <c r="CN62" s="3437"/>
      <c r="CO62" s="3437"/>
      <c r="CP62" s="3437"/>
      <c r="CQ62" s="3437"/>
      <c r="CR62" s="3437"/>
      <c r="CS62" s="3437"/>
      <c r="CT62" s="3437"/>
      <c r="CU62" s="3437"/>
      <c r="CV62" s="3437"/>
      <c r="CW62" s="3437"/>
      <c r="CX62" s="3437"/>
      <c r="CY62" s="3437"/>
      <c r="CZ62" s="3437"/>
      <c r="DA62" s="3437"/>
      <c r="DB62" s="3437"/>
      <c r="DC62" s="3473"/>
    </row>
    <row r="63" spans="1:107" s="1799" customFormat="1" ht="15" customHeight="1">
      <c r="A63" s="17035"/>
      <c r="B63" s="17038"/>
      <c r="C63" s="17038"/>
      <c r="D63" s="17038"/>
      <c r="E63" s="17038"/>
      <c r="F63" s="17038"/>
      <c r="G63" s="17038"/>
      <c r="H63" s="17038"/>
      <c r="I63" s="17038"/>
      <c r="J63" s="17038"/>
      <c r="K63" s="17038"/>
      <c r="L63" s="17038"/>
      <c r="M63" s="17038"/>
      <c r="N63" s="17038"/>
      <c r="O63" s="17038"/>
      <c r="P63" s="17038"/>
      <c r="Q63" s="17041"/>
      <c r="R63" s="17025"/>
      <c r="S63" s="15925"/>
      <c r="T63" s="15925"/>
      <c r="U63" s="15925"/>
      <c r="V63" s="15925"/>
      <c r="W63" s="15925"/>
      <c r="X63" s="16525"/>
      <c r="Y63" s="16525"/>
      <c r="Z63" s="16525"/>
      <c r="AA63" s="16525"/>
      <c r="AB63" s="16525"/>
      <c r="AC63" s="16525"/>
      <c r="AD63" s="16525"/>
      <c r="AE63" s="16525"/>
      <c r="AF63" s="16525"/>
      <c r="AG63" s="16525"/>
      <c r="AH63" s="16525"/>
      <c r="AI63" s="15925"/>
      <c r="AJ63" s="15925"/>
      <c r="AK63" s="15925"/>
      <c r="AL63" s="15925"/>
      <c r="AM63" s="15925"/>
      <c r="AN63" s="15925"/>
      <c r="AO63" s="15925"/>
      <c r="AP63" s="15925"/>
      <c r="AQ63" s="15925"/>
      <c r="AR63" s="15925"/>
      <c r="AS63" s="15925"/>
      <c r="AT63" s="15925"/>
      <c r="AU63" s="15925"/>
      <c r="AV63" s="15925"/>
      <c r="AW63" s="15925"/>
      <c r="AX63" s="15925"/>
      <c r="AY63" s="15925"/>
      <c r="AZ63" s="15925"/>
      <c r="BA63" s="5247" t="s">
        <v>26</v>
      </c>
      <c r="BB63" s="15925"/>
      <c r="BC63" s="7363"/>
      <c r="BD63" s="5248"/>
      <c r="BE63" s="5248"/>
      <c r="BF63" s="5248"/>
      <c r="BG63" s="5248"/>
      <c r="BH63" s="7387"/>
      <c r="BI63" s="3451"/>
      <c r="BJ63" s="3769"/>
      <c r="BK63" s="3437"/>
      <c r="BL63" s="3437"/>
      <c r="BM63" s="3437"/>
      <c r="BN63" s="3437"/>
      <c r="BO63" s="3437"/>
      <c r="BP63" s="3437"/>
      <c r="BQ63" s="3437"/>
      <c r="BR63" s="3437"/>
      <c r="BS63" s="3437"/>
      <c r="BT63" s="3437"/>
      <c r="BU63" s="3437"/>
      <c r="BV63" s="3437"/>
      <c r="BW63" s="3437"/>
      <c r="BX63" s="3437"/>
      <c r="BY63" s="3437"/>
      <c r="BZ63" s="3437"/>
      <c r="CA63" s="3437"/>
      <c r="CB63" s="3437"/>
      <c r="CC63" s="3437"/>
      <c r="CD63" s="3437"/>
      <c r="CE63" s="3437"/>
      <c r="CF63" s="3437"/>
      <c r="CG63" s="3437"/>
      <c r="CH63" s="3437"/>
      <c r="CI63" s="3437"/>
      <c r="CJ63" s="3437"/>
      <c r="CK63" s="3437"/>
      <c r="CL63" s="3437"/>
      <c r="CM63" s="3437"/>
      <c r="CN63" s="3437"/>
      <c r="CO63" s="3437"/>
      <c r="CP63" s="3437"/>
      <c r="CQ63" s="3437"/>
      <c r="CR63" s="3437"/>
      <c r="CS63" s="3437"/>
      <c r="CT63" s="3437"/>
      <c r="CU63" s="3437"/>
      <c r="CV63" s="3437"/>
      <c r="CW63" s="3437"/>
      <c r="CX63" s="3437"/>
      <c r="CY63" s="3437"/>
      <c r="CZ63" s="3437"/>
      <c r="DA63" s="3437"/>
      <c r="DB63" s="3437"/>
      <c r="DC63" s="3473"/>
    </row>
    <row r="64" spans="1:107" s="1799" customFormat="1" ht="15" customHeight="1">
      <c r="A64" s="17035"/>
      <c r="B64" s="17038"/>
      <c r="C64" s="17038"/>
      <c r="D64" s="17038"/>
      <c r="E64" s="17038"/>
      <c r="F64" s="17038"/>
      <c r="G64" s="17038"/>
      <c r="H64" s="17038"/>
      <c r="I64" s="17038"/>
      <c r="J64" s="17038"/>
      <c r="K64" s="17038"/>
      <c r="L64" s="17038"/>
      <c r="M64" s="17038"/>
      <c r="N64" s="17038"/>
      <c r="O64" s="17038"/>
      <c r="P64" s="17038"/>
      <c r="Q64" s="17041"/>
      <c r="R64" s="17025"/>
      <c r="S64" s="15925"/>
      <c r="T64" s="15925"/>
      <c r="U64" s="15925"/>
      <c r="V64" s="15925"/>
      <c r="W64" s="15925"/>
      <c r="X64" s="16525"/>
      <c r="Y64" s="16525"/>
      <c r="Z64" s="16525"/>
      <c r="AA64" s="16525"/>
      <c r="AB64" s="16525"/>
      <c r="AC64" s="16525"/>
      <c r="AD64" s="16525"/>
      <c r="AE64" s="16525"/>
      <c r="AF64" s="16525"/>
      <c r="AG64" s="16525"/>
      <c r="AH64" s="16525"/>
      <c r="AI64" s="15925"/>
      <c r="AJ64" s="15925"/>
      <c r="AK64" s="15925"/>
      <c r="AL64" s="15925"/>
      <c r="AM64" s="15925"/>
      <c r="AN64" s="15925"/>
      <c r="AO64" s="15925"/>
      <c r="AP64" s="15925"/>
      <c r="AQ64" s="15925"/>
      <c r="AR64" s="15925"/>
      <c r="AS64" s="15925"/>
      <c r="AT64" s="15925"/>
      <c r="AU64" s="15925"/>
      <c r="AV64" s="15925"/>
      <c r="AW64" s="15925"/>
      <c r="AX64" s="15925"/>
      <c r="AY64" s="15925"/>
      <c r="AZ64" s="15925"/>
      <c r="BA64" s="5247" t="s">
        <v>10072</v>
      </c>
      <c r="BB64" s="15925"/>
      <c r="BC64" s="7363"/>
      <c r="BD64" s="5248"/>
      <c r="BE64" s="5248"/>
      <c r="BF64" s="5248"/>
      <c r="BG64" s="5248"/>
      <c r="BH64" s="7387"/>
      <c r="BI64" s="3451"/>
      <c r="BJ64" s="3769"/>
      <c r="BK64" s="3437"/>
      <c r="BL64" s="3437"/>
      <c r="BM64" s="3437"/>
      <c r="BN64" s="3437"/>
      <c r="BO64" s="3437"/>
      <c r="BP64" s="3437"/>
      <c r="BQ64" s="3437"/>
      <c r="BR64" s="3437"/>
      <c r="BS64" s="3437"/>
      <c r="BT64" s="3437"/>
      <c r="BU64" s="3437"/>
      <c r="BV64" s="3437"/>
      <c r="BW64" s="3437"/>
      <c r="BX64" s="3437"/>
      <c r="BY64" s="3437"/>
      <c r="BZ64" s="3437"/>
      <c r="CA64" s="3437"/>
      <c r="CB64" s="3437"/>
      <c r="CC64" s="3437"/>
      <c r="CD64" s="3437"/>
      <c r="CE64" s="3437"/>
      <c r="CF64" s="3437"/>
      <c r="CG64" s="3437"/>
      <c r="CH64" s="3437"/>
      <c r="CI64" s="3437"/>
      <c r="CJ64" s="3437"/>
      <c r="CK64" s="3437"/>
      <c r="CL64" s="3437"/>
      <c r="CM64" s="3437"/>
      <c r="CN64" s="3437"/>
      <c r="CO64" s="3437"/>
      <c r="CP64" s="3437"/>
      <c r="CQ64" s="3437"/>
      <c r="CR64" s="3437"/>
      <c r="CS64" s="3437"/>
      <c r="CT64" s="3437"/>
      <c r="CU64" s="3437"/>
      <c r="CV64" s="3437"/>
      <c r="CW64" s="3437"/>
      <c r="CX64" s="3437"/>
      <c r="CY64" s="3437"/>
      <c r="CZ64" s="3437"/>
      <c r="DA64" s="3437"/>
      <c r="DB64" s="3437"/>
      <c r="DC64" s="3473"/>
    </row>
    <row r="65" spans="1:107" s="1799" customFormat="1" ht="15" customHeight="1">
      <c r="A65" s="17035"/>
      <c r="B65" s="17038"/>
      <c r="C65" s="17038"/>
      <c r="D65" s="17038"/>
      <c r="E65" s="17038"/>
      <c r="F65" s="17038"/>
      <c r="G65" s="17038"/>
      <c r="H65" s="17038"/>
      <c r="I65" s="17038"/>
      <c r="J65" s="17038"/>
      <c r="K65" s="17038"/>
      <c r="L65" s="17038"/>
      <c r="M65" s="17038"/>
      <c r="N65" s="17038"/>
      <c r="O65" s="17038"/>
      <c r="P65" s="17038"/>
      <c r="Q65" s="17041"/>
      <c r="R65" s="17025"/>
      <c r="S65" s="15925"/>
      <c r="T65" s="15925"/>
      <c r="U65" s="15925"/>
      <c r="V65" s="15925"/>
      <c r="W65" s="15925"/>
      <c r="X65" s="16525"/>
      <c r="Y65" s="16525"/>
      <c r="Z65" s="16525"/>
      <c r="AA65" s="16525"/>
      <c r="AB65" s="16525"/>
      <c r="AC65" s="16525"/>
      <c r="AD65" s="16525"/>
      <c r="AE65" s="16525"/>
      <c r="AF65" s="16525"/>
      <c r="AG65" s="16525"/>
      <c r="AH65" s="16525"/>
      <c r="AI65" s="15925"/>
      <c r="AJ65" s="15925"/>
      <c r="AK65" s="15925"/>
      <c r="AL65" s="15925"/>
      <c r="AM65" s="15925"/>
      <c r="AN65" s="15925"/>
      <c r="AO65" s="15925"/>
      <c r="AP65" s="15925"/>
      <c r="AQ65" s="15925"/>
      <c r="AR65" s="15925"/>
      <c r="AS65" s="15925"/>
      <c r="AT65" s="15925"/>
      <c r="AU65" s="15925"/>
      <c r="AV65" s="15925"/>
      <c r="AW65" s="15925"/>
      <c r="AX65" s="15925"/>
      <c r="AY65" s="15925"/>
      <c r="AZ65" s="15925"/>
      <c r="BA65" s="5247" t="s">
        <v>86</v>
      </c>
      <c r="BB65" s="15925"/>
      <c r="BC65" s="7363"/>
      <c r="BD65" s="5248"/>
      <c r="BE65" s="5248"/>
      <c r="BF65" s="5248"/>
      <c r="BG65" s="5248"/>
      <c r="BH65" s="7387"/>
      <c r="BI65" s="3451"/>
      <c r="BJ65" s="3769"/>
      <c r="BK65" s="3437"/>
      <c r="BL65" s="3437"/>
      <c r="BM65" s="3437"/>
      <c r="BN65" s="3437"/>
      <c r="BO65" s="3437"/>
      <c r="BP65" s="3437"/>
      <c r="BQ65" s="3437"/>
      <c r="BR65" s="3437"/>
      <c r="BS65" s="3437"/>
      <c r="BT65" s="3437"/>
      <c r="BU65" s="3437"/>
      <c r="BV65" s="3437"/>
      <c r="BW65" s="3437"/>
      <c r="BX65" s="3437"/>
      <c r="BY65" s="3437"/>
      <c r="BZ65" s="3437"/>
      <c r="CA65" s="3437"/>
      <c r="CB65" s="3437"/>
      <c r="CC65" s="3437"/>
      <c r="CD65" s="3437"/>
      <c r="CE65" s="3437"/>
      <c r="CF65" s="3437"/>
      <c r="CG65" s="3437"/>
      <c r="CH65" s="3437"/>
      <c r="CI65" s="3437"/>
      <c r="CJ65" s="3437"/>
      <c r="CK65" s="3437"/>
      <c r="CL65" s="3437"/>
      <c r="CM65" s="3437"/>
      <c r="CN65" s="3437"/>
      <c r="CO65" s="3437"/>
      <c r="CP65" s="3437"/>
      <c r="CQ65" s="3437"/>
      <c r="CR65" s="3437"/>
      <c r="CS65" s="3437"/>
      <c r="CT65" s="3437"/>
      <c r="CU65" s="3437"/>
      <c r="CV65" s="3437"/>
      <c r="CW65" s="3437"/>
      <c r="CX65" s="3437"/>
      <c r="CY65" s="3437"/>
      <c r="CZ65" s="3437"/>
      <c r="DA65" s="3437"/>
      <c r="DB65" s="3437"/>
      <c r="DC65" s="3473"/>
    </row>
    <row r="66" spans="1:107" s="1799" customFormat="1" ht="15" customHeight="1">
      <c r="A66" s="17035"/>
      <c r="B66" s="17038"/>
      <c r="C66" s="17038"/>
      <c r="D66" s="17038"/>
      <c r="E66" s="17038"/>
      <c r="F66" s="17038"/>
      <c r="G66" s="17038"/>
      <c r="H66" s="17038"/>
      <c r="I66" s="17038"/>
      <c r="J66" s="17038"/>
      <c r="K66" s="17038"/>
      <c r="L66" s="17038"/>
      <c r="M66" s="17038"/>
      <c r="N66" s="17038"/>
      <c r="O66" s="17038"/>
      <c r="P66" s="17038"/>
      <c r="Q66" s="17041"/>
      <c r="R66" s="17025"/>
      <c r="S66" s="15925"/>
      <c r="T66" s="15925"/>
      <c r="U66" s="15925"/>
      <c r="V66" s="15925"/>
      <c r="W66" s="15925"/>
      <c r="X66" s="16525"/>
      <c r="Y66" s="16525"/>
      <c r="Z66" s="16525"/>
      <c r="AA66" s="16525"/>
      <c r="AB66" s="16525"/>
      <c r="AC66" s="16525"/>
      <c r="AD66" s="16525"/>
      <c r="AE66" s="16525"/>
      <c r="AF66" s="16525"/>
      <c r="AG66" s="16525"/>
      <c r="AH66" s="16525"/>
      <c r="AI66" s="15925"/>
      <c r="AJ66" s="15925"/>
      <c r="AK66" s="15925"/>
      <c r="AL66" s="15925"/>
      <c r="AM66" s="15925"/>
      <c r="AN66" s="15925"/>
      <c r="AO66" s="15925"/>
      <c r="AP66" s="15925"/>
      <c r="AQ66" s="15925"/>
      <c r="AR66" s="15925"/>
      <c r="AS66" s="15925"/>
      <c r="AT66" s="15925"/>
      <c r="AU66" s="15925"/>
      <c r="AV66" s="15925"/>
      <c r="AW66" s="15925"/>
      <c r="AX66" s="15925"/>
      <c r="AY66" s="15925"/>
      <c r="AZ66" s="15925"/>
      <c r="BA66" s="5247" t="s">
        <v>10063</v>
      </c>
      <c r="BB66" s="15925"/>
      <c r="BC66" s="7363"/>
      <c r="BD66" s="5248"/>
      <c r="BE66" s="5248"/>
      <c r="BF66" s="5248"/>
      <c r="BG66" s="5248"/>
      <c r="BH66" s="7387"/>
      <c r="BI66" s="3451"/>
      <c r="BJ66" s="3769"/>
      <c r="BK66" s="3437"/>
      <c r="BL66" s="3437"/>
      <c r="BM66" s="3437"/>
      <c r="BN66" s="3437"/>
      <c r="BO66" s="3437"/>
      <c r="BP66" s="3437"/>
      <c r="BQ66" s="3437"/>
      <c r="BR66" s="3437"/>
      <c r="BS66" s="3437"/>
      <c r="BT66" s="3437"/>
      <c r="BU66" s="3437"/>
      <c r="BV66" s="3437"/>
      <c r="BW66" s="3437"/>
      <c r="BX66" s="3437"/>
      <c r="BY66" s="3437"/>
      <c r="BZ66" s="3437"/>
      <c r="CA66" s="3437"/>
      <c r="CB66" s="3437"/>
      <c r="CC66" s="3437"/>
      <c r="CD66" s="3437"/>
      <c r="CE66" s="3437"/>
      <c r="CF66" s="3437"/>
      <c r="CG66" s="3437"/>
      <c r="CH66" s="3437"/>
      <c r="CI66" s="3437"/>
      <c r="CJ66" s="3437"/>
      <c r="CK66" s="3437"/>
      <c r="CL66" s="3437"/>
      <c r="CM66" s="3437"/>
      <c r="CN66" s="3437"/>
      <c r="CO66" s="3437"/>
      <c r="CP66" s="3437"/>
      <c r="CQ66" s="3437"/>
      <c r="CR66" s="3437"/>
      <c r="CS66" s="3437"/>
      <c r="CT66" s="3437"/>
      <c r="CU66" s="3437"/>
      <c r="CV66" s="3437"/>
      <c r="CW66" s="3437"/>
      <c r="CX66" s="3437"/>
      <c r="CY66" s="3437"/>
      <c r="CZ66" s="3437"/>
      <c r="DA66" s="3437"/>
      <c r="DB66" s="3437"/>
      <c r="DC66" s="3473"/>
    </row>
    <row r="67" spans="1:107" s="1799" customFormat="1" ht="15" customHeight="1">
      <c r="A67" s="17035"/>
      <c r="B67" s="17038"/>
      <c r="C67" s="17038"/>
      <c r="D67" s="17038"/>
      <c r="E67" s="17038"/>
      <c r="F67" s="17038"/>
      <c r="G67" s="17038"/>
      <c r="H67" s="17038"/>
      <c r="I67" s="17038"/>
      <c r="J67" s="17038"/>
      <c r="K67" s="17038"/>
      <c r="L67" s="17038"/>
      <c r="M67" s="17038"/>
      <c r="N67" s="17038"/>
      <c r="O67" s="17038"/>
      <c r="P67" s="17038"/>
      <c r="Q67" s="17041"/>
      <c r="R67" s="17025"/>
      <c r="S67" s="15925"/>
      <c r="T67" s="15925"/>
      <c r="U67" s="15925"/>
      <c r="V67" s="15925"/>
      <c r="W67" s="15925"/>
      <c r="X67" s="16525"/>
      <c r="Y67" s="16525"/>
      <c r="Z67" s="16525"/>
      <c r="AA67" s="16525"/>
      <c r="AB67" s="16525"/>
      <c r="AC67" s="16525"/>
      <c r="AD67" s="16525"/>
      <c r="AE67" s="16525"/>
      <c r="AF67" s="16525"/>
      <c r="AG67" s="16525"/>
      <c r="AH67" s="16525"/>
      <c r="AI67" s="15925"/>
      <c r="AJ67" s="15925"/>
      <c r="AK67" s="15925"/>
      <c r="AL67" s="15925"/>
      <c r="AM67" s="15925"/>
      <c r="AN67" s="15925"/>
      <c r="AO67" s="15925"/>
      <c r="AP67" s="15925"/>
      <c r="AQ67" s="15925"/>
      <c r="AR67" s="15925"/>
      <c r="AS67" s="15925"/>
      <c r="AT67" s="15925"/>
      <c r="AU67" s="15925"/>
      <c r="AV67" s="15925"/>
      <c r="AW67" s="15925"/>
      <c r="AX67" s="15925"/>
      <c r="AY67" s="15925"/>
      <c r="AZ67" s="15925"/>
      <c r="BA67" s="5247" t="s">
        <v>4305</v>
      </c>
      <c r="BB67" s="15925"/>
      <c r="BC67" s="7363"/>
      <c r="BD67" s="5248"/>
      <c r="BE67" s="5248"/>
      <c r="BF67" s="5248"/>
      <c r="BG67" s="5248"/>
      <c r="BH67" s="7387"/>
      <c r="BI67" s="3451"/>
      <c r="BJ67" s="3769"/>
      <c r="BK67" s="3437"/>
      <c r="BL67" s="3437"/>
      <c r="BM67" s="3437"/>
      <c r="BN67" s="3437"/>
      <c r="BO67" s="3437"/>
      <c r="BP67" s="3437"/>
      <c r="BQ67" s="3437"/>
      <c r="BR67" s="3437"/>
      <c r="BS67" s="3437"/>
      <c r="BT67" s="3437"/>
      <c r="BU67" s="3437"/>
      <c r="BV67" s="3437"/>
      <c r="BW67" s="3437"/>
      <c r="BX67" s="3437"/>
      <c r="BY67" s="3437"/>
      <c r="BZ67" s="3437"/>
      <c r="CA67" s="3437"/>
      <c r="CB67" s="3437"/>
      <c r="CC67" s="3437"/>
      <c r="CD67" s="3437"/>
      <c r="CE67" s="3437"/>
      <c r="CF67" s="3437"/>
      <c r="CG67" s="3437"/>
      <c r="CH67" s="3437"/>
      <c r="CI67" s="3437"/>
      <c r="CJ67" s="3437"/>
      <c r="CK67" s="3437"/>
      <c r="CL67" s="3437"/>
      <c r="CM67" s="3437"/>
      <c r="CN67" s="3437"/>
      <c r="CO67" s="3437"/>
      <c r="CP67" s="3437"/>
      <c r="CQ67" s="3437"/>
      <c r="CR67" s="3437"/>
      <c r="CS67" s="3437"/>
      <c r="CT67" s="3437"/>
      <c r="CU67" s="3437"/>
      <c r="CV67" s="3437"/>
      <c r="CW67" s="3437"/>
      <c r="CX67" s="3437"/>
      <c r="CY67" s="3437"/>
      <c r="CZ67" s="3437"/>
      <c r="DA67" s="3437"/>
      <c r="DB67" s="3437"/>
      <c r="DC67" s="3473"/>
    </row>
    <row r="68" spans="1:107" s="1799" customFormat="1" ht="15" customHeight="1">
      <c r="A68" s="17035"/>
      <c r="B68" s="17038"/>
      <c r="C68" s="17038"/>
      <c r="D68" s="17038"/>
      <c r="E68" s="17038"/>
      <c r="F68" s="17038"/>
      <c r="G68" s="17038"/>
      <c r="H68" s="17038"/>
      <c r="I68" s="17038"/>
      <c r="J68" s="17038"/>
      <c r="K68" s="17038"/>
      <c r="L68" s="17038"/>
      <c r="M68" s="17038"/>
      <c r="N68" s="17038"/>
      <c r="O68" s="17038"/>
      <c r="P68" s="17038"/>
      <c r="Q68" s="17041"/>
      <c r="R68" s="17025"/>
      <c r="S68" s="15925"/>
      <c r="T68" s="15925"/>
      <c r="U68" s="15925"/>
      <c r="V68" s="15925"/>
      <c r="W68" s="15925"/>
      <c r="X68" s="16525"/>
      <c r="Y68" s="16525"/>
      <c r="Z68" s="16525"/>
      <c r="AA68" s="16525"/>
      <c r="AB68" s="16525"/>
      <c r="AC68" s="16525"/>
      <c r="AD68" s="16525"/>
      <c r="AE68" s="16525"/>
      <c r="AF68" s="16525"/>
      <c r="AG68" s="16525"/>
      <c r="AH68" s="16525"/>
      <c r="AI68" s="15925"/>
      <c r="AJ68" s="15925"/>
      <c r="AK68" s="15925"/>
      <c r="AL68" s="15925"/>
      <c r="AM68" s="15925"/>
      <c r="AN68" s="15925"/>
      <c r="AO68" s="15925"/>
      <c r="AP68" s="15925"/>
      <c r="AQ68" s="15925"/>
      <c r="AR68" s="15925"/>
      <c r="AS68" s="15925"/>
      <c r="AT68" s="15925"/>
      <c r="AU68" s="15925"/>
      <c r="AV68" s="15925"/>
      <c r="AW68" s="15925"/>
      <c r="AX68" s="15925"/>
      <c r="AY68" s="15925"/>
      <c r="AZ68" s="15925"/>
      <c r="BA68" s="5247" t="s">
        <v>10066</v>
      </c>
      <c r="BB68" s="15925"/>
      <c r="BC68" s="7363"/>
      <c r="BD68" s="5248"/>
      <c r="BE68" s="5248"/>
      <c r="BF68" s="5248"/>
      <c r="BG68" s="5248"/>
      <c r="BH68" s="7387"/>
      <c r="BI68" s="3451"/>
      <c r="BJ68" s="3769"/>
      <c r="BK68" s="3437"/>
      <c r="BL68" s="3437"/>
      <c r="BM68" s="3437"/>
      <c r="BN68" s="3437"/>
      <c r="BO68" s="3437"/>
      <c r="BP68" s="3437"/>
      <c r="BQ68" s="3437"/>
      <c r="BR68" s="3437"/>
      <c r="BS68" s="3437"/>
      <c r="BT68" s="3437"/>
      <c r="BU68" s="3437"/>
      <c r="BV68" s="3437"/>
      <c r="BW68" s="3437"/>
      <c r="BX68" s="3437"/>
      <c r="BY68" s="3437"/>
      <c r="BZ68" s="3437"/>
      <c r="CA68" s="3437"/>
      <c r="CB68" s="3437"/>
      <c r="CC68" s="3437"/>
      <c r="CD68" s="3437"/>
      <c r="CE68" s="3437"/>
      <c r="CF68" s="3437"/>
      <c r="CG68" s="3437"/>
      <c r="CH68" s="3437"/>
      <c r="CI68" s="3437"/>
      <c r="CJ68" s="3437"/>
      <c r="CK68" s="3437"/>
      <c r="CL68" s="3437"/>
      <c r="CM68" s="3437"/>
      <c r="CN68" s="3437"/>
      <c r="CO68" s="3437"/>
      <c r="CP68" s="3437"/>
      <c r="CQ68" s="3437"/>
      <c r="CR68" s="3437"/>
      <c r="CS68" s="3437"/>
      <c r="CT68" s="3437"/>
      <c r="CU68" s="3437"/>
      <c r="CV68" s="3437"/>
      <c r="CW68" s="3437"/>
      <c r="CX68" s="3437"/>
      <c r="CY68" s="3437"/>
      <c r="CZ68" s="3437"/>
      <c r="DA68" s="3437"/>
      <c r="DB68" s="3437"/>
      <c r="DC68" s="3473"/>
    </row>
    <row r="69" spans="1:107" s="1799" customFormat="1" ht="15" customHeight="1">
      <c r="A69" s="17035"/>
      <c r="B69" s="17038"/>
      <c r="C69" s="17038"/>
      <c r="D69" s="17038"/>
      <c r="E69" s="17038"/>
      <c r="F69" s="17038"/>
      <c r="G69" s="17038"/>
      <c r="H69" s="17038"/>
      <c r="I69" s="17038"/>
      <c r="J69" s="17038"/>
      <c r="K69" s="17038"/>
      <c r="L69" s="17038"/>
      <c r="M69" s="17038"/>
      <c r="N69" s="17038"/>
      <c r="O69" s="17038"/>
      <c r="P69" s="17038"/>
      <c r="Q69" s="17041"/>
      <c r="R69" s="17025"/>
      <c r="S69" s="15925"/>
      <c r="T69" s="15925"/>
      <c r="U69" s="15925"/>
      <c r="V69" s="15925"/>
      <c r="W69" s="15925"/>
      <c r="X69" s="16525"/>
      <c r="Y69" s="16525"/>
      <c r="Z69" s="16525"/>
      <c r="AA69" s="16525"/>
      <c r="AB69" s="16525"/>
      <c r="AC69" s="16525"/>
      <c r="AD69" s="16525"/>
      <c r="AE69" s="16525"/>
      <c r="AF69" s="16525"/>
      <c r="AG69" s="16525"/>
      <c r="AH69" s="16525"/>
      <c r="AI69" s="15925"/>
      <c r="AJ69" s="15925"/>
      <c r="AK69" s="15925"/>
      <c r="AL69" s="15925"/>
      <c r="AM69" s="15925"/>
      <c r="AN69" s="15925"/>
      <c r="AO69" s="15925"/>
      <c r="AP69" s="15925"/>
      <c r="AQ69" s="15925"/>
      <c r="AR69" s="15925"/>
      <c r="AS69" s="15925"/>
      <c r="AT69" s="15925"/>
      <c r="AU69" s="15925"/>
      <c r="AV69" s="15925"/>
      <c r="AW69" s="15925"/>
      <c r="AX69" s="15925"/>
      <c r="AY69" s="15925"/>
      <c r="AZ69" s="15925"/>
      <c r="BA69" s="5247" t="s">
        <v>10290</v>
      </c>
      <c r="BB69" s="15925"/>
      <c r="BC69" s="7363"/>
      <c r="BD69" s="5248"/>
      <c r="BE69" s="5248"/>
      <c r="BF69" s="5248"/>
      <c r="BG69" s="5248"/>
      <c r="BH69" s="7387"/>
      <c r="BI69" s="3451"/>
      <c r="BJ69" s="3769"/>
      <c r="BK69" s="3437"/>
      <c r="BL69" s="3437"/>
      <c r="BM69" s="3437"/>
      <c r="BN69" s="3437"/>
      <c r="BO69" s="3437"/>
      <c r="BP69" s="3437"/>
      <c r="BQ69" s="3437"/>
      <c r="BR69" s="3437"/>
      <c r="BS69" s="3437"/>
      <c r="BT69" s="3437"/>
      <c r="BU69" s="3437"/>
      <c r="BV69" s="3437"/>
      <c r="BW69" s="3437"/>
      <c r="BX69" s="3437"/>
      <c r="BY69" s="3437"/>
      <c r="BZ69" s="3437"/>
      <c r="CA69" s="3437"/>
      <c r="CB69" s="3437"/>
      <c r="CC69" s="3437"/>
      <c r="CD69" s="3437"/>
      <c r="CE69" s="3437"/>
      <c r="CF69" s="3437"/>
      <c r="CG69" s="3437"/>
      <c r="CH69" s="3437"/>
      <c r="CI69" s="3437"/>
      <c r="CJ69" s="3437"/>
      <c r="CK69" s="3437"/>
      <c r="CL69" s="3437"/>
      <c r="CM69" s="3437"/>
      <c r="CN69" s="3437"/>
      <c r="CO69" s="3437"/>
      <c r="CP69" s="3437"/>
      <c r="CQ69" s="3437"/>
      <c r="CR69" s="3437"/>
      <c r="CS69" s="3437"/>
      <c r="CT69" s="3437"/>
      <c r="CU69" s="3437"/>
      <c r="CV69" s="3437"/>
      <c r="CW69" s="3437"/>
      <c r="CX69" s="3437"/>
      <c r="CY69" s="3437"/>
      <c r="CZ69" s="3437"/>
      <c r="DA69" s="3437"/>
      <c r="DB69" s="3437"/>
      <c r="DC69" s="3473"/>
    </row>
    <row r="70" spans="1:107" s="1799" customFormat="1" ht="15" customHeight="1">
      <c r="A70" s="17035"/>
      <c r="B70" s="17038"/>
      <c r="C70" s="17038"/>
      <c r="D70" s="17038"/>
      <c r="E70" s="17038"/>
      <c r="F70" s="17038"/>
      <c r="G70" s="17038"/>
      <c r="H70" s="17038"/>
      <c r="I70" s="17038"/>
      <c r="J70" s="17038"/>
      <c r="K70" s="17038"/>
      <c r="L70" s="17038"/>
      <c r="M70" s="17038"/>
      <c r="N70" s="17038"/>
      <c r="O70" s="17038"/>
      <c r="P70" s="17038"/>
      <c r="Q70" s="17041"/>
      <c r="R70" s="17025"/>
      <c r="S70" s="15925"/>
      <c r="T70" s="15925"/>
      <c r="U70" s="15925"/>
      <c r="V70" s="15925"/>
      <c r="W70" s="15925"/>
      <c r="X70" s="16525"/>
      <c r="Y70" s="16525"/>
      <c r="Z70" s="16525"/>
      <c r="AA70" s="16525"/>
      <c r="AB70" s="16525"/>
      <c r="AC70" s="16525"/>
      <c r="AD70" s="16525"/>
      <c r="AE70" s="16525"/>
      <c r="AF70" s="16525"/>
      <c r="AG70" s="16525"/>
      <c r="AH70" s="16525"/>
      <c r="AI70" s="15925"/>
      <c r="AJ70" s="15925" t="s">
        <v>8344</v>
      </c>
      <c r="AK70" s="15925" t="s">
        <v>6919</v>
      </c>
      <c r="AL70" s="15925" t="s">
        <v>6920</v>
      </c>
      <c r="AM70" s="15925" t="s">
        <v>6796</v>
      </c>
      <c r="AN70" s="15925">
        <v>0</v>
      </c>
      <c r="AO70" s="15925">
        <v>1</v>
      </c>
      <c r="AP70" s="15925">
        <v>1</v>
      </c>
      <c r="AQ70" s="15925">
        <v>1</v>
      </c>
      <c r="AR70" s="15925">
        <v>1</v>
      </c>
      <c r="AS70" s="15925">
        <v>1</v>
      </c>
      <c r="AT70" s="15925">
        <v>1</v>
      </c>
      <c r="AU70" s="15925">
        <v>1</v>
      </c>
      <c r="AV70" s="15925">
        <v>1</v>
      </c>
      <c r="AW70" s="15925">
        <v>1</v>
      </c>
      <c r="AX70" s="15925">
        <v>1</v>
      </c>
      <c r="AY70" s="15925">
        <v>10</v>
      </c>
      <c r="AZ70" s="15925" t="s">
        <v>6916</v>
      </c>
      <c r="BA70" s="5247" t="s">
        <v>10057</v>
      </c>
      <c r="BB70" s="15925" t="s">
        <v>6917</v>
      </c>
      <c r="BC70" s="7363"/>
      <c r="BD70" s="5248" t="s">
        <v>6918</v>
      </c>
      <c r="BE70" s="5248"/>
      <c r="BF70" s="5248"/>
      <c r="BG70" s="5248"/>
      <c r="BH70" s="7387" t="s">
        <v>6918</v>
      </c>
      <c r="BI70" s="3451"/>
      <c r="BJ70" s="3769"/>
      <c r="BK70" s="3437"/>
      <c r="BL70" s="3437"/>
      <c r="BM70" s="3437"/>
      <c r="BN70" s="3437"/>
      <c r="BO70" s="3437"/>
      <c r="BP70" s="3437"/>
      <c r="BQ70" s="3437"/>
      <c r="BR70" s="3437"/>
      <c r="BS70" s="3437"/>
      <c r="BT70" s="3437"/>
      <c r="BU70" s="3437"/>
      <c r="BV70" s="3437"/>
      <c r="BW70" s="3437"/>
      <c r="BX70" s="3437"/>
      <c r="BY70" s="3437"/>
      <c r="BZ70" s="3437"/>
      <c r="CA70" s="3437"/>
      <c r="CB70" s="3437"/>
      <c r="CC70" s="3437"/>
      <c r="CD70" s="3437"/>
      <c r="CE70" s="3437"/>
      <c r="CF70" s="3437"/>
      <c r="CG70" s="3437"/>
      <c r="CH70" s="3437"/>
      <c r="CI70" s="3437"/>
      <c r="CJ70" s="3437"/>
      <c r="CK70" s="3437"/>
      <c r="CL70" s="3437"/>
      <c r="CM70" s="3437"/>
      <c r="CN70" s="3437"/>
      <c r="CO70" s="3437"/>
      <c r="CP70" s="3437"/>
      <c r="CQ70" s="3437"/>
      <c r="CR70" s="3437"/>
      <c r="CS70" s="3437"/>
      <c r="CT70" s="3437"/>
      <c r="CU70" s="3437"/>
      <c r="CV70" s="3437"/>
      <c r="CW70" s="3437"/>
      <c r="CX70" s="3437"/>
      <c r="CY70" s="3437"/>
      <c r="CZ70" s="3437"/>
      <c r="DA70" s="3437"/>
      <c r="DB70" s="3437"/>
      <c r="DC70" s="3473"/>
    </row>
    <row r="71" spans="1:107" s="1799" customFormat="1" ht="15" customHeight="1">
      <c r="A71" s="17035"/>
      <c r="B71" s="17038"/>
      <c r="C71" s="17038"/>
      <c r="D71" s="17038"/>
      <c r="E71" s="17038"/>
      <c r="F71" s="17038"/>
      <c r="G71" s="17038"/>
      <c r="H71" s="17038"/>
      <c r="I71" s="17038"/>
      <c r="J71" s="17038"/>
      <c r="K71" s="17038"/>
      <c r="L71" s="17038"/>
      <c r="M71" s="17038"/>
      <c r="N71" s="17038"/>
      <c r="O71" s="17038"/>
      <c r="P71" s="17038"/>
      <c r="Q71" s="17041"/>
      <c r="R71" s="17025"/>
      <c r="S71" s="15925"/>
      <c r="T71" s="15925"/>
      <c r="U71" s="15925"/>
      <c r="V71" s="15925"/>
      <c r="W71" s="15925"/>
      <c r="X71" s="16525"/>
      <c r="Y71" s="16525"/>
      <c r="Z71" s="16525"/>
      <c r="AA71" s="16525"/>
      <c r="AB71" s="16525"/>
      <c r="AC71" s="16525"/>
      <c r="AD71" s="16525"/>
      <c r="AE71" s="16525"/>
      <c r="AF71" s="16525"/>
      <c r="AG71" s="16525"/>
      <c r="AH71" s="16525"/>
      <c r="AI71" s="15925"/>
      <c r="AJ71" s="15925"/>
      <c r="AK71" s="15925"/>
      <c r="AL71" s="15925"/>
      <c r="AM71" s="15925"/>
      <c r="AN71" s="15925"/>
      <c r="AO71" s="15925"/>
      <c r="AP71" s="15925"/>
      <c r="AQ71" s="15925"/>
      <c r="AR71" s="15925"/>
      <c r="AS71" s="15925"/>
      <c r="AT71" s="15925"/>
      <c r="AU71" s="15925"/>
      <c r="AV71" s="15925"/>
      <c r="AW71" s="15925"/>
      <c r="AX71" s="15925"/>
      <c r="AY71" s="15925"/>
      <c r="AZ71" s="15925"/>
      <c r="BA71" s="5247" t="s">
        <v>218</v>
      </c>
      <c r="BB71" s="15925"/>
      <c r="BC71" s="7363"/>
      <c r="BD71" s="5248"/>
      <c r="BE71" s="5248"/>
      <c r="BF71" s="5248"/>
      <c r="BG71" s="5248"/>
      <c r="BH71" s="7387"/>
      <c r="BI71" s="3451"/>
      <c r="BJ71" s="3769"/>
      <c r="BK71" s="3437"/>
      <c r="BL71" s="3437"/>
      <c r="BM71" s="3437"/>
      <c r="BN71" s="3437"/>
      <c r="BO71" s="3437"/>
      <c r="BP71" s="3437"/>
      <c r="BQ71" s="3437"/>
      <c r="BR71" s="3437"/>
      <c r="BS71" s="3437"/>
      <c r="BT71" s="3437"/>
      <c r="BU71" s="3437"/>
      <c r="BV71" s="3437"/>
      <c r="BW71" s="3437"/>
      <c r="BX71" s="3437"/>
      <c r="BY71" s="3437"/>
      <c r="BZ71" s="3437"/>
      <c r="CA71" s="3437"/>
      <c r="CB71" s="3437"/>
      <c r="CC71" s="3437"/>
      <c r="CD71" s="3437"/>
      <c r="CE71" s="3437"/>
      <c r="CF71" s="3437"/>
      <c r="CG71" s="3437"/>
      <c r="CH71" s="3437"/>
      <c r="CI71" s="3437"/>
      <c r="CJ71" s="3437"/>
      <c r="CK71" s="3437"/>
      <c r="CL71" s="3437"/>
      <c r="CM71" s="3437"/>
      <c r="CN71" s="3437"/>
      <c r="CO71" s="3437"/>
      <c r="CP71" s="3437"/>
      <c r="CQ71" s="3437"/>
      <c r="CR71" s="3437"/>
      <c r="CS71" s="3437"/>
      <c r="CT71" s="3437"/>
      <c r="CU71" s="3437"/>
      <c r="CV71" s="3437"/>
      <c r="CW71" s="3437"/>
      <c r="CX71" s="3437"/>
      <c r="CY71" s="3437"/>
      <c r="CZ71" s="3437"/>
      <c r="DA71" s="3437"/>
      <c r="DB71" s="3437"/>
      <c r="DC71" s="3473"/>
    </row>
    <row r="72" spans="1:107" s="1799" customFormat="1" ht="15" customHeight="1">
      <c r="A72" s="17035"/>
      <c r="B72" s="17038"/>
      <c r="C72" s="17038"/>
      <c r="D72" s="17038"/>
      <c r="E72" s="17038"/>
      <c r="F72" s="17038"/>
      <c r="G72" s="17038"/>
      <c r="H72" s="17038"/>
      <c r="I72" s="17038"/>
      <c r="J72" s="17038"/>
      <c r="K72" s="17038"/>
      <c r="L72" s="17038"/>
      <c r="M72" s="17038"/>
      <c r="N72" s="17038"/>
      <c r="O72" s="17038"/>
      <c r="P72" s="17038"/>
      <c r="Q72" s="17041"/>
      <c r="R72" s="17025"/>
      <c r="S72" s="15925"/>
      <c r="T72" s="15925"/>
      <c r="U72" s="15925"/>
      <c r="V72" s="15925"/>
      <c r="W72" s="15925"/>
      <c r="X72" s="16525"/>
      <c r="Y72" s="16525"/>
      <c r="Z72" s="16525"/>
      <c r="AA72" s="16525"/>
      <c r="AB72" s="16525"/>
      <c r="AC72" s="16525"/>
      <c r="AD72" s="16525"/>
      <c r="AE72" s="16525"/>
      <c r="AF72" s="16525"/>
      <c r="AG72" s="16525"/>
      <c r="AH72" s="16525"/>
      <c r="AI72" s="15925"/>
      <c r="AJ72" s="15925"/>
      <c r="AK72" s="15925"/>
      <c r="AL72" s="15925"/>
      <c r="AM72" s="15925"/>
      <c r="AN72" s="15925"/>
      <c r="AO72" s="15925"/>
      <c r="AP72" s="15925"/>
      <c r="AQ72" s="15925"/>
      <c r="AR72" s="15925"/>
      <c r="AS72" s="15925"/>
      <c r="AT72" s="15925"/>
      <c r="AU72" s="15925"/>
      <c r="AV72" s="15925"/>
      <c r="AW72" s="15925"/>
      <c r="AX72" s="15925"/>
      <c r="AY72" s="15925"/>
      <c r="AZ72" s="15925"/>
      <c r="BA72" s="5247" t="s">
        <v>2896</v>
      </c>
      <c r="BB72" s="15925"/>
      <c r="BC72" s="7363"/>
      <c r="BD72" s="5248"/>
      <c r="BE72" s="5248"/>
      <c r="BF72" s="5248"/>
      <c r="BG72" s="5248"/>
      <c r="BH72" s="7387"/>
      <c r="BI72" s="3451"/>
      <c r="BJ72" s="3769"/>
      <c r="BK72" s="3437"/>
      <c r="BL72" s="3437"/>
      <c r="BM72" s="3437"/>
      <c r="BN72" s="3437"/>
      <c r="BO72" s="3437"/>
      <c r="BP72" s="3437"/>
      <c r="BQ72" s="3437"/>
      <c r="BR72" s="3437"/>
      <c r="BS72" s="3437"/>
      <c r="BT72" s="3437"/>
      <c r="BU72" s="3437"/>
      <c r="BV72" s="3437"/>
      <c r="BW72" s="3437"/>
      <c r="BX72" s="3437"/>
      <c r="BY72" s="3437"/>
      <c r="BZ72" s="3437"/>
      <c r="CA72" s="3437"/>
      <c r="CB72" s="3437"/>
      <c r="CC72" s="3437"/>
      <c r="CD72" s="3437"/>
      <c r="CE72" s="3437"/>
      <c r="CF72" s="3437"/>
      <c r="CG72" s="3437"/>
      <c r="CH72" s="3437"/>
      <c r="CI72" s="3437"/>
      <c r="CJ72" s="3437"/>
      <c r="CK72" s="3437"/>
      <c r="CL72" s="3437"/>
      <c r="CM72" s="3437"/>
      <c r="CN72" s="3437"/>
      <c r="CO72" s="3437"/>
      <c r="CP72" s="3437"/>
      <c r="CQ72" s="3437"/>
      <c r="CR72" s="3437"/>
      <c r="CS72" s="3437"/>
      <c r="CT72" s="3437"/>
      <c r="CU72" s="3437"/>
      <c r="CV72" s="3437"/>
      <c r="CW72" s="3437"/>
      <c r="CX72" s="3437"/>
      <c r="CY72" s="3437"/>
      <c r="CZ72" s="3437"/>
      <c r="DA72" s="3437"/>
      <c r="DB72" s="3437"/>
      <c r="DC72" s="3473"/>
    </row>
    <row r="73" spans="1:107" s="1799" customFormat="1" ht="15" customHeight="1">
      <c r="A73" s="17035"/>
      <c r="B73" s="17038"/>
      <c r="C73" s="17038"/>
      <c r="D73" s="17038"/>
      <c r="E73" s="17038"/>
      <c r="F73" s="17038"/>
      <c r="G73" s="17038"/>
      <c r="H73" s="17038"/>
      <c r="I73" s="17038"/>
      <c r="J73" s="17038"/>
      <c r="K73" s="17038"/>
      <c r="L73" s="17038"/>
      <c r="M73" s="17038"/>
      <c r="N73" s="17038"/>
      <c r="O73" s="17038"/>
      <c r="P73" s="17038"/>
      <c r="Q73" s="17041"/>
      <c r="R73" s="17025"/>
      <c r="S73" s="15925"/>
      <c r="T73" s="15925"/>
      <c r="U73" s="15925"/>
      <c r="V73" s="15925"/>
      <c r="W73" s="15925"/>
      <c r="X73" s="16525"/>
      <c r="Y73" s="16525"/>
      <c r="Z73" s="16525"/>
      <c r="AA73" s="16525"/>
      <c r="AB73" s="16525"/>
      <c r="AC73" s="16525"/>
      <c r="AD73" s="16525"/>
      <c r="AE73" s="16525"/>
      <c r="AF73" s="16525"/>
      <c r="AG73" s="16525"/>
      <c r="AH73" s="16525"/>
      <c r="AI73" s="15925"/>
      <c r="AJ73" s="15925"/>
      <c r="AK73" s="15925"/>
      <c r="AL73" s="15925"/>
      <c r="AM73" s="15925"/>
      <c r="AN73" s="15925"/>
      <c r="AO73" s="15925"/>
      <c r="AP73" s="15925"/>
      <c r="AQ73" s="15925"/>
      <c r="AR73" s="15925"/>
      <c r="AS73" s="15925"/>
      <c r="AT73" s="15925"/>
      <c r="AU73" s="15925"/>
      <c r="AV73" s="15925"/>
      <c r="AW73" s="15925"/>
      <c r="AX73" s="15925"/>
      <c r="AY73" s="15925"/>
      <c r="AZ73" s="15925"/>
      <c r="BA73" s="5247" t="s">
        <v>26</v>
      </c>
      <c r="BB73" s="15925"/>
      <c r="BC73" s="7363"/>
      <c r="BD73" s="5248"/>
      <c r="BE73" s="5248"/>
      <c r="BF73" s="5248"/>
      <c r="BG73" s="5248"/>
      <c r="BH73" s="7387"/>
      <c r="BI73" s="3451"/>
      <c r="BJ73" s="3769"/>
      <c r="BK73" s="3437"/>
      <c r="BL73" s="3437"/>
      <c r="BM73" s="3437"/>
      <c r="BN73" s="3437"/>
      <c r="BO73" s="3437"/>
      <c r="BP73" s="3437"/>
      <c r="BQ73" s="3437"/>
      <c r="BR73" s="3437"/>
      <c r="BS73" s="3437"/>
      <c r="BT73" s="3437"/>
      <c r="BU73" s="3437"/>
      <c r="BV73" s="3437"/>
      <c r="BW73" s="3437"/>
      <c r="BX73" s="3437"/>
      <c r="BY73" s="3437"/>
      <c r="BZ73" s="3437"/>
      <c r="CA73" s="3437"/>
      <c r="CB73" s="3437"/>
      <c r="CC73" s="3437"/>
      <c r="CD73" s="3437"/>
      <c r="CE73" s="3437"/>
      <c r="CF73" s="3437"/>
      <c r="CG73" s="3437"/>
      <c r="CH73" s="3437"/>
      <c r="CI73" s="3437"/>
      <c r="CJ73" s="3437"/>
      <c r="CK73" s="3437"/>
      <c r="CL73" s="3437"/>
      <c r="CM73" s="3437"/>
      <c r="CN73" s="3437"/>
      <c r="CO73" s="3437"/>
      <c r="CP73" s="3437"/>
      <c r="CQ73" s="3437"/>
      <c r="CR73" s="3437"/>
      <c r="CS73" s="3437"/>
      <c r="CT73" s="3437"/>
      <c r="CU73" s="3437"/>
      <c r="CV73" s="3437"/>
      <c r="CW73" s="3437"/>
      <c r="CX73" s="3437"/>
      <c r="CY73" s="3437"/>
      <c r="CZ73" s="3437"/>
      <c r="DA73" s="3437"/>
      <c r="DB73" s="3437"/>
      <c r="DC73" s="3473"/>
    </row>
    <row r="74" spans="1:107" s="1799" customFormat="1" ht="15" customHeight="1">
      <c r="A74" s="17035"/>
      <c r="B74" s="17038"/>
      <c r="C74" s="17038"/>
      <c r="D74" s="17038"/>
      <c r="E74" s="17038"/>
      <c r="F74" s="17038"/>
      <c r="G74" s="17038"/>
      <c r="H74" s="17038"/>
      <c r="I74" s="17038"/>
      <c r="J74" s="17038"/>
      <c r="K74" s="17038"/>
      <c r="L74" s="17038"/>
      <c r="M74" s="17038"/>
      <c r="N74" s="17038"/>
      <c r="O74" s="17038"/>
      <c r="P74" s="17038"/>
      <c r="Q74" s="17041"/>
      <c r="R74" s="17025"/>
      <c r="S74" s="15925"/>
      <c r="T74" s="15925"/>
      <c r="U74" s="15925"/>
      <c r="V74" s="15925"/>
      <c r="W74" s="15925"/>
      <c r="X74" s="16525"/>
      <c r="Y74" s="16525"/>
      <c r="Z74" s="16525"/>
      <c r="AA74" s="16525"/>
      <c r="AB74" s="16525"/>
      <c r="AC74" s="16525"/>
      <c r="AD74" s="16525"/>
      <c r="AE74" s="16525"/>
      <c r="AF74" s="16525"/>
      <c r="AG74" s="16525"/>
      <c r="AH74" s="16525"/>
      <c r="AI74" s="15925"/>
      <c r="AJ74" s="15925"/>
      <c r="AK74" s="15925"/>
      <c r="AL74" s="15925"/>
      <c r="AM74" s="15925"/>
      <c r="AN74" s="15925"/>
      <c r="AO74" s="15925"/>
      <c r="AP74" s="15925"/>
      <c r="AQ74" s="15925"/>
      <c r="AR74" s="15925"/>
      <c r="AS74" s="15925"/>
      <c r="AT74" s="15925"/>
      <c r="AU74" s="15925"/>
      <c r="AV74" s="15925"/>
      <c r="AW74" s="15925"/>
      <c r="AX74" s="15925"/>
      <c r="AY74" s="15925"/>
      <c r="AZ74" s="15925"/>
      <c r="BA74" s="5247" t="s">
        <v>10072</v>
      </c>
      <c r="BB74" s="15925"/>
      <c r="BC74" s="7363"/>
      <c r="BD74" s="5248"/>
      <c r="BE74" s="5248"/>
      <c r="BF74" s="5248"/>
      <c r="BG74" s="5248"/>
      <c r="BH74" s="7387"/>
      <c r="BI74" s="3451"/>
      <c r="BJ74" s="3769"/>
      <c r="BK74" s="3437"/>
      <c r="BL74" s="3437"/>
      <c r="BM74" s="3437"/>
      <c r="BN74" s="3437"/>
      <c r="BO74" s="3437"/>
      <c r="BP74" s="3437"/>
      <c r="BQ74" s="3437"/>
      <c r="BR74" s="3437"/>
      <c r="BS74" s="3437"/>
      <c r="BT74" s="3437"/>
      <c r="BU74" s="3437"/>
      <c r="BV74" s="3437"/>
      <c r="BW74" s="3437"/>
      <c r="BX74" s="3437"/>
      <c r="BY74" s="3437"/>
      <c r="BZ74" s="3437"/>
      <c r="CA74" s="3437"/>
      <c r="CB74" s="3437"/>
      <c r="CC74" s="3437"/>
      <c r="CD74" s="3437"/>
      <c r="CE74" s="3437"/>
      <c r="CF74" s="3437"/>
      <c r="CG74" s="3437"/>
      <c r="CH74" s="3437"/>
      <c r="CI74" s="3437"/>
      <c r="CJ74" s="3437"/>
      <c r="CK74" s="3437"/>
      <c r="CL74" s="3437"/>
      <c r="CM74" s="3437"/>
      <c r="CN74" s="3437"/>
      <c r="CO74" s="3437"/>
      <c r="CP74" s="3437"/>
      <c r="CQ74" s="3437"/>
      <c r="CR74" s="3437"/>
      <c r="CS74" s="3437"/>
      <c r="CT74" s="3437"/>
      <c r="CU74" s="3437"/>
      <c r="CV74" s="3437"/>
      <c r="CW74" s="3437"/>
      <c r="CX74" s="3437"/>
      <c r="CY74" s="3437"/>
      <c r="CZ74" s="3437"/>
      <c r="DA74" s="3437"/>
      <c r="DB74" s="3437"/>
      <c r="DC74" s="3473"/>
    </row>
    <row r="75" spans="1:107" s="1799" customFormat="1" ht="15" customHeight="1">
      <c r="A75" s="17035"/>
      <c r="B75" s="17038"/>
      <c r="C75" s="17038"/>
      <c r="D75" s="17038"/>
      <c r="E75" s="17038"/>
      <c r="F75" s="17038"/>
      <c r="G75" s="17038"/>
      <c r="H75" s="17038"/>
      <c r="I75" s="17038"/>
      <c r="J75" s="17038"/>
      <c r="K75" s="17038"/>
      <c r="L75" s="17038"/>
      <c r="M75" s="17038"/>
      <c r="N75" s="17038"/>
      <c r="O75" s="17038"/>
      <c r="P75" s="17038"/>
      <c r="Q75" s="17041"/>
      <c r="R75" s="17025"/>
      <c r="S75" s="15925"/>
      <c r="T75" s="15925"/>
      <c r="U75" s="15925"/>
      <c r="V75" s="15925"/>
      <c r="W75" s="15925"/>
      <c r="X75" s="16525"/>
      <c r="Y75" s="16525"/>
      <c r="Z75" s="16525"/>
      <c r="AA75" s="16525"/>
      <c r="AB75" s="16525"/>
      <c r="AC75" s="16525"/>
      <c r="AD75" s="16525"/>
      <c r="AE75" s="16525"/>
      <c r="AF75" s="16525"/>
      <c r="AG75" s="16525"/>
      <c r="AH75" s="16525"/>
      <c r="AI75" s="15925"/>
      <c r="AJ75" s="15925"/>
      <c r="AK75" s="15925"/>
      <c r="AL75" s="15925"/>
      <c r="AM75" s="15925"/>
      <c r="AN75" s="15925"/>
      <c r="AO75" s="15925"/>
      <c r="AP75" s="15925"/>
      <c r="AQ75" s="15925"/>
      <c r="AR75" s="15925"/>
      <c r="AS75" s="15925"/>
      <c r="AT75" s="15925"/>
      <c r="AU75" s="15925"/>
      <c r="AV75" s="15925"/>
      <c r="AW75" s="15925"/>
      <c r="AX75" s="15925"/>
      <c r="AY75" s="15925"/>
      <c r="AZ75" s="15925"/>
      <c r="BA75" s="5247" t="s">
        <v>86</v>
      </c>
      <c r="BB75" s="15925"/>
      <c r="BC75" s="7363"/>
      <c r="BD75" s="5248"/>
      <c r="BE75" s="5248"/>
      <c r="BF75" s="5248"/>
      <c r="BG75" s="5248"/>
      <c r="BH75" s="7387"/>
      <c r="BI75" s="3451"/>
      <c r="BJ75" s="3769"/>
      <c r="BK75" s="3437"/>
      <c r="BL75" s="3437"/>
      <c r="BM75" s="3437"/>
      <c r="BN75" s="3437"/>
      <c r="BO75" s="3437"/>
      <c r="BP75" s="3437"/>
      <c r="BQ75" s="3437"/>
      <c r="BR75" s="3437"/>
      <c r="BS75" s="3437"/>
      <c r="BT75" s="3437"/>
      <c r="BU75" s="3437"/>
      <c r="BV75" s="3437"/>
      <c r="BW75" s="3437"/>
      <c r="BX75" s="3437"/>
      <c r="BY75" s="3437"/>
      <c r="BZ75" s="3437"/>
      <c r="CA75" s="3437"/>
      <c r="CB75" s="3437"/>
      <c r="CC75" s="3437"/>
      <c r="CD75" s="3437"/>
      <c r="CE75" s="3437"/>
      <c r="CF75" s="3437"/>
      <c r="CG75" s="3437"/>
      <c r="CH75" s="3437"/>
      <c r="CI75" s="3437"/>
      <c r="CJ75" s="3437"/>
      <c r="CK75" s="3437"/>
      <c r="CL75" s="3437"/>
      <c r="CM75" s="3437"/>
      <c r="CN75" s="3437"/>
      <c r="CO75" s="3437"/>
      <c r="CP75" s="3437"/>
      <c r="CQ75" s="3437"/>
      <c r="CR75" s="3437"/>
      <c r="CS75" s="3437"/>
      <c r="CT75" s="3437"/>
      <c r="CU75" s="3437"/>
      <c r="CV75" s="3437"/>
      <c r="CW75" s="3437"/>
      <c r="CX75" s="3437"/>
      <c r="CY75" s="3437"/>
      <c r="CZ75" s="3437"/>
      <c r="DA75" s="3437"/>
      <c r="DB75" s="3437"/>
      <c r="DC75" s="3473"/>
    </row>
    <row r="76" spans="1:107" s="1799" customFormat="1" ht="15" customHeight="1">
      <c r="A76" s="17035"/>
      <c r="B76" s="17038"/>
      <c r="C76" s="17038"/>
      <c r="D76" s="17038"/>
      <c r="E76" s="17038"/>
      <c r="F76" s="17038"/>
      <c r="G76" s="17038"/>
      <c r="H76" s="17038"/>
      <c r="I76" s="17038"/>
      <c r="J76" s="17038"/>
      <c r="K76" s="17038"/>
      <c r="L76" s="17038"/>
      <c r="M76" s="17038"/>
      <c r="N76" s="17038"/>
      <c r="O76" s="17038"/>
      <c r="P76" s="17038"/>
      <c r="Q76" s="17041"/>
      <c r="R76" s="17025"/>
      <c r="S76" s="15925"/>
      <c r="T76" s="15925"/>
      <c r="U76" s="15925"/>
      <c r="V76" s="15925"/>
      <c r="W76" s="15925"/>
      <c r="X76" s="16525"/>
      <c r="Y76" s="16525"/>
      <c r="Z76" s="16525"/>
      <c r="AA76" s="16525"/>
      <c r="AB76" s="16525"/>
      <c r="AC76" s="16525"/>
      <c r="AD76" s="16525"/>
      <c r="AE76" s="16525"/>
      <c r="AF76" s="16525"/>
      <c r="AG76" s="16525"/>
      <c r="AH76" s="16525"/>
      <c r="AI76" s="15925"/>
      <c r="AJ76" s="15925"/>
      <c r="AK76" s="15925"/>
      <c r="AL76" s="15925"/>
      <c r="AM76" s="15925"/>
      <c r="AN76" s="15925"/>
      <c r="AO76" s="15925"/>
      <c r="AP76" s="15925"/>
      <c r="AQ76" s="15925"/>
      <c r="AR76" s="15925"/>
      <c r="AS76" s="15925"/>
      <c r="AT76" s="15925"/>
      <c r="AU76" s="15925"/>
      <c r="AV76" s="15925"/>
      <c r="AW76" s="15925"/>
      <c r="AX76" s="15925"/>
      <c r="AY76" s="15925"/>
      <c r="AZ76" s="15925"/>
      <c r="BA76" s="5247" t="s">
        <v>10063</v>
      </c>
      <c r="BB76" s="15925"/>
      <c r="BC76" s="7363"/>
      <c r="BD76" s="5248"/>
      <c r="BE76" s="5248"/>
      <c r="BF76" s="5248"/>
      <c r="BG76" s="5248"/>
      <c r="BH76" s="7387"/>
      <c r="BI76" s="3451"/>
      <c r="BJ76" s="3769"/>
      <c r="BK76" s="3437"/>
      <c r="BL76" s="3437"/>
      <c r="BM76" s="3437"/>
      <c r="BN76" s="3437"/>
      <c r="BO76" s="3437"/>
      <c r="BP76" s="3437"/>
      <c r="BQ76" s="3437"/>
      <c r="BR76" s="3437"/>
      <c r="BS76" s="3437"/>
      <c r="BT76" s="3437"/>
      <c r="BU76" s="3437"/>
      <c r="BV76" s="3437"/>
      <c r="BW76" s="3437"/>
      <c r="BX76" s="3437"/>
      <c r="BY76" s="3437"/>
      <c r="BZ76" s="3437"/>
      <c r="CA76" s="3437"/>
      <c r="CB76" s="3437"/>
      <c r="CC76" s="3437"/>
      <c r="CD76" s="3437"/>
      <c r="CE76" s="3437"/>
      <c r="CF76" s="3437"/>
      <c r="CG76" s="3437"/>
      <c r="CH76" s="3437"/>
      <c r="CI76" s="3437"/>
      <c r="CJ76" s="3437"/>
      <c r="CK76" s="3437"/>
      <c r="CL76" s="3437"/>
      <c r="CM76" s="3437"/>
      <c r="CN76" s="3437"/>
      <c r="CO76" s="3437"/>
      <c r="CP76" s="3437"/>
      <c r="CQ76" s="3437"/>
      <c r="CR76" s="3437"/>
      <c r="CS76" s="3437"/>
      <c r="CT76" s="3437"/>
      <c r="CU76" s="3437"/>
      <c r="CV76" s="3437"/>
      <c r="CW76" s="3437"/>
      <c r="CX76" s="3437"/>
      <c r="CY76" s="3437"/>
      <c r="CZ76" s="3437"/>
      <c r="DA76" s="3437"/>
      <c r="DB76" s="3437"/>
      <c r="DC76" s="3473"/>
    </row>
    <row r="77" spans="1:107" s="1799" customFormat="1" ht="15" customHeight="1">
      <c r="A77" s="17035"/>
      <c r="B77" s="17038"/>
      <c r="C77" s="17038"/>
      <c r="D77" s="17038"/>
      <c r="E77" s="17038"/>
      <c r="F77" s="17038"/>
      <c r="G77" s="17038"/>
      <c r="H77" s="17038"/>
      <c r="I77" s="17038"/>
      <c r="J77" s="17038"/>
      <c r="K77" s="17038"/>
      <c r="L77" s="17038"/>
      <c r="M77" s="17038"/>
      <c r="N77" s="17038"/>
      <c r="O77" s="17038"/>
      <c r="P77" s="17038"/>
      <c r="Q77" s="17041"/>
      <c r="R77" s="17025"/>
      <c r="S77" s="15925"/>
      <c r="T77" s="15925"/>
      <c r="U77" s="15925"/>
      <c r="V77" s="15925"/>
      <c r="W77" s="15925"/>
      <c r="X77" s="16525"/>
      <c r="Y77" s="16525"/>
      <c r="Z77" s="16525"/>
      <c r="AA77" s="16525"/>
      <c r="AB77" s="16525"/>
      <c r="AC77" s="16525"/>
      <c r="AD77" s="16525"/>
      <c r="AE77" s="16525"/>
      <c r="AF77" s="16525"/>
      <c r="AG77" s="16525"/>
      <c r="AH77" s="16525"/>
      <c r="AI77" s="15925"/>
      <c r="AJ77" s="15925"/>
      <c r="AK77" s="15925"/>
      <c r="AL77" s="15925"/>
      <c r="AM77" s="15925"/>
      <c r="AN77" s="15925"/>
      <c r="AO77" s="15925"/>
      <c r="AP77" s="15925"/>
      <c r="AQ77" s="15925"/>
      <c r="AR77" s="15925"/>
      <c r="AS77" s="15925"/>
      <c r="AT77" s="15925"/>
      <c r="AU77" s="15925"/>
      <c r="AV77" s="15925"/>
      <c r="AW77" s="15925"/>
      <c r="AX77" s="15925"/>
      <c r="AY77" s="15925"/>
      <c r="AZ77" s="15925"/>
      <c r="BA77" s="5247" t="s">
        <v>4305</v>
      </c>
      <c r="BB77" s="15925"/>
      <c r="BC77" s="7363"/>
      <c r="BD77" s="5248"/>
      <c r="BE77" s="5248"/>
      <c r="BF77" s="5248"/>
      <c r="BG77" s="5248"/>
      <c r="BH77" s="7387"/>
      <c r="BI77" s="3451"/>
      <c r="BJ77" s="3769"/>
      <c r="BK77" s="3437"/>
      <c r="BL77" s="3437"/>
      <c r="BM77" s="3437"/>
      <c r="BN77" s="3437"/>
      <c r="BO77" s="3437"/>
      <c r="BP77" s="3437"/>
      <c r="BQ77" s="3437"/>
      <c r="BR77" s="3437"/>
      <c r="BS77" s="3437"/>
      <c r="BT77" s="3437"/>
      <c r="BU77" s="3437"/>
      <c r="BV77" s="3437"/>
      <c r="BW77" s="3437"/>
      <c r="BX77" s="3437"/>
      <c r="BY77" s="3437"/>
      <c r="BZ77" s="3437"/>
      <c r="CA77" s="3437"/>
      <c r="CB77" s="3437"/>
      <c r="CC77" s="3437"/>
      <c r="CD77" s="3437"/>
      <c r="CE77" s="3437"/>
      <c r="CF77" s="3437"/>
      <c r="CG77" s="3437"/>
      <c r="CH77" s="3437"/>
      <c r="CI77" s="3437"/>
      <c r="CJ77" s="3437"/>
      <c r="CK77" s="3437"/>
      <c r="CL77" s="3437"/>
      <c r="CM77" s="3437"/>
      <c r="CN77" s="3437"/>
      <c r="CO77" s="3437"/>
      <c r="CP77" s="3437"/>
      <c r="CQ77" s="3437"/>
      <c r="CR77" s="3437"/>
      <c r="CS77" s="3437"/>
      <c r="CT77" s="3437"/>
      <c r="CU77" s="3437"/>
      <c r="CV77" s="3437"/>
      <c r="CW77" s="3437"/>
      <c r="CX77" s="3437"/>
      <c r="CY77" s="3437"/>
      <c r="CZ77" s="3437"/>
      <c r="DA77" s="3437"/>
      <c r="DB77" s="3437"/>
      <c r="DC77" s="3473"/>
    </row>
    <row r="78" spans="1:107" s="1799" customFormat="1" ht="15" customHeight="1">
      <c r="A78" s="17035"/>
      <c r="B78" s="17038"/>
      <c r="C78" s="17038"/>
      <c r="D78" s="17038"/>
      <c r="E78" s="17038"/>
      <c r="F78" s="17038"/>
      <c r="G78" s="17038"/>
      <c r="H78" s="17038"/>
      <c r="I78" s="17038"/>
      <c r="J78" s="17038"/>
      <c r="K78" s="17038"/>
      <c r="L78" s="17038"/>
      <c r="M78" s="17038"/>
      <c r="N78" s="17038"/>
      <c r="O78" s="17038"/>
      <c r="P78" s="17038"/>
      <c r="Q78" s="17041"/>
      <c r="R78" s="17025"/>
      <c r="S78" s="15925"/>
      <c r="T78" s="15925"/>
      <c r="U78" s="15925"/>
      <c r="V78" s="15925"/>
      <c r="W78" s="15925"/>
      <c r="X78" s="16525"/>
      <c r="Y78" s="16525"/>
      <c r="Z78" s="16525"/>
      <c r="AA78" s="16525"/>
      <c r="AB78" s="16525"/>
      <c r="AC78" s="16525"/>
      <c r="AD78" s="16525"/>
      <c r="AE78" s="16525"/>
      <c r="AF78" s="16525"/>
      <c r="AG78" s="16525"/>
      <c r="AH78" s="16525"/>
      <c r="AI78" s="15925"/>
      <c r="AJ78" s="15925"/>
      <c r="AK78" s="15925"/>
      <c r="AL78" s="15925"/>
      <c r="AM78" s="15925"/>
      <c r="AN78" s="15925"/>
      <c r="AO78" s="15925"/>
      <c r="AP78" s="15925"/>
      <c r="AQ78" s="15925"/>
      <c r="AR78" s="15925"/>
      <c r="AS78" s="15925"/>
      <c r="AT78" s="15925"/>
      <c r="AU78" s="15925"/>
      <c r="AV78" s="15925"/>
      <c r="AW78" s="15925"/>
      <c r="AX78" s="15925"/>
      <c r="AY78" s="15925"/>
      <c r="AZ78" s="15925"/>
      <c r="BA78" s="5247" t="s">
        <v>10066</v>
      </c>
      <c r="BB78" s="15925"/>
      <c r="BC78" s="7363"/>
      <c r="BD78" s="5248"/>
      <c r="BE78" s="5248"/>
      <c r="BF78" s="5248"/>
      <c r="BG78" s="5248"/>
      <c r="BH78" s="7387"/>
      <c r="BI78" s="3451"/>
      <c r="BJ78" s="3769"/>
      <c r="BK78" s="3437"/>
      <c r="BL78" s="3437"/>
      <c r="BM78" s="3437"/>
      <c r="BN78" s="3437"/>
      <c r="BO78" s="3437"/>
      <c r="BP78" s="3437"/>
      <c r="BQ78" s="3437"/>
      <c r="BR78" s="3437"/>
      <c r="BS78" s="3437"/>
      <c r="BT78" s="3437"/>
      <c r="BU78" s="3437"/>
      <c r="BV78" s="3437"/>
      <c r="BW78" s="3437"/>
      <c r="BX78" s="3437"/>
      <c r="BY78" s="3437"/>
      <c r="BZ78" s="3437"/>
      <c r="CA78" s="3437"/>
      <c r="CB78" s="3437"/>
      <c r="CC78" s="3437"/>
      <c r="CD78" s="3437"/>
      <c r="CE78" s="3437"/>
      <c r="CF78" s="3437"/>
      <c r="CG78" s="3437"/>
      <c r="CH78" s="3437"/>
      <c r="CI78" s="3437"/>
      <c r="CJ78" s="3437"/>
      <c r="CK78" s="3437"/>
      <c r="CL78" s="3437"/>
      <c r="CM78" s="3437"/>
      <c r="CN78" s="3437"/>
      <c r="CO78" s="3437"/>
      <c r="CP78" s="3437"/>
      <c r="CQ78" s="3437"/>
      <c r="CR78" s="3437"/>
      <c r="CS78" s="3437"/>
      <c r="CT78" s="3437"/>
      <c r="CU78" s="3437"/>
      <c r="CV78" s="3437"/>
      <c r="CW78" s="3437"/>
      <c r="CX78" s="3437"/>
      <c r="CY78" s="3437"/>
      <c r="CZ78" s="3437"/>
      <c r="DA78" s="3437"/>
      <c r="DB78" s="3437"/>
      <c r="DC78" s="3473"/>
    </row>
    <row r="79" spans="1:107" s="1799" customFormat="1" ht="15" customHeight="1">
      <c r="A79" s="17035"/>
      <c r="B79" s="17038"/>
      <c r="C79" s="17038"/>
      <c r="D79" s="17038"/>
      <c r="E79" s="17038"/>
      <c r="F79" s="17038"/>
      <c r="G79" s="17038"/>
      <c r="H79" s="17038"/>
      <c r="I79" s="17038"/>
      <c r="J79" s="17038"/>
      <c r="K79" s="17038"/>
      <c r="L79" s="17038"/>
      <c r="M79" s="17038"/>
      <c r="N79" s="17038"/>
      <c r="O79" s="17038"/>
      <c r="P79" s="17038"/>
      <c r="Q79" s="17041"/>
      <c r="R79" s="17025"/>
      <c r="S79" s="15925"/>
      <c r="T79" s="15925"/>
      <c r="U79" s="15925"/>
      <c r="V79" s="15925"/>
      <c r="W79" s="15925"/>
      <c r="X79" s="16525"/>
      <c r="Y79" s="16525"/>
      <c r="Z79" s="16525"/>
      <c r="AA79" s="16525"/>
      <c r="AB79" s="16525"/>
      <c r="AC79" s="16525"/>
      <c r="AD79" s="16525"/>
      <c r="AE79" s="16525"/>
      <c r="AF79" s="16525"/>
      <c r="AG79" s="16525"/>
      <c r="AH79" s="16525"/>
      <c r="AI79" s="15925"/>
      <c r="AJ79" s="15925"/>
      <c r="AK79" s="15925"/>
      <c r="AL79" s="15925"/>
      <c r="AM79" s="15925"/>
      <c r="AN79" s="15925"/>
      <c r="AO79" s="15925"/>
      <c r="AP79" s="15925"/>
      <c r="AQ79" s="15925"/>
      <c r="AR79" s="15925"/>
      <c r="AS79" s="15925"/>
      <c r="AT79" s="15925"/>
      <c r="AU79" s="15925"/>
      <c r="AV79" s="15925"/>
      <c r="AW79" s="15925"/>
      <c r="AX79" s="15925"/>
      <c r="AY79" s="15925"/>
      <c r="AZ79" s="15925"/>
      <c r="BA79" s="5247" t="s">
        <v>10290</v>
      </c>
      <c r="BB79" s="15925"/>
      <c r="BC79" s="7363"/>
      <c r="BD79" s="5248"/>
      <c r="BE79" s="5248"/>
      <c r="BF79" s="5248"/>
      <c r="BG79" s="5248"/>
      <c r="BH79" s="7387"/>
      <c r="BI79" s="3451"/>
      <c r="BJ79" s="3769"/>
      <c r="BK79" s="3437"/>
      <c r="BL79" s="3437"/>
      <c r="BM79" s="3437"/>
      <c r="BN79" s="3437"/>
      <c r="BO79" s="3437"/>
      <c r="BP79" s="3437"/>
      <c r="BQ79" s="3437"/>
      <c r="BR79" s="3437"/>
      <c r="BS79" s="3437"/>
      <c r="BT79" s="3437"/>
      <c r="BU79" s="3437"/>
      <c r="BV79" s="3437"/>
      <c r="BW79" s="3437"/>
      <c r="BX79" s="3437"/>
      <c r="BY79" s="3437"/>
      <c r="BZ79" s="3437"/>
      <c r="CA79" s="3437"/>
      <c r="CB79" s="3437"/>
      <c r="CC79" s="3437"/>
      <c r="CD79" s="3437"/>
      <c r="CE79" s="3437"/>
      <c r="CF79" s="3437"/>
      <c r="CG79" s="3437"/>
      <c r="CH79" s="3437"/>
      <c r="CI79" s="3437"/>
      <c r="CJ79" s="3437"/>
      <c r="CK79" s="3437"/>
      <c r="CL79" s="3437"/>
      <c r="CM79" s="3437"/>
      <c r="CN79" s="3437"/>
      <c r="CO79" s="3437"/>
      <c r="CP79" s="3437"/>
      <c r="CQ79" s="3437"/>
      <c r="CR79" s="3437"/>
      <c r="CS79" s="3437"/>
      <c r="CT79" s="3437"/>
      <c r="CU79" s="3437"/>
      <c r="CV79" s="3437"/>
      <c r="CW79" s="3437"/>
      <c r="CX79" s="3437"/>
      <c r="CY79" s="3437"/>
      <c r="CZ79" s="3437"/>
      <c r="DA79" s="3437"/>
      <c r="DB79" s="3437"/>
      <c r="DC79" s="3473"/>
    </row>
    <row r="80" spans="1:107" s="1799" customFormat="1" ht="15" customHeight="1">
      <c r="A80" s="17035"/>
      <c r="B80" s="17038"/>
      <c r="C80" s="17038"/>
      <c r="D80" s="17038"/>
      <c r="E80" s="17038"/>
      <c r="F80" s="17038"/>
      <c r="G80" s="17038"/>
      <c r="H80" s="17038"/>
      <c r="I80" s="17038"/>
      <c r="J80" s="17038"/>
      <c r="K80" s="17038"/>
      <c r="L80" s="17038"/>
      <c r="M80" s="17038"/>
      <c r="N80" s="17038"/>
      <c r="O80" s="17038"/>
      <c r="P80" s="17038"/>
      <c r="Q80" s="17041"/>
      <c r="R80" s="17025"/>
      <c r="S80" s="15925"/>
      <c r="T80" s="15925"/>
      <c r="U80" s="15925"/>
      <c r="V80" s="15925"/>
      <c r="W80" s="15925"/>
      <c r="X80" s="16525"/>
      <c r="Y80" s="16525"/>
      <c r="Z80" s="16525"/>
      <c r="AA80" s="16525"/>
      <c r="AB80" s="16525"/>
      <c r="AC80" s="16525"/>
      <c r="AD80" s="16525"/>
      <c r="AE80" s="16525"/>
      <c r="AF80" s="16525"/>
      <c r="AG80" s="16525"/>
      <c r="AH80" s="16525"/>
      <c r="AI80" s="15925"/>
      <c r="AJ80" s="5248" t="s">
        <v>8345</v>
      </c>
      <c r="AK80" s="7363" t="s">
        <v>9627</v>
      </c>
      <c r="AL80" s="5248" t="s">
        <v>6921</v>
      </c>
      <c r="AM80" s="5248" t="s">
        <v>6804</v>
      </c>
      <c r="AN80" s="5248" t="s">
        <v>70</v>
      </c>
      <c r="AO80" s="5248">
        <v>1</v>
      </c>
      <c r="AP80" s="5248">
        <v>1</v>
      </c>
      <c r="AQ80" s="5248">
        <v>1</v>
      </c>
      <c r="AR80" s="5248">
        <v>1</v>
      </c>
      <c r="AS80" s="5248">
        <v>1</v>
      </c>
      <c r="AT80" s="5248">
        <v>1</v>
      </c>
      <c r="AU80" s="5248">
        <v>1</v>
      </c>
      <c r="AV80" s="5248">
        <v>1</v>
      </c>
      <c r="AW80" s="5248">
        <v>1</v>
      </c>
      <c r="AX80" s="5248">
        <v>1</v>
      </c>
      <c r="AY80" s="5248">
        <v>10</v>
      </c>
      <c r="AZ80" s="5248" t="s">
        <v>6922</v>
      </c>
      <c r="BA80" s="5247" t="s">
        <v>26</v>
      </c>
      <c r="BB80" s="5248" t="s">
        <v>6923</v>
      </c>
      <c r="BC80" s="5248"/>
      <c r="BD80" s="5248" t="s">
        <v>6924</v>
      </c>
      <c r="BE80" s="5248" t="s">
        <v>6925</v>
      </c>
      <c r="BF80" s="5248" t="s">
        <v>6926</v>
      </c>
      <c r="BG80" s="5248" t="s">
        <v>6927</v>
      </c>
      <c r="BH80" s="7387" t="s">
        <v>6928</v>
      </c>
      <c r="BI80" s="3451"/>
      <c r="BJ80" s="3769"/>
      <c r="BK80" s="3437"/>
      <c r="BL80" s="3437"/>
      <c r="BM80" s="3437"/>
      <c r="BN80" s="3437"/>
      <c r="BO80" s="3437"/>
      <c r="BP80" s="3437"/>
      <c r="BQ80" s="3437"/>
      <c r="BR80" s="3437"/>
      <c r="BS80" s="3437"/>
      <c r="BT80" s="3437"/>
      <c r="BU80" s="3437"/>
      <c r="BV80" s="3437"/>
      <c r="BW80" s="3437"/>
      <c r="BX80" s="3437"/>
      <c r="BY80" s="3437"/>
      <c r="BZ80" s="3437"/>
      <c r="CA80" s="3437"/>
      <c r="CB80" s="3437"/>
      <c r="CC80" s="3437"/>
      <c r="CD80" s="3437"/>
      <c r="CE80" s="3437"/>
      <c r="CF80" s="3437"/>
      <c r="CG80" s="3437"/>
      <c r="CH80" s="3437"/>
      <c r="CI80" s="3437"/>
      <c r="CJ80" s="3437"/>
      <c r="CK80" s="3437"/>
      <c r="CL80" s="3437"/>
      <c r="CM80" s="3437"/>
      <c r="CN80" s="3437"/>
      <c r="CO80" s="3437"/>
      <c r="CP80" s="3437"/>
      <c r="CQ80" s="3437"/>
      <c r="CR80" s="3437"/>
      <c r="CS80" s="3437"/>
      <c r="CT80" s="3437"/>
      <c r="CU80" s="3437"/>
      <c r="CV80" s="3437"/>
      <c r="CW80" s="3437"/>
      <c r="CX80" s="3437"/>
      <c r="CY80" s="3437"/>
      <c r="CZ80" s="3437"/>
      <c r="DA80" s="3437"/>
      <c r="DB80" s="3437"/>
      <c r="DC80" s="3473"/>
    </row>
    <row r="81" spans="1:107" s="1799" customFormat="1" ht="15" customHeight="1">
      <c r="A81" s="17035"/>
      <c r="B81" s="17038"/>
      <c r="C81" s="17038"/>
      <c r="D81" s="17038"/>
      <c r="E81" s="17038"/>
      <c r="F81" s="17038"/>
      <c r="G81" s="17038"/>
      <c r="H81" s="17038"/>
      <c r="I81" s="17038"/>
      <c r="J81" s="17038"/>
      <c r="K81" s="17038"/>
      <c r="L81" s="17038"/>
      <c r="M81" s="17038"/>
      <c r="N81" s="17038"/>
      <c r="O81" s="17038"/>
      <c r="P81" s="17038"/>
      <c r="Q81" s="17041"/>
      <c r="R81" s="17025"/>
      <c r="S81" s="15925"/>
      <c r="T81" s="15925"/>
      <c r="U81" s="15925"/>
      <c r="V81" s="15925"/>
      <c r="W81" s="15925"/>
      <c r="X81" s="16525"/>
      <c r="Y81" s="16525"/>
      <c r="Z81" s="16525"/>
      <c r="AA81" s="16525"/>
      <c r="AB81" s="16525"/>
      <c r="AC81" s="16525"/>
      <c r="AD81" s="16525"/>
      <c r="AE81" s="16525"/>
      <c r="AF81" s="16525"/>
      <c r="AG81" s="16525"/>
      <c r="AH81" s="16525"/>
      <c r="AI81" s="15925"/>
      <c r="AJ81" s="5248" t="s">
        <v>8346</v>
      </c>
      <c r="AK81" s="7095" t="s">
        <v>6929</v>
      </c>
      <c r="AL81" s="5246" t="s">
        <v>6930</v>
      </c>
      <c r="AM81" s="5246" t="s">
        <v>6804</v>
      </c>
      <c r="AN81" s="5246">
        <v>230</v>
      </c>
      <c r="AO81" s="5246">
        <v>400</v>
      </c>
      <c r="AP81" s="5246">
        <v>400</v>
      </c>
      <c r="AQ81" s="5246">
        <v>400</v>
      </c>
      <c r="AR81" s="5246">
        <v>400</v>
      </c>
      <c r="AS81" s="5246">
        <v>400</v>
      </c>
      <c r="AT81" s="5246">
        <v>400</v>
      </c>
      <c r="AU81" s="5246">
        <v>400</v>
      </c>
      <c r="AV81" s="5246">
        <v>400</v>
      </c>
      <c r="AW81" s="5246">
        <v>400</v>
      </c>
      <c r="AX81" s="5246">
        <v>400</v>
      </c>
      <c r="AY81" s="5246">
        <v>4000</v>
      </c>
      <c r="AZ81" s="5246" t="s">
        <v>6931</v>
      </c>
      <c r="BA81" s="7184" t="s">
        <v>2896</v>
      </c>
      <c r="BB81" s="5246" t="s">
        <v>6854</v>
      </c>
      <c r="BC81" s="5246"/>
      <c r="BD81" s="5246" t="s">
        <v>6932</v>
      </c>
      <c r="BE81" s="5246" t="s">
        <v>6925</v>
      </c>
      <c r="BF81" s="5246" t="s">
        <v>6926</v>
      </c>
      <c r="BG81" s="5246" t="s">
        <v>6933</v>
      </c>
      <c r="BH81" s="7388" t="s">
        <v>6934</v>
      </c>
      <c r="BI81" s="7143"/>
      <c r="BJ81" s="7402"/>
      <c r="BK81" s="7367"/>
      <c r="BL81" s="7367"/>
      <c r="BM81" s="7367"/>
      <c r="BN81" s="7367"/>
      <c r="BO81" s="7367"/>
      <c r="BP81" s="7367"/>
      <c r="BQ81" s="7367"/>
      <c r="BR81" s="7367"/>
      <c r="BS81" s="7367"/>
      <c r="BT81" s="7367"/>
      <c r="BU81" s="7367"/>
      <c r="BV81" s="7367"/>
      <c r="BW81" s="7367"/>
      <c r="BX81" s="7367"/>
      <c r="BY81" s="7367"/>
      <c r="BZ81" s="7367"/>
      <c r="CA81" s="7367"/>
      <c r="CB81" s="7367"/>
      <c r="CC81" s="7367"/>
      <c r="CD81" s="7367"/>
      <c r="CE81" s="7367"/>
      <c r="CF81" s="7367"/>
      <c r="CG81" s="7367"/>
      <c r="CH81" s="7367"/>
      <c r="CI81" s="7367"/>
      <c r="CJ81" s="7367"/>
      <c r="CK81" s="7367"/>
      <c r="CL81" s="7367"/>
      <c r="CM81" s="7367"/>
      <c r="CN81" s="7367"/>
      <c r="CO81" s="7367"/>
      <c r="CP81" s="7367"/>
      <c r="CQ81" s="7367"/>
      <c r="CR81" s="7367"/>
      <c r="CS81" s="7367"/>
      <c r="CT81" s="7367"/>
      <c r="CU81" s="7367"/>
      <c r="CV81" s="7367"/>
      <c r="CW81" s="7367"/>
      <c r="CX81" s="7367"/>
      <c r="CY81" s="7367"/>
      <c r="CZ81" s="7367"/>
      <c r="DA81" s="7364"/>
      <c r="DB81" s="7364"/>
      <c r="DC81" s="7365"/>
    </row>
    <row r="82" spans="1:107" s="1799" customFormat="1" ht="15" customHeight="1">
      <c r="A82" s="17035"/>
      <c r="B82" s="17038"/>
      <c r="C82" s="17038"/>
      <c r="D82" s="17038"/>
      <c r="E82" s="17038"/>
      <c r="F82" s="17038"/>
      <c r="G82" s="17038"/>
      <c r="H82" s="17038"/>
      <c r="I82" s="17038"/>
      <c r="J82" s="17038"/>
      <c r="K82" s="17038"/>
      <c r="L82" s="17038"/>
      <c r="M82" s="17038"/>
      <c r="N82" s="17038"/>
      <c r="O82" s="17038"/>
      <c r="P82" s="17038"/>
      <c r="Q82" s="17041"/>
      <c r="R82" s="17025"/>
      <c r="S82" s="15925"/>
      <c r="T82" s="15925"/>
      <c r="U82" s="15925"/>
      <c r="V82" s="15925"/>
      <c r="W82" s="15925"/>
      <c r="X82" s="16525"/>
      <c r="Y82" s="16525"/>
      <c r="Z82" s="16525"/>
      <c r="AA82" s="16525"/>
      <c r="AB82" s="16525"/>
      <c r="AC82" s="16525"/>
      <c r="AD82" s="16525"/>
      <c r="AE82" s="16525"/>
      <c r="AF82" s="16525"/>
      <c r="AG82" s="16525"/>
      <c r="AH82" s="16525"/>
      <c r="AI82" s="15925"/>
      <c r="AJ82" s="5248" t="s">
        <v>8347</v>
      </c>
      <c r="AK82" s="7363" t="s">
        <v>6935</v>
      </c>
      <c r="AL82" s="5248" t="s">
        <v>6936</v>
      </c>
      <c r="AM82" s="5248" t="s">
        <v>6804</v>
      </c>
      <c r="AN82" s="5248" t="s">
        <v>70</v>
      </c>
      <c r="AO82" s="5248">
        <v>1</v>
      </c>
      <c r="AP82" s="5248">
        <v>1</v>
      </c>
      <c r="AQ82" s="5248">
        <v>1</v>
      </c>
      <c r="AR82" s="5248">
        <v>1</v>
      </c>
      <c r="AS82" s="5248">
        <v>1</v>
      </c>
      <c r="AT82" s="5248">
        <v>1</v>
      </c>
      <c r="AU82" s="5248">
        <v>1</v>
      </c>
      <c r="AV82" s="5248">
        <v>1</v>
      </c>
      <c r="AW82" s="5248">
        <v>1</v>
      </c>
      <c r="AX82" s="5248">
        <v>1</v>
      </c>
      <c r="AY82" s="5248">
        <v>10</v>
      </c>
      <c r="AZ82" s="5248" t="s">
        <v>6922</v>
      </c>
      <c r="BA82" s="5247" t="s">
        <v>26</v>
      </c>
      <c r="BB82" s="5248" t="s">
        <v>6939</v>
      </c>
      <c r="BC82" s="5248"/>
      <c r="BD82" s="5248" t="s">
        <v>6937</v>
      </c>
      <c r="BE82" s="5248" t="s">
        <v>6925</v>
      </c>
      <c r="BF82" s="5248" t="s">
        <v>6926</v>
      </c>
      <c r="BG82" s="5248" t="s">
        <v>6927</v>
      </c>
      <c r="BH82" s="7387" t="s">
        <v>6938</v>
      </c>
      <c r="BI82" s="3451"/>
      <c r="BJ82" s="7402"/>
      <c r="BK82" s="7367"/>
      <c r="BL82" s="7367"/>
      <c r="BM82" s="7367"/>
      <c r="BN82" s="7367"/>
      <c r="BO82" s="7367"/>
      <c r="BP82" s="7367"/>
      <c r="BQ82" s="7367"/>
      <c r="BR82" s="7367"/>
      <c r="BS82" s="7367"/>
      <c r="BT82" s="7367"/>
      <c r="BU82" s="7367"/>
      <c r="BV82" s="7367"/>
      <c r="BW82" s="7367"/>
      <c r="BX82" s="7367"/>
      <c r="BY82" s="7367"/>
      <c r="BZ82" s="7367"/>
      <c r="CA82" s="7367"/>
      <c r="CB82" s="7367"/>
      <c r="CC82" s="7367"/>
      <c r="CD82" s="7367"/>
      <c r="CE82" s="7367"/>
      <c r="CF82" s="7367"/>
      <c r="CG82" s="7367"/>
      <c r="CH82" s="7367"/>
      <c r="CI82" s="7367"/>
      <c r="CJ82" s="7367"/>
      <c r="CK82" s="7367"/>
      <c r="CL82" s="7367"/>
      <c r="CM82" s="7367"/>
      <c r="CN82" s="7367"/>
      <c r="CO82" s="7367"/>
      <c r="CP82" s="7367"/>
      <c r="CQ82" s="7367"/>
      <c r="CR82" s="7367"/>
      <c r="CS82" s="7367"/>
      <c r="CT82" s="7367"/>
      <c r="CU82" s="7367"/>
      <c r="CV82" s="7367"/>
      <c r="CW82" s="7367"/>
      <c r="CX82" s="7367"/>
      <c r="CY82" s="7367"/>
      <c r="CZ82" s="7367"/>
      <c r="DA82" s="7364"/>
      <c r="DB82" s="7364"/>
      <c r="DC82" s="7365"/>
    </row>
    <row r="83" spans="1:107" s="1799" customFormat="1" ht="15" customHeight="1">
      <c r="A83" s="17035"/>
      <c r="B83" s="17038"/>
      <c r="C83" s="17038"/>
      <c r="D83" s="17038"/>
      <c r="E83" s="17038"/>
      <c r="F83" s="17038"/>
      <c r="G83" s="17038"/>
      <c r="H83" s="17038"/>
      <c r="I83" s="17038"/>
      <c r="J83" s="17038"/>
      <c r="K83" s="17038"/>
      <c r="L83" s="17038"/>
      <c r="M83" s="17038"/>
      <c r="N83" s="17038"/>
      <c r="O83" s="17038"/>
      <c r="P83" s="17038"/>
      <c r="Q83" s="17041"/>
      <c r="R83" s="17025"/>
      <c r="S83" s="15925"/>
      <c r="T83" s="15925"/>
      <c r="U83" s="15925"/>
      <c r="V83" s="15925"/>
      <c r="W83" s="15925"/>
      <c r="X83" s="16525"/>
      <c r="Y83" s="16525"/>
      <c r="Z83" s="16525"/>
      <c r="AA83" s="16525"/>
      <c r="AB83" s="16525"/>
      <c r="AC83" s="16525"/>
      <c r="AD83" s="16525"/>
      <c r="AE83" s="16525"/>
      <c r="AF83" s="16525"/>
      <c r="AG83" s="16525"/>
      <c r="AH83" s="16525"/>
      <c r="AI83" s="15925"/>
      <c r="AJ83" s="7363" t="s">
        <v>8348</v>
      </c>
      <c r="AK83" s="7363" t="s">
        <v>6940</v>
      </c>
      <c r="AL83" s="7366" t="s">
        <v>6941</v>
      </c>
      <c r="AM83" s="5248" t="s">
        <v>6785</v>
      </c>
      <c r="AN83" s="7095"/>
      <c r="AO83" s="5248">
        <v>12</v>
      </c>
      <c r="AP83" s="5248">
        <v>12</v>
      </c>
      <c r="AQ83" s="5248">
        <v>12</v>
      </c>
      <c r="AR83" s="5248">
        <v>12</v>
      </c>
      <c r="AS83" s="5248">
        <v>12</v>
      </c>
      <c r="AT83" s="5248">
        <v>12</v>
      </c>
      <c r="AU83" s="5248">
        <v>12</v>
      </c>
      <c r="AV83" s="5248">
        <v>12</v>
      </c>
      <c r="AW83" s="5248">
        <v>12</v>
      </c>
      <c r="AX83" s="5248">
        <v>12</v>
      </c>
      <c r="AY83" s="5248">
        <v>12</v>
      </c>
      <c r="AZ83" s="5248" t="s">
        <v>6942</v>
      </c>
      <c r="BA83" s="5247" t="s">
        <v>10063</v>
      </c>
      <c r="BB83" s="5248" t="s">
        <v>6798</v>
      </c>
      <c r="BC83" s="5248"/>
      <c r="BD83" s="5248" t="s">
        <v>6943</v>
      </c>
      <c r="BE83" s="5248" t="s">
        <v>6925</v>
      </c>
      <c r="BF83" s="5248"/>
      <c r="BG83" s="5248" t="s">
        <v>6927</v>
      </c>
      <c r="BH83" s="7387" t="s">
        <v>6944</v>
      </c>
      <c r="BI83" s="3451"/>
      <c r="BJ83" s="7402"/>
      <c r="BK83" s="7367"/>
      <c r="BL83" s="7367"/>
      <c r="BM83" s="7367"/>
      <c r="BN83" s="7367"/>
      <c r="BO83" s="7367"/>
      <c r="BP83" s="7367"/>
      <c r="BQ83" s="7367"/>
      <c r="BR83" s="7367"/>
      <c r="BS83" s="7367"/>
      <c r="BT83" s="7367"/>
      <c r="BU83" s="7367"/>
      <c r="BV83" s="7367"/>
      <c r="BW83" s="7367"/>
      <c r="BX83" s="7367"/>
      <c r="BY83" s="7367"/>
      <c r="BZ83" s="7367"/>
      <c r="CA83" s="7367"/>
      <c r="CB83" s="7367"/>
      <c r="CC83" s="7367"/>
      <c r="CD83" s="7367"/>
      <c r="CE83" s="7367"/>
      <c r="CF83" s="7367"/>
      <c r="CG83" s="7367"/>
      <c r="CH83" s="7367"/>
      <c r="CI83" s="7367"/>
      <c r="CJ83" s="7367"/>
      <c r="CK83" s="7367"/>
      <c r="CL83" s="7367"/>
      <c r="CM83" s="7367"/>
      <c r="CN83" s="7367"/>
      <c r="CO83" s="7367"/>
      <c r="CP83" s="7367"/>
      <c r="CQ83" s="7367"/>
      <c r="CR83" s="7367"/>
      <c r="CS83" s="7367"/>
      <c r="CT83" s="7367"/>
      <c r="CU83" s="7367"/>
      <c r="CV83" s="7367"/>
      <c r="CW83" s="7367"/>
      <c r="CX83" s="7367"/>
      <c r="CY83" s="7367"/>
      <c r="CZ83" s="7367"/>
      <c r="DA83" s="7367"/>
      <c r="DB83" s="7367"/>
      <c r="DC83" s="7368"/>
    </row>
    <row r="84" spans="1:107" s="1799" customFormat="1" ht="15" customHeight="1">
      <c r="A84" s="17035"/>
      <c r="B84" s="17038"/>
      <c r="C84" s="17038"/>
      <c r="D84" s="17038"/>
      <c r="E84" s="17038"/>
      <c r="F84" s="17038"/>
      <c r="G84" s="17038"/>
      <c r="H84" s="17038"/>
      <c r="I84" s="17038"/>
      <c r="J84" s="17038"/>
      <c r="K84" s="17038"/>
      <c r="L84" s="17038"/>
      <c r="M84" s="17038"/>
      <c r="N84" s="17038"/>
      <c r="O84" s="17038"/>
      <c r="P84" s="17038"/>
      <c r="Q84" s="17041"/>
      <c r="R84" s="17025"/>
      <c r="S84" s="15925"/>
      <c r="T84" s="15925"/>
      <c r="U84" s="15925"/>
      <c r="V84" s="15925"/>
      <c r="W84" s="15925"/>
      <c r="X84" s="16525"/>
      <c r="Y84" s="16525"/>
      <c r="Z84" s="16525"/>
      <c r="AA84" s="16525"/>
      <c r="AB84" s="16525"/>
      <c r="AC84" s="16525"/>
      <c r="AD84" s="16525"/>
      <c r="AE84" s="16525"/>
      <c r="AF84" s="16525"/>
      <c r="AG84" s="16525"/>
      <c r="AH84" s="16525"/>
      <c r="AI84" s="15925"/>
      <c r="AJ84" s="7584" t="s">
        <v>8349</v>
      </c>
      <c r="AK84" s="7363" t="s">
        <v>6945</v>
      </c>
      <c r="AL84" s="7366" t="s">
        <v>6946</v>
      </c>
      <c r="AM84" s="5248" t="s">
        <v>6796</v>
      </c>
      <c r="AN84" s="6145">
        <v>1</v>
      </c>
      <c r="AO84" s="6145">
        <v>1</v>
      </c>
      <c r="AP84" s="6145">
        <v>1</v>
      </c>
      <c r="AQ84" s="6145">
        <v>1</v>
      </c>
      <c r="AR84" s="6145">
        <v>1</v>
      </c>
      <c r="AS84" s="6145">
        <v>1</v>
      </c>
      <c r="AT84" s="6145">
        <v>1</v>
      </c>
      <c r="AU84" s="6145">
        <v>1</v>
      </c>
      <c r="AV84" s="6145">
        <v>1</v>
      </c>
      <c r="AW84" s="6145">
        <v>1</v>
      </c>
      <c r="AX84" s="6145">
        <v>1</v>
      </c>
      <c r="AY84" s="6145">
        <v>1</v>
      </c>
      <c r="AZ84" s="5248" t="s">
        <v>6942</v>
      </c>
      <c r="BA84" s="5247" t="s">
        <v>4305</v>
      </c>
      <c r="BB84" s="5248" t="s">
        <v>6947</v>
      </c>
      <c r="BC84" s="5248"/>
      <c r="BD84" s="5248"/>
      <c r="BE84" s="5248"/>
      <c r="BF84" s="5248"/>
      <c r="BG84" s="5248"/>
      <c r="BH84" s="7387"/>
      <c r="BI84" s="3451"/>
      <c r="BJ84" s="7402"/>
      <c r="BK84" s="7367"/>
      <c r="BL84" s="7367"/>
      <c r="BM84" s="7367"/>
      <c r="BN84" s="7367"/>
      <c r="BO84" s="7367"/>
      <c r="BP84" s="7367"/>
      <c r="BQ84" s="7367"/>
      <c r="BR84" s="7367"/>
      <c r="BS84" s="7367"/>
      <c r="BT84" s="7367"/>
      <c r="BU84" s="7367"/>
      <c r="BV84" s="7367"/>
      <c r="BW84" s="7367"/>
      <c r="BX84" s="7367"/>
      <c r="BY84" s="7367"/>
      <c r="BZ84" s="7367"/>
      <c r="CA84" s="7367"/>
      <c r="CB84" s="7367"/>
      <c r="CC84" s="7367"/>
      <c r="CD84" s="7367"/>
      <c r="CE84" s="7367"/>
      <c r="CF84" s="7367"/>
      <c r="CG84" s="7367"/>
      <c r="CH84" s="7367"/>
      <c r="CI84" s="7367"/>
      <c r="CJ84" s="7367"/>
      <c r="CK84" s="7367"/>
      <c r="CL84" s="7367"/>
      <c r="CM84" s="7367"/>
      <c r="CN84" s="7367"/>
      <c r="CO84" s="7367"/>
      <c r="CP84" s="7367"/>
      <c r="CQ84" s="7367"/>
      <c r="CR84" s="7367"/>
      <c r="CS84" s="7367"/>
      <c r="CT84" s="7367"/>
      <c r="CU84" s="7367"/>
      <c r="CV84" s="7367"/>
      <c r="CW84" s="7367"/>
      <c r="CX84" s="7367"/>
      <c r="CY84" s="7367"/>
      <c r="CZ84" s="7367"/>
      <c r="DA84" s="7367"/>
      <c r="DB84" s="7367"/>
      <c r="DC84" s="7368"/>
    </row>
    <row r="85" spans="1:107" s="1799" customFormat="1" ht="15" customHeight="1">
      <c r="A85" s="17035"/>
      <c r="B85" s="17038"/>
      <c r="C85" s="17038"/>
      <c r="D85" s="17038"/>
      <c r="E85" s="17038"/>
      <c r="F85" s="17038"/>
      <c r="G85" s="17038"/>
      <c r="H85" s="17038"/>
      <c r="I85" s="17038"/>
      <c r="J85" s="17038"/>
      <c r="K85" s="17038"/>
      <c r="L85" s="17038"/>
      <c r="M85" s="17038"/>
      <c r="N85" s="17038"/>
      <c r="O85" s="17038"/>
      <c r="P85" s="17038"/>
      <c r="Q85" s="17041"/>
      <c r="R85" s="17025"/>
      <c r="S85" s="15925"/>
      <c r="T85" s="15925"/>
      <c r="U85" s="15925"/>
      <c r="V85" s="15925"/>
      <c r="W85" s="15925"/>
      <c r="X85" s="16525"/>
      <c r="Y85" s="16525"/>
      <c r="Z85" s="16525"/>
      <c r="AA85" s="16525"/>
      <c r="AB85" s="16525"/>
      <c r="AC85" s="16525"/>
      <c r="AD85" s="16525"/>
      <c r="AE85" s="16525"/>
      <c r="AF85" s="16525"/>
      <c r="AG85" s="16525"/>
      <c r="AH85" s="16525"/>
      <c r="AI85" s="15925"/>
      <c r="AJ85" s="5248" t="s">
        <v>8350</v>
      </c>
      <c r="AK85" s="7363" t="s">
        <v>6948</v>
      </c>
      <c r="AL85" s="7366" t="s">
        <v>433</v>
      </c>
      <c r="AM85" s="5248" t="s">
        <v>6796</v>
      </c>
      <c r="AN85" s="5248" t="s">
        <v>1019</v>
      </c>
      <c r="AO85" s="6145">
        <v>1</v>
      </c>
      <c r="AP85" s="6145">
        <v>1</v>
      </c>
      <c r="AQ85" s="6145">
        <v>1</v>
      </c>
      <c r="AR85" s="6145">
        <v>1</v>
      </c>
      <c r="AS85" s="6145">
        <v>1</v>
      </c>
      <c r="AT85" s="6145">
        <v>1</v>
      </c>
      <c r="AU85" s="6145">
        <v>1</v>
      </c>
      <c r="AV85" s="6145">
        <v>1</v>
      </c>
      <c r="AW85" s="6145">
        <v>1</v>
      </c>
      <c r="AX85" s="6145">
        <v>1</v>
      </c>
      <c r="AY85" s="6145">
        <v>1</v>
      </c>
      <c r="AZ85" s="5248" t="s">
        <v>6949</v>
      </c>
      <c r="BA85" s="5247" t="s">
        <v>218</v>
      </c>
      <c r="BB85" s="5248" t="s">
        <v>6823</v>
      </c>
      <c r="BC85" s="5248"/>
      <c r="BD85" s="5248" t="s">
        <v>6950</v>
      </c>
      <c r="BE85" s="5248"/>
      <c r="BF85" s="5248"/>
      <c r="BG85" s="5248"/>
      <c r="BH85" s="7387" t="s">
        <v>6950</v>
      </c>
      <c r="BI85" s="3451"/>
      <c r="BJ85" s="3769"/>
      <c r="BK85" s="3437"/>
      <c r="BL85" s="3437"/>
      <c r="BM85" s="3437"/>
      <c r="BN85" s="3437"/>
      <c r="BO85" s="3437"/>
      <c r="BP85" s="3437"/>
      <c r="BQ85" s="3437"/>
      <c r="BR85" s="3437"/>
      <c r="BS85" s="3437"/>
      <c r="BT85" s="3437"/>
      <c r="BU85" s="3437"/>
      <c r="BV85" s="3437"/>
      <c r="BW85" s="3437"/>
      <c r="BX85" s="3437"/>
      <c r="BY85" s="3437"/>
      <c r="BZ85" s="3437"/>
      <c r="CA85" s="3437"/>
      <c r="CB85" s="3437"/>
      <c r="CC85" s="3437"/>
      <c r="CD85" s="3437"/>
      <c r="CE85" s="3437"/>
      <c r="CF85" s="3437"/>
      <c r="CG85" s="3437"/>
      <c r="CH85" s="3437"/>
      <c r="CI85" s="3437"/>
      <c r="CJ85" s="3437"/>
      <c r="CK85" s="3437"/>
      <c r="CL85" s="3437"/>
      <c r="CM85" s="3437"/>
      <c r="CN85" s="3437"/>
      <c r="CO85" s="3437"/>
      <c r="CP85" s="3437"/>
      <c r="CQ85" s="3437"/>
      <c r="CR85" s="3437"/>
      <c r="CS85" s="3437"/>
      <c r="CT85" s="3437"/>
      <c r="CU85" s="3437"/>
      <c r="CV85" s="3437"/>
      <c r="CW85" s="3437"/>
      <c r="CX85" s="3437"/>
      <c r="CY85" s="3437"/>
      <c r="CZ85" s="3437"/>
      <c r="DA85" s="3437"/>
      <c r="DB85" s="3437"/>
      <c r="DC85" s="3473"/>
    </row>
    <row r="86" spans="1:107" s="1799" customFormat="1" ht="15" customHeight="1">
      <c r="A86" s="17035"/>
      <c r="B86" s="17038"/>
      <c r="C86" s="17038"/>
      <c r="D86" s="17038"/>
      <c r="E86" s="17038"/>
      <c r="F86" s="17038"/>
      <c r="G86" s="17038"/>
      <c r="H86" s="17038"/>
      <c r="I86" s="17038"/>
      <c r="J86" s="17038"/>
      <c r="K86" s="17038"/>
      <c r="L86" s="17038"/>
      <c r="M86" s="17038"/>
      <c r="N86" s="17038"/>
      <c r="O86" s="17038"/>
      <c r="P86" s="17038"/>
      <c r="Q86" s="17041"/>
      <c r="R86" s="17025"/>
      <c r="S86" s="15925"/>
      <c r="T86" s="15925"/>
      <c r="U86" s="15925"/>
      <c r="V86" s="15925"/>
      <c r="W86" s="15925"/>
      <c r="X86" s="16525"/>
      <c r="Y86" s="16525"/>
      <c r="Z86" s="16525"/>
      <c r="AA86" s="16525"/>
      <c r="AB86" s="16525"/>
      <c r="AC86" s="16525"/>
      <c r="AD86" s="16525"/>
      <c r="AE86" s="16525"/>
      <c r="AF86" s="16525"/>
      <c r="AG86" s="16525"/>
      <c r="AH86" s="16525"/>
      <c r="AI86" s="15925"/>
      <c r="AJ86" s="15925" t="s">
        <v>8351</v>
      </c>
      <c r="AK86" s="15925" t="s">
        <v>6951</v>
      </c>
      <c r="AL86" s="15925" t="s">
        <v>6952</v>
      </c>
      <c r="AM86" s="15925" t="s">
        <v>6796</v>
      </c>
      <c r="AN86" s="15925" t="s">
        <v>1019</v>
      </c>
      <c r="AO86" s="15925">
        <v>1</v>
      </c>
      <c r="AP86" s="15925">
        <v>1</v>
      </c>
      <c r="AQ86" s="15925">
        <v>1</v>
      </c>
      <c r="AR86" s="15925">
        <v>1</v>
      </c>
      <c r="AS86" s="15925">
        <v>1</v>
      </c>
      <c r="AT86" s="15925">
        <v>1</v>
      </c>
      <c r="AU86" s="15925">
        <v>1</v>
      </c>
      <c r="AV86" s="15925">
        <v>1</v>
      </c>
      <c r="AW86" s="15925">
        <v>1</v>
      </c>
      <c r="AX86" s="15925">
        <v>1</v>
      </c>
      <c r="AY86" s="15925">
        <v>1</v>
      </c>
      <c r="AZ86" s="15925" t="s">
        <v>6953</v>
      </c>
      <c r="BA86" s="5247" t="s">
        <v>218</v>
      </c>
      <c r="BB86" s="15925" t="s">
        <v>6954</v>
      </c>
      <c r="BC86" s="5248"/>
      <c r="BD86" s="5248" t="s">
        <v>6955</v>
      </c>
      <c r="BE86" s="5248"/>
      <c r="BF86" s="5248"/>
      <c r="BG86" s="5248"/>
      <c r="BH86" s="7387" t="s">
        <v>6955</v>
      </c>
      <c r="BI86" s="3451"/>
      <c r="BJ86" s="3769"/>
      <c r="BK86" s="3437"/>
      <c r="BL86" s="3437"/>
      <c r="BM86" s="3437"/>
      <c r="BN86" s="3437"/>
      <c r="BO86" s="3437"/>
      <c r="BP86" s="3437"/>
      <c r="BQ86" s="3437"/>
      <c r="BR86" s="3437"/>
      <c r="BS86" s="3437"/>
      <c r="BT86" s="3437"/>
      <c r="BU86" s="3437"/>
      <c r="BV86" s="3437"/>
      <c r="BW86" s="3437"/>
      <c r="BX86" s="3437"/>
      <c r="BY86" s="3437"/>
      <c r="BZ86" s="3437"/>
      <c r="CA86" s="3437"/>
      <c r="CB86" s="3437"/>
      <c r="CC86" s="3437"/>
      <c r="CD86" s="3437"/>
      <c r="CE86" s="3437"/>
      <c r="CF86" s="3437"/>
      <c r="CG86" s="3437"/>
      <c r="CH86" s="3437"/>
      <c r="CI86" s="3437"/>
      <c r="CJ86" s="3437"/>
      <c r="CK86" s="3437"/>
      <c r="CL86" s="3437"/>
      <c r="CM86" s="3437"/>
      <c r="CN86" s="3437"/>
      <c r="CO86" s="3437"/>
      <c r="CP86" s="3437"/>
      <c r="CQ86" s="3437"/>
      <c r="CR86" s="3437"/>
      <c r="CS86" s="3437"/>
      <c r="CT86" s="3437"/>
      <c r="CU86" s="3437"/>
      <c r="CV86" s="3437"/>
      <c r="CW86" s="3437"/>
      <c r="CX86" s="3437"/>
      <c r="CY86" s="3437"/>
      <c r="CZ86" s="3437"/>
      <c r="DA86" s="3437"/>
      <c r="DB86" s="3437"/>
      <c r="DC86" s="3473"/>
    </row>
    <row r="87" spans="1:107" s="1799" customFormat="1" ht="15" customHeight="1">
      <c r="A87" s="17035"/>
      <c r="B87" s="17038"/>
      <c r="C87" s="17038"/>
      <c r="D87" s="17038"/>
      <c r="E87" s="17038"/>
      <c r="F87" s="17038"/>
      <c r="G87" s="17038"/>
      <c r="H87" s="17038"/>
      <c r="I87" s="17038"/>
      <c r="J87" s="17038"/>
      <c r="K87" s="17038"/>
      <c r="L87" s="17038"/>
      <c r="M87" s="17038"/>
      <c r="N87" s="17038"/>
      <c r="O87" s="17038"/>
      <c r="P87" s="17038"/>
      <c r="Q87" s="17041"/>
      <c r="R87" s="17025"/>
      <c r="S87" s="15925"/>
      <c r="T87" s="15925"/>
      <c r="U87" s="15925"/>
      <c r="V87" s="15925"/>
      <c r="W87" s="15925"/>
      <c r="X87" s="16525"/>
      <c r="Y87" s="16525"/>
      <c r="Z87" s="16525"/>
      <c r="AA87" s="16525"/>
      <c r="AB87" s="16525"/>
      <c r="AC87" s="16525"/>
      <c r="AD87" s="16525"/>
      <c r="AE87" s="16525"/>
      <c r="AF87" s="16525"/>
      <c r="AG87" s="16525"/>
      <c r="AH87" s="16525"/>
      <c r="AI87" s="15925"/>
      <c r="AJ87" s="15925"/>
      <c r="AK87" s="15925"/>
      <c r="AL87" s="15925"/>
      <c r="AM87" s="15925"/>
      <c r="AN87" s="15925"/>
      <c r="AO87" s="15925"/>
      <c r="AP87" s="15925"/>
      <c r="AQ87" s="15925"/>
      <c r="AR87" s="15925"/>
      <c r="AS87" s="15925"/>
      <c r="AT87" s="15925"/>
      <c r="AU87" s="15925"/>
      <c r="AV87" s="15925"/>
      <c r="AW87" s="15925"/>
      <c r="AX87" s="15925"/>
      <c r="AY87" s="15925"/>
      <c r="AZ87" s="15925"/>
      <c r="BA87" s="5247" t="s">
        <v>10070</v>
      </c>
      <c r="BB87" s="15925"/>
      <c r="BC87" s="5248"/>
      <c r="BD87" s="5248"/>
      <c r="BE87" s="5248"/>
      <c r="BF87" s="5248"/>
      <c r="BG87" s="5248"/>
      <c r="BH87" s="7387"/>
      <c r="BI87" s="3451"/>
      <c r="BJ87" s="3769"/>
      <c r="BK87" s="3437"/>
      <c r="BL87" s="3437"/>
      <c r="BM87" s="3437"/>
      <c r="BN87" s="3437"/>
      <c r="BO87" s="3437"/>
      <c r="BP87" s="3437"/>
      <c r="BQ87" s="3437"/>
      <c r="BR87" s="3437"/>
      <c r="BS87" s="3437"/>
      <c r="BT87" s="3437"/>
      <c r="BU87" s="3437"/>
      <c r="BV87" s="3437"/>
      <c r="BW87" s="3437"/>
      <c r="BX87" s="3437"/>
      <c r="BY87" s="3437"/>
      <c r="BZ87" s="3437"/>
      <c r="CA87" s="3437"/>
      <c r="CB87" s="3437"/>
      <c r="CC87" s="3437"/>
      <c r="CD87" s="3437"/>
      <c r="CE87" s="3437"/>
      <c r="CF87" s="3437"/>
      <c r="CG87" s="3437"/>
      <c r="CH87" s="3437"/>
      <c r="CI87" s="3437"/>
      <c r="CJ87" s="3437"/>
      <c r="CK87" s="3437"/>
      <c r="CL87" s="3437"/>
      <c r="CM87" s="3437"/>
      <c r="CN87" s="3437"/>
      <c r="CO87" s="3437"/>
      <c r="CP87" s="3437"/>
      <c r="CQ87" s="3437"/>
      <c r="CR87" s="3437"/>
      <c r="CS87" s="3437"/>
      <c r="CT87" s="3437"/>
      <c r="CU87" s="3437"/>
      <c r="CV87" s="3437"/>
      <c r="CW87" s="3437"/>
      <c r="CX87" s="3437"/>
      <c r="CY87" s="3437"/>
      <c r="CZ87" s="3437"/>
      <c r="DA87" s="3437"/>
      <c r="DB87" s="3437"/>
      <c r="DC87" s="3473"/>
    </row>
    <row r="88" spans="1:107" s="1799" customFormat="1" ht="15" customHeight="1" thickBot="1">
      <c r="A88" s="17035"/>
      <c r="B88" s="17038"/>
      <c r="C88" s="17038"/>
      <c r="D88" s="17038"/>
      <c r="E88" s="17038"/>
      <c r="F88" s="17038"/>
      <c r="G88" s="17038"/>
      <c r="H88" s="17038"/>
      <c r="I88" s="17038"/>
      <c r="J88" s="17038"/>
      <c r="K88" s="17038"/>
      <c r="L88" s="17038"/>
      <c r="M88" s="17038"/>
      <c r="N88" s="17038"/>
      <c r="O88" s="17038"/>
      <c r="P88" s="17038"/>
      <c r="Q88" s="17041"/>
      <c r="R88" s="17026"/>
      <c r="S88" s="15926"/>
      <c r="T88" s="15926"/>
      <c r="U88" s="15926"/>
      <c r="V88" s="15926"/>
      <c r="W88" s="15926"/>
      <c r="X88" s="17014"/>
      <c r="Y88" s="17014"/>
      <c r="Z88" s="17014"/>
      <c r="AA88" s="17014"/>
      <c r="AB88" s="17014"/>
      <c r="AC88" s="17014"/>
      <c r="AD88" s="17014"/>
      <c r="AE88" s="17014"/>
      <c r="AF88" s="17014"/>
      <c r="AG88" s="17014"/>
      <c r="AH88" s="17014"/>
      <c r="AI88" s="15926"/>
      <c r="AJ88" s="5250" t="s">
        <v>8477</v>
      </c>
      <c r="AK88" s="7369" t="s">
        <v>6956</v>
      </c>
      <c r="AL88" s="7370" t="s">
        <v>6957</v>
      </c>
      <c r="AM88" s="5250" t="s">
        <v>6796</v>
      </c>
      <c r="AN88" s="5250" t="s">
        <v>1019</v>
      </c>
      <c r="AO88" s="4937">
        <v>1</v>
      </c>
      <c r="AP88" s="4937">
        <v>1</v>
      </c>
      <c r="AQ88" s="4937">
        <v>1</v>
      </c>
      <c r="AR88" s="4937">
        <v>1</v>
      </c>
      <c r="AS88" s="4937">
        <v>1</v>
      </c>
      <c r="AT88" s="4937">
        <v>1</v>
      </c>
      <c r="AU88" s="4937">
        <v>1</v>
      </c>
      <c r="AV88" s="4937">
        <v>1</v>
      </c>
      <c r="AW88" s="4937">
        <v>1</v>
      </c>
      <c r="AX88" s="4937">
        <v>1</v>
      </c>
      <c r="AY88" s="4937">
        <v>1</v>
      </c>
      <c r="AZ88" s="5250" t="s">
        <v>6958</v>
      </c>
      <c r="BA88" s="5249" t="s">
        <v>65</v>
      </c>
      <c r="BB88" s="5250" t="s">
        <v>6959</v>
      </c>
      <c r="BC88" s="5250"/>
      <c r="BD88" s="5250" t="s">
        <v>6955</v>
      </c>
      <c r="BE88" s="5250"/>
      <c r="BF88" s="5250"/>
      <c r="BG88" s="5250"/>
      <c r="BH88" s="7389" t="s">
        <v>6955</v>
      </c>
      <c r="BI88" s="3451"/>
      <c r="BJ88" s="3836"/>
      <c r="BK88" s="3833"/>
      <c r="BL88" s="3833"/>
      <c r="BM88" s="3833"/>
      <c r="BN88" s="3833"/>
      <c r="BO88" s="3833"/>
      <c r="BP88" s="3833"/>
      <c r="BQ88" s="3833"/>
      <c r="BR88" s="3833"/>
      <c r="BS88" s="3833"/>
      <c r="BT88" s="3833"/>
      <c r="BU88" s="3833"/>
      <c r="BV88" s="3833"/>
      <c r="BW88" s="3833"/>
      <c r="BX88" s="3833"/>
      <c r="BY88" s="3833"/>
      <c r="BZ88" s="3833"/>
      <c r="CA88" s="3833"/>
      <c r="CB88" s="3833"/>
      <c r="CC88" s="3833"/>
      <c r="CD88" s="3833"/>
      <c r="CE88" s="3833"/>
      <c r="CF88" s="3833"/>
      <c r="CG88" s="3833"/>
      <c r="CH88" s="3833"/>
      <c r="CI88" s="3833"/>
      <c r="CJ88" s="3833"/>
      <c r="CK88" s="3833"/>
      <c r="CL88" s="3833"/>
      <c r="CM88" s="3833"/>
      <c r="CN88" s="3833"/>
      <c r="CO88" s="3833"/>
      <c r="CP88" s="3833"/>
      <c r="CQ88" s="3833"/>
      <c r="CR88" s="3833"/>
      <c r="CS88" s="3833"/>
      <c r="CT88" s="3833"/>
      <c r="CU88" s="3833"/>
      <c r="CV88" s="3833"/>
      <c r="CW88" s="3833"/>
      <c r="CX88" s="3833"/>
      <c r="CY88" s="3833"/>
      <c r="CZ88" s="3833"/>
      <c r="DA88" s="3833"/>
      <c r="DB88" s="3833"/>
      <c r="DC88" s="3834"/>
    </row>
    <row r="89" spans="1:107" s="1846" customFormat="1" ht="15" customHeight="1">
      <c r="A89" s="17035"/>
      <c r="B89" s="17038"/>
      <c r="C89" s="17038"/>
      <c r="D89" s="17038"/>
      <c r="E89" s="17038"/>
      <c r="F89" s="17038"/>
      <c r="G89" s="17038"/>
      <c r="H89" s="17038"/>
      <c r="I89" s="17038"/>
      <c r="J89" s="17038"/>
      <c r="K89" s="17038"/>
      <c r="L89" s="17038"/>
      <c r="M89" s="17038"/>
      <c r="N89" s="17038"/>
      <c r="O89" s="17038"/>
      <c r="P89" s="17038"/>
      <c r="Q89" s="17041"/>
      <c r="R89" s="17021" t="s">
        <v>6960</v>
      </c>
      <c r="S89" s="17020" t="s">
        <v>6961</v>
      </c>
      <c r="T89" s="17020" t="s">
        <v>6962</v>
      </c>
      <c r="U89" s="17020" t="s">
        <v>6963</v>
      </c>
      <c r="V89" s="17020" t="s">
        <v>5126</v>
      </c>
      <c r="W89" s="17020" t="s">
        <v>1019</v>
      </c>
      <c r="X89" s="16508">
        <v>0.3</v>
      </c>
      <c r="Y89" s="16508">
        <v>0.3</v>
      </c>
      <c r="Z89" s="16508">
        <v>0.3</v>
      </c>
      <c r="AA89" s="16508">
        <v>0.4</v>
      </c>
      <c r="AB89" s="16508">
        <v>0.4</v>
      </c>
      <c r="AC89" s="16508">
        <v>0.4</v>
      </c>
      <c r="AD89" s="16508">
        <v>0.5</v>
      </c>
      <c r="AE89" s="16508">
        <v>0.5</v>
      </c>
      <c r="AF89" s="16508">
        <v>0.5</v>
      </c>
      <c r="AG89" s="16508">
        <v>0.5</v>
      </c>
      <c r="AH89" s="16508">
        <v>0.5</v>
      </c>
      <c r="AI89" s="17020" t="s">
        <v>6782</v>
      </c>
      <c r="AJ89" s="3053" t="s">
        <v>8352</v>
      </c>
      <c r="AK89" s="7371" t="s">
        <v>7348</v>
      </c>
      <c r="AL89" s="3053" t="s">
        <v>7349</v>
      </c>
      <c r="AM89" s="3053" t="s">
        <v>6785</v>
      </c>
      <c r="AN89" s="3053">
        <v>0</v>
      </c>
      <c r="AO89" s="3053">
        <v>2</v>
      </c>
      <c r="AP89" s="3053">
        <v>2</v>
      </c>
      <c r="AQ89" s="3053">
        <v>2</v>
      </c>
      <c r="AR89" s="3053">
        <v>2</v>
      </c>
      <c r="AS89" s="3053">
        <v>2</v>
      </c>
      <c r="AT89" s="3053">
        <v>2</v>
      </c>
      <c r="AU89" s="3053">
        <v>2</v>
      </c>
      <c r="AV89" s="3053">
        <v>2</v>
      </c>
      <c r="AW89" s="3053">
        <v>2</v>
      </c>
      <c r="AX89" s="3053">
        <v>2</v>
      </c>
      <c r="AY89" s="3053">
        <v>20</v>
      </c>
      <c r="AZ89" s="3053" t="s">
        <v>7350</v>
      </c>
      <c r="BA89" s="7426" t="s">
        <v>10290</v>
      </c>
      <c r="BB89" s="3053" t="s">
        <v>7351</v>
      </c>
      <c r="BC89" s="3053"/>
      <c r="BD89" s="3053" t="s">
        <v>7352</v>
      </c>
      <c r="BE89" s="3053" t="s">
        <v>7353</v>
      </c>
      <c r="BF89" s="3053" t="s">
        <v>7354</v>
      </c>
      <c r="BG89" s="3053" t="s">
        <v>7355</v>
      </c>
      <c r="BH89" s="7390" t="s">
        <v>7356</v>
      </c>
      <c r="BI89" s="3451"/>
      <c r="BJ89" s="3851"/>
      <c r="BK89" s="3848"/>
      <c r="BL89" s="3848"/>
      <c r="BM89" s="3848"/>
      <c r="BN89" s="3848"/>
      <c r="BO89" s="3848"/>
      <c r="BP89" s="3848"/>
      <c r="BQ89" s="3848"/>
      <c r="BR89" s="3848"/>
      <c r="BS89" s="3848"/>
      <c r="BT89" s="3848"/>
      <c r="BU89" s="3848"/>
      <c r="BV89" s="3848"/>
      <c r="BW89" s="3848"/>
      <c r="BX89" s="3848"/>
      <c r="BY89" s="3848"/>
      <c r="BZ89" s="3848"/>
      <c r="CA89" s="3848"/>
      <c r="CB89" s="3848"/>
      <c r="CC89" s="3848"/>
      <c r="CD89" s="3848"/>
      <c r="CE89" s="3848"/>
      <c r="CF89" s="3848"/>
      <c r="CG89" s="3848"/>
      <c r="CH89" s="3848"/>
      <c r="CI89" s="3848"/>
      <c r="CJ89" s="3848"/>
      <c r="CK89" s="3848"/>
      <c r="CL89" s="3848"/>
      <c r="CM89" s="3848"/>
      <c r="CN89" s="3848"/>
      <c r="CO89" s="3848"/>
      <c r="CP89" s="3848"/>
      <c r="CQ89" s="3848"/>
      <c r="CR89" s="3848"/>
      <c r="CS89" s="3848"/>
      <c r="CT89" s="3848"/>
      <c r="CU89" s="3848"/>
      <c r="CV89" s="3848"/>
      <c r="CW89" s="3848"/>
      <c r="CX89" s="3848"/>
      <c r="CY89" s="3848"/>
      <c r="CZ89" s="3848"/>
      <c r="DA89" s="3848"/>
      <c r="DB89" s="3848"/>
      <c r="DC89" s="3849"/>
    </row>
    <row r="90" spans="1:107" s="1846" customFormat="1" ht="15" customHeight="1">
      <c r="A90" s="17035"/>
      <c r="B90" s="17038"/>
      <c r="C90" s="17038"/>
      <c r="D90" s="17038"/>
      <c r="E90" s="17038"/>
      <c r="F90" s="17038"/>
      <c r="G90" s="17038"/>
      <c r="H90" s="17038"/>
      <c r="I90" s="17038"/>
      <c r="J90" s="17038"/>
      <c r="K90" s="17038"/>
      <c r="L90" s="17038"/>
      <c r="M90" s="17038"/>
      <c r="N90" s="17038"/>
      <c r="O90" s="17038"/>
      <c r="P90" s="17038"/>
      <c r="Q90" s="17041"/>
      <c r="R90" s="17022"/>
      <c r="S90" s="15931"/>
      <c r="T90" s="15931"/>
      <c r="U90" s="15931"/>
      <c r="V90" s="15931"/>
      <c r="W90" s="15931"/>
      <c r="X90" s="15932"/>
      <c r="Y90" s="15932"/>
      <c r="Z90" s="15932"/>
      <c r="AA90" s="15932"/>
      <c r="AB90" s="15932"/>
      <c r="AC90" s="15932"/>
      <c r="AD90" s="15932"/>
      <c r="AE90" s="15932"/>
      <c r="AF90" s="15932"/>
      <c r="AG90" s="15932"/>
      <c r="AH90" s="15932"/>
      <c r="AI90" s="15931"/>
      <c r="AJ90" s="15931" t="s">
        <v>8353</v>
      </c>
      <c r="AK90" s="15931" t="s">
        <v>7357</v>
      </c>
      <c r="AL90" s="15931" t="s">
        <v>7358</v>
      </c>
      <c r="AM90" s="15931" t="s">
        <v>6804</v>
      </c>
      <c r="AN90" s="15931">
        <v>0</v>
      </c>
      <c r="AO90" s="15931">
        <v>0.1</v>
      </c>
      <c r="AP90" s="15931">
        <v>0.1</v>
      </c>
      <c r="AQ90" s="15931">
        <v>0.1</v>
      </c>
      <c r="AR90" s="15931">
        <v>0.1</v>
      </c>
      <c r="AS90" s="15931">
        <v>0.1</v>
      </c>
      <c r="AT90" s="15931">
        <v>0.1</v>
      </c>
      <c r="AU90" s="15931">
        <v>0.1</v>
      </c>
      <c r="AV90" s="15931">
        <v>0.1</v>
      </c>
      <c r="AW90" s="15931">
        <v>0.1</v>
      </c>
      <c r="AX90" s="15931">
        <v>0.1</v>
      </c>
      <c r="AY90" s="15931">
        <v>1</v>
      </c>
      <c r="AZ90" s="15931" t="s">
        <v>1805</v>
      </c>
      <c r="BA90" s="4703" t="s">
        <v>10066</v>
      </c>
      <c r="BB90" s="15931" t="s">
        <v>7359</v>
      </c>
      <c r="BC90" s="5243"/>
      <c r="BD90" s="5243" t="s">
        <v>7360</v>
      </c>
      <c r="BE90" s="5243" t="s">
        <v>7353</v>
      </c>
      <c r="BF90" s="5243" t="s">
        <v>7354</v>
      </c>
      <c r="BG90" s="5243" t="s">
        <v>7355</v>
      </c>
      <c r="BH90" s="7391" t="s">
        <v>7361</v>
      </c>
      <c r="BI90" s="3451"/>
      <c r="BJ90" s="3768"/>
      <c r="BK90" s="3193"/>
      <c r="BL90" s="3193"/>
      <c r="BM90" s="3193"/>
      <c r="BN90" s="3193"/>
      <c r="BO90" s="3193"/>
      <c r="BP90" s="3193"/>
      <c r="BQ90" s="3193"/>
      <c r="BR90" s="3193"/>
      <c r="BS90" s="3193"/>
      <c r="BT90" s="3193"/>
      <c r="BU90" s="3193"/>
      <c r="BV90" s="3193"/>
      <c r="BW90" s="3193"/>
      <c r="BX90" s="3193"/>
      <c r="BY90" s="3193"/>
      <c r="BZ90" s="3193"/>
      <c r="CA90" s="3193"/>
      <c r="CB90" s="3193"/>
      <c r="CC90" s="3193"/>
      <c r="CD90" s="3193"/>
      <c r="CE90" s="3193"/>
      <c r="CF90" s="3193"/>
      <c r="CG90" s="3193"/>
      <c r="CH90" s="3193"/>
      <c r="CI90" s="3193"/>
      <c r="CJ90" s="3193"/>
      <c r="CK90" s="3193"/>
      <c r="CL90" s="3193"/>
      <c r="CM90" s="3193"/>
      <c r="CN90" s="3193"/>
      <c r="CO90" s="3193"/>
      <c r="CP90" s="3193"/>
      <c r="CQ90" s="3193"/>
      <c r="CR90" s="3193"/>
      <c r="CS90" s="3193"/>
      <c r="CT90" s="3193"/>
      <c r="CU90" s="3193"/>
      <c r="CV90" s="3193"/>
      <c r="CW90" s="3193"/>
      <c r="CX90" s="3193"/>
      <c r="CY90" s="3193"/>
      <c r="CZ90" s="3193"/>
      <c r="DA90" s="3193"/>
      <c r="DB90" s="3193"/>
      <c r="DC90" s="3477"/>
    </row>
    <row r="91" spans="1:107" s="1846" customFormat="1" ht="15" customHeight="1">
      <c r="A91" s="17035"/>
      <c r="B91" s="17038"/>
      <c r="C91" s="17038"/>
      <c r="D91" s="17038"/>
      <c r="E91" s="17038"/>
      <c r="F91" s="17038"/>
      <c r="G91" s="17038"/>
      <c r="H91" s="17038"/>
      <c r="I91" s="17038"/>
      <c r="J91" s="17038"/>
      <c r="K91" s="17038"/>
      <c r="L91" s="17038"/>
      <c r="M91" s="17038"/>
      <c r="N91" s="17038"/>
      <c r="O91" s="17038"/>
      <c r="P91" s="17038"/>
      <c r="Q91" s="17041"/>
      <c r="R91" s="17022"/>
      <c r="S91" s="15931"/>
      <c r="T91" s="15931"/>
      <c r="U91" s="15931"/>
      <c r="V91" s="15931"/>
      <c r="W91" s="15931"/>
      <c r="X91" s="15932"/>
      <c r="Y91" s="15932"/>
      <c r="Z91" s="15932"/>
      <c r="AA91" s="15932"/>
      <c r="AB91" s="15932"/>
      <c r="AC91" s="15932"/>
      <c r="AD91" s="15932"/>
      <c r="AE91" s="15932"/>
      <c r="AF91" s="15932"/>
      <c r="AG91" s="15932"/>
      <c r="AH91" s="15932"/>
      <c r="AI91" s="15931"/>
      <c r="AJ91" s="15931"/>
      <c r="AK91" s="15931"/>
      <c r="AL91" s="15931"/>
      <c r="AM91" s="15931"/>
      <c r="AN91" s="15931"/>
      <c r="AO91" s="15931"/>
      <c r="AP91" s="15931"/>
      <c r="AQ91" s="15931"/>
      <c r="AR91" s="15931"/>
      <c r="AS91" s="15931"/>
      <c r="AT91" s="15931"/>
      <c r="AU91" s="15931"/>
      <c r="AV91" s="15931"/>
      <c r="AW91" s="15931"/>
      <c r="AX91" s="15931"/>
      <c r="AY91" s="15931"/>
      <c r="AZ91" s="15931"/>
      <c r="BA91" s="4703" t="s">
        <v>10290</v>
      </c>
      <c r="BB91" s="15931"/>
      <c r="BC91" s="5243"/>
      <c r="BD91" s="5243"/>
      <c r="BE91" s="5243"/>
      <c r="BF91" s="5243"/>
      <c r="BG91" s="5243"/>
      <c r="BH91" s="7391"/>
      <c r="BI91" s="3451"/>
      <c r="BJ91" s="3768"/>
      <c r="BK91" s="3193"/>
      <c r="BL91" s="3193"/>
      <c r="BM91" s="3193"/>
      <c r="BN91" s="3193"/>
      <c r="BO91" s="3193"/>
      <c r="BP91" s="3193"/>
      <c r="BQ91" s="3193"/>
      <c r="BR91" s="3193"/>
      <c r="BS91" s="3193"/>
      <c r="BT91" s="3193"/>
      <c r="BU91" s="3193"/>
      <c r="BV91" s="3193"/>
      <c r="BW91" s="3193"/>
      <c r="BX91" s="3193"/>
      <c r="BY91" s="3193"/>
      <c r="BZ91" s="3193"/>
      <c r="CA91" s="3193"/>
      <c r="CB91" s="3193"/>
      <c r="CC91" s="3193"/>
      <c r="CD91" s="3193"/>
      <c r="CE91" s="3193"/>
      <c r="CF91" s="3193"/>
      <c r="CG91" s="3193"/>
      <c r="CH91" s="3193"/>
      <c r="CI91" s="3193"/>
      <c r="CJ91" s="3193"/>
      <c r="CK91" s="3193"/>
      <c r="CL91" s="3193"/>
      <c r="CM91" s="3193"/>
      <c r="CN91" s="3193"/>
      <c r="CO91" s="3193"/>
      <c r="CP91" s="3193"/>
      <c r="CQ91" s="3193"/>
      <c r="CR91" s="3193"/>
      <c r="CS91" s="3193"/>
      <c r="CT91" s="3193"/>
      <c r="CU91" s="3193"/>
      <c r="CV91" s="3193"/>
      <c r="CW91" s="3193"/>
      <c r="CX91" s="3193"/>
      <c r="CY91" s="3193"/>
      <c r="CZ91" s="3193"/>
      <c r="DA91" s="3193"/>
      <c r="DB91" s="3193"/>
      <c r="DC91" s="3477"/>
    </row>
    <row r="92" spans="1:107" s="1846" customFormat="1" ht="15" customHeight="1">
      <c r="A92" s="17035"/>
      <c r="B92" s="17038"/>
      <c r="C92" s="17038"/>
      <c r="D92" s="17038"/>
      <c r="E92" s="17038"/>
      <c r="F92" s="17038"/>
      <c r="G92" s="17038"/>
      <c r="H92" s="17038"/>
      <c r="I92" s="17038"/>
      <c r="J92" s="17038"/>
      <c r="K92" s="17038"/>
      <c r="L92" s="17038"/>
      <c r="M92" s="17038"/>
      <c r="N92" s="17038"/>
      <c r="O92" s="17038"/>
      <c r="P92" s="17038"/>
      <c r="Q92" s="17041"/>
      <c r="R92" s="17022"/>
      <c r="S92" s="15931"/>
      <c r="T92" s="15931"/>
      <c r="U92" s="15931"/>
      <c r="V92" s="15931"/>
      <c r="W92" s="15931"/>
      <c r="X92" s="15932"/>
      <c r="Y92" s="15932"/>
      <c r="Z92" s="15932"/>
      <c r="AA92" s="15932"/>
      <c r="AB92" s="15932"/>
      <c r="AC92" s="15932"/>
      <c r="AD92" s="15932"/>
      <c r="AE92" s="15932"/>
      <c r="AF92" s="15932"/>
      <c r="AG92" s="15932"/>
      <c r="AH92" s="15932"/>
      <c r="AI92" s="15931"/>
      <c r="AJ92" s="15931" t="s">
        <v>8354</v>
      </c>
      <c r="AK92" s="15931" t="s">
        <v>7362</v>
      </c>
      <c r="AL92" s="15931" t="s">
        <v>7363</v>
      </c>
      <c r="AM92" s="15931" t="s">
        <v>6785</v>
      </c>
      <c r="AN92" s="15931">
        <v>1</v>
      </c>
      <c r="AO92" s="15931">
        <v>1</v>
      </c>
      <c r="AP92" s="15931">
        <v>1</v>
      </c>
      <c r="AQ92" s="15931">
        <v>1</v>
      </c>
      <c r="AR92" s="15931">
        <v>1</v>
      </c>
      <c r="AS92" s="15931">
        <v>1</v>
      </c>
      <c r="AT92" s="15931">
        <v>1</v>
      </c>
      <c r="AU92" s="15931">
        <v>1</v>
      </c>
      <c r="AV92" s="15931">
        <v>1</v>
      </c>
      <c r="AW92" s="15931">
        <v>1</v>
      </c>
      <c r="AX92" s="15931">
        <v>1</v>
      </c>
      <c r="AY92" s="15931">
        <v>1</v>
      </c>
      <c r="AZ92" s="15931" t="s">
        <v>7364</v>
      </c>
      <c r="BA92" s="4703" t="s">
        <v>2896</v>
      </c>
      <c r="BB92" s="5243" t="s">
        <v>10321</v>
      </c>
      <c r="BC92" s="3193"/>
      <c r="BD92" s="5243" t="s">
        <v>7365</v>
      </c>
      <c r="BE92" s="5243" t="s">
        <v>7353</v>
      </c>
      <c r="BF92" s="5243" t="s">
        <v>7354</v>
      </c>
      <c r="BG92" s="5243" t="s">
        <v>7355</v>
      </c>
      <c r="BH92" s="7391" t="s">
        <v>7366</v>
      </c>
      <c r="BI92" s="3451"/>
      <c r="BJ92" s="3768"/>
      <c r="BK92" s="3193"/>
      <c r="BL92" s="3193"/>
      <c r="BM92" s="3193"/>
      <c r="BN92" s="3193"/>
      <c r="BO92" s="3193"/>
      <c r="BP92" s="3193"/>
      <c r="BQ92" s="3193"/>
      <c r="BR92" s="3193"/>
      <c r="BS92" s="3193"/>
      <c r="BT92" s="3193"/>
      <c r="BU92" s="3193"/>
      <c r="BV92" s="3193"/>
      <c r="BW92" s="3193"/>
      <c r="BX92" s="3193"/>
      <c r="BY92" s="3193"/>
      <c r="BZ92" s="3193"/>
      <c r="CA92" s="3193"/>
      <c r="CB92" s="3193"/>
      <c r="CC92" s="3193"/>
      <c r="CD92" s="3193"/>
      <c r="CE92" s="3193"/>
      <c r="CF92" s="3193"/>
      <c r="CG92" s="3193"/>
      <c r="CH92" s="3193"/>
      <c r="CI92" s="3193"/>
      <c r="CJ92" s="3193"/>
      <c r="CK92" s="3193"/>
      <c r="CL92" s="3193"/>
      <c r="CM92" s="3193"/>
      <c r="CN92" s="3193"/>
      <c r="CO92" s="3193"/>
      <c r="CP92" s="3193"/>
      <c r="CQ92" s="3193"/>
      <c r="CR92" s="3193"/>
      <c r="CS92" s="3193"/>
      <c r="CT92" s="3193"/>
      <c r="CU92" s="3193"/>
      <c r="CV92" s="3193"/>
      <c r="CW92" s="3193"/>
      <c r="CX92" s="3193"/>
      <c r="CY92" s="3193"/>
      <c r="CZ92" s="3193"/>
      <c r="DA92" s="3193"/>
      <c r="DB92" s="3193"/>
      <c r="DC92" s="3477"/>
    </row>
    <row r="93" spans="1:107" s="1846" customFormat="1" ht="15" customHeight="1">
      <c r="A93" s="17035"/>
      <c r="B93" s="17038"/>
      <c r="C93" s="17038"/>
      <c r="D93" s="17038"/>
      <c r="E93" s="17038"/>
      <c r="F93" s="17038"/>
      <c r="G93" s="17038"/>
      <c r="H93" s="17038"/>
      <c r="I93" s="17038"/>
      <c r="J93" s="17038"/>
      <c r="K93" s="17038"/>
      <c r="L93" s="17038"/>
      <c r="M93" s="17038"/>
      <c r="N93" s="17038"/>
      <c r="O93" s="17038"/>
      <c r="P93" s="17038"/>
      <c r="Q93" s="17041"/>
      <c r="R93" s="17022"/>
      <c r="S93" s="15931"/>
      <c r="T93" s="15931"/>
      <c r="U93" s="15931"/>
      <c r="V93" s="15931"/>
      <c r="W93" s="15931"/>
      <c r="X93" s="15932"/>
      <c r="Y93" s="15932"/>
      <c r="Z93" s="15932"/>
      <c r="AA93" s="15932"/>
      <c r="AB93" s="15932"/>
      <c r="AC93" s="15932"/>
      <c r="AD93" s="15932"/>
      <c r="AE93" s="15932"/>
      <c r="AF93" s="15932"/>
      <c r="AG93" s="15932"/>
      <c r="AH93" s="15932"/>
      <c r="AI93" s="15931"/>
      <c r="AJ93" s="15931"/>
      <c r="AK93" s="15931"/>
      <c r="AL93" s="15931"/>
      <c r="AM93" s="15931"/>
      <c r="AN93" s="15931"/>
      <c r="AO93" s="15931"/>
      <c r="AP93" s="15931"/>
      <c r="AQ93" s="15931"/>
      <c r="AR93" s="15931"/>
      <c r="AS93" s="15931"/>
      <c r="AT93" s="15931"/>
      <c r="AU93" s="15931"/>
      <c r="AV93" s="15931"/>
      <c r="AW93" s="15931"/>
      <c r="AX93" s="15931"/>
      <c r="AY93" s="15931"/>
      <c r="AZ93" s="15931"/>
      <c r="BA93" s="4703" t="s">
        <v>10199</v>
      </c>
      <c r="BB93" s="5243"/>
      <c r="BC93" s="5243" t="s">
        <v>10322</v>
      </c>
      <c r="BD93" s="5243"/>
      <c r="BE93" s="5243"/>
      <c r="BF93" s="5243"/>
      <c r="BG93" s="5243"/>
      <c r="BH93" s="7391"/>
      <c r="BI93" s="3451"/>
      <c r="BJ93" s="3768"/>
      <c r="BK93" s="3193"/>
      <c r="BL93" s="3193"/>
      <c r="BM93" s="3193"/>
      <c r="BN93" s="3193"/>
      <c r="BO93" s="3193"/>
      <c r="BP93" s="3193"/>
      <c r="BQ93" s="3193"/>
      <c r="BR93" s="3193"/>
      <c r="BS93" s="3193"/>
      <c r="BT93" s="3193"/>
      <c r="BU93" s="3193"/>
      <c r="BV93" s="3193"/>
      <c r="BW93" s="3193"/>
      <c r="BX93" s="3193"/>
      <c r="BY93" s="3193"/>
      <c r="BZ93" s="3193"/>
      <c r="CA93" s="3193"/>
      <c r="CB93" s="3193"/>
      <c r="CC93" s="3193"/>
      <c r="CD93" s="3193"/>
      <c r="CE93" s="3193"/>
      <c r="CF93" s="3193"/>
      <c r="CG93" s="3193"/>
      <c r="CH93" s="3193"/>
      <c r="CI93" s="3193"/>
      <c r="CJ93" s="3193"/>
      <c r="CK93" s="3193"/>
      <c r="CL93" s="3193"/>
      <c r="CM93" s="3193"/>
      <c r="CN93" s="3193"/>
      <c r="CO93" s="3193"/>
      <c r="CP93" s="3193"/>
      <c r="CQ93" s="3193"/>
      <c r="CR93" s="3193"/>
      <c r="CS93" s="3193"/>
      <c r="CT93" s="3193"/>
      <c r="CU93" s="3193"/>
      <c r="CV93" s="3193"/>
      <c r="CW93" s="3193"/>
      <c r="CX93" s="3193"/>
      <c r="CY93" s="3193"/>
      <c r="CZ93" s="3193"/>
      <c r="DA93" s="3193"/>
      <c r="DB93" s="3193"/>
      <c r="DC93" s="3477"/>
    </row>
    <row r="94" spans="1:107" s="1846" customFormat="1" ht="15" customHeight="1">
      <c r="A94" s="17035"/>
      <c r="B94" s="17038"/>
      <c r="C94" s="17038"/>
      <c r="D94" s="17038"/>
      <c r="E94" s="17038"/>
      <c r="F94" s="17038"/>
      <c r="G94" s="17038"/>
      <c r="H94" s="17038"/>
      <c r="I94" s="17038"/>
      <c r="J94" s="17038"/>
      <c r="K94" s="17038"/>
      <c r="L94" s="17038"/>
      <c r="M94" s="17038"/>
      <c r="N94" s="17038"/>
      <c r="O94" s="17038"/>
      <c r="P94" s="17038"/>
      <c r="Q94" s="17041"/>
      <c r="R94" s="17022"/>
      <c r="S94" s="15931"/>
      <c r="T94" s="15931"/>
      <c r="U94" s="15931"/>
      <c r="V94" s="15931"/>
      <c r="W94" s="15931"/>
      <c r="X94" s="15932"/>
      <c r="Y94" s="15932"/>
      <c r="Z94" s="15932"/>
      <c r="AA94" s="15932"/>
      <c r="AB94" s="15932"/>
      <c r="AC94" s="15932"/>
      <c r="AD94" s="15932"/>
      <c r="AE94" s="15932"/>
      <c r="AF94" s="15932"/>
      <c r="AG94" s="15932"/>
      <c r="AH94" s="15932"/>
      <c r="AI94" s="15931"/>
      <c r="AJ94" s="5243" t="s">
        <v>8355</v>
      </c>
      <c r="AK94" s="4616" t="s">
        <v>7367</v>
      </c>
      <c r="AL94" s="5243" t="s">
        <v>7368</v>
      </c>
      <c r="AM94" s="5243" t="s">
        <v>6785</v>
      </c>
      <c r="AN94" s="5243">
        <v>1</v>
      </c>
      <c r="AO94" s="5243">
        <v>1</v>
      </c>
      <c r="AP94" s="5243">
        <v>1</v>
      </c>
      <c r="AQ94" s="5243">
        <v>1</v>
      </c>
      <c r="AR94" s="5243">
        <v>1</v>
      </c>
      <c r="AS94" s="5243">
        <v>1</v>
      </c>
      <c r="AT94" s="5243">
        <v>1</v>
      </c>
      <c r="AU94" s="5243">
        <v>1</v>
      </c>
      <c r="AV94" s="5243">
        <v>1</v>
      </c>
      <c r="AW94" s="5243">
        <v>1</v>
      </c>
      <c r="AX94" s="5243">
        <v>1</v>
      </c>
      <c r="AY94" s="5243">
        <v>10</v>
      </c>
      <c r="AZ94" s="5243" t="s">
        <v>7369</v>
      </c>
      <c r="BA94" s="4703" t="s">
        <v>10066</v>
      </c>
      <c r="BB94" s="5243" t="s">
        <v>6787</v>
      </c>
      <c r="BC94" s="5243"/>
      <c r="BD94" s="5243" t="s">
        <v>7370</v>
      </c>
      <c r="BE94" s="5243" t="s">
        <v>7353</v>
      </c>
      <c r="BF94" s="5243" t="s">
        <v>7354</v>
      </c>
      <c r="BG94" s="5243" t="s">
        <v>7355</v>
      </c>
      <c r="BH94" s="7391" t="s">
        <v>7371</v>
      </c>
      <c r="BI94" s="3451"/>
      <c r="BJ94" s="3768"/>
      <c r="BK94" s="3193"/>
      <c r="BL94" s="3193"/>
      <c r="BM94" s="3193"/>
      <c r="BN94" s="3193"/>
      <c r="BO94" s="3193"/>
      <c r="BP94" s="3193"/>
      <c r="BQ94" s="3193"/>
      <c r="BR94" s="3193"/>
      <c r="BS94" s="3193"/>
      <c r="BT94" s="3193"/>
      <c r="BU94" s="3193"/>
      <c r="BV94" s="3193"/>
      <c r="BW94" s="3193"/>
      <c r="BX94" s="3193"/>
      <c r="BY94" s="3193"/>
      <c r="BZ94" s="3193"/>
      <c r="CA94" s="3193"/>
      <c r="CB94" s="3193"/>
      <c r="CC94" s="3193"/>
      <c r="CD94" s="3193"/>
      <c r="CE94" s="3193"/>
      <c r="CF94" s="3193"/>
      <c r="CG94" s="3193"/>
      <c r="CH94" s="3193"/>
      <c r="CI94" s="3193"/>
      <c r="CJ94" s="3193"/>
      <c r="CK94" s="3193"/>
      <c r="CL94" s="3193"/>
      <c r="CM94" s="3193"/>
      <c r="CN94" s="3193"/>
      <c r="CO94" s="3193"/>
      <c r="CP94" s="3193"/>
      <c r="CQ94" s="3193"/>
      <c r="CR94" s="3193"/>
      <c r="CS94" s="3193"/>
      <c r="CT94" s="3193"/>
      <c r="CU94" s="3193"/>
      <c r="CV94" s="3193"/>
      <c r="CW94" s="3193"/>
      <c r="CX94" s="3193"/>
      <c r="CY94" s="3193"/>
      <c r="CZ94" s="3193"/>
      <c r="DA94" s="3193"/>
      <c r="DB94" s="3193"/>
      <c r="DC94" s="3477"/>
    </row>
    <row r="95" spans="1:107" s="1846" customFormat="1" ht="15" customHeight="1">
      <c r="A95" s="17035"/>
      <c r="B95" s="17038"/>
      <c r="C95" s="17038"/>
      <c r="D95" s="17038"/>
      <c r="E95" s="17038"/>
      <c r="F95" s="17038"/>
      <c r="G95" s="17038"/>
      <c r="H95" s="17038"/>
      <c r="I95" s="17038"/>
      <c r="J95" s="17038"/>
      <c r="K95" s="17038"/>
      <c r="L95" s="17038"/>
      <c r="M95" s="17038"/>
      <c r="N95" s="17038"/>
      <c r="O95" s="17038"/>
      <c r="P95" s="17038"/>
      <c r="Q95" s="17041"/>
      <c r="R95" s="17022"/>
      <c r="S95" s="15931"/>
      <c r="T95" s="15931"/>
      <c r="U95" s="15931"/>
      <c r="V95" s="15931"/>
      <c r="W95" s="15931"/>
      <c r="X95" s="15932"/>
      <c r="Y95" s="15932"/>
      <c r="Z95" s="15932"/>
      <c r="AA95" s="15932"/>
      <c r="AB95" s="15932"/>
      <c r="AC95" s="15932"/>
      <c r="AD95" s="15932"/>
      <c r="AE95" s="15932"/>
      <c r="AF95" s="15932"/>
      <c r="AG95" s="15932"/>
      <c r="AH95" s="15932"/>
      <c r="AI95" s="15931"/>
      <c r="AJ95" s="15931" t="s">
        <v>8356</v>
      </c>
      <c r="AK95" s="15931" t="s">
        <v>7372</v>
      </c>
      <c r="AL95" s="15931" t="s">
        <v>7373</v>
      </c>
      <c r="AM95" s="15931" t="s">
        <v>6785</v>
      </c>
      <c r="AN95" s="15931">
        <v>0</v>
      </c>
      <c r="AO95" s="15931">
        <v>4</v>
      </c>
      <c r="AP95" s="15931">
        <v>4</v>
      </c>
      <c r="AQ95" s="15931">
        <v>4</v>
      </c>
      <c r="AR95" s="15931">
        <v>4</v>
      </c>
      <c r="AS95" s="15931">
        <v>4</v>
      </c>
      <c r="AT95" s="15931">
        <v>4</v>
      </c>
      <c r="AU95" s="15931">
        <v>4</v>
      </c>
      <c r="AV95" s="15931">
        <v>4</v>
      </c>
      <c r="AW95" s="15931">
        <v>4</v>
      </c>
      <c r="AX95" s="15931">
        <v>4</v>
      </c>
      <c r="AY95" s="15931">
        <v>40</v>
      </c>
      <c r="AZ95" s="15931" t="s">
        <v>6835</v>
      </c>
      <c r="BA95" s="4703" t="s">
        <v>10066</v>
      </c>
      <c r="BB95" s="15931" t="s">
        <v>10323</v>
      </c>
      <c r="BC95" s="5243"/>
      <c r="BD95" s="5243" t="s">
        <v>7374</v>
      </c>
      <c r="BE95" s="5243" t="s">
        <v>7353</v>
      </c>
      <c r="BF95" s="5243" t="s">
        <v>7354</v>
      </c>
      <c r="BG95" s="5243" t="s">
        <v>7355</v>
      </c>
      <c r="BH95" s="7391" t="s">
        <v>7375</v>
      </c>
      <c r="BI95" s="3451"/>
      <c r="BJ95" s="3768"/>
      <c r="BK95" s="3193"/>
      <c r="BL95" s="3193"/>
      <c r="BM95" s="3193"/>
      <c r="BN95" s="3193"/>
      <c r="BO95" s="3193"/>
      <c r="BP95" s="3193"/>
      <c r="BQ95" s="3193"/>
      <c r="BR95" s="3193"/>
      <c r="BS95" s="3193"/>
      <c r="BT95" s="3193"/>
      <c r="BU95" s="3193"/>
      <c r="BV95" s="3193"/>
      <c r="BW95" s="3193"/>
      <c r="BX95" s="3193"/>
      <c r="BY95" s="3193"/>
      <c r="BZ95" s="3193"/>
      <c r="CA95" s="3193"/>
      <c r="CB95" s="3193"/>
      <c r="CC95" s="3193"/>
      <c r="CD95" s="3193"/>
      <c r="CE95" s="3193"/>
      <c r="CF95" s="3193"/>
      <c r="CG95" s="3193"/>
      <c r="CH95" s="3193"/>
      <c r="CI95" s="3193"/>
      <c r="CJ95" s="3193"/>
      <c r="CK95" s="3193"/>
      <c r="CL95" s="3193"/>
      <c r="CM95" s="3193"/>
      <c r="CN95" s="3193"/>
      <c r="CO95" s="3193"/>
      <c r="CP95" s="3193"/>
      <c r="CQ95" s="3193"/>
      <c r="CR95" s="3193"/>
      <c r="CS95" s="3193"/>
      <c r="CT95" s="3193"/>
      <c r="CU95" s="3193"/>
      <c r="CV95" s="3193"/>
      <c r="CW95" s="3193"/>
      <c r="CX95" s="3193"/>
      <c r="CY95" s="3193"/>
      <c r="CZ95" s="3193"/>
      <c r="DA95" s="3193"/>
      <c r="DB95" s="3193"/>
      <c r="DC95" s="3477"/>
    </row>
    <row r="96" spans="1:107" s="1846" customFormat="1" ht="15" customHeight="1">
      <c r="A96" s="17035"/>
      <c r="B96" s="17038"/>
      <c r="C96" s="17038"/>
      <c r="D96" s="17038"/>
      <c r="E96" s="17038"/>
      <c r="F96" s="17038"/>
      <c r="G96" s="17038"/>
      <c r="H96" s="17038"/>
      <c r="I96" s="17038"/>
      <c r="J96" s="17038"/>
      <c r="K96" s="17038"/>
      <c r="L96" s="17038"/>
      <c r="M96" s="17038"/>
      <c r="N96" s="17038"/>
      <c r="O96" s="17038"/>
      <c r="P96" s="17038"/>
      <c r="Q96" s="17041"/>
      <c r="R96" s="17022"/>
      <c r="S96" s="15931"/>
      <c r="T96" s="15931"/>
      <c r="U96" s="15931"/>
      <c r="V96" s="15931"/>
      <c r="W96" s="15931"/>
      <c r="X96" s="15932"/>
      <c r="Y96" s="15932"/>
      <c r="Z96" s="15932"/>
      <c r="AA96" s="15932"/>
      <c r="AB96" s="15932"/>
      <c r="AC96" s="15932"/>
      <c r="AD96" s="15932"/>
      <c r="AE96" s="15932"/>
      <c r="AF96" s="15932"/>
      <c r="AG96" s="15932"/>
      <c r="AH96" s="15932"/>
      <c r="AI96" s="15931"/>
      <c r="AJ96" s="15931"/>
      <c r="AK96" s="15931"/>
      <c r="AL96" s="15931"/>
      <c r="AM96" s="15931"/>
      <c r="AN96" s="15931"/>
      <c r="AO96" s="15931"/>
      <c r="AP96" s="15931"/>
      <c r="AQ96" s="15931"/>
      <c r="AR96" s="15931"/>
      <c r="AS96" s="15931"/>
      <c r="AT96" s="15931"/>
      <c r="AU96" s="15931"/>
      <c r="AV96" s="15931"/>
      <c r="AW96" s="15931"/>
      <c r="AX96" s="15931"/>
      <c r="AY96" s="15931"/>
      <c r="AZ96" s="15931"/>
      <c r="BA96" s="4703" t="s">
        <v>86</v>
      </c>
      <c r="BB96" s="15931"/>
      <c r="BC96" s="3193"/>
      <c r="BD96" s="5243"/>
      <c r="BE96" s="5243"/>
      <c r="BF96" s="5243"/>
      <c r="BG96" s="5243"/>
      <c r="BH96" s="7391"/>
      <c r="BI96" s="3451"/>
      <c r="BJ96" s="3768"/>
      <c r="BK96" s="3193"/>
      <c r="BL96" s="3193"/>
      <c r="BM96" s="3193"/>
      <c r="BN96" s="3193"/>
      <c r="BO96" s="3193"/>
      <c r="BP96" s="3193"/>
      <c r="BQ96" s="3193"/>
      <c r="BR96" s="3193"/>
      <c r="BS96" s="3193"/>
      <c r="BT96" s="3193"/>
      <c r="BU96" s="3193"/>
      <c r="BV96" s="3193"/>
      <c r="BW96" s="3193"/>
      <c r="BX96" s="3193"/>
      <c r="BY96" s="3193"/>
      <c r="BZ96" s="3193"/>
      <c r="CA96" s="3193"/>
      <c r="CB96" s="3193"/>
      <c r="CC96" s="3193"/>
      <c r="CD96" s="3193"/>
      <c r="CE96" s="3193"/>
      <c r="CF96" s="3193"/>
      <c r="CG96" s="3193"/>
      <c r="CH96" s="3193"/>
      <c r="CI96" s="3193"/>
      <c r="CJ96" s="3193"/>
      <c r="CK96" s="3193"/>
      <c r="CL96" s="3193"/>
      <c r="CM96" s="3193"/>
      <c r="CN96" s="3193"/>
      <c r="CO96" s="3193"/>
      <c r="CP96" s="3193"/>
      <c r="CQ96" s="3193"/>
      <c r="CR96" s="3193"/>
      <c r="CS96" s="3193"/>
      <c r="CT96" s="3193"/>
      <c r="CU96" s="3193"/>
      <c r="CV96" s="3193"/>
      <c r="CW96" s="3193"/>
      <c r="CX96" s="3193"/>
      <c r="CY96" s="3193"/>
      <c r="CZ96" s="3193"/>
      <c r="DA96" s="3193"/>
      <c r="DB96" s="3193"/>
      <c r="DC96" s="3477"/>
    </row>
    <row r="97" spans="1:107" s="1846" customFormat="1" ht="15" customHeight="1">
      <c r="A97" s="17035"/>
      <c r="B97" s="17038"/>
      <c r="C97" s="17038"/>
      <c r="D97" s="17038"/>
      <c r="E97" s="17038"/>
      <c r="F97" s="17038"/>
      <c r="G97" s="17038"/>
      <c r="H97" s="17038"/>
      <c r="I97" s="17038"/>
      <c r="J97" s="17038"/>
      <c r="K97" s="17038"/>
      <c r="L97" s="17038"/>
      <c r="M97" s="17038"/>
      <c r="N97" s="17038"/>
      <c r="O97" s="17038"/>
      <c r="P97" s="17038"/>
      <c r="Q97" s="17041"/>
      <c r="R97" s="17022"/>
      <c r="S97" s="15931"/>
      <c r="T97" s="15931"/>
      <c r="U97" s="15931"/>
      <c r="V97" s="15931"/>
      <c r="W97" s="15931"/>
      <c r="X97" s="15932"/>
      <c r="Y97" s="15932"/>
      <c r="Z97" s="15932"/>
      <c r="AA97" s="15932"/>
      <c r="AB97" s="15932"/>
      <c r="AC97" s="15932"/>
      <c r="AD97" s="15932"/>
      <c r="AE97" s="15932"/>
      <c r="AF97" s="15932"/>
      <c r="AG97" s="15932"/>
      <c r="AH97" s="15932"/>
      <c r="AI97" s="15931"/>
      <c r="AJ97" s="15931"/>
      <c r="AK97" s="15931"/>
      <c r="AL97" s="15931"/>
      <c r="AM97" s="15931"/>
      <c r="AN97" s="15931"/>
      <c r="AO97" s="15931"/>
      <c r="AP97" s="15931"/>
      <c r="AQ97" s="15931"/>
      <c r="AR97" s="15931"/>
      <c r="AS97" s="15931"/>
      <c r="AT97" s="15931"/>
      <c r="AU97" s="15931"/>
      <c r="AV97" s="15931"/>
      <c r="AW97" s="15931"/>
      <c r="AX97" s="15931"/>
      <c r="AY97" s="15931"/>
      <c r="AZ97" s="15931"/>
      <c r="BA97" s="4703" t="s">
        <v>2896</v>
      </c>
      <c r="BB97" s="15931"/>
      <c r="BC97" s="5243"/>
      <c r="BD97" s="5243"/>
      <c r="BE97" s="5243"/>
      <c r="BF97" s="5243"/>
      <c r="BG97" s="5243"/>
      <c r="BH97" s="7391"/>
      <c r="BI97" s="3451"/>
      <c r="BJ97" s="3768"/>
      <c r="BK97" s="3193"/>
      <c r="BL97" s="3193"/>
      <c r="BM97" s="3193"/>
      <c r="BN97" s="3193"/>
      <c r="BO97" s="3193"/>
      <c r="BP97" s="3193"/>
      <c r="BQ97" s="3193"/>
      <c r="BR97" s="3193"/>
      <c r="BS97" s="3193"/>
      <c r="BT97" s="3193"/>
      <c r="BU97" s="3193"/>
      <c r="BV97" s="3193"/>
      <c r="BW97" s="3193"/>
      <c r="BX97" s="3193"/>
      <c r="BY97" s="3193"/>
      <c r="BZ97" s="3193"/>
      <c r="CA97" s="3193"/>
      <c r="CB97" s="3193"/>
      <c r="CC97" s="3193"/>
      <c r="CD97" s="3193"/>
      <c r="CE97" s="3193"/>
      <c r="CF97" s="3193"/>
      <c r="CG97" s="3193"/>
      <c r="CH97" s="3193"/>
      <c r="CI97" s="3193"/>
      <c r="CJ97" s="3193"/>
      <c r="CK97" s="3193"/>
      <c r="CL97" s="3193"/>
      <c r="CM97" s="3193"/>
      <c r="CN97" s="3193"/>
      <c r="CO97" s="3193"/>
      <c r="CP97" s="3193"/>
      <c r="CQ97" s="3193"/>
      <c r="CR97" s="3193"/>
      <c r="CS97" s="3193"/>
      <c r="CT97" s="3193"/>
      <c r="CU97" s="3193"/>
      <c r="CV97" s="3193"/>
      <c r="CW97" s="3193"/>
      <c r="CX97" s="3193"/>
      <c r="CY97" s="3193"/>
      <c r="CZ97" s="3193"/>
      <c r="DA97" s="3193"/>
      <c r="DB97" s="3193"/>
      <c r="DC97" s="3477"/>
    </row>
    <row r="98" spans="1:107" s="1846" customFormat="1" ht="15" customHeight="1">
      <c r="A98" s="17035"/>
      <c r="B98" s="17038"/>
      <c r="C98" s="17038"/>
      <c r="D98" s="17038"/>
      <c r="E98" s="17038"/>
      <c r="F98" s="17038"/>
      <c r="G98" s="17038"/>
      <c r="H98" s="17038"/>
      <c r="I98" s="17038"/>
      <c r="J98" s="17038"/>
      <c r="K98" s="17038"/>
      <c r="L98" s="17038"/>
      <c r="M98" s="17038"/>
      <c r="N98" s="17038"/>
      <c r="O98" s="17038"/>
      <c r="P98" s="17038"/>
      <c r="Q98" s="17041"/>
      <c r="R98" s="17022"/>
      <c r="S98" s="15931"/>
      <c r="T98" s="15931"/>
      <c r="U98" s="15931"/>
      <c r="V98" s="15931"/>
      <c r="W98" s="15931"/>
      <c r="X98" s="15932"/>
      <c r="Y98" s="15932"/>
      <c r="Z98" s="15932"/>
      <c r="AA98" s="15932"/>
      <c r="AB98" s="15932"/>
      <c r="AC98" s="15932"/>
      <c r="AD98" s="15932"/>
      <c r="AE98" s="15932"/>
      <c r="AF98" s="15932"/>
      <c r="AG98" s="15932"/>
      <c r="AH98" s="15932"/>
      <c r="AI98" s="15931"/>
      <c r="AJ98" s="15931"/>
      <c r="AK98" s="15931"/>
      <c r="AL98" s="15931"/>
      <c r="AM98" s="15931"/>
      <c r="AN98" s="15931"/>
      <c r="AO98" s="15931"/>
      <c r="AP98" s="15931"/>
      <c r="AQ98" s="15931"/>
      <c r="AR98" s="15931"/>
      <c r="AS98" s="15931"/>
      <c r="AT98" s="15931"/>
      <c r="AU98" s="15931"/>
      <c r="AV98" s="15931"/>
      <c r="AW98" s="15931"/>
      <c r="AX98" s="15931"/>
      <c r="AY98" s="15931"/>
      <c r="AZ98" s="15931"/>
      <c r="BA98" s="4703" t="s">
        <v>10290</v>
      </c>
      <c r="BB98" s="15931"/>
      <c r="BC98" s="5243" t="s">
        <v>10324</v>
      </c>
      <c r="BD98" s="5243"/>
      <c r="BE98" s="5243"/>
      <c r="BF98" s="5243"/>
      <c r="BG98" s="5243"/>
      <c r="BH98" s="7391"/>
      <c r="BI98" s="3451"/>
      <c r="BJ98" s="3768"/>
      <c r="BK98" s="3193"/>
      <c r="BL98" s="3193"/>
      <c r="BM98" s="3193"/>
      <c r="BN98" s="3193"/>
      <c r="BO98" s="3193"/>
      <c r="BP98" s="3193"/>
      <c r="BQ98" s="3193"/>
      <c r="BR98" s="3193"/>
      <c r="BS98" s="3193"/>
      <c r="BT98" s="3193"/>
      <c r="BU98" s="3193"/>
      <c r="BV98" s="3193"/>
      <c r="BW98" s="3193"/>
      <c r="BX98" s="3193"/>
      <c r="BY98" s="3193"/>
      <c r="BZ98" s="3193"/>
      <c r="CA98" s="3193"/>
      <c r="CB98" s="3193"/>
      <c r="CC98" s="3193"/>
      <c r="CD98" s="3193"/>
      <c r="CE98" s="3193"/>
      <c r="CF98" s="3193"/>
      <c r="CG98" s="3193"/>
      <c r="CH98" s="3193"/>
      <c r="CI98" s="3193"/>
      <c r="CJ98" s="3193"/>
      <c r="CK98" s="3193"/>
      <c r="CL98" s="3193"/>
      <c r="CM98" s="3193"/>
      <c r="CN98" s="3193"/>
      <c r="CO98" s="3193"/>
      <c r="CP98" s="3193"/>
      <c r="CQ98" s="3193"/>
      <c r="CR98" s="3193"/>
      <c r="CS98" s="3193"/>
      <c r="CT98" s="3193"/>
      <c r="CU98" s="3193"/>
      <c r="CV98" s="3193"/>
      <c r="CW98" s="3193"/>
      <c r="CX98" s="3193"/>
      <c r="CY98" s="3193"/>
      <c r="CZ98" s="3193"/>
      <c r="DA98" s="3193"/>
      <c r="DB98" s="3193"/>
      <c r="DC98" s="3477"/>
    </row>
    <row r="99" spans="1:107" s="1846" customFormat="1" ht="15" customHeight="1">
      <c r="A99" s="17035"/>
      <c r="B99" s="17038"/>
      <c r="C99" s="17038"/>
      <c r="D99" s="17038"/>
      <c r="E99" s="17038"/>
      <c r="F99" s="17038"/>
      <c r="G99" s="17038"/>
      <c r="H99" s="17038"/>
      <c r="I99" s="17038"/>
      <c r="J99" s="17038"/>
      <c r="K99" s="17038"/>
      <c r="L99" s="17038"/>
      <c r="M99" s="17038"/>
      <c r="N99" s="17038"/>
      <c r="O99" s="17038"/>
      <c r="P99" s="17038"/>
      <c r="Q99" s="17041"/>
      <c r="R99" s="17022"/>
      <c r="S99" s="15931"/>
      <c r="T99" s="15931"/>
      <c r="U99" s="15931"/>
      <c r="V99" s="15931"/>
      <c r="W99" s="15931"/>
      <c r="X99" s="15932"/>
      <c r="Y99" s="15932"/>
      <c r="Z99" s="15932"/>
      <c r="AA99" s="15932"/>
      <c r="AB99" s="15932"/>
      <c r="AC99" s="15932"/>
      <c r="AD99" s="15932"/>
      <c r="AE99" s="15932"/>
      <c r="AF99" s="15932"/>
      <c r="AG99" s="15932"/>
      <c r="AH99" s="15932"/>
      <c r="AI99" s="15931"/>
      <c r="AJ99" s="5243" t="s">
        <v>8357</v>
      </c>
      <c r="AK99" s="4616" t="s">
        <v>7376</v>
      </c>
      <c r="AL99" s="5243" t="s">
        <v>7377</v>
      </c>
      <c r="AM99" s="5243" t="s">
        <v>6785</v>
      </c>
      <c r="AN99" s="5244">
        <v>1</v>
      </c>
      <c r="AO99" s="5244">
        <v>1</v>
      </c>
      <c r="AP99" s="5244">
        <v>1</v>
      </c>
      <c r="AQ99" s="5244">
        <v>1</v>
      </c>
      <c r="AR99" s="5244">
        <v>1</v>
      </c>
      <c r="AS99" s="5244">
        <v>1</v>
      </c>
      <c r="AT99" s="5244">
        <v>1</v>
      </c>
      <c r="AU99" s="5244">
        <v>1</v>
      </c>
      <c r="AV99" s="5244">
        <v>1</v>
      </c>
      <c r="AW99" s="5244">
        <v>1</v>
      </c>
      <c r="AX99" s="5244">
        <v>1</v>
      </c>
      <c r="AY99" s="5244">
        <v>1</v>
      </c>
      <c r="AZ99" s="5243" t="s">
        <v>6835</v>
      </c>
      <c r="BA99" s="4703" t="s">
        <v>10290</v>
      </c>
      <c r="BB99" s="5243" t="s">
        <v>6886</v>
      </c>
      <c r="BC99" s="5243" t="s">
        <v>6889</v>
      </c>
      <c r="BD99" s="5243" t="s">
        <v>7378</v>
      </c>
      <c r="BE99" s="5243" t="s">
        <v>7353</v>
      </c>
      <c r="BF99" s="5243" t="s">
        <v>7354</v>
      </c>
      <c r="BG99" s="5243" t="s">
        <v>7355</v>
      </c>
      <c r="BH99" s="7391" t="s">
        <v>7379</v>
      </c>
      <c r="BI99" s="3451"/>
      <c r="BJ99" s="7417"/>
      <c r="BK99" s="4701"/>
      <c r="BL99" s="4701"/>
      <c r="BM99" s="4701"/>
      <c r="BN99" s="4701"/>
      <c r="BO99" s="4701"/>
      <c r="BP99" s="4701"/>
      <c r="BQ99" s="4701"/>
      <c r="BR99" s="4701"/>
      <c r="BS99" s="4701"/>
      <c r="BT99" s="4701"/>
      <c r="BU99" s="4701"/>
      <c r="BV99" s="4701"/>
      <c r="BW99" s="4701"/>
      <c r="BX99" s="4701"/>
      <c r="BY99" s="4701"/>
      <c r="BZ99" s="4701"/>
      <c r="CA99" s="4701"/>
      <c r="CB99" s="4701"/>
      <c r="CC99" s="4701"/>
      <c r="CD99" s="4701"/>
      <c r="CE99" s="4701"/>
      <c r="CF99" s="4701"/>
      <c r="CG99" s="4701"/>
      <c r="CH99" s="4701"/>
      <c r="CI99" s="4701"/>
      <c r="CJ99" s="4701"/>
      <c r="CK99" s="4701"/>
      <c r="CL99" s="4701"/>
      <c r="CM99" s="4701"/>
      <c r="CN99" s="4701"/>
      <c r="CO99" s="4701"/>
      <c r="CP99" s="4701"/>
      <c r="CQ99" s="4701"/>
      <c r="CR99" s="4701"/>
      <c r="CS99" s="4701"/>
      <c r="CT99" s="4701"/>
      <c r="CU99" s="4701"/>
      <c r="CV99" s="4701"/>
      <c r="CW99" s="4701"/>
      <c r="CX99" s="4701"/>
      <c r="CY99" s="4701"/>
      <c r="CZ99" s="4701"/>
      <c r="DA99" s="4701"/>
      <c r="DB99" s="4701"/>
      <c r="DC99" s="7373"/>
    </row>
    <row r="100" spans="1:107" s="1846" customFormat="1" ht="15" customHeight="1">
      <c r="A100" s="17035"/>
      <c r="B100" s="17038"/>
      <c r="C100" s="17038"/>
      <c r="D100" s="17038"/>
      <c r="E100" s="17038"/>
      <c r="F100" s="17038"/>
      <c r="G100" s="17038"/>
      <c r="H100" s="17038"/>
      <c r="I100" s="17038"/>
      <c r="J100" s="17038"/>
      <c r="K100" s="17038"/>
      <c r="L100" s="17038"/>
      <c r="M100" s="17038"/>
      <c r="N100" s="17038"/>
      <c r="O100" s="17038"/>
      <c r="P100" s="17038"/>
      <c r="Q100" s="17041"/>
      <c r="R100" s="17022"/>
      <c r="S100" s="15931"/>
      <c r="T100" s="15931"/>
      <c r="U100" s="15931"/>
      <c r="V100" s="15931"/>
      <c r="W100" s="15931"/>
      <c r="X100" s="15932"/>
      <c r="Y100" s="15932"/>
      <c r="Z100" s="15932"/>
      <c r="AA100" s="15932"/>
      <c r="AB100" s="15932"/>
      <c r="AC100" s="15932"/>
      <c r="AD100" s="15932"/>
      <c r="AE100" s="15932"/>
      <c r="AF100" s="15932"/>
      <c r="AG100" s="15932"/>
      <c r="AH100" s="15932"/>
      <c r="AI100" s="15931"/>
      <c r="AJ100" s="5243" t="s">
        <v>8358</v>
      </c>
      <c r="AK100" s="4616" t="s">
        <v>7380</v>
      </c>
      <c r="AL100" s="5243" t="s">
        <v>433</v>
      </c>
      <c r="AM100" s="5243" t="s">
        <v>6785</v>
      </c>
      <c r="AN100" s="5244">
        <v>1</v>
      </c>
      <c r="AO100" s="5244">
        <v>1</v>
      </c>
      <c r="AP100" s="5244">
        <v>1</v>
      </c>
      <c r="AQ100" s="5244">
        <v>1</v>
      </c>
      <c r="AR100" s="5244">
        <v>1</v>
      </c>
      <c r="AS100" s="5244">
        <v>1</v>
      </c>
      <c r="AT100" s="5244">
        <v>1</v>
      </c>
      <c r="AU100" s="5244">
        <v>1</v>
      </c>
      <c r="AV100" s="5244">
        <v>1</v>
      </c>
      <c r="AW100" s="5244">
        <v>1</v>
      </c>
      <c r="AX100" s="5244">
        <v>1</v>
      </c>
      <c r="AY100" s="5244">
        <v>1</v>
      </c>
      <c r="AZ100" s="5243" t="s">
        <v>6835</v>
      </c>
      <c r="BA100" s="4703" t="s">
        <v>4337</v>
      </c>
      <c r="BB100" s="5243" t="s">
        <v>7381</v>
      </c>
      <c r="BC100" s="5243"/>
      <c r="BD100" s="5243" t="s">
        <v>7382</v>
      </c>
      <c r="BE100" s="5243" t="s">
        <v>7353</v>
      </c>
      <c r="BF100" s="5243" t="s">
        <v>7354</v>
      </c>
      <c r="BG100" s="5243" t="s">
        <v>7355</v>
      </c>
      <c r="BH100" s="7391" t="s">
        <v>7383</v>
      </c>
      <c r="BI100" s="3451"/>
      <c r="BJ100" s="3768"/>
      <c r="BK100" s="3193"/>
      <c r="BL100" s="3193"/>
      <c r="BM100" s="3193"/>
      <c r="BN100" s="3193"/>
      <c r="BO100" s="3193"/>
      <c r="BP100" s="3193"/>
      <c r="BQ100" s="3193"/>
      <c r="BR100" s="3193"/>
      <c r="BS100" s="3193"/>
      <c r="BT100" s="3193"/>
      <c r="BU100" s="3193"/>
      <c r="BV100" s="3193"/>
      <c r="BW100" s="3193"/>
      <c r="BX100" s="3193"/>
      <c r="BY100" s="3193"/>
      <c r="BZ100" s="3193"/>
      <c r="CA100" s="3193"/>
      <c r="CB100" s="3193"/>
      <c r="CC100" s="3193"/>
      <c r="CD100" s="3193"/>
      <c r="CE100" s="3193"/>
      <c r="CF100" s="3193"/>
      <c r="CG100" s="3193"/>
      <c r="CH100" s="3193"/>
      <c r="CI100" s="3193"/>
      <c r="CJ100" s="3193"/>
      <c r="CK100" s="3193"/>
      <c r="CL100" s="3193"/>
      <c r="CM100" s="3193"/>
      <c r="CN100" s="3193"/>
      <c r="CO100" s="3193"/>
      <c r="CP100" s="3193"/>
      <c r="CQ100" s="3193"/>
      <c r="CR100" s="3193"/>
      <c r="CS100" s="3193"/>
      <c r="CT100" s="3193"/>
      <c r="CU100" s="3193"/>
      <c r="CV100" s="3193"/>
      <c r="CW100" s="3193"/>
      <c r="CX100" s="3193"/>
      <c r="CY100" s="3193"/>
      <c r="CZ100" s="3193"/>
      <c r="DA100" s="3193"/>
      <c r="DB100" s="3193"/>
      <c r="DC100" s="3477"/>
    </row>
    <row r="101" spans="1:107" s="1846" customFormat="1" ht="15" customHeight="1">
      <c r="A101" s="17035"/>
      <c r="B101" s="17038"/>
      <c r="C101" s="17038"/>
      <c r="D101" s="17038"/>
      <c r="E101" s="17038"/>
      <c r="F101" s="17038"/>
      <c r="G101" s="17038"/>
      <c r="H101" s="17038"/>
      <c r="I101" s="17038"/>
      <c r="J101" s="17038"/>
      <c r="K101" s="17038"/>
      <c r="L101" s="17038"/>
      <c r="M101" s="17038"/>
      <c r="N101" s="17038"/>
      <c r="O101" s="17038"/>
      <c r="P101" s="17038"/>
      <c r="Q101" s="17041"/>
      <c r="R101" s="17022"/>
      <c r="S101" s="15931"/>
      <c r="T101" s="15931"/>
      <c r="U101" s="15931"/>
      <c r="V101" s="15931"/>
      <c r="W101" s="15931"/>
      <c r="X101" s="15932"/>
      <c r="Y101" s="15932"/>
      <c r="Z101" s="15932"/>
      <c r="AA101" s="15932"/>
      <c r="AB101" s="15932"/>
      <c r="AC101" s="15932"/>
      <c r="AD101" s="15932"/>
      <c r="AE101" s="15932"/>
      <c r="AF101" s="15932"/>
      <c r="AG101" s="15932"/>
      <c r="AH101" s="15932"/>
      <c r="AI101" s="15931"/>
      <c r="AJ101" s="5243" t="s">
        <v>8359</v>
      </c>
      <c r="AK101" s="4616" t="s">
        <v>7384</v>
      </c>
      <c r="AL101" s="5243" t="s">
        <v>7385</v>
      </c>
      <c r="AM101" s="5243" t="s">
        <v>6804</v>
      </c>
      <c r="AN101" s="5243">
        <v>0</v>
      </c>
      <c r="AO101" s="5243">
        <v>50</v>
      </c>
      <c r="AP101" s="5243">
        <v>50</v>
      </c>
      <c r="AQ101" s="5243">
        <v>50</v>
      </c>
      <c r="AR101" s="5243">
        <v>50</v>
      </c>
      <c r="AS101" s="5243">
        <v>50</v>
      </c>
      <c r="AT101" s="5243">
        <v>50</v>
      </c>
      <c r="AU101" s="5243">
        <v>50</v>
      </c>
      <c r="AV101" s="5243">
        <v>50</v>
      </c>
      <c r="AW101" s="5243">
        <v>50</v>
      </c>
      <c r="AX101" s="5243">
        <v>50</v>
      </c>
      <c r="AY101" s="5243">
        <v>500</v>
      </c>
      <c r="AZ101" s="5243" t="s">
        <v>6881</v>
      </c>
      <c r="BA101" s="4703" t="s">
        <v>10066</v>
      </c>
      <c r="BB101" s="5243" t="s">
        <v>6787</v>
      </c>
      <c r="BC101" s="5243" t="s">
        <v>6889</v>
      </c>
      <c r="BD101" s="5243" t="s">
        <v>6870</v>
      </c>
      <c r="BE101" s="5243" t="s">
        <v>6837</v>
      </c>
      <c r="BF101" s="5243" t="s">
        <v>6838</v>
      </c>
      <c r="BG101" s="5243" t="s">
        <v>6839</v>
      </c>
      <c r="BH101" s="7391" t="s">
        <v>6871</v>
      </c>
      <c r="BI101" s="3451"/>
      <c r="BJ101" s="7417"/>
      <c r="BK101" s="4701"/>
      <c r="BL101" s="4701"/>
      <c r="BM101" s="4701"/>
      <c r="BN101" s="4701"/>
      <c r="BO101" s="4701"/>
      <c r="BP101" s="4701"/>
      <c r="BQ101" s="4701"/>
      <c r="BR101" s="4701"/>
      <c r="BS101" s="4701"/>
      <c r="BT101" s="4701"/>
      <c r="BU101" s="4701"/>
      <c r="BV101" s="4701"/>
      <c r="BW101" s="4701"/>
      <c r="BX101" s="4701"/>
      <c r="BY101" s="4701"/>
      <c r="BZ101" s="4701"/>
      <c r="CA101" s="4701"/>
      <c r="CB101" s="4701"/>
      <c r="CC101" s="4701"/>
      <c r="CD101" s="4701"/>
      <c r="CE101" s="4701"/>
      <c r="CF101" s="4701"/>
      <c r="CG101" s="4701"/>
      <c r="CH101" s="4701"/>
      <c r="CI101" s="4701"/>
      <c r="CJ101" s="4701"/>
      <c r="CK101" s="4701"/>
      <c r="CL101" s="4701"/>
      <c r="CM101" s="4701"/>
      <c r="CN101" s="4701"/>
      <c r="CO101" s="4701"/>
      <c r="CP101" s="4701"/>
      <c r="CQ101" s="4701"/>
      <c r="CR101" s="4701"/>
      <c r="CS101" s="4701"/>
      <c r="CT101" s="4701"/>
      <c r="CU101" s="4701"/>
      <c r="CV101" s="4701"/>
      <c r="CW101" s="4701"/>
      <c r="CX101" s="4701"/>
      <c r="CY101" s="4701"/>
      <c r="CZ101" s="4701"/>
      <c r="DA101" s="7372"/>
      <c r="DB101" s="7372"/>
      <c r="DC101" s="7373"/>
    </row>
    <row r="102" spans="1:107" s="1846" customFormat="1" ht="15" customHeight="1" thickBot="1">
      <c r="A102" s="17035"/>
      <c r="B102" s="17038"/>
      <c r="C102" s="17038"/>
      <c r="D102" s="17038"/>
      <c r="E102" s="17038"/>
      <c r="F102" s="17038"/>
      <c r="G102" s="17038"/>
      <c r="H102" s="17038"/>
      <c r="I102" s="17038"/>
      <c r="J102" s="17038"/>
      <c r="K102" s="17038"/>
      <c r="L102" s="17038"/>
      <c r="M102" s="17038"/>
      <c r="N102" s="17038"/>
      <c r="O102" s="17038"/>
      <c r="P102" s="17038"/>
      <c r="Q102" s="17041"/>
      <c r="R102" s="17023"/>
      <c r="S102" s="15934"/>
      <c r="T102" s="15934"/>
      <c r="U102" s="15934"/>
      <c r="V102" s="15934"/>
      <c r="W102" s="15934"/>
      <c r="X102" s="17015"/>
      <c r="Y102" s="17015"/>
      <c r="Z102" s="17015"/>
      <c r="AA102" s="17015"/>
      <c r="AB102" s="17015"/>
      <c r="AC102" s="17015"/>
      <c r="AD102" s="17015"/>
      <c r="AE102" s="17015"/>
      <c r="AF102" s="17015"/>
      <c r="AG102" s="17015"/>
      <c r="AH102" s="17015"/>
      <c r="AI102" s="15934"/>
      <c r="AJ102" s="5245" t="s">
        <v>8360</v>
      </c>
      <c r="AK102" s="7374" t="s">
        <v>7386</v>
      </c>
      <c r="AL102" s="5245" t="s">
        <v>7387</v>
      </c>
      <c r="AM102" s="5245" t="s">
        <v>7388</v>
      </c>
      <c r="AN102" s="5245">
        <v>0</v>
      </c>
      <c r="AO102" s="5245">
        <v>32</v>
      </c>
      <c r="AP102" s="5245"/>
      <c r="AQ102" s="5245"/>
      <c r="AR102" s="5245"/>
      <c r="AS102" s="5245"/>
      <c r="AT102" s="5245"/>
      <c r="AU102" s="5245"/>
      <c r="AV102" s="5245"/>
      <c r="AW102" s="5245"/>
      <c r="AX102" s="5245"/>
      <c r="AY102" s="5245"/>
      <c r="AZ102" s="5245" t="s">
        <v>6902</v>
      </c>
      <c r="BA102" s="7427" t="s">
        <v>10063</v>
      </c>
      <c r="BB102" s="5245" t="s">
        <v>9628</v>
      </c>
      <c r="BC102" s="5245"/>
      <c r="BD102" s="5245" t="s">
        <v>2911</v>
      </c>
      <c r="BE102" s="5245"/>
      <c r="BF102" s="5245"/>
      <c r="BG102" s="5245"/>
      <c r="BH102" s="7392" t="s">
        <v>2911</v>
      </c>
      <c r="BI102" s="3451"/>
      <c r="BJ102" s="7418"/>
      <c r="BK102" s="7413"/>
      <c r="BL102" s="7413"/>
      <c r="BM102" s="7413"/>
      <c r="BN102" s="7413"/>
      <c r="BO102" s="7413"/>
      <c r="BP102" s="7413"/>
      <c r="BQ102" s="7413"/>
      <c r="BR102" s="7413"/>
      <c r="BS102" s="7413"/>
      <c r="BT102" s="7413"/>
      <c r="BU102" s="7413"/>
      <c r="BV102" s="7413"/>
      <c r="BW102" s="7413"/>
      <c r="BX102" s="7413"/>
      <c r="BY102" s="7413"/>
      <c r="BZ102" s="7413"/>
      <c r="CA102" s="7413"/>
      <c r="CB102" s="7413"/>
      <c r="CC102" s="7413"/>
      <c r="CD102" s="7413"/>
      <c r="CE102" s="7413"/>
      <c r="CF102" s="7413"/>
      <c r="CG102" s="7413"/>
      <c r="CH102" s="7413"/>
      <c r="CI102" s="7413"/>
      <c r="CJ102" s="7413"/>
      <c r="CK102" s="7413"/>
      <c r="CL102" s="7413"/>
      <c r="CM102" s="7413"/>
      <c r="CN102" s="7413"/>
      <c r="CO102" s="7413"/>
      <c r="CP102" s="7413"/>
      <c r="CQ102" s="7413"/>
      <c r="CR102" s="7413"/>
      <c r="CS102" s="7413"/>
      <c r="CT102" s="7413"/>
      <c r="CU102" s="7413"/>
      <c r="CV102" s="7413"/>
      <c r="CW102" s="7413"/>
      <c r="CX102" s="7413"/>
      <c r="CY102" s="7413"/>
      <c r="CZ102" s="7413"/>
      <c r="DA102" s="3843"/>
      <c r="DB102" s="3843"/>
      <c r="DC102" s="3844"/>
    </row>
    <row r="103" spans="1:107" s="1810" customFormat="1" ht="15" customHeight="1">
      <c r="A103" s="17035"/>
      <c r="B103" s="17038"/>
      <c r="C103" s="17038"/>
      <c r="D103" s="17038"/>
      <c r="E103" s="17038"/>
      <c r="F103" s="17038"/>
      <c r="G103" s="17038"/>
      <c r="H103" s="17038"/>
      <c r="I103" s="17038"/>
      <c r="J103" s="17038"/>
      <c r="K103" s="17038"/>
      <c r="L103" s="17038"/>
      <c r="M103" s="17038"/>
      <c r="N103" s="17038"/>
      <c r="O103" s="17038"/>
      <c r="P103" s="17038"/>
      <c r="Q103" s="17041"/>
      <c r="R103" s="17019" t="s">
        <v>7389</v>
      </c>
      <c r="S103" s="15622" t="s">
        <v>7390</v>
      </c>
      <c r="T103" s="15622" t="s">
        <v>7391</v>
      </c>
      <c r="U103" s="15622" t="s">
        <v>7392</v>
      </c>
      <c r="V103" s="15622" t="s">
        <v>5126</v>
      </c>
      <c r="W103" s="15622" t="s">
        <v>1019</v>
      </c>
      <c r="X103" s="15624">
        <v>0.3</v>
      </c>
      <c r="Y103" s="15624">
        <v>0.3</v>
      </c>
      <c r="Z103" s="15624">
        <v>0.3</v>
      </c>
      <c r="AA103" s="15624">
        <v>0.4</v>
      </c>
      <c r="AB103" s="15624">
        <v>0.4</v>
      </c>
      <c r="AC103" s="15624">
        <v>0.4</v>
      </c>
      <c r="AD103" s="15624">
        <v>0.5</v>
      </c>
      <c r="AE103" s="15624">
        <v>0.5</v>
      </c>
      <c r="AF103" s="15624">
        <v>0.5</v>
      </c>
      <c r="AG103" s="15624">
        <v>0.5</v>
      </c>
      <c r="AH103" s="15624">
        <v>0.5</v>
      </c>
      <c r="AI103" s="15622" t="s">
        <v>6782</v>
      </c>
      <c r="AJ103" s="15622" t="s">
        <v>8361</v>
      </c>
      <c r="AK103" s="15622" t="s">
        <v>7393</v>
      </c>
      <c r="AL103" s="15622" t="s">
        <v>7400</v>
      </c>
      <c r="AM103" s="15622" t="s">
        <v>6785</v>
      </c>
      <c r="AN103" s="15622">
        <v>7</v>
      </c>
      <c r="AO103" s="15622">
        <v>7</v>
      </c>
      <c r="AP103" s="15622">
        <v>7</v>
      </c>
      <c r="AQ103" s="15622">
        <v>7</v>
      </c>
      <c r="AR103" s="15622">
        <v>7</v>
      </c>
      <c r="AS103" s="15622">
        <v>7</v>
      </c>
      <c r="AT103" s="15622">
        <v>7</v>
      </c>
      <c r="AU103" s="15622">
        <v>7</v>
      </c>
      <c r="AV103" s="15622">
        <v>7</v>
      </c>
      <c r="AW103" s="15622">
        <v>7</v>
      </c>
      <c r="AX103" s="15622">
        <v>7</v>
      </c>
      <c r="AY103" s="15622">
        <v>70</v>
      </c>
      <c r="AZ103" s="15622" t="s">
        <v>1805</v>
      </c>
      <c r="BA103" s="3902" t="s">
        <v>10066</v>
      </c>
      <c r="BB103" s="15622" t="s">
        <v>7401</v>
      </c>
      <c r="BC103" s="5239"/>
      <c r="BD103" s="15622" t="s">
        <v>7402</v>
      </c>
      <c r="BE103" s="15622" t="s">
        <v>7403</v>
      </c>
      <c r="BF103" s="15622" t="s">
        <v>7403</v>
      </c>
      <c r="BG103" s="15622" t="s">
        <v>7404</v>
      </c>
      <c r="BH103" s="17008" t="s">
        <v>7402</v>
      </c>
      <c r="BI103" s="3451"/>
      <c r="BJ103" s="7414"/>
      <c r="BK103" s="7409"/>
      <c r="BL103" s="7409"/>
      <c r="BM103" s="7409"/>
      <c r="BN103" s="7409"/>
      <c r="BO103" s="7409"/>
      <c r="BP103" s="7409"/>
      <c r="BQ103" s="7409"/>
      <c r="BR103" s="7409"/>
      <c r="BS103" s="7409"/>
      <c r="BT103" s="7409"/>
      <c r="BU103" s="7409"/>
      <c r="BV103" s="7409"/>
      <c r="BW103" s="7409"/>
      <c r="BX103" s="7409"/>
      <c r="BY103" s="7409"/>
      <c r="BZ103" s="7409"/>
      <c r="CA103" s="7409"/>
      <c r="CB103" s="7409"/>
      <c r="CC103" s="7409"/>
      <c r="CD103" s="7409"/>
      <c r="CE103" s="7409"/>
      <c r="CF103" s="7409"/>
      <c r="CG103" s="7409"/>
      <c r="CH103" s="7409"/>
      <c r="CI103" s="7409"/>
      <c r="CJ103" s="7409"/>
      <c r="CK103" s="7409"/>
      <c r="CL103" s="7409"/>
      <c r="CM103" s="7409"/>
      <c r="CN103" s="7409"/>
      <c r="CO103" s="7409"/>
      <c r="CP103" s="7409"/>
      <c r="CQ103" s="7409"/>
      <c r="CR103" s="7409"/>
      <c r="CS103" s="7409"/>
      <c r="CT103" s="7409"/>
      <c r="CU103" s="7409"/>
      <c r="CV103" s="7409"/>
      <c r="CW103" s="7409"/>
      <c r="CX103" s="7409"/>
      <c r="CY103" s="7409"/>
      <c r="CZ103" s="7409"/>
      <c r="DA103" s="7409"/>
      <c r="DB103" s="7409"/>
      <c r="DC103" s="7406"/>
    </row>
    <row r="104" spans="1:107" s="1810" customFormat="1" ht="15" customHeight="1">
      <c r="A104" s="17035"/>
      <c r="B104" s="17038"/>
      <c r="C104" s="17038"/>
      <c r="D104" s="17038"/>
      <c r="E104" s="17038"/>
      <c r="F104" s="17038"/>
      <c r="G104" s="17038"/>
      <c r="H104" s="17038"/>
      <c r="I104" s="17038"/>
      <c r="J104" s="17038"/>
      <c r="K104" s="17038"/>
      <c r="L104" s="17038"/>
      <c r="M104" s="17038"/>
      <c r="N104" s="17038"/>
      <c r="O104" s="17038"/>
      <c r="P104" s="17038"/>
      <c r="Q104" s="17041"/>
      <c r="R104" s="17017"/>
      <c r="S104" s="15619"/>
      <c r="T104" s="15619"/>
      <c r="U104" s="15619"/>
      <c r="V104" s="15619"/>
      <c r="W104" s="15619"/>
      <c r="X104" s="15911"/>
      <c r="Y104" s="15911"/>
      <c r="Z104" s="15911"/>
      <c r="AA104" s="15911"/>
      <c r="AB104" s="15911"/>
      <c r="AC104" s="15911"/>
      <c r="AD104" s="15911"/>
      <c r="AE104" s="15911"/>
      <c r="AF104" s="15911"/>
      <c r="AG104" s="15911"/>
      <c r="AH104" s="15911"/>
      <c r="AI104" s="15619"/>
      <c r="AJ104" s="15619"/>
      <c r="AK104" s="15619"/>
      <c r="AL104" s="15619"/>
      <c r="AM104" s="15619"/>
      <c r="AN104" s="15619"/>
      <c r="AO104" s="15619"/>
      <c r="AP104" s="15619"/>
      <c r="AQ104" s="15619"/>
      <c r="AR104" s="15619"/>
      <c r="AS104" s="15619"/>
      <c r="AT104" s="15619"/>
      <c r="AU104" s="15619"/>
      <c r="AV104" s="15619"/>
      <c r="AW104" s="15619"/>
      <c r="AX104" s="15619"/>
      <c r="AY104" s="15619"/>
      <c r="AZ104" s="15619"/>
      <c r="BA104" s="3899" t="s">
        <v>10290</v>
      </c>
      <c r="BB104" s="15619"/>
      <c r="BC104" s="5242"/>
      <c r="BD104" s="15619"/>
      <c r="BE104" s="15619"/>
      <c r="BF104" s="15619"/>
      <c r="BG104" s="15619"/>
      <c r="BH104" s="17001"/>
      <c r="BI104" s="3451"/>
      <c r="BJ104" s="7399"/>
      <c r="BK104" s="6453"/>
      <c r="BL104" s="6453"/>
      <c r="BM104" s="6453"/>
      <c r="BN104" s="6453"/>
      <c r="BO104" s="6453"/>
      <c r="BP104" s="6453"/>
      <c r="BQ104" s="6453"/>
      <c r="BR104" s="6453"/>
      <c r="BS104" s="6453"/>
      <c r="BT104" s="6453"/>
      <c r="BU104" s="6453"/>
      <c r="BV104" s="6453"/>
      <c r="BW104" s="6453"/>
      <c r="BX104" s="6453"/>
      <c r="BY104" s="6453"/>
      <c r="BZ104" s="6453"/>
      <c r="CA104" s="6453"/>
      <c r="CB104" s="6453"/>
      <c r="CC104" s="6453"/>
      <c r="CD104" s="6453"/>
      <c r="CE104" s="6453"/>
      <c r="CF104" s="6453"/>
      <c r="CG104" s="6453"/>
      <c r="CH104" s="6453"/>
      <c r="CI104" s="6453"/>
      <c r="CJ104" s="6453"/>
      <c r="CK104" s="6453"/>
      <c r="CL104" s="6453"/>
      <c r="CM104" s="6453"/>
      <c r="CN104" s="6453"/>
      <c r="CO104" s="6453"/>
      <c r="CP104" s="6453"/>
      <c r="CQ104" s="6453"/>
      <c r="CR104" s="6453"/>
      <c r="CS104" s="6453"/>
      <c r="CT104" s="6453"/>
      <c r="CU104" s="6453"/>
      <c r="CV104" s="6453"/>
      <c r="CW104" s="6453"/>
      <c r="CX104" s="6453"/>
      <c r="CY104" s="6453"/>
      <c r="CZ104" s="6453"/>
      <c r="DA104" s="6453"/>
      <c r="DB104" s="6453"/>
      <c r="DC104" s="7376"/>
    </row>
    <row r="105" spans="1:107" s="1810" customFormat="1" ht="15" customHeight="1">
      <c r="A105" s="17035"/>
      <c r="B105" s="17038"/>
      <c r="C105" s="17038"/>
      <c r="D105" s="17038"/>
      <c r="E105" s="17038"/>
      <c r="F105" s="17038"/>
      <c r="G105" s="17038"/>
      <c r="H105" s="17038"/>
      <c r="I105" s="17038"/>
      <c r="J105" s="17038"/>
      <c r="K105" s="17038"/>
      <c r="L105" s="17038"/>
      <c r="M105" s="17038"/>
      <c r="N105" s="17038"/>
      <c r="O105" s="17038"/>
      <c r="P105" s="17038"/>
      <c r="Q105" s="17041"/>
      <c r="R105" s="17017"/>
      <c r="S105" s="15619"/>
      <c r="T105" s="15619"/>
      <c r="U105" s="15619"/>
      <c r="V105" s="15619"/>
      <c r="W105" s="15619"/>
      <c r="X105" s="15911"/>
      <c r="Y105" s="15911"/>
      <c r="Z105" s="15911"/>
      <c r="AA105" s="15911"/>
      <c r="AB105" s="15911"/>
      <c r="AC105" s="15911"/>
      <c r="AD105" s="15911"/>
      <c r="AE105" s="15911"/>
      <c r="AF105" s="15911"/>
      <c r="AG105" s="15911"/>
      <c r="AH105" s="15911"/>
      <c r="AI105" s="15619"/>
      <c r="AJ105" s="15619"/>
      <c r="AK105" s="15619"/>
      <c r="AL105" s="15619"/>
      <c r="AM105" s="15619"/>
      <c r="AN105" s="15619"/>
      <c r="AO105" s="15619"/>
      <c r="AP105" s="15619"/>
      <c r="AQ105" s="15619"/>
      <c r="AR105" s="15619"/>
      <c r="AS105" s="15619"/>
      <c r="AT105" s="15619"/>
      <c r="AU105" s="15619"/>
      <c r="AV105" s="15619"/>
      <c r="AW105" s="15619"/>
      <c r="AX105" s="15619"/>
      <c r="AY105" s="15619"/>
      <c r="AZ105" s="15619"/>
      <c r="BA105" s="3899" t="s">
        <v>10063</v>
      </c>
      <c r="BB105" s="15619"/>
      <c r="BC105" s="5242"/>
      <c r="BD105" s="15619"/>
      <c r="BE105" s="15619"/>
      <c r="BF105" s="15619"/>
      <c r="BG105" s="15619"/>
      <c r="BH105" s="17001"/>
      <c r="BI105" s="3451"/>
      <c r="BJ105" s="7399"/>
      <c r="BK105" s="6453"/>
      <c r="BL105" s="6453"/>
      <c r="BM105" s="6453"/>
      <c r="BN105" s="6453"/>
      <c r="BO105" s="6453"/>
      <c r="BP105" s="6453"/>
      <c r="BQ105" s="6453"/>
      <c r="BR105" s="6453"/>
      <c r="BS105" s="6453"/>
      <c r="BT105" s="6453"/>
      <c r="BU105" s="6453"/>
      <c r="BV105" s="6453"/>
      <c r="BW105" s="6453"/>
      <c r="BX105" s="6453"/>
      <c r="BY105" s="6453"/>
      <c r="BZ105" s="6453"/>
      <c r="CA105" s="6453"/>
      <c r="CB105" s="6453"/>
      <c r="CC105" s="6453"/>
      <c r="CD105" s="6453"/>
      <c r="CE105" s="6453"/>
      <c r="CF105" s="6453"/>
      <c r="CG105" s="6453"/>
      <c r="CH105" s="6453"/>
      <c r="CI105" s="6453"/>
      <c r="CJ105" s="6453"/>
      <c r="CK105" s="6453"/>
      <c r="CL105" s="6453"/>
      <c r="CM105" s="6453"/>
      <c r="CN105" s="6453"/>
      <c r="CO105" s="6453"/>
      <c r="CP105" s="6453"/>
      <c r="CQ105" s="6453"/>
      <c r="CR105" s="6453"/>
      <c r="CS105" s="6453"/>
      <c r="CT105" s="6453"/>
      <c r="CU105" s="6453"/>
      <c r="CV105" s="6453"/>
      <c r="CW105" s="6453"/>
      <c r="CX105" s="6453"/>
      <c r="CY105" s="6453"/>
      <c r="CZ105" s="6453"/>
      <c r="DA105" s="6453"/>
      <c r="DB105" s="6453"/>
      <c r="DC105" s="7376"/>
    </row>
    <row r="106" spans="1:107" s="1810" customFormat="1" ht="15" customHeight="1">
      <c r="A106" s="17035"/>
      <c r="B106" s="17038"/>
      <c r="C106" s="17038"/>
      <c r="D106" s="17038"/>
      <c r="E106" s="17038"/>
      <c r="F106" s="17038"/>
      <c r="G106" s="17038"/>
      <c r="H106" s="17038"/>
      <c r="I106" s="17038"/>
      <c r="J106" s="17038"/>
      <c r="K106" s="17038"/>
      <c r="L106" s="17038"/>
      <c r="M106" s="17038"/>
      <c r="N106" s="17038"/>
      <c r="O106" s="17038"/>
      <c r="P106" s="17038"/>
      <c r="Q106" s="17041"/>
      <c r="R106" s="17017"/>
      <c r="S106" s="15619"/>
      <c r="T106" s="15619"/>
      <c r="U106" s="15619"/>
      <c r="V106" s="15619"/>
      <c r="W106" s="15619"/>
      <c r="X106" s="15911"/>
      <c r="Y106" s="15911"/>
      <c r="Z106" s="15911"/>
      <c r="AA106" s="15911"/>
      <c r="AB106" s="15911"/>
      <c r="AC106" s="15911"/>
      <c r="AD106" s="15911"/>
      <c r="AE106" s="15911"/>
      <c r="AF106" s="15911"/>
      <c r="AG106" s="15911"/>
      <c r="AH106" s="15911"/>
      <c r="AI106" s="15619"/>
      <c r="AJ106" s="15619"/>
      <c r="AK106" s="15619"/>
      <c r="AL106" s="15619"/>
      <c r="AM106" s="15619"/>
      <c r="AN106" s="15619"/>
      <c r="AO106" s="15619"/>
      <c r="AP106" s="15619"/>
      <c r="AQ106" s="15619"/>
      <c r="AR106" s="15619"/>
      <c r="AS106" s="15619"/>
      <c r="AT106" s="15619"/>
      <c r="AU106" s="15619"/>
      <c r="AV106" s="15619"/>
      <c r="AW106" s="15619"/>
      <c r="AX106" s="15619"/>
      <c r="AY106" s="15619"/>
      <c r="AZ106" s="15619"/>
      <c r="BA106" s="3899" t="s">
        <v>218</v>
      </c>
      <c r="BB106" s="15619"/>
      <c r="BC106" s="5242"/>
      <c r="BD106" s="15619"/>
      <c r="BE106" s="15619"/>
      <c r="BF106" s="15619"/>
      <c r="BG106" s="15619"/>
      <c r="BH106" s="17001"/>
      <c r="BI106" s="3451"/>
      <c r="BJ106" s="7399"/>
      <c r="BK106" s="6453"/>
      <c r="BL106" s="6453"/>
      <c r="BM106" s="6453"/>
      <c r="BN106" s="6453"/>
      <c r="BO106" s="6453"/>
      <c r="BP106" s="6453"/>
      <c r="BQ106" s="6453"/>
      <c r="BR106" s="6453"/>
      <c r="BS106" s="6453"/>
      <c r="BT106" s="6453"/>
      <c r="BU106" s="6453"/>
      <c r="BV106" s="6453"/>
      <c r="BW106" s="6453"/>
      <c r="BX106" s="6453"/>
      <c r="BY106" s="6453"/>
      <c r="BZ106" s="6453"/>
      <c r="CA106" s="6453"/>
      <c r="CB106" s="6453"/>
      <c r="CC106" s="6453"/>
      <c r="CD106" s="6453"/>
      <c r="CE106" s="6453"/>
      <c r="CF106" s="6453"/>
      <c r="CG106" s="6453"/>
      <c r="CH106" s="6453"/>
      <c r="CI106" s="6453"/>
      <c r="CJ106" s="6453"/>
      <c r="CK106" s="6453"/>
      <c r="CL106" s="6453"/>
      <c r="CM106" s="6453"/>
      <c r="CN106" s="6453"/>
      <c r="CO106" s="6453"/>
      <c r="CP106" s="6453"/>
      <c r="CQ106" s="6453"/>
      <c r="CR106" s="6453"/>
      <c r="CS106" s="6453"/>
      <c r="CT106" s="6453"/>
      <c r="CU106" s="6453"/>
      <c r="CV106" s="6453"/>
      <c r="CW106" s="6453"/>
      <c r="CX106" s="6453"/>
      <c r="CY106" s="6453"/>
      <c r="CZ106" s="6453"/>
      <c r="DA106" s="6453"/>
      <c r="DB106" s="6453"/>
      <c r="DC106" s="7376"/>
    </row>
    <row r="107" spans="1:107" s="1810" customFormat="1" ht="15" customHeight="1">
      <c r="A107" s="17035"/>
      <c r="B107" s="17038"/>
      <c r="C107" s="17038"/>
      <c r="D107" s="17038"/>
      <c r="E107" s="17038"/>
      <c r="F107" s="17038"/>
      <c r="G107" s="17038"/>
      <c r="H107" s="17038"/>
      <c r="I107" s="17038"/>
      <c r="J107" s="17038"/>
      <c r="K107" s="17038"/>
      <c r="L107" s="17038"/>
      <c r="M107" s="17038"/>
      <c r="N107" s="17038"/>
      <c r="O107" s="17038"/>
      <c r="P107" s="17038"/>
      <c r="Q107" s="17041"/>
      <c r="R107" s="17017"/>
      <c r="S107" s="15619"/>
      <c r="T107" s="15619"/>
      <c r="U107" s="15619"/>
      <c r="V107" s="15619"/>
      <c r="W107" s="15619"/>
      <c r="X107" s="15911"/>
      <c r="Y107" s="15911"/>
      <c r="Z107" s="15911"/>
      <c r="AA107" s="15911"/>
      <c r="AB107" s="15911"/>
      <c r="AC107" s="15911"/>
      <c r="AD107" s="15911"/>
      <c r="AE107" s="15911"/>
      <c r="AF107" s="15911"/>
      <c r="AG107" s="15911"/>
      <c r="AH107" s="15911"/>
      <c r="AI107" s="15619"/>
      <c r="AJ107" s="15619" t="s">
        <v>8362</v>
      </c>
      <c r="AK107" s="15619" t="s">
        <v>7394</v>
      </c>
      <c r="AL107" s="15619"/>
      <c r="AM107" s="15619"/>
      <c r="AN107" s="15619"/>
      <c r="AO107" s="15619"/>
      <c r="AP107" s="15619"/>
      <c r="AQ107" s="15619"/>
      <c r="AR107" s="15619"/>
      <c r="AS107" s="15619"/>
      <c r="AT107" s="15619"/>
      <c r="AU107" s="15619"/>
      <c r="AV107" s="15619"/>
      <c r="AW107" s="15619"/>
      <c r="AX107" s="15619"/>
      <c r="AY107" s="15619"/>
      <c r="AZ107" s="15619"/>
      <c r="BA107" s="3899" t="s">
        <v>10066</v>
      </c>
      <c r="BB107" s="15619"/>
      <c r="BC107" s="5242"/>
      <c r="BD107" s="15619"/>
      <c r="BE107" s="15619"/>
      <c r="BF107" s="15619"/>
      <c r="BG107" s="15619"/>
      <c r="BH107" s="17001"/>
      <c r="BI107" s="3451"/>
      <c r="BJ107" s="7399"/>
      <c r="BK107" s="6453"/>
      <c r="BL107" s="6453"/>
      <c r="BM107" s="6453"/>
      <c r="BN107" s="6453"/>
      <c r="BO107" s="6453"/>
      <c r="BP107" s="6453"/>
      <c r="BQ107" s="6453"/>
      <c r="BR107" s="6453"/>
      <c r="BS107" s="6453"/>
      <c r="BT107" s="6453"/>
      <c r="BU107" s="6453"/>
      <c r="BV107" s="6453"/>
      <c r="BW107" s="6453"/>
      <c r="BX107" s="6453"/>
      <c r="BY107" s="6453"/>
      <c r="BZ107" s="6453"/>
      <c r="CA107" s="6453"/>
      <c r="CB107" s="6453"/>
      <c r="CC107" s="6453"/>
      <c r="CD107" s="6453"/>
      <c r="CE107" s="6453"/>
      <c r="CF107" s="6453"/>
      <c r="CG107" s="6453"/>
      <c r="CH107" s="6453"/>
      <c r="CI107" s="6453"/>
      <c r="CJ107" s="6453"/>
      <c r="CK107" s="6453"/>
      <c r="CL107" s="6453"/>
      <c r="CM107" s="6453"/>
      <c r="CN107" s="6453"/>
      <c r="CO107" s="6453"/>
      <c r="CP107" s="6453"/>
      <c r="CQ107" s="6453"/>
      <c r="CR107" s="6453"/>
      <c r="CS107" s="6453"/>
      <c r="CT107" s="6453"/>
      <c r="CU107" s="6453"/>
      <c r="CV107" s="6453"/>
      <c r="CW107" s="6453"/>
      <c r="CX107" s="6453"/>
      <c r="CY107" s="6453"/>
      <c r="CZ107" s="6453"/>
      <c r="DA107" s="6453"/>
      <c r="DB107" s="6453"/>
      <c r="DC107" s="7376"/>
    </row>
    <row r="108" spans="1:107" s="1810" customFormat="1" ht="15" customHeight="1">
      <c r="A108" s="17035"/>
      <c r="B108" s="17038"/>
      <c r="C108" s="17038"/>
      <c r="D108" s="17038"/>
      <c r="E108" s="17038"/>
      <c r="F108" s="17038"/>
      <c r="G108" s="17038"/>
      <c r="H108" s="17038"/>
      <c r="I108" s="17038"/>
      <c r="J108" s="17038"/>
      <c r="K108" s="17038"/>
      <c r="L108" s="17038"/>
      <c r="M108" s="17038"/>
      <c r="N108" s="17038"/>
      <c r="O108" s="17038"/>
      <c r="P108" s="17038"/>
      <c r="Q108" s="17041"/>
      <c r="R108" s="17017"/>
      <c r="S108" s="15619"/>
      <c r="T108" s="15619"/>
      <c r="U108" s="15619"/>
      <c r="V108" s="15619"/>
      <c r="W108" s="15619"/>
      <c r="X108" s="15911"/>
      <c r="Y108" s="15911"/>
      <c r="Z108" s="15911"/>
      <c r="AA108" s="15911"/>
      <c r="AB108" s="15911"/>
      <c r="AC108" s="15911"/>
      <c r="AD108" s="15911"/>
      <c r="AE108" s="15911"/>
      <c r="AF108" s="15911"/>
      <c r="AG108" s="15911"/>
      <c r="AH108" s="15911"/>
      <c r="AI108" s="15619"/>
      <c r="AJ108" s="15619"/>
      <c r="AK108" s="15619"/>
      <c r="AL108" s="15619"/>
      <c r="AM108" s="15619"/>
      <c r="AN108" s="15619"/>
      <c r="AO108" s="15619"/>
      <c r="AP108" s="15619"/>
      <c r="AQ108" s="15619"/>
      <c r="AR108" s="15619"/>
      <c r="AS108" s="15619"/>
      <c r="AT108" s="15619"/>
      <c r="AU108" s="15619"/>
      <c r="AV108" s="15619"/>
      <c r="AW108" s="15619"/>
      <c r="AX108" s="15619"/>
      <c r="AY108" s="15619"/>
      <c r="AZ108" s="15619"/>
      <c r="BA108" s="3899" t="s">
        <v>10290</v>
      </c>
      <c r="BB108" s="15619"/>
      <c r="BC108" s="5242"/>
      <c r="BD108" s="15619"/>
      <c r="BE108" s="15619"/>
      <c r="BF108" s="15619"/>
      <c r="BG108" s="15619"/>
      <c r="BH108" s="17001"/>
      <c r="BI108" s="3451"/>
      <c r="BJ108" s="7399"/>
      <c r="BK108" s="6453"/>
      <c r="BL108" s="6453"/>
      <c r="BM108" s="6453"/>
      <c r="BN108" s="6453"/>
      <c r="BO108" s="6453"/>
      <c r="BP108" s="6453"/>
      <c r="BQ108" s="6453"/>
      <c r="BR108" s="6453"/>
      <c r="BS108" s="6453"/>
      <c r="BT108" s="6453"/>
      <c r="BU108" s="6453"/>
      <c r="BV108" s="6453"/>
      <c r="BW108" s="6453"/>
      <c r="BX108" s="6453"/>
      <c r="BY108" s="6453"/>
      <c r="BZ108" s="6453"/>
      <c r="CA108" s="6453"/>
      <c r="CB108" s="6453"/>
      <c r="CC108" s="6453"/>
      <c r="CD108" s="6453"/>
      <c r="CE108" s="6453"/>
      <c r="CF108" s="6453"/>
      <c r="CG108" s="6453"/>
      <c r="CH108" s="6453"/>
      <c r="CI108" s="6453"/>
      <c r="CJ108" s="6453"/>
      <c r="CK108" s="6453"/>
      <c r="CL108" s="6453"/>
      <c r="CM108" s="6453"/>
      <c r="CN108" s="6453"/>
      <c r="CO108" s="6453"/>
      <c r="CP108" s="6453"/>
      <c r="CQ108" s="6453"/>
      <c r="CR108" s="6453"/>
      <c r="CS108" s="6453"/>
      <c r="CT108" s="6453"/>
      <c r="CU108" s="6453"/>
      <c r="CV108" s="6453"/>
      <c r="CW108" s="6453"/>
      <c r="CX108" s="6453"/>
      <c r="CY108" s="6453"/>
      <c r="CZ108" s="6453"/>
      <c r="DA108" s="6453"/>
      <c r="DB108" s="6453"/>
      <c r="DC108" s="7376"/>
    </row>
    <row r="109" spans="1:107" s="1810" customFormat="1" ht="15" customHeight="1">
      <c r="A109" s="17035"/>
      <c r="B109" s="17038"/>
      <c r="C109" s="17038"/>
      <c r="D109" s="17038"/>
      <c r="E109" s="17038"/>
      <c r="F109" s="17038"/>
      <c r="G109" s="17038"/>
      <c r="H109" s="17038"/>
      <c r="I109" s="17038"/>
      <c r="J109" s="17038"/>
      <c r="K109" s="17038"/>
      <c r="L109" s="17038"/>
      <c r="M109" s="17038"/>
      <c r="N109" s="17038"/>
      <c r="O109" s="17038"/>
      <c r="P109" s="17038"/>
      <c r="Q109" s="17041"/>
      <c r="R109" s="17017"/>
      <c r="S109" s="15619"/>
      <c r="T109" s="15619"/>
      <c r="U109" s="15619"/>
      <c r="V109" s="15619"/>
      <c r="W109" s="15619"/>
      <c r="X109" s="15911"/>
      <c r="Y109" s="15911"/>
      <c r="Z109" s="15911"/>
      <c r="AA109" s="15911"/>
      <c r="AB109" s="15911"/>
      <c r="AC109" s="15911"/>
      <c r="AD109" s="15911"/>
      <c r="AE109" s="15911"/>
      <c r="AF109" s="15911"/>
      <c r="AG109" s="15911"/>
      <c r="AH109" s="15911"/>
      <c r="AI109" s="15619"/>
      <c r="AJ109" s="15619"/>
      <c r="AK109" s="15619"/>
      <c r="AL109" s="15619"/>
      <c r="AM109" s="15619"/>
      <c r="AN109" s="15619"/>
      <c r="AO109" s="15619"/>
      <c r="AP109" s="15619"/>
      <c r="AQ109" s="15619"/>
      <c r="AR109" s="15619"/>
      <c r="AS109" s="15619"/>
      <c r="AT109" s="15619"/>
      <c r="AU109" s="15619"/>
      <c r="AV109" s="15619"/>
      <c r="AW109" s="15619"/>
      <c r="AX109" s="15619"/>
      <c r="AY109" s="15619"/>
      <c r="AZ109" s="15619"/>
      <c r="BA109" s="3899" t="s">
        <v>10063</v>
      </c>
      <c r="BB109" s="15619"/>
      <c r="BC109" s="5242"/>
      <c r="BD109" s="15619"/>
      <c r="BE109" s="15619"/>
      <c r="BF109" s="15619"/>
      <c r="BG109" s="15619"/>
      <c r="BH109" s="17001"/>
      <c r="BI109" s="3451"/>
      <c r="BJ109" s="7399"/>
      <c r="BK109" s="6453"/>
      <c r="BL109" s="6453"/>
      <c r="BM109" s="6453"/>
      <c r="BN109" s="6453"/>
      <c r="BO109" s="6453"/>
      <c r="BP109" s="6453"/>
      <c r="BQ109" s="6453"/>
      <c r="BR109" s="6453"/>
      <c r="BS109" s="6453"/>
      <c r="BT109" s="6453"/>
      <c r="BU109" s="6453"/>
      <c r="BV109" s="6453"/>
      <c r="BW109" s="6453"/>
      <c r="BX109" s="6453"/>
      <c r="BY109" s="6453"/>
      <c r="BZ109" s="6453"/>
      <c r="CA109" s="6453"/>
      <c r="CB109" s="6453"/>
      <c r="CC109" s="6453"/>
      <c r="CD109" s="6453"/>
      <c r="CE109" s="6453"/>
      <c r="CF109" s="6453"/>
      <c r="CG109" s="6453"/>
      <c r="CH109" s="6453"/>
      <c r="CI109" s="6453"/>
      <c r="CJ109" s="6453"/>
      <c r="CK109" s="6453"/>
      <c r="CL109" s="6453"/>
      <c r="CM109" s="6453"/>
      <c r="CN109" s="6453"/>
      <c r="CO109" s="6453"/>
      <c r="CP109" s="6453"/>
      <c r="CQ109" s="6453"/>
      <c r="CR109" s="6453"/>
      <c r="CS109" s="6453"/>
      <c r="CT109" s="6453"/>
      <c r="CU109" s="6453"/>
      <c r="CV109" s="6453"/>
      <c r="CW109" s="6453"/>
      <c r="CX109" s="6453"/>
      <c r="CY109" s="6453"/>
      <c r="CZ109" s="6453"/>
      <c r="DA109" s="6453"/>
      <c r="DB109" s="6453"/>
      <c r="DC109" s="7376"/>
    </row>
    <row r="110" spans="1:107" s="1810" customFormat="1" ht="15" customHeight="1">
      <c r="A110" s="17035"/>
      <c r="B110" s="17038"/>
      <c r="C110" s="17038"/>
      <c r="D110" s="17038"/>
      <c r="E110" s="17038"/>
      <c r="F110" s="17038"/>
      <c r="G110" s="17038"/>
      <c r="H110" s="17038"/>
      <c r="I110" s="17038"/>
      <c r="J110" s="17038"/>
      <c r="K110" s="17038"/>
      <c r="L110" s="17038"/>
      <c r="M110" s="17038"/>
      <c r="N110" s="17038"/>
      <c r="O110" s="17038"/>
      <c r="P110" s="17038"/>
      <c r="Q110" s="17041"/>
      <c r="R110" s="17017"/>
      <c r="S110" s="15619"/>
      <c r="T110" s="15619"/>
      <c r="U110" s="15619"/>
      <c r="V110" s="15619"/>
      <c r="W110" s="15619"/>
      <c r="X110" s="15911"/>
      <c r="Y110" s="15911"/>
      <c r="Z110" s="15911"/>
      <c r="AA110" s="15911"/>
      <c r="AB110" s="15911"/>
      <c r="AC110" s="15911"/>
      <c r="AD110" s="15911"/>
      <c r="AE110" s="15911"/>
      <c r="AF110" s="15911"/>
      <c r="AG110" s="15911"/>
      <c r="AH110" s="15911"/>
      <c r="AI110" s="15619"/>
      <c r="AJ110" s="15619"/>
      <c r="AK110" s="15619"/>
      <c r="AL110" s="15619"/>
      <c r="AM110" s="15619"/>
      <c r="AN110" s="15619"/>
      <c r="AO110" s="15619"/>
      <c r="AP110" s="15619"/>
      <c r="AQ110" s="15619"/>
      <c r="AR110" s="15619"/>
      <c r="AS110" s="15619"/>
      <c r="AT110" s="15619"/>
      <c r="AU110" s="15619"/>
      <c r="AV110" s="15619"/>
      <c r="AW110" s="15619"/>
      <c r="AX110" s="15619"/>
      <c r="AY110" s="15619"/>
      <c r="AZ110" s="15619"/>
      <c r="BA110" s="3899" t="s">
        <v>218</v>
      </c>
      <c r="BB110" s="15619"/>
      <c r="BC110" s="5242"/>
      <c r="BD110" s="15619"/>
      <c r="BE110" s="15619"/>
      <c r="BF110" s="15619"/>
      <c r="BG110" s="15619"/>
      <c r="BH110" s="17001"/>
      <c r="BI110" s="3451"/>
      <c r="BJ110" s="7399"/>
      <c r="BK110" s="6453"/>
      <c r="BL110" s="6453"/>
      <c r="BM110" s="6453"/>
      <c r="BN110" s="6453"/>
      <c r="BO110" s="6453"/>
      <c r="BP110" s="6453"/>
      <c r="BQ110" s="6453"/>
      <c r="BR110" s="6453"/>
      <c r="BS110" s="6453"/>
      <c r="BT110" s="6453"/>
      <c r="BU110" s="6453"/>
      <c r="BV110" s="6453"/>
      <c r="BW110" s="6453"/>
      <c r="BX110" s="6453"/>
      <c r="BY110" s="6453"/>
      <c r="BZ110" s="6453"/>
      <c r="CA110" s="6453"/>
      <c r="CB110" s="6453"/>
      <c r="CC110" s="6453"/>
      <c r="CD110" s="6453"/>
      <c r="CE110" s="6453"/>
      <c r="CF110" s="6453"/>
      <c r="CG110" s="6453"/>
      <c r="CH110" s="6453"/>
      <c r="CI110" s="6453"/>
      <c r="CJ110" s="6453"/>
      <c r="CK110" s="6453"/>
      <c r="CL110" s="6453"/>
      <c r="CM110" s="6453"/>
      <c r="CN110" s="6453"/>
      <c r="CO110" s="6453"/>
      <c r="CP110" s="6453"/>
      <c r="CQ110" s="6453"/>
      <c r="CR110" s="6453"/>
      <c r="CS110" s="6453"/>
      <c r="CT110" s="6453"/>
      <c r="CU110" s="6453"/>
      <c r="CV110" s="6453"/>
      <c r="CW110" s="6453"/>
      <c r="CX110" s="6453"/>
      <c r="CY110" s="6453"/>
      <c r="CZ110" s="6453"/>
      <c r="DA110" s="6453"/>
      <c r="DB110" s="6453"/>
      <c r="DC110" s="7376"/>
    </row>
    <row r="111" spans="1:107" s="1810" customFormat="1" ht="15" customHeight="1">
      <c r="A111" s="17035"/>
      <c r="B111" s="17038"/>
      <c r="C111" s="17038"/>
      <c r="D111" s="17038"/>
      <c r="E111" s="17038"/>
      <c r="F111" s="17038"/>
      <c r="G111" s="17038"/>
      <c r="H111" s="17038"/>
      <c r="I111" s="17038"/>
      <c r="J111" s="17038"/>
      <c r="K111" s="17038"/>
      <c r="L111" s="17038"/>
      <c r="M111" s="17038"/>
      <c r="N111" s="17038"/>
      <c r="O111" s="17038"/>
      <c r="P111" s="17038"/>
      <c r="Q111" s="17041"/>
      <c r="R111" s="17017"/>
      <c r="S111" s="15619"/>
      <c r="T111" s="15619"/>
      <c r="U111" s="15619"/>
      <c r="V111" s="15619"/>
      <c r="W111" s="15619"/>
      <c r="X111" s="15911"/>
      <c r="Y111" s="15911"/>
      <c r="Z111" s="15911"/>
      <c r="AA111" s="15911"/>
      <c r="AB111" s="15911"/>
      <c r="AC111" s="15911"/>
      <c r="AD111" s="15911"/>
      <c r="AE111" s="15911"/>
      <c r="AF111" s="15911"/>
      <c r="AG111" s="15911"/>
      <c r="AH111" s="15911"/>
      <c r="AI111" s="15619"/>
      <c r="AJ111" s="15619" t="s">
        <v>8363</v>
      </c>
      <c r="AK111" s="15619" t="s">
        <v>7395</v>
      </c>
      <c r="AL111" s="15619"/>
      <c r="AM111" s="15619"/>
      <c r="AN111" s="15619"/>
      <c r="AO111" s="15619"/>
      <c r="AP111" s="15619"/>
      <c r="AQ111" s="15619"/>
      <c r="AR111" s="15619"/>
      <c r="AS111" s="15619"/>
      <c r="AT111" s="15619"/>
      <c r="AU111" s="15619"/>
      <c r="AV111" s="15619"/>
      <c r="AW111" s="15619"/>
      <c r="AX111" s="15619"/>
      <c r="AY111" s="15619"/>
      <c r="AZ111" s="15619"/>
      <c r="BA111" s="3899" t="s">
        <v>10066</v>
      </c>
      <c r="BB111" s="15619"/>
      <c r="BC111" s="5242"/>
      <c r="BD111" s="15619"/>
      <c r="BE111" s="15619"/>
      <c r="BF111" s="15619"/>
      <c r="BG111" s="15619"/>
      <c r="BH111" s="17001"/>
      <c r="BI111" s="3451"/>
      <c r="BJ111" s="7399"/>
      <c r="BK111" s="6453"/>
      <c r="BL111" s="6453"/>
      <c r="BM111" s="6453"/>
      <c r="BN111" s="6453"/>
      <c r="BO111" s="6453"/>
      <c r="BP111" s="6453"/>
      <c r="BQ111" s="6453"/>
      <c r="BR111" s="6453"/>
      <c r="BS111" s="6453"/>
      <c r="BT111" s="6453"/>
      <c r="BU111" s="6453"/>
      <c r="BV111" s="6453"/>
      <c r="BW111" s="6453"/>
      <c r="BX111" s="6453"/>
      <c r="BY111" s="6453"/>
      <c r="BZ111" s="6453"/>
      <c r="CA111" s="6453"/>
      <c r="CB111" s="6453"/>
      <c r="CC111" s="6453"/>
      <c r="CD111" s="6453"/>
      <c r="CE111" s="6453"/>
      <c r="CF111" s="6453"/>
      <c r="CG111" s="6453"/>
      <c r="CH111" s="6453"/>
      <c r="CI111" s="6453"/>
      <c r="CJ111" s="6453"/>
      <c r="CK111" s="6453"/>
      <c r="CL111" s="6453"/>
      <c r="CM111" s="6453"/>
      <c r="CN111" s="6453"/>
      <c r="CO111" s="6453"/>
      <c r="CP111" s="6453"/>
      <c r="CQ111" s="6453"/>
      <c r="CR111" s="6453"/>
      <c r="CS111" s="6453"/>
      <c r="CT111" s="6453"/>
      <c r="CU111" s="6453"/>
      <c r="CV111" s="6453"/>
      <c r="CW111" s="6453"/>
      <c r="CX111" s="6453"/>
      <c r="CY111" s="6453"/>
      <c r="CZ111" s="6453"/>
      <c r="DA111" s="6453"/>
      <c r="DB111" s="6453"/>
      <c r="DC111" s="7376"/>
    </row>
    <row r="112" spans="1:107" s="1810" customFormat="1" ht="15" customHeight="1">
      <c r="A112" s="17035"/>
      <c r="B112" s="17038"/>
      <c r="C112" s="17038"/>
      <c r="D112" s="17038"/>
      <c r="E112" s="17038"/>
      <c r="F112" s="17038"/>
      <c r="G112" s="17038"/>
      <c r="H112" s="17038"/>
      <c r="I112" s="17038"/>
      <c r="J112" s="17038"/>
      <c r="K112" s="17038"/>
      <c r="L112" s="17038"/>
      <c r="M112" s="17038"/>
      <c r="N112" s="17038"/>
      <c r="O112" s="17038"/>
      <c r="P112" s="17038"/>
      <c r="Q112" s="17041"/>
      <c r="R112" s="17017"/>
      <c r="S112" s="15619"/>
      <c r="T112" s="15619"/>
      <c r="U112" s="15619"/>
      <c r="V112" s="15619"/>
      <c r="W112" s="15619"/>
      <c r="X112" s="15911"/>
      <c r="Y112" s="15911"/>
      <c r="Z112" s="15911"/>
      <c r="AA112" s="15911"/>
      <c r="AB112" s="15911"/>
      <c r="AC112" s="15911"/>
      <c r="AD112" s="15911"/>
      <c r="AE112" s="15911"/>
      <c r="AF112" s="15911"/>
      <c r="AG112" s="15911"/>
      <c r="AH112" s="15911"/>
      <c r="AI112" s="15619"/>
      <c r="AJ112" s="15619"/>
      <c r="AK112" s="15619"/>
      <c r="AL112" s="15619"/>
      <c r="AM112" s="15619"/>
      <c r="AN112" s="15619"/>
      <c r="AO112" s="15619"/>
      <c r="AP112" s="15619"/>
      <c r="AQ112" s="15619"/>
      <c r="AR112" s="15619"/>
      <c r="AS112" s="15619"/>
      <c r="AT112" s="15619"/>
      <c r="AU112" s="15619"/>
      <c r="AV112" s="15619"/>
      <c r="AW112" s="15619"/>
      <c r="AX112" s="15619"/>
      <c r="AY112" s="15619"/>
      <c r="AZ112" s="15619"/>
      <c r="BA112" s="3899" t="s">
        <v>10290</v>
      </c>
      <c r="BB112" s="15619"/>
      <c r="BC112" s="5242"/>
      <c r="BD112" s="15619"/>
      <c r="BE112" s="15619"/>
      <c r="BF112" s="15619"/>
      <c r="BG112" s="15619"/>
      <c r="BH112" s="17001"/>
      <c r="BI112" s="3451"/>
      <c r="BJ112" s="7399"/>
      <c r="BK112" s="6453"/>
      <c r="BL112" s="6453"/>
      <c r="BM112" s="6453"/>
      <c r="BN112" s="6453"/>
      <c r="BO112" s="6453"/>
      <c r="BP112" s="6453"/>
      <c r="BQ112" s="6453"/>
      <c r="BR112" s="6453"/>
      <c r="BS112" s="6453"/>
      <c r="BT112" s="6453"/>
      <c r="BU112" s="6453"/>
      <c r="BV112" s="6453"/>
      <c r="BW112" s="6453"/>
      <c r="BX112" s="6453"/>
      <c r="BY112" s="6453"/>
      <c r="BZ112" s="6453"/>
      <c r="CA112" s="6453"/>
      <c r="CB112" s="6453"/>
      <c r="CC112" s="6453"/>
      <c r="CD112" s="6453"/>
      <c r="CE112" s="6453"/>
      <c r="CF112" s="6453"/>
      <c r="CG112" s="6453"/>
      <c r="CH112" s="6453"/>
      <c r="CI112" s="6453"/>
      <c r="CJ112" s="6453"/>
      <c r="CK112" s="6453"/>
      <c r="CL112" s="6453"/>
      <c r="CM112" s="6453"/>
      <c r="CN112" s="6453"/>
      <c r="CO112" s="6453"/>
      <c r="CP112" s="6453"/>
      <c r="CQ112" s="6453"/>
      <c r="CR112" s="6453"/>
      <c r="CS112" s="6453"/>
      <c r="CT112" s="6453"/>
      <c r="CU112" s="6453"/>
      <c r="CV112" s="6453"/>
      <c r="CW112" s="6453"/>
      <c r="CX112" s="6453"/>
      <c r="CY112" s="6453"/>
      <c r="CZ112" s="6453"/>
      <c r="DA112" s="6453"/>
      <c r="DB112" s="6453"/>
      <c r="DC112" s="7376"/>
    </row>
    <row r="113" spans="1:107" s="1810" customFormat="1" ht="15" customHeight="1">
      <c r="A113" s="17035"/>
      <c r="B113" s="17038"/>
      <c r="C113" s="17038"/>
      <c r="D113" s="17038"/>
      <c r="E113" s="17038"/>
      <c r="F113" s="17038"/>
      <c r="G113" s="17038"/>
      <c r="H113" s="17038"/>
      <c r="I113" s="17038"/>
      <c r="J113" s="17038"/>
      <c r="K113" s="17038"/>
      <c r="L113" s="17038"/>
      <c r="M113" s="17038"/>
      <c r="N113" s="17038"/>
      <c r="O113" s="17038"/>
      <c r="P113" s="17038"/>
      <c r="Q113" s="17041"/>
      <c r="R113" s="17017"/>
      <c r="S113" s="15619"/>
      <c r="T113" s="15619"/>
      <c r="U113" s="15619"/>
      <c r="V113" s="15619"/>
      <c r="W113" s="15619"/>
      <c r="X113" s="15911"/>
      <c r="Y113" s="15911"/>
      <c r="Z113" s="15911"/>
      <c r="AA113" s="15911"/>
      <c r="AB113" s="15911"/>
      <c r="AC113" s="15911"/>
      <c r="AD113" s="15911"/>
      <c r="AE113" s="15911"/>
      <c r="AF113" s="15911"/>
      <c r="AG113" s="15911"/>
      <c r="AH113" s="15911"/>
      <c r="AI113" s="15619"/>
      <c r="AJ113" s="15619"/>
      <c r="AK113" s="15619"/>
      <c r="AL113" s="15619"/>
      <c r="AM113" s="15619"/>
      <c r="AN113" s="15619"/>
      <c r="AO113" s="15619"/>
      <c r="AP113" s="15619"/>
      <c r="AQ113" s="15619"/>
      <c r="AR113" s="15619"/>
      <c r="AS113" s="15619"/>
      <c r="AT113" s="15619"/>
      <c r="AU113" s="15619"/>
      <c r="AV113" s="15619"/>
      <c r="AW113" s="15619"/>
      <c r="AX113" s="15619"/>
      <c r="AY113" s="15619"/>
      <c r="AZ113" s="15619"/>
      <c r="BA113" s="3899" t="s">
        <v>10063</v>
      </c>
      <c r="BB113" s="15619"/>
      <c r="BC113" s="5242"/>
      <c r="BD113" s="15619"/>
      <c r="BE113" s="15619"/>
      <c r="BF113" s="15619"/>
      <c r="BG113" s="15619"/>
      <c r="BH113" s="17001"/>
      <c r="BI113" s="3451"/>
      <c r="BJ113" s="7399"/>
      <c r="BK113" s="6453"/>
      <c r="BL113" s="6453"/>
      <c r="BM113" s="6453"/>
      <c r="BN113" s="6453"/>
      <c r="BO113" s="6453"/>
      <c r="BP113" s="6453"/>
      <c r="BQ113" s="6453"/>
      <c r="BR113" s="6453"/>
      <c r="BS113" s="6453"/>
      <c r="BT113" s="6453"/>
      <c r="BU113" s="6453"/>
      <c r="BV113" s="6453"/>
      <c r="BW113" s="6453"/>
      <c r="BX113" s="6453"/>
      <c r="BY113" s="6453"/>
      <c r="BZ113" s="6453"/>
      <c r="CA113" s="6453"/>
      <c r="CB113" s="6453"/>
      <c r="CC113" s="6453"/>
      <c r="CD113" s="6453"/>
      <c r="CE113" s="6453"/>
      <c r="CF113" s="6453"/>
      <c r="CG113" s="6453"/>
      <c r="CH113" s="6453"/>
      <c r="CI113" s="6453"/>
      <c r="CJ113" s="6453"/>
      <c r="CK113" s="6453"/>
      <c r="CL113" s="6453"/>
      <c r="CM113" s="6453"/>
      <c r="CN113" s="6453"/>
      <c r="CO113" s="6453"/>
      <c r="CP113" s="6453"/>
      <c r="CQ113" s="6453"/>
      <c r="CR113" s="6453"/>
      <c r="CS113" s="6453"/>
      <c r="CT113" s="6453"/>
      <c r="CU113" s="6453"/>
      <c r="CV113" s="6453"/>
      <c r="CW113" s="6453"/>
      <c r="CX113" s="6453"/>
      <c r="CY113" s="6453"/>
      <c r="CZ113" s="6453"/>
      <c r="DA113" s="6453"/>
      <c r="DB113" s="6453"/>
      <c r="DC113" s="7376"/>
    </row>
    <row r="114" spans="1:107" s="1810" customFormat="1" ht="15" customHeight="1">
      <c r="A114" s="17035"/>
      <c r="B114" s="17038"/>
      <c r="C114" s="17038"/>
      <c r="D114" s="17038"/>
      <c r="E114" s="17038"/>
      <c r="F114" s="17038"/>
      <c r="G114" s="17038"/>
      <c r="H114" s="17038"/>
      <c r="I114" s="17038"/>
      <c r="J114" s="17038"/>
      <c r="K114" s="17038"/>
      <c r="L114" s="17038"/>
      <c r="M114" s="17038"/>
      <c r="N114" s="17038"/>
      <c r="O114" s="17038"/>
      <c r="P114" s="17038"/>
      <c r="Q114" s="17041"/>
      <c r="R114" s="17017"/>
      <c r="S114" s="15619"/>
      <c r="T114" s="15619"/>
      <c r="U114" s="15619"/>
      <c r="V114" s="15619"/>
      <c r="W114" s="15619"/>
      <c r="X114" s="15911"/>
      <c r="Y114" s="15911"/>
      <c r="Z114" s="15911"/>
      <c r="AA114" s="15911"/>
      <c r="AB114" s="15911"/>
      <c r="AC114" s="15911"/>
      <c r="AD114" s="15911"/>
      <c r="AE114" s="15911"/>
      <c r="AF114" s="15911"/>
      <c r="AG114" s="15911"/>
      <c r="AH114" s="15911"/>
      <c r="AI114" s="15619"/>
      <c r="AJ114" s="15619"/>
      <c r="AK114" s="15619"/>
      <c r="AL114" s="15619"/>
      <c r="AM114" s="15619"/>
      <c r="AN114" s="15619"/>
      <c r="AO114" s="15619"/>
      <c r="AP114" s="15619"/>
      <c r="AQ114" s="15619"/>
      <c r="AR114" s="15619"/>
      <c r="AS114" s="15619"/>
      <c r="AT114" s="15619"/>
      <c r="AU114" s="15619"/>
      <c r="AV114" s="15619"/>
      <c r="AW114" s="15619"/>
      <c r="AX114" s="15619"/>
      <c r="AY114" s="15619"/>
      <c r="AZ114" s="15619"/>
      <c r="BA114" s="3899" t="s">
        <v>218</v>
      </c>
      <c r="BB114" s="15619"/>
      <c r="BC114" s="5242"/>
      <c r="BD114" s="15619"/>
      <c r="BE114" s="15619"/>
      <c r="BF114" s="15619"/>
      <c r="BG114" s="15619"/>
      <c r="BH114" s="17001"/>
      <c r="BI114" s="3451"/>
      <c r="BJ114" s="7399"/>
      <c r="BK114" s="6453"/>
      <c r="BL114" s="6453"/>
      <c r="BM114" s="6453"/>
      <c r="BN114" s="6453"/>
      <c r="BO114" s="6453"/>
      <c r="BP114" s="6453"/>
      <c r="BQ114" s="6453"/>
      <c r="BR114" s="6453"/>
      <c r="BS114" s="6453"/>
      <c r="BT114" s="6453"/>
      <c r="BU114" s="6453"/>
      <c r="BV114" s="6453"/>
      <c r="BW114" s="6453"/>
      <c r="BX114" s="6453"/>
      <c r="BY114" s="6453"/>
      <c r="BZ114" s="6453"/>
      <c r="CA114" s="6453"/>
      <c r="CB114" s="6453"/>
      <c r="CC114" s="6453"/>
      <c r="CD114" s="6453"/>
      <c r="CE114" s="6453"/>
      <c r="CF114" s="6453"/>
      <c r="CG114" s="6453"/>
      <c r="CH114" s="6453"/>
      <c r="CI114" s="6453"/>
      <c r="CJ114" s="6453"/>
      <c r="CK114" s="6453"/>
      <c r="CL114" s="6453"/>
      <c r="CM114" s="6453"/>
      <c r="CN114" s="6453"/>
      <c r="CO114" s="6453"/>
      <c r="CP114" s="6453"/>
      <c r="CQ114" s="6453"/>
      <c r="CR114" s="6453"/>
      <c r="CS114" s="6453"/>
      <c r="CT114" s="6453"/>
      <c r="CU114" s="6453"/>
      <c r="CV114" s="6453"/>
      <c r="CW114" s="6453"/>
      <c r="CX114" s="6453"/>
      <c r="CY114" s="6453"/>
      <c r="CZ114" s="6453"/>
      <c r="DA114" s="6453"/>
      <c r="DB114" s="6453"/>
      <c r="DC114" s="7376"/>
    </row>
    <row r="115" spans="1:107" s="1810" customFormat="1" ht="15" customHeight="1">
      <c r="A115" s="17035"/>
      <c r="B115" s="17038"/>
      <c r="C115" s="17038"/>
      <c r="D115" s="17038"/>
      <c r="E115" s="17038"/>
      <c r="F115" s="17038"/>
      <c r="G115" s="17038"/>
      <c r="H115" s="17038"/>
      <c r="I115" s="17038"/>
      <c r="J115" s="17038"/>
      <c r="K115" s="17038"/>
      <c r="L115" s="17038"/>
      <c r="M115" s="17038"/>
      <c r="N115" s="17038"/>
      <c r="O115" s="17038"/>
      <c r="P115" s="17038"/>
      <c r="Q115" s="17041"/>
      <c r="R115" s="17017"/>
      <c r="S115" s="15619"/>
      <c r="T115" s="15619"/>
      <c r="U115" s="15619"/>
      <c r="V115" s="15619"/>
      <c r="W115" s="15619"/>
      <c r="X115" s="15911"/>
      <c r="Y115" s="15911"/>
      <c r="Z115" s="15911"/>
      <c r="AA115" s="15911"/>
      <c r="AB115" s="15911"/>
      <c r="AC115" s="15911"/>
      <c r="AD115" s="15911"/>
      <c r="AE115" s="15911"/>
      <c r="AF115" s="15911"/>
      <c r="AG115" s="15911"/>
      <c r="AH115" s="15911"/>
      <c r="AI115" s="15619"/>
      <c r="AJ115" s="15619" t="s">
        <v>8364</v>
      </c>
      <c r="AK115" s="15619" t="s">
        <v>7396</v>
      </c>
      <c r="AL115" s="15619"/>
      <c r="AM115" s="15619"/>
      <c r="AN115" s="15619"/>
      <c r="AO115" s="15619"/>
      <c r="AP115" s="15619"/>
      <c r="AQ115" s="15619"/>
      <c r="AR115" s="15619"/>
      <c r="AS115" s="15619"/>
      <c r="AT115" s="15619"/>
      <c r="AU115" s="15619"/>
      <c r="AV115" s="15619"/>
      <c r="AW115" s="15619"/>
      <c r="AX115" s="15619"/>
      <c r="AY115" s="15619"/>
      <c r="AZ115" s="15619"/>
      <c r="BA115" s="3899" t="s">
        <v>10066</v>
      </c>
      <c r="BB115" s="15619"/>
      <c r="BC115" s="5242"/>
      <c r="BD115" s="15619"/>
      <c r="BE115" s="15619"/>
      <c r="BF115" s="15619"/>
      <c r="BG115" s="15619"/>
      <c r="BH115" s="17001"/>
      <c r="BI115" s="3451"/>
      <c r="BJ115" s="7399"/>
      <c r="BK115" s="6453"/>
      <c r="BL115" s="6453"/>
      <c r="BM115" s="6453"/>
      <c r="BN115" s="6453"/>
      <c r="BO115" s="6453"/>
      <c r="BP115" s="6453"/>
      <c r="BQ115" s="6453"/>
      <c r="BR115" s="6453"/>
      <c r="BS115" s="6453"/>
      <c r="BT115" s="6453"/>
      <c r="BU115" s="6453"/>
      <c r="BV115" s="6453"/>
      <c r="BW115" s="6453"/>
      <c r="BX115" s="6453"/>
      <c r="BY115" s="6453"/>
      <c r="BZ115" s="6453"/>
      <c r="CA115" s="6453"/>
      <c r="CB115" s="6453"/>
      <c r="CC115" s="6453"/>
      <c r="CD115" s="6453"/>
      <c r="CE115" s="6453"/>
      <c r="CF115" s="6453"/>
      <c r="CG115" s="6453"/>
      <c r="CH115" s="6453"/>
      <c r="CI115" s="6453"/>
      <c r="CJ115" s="6453"/>
      <c r="CK115" s="6453"/>
      <c r="CL115" s="6453"/>
      <c r="CM115" s="6453"/>
      <c r="CN115" s="6453"/>
      <c r="CO115" s="6453"/>
      <c r="CP115" s="6453"/>
      <c r="CQ115" s="6453"/>
      <c r="CR115" s="6453"/>
      <c r="CS115" s="6453"/>
      <c r="CT115" s="6453"/>
      <c r="CU115" s="6453"/>
      <c r="CV115" s="6453"/>
      <c r="CW115" s="6453"/>
      <c r="CX115" s="6453"/>
      <c r="CY115" s="6453"/>
      <c r="CZ115" s="6453"/>
      <c r="DA115" s="6453"/>
      <c r="DB115" s="6453"/>
      <c r="DC115" s="7376"/>
    </row>
    <row r="116" spans="1:107" s="1810" customFormat="1" ht="15" customHeight="1">
      <c r="A116" s="17035"/>
      <c r="B116" s="17038"/>
      <c r="C116" s="17038"/>
      <c r="D116" s="17038"/>
      <c r="E116" s="17038"/>
      <c r="F116" s="17038"/>
      <c r="G116" s="17038"/>
      <c r="H116" s="17038"/>
      <c r="I116" s="17038"/>
      <c r="J116" s="17038"/>
      <c r="K116" s="17038"/>
      <c r="L116" s="17038"/>
      <c r="M116" s="17038"/>
      <c r="N116" s="17038"/>
      <c r="O116" s="17038"/>
      <c r="P116" s="17038"/>
      <c r="Q116" s="17041"/>
      <c r="R116" s="17017"/>
      <c r="S116" s="15619"/>
      <c r="T116" s="15619"/>
      <c r="U116" s="15619"/>
      <c r="V116" s="15619"/>
      <c r="W116" s="15619"/>
      <c r="X116" s="15911"/>
      <c r="Y116" s="15911"/>
      <c r="Z116" s="15911"/>
      <c r="AA116" s="15911"/>
      <c r="AB116" s="15911"/>
      <c r="AC116" s="15911"/>
      <c r="AD116" s="15911"/>
      <c r="AE116" s="15911"/>
      <c r="AF116" s="15911"/>
      <c r="AG116" s="15911"/>
      <c r="AH116" s="15911"/>
      <c r="AI116" s="15619"/>
      <c r="AJ116" s="15619"/>
      <c r="AK116" s="15619"/>
      <c r="AL116" s="15619"/>
      <c r="AM116" s="15619"/>
      <c r="AN116" s="15619"/>
      <c r="AO116" s="15619"/>
      <c r="AP116" s="15619"/>
      <c r="AQ116" s="15619"/>
      <c r="AR116" s="15619"/>
      <c r="AS116" s="15619"/>
      <c r="AT116" s="15619"/>
      <c r="AU116" s="15619"/>
      <c r="AV116" s="15619"/>
      <c r="AW116" s="15619"/>
      <c r="AX116" s="15619"/>
      <c r="AY116" s="15619"/>
      <c r="AZ116" s="15619"/>
      <c r="BA116" s="3899" t="s">
        <v>10290</v>
      </c>
      <c r="BB116" s="15619"/>
      <c r="BC116" s="5242"/>
      <c r="BD116" s="15619"/>
      <c r="BE116" s="15619"/>
      <c r="BF116" s="15619"/>
      <c r="BG116" s="15619"/>
      <c r="BH116" s="17001"/>
      <c r="BI116" s="3451"/>
      <c r="BJ116" s="7399"/>
      <c r="BK116" s="6453"/>
      <c r="BL116" s="6453"/>
      <c r="BM116" s="6453"/>
      <c r="BN116" s="6453"/>
      <c r="BO116" s="6453"/>
      <c r="BP116" s="6453"/>
      <c r="BQ116" s="6453"/>
      <c r="BR116" s="6453"/>
      <c r="BS116" s="6453"/>
      <c r="BT116" s="6453"/>
      <c r="BU116" s="6453"/>
      <c r="BV116" s="6453"/>
      <c r="BW116" s="6453"/>
      <c r="BX116" s="6453"/>
      <c r="BY116" s="6453"/>
      <c r="BZ116" s="6453"/>
      <c r="CA116" s="6453"/>
      <c r="CB116" s="6453"/>
      <c r="CC116" s="6453"/>
      <c r="CD116" s="6453"/>
      <c r="CE116" s="6453"/>
      <c r="CF116" s="6453"/>
      <c r="CG116" s="6453"/>
      <c r="CH116" s="6453"/>
      <c r="CI116" s="6453"/>
      <c r="CJ116" s="6453"/>
      <c r="CK116" s="6453"/>
      <c r="CL116" s="6453"/>
      <c r="CM116" s="6453"/>
      <c r="CN116" s="6453"/>
      <c r="CO116" s="6453"/>
      <c r="CP116" s="6453"/>
      <c r="CQ116" s="6453"/>
      <c r="CR116" s="6453"/>
      <c r="CS116" s="6453"/>
      <c r="CT116" s="6453"/>
      <c r="CU116" s="6453"/>
      <c r="CV116" s="6453"/>
      <c r="CW116" s="6453"/>
      <c r="CX116" s="6453"/>
      <c r="CY116" s="6453"/>
      <c r="CZ116" s="6453"/>
      <c r="DA116" s="6453"/>
      <c r="DB116" s="6453"/>
      <c r="DC116" s="7376"/>
    </row>
    <row r="117" spans="1:107" s="1810" customFormat="1" ht="15" customHeight="1">
      <c r="A117" s="17035"/>
      <c r="B117" s="17038"/>
      <c r="C117" s="17038"/>
      <c r="D117" s="17038"/>
      <c r="E117" s="17038"/>
      <c r="F117" s="17038"/>
      <c r="G117" s="17038"/>
      <c r="H117" s="17038"/>
      <c r="I117" s="17038"/>
      <c r="J117" s="17038"/>
      <c r="K117" s="17038"/>
      <c r="L117" s="17038"/>
      <c r="M117" s="17038"/>
      <c r="N117" s="17038"/>
      <c r="O117" s="17038"/>
      <c r="P117" s="17038"/>
      <c r="Q117" s="17041"/>
      <c r="R117" s="17017"/>
      <c r="S117" s="15619"/>
      <c r="T117" s="15619"/>
      <c r="U117" s="15619"/>
      <c r="V117" s="15619"/>
      <c r="W117" s="15619"/>
      <c r="X117" s="15911"/>
      <c r="Y117" s="15911"/>
      <c r="Z117" s="15911"/>
      <c r="AA117" s="15911"/>
      <c r="AB117" s="15911"/>
      <c r="AC117" s="15911"/>
      <c r="AD117" s="15911"/>
      <c r="AE117" s="15911"/>
      <c r="AF117" s="15911"/>
      <c r="AG117" s="15911"/>
      <c r="AH117" s="15911"/>
      <c r="AI117" s="15619"/>
      <c r="AJ117" s="15619"/>
      <c r="AK117" s="15619"/>
      <c r="AL117" s="15619"/>
      <c r="AM117" s="15619"/>
      <c r="AN117" s="15619"/>
      <c r="AO117" s="15619"/>
      <c r="AP117" s="15619"/>
      <c r="AQ117" s="15619"/>
      <c r="AR117" s="15619"/>
      <c r="AS117" s="15619"/>
      <c r="AT117" s="15619"/>
      <c r="AU117" s="15619"/>
      <c r="AV117" s="15619"/>
      <c r="AW117" s="15619"/>
      <c r="AX117" s="15619"/>
      <c r="AY117" s="15619"/>
      <c r="AZ117" s="15619"/>
      <c r="BA117" s="3899" t="s">
        <v>10063</v>
      </c>
      <c r="BB117" s="15619"/>
      <c r="BC117" s="5242"/>
      <c r="BD117" s="15619"/>
      <c r="BE117" s="15619"/>
      <c r="BF117" s="15619"/>
      <c r="BG117" s="15619"/>
      <c r="BH117" s="17001"/>
      <c r="BI117" s="3451"/>
      <c r="BJ117" s="7399"/>
      <c r="BK117" s="6453"/>
      <c r="BL117" s="6453"/>
      <c r="BM117" s="6453"/>
      <c r="BN117" s="6453"/>
      <c r="BO117" s="6453"/>
      <c r="BP117" s="6453"/>
      <c r="BQ117" s="6453"/>
      <c r="BR117" s="6453"/>
      <c r="BS117" s="6453"/>
      <c r="BT117" s="6453"/>
      <c r="BU117" s="6453"/>
      <c r="BV117" s="6453"/>
      <c r="BW117" s="6453"/>
      <c r="BX117" s="6453"/>
      <c r="BY117" s="6453"/>
      <c r="BZ117" s="6453"/>
      <c r="CA117" s="6453"/>
      <c r="CB117" s="6453"/>
      <c r="CC117" s="6453"/>
      <c r="CD117" s="6453"/>
      <c r="CE117" s="6453"/>
      <c r="CF117" s="6453"/>
      <c r="CG117" s="6453"/>
      <c r="CH117" s="6453"/>
      <c r="CI117" s="6453"/>
      <c r="CJ117" s="6453"/>
      <c r="CK117" s="6453"/>
      <c r="CL117" s="6453"/>
      <c r="CM117" s="6453"/>
      <c r="CN117" s="6453"/>
      <c r="CO117" s="6453"/>
      <c r="CP117" s="6453"/>
      <c r="CQ117" s="6453"/>
      <c r="CR117" s="6453"/>
      <c r="CS117" s="6453"/>
      <c r="CT117" s="6453"/>
      <c r="CU117" s="6453"/>
      <c r="CV117" s="6453"/>
      <c r="CW117" s="6453"/>
      <c r="CX117" s="6453"/>
      <c r="CY117" s="6453"/>
      <c r="CZ117" s="6453"/>
      <c r="DA117" s="6453"/>
      <c r="DB117" s="6453"/>
      <c r="DC117" s="7376"/>
    </row>
    <row r="118" spans="1:107" s="1810" customFormat="1" ht="15" customHeight="1">
      <c r="A118" s="17035"/>
      <c r="B118" s="17038"/>
      <c r="C118" s="17038"/>
      <c r="D118" s="17038"/>
      <c r="E118" s="17038"/>
      <c r="F118" s="17038"/>
      <c r="G118" s="17038"/>
      <c r="H118" s="17038"/>
      <c r="I118" s="17038"/>
      <c r="J118" s="17038"/>
      <c r="K118" s="17038"/>
      <c r="L118" s="17038"/>
      <c r="M118" s="17038"/>
      <c r="N118" s="17038"/>
      <c r="O118" s="17038"/>
      <c r="P118" s="17038"/>
      <c r="Q118" s="17041"/>
      <c r="R118" s="17017"/>
      <c r="S118" s="15619"/>
      <c r="T118" s="15619"/>
      <c r="U118" s="15619"/>
      <c r="V118" s="15619"/>
      <c r="W118" s="15619"/>
      <c r="X118" s="15911"/>
      <c r="Y118" s="15911"/>
      <c r="Z118" s="15911"/>
      <c r="AA118" s="15911"/>
      <c r="AB118" s="15911"/>
      <c r="AC118" s="15911"/>
      <c r="AD118" s="15911"/>
      <c r="AE118" s="15911"/>
      <c r="AF118" s="15911"/>
      <c r="AG118" s="15911"/>
      <c r="AH118" s="15911"/>
      <c r="AI118" s="15619"/>
      <c r="AJ118" s="15619"/>
      <c r="AK118" s="15619"/>
      <c r="AL118" s="15619"/>
      <c r="AM118" s="15619"/>
      <c r="AN118" s="15619"/>
      <c r="AO118" s="15619"/>
      <c r="AP118" s="15619"/>
      <c r="AQ118" s="15619"/>
      <c r="AR118" s="15619"/>
      <c r="AS118" s="15619"/>
      <c r="AT118" s="15619"/>
      <c r="AU118" s="15619"/>
      <c r="AV118" s="15619"/>
      <c r="AW118" s="15619"/>
      <c r="AX118" s="15619"/>
      <c r="AY118" s="15619"/>
      <c r="AZ118" s="15619"/>
      <c r="BA118" s="3899" t="s">
        <v>218</v>
      </c>
      <c r="BB118" s="15619"/>
      <c r="BC118" s="5242"/>
      <c r="BD118" s="15619"/>
      <c r="BE118" s="15619"/>
      <c r="BF118" s="15619"/>
      <c r="BG118" s="15619"/>
      <c r="BH118" s="17001"/>
      <c r="BI118" s="3451"/>
      <c r="BJ118" s="7399"/>
      <c r="BK118" s="6453"/>
      <c r="BL118" s="6453"/>
      <c r="BM118" s="6453"/>
      <c r="BN118" s="6453"/>
      <c r="BO118" s="6453"/>
      <c r="BP118" s="6453"/>
      <c r="BQ118" s="6453"/>
      <c r="BR118" s="6453"/>
      <c r="BS118" s="6453"/>
      <c r="BT118" s="6453"/>
      <c r="BU118" s="6453"/>
      <c r="BV118" s="6453"/>
      <c r="BW118" s="6453"/>
      <c r="BX118" s="6453"/>
      <c r="BY118" s="6453"/>
      <c r="BZ118" s="6453"/>
      <c r="CA118" s="6453"/>
      <c r="CB118" s="6453"/>
      <c r="CC118" s="6453"/>
      <c r="CD118" s="6453"/>
      <c r="CE118" s="6453"/>
      <c r="CF118" s="6453"/>
      <c r="CG118" s="6453"/>
      <c r="CH118" s="6453"/>
      <c r="CI118" s="6453"/>
      <c r="CJ118" s="6453"/>
      <c r="CK118" s="6453"/>
      <c r="CL118" s="6453"/>
      <c r="CM118" s="6453"/>
      <c r="CN118" s="6453"/>
      <c r="CO118" s="6453"/>
      <c r="CP118" s="6453"/>
      <c r="CQ118" s="6453"/>
      <c r="CR118" s="6453"/>
      <c r="CS118" s="6453"/>
      <c r="CT118" s="6453"/>
      <c r="CU118" s="6453"/>
      <c r="CV118" s="6453"/>
      <c r="CW118" s="6453"/>
      <c r="CX118" s="6453"/>
      <c r="CY118" s="6453"/>
      <c r="CZ118" s="6453"/>
      <c r="DA118" s="6453"/>
      <c r="DB118" s="6453"/>
      <c r="DC118" s="7376"/>
    </row>
    <row r="119" spans="1:107" s="1810" customFormat="1" ht="15" customHeight="1">
      <c r="A119" s="17035"/>
      <c r="B119" s="17038"/>
      <c r="C119" s="17038"/>
      <c r="D119" s="17038"/>
      <c r="E119" s="17038"/>
      <c r="F119" s="17038"/>
      <c r="G119" s="17038"/>
      <c r="H119" s="17038"/>
      <c r="I119" s="17038"/>
      <c r="J119" s="17038"/>
      <c r="K119" s="17038"/>
      <c r="L119" s="17038"/>
      <c r="M119" s="17038"/>
      <c r="N119" s="17038"/>
      <c r="O119" s="17038"/>
      <c r="P119" s="17038"/>
      <c r="Q119" s="17041"/>
      <c r="R119" s="17017"/>
      <c r="S119" s="15619"/>
      <c r="T119" s="15619"/>
      <c r="U119" s="15619"/>
      <c r="V119" s="15619"/>
      <c r="W119" s="15619"/>
      <c r="X119" s="15911"/>
      <c r="Y119" s="15911"/>
      <c r="Z119" s="15911"/>
      <c r="AA119" s="15911"/>
      <c r="AB119" s="15911"/>
      <c r="AC119" s="15911"/>
      <c r="AD119" s="15911"/>
      <c r="AE119" s="15911"/>
      <c r="AF119" s="15911"/>
      <c r="AG119" s="15911"/>
      <c r="AH119" s="15911"/>
      <c r="AI119" s="15619"/>
      <c r="AJ119" s="15619" t="s">
        <v>8365</v>
      </c>
      <c r="AK119" s="15619" t="s">
        <v>7397</v>
      </c>
      <c r="AL119" s="15619"/>
      <c r="AM119" s="15619"/>
      <c r="AN119" s="15619"/>
      <c r="AO119" s="15619"/>
      <c r="AP119" s="15619"/>
      <c r="AQ119" s="15619"/>
      <c r="AR119" s="15619"/>
      <c r="AS119" s="15619"/>
      <c r="AT119" s="15619"/>
      <c r="AU119" s="15619"/>
      <c r="AV119" s="15619"/>
      <c r="AW119" s="15619"/>
      <c r="AX119" s="15619"/>
      <c r="AY119" s="15619"/>
      <c r="AZ119" s="15619"/>
      <c r="BA119" s="3899" t="s">
        <v>10066</v>
      </c>
      <c r="BB119" s="15619"/>
      <c r="BC119" s="5242"/>
      <c r="BD119" s="15619"/>
      <c r="BE119" s="15619"/>
      <c r="BF119" s="15619"/>
      <c r="BG119" s="15619"/>
      <c r="BH119" s="17001"/>
      <c r="BI119" s="3451"/>
      <c r="BJ119" s="7399"/>
      <c r="BK119" s="6453"/>
      <c r="BL119" s="6453"/>
      <c r="BM119" s="6453"/>
      <c r="BN119" s="6453"/>
      <c r="BO119" s="6453"/>
      <c r="BP119" s="6453"/>
      <c r="BQ119" s="6453"/>
      <c r="BR119" s="6453"/>
      <c r="BS119" s="6453"/>
      <c r="BT119" s="6453"/>
      <c r="BU119" s="6453"/>
      <c r="BV119" s="6453"/>
      <c r="BW119" s="6453"/>
      <c r="BX119" s="6453"/>
      <c r="BY119" s="6453"/>
      <c r="BZ119" s="6453"/>
      <c r="CA119" s="6453"/>
      <c r="CB119" s="6453"/>
      <c r="CC119" s="6453"/>
      <c r="CD119" s="6453"/>
      <c r="CE119" s="6453"/>
      <c r="CF119" s="6453"/>
      <c r="CG119" s="6453"/>
      <c r="CH119" s="6453"/>
      <c r="CI119" s="6453"/>
      <c r="CJ119" s="6453"/>
      <c r="CK119" s="6453"/>
      <c r="CL119" s="6453"/>
      <c r="CM119" s="6453"/>
      <c r="CN119" s="6453"/>
      <c r="CO119" s="6453"/>
      <c r="CP119" s="6453"/>
      <c r="CQ119" s="6453"/>
      <c r="CR119" s="6453"/>
      <c r="CS119" s="6453"/>
      <c r="CT119" s="6453"/>
      <c r="CU119" s="6453"/>
      <c r="CV119" s="6453"/>
      <c r="CW119" s="6453"/>
      <c r="CX119" s="6453"/>
      <c r="CY119" s="6453"/>
      <c r="CZ119" s="6453"/>
      <c r="DA119" s="6453"/>
      <c r="DB119" s="6453"/>
      <c r="DC119" s="7376"/>
    </row>
    <row r="120" spans="1:107" s="1810" customFormat="1" ht="15" customHeight="1">
      <c r="A120" s="17035"/>
      <c r="B120" s="17038"/>
      <c r="C120" s="17038"/>
      <c r="D120" s="17038"/>
      <c r="E120" s="17038"/>
      <c r="F120" s="17038"/>
      <c r="G120" s="17038"/>
      <c r="H120" s="17038"/>
      <c r="I120" s="17038"/>
      <c r="J120" s="17038"/>
      <c r="K120" s="17038"/>
      <c r="L120" s="17038"/>
      <c r="M120" s="17038"/>
      <c r="N120" s="17038"/>
      <c r="O120" s="17038"/>
      <c r="P120" s="17038"/>
      <c r="Q120" s="17041"/>
      <c r="R120" s="17017"/>
      <c r="S120" s="15619"/>
      <c r="T120" s="15619"/>
      <c r="U120" s="15619"/>
      <c r="V120" s="15619"/>
      <c r="W120" s="15619"/>
      <c r="X120" s="15911"/>
      <c r="Y120" s="15911"/>
      <c r="Z120" s="15911"/>
      <c r="AA120" s="15911"/>
      <c r="AB120" s="15911"/>
      <c r="AC120" s="15911"/>
      <c r="AD120" s="15911"/>
      <c r="AE120" s="15911"/>
      <c r="AF120" s="15911"/>
      <c r="AG120" s="15911"/>
      <c r="AH120" s="15911"/>
      <c r="AI120" s="15619"/>
      <c r="AJ120" s="15619"/>
      <c r="AK120" s="15619"/>
      <c r="AL120" s="15619"/>
      <c r="AM120" s="15619"/>
      <c r="AN120" s="15619"/>
      <c r="AO120" s="15619"/>
      <c r="AP120" s="15619"/>
      <c r="AQ120" s="15619"/>
      <c r="AR120" s="15619"/>
      <c r="AS120" s="15619"/>
      <c r="AT120" s="15619"/>
      <c r="AU120" s="15619"/>
      <c r="AV120" s="15619"/>
      <c r="AW120" s="15619"/>
      <c r="AX120" s="15619"/>
      <c r="AY120" s="15619"/>
      <c r="AZ120" s="15619"/>
      <c r="BA120" s="3899" t="s">
        <v>10290</v>
      </c>
      <c r="BB120" s="15619"/>
      <c r="BC120" s="5242"/>
      <c r="BD120" s="15619"/>
      <c r="BE120" s="15619"/>
      <c r="BF120" s="15619"/>
      <c r="BG120" s="15619"/>
      <c r="BH120" s="17001"/>
      <c r="BI120" s="3451"/>
      <c r="BJ120" s="7399"/>
      <c r="BK120" s="6453"/>
      <c r="BL120" s="6453"/>
      <c r="BM120" s="6453"/>
      <c r="BN120" s="6453"/>
      <c r="BO120" s="6453"/>
      <c r="BP120" s="6453"/>
      <c r="BQ120" s="6453"/>
      <c r="BR120" s="6453"/>
      <c r="BS120" s="6453"/>
      <c r="BT120" s="6453"/>
      <c r="BU120" s="6453"/>
      <c r="BV120" s="6453"/>
      <c r="BW120" s="6453"/>
      <c r="BX120" s="6453"/>
      <c r="BY120" s="6453"/>
      <c r="BZ120" s="6453"/>
      <c r="CA120" s="6453"/>
      <c r="CB120" s="6453"/>
      <c r="CC120" s="6453"/>
      <c r="CD120" s="6453"/>
      <c r="CE120" s="6453"/>
      <c r="CF120" s="6453"/>
      <c r="CG120" s="6453"/>
      <c r="CH120" s="6453"/>
      <c r="CI120" s="6453"/>
      <c r="CJ120" s="6453"/>
      <c r="CK120" s="6453"/>
      <c r="CL120" s="6453"/>
      <c r="CM120" s="6453"/>
      <c r="CN120" s="6453"/>
      <c r="CO120" s="6453"/>
      <c r="CP120" s="6453"/>
      <c r="CQ120" s="6453"/>
      <c r="CR120" s="6453"/>
      <c r="CS120" s="6453"/>
      <c r="CT120" s="6453"/>
      <c r="CU120" s="6453"/>
      <c r="CV120" s="6453"/>
      <c r="CW120" s="6453"/>
      <c r="CX120" s="6453"/>
      <c r="CY120" s="6453"/>
      <c r="CZ120" s="6453"/>
      <c r="DA120" s="6453"/>
      <c r="DB120" s="6453"/>
      <c r="DC120" s="7376"/>
    </row>
    <row r="121" spans="1:107" s="1810" customFormat="1" ht="15" customHeight="1">
      <c r="A121" s="17035"/>
      <c r="B121" s="17038"/>
      <c r="C121" s="17038"/>
      <c r="D121" s="17038"/>
      <c r="E121" s="17038"/>
      <c r="F121" s="17038"/>
      <c r="G121" s="17038"/>
      <c r="H121" s="17038"/>
      <c r="I121" s="17038"/>
      <c r="J121" s="17038"/>
      <c r="K121" s="17038"/>
      <c r="L121" s="17038"/>
      <c r="M121" s="17038"/>
      <c r="N121" s="17038"/>
      <c r="O121" s="17038"/>
      <c r="P121" s="17038"/>
      <c r="Q121" s="17041"/>
      <c r="R121" s="17017"/>
      <c r="S121" s="15619"/>
      <c r="T121" s="15619"/>
      <c r="U121" s="15619"/>
      <c r="V121" s="15619"/>
      <c r="W121" s="15619"/>
      <c r="X121" s="15911"/>
      <c r="Y121" s="15911"/>
      <c r="Z121" s="15911"/>
      <c r="AA121" s="15911"/>
      <c r="AB121" s="15911"/>
      <c r="AC121" s="15911"/>
      <c r="AD121" s="15911"/>
      <c r="AE121" s="15911"/>
      <c r="AF121" s="15911"/>
      <c r="AG121" s="15911"/>
      <c r="AH121" s="15911"/>
      <c r="AI121" s="15619"/>
      <c r="AJ121" s="15619"/>
      <c r="AK121" s="15619"/>
      <c r="AL121" s="15619"/>
      <c r="AM121" s="15619"/>
      <c r="AN121" s="15619"/>
      <c r="AO121" s="15619"/>
      <c r="AP121" s="15619"/>
      <c r="AQ121" s="15619"/>
      <c r="AR121" s="15619"/>
      <c r="AS121" s="15619"/>
      <c r="AT121" s="15619"/>
      <c r="AU121" s="15619"/>
      <c r="AV121" s="15619"/>
      <c r="AW121" s="15619"/>
      <c r="AX121" s="15619"/>
      <c r="AY121" s="15619"/>
      <c r="AZ121" s="15619"/>
      <c r="BA121" s="3899" t="s">
        <v>10063</v>
      </c>
      <c r="BB121" s="15619"/>
      <c r="BC121" s="5242"/>
      <c r="BD121" s="15619"/>
      <c r="BE121" s="15619"/>
      <c r="BF121" s="15619"/>
      <c r="BG121" s="15619"/>
      <c r="BH121" s="17001"/>
      <c r="BI121" s="3451"/>
      <c r="BJ121" s="7399"/>
      <c r="BK121" s="6453"/>
      <c r="BL121" s="6453"/>
      <c r="BM121" s="6453"/>
      <c r="BN121" s="6453"/>
      <c r="BO121" s="6453"/>
      <c r="BP121" s="6453"/>
      <c r="BQ121" s="6453"/>
      <c r="BR121" s="6453"/>
      <c r="BS121" s="6453"/>
      <c r="BT121" s="6453"/>
      <c r="BU121" s="6453"/>
      <c r="BV121" s="6453"/>
      <c r="BW121" s="6453"/>
      <c r="BX121" s="6453"/>
      <c r="BY121" s="6453"/>
      <c r="BZ121" s="6453"/>
      <c r="CA121" s="6453"/>
      <c r="CB121" s="6453"/>
      <c r="CC121" s="6453"/>
      <c r="CD121" s="6453"/>
      <c r="CE121" s="6453"/>
      <c r="CF121" s="6453"/>
      <c r="CG121" s="6453"/>
      <c r="CH121" s="6453"/>
      <c r="CI121" s="6453"/>
      <c r="CJ121" s="6453"/>
      <c r="CK121" s="6453"/>
      <c r="CL121" s="6453"/>
      <c r="CM121" s="6453"/>
      <c r="CN121" s="6453"/>
      <c r="CO121" s="6453"/>
      <c r="CP121" s="6453"/>
      <c r="CQ121" s="6453"/>
      <c r="CR121" s="6453"/>
      <c r="CS121" s="6453"/>
      <c r="CT121" s="6453"/>
      <c r="CU121" s="6453"/>
      <c r="CV121" s="6453"/>
      <c r="CW121" s="6453"/>
      <c r="CX121" s="6453"/>
      <c r="CY121" s="6453"/>
      <c r="CZ121" s="6453"/>
      <c r="DA121" s="6453"/>
      <c r="DB121" s="6453"/>
      <c r="DC121" s="7376"/>
    </row>
    <row r="122" spans="1:107" s="1810" customFormat="1" ht="15" customHeight="1">
      <c r="A122" s="17035"/>
      <c r="B122" s="17038"/>
      <c r="C122" s="17038"/>
      <c r="D122" s="17038"/>
      <c r="E122" s="17038"/>
      <c r="F122" s="17038"/>
      <c r="G122" s="17038"/>
      <c r="H122" s="17038"/>
      <c r="I122" s="17038"/>
      <c r="J122" s="17038"/>
      <c r="K122" s="17038"/>
      <c r="L122" s="17038"/>
      <c r="M122" s="17038"/>
      <c r="N122" s="17038"/>
      <c r="O122" s="17038"/>
      <c r="P122" s="17038"/>
      <c r="Q122" s="17041"/>
      <c r="R122" s="17017"/>
      <c r="S122" s="15619"/>
      <c r="T122" s="15619"/>
      <c r="U122" s="15619"/>
      <c r="V122" s="15619"/>
      <c r="W122" s="15619"/>
      <c r="X122" s="15911"/>
      <c r="Y122" s="15911"/>
      <c r="Z122" s="15911"/>
      <c r="AA122" s="15911"/>
      <c r="AB122" s="15911"/>
      <c r="AC122" s="15911"/>
      <c r="AD122" s="15911"/>
      <c r="AE122" s="15911"/>
      <c r="AF122" s="15911"/>
      <c r="AG122" s="15911"/>
      <c r="AH122" s="15911"/>
      <c r="AI122" s="15619"/>
      <c r="AJ122" s="15619"/>
      <c r="AK122" s="15619"/>
      <c r="AL122" s="15619"/>
      <c r="AM122" s="15619"/>
      <c r="AN122" s="15619"/>
      <c r="AO122" s="15619"/>
      <c r="AP122" s="15619"/>
      <c r="AQ122" s="15619"/>
      <c r="AR122" s="15619"/>
      <c r="AS122" s="15619"/>
      <c r="AT122" s="15619"/>
      <c r="AU122" s="15619"/>
      <c r="AV122" s="15619"/>
      <c r="AW122" s="15619"/>
      <c r="AX122" s="15619"/>
      <c r="AY122" s="15619"/>
      <c r="AZ122" s="15619"/>
      <c r="BA122" s="3899" t="s">
        <v>218</v>
      </c>
      <c r="BB122" s="15619"/>
      <c r="BC122" s="5242"/>
      <c r="BD122" s="15619"/>
      <c r="BE122" s="15619"/>
      <c r="BF122" s="15619"/>
      <c r="BG122" s="15619"/>
      <c r="BH122" s="17001"/>
      <c r="BI122" s="3451"/>
      <c r="BJ122" s="7399"/>
      <c r="BK122" s="6453"/>
      <c r="BL122" s="6453"/>
      <c r="BM122" s="6453"/>
      <c r="BN122" s="6453"/>
      <c r="BO122" s="6453"/>
      <c r="BP122" s="6453"/>
      <c r="BQ122" s="6453"/>
      <c r="BR122" s="6453"/>
      <c r="BS122" s="6453"/>
      <c r="BT122" s="6453"/>
      <c r="BU122" s="6453"/>
      <c r="BV122" s="6453"/>
      <c r="BW122" s="6453"/>
      <c r="BX122" s="6453"/>
      <c r="BY122" s="6453"/>
      <c r="BZ122" s="6453"/>
      <c r="CA122" s="6453"/>
      <c r="CB122" s="6453"/>
      <c r="CC122" s="6453"/>
      <c r="CD122" s="6453"/>
      <c r="CE122" s="6453"/>
      <c r="CF122" s="6453"/>
      <c r="CG122" s="6453"/>
      <c r="CH122" s="6453"/>
      <c r="CI122" s="6453"/>
      <c r="CJ122" s="6453"/>
      <c r="CK122" s="6453"/>
      <c r="CL122" s="6453"/>
      <c r="CM122" s="6453"/>
      <c r="CN122" s="6453"/>
      <c r="CO122" s="6453"/>
      <c r="CP122" s="6453"/>
      <c r="CQ122" s="6453"/>
      <c r="CR122" s="6453"/>
      <c r="CS122" s="6453"/>
      <c r="CT122" s="6453"/>
      <c r="CU122" s="6453"/>
      <c r="CV122" s="6453"/>
      <c r="CW122" s="6453"/>
      <c r="CX122" s="6453"/>
      <c r="CY122" s="6453"/>
      <c r="CZ122" s="6453"/>
      <c r="DA122" s="6453"/>
      <c r="DB122" s="6453"/>
      <c r="DC122" s="7376"/>
    </row>
    <row r="123" spans="1:107" s="1810" customFormat="1" ht="15" customHeight="1">
      <c r="A123" s="17035"/>
      <c r="B123" s="17038"/>
      <c r="C123" s="17038"/>
      <c r="D123" s="17038"/>
      <c r="E123" s="17038"/>
      <c r="F123" s="17038"/>
      <c r="G123" s="17038"/>
      <c r="H123" s="17038"/>
      <c r="I123" s="17038"/>
      <c r="J123" s="17038"/>
      <c r="K123" s="17038"/>
      <c r="L123" s="17038"/>
      <c r="M123" s="17038"/>
      <c r="N123" s="17038"/>
      <c r="O123" s="17038"/>
      <c r="P123" s="17038"/>
      <c r="Q123" s="17041"/>
      <c r="R123" s="17017"/>
      <c r="S123" s="15619"/>
      <c r="T123" s="15619"/>
      <c r="U123" s="15619"/>
      <c r="V123" s="15619"/>
      <c r="W123" s="15619"/>
      <c r="X123" s="15911"/>
      <c r="Y123" s="15911"/>
      <c r="Z123" s="15911"/>
      <c r="AA123" s="15911"/>
      <c r="AB123" s="15911"/>
      <c r="AC123" s="15911"/>
      <c r="AD123" s="15911"/>
      <c r="AE123" s="15911"/>
      <c r="AF123" s="15911"/>
      <c r="AG123" s="15911"/>
      <c r="AH123" s="15911"/>
      <c r="AI123" s="15619"/>
      <c r="AJ123" s="15619" t="s">
        <v>8366</v>
      </c>
      <c r="AK123" s="15619" t="s">
        <v>7398</v>
      </c>
      <c r="AL123" s="15619"/>
      <c r="AM123" s="15619"/>
      <c r="AN123" s="15619"/>
      <c r="AO123" s="15619"/>
      <c r="AP123" s="15619"/>
      <c r="AQ123" s="15619"/>
      <c r="AR123" s="15619"/>
      <c r="AS123" s="15619"/>
      <c r="AT123" s="15619"/>
      <c r="AU123" s="15619"/>
      <c r="AV123" s="15619"/>
      <c r="AW123" s="15619"/>
      <c r="AX123" s="15619"/>
      <c r="AY123" s="15619"/>
      <c r="AZ123" s="15619"/>
      <c r="BA123" s="3899" t="s">
        <v>10066</v>
      </c>
      <c r="BB123" s="15619"/>
      <c r="BC123" s="5242"/>
      <c r="BD123" s="15619"/>
      <c r="BE123" s="15619"/>
      <c r="BF123" s="15619"/>
      <c r="BG123" s="15619"/>
      <c r="BH123" s="17001"/>
      <c r="BI123" s="3451"/>
      <c r="BJ123" s="7399"/>
      <c r="BK123" s="6453"/>
      <c r="BL123" s="6453"/>
      <c r="BM123" s="6453"/>
      <c r="BN123" s="6453"/>
      <c r="BO123" s="6453"/>
      <c r="BP123" s="6453"/>
      <c r="BQ123" s="6453"/>
      <c r="BR123" s="6453"/>
      <c r="BS123" s="6453"/>
      <c r="BT123" s="6453"/>
      <c r="BU123" s="6453"/>
      <c r="BV123" s="6453"/>
      <c r="BW123" s="6453"/>
      <c r="BX123" s="6453"/>
      <c r="BY123" s="6453"/>
      <c r="BZ123" s="6453"/>
      <c r="CA123" s="6453"/>
      <c r="CB123" s="6453"/>
      <c r="CC123" s="6453"/>
      <c r="CD123" s="6453"/>
      <c r="CE123" s="6453"/>
      <c r="CF123" s="6453"/>
      <c r="CG123" s="6453"/>
      <c r="CH123" s="6453"/>
      <c r="CI123" s="6453"/>
      <c r="CJ123" s="6453"/>
      <c r="CK123" s="6453"/>
      <c r="CL123" s="6453"/>
      <c r="CM123" s="6453"/>
      <c r="CN123" s="6453"/>
      <c r="CO123" s="6453"/>
      <c r="CP123" s="6453"/>
      <c r="CQ123" s="6453"/>
      <c r="CR123" s="6453"/>
      <c r="CS123" s="6453"/>
      <c r="CT123" s="6453"/>
      <c r="CU123" s="6453"/>
      <c r="CV123" s="6453"/>
      <c r="CW123" s="6453"/>
      <c r="CX123" s="6453"/>
      <c r="CY123" s="6453"/>
      <c r="CZ123" s="6453"/>
      <c r="DA123" s="6453"/>
      <c r="DB123" s="6453"/>
      <c r="DC123" s="7376"/>
    </row>
    <row r="124" spans="1:107" s="1810" customFormat="1" ht="15" customHeight="1">
      <c r="A124" s="17035"/>
      <c r="B124" s="17038"/>
      <c r="C124" s="17038"/>
      <c r="D124" s="17038"/>
      <c r="E124" s="17038"/>
      <c r="F124" s="17038"/>
      <c r="G124" s="17038"/>
      <c r="H124" s="17038"/>
      <c r="I124" s="17038"/>
      <c r="J124" s="17038"/>
      <c r="K124" s="17038"/>
      <c r="L124" s="17038"/>
      <c r="M124" s="17038"/>
      <c r="N124" s="17038"/>
      <c r="O124" s="17038"/>
      <c r="P124" s="17038"/>
      <c r="Q124" s="17041"/>
      <c r="R124" s="17017"/>
      <c r="S124" s="15619"/>
      <c r="T124" s="15619"/>
      <c r="U124" s="15619"/>
      <c r="V124" s="15619"/>
      <c r="W124" s="15619"/>
      <c r="X124" s="15911"/>
      <c r="Y124" s="15911"/>
      <c r="Z124" s="15911"/>
      <c r="AA124" s="15911"/>
      <c r="AB124" s="15911"/>
      <c r="AC124" s="15911"/>
      <c r="AD124" s="15911"/>
      <c r="AE124" s="15911"/>
      <c r="AF124" s="15911"/>
      <c r="AG124" s="15911"/>
      <c r="AH124" s="15911"/>
      <c r="AI124" s="15619"/>
      <c r="AJ124" s="15619"/>
      <c r="AK124" s="15619"/>
      <c r="AL124" s="15619"/>
      <c r="AM124" s="15619"/>
      <c r="AN124" s="15619"/>
      <c r="AO124" s="15619"/>
      <c r="AP124" s="15619"/>
      <c r="AQ124" s="15619"/>
      <c r="AR124" s="15619"/>
      <c r="AS124" s="15619"/>
      <c r="AT124" s="15619"/>
      <c r="AU124" s="15619"/>
      <c r="AV124" s="15619"/>
      <c r="AW124" s="15619"/>
      <c r="AX124" s="15619"/>
      <c r="AY124" s="15619"/>
      <c r="AZ124" s="15619"/>
      <c r="BA124" s="3899" t="s">
        <v>10290</v>
      </c>
      <c r="BB124" s="15619"/>
      <c r="BC124" s="5242"/>
      <c r="BD124" s="15619"/>
      <c r="BE124" s="15619"/>
      <c r="BF124" s="15619"/>
      <c r="BG124" s="15619"/>
      <c r="BH124" s="17001"/>
      <c r="BI124" s="3451"/>
      <c r="BJ124" s="7399"/>
      <c r="BK124" s="6453"/>
      <c r="BL124" s="6453"/>
      <c r="BM124" s="6453"/>
      <c r="BN124" s="6453"/>
      <c r="BO124" s="6453"/>
      <c r="BP124" s="6453"/>
      <c r="BQ124" s="6453"/>
      <c r="BR124" s="6453"/>
      <c r="BS124" s="6453"/>
      <c r="BT124" s="6453"/>
      <c r="BU124" s="6453"/>
      <c r="BV124" s="6453"/>
      <c r="BW124" s="6453"/>
      <c r="BX124" s="6453"/>
      <c r="BY124" s="6453"/>
      <c r="BZ124" s="6453"/>
      <c r="CA124" s="6453"/>
      <c r="CB124" s="6453"/>
      <c r="CC124" s="6453"/>
      <c r="CD124" s="6453"/>
      <c r="CE124" s="6453"/>
      <c r="CF124" s="6453"/>
      <c r="CG124" s="6453"/>
      <c r="CH124" s="6453"/>
      <c r="CI124" s="6453"/>
      <c r="CJ124" s="6453"/>
      <c r="CK124" s="6453"/>
      <c r="CL124" s="6453"/>
      <c r="CM124" s="6453"/>
      <c r="CN124" s="6453"/>
      <c r="CO124" s="6453"/>
      <c r="CP124" s="6453"/>
      <c r="CQ124" s="6453"/>
      <c r="CR124" s="6453"/>
      <c r="CS124" s="6453"/>
      <c r="CT124" s="6453"/>
      <c r="CU124" s="6453"/>
      <c r="CV124" s="6453"/>
      <c r="CW124" s="6453"/>
      <c r="CX124" s="6453"/>
      <c r="CY124" s="6453"/>
      <c r="CZ124" s="6453"/>
      <c r="DA124" s="6453"/>
      <c r="DB124" s="6453"/>
      <c r="DC124" s="7376"/>
    </row>
    <row r="125" spans="1:107" s="1810" customFormat="1" ht="15" customHeight="1">
      <c r="A125" s="17035"/>
      <c r="B125" s="17038"/>
      <c r="C125" s="17038"/>
      <c r="D125" s="17038"/>
      <c r="E125" s="17038"/>
      <c r="F125" s="17038"/>
      <c r="G125" s="17038"/>
      <c r="H125" s="17038"/>
      <c r="I125" s="17038"/>
      <c r="J125" s="17038"/>
      <c r="K125" s="17038"/>
      <c r="L125" s="17038"/>
      <c r="M125" s="17038"/>
      <c r="N125" s="17038"/>
      <c r="O125" s="17038"/>
      <c r="P125" s="17038"/>
      <c r="Q125" s="17041"/>
      <c r="R125" s="17017"/>
      <c r="S125" s="15619"/>
      <c r="T125" s="15619"/>
      <c r="U125" s="15619"/>
      <c r="V125" s="15619"/>
      <c r="W125" s="15619"/>
      <c r="X125" s="15911"/>
      <c r="Y125" s="15911"/>
      <c r="Z125" s="15911"/>
      <c r="AA125" s="15911"/>
      <c r="AB125" s="15911"/>
      <c r="AC125" s="15911"/>
      <c r="AD125" s="15911"/>
      <c r="AE125" s="15911"/>
      <c r="AF125" s="15911"/>
      <c r="AG125" s="15911"/>
      <c r="AH125" s="15911"/>
      <c r="AI125" s="15619"/>
      <c r="AJ125" s="15619"/>
      <c r="AK125" s="15619"/>
      <c r="AL125" s="15619"/>
      <c r="AM125" s="15619"/>
      <c r="AN125" s="15619"/>
      <c r="AO125" s="15619"/>
      <c r="AP125" s="15619"/>
      <c r="AQ125" s="15619"/>
      <c r="AR125" s="15619"/>
      <c r="AS125" s="15619"/>
      <c r="AT125" s="15619"/>
      <c r="AU125" s="15619"/>
      <c r="AV125" s="15619"/>
      <c r="AW125" s="15619"/>
      <c r="AX125" s="15619"/>
      <c r="AY125" s="15619"/>
      <c r="AZ125" s="15619"/>
      <c r="BA125" s="3899" t="s">
        <v>10063</v>
      </c>
      <c r="BB125" s="15619"/>
      <c r="BC125" s="5242"/>
      <c r="BD125" s="15619"/>
      <c r="BE125" s="15619"/>
      <c r="BF125" s="15619"/>
      <c r="BG125" s="15619"/>
      <c r="BH125" s="17001"/>
      <c r="BI125" s="3451"/>
      <c r="BJ125" s="7399"/>
      <c r="BK125" s="6453"/>
      <c r="BL125" s="6453"/>
      <c r="BM125" s="6453"/>
      <c r="BN125" s="6453"/>
      <c r="BO125" s="6453"/>
      <c r="BP125" s="6453"/>
      <c r="BQ125" s="6453"/>
      <c r="BR125" s="6453"/>
      <c r="BS125" s="6453"/>
      <c r="BT125" s="6453"/>
      <c r="BU125" s="6453"/>
      <c r="BV125" s="6453"/>
      <c r="BW125" s="6453"/>
      <c r="BX125" s="6453"/>
      <c r="BY125" s="6453"/>
      <c r="BZ125" s="6453"/>
      <c r="CA125" s="6453"/>
      <c r="CB125" s="6453"/>
      <c r="CC125" s="6453"/>
      <c r="CD125" s="6453"/>
      <c r="CE125" s="6453"/>
      <c r="CF125" s="6453"/>
      <c r="CG125" s="6453"/>
      <c r="CH125" s="6453"/>
      <c r="CI125" s="6453"/>
      <c r="CJ125" s="6453"/>
      <c r="CK125" s="6453"/>
      <c r="CL125" s="6453"/>
      <c r="CM125" s="6453"/>
      <c r="CN125" s="6453"/>
      <c r="CO125" s="6453"/>
      <c r="CP125" s="6453"/>
      <c r="CQ125" s="6453"/>
      <c r="CR125" s="6453"/>
      <c r="CS125" s="6453"/>
      <c r="CT125" s="6453"/>
      <c r="CU125" s="6453"/>
      <c r="CV125" s="6453"/>
      <c r="CW125" s="6453"/>
      <c r="CX125" s="6453"/>
      <c r="CY125" s="6453"/>
      <c r="CZ125" s="6453"/>
      <c r="DA125" s="6453"/>
      <c r="DB125" s="6453"/>
      <c r="DC125" s="7376"/>
    </row>
    <row r="126" spans="1:107" s="1810" customFormat="1" ht="15" customHeight="1">
      <c r="A126" s="17035"/>
      <c r="B126" s="17038"/>
      <c r="C126" s="17038"/>
      <c r="D126" s="17038"/>
      <c r="E126" s="17038"/>
      <c r="F126" s="17038"/>
      <c r="G126" s="17038"/>
      <c r="H126" s="17038"/>
      <c r="I126" s="17038"/>
      <c r="J126" s="17038"/>
      <c r="K126" s="17038"/>
      <c r="L126" s="17038"/>
      <c r="M126" s="17038"/>
      <c r="N126" s="17038"/>
      <c r="O126" s="17038"/>
      <c r="P126" s="17038"/>
      <c r="Q126" s="17041"/>
      <c r="R126" s="17017"/>
      <c r="S126" s="15619"/>
      <c r="T126" s="15619"/>
      <c r="U126" s="15619"/>
      <c r="V126" s="15619"/>
      <c r="W126" s="15619"/>
      <c r="X126" s="15911"/>
      <c r="Y126" s="15911"/>
      <c r="Z126" s="15911"/>
      <c r="AA126" s="15911"/>
      <c r="AB126" s="15911"/>
      <c r="AC126" s="15911"/>
      <c r="AD126" s="15911"/>
      <c r="AE126" s="15911"/>
      <c r="AF126" s="15911"/>
      <c r="AG126" s="15911"/>
      <c r="AH126" s="15911"/>
      <c r="AI126" s="15619"/>
      <c r="AJ126" s="15619"/>
      <c r="AK126" s="15619"/>
      <c r="AL126" s="15619"/>
      <c r="AM126" s="15619"/>
      <c r="AN126" s="15619"/>
      <c r="AO126" s="15619"/>
      <c r="AP126" s="15619"/>
      <c r="AQ126" s="15619"/>
      <c r="AR126" s="15619"/>
      <c r="AS126" s="15619"/>
      <c r="AT126" s="15619"/>
      <c r="AU126" s="15619"/>
      <c r="AV126" s="15619"/>
      <c r="AW126" s="15619"/>
      <c r="AX126" s="15619"/>
      <c r="AY126" s="15619"/>
      <c r="AZ126" s="15619"/>
      <c r="BA126" s="3899" t="s">
        <v>218</v>
      </c>
      <c r="BB126" s="15619"/>
      <c r="BC126" s="5242"/>
      <c r="BD126" s="15619"/>
      <c r="BE126" s="15619"/>
      <c r="BF126" s="15619"/>
      <c r="BG126" s="15619"/>
      <c r="BH126" s="17001"/>
      <c r="BI126" s="3451"/>
      <c r="BJ126" s="7399"/>
      <c r="BK126" s="6453"/>
      <c r="BL126" s="6453"/>
      <c r="BM126" s="6453"/>
      <c r="BN126" s="6453"/>
      <c r="BO126" s="6453"/>
      <c r="BP126" s="6453"/>
      <c r="BQ126" s="6453"/>
      <c r="BR126" s="6453"/>
      <c r="BS126" s="6453"/>
      <c r="BT126" s="6453"/>
      <c r="BU126" s="6453"/>
      <c r="BV126" s="6453"/>
      <c r="BW126" s="6453"/>
      <c r="BX126" s="6453"/>
      <c r="BY126" s="6453"/>
      <c r="BZ126" s="6453"/>
      <c r="CA126" s="6453"/>
      <c r="CB126" s="6453"/>
      <c r="CC126" s="6453"/>
      <c r="CD126" s="6453"/>
      <c r="CE126" s="6453"/>
      <c r="CF126" s="6453"/>
      <c r="CG126" s="6453"/>
      <c r="CH126" s="6453"/>
      <c r="CI126" s="6453"/>
      <c r="CJ126" s="6453"/>
      <c r="CK126" s="6453"/>
      <c r="CL126" s="6453"/>
      <c r="CM126" s="6453"/>
      <c r="CN126" s="6453"/>
      <c r="CO126" s="6453"/>
      <c r="CP126" s="6453"/>
      <c r="CQ126" s="6453"/>
      <c r="CR126" s="6453"/>
      <c r="CS126" s="6453"/>
      <c r="CT126" s="6453"/>
      <c r="CU126" s="6453"/>
      <c r="CV126" s="6453"/>
      <c r="CW126" s="6453"/>
      <c r="CX126" s="6453"/>
      <c r="CY126" s="6453"/>
      <c r="CZ126" s="6453"/>
      <c r="DA126" s="6453"/>
      <c r="DB126" s="6453"/>
      <c r="DC126" s="7376"/>
    </row>
    <row r="127" spans="1:107" s="1810" customFormat="1" ht="15" customHeight="1">
      <c r="A127" s="17035"/>
      <c r="B127" s="17038"/>
      <c r="C127" s="17038"/>
      <c r="D127" s="17038"/>
      <c r="E127" s="17038"/>
      <c r="F127" s="17038"/>
      <c r="G127" s="17038"/>
      <c r="H127" s="17038"/>
      <c r="I127" s="17038"/>
      <c r="J127" s="17038"/>
      <c r="K127" s="17038"/>
      <c r="L127" s="17038"/>
      <c r="M127" s="17038"/>
      <c r="N127" s="17038"/>
      <c r="O127" s="17038"/>
      <c r="P127" s="17038"/>
      <c r="Q127" s="17041"/>
      <c r="R127" s="17017"/>
      <c r="S127" s="15619"/>
      <c r="T127" s="15619"/>
      <c r="U127" s="15619"/>
      <c r="V127" s="15619"/>
      <c r="W127" s="15619"/>
      <c r="X127" s="15911"/>
      <c r="Y127" s="15911"/>
      <c r="Z127" s="15911"/>
      <c r="AA127" s="15911"/>
      <c r="AB127" s="15911"/>
      <c r="AC127" s="15911"/>
      <c r="AD127" s="15911"/>
      <c r="AE127" s="15911"/>
      <c r="AF127" s="15911"/>
      <c r="AG127" s="15911"/>
      <c r="AH127" s="15911"/>
      <c r="AI127" s="15619"/>
      <c r="AJ127" s="15619" t="s">
        <v>8367</v>
      </c>
      <c r="AK127" s="15619" t="s">
        <v>7399</v>
      </c>
      <c r="AL127" s="15619"/>
      <c r="AM127" s="15619"/>
      <c r="AN127" s="15619"/>
      <c r="AO127" s="15619"/>
      <c r="AP127" s="15619"/>
      <c r="AQ127" s="15619"/>
      <c r="AR127" s="15619"/>
      <c r="AS127" s="15619"/>
      <c r="AT127" s="15619"/>
      <c r="AU127" s="15619"/>
      <c r="AV127" s="15619"/>
      <c r="AW127" s="15619"/>
      <c r="AX127" s="15619"/>
      <c r="AY127" s="15619"/>
      <c r="AZ127" s="15619"/>
      <c r="BA127" s="3899" t="s">
        <v>10066</v>
      </c>
      <c r="BB127" s="15619"/>
      <c r="BC127" s="5242"/>
      <c r="BD127" s="15619"/>
      <c r="BE127" s="15619"/>
      <c r="BF127" s="15619"/>
      <c r="BG127" s="15619"/>
      <c r="BH127" s="17001"/>
      <c r="BI127" s="3451"/>
      <c r="BJ127" s="7399"/>
      <c r="BK127" s="6453"/>
      <c r="BL127" s="6453"/>
      <c r="BM127" s="6453"/>
      <c r="BN127" s="6453"/>
      <c r="BO127" s="6453"/>
      <c r="BP127" s="6453"/>
      <c r="BQ127" s="6453"/>
      <c r="BR127" s="6453"/>
      <c r="BS127" s="6453"/>
      <c r="BT127" s="6453"/>
      <c r="BU127" s="6453"/>
      <c r="BV127" s="6453"/>
      <c r="BW127" s="6453"/>
      <c r="BX127" s="6453"/>
      <c r="BY127" s="6453"/>
      <c r="BZ127" s="6453"/>
      <c r="CA127" s="6453"/>
      <c r="CB127" s="6453"/>
      <c r="CC127" s="6453"/>
      <c r="CD127" s="6453"/>
      <c r="CE127" s="6453"/>
      <c r="CF127" s="6453"/>
      <c r="CG127" s="6453"/>
      <c r="CH127" s="6453"/>
      <c r="CI127" s="6453"/>
      <c r="CJ127" s="6453"/>
      <c r="CK127" s="6453"/>
      <c r="CL127" s="6453"/>
      <c r="CM127" s="6453"/>
      <c r="CN127" s="6453"/>
      <c r="CO127" s="6453"/>
      <c r="CP127" s="6453"/>
      <c r="CQ127" s="6453"/>
      <c r="CR127" s="6453"/>
      <c r="CS127" s="6453"/>
      <c r="CT127" s="6453"/>
      <c r="CU127" s="6453"/>
      <c r="CV127" s="6453"/>
      <c r="CW127" s="6453"/>
      <c r="CX127" s="6453"/>
      <c r="CY127" s="6453"/>
      <c r="CZ127" s="6453"/>
      <c r="DA127" s="6453"/>
      <c r="DB127" s="6453"/>
      <c r="DC127" s="7376"/>
    </row>
    <row r="128" spans="1:107" s="1810" customFormat="1" ht="15" customHeight="1">
      <c r="A128" s="17035"/>
      <c r="B128" s="17038"/>
      <c r="C128" s="17038"/>
      <c r="D128" s="17038"/>
      <c r="E128" s="17038"/>
      <c r="F128" s="17038"/>
      <c r="G128" s="17038"/>
      <c r="H128" s="17038"/>
      <c r="I128" s="17038"/>
      <c r="J128" s="17038"/>
      <c r="K128" s="17038"/>
      <c r="L128" s="17038"/>
      <c r="M128" s="17038"/>
      <c r="N128" s="17038"/>
      <c r="O128" s="17038"/>
      <c r="P128" s="17038"/>
      <c r="Q128" s="17041"/>
      <c r="R128" s="17017"/>
      <c r="S128" s="15619"/>
      <c r="T128" s="15619"/>
      <c r="U128" s="15619"/>
      <c r="V128" s="15619"/>
      <c r="W128" s="15619"/>
      <c r="X128" s="15911"/>
      <c r="Y128" s="15911"/>
      <c r="Z128" s="15911"/>
      <c r="AA128" s="15911"/>
      <c r="AB128" s="15911"/>
      <c r="AC128" s="15911"/>
      <c r="AD128" s="15911"/>
      <c r="AE128" s="15911"/>
      <c r="AF128" s="15911"/>
      <c r="AG128" s="15911"/>
      <c r="AH128" s="15911"/>
      <c r="AI128" s="15619"/>
      <c r="AJ128" s="15619"/>
      <c r="AK128" s="15619"/>
      <c r="AL128" s="15619"/>
      <c r="AM128" s="15619"/>
      <c r="AN128" s="15619"/>
      <c r="AO128" s="15619"/>
      <c r="AP128" s="15619"/>
      <c r="AQ128" s="15619"/>
      <c r="AR128" s="15619"/>
      <c r="AS128" s="15619"/>
      <c r="AT128" s="15619"/>
      <c r="AU128" s="15619"/>
      <c r="AV128" s="15619"/>
      <c r="AW128" s="15619"/>
      <c r="AX128" s="15619"/>
      <c r="AY128" s="15619"/>
      <c r="AZ128" s="15619"/>
      <c r="BA128" s="3899" t="s">
        <v>10290</v>
      </c>
      <c r="BB128" s="15619"/>
      <c r="BC128" s="5242"/>
      <c r="BD128" s="5242"/>
      <c r="BE128" s="5242"/>
      <c r="BF128" s="5242"/>
      <c r="BG128" s="5242"/>
      <c r="BH128" s="7382"/>
      <c r="BI128" s="3451"/>
      <c r="BJ128" s="7403"/>
      <c r="BK128" s="7375"/>
      <c r="BL128" s="7375"/>
      <c r="BM128" s="7375"/>
      <c r="BN128" s="7375"/>
      <c r="BO128" s="7375"/>
      <c r="BP128" s="7375"/>
      <c r="BQ128" s="7375"/>
      <c r="BR128" s="7375"/>
      <c r="BS128" s="7375"/>
      <c r="BT128" s="7375"/>
      <c r="BU128" s="7375"/>
      <c r="BV128" s="7375"/>
      <c r="BW128" s="7375"/>
      <c r="BX128" s="7375"/>
      <c r="BY128" s="7375"/>
      <c r="BZ128" s="7375"/>
      <c r="CA128" s="7375"/>
      <c r="CB128" s="7375"/>
      <c r="CC128" s="7375"/>
      <c r="CD128" s="7375"/>
      <c r="CE128" s="7375"/>
      <c r="CF128" s="7375"/>
      <c r="CG128" s="7375"/>
      <c r="CH128" s="7375"/>
      <c r="CI128" s="7375"/>
      <c r="CJ128" s="7375"/>
      <c r="CK128" s="7375"/>
      <c r="CL128" s="7375"/>
      <c r="CM128" s="7375"/>
      <c r="CN128" s="7375"/>
      <c r="CO128" s="7375"/>
      <c r="CP128" s="7375"/>
      <c r="CQ128" s="7375"/>
      <c r="CR128" s="7375"/>
      <c r="CS128" s="7375"/>
      <c r="CT128" s="7375"/>
      <c r="CU128" s="7375"/>
      <c r="CV128" s="7375"/>
      <c r="CW128" s="7375"/>
      <c r="CX128" s="7375"/>
      <c r="CY128" s="7375"/>
      <c r="CZ128" s="7375"/>
      <c r="DA128" s="7375"/>
      <c r="DB128" s="7375"/>
      <c r="DC128" s="7376"/>
    </row>
    <row r="129" spans="1:107" s="1810" customFormat="1" ht="15" customHeight="1">
      <c r="A129" s="17035"/>
      <c r="B129" s="17038"/>
      <c r="C129" s="17038"/>
      <c r="D129" s="17038"/>
      <c r="E129" s="17038"/>
      <c r="F129" s="17038"/>
      <c r="G129" s="17038"/>
      <c r="H129" s="17038"/>
      <c r="I129" s="17038"/>
      <c r="J129" s="17038"/>
      <c r="K129" s="17038"/>
      <c r="L129" s="17038"/>
      <c r="M129" s="17038"/>
      <c r="N129" s="17038"/>
      <c r="O129" s="17038"/>
      <c r="P129" s="17038"/>
      <c r="Q129" s="17041"/>
      <c r="R129" s="17017"/>
      <c r="S129" s="15619"/>
      <c r="T129" s="15619"/>
      <c r="U129" s="15619"/>
      <c r="V129" s="15619"/>
      <c r="W129" s="15619"/>
      <c r="X129" s="15911"/>
      <c r="Y129" s="15911"/>
      <c r="Z129" s="15911"/>
      <c r="AA129" s="15911"/>
      <c r="AB129" s="15911"/>
      <c r="AC129" s="15911"/>
      <c r="AD129" s="15911"/>
      <c r="AE129" s="15911"/>
      <c r="AF129" s="15911"/>
      <c r="AG129" s="15911"/>
      <c r="AH129" s="15911"/>
      <c r="AI129" s="15619"/>
      <c r="AJ129" s="15619"/>
      <c r="AK129" s="15619"/>
      <c r="AL129" s="15619"/>
      <c r="AM129" s="15619"/>
      <c r="AN129" s="15619"/>
      <c r="AO129" s="15619"/>
      <c r="AP129" s="15619"/>
      <c r="AQ129" s="15619"/>
      <c r="AR129" s="15619"/>
      <c r="AS129" s="15619"/>
      <c r="AT129" s="15619"/>
      <c r="AU129" s="15619"/>
      <c r="AV129" s="15619"/>
      <c r="AW129" s="15619"/>
      <c r="AX129" s="15619"/>
      <c r="AY129" s="15619"/>
      <c r="AZ129" s="15619"/>
      <c r="BA129" s="3899" t="s">
        <v>10063</v>
      </c>
      <c r="BB129" s="15619"/>
      <c r="BC129" s="5242"/>
      <c r="BD129" s="5242"/>
      <c r="BE129" s="5242"/>
      <c r="BF129" s="5242"/>
      <c r="BG129" s="5242"/>
      <c r="BH129" s="7382"/>
      <c r="BI129" s="3451"/>
      <c r="BJ129" s="7403"/>
      <c r="BK129" s="7375"/>
      <c r="BL129" s="7375"/>
      <c r="BM129" s="7375"/>
      <c r="BN129" s="7375"/>
      <c r="BO129" s="7375"/>
      <c r="BP129" s="7375"/>
      <c r="BQ129" s="7375"/>
      <c r="BR129" s="7375"/>
      <c r="BS129" s="7375"/>
      <c r="BT129" s="7375"/>
      <c r="BU129" s="7375"/>
      <c r="BV129" s="7375"/>
      <c r="BW129" s="7375"/>
      <c r="BX129" s="7375"/>
      <c r="BY129" s="7375"/>
      <c r="BZ129" s="7375"/>
      <c r="CA129" s="7375"/>
      <c r="CB129" s="7375"/>
      <c r="CC129" s="7375"/>
      <c r="CD129" s="7375"/>
      <c r="CE129" s="7375"/>
      <c r="CF129" s="7375"/>
      <c r="CG129" s="7375"/>
      <c r="CH129" s="7375"/>
      <c r="CI129" s="7375"/>
      <c r="CJ129" s="7375"/>
      <c r="CK129" s="7375"/>
      <c r="CL129" s="7375"/>
      <c r="CM129" s="7375"/>
      <c r="CN129" s="7375"/>
      <c r="CO129" s="7375"/>
      <c r="CP129" s="7375"/>
      <c r="CQ129" s="7375"/>
      <c r="CR129" s="7375"/>
      <c r="CS129" s="7375"/>
      <c r="CT129" s="7375"/>
      <c r="CU129" s="7375"/>
      <c r="CV129" s="7375"/>
      <c r="CW129" s="7375"/>
      <c r="CX129" s="7375"/>
      <c r="CY129" s="7375"/>
      <c r="CZ129" s="7375"/>
      <c r="DA129" s="7375"/>
      <c r="DB129" s="7375"/>
      <c r="DC129" s="7376"/>
    </row>
    <row r="130" spans="1:107" s="1810" customFormat="1" ht="15" customHeight="1">
      <c r="A130" s="17035"/>
      <c r="B130" s="17038"/>
      <c r="C130" s="17038"/>
      <c r="D130" s="17038"/>
      <c r="E130" s="17038"/>
      <c r="F130" s="17038"/>
      <c r="G130" s="17038"/>
      <c r="H130" s="17038"/>
      <c r="I130" s="17038"/>
      <c r="J130" s="17038"/>
      <c r="K130" s="17038"/>
      <c r="L130" s="17038"/>
      <c r="M130" s="17038"/>
      <c r="N130" s="17038"/>
      <c r="O130" s="17038"/>
      <c r="P130" s="17038"/>
      <c r="Q130" s="17041"/>
      <c r="R130" s="17017"/>
      <c r="S130" s="15619"/>
      <c r="T130" s="15619"/>
      <c r="U130" s="15619"/>
      <c r="V130" s="15619"/>
      <c r="W130" s="15619"/>
      <c r="X130" s="15911"/>
      <c r="Y130" s="15911"/>
      <c r="Z130" s="15911"/>
      <c r="AA130" s="15911"/>
      <c r="AB130" s="15911"/>
      <c r="AC130" s="15911"/>
      <c r="AD130" s="15911"/>
      <c r="AE130" s="15911"/>
      <c r="AF130" s="15911"/>
      <c r="AG130" s="15911"/>
      <c r="AH130" s="15911"/>
      <c r="AI130" s="15619"/>
      <c r="AJ130" s="15619"/>
      <c r="AK130" s="15619"/>
      <c r="AL130" s="15619"/>
      <c r="AM130" s="15619"/>
      <c r="AN130" s="15619"/>
      <c r="AO130" s="15619"/>
      <c r="AP130" s="15619"/>
      <c r="AQ130" s="15619"/>
      <c r="AR130" s="15619"/>
      <c r="AS130" s="15619"/>
      <c r="AT130" s="15619"/>
      <c r="AU130" s="15619"/>
      <c r="AV130" s="15619"/>
      <c r="AW130" s="15619"/>
      <c r="AX130" s="15619"/>
      <c r="AY130" s="15619"/>
      <c r="AZ130" s="15619"/>
      <c r="BA130" s="3899" t="s">
        <v>218</v>
      </c>
      <c r="BB130" s="15619"/>
      <c r="BC130" s="5242"/>
      <c r="BD130" s="5242"/>
      <c r="BE130" s="5242"/>
      <c r="BF130" s="5242"/>
      <c r="BG130" s="5242"/>
      <c r="BH130" s="7382"/>
      <c r="BI130" s="3451"/>
      <c r="BJ130" s="7403"/>
      <c r="BK130" s="7375"/>
      <c r="BL130" s="7375"/>
      <c r="BM130" s="7375"/>
      <c r="BN130" s="7375"/>
      <c r="BO130" s="7375"/>
      <c r="BP130" s="7375"/>
      <c r="BQ130" s="7375"/>
      <c r="BR130" s="7375"/>
      <c r="BS130" s="7375"/>
      <c r="BT130" s="7375"/>
      <c r="BU130" s="7375"/>
      <c r="BV130" s="7375"/>
      <c r="BW130" s="7375"/>
      <c r="BX130" s="7375"/>
      <c r="BY130" s="7375"/>
      <c r="BZ130" s="7375"/>
      <c r="CA130" s="7375"/>
      <c r="CB130" s="7375"/>
      <c r="CC130" s="7375"/>
      <c r="CD130" s="7375"/>
      <c r="CE130" s="7375"/>
      <c r="CF130" s="7375"/>
      <c r="CG130" s="7375"/>
      <c r="CH130" s="7375"/>
      <c r="CI130" s="7375"/>
      <c r="CJ130" s="7375"/>
      <c r="CK130" s="7375"/>
      <c r="CL130" s="7375"/>
      <c r="CM130" s="7375"/>
      <c r="CN130" s="7375"/>
      <c r="CO130" s="7375"/>
      <c r="CP130" s="7375"/>
      <c r="CQ130" s="7375"/>
      <c r="CR130" s="7375"/>
      <c r="CS130" s="7375"/>
      <c r="CT130" s="7375"/>
      <c r="CU130" s="7375"/>
      <c r="CV130" s="7375"/>
      <c r="CW130" s="7375"/>
      <c r="CX130" s="7375"/>
      <c r="CY130" s="7375"/>
      <c r="CZ130" s="7375"/>
      <c r="DA130" s="7375"/>
      <c r="DB130" s="7375"/>
      <c r="DC130" s="7376"/>
    </row>
    <row r="131" spans="1:107" s="1810" customFormat="1" ht="15" customHeight="1">
      <c r="A131" s="17035"/>
      <c r="B131" s="17038"/>
      <c r="C131" s="17038"/>
      <c r="D131" s="17038"/>
      <c r="E131" s="17038"/>
      <c r="F131" s="17038"/>
      <c r="G131" s="17038"/>
      <c r="H131" s="17038"/>
      <c r="I131" s="17038"/>
      <c r="J131" s="17038"/>
      <c r="K131" s="17038"/>
      <c r="L131" s="17038"/>
      <c r="M131" s="17038"/>
      <c r="N131" s="17038"/>
      <c r="O131" s="17038"/>
      <c r="P131" s="17038"/>
      <c r="Q131" s="17041"/>
      <c r="R131" s="17017"/>
      <c r="S131" s="15619"/>
      <c r="T131" s="15619"/>
      <c r="U131" s="15619"/>
      <c r="V131" s="15619"/>
      <c r="W131" s="15619"/>
      <c r="X131" s="15911"/>
      <c r="Y131" s="15911"/>
      <c r="Z131" s="15911"/>
      <c r="AA131" s="15911"/>
      <c r="AB131" s="15911"/>
      <c r="AC131" s="15911"/>
      <c r="AD131" s="15911"/>
      <c r="AE131" s="15911"/>
      <c r="AF131" s="15911"/>
      <c r="AG131" s="15911"/>
      <c r="AH131" s="15911"/>
      <c r="AI131" s="15619"/>
      <c r="AJ131" s="5242" t="s">
        <v>8368</v>
      </c>
      <c r="AK131" s="2646" t="s">
        <v>7405</v>
      </c>
      <c r="AL131" s="5242" t="s">
        <v>7406</v>
      </c>
      <c r="AM131" s="5242" t="s">
        <v>6785</v>
      </c>
      <c r="AN131" s="5242">
        <v>0</v>
      </c>
      <c r="AO131" s="5242">
        <v>1</v>
      </c>
      <c r="AP131" s="5242">
        <v>1</v>
      </c>
      <c r="AQ131" s="5242">
        <v>1</v>
      </c>
      <c r="AR131" s="5242">
        <v>1</v>
      </c>
      <c r="AS131" s="5242">
        <v>1</v>
      </c>
      <c r="AT131" s="5242">
        <v>1</v>
      </c>
      <c r="AU131" s="5242">
        <v>1</v>
      </c>
      <c r="AV131" s="5242">
        <v>1</v>
      </c>
      <c r="AW131" s="5242">
        <v>1</v>
      </c>
      <c r="AX131" s="5242">
        <v>1</v>
      </c>
      <c r="AY131" s="5242">
        <v>10</v>
      </c>
      <c r="AZ131" s="5242" t="s">
        <v>6835</v>
      </c>
      <c r="BA131" s="3899" t="s">
        <v>10290</v>
      </c>
      <c r="BB131" s="5242" t="s">
        <v>7351</v>
      </c>
      <c r="BC131" s="5242"/>
      <c r="BD131" s="5242" t="s">
        <v>7407</v>
      </c>
      <c r="BE131" s="5242" t="s">
        <v>7403</v>
      </c>
      <c r="BF131" s="5242" t="s">
        <v>7403</v>
      </c>
      <c r="BG131" s="5242" t="s">
        <v>7404</v>
      </c>
      <c r="BH131" s="7382" t="s">
        <v>7407</v>
      </c>
      <c r="BI131" s="3451"/>
      <c r="BJ131" s="3766"/>
      <c r="BK131" s="3470"/>
      <c r="BL131" s="3470"/>
      <c r="BM131" s="3470"/>
      <c r="BN131" s="3470"/>
      <c r="BO131" s="3470"/>
      <c r="BP131" s="3470"/>
      <c r="BQ131" s="3470"/>
      <c r="BR131" s="3470"/>
      <c r="BS131" s="3470"/>
      <c r="BT131" s="3470"/>
      <c r="BU131" s="3470"/>
      <c r="BV131" s="3470"/>
      <c r="BW131" s="3470"/>
      <c r="BX131" s="3470"/>
      <c r="BY131" s="3470"/>
      <c r="BZ131" s="3470"/>
      <c r="CA131" s="3470"/>
      <c r="CB131" s="3470"/>
      <c r="CC131" s="3470"/>
      <c r="CD131" s="3470"/>
      <c r="CE131" s="3470"/>
      <c r="CF131" s="3470"/>
      <c r="CG131" s="3470"/>
      <c r="CH131" s="3470"/>
      <c r="CI131" s="3470"/>
      <c r="CJ131" s="3470"/>
      <c r="CK131" s="3470"/>
      <c r="CL131" s="3470"/>
      <c r="CM131" s="3470"/>
      <c r="CN131" s="3470"/>
      <c r="CO131" s="3470"/>
      <c r="CP131" s="3470"/>
      <c r="CQ131" s="3470"/>
      <c r="CR131" s="3470"/>
      <c r="CS131" s="3470"/>
      <c r="CT131" s="3470"/>
      <c r="CU131" s="3470"/>
      <c r="CV131" s="3470"/>
      <c r="CW131" s="3470"/>
      <c r="CX131" s="3470"/>
      <c r="CY131" s="3470"/>
      <c r="CZ131" s="3470"/>
      <c r="DA131" s="3470"/>
      <c r="DB131" s="3470"/>
      <c r="DC131" s="3475"/>
    </row>
    <row r="132" spans="1:107" s="1810" customFormat="1" ht="15" customHeight="1">
      <c r="A132" s="17035"/>
      <c r="B132" s="17038"/>
      <c r="C132" s="17038"/>
      <c r="D132" s="17038"/>
      <c r="E132" s="17038"/>
      <c r="F132" s="17038"/>
      <c r="G132" s="17038"/>
      <c r="H132" s="17038"/>
      <c r="I132" s="17038"/>
      <c r="J132" s="17038"/>
      <c r="K132" s="17038"/>
      <c r="L132" s="17038"/>
      <c r="M132" s="17038"/>
      <c r="N132" s="17038"/>
      <c r="O132" s="17038"/>
      <c r="P132" s="17038"/>
      <c r="Q132" s="17041"/>
      <c r="R132" s="17017"/>
      <c r="S132" s="15619"/>
      <c r="T132" s="15619"/>
      <c r="U132" s="15619"/>
      <c r="V132" s="15619"/>
      <c r="W132" s="15619"/>
      <c r="X132" s="15911"/>
      <c r="Y132" s="15911"/>
      <c r="Z132" s="15911"/>
      <c r="AA132" s="15911"/>
      <c r="AB132" s="15911"/>
      <c r="AC132" s="15911"/>
      <c r="AD132" s="15911"/>
      <c r="AE132" s="15911"/>
      <c r="AF132" s="15911"/>
      <c r="AG132" s="15911"/>
      <c r="AH132" s="15911"/>
      <c r="AI132" s="15619"/>
      <c r="AJ132" s="5242" t="s">
        <v>8369</v>
      </c>
      <c r="AK132" s="2646" t="s">
        <v>7408</v>
      </c>
      <c r="AL132" s="5242" t="s">
        <v>7409</v>
      </c>
      <c r="AM132" s="5242" t="s">
        <v>6785</v>
      </c>
      <c r="AN132" s="5242">
        <v>1</v>
      </c>
      <c r="AO132" s="5242">
        <v>1</v>
      </c>
      <c r="AP132" s="5242">
        <v>1</v>
      </c>
      <c r="AQ132" s="5242">
        <v>1</v>
      </c>
      <c r="AR132" s="5242">
        <v>1</v>
      </c>
      <c r="AS132" s="5242">
        <v>1</v>
      </c>
      <c r="AT132" s="5242">
        <v>1</v>
      </c>
      <c r="AU132" s="5242">
        <v>1</v>
      </c>
      <c r="AV132" s="5242">
        <v>1</v>
      </c>
      <c r="AW132" s="5242">
        <v>1</v>
      </c>
      <c r="AX132" s="5242">
        <v>1</v>
      </c>
      <c r="AY132" s="5242">
        <v>10</v>
      </c>
      <c r="AZ132" s="5242" t="s">
        <v>6835</v>
      </c>
      <c r="BA132" s="3899" t="s">
        <v>10290</v>
      </c>
      <c r="BB132" s="5242" t="s">
        <v>7410</v>
      </c>
      <c r="BC132" s="5242"/>
      <c r="BD132" s="5242" t="s">
        <v>7411</v>
      </c>
      <c r="BE132" s="5242" t="s">
        <v>7403</v>
      </c>
      <c r="BF132" s="5242" t="s">
        <v>7403</v>
      </c>
      <c r="BG132" s="5242" t="s">
        <v>7404</v>
      </c>
      <c r="BH132" s="7382" t="s">
        <v>7411</v>
      </c>
      <c r="BI132" s="3451"/>
      <c r="BJ132" s="3766"/>
      <c r="BK132" s="3470"/>
      <c r="BL132" s="3470"/>
      <c r="BM132" s="3470"/>
      <c r="BN132" s="3470"/>
      <c r="BO132" s="3470"/>
      <c r="BP132" s="3470"/>
      <c r="BQ132" s="3470"/>
      <c r="BR132" s="3470"/>
      <c r="BS132" s="3470"/>
      <c r="BT132" s="3470"/>
      <c r="BU132" s="3470"/>
      <c r="BV132" s="3470"/>
      <c r="BW132" s="3470"/>
      <c r="BX132" s="3470"/>
      <c r="BY132" s="3470"/>
      <c r="BZ132" s="3470"/>
      <c r="CA132" s="3470"/>
      <c r="CB132" s="3470"/>
      <c r="CC132" s="3470"/>
      <c r="CD132" s="3470"/>
      <c r="CE132" s="3470"/>
      <c r="CF132" s="3470"/>
      <c r="CG132" s="3470"/>
      <c r="CH132" s="3470"/>
      <c r="CI132" s="3470"/>
      <c r="CJ132" s="3470"/>
      <c r="CK132" s="3470"/>
      <c r="CL132" s="3470"/>
      <c r="CM132" s="3470"/>
      <c r="CN132" s="3470"/>
      <c r="CO132" s="3470"/>
      <c r="CP132" s="3470"/>
      <c r="CQ132" s="3470"/>
      <c r="CR132" s="3470"/>
      <c r="CS132" s="3470"/>
      <c r="CT132" s="3470"/>
      <c r="CU132" s="3470"/>
      <c r="CV132" s="3470"/>
      <c r="CW132" s="3470"/>
      <c r="CX132" s="3470"/>
      <c r="CY132" s="3470"/>
      <c r="CZ132" s="3470"/>
      <c r="DA132" s="3470"/>
      <c r="DB132" s="3470"/>
      <c r="DC132" s="3475"/>
    </row>
    <row r="133" spans="1:107" s="1810" customFormat="1" ht="15" customHeight="1">
      <c r="A133" s="17035"/>
      <c r="B133" s="17038"/>
      <c r="C133" s="17038"/>
      <c r="D133" s="17038"/>
      <c r="E133" s="17038"/>
      <c r="F133" s="17038"/>
      <c r="G133" s="17038"/>
      <c r="H133" s="17038"/>
      <c r="I133" s="17038"/>
      <c r="J133" s="17038"/>
      <c r="K133" s="17038"/>
      <c r="L133" s="17038"/>
      <c r="M133" s="17038"/>
      <c r="N133" s="17038"/>
      <c r="O133" s="17038"/>
      <c r="P133" s="17038"/>
      <c r="Q133" s="17041"/>
      <c r="R133" s="17017"/>
      <c r="S133" s="15619"/>
      <c r="T133" s="15619"/>
      <c r="U133" s="15619"/>
      <c r="V133" s="15619"/>
      <c r="W133" s="15619"/>
      <c r="X133" s="15911"/>
      <c r="Y133" s="15911"/>
      <c r="Z133" s="15911"/>
      <c r="AA133" s="15911"/>
      <c r="AB133" s="15911"/>
      <c r="AC133" s="15911"/>
      <c r="AD133" s="15911"/>
      <c r="AE133" s="15911"/>
      <c r="AF133" s="15911"/>
      <c r="AG133" s="15911"/>
      <c r="AH133" s="15911"/>
      <c r="AI133" s="15619"/>
      <c r="AJ133" s="5242" t="s">
        <v>8370</v>
      </c>
      <c r="AK133" s="7150" t="s">
        <v>7412</v>
      </c>
      <c r="AL133" s="5242" t="s">
        <v>6957</v>
      </c>
      <c r="AM133" s="5242" t="s">
        <v>6785</v>
      </c>
      <c r="AN133" s="5252">
        <v>0.2</v>
      </c>
      <c r="AO133" s="5252">
        <v>0.5</v>
      </c>
      <c r="AP133" s="5252">
        <v>0.7</v>
      </c>
      <c r="AQ133" s="5252">
        <v>0.9</v>
      </c>
      <c r="AR133" s="5252">
        <v>1</v>
      </c>
      <c r="AS133" s="5252">
        <v>1</v>
      </c>
      <c r="AT133" s="5252">
        <v>1</v>
      </c>
      <c r="AU133" s="5252">
        <v>1</v>
      </c>
      <c r="AV133" s="5252">
        <v>1</v>
      </c>
      <c r="AW133" s="5252">
        <v>1</v>
      </c>
      <c r="AX133" s="5252">
        <v>1</v>
      </c>
      <c r="AY133" s="5252">
        <v>1</v>
      </c>
      <c r="AZ133" s="5242" t="s">
        <v>7413</v>
      </c>
      <c r="BA133" s="3899" t="s">
        <v>10066</v>
      </c>
      <c r="BB133" s="5242" t="s">
        <v>10325</v>
      </c>
      <c r="BC133" s="5242" t="s">
        <v>10326</v>
      </c>
      <c r="BD133" s="5242" t="s">
        <v>7414</v>
      </c>
      <c r="BE133" s="5242" t="s">
        <v>7403</v>
      </c>
      <c r="BF133" s="5242" t="s">
        <v>7403</v>
      </c>
      <c r="BG133" s="5242" t="s">
        <v>7404</v>
      </c>
      <c r="BH133" s="7382" t="s">
        <v>7414</v>
      </c>
      <c r="BI133" s="3451"/>
      <c r="BJ133" s="3766"/>
      <c r="BK133" s="3470"/>
      <c r="BL133" s="3470"/>
      <c r="BM133" s="3470"/>
      <c r="BN133" s="3470"/>
      <c r="BO133" s="3470"/>
      <c r="BP133" s="3470"/>
      <c r="BQ133" s="3470"/>
      <c r="BR133" s="3470"/>
      <c r="BS133" s="3470"/>
      <c r="BT133" s="3470"/>
      <c r="BU133" s="3470"/>
      <c r="BV133" s="3470"/>
      <c r="BW133" s="3470"/>
      <c r="BX133" s="3470"/>
      <c r="BY133" s="3470"/>
      <c r="BZ133" s="3470"/>
      <c r="CA133" s="3470"/>
      <c r="CB133" s="3470"/>
      <c r="CC133" s="3470"/>
      <c r="CD133" s="3470"/>
      <c r="CE133" s="3470"/>
      <c r="CF133" s="3470"/>
      <c r="CG133" s="3470"/>
      <c r="CH133" s="3470"/>
      <c r="CI133" s="3470"/>
      <c r="CJ133" s="3470"/>
      <c r="CK133" s="3470"/>
      <c r="CL133" s="3470"/>
      <c r="CM133" s="3470"/>
      <c r="CN133" s="3470"/>
      <c r="CO133" s="3470"/>
      <c r="CP133" s="3470"/>
      <c r="CQ133" s="3470"/>
      <c r="CR133" s="3470"/>
      <c r="CS133" s="3470"/>
      <c r="CT133" s="3470"/>
      <c r="CU133" s="3470"/>
      <c r="CV133" s="3470"/>
      <c r="CW133" s="3470"/>
      <c r="CX133" s="3470"/>
      <c r="CY133" s="3470"/>
      <c r="CZ133" s="3470"/>
      <c r="DA133" s="3470"/>
      <c r="DB133" s="3470"/>
      <c r="DC133" s="3475"/>
    </row>
    <row r="134" spans="1:107" s="1810" customFormat="1" ht="15" customHeight="1">
      <c r="A134" s="17035"/>
      <c r="B134" s="17038"/>
      <c r="C134" s="17038"/>
      <c r="D134" s="17038"/>
      <c r="E134" s="17038"/>
      <c r="F134" s="17038"/>
      <c r="G134" s="17038"/>
      <c r="H134" s="17038"/>
      <c r="I134" s="17038"/>
      <c r="J134" s="17038"/>
      <c r="K134" s="17038"/>
      <c r="L134" s="17038"/>
      <c r="M134" s="17038"/>
      <c r="N134" s="17038"/>
      <c r="O134" s="17038"/>
      <c r="P134" s="17038"/>
      <c r="Q134" s="17041"/>
      <c r="R134" s="17017"/>
      <c r="S134" s="15619"/>
      <c r="T134" s="15619"/>
      <c r="U134" s="15619"/>
      <c r="V134" s="15619"/>
      <c r="W134" s="15619"/>
      <c r="X134" s="15911"/>
      <c r="Y134" s="15911"/>
      <c r="Z134" s="15911"/>
      <c r="AA134" s="15911"/>
      <c r="AB134" s="15911"/>
      <c r="AC134" s="15911"/>
      <c r="AD134" s="15911"/>
      <c r="AE134" s="15911"/>
      <c r="AF134" s="15911"/>
      <c r="AG134" s="15911"/>
      <c r="AH134" s="15911"/>
      <c r="AI134" s="15619"/>
      <c r="AJ134" s="15619" t="s">
        <v>8371</v>
      </c>
      <c r="AK134" s="16997" t="s">
        <v>7415</v>
      </c>
      <c r="AL134" s="15619" t="s">
        <v>7416</v>
      </c>
      <c r="AM134" s="15619" t="s">
        <v>6804</v>
      </c>
      <c r="AN134" s="15619">
        <v>1</v>
      </c>
      <c r="AO134" s="15619">
        <v>1</v>
      </c>
      <c r="AP134" s="15619">
        <v>1</v>
      </c>
      <c r="AQ134" s="15619">
        <v>1</v>
      </c>
      <c r="AR134" s="15619">
        <v>1</v>
      </c>
      <c r="AS134" s="15619">
        <v>1</v>
      </c>
      <c r="AT134" s="15619">
        <v>1</v>
      </c>
      <c r="AU134" s="15619">
        <v>1</v>
      </c>
      <c r="AV134" s="15619">
        <v>1</v>
      </c>
      <c r="AW134" s="15619">
        <v>1</v>
      </c>
      <c r="AX134" s="15619">
        <v>1</v>
      </c>
      <c r="AY134" s="15619">
        <v>10</v>
      </c>
      <c r="AZ134" s="15619" t="s">
        <v>6922</v>
      </c>
      <c r="BA134" s="3899" t="s">
        <v>10066</v>
      </c>
      <c r="BB134" s="15619" t="s">
        <v>7417</v>
      </c>
      <c r="BC134" s="5242"/>
      <c r="BD134" s="15619" t="s">
        <v>7419</v>
      </c>
      <c r="BE134" s="15619" t="s">
        <v>7403</v>
      </c>
      <c r="BF134" s="15619" t="s">
        <v>7403</v>
      </c>
      <c r="BG134" s="15619" t="s">
        <v>7404</v>
      </c>
      <c r="BH134" s="17001" t="s">
        <v>7419</v>
      </c>
      <c r="BI134" s="3451"/>
      <c r="BJ134" s="7399"/>
      <c r="BK134" s="6453"/>
      <c r="BL134" s="6453"/>
      <c r="BM134" s="6453"/>
      <c r="BN134" s="6453"/>
      <c r="BO134" s="6453"/>
      <c r="BP134" s="6453"/>
      <c r="BQ134" s="6453"/>
      <c r="BR134" s="6453"/>
      <c r="BS134" s="6453"/>
      <c r="BT134" s="6453"/>
      <c r="BU134" s="6453"/>
      <c r="BV134" s="6453"/>
      <c r="BW134" s="6453"/>
      <c r="BX134" s="6453"/>
      <c r="BY134" s="6453"/>
      <c r="BZ134" s="6453"/>
      <c r="CA134" s="6453"/>
      <c r="CB134" s="6453"/>
      <c r="CC134" s="6453"/>
      <c r="CD134" s="6453"/>
      <c r="CE134" s="6453"/>
      <c r="CF134" s="6453"/>
      <c r="CG134" s="6453"/>
      <c r="CH134" s="6453"/>
      <c r="CI134" s="6453"/>
      <c r="CJ134" s="6453"/>
      <c r="CK134" s="6453"/>
      <c r="CL134" s="6453"/>
      <c r="CM134" s="6453"/>
      <c r="CN134" s="6453"/>
      <c r="CO134" s="6453"/>
      <c r="CP134" s="6453"/>
      <c r="CQ134" s="6453"/>
      <c r="CR134" s="6453"/>
      <c r="CS134" s="6453"/>
      <c r="CT134" s="6453"/>
      <c r="CU134" s="6453"/>
      <c r="CV134" s="6453"/>
      <c r="CW134" s="6453"/>
      <c r="CX134" s="6453"/>
      <c r="CY134" s="6453"/>
      <c r="CZ134" s="6453"/>
      <c r="DA134" s="6453"/>
      <c r="DB134" s="6453"/>
      <c r="DC134" s="7376"/>
    </row>
    <row r="135" spans="1:107" s="1810" customFormat="1" ht="15" customHeight="1">
      <c r="A135" s="17035"/>
      <c r="B135" s="17038"/>
      <c r="C135" s="17038"/>
      <c r="D135" s="17038"/>
      <c r="E135" s="17038"/>
      <c r="F135" s="17038"/>
      <c r="G135" s="17038"/>
      <c r="H135" s="17038"/>
      <c r="I135" s="17038"/>
      <c r="J135" s="17038"/>
      <c r="K135" s="17038"/>
      <c r="L135" s="17038"/>
      <c r="M135" s="17038"/>
      <c r="N135" s="17038"/>
      <c r="O135" s="17038"/>
      <c r="P135" s="17038"/>
      <c r="Q135" s="17041"/>
      <c r="R135" s="17017"/>
      <c r="S135" s="15619"/>
      <c r="T135" s="15619"/>
      <c r="U135" s="15619"/>
      <c r="V135" s="15619"/>
      <c r="W135" s="15619"/>
      <c r="X135" s="15911"/>
      <c r="Y135" s="15911"/>
      <c r="Z135" s="15911"/>
      <c r="AA135" s="15911"/>
      <c r="AB135" s="15911"/>
      <c r="AC135" s="15911"/>
      <c r="AD135" s="15911"/>
      <c r="AE135" s="15911"/>
      <c r="AF135" s="15911"/>
      <c r="AG135" s="15911"/>
      <c r="AH135" s="15911"/>
      <c r="AI135" s="15619"/>
      <c r="AJ135" s="15619"/>
      <c r="AK135" s="16997"/>
      <c r="AL135" s="15619"/>
      <c r="AM135" s="15619"/>
      <c r="AN135" s="15619"/>
      <c r="AO135" s="15619"/>
      <c r="AP135" s="15619"/>
      <c r="AQ135" s="15619"/>
      <c r="AR135" s="15619"/>
      <c r="AS135" s="15619"/>
      <c r="AT135" s="15619"/>
      <c r="AU135" s="15619"/>
      <c r="AV135" s="15619"/>
      <c r="AW135" s="15619"/>
      <c r="AX135" s="15619"/>
      <c r="AY135" s="15619"/>
      <c r="AZ135" s="15619"/>
      <c r="BA135" s="3899" t="s">
        <v>10290</v>
      </c>
      <c r="BB135" s="15619"/>
      <c r="BC135" s="5242" t="s">
        <v>7418</v>
      </c>
      <c r="BD135" s="15619"/>
      <c r="BE135" s="15619"/>
      <c r="BF135" s="15619"/>
      <c r="BG135" s="15619"/>
      <c r="BH135" s="17001"/>
      <c r="BI135" s="3451"/>
      <c r="BJ135" s="7399"/>
      <c r="BK135" s="6453"/>
      <c r="BL135" s="6453"/>
      <c r="BM135" s="6453"/>
      <c r="BN135" s="6453"/>
      <c r="BO135" s="6453"/>
      <c r="BP135" s="6453"/>
      <c r="BQ135" s="6453"/>
      <c r="BR135" s="6453"/>
      <c r="BS135" s="6453"/>
      <c r="BT135" s="6453"/>
      <c r="BU135" s="6453"/>
      <c r="BV135" s="6453"/>
      <c r="BW135" s="6453"/>
      <c r="BX135" s="6453"/>
      <c r="BY135" s="6453"/>
      <c r="BZ135" s="6453"/>
      <c r="CA135" s="6453"/>
      <c r="CB135" s="6453"/>
      <c r="CC135" s="6453"/>
      <c r="CD135" s="6453"/>
      <c r="CE135" s="6453"/>
      <c r="CF135" s="6453"/>
      <c r="CG135" s="6453"/>
      <c r="CH135" s="6453"/>
      <c r="CI135" s="6453"/>
      <c r="CJ135" s="6453"/>
      <c r="CK135" s="6453"/>
      <c r="CL135" s="6453"/>
      <c r="CM135" s="6453"/>
      <c r="CN135" s="6453"/>
      <c r="CO135" s="6453"/>
      <c r="CP135" s="6453"/>
      <c r="CQ135" s="6453"/>
      <c r="CR135" s="6453"/>
      <c r="CS135" s="6453"/>
      <c r="CT135" s="6453"/>
      <c r="CU135" s="6453"/>
      <c r="CV135" s="6453"/>
      <c r="CW135" s="6453"/>
      <c r="CX135" s="6453"/>
      <c r="CY135" s="6453"/>
      <c r="CZ135" s="6453"/>
      <c r="DA135" s="6453"/>
      <c r="DB135" s="6453"/>
      <c r="DC135" s="7376"/>
    </row>
    <row r="136" spans="1:107" s="1810" customFormat="1" ht="15" customHeight="1">
      <c r="A136" s="17035"/>
      <c r="B136" s="17038"/>
      <c r="C136" s="17038"/>
      <c r="D136" s="17038"/>
      <c r="E136" s="17038"/>
      <c r="F136" s="17038"/>
      <c r="G136" s="17038"/>
      <c r="H136" s="17038"/>
      <c r="I136" s="17038"/>
      <c r="J136" s="17038"/>
      <c r="K136" s="17038"/>
      <c r="L136" s="17038"/>
      <c r="M136" s="17038"/>
      <c r="N136" s="17038"/>
      <c r="O136" s="17038"/>
      <c r="P136" s="17038"/>
      <c r="Q136" s="17041"/>
      <c r="R136" s="17017"/>
      <c r="S136" s="15619"/>
      <c r="T136" s="15619"/>
      <c r="U136" s="15619"/>
      <c r="V136" s="15619"/>
      <c r="W136" s="15619"/>
      <c r="X136" s="15911"/>
      <c r="Y136" s="15911"/>
      <c r="Z136" s="15911"/>
      <c r="AA136" s="15911"/>
      <c r="AB136" s="15911"/>
      <c r="AC136" s="15911"/>
      <c r="AD136" s="15911"/>
      <c r="AE136" s="15911"/>
      <c r="AF136" s="15911"/>
      <c r="AG136" s="15911"/>
      <c r="AH136" s="15911"/>
      <c r="AI136" s="15619"/>
      <c r="AJ136" s="5242" t="s">
        <v>8372</v>
      </c>
      <c r="AK136" s="2646" t="s">
        <v>7420</v>
      </c>
      <c r="AL136" s="5242" t="s">
        <v>7421</v>
      </c>
      <c r="AM136" s="5242" t="s">
        <v>6804</v>
      </c>
      <c r="AN136" s="5242">
        <v>2</v>
      </c>
      <c r="AO136" s="5242">
        <v>3</v>
      </c>
      <c r="AP136" s="5242">
        <v>4</v>
      </c>
      <c r="AQ136" s="5242">
        <v>5</v>
      </c>
      <c r="AR136" s="5242">
        <v>6</v>
      </c>
      <c r="AS136" s="5242">
        <v>6</v>
      </c>
      <c r="AT136" s="5242">
        <v>6</v>
      </c>
      <c r="AU136" s="5242">
        <v>6</v>
      </c>
      <c r="AV136" s="5242">
        <v>6</v>
      </c>
      <c r="AW136" s="5242">
        <v>6</v>
      </c>
      <c r="AX136" s="5242">
        <v>6</v>
      </c>
      <c r="AY136" s="5242">
        <v>54</v>
      </c>
      <c r="AZ136" s="5242" t="s">
        <v>7422</v>
      </c>
      <c r="BA136" s="3899" t="s">
        <v>10290</v>
      </c>
      <c r="BB136" s="5242" t="s">
        <v>7423</v>
      </c>
      <c r="BC136" s="5242"/>
      <c r="BD136" s="5242" t="s">
        <v>7424</v>
      </c>
      <c r="BE136" s="5242" t="s">
        <v>7403</v>
      </c>
      <c r="BF136" s="5242" t="s">
        <v>7403</v>
      </c>
      <c r="BG136" s="5242" t="s">
        <v>7404</v>
      </c>
      <c r="BH136" s="7382" t="s">
        <v>7424</v>
      </c>
      <c r="BI136" s="3451"/>
      <c r="BJ136" s="3766"/>
      <c r="BK136" s="3470"/>
      <c r="BL136" s="3470"/>
      <c r="BM136" s="3470"/>
      <c r="BN136" s="3470"/>
      <c r="BO136" s="3470"/>
      <c r="BP136" s="3470"/>
      <c r="BQ136" s="3470"/>
      <c r="BR136" s="3470"/>
      <c r="BS136" s="3470"/>
      <c r="BT136" s="3470"/>
      <c r="BU136" s="3470"/>
      <c r="BV136" s="3470"/>
      <c r="BW136" s="3470"/>
      <c r="BX136" s="3470"/>
      <c r="BY136" s="3470"/>
      <c r="BZ136" s="3470"/>
      <c r="CA136" s="3470"/>
      <c r="CB136" s="3470"/>
      <c r="CC136" s="3470"/>
      <c r="CD136" s="3470"/>
      <c r="CE136" s="3470"/>
      <c r="CF136" s="3470"/>
      <c r="CG136" s="3470"/>
      <c r="CH136" s="3470"/>
      <c r="CI136" s="3470"/>
      <c r="CJ136" s="3470"/>
      <c r="CK136" s="3470"/>
      <c r="CL136" s="3470"/>
      <c r="CM136" s="3470"/>
      <c r="CN136" s="3470"/>
      <c r="CO136" s="3470"/>
      <c r="CP136" s="3470"/>
      <c r="CQ136" s="3470"/>
      <c r="CR136" s="3470"/>
      <c r="CS136" s="3470"/>
      <c r="CT136" s="3470"/>
      <c r="CU136" s="3470"/>
      <c r="CV136" s="3470"/>
      <c r="CW136" s="3470"/>
      <c r="CX136" s="3470"/>
      <c r="CY136" s="3470"/>
      <c r="CZ136" s="3470"/>
      <c r="DA136" s="3470"/>
      <c r="DB136" s="3470"/>
      <c r="DC136" s="3475"/>
    </row>
    <row r="137" spans="1:107" s="1810" customFormat="1" ht="15" customHeight="1">
      <c r="A137" s="17035"/>
      <c r="B137" s="17038"/>
      <c r="C137" s="17038"/>
      <c r="D137" s="17038"/>
      <c r="E137" s="17038"/>
      <c r="F137" s="17038"/>
      <c r="G137" s="17038"/>
      <c r="H137" s="17038"/>
      <c r="I137" s="17038"/>
      <c r="J137" s="17038"/>
      <c r="K137" s="17038"/>
      <c r="L137" s="17038"/>
      <c r="M137" s="17038"/>
      <c r="N137" s="17038"/>
      <c r="O137" s="17038"/>
      <c r="P137" s="17038"/>
      <c r="Q137" s="17041"/>
      <c r="R137" s="17017"/>
      <c r="S137" s="15619"/>
      <c r="T137" s="15619"/>
      <c r="U137" s="15619"/>
      <c r="V137" s="15619"/>
      <c r="W137" s="15619"/>
      <c r="X137" s="15911"/>
      <c r="Y137" s="15911"/>
      <c r="Z137" s="15911"/>
      <c r="AA137" s="15911"/>
      <c r="AB137" s="15911"/>
      <c r="AC137" s="15911"/>
      <c r="AD137" s="15911"/>
      <c r="AE137" s="15911"/>
      <c r="AF137" s="15911"/>
      <c r="AG137" s="15911"/>
      <c r="AH137" s="15911"/>
      <c r="AI137" s="15619"/>
      <c r="AJ137" s="5242" t="s">
        <v>8373</v>
      </c>
      <c r="AK137" s="2646" t="s">
        <v>7425</v>
      </c>
      <c r="AL137" s="5242" t="s">
        <v>7426</v>
      </c>
      <c r="AM137" s="5242" t="s">
        <v>6785</v>
      </c>
      <c r="AN137" s="5252">
        <v>0</v>
      </c>
      <c r="AO137" s="5252">
        <v>1</v>
      </c>
      <c r="AP137" s="5252">
        <v>1</v>
      </c>
      <c r="AQ137" s="5252">
        <v>1</v>
      </c>
      <c r="AR137" s="5252">
        <v>1</v>
      </c>
      <c r="AS137" s="5252">
        <v>1</v>
      </c>
      <c r="AT137" s="5252">
        <v>1</v>
      </c>
      <c r="AU137" s="5252">
        <v>1</v>
      </c>
      <c r="AV137" s="5252">
        <v>1</v>
      </c>
      <c r="AW137" s="5252">
        <v>1</v>
      </c>
      <c r="AX137" s="5252">
        <v>1</v>
      </c>
      <c r="AY137" s="5252">
        <v>1</v>
      </c>
      <c r="AZ137" s="5242" t="s">
        <v>7427</v>
      </c>
      <c r="BA137" s="3899" t="s">
        <v>10066</v>
      </c>
      <c r="BB137" s="5242" t="s">
        <v>6787</v>
      </c>
      <c r="BC137" s="5242" t="s">
        <v>7428</v>
      </c>
      <c r="BD137" s="5242" t="s">
        <v>7429</v>
      </c>
      <c r="BE137" s="5242" t="s">
        <v>7403</v>
      </c>
      <c r="BF137" s="5242" t="s">
        <v>7403</v>
      </c>
      <c r="BG137" s="5242" t="s">
        <v>7404</v>
      </c>
      <c r="BH137" s="7382" t="s">
        <v>7430</v>
      </c>
      <c r="BI137" s="3451"/>
      <c r="BJ137" s="7399"/>
      <c r="BK137" s="6453"/>
      <c r="BL137" s="6453"/>
      <c r="BM137" s="6453"/>
      <c r="BN137" s="6453"/>
      <c r="BO137" s="6453"/>
      <c r="BP137" s="6453"/>
      <c r="BQ137" s="6453"/>
      <c r="BR137" s="6453"/>
      <c r="BS137" s="6453"/>
      <c r="BT137" s="6453"/>
      <c r="BU137" s="6453"/>
      <c r="BV137" s="6453"/>
      <c r="BW137" s="6453"/>
      <c r="BX137" s="6453"/>
      <c r="BY137" s="6453"/>
      <c r="BZ137" s="6453"/>
      <c r="CA137" s="6453"/>
      <c r="CB137" s="6453"/>
      <c r="CC137" s="6453"/>
      <c r="CD137" s="6453"/>
      <c r="CE137" s="6453"/>
      <c r="CF137" s="6453"/>
      <c r="CG137" s="6453"/>
      <c r="CH137" s="6453"/>
      <c r="CI137" s="6453"/>
      <c r="CJ137" s="6453"/>
      <c r="CK137" s="6453"/>
      <c r="CL137" s="6453"/>
      <c r="CM137" s="6453"/>
      <c r="CN137" s="6453"/>
      <c r="CO137" s="6453"/>
      <c r="CP137" s="6453"/>
      <c r="CQ137" s="6453"/>
      <c r="CR137" s="6453"/>
      <c r="CS137" s="6453"/>
      <c r="CT137" s="6453"/>
      <c r="CU137" s="6453"/>
      <c r="CV137" s="6453"/>
      <c r="CW137" s="6453"/>
      <c r="CX137" s="6453"/>
      <c r="CY137" s="6453"/>
      <c r="CZ137" s="6453"/>
      <c r="DA137" s="7375"/>
      <c r="DB137" s="7375"/>
      <c r="DC137" s="7376"/>
    </row>
    <row r="138" spans="1:107" s="1810" customFormat="1" ht="15" customHeight="1">
      <c r="A138" s="17035"/>
      <c r="B138" s="17038"/>
      <c r="C138" s="17038"/>
      <c r="D138" s="17038"/>
      <c r="E138" s="17038"/>
      <c r="F138" s="17038"/>
      <c r="G138" s="17038"/>
      <c r="H138" s="17038"/>
      <c r="I138" s="17038"/>
      <c r="J138" s="17038"/>
      <c r="K138" s="17038"/>
      <c r="L138" s="17038"/>
      <c r="M138" s="17038"/>
      <c r="N138" s="17038"/>
      <c r="O138" s="17038"/>
      <c r="P138" s="17038"/>
      <c r="Q138" s="17041"/>
      <c r="R138" s="17017"/>
      <c r="S138" s="15619"/>
      <c r="T138" s="15619"/>
      <c r="U138" s="15619"/>
      <c r="V138" s="15619"/>
      <c r="W138" s="15619"/>
      <c r="X138" s="15911"/>
      <c r="Y138" s="15911"/>
      <c r="Z138" s="15911"/>
      <c r="AA138" s="15911"/>
      <c r="AB138" s="15911"/>
      <c r="AC138" s="15911"/>
      <c r="AD138" s="15911"/>
      <c r="AE138" s="15911"/>
      <c r="AF138" s="15911"/>
      <c r="AG138" s="15911"/>
      <c r="AH138" s="15911"/>
      <c r="AI138" s="15619"/>
      <c r="AJ138" s="5242" t="s">
        <v>8374</v>
      </c>
      <c r="AK138" s="2646" t="s">
        <v>7431</v>
      </c>
      <c r="AL138" s="5242" t="s">
        <v>7432</v>
      </c>
      <c r="AM138" s="5242" t="s">
        <v>7433</v>
      </c>
      <c r="AN138" s="5252">
        <v>0</v>
      </c>
      <c r="AO138" s="5252">
        <v>0.1</v>
      </c>
      <c r="AP138" s="5252">
        <v>0.1</v>
      </c>
      <c r="AQ138" s="5252">
        <v>0.1</v>
      </c>
      <c r="AR138" s="5252">
        <v>0.1</v>
      </c>
      <c r="AS138" s="5252">
        <v>0.1</v>
      </c>
      <c r="AT138" s="5252">
        <v>0.1</v>
      </c>
      <c r="AU138" s="5252">
        <v>0.1</v>
      </c>
      <c r="AV138" s="5252">
        <v>0.1</v>
      </c>
      <c r="AW138" s="5252">
        <v>0.1</v>
      </c>
      <c r="AX138" s="5252">
        <v>0.1</v>
      </c>
      <c r="AY138" s="5252">
        <v>1</v>
      </c>
      <c r="AZ138" s="5242" t="s">
        <v>7434</v>
      </c>
      <c r="BA138" s="3899" t="s">
        <v>10290</v>
      </c>
      <c r="BB138" s="5242" t="s">
        <v>7435</v>
      </c>
      <c r="BC138" s="5242"/>
      <c r="BD138" s="5242" t="s">
        <v>7407</v>
      </c>
      <c r="BE138" s="5242" t="s">
        <v>7403</v>
      </c>
      <c r="BF138" s="5242" t="s">
        <v>7403</v>
      </c>
      <c r="BG138" s="5242" t="s">
        <v>7404</v>
      </c>
      <c r="BH138" s="7382" t="s">
        <v>7407</v>
      </c>
      <c r="BI138" s="3451"/>
      <c r="BJ138" s="7399"/>
      <c r="BK138" s="6453"/>
      <c r="BL138" s="6453"/>
      <c r="BM138" s="6453"/>
      <c r="BN138" s="6453"/>
      <c r="BO138" s="6453"/>
      <c r="BP138" s="6453"/>
      <c r="BQ138" s="6453"/>
      <c r="BR138" s="6453"/>
      <c r="BS138" s="6453"/>
      <c r="BT138" s="6453"/>
      <c r="BU138" s="6453"/>
      <c r="BV138" s="6453"/>
      <c r="BW138" s="6453"/>
      <c r="BX138" s="6453"/>
      <c r="BY138" s="6453"/>
      <c r="BZ138" s="6453"/>
      <c r="CA138" s="6453"/>
      <c r="CB138" s="6453"/>
      <c r="CC138" s="6453"/>
      <c r="CD138" s="6453"/>
      <c r="CE138" s="6453"/>
      <c r="CF138" s="6453"/>
      <c r="CG138" s="6453"/>
      <c r="CH138" s="6453"/>
      <c r="CI138" s="6453"/>
      <c r="CJ138" s="6453"/>
      <c r="CK138" s="6453"/>
      <c r="CL138" s="6453"/>
      <c r="CM138" s="6453"/>
      <c r="CN138" s="6453"/>
      <c r="CO138" s="6453"/>
      <c r="CP138" s="6453"/>
      <c r="CQ138" s="6453"/>
      <c r="CR138" s="6453"/>
      <c r="CS138" s="6453"/>
      <c r="CT138" s="6453"/>
      <c r="CU138" s="6453"/>
      <c r="CV138" s="6453"/>
      <c r="CW138" s="6453"/>
      <c r="CX138" s="6453"/>
      <c r="CY138" s="6453"/>
      <c r="CZ138" s="6453"/>
      <c r="DA138" s="3470"/>
      <c r="DB138" s="3470"/>
      <c r="DC138" s="3475"/>
    </row>
    <row r="139" spans="1:107" s="1810" customFormat="1" ht="15" customHeight="1">
      <c r="A139" s="17035"/>
      <c r="B139" s="17038"/>
      <c r="C139" s="17038"/>
      <c r="D139" s="17038"/>
      <c r="E139" s="17038"/>
      <c r="F139" s="17038"/>
      <c r="G139" s="17038"/>
      <c r="H139" s="17038"/>
      <c r="I139" s="17038"/>
      <c r="J139" s="17038"/>
      <c r="K139" s="17038"/>
      <c r="L139" s="17038"/>
      <c r="M139" s="17038"/>
      <c r="N139" s="17038"/>
      <c r="O139" s="17038"/>
      <c r="P139" s="17038"/>
      <c r="Q139" s="17041"/>
      <c r="R139" s="17017"/>
      <c r="S139" s="15619"/>
      <c r="T139" s="15619"/>
      <c r="U139" s="15619"/>
      <c r="V139" s="15619"/>
      <c r="W139" s="15619"/>
      <c r="X139" s="15911"/>
      <c r="Y139" s="15911"/>
      <c r="Z139" s="15911"/>
      <c r="AA139" s="15911"/>
      <c r="AB139" s="15911"/>
      <c r="AC139" s="15911"/>
      <c r="AD139" s="15911"/>
      <c r="AE139" s="15911"/>
      <c r="AF139" s="15911"/>
      <c r="AG139" s="15911"/>
      <c r="AH139" s="15911"/>
      <c r="AI139" s="15619"/>
      <c r="AJ139" s="5242" t="s">
        <v>8375</v>
      </c>
      <c r="AK139" s="2646" t="s">
        <v>7436</v>
      </c>
      <c r="AL139" s="5242" t="s">
        <v>7437</v>
      </c>
      <c r="AM139" s="5242" t="s">
        <v>7433</v>
      </c>
      <c r="AN139" s="5252">
        <v>0</v>
      </c>
      <c r="AO139" s="5252">
        <v>0.1</v>
      </c>
      <c r="AP139" s="5252">
        <v>0.1</v>
      </c>
      <c r="AQ139" s="5252">
        <v>0.1</v>
      </c>
      <c r="AR139" s="5252">
        <v>0.1</v>
      </c>
      <c r="AS139" s="5252">
        <v>0.1</v>
      </c>
      <c r="AT139" s="5252">
        <v>0.1</v>
      </c>
      <c r="AU139" s="5252">
        <v>0.1</v>
      </c>
      <c r="AV139" s="5252">
        <v>0.1</v>
      </c>
      <c r="AW139" s="5252">
        <v>0.1</v>
      </c>
      <c r="AX139" s="5252">
        <v>0.1</v>
      </c>
      <c r="AY139" s="5252">
        <v>1</v>
      </c>
      <c r="AZ139" s="5242" t="s">
        <v>7438</v>
      </c>
      <c r="BA139" s="3899" t="s">
        <v>10290</v>
      </c>
      <c r="BB139" s="5242" t="s">
        <v>7439</v>
      </c>
      <c r="BC139" s="5242"/>
      <c r="BD139" s="5242" t="s">
        <v>7407</v>
      </c>
      <c r="BE139" s="5242" t="s">
        <v>7403</v>
      </c>
      <c r="BF139" s="5242" t="s">
        <v>7403</v>
      </c>
      <c r="BG139" s="5242" t="s">
        <v>7404</v>
      </c>
      <c r="BH139" s="7382" t="s">
        <v>7407</v>
      </c>
      <c r="BI139" s="3451"/>
      <c r="BJ139" s="3766"/>
      <c r="BK139" s="3470"/>
      <c r="BL139" s="3470"/>
      <c r="BM139" s="3470"/>
      <c r="BN139" s="3470"/>
      <c r="BO139" s="3470"/>
      <c r="BP139" s="3470"/>
      <c r="BQ139" s="3470"/>
      <c r="BR139" s="3470"/>
      <c r="BS139" s="3470"/>
      <c r="BT139" s="3470"/>
      <c r="BU139" s="3470"/>
      <c r="BV139" s="3470"/>
      <c r="BW139" s="3470"/>
      <c r="BX139" s="3470"/>
      <c r="BY139" s="3470"/>
      <c r="BZ139" s="3470"/>
      <c r="CA139" s="3470"/>
      <c r="CB139" s="3470"/>
      <c r="CC139" s="3470"/>
      <c r="CD139" s="3470"/>
      <c r="CE139" s="3470"/>
      <c r="CF139" s="3470"/>
      <c r="CG139" s="3470"/>
      <c r="CH139" s="3470"/>
      <c r="CI139" s="3470"/>
      <c r="CJ139" s="3470"/>
      <c r="CK139" s="3470"/>
      <c r="CL139" s="3470"/>
      <c r="CM139" s="3470"/>
      <c r="CN139" s="3470"/>
      <c r="CO139" s="3470"/>
      <c r="CP139" s="3470"/>
      <c r="CQ139" s="3470"/>
      <c r="CR139" s="3470"/>
      <c r="CS139" s="3470"/>
      <c r="CT139" s="3470"/>
      <c r="CU139" s="3470"/>
      <c r="CV139" s="3470"/>
      <c r="CW139" s="3470"/>
      <c r="CX139" s="3470"/>
      <c r="CY139" s="3470"/>
      <c r="CZ139" s="3470"/>
      <c r="DA139" s="3470"/>
      <c r="DB139" s="3470"/>
      <c r="DC139" s="3475"/>
    </row>
    <row r="140" spans="1:107" s="1810" customFormat="1" ht="15" customHeight="1">
      <c r="A140" s="17035"/>
      <c r="B140" s="17038"/>
      <c r="C140" s="17038"/>
      <c r="D140" s="17038"/>
      <c r="E140" s="17038"/>
      <c r="F140" s="17038"/>
      <c r="G140" s="17038"/>
      <c r="H140" s="17038"/>
      <c r="I140" s="17038"/>
      <c r="J140" s="17038"/>
      <c r="K140" s="17038"/>
      <c r="L140" s="17038"/>
      <c r="M140" s="17038"/>
      <c r="N140" s="17038"/>
      <c r="O140" s="17038"/>
      <c r="P140" s="17038"/>
      <c r="Q140" s="17041"/>
      <c r="R140" s="17017"/>
      <c r="S140" s="15619"/>
      <c r="T140" s="15619"/>
      <c r="U140" s="15619"/>
      <c r="V140" s="15619"/>
      <c r="W140" s="15619"/>
      <c r="X140" s="15911"/>
      <c r="Y140" s="15911"/>
      <c r="Z140" s="15911"/>
      <c r="AA140" s="15911"/>
      <c r="AB140" s="15911"/>
      <c r="AC140" s="15911"/>
      <c r="AD140" s="15911"/>
      <c r="AE140" s="15911"/>
      <c r="AF140" s="15911"/>
      <c r="AG140" s="15911"/>
      <c r="AH140" s="15911"/>
      <c r="AI140" s="15619"/>
      <c r="AJ140" s="5242" t="s">
        <v>8376</v>
      </c>
      <c r="AK140" s="2646" t="s">
        <v>7440</v>
      </c>
      <c r="AL140" s="5242" t="s">
        <v>7441</v>
      </c>
      <c r="AM140" s="5242" t="s">
        <v>7433</v>
      </c>
      <c r="AN140" s="5252">
        <v>0</v>
      </c>
      <c r="AO140" s="5252">
        <v>0.1</v>
      </c>
      <c r="AP140" s="5252">
        <v>0.1</v>
      </c>
      <c r="AQ140" s="5252">
        <v>0.1</v>
      </c>
      <c r="AR140" s="5252">
        <v>0.1</v>
      </c>
      <c r="AS140" s="5252">
        <v>0.1</v>
      </c>
      <c r="AT140" s="5252">
        <v>0.1</v>
      </c>
      <c r="AU140" s="5252">
        <v>0.1</v>
      </c>
      <c r="AV140" s="5252">
        <v>0.1</v>
      </c>
      <c r="AW140" s="5252">
        <v>0.1</v>
      </c>
      <c r="AX140" s="5252">
        <v>0.1</v>
      </c>
      <c r="AY140" s="5252">
        <v>1</v>
      </c>
      <c r="AZ140" s="5242" t="s">
        <v>7442</v>
      </c>
      <c r="BA140" s="3899" t="s">
        <v>10290</v>
      </c>
      <c r="BB140" s="5242" t="s">
        <v>7443</v>
      </c>
      <c r="BC140" s="5242"/>
      <c r="BD140" s="5242" t="s">
        <v>7407</v>
      </c>
      <c r="BE140" s="5242" t="s">
        <v>7403</v>
      </c>
      <c r="BF140" s="5242" t="s">
        <v>7403</v>
      </c>
      <c r="BG140" s="5242" t="s">
        <v>7404</v>
      </c>
      <c r="BH140" s="7382" t="s">
        <v>7407</v>
      </c>
      <c r="BI140" s="3451"/>
      <c r="BJ140" s="3766"/>
      <c r="BK140" s="3470"/>
      <c r="BL140" s="3470"/>
      <c r="BM140" s="3470"/>
      <c r="BN140" s="3470"/>
      <c r="BO140" s="3470"/>
      <c r="BP140" s="3470"/>
      <c r="BQ140" s="3470"/>
      <c r="BR140" s="3470"/>
      <c r="BS140" s="3470"/>
      <c r="BT140" s="3470"/>
      <c r="BU140" s="3470"/>
      <c r="BV140" s="3470"/>
      <c r="BW140" s="3470"/>
      <c r="BX140" s="3470"/>
      <c r="BY140" s="3470"/>
      <c r="BZ140" s="3470"/>
      <c r="CA140" s="3470"/>
      <c r="CB140" s="3470"/>
      <c r="CC140" s="3470"/>
      <c r="CD140" s="3470"/>
      <c r="CE140" s="3470"/>
      <c r="CF140" s="3470"/>
      <c r="CG140" s="3470"/>
      <c r="CH140" s="3470"/>
      <c r="CI140" s="3470"/>
      <c r="CJ140" s="3470"/>
      <c r="CK140" s="3470"/>
      <c r="CL140" s="3470"/>
      <c r="CM140" s="3470"/>
      <c r="CN140" s="3470"/>
      <c r="CO140" s="3470"/>
      <c r="CP140" s="3470"/>
      <c r="CQ140" s="3470"/>
      <c r="CR140" s="3470"/>
      <c r="CS140" s="3470"/>
      <c r="CT140" s="3470"/>
      <c r="CU140" s="3470"/>
      <c r="CV140" s="3470"/>
      <c r="CW140" s="3470"/>
      <c r="CX140" s="3470"/>
      <c r="CY140" s="3470"/>
      <c r="CZ140" s="3470"/>
      <c r="DA140" s="3470"/>
      <c r="DB140" s="3470"/>
      <c r="DC140" s="3475"/>
    </row>
    <row r="141" spans="1:107" s="1810" customFormat="1" ht="15" customHeight="1">
      <c r="A141" s="17035"/>
      <c r="B141" s="17038"/>
      <c r="C141" s="17038"/>
      <c r="D141" s="17038"/>
      <c r="E141" s="17038"/>
      <c r="F141" s="17038"/>
      <c r="G141" s="17038"/>
      <c r="H141" s="17038"/>
      <c r="I141" s="17038"/>
      <c r="J141" s="17038"/>
      <c r="K141" s="17038"/>
      <c r="L141" s="17038"/>
      <c r="M141" s="17038"/>
      <c r="N141" s="17038"/>
      <c r="O141" s="17038"/>
      <c r="P141" s="17038"/>
      <c r="Q141" s="17041"/>
      <c r="R141" s="17017"/>
      <c r="S141" s="15619"/>
      <c r="T141" s="15619"/>
      <c r="U141" s="15619"/>
      <c r="V141" s="15619"/>
      <c r="W141" s="15619"/>
      <c r="X141" s="15911"/>
      <c r="Y141" s="15911"/>
      <c r="Z141" s="15911"/>
      <c r="AA141" s="15911"/>
      <c r="AB141" s="15911"/>
      <c r="AC141" s="15911"/>
      <c r="AD141" s="15911"/>
      <c r="AE141" s="15911"/>
      <c r="AF141" s="15911"/>
      <c r="AG141" s="15911"/>
      <c r="AH141" s="15911"/>
      <c r="AI141" s="15619"/>
      <c r="AJ141" s="15619" t="s">
        <v>8377</v>
      </c>
      <c r="AK141" s="15619" t="s">
        <v>7444</v>
      </c>
      <c r="AL141" s="15619" t="s">
        <v>7445</v>
      </c>
      <c r="AM141" s="15619" t="s">
        <v>6804</v>
      </c>
      <c r="AN141" s="15619">
        <v>0</v>
      </c>
      <c r="AO141" s="15619">
        <v>1</v>
      </c>
      <c r="AP141" s="15619">
        <v>1</v>
      </c>
      <c r="AQ141" s="15619">
        <v>1</v>
      </c>
      <c r="AR141" s="15619">
        <v>1</v>
      </c>
      <c r="AS141" s="15619">
        <v>1</v>
      </c>
      <c r="AT141" s="15619">
        <v>1</v>
      </c>
      <c r="AU141" s="15619">
        <v>1</v>
      </c>
      <c r="AV141" s="15619">
        <v>1</v>
      </c>
      <c r="AW141" s="15619">
        <v>1</v>
      </c>
      <c r="AX141" s="15619">
        <v>1</v>
      </c>
      <c r="AY141" s="15619">
        <v>10</v>
      </c>
      <c r="AZ141" s="15619" t="s">
        <v>7422</v>
      </c>
      <c r="BA141" s="3899" t="s">
        <v>10290</v>
      </c>
      <c r="BB141" s="15619" t="s">
        <v>7446</v>
      </c>
      <c r="BC141" s="5242"/>
      <c r="BD141" s="5242" t="s">
        <v>7411</v>
      </c>
      <c r="BE141" s="5242" t="s">
        <v>7403</v>
      </c>
      <c r="BF141" s="5242" t="s">
        <v>7403</v>
      </c>
      <c r="BG141" s="5242" t="s">
        <v>7404</v>
      </c>
      <c r="BH141" s="7382" t="s">
        <v>7411</v>
      </c>
      <c r="BI141" s="3451"/>
      <c r="BJ141" s="3766"/>
      <c r="BK141" s="3470"/>
      <c r="BL141" s="3470"/>
      <c r="BM141" s="3470"/>
      <c r="BN141" s="3470"/>
      <c r="BO141" s="3470"/>
      <c r="BP141" s="3470"/>
      <c r="BQ141" s="3470"/>
      <c r="BR141" s="3470"/>
      <c r="BS141" s="3470"/>
      <c r="BT141" s="3470"/>
      <c r="BU141" s="3470"/>
      <c r="BV141" s="3470"/>
      <c r="BW141" s="3470"/>
      <c r="BX141" s="3470"/>
      <c r="BY141" s="3470"/>
      <c r="BZ141" s="3470"/>
      <c r="CA141" s="3470"/>
      <c r="CB141" s="3470"/>
      <c r="CC141" s="3470"/>
      <c r="CD141" s="3470"/>
      <c r="CE141" s="3470"/>
      <c r="CF141" s="3470"/>
      <c r="CG141" s="3470"/>
      <c r="CH141" s="3470"/>
      <c r="CI141" s="3470"/>
      <c r="CJ141" s="3470"/>
      <c r="CK141" s="3470"/>
      <c r="CL141" s="3470"/>
      <c r="CM141" s="3470"/>
      <c r="CN141" s="3470"/>
      <c r="CO141" s="3470"/>
      <c r="CP141" s="3470"/>
      <c r="CQ141" s="3470"/>
      <c r="CR141" s="3470"/>
      <c r="CS141" s="3470"/>
      <c r="CT141" s="3470"/>
      <c r="CU141" s="3470"/>
      <c r="CV141" s="3470"/>
      <c r="CW141" s="3470"/>
      <c r="CX141" s="3470"/>
      <c r="CY141" s="3470"/>
      <c r="CZ141" s="3470"/>
      <c r="DA141" s="3470"/>
      <c r="DB141" s="3470"/>
      <c r="DC141" s="3475"/>
    </row>
    <row r="142" spans="1:107" s="1810" customFormat="1" ht="15" customHeight="1">
      <c r="A142" s="17035"/>
      <c r="B142" s="17038"/>
      <c r="C142" s="17038"/>
      <c r="D142" s="17038"/>
      <c r="E142" s="17038"/>
      <c r="F142" s="17038"/>
      <c r="G142" s="17038"/>
      <c r="H142" s="17038"/>
      <c r="I142" s="17038"/>
      <c r="J142" s="17038"/>
      <c r="K142" s="17038"/>
      <c r="L142" s="17038"/>
      <c r="M142" s="17038"/>
      <c r="N142" s="17038"/>
      <c r="O142" s="17038"/>
      <c r="P142" s="17038"/>
      <c r="Q142" s="17041"/>
      <c r="R142" s="17017"/>
      <c r="S142" s="15619"/>
      <c r="T142" s="15619"/>
      <c r="U142" s="15619"/>
      <c r="V142" s="15619"/>
      <c r="W142" s="15619"/>
      <c r="X142" s="15911"/>
      <c r="Y142" s="15911"/>
      <c r="Z142" s="15911"/>
      <c r="AA142" s="15911"/>
      <c r="AB142" s="15911"/>
      <c r="AC142" s="15911"/>
      <c r="AD142" s="15911"/>
      <c r="AE142" s="15911"/>
      <c r="AF142" s="15911"/>
      <c r="AG142" s="15911"/>
      <c r="AH142" s="15911"/>
      <c r="AI142" s="15619"/>
      <c r="AJ142" s="15619"/>
      <c r="AK142" s="15619"/>
      <c r="AL142" s="15619"/>
      <c r="AM142" s="15619"/>
      <c r="AN142" s="15619"/>
      <c r="AO142" s="15619"/>
      <c r="AP142" s="15619"/>
      <c r="AQ142" s="15619"/>
      <c r="AR142" s="15619"/>
      <c r="AS142" s="15619"/>
      <c r="AT142" s="15619"/>
      <c r="AU142" s="15619"/>
      <c r="AV142" s="15619"/>
      <c r="AW142" s="15619"/>
      <c r="AX142" s="15619"/>
      <c r="AY142" s="15619"/>
      <c r="AZ142" s="15619"/>
      <c r="BA142" s="3899" t="s">
        <v>10057</v>
      </c>
      <c r="BB142" s="15619"/>
      <c r="BC142" s="5242"/>
      <c r="BD142" s="5242"/>
      <c r="BE142" s="5242"/>
      <c r="BF142" s="5242"/>
      <c r="BG142" s="5242"/>
      <c r="BH142" s="7382"/>
      <c r="BI142" s="3451"/>
      <c r="BJ142" s="3766"/>
      <c r="BK142" s="3470"/>
      <c r="BL142" s="3470"/>
      <c r="BM142" s="3470"/>
      <c r="BN142" s="3470"/>
      <c r="BO142" s="3470"/>
      <c r="BP142" s="3470"/>
      <c r="BQ142" s="3470"/>
      <c r="BR142" s="3470"/>
      <c r="BS142" s="3470"/>
      <c r="BT142" s="3470"/>
      <c r="BU142" s="3470"/>
      <c r="BV142" s="3470"/>
      <c r="BW142" s="3470"/>
      <c r="BX142" s="3470"/>
      <c r="BY142" s="3470"/>
      <c r="BZ142" s="3470"/>
      <c r="CA142" s="3470"/>
      <c r="CB142" s="3470"/>
      <c r="CC142" s="3470"/>
      <c r="CD142" s="3470"/>
      <c r="CE142" s="3470"/>
      <c r="CF142" s="3470"/>
      <c r="CG142" s="3470"/>
      <c r="CH142" s="3470"/>
      <c r="CI142" s="3470"/>
      <c r="CJ142" s="3470"/>
      <c r="CK142" s="3470"/>
      <c r="CL142" s="3470"/>
      <c r="CM142" s="3470"/>
      <c r="CN142" s="3470"/>
      <c r="CO142" s="3470"/>
      <c r="CP142" s="3470"/>
      <c r="CQ142" s="3470"/>
      <c r="CR142" s="3470"/>
      <c r="CS142" s="3470"/>
      <c r="CT142" s="3470"/>
      <c r="CU142" s="3470"/>
      <c r="CV142" s="3470"/>
      <c r="CW142" s="3470"/>
      <c r="CX142" s="3470"/>
      <c r="CY142" s="3470"/>
      <c r="CZ142" s="3470"/>
      <c r="DA142" s="3470"/>
      <c r="DB142" s="3470"/>
      <c r="DC142" s="3475"/>
    </row>
    <row r="143" spans="1:107" s="1810" customFormat="1" ht="15" customHeight="1">
      <c r="A143" s="17035"/>
      <c r="B143" s="17038"/>
      <c r="C143" s="17038"/>
      <c r="D143" s="17038"/>
      <c r="E143" s="17038"/>
      <c r="F143" s="17038"/>
      <c r="G143" s="17038"/>
      <c r="H143" s="17038"/>
      <c r="I143" s="17038"/>
      <c r="J143" s="17038"/>
      <c r="K143" s="17038"/>
      <c r="L143" s="17038"/>
      <c r="M143" s="17038"/>
      <c r="N143" s="17038"/>
      <c r="O143" s="17038"/>
      <c r="P143" s="17038"/>
      <c r="Q143" s="17041"/>
      <c r="R143" s="17017"/>
      <c r="S143" s="15619"/>
      <c r="T143" s="15619"/>
      <c r="U143" s="15619"/>
      <c r="V143" s="15619"/>
      <c r="W143" s="15619"/>
      <c r="X143" s="15911"/>
      <c r="Y143" s="15911"/>
      <c r="Z143" s="15911"/>
      <c r="AA143" s="15911"/>
      <c r="AB143" s="15911"/>
      <c r="AC143" s="15911"/>
      <c r="AD143" s="15911"/>
      <c r="AE143" s="15911"/>
      <c r="AF143" s="15911"/>
      <c r="AG143" s="15911"/>
      <c r="AH143" s="15911"/>
      <c r="AI143" s="15619"/>
      <c r="AJ143" s="5242" t="s">
        <v>8378</v>
      </c>
      <c r="AK143" s="2646" t="s">
        <v>7447</v>
      </c>
      <c r="AL143" s="5242" t="s">
        <v>7448</v>
      </c>
      <c r="AM143" s="5242" t="s">
        <v>6785</v>
      </c>
      <c r="AN143" s="5242">
        <v>1</v>
      </c>
      <c r="AO143" s="5242">
        <v>1</v>
      </c>
      <c r="AP143" s="5242">
        <v>1</v>
      </c>
      <c r="AQ143" s="5242">
        <v>1</v>
      </c>
      <c r="AR143" s="5242">
        <v>1</v>
      </c>
      <c r="AS143" s="5242">
        <v>1</v>
      </c>
      <c r="AT143" s="5242">
        <v>1</v>
      </c>
      <c r="AU143" s="5242">
        <v>1</v>
      </c>
      <c r="AV143" s="5242">
        <v>1</v>
      </c>
      <c r="AW143" s="5242">
        <v>1</v>
      </c>
      <c r="AX143" s="5242">
        <v>1</v>
      </c>
      <c r="AY143" s="5242">
        <v>10</v>
      </c>
      <c r="AZ143" s="5242" t="s">
        <v>7422</v>
      </c>
      <c r="BA143" s="3899" t="s">
        <v>10290</v>
      </c>
      <c r="BB143" s="5242" t="s">
        <v>7351</v>
      </c>
      <c r="BC143" s="5242"/>
      <c r="BD143" s="5242" t="s">
        <v>7411</v>
      </c>
      <c r="BE143" s="5242" t="s">
        <v>7403</v>
      </c>
      <c r="BF143" s="5242" t="s">
        <v>7403</v>
      </c>
      <c r="BG143" s="5242" t="s">
        <v>7404</v>
      </c>
      <c r="BH143" s="7382" t="s">
        <v>7411</v>
      </c>
      <c r="BI143" s="3451"/>
      <c r="BJ143" s="3766"/>
      <c r="BK143" s="3470"/>
      <c r="BL143" s="3470"/>
      <c r="BM143" s="3470"/>
      <c r="BN143" s="3470"/>
      <c r="BO143" s="3470"/>
      <c r="BP143" s="3470"/>
      <c r="BQ143" s="3470"/>
      <c r="BR143" s="3470"/>
      <c r="BS143" s="3470"/>
      <c r="BT143" s="3470"/>
      <c r="BU143" s="3470"/>
      <c r="BV143" s="3470"/>
      <c r="BW143" s="3470"/>
      <c r="BX143" s="3470"/>
      <c r="BY143" s="3470"/>
      <c r="BZ143" s="3470"/>
      <c r="CA143" s="3470"/>
      <c r="CB143" s="3470"/>
      <c r="CC143" s="3470"/>
      <c r="CD143" s="3470"/>
      <c r="CE143" s="3470"/>
      <c r="CF143" s="3470"/>
      <c r="CG143" s="3470"/>
      <c r="CH143" s="3470"/>
      <c r="CI143" s="3470"/>
      <c r="CJ143" s="3470"/>
      <c r="CK143" s="3470"/>
      <c r="CL143" s="3470"/>
      <c r="CM143" s="3470"/>
      <c r="CN143" s="3470"/>
      <c r="CO143" s="3470"/>
      <c r="CP143" s="3470"/>
      <c r="CQ143" s="3470"/>
      <c r="CR143" s="3470"/>
      <c r="CS143" s="3470"/>
      <c r="CT143" s="3470"/>
      <c r="CU143" s="3470"/>
      <c r="CV143" s="3470"/>
      <c r="CW143" s="3470"/>
      <c r="CX143" s="3470"/>
      <c r="CY143" s="3470"/>
      <c r="CZ143" s="3470"/>
      <c r="DA143" s="3470"/>
      <c r="DB143" s="3470"/>
      <c r="DC143" s="3475"/>
    </row>
    <row r="144" spans="1:107" s="1810" customFormat="1" ht="15" customHeight="1">
      <c r="A144" s="17035"/>
      <c r="B144" s="17038"/>
      <c r="C144" s="17038"/>
      <c r="D144" s="17038"/>
      <c r="E144" s="17038"/>
      <c r="F144" s="17038"/>
      <c r="G144" s="17038"/>
      <c r="H144" s="17038"/>
      <c r="I144" s="17038"/>
      <c r="J144" s="17038"/>
      <c r="K144" s="17038"/>
      <c r="L144" s="17038"/>
      <c r="M144" s="17038"/>
      <c r="N144" s="17038"/>
      <c r="O144" s="17038"/>
      <c r="P144" s="17038"/>
      <c r="Q144" s="17041"/>
      <c r="R144" s="17017"/>
      <c r="S144" s="15619"/>
      <c r="T144" s="15619"/>
      <c r="U144" s="15619"/>
      <c r="V144" s="15619"/>
      <c r="W144" s="15619"/>
      <c r="X144" s="15911"/>
      <c r="Y144" s="15911"/>
      <c r="Z144" s="15911"/>
      <c r="AA144" s="15911"/>
      <c r="AB144" s="15911"/>
      <c r="AC144" s="15911"/>
      <c r="AD144" s="15911"/>
      <c r="AE144" s="15911"/>
      <c r="AF144" s="15911"/>
      <c r="AG144" s="15911"/>
      <c r="AH144" s="15911"/>
      <c r="AI144" s="15619"/>
      <c r="AJ144" s="15619" t="s">
        <v>8379</v>
      </c>
      <c r="AK144" s="15619" t="s">
        <v>7449</v>
      </c>
      <c r="AL144" s="15619" t="s">
        <v>7450</v>
      </c>
      <c r="AM144" s="15619" t="s">
        <v>6785</v>
      </c>
      <c r="AN144" s="15619">
        <v>1</v>
      </c>
      <c r="AO144" s="15619">
        <v>1</v>
      </c>
      <c r="AP144" s="15619">
        <v>1</v>
      </c>
      <c r="AQ144" s="15619">
        <v>1</v>
      </c>
      <c r="AR144" s="15619">
        <v>1</v>
      </c>
      <c r="AS144" s="15619">
        <v>1</v>
      </c>
      <c r="AT144" s="15619">
        <v>1</v>
      </c>
      <c r="AU144" s="15619">
        <v>1</v>
      </c>
      <c r="AV144" s="15619">
        <v>1</v>
      </c>
      <c r="AW144" s="15619">
        <v>1</v>
      </c>
      <c r="AX144" s="15619">
        <v>1</v>
      </c>
      <c r="AY144" s="15619">
        <v>1</v>
      </c>
      <c r="AZ144" s="15619" t="s">
        <v>7422</v>
      </c>
      <c r="BA144" s="3899" t="s">
        <v>10066</v>
      </c>
      <c r="BB144" s="15619" t="s">
        <v>7451</v>
      </c>
      <c r="BC144" s="5242"/>
      <c r="BD144" s="5242" t="s">
        <v>7452</v>
      </c>
      <c r="BE144" s="5242" t="s">
        <v>7403</v>
      </c>
      <c r="BF144" s="5242" t="s">
        <v>7403</v>
      </c>
      <c r="BG144" s="5242" t="s">
        <v>7404</v>
      </c>
      <c r="BH144" s="7382" t="s">
        <v>7452</v>
      </c>
      <c r="BI144" s="3451"/>
      <c r="BJ144" s="3766"/>
      <c r="BK144" s="3470"/>
      <c r="BL144" s="3470"/>
      <c r="BM144" s="3470"/>
      <c r="BN144" s="3470"/>
      <c r="BO144" s="3470"/>
      <c r="BP144" s="3470"/>
      <c r="BQ144" s="3470"/>
      <c r="BR144" s="3470"/>
      <c r="BS144" s="3470"/>
      <c r="BT144" s="3470"/>
      <c r="BU144" s="3470"/>
      <c r="BV144" s="3470"/>
      <c r="BW144" s="3470"/>
      <c r="BX144" s="3470"/>
      <c r="BY144" s="3470"/>
      <c r="BZ144" s="3470"/>
      <c r="CA144" s="3470"/>
      <c r="CB144" s="3470"/>
      <c r="CC144" s="3470"/>
      <c r="CD144" s="3470"/>
      <c r="CE144" s="3470"/>
      <c r="CF144" s="3470"/>
      <c r="CG144" s="3470"/>
      <c r="CH144" s="3470"/>
      <c r="CI144" s="3470"/>
      <c r="CJ144" s="3470"/>
      <c r="CK144" s="3470"/>
      <c r="CL144" s="3470"/>
      <c r="CM144" s="3470"/>
      <c r="CN144" s="3470"/>
      <c r="CO144" s="3470"/>
      <c r="CP144" s="3470"/>
      <c r="CQ144" s="3470"/>
      <c r="CR144" s="3470"/>
      <c r="CS144" s="3470"/>
      <c r="CT144" s="3470"/>
      <c r="CU144" s="3470"/>
      <c r="CV144" s="3470"/>
      <c r="CW144" s="3470"/>
      <c r="CX144" s="3470"/>
      <c r="CY144" s="3470"/>
      <c r="CZ144" s="3470"/>
      <c r="DA144" s="3470"/>
      <c r="DB144" s="3470"/>
      <c r="DC144" s="3475"/>
    </row>
    <row r="145" spans="1:107" s="1810" customFormat="1" ht="15" customHeight="1">
      <c r="A145" s="17035"/>
      <c r="B145" s="17038"/>
      <c r="C145" s="17038"/>
      <c r="D145" s="17038"/>
      <c r="E145" s="17038"/>
      <c r="F145" s="17038"/>
      <c r="G145" s="17038"/>
      <c r="H145" s="17038"/>
      <c r="I145" s="17038"/>
      <c r="J145" s="17038"/>
      <c r="K145" s="17038"/>
      <c r="L145" s="17038"/>
      <c r="M145" s="17038"/>
      <c r="N145" s="17038"/>
      <c r="O145" s="17038"/>
      <c r="P145" s="17038"/>
      <c r="Q145" s="17041"/>
      <c r="R145" s="17017"/>
      <c r="S145" s="15619"/>
      <c r="T145" s="15619"/>
      <c r="U145" s="15619"/>
      <c r="V145" s="15619"/>
      <c r="W145" s="15619"/>
      <c r="X145" s="15911"/>
      <c r="Y145" s="15911"/>
      <c r="Z145" s="15911"/>
      <c r="AA145" s="15911"/>
      <c r="AB145" s="15911"/>
      <c r="AC145" s="15911"/>
      <c r="AD145" s="15911"/>
      <c r="AE145" s="15911"/>
      <c r="AF145" s="15911"/>
      <c r="AG145" s="15911"/>
      <c r="AH145" s="15911"/>
      <c r="AI145" s="15619"/>
      <c r="AJ145" s="15619"/>
      <c r="AK145" s="15619"/>
      <c r="AL145" s="15619"/>
      <c r="AM145" s="15619"/>
      <c r="AN145" s="15619"/>
      <c r="AO145" s="15619"/>
      <c r="AP145" s="15619"/>
      <c r="AQ145" s="15619"/>
      <c r="AR145" s="15619"/>
      <c r="AS145" s="15619"/>
      <c r="AT145" s="15619"/>
      <c r="AU145" s="15619"/>
      <c r="AV145" s="15619"/>
      <c r="AW145" s="15619"/>
      <c r="AX145" s="15619"/>
      <c r="AY145" s="15619"/>
      <c r="AZ145" s="15619"/>
      <c r="BA145" s="3899" t="s">
        <v>10290</v>
      </c>
      <c r="BB145" s="15619"/>
      <c r="BC145" s="5242"/>
      <c r="BD145" s="5242"/>
      <c r="BE145" s="5242"/>
      <c r="BF145" s="5242"/>
      <c r="BG145" s="5242"/>
      <c r="BH145" s="7382"/>
      <c r="BI145" s="3451"/>
      <c r="BJ145" s="3766"/>
      <c r="BK145" s="3470"/>
      <c r="BL145" s="3470"/>
      <c r="BM145" s="3470"/>
      <c r="BN145" s="3470"/>
      <c r="BO145" s="3470"/>
      <c r="BP145" s="3470"/>
      <c r="BQ145" s="3470"/>
      <c r="BR145" s="3470"/>
      <c r="BS145" s="3470"/>
      <c r="BT145" s="3470"/>
      <c r="BU145" s="3470"/>
      <c r="BV145" s="3470"/>
      <c r="BW145" s="3470"/>
      <c r="BX145" s="3470"/>
      <c r="BY145" s="3470"/>
      <c r="BZ145" s="3470"/>
      <c r="CA145" s="3470"/>
      <c r="CB145" s="3470"/>
      <c r="CC145" s="3470"/>
      <c r="CD145" s="3470"/>
      <c r="CE145" s="3470"/>
      <c r="CF145" s="3470"/>
      <c r="CG145" s="3470"/>
      <c r="CH145" s="3470"/>
      <c r="CI145" s="3470"/>
      <c r="CJ145" s="3470"/>
      <c r="CK145" s="3470"/>
      <c r="CL145" s="3470"/>
      <c r="CM145" s="3470"/>
      <c r="CN145" s="3470"/>
      <c r="CO145" s="3470"/>
      <c r="CP145" s="3470"/>
      <c r="CQ145" s="3470"/>
      <c r="CR145" s="3470"/>
      <c r="CS145" s="3470"/>
      <c r="CT145" s="3470"/>
      <c r="CU145" s="3470"/>
      <c r="CV145" s="3470"/>
      <c r="CW145" s="3470"/>
      <c r="CX145" s="3470"/>
      <c r="CY145" s="3470"/>
      <c r="CZ145" s="3470"/>
      <c r="DA145" s="3470"/>
      <c r="DB145" s="3470"/>
      <c r="DC145" s="3475"/>
    </row>
    <row r="146" spans="1:107" s="1810" customFormat="1" ht="15" customHeight="1">
      <c r="A146" s="17035"/>
      <c r="B146" s="17038"/>
      <c r="C146" s="17038"/>
      <c r="D146" s="17038"/>
      <c r="E146" s="17038"/>
      <c r="F146" s="17038"/>
      <c r="G146" s="17038"/>
      <c r="H146" s="17038"/>
      <c r="I146" s="17038"/>
      <c r="J146" s="17038"/>
      <c r="K146" s="17038"/>
      <c r="L146" s="17038"/>
      <c r="M146" s="17038"/>
      <c r="N146" s="17038"/>
      <c r="O146" s="17038"/>
      <c r="P146" s="17038"/>
      <c r="Q146" s="17041"/>
      <c r="R146" s="17017"/>
      <c r="S146" s="15619"/>
      <c r="T146" s="15619"/>
      <c r="U146" s="15619"/>
      <c r="V146" s="15619"/>
      <c r="W146" s="15619"/>
      <c r="X146" s="15911"/>
      <c r="Y146" s="15911"/>
      <c r="Z146" s="15911"/>
      <c r="AA146" s="15911"/>
      <c r="AB146" s="15911"/>
      <c r="AC146" s="15911"/>
      <c r="AD146" s="15911"/>
      <c r="AE146" s="15911"/>
      <c r="AF146" s="15911"/>
      <c r="AG146" s="15911"/>
      <c r="AH146" s="15911"/>
      <c r="AI146" s="15619"/>
      <c r="AJ146" s="15619" t="s">
        <v>8380</v>
      </c>
      <c r="AK146" s="15619" t="s">
        <v>7453</v>
      </c>
      <c r="AL146" s="15619" t="s">
        <v>7454</v>
      </c>
      <c r="AM146" s="15619" t="s">
        <v>382</v>
      </c>
      <c r="AN146" s="15619">
        <v>1</v>
      </c>
      <c r="AO146" s="15619">
        <v>1</v>
      </c>
      <c r="AP146" s="15619">
        <v>1</v>
      </c>
      <c r="AQ146" s="15619">
        <v>1</v>
      </c>
      <c r="AR146" s="15619">
        <v>1</v>
      </c>
      <c r="AS146" s="15619">
        <v>1</v>
      </c>
      <c r="AT146" s="15619">
        <v>1</v>
      </c>
      <c r="AU146" s="15619">
        <v>1</v>
      </c>
      <c r="AV146" s="15619">
        <v>1</v>
      </c>
      <c r="AW146" s="15619">
        <v>1</v>
      </c>
      <c r="AX146" s="15619">
        <v>1</v>
      </c>
      <c r="AY146" s="15619">
        <v>1</v>
      </c>
      <c r="AZ146" s="15619" t="s">
        <v>7454</v>
      </c>
      <c r="BA146" s="3899" t="s">
        <v>10290</v>
      </c>
      <c r="BB146" s="5242" t="s">
        <v>10327</v>
      </c>
      <c r="BC146" s="5242"/>
      <c r="BD146" s="4277">
        <v>5000000</v>
      </c>
      <c r="BE146" s="7150"/>
      <c r="BF146" s="7150"/>
      <c r="BG146" s="7150"/>
      <c r="BH146" s="7393">
        <v>5000000</v>
      </c>
      <c r="BI146" s="3456"/>
      <c r="BJ146" s="3766"/>
      <c r="BK146" s="3470"/>
      <c r="BL146" s="3470"/>
      <c r="BM146" s="3470"/>
      <c r="BN146" s="3470"/>
      <c r="BO146" s="3470"/>
      <c r="BP146" s="3470"/>
      <c r="BQ146" s="3470"/>
      <c r="BR146" s="3470"/>
      <c r="BS146" s="3470"/>
      <c r="BT146" s="3470"/>
      <c r="BU146" s="3470"/>
      <c r="BV146" s="3470"/>
      <c r="BW146" s="3470"/>
      <c r="BX146" s="3470"/>
      <c r="BY146" s="3470"/>
      <c r="BZ146" s="3470"/>
      <c r="CA146" s="3470"/>
      <c r="CB146" s="3470"/>
      <c r="CC146" s="3470"/>
      <c r="CD146" s="3470"/>
      <c r="CE146" s="3470"/>
      <c r="CF146" s="3470"/>
      <c r="CG146" s="3470"/>
      <c r="CH146" s="3470"/>
      <c r="CI146" s="3470"/>
      <c r="CJ146" s="3470"/>
      <c r="CK146" s="3470"/>
      <c r="CL146" s="3470"/>
      <c r="CM146" s="3470"/>
      <c r="CN146" s="3470"/>
      <c r="CO146" s="3470"/>
      <c r="CP146" s="3470"/>
      <c r="CQ146" s="3470"/>
      <c r="CR146" s="3470"/>
      <c r="CS146" s="3470"/>
      <c r="CT146" s="3470"/>
      <c r="CU146" s="3470"/>
      <c r="CV146" s="3470"/>
      <c r="CW146" s="3470"/>
      <c r="CX146" s="3470"/>
      <c r="CY146" s="3470"/>
      <c r="CZ146" s="3470"/>
      <c r="DA146" s="3470"/>
      <c r="DB146" s="3470"/>
      <c r="DC146" s="3475"/>
    </row>
    <row r="147" spans="1:107" s="1810" customFormat="1" ht="15" customHeight="1">
      <c r="A147" s="17035"/>
      <c r="B147" s="17038"/>
      <c r="C147" s="17038"/>
      <c r="D147" s="17038"/>
      <c r="E147" s="17038"/>
      <c r="F147" s="17038"/>
      <c r="G147" s="17038"/>
      <c r="H147" s="17038"/>
      <c r="I147" s="17038"/>
      <c r="J147" s="17038"/>
      <c r="K147" s="17038"/>
      <c r="L147" s="17038"/>
      <c r="M147" s="17038"/>
      <c r="N147" s="17038"/>
      <c r="O147" s="17038"/>
      <c r="P147" s="17038"/>
      <c r="Q147" s="17041"/>
      <c r="R147" s="17017"/>
      <c r="S147" s="15619"/>
      <c r="T147" s="15619"/>
      <c r="U147" s="15619"/>
      <c r="V147" s="15619"/>
      <c r="W147" s="15619"/>
      <c r="X147" s="15911"/>
      <c r="Y147" s="15911"/>
      <c r="Z147" s="15911"/>
      <c r="AA147" s="15911"/>
      <c r="AB147" s="15911"/>
      <c r="AC147" s="15911"/>
      <c r="AD147" s="15911"/>
      <c r="AE147" s="15911"/>
      <c r="AF147" s="15911"/>
      <c r="AG147" s="15911"/>
      <c r="AH147" s="15911"/>
      <c r="AI147" s="15619"/>
      <c r="AJ147" s="15619"/>
      <c r="AK147" s="15619"/>
      <c r="AL147" s="15619"/>
      <c r="AM147" s="15619"/>
      <c r="AN147" s="15619"/>
      <c r="AO147" s="15619"/>
      <c r="AP147" s="15619"/>
      <c r="AQ147" s="15619"/>
      <c r="AR147" s="15619"/>
      <c r="AS147" s="15619"/>
      <c r="AT147" s="15619"/>
      <c r="AU147" s="15619"/>
      <c r="AV147" s="15619"/>
      <c r="AW147" s="15619"/>
      <c r="AX147" s="15619"/>
      <c r="AY147" s="15619"/>
      <c r="AZ147" s="15619"/>
      <c r="BA147" s="3899" t="s">
        <v>10194</v>
      </c>
      <c r="BB147" s="5242"/>
      <c r="BC147" s="5242" t="s">
        <v>6878</v>
      </c>
      <c r="BD147" s="4277"/>
      <c r="BE147" s="7150"/>
      <c r="BF147" s="7150"/>
      <c r="BG147" s="7150"/>
      <c r="BH147" s="7393"/>
      <c r="BI147" s="3456"/>
      <c r="BJ147" s="3766"/>
      <c r="BK147" s="3470"/>
      <c r="BL147" s="3470"/>
      <c r="BM147" s="3470"/>
      <c r="BN147" s="3470"/>
      <c r="BO147" s="3470"/>
      <c r="BP147" s="3470"/>
      <c r="BQ147" s="3470"/>
      <c r="BR147" s="3470"/>
      <c r="BS147" s="3470"/>
      <c r="BT147" s="3470"/>
      <c r="BU147" s="3470"/>
      <c r="BV147" s="3470"/>
      <c r="BW147" s="3470"/>
      <c r="BX147" s="3470"/>
      <c r="BY147" s="3470"/>
      <c r="BZ147" s="3470"/>
      <c r="CA147" s="3470"/>
      <c r="CB147" s="3470"/>
      <c r="CC147" s="3470"/>
      <c r="CD147" s="3470"/>
      <c r="CE147" s="3470"/>
      <c r="CF147" s="3470"/>
      <c r="CG147" s="3470"/>
      <c r="CH147" s="3470"/>
      <c r="CI147" s="3470"/>
      <c r="CJ147" s="3470"/>
      <c r="CK147" s="3470"/>
      <c r="CL147" s="3470"/>
      <c r="CM147" s="3470"/>
      <c r="CN147" s="3470"/>
      <c r="CO147" s="3470"/>
      <c r="CP147" s="3470"/>
      <c r="CQ147" s="3470"/>
      <c r="CR147" s="3470"/>
      <c r="CS147" s="3470"/>
      <c r="CT147" s="3470"/>
      <c r="CU147" s="3470"/>
      <c r="CV147" s="3470"/>
      <c r="CW147" s="3470"/>
      <c r="CX147" s="3470"/>
      <c r="CY147" s="3470"/>
      <c r="CZ147" s="3470"/>
      <c r="DA147" s="3470"/>
      <c r="DB147" s="3470"/>
      <c r="DC147" s="3475"/>
    </row>
    <row r="148" spans="1:107" s="1810" customFormat="1" ht="15" customHeight="1">
      <c r="A148" s="17035"/>
      <c r="B148" s="17038"/>
      <c r="C148" s="17038"/>
      <c r="D148" s="17038"/>
      <c r="E148" s="17038"/>
      <c r="F148" s="17038"/>
      <c r="G148" s="17038"/>
      <c r="H148" s="17038"/>
      <c r="I148" s="17038"/>
      <c r="J148" s="17038"/>
      <c r="K148" s="17038"/>
      <c r="L148" s="17038"/>
      <c r="M148" s="17038"/>
      <c r="N148" s="17038"/>
      <c r="O148" s="17038"/>
      <c r="P148" s="17038"/>
      <c r="Q148" s="17041"/>
      <c r="R148" s="17017"/>
      <c r="S148" s="15619"/>
      <c r="T148" s="15619"/>
      <c r="U148" s="15619"/>
      <c r="V148" s="15619"/>
      <c r="W148" s="15619"/>
      <c r="X148" s="15911"/>
      <c r="Y148" s="15911"/>
      <c r="Z148" s="15911"/>
      <c r="AA148" s="15911"/>
      <c r="AB148" s="15911"/>
      <c r="AC148" s="15911"/>
      <c r="AD148" s="15911"/>
      <c r="AE148" s="15911"/>
      <c r="AF148" s="15911"/>
      <c r="AG148" s="15911"/>
      <c r="AH148" s="15911"/>
      <c r="AI148" s="15619"/>
      <c r="AJ148" s="15619" t="s">
        <v>8381</v>
      </c>
      <c r="AK148" s="16997" t="s">
        <v>7455</v>
      </c>
      <c r="AL148" s="15619" t="s">
        <v>7456</v>
      </c>
      <c r="AM148" s="15619" t="s">
        <v>6785</v>
      </c>
      <c r="AN148" s="15619">
        <v>1</v>
      </c>
      <c r="AO148" s="15619">
        <v>1</v>
      </c>
      <c r="AP148" s="15619">
        <v>1</v>
      </c>
      <c r="AQ148" s="15619">
        <v>1</v>
      </c>
      <c r="AR148" s="15619">
        <v>1</v>
      </c>
      <c r="AS148" s="15619">
        <v>1</v>
      </c>
      <c r="AT148" s="15619">
        <v>1</v>
      </c>
      <c r="AU148" s="15619">
        <v>1</v>
      </c>
      <c r="AV148" s="15619">
        <v>1</v>
      </c>
      <c r="AW148" s="15619">
        <v>1</v>
      </c>
      <c r="AX148" s="15619">
        <v>1</v>
      </c>
      <c r="AY148" s="15619">
        <v>11</v>
      </c>
      <c r="AZ148" s="15619" t="s">
        <v>6786</v>
      </c>
      <c r="BA148" s="3899" t="s">
        <v>10066</v>
      </c>
      <c r="BB148" s="15619" t="s">
        <v>7457</v>
      </c>
      <c r="BC148" s="5242"/>
      <c r="BD148" s="15619" t="s">
        <v>7459</v>
      </c>
      <c r="BE148" s="15619" t="s">
        <v>7403</v>
      </c>
      <c r="BF148" s="15619" t="s">
        <v>7403</v>
      </c>
      <c r="BG148" s="15619" t="s">
        <v>7404</v>
      </c>
      <c r="BH148" s="17001" t="s">
        <v>7459</v>
      </c>
      <c r="BI148" s="3451"/>
      <c r="BJ148" s="7399"/>
      <c r="BK148" s="6453"/>
      <c r="BL148" s="6453"/>
      <c r="BM148" s="6453"/>
      <c r="BN148" s="6453"/>
      <c r="BO148" s="6453"/>
      <c r="BP148" s="6453"/>
      <c r="BQ148" s="6453"/>
      <c r="BR148" s="6453"/>
      <c r="BS148" s="6453"/>
      <c r="BT148" s="6453"/>
      <c r="BU148" s="6453"/>
      <c r="BV148" s="6453"/>
      <c r="BW148" s="6453"/>
      <c r="BX148" s="6453"/>
      <c r="BY148" s="6453"/>
      <c r="BZ148" s="6453"/>
      <c r="CA148" s="6453"/>
      <c r="CB148" s="6453"/>
      <c r="CC148" s="6453"/>
      <c r="CD148" s="6453"/>
      <c r="CE148" s="6453"/>
      <c r="CF148" s="6453"/>
      <c r="CG148" s="6453"/>
      <c r="CH148" s="6453"/>
      <c r="CI148" s="6453"/>
      <c r="CJ148" s="6453"/>
      <c r="CK148" s="6453"/>
      <c r="CL148" s="6453"/>
      <c r="CM148" s="6453"/>
      <c r="CN148" s="6453"/>
      <c r="CO148" s="6453"/>
      <c r="CP148" s="6453"/>
      <c r="CQ148" s="6453"/>
      <c r="CR148" s="6453"/>
      <c r="CS148" s="6453"/>
      <c r="CT148" s="6453"/>
      <c r="CU148" s="6453"/>
      <c r="CV148" s="6453"/>
      <c r="CW148" s="6453"/>
      <c r="CX148" s="6453"/>
      <c r="CY148" s="6453"/>
      <c r="CZ148" s="6453"/>
      <c r="DA148" s="6453"/>
      <c r="DB148" s="6453"/>
      <c r="DC148" s="7376"/>
    </row>
    <row r="149" spans="1:107" s="1810" customFormat="1" ht="15" customHeight="1">
      <c r="A149" s="17035"/>
      <c r="B149" s="17038"/>
      <c r="C149" s="17038"/>
      <c r="D149" s="17038"/>
      <c r="E149" s="17038"/>
      <c r="F149" s="17038"/>
      <c r="G149" s="17038"/>
      <c r="H149" s="17038"/>
      <c r="I149" s="17038"/>
      <c r="J149" s="17038"/>
      <c r="K149" s="17038"/>
      <c r="L149" s="17038"/>
      <c r="M149" s="17038"/>
      <c r="N149" s="17038"/>
      <c r="O149" s="17038"/>
      <c r="P149" s="17038"/>
      <c r="Q149" s="17041"/>
      <c r="R149" s="17017"/>
      <c r="S149" s="15619"/>
      <c r="T149" s="15619"/>
      <c r="U149" s="15619"/>
      <c r="V149" s="15619"/>
      <c r="W149" s="15619"/>
      <c r="X149" s="15911"/>
      <c r="Y149" s="15911"/>
      <c r="Z149" s="15911"/>
      <c r="AA149" s="15911"/>
      <c r="AB149" s="15911"/>
      <c r="AC149" s="15911"/>
      <c r="AD149" s="15911"/>
      <c r="AE149" s="15911"/>
      <c r="AF149" s="15911"/>
      <c r="AG149" s="15911"/>
      <c r="AH149" s="15911"/>
      <c r="AI149" s="15619"/>
      <c r="AJ149" s="15619"/>
      <c r="AK149" s="16997"/>
      <c r="AL149" s="15619"/>
      <c r="AM149" s="15619"/>
      <c r="AN149" s="15619"/>
      <c r="AO149" s="15619"/>
      <c r="AP149" s="15619"/>
      <c r="AQ149" s="15619"/>
      <c r="AR149" s="15619"/>
      <c r="AS149" s="15619"/>
      <c r="AT149" s="15619"/>
      <c r="AU149" s="15619"/>
      <c r="AV149" s="15619"/>
      <c r="AW149" s="15619"/>
      <c r="AX149" s="15619"/>
      <c r="AY149" s="15619"/>
      <c r="AZ149" s="15619"/>
      <c r="BA149" s="3899" t="s">
        <v>10290</v>
      </c>
      <c r="BB149" s="15619"/>
      <c r="BC149" s="5242" t="s">
        <v>7458</v>
      </c>
      <c r="BD149" s="15619"/>
      <c r="BE149" s="15619"/>
      <c r="BF149" s="15619"/>
      <c r="BG149" s="15619"/>
      <c r="BH149" s="17001"/>
      <c r="BI149" s="3451"/>
      <c r="BJ149" s="7399"/>
      <c r="BK149" s="6453"/>
      <c r="BL149" s="6453"/>
      <c r="BM149" s="6453"/>
      <c r="BN149" s="6453"/>
      <c r="BO149" s="6453"/>
      <c r="BP149" s="6453"/>
      <c r="BQ149" s="6453"/>
      <c r="BR149" s="6453"/>
      <c r="BS149" s="6453"/>
      <c r="BT149" s="6453"/>
      <c r="BU149" s="6453"/>
      <c r="BV149" s="6453"/>
      <c r="BW149" s="6453"/>
      <c r="BX149" s="6453"/>
      <c r="BY149" s="6453"/>
      <c r="BZ149" s="6453"/>
      <c r="CA149" s="6453"/>
      <c r="CB149" s="6453"/>
      <c r="CC149" s="6453"/>
      <c r="CD149" s="6453"/>
      <c r="CE149" s="6453"/>
      <c r="CF149" s="6453"/>
      <c r="CG149" s="6453"/>
      <c r="CH149" s="6453"/>
      <c r="CI149" s="6453"/>
      <c r="CJ149" s="6453"/>
      <c r="CK149" s="6453"/>
      <c r="CL149" s="6453"/>
      <c r="CM149" s="6453"/>
      <c r="CN149" s="6453"/>
      <c r="CO149" s="6453"/>
      <c r="CP149" s="6453"/>
      <c r="CQ149" s="6453"/>
      <c r="CR149" s="6453"/>
      <c r="CS149" s="6453"/>
      <c r="CT149" s="6453"/>
      <c r="CU149" s="6453"/>
      <c r="CV149" s="6453"/>
      <c r="CW149" s="6453"/>
      <c r="CX149" s="6453"/>
      <c r="CY149" s="6453"/>
      <c r="CZ149" s="6453"/>
      <c r="DA149" s="6453"/>
      <c r="DB149" s="6453"/>
      <c r="DC149" s="7376"/>
    </row>
    <row r="150" spans="1:107" s="1810" customFormat="1" ht="15" customHeight="1">
      <c r="A150" s="17035"/>
      <c r="B150" s="17038"/>
      <c r="C150" s="17038"/>
      <c r="D150" s="17038"/>
      <c r="E150" s="17038"/>
      <c r="F150" s="17038"/>
      <c r="G150" s="17038"/>
      <c r="H150" s="17038"/>
      <c r="I150" s="17038"/>
      <c r="J150" s="17038"/>
      <c r="K150" s="17038"/>
      <c r="L150" s="17038"/>
      <c r="M150" s="17038"/>
      <c r="N150" s="17038"/>
      <c r="O150" s="17038"/>
      <c r="P150" s="17038"/>
      <c r="Q150" s="17041"/>
      <c r="R150" s="17017"/>
      <c r="S150" s="15619"/>
      <c r="T150" s="15619"/>
      <c r="U150" s="15619"/>
      <c r="V150" s="15619"/>
      <c r="W150" s="15619"/>
      <c r="X150" s="15911"/>
      <c r="Y150" s="15911"/>
      <c r="Z150" s="15911"/>
      <c r="AA150" s="15911"/>
      <c r="AB150" s="15911"/>
      <c r="AC150" s="15911"/>
      <c r="AD150" s="15911"/>
      <c r="AE150" s="15911"/>
      <c r="AF150" s="15911"/>
      <c r="AG150" s="15911"/>
      <c r="AH150" s="15911"/>
      <c r="AI150" s="15619"/>
      <c r="AJ150" s="15619" t="s">
        <v>8382</v>
      </c>
      <c r="AK150" s="16997" t="s">
        <v>7460</v>
      </c>
      <c r="AL150" s="15619" t="s">
        <v>7461</v>
      </c>
      <c r="AM150" s="15619" t="s">
        <v>6804</v>
      </c>
      <c r="AN150" s="15619" t="s">
        <v>7462</v>
      </c>
      <c r="AO150" s="15619">
        <v>10</v>
      </c>
      <c r="AP150" s="15619">
        <v>10</v>
      </c>
      <c r="AQ150" s="15619">
        <v>10</v>
      </c>
      <c r="AR150" s="15619">
        <v>10</v>
      </c>
      <c r="AS150" s="15619">
        <v>10</v>
      </c>
      <c r="AT150" s="15619">
        <v>10</v>
      </c>
      <c r="AU150" s="15619">
        <v>10</v>
      </c>
      <c r="AV150" s="15619">
        <v>10</v>
      </c>
      <c r="AW150" s="15619">
        <v>10</v>
      </c>
      <c r="AX150" s="15619">
        <v>10</v>
      </c>
      <c r="AY150" s="15619">
        <v>100</v>
      </c>
      <c r="AZ150" s="15619" t="s">
        <v>6902</v>
      </c>
      <c r="BA150" s="3899" t="s">
        <v>10066</v>
      </c>
      <c r="BB150" s="5242" t="s">
        <v>6787</v>
      </c>
      <c r="BC150" s="5242"/>
      <c r="BD150" s="15619" t="s">
        <v>7464</v>
      </c>
      <c r="BE150" s="15619" t="s">
        <v>7403</v>
      </c>
      <c r="BF150" s="15619" t="s">
        <v>7403</v>
      </c>
      <c r="BG150" s="15619" t="s">
        <v>7404</v>
      </c>
      <c r="BH150" s="17001" t="s">
        <v>7464</v>
      </c>
      <c r="BI150" s="3451"/>
      <c r="BJ150" s="7399"/>
      <c r="BK150" s="6453"/>
      <c r="BL150" s="6453"/>
      <c r="BM150" s="6453"/>
      <c r="BN150" s="6453"/>
      <c r="BO150" s="6453"/>
      <c r="BP150" s="6453"/>
      <c r="BQ150" s="6453"/>
      <c r="BR150" s="6453"/>
      <c r="BS150" s="6453"/>
      <c r="BT150" s="6453"/>
      <c r="BU150" s="6453"/>
      <c r="BV150" s="6453"/>
      <c r="BW150" s="6453"/>
      <c r="BX150" s="6453"/>
      <c r="BY150" s="6453"/>
      <c r="BZ150" s="6453"/>
      <c r="CA150" s="6453"/>
      <c r="CB150" s="6453"/>
      <c r="CC150" s="6453"/>
      <c r="CD150" s="6453"/>
      <c r="CE150" s="6453"/>
      <c r="CF150" s="6453"/>
      <c r="CG150" s="6453"/>
      <c r="CH150" s="6453"/>
      <c r="CI150" s="6453"/>
      <c r="CJ150" s="6453"/>
      <c r="CK150" s="6453"/>
      <c r="CL150" s="6453"/>
      <c r="CM150" s="6453"/>
      <c r="CN150" s="6453"/>
      <c r="CO150" s="6453"/>
      <c r="CP150" s="6453"/>
      <c r="CQ150" s="6453"/>
      <c r="CR150" s="6453"/>
      <c r="CS150" s="6453"/>
      <c r="CT150" s="6453"/>
      <c r="CU150" s="6453"/>
      <c r="CV150" s="6453"/>
      <c r="CW150" s="6453"/>
      <c r="CX150" s="6453"/>
      <c r="CY150" s="6453"/>
      <c r="CZ150" s="6453"/>
      <c r="DA150" s="6453"/>
      <c r="DB150" s="6453"/>
      <c r="DC150" s="7376"/>
    </row>
    <row r="151" spans="1:107" s="1810" customFormat="1" ht="15" customHeight="1">
      <c r="A151" s="17035"/>
      <c r="B151" s="17038"/>
      <c r="C151" s="17038"/>
      <c r="D151" s="17038"/>
      <c r="E151" s="17038"/>
      <c r="F151" s="17038"/>
      <c r="G151" s="17038"/>
      <c r="H151" s="17038"/>
      <c r="I151" s="17038"/>
      <c r="J151" s="17038"/>
      <c r="K151" s="17038"/>
      <c r="L151" s="17038"/>
      <c r="M151" s="17038"/>
      <c r="N151" s="17038"/>
      <c r="O151" s="17038"/>
      <c r="P151" s="17038"/>
      <c r="Q151" s="17041"/>
      <c r="R151" s="17017"/>
      <c r="S151" s="15619"/>
      <c r="T151" s="15619"/>
      <c r="U151" s="15619"/>
      <c r="V151" s="15619"/>
      <c r="W151" s="15619"/>
      <c r="X151" s="15911"/>
      <c r="Y151" s="15911"/>
      <c r="Z151" s="15911"/>
      <c r="AA151" s="15911"/>
      <c r="AB151" s="15911"/>
      <c r="AC151" s="15911"/>
      <c r="AD151" s="15911"/>
      <c r="AE151" s="15911"/>
      <c r="AF151" s="15911"/>
      <c r="AG151" s="15911"/>
      <c r="AH151" s="15911"/>
      <c r="AI151" s="15619"/>
      <c r="AJ151" s="15619"/>
      <c r="AK151" s="16997"/>
      <c r="AL151" s="15619"/>
      <c r="AM151" s="15619"/>
      <c r="AN151" s="15619"/>
      <c r="AO151" s="15619"/>
      <c r="AP151" s="15619"/>
      <c r="AQ151" s="15619"/>
      <c r="AR151" s="15619"/>
      <c r="AS151" s="15619"/>
      <c r="AT151" s="15619"/>
      <c r="AU151" s="15619"/>
      <c r="AV151" s="15619"/>
      <c r="AW151" s="15619"/>
      <c r="AX151" s="15619"/>
      <c r="AY151" s="15619"/>
      <c r="AZ151" s="15619"/>
      <c r="BA151" s="3899" t="s">
        <v>10309</v>
      </c>
      <c r="BB151" s="3470"/>
      <c r="BC151" s="5242" t="s">
        <v>7463</v>
      </c>
      <c r="BD151" s="15619"/>
      <c r="BE151" s="15619"/>
      <c r="BF151" s="15619"/>
      <c r="BG151" s="15619"/>
      <c r="BH151" s="17001"/>
      <c r="BI151" s="3451"/>
      <c r="BJ151" s="7399"/>
      <c r="BK151" s="6453"/>
      <c r="BL151" s="6453"/>
      <c r="BM151" s="6453"/>
      <c r="BN151" s="6453"/>
      <c r="BO151" s="6453"/>
      <c r="BP151" s="6453"/>
      <c r="BQ151" s="6453"/>
      <c r="BR151" s="6453"/>
      <c r="BS151" s="6453"/>
      <c r="BT151" s="6453"/>
      <c r="BU151" s="6453"/>
      <c r="BV151" s="6453"/>
      <c r="BW151" s="6453"/>
      <c r="BX151" s="6453"/>
      <c r="BY151" s="6453"/>
      <c r="BZ151" s="6453"/>
      <c r="CA151" s="6453"/>
      <c r="CB151" s="6453"/>
      <c r="CC151" s="6453"/>
      <c r="CD151" s="6453"/>
      <c r="CE151" s="6453"/>
      <c r="CF151" s="6453"/>
      <c r="CG151" s="6453"/>
      <c r="CH151" s="6453"/>
      <c r="CI151" s="6453"/>
      <c r="CJ151" s="6453"/>
      <c r="CK151" s="6453"/>
      <c r="CL151" s="6453"/>
      <c r="CM151" s="6453"/>
      <c r="CN151" s="6453"/>
      <c r="CO151" s="6453"/>
      <c r="CP151" s="6453"/>
      <c r="CQ151" s="6453"/>
      <c r="CR151" s="6453"/>
      <c r="CS151" s="6453"/>
      <c r="CT151" s="6453"/>
      <c r="CU151" s="6453"/>
      <c r="CV151" s="6453"/>
      <c r="CW151" s="6453"/>
      <c r="CX151" s="6453"/>
      <c r="CY151" s="6453"/>
      <c r="CZ151" s="6453"/>
      <c r="DA151" s="6453"/>
      <c r="DB151" s="6453"/>
      <c r="DC151" s="7376"/>
    </row>
    <row r="152" spans="1:107" s="1810" customFormat="1" ht="15" customHeight="1">
      <c r="A152" s="17035"/>
      <c r="B152" s="17038"/>
      <c r="C152" s="17038"/>
      <c r="D152" s="17038"/>
      <c r="E152" s="17038"/>
      <c r="F152" s="17038"/>
      <c r="G152" s="17038"/>
      <c r="H152" s="17038"/>
      <c r="I152" s="17038"/>
      <c r="J152" s="17038"/>
      <c r="K152" s="17038"/>
      <c r="L152" s="17038"/>
      <c r="M152" s="17038"/>
      <c r="N152" s="17038"/>
      <c r="O152" s="17038"/>
      <c r="P152" s="17038"/>
      <c r="Q152" s="17041"/>
      <c r="R152" s="17017"/>
      <c r="S152" s="15619"/>
      <c r="T152" s="15619"/>
      <c r="U152" s="15619"/>
      <c r="V152" s="15619"/>
      <c r="W152" s="15619"/>
      <c r="X152" s="15911"/>
      <c r="Y152" s="15911"/>
      <c r="Z152" s="15911"/>
      <c r="AA152" s="15911"/>
      <c r="AB152" s="15911"/>
      <c r="AC152" s="15911"/>
      <c r="AD152" s="15911"/>
      <c r="AE152" s="15911"/>
      <c r="AF152" s="15911"/>
      <c r="AG152" s="15911"/>
      <c r="AH152" s="15911"/>
      <c r="AI152" s="15619"/>
      <c r="AJ152" s="5242" t="s">
        <v>8383</v>
      </c>
      <c r="AK152" s="2646" t="s">
        <v>7465</v>
      </c>
      <c r="AL152" s="5242" t="s">
        <v>7466</v>
      </c>
      <c r="AM152" s="5242" t="s">
        <v>6796</v>
      </c>
      <c r="AN152" s="5242">
        <v>0</v>
      </c>
      <c r="AO152" s="5252">
        <v>1</v>
      </c>
      <c r="AP152" s="5252">
        <v>1</v>
      </c>
      <c r="AQ152" s="5252">
        <v>1</v>
      </c>
      <c r="AR152" s="5252">
        <v>1</v>
      </c>
      <c r="AS152" s="5252">
        <v>1</v>
      </c>
      <c r="AT152" s="5252">
        <v>1</v>
      </c>
      <c r="AU152" s="5252">
        <v>1</v>
      </c>
      <c r="AV152" s="5252">
        <v>1</v>
      </c>
      <c r="AW152" s="5252">
        <v>1</v>
      </c>
      <c r="AX152" s="5252">
        <v>1</v>
      </c>
      <c r="AY152" s="5252">
        <v>1</v>
      </c>
      <c r="AZ152" s="5242" t="s">
        <v>6902</v>
      </c>
      <c r="BA152" s="3899" t="s">
        <v>10066</v>
      </c>
      <c r="BB152" s="5242" t="s">
        <v>6787</v>
      </c>
      <c r="BC152" s="5242"/>
      <c r="BD152" s="5242" t="s">
        <v>7467</v>
      </c>
      <c r="BE152" s="5242" t="s">
        <v>7403</v>
      </c>
      <c r="BF152" s="5242" t="s">
        <v>7403</v>
      </c>
      <c r="BG152" s="5242" t="s">
        <v>7404</v>
      </c>
      <c r="BH152" s="7382" t="s">
        <v>7467</v>
      </c>
      <c r="BI152" s="3451"/>
      <c r="BJ152" s="3766"/>
      <c r="BK152" s="3470"/>
      <c r="BL152" s="3470"/>
      <c r="BM152" s="3470"/>
      <c r="BN152" s="3470"/>
      <c r="BO152" s="3470"/>
      <c r="BP152" s="3470"/>
      <c r="BQ152" s="3470"/>
      <c r="BR152" s="3470"/>
      <c r="BS152" s="3470"/>
      <c r="BT152" s="3470"/>
      <c r="BU152" s="3470"/>
      <c r="BV152" s="3470"/>
      <c r="BW152" s="3470"/>
      <c r="BX152" s="3470"/>
      <c r="BY152" s="3470"/>
      <c r="BZ152" s="3470"/>
      <c r="CA152" s="3470"/>
      <c r="CB152" s="3470"/>
      <c r="CC152" s="3470"/>
      <c r="CD152" s="3470"/>
      <c r="CE152" s="3470"/>
      <c r="CF152" s="3470"/>
      <c r="CG152" s="3470"/>
      <c r="CH152" s="3470"/>
      <c r="CI152" s="3470"/>
      <c r="CJ152" s="3470"/>
      <c r="CK152" s="3470"/>
      <c r="CL152" s="3470"/>
      <c r="CM152" s="3470"/>
      <c r="CN152" s="3470"/>
      <c r="CO152" s="3470"/>
      <c r="CP152" s="3470"/>
      <c r="CQ152" s="3470"/>
      <c r="CR152" s="3470"/>
      <c r="CS152" s="3470"/>
      <c r="CT152" s="3470"/>
      <c r="CU152" s="3470"/>
      <c r="CV152" s="3470"/>
      <c r="CW152" s="3470"/>
      <c r="CX152" s="3470"/>
      <c r="CY152" s="3470"/>
      <c r="CZ152" s="3470"/>
      <c r="DA152" s="3470"/>
      <c r="DB152" s="3470"/>
      <c r="DC152" s="3475"/>
    </row>
    <row r="153" spans="1:107" s="1810" customFormat="1" ht="15" customHeight="1">
      <c r="A153" s="17035"/>
      <c r="B153" s="17038"/>
      <c r="C153" s="17038"/>
      <c r="D153" s="17038"/>
      <c r="E153" s="17038"/>
      <c r="F153" s="17038"/>
      <c r="G153" s="17038"/>
      <c r="H153" s="17038"/>
      <c r="I153" s="17038"/>
      <c r="J153" s="17038"/>
      <c r="K153" s="17038"/>
      <c r="L153" s="17038"/>
      <c r="M153" s="17038"/>
      <c r="N153" s="17038"/>
      <c r="O153" s="17038"/>
      <c r="P153" s="17038"/>
      <c r="Q153" s="17041"/>
      <c r="R153" s="17017"/>
      <c r="S153" s="15619"/>
      <c r="T153" s="15619"/>
      <c r="U153" s="15619"/>
      <c r="V153" s="15619"/>
      <c r="W153" s="15619"/>
      <c r="X153" s="15911"/>
      <c r="Y153" s="15911"/>
      <c r="Z153" s="15911"/>
      <c r="AA153" s="15911"/>
      <c r="AB153" s="15911"/>
      <c r="AC153" s="15911"/>
      <c r="AD153" s="15911"/>
      <c r="AE153" s="15911"/>
      <c r="AF153" s="15911"/>
      <c r="AG153" s="15911"/>
      <c r="AH153" s="15911"/>
      <c r="AI153" s="15619"/>
      <c r="AJ153" s="15619" t="s">
        <v>8384</v>
      </c>
      <c r="AK153" s="16997" t="s">
        <v>7468</v>
      </c>
      <c r="AL153" s="15619" t="s">
        <v>7469</v>
      </c>
      <c r="AM153" s="15619" t="s">
        <v>6785</v>
      </c>
      <c r="AN153" s="15619">
        <v>3</v>
      </c>
      <c r="AO153" s="15619">
        <v>3</v>
      </c>
      <c r="AP153" s="15619">
        <v>3</v>
      </c>
      <c r="AQ153" s="15619">
        <v>3</v>
      </c>
      <c r="AR153" s="15619">
        <v>3</v>
      </c>
      <c r="AS153" s="15619">
        <v>3</v>
      </c>
      <c r="AT153" s="15619">
        <v>3</v>
      </c>
      <c r="AU153" s="15619">
        <v>3</v>
      </c>
      <c r="AV153" s="15619">
        <v>3</v>
      </c>
      <c r="AW153" s="15619">
        <v>3</v>
      </c>
      <c r="AX153" s="15619">
        <v>3</v>
      </c>
      <c r="AY153" s="15619">
        <v>33</v>
      </c>
      <c r="AZ153" s="15619" t="s">
        <v>6881</v>
      </c>
      <c r="BA153" s="3899" t="s">
        <v>10290</v>
      </c>
      <c r="BB153" s="5242" t="s">
        <v>6886</v>
      </c>
      <c r="BC153" s="5242"/>
      <c r="BD153" s="15619" t="s">
        <v>6898</v>
      </c>
      <c r="BE153" s="15619" t="s">
        <v>6837</v>
      </c>
      <c r="BF153" s="15619" t="s">
        <v>6838</v>
      </c>
      <c r="BG153" s="15619" t="s">
        <v>6839</v>
      </c>
      <c r="BH153" s="17001" t="s">
        <v>6899</v>
      </c>
      <c r="BI153" s="3451"/>
      <c r="BJ153" s="7399"/>
      <c r="BK153" s="6453"/>
      <c r="BL153" s="6453"/>
      <c r="BM153" s="6453"/>
      <c r="BN153" s="6453"/>
      <c r="BO153" s="6453"/>
      <c r="BP153" s="6453"/>
      <c r="BQ153" s="6453"/>
      <c r="BR153" s="6453"/>
      <c r="BS153" s="6453"/>
      <c r="BT153" s="6453"/>
      <c r="BU153" s="6453"/>
      <c r="BV153" s="6453"/>
      <c r="BW153" s="6453"/>
      <c r="BX153" s="6453"/>
      <c r="BY153" s="6453"/>
      <c r="BZ153" s="6453"/>
      <c r="CA153" s="6453"/>
      <c r="CB153" s="6453"/>
      <c r="CC153" s="6453"/>
      <c r="CD153" s="6453"/>
      <c r="CE153" s="6453"/>
      <c r="CF153" s="6453"/>
      <c r="CG153" s="6453"/>
      <c r="CH153" s="6453"/>
      <c r="CI153" s="6453"/>
      <c r="CJ153" s="6453"/>
      <c r="CK153" s="6453"/>
      <c r="CL153" s="6453"/>
      <c r="CM153" s="6453"/>
      <c r="CN153" s="6453"/>
      <c r="CO153" s="6453"/>
      <c r="CP153" s="6453"/>
      <c r="CQ153" s="6453"/>
      <c r="CR153" s="6453"/>
      <c r="CS153" s="6453"/>
      <c r="CT153" s="6453"/>
      <c r="CU153" s="6453"/>
      <c r="CV153" s="6453"/>
      <c r="CW153" s="6453"/>
      <c r="CX153" s="6453"/>
      <c r="CY153" s="6453"/>
      <c r="CZ153" s="6453"/>
      <c r="DA153" s="6453"/>
      <c r="DB153" s="6453"/>
      <c r="DC153" s="7376"/>
    </row>
    <row r="154" spans="1:107" s="1810" customFormat="1" ht="15" customHeight="1" thickBot="1">
      <c r="A154" s="17035"/>
      <c r="B154" s="17038"/>
      <c r="C154" s="17038"/>
      <c r="D154" s="17038"/>
      <c r="E154" s="17038"/>
      <c r="F154" s="17038"/>
      <c r="G154" s="17038"/>
      <c r="H154" s="17038"/>
      <c r="I154" s="17038"/>
      <c r="J154" s="17038"/>
      <c r="K154" s="17038"/>
      <c r="L154" s="17038"/>
      <c r="M154" s="17038"/>
      <c r="N154" s="17038"/>
      <c r="O154" s="17038"/>
      <c r="P154" s="17038"/>
      <c r="Q154" s="17041"/>
      <c r="R154" s="17018"/>
      <c r="S154" s="15910"/>
      <c r="T154" s="15910"/>
      <c r="U154" s="15910"/>
      <c r="V154" s="15910"/>
      <c r="W154" s="15910"/>
      <c r="X154" s="15912"/>
      <c r="Y154" s="15912"/>
      <c r="Z154" s="15912"/>
      <c r="AA154" s="15912"/>
      <c r="AB154" s="15912"/>
      <c r="AC154" s="15912"/>
      <c r="AD154" s="15912"/>
      <c r="AE154" s="15912"/>
      <c r="AF154" s="15912"/>
      <c r="AG154" s="15912"/>
      <c r="AH154" s="15912"/>
      <c r="AI154" s="15910"/>
      <c r="AJ154" s="15910"/>
      <c r="AK154" s="17002"/>
      <c r="AL154" s="15910"/>
      <c r="AM154" s="15910"/>
      <c r="AN154" s="15910"/>
      <c r="AO154" s="15910"/>
      <c r="AP154" s="15910"/>
      <c r="AQ154" s="15910"/>
      <c r="AR154" s="15910"/>
      <c r="AS154" s="15910"/>
      <c r="AT154" s="15910"/>
      <c r="AU154" s="15910"/>
      <c r="AV154" s="15910"/>
      <c r="AW154" s="15910"/>
      <c r="AX154" s="15910"/>
      <c r="AY154" s="15910"/>
      <c r="AZ154" s="15910"/>
      <c r="BA154" s="7428" t="s">
        <v>10199</v>
      </c>
      <c r="BB154" s="1643"/>
      <c r="BC154" s="5251" t="s">
        <v>7470</v>
      </c>
      <c r="BD154" s="15910"/>
      <c r="BE154" s="15910"/>
      <c r="BF154" s="15910"/>
      <c r="BG154" s="15910"/>
      <c r="BH154" s="17009"/>
      <c r="BI154" s="3451"/>
      <c r="BJ154" s="7400"/>
      <c r="BK154" s="6458"/>
      <c r="BL154" s="6458"/>
      <c r="BM154" s="6458"/>
      <c r="BN154" s="6458"/>
      <c r="BO154" s="6458"/>
      <c r="BP154" s="6458"/>
      <c r="BQ154" s="6458"/>
      <c r="BR154" s="6458"/>
      <c r="BS154" s="6458"/>
      <c r="BT154" s="6458"/>
      <c r="BU154" s="6458"/>
      <c r="BV154" s="6458"/>
      <c r="BW154" s="6458"/>
      <c r="BX154" s="6458"/>
      <c r="BY154" s="6458"/>
      <c r="BZ154" s="6458"/>
      <c r="CA154" s="6458"/>
      <c r="CB154" s="6458"/>
      <c r="CC154" s="6458"/>
      <c r="CD154" s="6458"/>
      <c r="CE154" s="6458"/>
      <c r="CF154" s="6458"/>
      <c r="CG154" s="6458"/>
      <c r="CH154" s="6458"/>
      <c r="CI154" s="6458"/>
      <c r="CJ154" s="6458"/>
      <c r="CK154" s="6458"/>
      <c r="CL154" s="6458"/>
      <c r="CM154" s="6458"/>
      <c r="CN154" s="6458"/>
      <c r="CO154" s="6458"/>
      <c r="CP154" s="6458"/>
      <c r="CQ154" s="6458"/>
      <c r="CR154" s="6458"/>
      <c r="CS154" s="6458"/>
      <c r="CT154" s="6458"/>
      <c r="CU154" s="6458"/>
      <c r="CV154" s="6458"/>
      <c r="CW154" s="6458"/>
      <c r="CX154" s="6458"/>
      <c r="CY154" s="6458"/>
      <c r="CZ154" s="6458"/>
      <c r="DA154" s="6458"/>
      <c r="DB154" s="6458"/>
      <c r="DC154" s="7407"/>
    </row>
    <row r="155" spans="1:107" s="1834" customFormat="1" ht="15" customHeight="1">
      <c r="A155" s="17035"/>
      <c r="B155" s="17038"/>
      <c r="C155" s="17038"/>
      <c r="D155" s="17038"/>
      <c r="E155" s="17038"/>
      <c r="F155" s="17038"/>
      <c r="G155" s="17038"/>
      <c r="H155" s="17038"/>
      <c r="I155" s="17038"/>
      <c r="J155" s="17038"/>
      <c r="K155" s="17038"/>
      <c r="L155" s="17038"/>
      <c r="M155" s="17038"/>
      <c r="N155" s="17038"/>
      <c r="O155" s="17038"/>
      <c r="P155" s="17038"/>
      <c r="Q155" s="17041"/>
      <c r="R155" s="17043" t="s">
        <v>7471</v>
      </c>
      <c r="S155" s="15766" t="s">
        <v>7472</v>
      </c>
      <c r="T155" s="15766" t="s">
        <v>7473</v>
      </c>
      <c r="U155" s="15766" t="s">
        <v>7474</v>
      </c>
      <c r="V155" s="15766" t="s">
        <v>5126</v>
      </c>
      <c r="W155" s="15766" t="s">
        <v>1019</v>
      </c>
      <c r="X155" s="15845">
        <v>0.3</v>
      </c>
      <c r="Y155" s="15845">
        <v>0.3</v>
      </c>
      <c r="Z155" s="15766">
        <v>0.3</v>
      </c>
      <c r="AA155" s="15766">
        <v>0.4</v>
      </c>
      <c r="AB155" s="15766">
        <v>0.4</v>
      </c>
      <c r="AC155" s="15766">
        <v>0.4</v>
      </c>
      <c r="AD155" s="15766">
        <v>0.5</v>
      </c>
      <c r="AE155" s="15766">
        <v>0.5</v>
      </c>
      <c r="AF155" s="15766">
        <v>0.5</v>
      </c>
      <c r="AG155" s="15766">
        <v>0.5</v>
      </c>
      <c r="AH155" s="15766">
        <v>0.5</v>
      </c>
      <c r="AI155" s="15766" t="s">
        <v>6832</v>
      </c>
      <c r="AJ155" s="5241" t="s">
        <v>8361</v>
      </c>
      <c r="AK155" s="7377" t="s">
        <v>7475</v>
      </c>
      <c r="AL155" s="5241" t="s">
        <v>7476</v>
      </c>
      <c r="AM155" s="5241" t="s">
        <v>6785</v>
      </c>
      <c r="AN155" s="7378">
        <v>0.5</v>
      </c>
      <c r="AO155" s="7378">
        <v>1</v>
      </c>
      <c r="AP155" s="7378">
        <v>1</v>
      </c>
      <c r="AQ155" s="7378">
        <v>1</v>
      </c>
      <c r="AR155" s="7378">
        <v>1</v>
      </c>
      <c r="AS155" s="7378">
        <v>1</v>
      </c>
      <c r="AT155" s="7378">
        <v>1</v>
      </c>
      <c r="AU155" s="7378">
        <v>1</v>
      </c>
      <c r="AV155" s="7378">
        <v>1</v>
      </c>
      <c r="AW155" s="7378">
        <v>1</v>
      </c>
      <c r="AX155" s="7378">
        <v>1</v>
      </c>
      <c r="AY155" s="7378">
        <v>1</v>
      </c>
      <c r="AZ155" s="5241" t="s">
        <v>7477</v>
      </c>
      <c r="BA155" s="7429" t="s">
        <v>10066</v>
      </c>
      <c r="BB155" s="5241" t="s">
        <v>6787</v>
      </c>
      <c r="BC155" s="5241"/>
      <c r="BD155" s="5241" t="s">
        <v>7478</v>
      </c>
      <c r="BE155" s="5241" t="s">
        <v>7353</v>
      </c>
      <c r="BF155" s="5241" t="s">
        <v>7353</v>
      </c>
      <c r="BG155" s="5241" t="s">
        <v>7353</v>
      </c>
      <c r="BH155" s="7394" t="s">
        <v>7479</v>
      </c>
      <c r="BI155" s="3451"/>
      <c r="BJ155" s="3859"/>
      <c r="BK155" s="3856"/>
      <c r="BL155" s="3856"/>
      <c r="BM155" s="3856"/>
      <c r="BN155" s="3856"/>
      <c r="BO155" s="3856"/>
      <c r="BP155" s="3856"/>
      <c r="BQ155" s="3856"/>
      <c r="BR155" s="3856"/>
      <c r="BS155" s="3856"/>
      <c r="BT155" s="3856"/>
      <c r="BU155" s="3856"/>
      <c r="BV155" s="3856"/>
      <c r="BW155" s="3856"/>
      <c r="BX155" s="3856"/>
      <c r="BY155" s="3856"/>
      <c r="BZ155" s="3856"/>
      <c r="CA155" s="3856"/>
      <c r="CB155" s="3856"/>
      <c r="CC155" s="3856"/>
      <c r="CD155" s="3856"/>
      <c r="CE155" s="3856"/>
      <c r="CF155" s="3856"/>
      <c r="CG155" s="3856"/>
      <c r="CH155" s="3856"/>
      <c r="CI155" s="3856"/>
      <c r="CJ155" s="3856"/>
      <c r="CK155" s="3856"/>
      <c r="CL155" s="3856"/>
      <c r="CM155" s="3856"/>
      <c r="CN155" s="3856"/>
      <c r="CO155" s="3856"/>
      <c r="CP155" s="3856"/>
      <c r="CQ155" s="3856"/>
      <c r="CR155" s="3856"/>
      <c r="CS155" s="3856"/>
      <c r="CT155" s="3856"/>
      <c r="CU155" s="3856"/>
      <c r="CV155" s="3856"/>
      <c r="CW155" s="3856"/>
      <c r="CX155" s="3856"/>
      <c r="CY155" s="3856"/>
      <c r="CZ155" s="3856"/>
      <c r="DA155" s="3856"/>
      <c r="DB155" s="3856"/>
      <c r="DC155" s="3857"/>
    </row>
    <row r="156" spans="1:107" s="1834" customFormat="1" ht="15" customHeight="1">
      <c r="A156" s="17035"/>
      <c r="B156" s="17038"/>
      <c r="C156" s="17038"/>
      <c r="D156" s="17038"/>
      <c r="E156" s="17038"/>
      <c r="F156" s="17038"/>
      <c r="G156" s="17038"/>
      <c r="H156" s="17038"/>
      <c r="I156" s="17038"/>
      <c r="J156" s="17038"/>
      <c r="K156" s="17038"/>
      <c r="L156" s="17038"/>
      <c r="M156" s="17038"/>
      <c r="N156" s="17038"/>
      <c r="O156" s="17038"/>
      <c r="P156" s="17038"/>
      <c r="Q156" s="17041"/>
      <c r="R156" s="17044"/>
      <c r="S156" s="15691"/>
      <c r="T156" s="15691"/>
      <c r="U156" s="15691"/>
      <c r="V156" s="15691"/>
      <c r="W156" s="15691"/>
      <c r="X156" s="15846"/>
      <c r="Y156" s="15846"/>
      <c r="Z156" s="15691"/>
      <c r="AA156" s="15691"/>
      <c r="AB156" s="15691"/>
      <c r="AC156" s="15691"/>
      <c r="AD156" s="15691"/>
      <c r="AE156" s="15691"/>
      <c r="AF156" s="15691"/>
      <c r="AG156" s="15691"/>
      <c r="AH156" s="15691"/>
      <c r="AI156" s="15691"/>
      <c r="AJ156" s="5240" t="s">
        <v>8362</v>
      </c>
      <c r="AK156" s="7379" t="s">
        <v>7480</v>
      </c>
      <c r="AL156" s="5220" t="s">
        <v>7481</v>
      </c>
      <c r="AM156" s="5240" t="s">
        <v>6804</v>
      </c>
      <c r="AN156" s="5240">
        <v>0</v>
      </c>
      <c r="AO156" s="5240">
        <v>2</v>
      </c>
      <c r="AP156" s="5240">
        <v>3</v>
      </c>
      <c r="AQ156" s="5240">
        <v>3</v>
      </c>
      <c r="AR156" s="5240">
        <v>4</v>
      </c>
      <c r="AS156" s="5240">
        <v>4</v>
      </c>
      <c r="AT156" s="5240">
        <v>4</v>
      </c>
      <c r="AU156" s="5240">
        <v>4</v>
      </c>
      <c r="AV156" s="5240">
        <v>4</v>
      </c>
      <c r="AW156" s="5240">
        <v>4</v>
      </c>
      <c r="AX156" s="5240">
        <v>4</v>
      </c>
      <c r="AY156" s="5240">
        <v>36</v>
      </c>
      <c r="AZ156" s="5240" t="s">
        <v>7364</v>
      </c>
      <c r="BA156" s="3904" t="s">
        <v>10066</v>
      </c>
      <c r="BB156" s="5240" t="s">
        <v>6787</v>
      </c>
      <c r="BC156" s="5240"/>
      <c r="BD156" s="5240" t="s">
        <v>7482</v>
      </c>
      <c r="BE156" s="5240" t="s">
        <v>7353</v>
      </c>
      <c r="BF156" s="5240" t="s">
        <v>7353</v>
      </c>
      <c r="BG156" s="5240" t="s">
        <v>7353</v>
      </c>
      <c r="BH156" s="7395" t="s">
        <v>7482</v>
      </c>
      <c r="BI156" s="3451"/>
      <c r="BJ156" s="3767"/>
      <c r="BK156" s="3224"/>
      <c r="BL156" s="3224"/>
      <c r="BM156" s="3224"/>
      <c r="BN156" s="3224"/>
      <c r="BO156" s="3224"/>
      <c r="BP156" s="3224"/>
      <c r="BQ156" s="3224"/>
      <c r="BR156" s="3224"/>
      <c r="BS156" s="3224"/>
      <c r="BT156" s="3224"/>
      <c r="BU156" s="3224"/>
      <c r="BV156" s="3224"/>
      <c r="BW156" s="3224"/>
      <c r="BX156" s="3224"/>
      <c r="BY156" s="3224"/>
      <c r="BZ156" s="3224"/>
      <c r="CA156" s="3224"/>
      <c r="CB156" s="3224"/>
      <c r="CC156" s="3224"/>
      <c r="CD156" s="3224"/>
      <c r="CE156" s="3224"/>
      <c r="CF156" s="3224"/>
      <c r="CG156" s="3224"/>
      <c r="CH156" s="3224"/>
      <c r="CI156" s="3224"/>
      <c r="CJ156" s="3224"/>
      <c r="CK156" s="3224"/>
      <c r="CL156" s="3224"/>
      <c r="CM156" s="3224"/>
      <c r="CN156" s="3224"/>
      <c r="CO156" s="3224"/>
      <c r="CP156" s="3224"/>
      <c r="CQ156" s="3224"/>
      <c r="CR156" s="3224"/>
      <c r="CS156" s="3224"/>
      <c r="CT156" s="3224"/>
      <c r="CU156" s="3224"/>
      <c r="CV156" s="3224"/>
      <c r="CW156" s="3224"/>
      <c r="CX156" s="3224"/>
      <c r="CY156" s="3224"/>
      <c r="CZ156" s="3224"/>
      <c r="DA156" s="3224"/>
      <c r="DB156" s="3224"/>
      <c r="DC156" s="2057"/>
    </row>
    <row r="157" spans="1:107" s="1834" customFormat="1" ht="15" customHeight="1">
      <c r="A157" s="17035"/>
      <c r="B157" s="17038"/>
      <c r="C157" s="17038"/>
      <c r="D157" s="17038"/>
      <c r="E157" s="17038"/>
      <c r="F157" s="17038"/>
      <c r="G157" s="17038"/>
      <c r="H157" s="17038"/>
      <c r="I157" s="17038"/>
      <c r="J157" s="17038"/>
      <c r="K157" s="17038"/>
      <c r="L157" s="17038"/>
      <c r="M157" s="17038"/>
      <c r="N157" s="17038"/>
      <c r="O157" s="17038"/>
      <c r="P157" s="17038"/>
      <c r="Q157" s="17041"/>
      <c r="R157" s="17044"/>
      <c r="S157" s="15691"/>
      <c r="T157" s="15691"/>
      <c r="U157" s="15691"/>
      <c r="V157" s="15691"/>
      <c r="W157" s="15691"/>
      <c r="X157" s="15846"/>
      <c r="Y157" s="15846"/>
      <c r="Z157" s="15691"/>
      <c r="AA157" s="15691"/>
      <c r="AB157" s="15691"/>
      <c r="AC157" s="15691"/>
      <c r="AD157" s="15691"/>
      <c r="AE157" s="15691"/>
      <c r="AF157" s="15691"/>
      <c r="AG157" s="15691"/>
      <c r="AH157" s="15691"/>
      <c r="AI157" s="15691"/>
      <c r="AJ157" s="15708" t="s">
        <v>8363</v>
      </c>
      <c r="AK157" s="15708" t="s">
        <v>7483</v>
      </c>
      <c r="AL157" s="15350" t="s">
        <v>7484</v>
      </c>
      <c r="AM157" s="15350" t="s">
        <v>6796</v>
      </c>
      <c r="AN157" s="15350">
        <v>0</v>
      </c>
      <c r="AO157" s="15350">
        <v>1</v>
      </c>
      <c r="AP157" s="15350">
        <v>1</v>
      </c>
      <c r="AQ157" s="15350">
        <v>1</v>
      </c>
      <c r="AR157" s="15350">
        <v>1</v>
      </c>
      <c r="AS157" s="15350">
        <v>1</v>
      </c>
      <c r="AT157" s="15350">
        <v>1</v>
      </c>
      <c r="AU157" s="15350">
        <v>1</v>
      </c>
      <c r="AV157" s="15350">
        <v>1</v>
      </c>
      <c r="AW157" s="15350">
        <v>1</v>
      </c>
      <c r="AX157" s="15350">
        <v>1</v>
      </c>
      <c r="AY157" s="15350">
        <v>1</v>
      </c>
      <c r="AZ157" s="15350" t="s">
        <v>7485</v>
      </c>
      <c r="BA157" s="3904" t="s">
        <v>10290</v>
      </c>
      <c r="BB157" s="15708" t="s">
        <v>7486</v>
      </c>
      <c r="BC157" s="5240"/>
      <c r="BD157" s="5240"/>
      <c r="BE157" s="5240"/>
      <c r="BF157" s="5240"/>
      <c r="BG157" s="5240"/>
      <c r="BH157" s="7395"/>
      <c r="BI157" s="3451"/>
      <c r="BJ157" s="3767"/>
      <c r="BK157" s="3224"/>
      <c r="BL157" s="3224"/>
      <c r="BM157" s="3224"/>
      <c r="BN157" s="3224"/>
      <c r="BO157" s="3224"/>
      <c r="BP157" s="3224"/>
      <c r="BQ157" s="3224"/>
      <c r="BR157" s="3224"/>
      <c r="BS157" s="3224"/>
      <c r="BT157" s="3224"/>
      <c r="BU157" s="3224"/>
      <c r="BV157" s="3224"/>
      <c r="BW157" s="3224"/>
      <c r="BX157" s="3224"/>
      <c r="BY157" s="3224"/>
      <c r="BZ157" s="3224"/>
      <c r="CA157" s="3224"/>
      <c r="CB157" s="3224"/>
      <c r="CC157" s="3224"/>
      <c r="CD157" s="3224"/>
      <c r="CE157" s="3224"/>
      <c r="CF157" s="3224"/>
      <c r="CG157" s="3224"/>
      <c r="CH157" s="3224"/>
      <c r="CI157" s="3224"/>
      <c r="CJ157" s="3224"/>
      <c r="CK157" s="3224"/>
      <c r="CL157" s="3224"/>
      <c r="CM157" s="3224"/>
      <c r="CN157" s="3224"/>
      <c r="CO157" s="3224"/>
      <c r="CP157" s="3224"/>
      <c r="CQ157" s="3224"/>
      <c r="CR157" s="3224"/>
      <c r="CS157" s="3224"/>
      <c r="CT157" s="3224"/>
      <c r="CU157" s="3224"/>
      <c r="CV157" s="3224"/>
      <c r="CW157" s="3224"/>
      <c r="CX157" s="3224"/>
      <c r="CY157" s="3224"/>
      <c r="CZ157" s="3224"/>
      <c r="DA157" s="3224"/>
      <c r="DB157" s="3224"/>
      <c r="DC157" s="2057"/>
    </row>
    <row r="158" spans="1:107" s="1834" customFormat="1" ht="15" customHeight="1">
      <c r="A158" s="17035"/>
      <c r="B158" s="17038"/>
      <c r="C158" s="17038"/>
      <c r="D158" s="17038"/>
      <c r="E158" s="17038"/>
      <c r="F158" s="17038"/>
      <c r="G158" s="17038"/>
      <c r="H158" s="17038"/>
      <c r="I158" s="17038"/>
      <c r="J158" s="17038"/>
      <c r="K158" s="17038"/>
      <c r="L158" s="17038"/>
      <c r="M158" s="17038"/>
      <c r="N158" s="17038"/>
      <c r="O158" s="17038"/>
      <c r="P158" s="17038"/>
      <c r="Q158" s="17041"/>
      <c r="R158" s="17044"/>
      <c r="S158" s="15691"/>
      <c r="T158" s="15691"/>
      <c r="U158" s="15691"/>
      <c r="V158" s="15691"/>
      <c r="W158" s="15691"/>
      <c r="X158" s="15846"/>
      <c r="Y158" s="15846"/>
      <c r="Z158" s="15691"/>
      <c r="AA158" s="15691"/>
      <c r="AB158" s="15691"/>
      <c r="AC158" s="15691"/>
      <c r="AD158" s="15691"/>
      <c r="AE158" s="15691"/>
      <c r="AF158" s="15691"/>
      <c r="AG158" s="15691"/>
      <c r="AH158" s="15691"/>
      <c r="AI158" s="15691"/>
      <c r="AJ158" s="15708"/>
      <c r="AK158" s="15708"/>
      <c r="AL158" s="15350"/>
      <c r="AM158" s="15350"/>
      <c r="AN158" s="15350"/>
      <c r="AO158" s="15350"/>
      <c r="AP158" s="15350"/>
      <c r="AQ158" s="15350"/>
      <c r="AR158" s="15350"/>
      <c r="AS158" s="15350"/>
      <c r="AT158" s="15350"/>
      <c r="AU158" s="15350"/>
      <c r="AV158" s="15350"/>
      <c r="AW158" s="15350"/>
      <c r="AX158" s="15350"/>
      <c r="AY158" s="15350"/>
      <c r="AZ158" s="15350"/>
      <c r="BA158" s="3904" t="s">
        <v>10066</v>
      </c>
      <c r="BB158" s="15708"/>
      <c r="BC158" s="5240"/>
      <c r="BD158" s="5240"/>
      <c r="BE158" s="5240"/>
      <c r="BF158" s="5240"/>
      <c r="BG158" s="5240"/>
      <c r="BH158" s="7395"/>
      <c r="BI158" s="3451"/>
      <c r="BJ158" s="3767"/>
      <c r="BK158" s="3224"/>
      <c r="BL158" s="3224"/>
      <c r="BM158" s="3224"/>
      <c r="BN158" s="3224"/>
      <c r="BO158" s="3224"/>
      <c r="BP158" s="3224"/>
      <c r="BQ158" s="3224"/>
      <c r="BR158" s="3224"/>
      <c r="BS158" s="3224"/>
      <c r="BT158" s="3224"/>
      <c r="BU158" s="3224"/>
      <c r="BV158" s="3224"/>
      <c r="BW158" s="3224"/>
      <c r="BX158" s="3224"/>
      <c r="BY158" s="3224"/>
      <c r="BZ158" s="3224"/>
      <c r="CA158" s="3224"/>
      <c r="CB158" s="3224"/>
      <c r="CC158" s="3224"/>
      <c r="CD158" s="3224"/>
      <c r="CE158" s="3224"/>
      <c r="CF158" s="3224"/>
      <c r="CG158" s="3224"/>
      <c r="CH158" s="3224"/>
      <c r="CI158" s="3224"/>
      <c r="CJ158" s="3224"/>
      <c r="CK158" s="3224"/>
      <c r="CL158" s="3224"/>
      <c r="CM158" s="3224"/>
      <c r="CN158" s="3224"/>
      <c r="CO158" s="3224"/>
      <c r="CP158" s="3224"/>
      <c r="CQ158" s="3224"/>
      <c r="CR158" s="3224"/>
      <c r="CS158" s="3224"/>
      <c r="CT158" s="3224"/>
      <c r="CU158" s="3224"/>
      <c r="CV158" s="3224"/>
      <c r="CW158" s="3224"/>
      <c r="CX158" s="3224"/>
      <c r="CY158" s="3224"/>
      <c r="CZ158" s="3224"/>
      <c r="DA158" s="3224"/>
      <c r="DB158" s="3224"/>
      <c r="DC158" s="2057"/>
    </row>
    <row r="159" spans="1:107" s="1834" customFormat="1" ht="15" customHeight="1">
      <c r="A159" s="17035"/>
      <c r="B159" s="17038"/>
      <c r="C159" s="17038"/>
      <c r="D159" s="17038"/>
      <c r="E159" s="17038"/>
      <c r="F159" s="17038"/>
      <c r="G159" s="17038"/>
      <c r="H159" s="17038"/>
      <c r="I159" s="17038"/>
      <c r="J159" s="17038"/>
      <c r="K159" s="17038"/>
      <c r="L159" s="17038"/>
      <c r="M159" s="17038"/>
      <c r="N159" s="17038"/>
      <c r="O159" s="17038"/>
      <c r="P159" s="17038"/>
      <c r="Q159" s="17041"/>
      <c r="R159" s="17044"/>
      <c r="S159" s="15691"/>
      <c r="T159" s="15691"/>
      <c r="U159" s="15691"/>
      <c r="V159" s="15691"/>
      <c r="W159" s="15691"/>
      <c r="X159" s="15846"/>
      <c r="Y159" s="15846"/>
      <c r="Z159" s="15691"/>
      <c r="AA159" s="15691"/>
      <c r="AB159" s="15691"/>
      <c r="AC159" s="15691"/>
      <c r="AD159" s="15691"/>
      <c r="AE159" s="15691"/>
      <c r="AF159" s="15691"/>
      <c r="AG159" s="15691"/>
      <c r="AH159" s="15691"/>
      <c r="AI159" s="15691"/>
      <c r="AJ159" s="15708" t="s">
        <v>8364</v>
      </c>
      <c r="AK159" s="15708" t="s">
        <v>7487</v>
      </c>
      <c r="AL159" s="15350" t="s">
        <v>7488</v>
      </c>
      <c r="AM159" s="15350" t="s">
        <v>1510</v>
      </c>
      <c r="AN159" s="15350">
        <v>0.5</v>
      </c>
      <c r="AO159" s="15350">
        <v>1</v>
      </c>
      <c r="AP159" s="15350">
        <v>1</v>
      </c>
      <c r="AQ159" s="15350">
        <v>1</v>
      </c>
      <c r="AR159" s="15350">
        <v>1</v>
      </c>
      <c r="AS159" s="15350">
        <v>1</v>
      </c>
      <c r="AT159" s="15350">
        <v>1</v>
      </c>
      <c r="AU159" s="15350">
        <v>1</v>
      </c>
      <c r="AV159" s="15350">
        <v>1</v>
      </c>
      <c r="AW159" s="15350">
        <v>1</v>
      </c>
      <c r="AX159" s="15350">
        <v>1</v>
      </c>
      <c r="AY159" s="15350">
        <v>1</v>
      </c>
      <c r="AZ159" s="15350" t="s">
        <v>7489</v>
      </c>
      <c r="BA159" s="3904" t="s">
        <v>8575</v>
      </c>
      <c r="BB159" s="15708" t="s">
        <v>7490</v>
      </c>
      <c r="BC159" s="7379"/>
      <c r="BD159" s="3926">
        <v>200000000</v>
      </c>
      <c r="BE159" s="5240"/>
      <c r="BF159" s="5240"/>
      <c r="BG159" s="5240"/>
      <c r="BH159" s="7396">
        <v>200000000</v>
      </c>
      <c r="BI159" s="3456"/>
      <c r="BJ159" s="3767"/>
      <c r="BK159" s="3224"/>
      <c r="BL159" s="3224"/>
      <c r="BM159" s="3224"/>
      <c r="BN159" s="3224"/>
      <c r="BO159" s="3224"/>
      <c r="BP159" s="3224"/>
      <c r="BQ159" s="3224"/>
      <c r="BR159" s="3224"/>
      <c r="BS159" s="3224"/>
      <c r="BT159" s="3224"/>
      <c r="BU159" s="3224"/>
      <c r="BV159" s="3224"/>
      <c r="BW159" s="3224"/>
      <c r="BX159" s="3224"/>
      <c r="BY159" s="3224"/>
      <c r="BZ159" s="3224"/>
      <c r="CA159" s="3224"/>
      <c r="CB159" s="3224"/>
      <c r="CC159" s="3224"/>
      <c r="CD159" s="3224"/>
      <c r="CE159" s="3224"/>
      <c r="CF159" s="3224"/>
      <c r="CG159" s="3224"/>
      <c r="CH159" s="3224"/>
      <c r="CI159" s="3224"/>
      <c r="CJ159" s="3224"/>
      <c r="CK159" s="3224"/>
      <c r="CL159" s="3224"/>
      <c r="CM159" s="3224"/>
      <c r="CN159" s="3224"/>
      <c r="CO159" s="3224"/>
      <c r="CP159" s="3224"/>
      <c r="CQ159" s="3224"/>
      <c r="CR159" s="3224"/>
      <c r="CS159" s="3224"/>
      <c r="CT159" s="3224"/>
      <c r="CU159" s="3224"/>
      <c r="CV159" s="3224"/>
      <c r="CW159" s="3224"/>
      <c r="CX159" s="3224"/>
      <c r="CY159" s="3224"/>
      <c r="CZ159" s="3224"/>
      <c r="DA159" s="3224"/>
      <c r="DB159" s="3224"/>
      <c r="DC159" s="2057"/>
    </row>
    <row r="160" spans="1:107" s="1834" customFormat="1" ht="15" customHeight="1">
      <c r="A160" s="17035"/>
      <c r="B160" s="17038"/>
      <c r="C160" s="17038"/>
      <c r="D160" s="17038"/>
      <c r="E160" s="17038"/>
      <c r="F160" s="17038"/>
      <c r="G160" s="17038"/>
      <c r="H160" s="17038"/>
      <c r="I160" s="17038"/>
      <c r="J160" s="17038"/>
      <c r="K160" s="17038"/>
      <c r="L160" s="17038"/>
      <c r="M160" s="17038"/>
      <c r="N160" s="17038"/>
      <c r="O160" s="17038"/>
      <c r="P160" s="17038"/>
      <c r="Q160" s="17041"/>
      <c r="R160" s="17044"/>
      <c r="S160" s="15691"/>
      <c r="T160" s="15691"/>
      <c r="U160" s="15691"/>
      <c r="V160" s="15691"/>
      <c r="W160" s="15691"/>
      <c r="X160" s="15846"/>
      <c r="Y160" s="15846"/>
      <c r="Z160" s="15691"/>
      <c r="AA160" s="15691"/>
      <c r="AB160" s="15691"/>
      <c r="AC160" s="15691"/>
      <c r="AD160" s="15691"/>
      <c r="AE160" s="15691"/>
      <c r="AF160" s="15691"/>
      <c r="AG160" s="15691"/>
      <c r="AH160" s="15691"/>
      <c r="AI160" s="15691"/>
      <c r="AJ160" s="15708"/>
      <c r="AK160" s="15708"/>
      <c r="AL160" s="15350"/>
      <c r="AM160" s="15350"/>
      <c r="AN160" s="15350"/>
      <c r="AO160" s="15350"/>
      <c r="AP160" s="15350"/>
      <c r="AQ160" s="15350"/>
      <c r="AR160" s="15350"/>
      <c r="AS160" s="15350"/>
      <c r="AT160" s="15350"/>
      <c r="AU160" s="15350"/>
      <c r="AV160" s="15350"/>
      <c r="AW160" s="15350"/>
      <c r="AX160" s="15350"/>
      <c r="AY160" s="15350"/>
      <c r="AZ160" s="15350"/>
      <c r="BA160" s="3904" t="s">
        <v>10070</v>
      </c>
      <c r="BB160" s="15708"/>
      <c r="BC160" s="7379"/>
      <c r="BD160" s="3926"/>
      <c r="BE160" s="5240"/>
      <c r="BF160" s="5240"/>
      <c r="BG160" s="5240"/>
      <c r="BH160" s="7396"/>
      <c r="BI160" s="3456"/>
      <c r="BJ160" s="3767"/>
      <c r="BK160" s="3224"/>
      <c r="BL160" s="3224"/>
      <c r="BM160" s="3224"/>
      <c r="BN160" s="3224"/>
      <c r="BO160" s="3224"/>
      <c r="BP160" s="3224"/>
      <c r="BQ160" s="3224"/>
      <c r="BR160" s="3224"/>
      <c r="BS160" s="3224"/>
      <c r="BT160" s="3224"/>
      <c r="BU160" s="3224"/>
      <c r="BV160" s="3224"/>
      <c r="BW160" s="3224"/>
      <c r="BX160" s="3224"/>
      <c r="BY160" s="3224"/>
      <c r="BZ160" s="3224"/>
      <c r="CA160" s="3224"/>
      <c r="CB160" s="3224"/>
      <c r="CC160" s="3224"/>
      <c r="CD160" s="3224"/>
      <c r="CE160" s="3224"/>
      <c r="CF160" s="3224"/>
      <c r="CG160" s="3224"/>
      <c r="CH160" s="3224"/>
      <c r="CI160" s="3224"/>
      <c r="CJ160" s="3224"/>
      <c r="CK160" s="3224"/>
      <c r="CL160" s="3224"/>
      <c r="CM160" s="3224"/>
      <c r="CN160" s="3224"/>
      <c r="CO160" s="3224"/>
      <c r="CP160" s="3224"/>
      <c r="CQ160" s="3224"/>
      <c r="CR160" s="3224"/>
      <c r="CS160" s="3224"/>
      <c r="CT160" s="3224"/>
      <c r="CU160" s="3224"/>
      <c r="CV160" s="3224"/>
      <c r="CW160" s="3224"/>
      <c r="CX160" s="3224"/>
      <c r="CY160" s="3224"/>
      <c r="CZ160" s="3224"/>
      <c r="DA160" s="3224"/>
      <c r="DB160" s="3224"/>
      <c r="DC160" s="2057"/>
    </row>
    <row r="161" spans="1:107" s="1834" customFormat="1" ht="15" customHeight="1">
      <c r="A161" s="17035"/>
      <c r="B161" s="17038"/>
      <c r="C161" s="17038"/>
      <c r="D161" s="17038"/>
      <c r="E161" s="17038"/>
      <c r="F161" s="17038"/>
      <c r="G161" s="17038"/>
      <c r="H161" s="17038"/>
      <c r="I161" s="17038"/>
      <c r="J161" s="17038"/>
      <c r="K161" s="17038"/>
      <c r="L161" s="17038"/>
      <c r="M161" s="17038"/>
      <c r="N161" s="17038"/>
      <c r="O161" s="17038"/>
      <c r="P161" s="17038"/>
      <c r="Q161" s="17041"/>
      <c r="R161" s="17044"/>
      <c r="S161" s="15691"/>
      <c r="T161" s="15691"/>
      <c r="U161" s="15691"/>
      <c r="V161" s="15691"/>
      <c r="W161" s="15691"/>
      <c r="X161" s="15846"/>
      <c r="Y161" s="15846"/>
      <c r="Z161" s="15691"/>
      <c r="AA161" s="15691"/>
      <c r="AB161" s="15691"/>
      <c r="AC161" s="15691"/>
      <c r="AD161" s="15691"/>
      <c r="AE161" s="15691"/>
      <c r="AF161" s="15691"/>
      <c r="AG161" s="15691"/>
      <c r="AH161" s="15691"/>
      <c r="AI161" s="15691"/>
      <c r="AJ161" s="15708" t="s">
        <v>8365</v>
      </c>
      <c r="AK161" s="15708" t="s">
        <v>7491</v>
      </c>
      <c r="AL161" s="15708" t="s">
        <v>7492</v>
      </c>
      <c r="AM161" s="15708" t="s">
        <v>6785</v>
      </c>
      <c r="AN161" s="15708">
        <v>0</v>
      </c>
      <c r="AO161" s="15708">
        <v>1</v>
      </c>
      <c r="AP161" s="15708">
        <v>1</v>
      </c>
      <c r="AQ161" s="15708">
        <v>1</v>
      </c>
      <c r="AR161" s="15708">
        <v>1</v>
      </c>
      <c r="AS161" s="15708">
        <v>1</v>
      </c>
      <c r="AT161" s="15708">
        <v>1</v>
      </c>
      <c r="AU161" s="15708">
        <v>1</v>
      </c>
      <c r="AV161" s="15708">
        <v>1</v>
      </c>
      <c r="AW161" s="15708">
        <v>1</v>
      </c>
      <c r="AX161" s="15708">
        <v>1</v>
      </c>
      <c r="AY161" s="15708">
        <v>10</v>
      </c>
      <c r="AZ161" s="15708" t="s">
        <v>6817</v>
      </c>
      <c r="BA161" s="3904" t="s">
        <v>10066</v>
      </c>
      <c r="BB161" s="15708" t="s">
        <v>7493</v>
      </c>
      <c r="BC161" s="5240"/>
      <c r="BD161" s="5240" t="s">
        <v>7494</v>
      </c>
      <c r="BE161" s="5240" t="s">
        <v>7353</v>
      </c>
      <c r="BF161" s="5240" t="s">
        <v>7353</v>
      </c>
      <c r="BG161" s="5240" t="s">
        <v>7353</v>
      </c>
      <c r="BH161" s="7395" t="s">
        <v>7495</v>
      </c>
      <c r="BI161" s="3451"/>
      <c r="BJ161" s="3767"/>
      <c r="BK161" s="3224"/>
      <c r="BL161" s="3224"/>
      <c r="BM161" s="3224"/>
      <c r="BN161" s="3224"/>
      <c r="BO161" s="3224"/>
      <c r="BP161" s="3224"/>
      <c r="BQ161" s="3224"/>
      <c r="BR161" s="3224"/>
      <c r="BS161" s="3224"/>
      <c r="BT161" s="3224"/>
      <c r="BU161" s="3224"/>
      <c r="BV161" s="3224"/>
      <c r="BW161" s="3224"/>
      <c r="BX161" s="3224"/>
      <c r="BY161" s="3224"/>
      <c r="BZ161" s="3224"/>
      <c r="CA161" s="3224"/>
      <c r="CB161" s="3224"/>
      <c r="CC161" s="3224"/>
      <c r="CD161" s="3224"/>
      <c r="CE161" s="3224"/>
      <c r="CF161" s="3224"/>
      <c r="CG161" s="3224"/>
      <c r="CH161" s="3224"/>
      <c r="CI161" s="3224"/>
      <c r="CJ161" s="3224"/>
      <c r="CK161" s="3224"/>
      <c r="CL161" s="3224"/>
      <c r="CM161" s="3224"/>
      <c r="CN161" s="3224"/>
      <c r="CO161" s="3224"/>
      <c r="CP161" s="3224"/>
      <c r="CQ161" s="3224"/>
      <c r="CR161" s="3224"/>
      <c r="CS161" s="3224"/>
      <c r="CT161" s="3224"/>
      <c r="CU161" s="3224"/>
      <c r="CV161" s="3224"/>
      <c r="CW161" s="3224"/>
      <c r="CX161" s="3224"/>
      <c r="CY161" s="3224"/>
      <c r="CZ161" s="3224"/>
      <c r="DA161" s="3224"/>
      <c r="DB161" s="3224"/>
      <c r="DC161" s="2057"/>
    </row>
    <row r="162" spans="1:107" s="1834" customFormat="1" ht="15" customHeight="1">
      <c r="A162" s="17035"/>
      <c r="B162" s="17038"/>
      <c r="C162" s="17038"/>
      <c r="D162" s="17038"/>
      <c r="E162" s="17038"/>
      <c r="F162" s="17038"/>
      <c r="G162" s="17038"/>
      <c r="H162" s="17038"/>
      <c r="I162" s="17038"/>
      <c r="J162" s="17038"/>
      <c r="K162" s="17038"/>
      <c r="L162" s="17038"/>
      <c r="M162" s="17038"/>
      <c r="N162" s="17038"/>
      <c r="O162" s="17038"/>
      <c r="P162" s="17038"/>
      <c r="Q162" s="17041"/>
      <c r="R162" s="17044"/>
      <c r="S162" s="15691"/>
      <c r="T162" s="15691"/>
      <c r="U162" s="15691"/>
      <c r="V162" s="15691"/>
      <c r="W162" s="15691"/>
      <c r="X162" s="15846"/>
      <c r="Y162" s="15846"/>
      <c r="Z162" s="15691"/>
      <c r="AA162" s="15691"/>
      <c r="AB162" s="15691"/>
      <c r="AC162" s="15691"/>
      <c r="AD162" s="15691"/>
      <c r="AE162" s="15691"/>
      <c r="AF162" s="15691"/>
      <c r="AG162" s="15691"/>
      <c r="AH162" s="15691"/>
      <c r="AI162" s="15691"/>
      <c r="AJ162" s="15708"/>
      <c r="AK162" s="15708"/>
      <c r="AL162" s="15708"/>
      <c r="AM162" s="15708"/>
      <c r="AN162" s="15708"/>
      <c r="AO162" s="15708"/>
      <c r="AP162" s="15708"/>
      <c r="AQ162" s="15708"/>
      <c r="AR162" s="15708"/>
      <c r="AS162" s="15708"/>
      <c r="AT162" s="15708"/>
      <c r="AU162" s="15708"/>
      <c r="AV162" s="15708"/>
      <c r="AW162" s="15708"/>
      <c r="AX162" s="15708"/>
      <c r="AY162" s="15708"/>
      <c r="AZ162" s="15708"/>
      <c r="BA162" s="3904" t="s">
        <v>10290</v>
      </c>
      <c r="BB162" s="15708"/>
      <c r="BC162" s="5240"/>
      <c r="BD162" s="5240"/>
      <c r="BE162" s="5240"/>
      <c r="BF162" s="5240"/>
      <c r="BG162" s="5240"/>
      <c r="BH162" s="7395"/>
      <c r="BI162" s="3451"/>
      <c r="BJ162" s="3767"/>
      <c r="BK162" s="3224"/>
      <c r="BL162" s="3224"/>
      <c r="BM162" s="3224"/>
      <c r="BN162" s="3224"/>
      <c r="BO162" s="3224"/>
      <c r="BP162" s="3224"/>
      <c r="BQ162" s="3224"/>
      <c r="BR162" s="3224"/>
      <c r="BS162" s="3224"/>
      <c r="BT162" s="3224"/>
      <c r="BU162" s="3224"/>
      <c r="BV162" s="3224"/>
      <c r="BW162" s="3224"/>
      <c r="BX162" s="3224"/>
      <c r="BY162" s="3224"/>
      <c r="BZ162" s="3224"/>
      <c r="CA162" s="3224"/>
      <c r="CB162" s="3224"/>
      <c r="CC162" s="3224"/>
      <c r="CD162" s="3224"/>
      <c r="CE162" s="3224"/>
      <c r="CF162" s="3224"/>
      <c r="CG162" s="3224"/>
      <c r="CH162" s="3224"/>
      <c r="CI162" s="3224"/>
      <c r="CJ162" s="3224"/>
      <c r="CK162" s="3224"/>
      <c r="CL162" s="3224"/>
      <c r="CM162" s="3224"/>
      <c r="CN162" s="3224"/>
      <c r="CO162" s="3224"/>
      <c r="CP162" s="3224"/>
      <c r="CQ162" s="3224"/>
      <c r="CR162" s="3224"/>
      <c r="CS162" s="3224"/>
      <c r="CT162" s="3224"/>
      <c r="CU162" s="3224"/>
      <c r="CV162" s="3224"/>
      <c r="CW162" s="3224"/>
      <c r="CX162" s="3224"/>
      <c r="CY162" s="3224"/>
      <c r="CZ162" s="3224"/>
      <c r="DA162" s="3224"/>
      <c r="DB162" s="3224"/>
      <c r="DC162" s="2057"/>
    </row>
    <row r="163" spans="1:107" s="1834" customFormat="1" ht="15" customHeight="1">
      <c r="A163" s="17035"/>
      <c r="B163" s="17038"/>
      <c r="C163" s="17038"/>
      <c r="D163" s="17038"/>
      <c r="E163" s="17038"/>
      <c r="F163" s="17038"/>
      <c r="G163" s="17038"/>
      <c r="H163" s="17038"/>
      <c r="I163" s="17038"/>
      <c r="J163" s="17038"/>
      <c r="K163" s="17038"/>
      <c r="L163" s="17038"/>
      <c r="M163" s="17038"/>
      <c r="N163" s="17038"/>
      <c r="O163" s="17038"/>
      <c r="P163" s="17038"/>
      <c r="Q163" s="17041"/>
      <c r="R163" s="17044"/>
      <c r="S163" s="15691"/>
      <c r="T163" s="15691"/>
      <c r="U163" s="15691"/>
      <c r="V163" s="15691"/>
      <c r="W163" s="15691"/>
      <c r="X163" s="15846"/>
      <c r="Y163" s="15846"/>
      <c r="Z163" s="15691"/>
      <c r="AA163" s="15691"/>
      <c r="AB163" s="15691"/>
      <c r="AC163" s="15691"/>
      <c r="AD163" s="15691"/>
      <c r="AE163" s="15691"/>
      <c r="AF163" s="15691"/>
      <c r="AG163" s="15691"/>
      <c r="AH163" s="15691"/>
      <c r="AI163" s="15691"/>
      <c r="AJ163" s="15708" t="s">
        <v>8366</v>
      </c>
      <c r="AK163" s="15708" t="s">
        <v>7496</v>
      </c>
      <c r="AL163" s="15708" t="s">
        <v>479</v>
      </c>
      <c r="AM163" s="15708" t="s">
        <v>6804</v>
      </c>
      <c r="AN163" s="15708">
        <v>0</v>
      </c>
      <c r="AO163" s="15708">
        <v>1</v>
      </c>
      <c r="AP163" s="15708">
        <v>1</v>
      </c>
      <c r="AQ163" s="15708">
        <v>1</v>
      </c>
      <c r="AR163" s="15708">
        <v>1</v>
      </c>
      <c r="AS163" s="15708">
        <v>1</v>
      </c>
      <c r="AT163" s="15708">
        <v>1</v>
      </c>
      <c r="AU163" s="15708">
        <v>1</v>
      </c>
      <c r="AV163" s="15708">
        <v>1</v>
      </c>
      <c r="AW163" s="15708">
        <v>1</v>
      </c>
      <c r="AX163" s="15708">
        <v>1</v>
      </c>
      <c r="AY163" s="15708">
        <v>10</v>
      </c>
      <c r="AZ163" s="15708" t="s">
        <v>6817</v>
      </c>
      <c r="BA163" s="3904" t="s">
        <v>10290</v>
      </c>
      <c r="BB163" s="5240" t="s">
        <v>10328</v>
      </c>
      <c r="BC163" s="5240"/>
      <c r="BD163" s="5240" t="s">
        <v>7497</v>
      </c>
      <c r="BE163" s="5240" t="s">
        <v>7353</v>
      </c>
      <c r="BF163" s="5240" t="s">
        <v>7353</v>
      </c>
      <c r="BG163" s="5240" t="s">
        <v>7353</v>
      </c>
      <c r="BH163" s="7395" t="s">
        <v>6909</v>
      </c>
      <c r="BI163" s="3451"/>
      <c r="BJ163" s="3767"/>
      <c r="BK163" s="3224"/>
      <c r="BL163" s="3224"/>
      <c r="BM163" s="3224"/>
      <c r="BN163" s="3224"/>
      <c r="BO163" s="3224"/>
      <c r="BP163" s="3224"/>
      <c r="BQ163" s="3224"/>
      <c r="BR163" s="3224"/>
      <c r="BS163" s="3224"/>
      <c r="BT163" s="3224"/>
      <c r="BU163" s="3224"/>
      <c r="BV163" s="3224"/>
      <c r="BW163" s="3224"/>
      <c r="BX163" s="3224"/>
      <c r="BY163" s="3224"/>
      <c r="BZ163" s="3224"/>
      <c r="CA163" s="3224"/>
      <c r="CB163" s="3224"/>
      <c r="CC163" s="3224"/>
      <c r="CD163" s="3224"/>
      <c r="CE163" s="3224"/>
      <c r="CF163" s="3224"/>
      <c r="CG163" s="3224"/>
      <c r="CH163" s="3224"/>
      <c r="CI163" s="3224"/>
      <c r="CJ163" s="3224"/>
      <c r="CK163" s="3224"/>
      <c r="CL163" s="3224"/>
      <c r="CM163" s="3224"/>
      <c r="CN163" s="3224"/>
      <c r="CO163" s="3224"/>
      <c r="CP163" s="3224"/>
      <c r="CQ163" s="3224"/>
      <c r="CR163" s="3224"/>
      <c r="CS163" s="3224"/>
      <c r="CT163" s="3224"/>
      <c r="CU163" s="3224"/>
      <c r="CV163" s="3224"/>
      <c r="CW163" s="3224"/>
      <c r="CX163" s="3224"/>
      <c r="CY163" s="3224"/>
      <c r="CZ163" s="3224"/>
      <c r="DA163" s="3224"/>
      <c r="DB163" s="3224"/>
      <c r="DC163" s="2057"/>
    </row>
    <row r="164" spans="1:107" s="1834" customFormat="1" ht="15" customHeight="1">
      <c r="A164" s="17035"/>
      <c r="B164" s="17038"/>
      <c r="C164" s="17038"/>
      <c r="D164" s="17038"/>
      <c r="E164" s="17038"/>
      <c r="F164" s="17038"/>
      <c r="G164" s="17038"/>
      <c r="H164" s="17038"/>
      <c r="I164" s="17038"/>
      <c r="J164" s="17038"/>
      <c r="K164" s="17038"/>
      <c r="L164" s="17038"/>
      <c r="M164" s="17038"/>
      <c r="N164" s="17038"/>
      <c r="O164" s="17038"/>
      <c r="P164" s="17038"/>
      <c r="Q164" s="17041"/>
      <c r="R164" s="17044"/>
      <c r="S164" s="15691"/>
      <c r="T164" s="15691"/>
      <c r="U164" s="15691"/>
      <c r="V164" s="15691"/>
      <c r="W164" s="15691"/>
      <c r="X164" s="15846"/>
      <c r="Y164" s="15846"/>
      <c r="Z164" s="15691"/>
      <c r="AA164" s="15691"/>
      <c r="AB164" s="15691"/>
      <c r="AC164" s="15691"/>
      <c r="AD164" s="15691"/>
      <c r="AE164" s="15691"/>
      <c r="AF164" s="15691"/>
      <c r="AG164" s="15691"/>
      <c r="AH164" s="15691"/>
      <c r="AI164" s="15691"/>
      <c r="AJ164" s="15708"/>
      <c r="AK164" s="15708"/>
      <c r="AL164" s="15708"/>
      <c r="AM164" s="15708"/>
      <c r="AN164" s="15708"/>
      <c r="AO164" s="15708"/>
      <c r="AP164" s="15708"/>
      <c r="AQ164" s="15708"/>
      <c r="AR164" s="15708"/>
      <c r="AS164" s="15708"/>
      <c r="AT164" s="15708"/>
      <c r="AU164" s="15708"/>
      <c r="AV164" s="15708"/>
      <c r="AW164" s="15708"/>
      <c r="AX164" s="15708"/>
      <c r="AY164" s="15708"/>
      <c r="AZ164" s="15708"/>
      <c r="BA164" s="3904" t="s">
        <v>10309</v>
      </c>
      <c r="BB164" s="5240"/>
      <c r="BC164" s="5240" t="s">
        <v>10329</v>
      </c>
      <c r="BD164" s="5240"/>
      <c r="BE164" s="5240"/>
      <c r="BF164" s="5240"/>
      <c r="BG164" s="5240"/>
      <c r="BH164" s="7395"/>
      <c r="BI164" s="3451"/>
      <c r="BJ164" s="3767"/>
      <c r="BK164" s="3224"/>
      <c r="BL164" s="3224"/>
      <c r="BM164" s="3224"/>
      <c r="BN164" s="3224"/>
      <c r="BO164" s="3224"/>
      <c r="BP164" s="3224"/>
      <c r="BQ164" s="3224"/>
      <c r="BR164" s="3224"/>
      <c r="BS164" s="3224"/>
      <c r="BT164" s="3224"/>
      <c r="BU164" s="3224"/>
      <c r="BV164" s="3224"/>
      <c r="BW164" s="3224"/>
      <c r="BX164" s="3224"/>
      <c r="BY164" s="3224"/>
      <c r="BZ164" s="3224"/>
      <c r="CA164" s="3224"/>
      <c r="CB164" s="3224"/>
      <c r="CC164" s="3224"/>
      <c r="CD164" s="3224"/>
      <c r="CE164" s="3224"/>
      <c r="CF164" s="3224"/>
      <c r="CG164" s="3224"/>
      <c r="CH164" s="3224"/>
      <c r="CI164" s="3224"/>
      <c r="CJ164" s="3224"/>
      <c r="CK164" s="3224"/>
      <c r="CL164" s="3224"/>
      <c r="CM164" s="3224"/>
      <c r="CN164" s="3224"/>
      <c r="CO164" s="3224"/>
      <c r="CP164" s="3224"/>
      <c r="CQ164" s="3224"/>
      <c r="CR164" s="3224"/>
      <c r="CS164" s="3224"/>
      <c r="CT164" s="3224"/>
      <c r="CU164" s="3224"/>
      <c r="CV164" s="3224"/>
      <c r="CW164" s="3224"/>
      <c r="CX164" s="3224"/>
      <c r="CY164" s="3224"/>
      <c r="CZ164" s="3224"/>
      <c r="DA164" s="3224"/>
      <c r="DB164" s="3224"/>
      <c r="DC164" s="2057"/>
    </row>
    <row r="165" spans="1:107" s="1834" customFormat="1" ht="15" customHeight="1">
      <c r="A165" s="17035"/>
      <c r="B165" s="17038"/>
      <c r="C165" s="17038"/>
      <c r="D165" s="17038"/>
      <c r="E165" s="17038"/>
      <c r="F165" s="17038"/>
      <c r="G165" s="17038"/>
      <c r="H165" s="17038"/>
      <c r="I165" s="17038"/>
      <c r="J165" s="17038"/>
      <c r="K165" s="17038"/>
      <c r="L165" s="17038"/>
      <c r="M165" s="17038"/>
      <c r="N165" s="17038"/>
      <c r="O165" s="17038"/>
      <c r="P165" s="17038"/>
      <c r="Q165" s="17041"/>
      <c r="R165" s="17044"/>
      <c r="S165" s="15691"/>
      <c r="T165" s="15691"/>
      <c r="U165" s="15691"/>
      <c r="V165" s="15691"/>
      <c r="W165" s="15691"/>
      <c r="X165" s="15846"/>
      <c r="Y165" s="15846"/>
      <c r="Z165" s="15691"/>
      <c r="AA165" s="15691"/>
      <c r="AB165" s="15691"/>
      <c r="AC165" s="15691"/>
      <c r="AD165" s="15691"/>
      <c r="AE165" s="15691"/>
      <c r="AF165" s="15691"/>
      <c r="AG165" s="15691"/>
      <c r="AH165" s="15691"/>
      <c r="AI165" s="15691"/>
      <c r="AJ165" s="15708" t="s">
        <v>8367</v>
      </c>
      <c r="AK165" s="17011" t="s">
        <v>7498</v>
      </c>
      <c r="AL165" s="17011" t="s">
        <v>7499</v>
      </c>
      <c r="AM165" s="15708" t="s">
        <v>6785</v>
      </c>
      <c r="AN165" s="15708">
        <v>1</v>
      </c>
      <c r="AO165" s="15708">
        <v>1</v>
      </c>
      <c r="AP165" s="15708">
        <v>1</v>
      </c>
      <c r="AQ165" s="15708">
        <v>1</v>
      </c>
      <c r="AR165" s="15708">
        <v>1</v>
      </c>
      <c r="AS165" s="15708">
        <v>1</v>
      </c>
      <c r="AT165" s="15708">
        <v>1</v>
      </c>
      <c r="AU165" s="15708">
        <v>1</v>
      </c>
      <c r="AV165" s="15708">
        <v>1</v>
      </c>
      <c r="AW165" s="15708">
        <v>1</v>
      </c>
      <c r="AX165" s="15708">
        <v>1</v>
      </c>
      <c r="AY165" s="15708">
        <v>10</v>
      </c>
      <c r="AZ165" s="15708" t="s">
        <v>6874</v>
      </c>
      <c r="BA165" s="3904" t="s">
        <v>10063</v>
      </c>
      <c r="BB165" s="15708" t="s">
        <v>7500</v>
      </c>
      <c r="BC165" s="15708" t="s">
        <v>7501</v>
      </c>
      <c r="BD165" s="15708" t="s">
        <v>6838</v>
      </c>
      <c r="BE165" s="15708" t="s">
        <v>7353</v>
      </c>
      <c r="BF165" s="15708" t="s">
        <v>7353</v>
      </c>
      <c r="BG165" s="15708" t="s">
        <v>7353</v>
      </c>
      <c r="BH165" s="17010" t="s">
        <v>7502</v>
      </c>
      <c r="BI165" s="3451"/>
      <c r="BJ165" s="7415"/>
      <c r="BK165" s="4782"/>
      <c r="BL165" s="4782"/>
      <c r="BM165" s="4782"/>
      <c r="BN165" s="4782"/>
      <c r="BO165" s="4782"/>
      <c r="BP165" s="4782"/>
      <c r="BQ165" s="4782"/>
      <c r="BR165" s="4782"/>
      <c r="BS165" s="4782"/>
      <c r="BT165" s="4782"/>
      <c r="BU165" s="4782"/>
      <c r="BV165" s="4782"/>
      <c r="BW165" s="4782"/>
      <c r="BX165" s="4782"/>
      <c r="BY165" s="4782"/>
      <c r="BZ165" s="4782"/>
      <c r="CA165" s="4782"/>
      <c r="CB165" s="4782"/>
      <c r="CC165" s="4782"/>
      <c r="CD165" s="4782"/>
      <c r="CE165" s="4782"/>
      <c r="CF165" s="4782"/>
      <c r="CG165" s="4782"/>
      <c r="CH165" s="4782"/>
      <c r="CI165" s="4782"/>
      <c r="CJ165" s="4782"/>
      <c r="CK165" s="4782"/>
      <c r="CL165" s="4782"/>
      <c r="CM165" s="4782"/>
      <c r="CN165" s="4782"/>
      <c r="CO165" s="4782"/>
      <c r="CP165" s="4782"/>
      <c r="CQ165" s="4782"/>
      <c r="CR165" s="4782"/>
      <c r="CS165" s="4782"/>
      <c r="CT165" s="4782"/>
      <c r="CU165" s="4782"/>
      <c r="CV165" s="4782"/>
      <c r="CW165" s="4782"/>
      <c r="CX165" s="4782"/>
      <c r="CY165" s="4782"/>
      <c r="CZ165" s="4782"/>
      <c r="DA165" s="4782"/>
      <c r="DB165" s="4782"/>
      <c r="DC165" s="7408"/>
    </row>
    <row r="166" spans="1:107" s="1834" customFormat="1" ht="15" customHeight="1">
      <c r="A166" s="17035"/>
      <c r="B166" s="17038"/>
      <c r="C166" s="17038"/>
      <c r="D166" s="17038"/>
      <c r="E166" s="17038"/>
      <c r="F166" s="17038"/>
      <c r="G166" s="17038"/>
      <c r="H166" s="17038"/>
      <c r="I166" s="17038"/>
      <c r="J166" s="17038"/>
      <c r="K166" s="17038"/>
      <c r="L166" s="17038"/>
      <c r="M166" s="17038"/>
      <c r="N166" s="17038"/>
      <c r="O166" s="17038"/>
      <c r="P166" s="17038"/>
      <c r="Q166" s="17041"/>
      <c r="R166" s="17044"/>
      <c r="S166" s="15691"/>
      <c r="T166" s="15691"/>
      <c r="U166" s="15691"/>
      <c r="V166" s="15691"/>
      <c r="W166" s="15691"/>
      <c r="X166" s="15846"/>
      <c r="Y166" s="15846"/>
      <c r="Z166" s="15691"/>
      <c r="AA166" s="15691"/>
      <c r="AB166" s="15691"/>
      <c r="AC166" s="15691"/>
      <c r="AD166" s="15691"/>
      <c r="AE166" s="15691"/>
      <c r="AF166" s="15691"/>
      <c r="AG166" s="15691"/>
      <c r="AH166" s="15691"/>
      <c r="AI166" s="15691"/>
      <c r="AJ166" s="15708"/>
      <c r="AK166" s="17011"/>
      <c r="AL166" s="17011"/>
      <c r="AM166" s="15708"/>
      <c r="AN166" s="15708"/>
      <c r="AO166" s="15708"/>
      <c r="AP166" s="15708"/>
      <c r="AQ166" s="15708"/>
      <c r="AR166" s="15708"/>
      <c r="AS166" s="15708"/>
      <c r="AT166" s="15708"/>
      <c r="AU166" s="15708"/>
      <c r="AV166" s="15708"/>
      <c r="AW166" s="15708"/>
      <c r="AX166" s="15708"/>
      <c r="AY166" s="15708"/>
      <c r="AZ166" s="15708"/>
      <c r="BA166" s="3904" t="s">
        <v>10290</v>
      </c>
      <c r="BB166" s="15708"/>
      <c r="BC166" s="15708"/>
      <c r="BD166" s="15708"/>
      <c r="BE166" s="15708"/>
      <c r="BF166" s="15708"/>
      <c r="BG166" s="15708"/>
      <c r="BH166" s="17010"/>
      <c r="BI166" s="3451"/>
      <c r="BJ166" s="7415"/>
      <c r="BK166" s="4782"/>
      <c r="BL166" s="4782"/>
      <c r="BM166" s="4782"/>
      <c r="BN166" s="4782"/>
      <c r="BO166" s="4782"/>
      <c r="BP166" s="4782"/>
      <c r="BQ166" s="4782"/>
      <c r="BR166" s="4782"/>
      <c r="BS166" s="4782"/>
      <c r="BT166" s="4782"/>
      <c r="BU166" s="4782"/>
      <c r="BV166" s="4782"/>
      <c r="BW166" s="4782"/>
      <c r="BX166" s="4782"/>
      <c r="BY166" s="4782"/>
      <c r="BZ166" s="4782"/>
      <c r="CA166" s="4782"/>
      <c r="CB166" s="4782"/>
      <c r="CC166" s="4782"/>
      <c r="CD166" s="4782"/>
      <c r="CE166" s="4782"/>
      <c r="CF166" s="4782"/>
      <c r="CG166" s="4782"/>
      <c r="CH166" s="4782"/>
      <c r="CI166" s="4782"/>
      <c r="CJ166" s="4782"/>
      <c r="CK166" s="4782"/>
      <c r="CL166" s="4782"/>
      <c r="CM166" s="4782"/>
      <c r="CN166" s="4782"/>
      <c r="CO166" s="4782"/>
      <c r="CP166" s="4782"/>
      <c r="CQ166" s="4782"/>
      <c r="CR166" s="4782"/>
      <c r="CS166" s="4782"/>
      <c r="CT166" s="4782"/>
      <c r="CU166" s="4782"/>
      <c r="CV166" s="4782"/>
      <c r="CW166" s="4782"/>
      <c r="CX166" s="4782"/>
      <c r="CY166" s="4782"/>
      <c r="CZ166" s="4782"/>
      <c r="DA166" s="4782"/>
      <c r="DB166" s="4782"/>
      <c r="DC166" s="7408"/>
    </row>
    <row r="167" spans="1:107" s="1834" customFormat="1" ht="15" customHeight="1">
      <c r="A167" s="17035"/>
      <c r="B167" s="17038"/>
      <c r="C167" s="17038"/>
      <c r="D167" s="17038"/>
      <c r="E167" s="17038"/>
      <c r="F167" s="17038"/>
      <c r="G167" s="17038"/>
      <c r="H167" s="17038"/>
      <c r="I167" s="17038"/>
      <c r="J167" s="17038"/>
      <c r="K167" s="17038"/>
      <c r="L167" s="17038"/>
      <c r="M167" s="17038"/>
      <c r="N167" s="17038"/>
      <c r="O167" s="17038"/>
      <c r="P167" s="17038"/>
      <c r="Q167" s="17041"/>
      <c r="R167" s="17044"/>
      <c r="S167" s="15691"/>
      <c r="T167" s="15691"/>
      <c r="U167" s="15691"/>
      <c r="V167" s="15691"/>
      <c r="W167" s="15691"/>
      <c r="X167" s="15846"/>
      <c r="Y167" s="15846"/>
      <c r="Z167" s="15691"/>
      <c r="AA167" s="15691"/>
      <c r="AB167" s="15691"/>
      <c r="AC167" s="15691"/>
      <c r="AD167" s="15691"/>
      <c r="AE167" s="15691"/>
      <c r="AF167" s="15691"/>
      <c r="AG167" s="15691"/>
      <c r="AH167" s="15691"/>
      <c r="AI167" s="15691"/>
      <c r="AJ167" s="15708"/>
      <c r="AK167" s="17011"/>
      <c r="AL167" s="17011"/>
      <c r="AM167" s="15708"/>
      <c r="AN167" s="15708"/>
      <c r="AO167" s="15708"/>
      <c r="AP167" s="15708"/>
      <c r="AQ167" s="15708"/>
      <c r="AR167" s="15708"/>
      <c r="AS167" s="15708"/>
      <c r="AT167" s="15708"/>
      <c r="AU167" s="15708"/>
      <c r="AV167" s="15708"/>
      <c r="AW167" s="15708"/>
      <c r="AX167" s="15708"/>
      <c r="AY167" s="15708"/>
      <c r="AZ167" s="15708"/>
      <c r="BA167" s="3904" t="s">
        <v>10066</v>
      </c>
      <c r="BB167" s="15708"/>
      <c r="BC167" s="15708"/>
      <c r="BD167" s="15708"/>
      <c r="BE167" s="15708"/>
      <c r="BF167" s="15708"/>
      <c r="BG167" s="15708"/>
      <c r="BH167" s="17010"/>
      <c r="BI167" s="3451"/>
      <c r="BJ167" s="7415"/>
      <c r="BK167" s="4782"/>
      <c r="BL167" s="4782"/>
      <c r="BM167" s="4782"/>
      <c r="BN167" s="4782"/>
      <c r="BO167" s="4782"/>
      <c r="BP167" s="4782"/>
      <c r="BQ167" s="4782"/>
      <c r="BR167" s="4782"/>
      <c r="BS167" s="4782"/>
      <c r="BT167" s="4782"/>
      <c r="BU167" s="4782"/>
      <c r="BV167" s="4782"/>
      <c r="BW167" s="4782"/>
      <c r="BX167" s="4782"/>
      <c r="BY167" s="4782"/>
      <c r="BZ167" s="4782"/>
      <c r="CA167" s="4782"/>
      <c r="CB167" s="4782"/>
      <c r="CC167" s="4782"/>
      <c r="CD167" s="4782"/>
      <c r="CE167" s="4782"/>
      <c r="CF167" s="4782"/>
      <c r="CG167" s="4782"/>
      <c r="CH167" s="4782"/>
      <c r="CI167" s="4782"/>
      <c r="CJ167" s="4782"/>
      <c r="CK167" s="4782"/>
      <c r="CL167" s="4782"/>
      <c r="CM167" s="4782"/>
      <c r="CN167" s="4782"/>
      <c r="CO167" s="4782"/>
      <c r="CP167" s="4782"/>
      <c r="CQ167" s="4782"/>
      <c r="CR167" s="4782"/>
      <c r="CS167" s="4782"/>
      <c r="CT167" s="4782"/>
      <c r="CU167" s="4782"/>
      <c r="CV167" s="4782"/>
      <c r="CW167" s="4782"/>
      <c r="CX167" s="4782"/>
      <c r="CY167" s="4782"/>
      <c r="CZ167" s="4782"/>
      <c r="DA167" s="4782"/>
      <c r="DB167" s="4782"/>
      <c r="DC167" s="7408"/>
    </row>
    <row r="168" spans="1:107" s="1834" customFormat="1" ht="15" customHeight="1">
      <c r="A168" s="17035"/>
      <c r="B168" s="17038"/>
      <c r="C168" s="17038"/>
      <c r="D168" s="17038"/>
      <c r="E168" s="17038"/>
      <c r="F168" s="17038"/>
      <c r="G168" s="17038"/>
      <c r="H168" s="17038"/>
      <c r="I168" s="17038"/>
      <c r="J168" s="17038"/>
      <c r="K168" s="17038"/>
      <c r="L168" s="17038"/>
      <c r="M168" s="17038"/>
      <c r="N168" s="17038"/>
      <c r="O168" s="17038"/>
      <c r="P168" s="17038"/>
      <c r="Q168" s="17041"/>
      <c r="R168" s="17044"/>
      <c r="S168" s="15691"/>
      <c r="T168" s="15691"/>
      <c r="U168" s="15691"/>
      <c r="V168" s="15691"/>
      <c r="W168" s="15691"/>
      <c r="X168" s="15846"/>
      <c r="Y168" s="15846"/>
      <c r="Z168" s="15691"/>
      <c r="AA168" s="15691"/>
      <c r="AB168" s="15691"/>
      <c r="AC168" s="15691"/>
      <c r="AD168" s="15691"/>
      <c r="AE168" s="15691"/>
      <c r="AF168" s="15691"/>
      <c r="AG168" s="15691"/>
      <c r="AH168" s="15691"/>
      <c r="AI168" s="15691"/>
      <c r="AJ168" s="15708" t="s">
        <v>8368</v>
      </c>
      <c r="AK168" s="17011" t="s">
        <v>7503</v>
      </c>
      <c r="AL168" s="17011" t="s">
        <v>7504</v>
      </c>
      <c r="AM168" s="15708" t="s">
        <v>6804</v>
      </c>
      <c r="AN168" s="15708">
        <v>0</v>
      </c>
      <c r="AO168" s="15708">
        <v>1</v>
      </c>
      <c r="AP168" s="15708">
        <v>0</v>
      </c>
      <c r="AQ168" s="15708">
        <v>1</v>
      </c>
      <c r="AR168" s="15708">
        <v>0</v>
      </c>
      <c r="AS168" s="15708">
        <v>1</v>
      </c>
      <c r="AT168" s="15708">
        <v>0</v>
      </c>
      <c r="AU168" s="15708">
        <v>1</v>
      </c>
      <c r="AV168" s="15708">
        <v>0</v>
      </c>
      <c r="AW168" s="15708">
        <v>1</v>
      </c>
      <c r="AX168" s="15708">
        <v>0</v>
      </c>
      <c r="AY168" s="15708">
        <v>5</v>
      </c>
      <c r="AZ168" s="15708" t="s">
        <v>7505</v>
      </c>
      <c r="BA168" s="3904" t="s">
        <v>10290</v>
      </c>
      <c r="BB168" s="5240" t="s">
        <v>6886</v>
      </c>
      <c r="BC168" s="5240"/>
      <c r="BD168" s="15708" t="s">
        <v>6838</v>
      </c>
      <c r="BE168" s="15708"/>
      <c r="BF168" s="15708"/>
      <c r="BG168" s="15708"/>
      <c r="BH168" s="17010" t="s">
        <v>7502</v>
      </c>
      <c r="BI168" s="3451"/>
      <c r="BJ168" s="7415"/>
      <c r="BK168" s="4782"/>
      <c r="BL168" s="4782"/>
      <c r="BM168" s="4782"/>
      <c r="BN168" s="4782"/>
      <c r="BO168" s="4782"/>
      <c r="BP168" s="4782"/>
      <c r="BQ168" s="4782"/>
      <c r="BR168" s="4782"/>
      <c r="BS168" s="4782"/>
      <c r="BT168" s="4782"/>
      <c r="BU168" s="4782"/>
      <c r="BV168" s="4782"/>
      <c r="BW168" s="4782"/>
      <c r="BX168" s="4782"/>
      <c r="BY168" s="4782"/>
      <c r="BZ168" s="4782"/>
      <c r="CA168" s="4782"/>
      <c r="CB168" s="4782"/>
      <c r="CC168" s="4782"/>
      <c r="CD168" s="4782"/>
      <c r="CE168" s="4782"/>
      <c r="CF168" s="4782"/>
      <c r="CG168" s="4782"/>
      <c r="CH168" s="4782"/>
      <c r="CI168" s="4782"/>
      <c r="CJ168" s="4782"/>
      <c r="CK168" s="4782"/>
      <c r="CL168" s="4782"/>
      <c r="CM168" s="4782"/>
      <c r="CN168" s="4782"/>
      <c r="CO168" s="4782"/>
      <c r="CP168" s="4782"/>
      <c r="CQ168" s="4782"/>
      <c r="CR168" s="4782"/>
      <c r="CS168" s="4782"/>
      <c r="CT168" s="4782"/>
      <c r="CU168" s="4782"/>
      <c r="CV168" s="4782"/>
      <c r="CW168" s="4782"/>
      <c r="CX168" s="4782"/>
      <c r="CY168" s="4782"/>
      <c r="CZ168" s="4782"/>
      <c r="DA168" s="4782"/>
      <c r="DB168" s="4782"/>
      <c r="DC168" s="7408"/>
    </row>
    <row r="169" spans="1:107" s="1834" customFormat="1" ht="15" customHeight="1">
      <c r="A169" s="17035"/>
      <c r="B169" s="17038"/>
      <c r="C169" s="17038"/>
      <c r="D169" s="17038"/>
      <c r="E169" s="17038"/>
      <c r="F169" s="17038"/>
      <c r="G169" s="17038"/>
      <c r="H169" s="17038"/>
      <c r="I169" s="17038"/>
      <c r="J169" s="17038"/>
      <c r="K169" s="17038"/>
      <c r="L169" s="17038"/>
      <c r="M169" s="17038"/>
      <c r="N169" s="17038"/>
      <c r="O169" s="17038"/>
      <c r="P169" s="17038"/>
      <c r="Q169" s="17041"/>
      <c r="R169" s="17044"/>
      <c r="S169" s="15691"/>
      <c r="T169" s="15691"/>
      <c r="U169" s="15691"/>
      <c r="V169" s="15691"/>
      <c r="W169" s="15691"/>
      <c r="X169" s="15846"/>
      <c r="Y169" s="15846"/>
      <c r="Z169" s="15691"/>
      <c r="AA169" s="15691"/>
      <c r="AB169" s="15691"/>
      <c r="AC169" s="15691"/>
      <c r="AD169" s="15691"/>
      <c r="AE169" s="15691"/>
      <c r="AF169" s="15691"/>
      <c r="AG169" s="15691"/>
      <c r="AH169" s="15691"/>
      <c r="AI169" s="15691"/>
      <c r="AJ169" s="15708"/>
      <c r="AK169" s="17011"/>
      <c r="AL169" s="17011"/>
      <c r="AM169" s="15708"/>
      <c r="AN169" s="15708"/>
      <c r="AO169" s="15708"/>
      <c r="AP169" s="15708"/>
      <c r="AQ169" s="15708"/>
      <c r="AR169" s="15708"/>
      <c r="AS169" s="15708"/>
      <c r="AT169" s="15708"/>
      <c r="AU169" s="15708"/>
      <c r="AV169" s="15708"/>
      <c r="AW169" s="15708"/>
      <c r="AX169" s="15708"/>
      <c r="AY169" s="15708"/>
      <c r="AZ169" s="15708"/>
      <c r="BA169" s="3904" t="s">
        <v>10194</v>
      </c>
      <c r="BB169" s="3224"/>
      <c r="BC169" s="5240" t="s">
        <v>6878</v>
      </c>
      <c r="BD169" s="15708"/>
      <c r="BE169" s="15708"/>
      <c r="BF169" s="15708"/>
      <c r="BG169" s="15708"/>
      <c r="BH169" s="17010"/>
      <c r="BI169" s="3451"/>
      <c r="BJ169" s="7415"/>
      <c r="BK169" s="4782"/>
      <c r="BL169" s="4782"/>
      <c r="BM169" s="4782"/>
      <c r="BN169" s="4782"/>
      <c r="BO169" s="4782"/>
      <c r="BP169" s="4782"/>
      <c r="BQ169" s="4782"/>
      <c r="BR169" s="4782"/>
      <c r="BS169" s="4782"/>
      <c r="BT169" s="4782"/>
      <c r="BU169" s="4782"/>
      <c r="BV169" s="4782"/>
      <c r="BW169" s="4782"/>
      <c r="BX169" s="4782"/>
      <c r="BY169" s="4782"/>
      <c r="BZ169" s="4782"/>
      <c r="CA169" s="4782"/>
      <c r="CB169" s="4782"/>
      <c r="CC169" s="4782"/>
      <c r="CD169" s="4782"/>
      <c r="CE169" s="4782"/>
      <c r="CF169" s="4782"/>
      <c r="CG169" s="4782"/>
      <c r="CH169" s="4782"/>
      <c r="CI169" s="4782"/>
      <c r="CJ169" s="4782"/>
      <c r="CK169" s="4782"/>
      <c r="CL169" s="4782"/>
      <c r="CM169" s="4782"/>
      <c r="CN169" s="4782"/>
      <c r="CO169" s="4782"/>
      <c r="CP169" s="4782"/>
      <c r="CQ169" s="4782"/>
      <c r="CR169" s="4782"/>
      <c r="CS169" s="4782"/>
      <c r="CT169" s="4782"/>
      <c r="CU169" s="4782"/>
      <c r="CV169" s="4782"/>
      <c r="CW169" s="4782"/>
      <c r="CX169" s="4782"/>
      <c r="CY169" s="4782"/>
      <c r="CZ169" s="4782"/>
      <c r="DA169" s="4782"/>
      <c r="DB169" s="4782"/>
      <c r="DC169" s="7408"/>
    </row>
    <row r="170" spans="1:107" s="1834" customFormat="1" ht="15" customHeight="1">
      <c r="A170" s="17035"/>
      <c r="B170" s="17038"/>
      <c r="C170" s="17038"/>
      <c r="D170" s="17038"/>
      <c r="E170" s="17038"/>
      <c r="F170" s="17038"/>
      <c r="G170" s="17038"/>
      <c r="H170" s="17038"/>
      <c r="I170" s="17038"/>
      <c r="J170" s="17038"/>
      <c r="K170" s="17038"/>
      <c r="L170" s="17038"/>
      <c r="M170" s="17038"/>
      <c r="N170" s="17038"/>
      <c r="O170" s="17038"/>
      <c r="P170" s="17038"/>
      <c r="Q170" s="17041"/>
      <c r="R170" s="17044"/>
      <c r="S170" s="15691"/>
      <c r="T170" s="15691"/>
      <c r="U170" s="15691"/>
      <c r="V170" s="15691"/>
      <c r="W170" s="15691"/>
      <c r="X170" s="15846"/>
      <c r="Y170" s="15846"/>
      <c r="Z170" s="15691"/>
      <c r="AA170" s="15691"/>
      <c r="AB170" s="15691"/>
      <c r="AC170" s="15691"/>
      <c r="AD170" s="15691"/>
      <c r="AE170" s="15691"/>
      <c r="AF170" s="15691"/>
      <c r="AG170" s="15691"/>
      <c r="AH170" s="15691"/>
      <c r="AI170" s="15691"/>
      <c r="AJ170" s="5240" t="s">
        <v>8369</v>
      </c>
      <c r="AK170" s="7379" t="s">
        <v>7506</v>
      </c>
      <c r="AL170" s="5240" t="s">
        <v>7507</v>
      </c>
      <c r="AM170" s="5240" t="s">
        <v>6785</v>
      </c>
      <c r="AN170" s="5240">
        <v>0</v>
      </c>
      <c r="AO170" s="5240">
        <v>1</v>
      </c>
      <c r="AP170" s="5240">
        <v>1</v>
      </c>
      <c r="AQ170" s="5240">
        <v>1</v>
      </c>
      <c r="AR170" s="5240">
        <v>1</v>
      </c>
      <c r="AS170" s="5240">
        <v>1</v>
      </c>
      <c r="AT170" s="5240">
        <v>1</v>
      </c>
      <c r="AU170" s="5240">
        <v>1</v>
      </c>
      <c r="AV170" s="5240">
        <v>1</v>
      </c>
      <c r="AW170" s="5240">
        <v>1</v>
      </c>
      <c r="AX170" s="5240">
        <v>1</v>
      </c>
      <c r="AY170" s="5240">
        <v>10</v>
      </c>
      <c r="AZ170" s="5240" t="s">
        <v>7508</v>
      </c>
      <c r="BA170" s="3904" t="s">
        <v>10070</v>
      </c>
      <c r="BB170" s="5240" t="s">
        <v>7509</v>
      </c>
      <c r="BC170" s="5240"/>
      <c r="BD170" s="5240" t="s">
        <v>7510</v>
      </c>
      <c r="BE170" s="5240" t="s">
        <v>7353</v>
      </c>
      <c r="BF170" s="5240" t="s">
        <v>7353</v>
      </c>
      <c r="BG170" s="5240" t="s">
        <v>7353</v>
      </c>
      <c r="BH170" s="7395" t="s">
        <v>7511</v>
      </c>
      <c r="BI170" s="3451"/>
      <c r="BJ170" s="3767"/>
      <c r="BK170" s="3224"/>
      <c r="BL170" s="3224"/>
      <c r="BM170" s="3224"/>
      <c r="BN170" s="3224"/>
      <c r="BO170" s="3224"/>
      <c r="BP170" s="3224"/>
      <c r="BQ170" s="3224"/>
      <c r="BR170" s="3224"/>
      <c r="BS170" s="3224"/>
      <c r="BT170" s="3224"/>
      <c r="BU170" s="3224"/>
      <c r="BV170" s="3224"/>
      <c r="BW170" s="3224"/>
      <c r="BX170" s="3224"/>
      <c r="BY170" s="3224"/>
      <c r="BZ170" s="3224"/>
      <c r="CA170" s="3224"/>
      <c r="CB170" s="3224"/>
      <c r="CC170" s="3224"/>
      <c r="CD170" s="3224"/>
      <c r="CE170" s="3224"/>
      <c r="CF170" s="3224"/>
      <c r="CG170" s="3224"/>
      <c r="CH170" s="3224"/>
      <c r="CI170" s="3224"/>
      <c r="CJ170" s="3224"/>
      <c r="CK170" s="3224"/>
      <c r="CL170" s="3224"/>
      <c r="CM170" s="3224"/>
      <c r="CN170" s="3224"/>
      <c r="CO170" s="3224"/>
      <c r="CP170" s="3224"/>
      <c r="CQ170" s="3224"/>
      <c r="CR170" s="3224"/>
      <c r="CS170" s="3224"/>
      <c r="CT170" s="3224"/>
      <c r="CU170" s="3224"/>
      <c r="CV170" s="3224"/>
      <c r="CW170" s="3224"/>
      <c r="CX170" s="3224"/>
      <c r="CY170" s="3224"/>
      <c r="CZ170" s="3224"/>
      <c r="DA170" s="3224"/>
      <c r="DB170" s="3224"/>
      <c r="DC170" s="2057"/>
    </row>
    <row r="171" spans="1:107" s="1834" customFormat="1" ht="15" customHeight="1">
      <c r="A171" s="17035"/>
      <c r="B171" s="17038"/>
      <c r="C171" s="17038"/>
      <c r="D171" s="17038"/>
      <c r="E171" s="17038"/>
      <c r="F171" s="17038"/>
      <c r="G171" s="17038"/>
      <c r="H171" s="17038"/>
      <c r="I171" s="17038"/>
      <c r="J171" s="17038"/>
      <c r="K171" s="17038"/>
      <c r="L171" s="17038"/>
      <c r="M171" s="17038"/>
      <c r="N171" s="17038"/>
      <c r="O171" s="17038"/>
      <c r="P171" s="17038"/>
      <c r="Q171" s="17041"/>
      <c r="R171" s="17044"/>
      <c r="S171" s="15691"/>
      <c r="T171" s="15691"/>
      <c r="U171" s="15691"/>
      <c r="V171" s="15691"/>
      <c r="W171" s="15691"/>
      <c r="X171" s="15846"/>
      <c r="Y171" s="15846"/>
      <c r="Z171" s="15691"/>
      <c r="AA171" s="15691"/>
      <c r="AB171" s="15691"/>
      <c r="AC171" s="15691"/>
      <c r="AD171" s="15691"/>
      <c r="AE171" s="15691"/>
      <c r="AF171" s="15691"/>
      <c r="AG171" s="15691"/>
      <c r="AH171" s="15691"/>
      <c r="AI171" s="15691"/>
      <c r="AJ171" s="5240" t="s">
        <v>8370</v>
      </c>
      <c r="AK171" s="7379" t="s">
        <v>7512</v>
      </c>
      <c r="AL171" s="5240" t="s">
        <v>7513</v>
      </c>
      <c r="AM171" s="5240" t="s">
        <v>6804</v>
      </c>
      <c r="AN171" s="5240">
        <v>0</v>
      </c>
      <c r="AO171" s="5240">
        <v>0</v>
      </c>
      <c r="AP171" s="5240">
        <v>0</v>
      </c>
      <c r="AQ171" s="5240">
        <v>1</v>
      </c>
      <c r="AR171" s="5240">
        <v>0</v>
      </c>
      <c r="AS171" s="5240">
        <v>0</v>
      </c>
      <c r="AT171" s="5240">
        <v>0</v>
      </c>
      <c r="AU171" s="5240">
        <v>1</v>
      </c>
      <c r="AV171" s="5240">
        <v>0</v>
      </c>
      <c r="AW171" s="5240">
        <v>0</v>
      </c>
      <c r="AX171" s="5240">
        <v>0</v>
      </c>
      <c r="AY171" s="5240">
        <v>2</v>
      </c>
      <c r="AZ171" s="5240" t="s">
        <v>7514</v>
      </c>
      <c r="BA171" s="3904" t="s">
        <v>10070</v>
      </c>
      <c r="BB171" s="5240" t="s">
        <v>7509</v>
      </c>
      <c r="BC171" s="5240"/>
      <c r="BD171" s="5240" t="s">
        <v>7510</v>
      </c>
      <c r="BE171" s="5240" t="s">
        <v>7353</v>
      </c>
      <c r="BF171" s="5240" t="s">
        <v>7353</v>
      </c>
      <c r="BG171" s="5240" t="s">
        <v>7353</v>
      </c>
      <c r="BH171" s="7395" t="s">
        <v>7511</v>
      </c>
      <c r="BI171" s="3451"/>
      <c r="BJ171" s="3767"/>
      <c r="BK171" s="3224"/>
      <c r="BL171" s="3224"/>
      <c r="BM171" s="3224"/>
      <c r="BN171" s="3224"/>
      <c r="BO171" s="3224"/>
      <c r="BP171" s="3224"/>
      <c r="BQ171" s="3224"/>
      <c r="BR171" s="3224"/>
      <c r="BS171" s="3224"/>
      <c r="BT171" s="3224"/>
      <c r="BU171" s="3224"/>
      <c r="BV171" s="3224"/>
      <c r="BW171" s="3224"/>
      <c r="BX171" s="3224"/>
      <c r="BY171" s="3224"/>
      <c r="BZ171" s="3224"/>
      <c r="CA171" s="3224"/>
      <c r="CB171" s="3224"/>
      <c r="CC171" s="3224"/>
      <c r="CD171" s="3224"/>
      <c r="CE171" s="3224"/>
      <c r="CF171" s="3224"/>
      <c r="CG171" s="3224"/>
      <c r="CH171" s="3224"/>
      <c r="CI171" s="3224"/>
      <c r="CJ171" s="3224"/>
      <c r="CK171" s="3224"/>
      <c r="CL171" s="3224"/>
      <c r="CM171" s="3224"/>
      <c r="CN171" s="3224"/>
      <c r="CO171" s="3224"/>
      <c r="CP171" s="3224"/>
      <c r="CQ171" s="3224"/>
      <c r="CR171" s="3224"/>
      <c r="CS171" s="3224"/>
      <c r="CT171" s="3224"/>
      <c r="CU171" s="3224"/>
      <c r="CV171" s="3224"/>
      <c r="CW171" s="3224"/>
      <c r="CX171" s="3224"/>
      <c r="CY171" s="3224"/>
      <c r="CZ171" s="3224"/>
      <c r="DA171" s="3224"/>
      <c r="DB171" s="3224"/>
      <c r="DC171" s="2057"/>
    </row>
    <row r="172" spans="1:107" s="1834" customFormat="1" ht="15" customHeight="1">
      <c r="A172" s="17035"/>
      <c r="B172" s="17038"/>
      <c r="C172" s="17038"/>
      <c r="D172" s="17038"/>
      <c r="E172" s="17038"/>
      <c r="F172" s="17038"/>
      <c r="G172" s="17038"/>
      <c r="H172" s="17038"/>
      <c r="I172" s="17038"/>
      <c r="J172" s="17038"/>
      <c r="K172" s="17038"/>
      <c r="L172" s="17038"/>
      <c r="M172" s="17038"/>
      <c r="N172" s="17038"/>
      <c r="O172" s="17038"/>
      <c r="P172" s="17038"/>
      <c r="Q172" s="17041"/>
      <c r="R172" s="17044"/>
      <c r="S172" s="15691"/>
      <c r="T172" s="15691"/>
      <c r="U172" s="15691"/>
      <c r="V172" s="15691"/>
      <c r="W172" s="15691"/>
      <c r="X172" s="15846"/>
      <c r="Y172" s="15846"/>
      <c r="Z172" s="15691"/>
      <c r="AA172" s="15691"/>
      <c r="AB172" s="15691"/>
      <c r="AC172" s="15691"/>
      <c r="AD172" s="15691"/>
      <c r="AE172" s="15691"/>
      <c r="AF172" s="15691"/>
      <c r="AG172" s="15691"/>
      <c r="AH172" s="15691"/>
      <c r="AI172" s="15691"/>
      <c r="AJ172" s="15708" t="s">
        <v>8385</v>
      </c>
      <c r="AK172" s="15708" t="s">
        <v>7515</v>
      </c>
      <c r="AL172" s="15708" t="s">
        <v>7516</v>
      </c>
      <c r="AM172" s="15708" t="s">
        <v>6804</v>
      </c>
      <c r="AN172" s="15708">
        <v>0</v>
      </c>
      <c r="AO172" s="15708">
        <v>0</v>
      </c>
      <c r="AP172" s="15708">
        <v>0</v>
      </c>
      <c r="AQ172" s="15708">
        <v>0.5</v>
      </c>
      <c r="AR172" s="15708">
        <v>0</v>
      </c>
      <c r="AS172" s="15708">
        <v>0</v>
      </c>
      <c r="AT172" s="15708">
        <v>0</v>
      </c>
      <c r="AU172" s="15708">
        <v>0.5</v>
      </c>
      <c r="AV172" s="15708">
        <v>0</v>
      </c>
      <c r="AW172" s="15708">
        <v>0</v>
      </c>
      <c r="AX172" s="15708">
        <v>0</v>
      </c>
      <c r="AY172" s="15708">
        <v>1</v>
      </c>
      <c r="AZ172" s="15708" t="s">
        <v>7517</v>
      </c>
      <c r="BA172" s="3904" t="s">
        <v>10066</v>
      </c>
      <c r="BB172" s="15708" t="s">
        <v>7518</v>
      </c>
      <c r="BC172" s="5240"/>
      <c r="BD172" s="5240" t="s">
        <v>6838</v>
      </c>
      <c r="BE172" s="5240" t="s">
        <v>7353</v>
      </c>
      <c r="BF172" s="5240" t="s">
        <v>7353</v>
      </c>
      <c r="BG172" s="5240" t="s">
        <v>7353</v>
      </c>
      <c r="BH172" s="7395" t="s">
        <v>7502</v>
      </c>
      <c r="BI172" s="3451"/>
      <c r="BJ172" s="3767"/>
      <c r="BK172" s="3224"/>
      <c r="BL172" s="3224"/>
      <c r="BM172" s="3224"/>
      <c r="BN172" s="3224"/>
      <c r="BO172" s="3224"/>
      <c r="BP172" s="3224"/>
      <c r="BQ172" s="3224"/>
      <c r="BR172" s="3224"/>
      <c r="BS172" s="3224"/>
      <c r="BT172" s="3224"/>
      <c r="BU172" s="3224"/>
      <c r="BV172" s="3224"/>
      <c r="BW172" s="3224"/>
      <c r="BX172" s="3224"/>
      <c r="BY172" s="3224"/>
      <c r="BZ172" s="3224"/>
      <c r="CA172" s="3224"/>
      <c r="CB172" s="3224"/>
      <c r="CC172" s="3224"/>
      <c r="CD172" s="3224"/>
      <c r="CE172" s="3224"/>
      <c r="CF172" s="3224"/>
      <c r="CG172" s="3224"/>
      <c r="CH172" s="3224"/>
      <c r="CI172" s="3224"/>
      <c r="CJ172" s="3224"/>
      <c r="CK172" s="3224"/>
      <c r="CL172" s="3224"/>
      <c r="CM172" s="3224"/>
      <c r="CN172" s="3224"/>
      <c r="CO172" s="3224"/>
      <c r="CP172" s="3224"/>
      <c r="CQ172" s="3224"/>
      <c r="CR172" s="3224"/>
      <c r="CS172" s="3224"/>
      <c r="CT172" s="3224"/>
      <c r="CU172" s="3224"/>
      <c r="CV172" s="3224"/>
      <c r="CW172" s="3224"/>
      <c r="CX172" s="3224"/>
      <c r="CY172" s="3224"/>
      <c r="CZ172" s="3224"/>
      <c r="DA172" s="3224"/>
      <c r="DB172" s="3224"/>
      <c r="DC172" s="2057"/>
    </row>
    <row r="173" spans="1:107" s="1834" customFormat="1" ht="15" customHeight="1">
      <c r="A173" s="17035"/>
      <c r="B173" s="17038"/>
      <c r="C173" s="17038"/>
      <c r="D173" s="17038"/>
      <c r="E173" s="17038"/>
      <c r="F173" s="17038"/>
      <c r="G173" s="17038"/>
      <c r="H173" s="17038"/>
      <c r="I173" s="17038"/>
      <c r="J173" s="17038"/>
      <c r="K173" s="17038"/>
      <c r="L173" s="17038"/>
      <c r="M173" s="17038"/>
      <c r="N173" s="17038"/>
      <c r="O173" s="17038"/>
      <c r="P173" s="17038"/>
      <c r="Q173" s="17041"/>
      <c r="R173" s="17044"/>
      <c r="S173" s="15691"/>
      <c r="T173" s="15691"/>
      <c r="U173" s="15691"/>
      <c r="V173" s="15691"/>
      <c r="W173" s="15691"/>
      <c r="X173" s="15846"/>
      <c r="Y173" s="15846"/>
      <c r="Z173" s="15691"/>
      <c r="AA173" s="15691"/>
      <c r="AB173" s="15691"/>
      <c r="AC173" s="15691"/>
      <c r="AD173" s="15691"/>
      <c r="AE173" s="15691"/>
      <c r="AF173" s="15691"/>
      <c r="AG173" s="15691"/>
      <c r="AH173" s="15691"/>
      <c r="AI173" s="15691"/>
      <c r="AJ173" s="15708"/>
      <c r="AK173" s="15708"/>
      <c r="AL173" s="15708"/>
      <c r="AM173" s="15708"/>
      <c r="AN173" s="15708"/>
      <c r="AO173" s="15708"/>
      <c r="AP173" s="15708"/>
      <c r="AQ173" s="15708"/>
      <c r="AR173" s="15708"/>
      <c r="AS173" s="15708"/>
      <c r="AT173" s="15708"/>
      <c r="AU173" s="15708"/>
      <c r="AV173" s="15708"/>
      <c r="AW173" s="15708"/>
      <c r="AX173" s="15708"/>
      <c r="AY173" s="15708"/>
      <c r="AZ173" s="15708"/>
      <c r="BA173" s="3904" t="s">
        <v>10290</v>
      </c>
      <c r="BB173" s="15708"/>
      <c r="BC173" s="5240"/>
      <c r="BD173" s="5240"/>
      <c r="BE173" s="5240"/>
      <c r="BF173" s="5240"/>
      <c r="BG173" s="5240"/>
      <c r="BH173" s="7395"/>
      <c r="BI173" s="3451"/>
      <c r="BJ173" s="3767"/>
      <c r="BK173" s="3224"/>
      <c r="BL173" s="3224"/>
      <c r="BM173" s="3224"/>
      <c r="BN173" s="3224"/>
      <c r="BO173" s="3224"/>
      <c r="BP173" s="3224"/>
      <c r="BQ173" s="3224"/>
      <c r="BR173" s="3224"/>
      <c r="BS173" s="3224"/>
      <c r="BT173" s="3224"/>
      <c r="BU173" s="3224"/>
      <c r="BV173" s="3224"/>
      <c r="BW173" s="3224"/>
      <c r="BX173" s="3224"/>
      <c r="BY173" s="3224"/>
      <c r="BZ173" s="3224"/>
      <c r="CA173" s="3224"/>
      <c r="CB173" s="3224"/>
      <c r="CC173" s="3224"/>
      <c r="CD173" s="3224"/>
      <c r="CE173" s="3224"/>
      <c r="CF173" s="3224"/>
      <c r="CG173" s="3224"/>
      <c r="CH173" s="3224"/>
      <c r="CI173" s="3224"/>
      <c r="CJ173" s="3224"/>
      <c r="CK173" s="3224"/>
      <c r="CL173" s="3224"/>
      <c r="CM173" s="3224"/>
      <c r="CN173" s="3224"/>
      <c r="CO173" s="3224"/>
      <c r="CP173" s="3224"/>
      <c r="CQ173" s="3224"/>
      <c r="CR173" s="3224"/>
      <c r="CS173" s="3224"/>
      <c r="CT173" s="3224"/>
      <c r="CU173" s="3224"/>
      <c r="CV173" s="3224"/>
      <c r="CW173" s="3224"/>
      <c r="CX173" s="3224"/>
      <c r="CY173" s="3224"/>
      <c r="CZ173" s="3224"/>
      <c r="DA173" s="3224"/>
      <c r="DB173" s="3224"/>
      <c r="DC173" s="2057"/>
    </row>
    <row r="174" spans="1:107" s="1834" customFormat="1" ht="15" customHeight="1">
      <c r="A174" s="17035"/>
      <c r="B174" s="17038"/>
      <c r="C174" s="17038"/>
      <c r="D174" s="17038"/>
      <c r="E174" s="17038"/>
      <c r="F174" s="17038"/>
      <c r="G174" s="17038"/>
      <c r="H174" s="17038"/>
      <c r="I174" s="17038"/>
      <c r="J174" s="17038"/>
      <c r="K174" s="17038"/>
      <c r="L174" s="17038"/>
      <c r="M174" s="17038"/>
      <c r="N174" s="17038"/>
      <c r="O174" s="17038"/>
      <c r="P174" s="17038"/>
      <c r="Q174" s="17041"/>
      <c r="R174" s="17044"/>
      <c r="S174" s="15691"/>
      <c r="T174" s="15691"/>
      <c r="U174" s="15691"/>
      <c r="V174" s="15691"/>
      <c r="W174" s="15691"/>
      <c r="X174" s="15846"/>
      <c r="Y174" s="15846"/>
      <c r="Z174" s="15691"/>
      <c r="AA174" s="15691"/>
      <c r="AB174" s="15691"/>
      <c r="AC174" s="15691"/>
      <c r="AD174" s="15691"/>
      <c r="AE174" s="15691"/>
      <c r="AF174" s="15691"/>
      <c r="AG174" s="15691"/>
      <c r="AH174" s="15691"/>
      <c r="AI174" s="15691"/>
      <c r="AJ174" s="15708"/>
      <c r="AK174" s="15708"/>
      <c r="AL174" s="15708"/>
      <c r="AM174" s="15708"/>
      <c r="AN174" s="15708"/>
      <c r="AO174" s="15708"/>
      <c r="AP174" s="15708"/>
      <c r="AQ174" s="15708"/>
      <c r="AR174" s="15708"/>
      <c r="AS174" s="15708"/>
      <c r="AT174" s="15708"/>
      <c r="AU174" s="15708"/>
      <c r="AV174" s="15708"/>
      <c r="AW174" s="15708"/>
      <c r="AX174" s="15708"/>
      <c r="AY174" s="15708"/>
      <c r="AZ174" s="15708"/>
      <c r="BA174" s="3904" t="s">
        <v>10070</v>
      </c>
      <c r="BB174" s="15708"/>
      <c r="BC174" s="5240"/>
      <c r="BD174" s="5240"/>
      <c r="BE174" s="5240"/>
      <c r="BF174" s="5240"/>
      <c r="BG174" s="5240"/>
      <c r="BH174" s="7395"/>
      <c r="BI174" s="3451"/>
      <c r="BJ174" s="3767"/>
      <c r="BK174" s="3224"/>
      <c r="BL174" s="3224"/>
      <c r="BM174" s="3224"/>
      <c r="BN174" s="3224"/>
      <c r="BO174" s="3224"/>
      <c r="BP174" s="3224"/>
      <c r="BQ174" s="3224"/>
      <c r="BR174" s="3224"/>
      <c r="BS174" s="3224"/>
      <c r="BT174" s="3224"/>
      <c r="BU174" s="3224"/>
      <c r="BV174" s="3224"/>
      <c r="BW174" s="3224"/>
      <c r="BX174" s="3224"/>
      <c r="BY174" s="3224"/>
      <c r="BZ174" s="3224"/>
      <c r="CA174" s="3224"/>
      <c r="CB174" s="3224"/>
      <c r="CC174" s="3224"/>
      <c r="CD174" s="3224"/>
      <c r="CE174" s="3224"/>
      <c r="CF174" s="3224"/>
      <c r="CG174" s="3224"/>
      <c r="CH174" s="3224"/>
      <c r="CI174" s="3224"/>
      <c r="CJ174" s="3224"/>
      <c r="CK174" s="3224"/>
      <c r="CL174" s="3224"/>
      <c r="CM174" s="3224"/>
      <c r="CN174" s="3224"/>
      <c r="CO174" s="3224"/>
      <c r="CP174" s="3224"/>
      <c r="CQ174" s="3224"/>
      <c r="CR174" s="3224"/>
      <c r="CS174" s="3224"/>
      <c r="CT174" s="3224"/>
      <c r="CU174" s="3224"/>
      <c r="CV174" s="3224"/>
      <c r="CW174" s="3224"/>
      <c r="CX174" s="3224"/>
      <c r="CY174" s="3224"/>
      <c r="CZ174" s="3224"/>
      <c r="DA174" s="3224"/>
      <c r="DB174" s="3224"/>
      <c r="DC174" s="2057"/>
    </row>
    <row r="175" spans="1:107" s="1834" customFormat="1" ht="15" customHeight="1">
      <c r="A175" s="17035"/>
      <c r="B175" s="17038"/>
      <c r="C175" s="17038"/>
      <c r="D175" s="17038"/>
      <c r="E175" s="17038"/>
      <c r="F175" s="17038"/>
      <c r="G175" s="17038"/>
      <c r="H175" s="17038"/>
      <c r="I175" s="17038"/>
      <c r="J175" s="17038"/>
      <c r="K175" s="17038"/>
      <c r="L175" s="17038"/>
      <c r="M175" s="17038"/>
      <c r="N175" s="17038"/>
      <c r="O175" s="17038"/>
      <c r="P175" s="17038"/>
      <c r="Q175" s="17041"/>
      <c r="R175" s="17044"/>
      <c r="S175" s="15691"/>
      <c r="T175" s="15691"/>
      <c r="U175" s="15691"/>
      <c r="V175" s="15691"/>
      <c r="W175" s="15691"/>
      <c r="X175" s="15846"/>
      <c r="Y175" s="15846"/>
      <c r="Z175" s="15691"/>
      <c r="AA175" s="15691"/>
      <c r="AB175" s="15691"/>
      <c r="AC175" s="15691"/>
      <c r="AD175" s="15691"/>
      <c r="AE175" s="15691"/>
      <c r="AF175" s="15691"/>
      <c r="AG175" s="15691"/>
      <c r="AH175" s="15691"/>
      <c r="AI175" s="15691"/>
      <c r="AJ175" s="5240" t="s">
        <v>8386</v>
      </c>
      <c r="AK175" s="3440" t="s">
        <v>7519</v>
      </c>
      <c r="AL175" s="5220" t="s">
        <v>7520</v>
      </c>
      <c r="AM175" s="5240" t="s">
        <v>6796</v>
      </c>
      <c r="AN175" s="5240">
        <v>1</v>
      </c>
      <c r="AO175" s="5240">
        <v>1</v>
      </c>
      <c r="AP175" s="5240">
        <v>1</v>
      </c>
      <c r="AQ175" s="5240">
        <v>1</v>
      </c>
      <c r="AR175" s="5240">
        <v>1</v>
      </c>
      <c r="AS175" s="5240">
        <v>1</v>
      </c>
      <c r="AT175" s="5240">
        <v>1</v>
      </c>
      <c r="AU175" s="5240">
        <v>1</v>
      </c>
      <c r="AV175" s="5240">
        <v>1</v>
      </c>
      <c r="AW175" s="5240">
        <v>1</v>
      </c>
      <c r="AX175" s="5240">
        <v>1</v>
      </c>
      <c r="AY175" s="5240">
        <v>10</v>
      </c>
      <c r="AZ175" s="5240" t="s">
        <v>6817</v>
      </c>
      <c r="BA175" s="3904" t="s">
        <v>10066</v>
      </c>
      <c r="BB175" s="5240" t="s">
        <v>6787</v>
      </c>
      <c r="BC175" s="5240"/>
      <c r="BD175" s="5240" t="s">
        <v>7521</v>
      </c>
      <c r="BE175" s="5240"/>
      <c r="BF175" s="5240"/>
      <c r="BG175" s="5240"/>
      <c r="BH175" s="7395" t="s">
        <v>7522</v>
      </c>
      <c r="BI175" s="3451"/>
      <c r="BJ175" s="3767"/>
      <c r="BK175" s="3224"/>
      <c r="BL175" s="3224"/>
      <c r="BM175" s="3224"/>
      <c r="BN175" s="3224"/>
      <c r="BO175" s="3224"/>
      <c r="BP175" s="3224"/>
      <c r="BQ175" s="3224"/>
      <c r="BR175" s="3224"/>
      <c r="BS175" s="3224"/>
      <c r="BT175" s="3224"/>
      <c r="BU175" s="3224"/>
      <c r="BV175" s="3224"/>
      <c r="BW175" s="3224"/>
      <c r="BX175" s="3224"/>
      <c r="BY175" s="3224"/>
      <c r="BZ175" s="3224"/>
      <c r="CA175" s="3224"/>
      <c r="CB175" s="3224"/>
      <c r="CC175" s="3224"/>
      <c r="CD175" s="3224"/>
      <c r="CE175" s="3224"/>
      <c r="CF175" s="3224"/>
      <c r="CG175" s="3224"/>
      <c r="CH175" s="3224"/>
      <c r="CI175" s="3224"/>
      <c r="CJ175" s="3224"/>
      <c r="CK175" s="3224"/>
      <c r="CL175" s="3224"/>
      <c r="CM175" s="3224"/>
      <c r="CN175" s="3224"/>
      <c r="CO175" s="3224"/>
      <c r="CP175" s="3224"/>
      <c r="CQ175" s="3224"/>
      <c r="CR175" s="3224"/>
      <c r="CS175" s="3224"/>
      <c r="CT175" s="3224"/>
      <c r="CU175" s="3224"/>
      <c r="CV175" s="3224"/>
      <c r="CW175" s="3224"/>
      <c r="CX175" s="3224"/>
      <c r="CY175" s="3224"/>
      <c r="CZ175" s="3224"/>
      <c r="DA175" s="3224"/>
      <c r="DB175" s="3224"/>
      <c r="DC175" s="2057"/>
    </row>
    <row r="176" spans="1:107" s="1834" customFormat="1" ht="15" customHeight="1">
      <c r="A176" s="17035"/>
      <c r="B176" s="17038"/>
      <c r="C176" s="17038"/>
      <c r="D176" s="17038"/>
      <c r="E176" s="17038"/>
      <c r="F176" s="17038"/>
      <c r="G176" s="17038"/>
      <c r="H176" s="17038"/>
      <c r="I176" s="17038"/>
      <c r="J176" s="17038"/>
      <c r="K176" s="17038"/>
      <c r="L176" s="17038"/>
      <c r="M176" s="17038"/>
      <c r="N176" s="17038"/>
      <c r="O176" s="17038"/>
      <c r="P176" s="17038"/>
      <c r="Q176" s="17041"/>
      <c r="R176" s="17044"/>
      <c r="S176" s="15691"/>
      <c r="T176" s="15691"/>
      <c r="U176" s="15691"/>
      <c r="V176" s="15691"/>
      <c r="W176" s="15691"/>
      <c r="X176" s="15846"/>
      <c r="Y176" s="15846"/>
      <c r="Z176" s="15691"/>
      <c r="AA176" s="15691"/>
      <c r="AB176" s="15691"/>
      <c r="AC176" s="15691"/>
      <c r="AD176" s="15691"/>
      <c r="AE176" s="15691"/>
      <c r="AF176" s="15691"/>
      <c r="AG176" s="15691"/>
      <c r="AH176" s="15691"/>
      <c r="AI176" s="15691"/>
      <c r="AJ176" s="15708" t="s">
        <v>8387</v>
      </c>
      <c r="AK176" s="15350" t="s">
        <v>7523</v>
      </c>
      <c r="AL176" s="15350" t="s">
        <v>7466</v>
      </c>
      <c r="AM176" s="15350" t="s">
        <v>6796</v>
      </c>
      <c r="AN176" s="15350" t="s">
        <v>70</v>
      </c>
      <c r="AO176" s="15350">
        <v>1</v>
      </c>
      <c r="AP176" s="15350">
        <v>1</v>
      </c>
      <c r="AQ176" s="15350">
        <v>1</v>
      </c>
      <c r="AR176" s="15350">
        <v>1</v>
      </c>
      <c r="AS176" s="15350">
        <v>1</v>
      </c>
      <c r="AT176" s="15350">
        <v>1</v>
      </c>
      <c r="AU176" s="15350">
        <v>1</v>
      </c>
      <c r="AV176" s="15350">
        <v>1</v>
      </c>
      <c r="AW176" s="15350">
        <v>1</v>
      </c>
      <c r="AX176" s="15350">
        <v>1</v>
      </c>
      <c r="AY176" s="15350">
        <v>1</v>
      </c>
      <c r="AZ176" s="15350" t="s">
        <v>7524</v>
      </c>
      <c r="BA176" s="3904" t="s">
        <v>10057</v>
      </c>
      <c r="BB176" s="15708" t="s">
        <v>7525</v>
      </c>
      <c r="BC176" s="5240"/>
      <c r="BD176" s="5240" t="s">
        <v>7521</v>
      </c>
      <c r="BE176" s="5240"/>
      <c r="BF176" s="5240"/>
      <c r="BG176" s="5240"/>
      <c r="BH176" s="7395" t="s">
        <v>7522</v>
      </c>
      <c r="BI176" s="3451"/>
      <c r="BJ176" s="3767"/>
      <c r="BK176" s="3224"/>
      <c r="BL176" s="3224"/>
      <c r="BM176" s="3224"/>
      <c r="BN176" s="3224"/>
      <c r="BO176" s="3224"/>
      <c r="BP176" s="3224"/>
      <c r="BQ176" s="3224"/>
      <c r="BR176" s="3224"/>
      <c r="BS176" s="3224"/>
      <c r="BT176" s="3224"/>
      <c r="BU176" s="3224"/>
      <c r="BV176" s="3224"/>
      <c r="BW176" s="3224"/>
      <c r="BX176" s="3224"/>
      <c r="BY176" s="3224"/>
      <c r="BZ176" s="3224"/>
      <c r="CA176" s="3224"/>
      <c r="CB176" s="3224"/>
      <c r="CC176" s="3224"/>
      <c r="CD176" s="3224"/>
      <c r="CE176" s="3224"/>
      <c r="CF176" s="3224"/>
      <c r="CG176" s="3224"/>
      <c r="CH176" s="3224"/>
      <c r="CI176" s="3224"/>
      <c r="CJ176" s="3224"/>
      <c r="CK176" s="3224"/>
      <c r="CL176" s="3224"/>
      <c r="CM176" s="3224"/>
      <c r="CN176" s="3224"/>
      <c r="CO176" s="3224"/>
      <c r="CP176" s="3224"/>
      <c r="CQ176" s="3224"/>
      <c r="CR176" s="3224"/>
      <c r="CS176" s="3224"/>
      <c r="CT176" s="3224"/>
      <c r="CU176" s="3224"/>
      <c r="CV176" s="3224"/>
      <c r="CW176" s="3224"/>
      <c r="CX176" s="3224"/>
      <c r="CY176" s="3224"/>
      <c r="CZ176" s="3224"/>
      <c r="DA176" s="3224"/>
      <c r="DB176" s="3224"/>
      <c r="DC176" s="2057"/>
    </row>
    <row r="177" spans="1:107" s="1834" customFormat="1" ht="15" customHeight="1">
      <c r="A177" s="17035"/>
      <c r="B177" s="17038"/>
      <c r="C177" s="17038"/>
      <c r="D177" s="17038"/>
      <c r="E177" s="17038"/>
      <c r="F177" s="17038"/>
      <c r="G177" s="17038"/>
      <c r="H177" s="17038"/>
      <c r="I177" s="17038"/>
      <c r="J177" s="17038"/>
      <c r="K177" s="17038"/>
      <c r="L177" s="17038"/>
      <c r="M177" s="17038"/>
      <c r="N177" s="17038"/>
      <c r="O177" s="17038"/>
      <c r="P177" s="17038"/>
      <c r="Q177" s="17041"/>
      <c r="R177" s="17044"/>
      <c r="S177" s="15691"/>
      <c r="T177" s="15691"/>
      <c r="U177" s="15691"/>
      <c r="V177" s="15691"/>
      <c r="W177" s="15691"/>
      <c r="X177" s="15846"/>
      <c r="Y177" s="15846"/>
      <c r="Z177" s="15691"/>
      <c r="AA177" s="15691"/>
      <c r="AB177" s="15691"/>
      <c r="AC177" s="15691"/>
      <c r="AD177" s="15691"/>
      <c r="AE177" s="15691"/>
      <c r="AF177" s="15691"/>
      <c r="AG177" s="15691"/>
      <c r="AH177" s="15691"/>
      <c r="AI177" s="15691"/>
      <c r="AJ177" s="15708"/>
      <c r="AK177" s="15350"/>
      <c r="AL177" s="15350"/>
      <c r="AM177" s="15350"/>
      <c r="AN177" s="15350"/>
      <c r="AO177" s="15350"/>
      <c r="AP177" s="15350"/>
      <c r="AQ177" s="15350"/>
      <c r="AR177" s="15350"/>
      <c r="AS177" s="15350"/>
      <c r="AT177" s="15350"/>
      <c r="AU177" s="15350"/>
      <c r="AV177" s="15350"/>
      <c r="AW177" s="15350"/>
      <c r="AX177" s="15350"/>
      <c r="AY177" s="15350"/>
      <c r="AZ177" s="15350"/>
      <c r="BA177" s="3904" t="s">
        <v>10238</v>
      </c>
      <c r="BB177" s="15708"/>
      <c r="BC177" s="5240"/>
      <c r="BD177" s="5240"/>
      <c r="BE177" s="5240"/>
      <c r="BF177" s="5240"/>
      <c r="BG177" s="5240"/>
      <c r="BH177" s="7395"/>
      <c r="BI177" s="3451"/>
      <c r="BJ177" s="3767"/>
      <c r="BK177" s="3224"/>
      <c r="BL177" s="3224"/>
      <c r="BM177" s="3224"/>
      <c r="BN177" s="3224"/>
      <c r="BO177" s="3224"/>
      <c r="BP177" s="3224"/>
      <c r="BQ177" s="3224"/>
      <c r="BR177" s="3224"/>
      <c r="BS177" s="3224"/>
      <c r="BT177" s="3224"/>
      <c r="BU177" s="3224"/>
      <c r="BV177" s="3224"/>
      <c r="BW177" s="3224"/>
      <c r="BX177" s="3224"/>
      <c r="BY177" s="3224"/>
      <c r="BZ177" s="3224"/>
      <c r="CA177" s="3224"/>
      <c r="CB177" s="3224"/>
      <c r="CC177" s="3224"/>
      <c r="CD177" s="3224"/>
      <c r="CE177" s="3224"/>
      <c r="CF177" s="3224"/>
      <c r="CG177" s="3224"/>
      <c r="CH177" s="3224"/>
      <c r="CI177" s="3224"/>
      <c r="CJ177" s="3224"/>
      <c r="CK177" s="3224"/>
      <c r="CL177" s="3224"/>
      <c r="CM177" s="3224"/>
      <c r="CN177" s="3224"/>
      <c r="CO177" s="3224"/>
      <c r="CP177" s="3224"/>
      <c r="CQ177" s="3224"/>
      <c r="CR177" s="3224"/>
      <c r="CS177" s="3224"/>
      <c r="CT177" s="3224"/>
      <c r="CU177" s="3224"/>
      <c r="CV177" s="3224"/>
      <c r="CW177" s="3224"/>
      <c r="CX177" s="3224"/>
      <c r="CY177" s="3224"/>
      <c r="CZ177" s="3224"/>
      <c r="DA177" s="3224"/>
      <c r="DB177" s="3224"/>
      <c r="DC177" s="2057"/>
    </row>
    <row r="178" spans="1:107" s="1834" customFormat="1" ht="15" customHeight="1">
      <c r="A178" s="17035"/>
      <c r="B178" s="17038"/>
      <c r="C178" s="17038"/>
      <c r="D178" s="17038"/>
      <c r="E178" s="17038"/>
      <c r="F178" s="17038"/>
      <c r="G178" s="17038"/>
      <c r="H178" s="17038"/>
      <c r="I178" s="17038"/>
      <c r="J178" s="17038"/>
      <c r="K178" s="17038"/>
      <c r="L178" s="17038"/>
      <c r="M178" s="17038"/>
      <c r="N178" s="17038"/>
      <c r="O178" s="17038"/>
      <c r="P178" s="17038"/>
      <c r="Q178" s="17041"/>
      <c r="R178" s="17044"/>
      <c r="S178" s="15691"/>
      <c r="T178" s="15691"/>
      <c r="U178" s="15691"/>
      <c r="V178" s="15691"/>
      <c r="W178" s="15691"/>
      <c r="X178" s="15846"/>
      <c r="Y178" s="15846"/>
      <c r="Z178" s="15691"/>
      <c r="AA178" s="15691"/>
      <c r="AB178" s="15691"/>
      <c r="AC178" s="15691"/>
      <c r="AD178" s="15691"/>
      <c r="AE178" s="15691"/>
      <c r="AF178" s="15691"/>
      <c r="AG178" s="15691"/>
      <c r="AH178" s="15691"/>
      <c r="AI178" s="15691"/>
      <c r="AJ178" s="15708"/>
      <c r="AK178" s="15350"/>
      <c r="AL178" s="15350"/>
      <c r="AM178" s="15350"/>
      <c r="AN178" s="15350"/>
      <c r="AO178" s="15350"/>
      <c r="AP178" s="15350"/>
      <c r="AQ178" s="15350"/>
      <c r="AR178" s="15350"/>
      <c r="AS178" s="15350"/>
      <c r="AT178" s="15350"/>
      <c r="AU178" s="15350"/>
      <c r="AV178" s="15350"/>
      <c r="AW178" s="15350"/>
      <c r="AX178" s="15350"/>
      <c r="AY178" s="15350"/>
      <c r="AZ178" s="15350"/>
      <c r="BA178" s="3904" t="s">
        <v>10290</v>
      </c>
      <c r="BB178" s="15708"/>
      <c r="BC178" s="5240"/>
      <c r="BD178" s="5240"/>
      <c r="BE178" s="5240"/>
      <c r="BF178" s="5240"/>
      <c r="BG178" s="5240"/>
      <c r="BH178" s="7395"/>
      <c r="BI178" s="3451"/>
      <c r="BJ178" s="3767"/>
      <c r="BK178" s="3224"/>
      <c r="BL178" s="3224"/>
      <c r="BM178" s="3224"/>
      <c r="BN178" s="3224"/>
      <c r="BO178" s="3224"/>
      <c r="BP178" s="3224"/>
      <c r="BQ178" s="3224"/>
      <c r="BR178" s="3224"/>
      <c r="BS178" s="3224"/>
      <c r="BT178" s="3224"/>
      <c r="BU178" s="3224"/>
      <c r="BV178" s="3224"/>
      <c r="BW178" s="3224"/>
      <c r="BX178" s="3224"/>
      <c r="BY178" s="3224"/>
      <c r="BZ178" s="3224"/>
      <c r="CA178" s="3224"/>
      <c r="CB178" s="3224"/>
      <c r="CC178" s="3224"/>
      <c r="CD178" s="3224"/>
      <c r="CE178" s="3224"/>
      <c r="CF178" s="3224"/>
      <c r="CG178" s="3224"/>
      <c r="CH178" s="3224"/>
      <c r="CI178" s="3224"/>
      <c r="CJ178" s="3224"/>
      <c r="CK178" s="3224"/>
      <c r="CL178" s="3224"/>
      <c r="CM178" s="3224"/>
      <c r="CN178" s="3224"/>
      <c r="CO178" s="3224"/>
      <c r="CP178" s="3224"/>
      <c r="CQ178" s="3224"/>
      <c r="CR178" s="3224"/>
      <c r="CS178" s="3224"/>
      <c r="CT178" s="3224"/>
      <c r="CU178" s="3224"/>
      <c r="CV178" s="3224"/>
      <c r="CW178" s="3224"/>
      <c r="CX178" s="3224"/>
      <c r="CY178" s="3224"/>
      <c r="CZ178" s="3224"/>
      <c r="DA178" s="3224"/>
      <c r="DB178" s="3224"/>
      <c r="DC178" s="2057"/>
    </row>
    <row r="179" spans="1:107" s="1834" customFormat="1" ht="15" customHeight="1">
      <c r="A179" s="17035"/>
      <c r="B179" s="17038"/>
      <c r="C179" s="17038"/>
      <c r="D179" s="17038"/>
      <c r="E179" s="17038"/>
      <c r="F179" s="17038"/>
      <c r="G179" s="17038"/>
      <c r="H179" s="17038"/>
      <c r="I179" s="17038"/>
      <c r="J179" s="17038"/>
      <c r="K179" s="17038"/>
      <c r="L179" s="17038"/>
      <c r="M179" s="17038"/>
      <c r="N179" s="17038"/>
      <c r="O179" s="17038"/>
      <c r="P179" s="17038"/>
      <c r="Q179" s="17041"/>
      <c r="R179" s="17044"/>
      <c r="S179" s="15691"/>
      <c r="T179" s="15691"/>
      <c r="U179" s="15691"/>
      <c r="V179" s="15691"/>
      <c r="W179" s="15691"/>
      <c r="X179" s="15846"/>
      <c r="Y179" s="15846"/>
      <c r="Z179" s="15691"/>
      <c r="AA179" s="15691"/>
      <c r="AB179" s="15691"/>
      <c r="AC179" s="15691"/>
      <c r="AD179" s="15691"/>
      <c r="AE179" s="15691"/>
      <c r="AF179" s="15691"/>
      <c r="AG179" s="15691"/>
      <c r="AH179" s="15691"/>
      <c r="AI179" s="15691"/>
      <c r="AJ179" s="15708" t="s">
        <v>8388</v>
      </c>
      <c r="AK179" s="15350" t="s">
        <v>7526</v>
      </c>
      <c r="AL179" s="15350" t="s">
        <v>7527</v>
      </c>
      <c r="AM179" s="15350" t="s">
        <v>6796</v>
      </c>
      <c r="AN179" s="15350" t="s">
        <v>70</v>
      </c>
      <c r="AO179" s="15350">
        <v>1</v>
      </c>
      <c r="AP179" s="15350">
        <v>1</v>
      </c>
      <c r="AQ179" s="15350">
        <v>1</v>
      </c>
      <c r="AR179" s="15350">
        <v>1</v>
      </c>
      <c r="AS179" s="15350">
        <v>1</v>
      </c>
      <c r="AT179" s="15350">
        <v>1</v>
      </c>
      <c r="AU179" s="15350">
        <v>1</v>
      </c>
      <c r="AV179" s="15350">
        <v>1</v>
      </c>
      <c r="AW179" s="15350">
        <v>1</v>
      </c>
      <c r="AX179" s="15350">
        <v>1</v>
      </c>
      <c r="AY179" s="15350">
        <v>1</v>
      </c>
      <c r="AZ179" s="15350" t="s">
        <v>7524</v>
      </c>
      <c r="BA179" s="3904" t="s">
        <v>10057</v>
      </c>
      <c r="BB179" s="15708" t="s">
        <v>7528</v>
      </c>
      <c r="BC179" s="5240"/>
      <c r="BD179" s="5240" t="s">
        <v>7521</v>
      </c>
      <c r="BE179" s="5240"/>
      <c r="BF179" s="5240"/>
      <c r="BG179" s="5240"/>
      <c r="BH179" s="7395" t="s">
        <v>7522</v>
      </c>
      <c r="BI179" s="3451"/>
      <c r="BJ179" s="3767"/>
      <c r="BK179" s="3224"/>
      <c r="BL179" s="3224"/>
      <c r="BM179" s="3224"/>
      <c r="BN179" s="3224"/>
      <c r="BO179" s="3224"/>
      <c r="BP179" s="3224"/>
      <c r="BQ179" s="3224"/>
      <c r="BR179" s="3224"/>
      <c r="BS179" s="3224"/>
      <c r="BT179" s="3224"/>
      <c r="BU179" s="3224"/>
      <c r="BV179" s="3224"/>
      <c r="BW179" s="3224"/>
      <c r="BX179" s="3224"/>
      <c r="BY179" s="3224"/>
      <c r="BZ179" s="3224"/>
      <c r="CA179" s="3224"/>
      <c r="CB179" s="3224"/>
      <c r="CC179" s="3224"/>
      <c r="CD179" s="3224"/>
      <c r="CE179" s="3224"/>
      <c r="CF179" s="3224"/>
      <c r="CG179" s="3224"/>
      <c r="CH179" s="3224"/>
      <c r="CI179" s="3224"/>
      <c r="CJ179" s="3224"/>
      <c r="CK179" s="3224"/>
      <c r="CL179" s="3224"/>
      <c r="CM179" s="3224"/>
      <c r="CN179" s="3224"/>
      <c r="CO179" s="3224"/>
      <c r="CP179" s="3224"/>
      <c r="CQ179" s="3224"/>
      <c r="CR179" s="3224"/>
      <c r="CS179" s="3224"/>
      <c r="CT179" s="3224"/>
      <c r="CU179" s="3224"/>
      <c r="CV179" s="3224"/>
      <c r="CW179" s="3224"/>
      <c r="CX179" s="3224"/>
      <c r="CY179" s="3224"/>
      <c r="CZ179" s="3224"/>
      <c r="DA179" s="3224"/>
      <c r="DB179" s="3224"/>
      <c r="DC179" s="2057"/>
    </row>
    <row r="180" spans="1:107" s="1834" customFormat="1" ht="15" customHeight="1">
      <c r="A180" s="17035"/>
      <c r="B180" s="17038"/>
      <c r="C180" s="17038"/>
      <c r="D180" s="17038"/>
      <c r="E180" s="17038"/>
      <c r="F180" s="17038"/>
      <c r="G180" s="17038"/>
      <c r="H180" s="17038"/>
      <c r="I180" s="17038"/>
      <c r="J180" s="17038"/>
      <c r="K180" s="17038"/>
      <c r="L180" s="17038"/>
      <c r="M180" s="17038"/>
      <c r="N180" s="17038"/>
      <c r="O180" s="17038"/>
      <c r="P180" s="17038"/>
      <c r="Q180" s="17041"/>
      <c r="R180" s="17044"/>
      <c r="S180" s="15691"/>
      <c r="T180" s="15691"/>
      <c r="U180" s="15691"/>
      <c r="V180" s="15691"/>
      <c r="W180" s="15691"/>
      <c r="X180" s="15846"/>
      <c r="Y180" s="15846"/>
      <c r="Z180" s="15691"/>
      <c r="AA180" s="15691"/>
      <c r="AB180" s="15691"/>
      <c r="AC180" s="15691"/>
      <c r="AD180" s="15691"/>
      <c r="AE180" s="15691"/>
      <c r="AF180" s="15691"/>
      <c r="AG180" s="15691"/>
      <c r="AH180" s="15691"/>
      <c r="AI180" s="15691"/>
      <c r="AJ180" s="15708"/>
      <c r="AK180" s="15350"/>
      <c r="AL180" s="15350"/>
      <c r="AM180" s="15350"/>
      <c r="AN180" s="15350"/>
      <c r="AO180" s="15350"/>
      <c r="AP180" s="15350"/>
      <c r="AQ180" s="15350"/>
      <c r="AR180" s="15350"/>
      <c r="AS180" s="15350"/>
      <c r="AT180" s="15350"/>
      <c r="AU180" s="15350"/>
      <c r="AV180" s="15350"/>
      <c r="AW180" s="15350"/>
      <c r="AX180" s="15350"/>
      <c r="AY180" s="15350"/>
      <c r="AZ180" s="15350"/>
      <c r="BA180" s="3904" t="s">
        <v>10238</v>
      </c>
      <c r="BB180" s="15708"/>
      <c r="BC180" s="3224"/>
      <c r="BD180" s="3224"/>
      <c r="BE180" s="3224"/>
      <c r="BF180" s="3224"/>
      <c r="BG180" s="3224"/>
      <c r="BH180" s="7397"/>
      <c r="BI180" s="3453"/>
      <c r="BJ180" s="3767"/>
      <c r="BK180" s="3224"/>
      <c r="BL180" s="3224"/>
      <c r="BM180" s="3224"/>
      <c r="BN180" s="3224"/>
      <c r="BO180" s="3224"/>
      <c r="BP180" s="3224"/>
      <c r="BQ180" s="3224"/>
      <c r="BR180" s="3224"/>
      <c r="BS180" s="3224"/>
      <c r="BT180" s="3224"/>
      <c r="BU180" s="3224"/>
      <c r="BV180" s="3224"/>
      <c r="BW180" s="3224"/>
      <c r="BX180" s="3224"/>
      <c r="BY180" s="3224"/>
      <c r="BZ180" s="3224"/>
      <c r="CA180" s="3224"/>
      <c r="CB180" s="3224"/>
      <c r="CC180" s="3224"/>
      <c r="CD180" s="3224"/>
      <c r="CE180" s="3224"/>
      <c r="CF180" s="3224"/>
      <c r="CG180" s="3224"/>
      <c r="CH180" s="3224"/>
      <c r="CI180" s="3224"/>
      <c r="CJ180" s="3224"/>
      <c r="CK180" s="3224"/>
      <c r="CL180" s="3224"/>
      <c r="CM180" s="3224"/>
      <c r="CN180" s="3224"/>
      <c r="CO180" s="3224"/>
      <c r="CP180" s="3224"/>
      <c r="CQ180" s="3224"/>
      <c r="CR180" s="3224"/>
      <c r="CS180" s="3224"/>
      <c r="CT180" s="3224"/>
      <c r="CU180" s="3224"/>
      <c r="CV180" s="3224"/>
      <c r="CW180" s="3224"/>
      <c r="CX180" s="3224"/>
      <c r="CY180" s="3224"/>
      <c r="CZ180" s="3224"/>
      <c r="DA180" s="3224"/>
      <c r="DB180" s="3224"/>
      <c r="DC180" s="2057"/>
    </row>
    <row r="181" spans="1:107" s="1834" customFormat="1" ht="15" customHeight="1" thickBot="1">
      <c r="A181" s="17036"/>
      <c r="B181" s="17039"/>
      <c r="C181" s="17039"/>
      <c r="D181" s="17039"/>
      <c r="E181" s="17039"/>
      <c r="F181" s="17039"/>
      <c r="G181" s="17039"/>
      <c r="H181" s="17039"/>
      <c r="I181" s="17039"/>
      <c r="J181" s="17039"/>
      <c r="K181" s="17039"/>
      <c r="L181" s="17039"/>
      <c r="M181" s="17039"/>
      <c r="N181" s="17039"/>
      <c r="O181" s="17039"/>
      <c r="P181" s="17039"/>
      <c r="Q181" s="17042"/>
      <c r="R181" s="17045"/>
      <c r="S181" s="15835"/>
      <c r="T181" s="15835"/>
      <c r="U181" s="15835"/>
      <c r="V181" s="15835"/>
      <c r="W181" s="15835"/>
      <c r="X181" s="15847"/>
      <c r="Y181" s="15847"/>
      <c r="Z181" s="15835"/>
      <c r="AA181" s="15835"/>
      <c r="AB181" s="15835"/>
      <c r="AC181" s="15835"/>
      <c r="AD181" s="15835"/>
      <c r="AE181" s="15835"/>
      <c r="AF181" s="15835"/>
      <c r="AG181" s="15835"/>
      <c r="AH181" s="15835"/>
      <c r="AI181" s="15835"/>
      <c r="AJ181" s="15903"/>
      <c r="AK181" s="15354"/>
      <c r="AL181" s="15354"/>
      <c r="AM181" s="15354"/>
      <c r="AN181" s="15354"/>
      <c r="AO181" s="15354"/>
      <c r="AP181" s="15354"/>
      <c r="AQ181" s="15354"/>
      <c r="AR181" s="15354"/>
      <c r="AS181" s="15354"/>
      <c r="AT181" s="15354"/>
      <c r="AU181" s="15354"/>
      <c r="AV181" s="15354"/>
      <c r="AW181" s="15354"/>
      <c r="AX181" s="15354"/>
      <c r="AY181" s="15354"/>
      <c r="AZ181" s="15354"/>
      <c r="BA181" s="2075" t="s">
        <v>10290</v>
      </c>
      <c r="BB181" s="15903"/>
      <c r="BC181" s="1751"/>
      <c r="BD181" s="1751"/>
      <c r="BE181" s="1751"/>
      <c r="BF181" s="1751"/>
      <c r="BG181" s="1751"/>
      <c r="BH181" s="7398"/>
      <c r="BI181" s="3453"/>
      <c r="BJ181" s="3854"/>
      <c r="BK181" s="1751"/>
      <c r="BL181" s="1751"/>
      <c r="BM181" s="1751"/>
      <c r="BN181" s="1751"/>
      <c r="BO181" s="1751"/>
      <c r="BP181" s="1751"/>
      <c r="BQ181" s="1751"/>
      <c r="BR181" s="1751"/>
      <c r="BS181" s="1751"/>
      <c r="BT181" s="1751"/>
      <c r="BU181" s="1751"/>
      <c r="BV181" s="1751"/>
      <c r="BW181" s="1751"/>
      <c r="BX181" s="1751"/>
      <c r="BY181" s="1751"/>
      <c r="BZ181" s="1751"/>
      <c r="CA181" s="1751"/>
      <c r="CB181" s="1751"/>
      <c r="CC181" s="1751"/>
      <c r="CD181" s="1751"/>
      <c r="CE181" s="1751"/>
      <c r="CF181" s="1751"/>
      <c r="CG181" s="1751"/>
      <c r="CH181" s="1751"/>
      <c r="CI181" s="1751"/>
      <c r="CJ181" s="1751"/>
      <c r="CK181" s="1751"/>
      <c r="CL181" s="1751"/>
      <c r="CM181" s="1751"/>
      <c r="CN181" s="1751"/>
      <c r="CO181" s="1751"/>
      <c r="CP181" s="1751"/>
      <c r="CQ181" s="1751"/>
      <c r="CR181" s="1751"/>
      <c r="CS181" s="1751"/>
      <c r="CT181" s="1751"/>
      <c r="CU181" s="1751"/>
      <c r="CV181" s="1751"/>
      <c r="CW181" s="1751"/>
      <c r="CX181" s="1751"/>
      <c r="CY181" s="1751"/>
      <c r="CZ181" s="1751"/>
      <c r="DA181" s="1751"/>
      <c r="DB181" s="1751"/>
      <c r="DC181" s="1869"/>
    </row>
  </sheetData>
  <mergeCells count="881">
    <mergeCell ref="BJ2:DC2"/>
    <mergeCell ref="BJ3:BJ5"/>
    <mergeCell ref="AI155:AI181"/>
    <mergeCell ref="A6:A181"/>
    <mergeCell ref="B6:B181"/>
    <mergeCell ref="C6:C181"/>
    <mergeCell ref="D6:D181"/>
    <mergeCell ref="E6:E181"/>
    <mergeCell ref="F6:F181"/>
    <mergeCell ref="G6:G181"/>
    <mergeCell ref="H6:H181"/>
    <mergeCell ref="I6:I181"/>
    <mergeCell ref="J6:J181"/>
    <mergeCell ref="K6:K181"/>
    <mergeCell ref="L6:L181"/>
    <mergeCell ref="M6:M181"/>
    <mergeCell ref="N6:N181"/>
    <mergeCell ref="O6:O181"/>
    <mergeCell ref="P6:P181"/>
    <mergeCell ref="Q6:Q181"/>
    <mergeCell ref="R155:R181"/>
    <mergeCell ref="S155:S181"/>
    <mergeCell ref="T155:T181"/>
    <mergeCell ref="U155:U181"/>
    <mergeCell ref="V155:V181"/>
    <mergeCell ref="W155:W181"/>
    <mergeCell ref="X155:X181"/>
    <mergeCell ref="Y155:Y181"/>
    <mergeCell ref="Z155:Z181"/>
    <mergeCell ref="AA155:AA181"/>
    <mergeCell ref="AB155:AB181"/>
    <mergeCell ref="AC155:AC181"/>
    <mergeCell ref="AD155:AD181"/>
    <mergeCell ref="AE155:AE181"/>
    <mergeCell ref="AF155:AF181"/>
    <mergeCell ref="AG155:AG181"/>
    <mergeCell ref="AH155:AH181"/>
    <mergeCell ref="BB179:BB181"/>
    <mergeCell ref="AJ179:AJ181"/>
    <mergeCell ref="AK179:AK181"/>
    <mergeCell ref="AL179:AL181"/>
    <mergeCell ref="AM179:AM181"/>
    <mergeCell ref="AN179:AN181"/>
    <mergeCell ref="AO179:AO181"/>
    <mergeCell ref="AP179:AP181"/>
    <mergeCell ref="AQ179:AQ181"/>
    <mergeCell ref="AR179:AR181"/>
    <mergeCell ref="AS179:AS181"/>
    <mergeCell ref="AT179:AT181"/>
    <mergeCell ref="AU179:AU181"/>
    <mergeCell ref="AV179:AV181"/>
    <mergeCell ref="AW179:AW181"/>
    <mergeCell ref="AX179:AX181"/>
    <mergeCell ref="AY179:AY181"/>
    <mergeCell ref="AZ179:AZ181"/>
    <mergeCell ref="BB176:BB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X176:AX178"/>
    <mergeCell ref="AY176:AY178"/>
    <mergeCell ref="AZ176:AZ178"/>
    <mergeCell ref="BB165:BB167"/>
    <mergeCell ref="BC165:BC167"/>
    <mergeCell ref="BB172:BB174"/>
    <mergeCell ref="AX172:AX174"/>
    <mergeCell ref="AY172:AY174"/>
    <mergeCell ref="AZ172:AZ174"/>
    <mergeCell ref="AT172:AT174"/>
    <mergeCell ref="AU172:AU174"/>
    <mergeCell ref="AV172:AV174"/>
    <mergeCell ref="AW172:AW174"/>
    <mergeCell ref="AP159:AP160"/>
    <mergeCell ref="AQ159:AQ160"/>
    <mergeCell ref="AW163:AW164"/>
    <mergeCell ref="AX163:AX164"/>
    <mergeCell ref="AY163:AY164"/>
    <mergeCell ref="AJ172:AJ174"/>
    <mergeCell ref="AK172:AK174"/>
    <mergeCell ref="AL172:AL174"/>
    <mergeCell ref="AM172:AM174"/>
    <mergeCell ref="AN172:AN174"/>
    <mergeCell ref="AS165:AS167"/>
    <mergeCell ref="AT165:AT167"/>
    <mergeCell ref="AU165:AU167"/>
    <mergeCell ref="AV165:AV167"/>
    <mergeCell ref="AJ163:AJ164"/>
    <mergeCell ref="AK163:AK164"/>
    <mergeCell ref="AL163:AL164"/>
    <mergeCell ref="AM163:AM164"/>
    <mergeCell ref="AN163:AN164"/>
    <mergeCell ref="AO163:AO164"/>
    <mergeCell ref="AP163:AP164"/>
    <mergeCell ref="AQ163:AQ164"/>
    <mergeCell ref="AR163:AR164"/>
    <mergeCell ref="AJ161:AJ162"/>
    <mergeCell ref="AK161:AK162"/>
    <mergeCell ref="AL161:AL162"/>
    <mergeCell ref="AM161:AM162"/>
    <mergeCell ref="AN161:AN162"/>
    <mergeCell ref="AO161:AO162"/>
    <mergeCell ref="AP161:AP162"/>
    <mergeCell ref="AQ161:AQ162"/>
    <mergeCell ref="AR161:AR162"/>
    <mergeCell ref="AS172:AS174"/>
    <mergeCell ref="AO172:AO174"/>
    <mergeCell ref="AP172:AP174"/>
    <mergeCell ref="AQ172:AQ174"/>
    <mergeCell ref="AR172:AR174"/>
    <mergeCell ref="AR159:AR160"/>
    <mergeCell ref="AS159:AS160"/>
    <mergeCell ref="AT159:AT160"/>
    <mergeCell ref="AU159:AU160"/>
    <mergeCell ref="AV159:AV160"/>
    <mergeCell ref="AZ163:AZ164"/>
    <mergeCell ref="BB159:BB160"/>
    <mergeCell ref="AS161:AS162"/>
    <mergeCell ref="AT161:AT162"/>
    <mergeCell ref="AU161:AU162"/>
    <mergeCell ref="AV161:AV162"/>
    <mergeCell ref="AW161:AW162"/>
    <mergeCell ref="AX161:AX162"/>
    <mergeCell ref="AY161:AY162"/>
    <mergeCell ref="AZ161:AZ162"/>
    <mergeCell ref="BB161:BB162"/>
    <mergeCell ref="AW159:AW160"/>
    <mergeCell ref="AX159:AX160"/>
    <mergeCell ref="AY159:AY160"/>
    <mergeCell ref="AZ159:AZ160"/>
    <mergeCell ref="AS163:AS164"/>
    <mergeCell ref="AT163:AT164"/>
    <mergeCell ref="AU163:AU164"/>
    <mergeCell ref="AV163:AV164"/>
    <mergeCell ref="BB157:BB158"/>
    <mergeCell ref="AJ157:AJ158"/>
    <mergeCell ref="AK157:AK158"/>
    <mergeCell ref="AL157:AL158"/>
    <mergeCell ref="AM157:AM158"/>
    <mergeCell ref="AN157:AN158"/>
    <mergeCell ref="AO157:AO158"/>
    <mergeCell ref="AP157:AP158"/>
    <mergeCell ref="AQ157:AQ158"/>
    <mergeCell ref="AR157:AR158"/>
    <mergeCell ref="AS157:AS158"/>
    <mergeCell ref="AT157:AT158"/>
    <mergeCell ref="AU157:AU158"/>
    <mergeCell ref="AV157:AV158"/>
    <mergeCell ref="AW157:AW158"/>
    <mergeCell ref="AX157:AX158"/>
    <mergeCell ref="AY157:AY158"/>
    <mergeCell ref="AZ157:AZ158"/>
    <mergeCell ref="AX146:AX147"/>
    <mergeCell ref="AJ144:AJ145"/>
    <mergeCell ref="AK144:AK145"/>
    <mergeCell ref="AL144:AL145"/>
    <mergeCell ref="AM144:AM145"/>
    <mergeCell ref="AN144:AN145"/>
    <mergeCell ref="AO144:AO145"/>
    <mergeCell ref="AJ146:AJ147"/>
    <mergeCell ref="AK146:AK147"/>
    <mergeCell ref="AL146:AL147"/>
    <mergeCell ref="AM146:AM147"/>
    <mergeCell ref="AN146:AN147"/>
    <mergeCell ref="AO146:AO147"/>
    <mergeCell ref="AP146:AP147"/>
    <mergeCell ref="AQ146:AQ147"/>
    <mergeCell ref="AR146:AR147"/>
    <mergeCell ref="AP144:AP145"/>
    <mergeCell ref="AQ144:AQ145"/>
    <mergeCell ref="AR144:AR145"/>
    <mergeCell ref="AS144:AS145"/>
    <mergeCell ref="AT144:AT145"/>
    <mergeCell ref="AU144:AU145"/>
    <mergeCell ref="AV144:AV145"/>
    <mergeCell ref="AW144:AW145"/>
    <mergeCell ref="AN159:AN160"/>
    <mergeCell ref="AO159:AO160"/>
    <mergeCell ref="AL153:AL154"/>
    <mergeCell ref="AM153:AM154"/>
    <mergeCell ref="AJ159:AJ160"/>
    <mergeCell ref="AK159:AK160"/>
    <mergeCell ref="AL159:AL160"/>
    <mergeCell ref="AM159:AM160"/>
    <mergeCell ref="AJ141:AJ142"/>
    <mergeCell ref="AK141:AK142"/>
    <mergeCell ref="AL141:AL142"/>
    <mergeCell ref="AM141:AM142"/>
    <mergeCell ref="AN141:AN142"/>
    <mergeCell ref="AO141:AO142"/>
    <mergeCell ref="AN153:AN154"/>
    <mergeCell ref="AO153:AO154"/>
    <mergeCell ref="AK148:AK149"/>
    <mergeCell ref="AL148:AL149"/>
    <mergeCell ref="AM148:AM149"/>
    <mergeCell ref="AN148:AN149"/>
    <mergeCell ref="AO148:AO149"/>
    <mergeCell ref="AJ148:AJ149"/>
    <mergeCell ref="AJ150:AJ151"/>
    <mergeCell ref="AJ153:AJ154"/>
    <mergeCell ref="AX144:AX145"/>
    <mergeCell ref="AK107:AK110"/>
    <mergeCell ref="AJ111:AJ114"/>
    <mergeCell ref="AK111:AK114"/>
    <mergeCell ref="AJ115:AJ118"/>
    <mergeCell ref="AK115:AK118"/>
    <mergeCell ref="AJ119:AJ122"/>
    <mergeCell ref="AK119:AK122"/>
    <mergeCell ref="AY95:AY98"/>
    <mergeCell ref="AN103:AN130"/>
    <mergeCell ref="AO103:AO130"/>
    <mergeCell ref="AP103:AP130"/>
    <mergeCell ref="AQ103:AQ130"/>
    <mergeCell ref="AR103:AR130"/>
    <mergeCell ref="AS103:AS130"/>
    <mergeCell ref="AT103:AT130"/>
    <mergeCell ref="AV141:AV142"/>
    <mergeCell ref="AW141:AW142"/>
    <mergeCell ref="AX141:AX142"/>
    <mergeCell ref="AU103:AU130"/>
    <mergeCell ref="AV103:AV130"/>
    <mergeCell ref="AW103:AW130"/>
    <mergeCell ref="AX103:AX130"/>
    <mergeCell ref="AY103:AY130"/>
    <mergeCell ref="AJ123:AJ126"/>
    <mergeCell ref="AK123:AK126"/>
    <mergeCell ref="AJ127:AJ130"/>
    <mergeCell ref="AK127:AK130"/>
    <mergeCell ref="AJ103:AJ106"/>
    <mergeCell ref="AK103:AK106"/>
    <mergeCell ref="AS141:AS142"/>
    <mergeCell ref="AT141:AT142"/>
    <mergeCell ref="AU141:AU142"/>
    <mergeCell ref="AP141:AP142"/>
    <mergeCell ref="AQ141:AQ142"/>
    <mergeCell ref="AR141:AR142"/>
    <mergeCell ref="AL103:AL130"/>
    <mergeCell ref="AM103:AM130"/>
    <mergeCell ref="AJ134:AJ135"/>
    <mergeCell ref="AM134:AM135"/>
    <mergeCell ref="AN134:AN135"/>
    <mergeCell ref="AO134:AO135"/>
    <mergeCell ref="AP134:AP135"/>
    <mergeCell ref="AK134:AK135"/>
    <mergeCell ref="AL134:AL135"/>
    <mergeCell ref="BB95:BB98"/>
    <mergeCell ref="AJ95:AJ98"/>
    <mergeCell ref="AK95:AK98"/>
    <mergeCell ref="AL95:AL98"/>
    <mergeCell ref="AM95:AM98"/>
    <mergeCell ref="AN95:AN98"/>
    <mergeCell ref="AO95:AO98"/>
    <mergeCell ref="AP95:AP98"/>
    <mergeCell ref="AQ95:AQ98"/>
    <mergeCell ref="AR95:AR98"/>
    <mergeCell ref="AS95:AS98"/>
    <mergeCell ref="AT95:AT98"/>
    <mergeCell ref="AU95:AU98"/>
    <mergeCell ref="AV95:AV98"/>
    <mergeCell ref="AW95:AW98"/>
    <mergeCell ref="AX95:AX98"/>
    <mergeCell ref="AZ95:AZ98"/>
    <mergeCell ref="AO70:AO79"/>
    <mergeCell ref="AP70:AP79"/>
    <mergeCell ref="AQ70:AQ79"/>
    <mergeCell ref="AR70:AR79"/>
    <mergeCell ref="AY90:AY91"/>
    <mergeCell ref="AZ90:AZ91"/>
    <mergeCell ref="AS70:AS79"/>
    <mergeCell ref="AT70:AT79"/>
    <mergeCell ref="AU70:AU79"/>
    <mergeCell ref="AV70:AV79"/>
    <mergeCell ref="AW70:AW79"/>
    <mergeCell ref="AX70:AX79"/>
    <mergeCell ref="AY70:AY79"/>
    <mergeCell ref="AZ70:AZ79"/>
    <mergeCell ref="AP90:AP91"/>
    <mergeCell ref="AQ90:AQ91"/>
    <mergeCell ref="AR90:AR91"/>
    <mergeCell ref="AS90:AS91"/>
    <mergeCell ref="AT90:AT91"/>
    <mergeCell ref="AU90:AU91"/>
    <mergeCell ref="AV90:AV91"/>
    <mergeCell ref="AW90:AW91"/>
    <mergeCell ref="AX90:AX91"/>
    <mergeCell ref="AO90:AO91"/>
    <mergeCell ref="AJ57:AJ58"/>
    <mergeCell ref="AK57:AK58"/>
    <mergeCell ref="AL57:AL58"/>
    <mergeCell ref="AM57:AM58"/>
    <mergeCell ref="AN57:AN58"/>
    <mergeCell ref="BB70:BB79"/>
    <mergeCell ref="BB86:BB87"/>
    <mergeCell ref="AJ86:AJ87"/>
    <mergeCell ref="AK86:AK87"/>
    <mergeCell ref="AL86:AL87"/>
    <mergeCell ref="AM86:AM87"/>
    <mergeCell ref="AN86:AN87"/>
    <mergeCell ref="AO86:AO87"/>
    <mergeCell ref="AP86:AP87"/>
    <mergeCell ref="AQ86:AQ87"/>
    <mergeCell ref="AR86:AR87"/>
    <mergeCell ref="AS86:AS87"/>
    <mergeCell ref="AT86:AT87"/>
    <mergeCell ref="AU86:AU87"/>
    <mergeCell ref="AV86:AV87"/>
    <mergeCell ref="AW86:AW87"/>
    <mergeCell ref="AX86:AX87"/>
    <mergeCell ref="AY86:AY87"/>
    <mergeCell ref="AZ86:AZ87"/>
    <mergeCell ref="AS57:AS58"/>
    <mergeCell ref="AT57:AT58"/>
    <mergeCell ref="AU57:AU58"/>
    <mergeCell ref="AV57:AV58"/>
    <mergeCell ref="AW57:AW58"/>
    <mergeCell ref="BB57:BB58"/>
    <mergeCell ref="BB60:BB69"/>
    <mergeCell ref="AJ60:AJ69"/>
    <mergeCell ref="AK60:AK69"/>
    <mergeCell ref="AL60:AL69"/>
    <mergeCell ref="AM60:AM69"/>
    <mergeCell ref="AN60:AN69"/>
    <mergeCell ref="AO60:AO69"/>
    <mergeCell ref="AP60:AP69"/>
    <mergeCell ref="AQ60:AQ69"/>
    <mergeCell ref="AR60:AR69"/>
    <mergeCell ref="AS60:AS69"/>
    <mergeCell ref="AT60:AT69"/>
    <mergeCell ref="AU60:AU69"/>
    <mergeCell ref="AV60:AV69"/>
    <mergeCell ref="AW60:AW69"/>
    <mergeCell ref="AX60:AX69"/>
    <mergeCell ref="AY60:AY69"/>
    <mergeCell ref="AZ60:AZ69"/>
    <mergeCell ref="AX57:AX58"/>
    <mergeCell ref="AY57:AY58"/>
    <mergeCell ref="AZ57:AZ58"/>
    <mergeCell ref="AJ52:AJ53"/>
    <mergeCell ref="AK52:AK53"/>
    <mergeCell ref="AL52:AL53"/>
    <mergeCell ref="AM52:AM53"/>
    <mergeCell ref="AN52:AN53"/>
    <mergeCell ref="AO52:AO53"/>
    <mergeCell ref="AP52:AP53"/>
    <mergeCell ref="AQ52:AQ53"/>
    <mergeCell ref="AR52:AR53"/>
    <mergeCell ref="AS52:AS53"/>
    <mergeCell ref="AT52:AT53"/>
    <mergeCell ref="AU52:AU53"/>
    <mergeCell ref="AV52:AV53"/>
    <mergeCell ref="AW52:AW53"/>
    <mergeCell ref="AX52:AX53"/>
    <mergeCell ref="AY52:AY53"/>
    <mergeCell ref="AZ52:AZ53"/>
    <mergeCell ref="AO57:AO58"/>
    <mergeCell ref="AP57:AP58"/>
    <mergeCell ref="AQ57:AQ58"/>
    <mergeCell ref="AR57:AR58"/>
    <mergeCell ref="BB46:BB47"/>
    <mergeCell ref="AJ46:AJ48"/>
    <mergeCell ref="AK46:AK48"/>
    <mergeCell ref="AL46:AL48"/>
    <mergeCell ref="AM46:AM48"/>
    <mergeCell ref="AN46:AN48"/>
    <mergeCell ref="AO46:AO48"/>
    <mergeCell ref="AP46:AP48"/>
    <mergeCell ref="AQ46:AQ48"/>
    <mergeCell ref="AR46:AR48"/>
    <mergeCell ref="AS46:AS48"/>
    <mergeCell ref="AT46:AT48"/>
    <mergeCell ref="AU46:AU48"/>
    <mergeCell ref="AV46:AV48"/>
    <mergeCell ref="AW46:AW48"/>
    <mergeCell ref="AX46:AX48"/>
    <mergeCell ref="AY46:AY48"/>
    <mergeCell ref="AZ46:AZ48"/>
    <mergeCell ref="BA21:BA22"/>
    <mergeCell ref="BC24:BC26"/>
    <mergeCell ref="AJ36:AJ39"/>
    <mergeCell ref="AK36:AK39"/>
    <mergeCell ref="AL36:AL39"/>
    <mergeCell ref="AM36:AM39"/>
    <mergeCell ref="AN36:AN39"/>
    <mergeCell ref="AO36:AO39"/>
    <mergeCell ref="AP36:AP39"/>
    <mergeCell ref="AQ36:AQ39"/>
    <mergeCell ref="AR36:AR39"/>
    <mergeCell ref="AS36:AS39"/>
    <mergeCell ref="AT36:AT39"/>
    <mergeCell ref="AU36:AU39"/>
    <mergeCell ref="AV36:AV39"/>
    <mergeCell ref="AW36:AW39"/>
    <mergeCell ref="AX36:AX39"/>
    <mergeCell ref="AY36:AY39"/>
    <mergeCell ref="AZ36:AZ39"/>
    <mergeCell ref="BB36:BB39"/>
    <mergeCell ref="BB29:BB34"/>
    <mergeCell ref="AV23:AV26"/>
    <mergeCell ref="AW23:AW26"/>
    <mergeCell ref="AX23:AX26"/>
    <mergeCell ref="AZ4:AZ5"/>
    <mergeCell ref="BB18:BB19"/>
    <mergeCell ref="AJ18:AJ20"/>
    <mergeCell ref="AK18:AK20"/>
    <mergeCell ref="AL18:AL20"/>
    <mergeCell ref="AM18:AM20"/>
    <mergeCell ref="AN18:AN20"/>
    <mergeCell ref="AO18:AO20"/>
    <mergeCell ref="AP18:AP20"/>
    <mergeCell ref="AQ18:AQ20"/>
    <mergeCell ref="AR18:AR20"/>
    <mergeCell ref="AS18:AS20"/>
    <mergeCell ref="AT18:AT20"/>
    <mergeCell ref="AU18:AU20"/>
    <mergeCell ref="AV18:AV20"/>
    <mergeCell ref="AW18:AW20"/>
    <mergeCell ref="AX18:AX20"/>
    <mergeCell ref="AY18:AY20"/>
    <mergeCell ref="AZ18:AZ20"/>
    <mergeCell ref="BB13:BB17"/>
    <mergeCell ref="AJ13:AJ17"/>
    <mergeCell ref="AK13:AK17"/>
    <mergeCell ref="AL13:AL17"/>
    <mergeCell ref="AM13:AM17"/>
    <mergeCell ref="AN13:AN17"/>
    <mergeCell ref="AO13:AO17"/>
    <mergeCell ref="AP13:AP17"/>
    <mergeCell ref="AQ13:AQ17"/>
    <mergeCell ref="AR13:AR17"/>
    <mergeCell ref="AS13:AS17"/>
    <mergeCell ref="AT13:AT17"/>
    <mergeCell ref="AU13:AU17"/>
    <mergeCell ref="AV13:AV17"/>
    <mergeCell ref="AW13:AW17"/>
    <mergeCell ref="AX13:AX17"/>
    <mergeCell ref="AY13:AY17"/>
    <mergeCell ref="AZ13:AZ17"/>
    <mergeCell ref="AH89:AH102"/>
    <mergeCell ref="AG89:AG102"/>
    <mergeCell ref="W89:W102"/>
    <mergeCell ref="AI89:AI102"/>
    <mergeCell ref="A1:BH1"/>
    <mergeCell ref="A2:BH2"/>
    <mergeCell ref="A3:BH3"/>
    <mergeCell ref="Z60:Z88"/>
    <mergeCell ref="AA60:AA88"/>
    <mergeCell ref="AB60:AB88"/>
    <mergeCell ref="AC60:AC88"/>
    <mergeCell ref="AD60:AD88"/>
    <mergeCell ref="AE60:AE88"/>
    <mergeCell ref="AF60:AF88"/>
    <mergeCell ref="AG60:AG88"/>
    <mergeCell ref="AH60:AH88"/>
    <mergeCell ref="AI60:AI88"/>
    <mergeCell ref="AJ70:AJ79"/>
    <mergeCell ref="AK70:AK79"/>
    <mergeCell ref="AL70:AL79"/>
    <mergeCell ref="AM70:AM79"/>
    <mergeCell ref="AN70:AN79"/>
    <mergeCell ref="BA4:BA5"/>
    <mergeCell ref="BC4:BC5"/>
    <mergeCell ref="T103:T154"/>
    <mergeCell ref="Y103:Y154"/>
    <mergeCell ref="X103:X154"/>
    <mergeCell ref="R6:R22"/>
    <mergeCell ref="S6:S22"/>
    <mergeCell ref="S103:S154"/>
    <mergeCell ref="R103:R154"/>
    <mergeCell ref="W103:W154"/>
    <mergeCell ref="V103:V154"/>
    <mergeCell ref="U103:U154"/>
    <mergeCell ref="V89:V102"/>
    <mergeCell ref="U89:U102"/>
    <mergeCell ref="T89:T102"/>
    <mergeCell ref="S89:S102"/>
    <mergeCell ref="R89:R102"/>
    <mergeCell ref="Y89:Y102"/>
    <mergeCell ref="X89:X102"/>
    <mergeCell ref="R60:R88"/>
    <mergeCell ref="S60:S88"/>
    <mergeCell ref="T60:T88"/>
    <mergeCell ref="U60:U88"/>
    <mergeCell ref="V60:V88"/>
    <mergeCell ref="W60:W88"/>
    <mergeCell ref="X60:X88"/>
    <mergeCell ref="AF103:AF154"/>
    <mergeCell ref="AE103:AE154"/>
    <mergeCell ref="AD103:AD154"/>
    <mergeCell ref="AC103:AC154"/>
    <mergeCell ref="AB103:AB154"/>
    <mergeCell ref="Z103:Z154"/>
    <mergeCell ref="AF89:AF102"/>
    <mergeCell ref="AE89:AE102"/>
    <mergeCell ref="AD89:AD102"/>
    <mergeCell ref="AC89:AC102"/>
    <mergeCell ref="AB89:AB102"/>
    <mergeCell ref="AA89:AA102"/>
    <mergeCell ref="Z89:Z102"/>
    <mergeCell ref="AA103:AA154"/>
    <mergeCell ref="Y60:Y88"/>
    <mergeCell ref="BG168:BG169"/>
    <mergeCell ref="BH168:BH169"/>
    <mergeCell ref="AX168:AX169"/>
    <mergeCell ref="AY168:AY169"/>
    <mergeCell ref="AZ168:AZ169"/>
    <mergeCell ref="BD168:BD169"/>
    <mergeCell ref="BE168:BE169"/>
    <mergeCell ref="BF168:BF169"/>
    <mergeCell ref="AR168:AR169"/>
    <mergeCell ref="AS168:AS169"/>
    <mergeCell ref="AT168:AT169"/>
    <mergeCell ref="AU168:AU169"/>
    <mergeCell ref="AV168:AV169"/>
    <mergeCell ref="AW168:AW169"/>
    <mergeCell ref="BF165:BF167"/>
    <mergeCell ref="BG165:BG167"/>
    <mergeCell ref="BH165:BH167"/>
    <mergeCell ref="AK168:AK169"/>
    <mergeCell ref="AL168:AL169"/>
    <mergeCell ref="AM168:AM169"/>
    <mergeCell ref="AN168:AN169"/>
    <mergeCell ref="AO168:AO169"/>
    <mergeCell ref="AP168:AP169"/>
    <mergeCell ref="AQ168:AQ169"/>
    <mergeCell ref="AW165:AW167"/>
    <mergeCell ref="AX165:AX167"/>
    <mergeCell ref="AK165:AK167"/>
    <mergeCell ref="AL165:AL167"/>
    <mergeCell ref="AM165:AM167"/>
    <mergeCell ref="AN165:AN167"/>
    <mergeCell ref="AO165:AO167"/>
    <mergeCell ref="AP165:AP167"/>
    <mergeCell ref="AY165:AY167"/>
    <mergeCell ref="AZ165:AZ167"/>
    <mergeCell ref="BD165:BD167"/>
    <mergeCell ref="BE165:BE167"/>
    <mergeCell ref="AQ165:AQ167"/>
    <mergeCell ref="AR165:AR167"/>
    <mergeCell ref="BH153:BH154"/>
    <mergeCell ref="AI103:AI154"/>
    <mergeCell ref="AH103:AH154"/>
    <mergeCell ref="AG103:AG154"/>
    <mergeCell ref="AW153:AW154"/>
    <mergeCell ref="AX153:AX154"/>
    <mergeCell ref="AY153:AY154"/>
    <mergeCell ref="AZ153:AZ154"/>
    <mergeCell ref="BD153:BD154"/>
    <mergeCell ref="BE153:BE154"/>
    <mergeCell ref="AQ153:AQ154"/>
    <mergeCell ref="AR153:AR154"/>
    <mergeCell ref="AS153:AS154"/>
    <mergeCell ref="AT153:AT154"/>
    <mergeCell ref="AU153:AU154"/>
    <mergeCell ref="AV153:AV154"/>
    <mergeCell ref="BH150:BH151"/>
    <mergeCell ref="AT150:AT151"/>
    <mergeCell ref="AU150:AU151"/>
    <mergeCell ref="AV150:AV151"/>
    <mergeCell ref="AW150:AW151"/>
    <mergeCell ref="AX150:AX151"/>
    <mergeCell ref="AK153:AK154"/>
    <mergeCell ref="AJ107:AJ110"/>
    <mergeCell ref="AP153:AP154"/>
    <mergeCell ref="BG150:BG151"/>
    <mergeCell ref="BB148:BB149"/>
    <mergeCell ref="AZ150:AZ151"/>
    <mergeCell ref="BD150:BD151"/>
    <mergeCell ref="BF153:BF154"/>
    <mergeCell ref="BF150:BF151"/>
    <mergeCell ref="AY150:AY151"/>
    <mergeCell ref="AY148:AY149"/>
    <mergeCell ref="AZ148:AZ149"/>
    <mergeCell ref="BD148:BD149"/>
    <mergeCell ref="BE148:BE149"/>
    <mergeCell ref="BF148:BF149"/>
    <mergeCell ref="BE150:BE151"/>
    <mergeCell ref="AS150:AS151"/>
    <mergeCell ref="AS148:AS149"/>
    <mergeCell ref="AT148:AT149"/>
    <mergeCell ref="AU148:AU149"/>
    <mergeCell ref="AV148:AV149"/>
    <mergeCell ref="AW148:AW149"/>
    <mergeCell ref="AX148:AX149"/>
    <mergeCell ref="BG153:BG154"/>
    <mergeCell ref="AP148:AP149"/>
    <mergeCell ref="AQ148:AQ149"/>
    <mergeCell ref="AR148:AR149"/>
    <mergeCell ref="AK150:AK151"/>
    <mergeCell ref="AL150:AL151"/>
    <mergeCell ref="AM150:AM151"/>
    <mergeCell ref="AN150:AN151"/>
    <mergeCell ref="AO150:AO151"/>
    <mergeCell ref="AP150:AP151"/>
    <mergeCell ref="AQ150:AQ151"/>
    <mergeCell ref="AR150:AR151"/>
    <mergeCell ref="BH148:BH149"/>
    <mergeCell ref="AW134:AW135"/>
    <mergeCell ref="AX134:AX135"/>
    <mergeCell ref="AY134:AY135"/>
    <mergeCell ref="AZ134:AZ135"/>
    <mergeCell ref="BD134:BD135"/>
    <mergeCell ref="BE134:BE135"/>
    <mergeCell ref="AQ134:AQ135"/>
    <mergeCell ref="AR134:AR135"/>
    <mergeCell ref="AS134:AS135"/>
    <mergeCell ref="AT134:AT135"/>
    <mergeCell ref="AU134:AU135"/>
    <mergeCell ref="AV134:AV135"/>
    <mergeCell ref="BB134:BB135"/>
    <mergeCell ref="BG148:BG149"/>
    <mergeCell ref="BB141:BB142"/>
    <mergeCell ref="AY141:AY142"/>
    <mergeCell ref="AZ141:AZ142"/>
    <mergeCell ref="BB144:BB145"/>
    <mergeCell ref="AS146:AS147"/>
    <mergeCell ref="AT146:AT147"/>
    <mergeCell ref="AU146:AU147"/>
    <mergeCell ref="AV146:AV147"/>
    <mergeCell ref="AW146:AW147"/>
    <mergeCell ref="BD103:BD127"/>
    <mergeCell ref="BE103:BE127"/>
    <mergeCell ref="BF103:BF127"/>
    <mergeCell ref="BG103:BG127"/>
    <mergeCell ref="BF134:BF135"/>
    <mergeCell ref="BG134:BG135"/>
    <mergeCell ref="BH103:BH127"/>
    <mergeCell ref="BH134:BH135"/>
    <mergeCell ref="AY146:AY147"/>
    <mergeCell ref="AZ146:AZ147"/>
    <mergeCell ref="AY144:AY145"/>
    <mergeCell ref="AZ144:AZ145"/>
    <mergeCell ref="BB103:BB130"/>
    <mergeCell ref="AZ103:AZ130"/>
    <mergeCell ref="BB90:BB91"/>
    <mergeCell ref="AJ92:AJ93"/>
    <mergeCell ref="AK92:AK93"/>
    <mergeCell ref="AL92:AL93"/>
    <mergeCell ref="AM92:AM93"/>
    <mergeCell ref="AN92:AN93"/>
    <mergeCell ref="AO92:AO93"/>
    <mergeCell ref="AP92:AP93"/>
    <mergeCell ref="AQ92:AQ93"/>
    <mergeCell ref="AR92:AR93"/>
    <mergeCell ref="AS92:AS93"/>
    <mergeCell ref="AT92:AT93"/>
    <mergeCell ref="AU92:AU93"/>
    <mergeCell ref="AV92:AV93"/>
    <mergeCell ref="AW92:AW93"/>
    <mergeCell ref="AX92:AX93"/>
    <mergeCell ref="AY92:AY93"/>
    <mergeCell ref="AZ92:AZ93"/>
    <mergeCell ref="AJ90:AJ91"/>
    <mergeCell ref="AK90:AK91"/>
    <mergeCell ref="AL90:AL91"/>
    <mergeCell ref="AM90:AM91"/>
    <mergeCell ref="AN90:AN91"/>
    <mergeCell ref="Y23:Y59"/>
    <mergeCell ref="Z23:Z59"/>
    <mergeCell ref="BD50:BD51"/>
    <mergeCell ref="BE50:BE51"/>
    <mergeCell ref="BF50:BF51"/>
    <mergeCell ref="BG50:BG51"/>
    <mergeCell ref="BH50:BH51"/>
    <mergeCell ref="AU50:AU51"/>
    <mergeCell ref="AV50:AV51"/>
    <mergeCell ref="AW50:AW51"/>
    <mergeCell ref="AX50:AX51"/>
    <mergeCell ref="AY50:AY51"/>
    <mergeCell ref="AZ50:AZ51"/>
    <mergeCell ref="AO50:AO51"/>
    <mergeCell ref="AP50:AP51"/>
    <mergeCell ref="AQ50:AQ51"/>
    <mergeCell ref="AR50:AR51"/>
    <mergeCell ref="AS50:AS51"/>
    <mergeCell ref="AT50:AT51"/>
    <mergeCell ref="AK50:AK51"/>
    <mergeCell ref="AL50:AL51"/>
    <mergeCell ref="AM50:AM51"/>
    <mergeCell ref="AN50:AN51"/>
    <mergeCell ref="BE40:BE45"/>
    <mergeCell ref="BB52:BB53"/>
    <mergeCell ref="AY40:AY45"/>
    <mergeCell ref="BH29:BH34"/>
    <mergeCell ref="AK40:AK45"/>
    <mergeCell ref="AL40:AL45"/>
    <mergeCell ref="AM40:AM45"/>
    <mergeCell ref="AN40:AN45"/>
    <mergeCell ref="AO40:AO45"/>
    <mergeCell ref="AP40:AP45"/>
    <mergeCell ref="AQ40:AQ45"/>
    <mergeCell ref="AR40:AR45"/>
    <mergeCell ref="AS40:AS45"/>
    <mergeCell ref="AY29:AY34"/>
    <mergeCell ref="AZ29:AZ34"/>
    <mergeCell ref="BD29:BD34"/>
    <mergeCell ref="BE29:BE34"/>
    <mergeCell ref="BF29:BF34"/>
    <mergeCell ref="BG29:BG34"/>
    <mergeCell ref="AS29:AS34"/>
    <mergeCell ref="AT29:AT34"/>
    <mergeCell ref="AU29:AU34"/>
    <mergeCell ref="AV29:AV34"/>
    <mergeCell ref="AW29:AW34"/>
    <mergeCell ref="AZ40:AZ45"/>
    <mergeCell ref="BD40:BD45"/>
    <mergeCell ref="AP29:AP34"/>
    <mergeCell ref="AQ29:AQ34"/>
    <mergeCell ref="AR29:AR34"/>
    <mergeCell ref="AX27:AX28"/>
    <mergeCell ref="AY27:AY28"/>
    <mergeCell ref="AZ27:AZ28"/>
    <mergeCell ref="BD27:BD28"/>
    <mergeCell ref="AR27:AR28"/>
    <mergeCell ref="AS27:AS28"/>
    <mergeCell ref="AT27:AT28"/>
    <mergeCell ref="AU27:AU28"/>
    <mergeCell ref="AV27:AV28"/>
    <mergeCell ref="AW27:AW28"/>
    <mergeCell ref="AX29:AX34"/>
    <mergeCell ref="BB40:BB45"/>
    <mergeCell ref="BG23:BG26"/>
    <mergeCell ref="BH23:BH26"/>
    <mergeCell ref="AL27:AL28"/>
    <mergeCell ref="AM27:AM28"/>
    <mergeCell ref="AN27:AN28"/>
    <mergeCell ref="AO27:AO28"/>
    <mergeCell ref="AP27:AP28"/>
    <mergeCell ref="AQ27:AQ28"/>
    <mergeCell ref="BG27:BG28"/>
    <mergeCell ref="BH27:BH28"/>
    <mergeCell ref="AL23:AL26"/>
    <mergeCell ref="AM23:AM26"/>
    <mergeCell ref="AN23:AN26"/>
    <mergeCell ref="AO23:AO26"/>
    <mergeCell ref="BE27:BE28"/>
    <mergeCell ref="BF27:BF28"/>
    <mergeCell ref="R23:R59"/>
    <mergeCell ref="S23:S59"/>
    <mergeCell ref="T23:T59"/>
    <mergeCell ref="U23:U59"/>
    <mergeCell ref="V23:V59"/>
    <mergeCell ref="AV9:AV12"/>
    <mergeCell ref="AW9:AW12"/>
    <mergeCell ref="AX9:AX12"/>
    <mergeCell ref="AY9:AY12"/>
    <mergeCell ref="AP9:AP12"/>
    <mergeCell ref="AQ9:AQ12"/>
    <mergeCell ref="AR9:AR12"/>
    <mergeCell ref="AS9:AS12"/>
    <mergeCell ref="AT9:AT12"/>
    <mergeCell ref="AU9:AU12"/>
    <mergeCell ref="AH6:AH22"/>
    <mergeCell ref="AI6:AI22"/>
    <mergeCell ref="AY23:AY26"/>
    <mergeCell ref="AP23:AP26"/>
    <mergeCell ref="AQ23:AQ26"/>
    <mergeCell ref="AR23:AR26"/>
    <mergeCell ref="AS23:AS26"/>
    <mergeCell ref="AT23:AT26"/>
    <mergeCell ref="AU23:AU26"/>
    <mergeCell ref="BH6:BH7"/>
    <mergeCell ref="AK9:AK12"/>
    <mergeCell ref="AL9:AL12"/>
    <mergeCell ref="AM9:AM12"/>
    <mergeCell ref="AG23:AG59"/>
    <mergeCell ref="AV6:AV7"/>
    <mergeCell ref="AW6:AW7"/>
    <mergeCell ref="AX6:AX7"/>
    <mergeCell ref="AY6:AY7"/>
    <mergeCell ref="AZ6:AZ7"/>
    <mergeCell ref="BE9:BE12"/>
    <mergeCell ref="BF9:BF12"/>
    <mergeCell ref="BG9:BG12"/>
    <mergeCell ref="BH9:BH12"/>
    <mergeCell ref="AK21:AK22"/>
    <mergeCell ref="AZ9:AZ12"/>
    <mergeCell ref="BD9:BD12"/>
    <mergeCell ref="AZ23:AZ26"/>
    <mergeCell ref="BD23:BD26"/>
    <mergeCell ref="BF40:BF45"/>
    <mergeCell ref="BG40:BG45"/>
    <mergeCell ref="BH40:BH45"/>
    <mergeCell ref="AT40:AT45"/>
    <mergeCell ref="AU40:AU45"/>
    <mergeCell ref="W23:W59"/>
    <mergeCell ref="X23:X59"/>
    <mergeCell ref="AM6:AM7"/>
    <mergeCell ref="AN9:AN12"/>
    <mergeCell ref="AO9:AO12"/>
    <mergeCell ref="AU6:AU7"/>
    <mergeCell ref="AO6:AO7"/>
    <mergeCell ref="AP6:AP7"/>
    <mergeCell ref="AQ6:AQ7"/>
    <mergeCell ref="AR6:AR7"/>
    <mergeCell ref="AS6:AS7"/>
    <mergeCell ref="AT6:AT7"/>
    <mergeCell ref="AK6:AK7"/>
    <mergeCell ref="AL6:AL7"/>
    <mergeCell ref="AN6:AN7"/>
    <mergeCell ref="AK29:AK34"/>
    <mergeCell ref="AL29:AL34"/>
    <mergeCell ref="AM29:AM34"/>
    <mergeCell ref="AN29:AN34"/>
    <mergeCell ref="AO29:AO34"/>
    <mergeCell ref="AA23:AA59"/>
    <mergeCell ref="AI23:AI59"/>
    <mergeCell ref="AK23:AK28"/>
    <mergeCell ref="AJ40:AJ45"/>
    <mergeCell ref="AB23:AB59"/>
    <mergeCell ref="BB4:BB5"/>
    <mergeCell ref="BD4:BG4"/>
    <mergeCell ref="AK4:AK5"/>
    <mergeCell ref="AL4:AL5"/>
    <mergeCell ref="AM4:AM5"/>
    <mergeCell ref="AN4:AN5"/>
    <mergeCell ref="AO4:AX4"/>
    <mergeCell ref="AY4:AY5"/>
    <mergeCell ref="AI4:AI5"/>
    <mergeCell ref="AJ4:AJ5"/>
    <mergeCell ref="AH23:AH59"/>
    <mergeCell ref="BD6:BD7"/>
    <mergeCell ref="BE6:BE7"/>
    <mergeCell ref="BF6:BF7"/>
    <mergeCell ref="BG6:BG7"/>
    <mergeCell ref="AV40:AV45"/>
    <mergeCell ref="AW40:AW45"/>
    <mergeCell ref="AX40:AX45"/>
    <mergeCell ref="AJ50:AJ51"/>
    <mergeCell ref="AJ23:AJ28"/>
    <mergeCell ref="AJ29:AJ34"/>
    <mergeCell ref="BE23:BE26"/>
    <mergeCell ref="BF23:BF26"/>
    <mergeCell ref="AJ165:AJ167"/>
    <mergeCell ref="AJ168:AJ169"/>
    <mergeCell ref="S4:S5"/>
    <mergeCell ref="T4:T5"/>
    <mergeCell ref="V4:V5"/>
    <mergeCell ref="W4:W5"/>
    <mergeCell ref="X4:AG4"/>
    <mergeCell ref="AH4:AH5"/>
    <mergeCell ref="AC23:AC59"/>
    <mergeCell ref="AD23:AD59"/>
    <mergeCell ref="AE23:AE59"/>
    <mergeCell ref="AF23:AF59"/>
    <mergeCell ref="AB6:AB22"/>
    <mergeCell ref="AC6:AC22"/>
    <mergeCell ref="AD6:AD22"/>
    <mergeCell ref="AE6:AE22"/>
    <mergeCell ref="AF6:AF22"/>
    <mergeCell ref="AG6:AG22"/>
    <mergeCell ref="V6:V22"/>
    <mergeCell ref="W6:W22"/>
    <mergeCell ref="X6:X22"/>
    <mergeCell ref="Y6:Y22"/>
    <mergeCell ref="Z6:Z22"/>
    <mergeCell ref="AA6:AA22"/>
    <mergeCell ref="AJ6:AJ7"/>
    <mergeCell ref="AJ9:AJ12"/>
    <mergeCell ref="AJ21:AJ22"/>
    <mergeCell ref="A4:A5"/>
    <mergeCell ref="B4:B5"/>
    <mergeCell ref="C4:C5"/>
    <mergeCell ref="D4:D5"/>
    <mergeCell ref="E4:E5"/>
    <mergeCell ref="U4:U5"/>
    <mergeCell ref="T6:T22"/>
    <mergeCell ref="U6:U22"/>
    <mergeCell ref="F4:O4"/>
    <mergeCell ref="P4:P5"/>
    <mergeCell ref="Q4:Q5"/>
    <mergeCell ref="R4:R5"/>
  </mergeCells>
  <phoneticPr fontId="68" type="noConversion"/>
  <pageMargins left="0.7" right="0.7" top="0.75" bottom="0.75" header="0.3" footer="0.3"/>
  <pageSetup orientation="portrait" horizontalDpi="300" verticalDpi="300"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theme="2" tint="-0.89999084444715716"/>
  </sheetPr>
  <dimension ref="A1:DU87"/>
  <sheetViews>
    <sheetView topLeftCell="L74" zoomScale="80" zoomScaleNormal="80" workbookViewId="0">
      <selection activeCell="CF6" sqref="CF6:CF93"/>
    </sheetView>
  </sheetViews>
  <sheetFormatPr baseColWidth="10" defaultColWidth="11.42578125" defaultRowHeight="15.75" customHeight="1"/>
  <cols>
    <col min="1" max="1" width="47.5703125" style="123" customWidth="1"/>
    <col min="2" max="2" width="22" style="123" customWidth="1"/>
    <col min="3" max="3" width="25.42578125" style="122" customWidth="1"/>
    <col min="4" max="4" width="22.5703125" style="122" customWidth="1"/>
    <col min="5" max="5" width="6.7109375" style="122" customWidth="1"/>
    <col min="6" max="6" width="6.7109375" style="123" customWidth="1"/>
    <col min="7" max="11" width="6.7109375" style="122" customWidth="1"/>
    <col min="12" max="12" width="34.140625" style="122" customWidth="1"/>
    <col min="13" max="13" width="43.42578125" style="123" customWidth="1"/>
    <col min="14" max="16" width="4.28515625" style="122" customWidth="1"/>
    <col min="17" max="17" width="24" style="123" customWidth="1"/>
    <col min="18" max="18" width="4.28515625" style="123" customWidth="1"/>
    <col min="19" max="19" width="15.140625" style="7430" customWidth="1"/>
    <col min="20" max="20" width="27" style="122" customWidth="1"/>
    <col min="21" max="21" width="23" style="122" customWidth="1"/>
    <col min="22" max="22" width="11.42578125" style="123" customWidth="1"/>
    <col min="23" max="23" width="7.140625" style="122" customWidth="1"/>
    <col min="24" max="24" width="5.85546875" style="122" customWidth="1"/>
    <col min="25" max="25" width="5.5703125" style="122" customWidth="1"/>
    <col min="26" max="32" width="5.85546875" style="122" customWidth="1"/>
    <col min="33" max="33" width="11.7109375" style="122" customWidth="1"/>
    <col min="34" max="35" width="12.85546875" style="123" customWidth="1"/>
    <col min="36" max="37" width="5.7109375" style="123" customWidth="1"/>
    <col min="38" max="38" width="12.85546875" style="123" customWidth="1"/>
    <col min="39" max="39" width="14.140625" style="123" customWidth="1"/>
    <col min="40" max="41" width="5.7109375" style="123" customWidth="1"/>
    <col min="42" max="43" width="12.85546875" style="123" customWidth="1"/>
    <col min="44" max="45" width="5.7109375" style="123" customWidth="1"/>
    <col min="46" max="47" width="12.85546875" style="123" customWidth="1"/>
    <col min="48" max="49" width="5.7109375" style="123" customWidth="1"/>
    <col min="50" max="51" width="12.85546875" style="123" customWidth="1"/>
    <col min="52" max="53" width="5.7109375" style="123" customWidth="1"/>
    <col min="54" max="55" width="12.85546875" style="123" customWidth="1"/>
    <col min="56" max="57" width="5.7109375" style="123" customWidth="1"/>
    <col min="58" max="59" width="12.85546875" style="123" customWidth="1"/>
    <col min="60" max="61" width="5.7109375" style="123" customWidth="1"/>
    <col min="62" max="63" width="12.85546875" style="123" customWidth="1"/>
    <col min="64" max="65" width="5.7109375" style="123" customWidth="1"/>
    <col min="66" max="67" width="12.85546875" style="123" customWidth="1"/>
    <col min="68" max="69" width="5.7109375" style="123" customWidth="1"/>
    <col min="70" max="71" width="12.85546875" style="123" customWidth="1"/>
    <col min="72" max="73" width="5.7109375" style="123" customWidth="1"/>
    <col min="74" max="75" width="12.85546875" style="123" customWidth="1"/>
    <col min="76" max="77" width="5.7109375" style="123" customWidth="1"/>
    <col min="78" max="78" width="31.7109375" style="122" customWidth="1"/>
    <col min="79" max="79" width="1.42578125" style="123" customWidth="1"/>
    <col min="80" max="16384" width="11.42578125" style="123"/>
  </cols>
  <sheetData>
    <row r="1" spans="1:125" ht="15.75" customHeight="1">
      <c r="A1" s="17111" t="s">
        <v>8496</v>
      </c>
      <c r="B1" s="17111"/>
      <c r="C1" s="17111"/>
      <c r="D1" s="17111"/>
      <c r="E1" s="17111"/>
      <c r="F1" s="17111"/>
      <c r="G1" s="17111"/>
      <c r="H1" s="17111"/>
      <c r="I1" s="17111"/>
      <c r="J1" s="17111"/>
      <c r="K1" s="17111"/>
      <c r="L1" s="17111"/>
      <c r="M1" s="17111"/>
      <c r="N1" s="17111"/>
      <c r="O1" s="17111"/>
      <c r="P1" s="17111"/>
      <c r="Q1" s="17111"/>
      <c r="R1" s="17111"/>
      <c r="S1" s="17112"/>
      <c r="T1" s="17111"/>
      <c r="U1" s="17111"/>
      <c r="V1" s="17111"/>
      <c r="W1" s="1711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row>
    <row r="2" spans="1:125" ht="15.75" customHeight="1">
      <c r="A2" s="17111"/>
      <c r="B2" s="17111"/>
      <c r="C2" s="17111"/>
      <c r="D2" s="17111"/>
      <c r="E2" s="17111"/>
      <c r="F2" s="17111"/>
      <c r="G2" s="17111"/>
      <c r="H2" s="17111"/>
      <c r="I2" s="17111"/>
      <c r="J2" s="17111"/>
      <c r="K2" s="17111"/>
      <c r="L2" s="17111"/>
      <c r="M2" s="17111"/>
      <c r="N2" s="17111"/>
      <c r="O2" s="17111"/>
      <c r="P2" s="17111"/>
      <c r="Q2" s="17111"/>
      <c r="R2" s="17111"/>
      <c r="S2" s="17112"/>
      <c r="T2" s="17111"/>
      <c r="U2" s="17111"/>
      <c r="V2" s="17111"/>
      <c r="W2" s="17111"/>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row>
    <row r="3" spans="1:125" ht="15.75" customHeight="1" thickBot="1">
      <c r="A3" s="17109" t="s">
        <v>6964</v>
      </c>
      <c r="B3" s="17109"/>
      <c r="C3" s="17109"/>
      <c r="D3" s="17109"/>
      <c r="E3" s="17109"/>
      <c r="F3" s="17109"/>
      <c r="G3" s="17109"/>
      <c r="H3" s="17109"/>
      <c r="I3" s="17109"/>
      <c r="J3" s="17109"/>
      <c r="K3" s="17109"/>
      <c r="L3" s="17109"/>
      <c r="M3" s="17109"/>
      <c r="N3" s="17109"/>
      <c r="O3" s="17109"/>
      <c r="P3" s="17109"/>
      <c r="Q3" s="17109"/>
      <c r="R3" s="17109"/>
      <c r="S3" s="17110"/>
      <c r="T3" s="17109"/>
      <c r="U3" s="17109"/>
      <c r="V3" s="17109"/>
      <c r="W3" s="17109"/>
      <c r="CA3"/>
      <c r="CB3" s="7127"/>
      <c r="CC3" s="7127"/>
      <c r="CD3" s="7127"/>
      <c r="CE3" s="7127"/>
      <c r="CF3" s="7127"/>
      <c r="CG3" s="7127"/>
      <c r="CH3" s="7127"/>
      <c r="CI3" s="7127"/>
      <c r="CJ3" s="7127"/>
      <c r="CK3" s="7127"/>
      <c r="CL3" s="7127"/>
      <c r="CM3" s="7127"/>
      <c r="CN3" s="7127"/>
      <c r="CO3" s="7127"/>
      <c r="CP3" s="7127"/>
      <c r="CQ3" s="7127"/>
      <c r="CR3" s="7127"/>
      <c r="CS3" s="7127"/>
      <c r="CT3" s="7127"/>
      <c r="CU3" s="7127"/>
      <c r="CV3" s="7127"/>
      <c r="CW3" s="7127"/>
      <c r="CX3" s="7127"/>
      <c r="CY3" s="7127"/>
      <c r="CZ3" s="7127"/>
      <c r="DA3" s="7127"/>
      <c r="DB3" s="7127"/>
      <c r="DC3" s="7127"/>
      <c r="DD3" s="7127"/>
      <c r="DE3" s="7127"/>
      <c r="DF3" s="7127"/>
      <c r="DG3" s="7127"/>
      <c r="DH3" s="7127"/>
      <c r="DI3" s="7127"/>
      <c r="DJ3" s="7127"/>
      <c r="DK3" s="7127"/>
      <c r="DL3" s="7127"/>
      <c r="DM3" s="7127"/>
      <c r="DN3" s="7127"/>
      <c r="DO3" s="7127"/>
      <c r="DP3" s="7127"/>
      <c r="DQ3" s="7127"/>
      <c r="DR3" s="7127"/>
      <c r="DS3" s="36"/>
      <c r="DT3" s="36"/>
      <c r="DU3" s="36"/>
    </row>
    <row r="4" spans="1:125" ht="15.75" customHeight="1" thickBot="1">
      <c r="A4" s="17109"/>
      <c r="B4" s="17109"/>
      <c r="C4" s="17109"/>
      <c r="D4" s="17109"/>
      <c r="E4" s="17109"/>
      <c r="F4" s="17109"/>
      <c r="G4" s="17109"/>
      <c r="H4" s="17109"/>
      <c r="I4" s="17109"/>
      <c r="J4" s="17109"/>
      <c r="K4" s="17109"/>
      <c r="L4" s="17109"/>
      <c r="M4" s="17109"/>
      <c r="N4" s="17109"/>
      <c r="O4" s="17109"/>
      <c r="P4" s="17109"/>
      <c r="Q4" s="17109"/>
      <c r="R4" s="17109"/>
      <c r="S4" s="17110"/>
      <c r="T4" s="17109"/>
      <c r="U4" s="17109"/>
      <c r="V4" s="17109"/>
      <c r="W4" s="17109"/>
      <c r="X4" s="759"/>
      <c r="Y4" s="759"/>
      <c r="Z4" s="759"/>
      <c r="AA4" s="759"/>
      <c r="AB4" s="759"/>
      <c r="AC4" s="759"/>
      <c r="AD4" s="759"/>
      <c r="AE4" s="759"/>
      <c r="AF4" s="759"/>
      <c r="AG4" s="759"/>
      <c r="AH4" s="759"/>
      <c r="AI4" s="759"/>
      <c r="AJ4" s="759"/>
      <c r="AK4" s="759"/>
      <c r="AL4" s="759"/>
      <c r="AM4" s="759"/>
      <c r="AN4" s="759"/>
      <c r="AO4" s="759"/>
      <c r="AP4" s="759"/>
      <c r="AQ4" s="759"/>
      <c r="AR4" s="759"/>
      <c r="AS4" s="759"/>
      <c r="AT4" s="759"/>
      <c r="AU4" s="759"/>
      <c r="AV4" s="759"/>
      <c r="AW4" s="759"/>
      <c r="AX4" s="759"/>
      <c r="AY4" s="759"/>
      <c r="AZ4" s="759"/>
      <c r="BA4" s="759"/>
      <c r="BB4" s="759"/>
      <c r="BC4" s="759"/>
      <c r="BD4" s="759"/>
      <c r="BE4" s="759"/>
      <c r="BF4" s="759"/>
      <c r="BG4" s="759"/>
      <c r="BH4" s="759"/>
      <c r="BI4" s="759"/>
      <c r="BJ4" s="759"/>
      <c r="BK4" s="759"/>
      <c r="BL4" s="759"/>
      <c r="BM4" s="759"/>
      <c r="BN4" s="759"/>
      <c r="BO4" s="759"/>
      <c r="BP4" s="759"/>
      <c r="BQ4" s="759"/>
      <c r="BR4" s="759"/>
      <c r="BS4" s="759"/>
      <c r="BT4" s="759"/>
      <c r="BU4" s="759"/>
      <c r="BV4" s="759"/>
      <c r="BW4" s="759"/>
      <c r="BX4" s="759"/>
      <c r="BY4" s="759"/>
      <c r="BZ4" s="759"/>
      <c r="CA4"/>
      <c r="CB4" s="13291" t="s">
        <v>8497</v>
      </c>
      <c r="CC4" s="13291"/>
      <c r="CD4" s="13291"/>
      <c r="CE4" s="13291"/>
      <c r="CF4" s="13291"/>
      <c r="CG4" s="13291"/>
      <c r="CH4" s="13618"/>
      <c r="CI4" s="13618"/>
      <c r="CJ4" s="13618"/>
      <c r="CK4" s="13618"/>
      <c r="CL4" s="13291"/>
      <c r="CM4" s="13291"/>
      <c r="CN4" s="13291"/>
      <c r="CO4" s="13291"/>
      <c r="CP4" s="13291"/>
      <c r="CQ4" s="13291"/>
      <c r="CR4" s="13291"/>
      <c r="CS4" s="13291"/>
      <c r="CT4" s="13291"/>
      <c r="CU4" s="13291"/>
      <c r="CV4" s="13291"/>
      <c r="CW4" s="13291"/>
      <c r="CX4" s="13291"/>
      <c r="CY4" s="13291"/>
      <c r="CZ4" s="13291"/>
      <c r="DA4" s="13291"/>
      <c r="DB4" s="13291"/>
      <c r="DC4" s="13291"/>
      <c r="DD4" s="13291"/>
      <c r="DE4" s="13291"/>
      <c r="DF4" s="13291"/>
      <c r="DG4" s="13291"/>
      <c r="DH4" s="13291"/>
      <c r="DI4" s="13291"/>
      <c r="DJ4" s="13291"/>
      <c r="DK4" s="13291"/>
      <c r="DL4" s="13291"/>
      <c r="DM4" s="13291"/>
      <c r="DN4" s="13291"/>
      <c r="DO4" s="13291"/>
      <c r="DP4" s="13291"/>
      <c r="DQ4" s="13291"/>
      <c r="DR4" s="13291"/>
      <c r="DS4" s="13291"/>
      <c r="DT4" s="13291"/>
      <c r="DU4" s="13292"/>
    </row>
    <row r="5" spans="1:125" ht="15.75" customHeight="1" thickBot="1">
      <c r="A5" s="17046" t="s">
        <v>6965</v>
      </c>
      <c r="B5" s="17046" t="s">
        <v>6966</v>
      </c>
      <c r="C5" s="17046" t="s">
        <v>6967</v>
      </c>
      <c r="D5" s="17046" t="s">
        <v>6968</v>
      </c>
      <c r="E5" s="17046" t="s">
        <v>6969</v>
      </c>
      <c r="F5" s="17046" t="s">
        <v>10335</v>
      </c>
      <c r="G5" s="17046" t="s">
        <v>6970</v>
      </c>
      <c r="H5" s="17046" t="s">
        <v>4632</v>
      </c>
      <c r="I5" s="17046" t="s">
        <v>4634</v>
      </c>
      <c r="J5" s="17046" t="s">
        <v>6971</v>
      </c>
      <c r="K5" s="17046" t="s">
        <v>6972</v>
      </c>
      <c r="L5" s="17113" t="s">
        <v>4635</v>
      </c>
      <c r="M5" s="17064" t="s">
        <v>4636</v>
      </c>
      <c r="N5" s="17046" t="s">
        <v>4638</v>
      </c>
      <c r="O5" s="17046" t="s">
        <v>4639</v>
      </c>
      <c r="P5" s="17046" t="s">
        <v>6973</v>
      </c>
      <c r="Q5" s="17064" t="s">
        <v>4641</v>
      </c>
      <c r="R5" s="17064" t="s">
        <v>6035</v>
      </c>
      <c r="S5" s="17068" t="s">
        <v>10056</v>
      </c>
      <c r="T5" s="17046" t="s">
        <v>2101</v>
      </c>
      <c r="U5" s="17046" t="s">
        <v>2001</v>
      </c>
      <c r="V5" s="17064" t="s">
        <v>6974</v>
      </c>
      <c r="W5" s="17046" t="s">
        <v>6975</v>
      </c>
      <c r="X5" s="17046"/>
      <c r="Y5" s="17046"/>
      <c r="Z5" s="17046"/>
      <c r="AA5" s="17046"/>
      <c r="AB5" s="17046"/>
      <c r="AC5" s="17046"/>
      <c r="AD5" s="17046"/>
      <c r="AE5" s="17046"/>
      <c r="AF5" s="17046"/>
      <c r="AG5" s="17046"/>
      <c r="AH5" s="17064" t="s">
        <v>6976</v>
      </c>
      <c r="AI5" s="17064"/>
      <c r="AJ5" s="17064"/>
      <c r="AK5" s="17064"/>
      <c r="AL5" s="17064"/>
      <c r="AM5" s="17064"/>
      <c r="AN5" s="17064"/>
      <c r="AO5" s="17064"/>
      <c r="AP5" s="17064"/>
      <c r="AQ5" s="17064"/>
      <c r="AR5" s="17064"/>
      <c r="AS5" s="17064"/>
      <c r="AT5" s="17064"/>
      <c r="AU5" s="17064"/>
      <c r="AV5" s="17064"/>
      <c r="AW5" s="17064"/>
      <c r="AX5" s="17064"/>
      <c r="AY5" s="17064"/>
      <c r="AZ5" s="17064"/>
      <c r="BA5" s="17064"/>
      <c r="BB5" s="17064"/>
      <c r="BC5" s="17064"/>
      <c r="BD5" s="17064"/>
      <c r="BE5" s="17064"/>
      <c r="BF5" s="17064"/>
      <c r="BG5" s="17064"/>
      <c r="BH5" s="17064"/>
      <c r="BI5" s="17064"/>
      <c r="BJ5" s="17064"/>
      <c r="BK5" s="17064"/>
      <c r="BL5" s="17064"/>
      <c r="BM5" s="17064"/>
      <c r="BN5" s="17064"/>
      <c r="BO5" s="17064"/>
      <c r="BP5" s="17064"/>
      <c r="BQ5" s="17064"/>
      <c r="BR5" s="17064"/>
      <c r="BS5" s="17064"/>
      <c r="BT5" s="17064"/>
      <c r="BU5" s="17064"/>
      <c r="BV5" s="17064"/>
      <c r="BW5" s="17064"/>
      <c r="BX5" s="17064"/>
      <c r="BY5" s="17064"/>
      <c r="BZ5" s="17064"/>
      <c r="CA5"/>
      <c r="CB5" s="14600" t="s">
        <v>8498</v>
      </c>
      <c r="CC5" s="5253" t="s">
        <v>10189</v>
      </c>
      <c r="CD5" s="5253" t="s">
        <v>10190</v>
      </c>
      <c r="CE5" s="5203" t="s">
        <v>8499</v>
      </c>
      <c r="CF5" s="5203" t="s">
        <v>8500</v>
      </c>
      <c r="CG5" s="5205" t="s">
        <v>4</v>
      </c>
      <c r="CH5" s="5215" t="s">
        <v>355</v>
      </c>
      <c r="CI5" s="5216"/>
      <c r="CJ5" s="5216"/>
      <c r="CK5" s="5217"/>
      <c r="CL5" s="5207" t="s">
        <v>356</v>
      </c>
      <c r="CM5" s="5208"/>
      <c r="CN5" s="5208"/>
      <c r="CO5" s="5208"/>
      <c r="CP5" s="5208"/>
      <c r="CQ5" s="5208"/>
      <c r="CR5" s="5208"/>
      <c r="CS5" s="5208"/>
      <c r="CT5" s="5208"/>
      <c r="CU5" s="5208"/>
      <c r="CV5" s="5208"/>
      <c r="CW5" s="5208"/>
      <c r="CX5" s="5228"/>
      <c r="CY5" s="5228"/>
      <c r="CZ5" s="5228"/>
      <c r="DA5" s="5228"/>
      <c r="DB5" s="5228"/>
      <c r="DC5" s="5228"/>
      <c r="DD5" s="5228"/>
      <c r="DE5" s="5228"/>
      <c r="DF5" s="5228"/>
      <c r="DG5" s="5228"/>
      <c r="DH5" s="5228"/>
      <c r="DI5" s="5228"/>
      <c r="DJ5" s="5228"/>
      <c r="DK5" s="5229"/>
      <c r="DL5" s="5230" t="s">
        <v>357</v>
      </c>
      <c r="DM5" s="5231"/>
      <c r="DN5" s="5231"/>
      <c r="DO5" s="5231"/>
      <c r="DP5" s="5232"/>
      <c r="DQ5" s="5192" t="s">
        <v>5</v>
      </c>
      <c r="DR5" s="5193"/>
      <c r="DS5" s="5193"/>
      <c r="DT5" s="5193"/>
      <c r="DU5" s="5194"/>
    </row>
    <row r="6" spans="1:125" ht="15.75" customHeight="1">
      <c r="A6" s="17046"/>
      <c r="B6" s="17046"/>
      <c r="C6" s="17046"/>
      <c r="D6" s="17046"/>
      <c r="E6" s="17046"/>
      <c r="F6" s="17046"/>
      <c r="G6" s="17046"/>
      <c r="H6" s="17046"/>
      <c r="I6" s="17046"/>
      <c r="J6" s="17046"/>
      <c r="K6" s="17046"/>
      <c r="L6" s="17114"/>
      <c r="M6" s="17064"/>
      <c r="N6" s="17046"/>
      <c r="O6" s="17046"/>
      <c r="P6" s="17046"/>
      <c r="Q6" s="17064"/>
      <c r="R6" s="17064"/>
      <c r="S6" s="17069"/>
      <c r="T6" s="17046"/>
      <c r="U6" s="17046"/>
      <c r="V6" s="17064"/>
      <c r="W6" s="17046"/>
      <c r="X6" s="17046"/>
      <c r="Y6" s="17046"/>
      <c r="Z6" s="17046"/>
      <c r="AA6" s="17046"/>
      <c r="AB6" s="17046"/>
      <c r="AC6" s="17046"/>
      <c r="AD6" s="17046"/>
      <c r="AE6" s="17046"/>
      <c r="AF6" s="17046"/>
      <c r="AG6" s="17046"/>
      <c r="AH6" s="17064" t="s">
        <v>6977</v>
      </c>
      <c r="AI6" s="17064"/>
      <c r="AJ6" s="17064"/>
      <c r="AK6" s="17064"/>
      <c r="AL6" s="17064">
        <v>2021</v>
      </c>
      <c r="AM6" s="17064"/>
      <c r="AN6" s="17064"/>
      <c r="AO6" s="17064"/>
      <c r="AP6" s="17064">
        <v>2022</v>
      </c>
      <c r="AQ6" s="17064"/>
      <c r="AR6" s="17064"/>
      <c r="AS6" s="17064"/>
      <c r="AT6" s="17064">
        <v>2023</v>
      </c>
      <c r="AU6" s="17064"/>
      <c r="AV6" s="17064"/>
      <c r="AW6" s="17064"/>
      <c r="AX6" s="17064">
        <v>2024</v>
      </c>
      <c r="AY6" s="17064"/>
      <c r="AZ6" s="17064"/>
      <c r="BA6" s="17064"/>
      <c r="BB6" s="17064">
        <v>2025</v>
      </c>
      <c r="BC6" s="17064"/>
      <c r="BD6" s="17064"/>
      <c r="BE6" s="17064"/>
      <c r="BF6" s="17064">
        <v>2026</v>
      </c>
      <c r="BG6" s="17064"/>
      <c r="BH6" s="17064"/>
      <c r="BI6" s="17064"/>
      <c r="BJ6" s="17064">
        <v>2027</v>
      </c>
      <c r="BK6" s="17064"/>
      <c r="BL6" s="17064"/>
      <c r="BM6" s="17064"/>
      <c r="BN6" s="17064">
        <v>2028</v>
      </c>
      <c r="BO6" s="17064"/>
      <c r="BP6" s="17064"/>
      <c r="BQ6" s="17064"/>
      <c r="BR6" s="17064">
        <v>2029</v>
      </c>
      <c r="BS6" s="17064"/>
      <c r="BT6" s="17064"/>
      <c r="BU6" s="17064"/>
      <c r="BV6" s="17064">
        <v>2030</v>
      </c>
      <c r="BW6" s="17064"/>
      <c r="BX6" s="17064"/>
      <c r="BY6" s="17064"/>
      <c r="BZ6" s="17046" t="s">
        <v>6771</v>
      </c>
      <c r="CA6"/>
      <c r="CB6" s="14601"/>
      <c r="CC6" s="5253"/>
      <c r="CD6" s="5253"/>
      <c r="CE6" s="5204"/>
      <c r="CF6" s="5204"/>
      <c r="CG6" s="5206"/>
      <c r="CH6" s="5218" t="s">
        <v>6</v>
      </c>
      <c r="CI6" s="5209" t="s">
        <v>7</v>
      </c>
      <c r="CJ6" s="5211" t="s">
        <v>8</v>
      </c>
      <c r="CK6" s="5213" t="s">
        <v>9</v>
      </c>
      <c r="CL6" s="5195" t="s">
        <v>10</v>
      </c>
      <c r="CM6" s="5197" t="s">
        <v>11</v>
      </c>
      <c r="CN6" s="5198"/>
      <c r="CO6" s="5197" t="s">
        <v>12</v>
      </c>
      <c r="CP6" s="5198"/>
      <c r="CQ6" s="5197" t="s">
        <v>13</v>
      </c>
      <c r="CR6" s="5202"/>
      <c r="CS6" s="5202"/>
      <c r="CT6" s="5202"/>
      <c r="CU6" s="5202"/>
      <c r="CV6" s="5202"/>
      <c r="CW6" s="5202"/>
      <c r="CX6" s="5233" t="s">
        <v>14</v>
      </c>
      <c r="CY6" s="5234"/>
      <c r="CZ6" s="5234"/>
      <c r="DA6" s="5234"/>
      <c r="DB6" s="5234"/>
      <c r="DC6" s="5234"/>
      <c r="DD6" s="5234"/>
      <c r="DE6" s="5234"/>
      <c r="DF6" s="5234" t="s">
        <v>15</v>
      </c>
      <c r="DG6" s="5234"/>
      <c r="DH6" s="5234"/>
      <c r="DI6" s="5234"/>
      <c r="DJ6" s="5234"/>
      <c r="DK6" s="5235"/>
      <c r="DL6" s="5236" t="s">
        <v>16</v>
      </c>
      <c r="DM6" s="5221" t="s">
        <v>17</v>
      </c>
      <c r="DN6" s="5223" t="s">
        <v>18</v>
      </c>
      <c r="DO6" s="3375" t="s">
        <v>19</v>
      </c>
      <c r="DP6" s="3376" t="s">
        <v>20</v>
      </c>
      <c r="DQ6" s="5225" t="s">
        <v>21</v>
      </c>
      <c r="DR6" s="5199" t="s">
        <v>22</v>
      </c>
      <c r="DS6" s="5200"/>
      <c r="DT6" s="5201"/>
      <c r="DU6" s="12" t="s">
        <v>20</v>
      </c>
    </row>
    <row r="7" spans="1:125" ht="15.75" customHeight="1" thickBot="1">
      <c r="A7" s="17046"/>
      <c r="B7" s="17046"/>
      <c r="C7" s="17046"/>
      <c r="D7" s="17046"/>
      <c r="E7" s="17046"/>
      <c r="F7" s="17046"/>
      <c r="G7" s="17046"/>
      <c r="H7" s="17046"/>
      <c r="I7" s="17046"/>
      <c r="J7" s="17046"/>
      <c r="K7" s="17046"/>
      <c r="L7" s="17114"/>
      <c r="M7" s="17065"/>
      <c r="N7" s="17063"/>
      <c r="O7" s="17063"/>
      <c r="P7" s="17063"/>
      <c r="Q7" s="17065"/>
      <c r="R7" s="17065"/>
      <c r="S7" s="17069"/>
      <c r="T7" s="17063"/>
      <c r="U7" s="17063"/>
      <c r="V7" s="17065"/>
      <c r="W7" s="7479">
        <v>2020</v>
      </c>
      <c r="X7" s="7479">
        <v>2021</v>
      </c>
      <c r="Y7" s="7479">
        <v>2022</v>
      </c>
      <c r="Z7" s="7479">
        <v>2023</v>
      </c>
      <c r="AA7" s="7479">
        <v>2024</v>
      </c>
      <c r="AB7" s="7479">
        <v>2025</v>
      </c>
      <c r="AC7" s="7479">
        <v>2026</v>
      </c>
      <c r="AD7" s="7479">
        <v>2027</v>
      </c>
      <c r="AE7" s="7479">
        <v>2028</v>
      </c>
      <c r="AF7" s="7479">
        <v>2029</v>
      </c>
      <c r="AG7" s="7479">
        <v>2030</v>
      </c>
      <c r="AH7" s="7480" t="s">
        <v>6978</v>
      </c>
      <c r="AI7" s="7480" t="s">
        <v>6979</v>
      </c>
      <c r="AJ7" s="7480" t="s">
        <v>6980</v>
      </c>
      <c r="AK7" s="7480" t="s">
        <v>6981</v>
      </c>
      <c r="AL7" s="7480" t="s">
        <v>6978</v>
      </c>
      <c r="AM7" s="7480" t="s">
        <v>6979</v>
      </c>
      <c r="AN7" s="7480" t="s">
        <v>6980</v>
      </c>
      <c r="AO7" s="7480" t="s">
        <v>6981</v>
      </c>
      <c r="AP7" s="7480" t="s">
        <v>6978</v>
      </c>
      <c r="AQ7" s="7480" t="s">
        <v>6979</v>
      </c>
      <c r="AR7" s="7480" t="s">
        <v>6980</v>
      </c>
      <c r="AS7" s="7480" t="s">
        <v>6981</v>
      </c>
      <c r="AT7" s="7480" t="s">
        <v>6978</v>
      </c>
      <c r="AU7" s="7480" t="s">
        <v>6979</v>
      </c>
      <c r="AV7" s="7480" t="s">
        <v>6980</v>
      </c>
      <c r="AW7" s="7480" t="s">
        <v>6981</v>
      </c>
      <c r="AX7" s="7480" t="s">
        <v>6978</v>
      </c>
      <c r="AY7" s="7480" t="s">
        <v>6979</v>
      </c>
      <c r="AZ7" s="7480" t="s">
        <v>6980</v>
      </c>
      <c r="BA7" s="7480" t="s">
        <v>6981</v>
      </c>
      <c r="BB7" s="7480" t="s">
        <v>6978</v>
      </c>
      <c r="BC7" s="7480" t="s">
        <v>6979</v>
      </c>
      <c r="BD7" s="7480" t="s">
        <v>6980</v>
      </c>
      <c r="BE7" s="7480" t="s">
        <v>6981</v>
      </c>
      <c r="BF7" s="7480" t="s">
        <v>6978</v>
      </c>
      <c r="BG7" s="7480" t="s">
        <v>6979</v>
      </c>
      <c r="BH7" s="7480" t="s">
        <v>6980</v>
      </c>
      <c r="BI7" s="7480" t="s">
        <v>6981</v>
      </c>
      <c r="BJ7" s="7480" t="s">
        <v>6978</v>
      </c>
      <c r="BK7" s="7480" t="s">
        <v>6979</v>
      </c>
      <c r="BL7" s="7480" t="s">
        <v>6980</v>
      </c>
      <c r="BM7" s="7480" t="s">
        <v>6981</v>
      </c>
      <c r="BN7" s="7480" t="s">
        <v>6978</v>
      </c>
      <c r="BO7" s="7480" t="s">
        <v>6979</v>
      </c>
      <c r="BP7" s="7480" t="s">
        <v>6980</v>
      </c>
      <c r="BQ7" s="7480" t="s">
        <v>6981</v>
      </c>
      <c r="BR7" s="7480" t="s">
        <v>6978</v>
      </c>
      <c r="BS7" s="7480" t="s">
        <v>6979</v>
      </c>
      <c r="BT7" s="7480" t="s">
        <v>6980</v>
      </c>
      <c r="BU7" s="7480" t="s">
        <v>6981</v>
      </c>
      <c r="BV7" s="7480" t="s">
        <v>6978</v>
      </c>
      <c r="BW7" s="7480" t="s">
        <v>6979</v>
      </c>
      <c r="BX7" s="7480" t="s">
        <v>6980</v>
      </c>
      <c r="BY7" s="7480" t="s">
        <v>6981</v>
      </c>
      <c r="BZ7" s="17063"/>
      <c r="CA7"/>
      <c r="CB7" s="14601"/>
      <c r="CC7" s="7481"/>
      <c r="CD7" s="7481"/>
      <c r="CE7" s="5204"/>
      <c r="CF7" s="5204"/>
      <c r="CG7" s="5206"/>
      <c r="CH7" s="5219"/>
      <c r="CI7" s="5210"/>
      <c r="CJ7" s="5212"/>
      <c r="CK7" s="5214"/>
      <c r="CL7" s="5196"/>
      <c r="CM7" s="3462" t="s">
        <v>23</v>
      </c>
      <c r="CN7" s="3463" t="s">
        <v>24</v>
      </c>
      <c r="CO7" s="3462" t="s">
        <v>25</v>
      </c>
      <c r="CP7" s="3463" t="s">
        <v>26</v>
      </c>
      <c r="CQ7" s="3464" t="s">
        <v>27</v>
      </c>
      <c r="CR7" s="7350" t="s">
        <v>28</v>
      </c>
      <c r="CS7" s="7351" t="s">
        <v>29</v>
      </c>
      <c r="CT7" s="7351" t="s">
        <v>30</v>
      </c>
      <c r="CU7" s="7351" t="s">
        <v>31</v>
      </c>
      <c r="CV7" s="7351" t="s">
        <v>32</v>
      </c>
      <c r="CW7" s="7352" t="s">
        <v>33</v>
      </c>
      <c r="CX7" s="3464" t="s">
        <v>34</v>
      </c>
      <c r="CY7" s="7351" t="s">
        <v>35</v>
      </c>
      <c r="CZ7" s="7351" t="s">
        <v>36</v>
      </c>
      <c r="DA7" s="7351" t="s">
        <v>37</v>
      </c>
      <c r="DB7" s="7351" t="s">
        <v>38</v>
      </c>
      <c r="DC7" s="7351" t="s">
        <v>39</v>
      </c>
      <c r="DD7" s="7351" t="s">
        <v>40</v>
      </c>
      <c r="DE7" s="7351" t="s">
        <v>41</v>
      </c>
      <c r="DF7" s="7351" t="s">
        <v>42</v>
      </c>
      <c r="DG7" s="7351" t="s">
        <v>43</v>
      </c>
      <c r="DH7" s="7351" t="s">
        <v>44</v>
      </c>
      <c r="DI7" s="7351" t="s">
        <v>45</v>
      </c>
      <c r="DJ7" s="7351" t="s">
        <v>46</v>
      </c>
      <c r="DK7" s="3467" t="s">
        <v>47</v>
      </c>
      <c r="DL7" s="7482"/>
      <c r="DM7" s="7353"/>
      <c r="DN7" s="7483"/>
      <c r="DO7" s="7483" t="s">
        <v>48</v>
      </c>
      <c r="DP7" s="3469" t="s">
        <v>49</v>
      </c>
      <c r="DQ7" s="5226"/>
      <c r="DR7" s="7353" t="s">
        <v>50</v>
      </c>
      <c r="DS7" s="7353" t="s">
        <v>51</v>
      </c>
      <c r="DT7" s="7353" t="s">
        <v>52</v>
      </c>
      <c r="DU7" s="2217" t="s">
        <v>49</v>
      </c>
    </row>
    <row r="8" spans="1:125" s="7433" customFormat="1" ht="15.75" customHeight="1">
      <c r="A8" s="7431" t="s">
        <v>6982</v>
      </c>
      <c r="B8" s="17076" t="s">
        <v>6983</v>
      </c>
      <c r="C8" s="17077" t="s">
        <v>6984</v>
      </c>
      <c r="D8" s="17079" t="s">
        <v>6985</v>
      </c>
      <c r="E8" s="17077" t="s">
        <v>6986</v>
      </c>
      <c r="F8" s="17047" t="s">
        <v>6987</v>
      </c>
      <c r="G8" s="17081" t="s">
        <v>6988</v>
      </c>
      <c r="H8" s="17076" t="s">
        <v>6989</v>
      </c>
      <c r="I8" s="17076" t="s">
        <v>6990</v>
      </c>
      <c r="J8" s="17085">
        <f>442/696*100%</f>
        <v>0.63505747126436785</v>
      </c>
      <c r="K8" s="17066" t="s">
        <v>708</v>
      </c>
      <c r="L8" s="17070" t="s">
        <v>8390</v>
      </c>
      <c r="M8" s="15466" t="s">
        <v>6991</v>
      </c>
      <c r="N8" s="17072" t="s">
        <v>6992</v>
      </c>
      <c r="O8" s="17072" t="s">
        <v>6993</v>
      </c>
      <c r="P8" s="17072">
        <f>+AG8</f>
        <v>1</v>
      </c>
      <c r="Q8" s="17072" t="s">
        <v>6994</v>
      </c>
      <c r="R8" s="17072" t="s">
        <v>6995</v>
      </c>
      <c r="S8" s="7511" t="s">
        <v>86</v>
      </c>
      <c r="T8" s="7512" t="s">
        <v>6996</v>
      </c>
      <c r="U8" s="7512"/>
      <c r="V8" s="7513">
        <v>0</v>
      </c>
      <c r="W8" s="7513">
        <v>1</v>
      </c>
      <c r="X8" s="7513">
        <v>1</v>
      </c>
      <c r="Y8" s="7513">
        <v>1</v>
      </c>
      <c r="Z8" s="7513">
        <v>1</v>
      </c>
      <c r="AA8" s="7513">
        <v>1</v>
      </c>
      <c r="AB8" s="7513">
        <v>1</v>
      </c>
      <c r="AC8" s="7513">
        <v>1</v>
      </c>
      <c r="AD8" s="7513">
        <v>1</v>
      </c>
      <c r="AE8" s="7513">
        <v>1</v>
      </c>
      <c r="AF8" s="7513">
        <v>1</v>
      </c>
      <c r="AG8" s="7513">
        <v>1</v>
      </c>
      <c r="AH8" s="7514">
        <v>10000000</v>
      </c>
      <c r="AI8" s="7515"/>
      <c r="AJ8" s="7515"/>
      <c r="AK8" s="7515"/>
      <c r="AL8" s="7516">
        <f>+AH8+AH8*6%</f>
        <v>10600000</v>
      </c>
      <c r="AM8" s="7515"/>
      <c r="AN8" s="7515"/>
      <c r="AO8" s="7515"/>
      <c r="AP8" s="7516">
        <f>+AL8+AL8*6%</f>
        <v>11236000</v>
      </c>
      <c r="AQ8" s="7515"/>
      <c r="AR8" s="7515"/>
      <c r="AS8" s="7515"/>
      <c r="AT8" s="7516">
        <f>+AP8+AP8*6%</f>
        <v>11910160</v>
      </c>
      <c r="AU8" s="7515"/>
      <c r="AV8" s="7515"/>
      <c r="AW8" s="7515"/>
      <c r="AX8" s="7516">
        <f>+AT8+AT8*6%</f>
        <v>12624769.6</v>
      </c>
      <c r="AY8" s="7515"/>
      <c r="AZ8" s="7515"/>
      <c r="BA8" s="7515"/>
      <c r="BB8" s="7516">
        <f>+AX8+AX8*6%</f>
        <v>13382255.776000001</v>
      </c>
      <c r="BC8" s="7515"/>
      <c r="BD8" s="7515"/>
      <c r="BE8" s="7515"/>
      <c r="BF8" s="7516">
        <f>+BB8+BB8*6%</f>
        <v>14185191.12256</v>
      </c>
      <c r="BG8" s="7515"/>
      <c r="BH8" s="7515"/>
      <c r="BI8" s="7515"/>
      <c r="BJ8" s="7516">
        <f>+BF8+BF8*6%</f>
        <v>15036302.589913599</v>
      </c>
      <c r="BK8" s="7515"/>
      <c r="BL8" s="7515"/>
      <c r="BM8" s="7515"/>
      <c r="BN8" s="7516">
        <f>+BJ8+BJ8*6%</f>
        <v>15938480.745308416</v>
      </c>
      <c r="BO8" s="7515"/>
      <c r="BP8" s="7515"/>
      <c r="BQ8" s="7515"/>
      <c r="BR8" s="7516">
        <f>+BN8+BN8*6%</f>
        <v>16894789.590026923</v>
      </c>
      <c r="BS8" s="7515"/>
      <c r="BT8" s="7515"/>
      <c r="BU8" s="7515"/>
      <c r="BV8" s="7516">
        <f>+BR8+BR8*6%</f>
        <v>17908476.965428539</v>
      </c>
      <c r="BW8" s="7515"/>
      <c r="BX8" s="7515"/>
      <c r="BY8" s="7515"/>
      <c r="BZ8" s="7516">
        <f>SUM(AH8:BY8)/4</f>
        <v>37429106.597309366</v>
      </c>
      <c r="CA8" s="7517"/>
      <c r="CB8" s="7517"/>
      <c r="CC8" s="7517"/>
      <c r="CD8" s="7517"/>
      <c r="CE8" s="7517"/>
      <c r="CF8" s="7517"/>
      <c r="CG8" s="7517"/>
      <c r="CH8" s="7517"/>
      <c r="CI8" s="7517"/>
      <c r="CJ8" s="7517"/>
      <c r="CK8" s="7517"/>
      <c r="CL8" s="7517"/>
      <c r="CM8" s="7517"/>
      <c r="CN8" s="7517"/>
      <c r="CO8" s="7517"/>
      <c r="CP8" s="7517"/>
      <c r="CQ8" s="7517"/>
      <c r="CR8" s="7517"/>
      <c r="CS8" s="7517"/>
      <c r="CT8" s="7517"/>
      <c r="CU8" s="7517"/>
      <c r="CV8" s="7517"/>
      <c r="CW8" s="7517"/>
      <c r="CX8" s="7517"/>
      <c r="CY8" s="7517"/>
      <c r="CZ8" s="7517"/>
      <c r="DA8" s="7517"/>
      <c r="DB8" s="7517"/>
      <c r="DC8" s="7517"/>
      <c r="DD8" s="7517"/>
      <c r="DE8" s="7517"/>
      <c r="DF8" s="7517"/>
      <c r="DG8" s="7517"/>
      <c r="DH8" s="7517"/>
      <c r="DI8" s="7517"/>
      <c r="DJ8" s="7517"/>
      <c r="DK8" s="7517"/>
      <c r="DL8" s="7517"/>
      <c r="DM8" s="7517"/>
      <c r="DN8" s="7517"/>
      <c r="DO8" s="7517"/>
      <c r="DP8" s="7517"/>
      <c r="DQ8" s="7517"/>
      <c r="DR8" s="7517"/>
      <c r="DS8" s="7517"/>
      <c r="DT8" s="7517"/>
      <c r="DU8" s="7518"/>
    </row>
    <row r="9" spans="1:125" s="7433" customFormat="1" ht="15.75" customHeight="1">
      <c r="A9" s="7096"/>
      <c r="B9" s="17067"/>
      <c r="C9" s="17078"/>
      <c r="D9" s="17080"/>
      <c r="E9" s="17078"/>
      <c r="F9" s="15456"/>
      <c r="G9" s="17082"/>
      <c r="H9" s="17067"/>
      <c r="I9" s="17067"/>
      <c r="J9" s="16582"/>
      <c r="K9" s="17066"/>
      <c r="L9" s="17071"/>
      <c r="M9" s="15456"/>
      <c r="N9" s="17067"/>
      <c r="O9" s="17067"/>
      <c r="P9" s="17067"/>
      <c r="Q9" s="17067"/>
      <c r="R9" s="17067"/>
      <c r="S9" s="7432" t="s">
        <v>10063</v>
      </c>
      <c r="T9" s="7434"/>
      <c r="U9" s="7434" t="s">
        <v>6997</v>
      </c>
      <c r="V9" s="7435"/>
      <c r="W9" s="7435"/>
      <c r="X9" s="7435"/>
      <c r="Y9" s="7435"/>
      <c r="Z9" s="7435"/>
      <c r="AA9" s="7435"/>
      <c r="AB9" s="7435"/>
      <c r="AC9" s="7435"/>
      <c r="AD9" s="7435"/>
      <c r="AE9" s="7435"/>
      <c r="AF9" s="7435"/>
      <c r="AG9" s="7435"/>
      <c r="AH9" s="7436"/>
      <c r="AI9" s="7437"/>
      <c r="AJ9" s="7437"/>
      <c r="AK9" s="7437"/>
      <c r="AL9" s="7438"/>
      <c r="AM9" s="7437"/>
      <c r="AN9" s="7437"/>
      <c r="AO9" s="7437"/>
      <c r="AP9" s="7438"/>
      <c r="AQ9" s="7437"/>
      <c r="AR9" s="7437"/>
      <c r="AS9" s="7437"/>
      <c r="AT9" s="7438"/>
      <c r="AU9" s="7437"/>
      <c r="AV9" s="7437"/>
      <c r="AW9" s="7437"/>
      <c r="AX9" s="7438"/>
      <c r="AY9" s="7437"/>
      <c r="AZ9" s="7437"/>
      <c r="BA9" s="7437"/>
      <c r="BB9" s="7438"/>
      <c r="BC9" s="7437"/>
      <c r="BD9" s="7437"/>
      <c r="BE9" s="7437"/>
      <c r="BF9" s="7438"/>
      <c r="BG9" s="7437"/>
      <c r="BH9" s="7437"/>
      <c r="BI9" s="7437"/>
      <c r="BJ9" s="7438"/>
      <c r="BK9" s="7437"/>
      <c r="BL9" s="7437"/>
      <c r="BM9" s="7437"/>
      <c r="BN9" s="7438"/>
      <c r="BO9" s="7437"/>
      <c r="BP9" s="7437"/>
      <c r="BQ9" s="7437"/>
      <c r="BR9" s="7438"/>
      <c r="BS9" s="7437"/>
      <c r="BT9" s="7437"/>
      <c r="BU9" s="7437"/>
      <c r="BV9" s="7438"/>
      <c r="BW9" s="7437"/>
      <c r="BX9" s="7437"/>
      <c r="BY9" s="7437"/>
      <c r="BZ9" s="7438"/>
      <c r="CA9" s="2636"/>
      <c r="CB9" s="2636"/>
      <c r="CC9" s="2636"/>
      <c r="CD9" s="2636"/>
      <c r="CE9" s="2636"/>
      <c r="CF9" s="2636"/>
      <c r="CG9" s="2636"/>
      <c r="CH9" s="2636"/>
      <c r="CI9" s="2636"/>
      <c r="CJ9" s="2636"/>
      <c r="CK9" s="2636"/>
      <c r="CL9" s="2636"/>
      <c r="CM9" s="2636"/>
      <c r="CN9" s="2636"/>
      <c r="CO9" s="2636"/>
      <c r="CP9" s="2636"/>
      <c r="CQ9" s="2636"/>
      <c r="CR9" s="2636"/>
      <c r="CS9" s="2636"/>
      <c r="CT9" s="2636"/>
      <c r="CU9" s="2636"/>
      <c r="CV9" s="2636"/>
      <c r="CW9" s="2636"/>
      <c r="CX9" s="2636"/>
      <c r="CY9" s="2636"/>
      <c r="CZ9" s="2636"/>
      <c r="DA9" s="2636"/>
      <c r="DB9" s="2636"/>
      <c r="DC9" s="2636"/>
      <c r="DD9" s="2636"/>
      <c r="DE9" s="2636"/>
      <c r="DF9" s="2636"/>
      <c r="DG9" s="2636"/>
      <c r="DH9" s="2636"/>
      <c r="DI9" s="2636"/>
      <c r="DJ9" s="2636"/>
      <c r="DK9" s="2636"/>
      <c r="DL9" s="2636"/>
      <c r="DM9" s="2636"/>
      <c r="DN9" s="2636"/>
      <c r="DO9" s="2636"/>
      <c r="DP9" s="2636"/>
      <c r="DQ9" s="2636"/>
      <c r="DR9" s="2636"/>
      <c r="DS9" s="2636"/>
      <c r="DT9" s="2636"/>
      <c r="DU9" s="7252"/>
    </row>
    <row r="10" spans="1:125" s="7433" customFormat="1" ht="15.75" customHeight="1">
      <c r="A10" s="7431" t="s">
        <v>6998</v>
      </c>
      <c r="B10" s="17076"/>
      <c r="C10" s="17078"/>
      <c r="D10" s="17080"/>
      <c r="E10" s="17078"/>
      <c r="F10" s="17047"/>
      <c r="G10" s="17083"/>
      <c r="H10" s="17076"/>
      <c r="I10" s="17076"/>
      <c r="J10" s="17085"/>
      <c r="K10" s="17066"/>
      <c r="L10" s="7519" t="s">
        <v>8391</v>
      </c>
      <c r="M10" s="6843" t="s">
        <v>6999</v>
      </c>
      <c r="N10" s="7434" t="s">
        <v>7000</v>
      </c>
      <c r="O10" s="7484" t="s">
        <v>6993</v>
      </c>
      <c r="P10" s="7435">
        <f>+AG10</f>
        <v>100</v>
      </c>
      <c r="Q10" s="7484" t="s">
        <v>7001</v>
      </c>
      <c r="R10" s="7484" t="s">
        <v>7002</v>
      </c>
      <c r="S10" s="7432" t="s">
        <v>86</v>
      </c>
      <c r="T10" s="7484" t="s">
        <v>6996</v>
      </c>
      <c r="U10" s="7484"/>
      <c r="V10" s="7435">
        <v>0</v>
      </c>
      <c r="W10" s="7435">
        <v>10</v>
      </c>
      <c r="X10" s="7435">
        <v>10</v>
      </c>
      <c r="Y10" s="7435">
        <v>10</v>
      </c>
      <c r="Z10" s="7435">
        <v>10</v>
      </c>
      <c r="AA10" s="7435">
        <v>10</v>
      </c>
      <c r="AB10" s="7435">
        <v>10</v>
      </c>
      <c r="AC10" s="7435">
        <v>10</v>
      </c>
      <c r="AD10" s="7435">
        <v>10</v>
      </c>
      <c r="AE10" s="7435">
        <v>10</v>
      </c>
      <c r="AF10" s="7435">
        <v>10</v>
      </c>
      <c r="AG10" s="7435">
        <f>W10+X10+Y10+Z10+AA10+AB10+AC10+AD10+AE10+AF10</f>
        <v>100</v>
      </c>
      <c r="AH10" s="7485">
        <v>3000000</v>
      </c>
      <c r="AI10" s="7485"/>
      <c r="AJ10" s="7485"/>
      <c r="AK10" s="7485"/>
      <c r="AL10" s="7485">
        <f>+AH10+AH10*6%</f>
        <v>3180000</v>
      </c>
      <c r="AM10" s="7485"/>
      <c r="AN10" s="7485"/>
      <c r="AO10" s="7485"/>
      <c r="AP10" s="7485">
        <f>+AL10+AL10*6%</f>
        <v>3370800</v>
      </c>
      <c r="AQ10" s="7485"/>
      <c r="AR10" s="7485"/>
      <c r="AS10" s="7485"/>
      <c r="AT10" s="7485">
        <f>+AP10+AP10*6%</f>
        <v>3573048</v>
      </c>
      <c r="AU10" s="7485"/>
      <c r="AV10" s="7485"/>
      <c r="AW10" s="7485"/>
      <c r="AX10" s="7485">
        <f>+AT10+AT10*6%</f>
        <v>3787430.88</v>
      </c>
      <c r="AY10" s="7485"/>
      <c r="AZ10" s="7485"/>
      <c r="BA10" s="7485"/>
      <c r="BB10" s="7485">
        <f>+AX10+AX10*6%</f>
        <v>4014676.7327999999</v>
      </c>
      <c r="BC10" s="7485"/>
      <c r="BD10" s="7485"/>
      <c r="BE10" s="7485"/>
      <c r="BF10" s="7485">
        <f>+BB10+BB10*6%</f>
        <v>4255557.3367679995</v>
      </c>
      <c r="BG10" s="7485"/>
      <c r="BH10" s="7485"/>
      <c r="BI10" s="7485"/>
      <c r="BJ10" s="7485">
        <f>+BF10+BF10*6%</f>
        <v>4510890.7769740792</v>
      </c>
      <c r="BK10" s="7485"/>
      <c r="BL10" s="7485"/>
      <c r="BM10" s="7485"/>
      <c r="BN10" s="7485">
        <f>+BJ10+BJ10*6%</f>
        <v>4781544.2235925235</v>
      </c>
      <c r="BO10" s="7485"/>
      <c r="BP10" s="7485"/>
      <c r="BQ10" s="7485"/>
      <c r="BR10" s="7485">
        <f>+BN10+BN10*6%</f>
        <v>5068436.8770080749</v>
      </c>
      <c r="BS10" s="7485"/>
      <c r="BT10" s="7485"/>
      <c r="BU10" s="7485"/>
      <c r="BV10" s="7485">
        <f>+BR10+BR10*6%</f>
        <v>5372543.0896285595</v>
      </c>
      <c r="BW10" s="7485"/>
      <c r="BX10" s="7485"/>
      <c r="BY10" s="7485"/>
      <c r="BZ10" s="7486">
        <f>SUM(AH10:BY10)</f>
        <v>44914927.916771233</v>
      </c>
      <c r="CA10" s="7166"/>
      <c r="CB10" s="2636"/>
      <c r="CC10" s="7166"/>
      <c r="CD10" s="7166"/>
      <c r="CE10" s="7166"/>
      <c r="CF10" s="7166"/>
      <c r="CG10" s="7166"/>
      <c r="CH10" s="7166"/>
      <c r="CI10" s="7166"/>
      <c r="CJ10" s="7166"/>
      <c r="CK10" s="7166"/>
      <c r="CL10" s="7166"/>
      <c r="CM10" s="7166"/>
      <c r="CN10" s="7166"/>
      <c r="CO10" s="7166"/>
      <c r="CP10" s="7166"/>
      <c r="CQ10" s="7166"/>
      <c r="CR10" s="2636"/>
      <c r="CS10" s="2636"/>
      <c r="CT10" s="2636"/>
      <c r="CU10" s="2636"/>
      <c r="CV10" s="2636"/>
      <c r="CW10" s="2636"/>
      <c r="CX10" s="2636"/>
      <c r="CY10" s="2636"/>
      <c r="CZ10" s="2636"/>
      <c r="DA10" s="2636"/>
      <c r="DB10" s="2636"/>
      <c r="DC10" s="2636"/>
      <c r="DD10" s="2636"/>
      <c r="DE10" s="2636"/>
      <c r="DF10" s="2636"/>
      <c r="DG10" s="2636"/>
      <c r="DH10" s="2636"/>
      <c r="DI10" s="2636"/>
      <c r="DJ10" s="2636"/>
      <c r="DK10" s="2636"/>
      <c r="DL10" s="2636"/>
      <c r="DM10" s="2636"/>
      <c r="DN10" s="2636"/>
      <c r="DO10" s="2636"/>
      <c r="DP10" s="2636"/>
      <c r="DQ10" s="2636"/>
      <c r="DR10" s="2636"/>
      <c r="DS10" s="2636"/>
      <c r="DT10" s="2636"/>
      <c r="DU10" s="7252"/>
    </row>
    <row r="11" spans="1:125" s="7433" customFormat="1" ht="15.75" customHeight="1">
      <c r="A11" s="7431" t="s">
        <v>7003</v>
      </c>
      <c r="B11" s="17076"/>
      <c r="C11" s="17078"/>
      <c r="D11" s="17080"/>
      <c r="E11" s="17078"/>
      <c r="F11" s="17047"/>
      <c r="G11" s="17083"/>
      <c r="H11" s="17076"/>
      <c r="I11" s="17076"/>
      <c r="J11" s="17085"/>
      <c r="K11" s="17066"/>
      <c r="L11" s="7519" t="s">
        <v>8392</v>
      </c>
      <c r="M11" s="6843" t="s">
        <v>7004</v>
      </c>
      <c r="N11" s="6843" t="s">
        <v>7005</v>
      </c>
      <c r="O11" s="7434" t="s">
        <v>6993</v>
      </c>
      <c r="P11" s="7439">
        <f t="shared" ref="P11:P22" si="0">+AG11</f>
        <v>1</v>
      </c>
      <c r="Q11" s="7487" t="s">
        <v>7006</v>
      </c>
      <c r="R11" s="7487" t="s">
        <v>7007</v>
      </c>
      <c r="S11" s="7432" t="s">
        <v>10063</v>
      </c>
      <c r="T11" s="7434" t="s">
        <v>144</v>
      </c>
      <c r="U11" s="7437"/>
      <c r="V11" s="7439">
        <v>1</v>
      </c>
      <c r="W11" s="7439">
        <v>1</v>
      </c>
      <c r="X11" s="7439">
        <v>1</v>
      </c>
      <c r="Y11" s="7439">
        <v>1</v>
      </c>
      <c r="Z11" s="7439">
        <v>1</v>
      </c>
      <c r="AA11" s="7439">
        <v>1</v>
      </c>
      <c r="AB11" s="7439">
        <v>1</v>
      </c>
      <c r="AC11" s="7439">
        <v>1</v>
      </c>
      <c r="AD11" s="7439">
        <v>1</v>
      </c>
      <c r="AE11" s="7439">
        <v>1</v>
      </c>
      <c r="AF11" s="7439">
        <v>1</v>
      </c>
      <c r="AG11" s="7439">
        <v>1</v>
      </c>
      <c r="AH11" s="7436">
        <f>18802032.331/2</f>
        <v>9401016.1655000001</v>
      </c>
      <c r="AI11" s="7436"/>
      <c r="AJ11" s="7436"/>
      <c r="AK11" s="7436"/>
      <c r="AL11" s="7436">
        <f t="shared" ref="AL11:AL22" si="1">+AH11+AH11*6%</f>
        <v>9965077.1354300007</v>
      </c>
      <c r="AM11" s="7436"/>
      <c r="AN11" s="7436"/>
      <c r="AO11" s="7436"/>
      <c r="AP11" s="7436">
        <f t="shared" ref="AP11:AP22" si="2">+AL11+AL11*6%</f>
        <v>10562981.763555801</v>
      </c>
      <c r="AQ11" s="7436"/>
      <c r="AR11" s="7436"/>
      <c r="AS11" s="7436"/>
      <c r="AT11" s="7436">
        <f t="shared" ref="AT11:AT22" si="3">+AP11+AP11*6%</f>
        <v>11196760.669369148</v>
      </c>
      <c r="AU11" s="7436"/>
      <c r="AV11" s="7436"/>
      <c r="AW11" s="7436"/>
      <c r="AX11" s="7436">
        <f t="shared" ref="AX11:AX22" si="4">+AT11+AT11*6%</f>
        <v>11868566.309531298</v>
      </c>
      <c r="AY11" s="7436"/>
      <c r="AZ11" s="7436"/>
      <c r="BA11" s="7436"/>
      <c r="BB11" s="7436">
        <f t="shared" ref="BB11:BB22" si="5">+AX11+AX11*6%</f>
        <v>12580680.288103174</v>
      </c>
      <c r="BC11" s="7436"/>
      <c r="BD11" s="7436"/>
      <c r="BE11" s="7436"/>
      <c r="BF11" s="7436">
        <f t="shared" ref="BF11:BF22" si="6">+BB11+BB11*6%</f>
        <v>13335521.105389364</v>
      </c>
      <c r="BG11" s="7436"/>
      <c r="BH11" s="7436"/>
      <c r="BI11" s="7436"/>
      <c r="BJ11" s="7436">
        <f t="shared" ref="BJ11:BJ22" si="7">+BF11+BF11*6%</f>
        <v>14135652.371712726</v>
      </c>
      <c r="BK11" s="7436"/>
      <c r="BL11" s="7436"/>
      <c r="BM11" s="7436"/>
      <c r="BN11" s="7436">
        <f t="shared" ref="BN11:BN22" si="8">+BJ11+BJ11*6%</f>
        <v>14983791.514015488</v>
      </c>
      <c r="BO11" s="7436"/>
      <c r="BP11" s="7436"/>
      <c r="BQ11" s="7436"/>
      <c r="BR11" s="7436">
        <f t="shared" ref="BR11:BR22" si="9">+BN11+BN11*6%</f>
        <v>15882819.004856417</v>
      </c>
      <c r="BS11" s="7436"/>
      <c r="BT11" s="7436"/>
      <c r="BU11" s="7436"/>
      <c r="BV11" s="7436">
        <f t="shared" ref="BV11:BV22" si="10">+BR11+BR11*6%</f>
        <v>16835788.1451478</v>
      </c>
      <c r="BW11" s="7436"/>
      <c r="BX11" s="7436"/>
      <c r="BY11" s="7436"/>
      <c r="BZ11" s="7438">
        <f t="shared" ref="BZ11:BZ20" si="11">SUM(AH11:BY11)</f>
        <v>140748654.47261125</v>
      </c>
      <c r="CA11" s="2636"/>
      <c r="CB11" s="2636"/>
      <c r="CC11" s="2636"/>
      <c r="CD11" s="2636"/>
      <c r="CE11" s="2636"/>
      <c r="CF11" s="2636"/>
      <c r="CG11" s="2636"/>
      <c r="CH11" s="2636"/>
      <c r="CI11" s="2636"/>
      <c r="CJ11" s="2636"/>
      <c r="CK11" s="2636"/>
      <c r="CL11" s="2636"/>
      <c r="CM11" s="2636"/>
      <c r="CN11" s="2636"/>
      <c r="CO11" s="2636"/>
      <c r="CP11" s="2636"/>
      <c r="CQ11" s="2636"/>
      <c r="CR11" s="2636"/>
      <c r="CS11" s="2636"/>
      <c r="CT11" s="2636"/>
      <c r="CU11" s="2636"/>
      <c r="CV11" s="2636"/>
      <c r="CW11" s="2636"/>
      <c r="CX11" s="2636"/>
      <c r="CY11" s="2636"/>
      <c r="CZ11" s="2636"/>
      <c r="DA11" s="2636"/>
      <c r="DB11" s="2636"/>
      <c r="DC11" s="2636"/>
      <c r="DD11" s="2636"/>
      <c r="DE11" s="2636"/>
      <c r="DF11" s="2636"/>
      <c r="DG11" s="2636"/>
      <c r="DH11" s="2636"/>
      <c r="DI11" s="2636"/>
      <c r="DJ11" s="2636"/>
      <c r="DK11" s="2636"/>
      <c r="DL11" s="2636"/>
      <c r="DM11" s="2636"/>
      <c r="DN11" s="2636"/>
      <c r="DO11" s="2636"/>
      <c r="DP11" s="2636"/>
      <c r="DQ11" s="2636"/>
      <c r="DR11" s="2636"/>
      <c r="DS11" s="2636"/>
      <c r="DT11" s="2636"/>
      <c r="DU11" s="7252"/>
    </row>
    <row r="12" spans="1:125" s="7433" customFormat="1" ht="15.75" customHeight="1">
      <c r="A12" s="7431" t="s">
        <v>7008</v>
      </c>
      <c r="B12" s="17076"/>
      <c r="C12" s="17078"/>
      <c r="D12" s="17080"/>
      <c r="E12" s="17078"/>
      <c r="F12" s="17047"/>
      <c r="G12" s="17083"/>
      <c r="H12" s="17076"/>
      <c r="I12" s="17076"/>
      <c r="J12" s="17085"/>
      <c r="K12" s="17066"/>
      <c r="L12" s="17071" t="s">
        <v>8393</v>
      </c>
      <c r="M12" s="15456" t="s">
        <v>7009</v>
      </c>
      <c r="N12" s="15456" t="s">
        <v>7010</v>
      </c>
      <c r="O12" s="15456" t="s">
        <v>6993</v>
      </c>
      <c r="P12" s="15456">
        <f t="shared" si="0"/>
        <v>1</v>
      </c>
      <c r="Q12" s="15456" t="s">
        <v>7011</v>
      </c>
      <c r="R12" s="15456" t="s">
        <v>7012</v>
      </c>
      <c r="S12" s="7432" t="s">
        <v>86</v>
      </c>
      <c r="T12" s="17067" t="s">
        <v>7013</v>
      </c>
      <c r="U12" s="7437"/>
      <c r="V12" s="7439">
        <v>1</v>
      </c>
      <c r="W12" s="7439">
        <v>1</v>
      </c>
      <c r="X12" s="7439">
        <v>1</v>
      </c>
      <c r="Y12" s="7439">
        <v>1</v>
      </c>
      <c r="Z12" s="7439">
        <v>1</v>
      </c>
      <c r="AA12" s="7439">
        <v>1</v>
      </c>
      <c r="AB12" s="7439">
        <v>1</v>
      </c>
      <c r="AC12" s="7439">
        <v>1</v>
      </c>
      <c r="AD12" s="7439">
        <v>1</v>
      </c>
      <c r="AE12" s="7439">
        <v>1</v>
      </c>
      <c r="AF12" s="7439">
        <v>1</v>
      </c>
      <c r="AG12" s="7439">
        <v>1</v>
      </c>
      <c r="AH12" s="7436">
        <f>18802032.331/2</f>
        <v>9401016.1655000001</v>
      </c>
      <c r="AI12" s="7436"/>
      <c r="AJ12" s="7436"/>
      <c r="AK12" s="7436"/>
      <c r="AL12" s="7436">
        <f t="shared" si="1"/>
        <v>9965077.1354300007</v>
      </c>
      <c r="AM12" s="7436"/>
      <c r="AN12" s="7436"/>
      <c r="AO12" s="7436"/>
      <c r="AP12" s="7436">
        <f t="shared" si="2"/>
        <v>10562981.763555801</v>
      </c>
      <c r="AQ12" s="7436"/>
      <c r="AR12" s="7436"/>
      <c r="AS12" s="7436"/>
      <c r="AT12" s="7436">
        <f t="shared" si="3"/>
        <v>11196760.669369148</v>
      </c>
      <c r="AU12" s="7436"/>
      <c r="AV12" s="7436"/>
      <c r="AW12" s="7436"/>
      <c r="AX12" s="7436">
        <f t="shared" si="4"/>
        <v>11868566.309531298</v>
      </c>
      <c r="AY12" s="7436"/>
      <c r="AZ12" s="7436"/>
      <c r="BA12" s="7436"/>
      <c r="BB12" s="7436">
        <f t="shared" si="5"/>
        <v>12580680.288103174</v>
      </c>
      <c r="BC12" s="7436"/>
      <c r="BD12" s="7436"/>
      <c r="BE12" s="7436"/>
      <c r="BF12" s="7436">
        <f t="shared" si="6"/>
        <v>13335521.105389364</v>
      </c>
      <c r="BG12" s="7436"/>
      <c r="BH12" s="7436"/>
      <c r="BI12" s="7436"/>
      <c r="BJ12" s="7436">
        <f t="shared" si="7"/>
        <v>14135652.371712726</v>
      </c>
      <c r="BK12" s="7436"/>
      <c r="BL12" s="7436"/>
      <c r="BM12" s="7436"/>
      <c r="BN12" s="7436">
        <f t="shared" si="8"/>
        <v>14983791.514015488</v>
      </c>
      <c r="BO12" s="7436"/>
      <c r="BP12" s="7436"/>
      <c r="BQ12" s="7436"/>
      <c r="BR12" s="7436">
        <f t="shared" si="9"/>
        <v>15882819.004856417</v>
      </c>
      <c r="BS12" s="7436"/>
      <c r="BT12" s="7436"/>
      <c r="BU12" s="7436"/>
      <c r="BV12" s="7436">
        <f t="shared" si="10"/>
        <v>16835788.1451478</v>
      </c>
      <c r="BW12" s="7436"/>
      <c r="BX12" s="7436"/>
      <c r="BY12" s="7436"/>
      <c r="BZ12" s="7438">
        <f t="shared" si="11"/>
        <v>140748654.47261125</v>
      </c>
      <c r="CA12" s="2636"/>
      <c r="CB12" s="2636"/>
      <c r="CC12" s="2636"/>
      <c r="CD12" s="2636"/>
      <c r="CE12" s="2636"/>
      <c r="CF12" s="2636"/>
      <c r="CG12" s="2636"/>
      <c r="CH12" s="2636"/>
      <c r="CI12" s="2636"/>
      <c r="CJ12" s="2636"/>
      <c r="CK12" s="2636"/>
      <c r="CL12" s="2636"/>
      <c r="CM12" s="2636"/>
      <c r="CN12" s="2636"/>
      <c r="CO12" s="2636"/>
      <c r="CP12" s="2636"/>
      <c r="CQ12" s="2636"/>
      <c r="CR12" s="2636"/>
      <c r="CS12" s="2636"/>
      <c r="CT12" s="2636"/>
      <c r="CU12" s="2636"/>
      <c r="CV12" s="2636"/>
      <c r="CW12" s="2636"/>
      <c r="CX12" s="2636"/>
      <c r="CY12" s="2636"/>
      <c r="CZ12" s="2636"/>
      <c r="DA12" s="2636"/>
      <c r="DB12" s="2636"/>
      <c r="DC12" s="2636"/>
      <c r="DD12" s="2636"/>
      <c r="DE12" s="2636"/>
      <c r="DF12" s="2636"/>
      <c r="DG12" s="2636"/>
      <c r="DH12" s="2636"/>
      <c r="DI12" s="2636"/>
      <c r="DJ12" s="2636"/>
      <c r="DK12" s="2636"/>
      <c r="DL12" s="2636"/>
      <c r="DM12" s="2636"/>
      <c r="DN12" s="2636"/>
      <c r="DO12" s="2636"/>
      <c r="DP12" s="2636"/>
      <c r="DQ12" s="2636"/>
      <c r="DR12" s="2636"/>
      <c r="DS12" s="2636"/>
      <c r="DT12" s="2636"/>
      <c r="DU12" s="7252"/>
    </row>
    <row r="13" spans="1:125" s="7433" customFormat="1" ht="15.75" customHeight="1">
      <c r="A13" s="7096"/>
      <c r="B13" s="17067"/>
      <c r="C13" s="17078"/>
      <c r="D13" s="17080"/>
      <c r="E13" s="17078"/>
      <c r="F13" s="15456"/>
      <c r="G13" s="17084"/>
      <c r="H13" s="17067"/>
      <c r="I13" s="17067"/>
      <c r="J13" s="16582"/>
      <c r="K13" s="17066"/>
      <c r="L13" s="17071"/>
      <c r="M13" s="15456"/>
      <c r="N13" s="15456"/>
      <c r="O13" s="15456"/>
      <c r="P13" s="15456"/>
      <c r="Q13" s="15456"/>
      <c r="R13" s="15456"/>
      <c r="S13" s="7432" t="s">
        <v>10063</v>
      </c>
      <c r="T13" s="17067"/>
      <c r="U13" s="7437"/>
      <c r="V13" s="7439"/>
      <c r="W13" s="7439"/>
      <c r="X13" s="7439"/>
      <c r="Y13" s="7439"/>
      <c r="Z13" s="7439"/>
      <c r="AA13" s="7439"/>
      <c r="AB13" s="7439"/>
      <c r="AC13" s="7439"/>
      <c r="AD13" s="7439"/>
      <c r="AE13" s="7439"/>
      <c r="AF13" s="7439"/>
      <c r="AG13" s="7439"/>
      <c r="AH13" s="7436"/>
      <c r="AI13" s="7436"/>
      <c r="AJ13" s="7436"/>
      <c r="AK13" s="7436"/>
      <c r="AL13" s="7436"/>
      <c r="AM13" s="7436"/>
      <c r="AN13" s="7436"/>
      <c r="AO13" s="7436"/>
      <c r="AP13" s="7436"/>
      <c r="AQ13" s="7436"/>
      <c r="AR13" s="7436"/>
      <c r="AS13" s="7436"/>
      <c r="AT13" s="7436"/>
      <c r="AU13" s="7436"/>
      <c r="AV13" s="7436"/>
      <c r="AW13" s="7436"/>
      <c r="AX13" s="7436"/>
      <c r="AY13" s="7436"/>
      <c r="AZ13" s="7436"/>
      <c r="BA13" s="7436"/>
      <c r="BB13" s="7436"/>
      <c r="BC13" s="7436"/>
      <c r="BD13" s="7436"/>
      <c r="BE13" s="7436"/>
      <c r="BF13" s="7436"/>
      <c r="BG13" s="7436"/>
      <c r="BH13" s="7436"/>
      <c r="BI13" s="7436"/>
      <c r="BJ13" s="7436"/>
      <c r="BK13" s="7436"/>
      <c r="BL13" s="7436"/>
      <c r="BM13" s="7436"/>
      <c r="BN13" s="7436"/>
      <c r="BO13" s="7436"/>
      <c r="BP13" s="7436"/>
      <c r="BQ13" s="7436"/>
      <c r="BR13" s="7436"/>
      <c r="BS13" s="7436"/>
      <c r="BT13" s="7436"/>
      <c r="BU13" s="7436"/>
      <c r="BV13" s="7436"/>
      <c r="BW13" s="7436"/>
      <c r="BX13" s="7436"/>
      <c r="BY13" s="7436"/>
      <c r="BZ13" s="7438"/>
      <c r="CA13" s="2636"/>
      <c r="CB13" s="2636"/>
      <c r="CC13" s="2636"/>
      <c r="CD13" s="2636"/>
      <c r="CE13" s="2636"/>
      <c r="CF13" s="2636"/>
      <c r="CG13" s="2636"/>
      <c r="CH13" s="2636"/>
      <c r="CI13" s="2636"/>
      <c r="CJ13" s="2636"/>
      <c r="CK13" s="2636"/>
      <c r="CL13" s="2636"/>
      <c r="CM13" s="2636"/>
      <c r="CN13" s="2636"/>
      <c r="CO13" s="2636"/>
      <c r="CP13" s="2636"/>
      <c r="CQ13" s="2636"/>
      <c r="CR13" s="2636"/>
      <c r="CS13" s="2636"/>
      <c r="CT13" s="2636"/>
      <c r="CU13" s="2636"/>
      <c r="CV13" s="2636"/>
      <c r="CW13" s="2636"/>
      <c r="CX13" s="2636"/>
      <c r="CY13" s="2636"/>
      <c r="CZ13" s="2636"/>
      <c r="DA13" s="2636"/>
      <c r="DB13" s="2636"/>
      <c r="DC13" s="2636"/>
      <c r="DD13" s="2636"/>
      <c r="DE13" s="2636"/>
      <c r="DF13" s="2636"/>
      <c r="DG13" s="2636"/>
      <c r="DH13" s="2636"/>
      <c r="DI13" s="2636"/>
      <c r="DJ13" s="2636"/>
      <c r="DK13" s="2636"/>
      <c r="DL13" s="2636"/>
      <c r="DM13" s="2636"/>
      <c r="DN13" s="2636"/>
      <c r="DO13" s="2636"/>
      <c r="DP13" s="2636"/>
      <c r="DQ13" s="2636"/>
      <c r="DR13" s="2636"/>
      <c r="DS13" s="2636"/>
      <c r="DT13" s="2636"/>
      <c r="DU13" s="7252"/>
    </row>
    <row r="14" spans="1:125" s="7433" customFormat="1" ht="15.75" customHeight="1">
      <c r="A14" s="7431" t="s">
        <v>7014</v>
      </c>
      <c r="B14" s="17076"/>
      <c r="C14" s="17078"/>
      <c r="D14" s="17080"/>
      <c r="E14" s="17078"/>
      <c r="F14" s="17047"/>
      <c r="G14" s="17083"/>
      <c r="H14" s="17076"/>
      <c r="I14" s="17076"/>
      <c r="J14" s="17085"/>
      <c r="K14" s="17066"/>
      <c r="L14" s="7519" t="s">
        <v>8394</v>
      </c>
      <c r="M14" s="6843" t="s">
        <v>7015</v>
      </c>
      <c r="N14" s="6843" t="s">
        <v>7016</v>
      </c>
      <c r="O14" s="7434" t="s">
        <v>7017</v>
      </c>
      <c r="P14" s="7435">
        <f t="shared" si="0"/>
        <v>40</v>
      </c>
      <c r="Q14" s="7487" t="s">
        <v>7018</v>
      </c>
      <c r="R14" s="7487" t="s">
        <v>7019</v>
      </c>
      <c r="S14" s="7432" t="s">
        <v>86</v>
      </c>
      <c r="T14" s="7434" t="s">
        <v>6996</v>
      </c>
      <c r="U14" s="7437"/>
      <c r="V14" s="7435">
        <v>0</v>
      </c>
      <c r="W14" s="7435">
        <v>4</v>
      </c>
      <c r="X14" s="7435">
        <v>4</v>
      </c>
      <c r="Y14" s="7435">
        <v>4</v>
      </c>
      <c r="Z14" s="7435">
        <v>4</v>
      </c>
      <c r="AA14" s="7435">
        <v>4</v>
      </c>
      <c r="AB14" s="7435">
        <v>4</v>
      </c>
      <c r="AC14" s="7435">
        <v>4</v>
      </c>
      <c r="AD14" s="7435">
        <v>4</v>
      </c>
      <c r="AE14" s="7435">
        <v>4</v>
      </c>
      <c r="AF14" s="7435">
        <v>4</v>
      </c>
      <c r="AG14" s="7435">
        <f>W14+X14+Y14+Z14+AA14+AB14+AC14+AD14+AE14+AF14</f>
        <v>40</v>
      </c>
      <c r="AH14" s="7436">
        <v>1200000</v>
      </c>
      <c r="AI14" s="7436"/>
      <c r="AJ14" s="7436"/>
      <c r="AK14" s="7436"/>
      <c r="AL14" s="7436">
        <f t="shared" si="1"/>
        <v>1272000</v>
      </c>
      <c r="AM14" s="7436"/>
      <c r="AN14" s="7436"/>
      <c r="AO14" s="7436"/>
      <c r="AP14" s="7436">
        <f t="shared" si="2"/>
        <v>1348320</v>
      </c>
      <c r="AQ14" s="7436"/>
      <c r="AR14" s="7436"/>
      <c r="AS14" s="7436"/>
      <c r="AT14" s="7436">
        <f t="shared" si="3"/>
        <v>1429219.2</v>
      </c>
      <c r="AU14" s="7436"/>
      <c r="AV14" s="7436"/>
      <c r="AW14" s="7436"/>
      <c r="AX14" s="7436">
        <f t="shared" si="4"/>
        <v>1514972.352</v>
      </c>
      <c r="AY14" s="7436"/>
      <c r="AZ14" s="7436"/>
      <c r="BA14" s="7436"/>
      <c r="BB14" s="7436">
        <f t="shared" si="5"/>
        <v>1605870.69312</v>
      </c>
      <c r="BC14" s="7436"/>
      <c r="BD14" s="7436"/>
      <c r="BE14" s="7436"/>
      <c r="BF14" s="7436">
        <f t="shared" si="6"/>
        <v>1702222.9347071999</v>
      </c>
      <c r="BG14" s="7436"/>
      <c r="BH14" s="7436"/>
      <c r="BI14" s="7436"/>
      <c r="BJ14" s="7436">
        <f t="shared" si="7"/>
        <v>1804356.3107896319</v>
      </c>
      <c r="BK14" s="7436"/>
      <c r="BL14" s="7436"/>
      <c r="BM14" s="7436"/>
      <c r="BN14" s="7436">
        <f t="shared" si="8"/>
        <v>1912617.6894370099</v>
      </c>
      <c r="BO14" s="7436"/>
      <c r="BP14" s="7436"/>
      <c r="BQ14" s="7436"/>
      <c r="BR14" s="7436">
        <f t="shared" si="9"/>
        <v>2027374.7508032303</v>
      </c>
      <c r="BS14" s="7436"/>
      <c r="BT14" s="7436"/>
      <c r="BU14" s="7436"/>
      <c r="BV14" s="7436">
        <f t="shared" si="10"/>
        <v>2149017.2358514243</v>
      </c>
      <c r="BW14" s="7436"/>
      <c r="BX14" s="7436"/>
      <c r="BY14" s="7436"/>
      <c r="BZ14" s="7438">
        <f t="shared" si="11"/>
        <v>17965971.166708495</v>
      </c>
      <c r="CA14" s="2636"/>
      <c r="CB14" s="2636"/>
      <c r="CC14" s="2636"/>
      <c r="CD14" s="2636"/>
      <c r="CE14" s="2636"/>
      <c r="CF14" s="2636"/>
      <c r="CG14" s="2636"/>
      <c r="CH14" s="2636"/>
      <c r="CI14" s="2636"/>
      <c r="CJ14" s="2636"/>
      <c r="CK14" s="2636"/>
      <c r="CL14" s="2636"/>
      <c r="CM14" s="2636"/>
      <c r="CN14" s="2636"/>
      <c r="CO14" s="2636"/>
      <c r="CP14" s="2636"/>
      <c r="CQ14" s="2636"/>
      <c r="CR14" s="2636"/>
      <c r="CS14" s="2636"/>
      <c r="CT14" s="2636"/>
      <c r="CU14" s="2636"/>
      <c r="CV14" s="2636"/>
      <c r="CW14" s="2636"/>
      <c r="CX14" s="2636"/>
      <c r="CY14" s="2636"/>
      <c r="CZ14" s="2636"/>
      <c r="DA14" s="2636"/>
      <c r="DB14" s="2636"/>
      <c r="DC14" s="2636"/>
      <c r="DD14" s="2636"/>
      <c r="DE14" s="2636"/>
      <c r="DF14" s="2636"/>
      <c r="DG14" s="2636"/>
      <c r="DH14" s="2636"/>
      <c r="DI14" s="2636"/>
      <c r="DJ14" s="2636"/>
      <c r="DK14" s="2636"/>
      <c r="DL14" s="2636"/>
      <c r="DM14" s="2636"/>
      <c r="DN14" s="2636"/>
      <c r="DO14" s="2636"/>
      <c r="DP14" s="2636"/>
      <c r="DQ14" s="2636"/>
      <c r="DR14" s="2636"/>
      <c r="DS14" s="2636"/>
      <c r="DT14" s="2636"/>
      <c r="DU14" s="7252"/>
    </row>
    <row r="15" spans="1:125" s="7433" customFormat="1" ht="15.75" customHeight="1">
      <c r="A15" s="7431" t="s">
        <v>7020</v>
      </c>
      <c r="B15" s="17076"/>
      <c r="C15" s="17078"/>
      <c r="D15" s="17080"/>
      <c r="E15" s="17078"/>
      <c r="F15" s="17047"/>
      <c r="G15" s="17083"/>
      <c r="H15" s="17076"/>
      <c r="I15" s="17076"/>
      <c r="J15" s="17085"/>
      <c r="K15" s="17066"/>
      <c r="L15" s="7519" t="s">
        <v>8395</v>
      </c>
      <c r="M15" s="6843" t="s">
        <v>7021</v>
      </c>
      <c r="N15" s="6843" t="s">
        <v>7022</v>
      </c>
      <c r="O15" s="7434" t="s">
        <v>7017</v>
      </c>
      <c r="P15" s="7488">
        <f t="shared" si="0"/>
        <v>1</v>
      </c>
      <c r="Q15" s="7487" t="s">
        <v>7023</v>
      </c>
      <c r="R15" s="7487" t="s">
        <v>7024</v>
      </c>
      <c r="S15" s="7432" t="s">
        <v>10063</v>
      </c>
      <c r="T15" s="7434" t="s">
        <v>144</v>
      </c>
      <c r="U15" s="7437" t="s">
        <v>7025</v>
      </c>
      <c r="V15" s="7439">
        <v>0</v>
      </c>
      <c r="W15" s="7439">
        <v>1</v>
      </c>
      <c r="X15" s="7439">
        <v>1</v>
      </c>
      <c r="Y15" s="7439">
        <v>1</v>
      </c>
      <c r="Z15" s="7439">
        <v>1</v>
      </c>
      <c r="AA15" s="7439">
        <v>1</v>
      </c>
      <c r="AB15" s="7439">
        <v>1</v>
      </c>
      <c r="AC15" s="7439">
        <v>1</v>
      </c>
      <c r="AD15" s="7439">
        <v>1</v>
      </c>
      <c r="AE15" s="7439">
        <v>1</v>
      </c>
      <c r="AF15" s="7439">
        <v>1</v>
      </c>
      <c r="AG15" s="7439">
        <v>1</v>
      </c>
      <c r="AH15" s="7436">
        <v>0</v>
      </c>
      <c r="AI15" s="7436">
        <f>(2524000*12)*6/6</f>
        <v>30288000</v>
      </c>
      <c r="AJ15" s="7436"/>
      <c r="AK15" s="7436"/>
      <c r="AL15" s="7436">
        <f t="shared" si="1"/>
        <v>0</v>
      </c>
      <c r="AM15" s="7436">
        <f>+AI15+AI15*6%</f>
        <v>32105280</v>
      </c>
      <c r="AN15" s="7436"/>
      <c r="AO15" s="7436"/>
      <c r="AP15" s="7436">
        <f t="shared" si="2"/>
        <v>0</v>
      </c>
      <c r="AQ15" s="7436">
        <f>+AM15+AM15*6%</f>
        <v>34031596.799999997</v>
      </c>
      <c r="AR15" s="7436"/>
      <c r="AS15" s="7436"/>
      <c r="AT15" s="7436">
        <f t="shared" si="3"/>
        <v>0</v>
      </c>
      <c r="AU15" s="7436">
        <f>+AQ15+AQ15*6%</f>
        <v>36073492.607999995</v>
      </c>
      <c r="AV15" s="7436"/>
      <c r="AW15" s="7436"/>
      <c r="AX15" s="7436">
        <f t="shared" si="4"/>
        <v>0</v>
      </c>
      <c r="AY15" s="7436">
        <f>+AU15+AU15*6%</f>
        <v>38237902.164479993</v>
      </c>
      <c r="AZ15" s="7436"/>
      <c r="BA15" s="7436"/>
      <c r="BB15" s="7436">
        <f t="shared" si="5"/>
        <v>0</v>
      </c>
      <c r="BC15" s="7436">
        <f>+AY15+AY15*6%</f>
        <v>40532176.294348791</v>
      </c>
      <c r="BD15" s="7436"/>
      <c r="BE15" s="7436"/>
      <c r="BF15" s="7436">
        <f t="shared" si="6"/>
        <v>0</v>
      </c>
      <c r="BG15" s="7436">
        <f>+BC15+BC15*6%</f>
        <v>42964106.872009717</v>
      </c>
      <c r="BH15" s="7436"/>
      <c r="BI15" s="7436"/>
      <c r="BJ15" s="7436">
        <f t="shared" si="7"/>
        <v>0</v>
      </c>
      <c r="BK15" s="7436">
        <f>+BG15+BG15*6%</f>
        <v>45541953.284330301</v>
      </c>
      <c r="BL15" s="7436"/>
      <c r="BM15" s="7436"/>
      <c r="BN15" s="7436">
        <f t="shared" si="8"/>
        <v>0</v>
      </c>
      <c r="BO15" s="7436">
        <f>+BK15+BK15*6%</f>
        <v>48274470.481390119</v>
      </c>
      <c r="BP15" s="7436"/>
      <c r="BQ15" s="7436"/>
      <c r="BR15" s="7436">
        <f t="shared" si="9"/>
        <v>0</v>
      </c>
      <c r="BS15" s="7436">
        <f>+BO15+BO15*6%</f>
        <v>51170938.710273527</v>
      </c>
      <c r="BT15" s="7436"/>
      <c r="BU15" s="7436"/>
      <c r="BV15" s="7436">
        <f t="shared" si="10"/>
        <v>0</v>
      </c>
      <c r="BW15" s="7436">
        <f>+BS15+BS15*6%</f>
        <v>54241195.03288994</v>
      </c>
      <c r="BX15" s="7436"/>
      <c r="BY15" s="7436"/>
      <c r="BZ15" s="7438">
        <f t="shared" si="11"/>
        <v>453461112.24772239</v>
      </c>
      <c r="CA15" s="7489"/>
      <c r="CB15" s="7489"/>
      <c r="CC15" s="7489"/>
      <c r="CD15" s="7489"/>
      <c r="CE15" s="7489"/>
      <c r="CF15" s="7489"/>
      <c r="CG15" s="7489"/>
      <c r="CH15" s="7489"/>
      <c r="CI15" s="7489"/>
      <c r="CJ15" s="7489"/>
      <c r="CK15" s="7489"/>
      <c r="CL15" s="7489"/>
      <c r="CM15" s="7489"/>
      <c r="CN15" s="7489"/>
      <c r="CO15" s="7489"/>
      <c r="CP15" s="7489"/>
      <c r="CQ15" s="7489"/>
      <c r="CR15" s="7489"/>
      <c r="CS15" s="7489"/>
      <c r="CT15" s="7489"/>
      <c r="CU15" s="7489"/>
      <c r="CV15" s="7489"/>
      <c r="CW15" s="7489"/>
      <c r="CX15" s="7489"/>
      <c r="CY15" s="7489"/>
      <c r="CZ15" s="7489"/>
      <c r="DA15" s="7489"/>
      <c r="DB15" s="7489"/>
      <c r="DC15" s="7489"/>
      <c r="DD15" s="7489"/>
      <c r="DE15" s="7489"/>
      <c r="DF15" s="7489"/>
      <c r="DG15" s="7489"/>
      <c r="DH15" s="7489"/>
      <c r="DI15" s="7489"/>
      <c r="DJ15" s="7489"/>
      <c r="DK15" s="7489"/>
      <c r="DL15" s="7489"/>
      <c r="DM15" s="7489"/>
      <c r="DN15" s="7489"/>
      <c r="DO15" s="7489"/>
      <c r="DP15" s="7489"/>
      <c r="DQ15" s="7489"/>
      <c r="DR15" s="7489"/>
      <c r="DS15" s="2636"/>
      <c r="DT15" s="2636"/>
      <c r="DU15" s="7252"/>
    </row>
    <row r="16" spans="1:125" s="7433" customFormat="1" ht="15.75" customHeight="1">
      <c r="A16" s="7431" t="s">
        <v>7026</v>
      </c>
      <c r="B16" s="17076"/>
      <c r="C16" s="17078"/>
      <c r="D16" s="17080"/>
      <c r="E16" s="17078"/>
      <c r="F16" s="17047"/>
      <c r="G16" s="17083"/>
      <c r="H16" s="17076"/>
      <c r="I16" s="17076"/>
      <c r="J16" s="17085"/>
      <c r="K16" s="17066"/>
      <c r="L16" s="7519" t="s">
        <v>8396</v>
      </c>
      <c r="M16" s="6843" t="s">
        <v>7027</v>
      </c>
      <c r="N16" s="6843" t="s">
        <v>7028</v>
      </c>
      <c r="O16" s="6843" t="s">
        <v>7029</v>
      </c>
      <c r="P16" s="2606">
        <f t="shared" si="0"/>
        <v>1</v>
      </c>
      <c r="Q16" s="6843" t="s">
        <v>7030</v>
      </c>
      <c r="R16" s="2601" t="s">
        <v>7031</v>
      </c>
      <c r="S16" s="7440" t="s">
        <v>86</v>
      </c>
      <c r="T16" s="6843" t="s">
        <v>6996</v>
      </c>
      <c r="U16" s="6122"/>
      <c r="V16" s="7439">
        <v>0</v>
      </c>
      <c r="W16" s="7439">
        <v>0.2</v>
      </c>
      <c r="X16" s="7441">
        <v>0.3</v>
      </c>
      <c r="Y16" s="7441">
        <v>0.4</v>
      </c>
      <c r="Z16" s="7441">
        <v>0.5</v>
      </c>
      <c r="AA16" s="7441">
        <v>0.6</v>
      </c>
      <c r="AB16" s="7441">
        <v>0.7</v>
      </c>
      <c r="AC16" s="7441">
        <v>0.8</v>
      </c>
      <c r="AD16" s="7441">
        <v>0.9</v>
      </c>
      <c r="AE16" s="7441">
        <v>1</v>
      </c>
      <c r="AF16" s="7441">
        <v>1</v>
      </c>
      <c r="AG16" s="7441">
        <v>1</v>
      </c>
      <c r="AH16" s="7436">
        <v>2500000</v>
      </c>
      <c r="AI16" s="7485"/>
      <c r="AJ16" s="7485"/>
      <c r="AK16" s="7485"/>
      <c r="AL16" s="7436">
        <f t="shared" si="1"/>
        <v>2650000</v>
      </c>
      <c r="AM16" s="7485"/>
      <c r="AN16" s="7485"/>
      <c r="AO16" s="7485"/>
      <c r="AP16" s="7436">
        <f t="shared" si="2"/>
        <v>2809000</v>
      </c>
      <c r="AQ16" s="7485"/>
      <c r="AR16" s="7485"/>
      <c r="AS16" s="7485"/>
      <c r="AT16" s="7436">
        <f t="shared" si="3"/>
        <v>2977540</v>
      </c>
      <c r="AU16" s="7485"/>
      <c r="AV16" s="7485"/>
      <c r="AW16" s="7485"/>
      <c r="AX16" s="7436">
        <f t="shared" si="4"/>
        <v>3156192.4</v>
      </c>
      <c r="AY16" s="7485"/>
      <c r="AZ16" s="7485"/>
      <c r="BA16" s="7485"/>
      <c r="BB16" s="7436">
        <f t="shared" si="5"/>
        <v>3345563.9440000001</v>
      </c>
      <c r="BC16" s="7485"/>
      <c r="BD16" s="7485"/>
      <c r="BE16" s="7485"/>
      <c r="BF16" s="7436">
        <f t="shared" si="6"/>
        <v>3546297.78064</v>
      </c>
      <c r="BG16" s="7485"/>
      <c r="BH16" s="7485"/>
      <c r="BI16" s="7485"/>
      <c r="BJ16" s="7436">
        <f t="shared" si="7"/>
        <v>3759075.6474783998</v>
      </c>
      <c r="BK16" s="7485"/>
      <c r="BL16" s="7485"/>
      <c r="BM16" s="7485"/>
      <c r="BN16" s="7436">
        <f t="shared" si="8"/>
        <v>3984620.186327104</v>
      </c>
      <c r="BO16" s="7485"/>
      <c r="BP16" s="7485"/>
      <c r="BQ16" s="7485"/>
      <c r="BR16" s="7436">
        <f t="shared" si="9"/>
        <v>4223697.3975067306</v>
      </c>
      <c r="BS16" s="7485"/>
      <c r="BT16" s="7485"/>
      <c r="BU16" s="7485"/>
      <c r="BV16" s="7436">
        <f t="shared" si="10"/>
        <v>4477119.2413571347</v>
      </c>
      <c r="BW16" s="7485"/>
      <c r="BX16" s="7485"/>
      <c r="BY16" s="7485"/>
      <c r="BZ16" s="7438">
        <f t="shared" si="11"/>
        <v>37429106.597309366</v>
      </c>
      <c r="CA16" s="2636"/>
      <c r="CB16" s="2636"/>
      <c r="CC16" s="2636"/>
      <c r="CD16" s="2636"/>
      <c r="CE16" s="2636"/>
      <c r="CF16" s="2636"/>
      <c r="CG16" s="2636"/>
      <c r="CH16" s="2636"/>
      <c r="CI16" s="2636"/>
      <c r="CJ16" s="2636"/>
      <c r="CK16" s="2636"/>
      <c r="CL16" s="2636"/>
      <c r="CM16" s="2636"/>
      <c r="CN16" s="2636"/>
      <c r="CO16" s="2636"/>
      <c r="CP16" s="2636"/>
      <c r="CQ16" s="2636"/>
      <c r="CR16" s="2636"/>
      <c r="CS16" s="2636"/>
      <c r="CT16" s="2636"/>
      <c r="CU16" s="2636"/>
      <c r="CV16" s="2636"/>
      <c r="CW16" s="2636"/>
      <c r="CX16" s="2636"/>
      <c r="CY16" s="2636"/>
      <c r="CZ16" s="2636"/>
      <c r="DA16" s="2636"/>
      <c r="DB16" s="2636"/>
      <c r="DC16" s="2636"/>
      <c r="DD16" s="2636"/>
      <c r="DE16" s="2636"/>
      <c r="DF16" s="2636"/>
      <c r="DG16" s="2636"/>
      <c r="DH16" s="2636"/>
      <c r="DI16" s="2636"/>
      <c r="DJ16" s="2636"/>
      <c r="DK16" s="2636"/>
      <c r="DL16" s="2636"/>
      <c r="DM16" s="2636"/>
      <c r="DN16" s="2636"/>
      <c r="DO16" s="2636"/>
      <c r="DP16" s="2636"/>
      <c r="DQ16" s="2636"/>
      <c r="DR16" s="2636"/>
      <c r="DS16" s="2636"/>
      <c r="DT16" s="2636"/>
      <c r="DU16" s="7252"/>
    </row>
    <row r="17" spans="1:125" s="7433" customFormat="1" ht="15.75" customHeight="1">
      <c r="A17" s="7431" t="s">
        <v>7032</v>
      </c>
      <c r="B17" s="17076"/>
      <c r="C17" s="17078"/>
      <c r="D17" s="17080"/>
      <c r="E17" s="17078"/>
      <c r="F17" s="17047" t="s">
        <v>7033</v>
      </c>
      <c r="G17" s="17083"/>
      <c r="H17" s="17076"/>
      <c r="I17" s="17076"/>
      <c r="J17" s="17085"/>
      <c r="K17" s="17066"/>
      <c r="L17" s="7519" t="s">
        <v>8397</v>
      </c>
      <c r="M17" s="6843" t="s">
        <v>7034</v>
      </c>
      <c r="N17" s="7434" t="s">
        <v>7035</v>
      </c>
      <c r="O17" s="7434" t="s">
        <v>7036</v>
      </c>
      <c r="P17" s="7435">
        <f t="shared" si="0"/>
        <v>120</v>
      </c>
      <c r="Q17" s="7434" t="s">
        <v>7037</v>
      </c>
      <c r="R17" s="7434" t="s">
        <v>7038</v>
      </c>
      <c r="S17" s="7432" t="s">
        <v>86</v>
      </c>
      <c r="T17" s="7434" t="s">
        <v>6996</v>
      </c>
      <c r="U17" s="7437"/>
      <c r="V17" s="7435">
        <v>0</v>
      </c>
      <c r="W17" s="7435">
        <v>12</v>
      </c>
      <c r="X17" s="7435">
        <v>12</v>
      </c>
      <c r="Y17" s="7435">
        <v>12</v>
      </c>
      <c r="Z17" s="7435">
        <v>12</v>
      </c>
      <c r="AA17" s="7435">
        <v>12</v>
      </c>
      <c r="AB17" s="7435">
        <v>12</v>
      </c>
      <c r="AC17" s="7435">
        <v>12</v>
      </c>
      <c r="AD17" s="7435">
        <v>12</v>
      </c>
      <c r="AE17" s="7435">
        <v>12</v>
      </c>
      <c r="AF17" s="7435">
        <v>12</v>
      </c>
      <c r="AG17" s="7435">
        <f>W17+X17+Y17+Z17+AA17+AB17+AC17+AD17+AE17+AF17</f>
        <v>120</v>
      </c>
      <c r="AH17" s="7436">
        <v>2500000</v>
      </c>
      <c r="AI17" s="7485"/>
      <c r="AJ17" s="7485"/>
      <c r="AK17" s="7485"/>
      <c r="AL17" s="7436">
        <f t="shared" si="1"/>
        <v>2650000</v>
      </c>
      <c r="AM17" s="7485"/>
      <c r="AN17" s="7485"/>
      <c r="AO17" s="7485"/>
      <c r="AP17" s="7436">
        <f t="shared" si="2"/>
        <v>2809000</v>
      </c>
      <c r="AQ17" s="7485"/>
      <c r="AR17" s="7485"/>
      <c r="AS17" s="7485"/>
      <c r="AT17" s="7436">
        <f t="shared" si="3"/>
        <v>2977540</v>
      </c>
      <c r="AU17" s="7485"/>
      <c r="AV17" s="7485"/>
      <c r="AW17" s="7485"/>
      <c r="AX17" s="7436">
        <f t="shared" si="4"/>
        <v>3156192.4</v>
      </c>
      <c r="AY17" s="7485"/>
      <c r="AZ17" s="7485"/>
      <c r="BA17" s="7485"/>
      <c r="BB17" s="7436">
        <f t="shared" si="5"/>
        <v>3345563.9440000001</v>
      </c>
      <c r="BC17" s="7485"/>
      <c r="BD17" s="7485"/>
      <c r="BE17" s="7485"/>
      <c r="BF17" s="7436">
        <f t="shared" si="6"/>
        <v>3546297.78064</v>
      </c>
      <c r="BG17" s="7485"/>
      <c r="BH17" s="7485"/>
      <c r="BI17" s="7485"/>
      <c r="BJ17" s="7436">
        <f t="shared" si="7"/>
        <v>3759075.6474783998</v>
      </c>
      <c r="BK17" s="7485"/>
      <c r="BL17" s="7485"/>
      <c r="BM17" s="7485"/>
      <c r="BN17" s="7436">
        <f t="shared" si="8"/>
        <v>3984620.186327104</v>
      </c>
      <c r="BO17" s="7485"/>
      <c r="BP17" s="7485"/>
      <c r="BQ17" s="7485"/>
      <c r="BR17" s="7436">
        <f t="shared" si="9"/>
        <v>4223697.3975067306</v>
      </c>
      <c r="BS17" s="7485"/>
      <c r="BT17" s="7485"/>
      <c r="BU17" s="7485"/>
      <c r="BV17" s="7436">
        <f t="shared" si="10"/>
        <v>4477119.2413571347</v>
      </c>
      <c r="BW17" s="7485"/>
      <c r="BX17" s="7485"/>
      <c r="BY17" s="7485"/>
      <c r="BZ17" s="7438">
        <f t="shared" si="11"/>
        <v>37429106.597309366</v>
      </c>
      <c r="CA17" s="2636"/>
      <c r="CB17" s="2636"/>
      <c r="CC17" s="2636"/>
      <c r="CD17" s="2636"/>
      <c r="CE17" s="2636"/>
      <c r="CF17" s="2636"/>
      <c r="CG17" s="2636"/>
      <c r="CH17" s="2636"/>
      <c r="CI17" s="2636"/>
      <c r="CJ17" s="2636"/>
      <c r="CK17" s="2636"/>
      <c r="CL17" s="2636"/>
      <c r="CM17" s="2636"/>
      <c r="CN17" s="2636"/>
      <c r="CO17" s="2636"/>
      <c r="CP17" s="2636"/>
      <c r="CQ17" s="2636"/>
      <c r="CR17" s="2636"/>
      <c r="CS17" s="2636"/>
      <c r="CT17" s="2636"/>
      <c r="CU17" s="2636"/>
      <c r="CV17" s="2636"/>
      <c r="CW17" s="2636"/>
      <c r="CX17" s="2636"/>
      <c r="CY17" s="2636"/>
      <c r="CZ17" s="2636"/>
      <c r="DA17" s="2636"/>
      <c r="DB17" s="2636"/>
      <c r="DC17" s="2636"/>
      <c r="DD17" s="2636"/>
      <c r="DE17" s="2636"/>
      <c r="DF17" s="2636"/>
      <c r="DG17" s="2636"/>
      <c r="DH17" s="2636"/>
      <c r="DI17" s="2636"/>
      <c r="DJ17" s="2636"/>
      <c r="DK17" s="2636"/>
      <c r="DL17" s="2636"/>
      <c r="DM17" s="2636"/>
      <c r="DN17" s="2636"/>
      <c r="DO17" s="2636"/>
      <c r="DP17" s="2636"/>
      <c r="DQ17" s="2636"/>
      <c r="DR17" s="2636"/>
      <c r="DS17" s="2636"/>
      <c r="DT17" s="2636"/>
      <c r="DU17" s="7252"/>
    </row>
    <row r="18" spans="1:125" s="7433" customFormat="1" ht="15.75" customHeight="1">
      <c r="A18" s="17048" t="s">
        <v>7039</v>
      </c>
      <c r="B18" s="17076"/>
      <c r="C18" s="17078"/>
      <c r="D18" s="17080"/>
      <c r="E18" s="17078"/>
      <c r="F18" s="17047"/>
      <c r="G18" s="17083"/>
      <c r="H18" s="17076"/>
      <c r="I18" s="17076"/>
      <c r="J18" s="17085"/>
      <c r="K18" s="17066"/>
      <c r="L18" s="17071" t="s">
        <v>8398</v>
      </c>
      <c r="M18" s="15456" t="s">
        <v>7040</v>
      </c>
      <c r="N18" s="17067" t="s">
        <v>7041</v>
      </c>
      <c r="O18" s="17067" t="s">
        <v>7029</v>
      </c>
      <c r="P18" s="17067">
        <f t="shared" si="0"/>
        <v>3000</v>
      </c>
      <c r="Q18" s="17067" t="s">
        <v>7042</v>
      </c>
      <c r="R18" s="17067" t="s">
        <v>7043</v>
      </c>
      <c r="S18" s="7432" t="s">
        <v>10063</v>
      </c>
      <c r="T18" s="17067" t="s">
        <v>7044</v>
      </c>
      <c r="U18" s="7437"/>
      <c r="V18" s="7435">
        <v>300</v>
      </c>
      <c r="W18" s="7435">
        <v>300</v>
      </c>
      <c r="X18" s="7435">
        <v>300</v>
      </c>
      <c r="Y18" s="7435">
        <v>300</v>
      </c>
      <c r="Z18" s="7435">
        <v>300</v>
      </c>
      <c r="AA18" s="7435">
        <v>300</v>
      </c>
      <c r="AB18" s="7435">
        <v>300</v>
      </c>
      <c r="AC18" s="7435">
        <v>300</v>
      </c>
      <c r="AD18" s="7435">
        <v>300</v>
      </c>
      <c r="AE18" s="7435">
        <v>300</v>
      </c>
      <c r="AF18" s="7435">
        <v>300</v>
      </c>
      <c r="AG18" s="7435">
        <f>SUM(W18:AF18)</f>
        <v>3000</v>
      </c>
      <c r="AH18" s="7436">
        <v>0</v>
      </c>
      <c r="AI18" s="7436">
        <f>(2524000*12)*2/6</f>
        <v>10096000</v>
      </c>
      <c r="AJ18" s="7436"/>
      <c r="AK18" s="7436"/>
      <c r="AL18" s="7436">
        <f t="shared" si="1"/>
        <v>0</v>
      </c>
      <c r="AM18" s="7436">
        <f>+AI18+AI18*6%</f>
        <v>10701760</v>
      </c>
      <c r="AN18" s="7436"/>
      <c r="AO18" s="7436"/>
      <c r="AP18" s="7436">
        <f t="shared" si="2"/>
        <v>0</v>
      </c>
      <c r="AQ18" s="7436">
        <f>+AM18+AM18*6%</f>
        <v>11343865.6</v>
      </c>
      <c r="AR18" s="7436"/>
      <c r="AS18" s="7436"/>
      <c r="AT18" s="7436">
        <f t="shared" si="3"/>
        <v>0</v>
      </c>
      <c r="AU18" s="7436">
        <f>+AQ18+AQ18*6%</f>
        <v>12024497.536</v>
      </c>
      <c r="AV18" s="7436"/>
      <c r="AW18" s="7436"/>
      <c r="AX18" s="7436">
        <f t="shared" si="4"/>
        <v>0</v>
      </c>
      <c r="AY18" s="7436">
        <f>+AU18+AU18*6%</f>
        <v>12745967.38816</v>
      </c>
      <c r="AZ18" s="7436"/>
      <c r="BA18" s="7436"/>
      <c r="BB18" s="7436">
        <f t="shared" si="5"/>
        <v>0</v>
      </c>
      <c r="BC18" s="7436">
        <f>+AY18+AY18*6%</f>
        <v>13510725.4314496</v>
      </c>
      <c r="BD18" s="7436"/>
      <c r="BE18" s="7436"/>
      <c r="BF18" s="7436">
        <f t="shared" si="6"/>
        <v>0</v>
      </c>
      <c r="BG18" s="7436">
        <f>+BC18+BC18*6%</f>
        <v>14321368.957336575</v>
      </c>
      <c r="BH18" s="7436"/>
      <c r="BI18" s="7436"/>
      <c r="BJ18" s="7436">
        <f t="shared" si="7"/>
        <v>0</v>
      </c>
      <c r="BK18" s="7436">
        <f>+BG18+BG18*6%</f>
        <v>15180651.09477677</v>
      </c>
      <c r="BL18" s="7436"/>
      <c r="BM18" s="7436"/>
      <c r="BN18" s="7436">
        <f t="shared" si="8"/>
        <v>0</v>
      </c>
      <c r="BO18" s="7436">
        <f>+BK18+BK18*6%</f>
        <v>16091490.160463376</v>
      </c>
      <c r="BP18" s="7436"/>
      <c r="BQ18" s="7436"/>
      <c r="BR18" s="7436">
        <f t="shared" si="9"/>
        <v>0</v>
      </c>
      <c r="BS18" s="7436">
        <f>+BO18+BO18*6%</f>
        <v>17056979.570091177</v>
      </c>
      <c r="BT18" s="7436"/>
      <c r="BU18" s="7436"/>
      <c r="BV18" s="7436">
        <f t="shared" si="10"/>
        <v>0</v>
      </c>
      <c r="BW18" s="7436">
        <f>+BS18+BS18*6%</f>
        <v>18080398.344296649</v>
      </c>
      <c r="BX18" s="7436"/>
      <c r="BY18" s="7436"/>
      <c r="BZ18" s="7438">
        <f>SUM(AH18:BY18)</f>
        <v>151153704.08257413</v>
      </c>
      <c r="CA18" s="2636"/>
      <c r="CB18" s="2636"/>
      <c r="CC18" s="2636"/>
      <c r="CD18" s="2636"/>
      <c r="CE18" s="2636"/>
      <c r="CF18" s="2636"/>
      <c r="CG18" s="2636"/>
      <c r="CH18" s="2636"/>
      <c r="CI18" s="2636"/>
      <c r="CJ18" s="2636"/>
      <c r="CK18" s="2636"/>
      <c r="CL18" s="2636"/>
      <c r="CM18" s="2636"/>
      <c r="CN18" s="2636"/>
      <c r="CO18" s="2636"/>
      <c r="CP18" s="2636"/>
      <c r="CQ18" s="2636"/>
      <c r="CR18" s="2636"/>
      <c r="CS18" s="2636"/>
      <c r="CT18" s="2636"/>
      <c r="CU18" s="2636"/>
      <c r="CV18" s="2636"/>
      <c r="CW18" s="2636"/>
      <c r="CX18" s="2636"/>
      <c r="CY18" s="2636"/>
      <c r="CZ18" s="2636"/>
      <c r="DA18" s="2636"/>
      <c r="DB18" s="2636"/>
      <c r="DC18" s="2636"/>
      <c r="DD18" s="2636"/>
      <c r="DE18" s="2636"/>
      <c r="DF18" s="2636"/>
      <c r="DG18" s="2636"/>
      <c r="DH18" s="2636"/>
      <c r="DI18" s="2636"/>
      <c r="DJ18" s="2636"/>
      <c r="DK18" s="2636"/>
      <c r="DL18" s="2636"/>
      <c r="DM18" s="2636"/>
      <c r="DN18" s="2636"/>
      <c r="DO18" s="2636"/>
      <c r="DP18" s="2636"/>
      <c r="DQ18" s="2636"/>
      <c r="DR18" s="2636"/>
      <c r="DS18" s="2636"/>
      <c r="DT18" s="2636"/>
      <c r="DU18" s="7252"/>
    </row>
    <row r="19" spans="1:125" s="7433" customFormat="1" ht="15.75" customHeight="1">
      <c r="A19" s="16802"/>
      <c r="B19" s="17067"/>
      <c r="C19" s="17078"/>
      <c r="D19" s="17080"/>
      <c r="E19" s="17078"/>
      <c r="F19" s="15456"/>
      <c r="G19" s="17084"/>
      <c r="H19" s="17067"/>
      <c r="I19" s="17067"/>
      <c r="J19" s="16582"/>
      <c r="K19" s="17066"/>
      <c r="L19" s="17071"/>
      <c r="M19" s="15456"/>
      <c r="N19" s="17067"/>
      <c r="O19" s="17067"/>
      <c r="P19" s="17067"/>
      <c r="Q19" s="17067"/>
      <c r="R19" s="17067"/>
      <c r="S19" s="7432" t="s">
        <v>86</v>
      </c>
      <c r="T19" s="17067"/>
      <c r="U19" s="7437"/>
      <c r="V19" s="7435"/>
      <c r="W19" s="7435"/>
      <c r="X19" s="7435"/>
      <c r="Y19" s="7435"/>
      <c r="Z19" s="7435"/>
      <c r="AA19" s="7435"/>
      <c r="AB19" s="7435"/>
      <c r="AC19" s="7435"/>
      <c r="AD19" s="7435"/>
      <c r="AE19" s="7435"/>
      <c r="AF19" s="7435"/>
      <c r="AG19" s="7435"/>
      <c r="AH19" s="7436"/>
      <c r="AI19" s="7436"/>
      <c r="AJ19" s="7436"/>
      <c r="AK19" s="7436"/>
      <c r="AL19" s="7436"/>
      <c r="AM19" s="7436"/>
      <c r="AN19" s="7436"/>
      <c r="AO19" s="7436"/>
      <c r="AP19" s="7436"/>
      <c r="AQ19" s="7436"/>
      <c r="AR19" s="7436"/>
      <c r="AS19" s="7436"/>
      <c r="AT19" s="7436"/>
      <c r="AU19" s="7436"/>
      <c r="AV19" s="7436"/>
      <c r="AW19" s="7436"/>
      <c r="AX19" s="7436"/>
      <c r="AY19" s="7436"/>
      <c r="AZ19" s="7436"/>
      <c r="BA19" s="7436"/>
      <c r="BB19" s="7436"/>
      <c r="BC19" s="7436"/>
      <c r="BD19" s="7436"/>
      <c r="BE19" s="7436"/>
      <c r="BF19" s="7436"/>
      <c r="BG19" s="7436"/>
      <c r="BH19" s="7436"/>
      <c r="BI19" s="7436"/>
      <c r="BJ19" s="7436"/>
      <c r="BK19" s="7436"/>
      <c r="BL19" s="7436"/>
      <c r="BM19" s="7436"/>
      <c r="BN19" s="7436"/>
      <c r="BO19" s="7436"/>
      <c r="BP19" s="7436"/>
      <c r="BQ19" s="7436"/>
      <c r="BR19" s="7436"/>
      <c r="BS19" s="7436"/>
      <c r="BT19" s="7436"/>
      <c r="BU19" s="7436"/>
      <c r="BV19" s="7436"/>
      <c r="BW19" s="7436"/>
      <c r="BX19" s="7436"/>
      <c r="BY19" s="7436"/>
      <c r="BZ19" s="7438"/>
      <c r="CA19" s="2636"/>
      <c r="CB19" s="2636"/>
      <c r="CC19" s="2636"/>
      <c r="CD19" s="2636"/>
      <c r="CE19" s="2636"/>
      <c r="CF19" s="2636"/>
      <c r="CG19" s="2636"/>
      <c r="CH19" s="2636"/>
      <c r="CI19" s="2636"/>
      <c r="CJ19" s="2636"/>
      <c r="CK19" s="2636"/>
      <c r="CL19" s="2636"/>
      <c r="CM19" s="2636"/>
      <c r="CN19" s="2636"/>
      <c r="CO19" s="2636"/>
      <c r="CP19" s="2636"/>
      <c r="CQ19" s="2636"/>
      <c r="CR19" s="2636"/>
      <c r="CS19" s="2636"/>
      <c r="CT19" s="2636"/>
      <c r="CU19" s="2636"/>
      <c r="CV19" s="2636"/>
      <c r="CW19" s="2636"/>
      <c r="CX19" s="2636"/>
      <c r="CY19" s="2636"/>
      <c r="CZ19" s="2636"/>
      <c r="DA19" s="2636"/>
      <c r="DB19" s="2636"/>
      <c r="DC19" s="2636"/>
      <c r="DD19" s="2636"/>
      <c r="DE19" s="2636"/>
      <c r="DF19" s="2636"/>
      <c r="DG19" s="2636"/>
      <c r="DH19" s="2636"/>
      <c r="DI19" s="2636"/>
      <c r="DJ19" s="2636"/>
      <c r="DK19" s="2636"/>
      <c r="DL19" s="2636"/>
      <c r="DM19" s="2636"/>
      <c r="DN19" s="2636"/>
      <c r="DO19" s="2636"/>
      <c r="DP19" s="2636"/>
      <c r="DQ19" s="2636"/>
      <c r="DR19" s="2636"/>
      <c r="DS19" s="2636"/>
      <c r="DT19" s="2636"/>
      <c r="DU19" s="7252"/>
    </row>
    <row r="20" spans="1:125" s="7433" customFormat="1" ht="15.75" customHeight="1">
      <c r="A20" s="17048"/>
      <c r="B20" s="17076"/>
      <c r="C20" s="17078"/>
      <c r="D20" s="17080"/>
      <c r="E20" s="17078"/>
      <c r="F20" s="17047"/>
      <c r="G20" s="17083"/>
      <c r="H20" s="17076"/>
      <c r="I20" s="17076"/>
      <c r="J20" s="17085"/>
      <c r="K20" s="17066"/>
      <c r="L20" s="17071" t="s">
        <v>8399</v>
      </c>
      <c r="M20" s="15456" t="s">
        <v>7045</v>
      </c>
      <c r="N20" s="17067" t="s">
        <v>7046</v>
      </c>
      <c r="O20" s="17067" t="s">
        <v>6993</v>
      </c>
      <c r="P20" s="17067">
        <f t="shared" si="0"/>
        <v>1</v>
      </c>
      <c r="Q20" s="17067" t="s">
        <v>7047</v>
      </c>
      <c r="R20" s="17067" t="s">
        <v>7048</v>
      </c>
      <c r="S20" s="7432" t="s">
        <v>10063</v>
      </c>
      <c r="T20" s="17067" t="s">
        <v>7049</v>
      </c>
      <c r="U20" s="7437"/>
      <c r="V20" s="7439">
        <v>0</v>
      </c>
      <c r="W20" s="7441">
        <v>1</v>
      </c>
      <c r="X20" s="7441">
        <v>1</v>
      </c>
      <c r="Y20" s="7441">
        <v>1</v>
      </c>
      <c r="Z20" s="7441">
        <v>1</v>
      </c>
      <c r="AA20" s="7441">
        <v>1</v>
      </c>
      <c r="AB20" s="7441">
        <v>1</v>
      </c>
      <c r="AC20" s="7441">
        <v>1</v>
      </c>
      <c r="AD20" s="7441">
        <v>1</v>
      </c>
      <c r="AE20" s="7441">
        <v>1</v>
      </c>
      <c r="AF20" s="7441">
        <v>1</v>
      </c>
      <c r="AG20" s="7441">
        <v>1</v>
      </c>
      <c r="AH20" s="7436">
        <v>0</v>
      </c>
      <c r="AI20" s="7436">
        <f>(2524000*12)*2/6</f>
        <v>10096000</v>
      </c>
      <c r="AJ20" s="7436"/>
      <c r="AK20" s="7436"/>
      <c r="AL20" s="7436">
        <f t="shared" si="1"/>
        <v>0</v>
      </c>
      <c r="AM20" s="7436">
        <f>+AI20+AI20*6%</f>
        <v>10701760</v>
      </c>
      <c r="AN20" s="7436"/>
      <c r="AO20" s="7436"/>
      <c r="AP20" s="7436">
        <f t="shared" si="2"/>
        <v>0</v>
      </c>
      <c r="AQ20" s="7436">
        <f>+AM20+AM20*6%</f>
        <v>11343865.6</v>
      </c>
      <c r="AR20" s="7436"/>
      <c r="AS20" s="7436"/>
      <c r="AT20" s="7436">
        <f t="shared" si="3"/>
        <v>0</v>
      </c>
      <c r="AU20" s="7436">
        <f>+AQ20+AQ20*6%</f>
        <v>12024497.536</v>
      </c>
      <c r="AV20" s="7436"/>
      <c r="AW20" s="7436"/>
      <c r="AX20" s="7436">
        <f t="shared" si="4"/>
        <v>0</v>
      </c>
      <c r="AY20" s="7436">
        <f>+AU20+AU20*6%</f>
        <v>12745967.38816</v>
      </c>
      <c r="AZ20" s="7436"/>
      <c r="BA20" s="7436"/>
      <c r="BB20" s="7436">
        <f t="shared" si="5"/>
        <v>0</v>
      </c>
      <c r="BC20" s="7436">
        <f>+AY20+AY20*6%</f>
        <v>13510725.4314496</v>
      </c>
      <c r="BD20" s="7436"/>
      <c r="BE20" s="7436"/>
      <c r="BF20" s="7436">
        <f t="shared" si="6"/>
        <v>0</v>
      </c>
      <c r="BG20" s="7436">
        <f>+BC20+BC20*6%</f>
        <v>14321368.957336575</v>
      </c>
      <c r="BH20" s="7436"/>
      <c r="BI20" s="7436"/>
      <c r="BJ20" s="7436">
        <f t="shared" si="7"/>
        <v>0</v>
      </c>
      <c r="BK20" s="7436">
        <f>+BG20+BG20*6%</f>
        <v>15180651.09477677</v>
      </c>
      <c r="BL20" s="7436"/>
      <c r="BM20" s="7436"/>
      <c r="BN20" s="7436">
        <f t="shared" si="8"/>
        <v>0</v>
      </c>
      <c r="BO20" s="7436">
        <f>+BK20+BK20*6%</f>
        <v>16091490.160463376</v>
      </c>
      <c r="BP20" s="7436"/>
      <c r="BQ20" s="7436"/>
      <c r="BR20" s="7436">
        <f t="shared" si="9"/>
        <v>0</v>
      </c>
      <c r="BS20" s="7436">
        <f>+BO20+BO20*6%</f>
        <v>17056979.570091177</v>
      </c>
      <c r="BT20" s="7436"/>
      <c r="BU20" s="7436"/>
      <c r="BV20" s="7436">
        <f t="shared" si="10"/>
        <v>0</v>
      </c>
      <c r="BW20" s="7436">
        <f>+BS20+BS20*6%</f>
        <v>18080398.344296649</v>
      </c>
      <c r="BX20" s="7436"/>
      <c r="BY20" s="7436"/>
      <c r="BZ20" s="7438">
        <f t="shared" si="11"/>
        <v>151153704.08257413</v>
      </c>
      <c r="CA20" s="2636"/>
      <c r="CB20" s="2636"/>
      <c r="CC20" s="2636"/>
      <c r="CD20" s="2636"/>
      <c r="CE20" s="2636"/>
      <c r="CF20" s="2636"/>
      <c r="CG20" s="2636"/>
      <c r="CH20" s="2636"/>
      <c r="CI20" s="2636"/>
      <c r="CJ20" s="2636"/>
      <c r="CK20" s="2636"/>
      <c r="CL20" s="2636"/>
      <c r="CM20" s="2636"/>
      <c r="CN20" s="2636"/>
      <c r="CO20" s="2636"/>
      <c r="CP20" s="2636"/>
      <c r="CQ20" s="2636"/>
      <c r="CR20" s="2636"/>
      <c r="CS20" s="2636"/>
      <c r="CT20" s="2636"/>
      <c r="CU20" s="2636"/>
      <c r="CV20" s="2636"/>
      <c r="CW20" s="2636"/>
      <c r="CX20" s="2636"/>
      <c r="CY20" s="2636"/>
      <c r="CZ20" s="2636"/>
      <c r="DA20" s="2636"/>
      <c r="DB20" s="2636"/>
      <c r="DC20" s="2636"/>
      <c r="DD20" s="2636"/>
      <c r="DE20" s="2636"/>
      <c r="DF20" s="2636"/>
      <c r="DG20" s="2636"/>
      <c r="DH20" s="2636"/>
      <c r="DI20" s="2636"/>
      <c r="DJ20" s="2636"/>
      <c r="DK20" s="2636"/>
      <c r="DL20" s="2636"/>
      <c r="DM20" s="2636"/>
      <c r="DN20" s="2636"/>
      <c r="DO20" s="2636"/>
      <c r="DP20" s="2636"/>
      <c r="DQ20" s="2636"/>
      <c r="DR20" s="2636"/>
      <c r="DS20" s="2636"/>
      <c r="DT20" s="2636"/>
      <c r="DU20" s="7252"/>
    </row>
    <row r="21" spans="1:125" s="7433" customFormat="1" ht="15.75" customHeight="1">
      <c r="A21" s="7096"/>
      <c r="B21" s="17067"/>
      <c r="C21" s="17078"/>
      <c r="D21" s="17080"/>
      <c r="E21" s="17078"/>
      <c r="F21" s="15456"/>
      <c r="G21" s="17084"/>
      <c r="H21" s="17067"/>
      <c r="I21" s="17067"/>
      <c r="J21" s="16582"/>
      <c r="K21" s="17066"/>
      <c r="L21" s="17071"/>
      <c r="M21" s="15456"/>
      <c r="N21" s="17067"/>
      <c r="O21" s="17067"/>
      <c r="P21" s="17067"/>
      <c r="Q21" s="17067"/>
      <c r="R21" s="17067"/>
      <c r="S21" s="7432" t="s">
        <v>86</v>
      </c>
      <c r="T21" s="17067"/>
      <c r="U21" s="7437"/>
      <c r="V21" s="7439"/>
      <c r="W21" s="7441"/>
      <c r="X21" s="7441"/>
      <c r="Y21" s="7441"/>
      <c r="Z21" s="7441"/>
      <c r="AA21" s="7441"/>
      <c r="AB21" s="7441"/>
      <c r="AC21" s="7441"/>
      <c r="AD21" s="7441"/>
      <c r="AE21" s="7441"/>
      <c r="AF21" s="7441"/>
      <c r="AG21" s="7441"/>
      <c r="AH21" s="7436"/>
      <c r="AI21" s="7436"/>
      <c r="AJ21" s="7436"/>
      <c r="AK21" s="7436"/>
      <c r="AL21" s="7436"/>
      <c r="AM21" s="7436"/>
      <c r="AN21" s="7436"/>
      <c r="AO21" s="7436"/>
      <c r="AP21" s="7436"/>
      <c r="AQ21" s="7436"/>
      <c r="AR21" s="7436"/>
      <c r="AS21" s="7436"/>
      <c r="AT21" s="7436"/>
      <c r="AU21" s="7436"/>
      <c r="AV21" s="7436"/>
      <c r="AW21" s="7436"/>
      <c r="AX21" s="7436"/>
      <c r="AY21" s="7436"/>
      <c r="AZ21" s="7436"/>
      <c r="BA21" s="7436"/>
      <c r="BB21" s="7436"/>
      <c r="BC21" s="7436"/>
      <c r="BD21" s="7436"/>
      <c r="BE21" s="7436"/>
      <c r="BF21" s="7436"/>
      <c r="BG21" s="7436"/>
      <c r="BH21" s="7436"/>
      <c r="BI21" s="7436"/>
      <c r="BJ21" s="7436"/>
      <c r="BK21" s="7436"/>
      <c r="BL21" s="7436"/>
      <c r="BM21" s="7436"/>
      <c r="BN21" s="7436"/>
      <c r="BO21" s="7436"/>
      <c r="BP21" s="7436"/>
      <c r="BQ21" s="7436"/>
      <c r="BR21" s="7436"/>
      <c r="BS21" s="7436"/>
      <c r="BT21" s="7436"/>
      <c r="BU21" s="7436"/>
      <c r="BV21" s="7436"/>
      <c r="BW21" s="7436"/>
      <c r="BX21" s="7436"/>
      <c r="BY21" s="7436"/>
      <c r="BZ21" s="7438"/>
      <c r="CA21" s="2636"/>
      <c r="CB21" s="2636"/>
      <c r="CC21" s="2636"/>
      <c r="CD21" s="2636"/>
      <c r="CE21" s="2636"/>
      <c r="CF21" s="2636"/>
      <c r="CG21" s="2636"/>
      <c r="CH21" s="2636"/>
      <c r="CI21" s="2636"/>
      <c r="CJ21" s="2636"/>
      <c r="CK21" s="2636"/>
      <c r="CL21" s="2636"/>
      <c r="CM21" s="2636"/>
      <c r="CN21" s="2636"/>
      <c r="CO21" s="2636"/>
      <c r="CP21" s="2636"/>
      <c r="CQ21" s="2636"/>
      <c r="CR21" s="2636"/>
      <c r="CS21" s="2636"/>
      <c r="CT21" s="2636"/>
      <c r="CU21" s="2636"/>
      <c r="CV21" s="2636"/>
      <c r="CW21" s="2636"/>
      <c r="CX21" s="2636"/>
      <c r="CY21" s="2636"/>
      <c r="CZ21" s="2636"/>
      <c r="DA21" s="2636"/>
      <c r="DB21" s="2636"/>
      <c r="DC21" s="2636"/>
      <c r="DD21" s="2636"/>
      <c r="DE21" s="2636"/>
      <c r="DF21" s="2636"/>
      <c r="DG21" s="2636"/>
      <c r="DH21" s="2636"/>
      <c r="DI21" s="2636"/>
      <c r="DJ21" s="2636"/>
      <c r="DK21" s="2636"/>
      <c r="DL21" s="2636"/>
      <c r="DM21" s="2636"/>
      <c r="DN21" s="2636"/>
      <c r="DO21" s="2636"/>
      <c r="DP21" s="2636"/>
      <c r="DQ21" s="2636"/>
      <c r="DR21" s="2636"/>
      <c r="DS21" s="2636"/>
      <c r="DT21" s="2636"/>
      <c r="DU21" s="7252"/>
    </row>
    <row r="22" spans="1:125" s="7433" customFormat="1" ht="15.75" customHeight="1" thickBot="1">
      <c r="A22" s="7431" t="s">
        <v>7050</v>
      </c>
      <c r="B22" s="17076"/>
      <c r="C22" s="17078"/>
      <c r="D22" s="17080"/>
      <c r="E22" s="17078"/>
      <c r="F22" s="17047"/>
      <c r="G22" s="17083"/>
      <c r="H22" s="17076"/>
      <c r="I22" s="17076"/>
      <c r="J22" s="17085"/>
      <c r="K22" s="17066"/>
      <c r="L22" s="7569" t="s">
        <v>8400</v>
      </c>
      <c r="M22" s="7570" t="s">
        <v>7051</v>
      </c>
      <c r="N22" s="7571" t="s">
        <v>7052</v>
      </c>
      <c r="O22" s="7572" t="s">
        <v>7053</v>
      </c>
      <c r="P22" s="7573">
        <f t="shared" si="0"/>
        <v>100</v>
      </c>
      <c r="Q22" s="7572" t="s">
        <v>7054</v>
      </c>
      <c r="R22" s="7572" t="s">
        <v>7055</v>
      </c>
      <c r="S22" s="7574" t="s">
        <v>86</v>
      </c>
      <c r="T22" s="7571" t="s">
        <v>6996</v>
      </c>
      <c r="U22" s="7573"/>
      <c r="V22" s="7573">
        <v>0</v>
      </c>
      <c r="W22" s="7573">
        <v>10</v>
      </c>
      <c r="X22" s="7573">
        <v>10</v>
      </c>
      <c r="Y22" s="7573">
        <v>10</v>
      </c>
      <c r="Z22" s="7573">
        <v>10</v>
      </c>
      <c r="AA22" s="7573">
        <v>10</v>
      </c>
      <c r="AB22" s="7573">
        <v>10</v>
      </c>
      <c r="AC22" s="7573">
        <v>10</v>
      </c>
      <c r="AD22" s="7573">
        <v>10</v>
      </c>
      <c r="AE22" s="7573">
        <v>10</v>
      </c>
      <c r="AF22" s="7573">
        <v>10</v>
      </c>
      <c r="AG22" s="7573">
        <f>SUM(W22:AF22)</f>
        <v>100</v>
      </c>
      <c r="AH22" s="7575">
        <v>3000000</v>
      </c>
      <c r="AI22" s="7575"/>
      <c r="AJ22" s="7575"/>
      <c r="AK22" s="7575"/>
      <c r="AL22" s="7575">
        <f t="shared" si="1"/>
        <v>3180000</v>
      </c>
      <c r="AM22" s="7575"/>
      <c r="AN22" s="7575"/>
      <c r="AO22" s="7575"/>
      <c r="AP22" s="7575">
        <f t="shared" si="2"/>
        <v>3370800</v>
      </c>
      <c r="AQ22" s="7575"/>
      <c r="AR22" s="7575"/>
      <c r="AS22" s="7575"/>
      <c r="AT22" s="7575">
        <f t="shared" si="3"/>
        <v>3573048</v>
      </c>
      <c r="AU22" s="7575"/>
      <c r="AV22" s="7575"/>
      <c r="AW22" s="7575"/>
      <c r="AX22" s="7575">
        <f t="shared" si="4"/>
        <v>3787430.88</v>
      </c>
      <c r="AY22" s="7575"/>
      <c r="AZ22" s="7575"/>
      <c r="BA22" s="7575"/>
      <c r="BB22" s="7575">
        <f t="shared" si="5"/>
        <v>4014676.7327999999</v>
      </c>
      <c r="BC22" s="7575"/>
      <c r="BD22" s="7575"/>
      <c r="BE22" s="7575"/>
      <c r="BF22" s="7575">
        <f t="shared" si="6"/>
        <v>4255557.3367679995</v>
      </c>
      <c r="BG22" s="7575"/>
      <c r="BH22" s="7575"/>
      <c r="BI22" s="7575"/>
      <c r="BJ22" s="7575">
        <f t="shared" si="7"/>
        <v>4510890.7769740792</v>
      </c>
      <c r="BK22" s="7575"/>
      <c r="BL22" s="7575"/>
      <c r="BM22" s="7575"/>
      <c r="BN22" s="7575">
        <f t="shared" si="8"/>
        <v>4781544.2235925235</v>
      </c>
      <c r="BO22" s="7575"/>
      <c r="BP22" s="7575"/>
      <c r="BQ22" s="7575"/>
      <c r="BR22" s="7575">
        <f t="shared" si="9"/>
        <v>5068436.8770080749</v>
      </c>
      <c r="BS22" s="7575"/>
      <c r="BT22" s="7575"/>
      <c r="BU22" s="7575"/>
      <c r="BV22" s="7575">
        <f t="shared" si="10"/>
        <v>5372543.0896285595</v>
      </c>
      <c r="BW22" s="7575"/>
      <c r="BX22" s="7575"/>
      <c r="BY22" s="7575"/>
      <c r="BZ22" s="7576">
        <f t="shared" ref="BZ22:BZ29" si="12">SUM(AH22:BY22)</f>
        <v>44914927.916771233</v>
      </c>
      <c r="CA22" s="2144"/>
      <c r="CB22" s="7577"/>
      <c r="CC22" s="7577"/>
      <c r="CD22" s="7577"/>
      <c r="CE22" s="7577"/>
      <c r="CF22" s="7577"/>
      <c r="CG22" s="7577"/>
      <c r="CH22" s="7577"/>
      <c r="CI22" s="7577"/>
      <c r="CJ22" s="7577"/>
      <c r="CK22" s="7577"/>
      <c r="CL22" s="7577"/>
      <c r="CM22" s="7577"/>
      <c r="CN22" s="7577"/>
      <c r="CO22" s="7577"/>
      <c r="CP22" s="7577"/>
      <c r="CQ22" s="7577"/>
      <c r="CR22" s="7577"/>
      <c r="CS22" s="7577"/>
      <c r="CT22" s="7577"/>
      <c r="CU22" s="7577"/>
      <c r="CV22" s="7577"/>
      <c r="CW22" s="7577"/>
      <c r="CX22" s="7577"/>
      <c r="CY22" s="7577"/>
      <c r="CZ22" s="7577"/>
      <c r="DA22" s="7577"/>
      <c r="DB22" s="7577"/>
      <c r="DC22" s="7577"/>
      <c r="DD22" s="7577"/>
      <c r="DE22" s="7577"/>
      <c r="DF22" s="7577"/>
      <c r="DG22" s="7577"/>
      <c r="DH22" s="7577"/>
      <c r="DI22" s="7577"/>
      <c r="DJ22" s="7577"/>
      <c r="DK22" s="7577"/>
      <c r="DL22" s="7577"/>
      <c r="DM22" s="7577"/>
      <c r="DN22" s="7577"/>
      <c r="DO22" s="7577"/>
      <c r="DP22" s="7577"/>
      <c r="DQ22" s="7577"/>
      <c r="DR22" s="7577"/>
      <c r="DS22" s="7577"/>
      <c r="DT22" s="7577"/>
      <c r="DU22" s="7578"/>
    </row>
    <row r="23" spans="1:125" s="7180" customFormat="1" ht="15.75" customHeight="1">
      <c r="A23" s="7442" t="s">
        <v>7056</v>
      </c>
      <c r="B23" s="17049" t="s">
        <v>7057</v>
      </c>
      <c r="C23" s="17078"/>
      <c r="D23" s="17080"/>
      <c r="E23" s="17078"/>
      <c r="F23" s="16530" t="s">
        <v>7058</v>
      </c>
      <c r="G23" s="7443" t="s">
        <v>7059</v>
      </c>
      <c r="H23" s="17120" t="s">
        <v>7060</v>
      </c>
      <c r="I23" s="17120" t="s">
        <v>7061</v>
      </c>
      <c r="J23" s="17120">
        <v>0</v>
      </c>
      <c r="K23" s="17123" t="s">
        <v>144</v>
      </c>
      <c r="L23" s="7562" t="s">
        <v>8401</v>
      </c>
      <c r="M23" s="7116" t="s">
        <v>7062</v>
      </c>
      <c r="N23" s="7116" t="s">
        <v>7063</v>
      </c>
      <c r="O23" s="7563" t="s">
        <v>7064</v>
      </c>
      <c r="P23" s="7564">
        <f>+AG23</f>
        <v>1</v>
      </c>
      <c r="Q23" s="7565" t="s">
        <v>7065</v>
      </c>
      <c r="R23" s="7565" t="s">
        <v>7066</v>
      </c>
      <c r="S23" s="7566" t="s">
        <v>10063</v>
      </c>
      <c r="T23" s="7109" t="s">
        <v>144</v>
      </c>
      <c r="U23" s="7563" t="s">
        <v>7067</v>
      </c>
      <c r="V23" s="7564">
        <v>0</v>
      </c>
      <c r="W23" s="7564">
        <v>1</v>
      </c>
      <c r="X23" s="7564">
        <v>1</v>
      </c>
      <c r="Y23" s="7564">
        <v>1</v>
      </c>
      <c r="Z23" s="7564">
        <v>1</v>
      </c>
      <c r="AA23" s="7564">
        <v>1</v>
      </c>
      <c r="AB23" s="7564">
        <v>1</v>
      </c>
      <c r="AC23" s="7564">
        <v>1</v>
      </c>
      <c r="AD23" s="7564">
        <v>1</v>
      </c>
      <c r="AE23" s="7564">
        <v>1</v>
      </c>
      <c r="AF23" s="7564">
        <v>1</v>
      </c>
      <c r="AG23" s="7564">
        <v>1</v>
      </c>
      <c r="AH23" s="7567">
        <f>30282375.79194/5</f>
        <v>6056475.158388</v>
      </c>
      <c r="AI23" s="7567">
        <f>5618424/5</f>
        <v>1123684.8</v>
      </c>
      <c r="AJ23" s="7567"/>
      <c r="AK23" s="7567"/>
      <c r="AL23" s="7567">
        <f t="shared" ref="AL23:AM28" si="13">+AH23+AH23*6%</f>
        <v>6419863.6678912798</v>
      </c>
      <c r="AM23" s="7568">
        <f t="shared" si="13"/>
        <v>1191105.888</v>
      </c>
      <c r="AN23" s="7567"/>
      <c r="AO23" s="7567"/>
      <c r="AP23" s="7567">
        <f t="shared" ref="AP23:AQ28" si="14">+AL23+AL23*6%</f>
        <v>6805055.4879647568</v>
      </c>
      <c r="AQ23" s="7567">
        <f t="shared" si="14"/>
        <v>1262572.24128</v>
      </c>
      <c r="AR23" s="7567"/>
      <c r="AS23" s="7567"/>
      <c r="AT23" s="7567">
        <f t="shared" ref="AT23:AU28" si="15">+AP23+AP23*6%</f>
        <v>7213358.8172426419</v>
      </c>
      <c r="AU23" s="7567">
        <f t="shared" si="15"/>
        <v>1338326.5757567999</v>
      </c>
      <c r="AV23" s="7567"/>
      <c r="AW23" s="7567"/>
      <c r="AX23" s="7567">
        <f t="shared" ref="AX23:AY28" si="16">+AT23+AT23*6%</f>
        <v>7646160.3462772006</v>
      </c>
      <c r="AY23" s="7567">
        <f t="shared" si="16"/>
        <v>1418626.1703022078</v>
      </c>
      <c r="AZ23" s="7567"/>
      <c r="BA23" s="7567"/>
      <c r="BB23" s="7567">
        <f t="shared" ref="BB23:BC28" si="17">+AX23+AX23*6%</f>
        <v>8104929.9670538325</v>
      </c>
      <c r="BC23" s="7567">
        <f t="shared" si="17"/>
        <v>1503743.7405203404</v>
      </c>
      <c r="BD23" s="7567"/>
      <c r="BE23" s="7567"/>
      <c r="BF23" s="7567">
        <f t="shared" ref="BF23:BG28" si="18">+BB23+BB23*6%</f>
        <v>8591225.765077062</v>
      </c>
      <c r="BG23" s="7567">
        <f t="shared" si="18"/>
        <v>1593968.3649515607</v>
      </c>
      <c r="BH23" s="7567"/>
      <c r="BI23" s="7567"/>
      <c r="BJ23" s="7567">
        <f t="shared" ref="BJ23:BK28" si="19">+BF23+BF23*6%</f>
        <v>9106699.3109816853</v>
      </c>
      <c r="BK23" s="7567">
        <f t="shared" si="19"/>
        <v>1689606.4668486544</v>
      </c>
      <c r="BL23" s="7567"/>
      <c r="BM23" s="7567"/>
      <c r="BN23" s="7567">
        <f t="shared" ref="BN23:BO28" si="20">+BJ23+BJ23*6%</f>
        <v>9653101.2696405873</v>
      </c>
      <c r="BO23" s="7567">
        <f t="shared" si="20"/>
        <v>1790982.8548595738</v>
      </c>
      <c r="BP23" s="7567"/>
      <c r="BQ23" s="7567"/>
      <c r="BR23" s="7567">
        <f t="shared" ref="BR23:BS28" si="21">+BN23+BN23*6%</f>
        <v>10232287.345819023</v>
      </c>
      <c r="BS23" s="7567">
        <f t="shared" si="21"/>
        <v>1898441.8261511482</v>
      </c>
      <c r="BT23" s="7567"/>
      <c r="BU23" s="7567"/>
      <c r="BV23" s="7567">
        <f t="shared" ref="BV23:BW28" si="22">+BR23+BR23*6%</f>
        <v>10846224.586568164</v>
      </c>
      <c r="BW23" s="7567">
        <f t="shared" si="22"/>
        <v>2012348.3357202171</v>
      </c>
      <c r="BX23" s="7567"/>
      <c r="BY23" s="7567"/>
      <c r="BZ23" s="7567">
        <f t="shared" si="12"/>
        <v>107498788.98729472</v>
      </c>
      <c r="CA23" s="6496"/>
      <c r="CB23" s="7583"/>
      <c r="CC23" s="7583"/>
      <c r="CD23" s="7583"/>
      <c r="CE23" s="7583"/>
      <c r="CF23" s="7583"/>
      <c r="CG23" s="7583"/>
      <c r="CH23" s="7583"/>
      <c r="CI23" s="7583"/>
      <c r="CJ23" s="7583"/>
      <c r="CK23" s="7583"/>
      <c r="CL23" s="7583"/>
      <c r="CM23" s="7583"/>
      <c r="CN23" s="7583"/>
      <c r="CO23" s="7583"/>
      <c r="CP23" s="7583"/>
      <c r="CQ23" s="7583"/>
      <c r="CR23" s="7583"/>
      <c r="CS23" s="7583"/>
      <c r="CT23" s="7583"/>
      <c r="CU23" s="7583"/>
      <c r="CV23" s="7583"/>
      <c r="CW23" s="7583"/>
      <c r="CX23" s="7583"/>
      <c r="CY23" s="7583"/>
      <c r="CZ23" s="7583"/>
      <c r="DA23" s="7583"/>
      <c r="DB23" s="7583"/>
      <c r="DC23" s="7583"/>
      <c r="DD23" s="7583"/>
      <c r="DE23" s="7583"/>
      <c r="DF23" s="7583"/>
      <c r="DG23" s="7583"/>
      <c r="DH23" s="7583"/>
      <c r="DI23" s="7583"/>
      <c r="DJ23" s="7583"/>
      <c r="DK23" s="7583"/>
      <c r="DL23" s="7583"/>
      <c r="DM23" s="7583"/>
      <c r="DN23" s="7583"/>
      <c r="DO23" s="7583"/>
      <c r="DP23" s="7583"/>
      <c r="DQ23" s="7583"/>
      <c r="DR23" s="7583"/>
      <c r="DS23" s="6496"/>
      <c r="DT23" s="6496"/>
      <c r="DU23" s="6508"/>
    </row>
    <row r="24" spans="1:125" s="7180" customFormat="1" ht="15.75" customHeight="1">
      <c r="A24" s="7445" t="s">
        <v>7068</v>
      </c>
      <c r="B24" s="17049"/>
      <c r="C24" s="17078"/>
      <c r="D24" s="17080"/>
      <c r="E24" s="17078"/>
      <c r="F24" s="16841"/>
      <c r="G24" s="7446"/>
      <c r="H24" s="17121"/>
      <c r="I24" s="17121"/>
      <c r="J24" s="17121"/>
      <c r="K24" s="17124"/>
      <c r="L24" s="7520" t="s">
        <v>8402</v>
      </c>
      <c r="M24" s="7185" t="s">
        <v>7069</v>
      </c>
      <c r="N24" s="7444" t="s">
        <v>7070</v>
      </c>
      <c r="O24" s="7492" t="s">
        <v>7029</v>
      </c>
      <c r="P24" s="7492">
        <f>+AG24</f>
        <v>1</v>
      </c>
      <c r="Q24" s="7444" t="s">
        <v>7071</v>
      </c>
      <c r="R24" s="7447" t="s">
        <v>7072</v>
      </c>
      <c r="S24" s="7447" t="s">
        <v>10063</v>
      </c>
      <c r="T24" s="7450" t="s">
        <v>7073</v>
      </c>
      <c r="U24" s="7492"/>
      <c r="V24" s="7492">
        <v>1</v>
      </c>
      <c r="W24" s="7492">
        <v>1</v>
      </c>
      <c r="X24" s="7492">
        <v>1</v>
      </c>
      <c r="Y24" s="7492">
        <v>1</v>
      </c>
      <c r="Z24" s="7492">
        <v>1</v>
      </c>
      <c r="AA24" s="7492">
        <v>1</v>
      </c>
      <c r="AB24" s="7492">
        <v>1</v>
      </c>
      <c r="AC24" s="7492">
        <v>1</v>
      </c>
      <c r="AD24" s="7492">
        <v>1</v>
      </c>
      <c r="AE24" s="7492">
        <v>1</v>
      </c>
      <c r="AF24" s="7492">
        <v>1</v>
      </c>
      <c r="AG24" s="7492">
        <v>1</v>
      </c>
      <c r="AH24" s="7494">
        <f>30282375.79194/5</f>
        <v>6056475.158388</v>
      </c>
      <c r="AI24" s="7494">
        <f>5618424/5</f>
        <v>1123684.8</v>
      </c>
      <c r="AJ24" s="7494"/>
      <c r="AK24" s="7494"/>
      <c r="AL24" s="7494">
        <f t="shared" si="13"/>
        <v>6419863.6678912798</v>
      </c>
      <c r="AM24" s="7494">
        <f t="shared" si="13"/>
        <v>1191105.888</v>
      </c>
      <c r="AN24" s="7494"/>
      <c r="AO24" s="7494"/>
      <c r="AP24" s="7494">
        <f t="shared" si="14"/>
        <v>6805055.4879647568</v>
      </c>
      <c r="AQ24" s="7494">
        <f t="shared" si="14"/>
        <v>1262572.24128</v>
      </c>
      <c r="AR24" s="7494"/>
      <c r="AS24" s="7494"/>
      <c r="AT24" s="7494">
        <f t="shared" si="15"/>
        <v>7213358.8172426419</v>
      </c>
      <c r="AU24" s="7494">
        <f t="shared" si="15"/>
        <v>1338326.5757567999</v>
      </c>
      <c r="AV24" s="7494"/>
      <c r="AW24" s="7494"/>
      <c r="AX24" s="7494">
        <f t="shared" si="16"/>
        <v>7646160.3462772006</v>
      </c>
      <c r="AY24" s="7494">
        <f t="shared" si="16"/>
        <v>1418626.1703022078</v>
      </c>
      <c r="AZ24" s="7494"/>
      <c r="BA24" s="7494"/>
      <c r="BB24" s="7494">
        <f t="shared" si="17"/>
        <v>8104929.9670538325</v>
      </c>
      <c r="BC24" s="7494">
        <f t="shared" si="17"/>
        <v>1503743.7405203404</v>
      </c>
      <c r="BD24" s="7494"/>
      <c r="BE24" s="7494"/>
      <c r="BF24" s="7494">
        <f t="shared" si="18"/>
        <v>8591225.765077062</v>
      </c>
      <c r="BG24" s="7494">
        <f t="shared" si="18"/>
        <v>1593968.3649515607</v>
      </c>
      <c r="BH24" s="7494"/>
      <c r="BI24" s="7494"/>
      <c r="BJ24" s="7494">
        <f t="shared" si="19"/>
        <v>9106699.3109816853</v>
      </c>
      <c r="BK24" s="7494">
        <f t="shared" si="19"/>
        <v>1689606.4668486544</v>
      </c>
      <c r="BL24" s="7494"/>
      <c r="BM24" s="7494"/>
      <c r="BN24" s="7494">
        <f t="shared" si="20"/>
        <v>9653101.2696405873</v>
      </c>
      <c r="BO24" s="7494">
        <f t="shared" si="20"/>
        <v>1790982.8548595738</v>
      </c>
      <c r="BP24" s="7494"/>
      <c r="BQ24" s="7494"/>
      <c r="BR24" s="7494">
        <f t="shared" si="21"/>
        <v>10232287.345819023</v>
      </c>
      <c r="BS24" s="7494">
        <f t="shared" si="21"/>
        <v>1898441.8261511482</v>
      </c>
      <c r="BT24" s="7494"/>
      <c r="BU24" s="7494"/>
      <c r="BV24" s="7494">
        <f t="shared" si="22"/>
        <v>10846224.586568164</v>
      </c>
      <c r="BW24" s="7494">
        <f t="shared" si="22"/>
        <v>2012348.3357202171</v>
      </c>
      <c r="BX24" s="7494"/>
      <c r="BY24" s="7494"/>
      <c r="BZ24" s="7494">
        <f t="shared" si="12"/>
        <v>107498788.98729472</v>
      </c>
      <c r="CA24" s="7495"/>
      <c r="CB24" s="7580"/>
      <c r="CC24" s="7580"/>
      <c r="CD24" s="7580"/>
      <c r="CE24" s="7580"/>
      <c r="CF24" s="7580"/>
      <c r="CG24" s="7580"/>
      <c r="CH24" s="7580"/>
      <c r="CI24" s="7580"/>
      <c r="CJ24" s="7580"/>
      <c r="CK24" s="7580"/>
      <c r="CL24" s="7580"/>
      <c r="CM24" s="7580"/>
      <c r="CN24" s="7580"/>
      <c r="CO24" s="7580"/>
      <c r="CP24" s="7580"/>
      <c r="CQ24" s="7580"/>
      <c r="CR24" s="7580"/>
      <c r="CS24" s="7580"/>
      <c r="CT24" s="7580"/>
      <c r="CU24" s="7580"/>
      <c r="CV24" s="7580"/>
      <c r="CW24" s="7580"/>
      <c r="CX24" s="7580"/>
      <c r="CY24" s="7580"/>
      <c r="CZ24" s="7580"/>
      <c r="DA24" s="7580"/>
      <c r="DB24" s="7580"/>
      <c r="DC24" s="7580"/>
      <c r="DD24" s="7580"/>
      <c r="DE24" s="7580"/>
      <c r="DF24" s="7580"/>
      <c r="DG24" s="7580"/>
      <c r="DH24" s="7580"/>
      <c r="DI24" s="7580"/>
      <c r="DJ24" s="7580"/>
      <c r="DK24" s="7580"/>
      <c r="DL24" s="7580"/>
      <c r="DM24" s="7580"/>
      <c r="DN24" s="7580"/>
      <c r="DO24" s="7580"/>
      <c r="DP24" s="7580"/>
      <c r="DQ24" s="7580"/>
      <c r="DR24" s="7580"/>
      <c r="DS24" s="7178"/>
      <c r="DT24" s="7178"/>
      <c r="DU24" s="7521"/>
    </row>
    <row r="25" spans="1:125" s="7180" customFormat="1" ht="15.75" customHeight="1">
      <c r="A25" s="7442" t="s">
        <v>7074</v>
      </c>
      <c r="B25" s="17049"/>
      <c r="C25" s="17078"/>
      <c r="D25" s="17080"/>
      <c r="E25" s="17078"/>
      <c r="F25" s="16841"/>
      <c r="G25" s="7446"/>
      <c r="H25" s="17121"/>
      <c r="I25" s="17121"/>
      <c r="J25" s="17121"/>
      <c r="K25" s="17124"/>
      <c r="L25" s="7520" t="s">
        <v>8403</v>
      </c>
      <c r="M25" s="7185" t="s">
        <v>7075</v>
      </c>
      <c r="N25" s="7444" t="s">
        <v>7076</v>
      </c>
      <c r="O25" s="7492" t="s">
        <v>7029</v>
      </c>
      <c r="P25" s="7492">
        <f>+AG25</f>
        <v>1</v>
      </c>
      <c r="Q25" s="7444" t="s">
        <v>7077</v>
      </c>
      <c r="R25" s="7444" t="s">
        <v>7078</v>
      </c>
      <c r="S25" s="7444" t="s">
        <v>10063</v>
      </c>
      <c r="T25" s="7490" t="s">
        <v>7073</v>
      </c>
      <c r="U25" s="7492"/>
      <c r="V25" s="7492">
        <v>1</v>
      </c>
      <c r="W25" s="7492">
        <v>1</v>
      </c>
      <c r="X25" s="7492">
        <v>1</v>
      </c>
      <c r="Y25" s="7492">
        <v>1</v>
      </c>
      <c r="Z25" s="7492">
        <v>1</v>
      </c>
      <c r="AA25" s="7492">
        <v>1</v>
      </c>
      <c r="AB25" s="7492">
        <v>1</v>
      </c>
      <c r="AC25" s="7492">
        <v>1</v>
      </c>
      <c r="AD25" s="7492">
        <v>1</v>
      </c>
      <c r="AE25" s="7492">
        <v>1</v>
      </c>
      <c r="AF25" s="7492">
        <v>1</v>
      </c>
      <c r="AG25" s="7492">
        <v>1</v>
      </c>
      <c r="AH25" s="7494">
        <f>24309834.625/6</f>
        <v>4051639.1041666665</v>
      </c>
      <c r="AI25" s="7494">
        <f>802632/3</f>
        <v>267544</v>
      </c>
      <c r="AJ25" s="7494"/>
      <c r="AK25" s="7494"/>
      <c r="AL25" s="7494">
        <f t="shared" si="13"/>
        <v>4294737.4504166665</v>
      </c>
      <c r="AM25" s="7494">
        <f t="shared" si="13"/>
        <v>283596.64</v>
      </c>
      <c r="AN25" s="7494"/>
      <c r="AO25" s="7494"/>
      <c r="AP25" s="7494">
        <f t="shared" si="14"/>
        <v>4552421.6974416664</v>
      </c>
      <c r="AQ25" s="7494">
        <f t="shared" si="14"/>
        <v>300612.43839999998</v>
      </c>
      <c r="AR25" s="7494"/>
      <c r="AS25" s="7494"/>
      <c r="AT25" s="7494">
        <f t="shared" si="15"/>
        <v>4825566.9992881659</v>
      </c>
      <c r="AU25" s="7494">
        <f t="shared" si="15"/>
        <v>318649.18470399996</v>
      </c>
      <c r="AV25" s="7494"/>
      <c r="AW25" s="7494"/>
      <c r="AX25" s="7494">
        <f t="shared" si="16"/>
        <v>5115101.019245456</v>
      </c>
      <c r="AY25" s="7494">
        <f t="shared" si="16"/>
        <v>337768.13578623993</v>
      </c>
      <c r="AZ25" s="7494"/>
      <c r="BA25" s="7494"/>
      <c r="BB25" s="7494">
        <f t="shared" si="17"/>
        <v>5422007.0804001838</v>
      </c>
      <c r="BC25" s="7494">
        <f t="shared" si="17"/>
        <v>358034.22393341432</v>
      </c>
      <c r="BD25" s="7494"/>
      <c r="BE25" s="7494"/>
      <c r="BF25" s="7494">
        <f t="shared" si="18"/>
        <v>5747327.5052241944</v>
      </c>
      <c r="BG25" s="7494">
        <f t="shared" si="18"/>
        <v>379516.27736941917</v>
      </c>
      <c r="BH25" s="7494"/>
      <c r="BI25" s="7494"/>
      <c r="BJ25" s="7494">
        <f t="shared" si="19"/>
        <v>6092167.1555376463</v>
      </c>
      <c r="BK25" s="7494">
        <f t="shared" si="19"/>
        <v>402287.25401158433</v>
      </c>
      <c r="BL25" s="7494"/>
      <c r="BM25" s="7494"/>
      <c r="BN25" s="7494">
        <f t="shared" si="20"/>
        <v>6457697.184869905</v>
      </c>
      <c r="BO25" s="7494">
        <f t="shared" si="20"/>
        <v>426424.4892522794</v>
      </c>
      <c r="BP25" s="7494"/>
      <c r="BQ25" s="7494"/>
      <c r="BR25" s="7494">
        <f t="shared" si="21"/>
        <v>6845159.0159620997</v>
      </c>
      <c r="BS25" s="7494">
        <f t="shared" si="21"/>
        <v>452009.95860741613</v>
      </c>
      <c r="BT25" s="7494"/>
      <c r="BU25" s="7494"/>
      <c r="BV25" s="7494">
        <f t="shared" si="22"/>
        <v>7255868.5569198253</v>
      </c>
      <c r="BW25" s="7494">
        <f t="shared" si="22"/>
        <v>479130.55612386111</v>
      </c>
      <c r="BX25" s="7494"/>
      <c r="BY25" s="7494"/>
      <c r="BZ25" s="7494">
        <f t="shared" si="12"/>
        <v>64665265.927660681</v>
      </c>
      <c r="CA25" s="7495"/>
      <c r="CB25" s="7580"/>
      <c r="CC25" s="7580"/>
      <c r="CD25" s="7580"/>
      <c r="CE25" s="7580"/>
      <c r="CF25" s="7580"/>
      <c r="CG25" s="7580"/>
      <c r="CH25" s="7580"/>
      <c r="CI25" s="7580"/>
      <c r="CJ25" s="7580"/>
      <c r="CK25" s="7580"/>
      <c r="CL25" s="7580"/>
      <c r="CM25" s="7580"/>
      <c r="CN25" s="7580"/>
      <c r="CO25" s="7580"/>
      <c r="CP25" s="7580"/>
      <c r="CQ25" s="7580"/>
      <c r="CR25" s="7580"/>
      <c r="CS25" s="7580"/>
      <c r="CT25" s="7580"/>
      <c r="CU25" s="7580"/>
      <c r="CV25" s="7580"/>
      <c r="CW25" s="7580"/>
      <c r="CX25" s="7580"/>
      <c r="CY25" s="7580"/>
      <c r="CZ25" s="7580"/>
      <c r="DA25" s="7580"/>
      <c r="DB25" s="7580"/>
      <c r="DC25" s="7580"/>
      <c r="DD25" s="7580"/>
      <c r="DE25" s="7580"/>
      <c r="DF25" s="7580"/>
      <c r="DG25" s="7580"/>
      <c r="DH25" s="7580"/>
      <c r="DI25" s="7580"/>
      <c r="DJ25" s="7580"/>
      <c r="DK25" s="7580"/>
      <c r="DL25" s="7580"/>
      <c r="DM25" s="7580"/>
      <c r="DN25" s="7580"/>
      <c r="DO25" s="7580"/>
      <c r="DP25" s="7580"/>
      <c r="DQ25" s="7580"/>
      <c r="DR25" s="7580"/>
      <c r="DS25" s="7178"/>
      <c r="DT25" s="7178"/>
      <c r="DU25" s="7521"/>
    </row>
    <row r="26" spans="1:125" s="7180" customFormat="1" ht="15.75" customHeight="1">
      <c r="A26" s="7442" t="s">
        <v>7079</v>
      </c>
      <c r="B26" s="17049"/>
      <c r="C26" s="17078"/>
      <c r="D26" s="17080"/>
      <c r="E26" s="17078"/>
      <c r="F26" s="16841"/>
      <c r="G26" s="7446"/>
      <c r="H26" s="17121"/>
      <c r="I26" s="17121"/>
      <c r="J26" s="17121"/>
      <c r="K26" s="17124"/>
      <c r="L26" s="7520" t="s">
        <v>8404</v>
      </c>
      <c r="M26" s="7185" t="s">
        <v>7080</v>
      </c>
      <c r="N26" s="7185" t="s">
        <v>7081</v>
      </c>
      <c r="O26" s="7094" t="s">
        <v>7029</v>
      </c>
      <c r="P26" s="7448">
        <f>+AG26</f>
        <v>1</v>
      </c>
      <c r="Q26" s="7094" t="s">
        <v>7082</v>
      </c>
      <c r="R26" s="7094" t="s">
        <v>7083</v>
      </c>
      <c r="S26" s="7185" t="s">
        <v>10063</v>
      </c>
      <c r="T26" s="7094" t="s">
        <v>724</v>
      </c>
      <c r="U26" s="7492"/>
      <c r="V26" s="7448">
        <v>1</v>
      </c>
      <c r="W26" s="7448">
        <v>1</v>
      </c>
      <c r="X26" s="7448">
        <v>1</v>
      </c>
      <c r="Y26" s="7448">
        <v>1</v>
      </c>
      <c r="Z26" s="7448">
        <v>1</v>
      </c>
      <c r="AA26" s="7448">
        <v>1</v>
      </c>
      <c r="AB26" s="7448">
        <v>1</v>
      </c>
      <c r="AC26" s="7448">
        <v>1</v>
      </c>
      <c r="AD26" s="7448">
        <v>1</v>
      </c>
      <c r="AE26" s="7448">
        <v>1</v>
      </c>
      <c r="AF26" s="7448">
        <v>1</v>
      </c>
      <c r="AG26" s="7448">
        <v>1</v>
      </c>
      <c r="AH26" s="7449">
        <f>24309834.625/6</f>
        <v>4051639.1041666665</v>
      </c>
      <c r="AI26" s="7449">
        <f>802632/3</f>
        <v>267544</v>
      </c>
      <c r="AJ26" s="7449"/>
      <c r="AK26" s="7449"/>
      <c r="AL26" s="7449">
        <f t="shared" si="13"/>
        <v>4294737.4504166665</v>
      </c>
      <c r="AM26" s="7449">
        <f t="shared" si="13"/>
        <v>283596.64</v>
      </c>
      <c r="AN26" s="7449"/>
      <c r="AO26" s="7449"/>
      <c r="AP26" s="7449">
        <f t="shared" si="14"/>
        <v>4552421.6974416664</v>
      </c>
      <c r="AQ26" s="7449">
        <f t="shared" si="14"/>
        <v>300612.43839999998</v>
      </c>
      <c r="AR26" s="7449"/>
      <c r="AS26" s="7449"/>
      <c r="AT26" s="7494">
        <f t="shared" si="15"/>
        <v>4825566.9992881659</v>
      </c>
      <c r="AU26" s="7494">
        <f t="shared" si="15"/>
        <v>318649.18470399996</v>
      </c>
      <c r="AV26" s="7494"/>
      <c r="AW26" s="7494"/>
      <c r="AX26" s="7494">
        <f t="shared" si="16"/>
        <v>5115101.019245456</v>
      </c>
      <c r="AY26" s="7494">
        <f t="shared" si="16"/>
        <v>337768.13578623993</v>
      </c>
      <c r="AZ26" s="7494"/>
      <c r="BA26" s="7494"/>
      <c r="BB26" s="7494">
        <f t="shared" si="17"/>
        <v>5422007.0804001838</v>
      </c>
      <c r="BC26" s="7494">
        <f t="shared" si="17"/>
        <v>358034.22393341432</v>
      </c>
      <c r="BD26" s="7494"/>
      <c r="BE26" s="7494"/>
      <c r="BF26" s="7494">
        <f t="shared" si="18"/>
        <v>5747327.5052241944</v>
      </c>
      <c r="BG26" s="7494">
        <f t="shared" si="18"/>
        <v>379516.27736941917</v>
      </c>
      <c r="BH26" s="7494"/>
      <c r="BI26" s="7494"/>
      <c r="BJ26" s="7494">
        <f t="shared" si="19"/>
        <v>6092167.1555376463</v>
      </c>
      <c r="BK26" s="7494">
        <f t="shared" si="19"/>
        <v>402287.25401158433</v>
      </c>
      <c r="BL26" s="7494"/>
      <c r="BM26" s="7494"/>
      <c r="BN26" s="7494">
        <f t="shared" si="20"/>
        <v>6457697.184869905</v>
      </c>
      <c r="BO26" s="7494">
        <f t="shared" si="20"/>
        <v>426424.4892522794</v>
      </c>
      <c r="BP26" s="7494"/>
      <c r="BQ26" s="7494"/>
      <c r="BR26" s="7494">
        <f t="shared" si="21"/>
        <v>6845159.0159620997</v>
      </c>
      <c r="BS26" s="7494">
        <f t="shared" si="21"/>
        <v>452009.95860741613</v>
      </c>
      <c r="BT26" s="7494"/>
      <c r="BU26" s="7494"/>
      <c r="BV26" s="7449">
        <f t="shared" si="22"/>
        <v>7255868.5569198253</v>
      </c>
      <c r="BW26" s="7449">
        <f t="shared" si="22"/>
        <v>479130.55612386111</v>
      </c>
      <c r="BX26" s="7449"/>
      <c r="BY26" s="7449"/>
      <c r="BZ26" s="7449">
        <f t="shared" si="12"/>
        <v>64665265.927660681</v>
      </c>
      <c r="CA26" s="7178"/>
      <c r="CB26" s="7580"/>
      <c r="CC26" s="7580"/>
      <c r="CD26" s="7580"/>
      <c r="CE26" s="7580"/>
      <c r="CF26" s="7580"/>
      <c r="CG26" s="7580"/>
      <c r="CH26" s="7580"/>
      <c r="CI26" s="7580"/>
      <c r="CJ26" s="7580"/>
      <c r="CK26" s="7580"/>
      <c r="CL26" s="7580"/>
      <c r="CM26" s="7580"/>
      <c r="CN26" s="7580"/>
      <c r="CO26" s="7580"/>
      <c r="CP26" s="7580"/>
      <c r="CQ26" s="7580"/>
      <c r="CR26" s="7580"/>
      <c r="CS26" s="7580"/>
      <c r="CT26" s="7580"/>
      <c r="CU26" s="7580"/>
      <c r="CV26" s="7580"/>
      <c r="CW26" s="7580"/>
      <c r="CX26" s="7580"/>
      <c r="CY26" s="7580"/>
      <c r="CZ26" s="7580"/>
      <c r="DA26" s="7580"/>
      <c r="DB26" s="7580"/>
      <c r="DC26" s="7580"/>
      <c r="DD26" s="7580"/>
      <c r="DE26" s="7580"/>
      <c r="DF26" s="7580"/>
      <c r="DG26" s="7580"/>
      <c r="DH26" s="7580"/>
      <c r="DI26" s="7580"/>
      <c r="DJ26" s="7580"/>
      <c r="DK26" s="7580"/>
      <c r="DL26" s="7580"/>
      <c r="DM26" s="7580"/>
      <c r="DN26" s="7580"/>
      <c r="DO26" s="7580"/>
      <c r="DP26" s="7580"/>
      <c r="DQ26" s="7580"/>
      <c r="DR26" s="7580"/>
      <c r="DS26" s="7178"/>
      <c r="DT26" s="7178"/>
      <c r="DU26" s="7521"/>
    </row>
    <row r="27" spans="1:125" s="7180" customFormat="1" ht="15.75" customHeight="1">
      <c r="A27" s="17052" t="s">
        <v>7084</v>
      </c>
      <c r="B27" s="17049"/>
      <c r="C27" s="17078"/>
      <c r="D27" s="17080"/>
      <c r="E27" s="17078"/>
      <c r="F27" s="16841"/>
      <c r="G27" s="7446"/>
      <c r="H27" s="17121"/>
      <c r="I27" s="17121"/>
      <c r="J27" s="17121"/>
      <c r="K27" s="17124"/>
      <c r="L27" s="7520" t="s">
        <v>8405</v>
      </c>
      <c r="M27" s="7185" t="s">
        <v>7085</v>
      </c>
      <c r="N27" s="7444" t="s">
        <v>7086</v>
      </c>
      <c r="O27" s="7492" t="s">
        <v>7029</v>
      </c>
      <c r="P27" s="7448">
        <v>1</v>
      </c>
      <c r="Q27" s="7444" t="s">
        <v>7087</v>
      </c>
      <c r="R27" s="7490" t="s">
        <v>7088</v>
      </c>
      <c r="S27" s="7444" t="s">
        <v>10063</v>
      </c>
      <c r="T27" s="7490" t="s">
        <v>724</v>
      </c>
      <c r="U27" s="7492"/>
      <c r="V27" s="7448">
        <v>1</v>
      </c>
      <c r="W27" s="7448">
        <v>1</v>
      </c>
      <c r="X27" s="7448">
        <v>1</v>
      </c>
      <c r="Y27" s="7448">
        <v>1</v>
      </c>
      <c r="Z27" s="7448">
        <v>1</v>
      </c>
      <c r="AA27" s="7448">
        <v>1</v>
      </c>
      <c r="AB27" s="7448">
        <v>1</v>
      </c>
      <c r="AC27" s="7448">
        <v>1</v>
      </c>
      <c r="AD27" s="7448">
        <v>1</v>
      </c>
      <c r="AE27" s="7448">
        <v>1</v>
      </c>
      <c r="AF27" s="7448">
        <v>1</v>
      </c>
      <c r="AG27" s="7448">
        <v>1</v>
      </c>
      <c r="AH27" s="7494">
        <f>30282375.79194/5</f>
        <v>6056475.158388</v>
      </c>
      <c r="AI27" s="7494">
        <f>5618424/5</f>
        <v>1123684.8</v>
      </c>
      <c r="AJ27" s="7494"/>
      <c r="AK27" s="7494"/>
      <c r="AL27" s="7494">
        <f t="shared" si="13"/>
        <v>6419863.6678912798</v>
      </c>
      <c r="AM27" s="7494">
        <f t="shared" si="13"/>
        <v>1191105.888</v>
      </c>
      <c r="AN27" s="7494"/>
      <c r="AO27" s="7494"/>
      <c r="AP27" s="7494">
        <f t="shared" si="14"/>
        <v>6805055.4879647568</v>
      </c>
      <c r="AQ27" s="7494">
        <f t="shared" si="14"/>
        <v>1262572.24128</v>
      </c>
      <c r="AR27" s="7494"/>
      <c r="AS27" s="7494"/>
      <c r="AT27" s="7494">
        <f t="shared" si="15"/>
        <v>7213358.8172426419</v>
      </c>
      <c r="AU27" s="7494">
        <f t="shared" si="15"/>
        <v>1338326.5757567999</v>
      </c>
      <c r="AV27" s="7494"/>
      <c r="AW27" s="7494"/>
      <c r="AX27" s="7494">
        <f t="shared" si="16"/>
        <v>7646160.3462772006</v>
      </c>
      <c r="AY27" s="7494">
        <f t="shared" si="16"/>
        <v>1418626.1703022078</v>
      </c>
      <c r="AZ27" s="7494"/>
      <c r="BA27" s="7494"/>
      <c r="BB27" s="7494">
        <f t="shared" si="17"/>
        <v>8104929.9670538325</v>
      </c>
      <c r="BC27" s="7494">
        <f t="shared" si="17"/>
        <v>1503743.7405203404</v>
      </c>
      <c r="BD27" s="7494"/>
      <c r="BE27" s="7494"/>
      <c r="BF27" s="7494">
        <f t="shared" si="18"/>
        <v>8591225.765077062</v>
      </c>
      <c r="BG27" s="7494">
        <f t="shared" si="18"/>
        <v>1593968.3649515607</v>
      </c>
      <c r="BH27" s="7494"/>
      <c r="BI27" s="7494"/>
      <c r="BJ27" s="7494">
        <f t="shared" si="19"/>
        <v>9106699.3109816853</v>
      </c>
      <c r="BK27" s="7494">
        <f t="shared" si="19"/>
        <v>1689606.4668486544</v>
      </c>
      <c r="BL27" s="7494"/>
      <c r="BM27" s="7494"/>
      <c r="BN27" s="7494">
        <f t="shared" si="20"/>
        <v>9653101.2696405873</v>
      </c>
      <c r="BO27" s="7494">
        <f t="shared" si="20"/>
        <v>1790982.8548595738</v>
      </c>
      <c r="BP27" s="7494"/>
      <c r="BQ27" s="7494"/>
      <c r="BR27" s="7494">
        <f t="shared" si="21"/>
        <v>10232287.345819023</v>
      </c>
      <c r="BS27" s="7494">
        <f t="shared" si="21"/>
        <v>1898441.8261511482</v>
      </c>
      <c r="BT27" s="7494"/>
      <c r="BU27" s="7494"/>
      <c r="BV27" s="7494">
        <f t="shared" si="22"/>
        <v>10846224.586568164</v>
      </c>
      <c r="BW27" s="7494">
        <f t="shared" si="22"/>
        <v>2012348.3357202171</v>
      </c>
      <c r="BX27" s="7494"/>
      <c r="BY27" s="7494"/>
      <c r="BZ27" s="7494">
        <f t="shared" si="12"/>
        <v>107498788.98729472</v>
      </c>
      <c r="CA27" s="7495"/>
      <c r="CB27" s="7580"/>
      <c r="CC27" s="7580"/>
      <c r="CD27" s="7580"/>
      <c r="CE27" s="7580"/>
      <c r="CF27" s="7580"/>
      <c r="CG27" s="7580"/>
      <c r="CH27" s="7580"/>
      <c r="CI27" s="7580"/>
      <c r="CJ27" s="7580"/>
      <c r="CK27" s="7580"/>
      <c r="CL27" s="7580"/>
      <c r="CM27" s="7580"/>
      <c r="CN27" s="7580"/>
      <c r="CO27" s="7580"/>
      <c r="CP27" s="7580"/>
      <c r="CQ27" s="7580"/>
      <c r="CR27" s="7580"/>
      <c r="CS27" s="7580"/>
      <c r="CT27" s="7580"/>
      <c r="CU27" s="7580"/>
      <c r="CV27" s="7580"/>
      <c r="CW27" s="7580"/>
      <c r="CX27" s="7580"/>
      <c r="CY27" s="7580"/>
      <c r="CZ27" s="7580"/>
      <c r="DA27" s="7580"/>
      <c r="DB27" s="7580"/>
      <c r="DC27" s="7580"/>
      <c r="DD27" s="7580"/>
      <c r="DE27" s="7580"/>
      <c r="DF27" s="7580"/>
      <c r="DG27" s="7580"/>
      <c r="DH27" s="7580"/>
      <c r="DI27" s="7580"/>
      <c r="DJ27" s="7580"/>
      <c r="DK27" s="7580"/>
      <c r="DL27" s="7580"/>
      <c r="DM27" s="7580"/>
      <c r="DN27" s="7580"/>
      <c r="DO27" s="7580"/>
      <c r="DP27" s="7580"/>
      <c r="DQ27" s="7580"/>
      <c r="DR27" s="7580"/>
      <c r="DS27" s="7178"/>
      <c r="DT27" s="7178"/>
      <c r="DU27" s="7521"/>
    </row>
    <row r="28" spans="1:125" s="7180" customFormat="1" ht="15.75" customHeight="1">
      <c r="A28" s="17054"/>
      <c r="B28" s="17049"/>
      <c r="C28" s="17078"/>
      <c r="D28" s="17080"/>
      <c r="E28" s="17078"/>
      <c r="F28" s="16841"/>
      <c r="G28" s="7446"/>
      <c r="H28" s="17121"/>
      <c r="I28" s="17121"/>
      <c r="J28" s="17121"/>
      <c r="K28" s="17124"/>
      <c r="L28" s="7520" t="s">
        <v>8406</v>
      </c>
      <c r="M28" s="7496" t="s">
        <v>8389</v>
      </c>
      <c r="N28" s="7444" t="s">
        <v>7089</v>
      </c>
      <c r="O28" s="7450" t="s">
        <v>7029</v>
      </c>
      <c r="P28" s="7448">
        <f>+AG28</f>
        <v>1</v>
      </c>
      <c r="Q28" s="7493" t="s">
        <v>7090</v>
      </c>
      <c r="R28" s="7493" t="s">
        <v>7091</v>
      </c>
      <c r="S28" s="7444" t="s">
        <v>10063</v>
      </c>
      <c r="T28" s="7450" t="s">
        <v>724</v>
      </c>
      <c r="U28" s="7491"/>
      <c r="V28" s="7448">
        <v>1</v>
      </c>
      <c r="W28" s="7448">
        <v>1</v>
      </c>
      <c r="X28" s="7448">
        <v>1</v>
      </c>
      <c r="Y28" s="7448">
        <v>1</v>
      </c>
      <c r="Z28" s="7448">
        <v>1</v>
      </c>
      <c r="AA28" s="7448">
        <v>1</v>
      </c>
      <c r="AB28" s="7448">
        <v>1</v>
      </c>
      <c r="AC28" s="7448">
        <v>1</v>
      </c>
      <c r="AD28" s="7448">
        <v>1</v>
      </c>
      <c r="AE28" s="7448">
        <v>1</v>
      </c>
      <c r="AF28" s="7448">
        <v>1</v>
      </c>
      <c r="AG28" s="7448">
        <v>1</v>
      </c>
      <c r="AH28" s="7449">
        <f>30282375.79194/5</f>
        <v>6056475.158388</v>
      </c>
      <c r="AI28" s="7449">
        <f>5618424/5</f>
        <v>1123684.8</v>
      </c>
      <c r="AJ28" s="7449"/>
      <c r="AK28" s="7449"/>
      <c r="AL28" s="7449">
        <f t="shared" si="13"/>
        <v>6419863.6678912798</v>
      </c>
      <c r="AM28" s="7449">
        <f t="shared" si="13"/>
        <v>1191105.888</v>
      </c>
      <c r="AN28" s="7449"/>
      <c r="AO28" s="7449"/>
      <c r="AP28" s="7449">
        <f t="shared" si="14"/>
        <v>6805055.4879647568</v>
      </c>
      <c r="AQ28" s="7449">
        <f t="shared" si="14"/>
        <v>1262572.24128</v>
      </c>
      <c r="AR28" s="7449"/>
      <c r="AS28" s="7449"/>
      <c r="AT28" s="7449">
        <f t="shared" si="15"/>
        <v>7213358.8172426419</v>
      </c>
      <c r="AU28" s="7449">
        <f t="shared" si="15"/>
        <v>1338326.5757567999</v>
      </c>
      <c r="AV28" s="7449"/>
      <c r="AW28" s="7449"/>
      <c r="AX28" s="7449">
        <f t="shared" si="16"/>
        <v>7646160.3462772006</v>
      </c>
      <c r="AY28" s="7449">
        <f t="shared" si="16"/>
        <v>1418626.1703022078</v>
      </c>
      <c r="AZ28" s="7449"/>
      <c r="BA28" s="7449"/>
      <c r="BB28" s="7449">
        <f t="shared" si="17"/>
        <v>8104929.9670538325</v>
      </c>
      <c r="BC28" s="7449">
        <f t="shared" si="17"/>
        <v>1503743.7405203404</v>
      </c>
      <c r="BD28" s="7449"/>
      <c r="BE28" s="7449"/>
      <c r="BF28" s="7449">
        <f t="shared" si="18"/>
        <v>8591225.765077062</v>
      </c>
      <c r="BG28" s="7449">
        <f t="shared" si="18"/>
        <v>1593968.3649515607</v>
      </c>
      <c r="BH28" s="7449"/>
      <c r="BI28" s="7449"/>
      <c r="BJ28" s="7449">
        <f t="shared" si="19"/>
        <v>9106699.3109816853</v>
      </c>
      <c r="BK28" s="7449">
        <f t="shared" si="19"/>
        <v>1689606.4668486544</v>
      </c>
      <c r="BL28" s="7449"/>
      <c r="BM28" s="7449"/>
      <c r="BN28" s="7449">
        <f t="shared" si="20"/>
        <v>9653101.2696405873</v>
      </c>
      <c r="BO28" s="7449">
        <f t="shared" si="20"/>
        <v>1790982.8548595738</v>
      </c>
      <c r="BP28" s="7449"/>
      <c r="BQ28" s="7449"/>
      <c r="BR28" s="7449">
        <f t="shared" si="21"/>
        <v>10232287.345819023</v>
      </c>
      <c r="BS28" s="7449">
        <f t="shared" si="21"/>
        <v>1898441.8261511482</v>
      </c>
      <c r="BT28" s="7449"/>
      <c r="BU28" s="7449"/>
      <c r="BV28" s="7449">
        <f t="shared" si="22"/>
        <v>10846224.586568164</v>
      </c>
      <c r="BW28" s="7449">
        <f t="shared" si="22"/>
        <v>2012348.3357202171</v>
      </c>
      <c r="BX28" s="7449"/>
      <c r="BY28" s="7449"/>
      <c r="BZ28" s="7449">
        <f t="shared" si="12"/>
        <v>107498788.98729472</v>
      </c>
      <c r="CA28" s="7178"/>
      <c r="CB28" s="7580"/>
      <c r="CC28" s="7580"/>
      <c r="CD28" s="7580"/>
      <c r="CE28" s="7580"/>
      <c r="CF28" s="7580"/>
      <c r="CG28" s="7580"/>
      <c r="CH28" s="7580"/>
      <c r="CI28" s="7580"/>
      <c r="CJ28" s="7580"/>
      <c r="CK28" s="7580"/>
      <c r="CL28" s="7580"/>
      <c r="CM28" s="7580"/>
      <c r="CN28" s="7580"/>
      <c r="CO28" s="7580"/>
      <c r="CP28" s="7580"/>
      <c r="CQ28" s="7580"/>
      <c r="CR28" s="7580"/>
      <c r="CS28" s="7580"/>
      <c r="CT28" s="7580"/>
      <c r="CU28" s="7580"/>
      <c r="CV28" s="7580"/>
      <c r="CW28" s="7580"/>
      <c r="CX28" s="7580"/>
      <c r="CY28" s="7580"/>
      <c r="CZ28" s="7580"/>
      <c r="DA28" s="7580"/>
      <c r="DB28" s="7580"/>
      <c r="DC28" s="7580"/>
      <c r="DD28" s="7580"/>
      <c r="DE28" s="7580"/>
      <c r="DF28" s="7580"/>
      <c r="DG28" s="7580"/>
      <c r="DH28" s="7580"/>
      <c r="DI28" s="7580"/>
      <c r="DJ28" s="7580"/>
      <c r="DK28" s="7580"/>
      <c r="DL28" s="7580"/>
      <c r="DM28" s="7580"/>
      <c r="DN28" s="7580"/>
      <c r="DO28" s="7580"/>
      <c r="DP28" s="7580"/>
      <c r="DQ28" s="7580"/>
      <c r="DR28" s="7580"/>
      <c r="DS28" s="7178"/>
      <c r="DT28" s="7178"/>
      <c r="DU28" s="7521"/>
    </row>
    <row r="29" spans="1:125" s="7180" customFormat="1" ht="15.75" customHeight="1">
      <c r="A29" s="7442" t="s">
        <v>7092</v>
      </c>
      <c r="B29" s="17049"/>
      <c r="C29" s="17078"/>
      <c r="D29" s="17080"/>
      <c r="E29" s="17078"/>
      <c r="F29" s="16841"/>
      <c r="G29" s="7446"/>
      <c r="H29" s="17121"/>
      <c r="I29" s="17121"/>
      <c r="J29" s="17121"/>
      <c r="K29" s="17124"/>
      <c r="L29" s="17051" t="s">
        <v>8407</v>
      </c>
      <c r="M29" s="15376" t="s">
        <v>7093</v>
      </c>
      <c r="N29" s="17074" t="s">
        <v>7094</v>
      </c>
      <c r="O29" s="17074" t="s">
        <v>7095</v>
      </c>
      <c r="P29" s="17074">
        <f>+AG29</f>
        <v>1</v>
      </c>
      <c r="Q29" s="17074" t="s">
        <v>7096</v>
      </c>
      <c r="R29" s="17074" t="s">
        <v>7097</v>
      </c>
      <c r="S29" s="7444" t="s">
        <v>86</v>
      </c>
      <c r="T29" s="17074" t="s">
        <v>7098</v>
      </c>
      <c r="U29" s="7491"/>
      <c r="V29" s="7448">
        <v>0</v>
      </c>
      <c r="W29" s="7448">
        <v>1</v>
      </c>
      <c r="X29" s="7448">
        <v>1</v>
      </c>
      <c r="Y29" s="7448">
        <v>1</v>
      </c>
      <c r="Z29" s="7448">
        <v>1</v>
      </c>
      <c r="AA29" s="7448">
        <v>1</v>
      </c>
      <c r="AB29" s="7448">
        <v>1</v>
      </c>
      <c r="AC29" s="7448">
        <v>1</v>
      </c>
      <c r="AD29" s="7448">
        <v>1</v>
      </c>
      <c r="AE29" s="7448">
        <v>1</v>
      </c>
      <c r="AF29" s="7448">
        <v>1</v>
      </c>
      <c r="AG29" s="7448">
        <v>1</v>
      </c>
      <c r="AH29" s="7449">
        <v>4500000</v>
      </c>
      <c r="AI29" s="7449"/>
      <c r="AJ29" s="7449"/>
      <c r="AK29" s="7449"/>
      <c r="AL29" s="7449">
        <f>+AH29+AH29*6%</f>
        <v>4770000</v>
      </c>
      <c r="AM29" s="7449"/>
      <c r="AN29" s="7449"/>
      <c r="AO29" s="7449"/>
      <c r="AP29" s="7449">
        <f>+AL29+AL29*6%</f>
        <v>5056200</v>
      </c>
      <c r="AQ29" s="7449"/>
      <c r="AR29" s="7449"/>
      <c r="AS29" s="7449"/>
      <c r="AT29" s="7449">
        <f>+AP29+AP29*6%</f>
        <v>5359572</v>
      </c>
      <c r="AU29" s="7449"/>
      <c r="AV29" s="7449"/>
      <c r="AW29" s="7449"/>
      <c r="AX29" s="7449">
        <f>+AT29+AT29*6%</f>
        <v>5681146.3200000003</v>
      </c>
      <c r="AY29" s="7449"/>
      <c r="AZ29" s="7449"/>
      <c r="BA29" s="7449"/>
      <c r="BB29" s="7449">
        <f>+AX29+AX29*6%</f>
        <v>6022015.0992000001</v>
      </c>
      <c r="BC29" s="7449"/>
      <c r="BD29" s="7449"/>
      <c r="BE29" s="7449"/>
      <c r="BF29" s="7449">
        <f>+BB29+BB29*6%</f>
        <v>6383336.0051520001</v>
      </c>
      <c r="BG29" s="7449"/>
      <c r="BH29" s="7449"/>
      <c r="BI29" s="7449"/>
      <c r="BJ29" s="7449">
        <f>+BF29+BF29*6%</f>
        <v>6766336.1654611202</v>
      </c>
      <c r="BK29" s="7449"/>
      <c r="BL29" s="7449"/>
      <c r="BM29" s="7449"/>
      <c r="BN29" s="7449">
        <f>+BJ29+BJ29*6%</f>
        <v>7172316.3353887871</v>
      </c>
      <c r="BO29" s="7449"/>
      <c r="BP29" s="7449"/>
      <c r="BQ29" s="7449"/>
      <c r="BR29" s="7449">
        <f>+BN29+BN29*6%</f>
        <v>7602655.3155121142</v>
      </c>
      <c r="BS29" s="7449"/>
      <c r="BT29" s="7449"/>
      <c r="BU29" s="7449"/>
      <c r="BV29" s="7449">
        <f>+BR29+BR29*6%</f>
        <v>8058814.6344428407</v>
      </c>
      <c r="BW29" s="7449"/>
      <c r="BX29" s="7449"/>
      <c r="BY29" s="7449"/>
      <c r="BZ29" s="7449">
        <f t="shared" si="12"/>
        <v>67372391.875156865</v>
      </c>
      <c r="CA29" s="7178"/>
      <c r="CB29" s="7178"/>
      <c r="CC29" s="7178"/>
      <c r="CD29" s="7178"/>
      <c r="CE29" s="7178"/>
      <c r="CF29" s="7178"/>
      <c r="CG29" s="7178"/>
      <c r="CH29" s="7178"/>
      <c r="CI29" s="7178"/>
      <c r="CJ29" s="7178"/>
      <c r="CK29" s="7178"/>
      <c r="CL29" s="7178"/>
      <c r="CM29" s="7178"/>
      <c r="CN29" s="7178"/>
      <c r="CO29" s="7178"/>
      <c r="CP29" s="7178"/>
      <c r="CQ29" s="7178"/>
      <c r="CR29" s="7178"/>
      <c r="CS29" s="7178"/>
      <c r="CT29" s="7178"/>
      <c r="CU29" s="7178"/>
      <c r="CV29" s="7178"/>
      <c r="CW29" s="7178"/>
      <c r="CX29" s="7178"/>
      <c r="CY29" s="7178"/>
      <c r="CZ29" s="7178"/>
      <c r="DA29" s="7178"/>
      <c r="DB29" s="7178"/>
      <c r="DC29" s="7178"/>
      <c r="DD29" s="7178"/>
      <c r="DE29" s="7178"/>
      <c r="DF29" s="7178"/>
      <c r="DG29" s="7178"/>
      <c r="DH29" s="7178"/>
      <c r="DI29" s="7178"/>
      <c r="DJ29" s="7178"/>
      <c r="DK29" s="7178"/>
      <c r="DL29" s="7178"/>
      <c r="DM29" s="7178"/>
      <c r="DN29" s="7178"/>
      <c r="DO29" s="7178"/>
      <c r="DP29" s="7178"/>
      <c r="DQ29" s="7178"/>
      <c r="DR29" s="7178"/>
      <c r="DS29" s="7178"/>
      <c r="DT29" s="7178"/>
      <c r="DU29" s="7521"/>
    </row>
    <row r="30" spans="1:125" s="7180" customFormat="1" ht="15.75" customHeight="1">
      <c r="A30" s="7185"/>
      <c r="B30" s="15376"/>
      <c r="C30" s="17078"/>
      <c r="D30" s="17080"/>
      <c r="E30" s="17078"/>
      <c r="F30" s="16841"/>
      <c r="G30" s="7446"/>
      <c r="H30" s="17121"/>
      <c r="I30" s="17121"/>
      <c r="J30" s="17121"/>
      <c r="K30" s="17124"/>
      <c r="L30" s="17051"/>
      <c r="M30" s="15376"/>
      <c r="N30" s="17074"/>
      <c r="O30" s="17074"/>
      <c r="P30" s="17074"/>
      <c r="Q30" s="17074"/>
      <c r="R30" s="17074"/>
      <c r="S30" s="7444" t="s">
        <v>10066</v>
      </c>
      <c r="T30" s="17074"/>
      <c r="U30" s="7491"/>
      <c r="V30" s="7448"/>
      <c r="W30" s="7448"/>
      <c r="X30" s="7448"/>
      <c r="Y30" s="7448"/>
      <c r="Z30" s="7448"/>
      <c r="AA30" s="7448"/>
      <c r="AB30" s="7448"/>
      <c r="AC30" s="7448"/>
      <c r="AD30" s="7448"/>
      <c r="AE30" s="7448"/>
      <c r="AF30" s="7448"/>
      <c r="AG30" s="7448"/>
      <c r="AH30" s="7449"/>
      <c r="AI30" s="7449"/>
      <c r="AJ30" s="7449"/>
      <c r="AK30" s="7449"/>
      <c r="AL30" s="7449"/>
      <c r="AM30" s="7449"/>
      <c r="AN30" s="7449"/>
      <c r="AO30" s="7449"/>
      <c r="AP30" s="7449"/>
      <c r="AQ30" s="7449"/>
      <c r="AR30" s="7449"/>
      <c r="AS30" s="7449"/>
      <c r="AT30" s="7449"/>
      <c r="AU30" s="7449"/>
      <c r="AV30" s="7449"/>
      <c r="AW30" s="7449"/>
      <c r="AX30" s="7449"/>
      <c r="AY30" s="7449"/>
      <c r="AZ30" s="7449"/>
      <c r="BA30" s="7449"/>
      <c r="BB30" s="7449"/>
      <c r="BC30" s="7449"/>
      <c r="BD30" s="7449"/>
      <c r="BE30" s="7449"/>
      <c r="BF30" s="7449"/>
      <c r="BG30" s="7449"/>
      <c r="BH30" s="7449"/>
      <c r="BI30" s="7449"/>
      <c r="BJ30" s="7449"/>
      <c r="BK30" s="7449"/>
      <c r="BL30" s="7449"/>
      <c r="BM30" s="7449"/>
      <c r="BN30" s="7449"/>
      <c r="BO30" s="7449"/>
      <c r="BP30" s="7449"/>
      <c r="BQ30" s="7449"/>
      <c r="BR30" s="7449"/>
      <c r="BS30" s="7449"/>
      <c r="BT30" s="7449"/>
      <c r="BU30" s="7449"/>
      <c r="BV30" s="7449"/>
      <c r="BW30" s="7449"/>
      <c r="BX30" s="7449"/>
      <c r="BY30" s="7449"/>
      <c r="BZ30" s="7449"/>
      <c r="CA30" s="7178"/>
      <c r="CB30" s="7178"/>
      <c r="CC30" s="7178"/>
      <c r="CD30" s="7178"/>
      <c r="CE30" s="7178"/>
      <c r="CF30" s="7178"/>
      <c r="CG30" s="7178"/>
      <c r="CH30" s="7178"/>
      <c r="CI30" s="7178"/>
      <c r="CJ30" s="7178"/>
      <c r="CK30" s="7178"/>
      <c r="CL30" s="7178"/>
      <c r="CM30" s="7178"/>
      <c r="CN30" s="7178"/>
      <c r="CO30" s="7178"/>
      <c r="CP30" s="7178"/>
      <c r="CQ30" s="7178"/>
      <c r="CR30" s="7178"/>
      <c r="CS30" s="7178"/>
      <c r="CT30" s="7178"/>
      <c r="CU30" s="7178"/>
      <c r="CV30" s="7178"/>
      <c r="CW30" s="7178"/>
      <c r="CX30" s="7178"/>
      <c r="CY30" s="7178"/>
      <c r="CZ30" s="7178"/>
      <c r="DA30" s="7178"/>
      <c r="DB30" s="7178"/>
      <c r="DC30" s="7178"/>
      <c r="DD30" s="7178"/>
      <c r="DE30" s="7178"/>
      <c r="DF30" s="7178"/>
      <c r="DG30" s="7178"/>
      <c r="DH30" s="7178"/>
      <c r="DI30" s="7178"/>
      <c r="DJ30" s="7178"/>
      <c r="DK30" s="7178"/>
      <c r="DL30" s="7178"/>
      <c r="DM30" s="7178"/>
      <c r="DN30" s="7178"/>
      <c r="DO30" s="7178"/>
      <c r="DP30" s="7178"/>
      <c r="DQ30" s="7178"/>
      <c r="DR30" s="7178"/>
      <c r="DS30" s="7178"/>
      <c r="DT30" s="7178"/>
      <c r="DU30" s="7521"/>
    </row>
    <row r="31" spans="1:125" s="7180" customFormat="1" ht="15.75" customHeight="1">
      <c r="A31" s="7185"/>
      <c r="B31" s="15376"/>
      <c r="C31" s="17078"/>
      <c r="D31" s="17080"/>
      <c r="E31" s="17078"/>
      <c r="F31" s="15375"/>
      <c r="G31" s="7446"/>
      <c r="H31" s="17121"/>
      <c r="I31" s="17121"/>
      <c r="J31" s="17121"/>
      <c r="K31" s="17124"/>
      <c r="L31" s="17051"/>
      <c r="M31" s="15376"/>
      <c r="N31" s="17074"/>
      <c r="O31" s="17074"/>
      <c r="P31" s="17074"/>
      <c r="Q31" s="17074"/>
      <c r="R31" s="17074"/>
      <c r="S31" s="7444" t="s">
        <v>10330</v>
      </c>
      <c r="T31" s="7450"/>
      <c r="U31" s="7491" t="s">
        <v>7099</v>
      </c>
      <c r="V31" s="7448"/>
      <c r="W31" s="7448"/>
      <c r="X31" s="7448"/>
      <c r="Y31" s="7448"/>
      <c r="Z31" s="7448"/>
      <c r="AA31" s="7448"/>
      <c r="AB31" s="7448"/>
      <c r="AC31" s="7448"/>
      <c r="AD31" s="7448"/>
      <c r="AE31" s="7448"/>
      <c r="AF31" s="7448"/>
      <c r="AG31" s="7448"/>
      <c r="AH31" s="7449"/>
      <c r="AI31" s="7449"/>
      <c r="AJ31" s="7449"/>
      <c r="AK31" s="7449"/>
      <c r="AL31" s="7449"/>
      <c r="AM31" s="7449"/>
      <c r="AN31" s="7449"/>
      <c r="AO31" s="7449"/>
      <c r="AP31" s="7449"/>
      <c r="AQ31" s="7449"/>
      <c r="AR31" s="7449"/>
      <c r="AS31" s="7449"/>
      <c r="AT31" s="7449"/>
      <c r="AU31" s="7449"/>
      <c r="AV31" s="7449"/>
      <c r="AW31" s="7449"/>
      <c r="AX31" s="7449"/>
      <c r="AY31" s="7449"/>
      <c r="AZ31" s="7449"/>
      <c r="BA31" s="7449"/>
      <c r="BB31" s="7449"/>
      <c r="BC31" s="7449"/>
      <c r="BD31" s="7449"/>
      <c r="BE31" s="7449"/>
      <c r="BF31" s="7449"/>
      <c r="BG31" s="7449"/>
      <c r="BH31" s="7449"/>
      <c r="BI31" s="7449"/>
      <c r="BJ31" s="7449"/>
      <c r="BK31" s="7449"/>
      <c r="BL31" s="7449"/>
      <c r="BM31" s="7449"/>
      <c r="BN31" s="7449"/>
      <c r="BO31" s="7449"/>
      <c r="BP31" s="7449"/>
      <c r="BQ31" s="7449"/>
      <c r="BR31" s="7449"/>
      <c r="BS31" s="7449"/>
      <c r="BT31" s="7449"/>
      <c r="BU31" s="7449"/>
      <c r="BV31" s="7449"/>
      <c r="BW31" s="7449"/>
      <c r="BX31" s="7449"/>
      <c r="BY31" s="7449"/>
      <c r="BZ31" s="7449"/>
      <c r="CA31" s="7178"/>
      <c r="CB31" s="7178"/>
      <c r="CC31" s="7178"/>
      <c r="CD31" s="7178"/>
      <c r="CE31" s="7178"/>
      <c r="CF31" s="7178"/>
      <c r="CG31" s="7178"/>
      <c r="CH31" s="7178"/>
      <c r="CI31" s="7178"/>
      <c r="CJ31" s="7178"/>
      <c r="CK31" s="7178"/>
      <c r="CL31" s="7178"/>
      <c r="CM31" s="7178"/>
      <c r="CN31" s="7178"/>
      <c r="CO31" s="7178"/>
      <c r="CP31" s="7178"/>
      <c r="CQ31" s="7178"/>
      <c r="CR31" s="7178"/>
      <c r="CS31" s="7178"/>
      <c r="CT31" s="7178"/>
      <c r="CU31" s="7178"/>
      <c r="CV31" s="7178"/>
      <c r="CW31" s="7178"/>
      <c r="CX31" s="7178"/>
      <c r="CY31" s="7178"/>
      <c r="CZ31" s="7178"/>
      <c r="DA31" s="7178"/>
      <c r="DB31" s="7178"/>
      <c r="DC31" s="7178"/>
      <c r="DD31" s="7178"/>
      <c r="DE31" s="7178"/>
      <c r="DF31" s="7178"/>
      <c r="DG31" s="7178"/>
      <c r="DH31" s="7178"/>
      <c r="DI31" s="7178"/>
      <c r="DJ31" s="7178"/>
      <c r="DK31" s="7178"/>
      <c r="DL31" s="7178"/>
      <c r="DM31" s="7178"/>
      <c r="DN31" s="7178"/>
      <c r="DO31" s="7178"/>
      <c r="DP31" s="7178"/>
      <c r="DQ31" s="7178"/>
      <c r="DR31" s="7178"/>
      <c r="DS31" s="7178"/>
      <c r="DT31" s="7178"/>
      <c r="DU31" s="7521"/>
    </row>
    <row r="32" spans="1:125" s="7180" customFormat="1" ht="15.75" customHeight="1">
      <c r="A32" s="7442" t="s">
        <v>7100</v>
      </c>
      <c r="B32" s="17049"/>
      <c r="C32" s="17078"/>
      <c r="D32" s="17080"/>
      <c r="E32" s="17078"/>
      <c r="F32" s="17049" t="s">
        <v>7101</v>
      </c>
      <c r="G32" s="7446"/>
      <c r="H32" s="17121"/>
      <c r="I32" s="17121"/>
      <c r="J32" s="17121"/>
      <c r="K32" s="17124"/>
      <c r="L32" s="17051" t="s">
        <v>8408</v>
      </c>
      <c r="M32" s="16908" t="s">
        <v>7102</v>
      </c>
      <c r="N32" s="16908" t="s">
        <v>7103</v>
      </c>
      <c r="O32" s="17074" t="s">
        <v>7104</v>
      </c>
      <c r="P32" s="17073">
        <f>+AG32</f>
        <v>1</v>
      </c>
      <c r="Q32" s="17075" t="s">
        <v>7105</v>
      </c>
      <c r="R32" s="17075" t="s">
        <v>7106</v>
      </c>
      <c r="S32" s="7444" t="s">
        <v>10063</v>
      </c>
      <c r="T32" s="7450" t="s">
        <v>144</v>
      </c>
      <c r="U32" s="7450"/>
      <c r="V32" s="17073">
        <v>0</v>
      </c>
      <c r="W32" s="17073">
        <v>0</v>
      </c>
      <c r="X32" s="17073">
        <v>1</v>
      </c>
      <c r="Y32" s="17073">
        <v>1</v>
      </c>
      <c r="Z32" s="17073">
        <v>1</v>
      </c>
      <c r="AA32" s="17073">
        <v>1</v>
      </c>
      <c r="AB32" s="17073">
        <v>1</v>
      </c>
      <c r="AC32" s="17073">
        <v>1</v>
      </c>
      <c r="AD32" s="17073">
        <v>1</v>
      </c>
      <c r="AE32" s="17073">
        <v>1</v>
      </c>
      <c r="AF32" s="17073">
        <v>1</v>
      </c>
      <c r="AG32" s="17073">
        <v>1</v>
      </c>
      <c r="AH32" s="17086">
        <f>(2800321*62)*12</f>
        <v>2083438824</v>
      </c>
      <c r="AI32" s="17086">
        <v>12000000</v>
      </c>
      <c r="AJ32" s="17086">
        <v>0</v>
      </c>
      <c r="AK32" s="17086">
        <v>0</v>
      </c>
      <c r="AL32" s="17086">
        <f>+AH32+AH32*6%</f>
        <v>2208445153.4400001</v>
      </c>
      <c r="AM32" s="17086">
        <f>+AI32+AI32*6%</f>
        <v>12720000</v>
      </c>
      <c r="AN32" s="17086">
        <v>0</v>
      </c>
      <c r="AO32" s="17086">
        <v>0</v>
      </c>
      <c r="AP32" s="17086">
        <f>+AL32+AL32*6%</f>
        <v>2340951862.6464</v>
      </c>
      <c r="AQ32" s="17086">
        <f>+AM32+AM32*6%</f>
        <v>13483200</v>
      </c>
      <c r="AR32" s="17086">
        <v>0</v>
      </c>
      <c r="AS32" s="17086">
        <v>0</v>
      </c>
      <c r="AT32" s="17086">
        <f>+AP32+AP32*6%</f>
        <v>2481408974.4051838</v>
      </c>
      <c r="AU32" s="17086">
        <f>+AQ32+AQ32*6%</f>
        <v>14292192</v>
      </c>
      <c r="AV32" s="17086">
        <v>0</v>
      </c>
      <c r="AW32" s="17086">
        <v>0</v>
      </c>
      <c r="AX32" s="17086">
        <f>+AT32+AT32*6%</f>
        <v>2630293512.8694949</v>
      </c>
      <c r="AY32" s="17086">
        <f>+AU32+AU32*6%</f>
        <v>15149723.52</v>
      </c>
      <c r="AZ32" s="17086">
        <v>0</v>
      </c>
      <c r="BA32" s="17086">
        <v>0</v>
      </c>
      <c r="BB32" s="17086">
        <f>+AX32+AX32*6%</f>
        <v>2788111123.6416645</v>
      </c>
      <c r="BC32" s="17086">
        <f>+AY32+AY32*6%</f>
        <v>16058706.9312</v>
      </c>
      <c r="BD32" s="17086">
        <v>0</v>
      </c>
      <c r="BE32" s="17086">
        <v>0</v>
      </c>
      <c r="BF32" s="17086">
        <f>+BB32+BB32*6%</f>
        <v>2955397791.0601645</v>
      </c>
      <c r="BG32" s="17086">
        <f>+BC32+BC32*6%</f>
        <v>17022229.347071998</v>
      </c>
      <c r="BH32" s="17086">
        <v>0</v>
      </c>
      <c r="BI32" s="17086">
        <v>0</v>
      </c>
      <c r="BJ32" s="17086">
        <f>+BF32+BF32*6%</f>
        <v>3132721658.5237741</v>
      </c>
      <c r="BK32" s="17086">
        <f>+BG32+BG32*6%</f>
        <v>18043563.107896317</v>
      </c>
      <c r="BL32" s="17086">
        <v>0</v>
      </c>
      <c r="BM32" s="17086">
        <v>0</v>
      </c>
      <c r="BN32" s="17086">
        <f>+BJ32+BJ32*6%</f>
        <v>3320684958.0352006</v>
      </c>
      <c r="BO32" s="17086">
        <f>+BK32+BK32*6%</f>
        <v>19126176.894370094</v>
      </c>
      <c r="BP32" s="17086">
        <v>0</v>
      </c>
      <c r="BQ32" s="17086">
        <v>0</v>
      </c>
      <c r="BR32" s="17086">
        <f>+BN32+BN32*6%</f>
        <v>3519926055.5173125</v>
      </c>
      <c r="BS32" s="17086">
        <f>+BO32+BO32*6%</f>
        <v>20273747.5080323</v>
      </c>
      <c r="BT32" s="17086">
        <v>0</v>
      </c>
      <c r="BU32" s="17086">
        <v>0</v>
      </c>
      <c r="BV32" s="17086">
        <f>+BR32+BR32*6%</f>
        <v>3731121618.8483515</v>
      </c>
      <c r="BW32" s="17086">
        <f>+BS32+BS32*6%</f>
        <v>21490172.358514238</v>
      </c>
      <c r="BX32" s="17086">
        <v>0</v>
      </c>
      <c r="BY32" s="17086">
        <v>0</v>
      </c>
      <c r="BZ32" s="17086">
        <f>SUM(AH32:BY32)</f>
        <v>31372161244.654633</v>
      </c>
      <c r="CA32" s="17107"/>
      <c r="CB32" s="7580"/>
      <c r="CC32" s="7580"/>
      <c r="CD32" s="7580"/>
      <c r="CE32" s="7580"/>
      <c r="CF32" s="7580"/>
      <c r="CG32" s="7580"/>
      <c r="CH32" s="7580"/>
      <c r="CI32" s="7580"/>
      <c r="CJ32" s="7580"/>
      <c r="CK32" s="7580"/>
      <c r="CL32" s="7580"/>
      <c r="CM32" s="7580"/>
      <c r="CN32" s="7580"/>
      <c r="CO32" s="7580"/>
      <c r="CP32" s="7580"/>
      <c r="CQ32" s="7580"/>
      <c r="CR32" s="7580"/>
      <c r="CS32" s="7580"/>
      <c r="CT32" s="7580"/>
      <c r="CU32" s="7580"/>
      <c r="CV32" s="7580"/>
      <c r="CW32" s="7580"/>
      <c r="CX32" s="7580"/>
      <c r="CY32" s="7580"/>
      <c r="CZ32" s="7580"/>
      <c r="DA32" s="7580"/>
      <c r="DB32" s="7580"/>
      <c r="DC32" s="7580"/>
      <c r="DD32" s="7580"/>
      <c r="DE32" s="7580"/>
      <c r="DF32" s="7580"/>
      <c r="DG32" s="7580"/>
      <c r="DH32" s="7580"/>
      <c r="DI32" s="7580"/>
      <c r="DJ32" s="7580"/>
      <c r="DK32" s="7580"/>
      <c r="DL32" s="7580"/>
      <c r="DM32" s="7580"/>
      <c r="DN32" s="7580"/>
      <c r="DO32" s="7580"/>
      <c r="DP32" s="7580"/>
      <c r="DQ32" s="7580"/>
      <c r="DR32" s="7580"/>
      <c r="DS32" s="7178"/>
      <c r="DT32" s="7178"/>
      <c r="DU32" s="7521"/>
    </row>
    <row r="33" spans="1:125" s="7180" customFormat="1" ht="15.75" customHeight="1">
      <c r="A33" s="7442" t="s">
        <v>7108</v>
      </c>
      <c r="B33" s="17049"/>
      <c r="C33" s="17078"/>
      <c r="D33" s="17080"/>
      <c r="E33" s="17078"/>
      <c r="F33" s="17049"/>
      <c r="G33" s="7446"/>
      <c r="H33" s="17121"/>
      <c r="I33" s="17121"/>
      <c r="J33" s="17121"/>
      <c r="K33" s="17124"/>
      <c r="L33" s="17051"/>
      <c r="M33" s="16908"/>
      <c r="N33" s="16908"/>
      <c r="O33" s="17074"/>
      <c r="P33" s="17073"/>
      <c r="Q33" s="17075"/>
      <c r="R33" s="17075"/>
      <c r="S33" s="7444" t="s">
        <v>8575</v>
      </c>
      <c r="T33" s="7450"/>
      <c r="U33" s="7450" t="s">
        <v>7107</v>
      </c>
      <c r="V33" s="17073"/>
      <c r="W33" s="17073"/>
      <c r="X33" s="17073"/>
      <c r="Y33" s="17073"/>
      <c r="Z33" s="17073"/>
      <c r="AA33" s="17073"/>
      <c r="AB33" s="17073"/>
      <c r="AC33" s="17073"/>
      <c r="AD33" s="17073"/>
      <c r="AE33" s="17073"/>
      <c r="AF33" s="17073"/>
      <c r="AG33" s="17073"/>
      <c r="AH33" s="17086"/>
      <c r="AI33" s="17086"/>
      <c r="AJ33" s="17086"/>
      <c r="AK33" s="17086"/>
      <c r="AL33" s="17086"/>
      <c r="AM33" s="17086"/>
      <c r="AN33" s="17086"/>
      <c r="AO33" s="17086"/>
      <c r="AP33" s="17086"/>
      <c r="AQ33" s="17086"/>
      <c r="AR33" s="17086"/>
      <c r="AS33" s="17086"/>
      <c r="AT33" s="17086"/>
      <c r="AU33" s="17086"/>
      <c r="AV33" s="17086"/>
      <c r="AW33" s="17086"/>
      <c r="AX33" s="17086"/>
      <c r="AY33" s="17086"/>
      <c r="AZ33" s="17086"/>
      <c r="BA33" s="17086"/>
      <c r="BB33" s="17086"/>
      <c r="BC33" s="17086"/>
      <c r="BD33" s="17086"/>
      <c r="BE33" s="17086"/>
      <c r="BF33" s="17086"/>
      <c r="BG33" s="17086"/>
      <c r="BH33" s="17086"/>
      <c r="BI33" s="17086"/>
      <c r="BJ33" s="17086"/>
      <c r="BK33" s="17086"/>
      <c r="BL33" s="17086"/>
      <c r="BM33" s="17086"/>
      <c r="BN33" s="17086"/>
      <c r="BO33" s="17086"/>
      <c r="BP33" s="17086"/>
      <c r="BQ33" s="17086"/>
      <c r="BR33" s="17086"/>
      <c r="BS33" s="17086"/>
      <c r="BT33" s="17086"/>
      <c r="BU33" s="17086"/>
      <c r="BV33" s="17086"/>
      <c r="BW33" s="17086"/>
      <c r="BX33" s="17086"/>
      <c r="BY33" s="17086"/>
      <c r="BZ33" s="17086"/>
      <c r="CA33" s="17107"/>
      <c r="CB33" s="7580"/>
      <c r="CC33" s="7580"/>
      <c r="CD33" s="7580"/>
      <c r="CE33" s="7580"/>
      <c r="CF33" s="7580"/>
      <c r="CG33" s="7580"/>
      <c r="CH33" s="7580"/>
      <c r="CI33" s="7580"/>
      <c r="CJ33" s="7580"/>
      <c r="CK33" s="7580"/>
      <c r="CL33" s="7580"/>
      <c r="CM33" s="7580"/>
      <c r="CN33" s="7580"/>
      <c r="CO33" s="7580"/>
      <c r="CP33" s="7580"/>
      <c r="CQ33" s="7580"/>
      <c r="CR33" s="7580"/>
      <c r="CS33" s="7580"/>
      <c r="CT33" s="7580"/>
      <c r="CU33" s="7580"/>
      <c r="CV33" s="7580"/>
      <c r="CW33" s="7580"/>
      <c r="CX33" s="7580"/>
      <c r="CY33" s="7580"/>
      <c r="CZ33" s="7580"/>
      <c r="DA33" s="7580"/>
      <c r="DB33" s="7580"/>
      <c r="DC33" s="7580"/>
      <c r="DD33" s="7580"/>
      <c r="DE33" s="7580"/>
      <c r="DF33" s="7580"/>
      <c r="DG33" s="7580"/>
      <c r="DH33" s="7580"/>
      <c r="DI33" s="7580"/>
      <c r="DJ33" s="7580"/>
      <c r="DK33" s="7580"/>
      <c r="DL33" s="7580"/>
      <c r="DM33" s="7580"/>
      <c r="DN33" s="7580"/>
      <c r="DO33" s="7580"/>
      <c r="DP33" s="7580"/>
      <c r="DQ33" s="7580"/>
      <c r="DR33" s="7580"/>
      <c r="DS33" s="7178"/>
      <c r="DT33" s="7178"/>
      <c r="DU33" s="7521"/>
    </row>
    <row r="34" spans="1:125" s="7180" customFormat="1" ht="15.75" customHeight="1">
      <c r="A34" s="7442" t="s">
        <v>7109</v>
      </c>
      <c r="B34" s="17049"/>
      <c r="C34" s="17078"/>
      <c r="D34" s="17080"/>
      <c r="E34" s="17078"/>
      <c r="F34" s="17049"/>
      <c r="G34" s="7446"/>
      <c r="H34" s="17121"/>
      <c r="I34" s="17121"/>
      <c r="J34" s="17121"/>
      <c r="K34" s="17124"/>
      <c r="L34" s="17051" t="s">
        <v>8409</v>
      </c>
      <c r="M34" s="16908" t="s">
        <v>7110</v>
      </c>
      <c r="N34" s="16908" t="s">
        <v>7111</v>
      </c>
      <c r="O34" s="15376" t="s">
        <v>7029</v>
      </c>
      <c r="P34" s="17087">
        <f>+AG34</f>
        <v>31</v>
      </c>
      <c r="Q34" s="15376" t="s">
        <v>7112</v>
      </c>
      <c r="R34" s="15376" t="s">
        <v>7113</v>
      </c>
      <c r="S34" s="7185" t="s">
        <v>10063</v>
      </c>
      <c r="T34" s="15376" t="s">
        <v>7114</v>
      </c>
      <c r="U34" s="7094"/>
      <c r="V34" s="17087">
        <v>0</v>
      </c>
      <c r="W34" s="17087">
        <v>8</v>
      </c>
      <c r="X34" s="17087">
        <f>+W34+8</f>
        <v>16</v>
      </c>
      <c r="Y34" s="17087">
        <f>+X34+8</f>
        <v>24</v>
      </c>
      <c r="Z34" s="17087">
        <f>+Y34+7</f>
        <v>31</v>
      </c>
      <c r="AA34" s="17087">
        <v>31</v>
      </c>
      <c r="AB34" s="17087">
        <v>31</v>
      </c>
      <c r="AC34" s="17087">
        <v>31</v>
      </c>
      <c r="AD34" s="17087">
        <v>31</v>
      </c>
      <c r="AE34" s="17087">
        <v>31</v>
      </c>
      <c r="AF34" s="17087">
        <v>31</v>
      </c>
      <c r="AG34" s="17087">
        <v>31</v>
      </c>
      <c r="AH34" s="17086">
        <f>(24309834.625/6)+4500000</f>
        <v>8551639.104166666</v>
      </c>
      <c r="AI34" s="17086">
        <f>802632/3</f>
        <v>267544</v>
      </c>
      <c r="AJ34" s="17086"/>
      <c r="AK34" s="17086"/>
      <c r="AL34" s="17086">
        <f>+AH34+AH34*6%</f>
        <v>9064737.4504166655</v>
      </c>
      <c r="AM34" s="17086">
        <f>+AI34+AI34*6%</f>
        <v>283596.64</v>
      </c>
      <c r="AN34" s="17086"/>
      <c r="AO34" s="17086"/>
      <c r="AP34" s="17086">
        <f>+AL34+AL34*6%</f>
        <v>9608621.6974416655</v>
      </c>
      <c r="AQ34" s="17086">
        <f>+AM34+AM34*6%</f>
        <v>300612.43839999998</v>
      </c>
      <c r="AR34" s="17086"/>
      <c r="AS34" s="17086"/>
      <c r="AT34" s="17086">
        <f>+AP34+AP34*6%</f>
        <v>10185138.999288166</v>
      </c>
      <c r="AU34" s="17086">
        <f>+AQ34+AQ34*6%</f>
        <v>318649.18470399996</v>
      </c>
      <c r="AV34" s="17086"/>
      <c r="AW34" s="17086"/>
      <c r="AX34" s="17086">
        <f>+AT34+AT34*6%</f>
        <v>10796247.339245455</v>
      </c>
      <c r="AY34" s="17086">
        <f>+AU34+AU34*6%</f>
        <v>337768.13578623993</v>
      </c>
      <c r="AZ34" s="17086"/>
      <c r="BA34" s="17086"/>
      <c r="BB34" s="17086">
        <f>+AX34+AX34*6%</f>
        <v>11444022.179600183</v>
      </c>
      <c r="BC34" s="17086">
        <f>+AY34+AY34*6%</f>
        <v>358034.22393341432</v>
      </c>
      <c r="BD34" s="17086"/>
      <c r="BE34" s="17086"/>
      <c r="BF34" s="17086">
        <f>+BB34+BB34*6%</f>
        <v>12130663.510376194</v>
      </c>
      <c r="BG34" s="17086">
        <f>+BC34+BC34*6%</f>
        <v>379516.27736941917</v>
      </c>
      <c r="BH34" s="17086"/>
      <c r="BI34" s="17086"/>
      <c r="BJ34" s="17086">
        <f>+BF34+BF34*6%</f>
        <v>12858503.320998766</v>
      </c>
      <c r="BK34" s="17086">
        <f>+BG34+BG34*6%</f>
        <v>402287.25401158433</v>
      </c>
      <c r="BL34" s="17086"/>
      <c r="BM34" s="17086"/>
      <c r="BN34" s="17086">
        <f>+BJ34+BJ34*6%</f>
        <v>13630013.520258691</v>
      </c>
      <c r="BO34" s="17086">
        <f>+BK34+BK34*6%</f>
        <v>426424.4892522794</v>
      </c>
      <c r="BP34" s="17086"/>
      <c r="BQ34" s="17086"/>
      <c r="BR34" s="17086">
        <f>+BN34+BN34*6%</f>
        <v>14447814.331474213</v>
      </c>
      <c r="BS34" s="17086">
        <f>+BO34+BO34*6%</f>
        <v>452009.95860741613</v>
      </c>
      <c r="BT34" s="17086"/>
      <c r="BU34" s="17086"/>
      <c r="BV34" s="17086">
        <f>+BR34+BR34*6%</f>
        <v>15314683.191362666</v>
      </c>
      <c r="BW34" s="17086">
        <f>+BS34+BS34*6%</f>
        <v>479130.55612386111</v>
      </c>
      <c r="BX34" s="17086"/>
      <c r="BY34" s="17086"/>
      <c r="BZ34" s="17086">
        <f>SUM(AH34:BY34)</f>
        <v>132037657.80281757</v>
      </c>
      <c r="CA34" s="17107"/>
      <c r="CB34" s="7580"/>
      <c r="CC34" s="7580"/>
      <c r="CD34" s="7580"/>
      <c r="CE34" s="7580"/>
      <c r="CF34" s="7580"/>
      <c r="CG34" s="7580"/>
      <c r="CH34" s="7580"/>
      <c r="CI34" s="7580"/>
      <c r="CJ34" s="7580"/>
      <c r="CK34" s="7580"/>
      <c r="CL34" s="7580"/>
      <c r="CM34" s="7580"/>
      <c r="CN34" s="7580"/>
      <c r="CO34" s="7580"/>
      <c r="CP34" s="7580"/>
      <c r="CQ34" s="7580"/>
      <c r="CR34" s="7580"/>
      <c r="CS34" s="7580"/>
      <c r="CT34" s="7580"/>
      <c r="CU34" s="7580"/>
      <c r="CV34" s="7580"/>
      <c r="CW34" s="7580"/>
      <c r="CX34" s="7580"/>
      <c r="CY34" s="7580"/>
      <c r="CZ34" s="7580"/>
      <c r="DA34" s="7580"/>
      <c r="DB34" s="7580"/>
      <c r="DC34" s="7580"/>
      <c r="DD34" s="7580"/>
      <c r="DE34" s="7580"/>
      <c r="DF34" s="7580"/>
      <c r="DG34" s="7580"/>
      <c r="DH34" s="7580"/>
      <c r="DI34" s="7580"/>
      <c r="DJ34" s="7580"/>
      <c r="DK34" s="7580"/>
      <c r="DL34" s="7580"/>
      <c r="DM34" s="7580"/>
      <c r="DN34" s="7580"/>
      <c r="DO34" s="7580"/>
      <c r="DP34" s="7580"/>
      <c r="DQ34" s="7580"/>
      <c r="DR34" s="7580"/>
      <c r="DS34" s="7178"/>
      <c r="DT34" s="7178"/>
      <c r="DU34" s="7521"/>
    </row>
    <row r="35" spans="1:125" s="7180" customFormat="1" ht="15.75" customHeight="1">
      <c r="A35" s="7442" t="s">
        <v>7115</v>
      </c>
      <c r="B35" s="17049"/>
      <c r="C35" s="17078"/>
      <c r="D35" s="17080"/>
      <c r="E35" s="17078"/>
      <c r="F35" s="17049"/>
      <c r="G35" s="7446"/>
      <c r="H35" s="17121"/>
      <c r="I35" s="17121"/>
      <c r="J35" s="17121"/>
      <c r="K35" s="17124"/>
      <c r="L35" s="17051"/>
      <c r="M35" s="16908"/>
      <c r="N35" s="16908"/>
      <c r="O35" s="15376"/>
      <c r="P35" s="17087"/>
      <c r="Q35" s="15376"/>
      <c r="R35" s="15376"/>
      <c r="S35" s="7185" t="s">
        <v>10066</v>
      </c>
      <c r="T35" s="15376"/>
      <c r="U35" s="7094"/>
      <c r="V35" s="17087"/>
      <c r="W35" s="17087"/>
      <c r="X35" s="17087"/>
      <c r="Y35" s="17087"/>
      <c r="Z35" s="17087"/>
      <c r="AA35" s="17087"/>
      <c r="AB35" s="17087"/>
      <c r="AC35" s="17087"/>
      <c r="AD35" s="17087"/>
      <c r="AE35" s="17087"/>
      <c r="AF35" s="17087"/>
      <c r="AG35" s="17087"/>
      <c r="AH35" s="17086"/>
      <c r="AI35" s="17086"/>
      <c r="AJ35" s="17086"/>
      <c r="AK35" s="17086"/>
      <c r="AL35" s="17086"/>
      <c r="AM35" s="17086"/>
      <c r="AN35" s="17086"/>
      <c r="AO35" s="17086"/>
      <c r="AP35" s="17086"/>
      <c r="AQ35" s="17086"/>
      <c r="AR35" s="17086"/>
      <c r="AS35" s="17086"/>
      <c r="AT35" s="17086"/>
      <c r="AU35" s="17086"/>
      <c r="AV35" s="17086"/>
      <c r="AW35" s="17086"/>
      <c r="AX35" s="17086"/>
      <c r="AY35" s="17086"/>
      <c r="AZ35" s="17086"/>
      <c r="BA35" s="17086"/>
      <c r="BB35" s="17086"/>
      <c r="BC35" s="17086"/>
      <c r="BD35" s="17086"/>
      <c r="BE35" s="17086"/>
      <c r="BF35" s="17086"/>
      <c r="BG35" s="17086"/>
      <c r="BH35" s="17086"/>
      <c r="BI35" s="17086"/>
      <c r="BJ35" s="17086"/>
      <c r="BK35" s="17086"/>
      <c r="BL35" s="17086"/>
      <c r="BM35" s="17086"/>
      <c r="BN35" s="17086"/>
      <c r="BO35" s="17086"/>
      <c r="BP35" s="17086"/>
      <c r="BQ35" s="17086"/>
      <c r="BR35" s="17086"/>
      <c r="BS35" s="17086"/>
      <c r="BT35" s="17086"/>
      <c r="BU35" s="17086"/>
      <c r="BV35" s="17086"/>
      <c r="BW35" s="17086"/>
      <c r="BX35" s="17086"/>
      <c r="BY35" s="17086"/>
      <c r="BZ35" s="17086"/>
      <c r="CA35" s="17107"/>
      <c r="CB35" s="7580"/>
      <c r="CC35" s="7580"/>
      <c r="CD35" s="7580"/>
      <c r="CE35" s="7580"/>
      <c r="CF35" s="7580"/>
      <c r="CG35" s="7580"/>
      <c r="CH35" s="7580"/>
      <c r="CI35" s="7580"/>
      <c r="CJ35" s="7580"/>
      <c r="CK35" s="7580"/>
      <c r="CL35" s="7580"/>
      <c r="CM35" s="7580"/>
      <c r="CN35" s="7580"/>
      <c r="CO35" s="7580"/>
      <c r="CP35" s="7580"/>
      <c r="CQ35" s="7580"/>
      <c r="CR35" s="7580"/>
      <c r="CS35" s="7580"/>
      <c r="CT35" s="7580"/>
      <c r="CU35" s="7580"/>
      <c r="CV35" s="7580"/>
      <c r="CW35" s="7580"/>
      <c r="CX35" s="7580"/>
      <c r="CY35" s="7580"/>
      <c r="CZ35" s="7580"/>
      <c r="DA35" s="7580"/>
      <c r="DB35" s="7580"/>
      <c r="DC35" s="7580"/>
      <c r="DD35" s="7580"/>
      <c r="DE35" s="7580"/>
      <c r="DF35" s="7580"/>
      <c r="DG35" s="7580"/>
      <c r="DH35" s="7580"/>
      <c r="DI35" s="7580"/>
      <c r="DJ35" s="7580"/>
      <c r="DK35" s="7580"/>
      <c r="DL35" s="7580"/>
      <c r="DM35" s="7580"/>
      <c r="DN35" s="7580"/>
      <c r="DO35" s="7580"/>
      <c r="DP35" s="7580"/>
      <c r="DQ35" s="7580"/>
      <c r="DR35" s="7580"/>
      <c r="DS35" s="7178"/>
      <c r="DT35" s="7178"/>
      <c r="DU35" s="7521"/>
    </row>
    <row r="36" spans="1:125" s="7180" customFormat="1" ht="15.75" customHeight="1">
      <c r="A36" s="7442" t="s">
        <v>7116</v>
      </c>
      <c r="B36" s="17049"/>
      <c r="C36" s="17078"/>
      <c r="D36" s="17080"/>
      <c r="E36" s="17078"/>
      <c r="F36" s="17049"/>
      <c r="G36" s="7446"/>
      <c r="H36" s="17121"/>
      <c r="I36" s="17121"/>
      <c r="J36" s="17121"/>
      <c r="K36" s="17124"/>
      <c r="L36" s="17051"/>
      <c r="M36" s="16908"/>
      <c r="N36" s="16908"/>
      <c r="O36" s="15376"/>
      <c r="P36" s="17087"/>
      <c r="Q36" s="15376"/>
      <c r="R36" s="15376"/>
      <c r="S36" s="7185" t="s">
        <v>10330</v>
      </c>
      <c r="T36" s="7094"/>
      <c r="U36" s="7094"/>
      <c r="V36" s="17087"/>
      <c r="W36" s="17087"/>
      <c r="X36" s="17087"/>
      <c r="Y36" s="17087"/>
      <c r="Z36" s="17087"/>
      <c r="AA36" s="17087"/>
      <c r="AB36" s="17087"/>
      <c r="AC36" s="17087"/>
      <c r="AD36" s="17087"/>
      <c r="AE36" s="17087"/>
      <c r="AF36" s="17087"/>
      <c r="AG36" s="17087"/>
      <c r="AH36" s="17086"/>
      <c r="AI36" s="17086"/>
      <c r="AJ36" s="17086"/>
      <c r="AK36" s="17086"/>
      <c r="AL36" s="17086"/>
      <c r="AM36" s="17086"/>
      <c r="AN36" s="17086"/>
      <c r="AO36" s="17086"/>
      <c r="AP36" s="17086"/>
      <c r="AQ36" s="17086"/>
      <c r="AR36" s="17086"/>
      <c r="AS36" s="17086"/>
      <c r="AT36" s="17086"/>
      <c r="AU36" s="17086"/>
      <c r="AV36" s="17086"/>
      <c r="AW36" s="17086"/>
      <c r="AX36" s="17086"/>
      <c r="AY36" s="17086"/>
      <c r="AZ36" s="17086"/>
      <c r="BA36" s="17086"/>
      <c r="BB36" s="17086"/>
      <c r="BC36" s="17086"/>
      <c r="BD36" s="17086"/>
      <c r="BE36" s="17086"/>
      <c r="BF36" s="17086"/>
      <c r="BG36" s="17086"/>
      <c r="BH36" s="17086"/>
      <c r="BI36" s="17086"/>
      <c r="BJ36" s="17086"/>
      <c r="BK36" s="17086"/>
      <c r="BL36" s="17086"/>
      <c r="BM36" s="17086"/>
      <c r="BN36" s="17086"/>
      <c r="BO36" s="17086"/>
      <c r="BP36" s="17086"/>
      <c r="BQ36" s="17086"/>
      <c r="BR36" s="17086"/>
      <c r="BS36" s="17086"/>
      <c r="BT36" s="17086"/>
      <c r="BU36" s="17086"/>
      <c r="BV36" s="17086"/>
      <c r="BW36" s="17086"/>
      <c r="BX36" s="17086"/>
      <c r="BY36" s="17086"/>
      <c r="BZ36" s="17086"/>
      <c r="CA36" s="17107"/>
      <c r="CB36" s="7580"/>
      <c r="CC36" s="7580"/>
      <c r="CD36" s="7580"/>
      <c r="CE36" s="7580"/>
      <c r="CF36" s="7580"/>
      <c r="CG36" s="7580"/>
      <c r="CH36" s="7580"/>
      <c r="CI36" s="7580"/>
      <c r="CJ36" s="7580"/>
      <c r="CK36" s="7580"/>
      <c r="CL36" s="7580"/>
      <c r="CM36" s="7580"/>
      <c r="CN36" s="7580"/>
      <c r="CO36" s="7580"/>
      <c r="CP36" s="7580"/>
      <c r="CQ36" s="7580"/>
      <c r="CR36" s="7580"/>
      <c r="CS36" s="7580"/>
      <c r="CT36" s="7580"/>
      <c r="CU36" s="7580"/>
      <c r="CV36" s="7580"/>
      <c r="CW36" s="7580"/>
      <c r="CX36" s="7580"/>
      <c r="CY36" s="7580"/>
      <c r="CZ36" s="7580"/>
      <c r="DA36" s="7580"/>
      <c r="DB36" s="7580"/>
      <c r="DC36" s="7580"/>
      <c r="DD36" s="7580"/>
      <c r="DE36" s="7580"/>
      <c r="DF36" s="7580"/>
      <c r="DG36" s="7580"/>
      <c r="DH36" s="7580"/>
      <c r="DI36" s="7580"/>
      <c r="DJ36" s="7580"/>
      <c r="DK36" s="7580"/>
      <c r="DL36" s="7580"/>
      <c r="DM36" s="7580"/>
      <c r="DN36" s="7580"/>
      <c r="DO36" s="7580"/>
      <c r="DP36" s="7580"/>
      <c r="DQ36" s="7580"/>
      <c r="DR36" s="7580"/>
      <c r="DS36" s="7178"/>
      <c r="DT36" s="7178"/>
      <c r="DU36" s="7521"/>
    </row>
    <row r="37" spans="1:125" s="7180" customFormat="1" ht="15.75" customHeight="1">
      <c r="A37" s="7185"/>
      <c r="B37" s="15376"/>
      <c r="C37" s="17078"/>
      <c r="D37" s="17080"/>
      <c r="E37" s="17078"/>
      <c r="F37" s="15376"/>
      <c r="G37" s="7446"/>
      <c r="H37" s="17121"/>
      <c r="I37" s="17121"/>
      <c r="J37" s="17121"/>
      <c r="K37" s="17124"/>
      <c r="L37" s="17051"/>
      <c r="M37" s="16908"/>
      <c r="N37" s="16908"/>
      <c r="O37" s="15376"/>
      <c r="P37" s="17087"/>
      <c r="Q37" s="15376"/>
      <c r="R37" s="15376"/>
      <c r="S37" s="7185" t="s">
        <v>10330</v>
      </c>
      <c r="T37" s="7094"/>
      <c r="U37" s="7094" t="s">
        <v>10331</v>
      </c>
      <c r="V37" s="17087"/>
      <c r="W37" s="17087"/>
      <c r="X37" s="17087"/>
      <c r="Y37" s="17087"/>
      <c r="Z37" s="17087"/>
      <c r="AA37" s="17087"/>
      <c r="AB37" s="17087"/>
      <c r="AC37" s="17087"/>
      <c r="AD37" s="17087"/>
      <c r="AE37" s="17087"/>
      <c r="AF37" s="17087"/>
      <c r="AG37" s="17087"/>
      <c r="AH37" s="17086"/>
      <c r="AI37" s="17086"/>
      <c r="AJ37" s="17086"/>
      <c r="AK37" s="17086"/>
      <c r="AL37" s="17086"/>
      <c r="AM37" s="17086"/>
      <c r="AN37" s="17086"/>
      <c r="AO37" s="17086"/>
      <c r="AP37" s="17086"/>
      <c r="AQ37" s="17086"/>
      <c r="AR37" s="17086"/>
      <c r="AS37" s="17086"/>
      <c r="AT37" s="17086"/>
      <c r="AU37" s="17086"/>
      <c r="AV37" s="17086"/>
      <c r="AW37" s="17086"/>
      <c r="AX37" s="17086"/>
      <c r="AY37" s="17086"/>
      <c r="AZ37" s="17086"/>
      <c r="BA37" s="17086"/>
      <c r="BB37" s="17086"/>
      <c r="BC37" s="17086"/>
      <c r="BD37" s="17086"/>
      <c r="BE37" s="17086"/>
      <c r="BF37" s="17086"/>
      <c r="BG37" s="17086"/>
      <c r="BH37" s="17086"/>
      <c r="BI37" s="17086"/>
      <c r="BJ37" s="17086"/>
      <c r="BK37" s="17086"/>
      <c r="BL37" s="17086"/>
      <c r="BM37" s="17086"/>
      <c r="BN37" s="17086"/>
      <c r="BO37" s="17086"/>
      <c r="BP37" s="17086"/>
      <c r="BQ37" s="17086"/>
      <c r="BR37" s="17086"/>
      <c r="BS37" s="17086"/>
      <c r="BT37" s="17086"/>
      <c r="BU37" s="17086"/>
      <c r="BV37" s="17086"/>
      <c r="BW37" s="17086"/>
      <c r="BX37" s="17086"/>
      <c r="BY37" s="17086"/>
      <c r="BZ37" s="17086"/>
      <c r="CA37" s="17107"/>
      <c r="CB37" s="7580"/>
      <c r="CC37" s="7580"/>
      <c r="CD37" s="7580"/>
      <c r="CE37" s="7580"/>
      <c r="CF37" s="7580"/>
      <c r="CG37" s="7580"/>
      <c r="CH37" s="7580"/>
      <c r="CI37" s="7580"/>
      <c r="CJ37" s="7580"/>
      <c r="CK37" s="7580"/>
      <c r="CL37" s="7580"/>
      <c r="CM37" s="7580"/>
      <c r="CN37" s="7580"/>
      <c r="CO37" s="7580"/>
      <c r="CP37" s="7580"/>
      <c r="CQ37" s="7580"/>
      <c r="CR37" s="7580"/>
      <c r="CS37" s="7580"/>
      <c r="CT37" s="7580"/>
      <c r="CU37" s="7580"/>
      <c r="CV37" s="7580"/>
      <c r="CW37" s="7580"/>
      <c r="CX37" s="7580"/>
      <c r="CY37" s="7580"/>
      <c r="CZ37" s="7580"/>
      <c r="DA37" s="7580"/>
      <c r="DB37" s="7580"/>
      <c r="DC37" s="7580"/>
      <c r="DD37" s="7580"/>
      <c r="DE37" s="7580"/>
      <c r="DF37" s="7580"/>
      <c r="DG37" s="7580"/>
      <c r="DH37" s="7580"/>
      <c r="DI37" s="7580"/>
      <c r="DJ37" s="7580"/>
      <c r="DK37" s="7580"/>
      <c r="DL37" s="7580"/>
      <c r="DM37" s="7580"/>
      <c r="DN37" s="7580"/>
      <c r="DO37" s="7580"/>
      <c r="DP37" s="7580"/>
      <c r="DQ37" s="7580"/>
      <c r="DR37" s="7580"/>
      <c r="DS37" s="7178"/>
      <c r="DT37" s="7178"/>
      <c r="DU37" s="7521"/>
    </row>
    <row r="38" spans="1:125" s="7180" customFormat="1" ht="15.75" customHeight="1">
      <c r="A38" s="7185"/>
      <c r="B38" s="15376"/>
      <c r="C38" s="17078"/>
      <c r="D38" s="17080"/>
      <c r="E38" s="17078"/>
      <c r="F38" s="15376"/>
      <c r="G38" s="7446"/>
      <c r="H38" s="17121"/>
      <c r="I38" s="17121"/>
      <c r="J38" s="17121"/>
      <c r="K38" s="17124"/>
      <c r="L38" s="17051"/>
      <c r="M38" s="16908"/>
      <c r="N38" s="16908"/>
      <c r="O38" s="15376"/>
      <c r="P38" s="17087"/>
      <c r="Q38" s="15376"/>
      <c r="R38" s="15376"/>
      <c r="S38" s="7185" t="s">
        <v>10199</v>
      </c>
      <c r="T38" s="7094"/>
      <c r="U38" s="7094" t="s">
        <v>10332</v>
      </c>
      <c r="V38" s="17087"/>
      <c r="W38" s="17087"/>
      <c r="X38" s="17087"/>
      <c r="Y38" s="17087"/>
      <c r="Z38" s="17087"/>
      <c r="AA38" s="17087"/>
      <c r="AB38" s="17087"/>
      <c r="AC38" s="17087"/>
      <c r="AD38" s="17087"/>
      <c r="AE38" s="17087"/>
      <c r="AF38" s="17087"/>
      <c r="AG38" s="17087"/>
      <c r="AH38" s="17086"/>
      <c r="AI38" s="17086"/>
      <c r="AJ38" s="17086"/>
      <c r="AK38" s="17086"/>
      <c r="AL38" s="17086"/>
      <c r="AM38" s="17086"/>
      <c r="AN38" s="17086"/>
      <c r="AO38" s="17086"/>
      <c r="AP38" s="17086"/>
      <c r="AQ38" s="17086"/>
      <c r="AR38" s="17086"/>
      <c r="AS38" s="17086"/>
      <c r="AT38" s="17086"/>
      <c r="AU38" s="17086"/>
      <c r="AV38" s="17086"/>
      <c r="AW38" s="17086"/>
      <c r="AX38" s="17086"/>
      <c r="AY38" s="17086"/>
      <c r="AZ38" s="17086"/>
      <c r="BA38" s="17086"/>
      <c r="BB38" s="17086"/>
      <c r="BC38" s="17086"/>
      <c r="BD38" s="17086"/>
      <c r="BE38" s="17086"/>
      <c r="BF38" s="17086"/>
      <c r="BG38" s="17086"/>
      <c r="BH38" s="17086"/>
      <c r="BI38" s="17086"/>
      <c r="BJ38" s="17086"/>
      <c r="BK38" s="17086"/>
      <c r="BL38" s="17086"/>
      <c r="BM38" s="17086"/>
      <c r="BN38" s="17086"/>
      <c r="BO38" s="17086"/>
      <c r="BP38" s="17086"/>
      <c r="BQ38" s="17086"/>
      <c r="BR38" s="17086"/>
      <c r="BS38" s="17086"/>
      <c r="BT38" s="17086"/>
      <c r="BU38" s="17086"/>
      <c r="BV38" s="17086"/>
      <c r="BW38" s="17086"/>
      <c r="BX38" s="17086"/>
      <c r="BY38" s="17086"/>
      <c r="BZ38" s="17086"/>
      <c r="CA38" s="17107"/>
      <c r="CB38" s="7580"/>
      <c r="CC38" s="7580"/>
      <c r="CD38" s="7580"/>
      <c r="CE38" s="7580"/>
      <c r="CF38" s="7580"/>
      <c r="CG38" s="7580"/>
      <c r="CH38" s="7580"/>
      <c r="CI38" s="7580"/>
      <c r="CJ38" s="7580"/>
      <c r="CK38" s="7580"/>
      <c r="CL38" s="7580"/>
      <c r="CM38" s="7580"/>
      <c r="CN38" s="7580"/>
      <c r="CO38" s="7580"/>
      <c r="CP38" s="7580"/>
      <c r="CQ38" s="7580"/>
      <c r="CR38" s="7580"/>
      <c r="CS38" s="7580"/>
      <c r="CT38" s="7580"/>
      <c r="CU38" s="7580"/>
      <c r="CV38" s="7580"/>
      <c r="CW38" s="7580"/>
      <c r="CX38" s="7580"/>
      <c r="CY38" s="7580"/>
      <c r="CZ38" s="7580"/>
      <c r="DA38" s="7580"/>
      <c r="DB38" s="7580"/>
      <c r="DC38" s="7580"/>
      <c r="DD38" s="7580"/>
      <c r="DE38" s="7580"/>
      <c r="DF38" s="7580"/>
      <c r="DG38" s="7580"/>
      <c r="DH38" s="7580"/>
      <c r="DI38" s="7580"/>
      <c r="DJ38" s="7580"/>
      <c r="DK38" s="7580"/>
      <c r="DL38" s="7580"/>
      <c r="DM38" s="7580"/>
      <c r="DN38" s="7580"/>
      <c r="DO38" s="7580"/>
      <c r="DP38" s="7580"/>
      <c r="DQ38" s="7580"/>
      <c r="DR38" s="7580"/>
      <c r="DS38" s="7178"/>
      <c r="DT38" s="7178"/>
      <c r="DU38" s="7521"/>
    </row>
    <row r="39" spans="1:125" s="7180" customFormat="1" ht="15.75" customHeight="1">
      <c r="A39" s="7442" t="s">
        <v>7117</v>
      </c>
      <c r="B39" s="17049"/>
      <c r="C39" s="17078"/>
      <c r="D39" s="17080"/>
      <c r="E39" s="17078"/>
      <c r="F39" s="17049"/>
      <c r="G39" s="7446"/>
      <c r="H39" s="17121"/>
      <c r="I39" s="17121"/>
      <c r="J39" s="17121"/>
      <c r="K39" s="17124"/>
      <c r="L39" s="17051"/>
      <c r="M39" s="16908"/>
      <c r="N39" s="16908"/>
      <c r="O39" s="15376"/>
      <c r="P39" s="17087"/>
      <c r="Q39" s="15376"/>
      <c r="R39" s="15376"/>
      <c r="S39" s="7185" t="s">
        <v>10213</v>
      </c>
      <c r="T39" s="7094"/>
      <c r="U39" s="7094" t="s">
        <v>10333</v>
      </c>
      <c r="V39" s="17087"/>
      <c r="W39" s="17087"/>
      <c r="X39" s="17087"/>
      <c r="Y39" s="17087"/>
      <c r="Z39" s="17087"/>
      <c r="AA39" s="17087"/>
      <c r="AB39" s="17087"/>
      <c r="AC39" s="17087"/>
      <c r="AD39" s="17087"/>
      <c r="AE39" s="17087"/>
      <c r="AF39" s="17087"/>
      <c r="AG39" s="17087"/>
      <c r="AH39" s="17086"/>
      <c r="AI39" s="17086"/>
      <c r="AJ39" s="17086"/>
      <c r="AK39" s="17086"/>
      <c r="AL39" s="17086"/>
      <c r="AM39" s="17086"/>
      <c r="AN39" s="17086"/>
      <c r="AO39" s="17086"/>
      <c r="AP39" s="17086"/>
      <c r="AQ39" s="17086"/>
      <c r="AR39" s="17086"/>
      <c r="AS39" s="17086"/>
      <c r="AT39" s="17086"/>
      <c r="AU39" s="17086"/>
      <c r="AV39" s="17086"/>
      <c r="AW39" s="17086"/>
      <c r="AX39" s="17086"/>
      <c r="AY39" s="17086"/>
      <c r="AZ39" s="17086"/>
      <c r="BA39" s="17086"/>
      <c r="BB39" s="17086"/>
      <c r="BC39" s="17086"/>
      <c r="BD39" s="17086"/>
      <c r="BE39" s="17086"/>
      <c r="BF39" s="17086"/>
      <c r="BG39" s="17086"/>
      <c r="BH39" s="17086"/>
      <c r="BI39" s="17086"/>
      <c r="BJ39" s="17086"/>
      <c r="BK39" s="17086"/>
      <c r="BL39" s="17086"/>
      <c r="BM39" s="17086"/>
      <c r="BN39" s="17086"/>
      <c r="BO39" s="17086"/>
      <c r="BP39" s="17086"/>
      <c r="BQ39" s="17086"/>
      <c r="BR39" s="17086"/>
      <c r="BS39" s="17086"/>
      <c r="BT39" s="17086"/>
      <c r="BU39" s="17086"/>
      <c r="BV39" s="17086"/>
      <c r="BW39" s="17086"/>
      <c r="BX39" s="17086"/>
      <c r="BY39" s="17086"/>
      <c r="BZ39" s="17086"/>
      <c r="CA39" s="17107"/>
      <c r="CB39" s="7580"/>
      <c r="CC39" s="7580"/>
      <c r="CD39" s="7580"/>
      <c r="CE39" s="7580"/>
      <c r="CF39" s="7580"/>
      <c r="CG39" s="7580"/>
      <c r="CH39" s="7580"/>
      <c r="CI39" s="7580"/>
      <c r="CJ39" s="7580"/>
      <c r="CK39" s="7580"/>
      <c r="CL39" s="7580"/>
      <c r="CM39" s="7580"/>
      <c r="CN39" s="7580"/>
      <c r="CO39" s="7580"/>
      <c r="CP39" s="7580"/>
      <c r="CQ39" s="7580"/>
      <c r="CR39" s="7580"/>
      <c r="CS39" s="7580"/>
      <c r="CT39" s="7580"/>
      <c r="CU39" s="7580"/>
      <c r="CV39" s="7580"/>
      <c r="CW39" s="7580"/>
      <c r="CX39" s="7580"/>
      <c r="CY39" s="7580"/>
      <c r="CZ39" s="7580"/>
      <c r="DA39" s="7580"/>
      <c r="DB39" s="7580"/>
      <c r="DC39" s="7580"/>
      <c r="DD39" s="7580"/>
      <c r="DE39" s="7580"/>
      <c r="DF39" s="7580"/>
      <c r="DG39" s="7580"/>
      <c r="DH39" s="7580"/>
      <c r="DI39" s="7580"/>
      <c r="DJ39" s="7580"/>
      <c r="DK39" s="7580"/>
      <c r="DL39" s="7580"/>
      <c r="DM39" s="7580"/>
      <c r="DN39" s="7580"/>
      <c r="DO39" s="7580"/>
      <c r="DP39" s="7580"/>
      <c r="DQ39" s="7580"/>
      <c r="DR39" s="7580"/>
      <c r="DS39" s="7178"/>
      <c r="DT39" s="7178"/>
      <c r="DU39" s="7521"/>
    </row>
    <row r="40" spans="1:125" s="7180" customFormat="1" ht="15.75" customHeight="1">
      <c r="A40" s="7451" t="s">
        <v>7118</v>
      </c>
      <c r="B40" s="17050"/>
      <c r="C40" s="17078"/>
      <c r="D40" s="17080"/>
      <c r="E40" s="17078"/>
      <c r="F40" s="16530" t="s">
        <v>7119</v>
      </c>
      <c r="G40" s="7446"/>
      <c r="H40" s="17121"/>
      <c r="I40" s="17121"/>
      <c r="J40" s="17121"/>
      <c r="K40" s="17124"/>
      <c r="L40" s="7520" t="s">
        <v>8410</v>
      </c>
      <c r="M40" s="7185" t="s">
        <v>7120</v>
      </c>
      <c r="N40" s="7444" t="s">
        <v>7121</v>
      </c>
      <c r="O40" s="7492" t="s">
        <v>7029</v>
      </c>
      <c r="P40" s="7497">
        <f t="shared" ref="P40:P48" si="23">+AG40</f>
        <v>1</v>
      </c>
      <c r="Q40" s="7493" t="s">
        <v>7122</v>
      </c>
      <c r="R40" s="7493" t="s">
        <v>7123</v>
      </c>
      <c r="S40" s="7444" t="s">
        <v>2896</v>
      </c>
      <c r="T40" s="7491" t="s">
        <v>172</v>
      </c>
      <c r="U40" s="7139" t="s">
        <v>7124</v>
      </c>
      <c r="V40" s="7448">
        <v>0</v>
      </c>
      <c r="W40" s="7448">
        <v>1</v>
      </c>
      <c r="X40" s="7448">
        <v>1</v>
      </c>
      <c r="Y40" s="7448">
        <v>1</v>
      </c>
      <c r="Z40" s="7448">
        <v>1</v>
      </c>
      <c r="AA40" s="7448">
        <v>1</v>
      </c>
      <c r="AB40" s="7448">
        <v>1</v>
      </c>
      <c r="AC40" s="7448">
        <v>1</v>
      </c>
      <c r="AD40" s="7448">
        <v>1</v>
      </c>
      <c r="AE40" s="7448">
        <v>1</v>
      </c>
      <c r="AF40" s="7448">
        <v>1</v>
      </c>
      <c r="AG40" s="7448">
        <v>1</v>
      </c>
      <c r="AH40" s="7449">
        <v>30000000</v>
      </c>
      <c r="AI40" s="7449"/>
      <c r="AJ40" s="7449"/>
      <c r="AK40" s="7449"/>
      <c r="AL40" s="7449">
        <f>+AH40+AH40*6%</f>
        <v>31800000</v>
      </c>
      <c r="AM40" s="7449"/>
      <c r="AN40" s="7449"/>
      <c r="AO40" s="7449"/>
      <c r="AP40" s="7449">
        <f>+AL40+AL40*6%</f>
        <v>33708000</v>
      </c>
      <c r="AQ40" s="7449"/>
      <c r="AR40" s="7449"/>
      <c r="AS40" s="7449"/>
      <c r="AT40" s="7449">
        <f>+AP40+AP40*6%</f>
        <v>35730480</v>
      </c>
      <c r="AU40" s="7449"/>
      <c r="AV40" s="7449"/>
      <c r="AW40" s="7449"/>
      <c r="AX40" s="7449">
        <f>+AT40+AT40*6%</f>
        <v>37874308.799999997</v>
      </c>
      <c r="AY40" s="7449"/>
      <c r="AZ40" s="7449"/>
      <c r="BA40" s="7449"/>
      <c r="BB40" s="7449">
        <f>+AX40+AX40*6%</f>
        <v>40146767.327999994</v>
      </c>
      <c r="BC40" s="7449"/>
      <c r="BD40" s="7449"/>
      <c r="BE40" s="7449"/>
      <c r="BF40" s="7449">
        <f>+BB40+BB40*6%</f>
        <v>42555573.367679991</v>
      </c>
      <c r="BG40" s="7449"/>
      <c r="BH40" s="7449"/>
      <c r="BI40" s="7449"/>
      <c r="BJ40" s="7449">
        <f>+BF40+BF40*6%</f>
        <v>45108907.76974079</v>
      </c>
      <c r="BK40" s="7449"/>
      <c r="BL40" s="7449"/>
      <c r="BM40" s="7449"/>
      <c r="BN40" s="7449">
        <f>+BJ40+BJ40*6%</f>
        <v>47815442.235925235</v>
      </c>
      <c r="BO40" s="7449"/>
      <c r="BP40" s="7449"/>
      <c r="BQ40" s="7449"/>
      <c r="BR40" s="7449">
        <f>+BN40+BN40*6%</f>
        <v>50684368.770080745</v>
      </c>
      <c r="BS40" s="7449"/>
      <c r="BT40" s="7449"/>
      <c r="BU40" s="7449"/>
      <c r="BV40" s="7449">
        <f>+BR40+BR40*6%</f>
        <v>53725430.896285594</v>
      </c>
      <c r="BW40" s="7449"/>
      <c r="BX40" s="7449"/>
      <c r="BY40" s="7449"/>
      <c r="BZ40" s="7498">
        <f>SUM(AH40:BY40)</f>
        <v>449149279.16771239</v>
      </c>
      <c r="CA40" s="7178"/>
      <c r="CB40" s="7178"/>
      <c r="CC40" s="7178"/>
      <c r="CD40" s="7178"/>
      <c r="CE40" s="7178"/>
      <c r="CF40" s="7178"/>
      <c r="CG40" s="7178"/>
      <c r="CH40" s="7178"/>
      <c r="CI40" s="7178"/>
      <c r="CJ40" s="7178"/>
      <c r="CK40" s="7178"/>
      <c r="CL40" s="7178"/>
      <c r="CM40" s="7178"/>
      <c r="CN40" s="7178"/>
      <c r="CO40" s="7178"/>
      <c r="CP40" s="7178"/>
      <c r="CQ40" s="7178"/>
      <c r="CR40" s="7178"/>
      <c r="CS40" s="7178"/>
      <c r="CT40" s="7178"/>
      <c r="CU40" s="7178"/>
      <c r="CV40" s="7178"/>
      <c r="CW40" s="7178"/>
      <c r="CX40" s="7178"/>
      <c r="CY40" s="7178"/>
      <c r="CZ40" s="7178"/>
      <c r="DA40" s="7178"/>
      <c r="DB40" s="7178"/>
      <c r="DC40" s="7178"/>
      <c r="DD40" s="7178"/>
      <c r="DE40" s="7178"/>
      <c r="DF40" s="7178"/>
      <c r="DG40" s="7178"/>
      <c r="DH40" s="7178"/>
      <c r="DI40" s="7178"/>
      <c r="DJ40" s="7178"/>
      <c r="DK40" s="7178"/>
      <c r="DL40" s="7178"/>
      <c r="DM40" s="7178"/>
      <c r="DN40" s="7178"/>
      <c r="DO40" s="7178"/>
      <c r="DP40" s="7178"/>
      <c r="DQ40" s="7178"/>
      <c r="DR40" s="7178"/>
      <c r="DS40" s="7178"/>
      <c r="DT40" s="7178"/>
      <c r="DU40" s="7521"/>
    </row>
    <row r="41" spans="1:125" s="7180" customFormat="1" ht="15.75" customHeight="1">
      <c r="A41" s="7451" t="s">
        <v>7125</v>
      </c>
      <c r="B41" s="17049"/>
      <c r="C41" s="17078"/>
      <c r="D41" s="17080"/>
      <c r="E41" s="17078"/>
      <c r="F41" s="16841"/>
      <c r="G41" s="7446"/>
      <c r="H41" s="17121"/>
      <c r="I41" s="17121"/>
      <c r="J41" s="17121"/>
      <c r="K41" s="17124"/>
      <c r="L41" s="7520" t="s">
        <v>8411</v>
      </c>
      <c r="M41" s="7185" t="s">
        <v>7126</v>
      </c>
      <c r="N41" s="7444" t="s">
        <v>7127</v>
      </c>
      <c r="O41" s="7492" t="s">
        <v>7029</v>
      </c>
      <c r="P41" s="7492">
        <f t="shared" si="23"/>
        <v>34</v>
      </c>
      <c r="Q41" s="7493" t="s">
        <v>7128</v>
      </c>
      <c r="R41" s="7493" t="s">
        <v>7129</v>
      </c>
      <c r="S41" s="7444" t="s">
        <v>218</v>
      </c>
      <c r="T41" s="7491" t="s">
        <v>7130</v>
      </c>
      <c r="U41" s="5238"/>
      <c r="V41" s="6524">
        <v>0</v>
      </c>
      <c r="W41" s="6524">
        <v>1</v>
      </c>
      <c r="X41" s="6524">
        <v>2</v>
      </c>
      <c r="Y41" s="6524">
        <v>3</v>
      </c>
      <c r="Z41" s="6524">
        <v>4</v>
      </c>
      <c r="AA41" s="6524">
        <v>4</v>
      </c>
      <c r="AB41" s="6524">
        <v>4</v>
      </c>
      <c r="AC41" s="6524">
        <v>4</v>
      </c>
      <c r="AD41" s="6524">
        <v>4</v>
      </c>
      <c r="AE41" s="6524">
        <v>4</v>
      </c>
      <c r="AF41" s="6524">
        <v>4</v>
      </c>
      <c r="AG41" s="6524">
        <f t="shared" ref="AG41:AG46" si="24">W41+X41+Y41+Z41+AA41+AB41+AC41+AD41+AE41+AF41</f>
        <v>34</v>
      </c>
      <c r="AH41" s="7449">
        <v>4500000</v>
      </c>
      <c r="AI41" s="7449"/>
      <c r="AJ41" s="7449"/>
      <c r="AK41" s="7449"/>
      <c r="AL41" s="7449">
        <f t="shared" ref="AL41:AL46" si="25">+AH41+AH41*4%</f>
        <v>4680000</v>
      </c>
      <c r="AM41" s="7449"/>
      <c r="AN41" s="7449"/>
      <c r="AO41" s="7449"/>
      <c r="AP41" s="7449">
        <f t="shared" ref="AP41:AP46" si="26">+AL41+AL41*4%</f>
        <v>4867200</v>
      </c>
      <c r="AQ41" s="7449"/>
      <c r="AR41" s="7449"/>
      <c r="AS41" s="7449"/>
      <c r="AT41" s="7449">
        <f>+AP41+AP41*4%</f>
        <v>5061888</v>
      </c>
      <c r="AU41" s="7449"/>
      <c r="AV41" s="7449"/>
      <c r="AW41" s="7449"/>
      <c r="AX41" s="7449">
        <f t="shared" ref="AX41:AX46" si="27">+AT41+AT41*4%</f>
        <v>5264363.5199999996</v>
      </c>
      <c r="AY41" s="7449"/>
      <c r="AZ41" s="7449"/>
      <c r="BA41" s="7449"/>
      <c r="BB41" s="7449">
        <f t="shared" ref="BB41:BB46" si="28">+AX41+AX41*4%</f>
        <v>5474938.0607999992</v>
      </c>
      <c r="BC41" s="7449"/>
      <c r="BD41" s="7449"/>
      <c r="BE41" s="7449"/>
      <c r="BF41" s="7449">
        <f t="shared" ref="BF41:BF46" si="29">+BB41+BB41*4%</f>
        <v>5693935.5832319995</v>
      </c>
      <c r="BG41" s="7449"/>
      <c r="BH41" s="7449"/>
      <c r="BI41" s="7449"/>
      <c r="BJ41" s="7449">
        <f t="shared" ref="BJ41:BJ46" si="30">+BF41+BF41*4%</f>
        <v>5921693.0065612793</v>
      </c>
      <c r="BK41" s="7449"/>
      <c r="BL41" s="7449"/>
      <c r="BM41" s="7449"/>
      <c r="BN41" s="7449">
        <f t="shared" ref="BN41:BN46" si="31">+BJ41+BJ41*4%</f>
        <v>6158560.7268237304</v>
      </c>
      <c r="BO41" s="7449"/>
      <c r="BP41" s="7449"/>
      <c r="BQ41" s="7449"/>
      <c r="BR41" s="7449">
        <f t="shared" ref="BR41:BR46" si="32">+BN41+BN41*4%</f>
        <v>6404903.1558966795</v>
      </c>
      <c r="BS41" s="7449"/>
      <c r="BT41" s="7449"/>
      <c r="BU41" s="7449"/>
      <c r="BV41" s="7449">
        <f t="shared" ref="BV41:BV46" si="33">+BR41+BR41*4%</f>
        <v>6661099.2821325464</v>
      </c>
      <c r="BW41" s="7449"/>
      <c r="BX41" s="7449"/>
      <c r="BY41" s="7449"/>
      <c r="BZ41" s="7449">
        <f t="shared" ref="BZ41:BZ46" si="34">SUM(AH41:BY41)</f>
        <v>60688581.335446231</v>
      </c>
      <c r="CA41" s="7178"/>
      <c r="CB41" s="7178"/>
      <c r="CC41" s="7178"/>
      <c r="CD41" s="7178"/>
      <c r="CE41" s="7178"/>
      <c r="CF41" s="7178"/>
      <c r="CG41" s="7178"/>
      <c r="CH41" s="7178"/>
      <c r="CI41" s="7178"/>
      <c r="CJ41" s="7178"/>
      <c r="CK41" s="7178"/>
      <c r="CL41" s="7178"/>
      <c r="CM41" s="7178"/>
      <c r="CN41" s="7178"/>
      <c r="CO41" s="7178"/>
      <c r="CP41" s="7178"/>
      <c r="CQ41" s="7178"/>
      <c r="CR41" s="7178"/>
      <c r="CS41" s="7178"/>
      <c r="CT41" s="7178"/>
      <c r="CU41" s="7178"/>
      <c r="CV41" s="7178"/>
      <c r="CW41" s="7178"/>
      <c r="CX41" s="7178"/>
      <c r="CY41" s="7178"/>
      <c r="CZ41" s="7178"/>
      <c r="DA41" s="7178"/>
      <c r="DB41" s="7178"/>
      <c r="DC41" s="7178"/>
      <c r="DD41" s="7178"/>
      <c r="DE41" s="7178"/>
      <c r="DF41" s="7178"/>
      <c r="DG41" s="7178"/>
      <c r="DH41" s="7178"/>
      <c r="DI41" s="7178"/>
      <c r="DJ41" s="7178"/>
      <c r="DK41" s="7178"/>
      <c r="DL41" s="7178"/>
      <c r="DM41" s="7178"/>
      <c r="DN41" s="7178"/>
      <c r="DO41" s="7178"/>
      <c r="DP41" s="7178"/>
      <c r="DQ41" s="7178"/>
      <c r="DR41" s="7178"/>
      <c r="DS41" s="7178"/>
      <c r="DT41" s="7178"/>
      <c r="DU41" s="7521"/>
    </row>
    <row r="42" spans="1:125" s="7180" customFormat="1" ht="15.75" customHeight="1">
      <c r="A42" s="17052" t="s">
        <v>7131</v>
      </c>
      <c r="B42" s="17049"/>
      <c r="C42" s="17078"/>
      <c r="D42" s="17080"/>
      <c r="E42" s="17078"/>
      <c r="F42" s="16841"/>
      <c r="G42" s="7446"/>
      <c r="H42" s="17121"/>
      <c r="I42" s="17121"/>
      <c r="J42" s="17121"/>
      <c r="K42" s="17124"/>
      <c r="L42" s="7520" t="s">
        <v>8412</v>
      </c>
      <c r="M42" s="7185" t="s">
        <v>7132</v>
      </c>
      <c r="N42" s="7444" t="s">
        <v>7133</v>
      </c>
      <c r="O42" s="7450" t="s">
        <v>7134</v>
      </c>
      <c r="P42" s="7492">
        <f>+AG42</f>
        <v>50</v>
      </c>
      <c r="Q42" s="7493" t="s">
        <v>7135</v>
      </c>
      <c r="R42" s="7493" t="s">
        <v>7136</v>
      </c>
      <c r="S42" s="7444" t="s">
        <v>218</v>
      </c>
      <c r="T42" s="7450" t="s">
        <v>7137</v>
      </c>
      <c r="U42" s="5238"/>
      <c r="V42" s="6524">
        <v>0</v>
      </c>
      <c r="W42" s="7499">
        <v>2</v>
      </c>
      <c r="X42" s="7499">
        <v>3</v>
      </c>
      <c r="Y42" s="7499">
        <v>4</v>
      </c>
      <c r="Z42" s="7499">
        <v>5</v>
      </c>
      <c r="AA42" s="7499">
        <v>6</v>
      </c>
      <c r="AB42" s="7499">
        <v>6</v>
      </c>
      <c r="AC42" s="7499">
        <v>6</v>
      </c>
      <c r="AD42" s="7499">
        <v>6</v>
      </c>
      <c r="AE42" s="7499">
        <v>6</v>
      </c>
      <c r="AF42" s="7499">
        <v>6</v>
      </c>
      <c r="AG42" s="7499">
        <f t="shared" si="24"/>
        <v>50</v>
      </c>
      <c r="AH42" s="7449">
        <v>3800000</v>
      </c>
      <c r="AI42" s="7449"/>
      <c r="AJ42" s="7449"/>
      <c r="AK42" s="7449"/>
      <c r="AL42" s="7449">
        <f t="shared" si="25"/>
        <v>3952000</v>
      </c>
      <c r="AM42" s="7449"/>
      <c r="AN42" s="7449"/>
      <c r="AO42" s="7449"/>
      <c r="AP42" s="7449">
        <f t="shared" si="26"/>
        <v>4110080</v>
      </c>
      <c r="AQ42" s="7449"/>
      <c r="AR42" s="7449"/>
      <c r="AS42" s="7449"/>
      <c r="AT42" s="7449">
        <f>+AP42+AP42*6%</f>
        <v>4356684.8</v>
      </c>
      <c r="AU42" s="7449"/>
      <c r="AV42" s="7449"/>
      <c r="AW42" s="7449"/>
      <c r="AX42" s="7449">
        <f t="shared" si="27"/>
        <v>4530952.1919999998</v>
      </c>
      <c r="AY42" s="7449"/>
      <c r="AZ42" s="7449"/>
      <c r="BA42" s="7449"/>
      <c r="BB42" s="7449">
        <f t="shared" si="28"/>
        <v>4712190.2796799997</v>
      </c>
      <c r="BC42" s="7449"/>
      <c r="BD42" s="7449"/>
      <c r="BE42" s="7449"/>
      <c r="BF42" s="7449">
        <f t="shared" si="29"/>
        <v>4900677.8908671997</v>
      </c>
      <c r="BG42" s="7449"/>
      <c r="BH42" s="7449"/>
      <c r="BI42" s="7449"/>
      <c r="BJ42" s="7449">
        <f t="shared" si="30"/>
        <v>5096705.0065018879</v>
      </c>
      <c r="BK42" s="7449"/>
      <c r="BL42" s="7449"/>
      <c r="BM42" s="7449"/>
      <c r="BN42" s="7449">
        <f t="shared" si="31"/>
        <v>5300573.2067619637</v>
      </c>
      <c r="BO42" s="7449"/>
      <c r="BP42" s="7449"/>
      <c r="BQ42" s="7449"/>
      <c r="BR42" s="7449">
        <f t="shared" si="32"/>
        <v>5512596.1350324424</v>
      </c>
      <c r="BS42" s="7449"/>
      <c r="BT42" s="7449"/>
      <c r="BU42" s="7449"/>
      <c r="BV42" s="7449">
        <f t="shared" si="33"/>
        <v>5733099.9804337397</v>
      </c>
      <c r="BW42" s="7449"/>
      <c r="BX42" s="7449"/>
      <c r="BY42" s="7449"/>
      <c r="BZ42" s="7449">
        <f t="shared" si="34"/>
        <v>52005559.491277233</v>
      </c>
      <c r="CA42" s="7178"/>
      <c r="CB42" s="7178"/>
      <c r="CC42" s="7178"/>
      <c r="CD42" s="7178"/>
      <c r="CE42" s="7178"/>
      <c r="CF42" s="7178"/>
      <c r="CG42" s="7178"/>
      <c r="CH42" s="7178"/>
      <c r="CI42" s="7178"/>
      <c r="CJ42" s="7178"/>
      <c r="CK42" s="7178"/>
      <c r="CL42" s="7178"/>
      <c r="CM42" s="7178"/>
      <c r="CN42" s="7178"/>
      <c r="CO42" s="7178"/>
      <c r="CP42" s="7178"/>
      <c r="CQ42" s="7178"/>
      <c r="CR42" s="7178"/>
      <c r="CS42" s="7178"/>
      <c r="CT42" s="7178"/>
      <c r="CU42" s="7178"/>
      <c r="CV42" s="7178"/>
      <c r="CW42" s="7178"/>
      <c r="CX42" s="7178"/>
      <c r="CY42" s="7178"/>
      <c r="CZ42" s="7178"/>
      <c r="DA42" s="7178"/>
      <c r="DB42" s="7178"/>
      <c r="DC42" s="7178"/>
      <c r="DD42" s="7178"/>
      <c r="DE42" s="7178"/>
      <c r="DF42" s="7178"/>
      <c r="DG42" s="7178"/>
      <c r="DH42" s="7178"/>
      <c r="DI42" s="7178"/>
      <c r="DJ42" s="7178"/>
      <c r="DK42" s="7178"/>
      <c r="DL42" s="7178"/>
      <c r="DM42" s="7178"/>
      <c r="DN42" s="7178"/>
      <c r="DO42" s="7178"/>
      <c r="DP42" s="7178"/>
      <c r="DQ42" s="7178"/>
      <c r="DR42" s="7178"/>
      <c r="DS42" s="7178"/>
      <c r="DT42" s="7178"/>
      <c r="DU42" s="7521"/>
    </row>
    <row r="43" spans="1:125" s="7180" customFormat="1" ht="15.75" customHeight="1">
      <c r="A43" s="17053"/>
      <c r="B43" s="17049"/>
      <c r="C43" s="17078"/>
      <c r="D43" s="17080"/>
      <c r="E43" s="17078"/>
      <c r="F43" s="16841"/>
      <c r="G43" s="7446"/>
      <c r="H43" s="17121"/>
      <c r="I43" s="17121"/>
      <c r="J43" s="17121"/>
      <c r="K43" s="17124"/>
      <c r="L43" s="17051" t="s">
        <v>8413</v>
      </c>
      <c r="M43" s="16908" t="s">
        <v>7138</v>
      </c>
      <c r="N43" s="7444" t="s">
        <v>7139</v>
      </c>
      <c r="O43" s="7491" t="s">
        <v>7140</v>
      </c>
      <c r="P43" s="7492">
        <f>+AG43</f>
        <v>36</v>
      </c>
      <c r="Q43" s="7444" t="s">
        <v>7141</v>
      </c>
      <c r="R43" s="7444" t="s">
        <v>7142</v>
      </c>
      <c r="S43" s="7444" t="s">
        <v>218</v>
      </c>
      <c r="T43" s="7490" t="s">
        <v>768</v>
      </c>
      <c r="U43" s="5238"/>
      <c r="V43" s="6524">
        <v>0</v>
      </c>
      <c r="W43" s="6524">
        <v>3</v>
      </c>
      <c r="X43" s="6524">
        <v>3</v>
      </c>
      <c r="Y43" s="6524">
        <v>3</v>
      </c>
      <c r="Z43" s="6524">
        <v>3</v>
      </c>
      <c r="AA43" s="6524">
        <v>4</v>
      </c>
      <c r="AB43" s="6524">
        <v>4</v>
      </c>
      <c r="AC43" s="6524">
        <v>4</v>
      </c>
      <c r="AD43" s="6524">
        <v>4</v>
      </c>
      <c r="AE43" s="6524">
        <v>4</v>
      </c>
      <c r="AF43" s="6524">
        <v>4</v>
      </c>
      <c r="AG43" s="6524">
        <f t="shared" si="24"/>
        <v>36</v>
      </c>
      <c r="AH43" s="7449">
        <v>1500000</v>
      </c>
      <c r="AI43" s="7449"/>
      <c r="AJ43" s="7449"/>
      <c r="AK43" s="7449"/>
      <c r="AL43" s="7449">
        <f>+AH43+AH43*4%</f>
        <v>1560000</v>
      </c>
      <c r="AM43" s="7449"/>
      <c r="AN43" s="7449"/>
      <c r="AO43" s="7449"/>
      <c r="AP43" s="7449">
        <f>+AL43+AL43*4%</f>
        <v>1622400</v>
      </c>
      <c r="AQ43" s="7449"/>
      <c r="AR43" s="7449"/>
      <c r="AS43" s="7449"/>
      <c r="AT43" s="7449">
        <f>+AP43+AP43*4%</f>
        <v>1687296</v>
      </c>
      <c r="AU43" s="7449"/>
      <c r="AV43" s="7449"/>
      <c r="AW43" s="7449"/>
      <c r="AX43" s="7449">
        <f>+AT43+AT43*4%</f>
        <v>1754787.8400000001</v>
      </c>
      <c r="AY43" s="7449"/>
      <c r="AZ43" s="7449"/>
      <c r="BA43" s="7449"/>
      <c r="BB43" s="7449">
        <f>+AX43+AX43*4%</f>
        <v>1824979.3536</v>
      </c>
      <c r="BC43" s="7449"/>
      <c r="BD43" s="7449"/>
      <c r="BE43" s="7449"/>
      <c r="BF43" s="7449">
        <f>+BB43+BB43*4%</f>
        <v>1897978.5277440001</v>
      </c>
      <c r="BG43" s="7449"/>
      <c r="BH43" s="7449"/>
      <c r="BI43" s="7449"/>
      <c r="BJ43" s="7449">
        <f>+BF43+BF43*4%</f>
        <v>1973897.66885376</v>
      </c>
      <c r="BK43" s="7449"/>
      <c r="BL43" s="7449"/>
      <c r="BM43" s="7449"/>
      <c r="BN43" s="7449">
        <f>+BJ43+BJ43*4%</f>
        <v>2052853.5756079103</v>
      </c>
      <c r="BO43" s="7449"/>
      <c r="BP43" s="7449"/>
      <c r="BQ43" s="7449"/>
      <c r="BR43" s="7449">
        <f>+BN43+BN43*4%</f>
        <v>2134967.7186322268</v>
      </c>
      <c r="BS43" s="7449"/>
      <c r="BT43" s="7449"/>
      <c r="BU43" s="7449"/>
      <c r="BV43" s="7449">
        <f>+BR43+BR43*4%</f>
        <v>2220366.4273775159</v>
      </c>
      <c r="BW43" s="7449"/>
      <c r="BX43" s="7449"/>
      <c r="BY43" s="7449"/>
      <c r="BZ43" s="7449">
        <f>SUM(AH43:BY43)</f>
        <v>20229527.111815412</v>
      </c>
      <c r="CA43" s="7178"/>
      <c r="CB43" s="7178"/>
      <c r="CC43" s="7178"/>
      <c r="CD43" s="7178"/>
      <c r="CE43" s="7178"/>
      <c r="CF43" s="7178"/>
      <c r="CG43" s="7178"/>
      <c r="CH43" s="7178"/>
      <c r="CI43" s="7178"/>
      <c r="CJ43" s="7178"/>
      <c r="CK43" s="7178"/>
      <c r="CL43" s="7178"/>
      <c r="CM43" s="7178"/>
      <c r="CN43" s="7178"/>
      <c r="CO43" s="7178"/>
      <c r="CP43" s="7178"/>
      <c r="CQ43" s="7178"/>
      <c r="CR43" s="7178"/>
      <c r="CS43" s="7178"/>
      <c r="CT43" s="7178"/>
      <c r="CU43" s="7178"/>
      <c r="CV43" s="7178"/>
      <c r="CW43" s="7178"/>
      <c r="CX43" s="7178"/>
      <c r="CY43" s="7178"/>
      <c r="CZ43" s="7178"/>
      <c r="DA43" s="7178"/>
      <c r="DB43" s="7178"/>
      <c r="DC43" s="7178"/>
      <c r="DD43" s="7178"/>
      <c r="DE43" s="7178"/>
      <c r="DF43" s="7178"/>
      <c r="DG43" s="7178"/>
      <c r="DH43" s="7178"/>
      <c r="DI43" s="7178"/>
      <c r="DJ43" s="7178"/>
      <c r="DK43" s="7178"/>
      <c r="DL43" s="7178"/>
      <c r="DM43" s="7178"/>
      <c r="DN43" s="7178"/>
      <c r="DO43" s="7178"/>
      <c r="DP43" s="7178"/>
      <c r="DQ43" s="7178"/>
      <c r="DR43" s="7178"/>
      <c r="DS43" s="7178"/>
      <c r="DT43" s="7178"/>
      <c r="DU43" s="7521"/>
    </row>
    <row r="44" spans="1:125" s="7180" customFormat="1" ht="15.75" customHeight="1">
      <c r="A44" s="17054"/>
      <c r="B44" s="17049"/>
      <c r="C44" s="17078"/>
      <c r="D44" s="17080"/>
      <c r="E44" s="17078"/>
      <c r="F44" s="16841"/>
      <c r="G44" s="7446"/>
      <c r="H44" s="17121"/>
      <c r="I44" s="17121"/>
      <c r="J44" s="17121"/>
      <c r="K44" s="17124"/>
      <c r="L44" s="17051"/>
      <c r="M44" s="16908"/>
      <c r="N44" s="7444" t="s">
        <v>7143</v>
      </c>
      <c r="O44" s="7491" t="s">
        <v>7140</v>
      </c>
      <c r="P44" s="7492">
        <f>+AG44</f>
        <v>30</v>
      </c>
      <c r="Q44" s="7444" t="s">
        <v>7144</v>
      </c>
      <c r="R44" s="7444" t="s">
        <v>7145</v>
      </c>
      <c r="S44" s="7444" t="s">
        <v>218</v>
      </c>
      <c r="T44" s="7490" t="s">
        <v>768</v>
      </c>
      <c r="U44" s="5238"/>
      <c r="V44" s="6524">
        <v>0</v>
      </c>
      <c r="W44" s="6524">
        <v>3</v>
      </c>
      <c r="X44" s="6524">
        <v>3</v>
      </c>
      <c r="Y44" s="6524">
        <v>3</v>
      </c>
      <c r="Z44" s="6524">
        <v>3</v>
      </c>
      <c r="AA44" s="6524">
        <v>3</v>
      </c>
      <c r="AB44" s="6524">
        <v>3</v>
      </c>
      <c r="AC44" s="6524">
        <v>3</v>
      </c>
      <c r="AD44" s="6524">
        <v>3</v>
      </c>
      <c r="AE44" s="6524">
        <v>3</v>
      </c>
      <c r="AF44" s="6524">
        <v>3</v>
      </c>
      <c r="AG44" s="6524">
        <f t="shared" si="24"/>
        <v>30</v>
      </c>
      <c r="AH44" s="7449">
        <v>300000</v>
      </c>
      <c r="AI44" s="7449"/>
      <c r="AJ44" s="7449"/>
      <c r="AK44" s="7449"/>
      <c r="AL44" s="7449">
        <f t="shared" si="25"/>
        <v>312000</v>
      </c>
      <c r="AM44" s="7449"/>
      <c r="AN44" s="7449"/>
      <c r="AO44" s="7449"/>
      <c r="AP44" s="7449">
        <f t="shared" si="26"/>
        <v>324480</v>
      </c>
      <c r="AQ44" s="7449"/>
      <c r="AR44" s="7449"/>
      <c r="AS44" s="7449"/>
      <c r="AT44" s="7449">
        <f>+AP44+AP44*4%</f>
        <v>337459.20000000001</v>
      </c>
      <c r="AU44" s="7449"/>
      <c r="AV44" s="7449"/>
      <c r="AW44" s="7449"/>
      <c r="AX44" s="7449">
        <f t="shared" si="27"/>
        <v>350957.56800000003</v>
      </c>
      <c r="AY44" s="7449"/>
      <c r="AZ44" s="7449"/>
      <c r="BA44" s="7449"/>
      <c r="BB44" s="7449">
        <f t="shared" si="28"/>
        <v>364995.87072000001</v>
      </c>
      <c r="BC44" s="7449"/>
      <c r="BD44" s="7449"/>
      <c r="BE44" s="7449"/>
      <c r="BF44" s="7449">
        <f t="shared" si="29"/>
        <v>379595.7055488</v>
      </c>
      <c r="BG44" s="7449"/>
      <c r="BH44" s="7449"/>
      <c r="BI44" s="7449"/>
      <c r="BJ44" s="7449">
        <f t="shared" si="30"/>
        <v>394779.53377075202</v>
      </c>
      <c r="BK44" s="7449"/>
      <c r="BL44" s="7449"/>
      <c r="BM44" s="7449"/>
      <c r="BN44" s="7449">
        <f t="shared" si="31"/>
        <v>410570.71512158209</v>
      </c>
      <c r="BO44" s="7449"/>
      <c r="BP44" s="7449"/>
      <c r="BQ44" s="7449"/>
      <c r="BR44" s="7449">
        <f t="shared" si="32"/>
        <v>426993.54372644535</v>
      </c>
      <c r="BS44" s="7449"/>
      <c r="BT44" s="7449"/>
      <c r="BU44" s="7449"/>
      <c r="BV44" s="7449">
        <f t="shared" si="33"/>
        <v>444073.28547550319</v>
      </c>
      <c r="BW44" s="7449"/>
      <c r="BX44" s="7449"/>
      <c r="BY44" s="7449"/>
      <c r="BZ44" s="7449">
        <f t="shared" si="34"/>
        <v>4045905.4223630824</v>
      </c>
      <c r="CA44" s="7178"/>
      <c r="CB44" s="7178"/>
      <c r="CC44" s="7178"/>
      <c r="CD44" s="7178"/>
      <c r="CE44" s="7178"/>
      <c r="CF44" s="7178"/>
      <c r="CG44" s="7178"/>
      <c r="CH44" s="7178"/>
      <c r="CI44" s="7178"/>
      <c r="CJ44" s="7178"/>
      <c r="CK44" s="7178"/>
      <c r="CL44" s="7178"/>
      <c r="CM44" s="7178"/>
      <c r="CN44" s="7178"/>
      <c r="CO44" s="7178"/>
      <c r="CP44" s="7178"/>
      <c r="CQ44" s="7178"/>
      <c r="CR44" s="7178"/>
      <c r="CS44" s="7178"/>
      <c r="CT44" s="7178"/>
      <c r="CU44" s="7178"/>
      <c r="CV44" s="7178"/>
      <c r="CW44" s="7178"/>
      <c r="CX44" s="7178"/>
      <c r="CY44" s="7178"/>
      <c r="CZ44" s="7178"/>
      <c r="DA44" s="7178"/>
      <c r="DB44" s="7178"/>
      <c r="DC44" s="7178"/>
      <c r="DD44" s="7178"/>
      <c r="DE44" s="7178"/>
      <c r="DF44" s="7178"/>
      <c r="DG44" s="7178"/>
      <c r="DH44" s="7178"/>
      <c r="DI44" s="7178"/>
      <c r="DJ44" s="7178"/>
      <c r="DK44" s="7178"/>
      <c r="DL44" s="7178"/>
      <c r="DM44" s="7178"/>
      <c r="DN44" s="7178"/>
      <c r="DO44" s="7178"/>
      <c r="DP44" s="7178"/>
      <c r="DQ44" s="7178"/>
      <c r="DR44" s="7178"/>
      <c r="DS44" s="7178"/>
      <c r="DT44" s="7178"/>
      <c r="DU44" s="7521"/>
    </row>
    <row r="45" spans="1:125" s="7180" customFormat="1" ht="15.75" customHeight="1">
      <c r="A45" s="17058" t="s">
        <v>7146</v>
      </c>
      <c r="B45" s="17049"/>
      <c r="C45" s="17078"/>
      <c r="D45" s="17080"/>
      <c r="E45" s="17078"/>
      <c r="F45" s="16841"/>
      <c r="G45" s="7446"/>
      <c r="H45" s="17121"/>
      <c r="I45" s="17121"/>
      <c r="J45" s="17121"/>
      <c r="K45" s="17124"/>
      <c r="L45" s="7520" t="s">
        <v>8414</v>
      </c>
      <c r="M45" s="7496" t="s">
        <v>8444</v>
      </c>
      <c r="N45" s="7444" t="s">
        <v>9629</v>
      </c>
      <c r="O45" s="7491" t="s">
        <v>7140</v>
      </c>
      <c r="P45" s="7492">
        <f t="shared" si="23"/>
        <v>240</v>
      </c>
      <c r="Q45" s="7490" t="s">
        <v>7147</v>
      </c>
      <c r="R45" s="7490" t="s">
        <v>7148</v>
      </c>
      <c r="S45" s="7444" t="s">
        <v>10067</v>
      </c>
      <c r="T45" s="7490" t="s">
        <v>4269</v>
      </c>
      <c r="U45" s="5238"/>
      <c r="V45" s="6524">
        <v>24</v>
      </c>
      <c r="W45" s="6524">
        <v>24</v>
      </c>
      <c r="X45" s="6524">
        <v>24</v>
      </c>
      <c r="Y45" s="6524">
        <v>24</v>
      </c>
      <c r="Z45" s="6524">
        <v>24</v>
      </c>
      <c r="AA45" s="6524">
        <v>24</v>
      </c>
      <c r="AB45" s="6524">
        <v>24</v>
      </c>
      <c r="AC45" s="6524">
        <v>24</v>
      </c>
      <c r="AD45" s="6524">
        <v>24</v>
      </c>
      <c r="AE45" s="6524">
        <v>24</v>
      </c>
      <c r="AF45" s="6524">
        <v>24</v>
      </c>
      <c r="AG45" s="6524">
        <f t="shared" si="24"/>
        <v>240</v>
      </c>
      <c r="AH45" s="7449">
        <v>20000000</v>
      </c>
      <c r="AI45" s="7449"/>
      <c r="AJ45" s="7449"/>
      <c r="AK45" s="7449"/>
      <c r="AL45" s="7449">
        <f t="shared" si="25"/>
        <v>20800000</v>
      </c>
      <c r="AM45" s="7449"/>
      <c r="AN45" s="7449"/>
      <c r="AO45" s="7449"/>
      <c r="AP45" s="7449">
        <f t="shared" si="26"/>
        <v>21632000</v>
      </c>
      <c r="AQ45" s="7449"/>
      <c r="AR45" s="7449"/>
      <c r="AS45" s="7449"/>
      <c r="AT45" s="7449">
        <f>+AP45+AP45*4%</f>
        <v>22497280</v>
      </c>
      <c r="AU45" s="7449"/>
      <c r="AV45" s="7449"/>
      <c r="AW45" s="7449"/>
      <c r="AX45" s="7449">
        <f t="shared" si="27"/>
        <v>23397171.199999999</v>
      </c>
      <c r="AY45" s="7449"/>
      <c r="AZ45" s="7449"/>
      <c r="BA45" s="7449"/>
      <c r="BB45" s="7449">
        <f t="shared" si="28"/>
        <v>24333058.048</v>
      </c>
      <c r="BC45" s="7449"/>
      <c r="BD45" s="7449"/>
      <c r="BE45" s="7449"/>
      <c r="BF45" s="7449">
        <f t="shared" si="29"/>
        <v>25306380.36992</v>
      </c>
      <c r="BG45" s="7449"/>
      <c r="BH45" s="7449"/>
      <c r="BI45" s="7449"/>
      <c r="BJ45" s="7449">
        <f t="shared" si="30"/>
        <v>26318635.584716801</v>
      </c>
      <c r="BK45" s="7449"/>
      <c r="BL45" s="7449"/>
      <c r="BM45" s="7449"/>
      <c r="BN45" s="7449">
        <f t="shared" si="31"/>
        <v>27371381.008105472</v>
      </c>
      <c r="BO45" s="7449"/>
      <c r="BP45" s="7449"/>
      <c r="BQ45" s="7449"/>
      <c r="BR45" s="7449">
        <f t="shared" si="32"/>
        <v>28466236.24842969</v>
      </c>
      <c r="BS45" s="7449"/>
      <c r="BT45" s="7449"/>
      <c r="BU45" s="7449"/>
      <c r="BV45" s="7449">
        <f t="shared" si="33"/>
        <v>29604885.698366877</v>
      </c>
      <c r="BW45" s="7449"/>
      <c r="BX45" s="7449"/>
      <c r="BY45" s="7449"/>
      <c r="BZ45" s="7449">
        <f t="shared" si="34"/>
        <v>269727028.15753877</v>
      </c>
      <c r="CA45" s="7178"/>
      <c r="CB45" s="7178"/>
      <c r="CC45" s="7178"/>
      <c r="CD45" s="7178"/>
      <c r="CE45" s="7178"/>
      <c r="CF45" s="7178"/>
      <c r="CG45" s="7178"/>
      <c r="CH45" s="7178"/>
      <c r="CI45" s="7178"/>
      <c r="CJ45" s="7178"/>
      <c r="CK45" s="7178"/>
      <c r="CL45" s="7178"/>
      <c r="CM45" s="7178"/>
      <c r="CN45" s="7178"/>
      <c r="CO45" s="7178"/>
      <c r="CP45" s="7178"/>
      <c r="CQ45" s="7178"/>
      <c r="CR45" s="7178"/>
      <c r="CS45" s="7178"/>
      <c r="CT45" s="7178"/>
      <c r="CU45" s="7178"/>
      <c r="CV45" s="7178"/>
      <c r="CW45" s="7178"/>
      <c r="CX45" s="7178"/>
      <c r="CY45" s="7178"/>
      <c r="CZ45" s="7178"/>
      <c r="DA45" s="7178"/>
      <c r="DB45" s="7178"/>
      <c r="DC45" s="7178"/>
      <c r="DD45" s="7178"/>
      <c r="DE45" s="7178"/>
      <c r="DF45" s="7178"/>
      <c r="DG45" s="7178"/>
      <c r="DH45" s="7178"/>
      <c r="DI45" s="7178"/>
      <c r="DJ45" s="7178"/>
      <c r="DK45" s="7178"/>
      <c r="DL45" s="7178"/>
      <c r="DM45" s="7178"/>
      <c r="DN45" s="7178"/>
      <c r="DO45" s="7178"/>
      <c r="DP45" s="7178"/>
      <c r="DQ45" s="7178"/>
      <c r="DR45" s="7178"/>
      <c r="DS45" s="7178"/>
      <c r="DT45" s="7178"/>
      <c r="DU45" s="7521"/>
    </row>
    <row r="46" spans="1:125" s="7180" customFormat="1" ht="15.75" customHeight="1">
      <c r="A46" s="17058"/>
      <c r="B46" s="17049"/>
      <c r="C46" s="17078"/>
      <c r="D46" s="17080"/>
      <c r="E46" s="17078"/>
      <c r="F46" s="16841"/>
      <c r="G46" s="7446"/>
      <c r="H46" s="17121"/>
      <c r="I46" s="17121"/>
      <c r="J46" s="17121"/>
      <c r="K46" s="17124"/>
      <c r="L46" s="7520" t="s">
        <v>8415</v>
      </c>
      <c r="M46" s="7185" t="s">
        <v>7149</v>
      </c>
      <c r="N46" s="7444" t="s">
        <v>7150</v>
      </c>
      <c r="O46" s="7491" t="s">
        <v>7140</v>
      </c>
      <c r="P46" s="7492">
        <f t="shared" si="23"/>
        <v>120</v>
      </c>
      <c r="Q46" s="7490" t="s">
        <v>7151</v>
      </c>
      <c r="R46" s="7490" t="s">
        <v>7152</v>
      </c>
      <c r="S46" s="7444" t="s">
        <v>10067</v>
      </c>
      <c r="T46" s="7490" t="s">
        <v>4269</v>
      </c>
      <c r="U46" s="5238"/>
      <c r="V46" s="6524">
        <v>12</v>
      </c>
      <c r="W46" s="6524">
        <v>12</v>
      </c>
      <c r="X46" s="6524">
        <v>12</v>
      </c>
      <c r="Y46" s="6524">
        <v>12</v>
      </c>
      <c r="Z46" s="6524">
        <v>12</v>
      </c>
      <c r="AA46" s="6524">
        <v>12</v>
      </c>
      <c r="AB46" s="6524">
        <v>12</v>
      </c>
      <c r="AC46" s="6524">
        <v>12</v>
      </c>
      <c r="AD46" s="6524">
        <v>12</v>
      </c>
      <c r="AE46" s="6524">
        <v>12</v>
      </c>
      <c r="AF46" s="6524">
        <v>12</v>
      </c>
      <c r="AG46" s="6524">
        <f t="shared" si="24"/>
        <v>120</v>
      </c>
      <c r="AH46" s="7449">
        <v>15000000</v>
      </c>
      <c r="AI46" s="7449"/>
      <c r="AJ46" s="7449"/>
      <c r="AK46" s="7449"/>
      <c r="AL46" s="7449">
        <f t="shared" si="25"/>
        <v>15600000</v>
      </c>
      <c r="AM46" s="7449"/>
      <c r="AN46" s="7449"/>
      <c r="AO46" s="7449"/>
      <c r="AP46" s="7449">
        <f t="shared" si="26"/>
        <v>16224000</v>
      </c>
      <c r="AQ46" s="7449"/>
      <c r="AR46" s="7449"/>
      <c r="AS46" s="7449"/>
      <c r="AT46" s="7449">
        <f>+AP46+AP46*4%</f>
        <v>16872960</v>
      </c>
      <c r="AU46" s="7449"/>
      <c r="AV46" s="7449"/>
      <c r="AW46" s="7449"/>
      <c r="AX46" s="7449">
        <f t="shared" si="27"/>
        <v>17547878.399999999</v>
      </c>
      <c r="AY46" s="7449"/>
      <c r="AZ46" s="7449"/>
      <c r="BA46" s="7449"/>
      <c r="BB46" s="7449">
        <f t="shared" si="28"/>
        <v>18249793.535999998</v>
      </c>
      <c r="BC46" s="7449"/>
      <c r="BD46" s="7449"/>
      <c r="BE46" s="7449"/>
      <c r="BF46" s="7449">
        <f t="shared" si="29"/>
        <v>18979785.277439997</v>
      </c>
      <c r="BG46" s="7449"/>
      <c r="BH46" s="7449"/>
      <c r="BI46" s="7449"/>
      <c r="BJ46" s="7449">
        <f t="shared" si="30"/>
        <v>19738976.688537598</v>
      </c>
      <c r="BK46" s="7449"/>
      <c r="BL46" s="7449"/>
      <c r="BM46" s="7449"/>
      <c r="BN46" s="7449">
        <f t="shared" si="31"/>
        <v>20528535.7560791</v>
      </c>
      <c r="BO46" s="7449"/>
      <c r="BP46" s="7449"/>
      <c r="BQ46" s="7449"/>
      <c r="BR46" s="7449">
        <f t="shared" si="32"/>
        <v>21349677.186322264</v>
      </c>
      <c r="BS46" s="7449"/>
      <c r="BT46" s="7449"/>
      <c r="BU46" s="7449"/>
      <c r="BV46" s="7449">
        <f t="shared" si="33"/>
        <v>22203664.273775157</v>
      </c>
      <c r="BW46" s="7449"/>
      <c r="BX46" s="7449"/>
      <c r="BY46" s="7449"/>
      <c r="BZ46" s="7449">
        <f t="shared" si="34"/>
        <v>202295271.11815414</v>
      </c>
      <c r="CA46" s="7178"/>
      <c r="CB46" s="7178"/>
      <c r="CC46" s="7178"/>
      <c r="CD46" s="7178"/>
      <c r="CE46" s="7178"/>
      <c r="CF46" s="7178"/>
      <c r="CG46" s="7178"/>
      <c r="CH46" s="7178"/>
      <c r="CI46" s="7178"/>
      <c r="CJ46" s="7178"/>
      <c r="CK46" s="7178"/>
      <c r="CL46" s="7178"/>
      <c r="CM46" s="7178"/>
      <c r="CN46" s="7178"/>
      <c r="CO46" s="7178"/>
      <c r="CP46" s="7178"/>
      <c r="CQ46" s="7178"/>
      <c r="CR46" s="7178"/>
      <c r="CS46" s="7178"/>
      <c r="CT46" s="7178"/>
      <c r="CU46" s="7178"/>
      <c r="CV46" s="7178"/>
      <c r="CW46" s="7178"/>
      <c r="CX46" s="7178"/>
      <c r="CY46" s="7178"/>
      <c r="CZ46" s="7178"/>
      <c r="DA46" s="7178"/>
      <c r="DB46" s="7178"/>
      <c r="DC46" s="7178"/>
      <c r="DD46" s="7178"/>
      <c r="DE46" s="7178"/>
      <c r="DF46" s="7178"/>
      <c r="DG46" s="7178"/>
      <c r="DH46" s="7178"/>
      <c r="DI46" s="7178"/>
      <c r="DJ46" s="7178"/>
      <c r="DK46" s="7178"/>
      <c r="DL46" s="7178"/>
      <c r="DM46" s="7178"/>
      <c r="DN46" s="7178"/>
      <c r="DO46" s="7178"/>
      <c r="DP46" s="7178"/>
      <c r="DQ46" s="7178"/>
      <c r="DR46" s="7178"/>
      <c r="DS46" s="7178"/>
      <c r="DT46" s="7178"/>
      <c r="DU46" s="7521"/>
    </row>
    <row r="47" spans="1:125" s="7180" customFormat="1" ht="15.75" customHeight="1">
      <c r="A47" s="7442" t="s">
        <v>7153</v>
      </c>
      <c r="B47" s="17049"/>
      <c r="C47" s="17078"/>
      <c r="D47" s="17080"/>
      <c r="E47" s="17078"/>
      <c r="F47" s="16841"/>
      <c r="G47" s="7446"/>
      <c r="H47" s="17121"/>
      <c r="I47" s="17121"/>
      <c r="J47" s="17121"/>
      <c r="K47" s="17124"/>
      <c r="L47" s="7520" t="s">
        <v>8416</v>
      </c>
      <c r="M47" s="7185" t="s">
        <v>7154</v>
      </c>
      <c r="N47" s="7185" t="s">
        <v>7155</v>
      </c>
      <c r="O47" s="7094" t="s">
        <v>7156</v>
      </c>
      <c r="P47" s="6524">
        <f t="shared" si="23"/>
        <v>100</v>
      </c>
      <c r="Q47" s="7094" t="s">
        <v>7157</v>
      </c>
      <c r="R47" s="7094" t="s">
        <v>7158</v>
      </c>
      <c r="S47" s="7185" t="s">
        <v>10063</v>
      </c>
      <c r="T47" s="7094" t="s">
        <v>724</v>
      </c>
      <c r="U47" s="4733"/>
      <c r="V47" s="6524">
        <v>0</v>
      </c>
      <c r="W47" s="6524">
        <v>10</v>
      </c>
      <c r="X47" s="6524">
        <f t="shared" ref="X47:AF47" si="35">+W47+10</f>
        <v>20</v>
      </c>
      <c r="Y47" s="6524">
        <f t="shared" si="35"/>
        <v>30</v>
      </c>
      <c r="Z47" s="6524">
        <f t="shared" si="35"/>
        <v>40</v>
      </c>
      <c r="AA47" s="6524">
        <f t="shared" si="35"/>
        <v>50</v>
      </c>
      <c r="AB47" s="6524">
        <f t="shared" si="35"/>
        <v>60</v>
      </c>
      <c r="AC47" s="6524">
        <f t="shared" si="35"/>
        <v>70</v>
      </c>
      <c r="AD47" s="6524">
        <f t="shared" si="35"/>
        <v>80</v>
      </c>
      <c r="AE47" s="6524">
        <f t="shared" si="35"/>
        <v>90</v>
      </c>
      <c r="AF47" s="6524">
        <f t="shared" si="35"/>
        <v>100</v>
      </c>
      <c r="AG47" s="6524">
        <f>+AF47</f>
        <v>100</v>
      </c>
      <c r="AH47" s="7449">
        <v>0</v>
      </c>
      <c r="AI47" s="7449">
        <f>(2524000*12)*2/6</f>
        <v>10096000</v>
      </c>
      <c r="AJ47" s="7449"/>
      <c r="AK47" s="7449"/>
      <c r="AL47" s="7449">
        <f>+AH47+AH47*6%</f>
        <v>0</v>
      </c>
      <c r="AM47" s="7449">
        <f>+AI47+AI47*6%</f>
        <v>10701760</v>
      </c>
      <c r="AN47" s="7449"/>
      <c r="AO47" s="7449"/>
      <c r="AP47" s="7449">
        <f>+AL47+AL47*6%</f>
        <v>0</v>
      </c>
      <c r="AQ47" s="7449">
        <f>+AM47+AM47*6%</f>
        <v>11343865.6</v>
      </c>
      <c r="AR47" s="7449"/>
      <c r="AS47" s="7449"/>
      <c r="AT47" s="7449">
        <f>+AP47+AP47*6%</f>
        <v>0</v>
      </c>
      <c r="AU47" s="7449">
        <f>+AQ47+AQ47*6%</f>
        <v>12024497.536</v>
      </c>
      <c r="AV47" s="7449"/>
      <c r="AW47" s="7449"/>
      <c r="AX47" s="7449">
        <f>+AT47+AT47*6%</f>
        <v>0</v>
      </c>
      <c r="AY47" s="7449">
        <f>+AU47+AU47*6%</f>
        <v>12745967.38816</v>
      </c>
      <c r="AZ47" s="7449"/>
      <c r="BA47" s="7449"/>
      <c r="BB47" s="7449">
        <f>+AX47+AX47*6%</f>
        <v>0</v>
      </c>
      <c r="BC47" s="7449">
        <f>+AY47+AY47*6%</f>
        <v>13510725.4314496</v>
      </c>
      <c r="BD47" s="7449"/>
      <c r="BE47" s="7449"/>
      <c r="BF47" s="7449">
        <f>+BB47+BB47*6%</f>
        <v>0</v>
      </c>
      <c r="BG47" s="7449">
        <f>+BC47+BC47*6%</f>
        <v>14321368.957336575</v>
      </c>
      <c r="BH47" s="7449"/>
      <c r="BI47" s="7449"/>
      <c r="BJ47" s="7449">
        <f>+BF47+BF47*6%</f>
        <v>0</v>
      </c>
      <c r="BK47" s="7449">
        <f>+BG47+BG47*6%</f>
        <v>15180651.09477677</v>
      </c>
      <c r="BL47" s="7449"/>
      <c r="BM47" s="7449"/>
      <c r="BN47" s="7449">
        <f>+BJ47+BJ47*6%</f>
        <v>0</v>
      </c>
      <c r="BO47" s="7449">
        <f>+BK47+BK47*6%</f>
        <v>16091490.160463376</v>
      </c>
      <c r="BP47" s="7449"/>
      <c r="BQ47" s="7449"/>
      <c r="BR47" s="7449">
        <f>+BN47+BN47*6%</f>
        <v>0</v>
      </c>
      <c r="BS47" s="7449">
        <f>+BO47+BO47*6%</f>
        <v>17056979.570091177</v>
      </c>
      <c r="BT47" s="7449"/>
      <c r="BU47" s="7449"/>
      <c r="BV47" s="7449">
        <f>+BR47+BR47*6%</f>
        <v>0</v>
      </c>
      <c r="BW47" s="7449">
        <f>+BS47+BS47*6%</f>
        <v>18080398.344296649</v>
      </c>
      <c r="BX47" s="7449"/>
      <c r="BY47" s="7449"/>
      <c r="BZ47" s="7449">
        <f>SUM(AH47:BY47)</f>
        <v>151153704.08257413</v>
      </c>
      <c r="CA47" s="7178"/>
      <c r="CB47" s="7178"/>
      <c r="CC47" s="7178"/>
      <c r="CD47" s="7178"/>
      <c r="CE47" s="7178"/>
      <c r="CF47" s="7178"/>
      <c r="CG47" s="7178"/>
      <c r="CH47" s="7178"/>
      <c r="CI47" s="7178"/>
      <c r="CJ47" s="7178"/>
      <c r="CK47" s="7178"/>
      <c r="CL47" s="7178"/>
      <c r="CM47" s="7178"/>
      <c r="CN47" s="7178"/>
      <c r="CO47" s="7178"/>
      <c r="CP47" s="7178"/>
      <c r="CQ47" s="7178"/>
      <c r="CR47" s="7178"/>
      <c r="CS47" s="7178"/>
      <c r="CT47" s="7178"/>
      <c r="CU47" s="7178"/>
      <c r="CV47" s="7178"/>
      <c r="CW47" s="7178"/>
      <c r="CX47" s="7178"/>
      <c r="CY47" s="7178"/>
      <c r="CZ47" s="7178"/>
      <c r="DA47" s="7178"/>
      <c r="DB47" s="7178"/>
      <c r="DC47" s="7178"/>
      <c r="DD47" s="7178"/>
      <c r="DE47" s="7178"/>
      <c r="DF47" s="7178"/>
      <c r="DG47" s="7178"/>
      <c r="DH47" s="7178"/>
      <c r="DI47" s="7178"/>
      <c r="DJ47" s="7178"/>
      <c r="DK47" s="7178"/>
      <c r="DL47" s="7178"/>
      <c r="DM47" s="7178"/>
      <c r="DN47" s="7178"/>
      <c r="DO47" s="7178"/>
      <c r="DP47" s="7178"/>
      <c r="DQ47" s="7178"/>
      <c r="DR47" s="7178"/>
      <c r="DS47" s="7178"/>
      <c r="DT47" s="7178"/>
      <c r="DU47" s="7521"/>
    </row>
    <row r="48" spans="1:125" s="7180" customFormat="1" ht="15.75" customHeight="1">
      <c r="A48" s="7442" t="s">
        <v>7159</v>
      </c>
      <c r="B48" s="17049"/>
      <c r="C48" s="17078"/>
      <c r="D48" s="17080"/>
      <c r="E48" s="17078"/>
      <c r="F48" s="16841"/>
      <c r="G48" s="7446"/>
      <c r="H48" s="17121"/>
      <c r="I48" s="17121"/>
      <c r="J48" s="17121"/>
      <c r="K48" s="17124"/>
      <c r="L48" s="17051" t="s">
        <v>8417</v>
      </c>
      <c r="M48" s="15376" t="s">
        <v>7160</v>
      </c>
      <c r="N48" s="15376" t="s">
        <v>7161</v>
      </c>
      <c r="O48" s="15376" t="s">
        <v>7162</v>
      </c>
      <c r="P48" s="15376">
        <f t="shared" si="23"/>
        <v>1</v>
      </c>
      <c r="Q48" s="15376" t="s">
        <v>7163</v>
      </c>
      <c r="R48" s="15376" t="s">
        <v>7164</v>
      </c>
      <c r="S48" s="7185" t="s">
        <v>10063</v>
      </c>
      <c r="T48" s="15376" t="s">
        <v>7114</v>
      </c>
      <c r="U48" s="4733"/>
      <c r="V48" s="6524">
        <v>0</v>
      </c>
      <c r="W48" s="6524">
        <v>1</v>
      </c>
      <c r="X48" s="6524">
        <v>1</v>
      </c>
      <c r="Y48" s="6524">
        <v>1</v>
      </c>
      <c r="Z48" s="6524">
        <v>1</v>
      </c>
      <c r="AA48" s="6524">
        <v>1</v>
      </c>
      <c r="AB48" s="6524">
        <v>1</v>
      </c>
      <c r="AC48" s="6524">
        <v>1</v>
      </c>
      <c r="AD48" s="6524">
        <v>1</v>
      </c>
      <c r="AE48" s="6524">
        <v>1</v>
      </c>
      <c r="AF48" s="6524">
        <v>1</v>
      </c>
      <c r="AG48" s="6524">
        <v>1</v>
      </c>
      <c r="AH48" s="7449"/>
      <c r="AI48" s="7449">
        <f>5000000+4500000</f>
        <v>9500000</v>
      </c>
      <c r="AJ48" s="7449"/>
      <c r="AK48" s="7449"/>
      <c r="AL48" s="7449"/>
      <c r="AM48" s="7449">
        <f>+AI48+AI48*6%</f>
        <v>10070000</v>
      </c>
      <c r="AN48" s="7449"/>
      <c r="AO48" s="7449"/>
      <c r="AP48" s="7449"/>
      <c r="AQ48" s="7449">
        <f>+AM48+AM48*6%</f>
        <v>10674200</v>
      </c>
      <c r="AR48" s="7449"/>
      <c r="AS48" s="7449"/>
      <c r="AT48" s="7449"/>
      <c r="AU48" s="7449">
        <f>+AQ48+AQ48*6%</f>
        <v>11314652</v>
      </c>
      <c r="AV48" s="7449"/>
      <c r="AW48" s="7449"/>
      <c r="AX48" s="7449"/>
      <c r="AY48" s="7449">
        <f>+AU48+AU48*6%</f>
        <v>11993531.119999999</v>
      </c>
      <c r="AZ48" s="7449"/>
      <c r="BA48" s="7449"/>
      <c r="BB48" s="7449"/>
      <c r="BC48" s="7449">
        <f>+AY48+AY48*6%</f>
        <v>12713142.987199999</v>
      </c>
      <c r="BD48" s="7449"/>
      <c r="BE48" s="7449"/>
      <c r="BF48" s="7449"/>
      <c r="BG48" s="7449">
        <f>+BC48+BC48*6%</f>
        <v>13475931.566431999</v>
      </c>
      <c r="BH48" s="7449"/>
      <c r="BI48" s="7449"/>
      <c r="BJ48" s="7449"/>
      <c r="BK48" s="7449">
        <f>+BG48+BG48*6%</f>
        <v>14284487.460417919</v>
      </c>
      <c r="BL48" s="7449"/>
      <c r="BM48" s="7449"/>
      <c r="BN48" s="7449"/>
      <c r="BO48" s="7449">
        <f>+BK48+BK48*6%</f>
        <v>15141556.708042994</v>
      </c>
      <c r="BP48" s="7449"/>
      <c r="BQ48" s="7449"/>
      <c r="BR48" s="7449"/>
      <c r="BS48" s="7449">
        <f>+BO48+BO48*6%</f>
        <v>16050050.110525575</v>
      </c>
      <c r="BT48" s="7449"/>
      <c r="BU48" s="7449"/>
      <c r="BV48" s="7449"/>
      <c r="BW48" s="7449">
        <f>+BS48+BS48*6%</f>
        <v>17013053.117157109</v>
      </c>
      <c r="BX48" s="7449"/>
      <c r="BY48" s="7449"/>
      <c r="BZ48" s="7449">
        <f>SUM(AH48:BY48)</f>
        <v>142230605.06977561</v>
      </c>
      <c r="CA48" s="7178"/>
      <c r="CB48" s="7178"/>
      <c r="CC48" s="7178"/>
      <c r="CD48" s="7178"/>
      <c r="CE48" s="7178"/>
      <c r="CF48" s="7178"/>
      <c r="CG48" s="7178"/>
      <c r="CH48" s="7178"/>
      <c r="CI48" s="7178"/>
      <c r="CJ48" s="7178"/>
      <c r="CK48" s="7178"/>
      <c r="CL48" s="7178"/>
      <c r="CM48" s="7178"/>
      <c r="CN48" s="7178"/>
      <c r="CO48" s="7178"/>
      <c r="CP48" s="7178"/>
      <c r="CQ48" s="7178"/>
      <c r="CR48" s="7178"/>
      <c r="CS48" s="7178"/>
      <c r="CT48" s="7178"/>
      <c r="CU48" s="7178"/>
      <c r="CV48" s="7178"/>
      <c r="CW48" s="7178"/>
      <c r="CX48" s="7178"/>
      <c r="CY48" s="7178"/>
      <c r="CZ48" s="7178"/>
      <c r="DA48" s="7178"/>
      <c r="DB48" s="7178"/>
      <c r="DC48" s="7178"/>
      <c r="DD48" s="7178"/>
      <c r="DE48" s="7178"/>
      <c r="DF48" s="7178"/>
      <c r="DG48" s="7178"/>
      <c r="DH48" s="7178"/>
      <c r="DI48" s="7178"/>
      <c r="DJ48" s="7178"/>
      <c r="DK48" s="7178"/>
      <c r="DL48" s="7178"/>
      <c r="DM48" s="7178"/>
      <c r="DN48" s="7178"/>
      <c r="DO48" s="7178"/>
      <c r="DP48" s="7178"/>
      <c r="DQ48" s="7178"/>
      <c r="DR48" s="7178"/>
      <c r="DS48" s="7178"/>
      <c r="DT48" s="7178"/>
      <c r="DU48" s="7521"/>
    </row>
    <row r="49" spans="1:125" s="7180" customFormat="1" ht="15.75" customHeight="1">
      <c r="A49" s="7185"/>
      <c r="B49" s="15376"/>
      <c r="C49" s="17078"/>
      <c r="D49" s="17080"/>
      <c r="E49" s="17078"/>
      <c r="F49" s="15375"/>
      <c r="G49" s="7446"/>
      <c r="H49" s="17121"/>
      <c r="I49" s="17121"/>
      <c r="J49" s="17121"/>
      <c r="K49" s="17124"/>
      <c r="L49" s="17051"/>
      <c r="M49" s="15376"/>
      <c r="N49" s="15376"/>
      <c r="O49" s="15376"/>
      <c r="P49" s="15376"/>
      <c r="Q49" s="15376"/>
      <c r="R49" s="15376"/>
      <c r="S49" s="7185" t="s">
        <v>10066</v>
      </c>
      <c r="T49" s="15376"/>
      <c r="U49" s="4733"/>
      <c r="V49" s="6524"/>
      <c r="W49" s="6524"/>
      <c r="X49" s="6524"/>
      <c r="Y49" s="6524"/>
      <c r="Z49" s="6524"/>
      <c r="AA49" s="6524"/>
      <c r="AB49" s="6524"/>
      <c r="AC49" s="6524"/>
      <c r="AD49" s="6524"/>
      <c r="AE49" s="6524"/>
      <c r="AF49" s="6524"/>
      <c r="AG49" s="6524"/>
      <c r="AH49" s="7449"/>
      <c r="AI49" s="7449"/>
      <c r="AJ49" s="7449"/>
      <c r="AK49" s="7449"/>
      <c r="AL49" s="7449"/>
      <c r="AM49" s="7449"/>
      <c r="AN49" s="7449"/>
      <c r="AO49" s="7449"/>
      <c r="AP49" s="7449"/>
      <c r="AQ49" s="7449"/>
      <c r="AR49" s="7449"/>
      <c r="AS49" s="7449"/>
      <c r="AT49" s="7449"/>
      <c r="AU49" s="7449"/>
      <c r="AV49" s="7449"/>
      <c r="AW49" s="7449"/>
      <c r="AX49" s="7449"/>
      <c r="AY49" s="7449"/>
      <c r="AZ49" s="7449"/>
      <c r="BA49" s="7449"/>
      <c r="BB49" s="7449"/>
      <c r="BC49" s="7449"/>
      <c r="BD49" s="7449"/>
      <c r="BE49" s="7449"/>
      <c r="BF49" s="7449"/>
      <c r="BG49" s="7449"/>
      <c r="BH49" s="7449"/>
      <c r="BI49" s="7449"/>
      <c r="BJ49" s="7449"/>
      <c r="BK49" s="7449"/>
      <c r="BL49" s="7449"/>
      <c r="BM49" s="7449"/>
      <c r="BN49" s="7449"/>
      <c r="BO49" s="7449"/>
      <c r="BP49" s="7449"/>
      <c r="BQ49" s="7449"/>
      <c r="BR49" s="7449"/>
      <c r="BS49" s="7449"/>
      <c r="BT49" s="7449"/>
      <c r="BU49" s="7449"/>
      <c r="BV49" s="7449"/>
      <c r="BW49" s="7449"/>
      <c r="BX49" s="7449"/>
      <c r="BY49" s="7449"/>
      <c r="BZ49" s="7449"/>
      <c r="CA49" s="7178"/>
      <c r="CB49" s="7178"/>
      <c r="CC49" s="7178"/>
      <c r="CD49" s="7178"/>
      <c r="CE49" s="7178"/>
      <c r="CF49" s="7178"/>
      <c r="CG49" s="7178"/>
      <c r="CH49" s="7178"/>
      <c r="CI49" s="7178"/>
      <c r="CJ49" s="7178"/>
      <c r="CK49" s="7178"/>
      <c r="CL49" s="7178"/>
      <c r="CM49" s="7178"/>
      <c r="CN49" s="7178"/>
      <c r="CO49" s="7178"/>
      <c r="CP49" s="7178"/>
      <c r="CQ49" s="7178"/>
      <c r="CR49" s="7178"/>
      <c r="CS49" s="7178"/>
      <c r="CT49" s="7178"/>
      <c r="CU49" s="7178"/>
      <c r="CV49" s="7178"/>
      <c r="CW49" s="7178"/>
      <c r="CX49" s="7178"/>
      <c r="CY49" s="7178"/>
      <c r="CZ49" s="7178"/>
      <c r="DA49" s="7178"/>
      <c r="DB49" s="7178"/>
      <c r="DC49" s="7178"/>
      <c r="DD49" s="7178"/>
      <c r="DE49" s="7178"/>
      <c r="DF49" s="7178"/>
      <c r="DG49" s="7178"/>
      <c r="DH49" s="7178"/>
      <c r="DI49" s="7178"/>
      <c r="DJ49" s="7178"/>
      <c r="DK49" s="7178"/>
      <c r="DL49" s="7178"/>
      <c r="DM49" s="7178"/>
      <c r="DN49" s="7178"/>
      <c r="DO49" s="7178"/>
      <c r="DP49" s="7178"/>
      <c r="DQ49" s="7178"/>
      <c r="DR49" s="7178"/>
      <c r="DS49" s="7178"/>
      <c r="DT49" s="7178"/>
      <c r="DU49" s="7521"/>
    </row>
    <row r="50" spans="1:125" s="7180" customFormat="1" ht="15.75" customHeight="1">
      <c r="A50" s="7442" t="s">
        <v>7165</v>
      </c>
      <c r="B50" s="17049"/>
      <c r="C50" s="17078"/>
      <c r="D50" s="17080"/>
      <c r="E50" s="17078"/>
      <c r="F50" s="17117" t="s">
        <v>7166</v>
      </c>
      <c r="G50" s="7446"/>
      <c r="H50" s="17121"/>
      <c r="I50" s="17121"/>
      <c r="J50" s="17121"/>
      <c r="K50" s="17124"/>
      <c r="L50" s="7520" t="s">
        <v>8418</v>
      </c>
      <c r="M50" s="7185" t="s">
        <v>7167</v>
      </c>
      <c r="N50" s="7185" t="s">
        <v>7168</v>
      </c>
      <c r="O50" s="5238" t="s">
        <v>7169</v>
      </c>
      <c r="P50" s="7448">
        <f>+AG50</f>
        <v>1</v>
      </c>
      <c r="Q50" s="7185" t="s">
        <v>7170</v>
      </c>
      <c r="R50" s="5238" t="s">
        <v>7171</v>
      </c>
      <c r="S50" s="7185" t="s">
        <v>10063</v>
      </c>
      <c r="T50" s="5238" t="s">
        <v>724</v>
      </c>
      <c r="U50" s="6524"/>
      <c r="V50" s="7448">
        <v>0</v>
      </c>
      <c r="W50" s="7448">
        <v>0.5</v>
      </c>
      <c r="X50" s="7448">
        <v>0.55000000000000004</v>
      </c>
      <c r="Y50" s="7448">
        <v>0.6</v>
      </c>
      <c r="Z50" s="7448">
        <v>0.65</v>
      </c>
      <c r="AA50" s="7448">
        <v>0.7</v>
      </c>
      <c r="AB50" s="7448">
        <v>0.75</v>
      </c>
      <c r="AC50" s="7448">
        <v>0.8</v>
      </c>
      <c r="AD50" s="7448">
        <v>0.85</v>
      </c>
      <c r="AE50" s="7448">
        <v>0.9</v>
      </c>
      <c r="AF50" s="7448">
        <v>0.95</v>
      </c>
      <c r="AG50" s="7448">
        <v>1</v>
      </c>
      <c r="AH50" s="7494">
        <v>0</v>
      </c>
      <c r="AI50" s="7494">
        <f>(2524000*12)*2/6</f>
        <v>10096000</v>
      </c>
      <c r="AJ50" s="7494"/>
      <c r="AK50" s="7494"/>
      <c r="AL50" s="7494">
        <f>+AH50+AH50*6%</f>
        <v>0</v>
      </c>
      <c r="AM50" s="7494">
        <f>+AI50+AI50*6%</f>
        <v>10701760</v>
      </c>
      <c r="AN50" s="7494"/>
      <c r="AO50" s="7494"/>
      <c r="AP50" s="7494">
        <f>+AL50+AL50*6%</f>
        <v>0</v>
      </c>
      <c r="AQ50" s="7494">
        <f>+AM50+AM50*6%</f>
        <v>11343865.6</v>
      </c>
      <c r="AR50" s="7494"/>
      <c r="AS50" s="7494"/>
      <c r="AT50" s="7494">
        <f>+AP50+AP50*6%</f>
        <v>0</v>
      </c>
      <c r="AU50" s="7494">
        <f>+AQ50+AQ50*6%</f>
        <v>12024497.536</v>
      </c>
      <c r="AV50" s="7494"/>
      <c r="AW50" s="7494"/>
      <c r="AX50" s="7494">
        <f>+AT50+AT50*6%</f>
        <v>0</v>
      </c>
      <c r="AY50" s="7494">
        <f>+AU50+AU50*6%</f>
        <v>12745967.38816</v>
      </c>
      <c r="AZ50" s="7494"/>
      <c r="BA50" s="7494"/>
      <c r="BB50" s="7494">
        <f>+AX50+AX50*6%</f>
        <v>0</v>
      </c>
      <c r="BC50" s="7494">
        <f>+AY50+AY50*6%</f>
        <v>13510725.4314496</v>
      </c>
      <c r="BD50" s="7494"/>
      <c r="BE50" s="7494"/>
      <c r="BF50" s="7494">
        <f>+BB50+BB50*6%</f>
        <v>0</v>
      </c>
      <c r="BG50" s="7494">
        <f>+BC50+BC50*6%</f>
        <v>14321368.957336575</v>
      </c>
      <c r="BH50" s="7494"/>
      <c r="BI50" s="7494"/>
      <c r="BJ50" s="7494">
        <f>+BF50+BF50*6%</f>
        <v>0</v>
      </c>
      <c r="BK50" s="7494">
        <f>+BG50+BG50*6%</f>
        <v>15180651.09477677</v>
      </c>
      <c r="BL50" s="7494"/>
      <c r="BM50" s="7494"/>
      <c r="BN50" s="7494">
        <f>+BJ50+BJ50*6%</f>
        <v>0</v>
      </c>
      <c r="BO50" s="7494">
        <f>+BK50+BK50*6%</f>
        <v>16091490.160463376</v>
      </c>
      <c r="BP50" s="7494"/>
      <c r="BQ50" s="7494"/>
      <c r="BR50" s="7494">
        <f>+BN50+BN50*6%</f>
        <v>0</v>
      </c>
      <c r="BS50" s="7494">
        <f>+BO50+BO50*6%</f>
        <v>17056979.570091177</v>
      </c>
      <c r="BT50" s="7494"/>
      <c r="BU50" s="7494"/>
      <c r="BV50" s="7494">
        <f>+BR50+BR50*6%</f>
        <v>0</v>
      </c>
      <c r="BW50" s="7494">
        <f>+BS50+BS50*6%</f>
        <v>18080398.344296649</v>
      </c>
      <c r="BX50" s="7494"/>
      <c r="BY50" s="7494"/>
      <c r="BZ50" s="7494">
        <f>SUM(AH50:BY50)</f>
        <v>151153704.08257413</v>
      </c>
      <c r="CA50" s="7495"/>
      <c r="CB50" s="7580"/>
      <c r="CC50" s="7580"/>
      <c r="CD50" s="7580"/>
      <c r="CE50" s="7580"/>
      <c r="CF50" s="7580"/>
      <c r="CG50" s="7580"/>
      <c r="CH50" s="7580"/>
      <c r="CI50" s="7580"/>
      <c r="CJ50" s="7580"/>
      <c r="CK50" s="7580"/>
      <c r="CL50" s="7580"/>
      <c r="CM50" s="7580"/>
      <c r="CN50" s="7580"/>
      <c r="CO50" s="7580"/>
      <c r="CP50" s="7580"/>
      <c r="CQ50" s="7580"/>
      <c r="CR50" s="7580"/>
      <c r="CS50" s="7580"/>
      <c r="CT50" s="7580"/>
      <c r="CU50" s="7580"/>
      <c r="CV50" s="7580"/>
      <c r="CW50" s="7580"/>
      <c r="CX50" s="7580"/>
      <c r="CY50" s="7580"/>
      <c r="CZ50" s="7580"/>
      <c r="DA50" s="7580"/>
      <c r="DB50" s="7580"/>
      <c r="DC50" s="7580"/>
      <c r="DD50" s="7580"/>
      <c r="DE50" s="7580"/>
      <c r="DF50" s="7580"/>
      <c r="DG50" s="7580"/>
      <c r="DH50" s="7580"/>
      <c r="DI50" s="7580"/>
      <c r="DJ50" s="7580"/>
      <c r="DK50" s="7580"/>
      <c r="DL50" s="7580"/>
      <c r="DM50" s="7580"/>
      <c r="DN50" s="7580"/>
      <c r="DO50" s="7580"/>
      <c r="DP50" s="7580"/>
      <c r="DQ50" s="7580"/>
      <c r="DR50" s="7580"/>
      <c r="DS50" s="7178"/>
      <c r="DT50" s="7178"/>
      <c r="DU50" s="7521"/>
    </row>
    <row r="51" spans="1:125" s="7180" customFormat="1" ht="15.75" customHeight="1">
      <c r="A51" s="7442" t="s">
        <v>7172</v>
      </c>
      <c r="B51" s="17049"/>
      <c r="C51" s="17078"/>
      <c r="D51" s="17080"/>
      <c r="E51" s="17078"/>
      <c r="F51" s="17118"/>
      <c r="G51" s="7446"/>
      <c r="H51" s="17121"/>
      <c r="I51" s="17121"/>
      <c r="J51" s="17121"/>
      <c r="K51" s="17124"/>
      <c r="L51" s="17051" t="s">
        <v>8419</v>
      </c>
      <c r="M51" s="15376" t="s">
        <v>7173</v>
      </c>
      <c r="N51" s="15376" t="s">
        <v>7174</v>
      </c>
      <c r="O51" s="15376" t="s">
        <v>7169</v>
      </c>
      <c r="P51" s="15376">
        <f>+AG51</f>
        <v>20</v>
      </c>
      <c r="Q51" s="15376" t="s">
        <v>7175</v>
      </c>
      <c r="R51" s="15376" t="s">
        <v>7176</v>
      </c>
      <c r="S51" s="7185" t="s">
        <v>10063</v>
      </c>
      <c r="T51" s="15376" t="s">
        <v>7114</v>
      </c>
      <c r="U51" s="4733"/>
      <c r="V51" s="7453">
        <v>0</v>
      </c>
      <c r="W51" s="7453">
        <v>2</v>
      </c>
      <c r="X51" s="7453">
        <v>2</v>
      </c>
      <c r="Y51" s="7453">
        <v>2</v>
      </c>
      <c r="Z51" s="7453">
        <v>2</v>
      </c>
      <c r="AA51" s="7453">
        <v>2</v>
      </c>
      <c r="AB51" s="7453">
        <v>2</v>
      </c>
      <c r="AC51" s="7453">
        <v>2</v>
      </c>
      <c r="AD51" s="7453">
        <v>2</v>
      </c>
      <c r="AE51" s="7453">
        <v>2</v>
      </c>
      <c r="AF51" s="7453">
        <v>2</v>
      </c>
      <c r="AG51" s="7453">
        <f>W51+X51+Y51+Z51+AA51+AB51+AC51+AD51+AE51+AF51</f>
        <v>20</v>
      </c>
      <c r="AH51" s="7449"/>
      <c r="AI51" s="7449">
        <f>(2524000*12)*2/6+10096000</f>
        <v>20192000</v>
      </c>
      <c r="AJ51" s="7449"/>
      <c r="AK51" s="7449"/>
      <c r="AL51" s="7449"/>
      <c r="AM51" s="7449">
        <f>+AI51+AI51*6%</f>
        <v>21403520</v>
      </c>
      <c r="AN51" s="7449"/>
      <c r="AO51" s="7449"/>
      <c r="AP51" s="7449"/>
      <c r="AQ51" s="7449">
        <f>+AM51+AM51*6%</f>
        <v>22687731.199999999</v>
      </c>
      <c r="AR51" s="7449"/>
      <c r="AS51" s="7449"/>
      <c r="AT51" s="7449"/>
      <c r="AU51" s="7449">
        <f>+AQ51+AQ51*6%</f>
        <v>24048995.072000001</v>
      </c>
      <c r="AV51" s="7449"/>
      <c r="AW51" s="7449"/>
      <c r="AX51" s="7449"/>
      <c r="AY51" s="7449">
        <f>+AU51+AU51*6%</f>
        <v>25491934.776319999</v>
      </c>
      <c r="AZ51" s="7449"/>
      <c r="BA51" s="7449"/>
      <c r="BB51" s="7449"/>
      <c r="BC51" s="7449">
        <f>+AY51+AY51*6%</f>
        <v>27021450.862899199</v>
      </c>
      <c r="BD51" s="7449"/>
      <c r="BE51" s="7449"/>
      <c r="BF51" s="7449"/>
      <c r="BG51" s="7449">
        <f>+BC51+BC51*6%</f>
        <v>28642737.91467315</v>
      </c>
      <c r="BH51" s="7449"/>
      <c r="BI51" s="7449"/>
      <c r="BJ51" s="7449"/>
      <c r="BK51" s="7449">
        <f>+BG51+BG51*6%</f>
        <v>30361302.18955354</v>
      </c>
      <c r="BL51" s="7449"/>
      <c r="BM51" s="7449"/>
      <c r="BN51" s="7449"/>
      <c r="BO51" s="7449">
        <f>+BK51+BK51*6%</f>
        <v>32182980.320926752</v>
      </c>
      <c r="BP51" s="7449"/>
      <c r="BQ51" s="7449"/>
      <c r="BR51" s="7449"/>
      <c r="BS51" s="7449">
        <f>+BO51+BO51*6%</f>
        <v>34113959.140182354</v>
      </c>
      <c r="BT51" s="7449"/>
      <c r="BU51" s="7449"/>
      <c r="BV51" s="7449"/>
      <c r="BW51" s="7449">
        <f>+BS51+BS51*6%</f>
        <v>36160796.688593298</v>
      </c>
      <c r="BX51" s="7449"/>
      <c r="BY51" s="7449"/>
      <c r="BZ51" s="7449">
        <f>SUM(AH51:BY51)</f>
        <v>302307408.16514826</v>
      </c>
      <c r="CA51" s="7178"/>
      <c r="CB51" s="7580"/>
      <c r="CC51" s="7580"/>
      <c r="CD51" s="7580"/>
      <c r="CE51" s="7580"/>
      <c r="CF51" s="7580"/>
      <c r="CG51" s="7580"/>
      <c r="CH51" s="7580"/>
      <c r="CI51" s="7580"/>
      <c r="CJ51" s="7580"/>
      <c r="CK51" s="7580"/>
      <c r="CL51" s="7580"/>
      <c r="CM51" s="7580"/>
      <c r="CN51" s="7580"/>
      <c r="CO51" s="7580"/>
      <c r="CP51" s="7580"/>
      <c r="CQ51" s="7580"/>
      <c r="CR51" s="7580"/>
      <c r="CS51" s="7580"/>
      <c r="CT51" s="7580"/>
      <c r="CU51" s="7580"/>
      <c r="CV51" s="7580"/>
      <c r="CW51" s="7580"/>
      <c r="CX51" s="7580"/>
      <c r="CY51" s="7580"/>
      <c r="CZ51" s="7580"/>
      <c r="DA51" s="7580"/>
      <c r="DB51" s="7580"/>
      <c r="DC51" s="7580"/>
      <c r="DD51" s="7580"/>
      <c r="DE51" s="7580"/>
      <c r="DF51" s="7580"/>
      <c r="DG51" s="7580"/>
      <c r="DH51" s="7580"/>
      <c r="DI51" s="7580"/>
      <c r="DJ51" s="7580"/>
      <c r="DK51" s="7580"/>
      <c r="DL51" s="7580"/>
      <c r="DM51" s="7580"/>
      <c r="DN51" s="7580"/>
      <c r="DO51" s="7580"/>
      <c r="DP51" s="7580"/>
      <c r="DQ51" s="7580"/>
      <c r="DR51" s="7580"/>
      <c r="DS51" s="7178"/>
      <c r="DT51" s="7178"/>
      <c r="DU51" s="7521"/>
    </row>
    <row r="52" spans="1:125" s="7180" customFormat="1" ht="15.75" customHeight="1" thickBot="1">
      <c r="A52" s="7185"/>
      <c r="B52" s="5238"/>
      <c r="C52" s="17078"/>
      <c r="D52" s="17080"/>
      <c r="E52" s="17078"/>
      <c r="F52" s="17119"/>
      <c r="G52" s="7452"/>
      <c r="H52" s="17122"/>
      <c r="I52" s="17122"/>
      <c r="J52" s="17122"/>
      <c r="K52" s="17125"/>
      <c r="L52" s="17116"/>
      <c r="M52" s="16572"/>
      <c r="N52" s="16572"/>
      <c r="O52" s="16572"/>
      <c r="P52" s="16572"/>
      <c r="Q52" s="16572"/>
      <c r="R52" s="16572"/>
      <c r="S52" s="7105" t="s">
        <v>10066</v>
      </c>
      <c r="T52" s="16572"/>
      <c r="U52" s="7558"/>
      <c r="V52" s="7559"/>
      <c r="W52" s="7559"/>
      <c r="X52" s="7559"/>
      <c r="Y52" s="7559"/>
      <c r="Z52" s="7559"/>
      <c r="AA52" s="7559"/>
      <c r="AB52" s="7559"/>
      <c r="AC52" s="7559"/>
      <c r="AD52" s="7559"/>
      <c r="AE52" s="7559"/>
      <c r="AF52" s="7559"/>
      <c r="AG52" s="7559"/>
      <c r="AH52" s="7560"/>
      <c r="AI52" s="7560"/>
      <c r="AJ52" s="7560"/>
      <c r="AK52" s="7560"/>
      <c r="AL52" s="7560"/>
      <c r="AM52" s="7560"/>
      <c r="AN52" s="7560"/>
      <c r="AO52" s="7560"/>
      <c r="AP52" s="7560"/>
      <c r="AQ52" s="7560"/>
      <c r="AR52" s="7560"/>
      <c r="AS52" s="7560"/>
      <c r="AT52" s="7560"/>
      <c r="AU52" s="7560"/>
      <c r="AV52" s="7560"/>
      <c r="AW52" s="7560"/>
      <c r="AX52" s="7560"/>
      <c r="AY52" s="7560"/>
      <c r="AZ52" s="7560"/>
      <c r="BA52" s="7560"/>
      <c r="BB52" s="7560"/>
      <c r="BC52" s="7560"/>
      <c r="BD52" s="7560"/>
      <c r="BE52" s="7560"/>
      <c r="BF52" s="7560"/>
      <c r="BG52" s="7560"/>
      <c r="BH52" s="7560"/>
      <c r="BI52" s="7560"/>
      <c r="BJ52" s="7560"/>
      <c r="BK52" s="7560"/>
      <c r="BL52" s="7560"/>
      <c r="BM52" s="7560"/>
      <c r="BN52" s="7560"/>
      <c r="BO52" s="7560"/>
      <c r="BP52" s="7560"/>
      <c r="BQ52" s="7560"/>
      <c r="BR52" s="7560"/>
      <c r="BS52" s="7560"/>
      <c r="BT52" s="7560"/>
      <c r="BU52" s="7560"/>
      <c r="BV52" s="7560"/>
      <c r="BW52" s="7560"/>
      <c r="BX52" s="7560"/>
      <c r="BY52" s="7560"/>
      <c r="BZ52" s="7560"/>
      <c r="CA52" s="6531"/>
      <c r="CB52" s="6531"/>
      <c r="CC52" s="6531"/>
      <c r="CD52" s="6531"/>
      <c r="CE52" s="6531"/>
      <c r="CF52" s="6531"/>
      <c r="CG52" s="6531"/>
      <c r="CH52" s="6531"/>
      <c r="CI52" s="6531"/>
      <c r="CJ52" s="6531"/>
      <c r="CK52" s="6531"/>
      <c r="CL52" s="6531"/>
      <c r="CM52" s="6531"/>
      <c r="CN52" s="6531"/>
      <c r="CO52" s="6531"/>
      <c r="CP52" s="6531"/>
      <c r="CQ52" s="6531"/>
      <c r="CR52" s="6531"/>
      <c r="CS52" s="6531"/>
      <c r="CT52" s="6531"/>
      <c r="CU52" s="6531"/>
      <c r="CV52" s="6531"/>
      <c r="CW52" s="6531"/>
      <c r="CX52" s="6531"/>
      <c r="CY52" s="6531"/>
      <c r="CZ52" s="6531"/>
      <c r="DA52" s="6531"/>
      <c r="DB52" s="6531"/>
      <c r="DC52" s="6531"/>
      <c r="DD52" s="6531"/>
      <c r="DE52" s="6531"/>
      <c r="DF52" s="6531"/>
      <c r="DG52" s="6531"/>
      <c r="DH52" s="6531"/>
      <c r="DI52" s="6531"/>
      <c r="DJ52" s="6531"/>
      <c r="DK52" s="6531"/>
      <c r="DL52" s="6531"/>
      <c r="DM52" s="6531"/>
      <c r="DN52" s="6531"/>
      <c r="DO52" s="6531"/>
      <c r="DP52" s="6531"/>
      <c r="DQ52" s="6531"/>
      <c r="DR52" s="6531"/>
      <c r="DS52" s="6531"/>
      <c r="DT52" s="6531"/>
      <c r="DU52" s="7561"/>
    </row>
    <row r="53" spans="1:125" s="7456" customFormat="1" ht="15.75" customHeight="1">
      <c r="A53" s="7454" t="s">
        <v>7177</v>
      </c>
      <c r="B53" s="17059" t="s">
        <v>7178</v>
      </c>
      <c r="C53" s="17078"/>
      <c r="D53" s="17080"/>
      <c r="E53" s="17078"/>
      <c r="F53" s="17055" t="s">
        <v>7179</v>
      </c>
      <c r="G53" s="17060" t="s">
        <v>7180</v>
      </c>
      <c r="H53" s="17059" t="s">
        <v>7181</v>
      </c>
      <c r="I53" s="17059" t="s">
        <v>7182</v>
      </c>
      <c r="J53" s="17095">
        <v>0</v>
      </c>
      <c r="K53" s="17097" t="s">
        <v>6572</v>
      </c>
      <c r="L53" s="7548" t="s">
        <v>8420</v>
      </c>
      <c r="M53" s="7549" t="s">
        <v>7183</v>
      </c>
      <c r="N53" s="7549" t="s">
        <v>7184</v>
      </c>
      <c r="O53" s="7550" t="s">
        <v>7185</v>
      </c>
      <c r="P53" s="7551">
        <f>+AG53</f>
        <v>1</v>
      </c>
      <c r="Q53" s="7550" t="s">
        <v>7186</v>
      </c>
      <c r="R53" s="7550" t="s">
        <v>7187</v>
      </c>
      <c r="S53" s="7549" t="s">
        <v>4305</v>
      </c>
      <c r="T53" s="7550" t="s">
        <v>311</v>
      </c>
      <c r="U53" s="7552"/>
      <c r="V53" s="7553">
        <v>0</v>
      </c>
      <c r="W53" s="7553">
        <v>1</v>
      </c>
      <c r="X53" s="7553">
        <v>1</v>
      </c>
      <c r="Y53" s="7553">
        <v>1</v>
      </c>
      <c r="Z53" s="7553">
        <v>1</v>
      </c>
      <c r="AA53" s="7553">
        <v>1</v>
      </c>
      <c r="AB53" s="7553">
        <v>1</v>
      </c>
      <c r="AC53" s="7553">
        <v>1</v>
      </c>
      <c r="AD53" s="7553">
        <v>1</v>
      </c>
      <c r="AE53" s="7553">
        <v>1</v>
      </c>
      <c r="AF53" s="7553">
        <v>1</v>
      </c>
      <c r="AG53" s="7553">
        <v>1</v>
      </c>
      <c r="AH53" s="7554">
        <f>600000*10</f>
        <v>6000000</v>
      </c>
      <c r="AI53" s="7554"/>
      <c r="AJ53" s="7554"/>
      <c r="AK53" s="7554"/>
      <c r="AL53" s="7554">
        <f>+AH53+AH53*6%</f>
        <v>6360000</v>
      </c>
      <c r="AM53" s="7554"/>
      <c r="AN53" s="7554"/>
      <c r="AO53" s="7554"/>
      <c r="AP53" s="7554">
        <f>+AL53+AL53*6%</f>
        <v>6741600</v>
      </c>
      <c r="AQ53" s="7554"/>
      <c r="AR53" s="7554"/>
      <c r="AS53" s="7554"/>
      <c r="AT53" s="7554">
        <f>+AP53+AP53*6%</f>
        <v>7146096</v>
      </c>
      <c r="AU53" s="7554"/>
      <c r="AV53" s="7554"/>
      <c r="AW53" s="7554"/>
      <c r="AX53" s="7554">
        <f>+AT53+AT53*6%</f>
        <v>7574861.7599999998</v>
      </c>
      <c r="AY53" s="7554"/>
      <c r="AZ53" s="7554"/>
      <c r="BA53" s="7554"/>
      <c r="BB53" s="7554">
        <f>+AX53+AX53*6%</f>
        <v>8029353.4655999998</v>
      </c>
      <c r="BC53" s="7554"/>
      <c r="BD53" s="7554"/>
      <c r="BE53" s="7554"/>
      <c r="BF53" s="7554">
        <f>+BB53+BB53*6%</f>
        <v>8511114.6735359989</v>
      </c>
      <c r="BG53" s="7554"/>
      <c r="BH53" s="7554"/>
      <c r="BI53" s="7554"/>
      <c r="BJ53" s="7554">
        <f>+BF53+BF53*6%</f>
        <v>9021781.5539481584</v>
      </c>
      <c r="BK53" s="7554"/>
      <c r="BL53" s="7554"/>
      <c r="BM53" s="7554"/>
      <c r="BN53" s="7554">
        <f>+BJ53+BJ53*6%</f>
        <v>9563088.447185047</v>
      </c>
      <c r="BO53" s="7554"/>
      <c r="BP53" s="7554"/>
      <c r="BQ53" s="7554"/>
      <c r="BR53" s="7554">
        <f>+BN53+BN53*6%</f>
        <v>10136873.75401615</v>
      </c>
      <c r="BS53" s="7554"/>
      <c r="BT53" s="7554"/>
      <c r="BU53" s="7554"/>
      <c r="BV53" s="7554">
        <f>+BR53+BR53*6%</f>
        <v>10745086.179257119</v>
      </c>
      <c r="BW53" s="7554"/>
      <c r="BX53" s="7554"/>
      <c r="BY53" s="7554"/>
      <c r="BZ53" s="7554">
        <f>SUM(AL53:BY53)</f>
        <v>83829855.833542466</v>
      </c>
      <c r="CA53" s="7555"/>
      <c r="CB53" s="7581"/>
      <c r="CC53" s="7581"/>
      <c r="CD53" s="7581"/>
      <c r="CE53" s="7581"/>
      <c r="CF53" s="7581"/>
      <c r="CG53" s="7581"/>
      <c r="CH53" s="7581"/>
      <c r="CI53" s="7581"/>
      <c r="CJ53" s="7581"/>
      <c r="CK53" s="7581"/>
      <c r="CL53" s="7581"/>
      <c r="CM53" s="7581"/>
      <c r="CN53" s="7581"/>
      <c r="CO53" s="7581"/>
      <c r="CP53" s="7581"/>
      <c r="CQ53" s="7581"/>
      <c r="CR53" s="7581"/>
      <c r="CS53" s="7581"/>
      <c r="CT53" s="7581"/>
      <c r="CU53" s="7581"/>
      <c r="CV53" s="7581"/>
      <c r="CW53" s="7581"/>
      <c r="CX53" s="7581"/>
      <c r="CY53" s="7581"/>
      <c r="CZ53" s="7581"/>
      <c r="DA53" s="7581"/>
      <c r="DB53" s="7581"/>
      <c r="DC53" s="7581"/>
      <c r="DD53" s="7581"/>
      <c r="DE53" s="7581"/>
      <c r="DF53" s="7581"/>
      <c r="DG53" s="7581"/>
      <c r="DH53" s="7581"/>
      <c r="DI53" s="7581"/>
      <c r="DJ53" s="7581"/>
      <c r="DK53" s="7581"/>
      <c r="DL53" s="7581"/>
      <c r="DM53" s="7581"/>
      <c r="DN53" s="7581"/>
      <c r="DO53" s="7581"/>
      <c r="DP53" s="7581"/>
      <c r="DQ53" s="7581"/>
      <c r="DR53" s="7581"/>
      <c r="DS53" s="7556"/>
      <c r="DT53" s="7556"/>
      <c r="DU53" s="7557"/>
    </row>
    <row r="54" spans="1:125" s="7456" customFormat="1" ht="15.75" customHeight="1">
      <c r="A54" s="7454" t="s">
        <v>7188</v>
      </c>
      <c r="B54" s="17059"/>
      <c r="C54" s="17078"/>
      <c r="D54" s="17080"/>
      <c r="E54" s="17078"/>
      <c r="F54" s="17056"/>
      <c r="G54" s="17061"/>
      <c r="H54" s="17059"/>
      <c r="I54" s="17061"/>
      <c r="J54" s="17095"/>
      <c r="K54" s="17097"/>
      <c r="L54" s="7522" t="s">
        <v>8421</v>
      </c>
      <c r="M54" s="7087" t="s">
        <v>7189</v>
      </c>
      <c r="N54" s="7089" t="s">
        <v>7190</v>
      </c>
      <c r="O54" s="7089" t="s">
        <v>7191</v>
      </c>
      <c r="P54" s="7501">
        <f t="shared" ref="P54:P77" si="36">+AG54</f>
        <v>130</v>
      </c>
      <c r="Q54" s="7089" t="s">
        <v>7192</v>
      </c>
      <c r="R54" s="7462" t="s">
        <v>7193</v>
      </c>
      <c r="S54" s="7457" t="s">
        <v>4305</v>
      </c>
      <c r="T54" s="7089" t="s">
        <v>311</v>
      </c>
      <c r="U54" s="7462"/>
      <c r="V54" s="7501">
        <v>0</v>
      </c>
      <c r="W54" s="7501">
        <v>4</v>
      </c>
      <c r="X54" s="7501">
        <v>6</v>
      </c>
      <c r="Y54" s="7501">
        <v>8</v>
      </c>
      <c r="Z54" s="7501">
        <v>10</v>
      </c>
      <c r="AA54" s="7501">
        <v>12</v>
      </c>
      <c r="AB54" s="7501">
        <v>14</v>
      </c>
      <c r="AC54" s="7501">
        <v>16</v>
      </c>
      <c r="AD54" s="7501">
        <v>18</v>
      </c>
      <c r="AE54" s="7501">
        <v>20</v>
      </c>
      <c r="AF54" s="7501">
        <v>22</v>
      </c>
      <c r="AG54" s="7501">
        <f>W54++X54+Y54+Z54+AA54+AB54+AC54+AD54+AE54+AF54</f>
        <v>130</v>
      </c>
      <c r="AH54" s="7459">
        <f>270000*4</f>
        <v>1080000</v>
      </c>
      <c r="AI54" s="7459"/>
      <c r="AJ54" s="7459"/>
      <c r="AK54" s="7459"/>
      <c r="AL54" s="7459">
        <f t="shared" ref="AL54:AL65" si="37">+AH54+AH54*6%</f>
        <v>1144800</v>
      </c>
      <c r="AM54" s="7459"/>
      <c r="AN54" s="7459"/>
      <c r="AO54" s="7459"/>
      <c r="AP54" s="7459">
        <f t="shared" ref="AP54:AP65" si="38">+AL54+AL54*6%</f>
        <v>1213488</v>
      </c>
      <c r="AQ54" s="7459"/>
      <c r="AR54" s="7459"/>
      <c r="AS54" s="7459"/>
      <c r="AT54" s="7459">
        <f t="shared" ref="AT54:AT65" si="39">+AP54+AP54*6%</f>
        <v>1286297.28</v>
      </c>
      <c r="AU54" s="7459"/>
      <c r="AV54" s="7459"/>
      <c r="AW54" s="7459"/>
      <c r="AX54" s="7459">
        <f t="shared" ref="AX54:AX65" si="40">+AT54+AT54*6%</f>
        <v>1363475.1168</v>
      </c>
      <c r="AY54" s="7459"/>
      <c r="AZ54" s="7459"/>
      <c r="BA54" s="7459"/>
      <c r="BB54" s="7459">
        <f t="shared" ref="BB54:BB65" si="41">+AX54+AX54*6%</f>
        <v>1445283.623808</v>
      </c>
      <c r="BC54" s="7459"/>
      <c r="BD54" s="7459"/>
      <c r="BE54" s="7459"/>
      <c r="BF54" s="7459">
        <f t="shared" ref="BF54:BF65" si="42">+BB54+BB54*6%</f>
        <v>1532000.6412364801</v>
      </c>
      <c r="BG54" s="7459"/>
      <c r="BH54" s="7459"/>
      <c r="BI54" s="7459"/>
      <c r="BJ54" s="7459">
        <f t="shared" ref="BJ54:BJ65" si="43">+BF54+BF54*6%</f>
        <v>1623920.679710669</v>
      </c>
      <c r="BK54" s="7459"/>
      <c r="BL54" s="7459"/>
      <c r="BM54" s="7459"/>
      <c r="BN54" s="7459">
        <f t="shared" ref="BN54:BN65" si="44">+BJ54+BJ54*6%</f>
        <v>1721355.9204933092</v>
      </c>
      <c r="BO54" s="7459"/>
      <c r="BP54" s="7459"/>
      <c r="BQ54" s="7459"/>
      <c r="BR54" s="7459">
        <f t="shared" ref="BR54:BR65" si="45">+BN54+BN54*6%</f>
        <v>1824637.2757229076</v>
      </c>
      <c r="BS54" s="7459"/>
      <c r="BT54" s="7459"/>
      <c r="BU54" s="7459"/>
      <c r="BV54" s="7459">
        <f t="shared" ref="BV54:BV65" si="46">+BR54+BR54*6%</f>
        <v>1934115.512266282</v>
      </c>
      <c r="BW54" s="7459"/>
      <c r="BX54" s="7459"/>
      <c r="BY54" s="7459"/>
      <c r="BZ54" s="7459">
        <f t="shared" ref="BZ54:BZ65" si="47">SUM(AH54:BY54)</f>
        <v>16169374.050037649</v>
      </c>
      <c r="CA54" s="7461"/>
      <c r="CB54" s="7582"/>
      <c r="CC54" s="7582"/>
      <c r="CD54" s="7582"/>
      <c r="CE54" s="7582"/>
      <c r="CF54" s="7582"/>
      <c r="CG54" s="7582"/>
      <c r="CH54" s="7582"/>
      <c r="CI54" s="7582"/>
      <c r="CJ54" s="7582"/>
      <c r="CK54" s="7582"/>
      <c r="CL54" s="7582"/>
      <c r="CM54" s="7582"/>
      <c r="CN54" s="7582"/>
      <c r="CO54" s="7582"/>
      <c r="CP54" s="7582"/>
      <c r="CQ54" s="7582"/>
      <c r="CR54" s="7582"/>
      <c r="CS54" s="7582"/>
      <c r="CT54" s="7582"/>
      <c r="CU54" s="7582"/>
      <c r="CV54" s="7582"/>
      <c r="CW54" s="7582"/>
      <c r="CX54" s="7582"/>
      <c r="CY54" s="7582"/>
      <c r="CZ54" s="7582"/>
      <c r="DA54" s="7582"/>
      <c r="DB54" s="7582"/>
      <c r="DC54" s="7582"/>
      <c r="DD54" s="7582"/>
      <c r="DE54" s="7582"/>
      <c r="DF54" s="7582"/>
      <c r="DG54" s="7582"/>
      <c r="DH54" s="7582"/>
      <c r="DI54" s="7582"/>
      <c r="DJ54" s="7582"/>
      <c r="DK54" s="7582"/>
      <c r="DL54" s="7582"/>
      <c r="DM54" s="7582"/>
      <c r="DN54" s="7582"/>
      <c r="DO54" s="7582"/>
      <c r="DP54" s="7582"/>
      <c r="DQ54" s="7582"/>
      <c r="DR54" s="7582"/>
      <c r="DS54" s="7461"/>
      <c r="DT54" s="7461"/>
      <c r="DU54" s="7523"/>
    </row>
    <row r="55" spans="1:125" s="7456" customFormat="1" ht="15.75" customHeight="1">
      <c r="A55" s="7454" t="s">
        <v>7194</v>
      </c>
      <c r="B55" s="17059"/>
      <c r="C55" s="17078"/>
      <c r="D55" s="17080"/>
      <c r="E55" s="17078"/>
      <c r="F55" s="17056"/>
      <c r="G55" s="17061"/>
      <c r="H55" s="17059"/>
      <c r="I55" s="17061"/>
      <c r="J55" s="17095"/>
      <c r="K55" s="17097"/>
      <c r="L55" s="17098" t="s">
        <v>8422</v>
      </c>
      <c r="M55" s="16783" t="s">
        <v>7195</v>
      </c>
      <c r="N55" s="16783" t="s">
        <v>9630</v>
      </c>
      <c r="O55" s="16783" t="s">
        <v>7196</v>
      </c>
      <c r="P55" s="16783">
        <f t="shared" si="36"/>
        <v>1</v>
      </c>
      <c r="Q55" s="16783" t="s">
        <v>7197</v>
      </c>
      <c r="R55" s="16783" t="s">
        <v>7198</v>
      </c>
      <c r="S55" s="7087" t="s">
        <v>26</v>
      </c>
      <c r="T55" s="16783" t="s">
        <v>7199</v>
      </c>
      <c r="U55" s="7089" t="s">
        <v>7200</v>
      </c>
      <c r="V55" s="7458">
        <v>0</v>
      </c>
      <c r="W55" s="7458">
        <v>1</v>
      </c>
      <c r="X55" s="7458">
        <v>1</v>
      </c>
      <c r="Y55" s="7458">
        <v>1</v>
      </c>
      <c r="Z55" s="7458">
        <v>1</v>
      </c>
      <c r="AA55" s="7458">
        <v>1</v>
      </c>
      <c r="AB55" s="7458">
        <v>1</v>
      </c>
      <c r="AC55" s="7458">
        <v>1</v>
      </c>
      <c r="AD55" s="7458">
        <v>1</v>
      </c>
      <c r="AE55" s="7458">
        <v>1</v>
      </c>
      <c r="AF55" s="7458">
        <v>1</v>
      </c>
      <c r="AG55" s="7458">
        <v>1</v>
      </c>
      <c r="AH55" s="7459">
        <f>(30282375.79194/5)+(1600000+3825000)*10</f>
        <v>60306475.158388004</v>
      </c>
      <c r="AI55" s="7459">
        <f>5618424/4</f>
        <v>1404606</v>
      </c>
      <c r="AJ55" s="7459"/>
      <c r="AK55" s="7459"/>
      <c r="AL55" s="7459">
        <f t="shared" si="37"/>
        <v>63924863.667891286</v>
      </c>
      <c r="AM55" s="7460">
        <f>+AI55+AI55*6%</f>
        <v>1488882.36</v>
      </c>
      <c r="AN55" s="7459"/>
      <c r="AO55" s="7459"/>
      <c r="AP55" s="7459">
        <f t="shared" si="38"/>
        <v>67760355.487964764</v>
      </c>
      <c r="AQ55" s="7459">
        <f>+AM55+AM55*6%</f>
        <v>1578215.3016000001</v>
      </c>
      <c r="AR55" s="7459"/>
      <c r="AS55" s="7459"/>
      <c r="AT55" s="7459">
        <f t="shared" si="39"/>
        <v>71825976.817242652</v>
      </c>
      <c r="AU55" s="7459">
        <f>+AQ55+AQ55*6%</f>
        <v>1672908.2196960002</v>
      </c>
      <c r="AV55" s="7459"/>
      <c r="AW55" s="7459"/>
      <c r="AX55" s="7459">
        <f t="shared" si="40"/>
        <v>76135535.426277205</v>
      </c>
      <c r="AY55" s="7459">
        <f>+AU55+AU55*6%</f>
        <v>1773282.7128777602</v>
      </c>
      <c r="AZ55" s="7459"/>
      <c r="BA55" s="7459"/>
      <c r="BB55" s="7459">
        <f t="shared" si="41"/>
        <v>80703667.551853836</v>
      </c>
      <c r="BC55" s="7459">
        <f>+AY55+AY55*6%</f>
        <v>1879679.6756504257</v>
      </c>
      <c r="BD55" s="7459"/>
      <c r="BE55" s="7459"/>
      <c r="BF55" s="7459">
        <f t="shared" si="42"/>
        <v>85545887.604965061</v>
      </c>
      <c r="BG55" s="7459">
        <f>+BC55+BC55*6%</f>
        <v>1992460.4561894513</v>
      </c>
      <c r="BH55" s="7459"/>
      <c r="BI55" s="7459"/>
      <c r="BJ55" s="7459">
        <f t="shared" si="43"/>
        <v>90678640.861262962</v>
      </c>
      <c r="BK55" s="7459">
        <f>+BG55+BG55*6%</f>
        <v>2112008.0835608183</v>
      </c>
      <c r="BL55" s="7459"/>
      <c r="BM55" s="7459"/>
      <c r="BN55" s="7459">
        <f t="shared" si="44"/>
        <v>96119359.312938735</v>
      </c>
      <c r="BO55" s="7459">
        <f>+BK55+BK55*6%</f>
        <v>2238728.5685744677</v>
      </c>
      <c r="BP55" s="7459"/>
      <c r="BQ55" s="7459"/>
      <c r="BR55" s="7459">
        <f t="shared" si="45"/>
        <v>101886520.87171505</v>
      </c>
      <c r="BS55" s="7459">
        <f>+BO55+BO55*6%</f>
        <v>2373052.2826889358</v>
      </c>
      <c r="BT55" s="7459"/>
      <c r="BU55" s="7459"/>
      <c r="BV55" s="7459">
        <f t="shared" si="46"/>
        <v>107999712.12401795</v>
      </c>
      <c r="BW55" s="7459">
        <f>+BS55+BS55*6%</f>
        <v>2515435.419650272</v>
      </c>
      <c r="BX55" s="7459"/>
      <c r="BY55" s="7459"/>
      <c r="BZ55" s="7459">
        <f t="shared" si="47"/>
        <v>923916253.96500564</v>
      </c>
      <c r="CA55" s="7461"/>
      <c r="CB55" s="7461"/>
      <c r="CC55" s="7461"/>
      <c r="CD55" s="7461"/>
      <c r="CE55" s="7461"/>
      <c r="CF55" s="7461"/>
      <c r="CG55" s="7461"/>
      <c r="CH55" s="7461"/>
      <c r="CI55" s="7461"/>
      <c r="CJ55" s="7461"/>
      <c r="CK55" s="7461"/>
      <c r="CL55" s="7461"/>
      <c r="CM55" s="7461"/>
      <c r="CN55" s="7461"/>
      <c r="CO55" s="7461"/>
      <c r="CP55" s="7461"/>
      <c r="CQ55" s="7461"/>
      <c r="CR55" s="7461"/>
      <c r="CS55" s="7461"/>
      <c r="CT55" s="7461"/>
      <c r="CU55" s="7461"/>
      <c r="CV55" s="7461"/>
      <c r="CW55" s="7461"/>
      <c r="CX55" s="7461"/>
      <c r="CY55" s="7461"/>
      <c r="CZ55" s="7461"/>
      <c r="DA55" s="7461"/>
      <c r="DB55" s="7461"/>
      <c r="DC55" s="7461"/>
      <c r="DD55" s="7461"/>
      <c r="DE55" s="7461"/>
      <c r="DF55" s="7461"/>
      <c r="DG55" s="7461"/>
      <c r="DH55" s="7461"/>
      <c r="DI55" s="7461"/>
      <c r="DJ55" s="7461"/>
      <c r="DK55" s="7461"/>
      <c r="DL55" s="7461"/>
      <c r="DM55" s="7461"/>
      <c r="DN55" s="7461"/>
      <c r="DO55" s="7461"/>
      <c r="DP55" s="7461"/>
      <c r="DQ55" s="7461"/>
      <c r="DR55" s="7461"/>
      <c r="DS55" s="7461"/>
      <c r="DT55" s="7461"/>
      <c r="DU55" s="7523"/>
    </row>
    <row r="56" spans="1:125" s="7456" customFormat="1" ht="15.75" customHeight="1">
      <c r="A56" s="7087"/>
      <c r="B56" s="16783"/>
      <c r="C56" s="17078"/>
      <c r="D56" s="17080"/>
      <c r="E56" s="17078"/>
      <c r="F56" s="17057"/>
      <c r="G56" s="17062"/>
      <c r="H56" s="16783"/>
      <c r="I56" s="17062"/>
      <c r="J56" s="17096"/>
      <c r="K56" s="17097"/>
      <c r="L56" s="17098"/>
      <c r="M56" s="16783"/>
      <c r="N56" s="16783"/>
      <c r="O56" s="16783"/>
      <c r="P56" s="16783"/>
      <c r="Q56" s="16783"/>
      <c r="R56" s="16783"/>
      <c r="S56" s="7087" t="s">
        <v>10063</v>
      </c>
      <c r="T56" s="16783"/>
      <c r="U56" s="7089"/>
      <c r="V56" s="7458"/>
      <c r="W56" s="7458"/>
      <c r="X56" s="7458"/>
      <c r="Y56" s="7458"/>
      <c r="Z56" s="7458"/>
      <c r="AA56" s="7458"/>
      <c r="AB56" s="7458"/>
      <c r="AC56" s="7458"/>
      <c r="AD56" s="7458"/>
      <c r="AE56" s="7458"/>
      <c r="AF56" s="7458"/>
      <c r="AG56" s="7458"/>
      <c r="AH56" s="7459"/>
      <c r="AI56" s="7459"/>
      <c r="AJ56" s="7459"/>
      <c r="AK56" s="7459"/>
      <c r="AL56" s="7459"/>
      <c r="AM56" s="7460"/>
      <c r="AN56" s="7459"/>
      <c r="AO56" s="7459"/>
      <c r="AP56" s="7459"/>
      <c r="AQ56" s="7459"/>
      <c r="AR56" s="7459"/>
      <c r="AS56" s="7459"/>
      <c r="AT56" s="7459"/>
      <c r="AU56" s="7459"/>
      <c r="AV56" s="7459"/>
      <c r="AW56" s="7459"/>
      <c r="AX56" s="7459"/>
      <c r="AY56" s="7459"/>
      <c r="AZ56" s="7459"/>
      <c r="BA56" s="7459"/>
      <c r="BB56" s="7459"/>
      <c r="BC56" s="7459"/>
      <c r="BD56" s="7459"/>
      <c r="BE56" s="7459"/>
      <c r="BF56" s="7459"/>
      <c r="BG56" s="7459"/>
      <c r="BH56" s="7459"/>
      <c r="BI56" s="7459"/>
      <c r="BJ56" s="7459"/>
      <c r="BK56" s="7459"/>
      <c r="BL56" s="7459"/>
      <c r="BM56" s="7459"/>
      <c r="BN56" s="7459"/>
      <c r="BO56" s="7459"/>
      <c r="BP56" s="7459"/>
      <c r="BQ56" s="7459"/>
      <c r="BR56" s="7459"/>
      <c r="BS56" s="7459"/>
      <c r="BT56" s="7459"/>
      <c r="BU56" s="7459"/>
      <c r="BV56" s="7459"/>
      <c r="BW56" s="7459"/>
      <c r="BX56" s="7459"/>
      <c r="BY56" s="7459"/>
      <c r="BZ56" s="7459"/>
      <c r="CA56" s="7461"/>
      <c r="CB56" s="7461"/>
      <c r="CC56" s="7461"/>
      <c r="CD56" s="7461"/>
      <c r="CE56" s="7461"/>
      <c r="CF56" s="7461"/>
      <c r="CG56" s="7461"/>
      <c r="CH56" s="7461"/>
      <c r="CI56" s="7461"/>
      <c r="CJ56" s="7461"/>
      <c r="CK56" s="7461"/>
      <c r="CL56" s="7461"/>
      <c r="CM56" s="7461"/>
      <c r="CN56" s="7461"/>
      <c r="CO56" s="7461"/>
      <c r="CP56" s="7461"/>
      <c r="CQ56" s="7461"/>
      <c r="CR56" s="7461"/>
      <c r="CS56" s="7461"/>
      <c r="CT56" s="7461"/>
      <c r="CU56" s="7461"/>
      <c r="CV56" s="7461"/>
      <c r="CW56" s="7461"/>
      <c r="CX56" s="7461"/>
      <c r="CY56" s="7461"/>
      <c r="CZ56" s="7461"/>
      <c r="DA56" s="7461"/>
      <c r="DB56" s="7461"/>
      <c r="DC56" s="7461"/>
      <c r="DD56" s="7461"/>
      <c r="DE56" s="7461"/>
      <c r="DF56" s="7461"/>
      <c r="DG56" s="7461"/>
      <c r="DH56" s="7461"/>
      <c r="DI56" s="7461"/>
      <c r="DJ56" s="7461"/>
      <c r="DK56" s="7461"/>
      <c r="DL56" s="7461"/>
      <c r="DM56" s="7461"/>
      <c r="DN56" s="7461"/>
      <c r="DO56" s="7461"/>
      <c r="DP56" s="7461"/>
      <c r="DQ56" s="7461"/>
      <c r="DR56" s="7461"/>
      <c r="DS56" s="7461"/>
      <c r="DT56" s="7461"/>
      <c r="DU56" s="7523"/>
    </row>
    <row r="57" spans="1:125" s="7456" customFormat="1" ht="15.75" customHeight="1">
      <c r="A57" s="7454" t="s">
        <v>7201</v>
      </c>
      <c r="B57" s="17059"/>
      <c r="C57" s="17078"/>
      <c r="D57" s="17080"/>
      <c r="E57" s="17078"/>
      <c r="F57" s="17059" t="s">
        <v>7202</v>
      </c>
      <c r="G57" s="17061"/>
      <c r="H57" s="17059"/>
      <c r="I57" s="17061"/>
      <c r="J57" s="17095"/>
      <c r="K57" s="17097"/>
      <c r="L57" s="17098" t="s">
        <v>8423</v>
      </c>
      <c r="M57" s="16783" t="s">
        <v>7203</v>
      </c>
      <c r="N57" s="16783" t="s">
        <v>7204</v>
      </c>
      <c r="O57" s="16783" t="s">
        <v>7185</v>
      </c>
      <c r="P57" s="16783">
        <f t="shared" si="36"/>
        <v>1</v>
      </c>
      <c r="Q57" s="16783" t="s">
        <v>7205</v>
      </c>
      <c r="R57" s="16783" t="s">
        <v>7206</v>
      </c>
      <c r="S57" s="7087" t="s">
        <v>4305</v>
      </c>
      <c r="T57" s="16783" t="s">
        <v>7207</v>
      </c>
      <c r="U57" s="7462"/>
      <c r="V57" s="7463">
        <v>0</v>
      </c>
      <c r="W57" s="7458">
        <v>1</v>
      </c>
      <c r="X57" s="7458">
        <v>1</v>
      </c>
      <c r="Y57" s="7458">
        <v>1</v>
      </c>
      <c r="Z57" s="7458">
        <v>1</v>
      </c>
      <c r="AA57" s="7458">
        <v>1</v>
      </c>
      <c r="AB57" s="7458">
        <v>1</v>
      </c>
      <c r="AC57" s="7458">
        <v>1</v>
      </c>
      <c r="AD57" s="7458">
        <v>1</v>
      </c>
      <c r="AE57" s="7458">
        <v>1</v>
      </c>
      <c r="AF57" s="7458">
        <v>1</v>
      </c>
      <c r="AG57" s="7458">
        <v>1</v>
      </c>
      <c r="AH57" s="7459">
        <v>2000000</v>
      </c>
      <c r="AI57" s="7459"/>
      <c r="AJ57" s="7459"/>
      <c r="AK57" s="7459"/>
      <c r="AL57" s="7459">
        <f t="shared" si="37"/>
        <v>2120000</v>
      </c>
      <c r="AM57" s="7459"/>
      <c r="AN57" s="7459"/>
      <c r="AO57" s="7459"/>
      <c r="AP57" s="7459">
        <f t="shared" si="38"/>
        <v>2247200</v>
      </c>
      <c r="AQ57" s="7459"/>
      <c r="AR57" s="7459"/>
      <c r="AS57" s="7459"/>
      <c r="AT57" s="7459">
        <f t="shared" si="39"/>
        <v>2382032</v>
      </c>
      <c r="AU57" s="7459"/>
      <c r="AV57" s="7459"/>
      <c r="AW57" s="7459"/>
      <c r="AX57" s="7459">
        <f t="shared" si="40"/>
        <v>2524953.92</v>
      </c>
      <c r="AY57" s="7459"/>
      <c r="AZ57" s="7459"/>
      <c r="BA57" s="7459"/>
      <c r="BB57" s="7459">
        <f t="shared" si="41"/>
        <v>2676451.1551999999</v>
      </c>
      <c r="BC57" s="7459"/>
      <c r="BD57" s="7459"/>
      <c r="BE57" s="7459"/>
      <c r="BF57" s="7459">
        <f t="shared" si="42"/>
        <v>2837038.2245120001</v>
      </c>
      <c r="BG57" s="7459"/>
      <c r="BH57" s="7459"/>
      <c r="BI57" s="7459"/>
      <c r="BJ57" s="7459">
        <f t="shared" si="43"/>
        <v>3007260.5179827199</v>
      </c>
      <c r="BK57" s="7459"/>
      <c r="BL57" s="7459"/>
      <c r="BM57" s="7459"/>
      <c r="BN57" s="7459">
        <f t="shared" si="44"/>
        <v>3187696.1490616831</v>
      </c>
      <c r="BO57" s="7459"/>
      <c r="BP57" s="7459"/>
      <c r="BQ57" s="7459"/>
      <c r="BR57" s="7459">
        <f t="shared" si="45"/>
        <v>3378957.918005384</v>
      </c>
      <c r="BS57" s="7459"/>
      <c r="BT57" s="7459"/>
      <c r="BU57" s="7459"/>
      <c r="BV57" s="7459">
        <f t="shared" si="46"/>
        <v>3581695.393085707</v>
      </c>
      <c r="BW57" s="7459"/>
      <c r="BX57" s="7459"/>
      <c r="BY57" s="7459"/>
      <c r="BZ57" s="7459">
        <f t="shared" si="47"/>
        <v>29943285.277847495</v>
      </c>
      <c r="CA57" s="7461"/>
      <c r="CB57" s="7461"/>
      <c r="CC57" s="7461"/>
      <c r="CD57" s="7461"/>
      <c r="CE57" s="7461"/>
      <c r="CF57" s="7461"/>
      <c r="CG57" s="7461"/>
      <c r="CH57" s="7461"/>
      <c r="CI57" s="7461"/>
      <c r="CJ57" s="7461"/>
      <c r="CK57" s="7461"/>
      <c r="CL57" s="7461"/>
      <c r="CM57" s="7461"/>
      <c r="CN57" s="7461"/>
      <c r="CO57" s="7461"/>
      <c r="CP57" s="7461"/>
      <c r="CQ57" s="7461"/>
      <c r="CR57" s="7461"/>
      <c r="CS57" s="7461"/>
      <c r="CT57" s="7461"/>
      <c r="CU57" s="7461"/>
      <c r="CV57" s="7461"/>
      <c r="CW57" s="7461"/>
      <c r="CX57" s="7461"/>
      <c r="CY57" s="7461"/>
      <c r="CZ57" s="7461"/>
      <c r="DA57" s="7461"/>
      <c r="DB57" s="7461"/>
      <c r="DC57" s="7461"/>
      <c r="DD57" s="7461"/>
      <c r="DE57" s="7461"/>
      <c r="DF57" s="7461"/>
      <c r="DG57" s="7461"/>
      <c r="DH57" s="7461"/>
      <c r="DI57" s="7461"/>
      <c r="DJ57" s="7461"/>
      <c r="DK57" s="7461"/>
      <c r="DL57" s="7461"/>
      <c r="DM57" s="7461"/>
      <c r="DN57" s="7461"/>
      <c r="DO57" s="7461"/>
      <c r="DP57" s="7461"/>
      <c r="DQ57" s="7461"/>
      <c r="DR57" s="7461"/>
      <c r="DS57" s="7461"/>
      <c r="DT57" s="7461"/>
      <c r="DU57" s="7523"/>
    </row>
    <row r="58" spans="1:125" s="7456" customFormat="1" ht="15.75" customHeight="1">
      <c r="A58" s="7087"/>
      <c r="B58" s="16783"/>
      <c r="C58" s="17078"/>
      <c r="D58" s="17080"/>
      <c r="E58" s="17078"/>
      <c r="F58" s="16783"/>
      <c r="G58" s="17062"/>
      <c r="H58" s="16783"/>
      <c r="I58" s="17062"/>
      <c r="J58" s="17096"/>
      <c r="K58" s="17097"/>
      <c r="L58" s="17098"/>
      <c r="M58" s="16783"/>
      <c r="N58" s="16783"/>
      <c r="O58" s="16783"/>
      <c r="P58" s="16783"/>
      <c r="Q58" s="16783"/>
      <c r="R58" s="16783"/>
      <c r="S58" s="7087" t="s">
        <v>4337</v>
      </c>
      <c r="T58" s="16783"/>
      <c r="U58" s="7462"/>
      <c r="V58" s="7463"/>
      <c r="W58" s="7458"/>
      <c r="X58" s="7458"/>
      <c r="Y58" s="7458"/>
      <c r="Z58" s="7458"/>
      <c r="AA58" s="7458"/>
      <c r="AB58" s="7458"/>
      <c r="AC58" s="7458"/>
      <c r="AD58" s="7458"/>
      <c r="AE58" s="7458"/>
      <c r="AF58" s="7458"/>
      <c r="AG58" s="7458"/>
      <c r="AH58" s="7459"/>
      <c r="AI58" s="7459"/>
      <c r="AJ58" s="7459"/>
      <c r="AK58" s="7459"/>
      <c r="AL58" s="7459"/>
      <c r="AM58" s="7459"/>
      <c r="AN58" s="7459"/>
      <c r="AO58" s="7459"/>
      <c r="AP58" s="7459"/>
      <c r="AQ58" s="7459"/>
      <c r="AR58" s="7459"/>
      <c r="AS58" s="7459"/>
      <c r="AT58" s="7459"/>
      <c r="AU58" s="7459"/>
      <c r="AV58" s="7459"/>
      <c r="AW58" s="7459"/>
      <c r="AX58" s="7459"/>
      <c r="AY58" s="7459"/>
      <c r="AZ58" s="7459"/>
      <c r="BA58" s="7459"/>
      <c r="BB58" s="7459"/>
      <c r="BC58" s="7459"/>
      <c r="BD58" s="7459"/>
      <c r="BE58" s="7459"/>
      <c r="BF58" s="7459"/>
      <c r="BG58" s="7459"/>
      <c r="BH58" s="7459"/>
      <c r="BI58" s="7459"/>
      <c r="BJ58" s="7459"/>
      <c r="BK58" s="7459"/>
      <c r="BL58" s="7459"/>
      <c r="BM58" s="7459"/>
      <c r="BN58" s="7459"/>
      <c r="BO58" s="7459"/>
      <c r="BP58" s="7459"/>
      <c r="BQ58" s="7459"/>
      <c r="BR58" s="7459"/>
      <c r="BS58" s="7459"/>
      <c r="BT58" s="7459"/>
      <c r="BU58" s="7459"/>
      <c r="BV58" s="7459"/>
      <c r="BW58" s="7459"/>
      <c r="BX58" s="7459"/>
      <c r="BY58" s="7459"/>
      <c r="BZ58" s="7459"/>
      <c r="CA58" s="7461"/>
      <c r="CB58" s="7461"/>
      <c r="CC58" s="7461"/>
      <c r="CD58" s="7461"/>
      <c r="CE58" s="7461"/>
      <c r="CF58" s="7461"/>
      <c r="CG58" s="7461"/>
      <c r="CH58" s="7461"/>
      <c r="CI58" s="7461"/>
      <c r="CJ58" s="7461"/>
      <c r="CK58" s="7461"/>
      <c r="CL58" s="7461"/>
      <c r="CM58" s="7461"/>
      <c r="CN58" s="7461"/>
      <c r="CO58" s="7461"/>
      <c r="CP58" s="7461"/>
      <c r="CQ58" s="7461"/>
      <c r="CR58" s="7461"/>
      <c r="CS58" s="7461"/>
      <c r="CT58" s="7461"/>
      <c r="CU58" s="7461"/>
      <c r="CV58" s="7461"/>
      <c r="CW58" s="7461"/>
      <c r="CX58" s="7461"/>
      <c r="CY58" s="7461"/>
      <c r="CZ58" s="7461"/>
      <c r="DA58" s="7461"/>
      <c r="DB58" s="7461"/>
      <c r="DC58" s="7461"/>
      <c r="DD58" s="7461"/>
      <c r="DE58" s="7461"/>
      <c r="DF58" s="7461"/>
      <c r="DG58" s="7461"/>
      <c r="DH58" s="7461"/>
      <c r="DI58" s="7461"/>
      <c r="DJ58" s="7461"/>
      <c r="DK58" s="7461"/>
      <c r="DL58" s="7461"/>
      <c r="DM58" s="7461"/>
      <c r="DN58" s="7461"/>
      <c r="DO58" s="7461"/>
      <c r="DP58" s="7461"/>
      <c r="DQ58" s="7461"/>
      <c r="DR58" s="7461"/>
      <c r="DS58" s="7461"/>
      <c r="DT58" s="7461"/>
      <c r="DU58" s="7523"/>
    </row>
    <row r="59" spans="1:125" s="7456" customFormat="1" ht="15.75" customHeight="1">
      <c r="A59" s="7454" t="s">
        <v>7208</v>
      </c>
      <c r="B59" s="17059"/>
      <c r="C59" s="17078"/>
      <c r="D59" s="17080"/>
      <c r="E59" s="17078"/>
      <c r="F59" s="17059"/>
      <c r="G59" s="17061"/>
      <c r="H59" s="17059"/>
      <c r="I59" s="17061"/>
      <c r="J59" s="17095"/>
      <c r="K59" s="17097"/>
      <c r="L59" s="7522" t="s">
        <v>8424</v>
      </c>
      <c r="M59" s="7087" t="s">
        <v>7209</v>
      </c>
      <c r="N59" s="7502" t="s">
        <v>7210</v>
      </c>
      <c r="O59" s="7089" t="s">
        <v>6993</v>
      </c>
      <c r="P59" s="7500">
        <f t="shared" si="36"/>
        <v>1</v>
      </c>
      <c r="Q59" s="7089" t="s">
        <v>7211</v>
      </c>
      <c r="R59" s="7089" t="s">
        <v>7212</v>
      </c>
      <c r="S59" s="7087" t="s">
        <v>4305</v>
      </c>
      <c r="T59" s="7089" t="s">
        <v>7213</v>
      </c>
      <c r="U59" s="7462" t="s">
        <v>7214</v>
      </c>
      <c r="V59" s="7458">
        <v>0</v>
      </c>
      <c r="W59" s="7458">
        <v>1</v>
      </c>
      <c r="X59" s="7458">
        <v>1</v>
      </c>
      <c r="Y59" s="7458">
        <v>1</v>
      </c>
      <c r="Z59" s="7458">
        <v>1</v>
      </c>
      <c r="AA59" s="7458">
        <v>1</v>
      </c>
      <c r="AB59" s="7458">
        <v>1</v>
      </c>
      <c r="AC59" s="7458">
        <v>1</v>
      </c>
      <c r="AD59" s="7458">
        <v>1</v>
      </c>
      <c r="AE59" s="7458">
        <v>1</v>
      </c>
      <c r="AF59" s="7458">
        <v>1</v>
      </c>
      <c r="AG59" s="7458">
        <v>1</v>
      </c>
      <c r="AH59" s="7459">
        <v>1067000</v>
      </c>
      <c r="AI59" s="7459"/>
      <c r="AJ59" s="7459"/>
      <c r="AK59" s="7459"/>
      <c r="AL59" s="7459">
        <f t="shared" si="37"/>
        <v>1131020</v>
      </c>
      <c r="AM59" s="7459"/>
      <c r="AN59" s="7459"/>
      <c r="AO59" s="7459"/>
      <c r="AP59" s="7459">
        <f t="shared" si="38"/>
        <v>1198881.2</v>
      </c>
      <c r="AQ59" s="7459"/>
      <c r="AR59" s="7459"/>
      <c r="AS59" s="7459"/>
      <c r="AT59" s="7459">
        <f t="shared" si="39"/>
        <v>1270814.0719999999</v>
      </c>
      <c r="AU59" s="7459"/>
      <c r="AV59" s="7459"/>
      <c r="AW59" s="7459"/>
      <c r="AX59" s="7459">
        <f t="shared" si="40"/>
        <v>1347062.9163199998</v>
      </c>
      <c r="AY59" s="7459"/>
      <c r="AZ59" s="7459"/>
      <c r="BA59" s="7459"/>
      <c r="BB59" s="7459">
        <f t="shared" si="41"/>
        <v>1427886.6912991998</v>
      </c>
      <c r="BC59" s="7459"/>
      <c r="BD59" s="7459"/>
      <c r="BE59" s="7459"/>
      <c r="BF59" s="7459">
        <f t="shared" si="42"/>
        <v>1513559.8927771519</v>
      </c>
      <c r="BG59" s="7459"/>
      <c r="BH59" s="7459"/>
      <c r="BI59" s="7459"/>
      <c r="BJ59" s="7459">
        <f t="shared" si="43"/>
        <v>1604373.486343781</v>
      </c>
      <c r="BK59" s="7459"/>
      <c r="BL59" s="7459"/>
      <c r="BM59" s="7459"/>
      <c r="BN59" s="7459">
        <f t="shared" si="44"/>
        <v>1700635.8955244077</v>
      </c>
      <c r="BO59" s="7459"/>
      <c r="BP59" s="7459"/>
      <c r="BQ59" s="7459"/>
      <c r="BR59" s="7459">
        <f t="shared" si="45"/>
        <v>1802674.0492558721</v>
      </c>
      <c r="BS59" s="7459"/>
      <c r="BT59" s="7459"/>
      <c r="BU59" s="7459"/>
      <c r="BV59" s="7459">
        <f t="shared" si="46"/>
        <v>1910834.4922112245</v>
      </c>
      <c r="BW59" s="7459"/>
      <c r="BX59" s="7459"/>
      <c r="BY59" s="7459"/>
      <c r="BZ59" s="7459">
        <f t="shared" si="47"/>
        <v>15974742.695731636</v>
      </c>
      <c r="CA59" s="7461"/>
      <c r="CB59" s="7461"/>
      <c r="CC59" s="7461"/>
      <c r="CD59" s="7461"/>
      <c r="CE59" s="7461"/>
      <c r="CF59" s="7461"/>
      <c r="CG59" s="7461"/>
      <c r="CH59" s="7461"/>
      <c r="CI59" s="7461"/>
      <c r="CJ59" s="7461"/>
      <c r="CK59" s="7461"/>
      <c r="CL59" s="7461"/>
      <c r="CM59" s="7461"/>
      <c r="CN59" s="7461"/>
      <c r="CO59" s="7461"/>
      <c r="CP59" s="7461"/>
      <c r="CQ59" s="7461"/>
      <c r="CR59" s="7461"/>
      <c r="CS59" s="7461"/>
      <c r="CT59" s="7461"/>
      <c r="CU59" s="7461"/>
      <c r="CV59" s="7461"/>
      <c r="CW59" s="7461"/>
      <c r="CX59" s="7461"/>
      <c r="CY59" s="7461"/>
      <c r="CZ59" s="7461"/>
      <c r="DA59" s="7461"/>
      <c r="DB59" s="7461"/>
      <c r="DC59" s="7461"/>
      <c r="DD59" s="7461"/>
      <c r="DE59" s="7461"/>
      <c r="DF59" s="7461"/>
      <c r="DG59" s="7461"/>
      <c r="DH59" s="7461"/>
      <c r="DI59" s="7461"/>
      <c r="DJ59" s="7461"/>
      <c r="DK59" s="7461"/>
      <c r="DL59" s="7461"/>
      <c r="DM59" s="7461"/>
      <c r="DN59" s="7461"/>
      <c r="DO59" s="7461"/>
      <c r="DP59" s="7461"/>
      <c r="DQ59" s="7461"/>
      <c r="DR59" s="7461"/>
      <c r="DS59" s="7461"/>
      <c r="DT59" s="7461"/>
      <c r="DU59" s="7523"/>
    </row>
    <row r="60" spans="1:125" s="7456" customFormat="1" ht="15.75" customHeight="1">
      <c r="A60" s="7454" t="s">
        <v>7215</v>
      </c>
      <c r="B60" s="17059"/>
      <c r="C60" s="17078"/>
      <c r="D60" s="17080"/>
      <c r="E60" s="17078"/>
      <c r="F60" s="7455" t="s">
        <v>7216</v>
      </c>
      <c r="G60" s="17061"/>
      <c r="H60" s="17059"/>
      <c r="I60" s="17061"/>
      <c r="J60" s="17095"/>
      <c r="K60" s="17097"/>
      <c r="L60" s="7522" t="s">
        <v>8425</v>
      </c>
      <c r="M60" s="7087" t="s">
        <v>7217</v>
      </c>
      <c r="N60" s="7089" t="s">
        <v>7218</v>
      </c>
      <c r="O60" s="7089" t="s">
        <v>7219</v>
      </c>
      <c r="P60" s="7500">
        <f t="shared" si="36"/>
        <v>1</v>
      </c>
      <c r="Q60" s="7089" t="s">
        <v>7220</v>
      </c>
      <c r="R60" s="7089" t="s">
        <v>7221</v>
      </c>
      <c r="S60" s="7087" t="s">
        <v>4305</v>
      </c>
      <c r="T60" s="7089" t="s">
        <v>311</v>
      </c>
      <c r="U60" s="7462"/>
      <c r="V60" s="7458">
        <v>0</v>
      </c>
      <c r="W60" s="7458">
        <v>1</v>
      </c>
      <c r="X60" s="7458">
        <v>1</v>
      </c>
      <c r="Y60" s="7458">
        <v>1</v>
      </c>
      <c r="Z60" s="7458">
        <v>1</v>
      </c>
      <c r="AA60" s="7458">
        <v>1</v>
      </c>
      <c r="AB60" s="7458">
        <v>1</v>
      </c>
      <c r="AC60" s="7458">
        <v>1</v>
      </c>
      <c r="AD60" s="7458">
        <v>1</v>
      </c>
      <c r="AE60" s="7458">
        <v>1</v>
      </c>
      <c r="AF60" s="7458">
        <v>1</v>
      </c>
      <c r="AG60" s="7458">
        <v>1</v>
      </c>
      <c r="AH60" s="7459">
        <v>1200000</v>
      </c>
      <c r="AI60" s="7459"/>
      <c r="AJ60" s="7459"/>
      <c r="AK60" s="7459"/>
      <c r="AL60" s="7459">
        <f t="shared" si="37"/>
        <v>1272000</v>
      </c>
      <c r="AM60" s="7459"/>
      <c r="AN60" s="7459"/>
      <c r="AO60" s="7459"/>
      <c r="AP60" s="7459">
        <f t="shared" si="38"/>
        <v>1348320</v>
      </c>
      <c r="AQ60" s="7459"/>
      <c r="AR60" s="7459"/>
      <c r="AS60" s="7459"/>
      <c r="AT60" s="7459">
        <f t="shared" si="39"/>
        <v>1429219.2</v>
      </c>
      <c r="AU60" s="7459"/>
      <c r="AV60" s="7459"/>
      <c r="AW60" s="7459"/>
      <c r="AX60" s="7459">
        <f t="shared" si="40"/>
        <v>1514972.352</v>
      </c>
      <c r="AY60" s="7459"/>
      <c r="AZ60" s="7459"/>
      <c r="BA60" s="7459"/>
      <c r="BB60" s="7459">
        <f t="shared" si="41"/>
        <v>1605870.69312</v>
      </c>
      <c r="BC60" s="7459"/>
      <c r="BD60" s="7459"/>
      <c r="BE60" s="7459"/>
      <c r="BF60" s="7459">
        <f t="shared" si="42"/>
        <v>1702222.9347071999</v>
      </c>
      <c r="BG60" s="7459"/>
      <c r="BH60" s="7459"/>
      <c r="BI60" s="7459"/>
      <c r="BJ60" s="7459">
        <f t="shared" si="43"/>
        <v>1804356.3107896319</v>
      </c>
      <c r="BK60" s="7459"/>
      <c r="BL60" s="7459"/>
      <c r="BM60" s="7459"/>
      <c r="BN60" s="7459">
        <f t="shared" si="44"/>
        <v>1912617.6894370099</v>
      </c>
      <c r="BO60" s="7459"/>
      <c r="BP60" s="7459"/>
      <c r="BQ60" s="7459"/>
      <c r="BR60" s="7459">
        <f t="shared" si="45"/>
        <v>2027374.7508032303</v>
      </c>
      <c r="BS60" s="7459"/>
      <c r="BT60" s="7459"/>
      <c r="BU60" s="7459"/>
      <c r="BV60" s="7459">
        <f t="shared" si="46"/>
        <v>2149017.2358514243</v>
      </c>
      <c r="BW60" s="7459"/>
      <c r="BX60" s="7459"/>
      <c r="BY60" s="7459"/>
      <c r="BZ60" s="7459">
        <f t="shared" si="47"/>
        <v>17965971.166708495</v>
      </c>
      <c r="CA60" s="7461"/>
      <c r="CB60" s="7461"/>
      <c r="CC60" s="7461"/>
      <c r="CD60" s="7461"/>
      <c r="CE60" s="7461"/>
      <c r="CF60" s="7461"/>
      <c r="CG60" s="7461"/>
      <c r="CH60" s="7461"/>
      <c r="CI60" s="7461"/>
      <c r="CJ60" s="7461"/>
      <c r="CK60" s="7461"/>
      <c r="CL60" s="7461"/>
      <c r="CM60" s="7461"/>
      <c r="CN60" s="7461"/>
      <c r="CO60" s="7461"/>
      <c r="CP60" s="7461"/>
      <c r="CQ60" s="7461"/>
      <c r="CR60" s="7461"/>
      <c r="CS60" s="7461"/>
      <c r="CT60" s="7461"/>
      <c r="CU60" s="7461"/>
      <c r="CV60" s="7461"/>
      <c r="CW60" s="7461"/>
      <c r="CX60" s="7461"/>
      <c r="CY60" s="7461"/>
      <c r="CZ60" s="7461"/>
      <c r="DA60" s="7461"/>
      <c r="DB60" s="7461"/>
      <c r="DC60" s="7461"/>
      <c r="DD60" s="7461"/>
      <c r="DE60" s="7461"/>
      <c r="DF60" s="7461"/>
      <c r="DG60" s="7461"/>
      <c r="DH60" s="7461"/>
      <c r="DI60" s="7461"/>
      <c r="DJ60" s="7461"/>
      <c r="DK60" s="7461"/>
      <c r="DL60" s="7461"/>
      <c r="DM60" s="7461"/>
      <c r="DN60" s="7461"/>
      <c r="DO60" s="7461"/>
      <c r="DP60" s="7461"/>
      <c r="DQ60" s="7461"/>
      <c r="DR60" s="7461"/>
      <c r="DS60" s="7461"/>
      <c r="DT60" s="7461"/>
      <c r="DU60" s="7523"/>
    </row>
    <row r="61" spans="1:125" s="7456" customFormat="1" ht="15.75" customHeight="1">
      <c r="A61" s="17091" t="s">
        <v>7222</v>
      </c>
      <c r="B61" s="17059"/>
      <c r="C61" s="17078"/>
      <c r="D61" s="17080"/>
      <c r="E61" s="17078"/>
      <c r="F61" s="17059" t="s">
        <v>7223</v>
      </c>
      <c r="G61" s="17061"/>
      <c r="H61" s="17059"/>
      <c r="I61" s="17061"/>
      <c r="J61" s="17095"/>
      <c r="K61" s="17097"/>
      <c r="L61" s="7522" t="s">
        <v>8426</v>
      </c>
      <c r="M61" s="7087" t="s">
        <v>7224</v>
      </c>
      <c r="N61" s="7089" t="s">
        <v>7225</v>
      </c>
      <c r="O61" s="7089" t="s">
        <v>7226</v>
      </c>
      <c r="P61" s="7500">
        <f t="shared" si="36"/>
        <v>1</v>
      </c>
      <c r="Q61" s="7089" t="s">
        <v>7227</v>
      </c>
      <c r="R61" s="7089" t="s">
        <v>7228</v>
      </c>
      <c r="S61" s="7087" t="s">
        <v>4305</v>
      </c>
      <c r="T61" s="7089" t="s">
        <v>1322</v>
      </c>
      <c r="U61" s="7462"/>
      <c r="V61" s="7458">
        <v>0</v>
      </c>
      <c r="W61" s="7458">
        <v>1</v>
      </c>
      <c r="X61" s="7458">
        <v>1</v>
      </c>
      <c r="Y61" s="7458">
        <v>1</v>
      </c>
      <c r="Z61" s="7458">
        <v>1</v>
      </c>
      <c r="AA61" s="7458">
        <v>1</v>
      </c>
      <c r="AB61" s="7458">
        <v>1</v>
      </c>
      <c r="AC61" s="7458">
        <v>1</v>
      </c>
      <c r="AD61" s="7458">
        <v>1</v>
      </c>
      <c r="AE61" s="7458">
        <v>1</v>
      </c>
      <c r="AF61" s="7458">
        <v>1</v>
      </c>
      <c r="AG61" s="7458">
        <v>1</v>
      </c>
      <c r="AH61" s="7459">
        <v>840000</v>
      </c>
      <c r="AI61" s="7459"/>
      <c r="AJ61" s="7459"/>
      <c r="AK61" s="7459"/>
      <c r="AL61" s="7459">
        <f t="shared" si="37"/>
        <v>890400</v>
      </c>
      <c r="AM61" s="7459"/>
      <c r="AN61" s="7459"/>
      <c r="AO61" s="7459"/>
      <c r="AP61" s="7459">
        <f t="shared" si="38"/>
        <v>943824</v>
      </c>
      <c r="AQ61" s="7459"/>
      <c r="AR61" s="7459"/>
      <c r="AS61" s="7459"/>
      <c r="AT61" s="7459">
        <f t="shared" si="39"/>
        <v>1000453.44</v>
      </c>
      <c r="AU61" s="7459"/>
      <c r="AV61" s="7459"/>
      <c r="AW61" s="7459"/>
      <c r="AX61" s="7459">
        <f t="shared" si="40"/>
        <v>1060480.6464</v>
      </c>
      <c r="AY61" s="7459"/>
      <c r="AZ61" s="7459"/>
      <c r="BA61" s="7459"/>
      <c r="BB61" s="7459">
        <f t="shared" si="41"/>
        <v>1124109.4851839999</v>
      </c>
      <c r="BC61" s="7459"/>
      <c r="BD61" s="7459"/>
      <c r="BE61" s="7459"/>
      <c r="BF61" s="7459">
        <f t="shared" si="42"/>
        <v>1191556.05429504</v>
      </c>
      <c r="BG61" s="7459"/>
      <c r="BH61" s="7459"/>
      <c r="BI61" s="7459"/>
      <c r="BJ61" s="7459">
        <f t="shared" si="43"/>
        <v>1263049.4175527424</v>
      </c>
      <c r="BK61" s="7459"/>
      <c r="BL61" s="7459"/>
      <c r="BM61" s="7459"/>
      <c r="BN61" s="7459">
        <f t="shared" si="44"/>
        <v>1338832.382605907</v>
      </c>
      <c r="BO61" s="7459"/>
      <c r="BP61" s="7459"/>
      <c r="BQ61" s="7459"/>
      <c r="BR61" s="7459">
        <f t="shared" si="45"/>
        <v>1419162.3255622615</v>
      </c>
      <c r="BS61" s="7459"/>
      <c r="BT61" s="7459"/>
      <c r="BU61" s="7459"/>
      <c r="BV61" s="7459">
        <f t="shared" si="46"/>
        <v>1504312.0650959972</v>
      </c>
      <c r="BW61" s="7459"/>
      <c r="BX61" s="7459"/>
      <c r="BY61" s="7459"/>
      <c r="BZ61" s="7459">
        <f t="shared" si="47"/>
        <v>12576179.816695947</v>
      </c>
      <c r="CA61" s="7461"/>
      <c r="CB61" s="7461"/>
      <c r="CC61" s="7461"/>
      <c r="CD61" s="7461"/>
      <c r="CE61" s="7461"/>
      <c r="CF61" s="7461"/>
      <c r="CG61" s="7461"/>
      <c r="CH61" s="7461"/>
      <c r="CI61" s="7461"/>
      <c r="CJ61" s="7461"/>
      <c r="CK61" s="7461"/>
      <c r="CL61" s="7461"/>
      <c r="CM61" s="7461"/>
      <c r="CN61" s="7461"/>
      <c r="CO61" s="7461"/>
      <c r="CP61" s="7461"/>
      <c r="CQ61" s="7461"/>
      <c r="CR61" s="7461"/>
      <c r="CS61" s="7461"/>
      <c r="CT61" s="7461"/>
      <c r="CU61" s="7461"/>
      <c r="CV61" s="7461"/>
      <c r="CW61" s="7461"/>
      <c r="CX61" s="7461"/>
      <c r="CY61" s="7461"/>
      <c r="CZ61" s="7461"/>
      <c r="DA61" s="7461"/>
      <c r="DB61" s="7461"/>
      <c r="DC61" s="7461"/>
      <c r="DD61" s="7461"/>
      <c r="DE61" s="7461"/>
      <c r="DF61" s="7461"/>
      <c r="DG61" s="7461"/>
      <c r="DH61" s="7461"/>
      <c r="DI61" s="7461"/>
      <c r="DJ61" s="7461"/>
      <c r="DK61" s="7461"/>
      <c r="DL61" s="7461"/>
      <c r="DM61" s="7461"/>
      <c r="DN61" s="7461"/>
      <c r="DO61" s="7461"/>
      <c r="DP61" s="7461"/>
      <c r="DQ61" s="7461"/>
      <c r="DR61" s="7461"/>
      <c r="DS61" s="7461"/>
      <c r="DT61" s="7461"/>
      <c r="DU61" s="7523"/>
    </row>
    <row r="62" spans="1:125" s="7456" customFormat="1" ht="15.75" customHeight="1">
      <c r="A62" s="17091"/>
      <c r="B62" s="17059"/>
      <c r="C62" s="17078"/>
      <c r="D62" s="17080"/>
      <c r="E62" s="17078"/>
      <c r="F62" s="17059"/>
      <c r="G62" s="17061"/>
      <c r="H62" s="17059"/>
      <c r="I62" s="17061"/>
      <c r="J62" s="17095"/>
      <c r="K62" s="17097"/>
      <c r="L62" s="7522" t="s">
        <v>8427</v>
      </c>
      <c r="M62" s="7087" t="s">
        <v>7229</v>
      </c>
      <c r="N62" s="7089" t="s">
        <v>7230</v>
      </c>
      <c r="O62" s="7089" t="s">
        <v>7231</v>
      </c>
      <c r="P62" s="7500">
        <f t="shared" si="36"/>
        <v>1</v>
      </c>
      <c r="Q62" s="7089" t="s">
        <v>7232</v>
      </c>
      <c r="R62" s="7089" t="s">
        <v>7233</v>
      </c>
      <c r="S62" s="7087" t="s">
        <v>10063</v>
      </c>
      <c r="T62" s="7089" t="s">
        <v>144</v>
      </c>
      <c r="U62" s="7462"/>
      <c r="V62" s="7463">
        <v>0</v>
      </c>
      <c r="W62" s="7458">
        <v>1</v>
      </c>
      <c r="X62" s="7458">
        <v>1</v>
      </c>
      <c r="Y62" s="7458">
        <v>1</v>
      </c>
      <c r="Z62" s="7458">
        <v>1</v>
      </c>
      <c r="AA62" s="7458">
        <v>1</v>
      </c>
      <c r="AB62" s="7458">
        <v>1</v>
      </c>
      <c r="AC62" s="7458">
        <v>1</v>
      </c>
      <c r="AD62" s="7458">
        <v>1</v>
      </c>
      <c r="AE62" s="7458">
        <v>1</v>
      </c>
      <c r="AF62" s="7458">
        <v>1</v>
      </c>
      <c r="AG62" s="7458">
        <v>1</v>
      </c>
      <c r="AH62" s="7465">
        <f>(2500000*10)/3</f>
        <v>8333333.333333333</v>
      </c>
      <c r="AI62" s="7465"/>
      <c r="AJ62" s="7465"/>
      <c r="AK62" s="7465"/>
      <c r="AL62" s="7465">
        <f t="shared" si="37"/>
        <v>8833333.3333333321</v>
      </c>
      <c r="AM62" s="7465"/>
      <c r="AN62" s="7465"/>
      <c r="AO62" s="7465"/>
      <c r="AP62" s="7465">
        <f t="shared" si="38"/>
        <v>9363333.3333333321</v>
      </c>
      <c r="AQ62" s="7465"/>
      <c r="AR62" s="7465"/>
      <c r="AS62" s="7465"/>
      <c r="AT62" s="7465">
        <f t="shared" si="39"/>
        <v>9925133.3333333321</v>
      </c>
      <c r="AU62" s="7465"/>
      <c r="AV62" s="7465"/>
      <c r="AW62" s="7465"/>
      <c r="AX62" s="7465">
        <f t="shared" si="40"/>
        <v>10520641.333333332</v>
      </c>
      <c r="AY62" s="7465"/>
      <c r="AZ62" s="7465"/>
      <c r="BA62" s="7465"/>
      <c r="BB62" s="7465">
        <f t="shared" si="41"/>
        <v>11151879.813333333</v>
      </c>
      <c r="BC62" s="7465"/>
      <c r="BD62" s="7465"/>
      <c r="BE62" s="7465"/>
      <c r="BF62" s="7465">
        <f t="shared" si="42"/>
        <v>11820992.602133332</v>
      </c>
      <c r="BG62" s="7465"/>
      <c r="BH62" s="7465"/>
      <c r="BI62" s="7465"/>
      <c r="BJ62" s="7465">
        <f t="shared" si="43"/>
        <v>12530252.158261333</v>
      </c>
      <c r="BK62" s="7465"/>
      <c r="BL62" s="7465"/>
      <c r="BM62" s="7465"/>
      <c r="BN62" s="7465">
        <f t="shared" si="44"/>
        <v>13282067.287757013</v>
      </c>
      <c r="BO62" s="7465"/>
      <c r="BP62" s="7465"/>
      <c r="BQ62" s="7465"/>
      <c r="BR62" s="7465">
        <f t="shared" si="45"/>
        <v>14078991.325022433</v>
      </c>
      <c r="BS62" s="7465"/>
      <c r="BT62" s="7465"/>
      <c r="BU62" s="7465"/>
      <c r="BV62" s="7465">
        <f t="shared" si="46"/>
        <v>14923730.804523779</v>
      </c>
      <c r="BW62" s="7465"/>
      <c r="BX62" s="7465"/>
      <c r="BY62" s="7465"/>
      <c r="BZ62" s="7465">
        <f t="shared" si="47"/>
        <v>124763688.65769787</v>
      </c>
      <c r="CA62" s="7461"/>
      <c r="CB62" s="7461"/>
      <c r="CC62" s="7461"/>
      <c r="CD62" s="7461"/>
      <c r="CE62" s="7461"/>
      <c r="CF62" s="7461"/>
      <c r="CG62" s="7461"/>
      <c r="CH62" s="7461"/>
      <c r="CI62" s="7461"/>
      <c r="CJ62" s="7461"/>
      <c r="CK62" s="7461"/>
      <c r="CL62" s="7461"/>
      <c r="CM62" s="7461"/>
      <c r="CN62" s="7461"/>
      <c r="CO62" s="7461"/>
      <c r="CP62" s="7461"/>
      <c r="CQ62" s="7461"/>
      <c r="CR62" s="7461"/>
      <c r="CS62" s="7461"/>
      <c r="CT62" s="7461"/>
      <c r="CU62" s="7461"/>
      <c r="CV62" s="7461"/>
      <c r="CW62" s="7461"/>
      <c r="CX62" s="7461"/>
      <c r="CY62" s="7461"/>
      <c r="CZ62" s="7461"/>
      <c r="DA62" s="7461"/>
      <c r="DB62" s="7461"/>
      <c r="DC62" s="7461"/>
      <c r="DD62" s="7461"/>
      <c r="DE62" s="7461"/>
      <c r="DF62" s="7461"/>
      <c r="DG62" s="7461"/>
      <c r="DH62" s="7461"/>
      <c r="DI62" s="7461"/>
      <c r="DJ62" s="7461"/>
      <c r="DK62" s="7461"/>
      <c r="DL62" s="7461"/>
      <c r="DM62" s="7461"/>
      <c r="DN62" s="7461"/>
      <c r="DO62" s="7461"/>
      <c r="DP62" s="7461"/>
      <c r="DQ62" s="7461"/>
      <c r="DR62" s="7461"/>
      <c r="DS62" s="7461"/>
      <c r="DT62" s="7461"/>
      <c r="DU62" s="7523"/>
    </row>
    <row r="63" spans="1:125" s="7456" customFormat="1" ht="15.75" customHeight="1">
      <c r="A63" s="7454" t="s">
        <v>7234</v>
      </c>
      <c r="B63" s="17059"/>
      <c r="C63" s="17078"/>
      <c r="D63" s="17080"/>
      <c r="E63" s="17078"/>
      <c r="F63" s="17055" t="s">
        <v>7235</v>
      </c>
      <c r="G63" s="17061"/>
      <c r="H63" s="17059"/>
      <c r="I63" s="17061"/>
      <c r="J63" s="17095"/>
      <c r="K63" s="17097"/>
      <c r="L63" s="17098" t="s">
        <v>8428</v>
      </c>
      <c r="M63" s="16783" t="s">
        <v>7236</v>
      </c>
      <c r="N63" s="16783" t="s">
        <v>7237</v>
      </c>
      <c r="O63" s="16783" t="s">
        <v>7191</v>
      </c>
      <c r="P63" s="16783">
        <f t="shared" si="36"/>
        <v>400</v>
      </c>
      <c r="Q63" s="16783" t="s">
        <v>7238</v>
      </c>
      <c r="R63" s="16783" t="s">
        <v>7239</v>
      </c>
      <c r="S63" s="7087" t="s">
        <v>10063</v>
      </c>
      <c r="T63" s="16783" t="s">
        <v>7240</v>
      </c>
      <c r="U63" s="7462"/>
      <c r="V63" s="7462"/>
      <c r="W63" s="7462">
        <v>40</v>
      </c>
      <c r="X63" s="7462">
        <f t="shared" ref="X63:AF63" si="48">+W63+40</f>
        <v>80</v>
      </c>
      <c r="Y63" s="7462">
        <f t="shared" si="48"/>
        <v>120</v>
      </c>
      <c r="Z63" s="7462">
        <f t="shared" si="48"/>
        <v>160</v>
      </c>
      <c r="AA63" s="7462">
        <f t="shared" si="48"/>
        <v>200</v>
      </c>
      <c r="AB63" s="7462">
        <f t="shared" si="48"/>
        <v>240</v>
      </c>
      <c r="AC63" s="7462">
        <f t="shared" si="48"/>
        <v>280</v>
      </c>
      <c r="AD63" s="7462">
        <f t="shared" si="48"/>
        <v>320</v>
      </c>
      <c r="AE63" s="7462">
        <f t="shared" si="48"/>
        <v>360</v>
      </c>
      <c r="AF63" s="7462">
        <f t="shared" si="48"/>
        <v>400</v>
      </c>
      <c r="AG63" s="7462">
        <f>+AF63</f>
        <v>400</v>
      </c>
      <c r="AH63" s="7465">
        <f>(2500000*10)/3</f>
        <v>8333333.333333333</v>
      </c>
      <c r="AI63" s="7465"/>
      <c r="AJ63" s="7465"/>
      <c r="AK63" s="7465"/>
      <c r="AL63" s="7465">
        <f t="shared" si="37"/>
        <v>8833333.3333333321</v>
      </c>
      <c r="AM63" s="7465"/>
      <c r="AN63" s="7465"/>
      <c r="AO63" s="7465"/>
      <c r="AP63" s="7465">
        <f t="shared" si="38"/>
        <v>9363333.3333333321</v>
      </c>
      <c r="AQ63" s="7465"/>
      <c r="AR63" s="7465"/>
      <c r="AS63" s="7465"/>
      <c r="AT63" s="7465">
        <f t="shared" si="39"/>
        <v>9925133.3333333321</v>
      </c>
      <c r="AU63" s="7465"/>
      <c r="AV63" s="7465"/>
      <c r="AW63" s="7465"/>
      <c r="AX63" s="7465">
        <f t="shared" si="40"/>
        <v>10520641.333333332</v>
      </c>
      <c r="AY63" s="7465"/>
      <c r="AZ63" s="7465"/>
      <c r="BA63" s="7465"/>
      <c r="BB63" s="7465">
        <f t="shared" si="41"/>
        <v>11151879.813333333</v>
      </c>
      <c r="BC63" s="7465"/>
      <c r="BD63" s="7465"/>
      <c r="BE63" s="7465"/>
      <c r="BF63" s="7465">
        <f t="shared" si="42"/>
        <v>11820992.602133332</v>
      </c>
      <c r="BG63" s="7465"/>
      <c r="BH63" s="7465"/>
      <c r="BI63" s="7465"/>
      <c r="BJ63" s="7465">
        <f t="shared" si="43"/>
        <v>12530252.158261333</v>
      </c>
      <c r="BK63" s="7465"/>
      <c r="BL63" s="7465"/>
      <c r="BM63" s="7465"/>
      <c r="BN63" s="7465">
        <f t="shared" si="44"/>
        <v>13282067.287757013</v>
      </c>
      <c r="BO63" s="7465"/>
      <c r="BP63" s="7465"/>
      <c r="BQ63" s="7465"/>
      <c r="BR63" s="7465">
        <f t="shared" si="45"/>
        <v>14078991.325022433</v>
      </c>
      <c r="BS63" s="7465"/>
      <c r="BT63" s="7465"/>
      <c r="BU63" s="7465"/>
      <c r="BV63" s="7465">
        <f t="shared" si="46"/>
        <v>14923730.804523779</v>
      </c>
      <c r="BW63" s="7465"/>
      <c r="BX63" s="7465"/>
      <c r="BY63" s="7465"/>
      <c r="BZ63" s="7465">
        <f t="shared" si="47"/>
        <v>124763688.65769787</v>
      </c>
      <c r="CA63" s="7461"/>
      <c r="CB63" s="7461"/>
      <c r="CC63" s="7461"/>
      <c r="CD63" s="7461"/>
      <c r="CE63" s="7461"/>
      <c r="CF63" s="7461"/>
      <c r="CG63" s="7461"/>
      <c r="CH63" s="7461"/>
      <c r="CI63" s="7461"/>
      <c r="CJ63" s="7461"/>
      <c r="CK63" s="7461"/>
      <c r="CL63" s="7461"/>
      <c r="CM63" s="7461"/>
      <c r="CN63" s="7461"/>
      <c r="CO63" s="7461"/>
      <c r="CP63" s="7461"/>
      <c r="CQ63" s="7461"/>
      <c r="CR63" s="7461"/>
      <c r="CS63" s="7461"/>
      <c r="CT63" s="7461"/>
      <c r="CU63" s="7461"/>
      <c r="CV63" s="7461"/>
      <c r="CW63" s="7461"/>
      <c r="CX63" s="7461"/>
      <c r="CY63" s="7461"/>
      <c r="CZ63" s="7461"/>
      <c r="DA63" s="7461"/>
      <c r="DB63" s="7461"/>
      <c r="DC63" s="7461"/>
      <c r="DD63" s="7461"/>
      <c r="DE63" s="7461"/>
      <c r="DF63" s="7461"/>
      <c r="DG63" s="7461"/>
      <c r="DH63" s="7461"/>
      <c r="DI63" s="7461"/>
      <c r="DJ63" s="7461"/>
      <c r="DK63" s="7461"/>
      <c r="DL63" s="7461"/>
      <c r="DM63" s="7461"/>
      <c r="DN63" s="7461"/>
      <c r="DO63" s="7461"/>
      <c r="DP63" s="7461"/>
      <c r="DQ63" s="7461"/>
      <c r="DR63" s="7461"/>
      <c r="DS63" s="7461"/>
      <c r="DT63" s="7461"/>
      <c r="DU63" s="7523"/>
    </row>
    <row r="64" spans="1:125" s="7456" customFormat="1" ht="15.75" customHeight="1">
      <c r="A64" s="7464"/>
      <c r="B64" s="16783"/>
      <c r="C64" s="17078"/>
      <c r="D64" s="17080"/>
      <c r="E64" s="17078"/>
      <c r="F64" s="17057"/>
      <c r="G64" s="17062"/>
      <c r="H64" s="16783"/>
      <c r="I64" s="17062"/>
      <c r="J64" s="17096"/>
      <c r="K64" s="17097"/>
      <c r="L64" s="17098"/>
      <c r="M64" s="16783"/>
      <c r="N64" s="16783"/>
      <c r="O64" s="16783"/>
      <c r="P64" s="16783"/>
      <c r="Q64" s="16783"/>
      <c r="R64" s="16783"/>
      <c r="S64" s="7087" t="s">
        <v>4305</v>
      </c>
      <c r="T64" s="16783"/>
      <c r="U64" s="7462"/>
      <c r="V64" s="7462"/>
      <c r="W64" s="7462"/>
      <c r="X64" s="7462"/>
      <c r="Y64" s="7462"/>
      <c r="Z64" s="7462"/>
      <c r="AA64" s="7462"/>
      <c r="AB64" s="7462"/>
      <c r="AC64" s="7462"/>
      <c r="AD64" s="7462"/>
      <c r="AE64" s="7462"/>
      <c r="AF64" s="7462"/>
      <c r="AG64" s="7462"/>
      <c r="AH64" s="7465"/>
      <c r="AI64" s="7465"/>
      <c r="AJ64" s="7465"/>
      <c r="AK64" s="7465"/>
      <c r="AL64" s="7465"/>
      <c r="AM64" s="7465"/>
      <c r="AN64" s="7465"/>
      <c r="AO64" s="7465"/>
      <c r="AP64" s="7465"/>
      <c r="AQ64" s="7465"/>
      <c r="AR64" s="7465"/>
      <c r="AS64" s="7465"/>
      <c r="AT64" s="7465"/>
      <c r="AU64" s="7465"/>
      <c r="AV64" s="7465"/>
      <c r="AW64" s="7465"/>
      <c r="AX64" s="7465"/>
      <c r="AY64" s="7465"/>
      <c r="AZ64" s="7465"/>
      <c r="BA64" s="7465"/>
      <c r="BB64" s="7465"/>
      <c r="BC64" s="7465"/>
      <c r="BD64" s="7465"/>
      <c r="BE64" s="7465"/>
      <c r="BF64" s="7465"/>
      <c r="BG64" s="7465"/>
      <c r="BH64" s="7465"/>
      <c r="BI64" s="7465"/>
      <c r="BJ64" s="7465"/>
      <c r="BK64" s="7465"/>
      <c r="BL64" s="7465"/>
      <c r="BM64" s="7465"/>
      <c r="BN64" s="7465"/>
      <c r="BO64" s="7465"/>
      <c r="BP64" s="7465"/>
      <c r="BQ64" s="7465"/>
      <c r="BR64" s="7465"/>
      <c r="BS64" s="7465"/>
      <c r="BT64" s="7465"/>
      <c r="BU64" s="7465"/>
      <c r="BV64" s="7465"/>
      <c r="BW64" s="7465"/>
      <c r="BX64" s="7465"/>
      <c r="BY64" s="7465"/>
      <c r="BZ64" s="7465"/>
      <c r="CA64" s="7461"/>
      <c r="CB64" s="7461"/>
      <c r="CC64" s="7461"/>
      <c r="CD64" s="7461"/>
      <c r="CE64" s="7461"/>
      <c r="CF64" s="7461"/>
      <c r="CG64" s="7461"/>
      <c r="CH64" s="7461"/>
      <c r="CI64" s="7461"/>
      <c r="CJ64" s="7461"/>
      <c r="CK64" s="7461"/>
      <c r="CL64" s="7461"/>
      <c r="CM64" s="7461"/>
      <c r="CN64" s="7461"/>
      <c r="CO64" s="7461"/>
      <c r="CP64" s="7461"/>
      <c r="CQ64" s="7461"/>
      <c r="CR64" s="7461"/>
      <c r="CS64" s="7461"/>
      <c r="CT64" s="7461"/>
      <c r="CU64" s="7461"/>
      <c r="CV64" s="7461"/>
      <c r="CW64" s="7461"/>
      <c r="CX64" s="7461"/>
      <c r="CY64" s="7461"/>
      <c r="CZ64" s="7461"/>
      <c r="DA64" s="7461"/>
      <c r="DB64" s="7461"/>
      <c r="DC64" s="7461"/>
      <c r="DD64" s="7461"/>
      <c r="DE64" s="7461"/>
      <c r="DF64" s="7461"/>
      <c r="DG64" s="7461"/>
      <c r="DH64" s="7461"/>
      <c r="DI64" s="7461"/>
      <c r="DJ64" s="7461"/>
      <c r="DK64" s="7461"/>
      <c r="DL64" s="7461"/>
      <c r="DM64" s="7461"/>
      <c r="DN64" s="7461"/>
      <c r="DO64" s="7461"/>
      <c r="DP64" s="7461"/>
      <c r="DQ64" s="7461"/>
      <c r="DR64" s="7461"/>
      <c r="DS64" s="7461"/>
      <c r="DT64" s="7461"/>
      <c r="DU64" s="7523"/>
    </row>
    <row r="65" spans="1:125" s="7456" customFormat="1" ht="15.75" customHeight="1">
      <c r="A65" s="7466" t="s">
        <v>7241</v>
      </c>
      <c r="B65" s="17059"/>
      <c r="C65" s="17078"/>
      <c r="D65" s="17080"/>
      <c r="E65" s="17078"/>
      <c r="F65" s="7467" t="s">
        <v>7242</v>
      </c>
      <c r="G65" s="17061"/>
      <c r="H65" s="17059"/>
      <c r="I65" s="17061"/>
      <c r="J65" s="17095"/>
      <c r="K65" s="17097"/>
      <c r="L65" s="7522" t="s">
        <v>8429</v>
      </c>
      <c r="M65" s="7087" t="s">
        <v>7243</v>
      </c>
      <c r="N65" s="7089" t="s">
        <v>7244</v>
      </c>
      <c r="O65" s="7089" t="s">
        <v>7185</v>
      </c>
      <c r="P65" s="7463">
        <f t="shared" si="36"/>
        <v>1</v>
      </c>
      <c r="Q65" s="7089" t="s">
        <v>7245</v>
      </c>
      <c r="R65" s="7089" t="s">
        <v>7246</v>
      </c>
      <c r="S65" s="7087" t="s">
        <v>10070</v>
      </c>
      <c r="T65" s="7462" t="s">
        <v>512</v>
      </c>
      <c r="U65" s="7462"/>
      <c r="V65" s="7462"/>
      <c r="W65" s="7503">
        <v>1</v>
      </c>
      <c r="X65" s="7503">
        <v>1</v>
      </c>
      <c r="Y65" s="7503">
        <v>1</v>
      </c>
      <c r="Z65" s="7503">
        <v>1</v>
      </c>
      <c r="AA65" s="7503">
        <v>1</v>
      </c>
      <c r="AB65" s="7503">
        <v>1</v>
      </c>
      <c r="AC65" s="7503">
        <v>1</v>
      </c>
      <c r="AD65" s="7503">
        <v>1</v>
      </c>
      <c r="AE65" s="7503">
        <v>1</v>
      </c>
      <c r="AF65" s="7503">
        <v>1</v>
      </c>
      <c r="AG65" s="7503">
        <v>1</v>
      </c>
      <c r="AH65" s="7459">
        <f>(2500000*10)</f>
        <v>25000000</v>
      </c>
      <c r="AI65" s="7459"/>
      <c r="AJ65" s="7459"/>
      <c r="AK65" s="7459"/>
      <c r="AL65" s="7459">
        <f t="shared" si="37"/>
        <v>26500000</v>
      </c>
      <c r="AM65" s="7459"/>
      <c r="AN65" s="7459"/>
      <c r="AO65" s="7459"/>
      <c r="AP65" s="7459">
        <f t="shared" si="38"/>
        <v>28090000</v>
      </c>
      <c r="AQ65" s="7459"/>
      <c r="AR65" s="7459"/>
      <c r="AS65" s="7459"/>
      <c r="AT65" s="7459">
        <f t="shared" si="39"/>
        <v>29775400</v>
      </c>
      <c r="AU65" s="7459"/>
      <c r="AV65" s="7459"/>
      <c r="AW65" s="7459"/>
      <c r="AX65" s="7459">
        <f t="shared" si="40"/>
        <v>31561924</v>
      </c>
      <c r="AY65" s="7459"/>
      <c r="AZ65" s="7459"/>
      <c r="BA65" s="7459"/>
      <c r="BB65" s="7459">
        <f t="shared" si="41"/>
        <v>33455639.440000001</v>
      </c>
      <c r="BC65" s="7459"/>
      <c r="BD65" s="7459"/>
      <c r="BE65" s="7459"/>
      <c r="BF65" s="7459">
        <f t="shared" si="42"/>
        <v>35462977.806400001</v>
      </c>
      <c r="BG65" s="7459"/>
      <c r="BH65" s="7459"/>
      <c r="BI65" s="7459"/>
      <c r="BJ65" s="7459">
        <f t="shared" si="43"/>
        <v>37590756.474784002</v>
      </c>
      <c r="BK65" s="7459"/>
      <c r="BL65" s="7459"/>
      <c r="BM65" s="7459"/>
      <c r="BN65" s="7459">
        <f t="shared" si="44"/>
        <v>39846201.863271043</v>
      </c>
      <c r="BO65" s="7459"/>
      <c r="BP65" s="7459"/>
      <c r="BQ65" s="7459"/>
      <c r="BR65" s="7459">
        <f t="shared" si="45"/>
        <v>42236973.975067303</v>
      </c>
      <c r="BS65" s="7459"/>
      <c r="BT65" s="7459"/>
      <c r="BU65" s="7459"/>
      <c r="BV65" s="7459">
        <f t="shared" si="46"/>
        <v>44771192.413571343</v>
      </c>
      <c r="BW65" s="7459"/>
      <c r="BX65" s="7459"/>
      <c r="BY65" s="7459"/>
      <c r="BZ65" s="7459">
        <f t="shared" si="47"/>
        <v>374291065.97309375</v>
      </c>
      <c r="CA65" s="7461"/>
      <c r="CB65" s="7461"/>
      <c r="CC65" s="7461"/>
      <c r="CD65" s="7461"/>
      <c r="CE65" s="7461"/>
      <c r="CF65" s="7461"/>
      <c r="CG65" s="7461"/>
      <c r="CH65" s="7461"/>
      <c r="CI65" s="7461"/>
      <c r="CJ65" s="7461"/>
      <c r="CK65" s="7461"/>
      <c r="CL65" s="7461"/>
      <c r="CM65" s="7461"/>
      <c r="CN65" s="7461"/>
      <c r="CO65" s="7461"/>
      <c r="CP65" s="7461"/>
      <c r="CQ65" s="7461"/>
      <c r="CR65" s="7461"/>
      <c r="CS65" s="7461"/>
      <c r="CT65" s="7461"/>
      <c r="CU65" s="7461"/>
      <c r="CV65" s="7461"/>
      <c r="CW65" s="7461"/>
      <c r="CX65" s="7461"/>
      <c r="CY65" s="7461"/>
      <c r="CZ65" s="7461"/>
      <c r="DA65" s="7461"/>
      <c r="DB65" s="7461"/>
      <c r="DC65" s="7461"/>
      <c r="DD65" s="7461"/>
      <c r="DE65" s="7461"/>
      <c r="DF65" s="7461"/>
      <c r="DG65" s="7461"/>
      <c r="DH65" s="7461"/>
      <c r="DI65" s="7461"/>
      <c r="DJ65" s="7461"/>
      <c r="DK65" s="7461"/>
      <c r="DL65" s="7461"/>
      <c r="DM65" s="7461"/>
      <c r="DN65" s="7461"/>
      <c r="DO65" s="7461"/>
      <c r="DP65" s="7461"/>
      <c r="DQ65" s="7461"/>
      <c r="DR65" s="7461"/>
      <c r="DS65" s="7461"/>
      <c r="DT65" s="7461"/>
      <c r="DU65" s="7523"/>
    </row>
    <row r="66" spans="1:125" s="7456" customFormat="1" ht="15.75" customHeight="1">
      <c r="A66" s="7454" t="s">
        <v>7247</v>
      </c>
      <c r="B66" s="17059"/>
      <c r="C66" s="17078"/>
      <c r="D66" s="17080"/>
      <c r="E66" s="17078"/>
      <c r="F66" s="17059" t="s">
        <v>7248</v>
      </c>
      <c r="G66" s="17061"/>
      <c r="H66" s="17059"/>
      <c r="I66" s="17061"/>
      <c r="J66" s="17095"/>
      <c r="K66" s="17097"/>
      <c r="L66" s="7522" t="s">
        <v>8430</v>
      </c>
      <c r="M66" s="7087" t="s">
        <v>7249</v>
      </c>
      <c r="N66" s="7089" t="s">
        <v>7250</v>
      </c>
      <c r="O66" s="7089" t="s">
        <v>7251</v>
      </c>
      <c r="P66" s="7500">
        <f t="shared" si="36"/>
        <v>1</v>
      </c>
      <c r="Q66" s="7089" t="s">
        <v>7252</v>
      </c>
      <c r="R66" s="7089" t="s">
        <v>7253</v>
      </c>
      <c r="S66" s="7087" t="s">
        <v>4305</v>
      </c>
      <c r="T66" s="7089" t="s">
        <v>311</v>
      </c>
      <c r="U66" s="7462"/>
      <c r="V66" s="7458">
        <v>0</v>
      </c>
      <c r="W66" s="7458">
        <v>1</v>
      </c>
      <c r="X66" s="7458">
        <v>1</v>
      </c>
      <c r="Y66" s="7458">
        <v>1</v>
      </c>
      <c r="Z66" s="7458">
        <v>1</v>
      </c>
      <c r="AA66" s="7458">
        <v>1</v>
      </c>
      <c r="AB66" s="7458">
        <v>1</v>
      </c>
      <c r="AC66" s="7458">
        <v>1</v>
      </c>
      <c r="AD66" s="7458">
        <v>1</v>
      </c>
      <c r="AE66" s="7458">
        <v>1</v>
      </c>
      <c r="AF66" s="7458">
        <v>1</v>
      </c>
      <c r="AG66" s="7458">
        <v>1</v>
      </c>
      <c r="AH66" s="7459">
        <v>350000</v>
      </c>
      <c r="AI66" s="7459"/>
      <c r="AJ66" s="7459"/>
      <c r="AK66" s="7459"/>
      <c r="AL66" s="7459">
        <f>+AH66+AH66*6%</f>
        <v>371000</v>
      </c>
      <c r="AM66" s="7459"/>
      <c r="AN66" s="7459"/>
      <c r="AO66" s="7459"/>
      <c r="AP66" s="7459">
        <f>+AL66+AL66*6%</f>
        <v>393260</v>
      </c>
      <c r="AQ66" s="7459"/>
      <c r="AR66" s="7459"/>
      <c r="AS66" s="7459"/>
      <c r="AT66" s="7459">
        <f>+AP66+AP66*6%</f>
        <v>416855.6</v>
      </c>
      <c r="AU66" s="7459"/>
      <c r="AV66" s="7459"/>
      <c r="AW66" s="7459"/>
      <c r="AX66" s="7459">
        <f>+AT66+AT66*6%</f>
        <v>441866.93599999999</v>
      </c>
      <c r="AY66" s="7459"/>
      <c r="AZ66" s="7459"/>
      <c r="BA66" s="7459"/>
      <c r="BB66" s="7459">
        <f>+AX66+AX66*6%</f>
        <v>468378.95215999999</v>
      </c>
      <c r="BC66" s="7459"/>
      <c r="BD66" s="7459"/>
      <c r="BE66" s="7459"/>
      <c r="BF66" s="7459">
        <f>+BB66+BB66*6%</f>
        <v>496481.68928960001</v>
      </c>
      <c r="BG66" s="7459"/>
      <c r="BH66" s="7459"/>
      <c r="BI66" s="7459"/>
      <c r="BJ66" s="7459">
        <f>+BF66+BF66*6%</f>
        <v>526270.59064697602</v>
      </c>
      <c r="BK66" s="7459"/>
      <c r="BL66" s="7459"/>
      <c r="BM66" s="7459"/>
      <c r="BN66" s="7459">
        <f>+BJ66+BJ66*6%</f>
        <v>557846.8260857946</v>
      </c>
      <c r="BO66" s="7459"/>
      <c r="BP66" s="7459"/>
      <c r="BQ66" s="7459"/>
      <c r="BR66" s="7459">
        <f>+BN66+BN66*6%</f>
        <v>591317.63565094233</v>
      </c>
      <c r="BS66" s="7459"/>
      <c r="BT66" s="7459"/>
      <c r="BU66" s="7459"/>
      <c r="BV66" s="7459">
        <f>+BR66+BR66*6%</f>
        <v>626796.69378999888</v>
      </c>
      <c r="BW66" s="7459"/>
      <c r="BX66" s="7459"/>
      <c r="BY66" s="7459"/>
      <c r="BZ66" s="7459">
        <f t="shared" ref="BZ66:BZ73" si="49">SUM(AH66:BY66)</f>
        <v>5240074.9236233123</v>
      </c>
      <c r="CA66" s="7461"/>
      <c r="CB66" s="7461"/>
      <c r="CC66" s="7461"/>
      <c r="CD66" s="7461"/>
      <c r="CE66" s="7461"/>
      <c r="CF66" s="7461"/>
      <c r="CG66" s="7461"/>
      <c r="CH66" s="7461"/>
      <c r="CI66" s="7461"/>
      <c r="CJ66" s="7461"/>
      <c r="CK66" s="7461"/>
      <c r="CL66" s="7461"/>
      <c r="CM66" s="7461"/>
      <c r="CN66" s="7461"/>
      <c r="CO66" s="7461"/>
      <c r="CP66" s="7461"/>
      <c r="CQ66" s="7461"/>
      <c r="CR66" s="7461"/>
      <c r="CS66" s="7461"/>
      <c r="CT66" s="7461"/>
      <c r="CU66" s="7461"/>
      <c r="CV66" s="7461"/>
      <c r="CW66" s="7461"/>
      <c r="CX66" s="7461"/>
      <c r="CY66" s="7461"/>
      <c r="CZ66" s="7461"/>
      <c r="DA66" s="7461"/>
      <c r="DB66" s="7461"/>
      <c r="DC66" s="7461"/>
      <c r="DD66" s="7461"/>
      <c r="DE66" s="7461"/>
      <c r="DF66" s="7461"/>
      <c r="DG66" s="7461"/>
      <c r="DH66" s="7461"/>
      <c r="DI66" s="7461"/>
      <c r="DJ66" s="7461"/>
      <c r="DK66" s="7461"/>
      <c r="DL66" s="7461"/>
      <c r="DM66" s="7461"/>
      <c r="DN66" s="7461"/>
      <c r="DO66" s="7461"/>
      <c r="DP66" s="7461"/>
      <c r="DQ66" s="7461"/>
      <c r="DR66" s="7461"/>
      <c r="DS66" s="7461"/>
      <c r="DT66" s="7461"/>
      <c r="DU66" s="7523"/>
    </row>
    <row r="67" spans="1:125" s="7456" customFormat="1" ht="15.75" customHeight="1" thickBot="1">
      <c r="A67" s="7454" t="s">
        <v>7254</v>
      </c>
      <c r="B67" s="17059"/>
      <c r="C67" s="17078"/>
      <c r="D67" s="17080"/>
      <c r="E67" s="17078"/>
      <c r="F67" s="17059"/>
      <c r="G67" s="17061"/>
      <c r="H67" s="17059"/>
      <c r="I67" s="17061"/>
      <c r="J67" s="17095"/>
      <c r="K67" s="17097"/>
      <c r="L67" s="7541" t="s">
        <v>8431</v>
      </c>
      <c r="M67" s="7118" t="s">
        <v>7255</v>
      </c>
      <c r="N67" s="7542" t="s">
        <v>7256</v>
      </c>
      <c r="O67" s="7542" t="s">
        <v>7251</v>
      </c>
      <c r="P67" s="7543">
        <f t="shared" si="36"/>
        <v>1</v>
      </c>
      <c r="Q67" s="7542" t="s">
        <v>7257</v>
      </c>
      <c r="R67" s="7542" t="s">
        <v>7258</v>
      </c>
      <c r="S67" s="7118" t="s">
        <v>4305</v>
      </c>
      <c r="T67" s="7542" t="s">
        <v>311</v>
      </c>
      <c r="U67" s="7542" t="s">
        <v>7259</v>
      </c>
      <c r="V67" s="7544">
        <v>0</v>
      </c>
      <c r="W67" s="7544">
        <v>1</v>
      </c>
      <c r="X67" s="7544">
        <v>1</v>
      </c>
      <c r="Y67" s="7544">
        <v>1</v>
      </c>
      <c r="Z67" s="7544">
        <v>1</v>
      </c>
      <c r="AA67" s="7544">
        <v>1</v>
      </c>
      <c r="AB67" s="7544">
        <v>1</v>
      </c>
      <c r="AC67" s="7544">
        <v>1</v>
      </c>
      <c r="AD67" s="7544">
        <v>1</v>
      </c>
      <c r="AE67" s="7544">
        <v>1</v>
      </c>
      <c r="AF67" s="7544">
        <v>1</v>
      </c>
      <c r="AG67" s="7544">
        <v>1</v>
      </c>
      <c r="AH67" s="7545">
        <v>8750000</v>
      </c>
      <c r="AI67" s="7545"/>
      <c r="AJ67" s="7545"/>
      <c r="AK67" s="7545"/>
      <c r="AL67" s="7545">
        <f>+AH67+AH67*6%</f>
        <v>9275000</v>
      </c>
      <c r="AM67" s="7545"/>
      <c r="AN67" s="7545"/>
      <c r="AO67" s="7545"/>
      <c r="AP67" s="7545">
        <f>+AL67+AL67*6%</f>
        <v>9831500</v>
      </c>
      <c r="AQ67" s="7545"/>
      <c r="AR67" s="7545"/>
      <c r="AS67" s="7545"/>
      <c r="AT67" s="7545">
        <f>+AP67+AP67*6%</f>
        <v>10421390</v>
      </c>
      <c r="AU67" s="7545"/>
      <c r="AV67" s="7545"/>
      <c r="AW67" s="7545"/>
      <c r="AX67" s="7545">
        <f>+AT67+AT67*6%</f>
        <v>11046673.4</v>
      </c>
      <c r="AY67" s="7545"/>
      <c r="AZ67" s="7545"/>
      <c r="BA67" s="7545"/>
      <c r="BB67" s="7545">
        <f>+AX67+AX67*6%</f>
        <v>11709473.804</v>
      </c>
      <c r="BC67" s="7545"/>
      <c r="BD67" s="7545"/>
      <c r="BE67" s="7545"/>
      <c r="BF67" s="7545">
        <f>+BB67+BB67*6%</f>
        <v>12412042.232239999</v>
      </c>
      <c r="BG67" s="7545"/>
      <c r="BH67" s="7545"/>
      <c r="BI67" s="7545"/>
      <c r="BJ67" s="7545">
        <f>+BF67+BF67*6%</f>
        <v>13156764.766174398</v>
      </c>
      <c r="BK67" s="7545"/>
      <c r="BL67" s="7545"/>
      <c r="BM67" s="7545"/>
      <c r="BN67" s="7545">
        <f>+BJ67+BJ67*6%</f>
        <v>13946170.652144862</v>
      </c>
      <c r="BO67" s="7545"/>
      <c r="BP67" s="7545"/>
      <c r="BQ67" s="7545"/>
      <c r="BR67" s="7545">
        <f>+BN67+BN67*6%</f>
        <v>14782940.891273554</v>
      </c>
      <c r="BS67" s="7545"/>
      <c r="BT67" s="7545"/>
      <c r="BU67" s="7545"/>
      <c r="BV67" s="7545">
        <f>+BR67+BR67*6%</f>
        <v>15669917.344749968</v>
      </c>
      <c r="BW67" s="7545"/>
      <c r="BX67" s="7545"/>
      <c r="BY67" s="7545"/>
      <c r="BZ67" s="7545">
        <f t="shared" si="49"/>
        <v>131001873.09058279</v>
      </c>
      <c r="CA67" s="7546"/>
      <c r="CB67" s="7546"/>
      <c r="CC67" s="7546"/>
      <c r="CD67" s="7546"/>
      <c r="CE67" s="7546"/>
      <c r="CF67" s="7546"/>
      <c r="CG67" s="7546"/>
      <c r="CH67" s="7546"/>
      <c r="CI67" s="7546"/>
      <c r="CJ67" s="7546"/>
      <c r="CK67" s="7546"/>
      <c r="CL67" s="7546"/>
      <c r="CM67" s="7546"/>
      <c r="CN67" s="7546"/>
      <c r="CO67" s="7546"/>
      <c r="CP67" s="7546"/>
      <c r="CQ67" s="7546"/>
      <c r="CR67" s="7546"/>
      <c r="CS67" s="7546"/>
      <c r="CT67" s="7546"/>
      <c r="CU67" s="7546"/>
      <c r="CV67" s="7546"/>
      <c r="CW67" s="7546"/>
      <c r="CX67" s="7546"/>
      <c r="CY67" s="7546"/>
      <c r="CZ67" s="7546"/>
      <c r="DA67" s="7546"/>
      <c r="DB67" s="7546"/>
      <c r="DC67" s="7546"/>
      <c r="DD67" s="7546"/>
      <c r="DE67" s="7546"/>
      <c r="DF67" s="7546"/>
      <c r="DG67" s="7546"/>
      <c r="DH67" s="7546"/>
      <c r="DI67" s="7546"/>
      <c r="DJ67" s="7546"/>
      <c r="DK67" s="7546"/>
      <c r="DL67" s="7546"/>
      <c r="DM67" s="7546"/>
      <c r="DN67" s="7546"/>
      <c r="DO67" s="7546"/>
      <c r="DP67" s="7546"/>
      <c r="DQ67" s="7546"/>
      <c r="DR67" s="7546"/>
      <c r="DS67" s="7546"/>
      <c r="DT67" s="7546"/>
      <c r="DU67" s="7547"/>
    </row>
    <row r="68" spans="1:125" s="7470" customFormat="1" ht="15.75" customHeight="1">
      <c r="A68" s="7468" t="s">
        <v>7260</v>
      </c>
      <c r="B68" s="17092" t="s">
        <v>7261</v>
      </c>
      <c r="C68" s="17078"/>
      <c r="D68" s="17080"/>
      <c r="E68" s="17078"/>
      <c r="F68" s="17092" t="s">
        <v>7262</v>
      </c>
      <c r="G68" s="17093" t="s">
        <v>7263</v>
      </c>
      <c r="H68" s="17092" t="s">
        <v>7264</v>
      </c>
      <c r="I68" s="17092" t="s">
        <v>7265</v>
      </c>
      <c r="J68" s="17102">
        <v>0</v>
      </c>
      <c r="K68" s="17104" t="s">
        <v>7266</v>
      </c>
      <c r="L68" s="17115" t="s">
        <v>8432</v>
      </c>
      <c r="M68" s="17100" t="s">
        <v>7267</v>
      </c>
      <c r="N68" s="17100" t="s">
        <v>7268</v>
      </c>
      <c r="O68" s="17100" t="s">
        <v>7269</v>
      </c>
      <c r="P68" s="17100">
        <f t="shared" si="36"/>
        <v>800</v>
      </c>
      <c r="Q68" s="17100" t="s">
        <v>7270</v>
      </c>
      <c r="R68" s="17100" t="s">
        <v>7271</v>
      </c>
      <c r="S68" s="7535" t="s">
        <v>10063</v>
      </c>
      <c r="T68" s="17100" t="s">
        <v>7272</v>
      </c>
      <c r="U68" s="7536"/>
      <c r="V68" s="7537">
        <v>40</v>
      </c>
      <c r="W68" s="7536">
        <v>80</v>
      </c>
      <c r="X68" s="7536">
        <f t="shared" ref="X68:AF68" si="50">+W68+80</f>
        <v>160</v>
      </c>
      <c r="Y68" s="7536">
        <f t="shared" si="50"/>
        <v>240</v>
      </c>
      <c r="Z68" s="7536">
        <f t="shared" si="50"/>
        <v>320</v>
      </c>
      <c r="AA68" s="7536">
        <f t="shared" si="50"/>
        <v>400</v>
      </c>
      <c r="AB68" s="7536">
        <f t="shared" si="50"/>
        <v>480</v>
      </c>
      <c r="AC68" s="7536">
        <f t="shared" si="50"/>
        <v>560</v>
      </c>
      <c r="AD68" s="7536">
        <f t="shared" si="50"/>
        <v>640</v>
      </c>
      <c r="AE68" s="7536">
        <f t="shared" si="50"/>
        <v>720</v>
      </c>
      <c r="AF68" s="7536">
        <f t="shared" si="50"/>
        <v>800</v>
      </c>
      <c r="AG68" s="7536">
        <f>+AF68</f>
        <v>800</v>
      </c>
      <c r="AH68" s="7538">
        <f>12000000+4500000</f>
        <v>16500000</v>
      </c>
      <c r="AI68" s="7538"/>
      <c r="AJ68" s="7538"/>
      <c r="AK68" s="7538"/>
      <c r="AL68" s="7538">
        <f t="shared" ref="AL68:AL77" si="51">+AH68+AH68*6%</f>
        <v>17490000</v>
      </c>
      <c r="AM68" s="7538"/>
      <c r="AN68" s="7538"/>
      <c r="AO68" s="7538"/>
      <c r="AP68" s="7538">
        <f t="shared" ref="AP68:AP77" si="52">+AL68+AL68*6%</f>
        <v>18539400</v>
      </c>
      <c r="AQ68" s="7538"/>
      <c r="AR68" s="7538"/>
      <c r="AS68" s="7538"/>
      <c r="AT68" s="7538">
        <f t="shared" ref="AT68:AT77" si="53">+AP68+AP68*6%</f>
        <v>19651764</v>
      </c>
      <c r="AU68" s="7538"/>
      <c r="AV68" s="7538"/>
      <c r="AW68" s="7538"/>
      <c r="AX68" s="7538">
        <f t="shared" ref="AX68:AX77" si="54">+AT68+AT68*6%</f>
        <v>20830869.84</v>
      </c>
      <c r="AY68" s="7538"/>
      <c r="AZ68" s="7538"/>
      <c r="BA68" s="7538"/>
      <c r="BB68" s="7538">
        <f t="shared" ref="BB68:BB77" si="55">+AX68+AX68*6%</f>
        <v>22080722.030400001</v>
      </c>
      <c r="BC68" s="7538"/>
      <c r="BD68" s="7538"/>
      <c r="BE68" s="7538"/>
      <c r="BF68" s="7538">
        <f t="shared" ref="BF68:BF77" si="56">+BB68+BB68*6%</f>
        <v>23405565.352224</v>
      </c>
      <c r="BG68" s="7538"/>
      <c r="BH68" s="7538"/>
      <c r="BI68" s="7538"/>
      <c r="BJ68" s="7538">
        <f t="shared" ref="BJ68:BJ77" si="57">+BF68+BF68*6%</f>
        <v>24809899.27335744</v>
      </c>
      <c r="BK68" s="7538"/>
      <c r="BL68" s="7538"/>
      <c r="BM68" s="7538"/>
      <c r="BN68" s="7538">
        <f t="shared" ref="BN68:BN77" si="58">+BJ68+BJ68*6%</f>
        <v>26298493.229758885</v>
      </c>
      <c r="BO68" s="7538"/>
      <c r="BP68" s="7538"/>
      <c r="BQ68" s="7538"/>
      <c r="BR68" s="7538">
        <f t="shared" ref="BR68:BR77" si="59">+BN68+BN68*6%</f>
        <v>27876402.823544417</v>
      </c>
      <c r="BS68" s="7538"/>
      <c r="BT68" s="7538"/>
      <c r="BU68" s="7538"/>
      <c r="BV68" s="7538">
        <f t="shared" ref="BV68:BV77" si="60">+BR68+BR68*6%</f>
        <v>29548986.992957082</v>
      </c>
      <c r="BW68" s="7538"/>
      <c r="BX68" s="7538"/>
      <c r="BY68" s="7538"/>
      <c r="BZ68" s="7538">
        <f t="shared" si="49"/>
        <v>247032103.54224184</v>
      </c>
      <c r="CA68" s="7539"/>
      <c r="CB68" s="7539"/>
      <c r="CC68" s="7539"/>
      <c r="CD68" s="7539"/>
      <c r="CE68" s="7539"/>
      <c r="CF68" s="7539"/>
      <c r="CG68" s="7539"/>
      <c r="CH68" s="7539"/>
      <c r="CI68" s="7539"/>
      <c r="CJ68" s="7539"/>
      <c r="CK68" s="7539"/>
      <c r="CL68" s="7539"/>
      <c r="CM68" s="7539"/>
      <c r="CN68" s="7539"/>
      <c r="CO68" s="7539"/>
      <c r="CP68" s="7539"/>
      <c r="CQ68" s="7539"/>
      <c r="CR68" s="7539"/>
      <c r="CS68" s="7539"/>
      <c r="CT68" s="7539"/>
      <c r="CU68" s="7539"/>
      <c r="CV68" s="7539"/>
      <c r="CW68" s="7539"/>
      <c r="CX68" s="7539"/>
      <c r="CY68" s="7539"/>
      <c r="CZ68" s="7539"/>
      <c r="DA68" s="7539"/>
      <c r="DB68" s="7539"/>
      <c r="DC68" s="7539"/>
      <c r="DD68" s="7539"/>
      <c r="DE68" s="7539"/>
      <c r="DF68" s="7539"/>
      <c r="DG68" s="7539"/>
      <c r="DH68" s="7539"/>
      <c r="DI68" s="7539"/>
      <c r="DJ68" s="7539"/>
      <c r="DK68" s="7539"/>
      <c r="DL68" s="7539"/>
      <c r="DM68" s="7539"/>
      <c r="DN68" s="7539"/>
      <c r="DO68" s="7539"/>
      <c r="DP68" s="7539"/>
      <c r="DQ68" s="7539"/>
      <c r="DR68" s="7539"/>
      <c r="DS68" s="7539"/>
      <c r="DT68" s="7539"/>
      <c r="DU68" s="7540"/>
    </row>
    <row r="69" spans="1:125" s="7470" customFormat="1" ht="15.75" customHeight="1">
      <c r="A69" s="7471"/>
      <c r="B69" s="17090"/>
      <c r="C69" s="17078"/>
      <c r="D69" s="17080"/>
      <c r="E69" s="17078"/>
      <c r="F69" s="17090"/>
      <c r="G69" s="17094"/>
      <c r="H69" s="17090"/>
      <c r="I69" s="17090"/>
      <c r="J69" s="17103"/>
      <c r="K69" s="17104"/>
      <c r="L69" s="17099"/>
      <c r="M69" s="17090"/>
      <c r="N69" s="17090"/>
      <c r="O69" s="17090"/>
      <c r="P69" s="17090"/>
      <c r="Q69" s="17090"/>
      <c r="R69" s="17090"/>
      <c r="S69" s="7469" t="s">
        <v>10066</v>
      </c>
      <c r="T69" s="17090"/>
      <c r="U69" s="7472"/>
      <c r="V69" s="7473"/>
      <c r="W69" s="7472"/>
      <c r="X69" s="7472"/>
      <c r="Y69" s="7472"/>
      <c r="Z69" s="7472"/>
      <c r="AA69" s="7472"/>
      <c r="AB69" s="7472"/>
      <c r="AC69" s="7472"/>
      <c r="AD69" s="7472"/>
      <c r="AE69" s="7472"/>
      <c r="AF69" s="7472"/>
      <c r="AG69" s="7472"/>
      <c r="AH69" s="7474"/>
      <c r="AI69" s="7474"/>
      <c r="AJ69" s="7474"/>
      <c r="AK69" s="7474"/>
      <c r="AL69" s="7474"/>
      <c r="AM69" s="7474"/>
      <c r="AN69" s="7474"/>
      <c r="AO69" s="7474"/>
      <c r="AP69" s="7474"/>
      <c r="AQ69" s="7474"/>
      <c r="AR69" s="7474"/>
      <c r="AS69" s="7474"/>
      <c r="AT69" s="7474"/>
      <c r="AU69" s="7474"/>
      <c r="AV69" s="7474"/>
      <c r="AW69" s="7474"/>
      <c r="AX69" s="7474"/>
      <c r="AY69" s="7474"/>
      <c r="AZ69" s="7474"/>
      <c r="BA69" s="7474"/>
      <c r="BB69" s="7474"/>
      <c r="BC69" s="7474"/>
      <c r="BD69" s="7474"/>
      <c r="BE69" s="7474"/>
      <c r="BF69" s="7474"/>
      <c r="BG69" s="7474"/>
      <c r="BH69" s="7474"/>
      <c r="BI69" s="7474"/>
      <c r="BJ69" s="7474"/>
      <c r="BK69" s="7474"/>
      <c r="BL69" s="7474"/>
      <c r="BM69" s="7474"/>
      <c r="BN69" s="7474"/>
      <c r="BO69" s="7474"/>
      <c r="BP69" s="7474"/>
      <c r="BQ69" s="7474"/>
      <c r="BR69" s="7474"/>
      <c r="BS69" s="7474"/>
      <c r="BT69" s="7474"/>
      <c r="BU69" s="7474"/>
      <c r="BV69" s="7474"/>
      <c r="BW69" s="7474"/>
      <c r="BX69" s="7474"/>
      <c r="BY69" s="7474"/>
      <c r="BZ69" s="7474"/>
      <c r="CA69" s="7475"/>
      <c r="CB69" s="7475"/>
      <c r="CC69" s="7475"/>
      <c r="CD69" s="7475"/>
      <c r="CE69" s="7475"/>
      <c r="CF69" s="7475"/>
      <c r="CG69" s="7475"/>
      <c r="CH69" s="7475"/>
      <c r="CI69" s="7475"/>
      <c r="CJ69" s="7475"/>
      <c r="CK69" s="7475"/>
      <c r="CL69" s="7475"/>
      <c r="CM69" s="7475"/>
      <c r="CN69" s="7475"/>
      <c r="CO69" s="7475"/>
      <c r="CP69" s="7475"/>
      <c r="CQ69" s="7475"/>
      <c r="CR69" s="7475"/>
      <c r="CS69" s="7475"/>
      <c r="CT69" s="7475"/>
      <c r="CU69" s="7475"/>
      <c r="CV69" s="7475"/>
      <c r="CW69" s="7475"/>
      <c r="CX69" s="7475"/>
      <c r="CY69" s="7475"/>
      <c r="CZ69" s="7475"/>
      <c r="DA69" s="7475"/>
      <c r="DB69" s="7475"/>
      <c r="DC69" s="7475"/>
      <c r="DD69" s="7475"/>
      <c r="DE69" s="7475"/>
      <c r="DF69" s="7475"/>
      <c r="DG69" s="7475"/>
      <c r="DH69" s="7475"/>
      <c r="DI69" s="7475"/>
      <c r="DJ69" s="7475"/>
      <c r="DK69" s="7475"/>
      <c r="DL69" s="7475"/>
      <c r="DM69" s="7475"/>
      <c r="DN69" s="7475"/>
      <c r="DO69" s="7475"/>
      <c r="DP69" s="7475"/>
      <c r="DQ69" s="7475"/>
      <c r="DR69" s="7475"/>
      <c r="DS69" s="7475"/>
      <c r="DT69" s="7475"/>
      <c r="DU69" s="7524"/>
    </row>
    <row r="70" spans="1:125" s="7470" customFormat="1" ht="15.75" customHeight="1">
      <c r="A70" s="17088" t="s">
        <v>7273</v>
      </c>
      <c r="B70" s="17092"/>
      <c r="C70" s="17078"/>
      <c r="D70" s="17080"/>
      <c r="E70" s="17078"/>
      <c r="F70" s="17092"/>
      <c r="G70" s="17092"/>
      <c r="H70" s="17092"/>
      <c r="I70" s="17092"/>
      <c r="J70" s="17102"/>
      <c r="K70" s="17104"/>
      <c r="L70" s="17099" t="s">
        <v>8433</v>
      </c>
      <c r="M70" s="17090" t="s">
        <v>7274</v>
      </c>
      <c r="N70" s="17090" t="s">
        <v>7275</v>
      </c>
      <c r="O70" s="17090" t="s">
        <v>7276</v>
      </c>
      <c r="P70" s="17090">
        <f t="shared" si="36"/>
        <v>10</v>
      </c>
      <c r="Q70" s="17090" t="s">
        <v>7277</v>
      </c>
      <c r="R70" s="17090" t="s">
        <v>7278</v>
      </c>
      <c r="S70" s="7471" t="s">
        <v>10063</v>
      </c>
      <c r="T70" s="17090" t="s">
        <v>7272</v>
      </c>
      <c r="U70" s="7472"/>
      <c r="V70" s="7473">
        <v>1</v>
      </c>
      <c r="W70" s="7472">
        <v>1</v>
      </c>
      <c r="X70" s="7472">
        <f t="shared" ref="X70:AF70" si="61">+W70+1</f>
        <v>2</v>
      </c>
      <c r="Y70" s="7472">
        <f t="shared" si="61"/>
        <v>3</v>
      </c>
      <c r="Z70" s="7472">
        <f t="shared" si="61"/>
        <v>4</v>
      </c>
      <c r="AA70" s="7472">
        <f t="shared" si="61"/>
        <v>5</v>
      </c>
      <c r="AB70" s="7472">
        <f t="shared" si="61"/>
        <v>6</v>
      </c>
      <c r="AC70" s="7472">
        <f t="shared" si="61"/>
        <v>7</v>
      </c>
      <c r="AD70" s="7472">
        <f t="shared" si="61"/>
        <v>8</v>
      </c>
      <c r="AE70" s="7472">
        <f t="shared" si="61"/>
        <v>9</v>
      </c>
      <c r="AF70" s="7472">
        <f t="shared" si="61"/>
        <v>10</v>
      </c>
      <c r="AG70" s="7472">
        <f>+AF70</f>
        <v>10</v>
      </c>
      <c r="AH70" s="7476">
        <f>(24309834.625/6)+4500000</f>
        <v>8551639.104166666</v>
      </c>
      <c r="AI70" s="7476">
        <f>802632/3</f>
        <v>267544</v>
      </c>
      <c r="AJ70" s="7476"/>
      <c r="AK70" s="7476"/>
      <c r="AL70" s="7476">
        <f t="shared" si="51"/>
        <v>9064737.4504166655</v>
      </c>
      <c r="AM70" s="7476">
        <f>+AI70+AI70*6%</f>
        <v>283596.64</v>
      </c>
      <c r="AN70" s="7476"/>
      <c r="AO70" s="7476"/>
      <c r="AP70" s="7476">
        <f t="shared" si="52"/>
        <v>9608621.6974416655</v>
      </c>
      <c r="AQ70" s="7476">
        <f>+AM70+AM70*6%</f>
        <v>300612.43839999998</v>
      </c>
      <c r="AR70" s="7476"/>
      <c r="AS70" s="7476"/>
      <c r="AT70" s="7477">
        <f t="shared" si="53"/>
        <v>10185138.999288166</v>
      </c>
      <c r="AU70" s="7477">
        <f>+AQ70+AQ70*6%</f>
        <v>318649.18470399996</v>
      </c>
      <c r="AV70" s="7477"/>
      <c r="AW70" s="7477"/>
      <c r="AX70" s="7477">
        <f t="shared" si="54"/>
        <v>10796247.339245455</v>
      </c>
      <c r="AY70" s="7477">
        <f>+AU70+AU70*6%</f>
        <v>337768.13578623993</v>
      </c>
      <c r="AZ70" s="7477"/>
      <c r="BA70" s="7477"/>
      <c r="BB70" s="7477">
        <f t="shared" si="55"/>
        <v>11444022.179600183</v>
      </c>
      <c r="BC70" s="7477">
        <f>+AY70+AY70*6%</f>
        <v>358034.22393341432</v>
      </c>
      <c r="BD70" s="7477"/>
      <c r="BE70" s="7477"/>
      <c r="BF70" s="7477">
        <f t="shared" si="56"/>
        <v>12130663.510376194</v>
      </c>
      <c r="BG70" s="7477">
        <f>+BC70+BC70*6%</f>
        <v>379516.27736941917</v>
      </c>
      <c r="BH70" s="7477"/>
      <c r="BI70" s="7477"/>
      <c r="BJ70" s="7477">
        <f t="shared" si="57"/>
        <v>12858503.320998766</v>
      </c>
      <c r="BK70" s="7477">
        <f>+BG70+BG70*6%</f>
        <v>402287.25401158433</v>
      </c>
      <c r="BL70" s="7477"/>
      <c r="BM70" s="7477"/>
      <c r="BN70" s="7477">
        <f t="shared" si="58"/>
        <v>13630013.520258691</v>
      </c>
      <c r="BO70" s="7477">
        <f>+BK70+BK70*6%</f>
        <v>426424.4892522794</v>
      </c>
      <c r="BP70" s="7477"/>
      <c r="BQ70" s="7477"/>
      <c r="BR70" s="7477">
        <f t="shared" si="59"/>
        <v>14447814.331474213</v>
      </c>
      <c r="BS70" s="7477">
        <f>+BO70+BO70*6%</f>
        <v>452009.95860741613</v>
      </c>
      <c r="BT70" s="7477"/>
      <c r="BU70" s="7477"/>
      <c r="BV70" s="7476">
        <f t="shared" si="60"/>
        <v>15314683.191362666</v>
      </c>
      <c r="BW70" s="7476">
        <f>+BS70+BS70*6%</f>
        <v>479130.55612386111</v>
      </c>
      <c r="BX70" s="7476"/>
      <c r="BY70" s="7476"/>
      <c r="BZ70" s="7476">
        <f t="shared" si="49"/>
        <v>132037657.80281757</v>
      </c>
      <c r="CA70" s="7475"/>
      <c r="CB70" s="7475"/>
      <c r="CC70" s="7475"/>
      <c r="CD70" s="7475"/>
      <c r="CE70" s="7475"/>
      <c r="CF70" s="7475"/>
      <c r="CG70" s="7475"/>
      <c r="CH70" s="7475"/>
      <c r="CI70" s="7475"/>
      <c r="CJ70" s="7475"/>
      <c r="CK70" s="7475"/>
      <c r="CL70" s="7475"/>
      <c r="CM70" s="7475"/>
      <c r="CN70" s="7475"/>
      <c r="CO70" s="7475"/>
      <c r="CP70" s="7475"/>
      <c r="CQ70" s="7475"/>
      <c r="CR70" s="7475"/>
      <c r="CS70" s="7475"/>
      <c r="CT70" s="7475"/>
      <c r="CU70" s="7475"/>
      <c r="CV70" s="7475"/>
      <c r="CW70" s="7475"/>
      <c r="CX70" s="7475"/>
      <c r="CY70" s="7475"/>
      <c r="CZ70" s="7475"/>
      <c r="DA70" s="7475"/>
      <c r="DB70" s="7475"/>
      <c r="DC70" s="7475"/>
      <c r="DD70" s="7475"/>
      <c r="DE70" s="7475"/>
      <c r="DF70" s="7475"/>
      <c r="DG70" s="7475"/>
      <c r="DH70" s="7475"/>
      <c r="DI70" s="7475"/>
      <c r="DJ70" s="7475"/>
      <c r="DK70" s="7475"/>
      <c r="DL70" s="7475"/>
      <c r="DM70" s="7475"/>
      <c r="DN70" s="7475"/>
      <c r="DO70" s="7475"/>
      <c r="DP70" s="7475"/>
      <c r="DQ70" s="7475"/>
      <c r="DR70" s="7475"/>
      <c r="DS70" s="7475"/>
      <c r="DT70" s="7475"/>
      <c r="DU70" s="7524"/>
    </row>
    <row r="71" spans="1:125" s="7470" customFormat="1" ht="15.75" customHeight="1">
      <c r="A71" s="17089"/>
      <c r="B71" s="17090"/>
      <c r="C71" s="17078"/>
      <c r="D71" s="17080"/>
      <c r="E71" s="17078"/>
      <c r="F71" s="17090"/>
      <c r="G71" s="17090"/>
      <c r="H71" s="17090"/>
      <c r="I71" s="17090"/>
      <c r="J71" s="17103"/>
      <c r="K71" s="17104"/>
      <c r="L71" s="17099"/>
      <c r="M71" s="17090"/>
      <c r="N71" s="17090"/>
      <c r="O71" s="17090"/>
      <c r="P71" s="17090"/>
      <c r="Q71" s="17090"/>
      <c r="R71" s="17090"/>
      <c r="S71" s="7471" t="s">
        <v>10066</v>
      </c>
      <c r="T71" s="17090"/>
      <c r="U71" s="7472"/>
      <c r="V71" s="7473"/>
      <c r="W71" s="7472"/>
      <c r="X71" s="7472"/>
      <c r="Y71" s="7472"/>
      <c r="Z71" s="7472"/>
      <c r="AA71" s="7472"/>
      <c r="AB71" s="7472"/>
      <c r="AC71" s="7472"/>
      <c r="AD71" s="7472"/>
      <c r="AE71" s="7472"/>
      <c r="AF71" s="7472"/>
      <c r="AG71" s="7472"/>
      <c r="AH71" s="7476"/>
      <c r="AI71" s="7476"/>
      <c r="AJ71" s="7476"/>
      <c r="AK71" s="7476"/>
      <c r="AL71" s="7476"/>
      <c r="AM71" s="7476"/>
      <c r="AN71" s="7476"/>
      <c r="AO71" s="7476"/>
      <c r="AP71" s="7476"/>
      <c r="AQ71" s="7476"/>
      <c r="AR71" s="7476"/>
      <c r="AS71" s="7476"/>
      <c r="AT71" s="7477"/>
      <c r="AU71" s="7477"/>
      <c r="AV71" s="7477"/>
      <c r="AW71" s="7477"/>
      <c r="AX71" s="7477"/>
      <c r="AY71" s="7477"/>
      <c r="AZ71" s="7477"/>
      <c r="BA71" s="7477"/>
      <c r="BB71" s="7477"/>
      <c r="BC71" s="7477"/>
      <c r="BD71" s="7477"/>
      <c r="BE71" s="7477"/>
      <c r="BF71" s="7477"/>
      <c r="BG71" s="7477"/>
      <c r="BH71" s="7477"/>
      <c r="BI71" s="7477"/>
      <c r="BJ71" s="7477"/>
      <c r="BK71" s="7477"/>
      <c r="BL71" s="7477"/>
      <c r="BM71" s="7477"/>
      <c r="BN71" s="7477"/>
      <c r="BO71" s="7477"/>
      <c r="BP71" s="7477"/>
      <c r="BQ71" s="7477"/>
      <c r="BR71" s="7477"/>
      <c r="BS71" s="7477"/>
      <c r="BT71" s="7477"/>
      <c r="BU71" s="7477"/>
      <c r="BV71" s="7476"/>
      <c r="BW71" s="7476"/>
      <c r="BX71" s="7476"/>
      <c r="BY71" s="7476"/>
      <c r="BZ71" s="7476"/>
      <c r="CA71" s="7475"/>
      <c r="CB71" s="7475"/>
      <c r="CC71" s="7475"/>
      <c r="CD71" s="7475"/>
      <c r="CE71" s="7475"/>
      <c r="CF71" s="7475"/>
      <c r="CG71" s="7475"/>
      <c r="CH71" s="7475"/>
      <c r="CI71" s="7475"/>
      <c r="CJ71" s="7475"/>
      <c r="CK71" s="7475"/>
      <c r="CL71" s="7475"/>
      <c r="CM71" s="7475"/>
      <c r="CN71" s="7475"/>
      <c r="CO71" s="7475"/>
      <c r="CP71" s="7475"/>
      <c r="CQ71" s="7475"/>
      <c r="CR71" s="7475"/>
      <c r="CS71" s="7475"/>
      <c r="CT71" s="7475"/>
      <c r="CU71" s="7475"/>
      <c r="CV71" s="7475"/>
      <c r="CW71" s="7475"/>
      <c r="CX71" s="7475"/>
      <c r="CY71" s="7475"/>
      <c r="CZ71" s="7475"/>
      <c r="DA71" s="7475"/>
      <c r="DB71" s="7475"/>
      <c r="DC71" s="7475"/>
      <c r="DD71" s="7475"/>
      <c r="DE71" s="7475"/>
      <c r="DF71" s="7475"/>
      <c r="DG71" s="7475"/>
      <c r="DH71" s="7475"/>
      <c r="DI71" s="7475"/>
      <c r="DJ71" s="7475"/>
      <c r="DK71" s="7475"/>
      <c r="DL71" s="7475"/>
      <c r="DM71" s="7475"/>
      <c r="DN71" s="7475"/>
      <c r="DO71" s="7475"/>
      <c r="DP71" s="7475"/>
      <c r="DQ71" s="7475"/>
      <c r="DR71" s="7475"/>
      <c r="DS71" s="7475"/>
      <c r="DT71" s="7475"/>
      <c r="DU71" s="7524"/>
    </row>
    <row r="72" spans="1:125" s="7470" customFormat="1" ht="15.75" customHeight="1">
      <c r="A72" s="17088"/>
      <c r="B72" s="17092"/>
      <c r="C72" s="17078"/>
      <c r="D72" s="17080"/>
      <c r="E72" s="17078"/>
      <c r="F72" s="17092"/>
      <c r="G72" s="17092"/>
      <c r="H72" s="17092"/>
      <c r="I72" s="17092"/>
      <c r="J72" s="17102"/>
      <c r="K72" s="17104"/>
      <c r="L72" s="7525" t="s">
        <v>8434</v>
      </c>
      <c r="M72" s="7471" t="s">
        <v>7279</v>
      </c>
      <c r="N72" s="7471" t="s">
        <v>7280</v>
      </c>
      <c r="O72" s="7504" t="s">
        <v>7281</v>
      </c>
      <c r="P72" s="7505">
        <f t="shared" si="36"/>
        <v>1</v>
      </c>
      <c r="Q72" s="7504" t="s">
        <v>7282</v>
      </c>
      <c r="R72" s="7504" t="s">
        <v>7283</v>
      </c>
      <c r="S72" s="7471" t="s">
        <v>10063</v>
      </c>
      <c r="T72" s="7504" t="s">
        <v>144</v>
      </c>
      <c r="U72" s="7472"/>
      <c r="V72" s="7472"/>
      <c r="W72" s="7506">
        <v>1</v>
      </c>
      <c r="X72" s="7506">
        <v>1</v>
      </c>
      <c r="Y72" s="7506">
        <v>1</v>
      </c>
      <c r="Z72" s="7506">
        <v>1</v>
      </c>
      <c r="AA72" s="7506">
        <v>1</v>
      </c>
      <c r="AB72" s="7506">
        <v>1</v>
      </c>
      <c r="AC72" s="7506">
        <v>1</v>
      </c>
      <c r="AD72" s="7506">
        <v>1</v>
      </c>
      <c r="AE72" s="7506">
        <v>1</v>
      </c>
      <c r="AF72" s="7506">
        <v>1</v>
      </c>
      <c r="AG72" s="7506">
        <v>1</v>
      </c>
      <c r="AH72" s="7476">
        <f>24309834.625/6</f>
        <v>4051639.1041666665</v>
      </c>
      <c r="AI72" s="7476">
        <f>802632/3</f>
        <v>267544</v>
      </c>
      <c r="AJ72" s="7476"/>
      <c r="AK72" s="7476"/>
      <c r="AL72" s="7476">
        <f t="shared" si="51"/>
        <v>4294737.4504166665</v>
      </c>
      <c r="AM72" s="7476">
        <f>+AI72+AI72*6%</f>
        <v>283596.64</v>
      </c>
      <c r="AN72" s="7476"/>
      <c r="AO72" s="7476"/>
      <c r="AP72" s="7476">
        <f t="shared" si="52"/>
        <v>4552421.6974416664</v>
      </c>
      <c r="AQ72" s="7476">
        <f>+AM72+AM72*6%</f>
        <v>300612.43839999998</v>
      </c>
      <c r="AR72" s="7476"/>
      <c r="AS72" s="7476"/>
      <c r="AT72" s="7477">
        <f t="shared" si="53"/>
        <v>4825566.9992881659</v>
      </c>
      <c r="AU72" s="7477">
        <f>+AQ72+AQ72*6%</f>
        <v>318649.18470399996</v>
      </c>
      <c r="AV72" s="7477"/>
      <c r="AW72" s="7477"/>
      <c r="AX72" s="7477">
        <f t="shared" si="54"/>
        <v>5115101.019245456</v>
      </c>
      <c r="AY72" s="7477">
        <f>+AU72+AU72*6%</f>
        <v>337768.13578623993</v>
      </c>
      <c r="AZ72" s="7477"/>
      <c r="BA72" s="7477"/>
      <c r="BB72" s="7477">
        <f t="shared" si="55"/>
        <v>5422007.0804001838</v>
      </c>
      <c r="BC72" s="7477">
        <f>+AY72+AY72*6%</f>
        <v>358034.22393341432</v>
      </c>
      <c r="BD72" s="7477"/>
      <c r="BE72" s="7477"/>
      <c r="BF72" s="7477">
        <f t="shared" si="56"/>
        <v>5747327.5052241944</v>
      </c>
      <c r="BG72" s="7477">
        <f>+BC72+BC72*6%</f>
        <v>379516.27736941917</v>
      </c>
      <c r="BH72" s="7477"/>
      <c r="BI72" s="7477"/>
      <c r="BJ72" s="7477">
        <f t="shared" si="57"/>
        <v>6092167.1555376463</v>
      </c>
      <c r="BK72" s="7477">
        <f>+BG72+BG72*6%</f>
        <v>402287.25401158433</v>
      </c>
      <c r="BL72" s="7477"/>
      <c r="BM72" s="7477"/>
      <c r="BN72" s="7477">
        <f t="shared" si="58"/>
        <v>6457697.184869905</v>
      </c>
      <c r="BO72" s="7477">
        <f>+BK72+BK72*6%</f>
        <v>426424.4892522794</v>
      </c>
      <c r="BP72" s="7477"/>
      <c r="BQ72" s="7477"/>
      <c r="BR72" s="7477">
        <f t="shared" si="59"/>
        <v>6845159.0159620997</v>
      </c>
      <c r="BS72" s="7477">
        <f>+BO72+BO72*6%</f>
        <v>452009.95860741613</v>
      </c>
      <c r="BT72" s="7477"/>
      <c r="BU72" s="7477"/>
      <c r="BV72" s="7476">
        <f t="shared" si="60"/>
        <v>7255868.5569198253</v>
      </c>
      <c r="BW72" s="7476">
        <f>+BS72+BS72*6%</f>
        <v>479130.55612386111</v>
      </c>
      <c r="BX72" s="7476"/>
      <c r="BY72" s="7476"/>
      <c r="BZ72" s="7476">
        <f t="shared" si="49"/>
        <v>64665265.927660681</v>
      </c>
      <c r="CA72" s="7475"/>
      <c r="CB72" s="7475"/>
      <c r="CC72" s="7475"/>
      <c r="CD72" s="7475"/>
      <c r="CE72" s="7475"/>
      <c r="CF72" s="7475"/>
      <c r="CG72" s="7475"/>
      <c r="CH72" s="7475"/>
      <c r="CI72" s="7475"/>
      <c r="CJ72" s="7475"/>
      <c r="CK72" s="7475"/>
      <c r="CL72" s="7475"/>
      <c r="CM72" s="7475"/>
      <c r="CN72" s="7475"/>
      <c r="CO72" s="7475"/>
      <c r="CP72" s="7475"/>
      <c r="CQ72" s="7475"/>
      <c r="CR72" s="7475"/>
      <c r="CS72" s="7475"/>
      <c r="CT72" s="7475"/>
      <c r="CU72" s="7475"/>
      <c r="CV72" s="7475"/>
      <c r="CW72" s="7475"/>
      <c r="CX72" s="7475"/>
      <c r="CY72" s="7475"/>
      <c r="CZ72" s="7475"/>
      <c r="DA72" s="7475"/>
      <c r="DB72" s="7475"/>
      <c r="DC72" s="7475"/>
      <c r="DD72" s="7475"/>
      <c r="DE72" s="7475"/>
      <c r="DF72" s="7475"/>
      <c r="DG72" s="7475"/>
      <c r="DH72" s="7475"/>
      <c r="DI72" s="7475"/>
      <c r="DJ72" s="7475"/>
      <c r="DK72" s="7475"/>
      <c r="DL72" s="7475"/>
      <c r="DM72" s="7475"/>
      <c r="DN72" s="7475"/>
      <c r="DO72" s="7475"/>
      <c r="DP72" s="7475"/>
      <c r="DQ72" s="7475"/>
      <c r="DR72" s="7475"/>
      <c r="DS72" s="7475"/>
      <c r="DT72" s="7475"/>
      <c r="DU72" s="7524"/>
    </row>
    <row r="73" spans="1:125" s="7470" customFormat="1" ht="15.75" customHeight="1">
      <c r="A73" s="17088"/>
      <c r="B73" s="17092"/>
      <c r="C73" s="17078"/>
      <c r="D73" s="17080"/>
      <c r="E73" s="17078"/>
      <c r="F73" s="17092"/>
      <c r="G73" s="17092"/>
      <c r="H73" s="17092"/>
      <c r="I73" s="17092"/>
      <c r="J73" s="17102"/>
      <c r="K73" s="17104"/>
      <c r="L73" s="7525" t="s">
        <v>8435</v>
      </c>
      <c r="M73" s="7471" t="s">
        <v>7284</v>
      </c>
      <c r="N73" s="7471" t="s">
        <v>7285</v>
      </c>
      <c r="O73" s="7504" t="s">
        <v>7286</v>
      </c>
      <c r="P73" s="7473">
        <f t="shared" si="36"/>
        <v>95</v>
      </c>
      <c r="Q73" s="7504" t="s">
        <v>7287</v>
      </c>
      <c r="R73" s="7504" t="s">
        <v>7288</v>
      </c>
      <c r="S73" s="7471" t="s">
        <v>10066</v>
      </c>
      <c r="T73" s="7504" t="s">
        <v>298</v>
      </c>
      <c r="U73" s="7504" t="s">
        <v>7289</v>
      </c>
      <c r="V73" s="7472">
        <v>0</v>
      </c>
      <c r="W73" s="7472">
        <v>5</v>
      </c>
      <c r="X73" s="7472">
        <v>10</v>
      </c>
      <c r="Y73" s="7472">
        <v>10</v>
      </c>
      <c r="Z73" s="7472">
        <v>10</v>
      </c>
      <c r="AA73" s="7472">
        <v>10</v>
      </c>
      <c r="AB73" s="7472">
        <v>10</v>
      </c>
      <c r="AC73" s="7472">
        <v>10</v>
      </c>
      <c r="AD73" s="7472">
        <v>10</v>
      </c>
      <c r="AE73" s="7472">
        <v>10</v>
      </c>
      <c r="AF73" s="7472">
        <v>10</v>
      </c>
      <c r="AG73" s="7472">
        <f>W73+X73+Y73+Z73+AA73+AB73+AC73+AD73+AE73+AF73</f>
        <v>95</v>
      </c>
      <c r="AH73" s="7474">
        <v>8000000</v>
      </c>
      <c r="AI73" s="7474"/>
      <c r="AJ73" s="7474"/>
      <c r="AK73" s="7474"/>
      <c r="AL73" s="7474">
        <f t="shared" si="51"/>
        <v>8480000</v>
      </c>
      <c r="AM73" s="7474"/>
      <c r="AN73" s="7474"/>
      <c r="AO73" s="7474"/>
      <c r="AP73" s="7474">
        <f t="shared" si="52"/>
        <v>8988800</v>
      </c>
      <c r="AQ73" s="7474"/>
      <c r="AR73" s="7474"/>
      <c r="AS73" s="7474"/>
      <c r="AT73" s="7474">
        <f t="shared" si="53"/>
        <v>9528128</v>
      </c>
      <c r="AU73" s="7474"/>
      <c r="AV73" s="7474"/>
      <c r="AW73" s="7474"/>
      <c r="AX73" s="7474">
        <f t="shared" si="54"/>
        <v>10099815.68</v>
      </c>
      <c r="AY73" s="7474"/>
      <c r="AZ73" s="7474"/>
      <c r="BA73" s="7474"/>
      <c r="BB73" s="7474">
        <f t="shared" si="55"/>
        <v>10705804.6208</v>
      </c>
      <c r="BC73" s="7474"/>
      <c r="BD73" s="7474"/>
      <c r="BE73" s="7474"/>
      <c r="BF73" s="7474">
        <f t="shared" si="56"/>
        <v>11348152.898048</v>
      </c>
      <c r="BG73" s="7474"/>
      <c r="BH73" s="7474"/>
      <c r="BI73" s="7474"/>
      <c r="BJ73" s="7474">
        <f t="shared" si="57"/>
        <v>12029042.07193088</v>
      </c>
      <c r="BK73" s="7474"/>
      <c r="BL73" s="7474"/>
      <c r="BM73" s="7474"/>
      <c r="BN73" s="7474">
        <f t="shared" si="58"/>
        <v>12750784.596246732</v>
      </c>
      <c r="BO73" s="7474"/>
      <c r="BP73" s="7474"/>
      <c r="BQ73" s="7474"/>
      <c r="BR73" s="7474">
        <f t="shared" si="59"/>
        <v>13515831.672021536</v>
      </c>
      <c r="BS73" s="7474"/>
      <c r="BT73" s="7474"/>
      <c r="BU73" s="7474"/>
      <c r="BV73" s="7474">
        <f t="shared" si="60"/>
        <v>14326781.572342828</v>
      </c>
      <c r="BW73" s="7474"/>
      <c r="BX73" s="7474"/>
      <c r="BY73" s="7474"/>
      <c r="BZ73" s="7474">
        <f t="shared" si="49"/>
        <v>119773141.11138998</v>
      </c>
      <c r="CA73" s="7475"/>
      <c r="CB73" s="7475"/>
      <c r="CC73" s="7475"/>
      <c r="CD73" s="7475"/>
      <c r="CE73" s="7475"/>
      <c r="CF73" s="7475"/>
      <c r="CG73" s="7475"/>
      <c r="CH73" s="7475"/>
      <c r="CI73" s="7475"/>
      <c r="CJ73" s="7475"/>
      <c r="CK73" s="7475"/>
      <c r="CL73" s="7475"/>
      <c r="CM73" s="7475"/>
      <c r="CN73" s="7475"/>
      <c r="CO73" s="7475"/>
      <c r="CP73" s="7475"/>
      <c r="CQ73" s="7475"/>
      <c r="CR73" s="7475"/>
      <c r="CS73" s="7475"/>
      <c r="CT73" s="7475"/>
      <c r="CU73" s="7475"/>
      <c r="CV73" s="7475"/>
      <c r="CW73" s="7475"/>
      <c r="CX73" s="7475"/>
      <c r="CY73" s="7475"/>
      <c r="CZ73" s="7475"/>
      <c r="DA73" s="7475"/>
      <c r="DB73" s="7475"/>
      <c r="DC73" s="7475"/>
      <c r="DD73" s="7475"/>
      <c r="DE73" s="7475"/>
      <c r="DF73" s="7475"/>
      <c r="DG73" s="7475"/>
      <c r="DH73" s="7475"/>
      <c r="DI73" s="7475"/>
      <c r="DJ73" s="7475"/>
      <c r="DK73" s="7475"/>
      <c r="DL73" s="7475"/>
      <c r="DM73" s="7475"/>
      <c r="DN73" s="7475"/>
      <c r="DO73" s="7475"/>
      <c r="DP73" s="7475"/>
      <c r="DQ73" s="7475"/>
      <c r="DR73" s="7475"/>
      <c r="DS73" s="7475"/>
      <c r="DT73" s="7475"/>
      <c r="DU73" s="7524"/>
    </row>
    <row r="74" spans="1:125" s="7470" customFormat="1" ht="15.75" customHeight="1">
      <c r="A74" s="7468" t="s">
        <v>7290</v>
      </c>
      <c r="B74" s="17092"/>
      <c r="C74" s="17078"/>
      <c r="D74" s="17080"/>
      <c r="E74" s="17078"/>
      <c r="F74" s="17092"/>
      <c r="G74" s="17092"/>
      <c r="H74" s="17092"/>
      <c r="I74" s="17092"/>
      <c r="J74" s="17102"/>
      <c r="K74" s="17104"/>
      <c r="L74" s="7525" t="s">
        <v>8436</v>
      </c>
      <c r="M74" s="7471" t="s">
        <v>7291</v>
      </c>
      <c r="N74" s="7471" t="s">
        <v>7292</v>
      </c>
      <c r="O74" s="7504" t="s">
        <v>7293</v>
      </c>
      <c r="P74" s="7473">
        <f t="shared" si="36"/>
        <v>80</v>
      </c>
      <c r="Q74" s="7504" t="s">
        <v>7294</v>
      </c>
      <c r="R74" s="7504" t="s">
        <v>7295</v>
      </c>
      <c r="S74" s="7471" t="s">
        <v>10063</v>
      </c>
      <c r="T74" s="7504" t="s">
        <v>144</v>
      </c>
      <c r="U74" s="7504"/>
      <c r="V74" s="7472">
        <v>0</v>
      </c>
      <c r="W74" s="7472">
        <v>8</v>
      </c>
      <c r="X74" s="7472">
        <v>8</v>
      </c>
      <c r="Y74" s="7472">
        <v>8</v>
      </c>
      <c r="Z74" s="7472">
        <v>8</v>
      </c>
      <c r="AA74" s="7472">
        <v>8</v>
      </c>
      <c r="AB74" s="7472">
        <v>8</v>
      </c>
      <c r="AC74" s="7472">
        <v>8</v>
      </c>
      <c r="AD74" s="7472">
        <v>8</v>
      </c>
      <c r="AE74" s="7472">
        <v>8</v>
      </c>
      <c r="AF74" s="7472">
        <v>8</v>
      </c>
      <c r="AG74" s="7472">
        <f>W74+X74+Y74+Z74+AA74+AB74+AC74+AD74+AE74+AF74</f>
        <v>80</v>
      </c>
      <c r="AH74" s="7474"/>
      <c r="AI74" s="7474"/>
      <c r="AJ74" s="7474"/>
      <c r="AK74" s="7474"/>
      <c r="AL74" s="7474"/>
      <c r="AM74" s="7474"/>
      <c r="AN74" s="7474"/>
      <c r="AO74" s="7474"/>
      <c r="AP74" s="7474"/>
      <c r="AQ74" s="7474"/>
      <c r="AR74" s="7474"/>
      <c r="AS74" s="7474"/>
      <c r="AT74" s="7474"/>
      <c r="AU74" s="7474"/>
      <c r="AV74" s="7474"/>
      <c r="AW74" s="7474"/>
      <c r="AX74" s="7474"/>
      <c r="AY74" s="7474"/>
      <c r="AZ74" s="7474"/>
      <c r="BA74" s="7474"/>
      <c r="BB74" s="7474"/>
      <c r="BC74" s="7474"/>
      <c r="BD74" s="7474"/>
      <c r="BE74" s="7474"/>
      <c r="BF74" s="7474"/>
      <c r="BG74" s="7474"/>
      <c r="BH74" s="7474"/>
      <c r="BI74" s="7474"/>
      <c r="BJ74" s="7474"/>
      <c r="BK74" s="7474"/>
      <c r="BL74" s="7474"/>
      <c r="BM74" s="7474"/>
      <c r="BN74" s="7474"/>
      <c r="BO74" s="7474"/>
      <c r="BP74" s="7474"/>
      <c r="BQ74" s="7474"/>
      <c r="BR74" s="7474"/>
      <c r="BS74" s="7474"/>
      <c r="BT74" s="7474"/>
      <c r="BU74" s="7474"/>
      <c r="BV74" s="7474"/>
      <c r="BW74" s="7474"/>
      <c r="BX74" s="7474"/>
      <c r="BY74" s="7474"/>
      <c r="BZ74" s="7507">
        <f>(2524000*10*10)/3</f>
        <v>84133333.333333328</v>
      </c>
      <c r="CA74" s="7475"/>
      <c r="CB74" s="7475"/>
      <c r="CC74" s="7475"/>
      <c r="CD74" s="7475"/>
      <c r="CE74" s="7475"/>
      <c r="CF74" s="7475"/>
      <c r="CG74" s="7475"/>
      <c r="CH74" s="7475"/>
      <c r="CI74" s="7475"/>
      <c r="CJ74" s="7475"/>
      <c r="CK74" s="7475"/>
      <c r="CL74" s="7475"/>
      <c r="CM74" s="7475"/>
      <c r="CN74" s="7475"/>
      <c r="CO74" s="7475"/>
      <c r="CP74" s="7475"/>
      <c r="CQ74" s="7475"/>
      <c r="CR74" s="7475"/>
      <c r="CS74" s="7475"/>
      <c r="CT74" s="7475"/>
      <c r="CU74" s="7475"/>
      <c r="CV74" s="7475"/>
      <c r="CW74" s="7475"/>
      <c r="CX74" s="7475"/>
      <c r="CY74" s="7475"/>
      <c r="CZ74" s="7475"/>
      <c r="DA74" s="7475"/>
      <c r="DB74" s="7475"/>
      <c r="DC74" s="7475"/>
      <c r="DD74" s="7475"/>
      <c r="DE74" s="7475"/>
      <c r="DF74" s="7475"/>
      <c r="DG74" s="7475"/>
      <c r="DH74" s="7475"/>
      <c r="DI74" s="7475"/>
      <c r="DJ74" s="7475"/>
      <c r="DK74" s="7475"/>
      <c r="DL74" s="7475"/>
      <c r="DM74" s="7475"/>
      <c r="DN74" s="7475"/>
      <c r="DO74" s="7475"/>
      <c r="DP74" s="7475"/>
      <c r="DQ74" s="7475"/>
      <c r="DR74" s="7475"/>
      <c r="DS74" s="7475"/>
      <c r="DT74" s="7475"/>
      <c r="DU74" s="7524"/>
    </row>
    <row r="75" spans="1:125" s="7470" customFormat="1" ht="15.75" customHeight="1">
      <c r="A75" s="7468" t="s">
        <v>7296</v>
      </c>
      <c r="B75" s="17092"/>
      <c r="C75" s="17078"/>
      <c r="D75" s="17080"/>
      <c r="E75" s="17078"/>
      <c r="F75" s="17092"/>
      <c r="G75" s="17092"/>
      <c r="H75" s="17092"/>
      <c r="I75" s="17092"/>
      <c r="J75" s="17102"/>
      <c r="K75" s="17104"/>
      <c r="L75" s="7525" t="s">
        <v>8437</v>
      </c>
      <c r="M75" s="7471" t="s">
        <v>7297</v>
      </c>
      <c r="N75" s="7471" t="s">
        <v>7298</v>
      </c>
      <c r="O75" s="7504" t="s">
        <v>7299</v>
      </c>
      <c r="P75" s="7473">
        <f t="shared" si="36"/>
        <v>60</v>
      </c>
      <c r="Q75" s="7504" t="s">
        <v>7300</v>
      </c>
      <c r="R75" s="7504" t="s">
        <v>7301</v>
      </c>
      <c r="S75" s="7471" t="s">
        <v>26</v>
      </c>
      <c r="T75" s="7504" t="s">
        <v>7302</v>
      </c>
      <c r="U75" s="7504" t="s">
        <v>7303</v>
      </c>
      <c r="V75" s="7472">
        <v>0</v>
      </c>
      <c r="W75" s="7472">
        <v>6</v>
      </c>
      <c r="X75" s="7472">
        <f>+W75+6</f>
        <v>12</v>
      </c>
      <c r="Y75" s="7472">
        <f>+X75+6</f>
        <v>18</v>
      </c>
      <c r="Z75" s="7472">
        <f t="shared" ref="Z75:AF75" si="62">+Y75+6</f>
        <v>24</v>
      </c>
      <c r="AA75" s="7472">
        <f t="shared" si="62"/>
        <v>30</v>
      </c>
      <c r="AB75" s="7472">
        <f t="shared" si="62"/>
        <v>36</v>
      </c>
      <c r="AC75" s="7472">
        <f t="shared" si="62"/>
        <v>42</v>
      </c>
      <c r="AD75" s="7472">
        <f t="shared" si="62"/>
        <v>48</v>
      </c>
      <c r="AE75" s="7472">
        <f t="shared" si="62"/>
        <v>54</v>
      </c>
      <c r="AF75" s="7472">
        <f t="shared" si="62"/>
        <v>60</v>
      </c>
      <c r="AG75" s="7472">
        <f>+AF75</f>
        <v>60</v>
      </c>
      <c r="AH75" s="7474">
        <f>2523000*10</f>
        <v>25230000</v>
      </c>
      <c r="AI75" s="7474"/>
      <c r="AJ75" s="7474"/>
      <c r="AK75" s="7474"/>
      <c r="AL75" s="7474">
        <f t="shared" si="51"/>
        <v>26743800</v>
      </c>
      <c r="AM75" s="7474"/>
      <c r="AN75" s="7474"/>
      <c r="AO75" s="7474"/>
      <c r="AP75" s="7474">
        <f t="shared" si="52"/>
        <v>28348428</v>
      </c>
      <c r="AQ75" s="7474"/>
      <c r="AR75" s="7474"/>
      <c r="AS75" s="7474"/>
      <c r="AT75" s="7474">
        <f t="shared" si="53"/>
        <v>30049333.68</v>
      </c>
      <c r="AU75" s="7474"/>
      <c r="AV75" s="7474"/>
      <c r="AW75" s="7474"/>
      <c r="AX75" s="7474">
        <f t="shared" si="54"/>
        <v>31852293.700799998</v>
      </c>
      <c r="AY75" s="7474"/>
      <c r="AZ75" s="7474"/>
      <c r="BA75" s="7474"/>
      <c r="BB75" s="7474">
        <f t="shared" si="55"/>
        <v>33763431.322848</v>
      </c>
      <c r="BC75" s="7474"/>
      <c r="BD75" s="7474"/>
      <c r="BE75" s="7474"/>
      <c r="BF75" s="7474">
        <f t="shared" si="56"/>
        <v>35789237.202218883</v>
      </c>
      <c r="BG75" s="7474"/>
      <c r="BH75" s="7474"/>
      <c r="BI75" s="7474"/>
      <c r="BJ75" s="7474">
        <f t="shared" si="57"/>
        <v>37936591.434352018</v>
      </c>
      <c r="BK75" s="7474"/>
      <c r="BL75" s="7474"/>
      <c r="BM75" s="7474"/>
      <c r="BN75" s="7474">
        <f t="shared" si="58"/>
        <v>40212786.920413136</v>
      </c>
      <c r="BO75" s="7474"/>
      <c r="BP75" s="7474"/>
      <c r="BQ75" s="7474"/>
      <c r="BR75" s="7474">
        <f t="shared" si="59"/>
        <v>42625554.135637924</v>
      </c>
      <c r="BS75" s="7474"/>
      <c r="BT75" s="7474"/>
      <c r="BU75" s="7474"/>
      <c r="BV75" s="7474">
        <f t="shared" si="60"/>
        <v>45183087.383776203</v>
      </c>
      <c r="BW75" s="7474"/>
      <c r="BX75" s="7474"/>
      <c r="BY75" s="7474"/>
      <c r="BZ75" s="7508">
        <f>SUM(AH75:BY75)</f>
        <v>377734543.78004616</v>
      </c>
      <c r="CA75" s="7475"/>
      <c r="CB75" s="7475"/>
      <c r="CC75" s="7475"/>
      <c r="CD75" s="7475"/>
      <c r="CE75" s="7475"/>
      <c r="CF75" s="7475"/>
      <c r="CG75" s="7475"/>
      <c r="CH75" s="7475"/>
      <c r="CI75" s="7475"/>
      <c r="CJ75" s="7475"/>
      <c r="CK75" s="7475"/>
      <c r="CL75" s="7475"/>
      <c r="CM75" s="7475"/>
      <c r="CN75" s="7475"/>
      <c r="CO75" s="7475"/>
      <c r="CP75" s="7475"/>
      <c r="CQ75" s="7475"/>
      <c r="CR75" s="7475"/>
      <c r="CS75" s="7475"/>
      <c r="CT75" s="7475"/>
      <c r="CU75" s="7475"/>
      <c r="CV75" s="7475"/>
      <c r="CW75" s="7475"/>
      <c r="CX75" s="7475"/>
      <c r="CY75" s="7475"/>
      <c r="CZ75" s="7475"/>
      <c r="DA75" s="7475"/>
      <c r="DB75" s="7475"/>
      <c r="DC75" s="7475"/>
      <c r="DD75" s="7475"/>
      <c r="DE75" s="7475"/>
      <c r="DF75" s="7475"/>
      <c r="DG75" s="7475"/>
      <c r="DH75" s="7475"/>
      <c r="DI75" s="7475"/>
      <c r="DJ75" s="7475"/>
      <c r="DK75" s="7475"/>
      <c r="DL75" s="7475"/>
      <c r="DM75" s="7475"/>
      <c r="DN75" s="7475"/>
      <c r="DO75" s="7475"/>
      <c r="DP75" s="7475"/>
      <c r="DQ75" s="7475"/>
      <c r="DR75" s="7475"/>
      <c r="DS75" s="7475"/>
      <c r="DT75" s="7475"/>
      <c r="DU75" s="7524"/>
    </row>
    <row r="76" spans="1:125" s="7470" customFormat="1" ht="15.75" customHeight="1">
      <c r="A76" s="7468" t="s">
        <v>7304</v>
      </c>
      <c r="B76" s="17092"/>
      <c r="C76" s="17078"/>
      <c r="D76" s="17080"/>
      <c r="E76" s="17078"/>
      <c r="F76" s="17092"/>
      <c r="G76" s="17092"/>
      <c r="H76" s="17092"/>
      <c r="I76" s="17092"/>
      <c r="J76" s="17102"/>
      <c r="K76" s="17104"/>
      <c r="L76" s="7525" t="s">
        <v>8438</v>
      </c>
      <c r="M76" s="7471" t="s">
        <v>7305</v>
      </c>
      <c r="N76" s="7471" t="s">
        <v>7306</v>
      </c>
      <c r="O76" s="7504" t="s">
        <v>7307</v>
      </c>
      <c r="P76" s="7473">
        <f t="shared" si="36"/>
        <v>1</v>
      </c>
      <c r="Q76" s="7504" t="s">
        <v>7308</v>
      </c>
      <c r="R76" s="7504" t="s">
        <v>7309</v>
      </c>
      <c r="S76" s="7471" t="s">
        <v>10063</v>
      </c>
      <c r="T76" s="7504" t="s">
        <v>144</v>
      </c>
      <c r="U76" s="7472" t="s">
        <v>507</v>
      </c>
      <c r="V76" s="7472">
        <v>0</v>
      </c>
      <c r="W76" s="7473">
        <v>1</v>
      </c>
      <c r="X76" s="7473">
        <v>1</v>
      </c>
      <c r="Y76" s="7473">
        <v>1</v>
      </c>
      <c r="Z76" s="7473">
        <v>1</v>
      </c>
      <c r="AA76" s="7473">
        <v>1</v>
      </c>
      <c r="AB76" s="7473">
        <v>1</v>
      </c>
      <c r="AC76" s="7473">
        <v>1</v>
      </c>
      <c r="AD76" s="7473">
        <v>1</v>
      </c>
      <c r="AE76" s="7473">
        <v>1</v>
      </c>
      <c r="AF76" s="7473">
        <v>1</v>
      </c>
      <c r="AG76" s="7473">
        <v>1</v>
      </c>
      <c r="AH76" s="7476">
        <f>24309834.625/6</f>
        <v>4051639.1041666665</v>
      </c>
      <c r="AI76" s="7476">
        <f>802632/3</f>
        <v>267544</v>
      </c>
      <c r="AJ76" s="7476"/>
      <c r="AK76" s="7476"/>
      <c r="AL76" s="7476">
        <f t="shared" si="51"/>
        <v>4294737.4504166665</v>
      </c>
      <c r="AM76" s="7476">
        <f>+AI76+AI76*6%</f>
        <v>283596.64</v>
      </c>
      <c r="AN76" s="7476"/>
      <c r="AO76" s="7476"/>
      <c r="AP76" s="7476">
        <f t="shared" si="52"/>
        <v>4552421.6974416664</v>
      </c>
      <c r="AQ76" s="7476">
        <f>+AM76+AM76*6%</f>
        <v>300612.43839999998</v>
      </c>
      <c r="AR76" s="7476"/>
      <c r="AS76" s="7476"/>
      <c r="AT76" s="7477">
        <f t="shared" si="53"/>
        <v>4825566.9992881659</v>
      </c>
      <c r="AU76" s="7477">
        <f>+AQ76+AQ76*6%</f>
        <v>318649.18470399996</v>
      </c>
      <c r="AV76" s="7477"/>
      <c r="AW76" s="7477"/>
      <c r="AX76" s="7477">
        <f t="shared" si="54"/>
        <v>5115101.019245456</v>
      </c>
      <c r="AY76" s="7477">
        <f>+AU76+AU76*6%</f>
        <v>337768.13578623993</v>
      </c>
      <c r="AZ76" s="7477"/>
      <c r="BA76" s="7477"/>
      <c r="BB76" s="7477">
        <f t="shared" si="55"/>
        <v>5422007.0804001838</v>
      </c>
      <c r="BC76" s="7477">
        <f>+AY76+AY76*6%</f>
        <v>358034.22393341432</v>
      </c>
      <c r="BD76" s="7477"/>
      <c r="BE76" s="7477"/>
      <c r="BF76" s="7477">
        <f t="shared" si="56"/>
        <v>5747327.5052241944</v>
      </c>
      <c r="BG76" s="7477">
        <f>+BC76+BC76*6%</f>
        <v>379516.27736941917</v>
      </c>
      <c r="BH76" s="7477"/>
      <c r="BI76" s="7477"/>
      <c r="BJ76" s="7477">
        <f t="shared" si="57"/>
        <v>6092167.1555376463</v>
      </c>
      <c r="BK76" s="7477">
        <f>+BG76+BG76*6%</f>
        <v>402287.25401158433</v>
      </c>
      <c r="BL76" s="7477"/>
      <c r="BM76" s="7477"/>
      <c r="BN76" s="7477">
        <f t="shared" si="58"/>
        <v>6457697.184869905</v>
      </c>
      <c r="BO76" s="7477">
        <f>+BK76+BK76*6%</f>
        <v>426424.4892522794</v>
      </c>
      <c r="BP76" s="7477"/>
      <c r="BQ76" s="7477"/>
      <c r="BR76" s="7477">
        <f t="shared" si="59"/>
        <v>6845159.0159620997</v>
      </c>
      <c r="BS76" s="7477">
        <f>+BO76+BO76*6%</f>
        <v>452009.95860741613</v>
      </c>
      <c r="BT76" s="7477"/>
      <c r="BU76" s="7477"/>
      <c r="BV76" s="7476">
        <f t="shared" si="60"/>
        <v>7255868.5569198253</v>
      </c>
      <c r="BW76" s="7476">
        <f>+BS76+BS76*6%</f>
        <v>479130.55612386111</v>
      </c>
      <c r="BX76" s="7476"/>
      <c r="BY76" s="7476"/>
      <c r="BZ76" s="7476">
        <f>SUM(AH76:BY76)</f>
        <v>64665265.927660681</v>
      </c>
      <c r="CA76" s="7475"/>
      <c r="CB76" s="7475"/>
      <c r="CC76" s="7475"/>
      <c r="CD76" s="7475"/>
      <c r="CE76" s="7475"/>
      <c r="CF76" s="7475"/>
      <c r="CG76" s="7475"/>
      <c r="CH76" s="7475"/>
      <c r="CI76" s="7475"/>
      <c r="CJ76" s="7475"/>
      <c r="CK76" s="7475"/>
      <c r="CL76" s="7475"/>
      <c r="CM76" s="7475"/>
      <c r="CN76" s="7475"/>
      <c r="CO76" s="7475"/>
      <c r="CP76" s="7475"/>
      <c r="CQ76" s="7475"/>
      <c r="CR76" s="7475"/>
      <c r="CS76" s="7475"/>
      <c r="CT76" s="7475"/>
      <c r="CU76" s="7475"/>
      <c r="CV76" s="7475"/>
      <c r="CW76" s="7475"/>
      <c r="CX76" s="7475"/>
      <c r="CY76" s="7475"/>
      <c r="CZ76" s="7475"/>
      <c r="DA76" s="7475"/>
      <c r="DB76" s="7475"/>
      <c r="DC76" s="7475"/>
      <c r="DD76" s="7475"/>
      <c r="DE76" s="7475"/>
      <c r="DF76" s="7475"/>
      <c r="DG76" s="7475"/>
      <c r="DH76" s="7475"/>
      <c r="DI76" s="7475"/>
      <c r="DJ76" s="7475"/>
      <c r="DK76" s="7475"/>
      <c r="DL76" s="7475"/>
      <c r="DM76" s="7475"/>
      <c r="DN76" s="7475"/>
      <c r="DO76" s="7475"/>
      <c r="DP76" s="7475"/>
      <c r="DQ76" s="7475"/>
      <c r="DR76" s="7475"/>
      <c r="DS76" s="7475"/>
      <c r="DT76" s="7475"/>
      <c r="DU76" s="7524"/>
    </row>
    <row r="77" spans="1:125" s="7470" customFormat="1" ht="15.75" customHeight="1">
      <c r="A77" s="7468" t="s">
        <v>7310</v>
      </c>
      <c r="B77" s="17092"/>
      <c r="C77" s="17078"/>
      <c r="D77" s="17080"/>
      <c r="E77" s="17078"/>
      <c r="F77" s="17092"/>
      <c r="G77" s="17092"/>
      <c r="H77" s="17092"/>
      <c r="I77" s="17092"/>
      <c r="J77" s="17102"/>
      <c r="K77" s="17104"/>
      <c r="L77" s="17099" t="s">
        <v>8439</v>
      </c>
      <c r="M77" s="17089" t="s">
        <v>7311</v>
      </c>
      <c r="N77" s="17089" t="s">
        <v>7312</v>
      </c>
      <c r="O77" s="17090" t="s">
        <v>7169</v>
      </c>
      <c r="P77" s="17101">
        <f t="shared" si="36"/>
        <v>1</v>
      </c>
      <c r="Q77" s="17089" t="s">
        <v>7313</v>
      </c>
      <c r="R77" s="17089" t="s">
        <v>7314</v>
      </c>
      <c r="S77" s="7471" t="s">
        <v>10066</v>
      </c>
      <c r="T77" s="7504" t="s">
        <v>7315</v>
      </c>
      <c r="U77" s="7472"/>
      <c r="V77" s="17101">
        <v>0</v>
      </c>
      <c r="W77" s="17101">
        <v>1</v>
      </c>
      <c r="X77" s="17106">
        <v>1</v>
      </c>
      <c r="Y77" s="17106">
        <v>1</v>
      </c>
      <c r="Z77" s="17106">
        <v>1</v>
      </c>
      <c r="AA77" s="17106">
        <v>1</v>
      </c>
      <c r="AB77" s="17106">
        <v>1</v>
      </c>
      <c r="AC77" s="17106">
        <v>1</v>
      </c>
      <c r="AD77" s="17106">
        <v>1</v>
      </c>
      <c r="AE77" s="17106">
        <v>1</v>
      </c>
      <c r="AF77" s="17106">
        <v>1</v>
      </c>
      <c r="AG77" s="17106">
        <v>1</v>
      </c>
      <c r="AH77" s="17105">
        <v>4500000</v>
      </c>
      <c r="AI77" s="17105"/>
      <c r="AJ77" s="17105"/>
      <c r="AK77" s="17105"/>
      <c r="AL77" s="17105">
        <f t="shared" si="51"/>
        <v>4770000</v>
      </c>
      <c r="AM77" s="17105"/>
      <c r="AN77" s="17105"/>
      <c r="AO77" s="17105"/>
      <c r="AP77" s="17105">
        <f t="shared" si="52"/>
        <v>5056200</v>
      </c>
      <c r="AQ77" s="17105"/>
      <c r="AR77" s="17105"/>
      <c r="AS77" s="17105"/>
      <c r="AT77" s="17105">
        <f t="shared" si="53"/>
        <v>5359572</v>
      </c>
      <c r="AU77" s="17105"/>
      <c r="AV77" s="17105"/>
      <c r="AW77" s="17105"/>
      <c r="AX77" s="17105">
        <f t="shared" si="54"/>
        <v>5681146.3200000003</v>
      </c>
      <c r="AY77" s="17105"/>
      <c r="AZ77" s="17105"/>
      <c r="BA77" s="17105"/>
      <c r="BB77" s="17105">
        <f t="shared" si="55"/>
        <v>6022015.0992000001</v>
      </c>
      <c r="BC77" s="17105"/>
      <c r="BD77" s="17105"/>
      <c r="BE77" s="17105"/>
      <c r="BF77" s="17105">
        <f t="shared" si="56"/>
        <v>6383336.0051520001</v>
      </c>
      <c r="BG77" s="17105"/>
      <c r="BH77" s="17105"/>
      <c r="BI77" s="17105"/>
      <c r="BJ77" s="17105">
        <f t="shared" si="57"/>
        <v>6766336.1654611202</v>
      </c>
      <c r="BK77" s="17105"/>
      <c r="BL77" s="17105"/>
      <c r="BM77" s="17105"/>
      <c r="BN77" s="17105">
        <f t="shared" si="58"/>
        <v>7172316.3353887871</v>
      </c>
      <c r="BO77" s="17105"/>
      <c r="BP77" s="17105"/>
      <c r="BQ77" s="17105"/>
      <c r="BR77" s="17105">
        <f t="shared" si="59"/>
        <v>7602655.3155121142</v>
      </c>
      <c r="BS77" s="17105"/>
      <c r="BT77" s="17105"/>
      <c r="BU77" s="17105"/>
      <c r="BV77" s="17105">
        <f t="shared" si="60"/>
        <v>8058814.6344428407</v>
      </c>
      <c r="BW77" s="17105"/>
      <c r="BX77" s="17105"/>
      <c r="BY77" s="17105"/>
      <c r="BZ77" s="17105">
        <f>SUM(AH77:BY77)</f>
        <v>67372391.875156865</v>
      </c>
      <c r="CA77" s="17108"/>
      <c r="CB77" s="7579"/>
      <c r="CC77" s="7579"/>
      <c r="CD77" s="7579"/>
      <c r="CE77" s="7579"/>
      <c r="CF77" s="7579"/>
      <c r="CG77" s="7579"/>
      <c r="CH77" s="7579"/>
      <c r="CI77" s="7579"/>
      <c r="CJ77" s="7579"/>
      <c r="CK77" s="7579"/>
      <c r="CL77" s="7579"/>
      <c r="CM77" s="7579"/>
      <c r="CN77" s="7579"/>
      <c r="CO77" s="7579"/>
      <c r="CP77" s="7579"/>
      <c r="CQ77" s="7579"/>
      <c r="CR77" s="7579"/>
      <c r="CS77" s="7579"/>
      <c r="CT77" s="7579"/>
      <c r="CU77" s="7579"/>
      <c r="CV77" s="7579"/>
      <c r="CW77" s="7579"/>
      <c r="CX77" s="7579"/>
      <c r="CY77" s="7579"/>
      <c r="CZ77" s="7579"/>
      <c r="DA77" s="7579"/>
      <c r="DB77" s="7579"/>
      <c r="DC77" s="7579"/>
      <c r="DD77" s="7579"/>
      <c r="DE77" s="7579"/>
      <c r="DF77" s="7579"/>
      <c r="DG77" s="7579"/>
      <c r="DH77" s="7579"/>
      <c r="DI77" s="7579"/>
      <c r="DJ77" s="7579"/>
      <c r="DK77" s="7579"/>
      <c r="DL77" s="7579"/>
      <c r="DM77" s="7579"/>
      <c r="DN77" s="7579"/>
      <c r="DO77" s="7579"/>
      <c r="DP77" s="7579"/>
      <c r="DQ77" s="7579"/>
      <c r="DR77" s="7579"/>
      <c r="DS77" s="7475"/>
      <c r="DT77" s="7475"/>
      <c r="DU77" s="7524"/>
    </row>
    <row r="78" spans="1:125" s="7470" customFormat="1" ht="15.75" customHeight="1">
      <c r="A78" s="7468" t="s">
        <v>7316</v>
      </c>
      <c r="B78" s="17092"/>
      <c r="C78" s="17078"/>
      <c r="D78" s="17080"/>
      <c r="E78" s="17078"/>
      <c r="F78" s="17092"/>
      <c r="G78" s="17092"/>
      <c r="H78" s="17092"/>
      <c r="I78" s="17092"/>
      <c r="J78" s="17102"/>
      <c r="K78" s="17104"/>
      <c r="L78" s="17099"/>
      <c r="M78" s="17089"/>
      <c r="N78" s="17089"/>
      <c r="O78" s="17090"/>
      <c r="P78" s="17101"/>
      <c r="Q78" s="17089"/>
      <c r="R78" s="17089"/>
      <c r="S78" s="7471" t="s">
        <v>10186</v>
      </c>
      <c r="T78" s="7504"/>
      <c r="U78" s="7472" t="s">
        <v>10334</v>
      </c>
      <c r="V78" s="17101"/>
      <c r="W78" s="17101"/>
      <c r="X78" s="17103"/>
      <c r="Y78" s="17103"/>
      <c r="Z78" s="17103"/>
      <c r="AA78" s="17103"/>
      <c r="AB78" s="17103"/>
      <c r="AC78" s="17103"/>
      <c r="AD78" s="17103"/>
      <c r="AE78" s="17103"/>
      <c r="AF78" s="17103"/>
      <c r="AG78" s="17103"/>
      <c r="AH78" s="17105"/>
      <c r="AI78" s="17105"/>
      <c r="AJ78" s="17105"/>
      <c r="AK78" s="17105"/>
      <c r="AL78" s="17105"/>
      <c r="AM78" s="17105"/>
      <c r="AN78" s="17105"/>
      <c r="AO78" s="17105"/>
      <c r="AP78" s="17105"/>
      <c r="AQ78" s="17105"/>
      <c r="AR78" s="17105"/>
      <c r="AS78" s="17105"/>
      <c r="AT78" s="17105"/>
      <c r="AU78" s="17105"/>
      <c r="AV78" s="17105"/>
      <c r="AW78" s="17105"/>
      <c r="AX78" s="17105"/>
      <c r="AY78" s="17105"/>
      <c r="AZ78" s="17105"/>
      <c r="BA78" s="17105"/>
      <c r="BB78" s="17105"/>
      <c r="BC78" s="17105"/>
      <c r="BD78" s="17105"/>
      <c r="BE78" s="17105"/>
      <c r="BF78" s="17105"/>
      <c r="BG78" s="17105"/>
      <c r="BH78" s="17105"/>
      <c r="BI78" s="17105"/>
      <c r="BJ78" s="17105"/>
      <c r="BK78" s="17105"/>
      <c r="BL78" s="17105"/>
      <c r="BM78" s="17105"/>
      <c r="BN78" s="17105"/>
      <c r="BO78" s="17105"/>
      <c r="BP78" s="17105"/>
      <c r="BQ78" s="17105"/>
      <c r="BR78" s="17105"/>
      <c r="BS78" s="17105"/>
      <c r="BT78" s="17105"/>
      <c r="BU78" s="17105"/>
      <c r="BV78" s="17105"/>
      <c r="BW78" s="17105"/>
      <c r="BX78" s="17105"/>
      <c r="BY78" s="17105"/>
      <c r="BZ78" s="17105"/>
      <c r="CA78" s="17108"/>
      <c r="CB78" s="7579"/>
      <c r="CC78" s="7579"/>
      <c r="CD78" s="7579"/>
      <c r="CE78" s="7579"/>
      <c r="CF78" s="7579"/>
      <c r="CG78" s="7579"/>
      <c r="CH78" s="7579"/>
      <c r="CI78" s="7579"/>
      <c r="CJ78" s="7579"/>
      <c r="CK78" s="7579"/>
      <c r="CL78" s="7579"/>
      <c r="CM78" s="7579"/>
      <c r="CN78" s="7579"/>
      <c r="CO78" s="7579"/>
      <c r="CP78" s="7579"/>
      <c r="CQ78" s="7579"/>
      <c r="CR78" s="7579"/>
      <c r="CS78" s="7579"/>
      <c r="CT78" s="7579"/>
      <c r="CU78" s="7579"/>
      <c r="CV78" s="7579"/>
      <c r="CW78" s="7579"/>
      <c r="CX78" s="7579"/>
      <c r="CY78" s="7579"/>
      <c r="CZ78" s="7579"/>
      <c r="DA78" s="7579"/>
      <c r="DB78" s="7579"/>
      <c r="DC78" s="7579"/>
      <c r="DD78" s="7579"/>
      <c r="DE78" s="7579"/>
      <c r="DF78" s="7579"/>
      <c r="DG78" s="7579"/>
      <c r="DH78" s="7579"/>
      <c r="DI78" s="7579"/>
      <c r="DJ78" s="7579"/>
      <c r="DK78" s="7579"/>
      <c r="DL78" s="7579"/>
      <c r="DM78" s="7579"/>
      <c r="DN78" s="7579"/>
      <c r="DO78" s="7579"/>
      <c r="DP78" s="7579"/>
      <c r="DQ78" s="7579"/>
      <c r="DR78" s="7579"/>
      <c r="DS78" s="7475"/>
      <c r="DT78" s="7475"/>
      <c r="DU78" s="7524"/>
    </row>
    <row r="79" spans="1:125" s="7470" customFormat="1" ht="15.75" customHeight="1">
      <c r="A79" s="7468" t="s">
        <v>7317</v>
      </c>
      <c r="B79" s="17092"/>
      <c r="C79" s="17078"/>
      <c r="D79" s="17080"/>
      <c r="E79" s="17078"/>
      <c r="F79" s="17092"/>
      <c r="G79" s="17092"/>
      <c r="H79" s="17092"/>
      <c r="I79" s="17092"/>
      <c r="J79" s="17102"/>
      <c r="K79" s="17104"/>
      <c r="L79" s="17099"/>
      <c r="M79" s="17089"/>
      <c r="N79" s="17089"/>
      <c r="O79" s="17090"/>
      <c r="P79" s="17101"/>
      <c r="Q79" s="17089"/>
      <c r="R79" s="17089"/>
      <c r="S79" s="7471" t="s">
        <v>10194</v>
      </c>
      <c r="T79" s="7504"/>
      <c r="U79" s="7472" t="s">
        <v>733</v>
      </c>
      <c r="V79" s="17101"/>
      <c r="W79" s="17101"/>
      <c r="X79" s="17103"/>
      <c r="Y79" s="17103"/>
      <c r="Z79" s="17103"/>
      <c r="AA79" s="17103"/>
      <c r="AB79" s="17103"/>
      <c r="AC79" s="17103"/>
      <c r="AD79" s="17103"/>
      <c r="AE79" s="17103"/>
      <c r="AF79" s="17103"/>
      <c r="AG79" s="17103"/>
      <c r="AH79" s="17105"/>
      <c r="AI79" s="17105"/>
      <c r="AJ79" s="17105"/>
      <c r="AK79" s="17105"/>
      <c r="AL79" s="17105"/>
      <c r="AM79" s="17105"/>
      <c r="AN79" s="17105"/>
      <c r="AO79" s="17105"/>
      <c r="AP79" s="17105"/>
      <c r="AQ79" s="17105"/>
      <c r="AR79" s="17105"/>
      <c r="AS79" s="17105"/>
      <c r="AT79" s="17105"/>
      <c r="AU79" s="17105"/>
      <c r="AV79" s="17105"/>
      <c r="AW79" s="17105"/>
      <c r="AX79" s="17105"/>
      <c r="AY79" s="17105"/>
      <c r="AZ79" s="17105"/>
      <c r="BA79" s="17105"/>
      <c r="BB79" s="17105"/>
      <c r="BC79" s="17105"/>
      <c r="BD79" s="17105"/>
      <c r="BE79" s="17105"/>
      <c r="BF79" s="17105"/>
      <c r="BG79" s="17105"/>
      <c r="BH79" s="17105"/>
      <c r="BI79" s="17105"/>
      <c r="BJ79" s="17105"/>
      <c r="BK79" s="17105"/>
      <c r="BL79" s="17105"/>
      <c r="BM79" s="17105"/>
      <c r="BN79" s="17105"/>
      <c r="BO79" s="17105"/>
      <c r="BP79" s="17105"/>
      <c r="BQ79" s="17105"/>
      <c r="BR79" s="17105"/>
      <c r="BS79" s="17105"/>
      <c r="BT79" s="17105"/>
      <c r="BU79" s="17105"/>
      <c r="BV79" s="17105"/>
      <c r="BW79" s="17105"/>
      <c r="BX79" s="17105"/>
      <c r="BY79" s="17105"/>
      <c r="BZ79" s="17105"/>
      <c r="CA79" s="17108"/>
      <c r="CB79" s="7579"/>
      <c r="CC79" s="7579"/>
      <c r="CD79" s="7579"/>
      <c r="CE79" s="7579"/>
      <c r="CF79" s="7579"/>
      <c r="CG79" s="7579"/>
      <c r="CH79" s="7579"/>
      <c r="CI79" s="7579"/>
      <c r="CJ79" s="7579"/>
      <c r="CK79" s="7579"/>
      <c r="CL79" s="7579"/>
      <c r="CM79" s="7579"/>
      <c r="CN79" s="7579"/>
      <c r="CO79" s="7579"/>
      <c r="CP79" s="7579"/>
      <c r="CQ79" s="7579"/>
      <c r="CR79" s="7579"/>
      <c r="CS79" s="7579"/>
      <c r="CT79" s="7579"/>
      <c r="CU79" s="7579"/>
      <c r="CV79" s="7579"/>
      <c r="CW79" s="7579"/>
      <c r="CX79" s="7579"/>
      <c r="CY79" s="7579"/>
      <c r="CZ79" s="7579"/>
      <c r="DA79" s="7579"/>
      <c r="DB79" s="7579"/>
      <c r="DC79" s="7579"/>
      <c r="DD79" s="7579"/>
      <c r="DE79" s="7579"/>
      <c r="DF79" s="7579"/>
      <c r="DG79" s="7579"/>
      <c r="DH79" s="7579"/>
      <c r="DI79" s="7579"/>
      <c r="DJ79" s="7579"/>
      <c r="DK79" s="7579"/>
      <c r="DL79" s="7579"/>
      <c r="DM79" s="7579"/>
      <c r="DN79" s="7579"/>
      <c r="DO79" s="7579"/>
      <c r="DP79" s="7579"/>
      <c r="DQ79" s="7579"/>
      <c r="DR79" s="7579"/>
      <c r="DS79" s="7475"/>
      <c r="DT79" s="7475"/>
      <c r="DU79" s="7524"/>
    </row>
    <row r="80" spans="1:125" s="7470" customFormat="1" ht="15.75" customHeight="1">
      <c r="A80" s="7468" t="s">
        <v>7318</v>
      </c>
      <c r="B80" s="17092"/>
      <c r="C80" s="17078"/>
      <c r="D80" s="17080"/>
      <c r="E80" s="17078"/>
      <c r="F80" s="17126" t="s">
        <v>7319</v>
      </c>
      <c r="G80" s="17092"/>
      <c r="H80" s="17092"/>
      <c r="I80" s="17092"/>
      <c r="J80" s="17102"/>
      <c r="K80" s="17104"/>
      <c r="L80" s="17099" t="s">
        <v>8440</v>
      </c>
      <c r="M80" s="17090" t="s">
        <v>7320</v>
      </c>
      <c r="N80" s="17090" t="s">
        <v>7321</v>
      </c>
      <c r="O80" s="17090" t="s">
        <v>7322</v>
      </c>
      <c r="P80" s="17090">
        <f>+AG80</f>
        <v>20</v>
      </c>
      <c r="Q80" s="17090" t="s">
        <v>7323</v>
      </c>
      <c r="R80" s="17090" t="s">
        <v>7324</v>
      </c>
      <c r="S80" s="7471" t="s">
        <v>10066</v>
      </c>
      <c r="T80" s="7472" t="s">
        <v>7315</v>
      </c>
      <c r="U80" s="7472"/>
      <c r="V80" s="7472">
        <v>0</v>
      </c>
      <c r="W80" s="7472">
        <v>2</v>
      </c>
      <c r="X80" s="7472">
        <v>2</v>
      </c>
      <c r="Y80" s="7472">
        <v>2</v>
      </c>
      <c r="Z80" s="7472">
        <v>2</v>
      </c>
      <c r="AA80" s="7472">
        <v>2</v>
      </c>
      <c r="AB80" s="7472">
        <v>2</v>
      </c>
      <c r="AC80" s="7472">
        <v>2</v>
      </c>
      <c r="AD80" s="7472">
        <v>2</v>
      </c>
      <c r="AE80" s="7472">
        <v>2</v>
      </c>
      <c r="AF80" s="7472">
        <v>2</v>
      </c>
      <c r="AG80" s="7472">
        <f>SUM(W80:AF80)</f>
        <v>20</v>
      </c>
      <c r="AH80" s="7474">
        <v>4500000</v>
      </c>
      <c r="AI80" s="7474"/>
      <c r="AJ80" s="7474"/>
      <c r="AK80" s="7474"/>
      <c r="AL80" s="7474">
        <f>+AH80+AH80*6%</f>
        <v>4770000</v>
      </c>
      <c r="AM80" s="7474"/>
      <c r="AN80" s="7474"/>
      <c r="AO80" s="7474"/>
      <c r="AP80" s="7474">
        <f>+AL80+AL80*6%</f>
        <v>5056200</v>
      </c>
      <c r="AQ80" s="7474"/>
      <c r="AR80" s="7474"/>
      <c r="AS80" s="7474"/>
      <c r="AT80" s="7474">
        <f>+AP80+AP80*6%</f>
        <v>5359572</v>
      </c>
      <c r="AU80" s="7474"/>
      <c r="AV80" s="7474"/>
      <c r="AW80" s="7474"/>
      <c r="AX80" s="7474">
        <f>+AT80+AT80*6%</f>
        <v>5681146.3200000003</v>
      </c>
      <c r="AY80" s="7474"/>
      <c r="AZ80" s="7474"/>
      <c r="BA80" s="7474"/>
      <c r="BB80" s="7474">
        <f>+AX80+AX80*6%</f>
        <v>6022015.0992000001</v>
      </c>
      <c r="BC80" s="7474"/>
      <c r="BD80" s="7474"/>
      <c r="BE80" s="7474"/>
      <c r="BF80" s="7474">
        <f>+BB80+BB80*6%</f>
        <v>6383336.0051520001</v>
      </c>
      <c r="BG80" s="7474"/>
      <c r="BH80" s="7474"/>
      <c r="BI80" s="7474"/>
      <c r="BJ80" s="7474">
        <f>+BF80+BF80*6%</f>
        <v>6766336.1654611202</v>
      </c>
      <c r="BK80" s="7474"/>
      <c r="BL80" s="7474"/>
      <c r="BM80" s="7474"/>
      <c r="BN80" s="7474">
        <f>+BJ80+BJ80*6%</f>
        <v>7172316.3353887871</v>
      </c>
      <c r="BO80" s="7474"/>
      <c r="BP80" s="7474"/>
      <c r="BQ80" s="7474"/>
      <c r="BR80" s="7474">
        <f>+BN80+BN80*6%</f>
        <v>7602655.3155121142</v>
      </c>
      <c r="BS80" s="7474"/>
      <c r="BT80" s="7474"/>
      <c r="BU80" s="7474"/>
      <c r="BV80" s="7474">
        <f>+BR80+BR80*6%</f>
        <v>8058814.6344428407</v>
      </c>
      <c r="BW80" s="7474"/>
      <c r="BX80" s="7474"/>
      <c r="BY80" s="7474"/>
      <c r="BZ80" s="7474">
        <f>SUM(AH80:BY80)</f>
        <v>67372391.875156865</v>
      </c>
      <c r="CA80" s="7475"/>
      <c r="CB80" s="7475"/>
      <c r="CC80" s="7475"/>
      <c r="CD80" s="7475"/>
      <c r="CE80" s="7475"/>
      <c r="CF80" s="7475"/>
      <c r="CG80" s="7475"/>
      <c r="CH80" s="7475"/>
      <c r="CI80" s="7475"/>
      <c r="CJ80" s="7475"/>
      <c r="CK80" s="7475"/>
      <c r="CL80" s="7475"/>
      <c r="CM80" s="7475"/>
      <c r="CN80" s="7475"/>
      <c r="CO80" s="7475"/>
      <c r="CP80" s="7475"/>
      <c r="CQ80" s="7475"/>
      <c r="CR80" s="7475"/>
      <c r="CS80" s="7475"/>
      <c r="CT80" s="7475"/>
      <c r="CU80" s="7475"/>
      <c r="CV80" s="7475"/>
      <c r="CW80" s="7475"/>
      <c r="CX80" s="7475"/>
      <c r="CY80" s="7475"/>
      <c r="CZ80" s="7475"/>
      <c r="DA80" s="7475"/>
      <c r="DB80" s="7475"/>
      <c r="DC80" s="7475"/>
      <c r="DD80" s="7475"/>
      <c r="DE80" s="7475"/>
      <c r="DF80" s="7475"/>
      <c r="DG80" s="7475"/>
      <c r="DH80" s="7475"/>
      <c r="DI80" s="7475"/>
      <c r="DJ80" s="7475"/>
      <c r="DK80" s="7475"/>
      <c r="DL80" s="7475"/>
      <c r="DM80" s="7475"/>
      <c r="DN80" s="7475"/>
      <c r="DO80" s="7475"/>
      <c r="DP80" s="7475"/>
      <c r="DQ80" s="7475"/>
      <c r="DR80" s="7475"/>
      <c r="DS80" s="7475"/>
      <c r="DT80" s="7475"/>
      <c r="DU80" s="7524"/>
    </row>
    <row r="81" spans="1:125" s="7470" customFormat="1" ht="15.75" customHeight="1">
      <c r="A81" s="7471"/>
      <c r="B81" s="17090"/>
      <c r="C81" s="17078"/>
      <c r="D81" s="17080"/>
      <c r="E81" s="17078"/>
      <c r="F81" s="17100"/>
      <c r="G81" s="17090"/>
      <c r="H81" s="17090"/>
      <c r="I81" s="17090"/>
      <c r="J81" s="17103"/>
      <c r="K81" s="17104"/>
      <c r="L81" s="17099"/>
      <c r="M81" s="17090"/>
      <c r="N81" s="17090"/>
      <c r="O81" s="17090"/>
      <c r="P81" s="17090"/>
      <c r="Q81" s="17090"/>
      <c r="R81" s="17090"/>
      <c r="S81" s="7471" t="s">
        <v>10186</v>
      </c>
      <c r="T81" s="7472"/>
      <c r="U81" s="7472" t="s">
        <v>2091</v>
      </c>
      <c r="V81" s="7472"/>
      <c r="W81" s="7472"/>
      <c r="X81" s="7472"/>
      <c r="Y81" s="7472"/>
      <c r="Z81" s="7472"/>
      <c r="AA81" s="7472"/>
      <c r="AB81" s="7472"/>
      <c r="AC81" s="7472"/>
      <c r="AD81" s="7472"/>
      <c r="AE81" s="7472"/>
      <c r="AF81" s="7472"/>
      <c r="AG81" s="7472"/>
      <c r="AH81" s="7474"/>
      <c r="AI81" s="7474"/>
      <c r="AJ81" s="7474"/>
      <c r="AK81" s="7474"/>
      <c r="AL81" s="7474"/>
      <c r="AM81" s="7474"/>
      <c r="AN81" s="7474"/>
      <c r="AO81" s="7474"/>
      <c r="AP81" s="7474"/>
      <c r="AQ81" s="7474"/>
      <c r="AR81" s="7474"/>
      <c r="AS81" s="7474"/>
      <c r="AT81" s="7474"/>
      <c r="AU81" s="7474"/>
      <c r="AV81" s="7474"/>
      <c r="AW81" s="7474"/>
      <c r="AX81" s="7474"/>
      <c r="AY81" s="7474"/>
      <c r="AZ81" s="7474"/>
      <c r="BA81" s="7474"/>
      <c r="BB81" s="7474"/>
      <c r="BC81" s="7474"/>
      <c r="BD81" s="7474"/>
      <c r="BE81" s="7474"/>
      <c r="BF81" s="7474"/>
      <c r="BG81" s="7474"/>
      <c r="BH81" s="7474"/>
      <c r="BI81" s="7474"/>
      <c r="BJ81" s="7474"/>
      <c r="BK81" s="7474"/>
      <c r="BL81" s="7474"/>
      <c r="BM81" s="7474"/>
      <c r="BN81" s="7474"/>
      <c r="BO81" s="7474"/>
      <c r="BP81" s="7474"/>
      <c r="BQ81" s="7474"/>
      <c r="BR81" s="7474"/>
      <c r="BS81" s="7474"/>
      <c r="BT81" s="7474"/>
      <c r="BU81" s="7474"/>
      <c r="BV81" s="7474"/>
      <c r="BW81" s="7474"/>
      <c r="BX81" s="7474"/>
      <c r="BY81" s="7474"/>
      <c r="BZ81" s="7474"/>
      <c r="CA81" s="7475"/>
      <c r="CB81" s="7475"/>
      <c r="CC81" s="7475"/>
      <c r="CD81" s="7475"/>
      <c r="CE81" s="7475"/>
      <c r="CF81" s="7475"/>
      <c r="CG81" s="7475"/>
      <c r="CH81" s="7475"/>
      <c r="CI81" s="7475"/>
      <c r="CJ81" s="7475"/>
      <c r="CK81" s="7475"/>
      <c r="CL81" s="7475"/>
      <c r="CM81" s="7475"/>
      <c r="CN81" s="7475"/>
      <c r="CO81" s="7475"/>
      <c r="CP81" s="7475"/>
      <c r="CQ81" s="7475"/>
      <c r="CR81" s="7475"/>
      <c r="CS81" s="7475"/>
      <c r="CT81" s="7475"/>
      <c r="CU81" s="7475"/>
      <c r="CV81" s="7475"/>
      <c r="CW81" s="7475"/>
      <c r="CX81" s="7475"/>
      <c r="CY81" s="7475"/>
      <c r="CZ81" s="7475"/>
      <c r="DA81" s="7475"/>
      <c r="DB81" s="7475"/>
      <c r="DC81" s="7475"/>
      <c r="DD81" s="7475"/>
      <c r="DE81" s="7475"/>
      <c r="DF81" s="7475"/>
      <c r="DG81" s="7475"/>
      <c r="DH81" s="7475"/>
      <c r="DI81" s="7475"/>
      <c r="DJ81" s="7475"/>
      <c r="DK81" s="7475"/>
      <c r="DL81" s="7475"/>
      <c r="DM81" s="7475"/>
      <c r="DN81" s="7475"/>
      <c r="DO81" s="7475"/>
      <c r="DP81" s="7475"/>
      <c r="DQ81" s="7475"/>
      <c r="DR81" s="7475"/>
      <c r="DS81" s="7475"/>
      <c r="DT81" s="7475"/>
      <c r="DU81" s="7524"/>
    </row>
    <row r="82" spans="1:125" s="7470" customFormat="1" ht="15.75" customHeight="1">
      <c r="A82" s="7468" t="s">
        <v>7325</v>
      </c>
      <c r="B82" s="17092"/>
      <c r="C82" s="17078"/>
      <c r="D82" s="17080"/>
      <c r="E82" s="17078"/>
      <c r="F82" s="17092" t="s">
        <v>7326</v>
      </c>
      <c r="G82" s="17092"/>
      <c r="H82" s="17092"/>
      <c r="I82" s="17092"/>
      <c r="J82" s="17102"/>
      <c r="K82" s="17104"/>
      <c r="L82" s="7525" t="s">
        <v>8441</v>
      </c>
      <c r="M82" s="7471" t="s">
        <v>7327</v>
      </c>
      <c r="N82" s="7471" t="s">
        <v>7328</v>
      </c>
      <c r="O82" s="7509" t="s">
        <v>7329</v>
      </c>
      <c r="P82" s="7473">
        <f>+AG82</f>
        <v>10</v>
      </c>
      <c r="Q82" s="7509" t="s">
        <v>7330</v>
      </c>
      <c r="R82" s="7509" t="s">
        <v>7331</v>
      </c>
      <c r="S82" s="7471" t="s">
        <v>10057</v>
      </c>
      <c r="T82" s="7504" t="s">
        <v>7332</v>
      </c>
      <c r="U82" s="7504" t="s">
        <v>7333</v>
      </c>
      <c r="V82" s="7473">
        <v>1</v>
      </c>
      <c r="W82" s="7473">
        <v>1</v>
      </c>
      <c r="X82" s="7473">
        <f t="shared" ref="X82:AF82" si="63">+W82+1</f>
        <v>2</v>
      </c>
      <c r="Y82" s="7473">
        <f t="shared" si="63"/>
        <v>3</v>
      </c>
      <c r="Z82" s="7473">
        <f t="shared" si="63"/>
        <v>4</v>
      </c>
      <c r="AA82" s="7473">
        <f t="shared" si="63"/>
        <v>5</v>
      </c>
      <c r="AB82" s="7473">
        <f t="shared" si="63"/>
        <v>6</v>
      </c>
      <c r="AC82" s="7473">
        <f t="shared" si="63"/>
        <v>7</v>
      </c>
      <c r="AD82" s="7473">
        <f t="shared" si="63"/>
        <v>8</v>
      </c>
      <c r="AE82" s="7473">
        <f t="shared" si="63"/>
        <v>9</v>
      </c>
      <c r="AF82" s="7473">
        <f t="shared" si="63"/>
        <v>10</v>
      </c>
      <c r="AG82" s="7473">
        <f>+AF82</f>
        <v>10</v>
      </c>
      <c r="AH82" s="7508">
        <v>70000000</v>
      </c>
      <c r="AI82" s="7508"/>
      <c r="AJ82" s="7508"/>
      <c r="AK82" s="7508"/>
      <c r="AL82" s="7508">
        <f>+AH82+AH82*6%</f>
        <v>74200000</v>
      </c>
      <c r="AM82" s="7508"/>
      <c r="AN82" s="7508"/>
      <c r="AO82" s="7508"/>
      <c r="AP82" s="7508">
        <f>+AL82+AL82*6%</f>
        <v>78652000</v>
      </c>
      <c r="AQ82" s="7508"/>
      <c r="AR82" s="7508"/>
      <c r="AS82" s="7508"/>
      <c r="AT82" s="7508">
        <f>+AP82+AP82*6%</f>
        <v>83371120</v>
      </c>
      <c r="AU82" s="7508"/>
      <c r="AV82" s="7508"/>
      <c r="AW82" s="7508"/>
      <c r="AX82" s="7508">
        <f>+AT82+AT82*6%</f>
        <v>88373387.200000003</v>
      </c>
      <c r="AY82" s="7508"/>
      <c r="AZ82" s="7508"/>
      <c r="BA82" s="7508"/>
      <c r="BB82" s="7508">
        <f>+AX82+AX82*6%</f>
        <v>93675790.431999996</v>
      </c>
      <c r="BC82" s="7508"/>
      <c r="BD82" s="7508"/>
      <c r="BE82" s="7508"/>
      <c r="BF82" s="7508">
        <f>+BB82+BB82*6%</f>
        <v>99296337.857919991</v>
      </c>
      <c r="BG82" s="7508"/>
      <c r="BH82" s="7508"/>
      <c r="BI82" s="7508"/>
      <c r="BJ82" s="7508">
        <f>+BF82+BF82*6%</f>
        <v>105254118.12939519</v>
      </c>
      <c r="BK82" s="7508"/>
      <c r="BL82" s="7508"/>
      <c r="BM82" s="7508"/>
      <c r="BN82" s="7508">
        <f>+BJ82+BJ82*6%</f>
        <v>111569365.2171589</v>
      </c>
      <c r="BO82" s="7508"/>
      <c r="BP82" s="7508"/>
      <c r="BQ82" s="7508"/>
      <c r="BR82" s="7508">
        <f>+BN82+BN82*6%</f>
        <v>118263527.13018844</v>
      </c>
      <c r="BS82" s="7508"/>
      <c r="BT82" s="7508"/>
      <c r="BU82" s="7508"/>
      <c r="BV82" s="7508">
        <f>+BR82+BR82*6%</f>
        <v>125359338.75799975</v>
      </c>
      <c r="BW82" s="7508"/>
      <c r="BX82" s="7508"/>
      <c r="BY82" s="7508"/>
      <c r="BZ82" s="7508">
        <f>SUM(AH82:BY82)</f>
        <v>1048014984.7246623</v>
      </c>
      <c r="CA82" s="7510"/>
      <c r="CB82" s="7579"/>
      <c r="CC82" s="7579"/>
      <c r="CD82" s="7579"/>
      <c r="CE82" s="7579"/>
      <c r="CF82" s="7579"/>
      <c r="CG82" s="7579"/>
      <c r="CH82" s="7579"/>
      <c r="CI82" s="7579"/>
      <c r="CJ82" s="7579"/>
      <c r="CK82" s="7579"/>
      <c r="CL82" s="7579"/>
      <c r="CM82" s="7579"/>
      <c r="CN82" s="7579"/>
      <c r="CO82" s="7579"/>
      <c r="CP82" s="7579"/>
      <c r="CQ82" s="7579"/>
      <c r="CR82" s="7579"/>
      <c r="CS82" s="7579"/>
      <c r="CT82" s="7579"/>
      <c r="CU82" s="7579"/>
      <c r="CV82" s="7579"/>
      <c r="CW82" s="7579"/>
      <c r="CX82" s="7579"/>
      <c r="CY82" s="7579"/>
      <c r="CZ82" s="7579"/>
      <c r="DA82" s="7579"/>
      <c r="DB82" s="7579"/>
      <c r="DC82" s="7579"/>
      <c r="DD82" s="7579"/>
      <c r="DE82" s="7579"/>
      <c r="DF82" s="7579"/>
      <c r="DG82" s="7579"/>
      <c r="DH82" s="7579"/>
      <c r="DI82" s="7579"/>
      <c r="DJ82" s="7579"/>
      <c r="DK82" s="7579"/>
      <c r="DL82" s="7579"/>
      <c r="DM82" s="7579"/>
      <c r="DN82" s="7579"/>
      <c r="DO82" s="7579"/>
      <c r="DP82" s="7579"/>
      <c r="DQ82" s="7579"/>
      <c r="DR82" s="7579"/>
      <c r="DS82" s="7475"/>
      <c r="DT82" s="7475"/>
      <c r="DU82" s="7524"/>
    </row>
    <row r="83" spans="1:125" s="7470" customFormat="1" ht="15.75" customHeight="1">
      <c r="A83" s="7468" t="s">
        <v>7334</v>
      </c>
      <c r="B83" s="17092"/>
      <c r="C83" s="17078"/>
      <c r="D83" s="17080"/>
      <c r="E83" s="17078"/>
      <c r="F83" s="17092"/>
      <c r="G83" s="17092"/>
      <c r="H83" s="17092"/>
      <c r="I83" s="17092"/>
      <c r="J83" s="17102"/>
      <c r="K83" s="17104"/>
      <c r="L83" s="17099" t="s">
        <v>8442</v>
      </c>
      <c r="M83" s="17089" t="s">
        <v>7335</v>
      </c>
      <c r="N83" s="17089" t="s">
        <v>7336</v>
      </c>
      <c r="O83" s="17090" t="s">
        <v>7337</v>
      </c>
      <c r="P83" s="17101">
        <f>+AG83</f>
        <v>3000</v>
      </c>
      <c r="Q83" s="17090" t="s">
        <v>7338</v>
      </c>
      <c r="R83" s="17090" t="s">
        <v>7339</v>
      </c>
      <c r="S83" s="7471" t="s">
        <v>10063</v>
      </c>
      <c r="T83" s="17090" t="s">
        <v>7340</v>
      </c>
      <c r="U83" s="17090"/>
      <c r="V83" s="17101">
        <v>300</v>
      </c>
      <c r="W83" s="17101">
        <v>300</v>
      </c>
      <c r="X83" s="17101">
        <v>300</v>
      </c>
      <c r="Y83" s="17101">
        <v>300</v>
      </c>
      <c r="Z83" s="17101">
        <v>300</v>
      </c>
      <c r="AA83" s="17101">
        <v>300</v>
      </c>
      <c r="AB83" s="17101">
        <v>300</v>
      </c>
      <c r="AC83" s="17101">
        <v>300</v>
      </c>
      <c r="AD83" s="17101">
        <v>300</v>
      </c>
      <c r="AE83" s="17101">
        <v>300</v>
      </c>
      <c r="AF83" s="17101">
        <v>300</v>
      </c>
      <c r="AG83" s="17101">
        <f>W83+X83+Y83+Z83+AA83+AB83+AC83+AD83+AE83+AF83</f>
        <v>3000</v>
      </c>
      <c r="AH83" s="17105">
        <f>61855960.588+4500000</f>
        <v>66355960.588</v>
      </c>
      <c r="AI83" s="17105">
        <v>3210528</v>
      </c>
      <c r="AJ83" s="17105"/>
      <c r="AK83" s="17105"/>
      <c r="AL83" s="17105">
        <f>+AH83+AH83*6%</f>
        <v>70337318.223279998</v>
      </c>
      <c r="AM83" s="17105">
        <f>+AI83+AI83*6%</f>
        <v>3403159.68</v>
      </c>
      <c r="AN83" s="17105"/>
      <c r="AO83" s="17105"/>
      <c r="AP83" s="17105">
        <f>+AL83+AL277%</f>
        <v>70337318.223279998</v>
      </c>
      <c r="AQ83" s="17105">
        <f>+AM83+AM83*6%</f>
        <v>3607349.2608000003</v>
      </c>
      <c r="AR83" s="17105"/>
      <c r="AS83" s="17105"/>
      <c r="AT83" s="17105">
        <f>+AP83+AP83*6%</f>
        <v>74557557.316676795</v>
      </c>
      <c r="AU83" s="17105">
        <f>+AQ83+AQ83*6%</f>
        <v>3823790.2164480002</v>
      </c>
      <c r="AV83" s="17105"/>
      <c r="AW83" s="17105"/>
      <c r="AX83" s="17105">
        <f>+AT83+AT83*6%</f>
        <v>79031010.755677402</v>
      </c>
      <c r="AY83" s="17105">
        <f>+AU83+AU83*6%</f>
        <v>4053217.6294348803</v>
      </c>
      <c r="AZ83" s="17105"/>
      <c r="BA83" s="17105"/>
      <c r="BB83" s="17105">
        <f>+AX83+AX83*6%</f>
        <v>83772871.401018053</v>
      </c>
      <c r="BC83" s="17105">
        <f>+AY83+AY83*6%</f>
        <v>4296410.6872009728</v>
      </c>
      <c r="BD83" s="17105"/>
      <c r="BE83" s="17105"/>
      <c r="BF83" s="17105">
        <f>+BB83+BB83*6%</f>
        <v>88799243.685079142</v>
      </c>
      <c r="BG83" s="17105">
        <f>+BC83+BC83*6%</f>
        <v>4554195.3284330312</v>
      </c>
      <c r="BH83" s="17105"/>
      <c r="BI83" s="17105"/>
      <c r="BJ83" s="17105">
        <f>+BF83+BF83*6%</f>
        <v>94127198.30618389</v>
      </c>
      <c r="BK83" s="17105">
        <f>+BG83+BG83*6%</f>
        <v>4827447.0481390134</v>
      </c>
      <c r="BL83" s="17105"/>
      <c r="BM83" s="17105"/>
      <c r="BN83" s="17105">
        <f>+BJ83+BJ83*6%</f>
        <v>99774830.204554915</v>
      </c>
      <c r="BO83" s="17105">
        <f>+BK83+BK83*6%</f>
        <v>5117093.8710273542</v>
      </c>
      <c r="BP83" s="17105"/>
      <c r="BQ83" s="17105"/>
      <c r="BR83" s="17105">
        <f>+BN83+BN83*6%</f>
        <v>105761320.01682821</v>
      </c>
      <c r="BS83" s="17105">
        <f>+BO83+BO83*6%</f>
        <v>5424119.5032889955</v>
      </c>
      <c r="BT83" s="17105"/>
      <c r="BU83" s="17105"/>
      <c r="BV83" s="17105">
        <f>+BR83+BR83*6%</f>
        <v>112106999.2178379</v>
      </c>
      <c r="BW83" s="17105">
        <f>+BS83+BS83*6%</f>
        <v>5749566.6734863352</v>
      </c>
      <c r="BX83" s="17105"/>
      <c r="BY83" s="17105"/>
      <c r="BZ83" s="17105">
        <f>SUM(AH83:BY83)</f>
        <v>993028505.83667493</v>
      </c>
      <c r="CA83" s="17108"/>
      <c r="CB83" s="7579"/>
      <c r="CC83" s="7579"/>
      <c r="CD83" s="7579"/>
      <c r="CE83" s="7579"/>
      <c r="CF83" s="7579"/>
      <c r="CG83" s="7579"/>
      <c r="CH83" s="7579"/>
      <c r="CI83" s="7579"/>
      <c r="CJ83" s="7579"/>
      <c r="CK83" s="7579"/>
      <c r="CL83" s="7579"/>
      <c r="CM83" s="7579"/>
      <c r="CN83" s="7579"/>
      <c r="CO83" s="7579"/>
      <c r="CP83" s="7579"/>
      <c r="CQ83" s="7579"/>
      <c r="CR83" s="7579"/>
      <c r="CS83" s="7579"/>
      <c r="CT83" s="7579"/>
      <c r="CU83" s="7579"/>
      <c r="CV83" s="7579"/>
      <c r="CW83" s="7579"/>
      <c r="CX83" s="7579"/>
      <c r="CY83" s="7579"/>
      <c r="CZ83" s="7579"/>
      <c r="DA83" s="7579"/>
      <c r="DB83" s="7579"/>
      <c r="DC83" s="7579"/>
      <c r="DD83" s="7579"/>
      <c r="DE83" s="7579"/>
      <c r="DF83" s="7579"/>
      <c r="DG83" s="7579"/>
      <c r="DH83" s="7579"/>
      <c r="DI83" s="7579"/>
      <c r="DJ83" s="7579"/>
      <c r="DK83" s="7579"/>
      <c r="DL83" s="7579"/>
      <c r="DM83" s="7579"/>
      <c r="DN83" s="7579"/>
      <c r="DO83" s="7579"/>
      <c r="DP83" s="7579"/>
      <c r="DQ83" s="7579"/>
      <c r="DR83" s="7579"/>
      <c r="DS83" s="7475"/>
      <c r="DT83" s="7475"/>
      <c r="DU83" s="7524"/>
    </row>
    <row r="84" spans="1:125" s="7470" customFormat="1" ht="15.75" customHeight="1">
      <c r="A84" s="7468" t="s">
        <v>7341</v>
      </c>
      <c r="B84" s="17092"/>
      <c r="C84" s="17078"/>
      <c r="D84" s="17080"/>
      <c r="E84" s="17078"/>
      <c r="F84" s="17092"/>
      <c r="G84" s="17092"/>
      <c r="H84" s="17092"/>
      <c r="I84" s="17092"/>
      <c r="J84" s="17102"/>
      <c r="K84" s="17104"/>
      <c r="L84" s="17099"/>
      <c r="M84" s="17089"/>
      <c r="N84" s="17089"/>
      <c r="O84" s="17090"/>
      <c r="P84" s="17101"/>
      <c r="Q84" s="17090"/>
      <c r="R84" s="17090"/>
      <c r="S84" s="7471" t="s">
        <v>10066</v>
      </c>
      <c r="T84" s="17090"/>
      <c r="U84" s="17090"/>
      <c r="V84" s="17101"/>
      <c r="W84" s="17101"/>
      <c r="X84" s="17101"/>
      <c r="Y84" s="17101"/>
      <c r="Z84" s="17101"/>
      <c r="AA84" s="17101"/>
      <c r="AB84" s="17101"/>
      <c r="AC84" s="17101"/>
      <c r="AD84" s="17101"/>
      <c r="AE84" s="17101"/>
      <c r="AF84" s="17101"/>
      <c r="AG84" s="17101"/>
      <c r="AH84" s="17105"/>
      <c r="AI84" s="17105"/>
      <c r="AJ84" s="17105"/>
      <c r="AK84" s="17105"/>
      <c r="AL84" s="17105"/>
      <c r="AM84" s="17105"/>
      <c r="AN84" s="17105"/>
      <c r="AO84" s="17105"/>
      <c r="AP84" s="17105"/>
      <c r="AQ84" s="17105"/>
      <c r="AR84" s="17105"/>
      <c r="AS84" s="17105"/>
      <c r="AT84" s="17105"/>
      <c r="AU84" s="17105"/>
      <c r="AV84" s="17105"/>
      <c r="AW84" s="17105"/>
      <c r="AX84" s="17105"/>
      <c r="AY84" s="17105"/>
      <c r="AZ84" s="17105"/>
      <c r="BA84" s="17105"/>
      <c r="BB84" s="17105"/>
      <c r="BC84" s="17105"/>
      <c r="BD84" s="17105"/>
      <c r="BE84" s="17105"/>
      <c r="BF84" s="17105"/>
      <c r="BG84" s="17105"/>
      <c r="BH84" s="17105"/>
      <c r="BI84" s="17105"/>
      <c r="BJ84" s="17105"/>
      <c r="BK84" s="17105"/>
      <c r="BL84" s="17105"/>
      <c r="BM84" s="17105"/>
      <c r="BN84" s="17105"/>
      <c r="BO84" s="17105"/>
      <c r="BP84" s="17105"/>
      <c r="BQ84" s="17105"/>
      <c r="BR84" s="17105"/>
      <c r="BS84" s="17105"/>
      <c r="BT84" s="17105"/>
      <c r="BU84" s="17105"/>
      <c r="BV84" s="17105"/>
      <c r="BW84" s="17105"/>
      <c r="BX84" s="17105"/>
      <c r="BY84" s="17105"/>
      <c r="BZ84" s="17105"/>
      <c r="CA84" s="17108"/>
      <c r="CB84" s="7579"/>
      <c r="CC84" s="7579"/>
      <c r="CD84" s="7579"/>
      <c r="CE84" s="7579"/>
      <c r="CF84" s="7579"/>
      <c r="CG84" s="7579"/>
      <c r="CH84" s="7579"/>
      <c r="CI84" s="7579"/>
      <c r="CJ84" s="7579"/>
      <c r="CK84" s="7579"/>
      <c r="CL84" s="7579"/>
      <c r="CM84" s="7579"/>
      <c r="CN84" s="7579"/>
      <c r="CO84" s="7579"/>
      <c r="CP84" s="7579"/>
      <c r="CQ84" s="7579"/>
      <c r="CR84" s="7579"/>
      <c r="CS84" s="7579"/>
      <c r="CT84" s="7579"/>
      <c r="CU84" s="7579"/>
      <c r="CV84" s="7579"/>
      <c r="CW84" s="7579"/>
      <c r="CX84" s="7579"/>
      <c r="CY84" s="7579"/>
      <c r="CZ84" s="7579"/>
      <c r="DA84" s="7579"/>
      <c r="DB84" s="7579"/>
      <c r="DC84" s="7579"/>
      <c r="DD84" s="7579"/>
      <c r="DE84" s="7579"/>
      <c r="DF84" s="7579"/>
      <c r="DG84" s="7579"/>
      <c r="DH84" s="7579"/>
      <c r="DI84" s="7579"/>
      <c r="DJ84" s="7579"/>
      <c r="DK84" s="7579"/>
      <c r="DL84" s="7579"/>
      <c r="DM84" s="7579"/>
      <c r="DN84" s="7579"/>
      <c r="DO84" s="7579"/>
      <c r="DP84" s="7579"/>
      <c r="DQ84" s="7579"/>
      <c r="DR84" s="7579"/>
      <c r="DS84" s="7475"/>
      <c r="DT84" s="7475"/>
      <c r="DU84" s="7524"/>
    </row>
    <row r="85" spans="1:125" s="7470" customFormat="1" ht="15.75" customHeight="1" thickBot="1">
      <c r="A85" s="7468" t="s">
        <v>7342</v>
      </c>
      <c r="B85" s="17092"/>
      <c r="C85" s="17078"/>
      <c r="D85" s="17080"/>
      <c r="E85" s="17078"/>
      <c r="F85" s="7478" t="s">
        <v>7343</v>
      </c>
      <c r="G85" s="17092"/>
      <c r="H85" s="17092"/>
      <c r="I85" s="17092"/>
      <c r="J85" s="17102"/>
      <c r="K85" s="17104"/>
      <c r="L85" s="7526" t="s">
        <v>8443</v>
      </c>
      <c r="M85" s="7527" t="s">
        <v>7344</v>
      </c>
      <c r="N85" s="7527" t="s">
        <v>7345</v>
      </c>
      <c r="O85" s="7528" t="s">
        <v>7169</v>
      </c>
      <c r="P85" s="7529">
        <f>+AG85</f>
        <v>1</v>
      </c>
      <c r="Q85" s="7528" t="s">
        <v>7346</v>
      </c>
      <c r="R85" s="7528" t="s">
        <v>7347</v>
      </c>
      <c r="S85" s="7527" t="s">
        <v>10063</v>
      </c>
      <c r="T85" s="7528" t="s">
        <v>144</v>
      </c>
      <c r="U85" s="7530"/>
      <c r="V85" s="7531">
        <v>0</v>
      </c>
      <c r="W85" s="7531">
        <v>1</v>
      </c>
      <c r="X85" s="7531">
        <v>1</v>
      </c>
      <c r="Y85" s="7531">
        <v>1</v>
      </c>
      <c r="Z85" s="7531">
        <v>1</v>
      </c>
      <c r="AA85" s="7531">
        <v>1</v>
      </c>
      <c r="AB85" s="7531">
        <v>1</v>
      </c>
      <c r="AC85" s="7531">
        <v>1</v>
      </c>
      <c r="AD85" s="7531">
        <v>1</v>
      </c>
      <c r="AE85" s="7531">
        <v>1</v>
      </c>
      <c r="AF85" s="7531">
        <v>1</v>
      </c>
      <c r="AG85" s="7531">
        <v>1</v>
      </c>
      <c r="AH85" s="7532">
        <f>(2500000*10)/3</f>
        <v>8333333.333333333</v>
      </c>
      <c r="AI85" s="7532"/>
      <c r="AJ85" s="7532"/>
      <c r="AK85" s="7532"/>
      <c r="AL85" s="7532">
        <f>+AH85+AH85*6%</f>
        <v>8833333.3333333321</v>
      </c>
      <c r="AM85" s="7532"/>
      <c r="AN85" s="7532"/>
      <c r="AO85" s="7532"/>
      <c r="AP85" s="7532">
        <f>+AL85+AL85*6%</f>
        <v>9363333.3333333321</v>
      </c>
      <c r="AQ85" s="7532"/>
      <c r="AR85" s="7532"/>
      <c r="AS85" s="7532"/>
      <c r="AT85" s="7532">
        <f>+AP85+AP85*6%</f>
        <v>9925133.3333333321</v>
      </c>
      <c r="AU85" s="7532"/>
      <c r="AV85" s="7532"/>
      <c r="AW85" s="7532"/>
      <c r="AX85" s="7532">
        <f>+AT85+AT85*6%</f>
        <v>10520641.333333332</v>
      </c>
      <c r="AY85" s="7532"/>
      <c r="AZ85" s="7532"/>
      <c r="BA85" s="7532"/>
      <c r="BB85" s="7532">
        <f>+AX85+AX85*6%</f>
        <v>11151879.813333333</v>
      </c>
      <c r="BC85" s="7532"/>
      <c r="BD85" s="7532"/>
      <c r="BE85" s="7532"/>
      <c r="BF85" s="7532">
        <f>+BB85+BB85*6%</f>
        <v>11820992.602133332</v>
      </c>
      <c r="BG85" s="7532"/>
      <c r="BH85" s="7532"/>
      <c r="BI85" s="7532"/>
      <c r="BJ85" s="7532">
        <f>+BF85+BF85*6%</f>
        <v>12530252.158261333</v>
      </c>
      <c r="BK85" s="7532"/>
      <c r="BL85" s="7532"/>
      <c r="BM85" s="7532"/>
      <c r="BN85" s="7532">
        <f>+BJ85+BJ85*6%</f>
        <v>13282067.287757013</v>
      </c>
      <c r="BO85" s="7532"/>
      <c r="BP85" s="7532"/>
      <c r="BQ85" s="7532"/>
      <c r="BR85" s="7532">
        <f>+BN85+BN85*6%</f>
        <v>14078991.325022433</v>
      </c>
      <c r="BS85" s="7532"/>
      <c r="BT85" s="7532"/>
      <c r="BU85" s="7532"/>
      <c r="BV85" s="7532">
        <f>+BR85+BR85*6%</f>
        <v>14923730.804523779</v>
      </c>
      <c r="BW85" s="7532"/>
      <c r="BX85" s="7532"/>
      <c r="BY85" s="7532"/>
      <c r="BZ85" s="7532">
        <f>SUM(AH85:BY85)</f>
        <v>124763688.65769787</v>
      </c>
      <c r="CA85" s="7530"/>
      <c r="CB85" s="7530"/>
      <c r="CC85" s="7530"/>
      <c r="CD85" s="7530"/>
      <c r="CE85" s="7530"/>
      <c r="CF85" s="7530"/>
      <c r="CG85" s="7530"/>
      <c r="CH85" s="7530"/>
      <c r="CI85" s="7530"/>
      <c r="CJ85" s="7530"/>
      <c r="CK85" s="7530"/>
      <c r="CL85" s="7530"/>
      <c r="CM85" s="7530"/>
      <c r="CN85" s="7530"/>
      <c r="CO85" s="7530"/>
      <c r="CP85" s="7530"/>
      <c r="CQ85" s="7530"/>
      <c r="CR85" s="7530"/>
      <c r="CS85" s="7530"/>
      <c r="CT85" s="7530"/>
      <c r="CU85" s="7530"/>
      <c r="CV85" s="7530"/>
      <c r="CW85" s="7530"/>
      <c r="CX85" s="7530"/>
      <c r="CY85" s="7530"/>
      <c r="CZ85" s="7530"/>
      <c r="DA85" s="7530"/>
      <c r="DB85" s="7530"/>
      <c r="DC85" s="7530"/>
      <c r="DD85" s="7530"/>
      <c r="DE85" s="7530"/>
      <c r="DF85" s="7530"/>
      <c r="DG85" s="7530"/>
      <c r="DH85" s="7530"/>
      <c r="DI85" s="7530"/>
      <c r="DJ85" s="7530"/>
      <c r="DK85" s="7530"/>
      <c r="DL85" s="7530"/>
      <c r="DM85" s="7530"/>
      <c r="DN85" s="7530"/>
      <c r="DO85" s="7530"/>
      <c r="DP85" s="7530"/>
      <c r="DQ85" s="7530"/>
      <c r="DR85" s="7530"/>
      <c r="DS85" s="7533"/>
      <c r="DT85" s="7533"/>
      <c r="DU85" s="7534"/>
    </row>
    <row r="87" spans="1:125" ht="15.75" customHeight="1">
      <c r="BZ87" s="760">
        <f>SUM(BZ8:BZ85)</f>
        <v>40444261859.994537</v>
      </c>
    </row>
  </sheetData>
  <autoFilter ref="A7:DZ85" xr:uid="{00000000-0009-0000-0000-00001B000000}"/>
  <mergeCells count="453">
    <mergeCell ref="P70:P71"/>
    <mergeCell ref="Q70:Q71"/>
    <mergeCell ref="R70:R71"/>
    <mergeCell ref="T70:T71"/>
    <mergeCell ref="F80:F81"/>
    <mergeCell ref="L80:L81"/>
    <mergeCell ref="M80:M81"/>
    <mergeCell ref="N80:N81"/>
    <mergeCell ref="O80:O81"/>
    <mergeCell ref="P80:P81"/>
    <mergeCell ref="Q80:Q81"/>
    <mergeCell ref="R80:R81"/>
    <mergeCell ref="P77:P79"/>
    <mergeCell ref="Q77:Q79"/>
    <mergeCell ref="R77:R79"/>
    <mergeCell ref="CB4:DU4"/>
    <mergeCell ref="P57:P58"/>
    <mergeCell ref="Q57:Q58"/>
    <mergeCell ref="R57:R58"/>
    <mergeCell ref="F63:F64"/>
    <mergeCell ref="L63:L64"/>
    <mergeCell ref="M63:M64"/>
    <mergeCell ref="N63:N64"/>
    <mergeCell ref="O63:O64"/>
    <mergeCell ref="P63:P64"/>
    <mergeCell ref="Q63:Q64"/>
    <mergeCell ref="R63:R64"/>
    <mergeCell ref="T63:T64"/>
    <mergeCell ref="F40:F49"/>
    <mergeCell ref="F50:F52"/>
    <mergeCell ref="F23:F31"/>
    <mergeCell ref="H23:H52"/>
    <mergeCell ref="I23:I52"/>
    <mergeCell ref="J23:J52"/>
    <mergeCell ref="K23:K52"/>
    <mergeCell ref="T20:T21"/>
    <mergeCell ref="L20:L21"/>
    <mergeCell ref="M20:M21"/>
    <mergeCell ref="N20:N21"/>
    <mergeCell ref="T48:T49"/>
    <mergeCell ref="L48:L49"/>
    <mergeCell ref="M48:M49"/>
    <mergeCell ref="N48:N49"/>
    <mergeCell ref="O48:O49"/>
    <mergeCell ref="P48:P49"/>
    <mergeCell ref="Q48:Q49"/>
    <mergeCell ref="R48:R49"/>
    <mergeCell ref="L51:L52"/>
    <mergeCell ref="M51:M52"/>
    <mergeCell ref="N51:N52"/>
    <mergeCell ref="O51:O52"/>
    <mergeCell ref="P51:P52"/>
    <mergeCell ref="Q51:Q52"/>
    <mergeCell ref="R51:R52"/>
    <mergeCell ref="T51:T52"/>
    <mergeCell ref="M29:M31"/>
    <mergeCell ref="N29:N31"/>
    <mergeCell ref="O29:O31"/>
    <mergeCell ref="P29:P31"/>
    <mergeCell ref="Q29:Q31"/>
    <mergeCell ref="R29:R31"/>
    <mergeCell ref="L68:L69"/>
    <mergeCell ref="M68:M69"/>
    <mergeCell ref="N68:N69"/>
    <mergeCell ref="O68:O69"/>
    <mergeCell ref="P68:P69"/>
    <mergeCell ref="Q68:Q69"/>
    <mergeCell ref="R68:R69"/>
    <mergeCell ref="Q55:Q56"/>
    <mergeCell ref="R55:R56"/>
    <mergeCell ref="L57:L58"/>
    <mergeCell ref="M57:M58"/>
    <mergeCell ref="N57:N58"/>
    <mergeCell ref="O57:O58"/>
    <mergeCell ref="M55:M56"/>
    <mergeCell ref="N55:N56"/>
    <mergeCell ref="O55:O56"/>
    <mergeCell ref="P55:P56"/>
    <mergeCell ref="T18:T19"/>
    <mergeCell ref="L18:L19"/>
    <mergeCell ref="M18:M19"/>
    <mergeCell ref="N18:N19"/>
    <mergeCell ref="O18:O19"/>
    <mergeCell ref="P18:P19"/>
    <mergeCell ref="O20:O21"/>
    <mergeCell ref="P20:P21"/>
    <mergeCell ref="Q20:Q21"/>
    <mergeCell ref="R20:R21"/>
    <mergeCell ref="Q8:Q9"/>
    <mergeCell ref="R8:R9"/>
    <mergeCell ref="T12:T13"/>
    <mergeCell ref="L12:L13"/>
    <mergeCell ref="M12:M13"/>
    <mergeCell ref="N12:N13"/>
    <mergeCell ref="O12:O13"/>
    <mergeCell ref="P12:P13"/>
    <mergeCell ref="Q12:Q13"/>
    <mergeCell ref="R12:R13"/>
    <mergeCell ref="CA32:CA33"/>
    <mergeCell ref="CA34:CA39"/>
    <mergeCell ref="CA77:CA79"/>
    <mergeCell ref="CA83:CA84"/>
    <mergeCell ref="A3:W4"/>
    <mergeCell ref="CB5:CB7"/>
    <mergeCell ref="A1:W2"/>
    <mergeCell ref="L5:L7"/>
    <mergeCell ref="L77:L79"/>
    <mergeCell ref="L83:L84"/>
    <mergeCell ref="BV83:BV84"/>
    <mergeCell ref="BW83:BW84"/>
    <mergeCell ref="BX83:BX84"/>
    <mergeCell ref="BI83:BI84"/>
    <mergeCell ref="AX83:AX84"/>
    <mergeCell ref="AY83:AY84"/>
    <mergeCell ref="AZ83:AZ84"/>
    <mergeCell ref="BA83:BA84"/>
    <mergeCell ref="BB83:BB84"/>
    <mergeCell ref="BC83:BC84"/>
    <mergeCell ref="AR83:AR84"/>
    <mergeCell ref="AS83:AS84"/>
    <mergeCell ref="T34:T35"/>
    <mergeCell ref="T29:T30"/>
    <mergeCell ref="AL83:AL84"/>
    <mergeCell ref="AM83:AM84"/>
    <mergeCell ref="AJ83:AJ84"/>
    <mergeCell ref="AK83:AK84"/>
    <mergeCell ref="Z83:Z84"/>
    <mergeCell ref="AA83:AA84"/>
    <mergeCell ref="AB83:AB84"/>
    <mergeCell ref="AC83:AC84"/>
    <mergeCell ref="AD83:AD84"/>
    <mergeCell ref="AE83:AE84"/>
    <mergeCell ref="AF83:AF84"/>
    <mergeCell ref="AG83:AG84"/>
    <mergeCell ref="AH83:AH84"/>
    <mergeCell ref="AI83:AI84"/>
    <mergeCell ref="BY83:BY84"/>
    <mergeCell ref="BZ83:BZ84"/>
    <mergeCell ref="BP83:BP84"/>
    <mergeCell ref="BQ83:BQ84"/>
    <mergeCell ref="BR83:BR84"/>
    <mergeCell ref="BS83:BS84"/>
    <mergeCell ref="BT83:BT84"/>
    <mergeCell ref="BU83:BU84"/>
    <mergeCell ref="BJ83:BJ84"/>
    <mergeCell ref="BK83:BK84"/>
    <mergeCell ref="BL83:BL84"/>
    <mergeCell ref="BM83:BM84"/>
    <mergeCell ref="BN83:BN84"/>
    <mergeCell ref="BO83:BO84"/>
    <mergeCell ref="BD83:BD84"/>
    <mergeCell ref="BE83:BE84"/>
    <mergeCell ref="BF83:BF84"/>
    <mergeCell ref="BG83:BG84"/>
    <mergeCell ref="BH83:BH84"/>
    <mergeCell ref="AN83:AN84"/>
    <mergeCell ref="AO83:AO84"/>
    <mergeCell ref="AP83:AP84"/>
    <mergeCell ref="AQ83:AQ84"/>
    <mergeCell ref="AT83:AT84"/>
    <mergeCell ref="AU83:AU84"/>
    <mergeCell ref="AV83:AV84"/>
    <mergeCell ref="AW83:AW84"/>
    <mergeCell ref="T83:T84"/>
    <mergeCell ref="U83:U84"/>
    <mergeCell ref="V83:V84"/>
    <mergeCell ref="W83:W84"/>
    <mergeCell ref="X83:X84"/>
    <mergeCell ref="Y83:Y84"/>
    <mergeCell ref="M83:M84"/>
    <mergeCell ref="N83:N84"/>
    <mergeCell ref="O83:O84"/>
    <mergeCell ref="P83:P84"/>
    <mergeCell ref="Q83:Q84"/>
    <mergeCell ref="R83:R84"/>
    <mergeCell ref="BY77:BY79"/>
    <mergeCell ref="BZ77:BZ79"/>
    <mergeCell ref="F82:F84"/>
    <mergeCell ref="BS77:BS79"/>
    <mergeCell ref="BT77:BT79"/>
    <mergeCell ref="BU77:BU79"/>
    <mergeCell ref="BV77:BV79"/>
    <mergeCell ref="BW77:BW79"/>
    <mergeCell ref="BX77:BX79"/>
    <mergeCell ref="BM77:BM79"/>
    <mergeCell ref="BN77:BN79"/>
    <mergeCell ref="BO77:BO79"/>
    <mergeCell ref="BP77:BP79"/>
    <mergeCell ref="BQ77:BQ79"/>
    <mergeCell ref="BR77:BR79"/>
    <mergeCell ref="BG77:BG79"/>
    <mergeCell ref="BH77:BH79"/>
    <mergeCell ref="BI77:BI79"/>
    <mergeCell ref="BJ77:BJ79"/>
    <mergeCell ref="BK77:BK79"/>
    <mergeCell ref="BL77:BL79"/>
    <mergeCell ref="BA77:BA79"/>
    <mergeCell ref="BB77:BB79"/>
    <mergeCell ref="BC77:BC79"/>
    <mergeCell ref="BD77:BD79"/>
    <mergeCell ref="BE77:BE79"/>
    <mergeCell ref="BF77:BF79"/>
    <mergeCell ref="AU77:AU79"/>
    <mergeCell ref="AV77:AV79"/>
    <mergeCell ref="AW77:AW79"/>
    <mergeCell ref="AX77:AX79"/>
    <mergeCell ref="AY77:AY79"/>
    <mergeCell ref="AZ77:AZ79"/>
    <mergeCell ref="AQ77:AQ79"/>
    <mergeCell ref="AR77:AR79"/>
    <mergeCell ref="AS77:AS79"/>
    <mergeCell ref="AT77:AT79"/>
    <mergeCell ref="AI77:AI79"/>
    <mergeCell ref="AJ77:AJ79"/>
    <mergeCell ref="AK77:AK79"/>
    <mergeCell ref="AL77:AL79"/>
    <mergeCell ref="AM77:AM79"/>
    <mergeCell ref="AN77:AN79"/>
    <mergeCell ref="Z77:Z79"/>
    <mergeCell ref="AA77:AA79"/>
    <mergeCell ref="AB77:AB79"/>
    <mergeCell ref="AO77:AO79"/>
    <mergeCell ref="AP77:AP79"/>
    <mergeCell ref="AC77:AC79"/>
    <mergeCell ref="AD77:AD79"/>
    <mergeCell ref="AE77:AE79"/>
    <mergeCell ref="AF77:AF79"/>
    <mergeCell ref="AG77:AG79"/>
    <mergeCell ref="T68:T69"/>
    <mergeCell ref="T57:T58"/>
    <mergeCell ref="M43:M44"/>
    <mergeCell ref="AM34:AM39"/>
    <mergeCell ref="AB34:AB39"/>
    <mergeCell ref="AC34:AC39"/>
    <mergeCell ref="V77:V79"/>
    <mergeCell ref="J68:J85"/>
    <mergeCell ref="K68:K85"/>
    <mergeCell ref="T55:T56"/>
    <mergeCell ref="AD34:AD39"/>
    <mergeCell ref="AE34:AE39"/>
    <mergeCell ref="AF34:AF39"/>
    <mergeCell ref="AG34:AG39"/>
    <mergeCell ref="M34:M39"/>
    <mergeCell ref="N34:N39"/>
    <mergeCell ref="O34:O39"/>
    <mergeCell ref="P34:P39"/>
    <mergeCell ref="Q34:Q39"/>
    <mergeCell ref="R34:R39"/>
    <mergeCell ref="AH77:AH79"/>
    <mergeCell ref="W77:W79"/>
    <mergeCell ref="X77:X79"/>
    <mergeCell ref="Y77:Y79"/>
    <mergeCell ref="A70:A73"/>
    <mergeCell ref="M77:M79"/>
    <mergeCell ref="N77:N79"/>
    <mergeCell ref="O77:O79"/>
    <mergeCell ref="F57:F59"/>
    <mergeCell ref="A61:A62"/>
    <mergeCell ref="F61:F62"/>
    <mergeCell ref="F66:F67"/>
    <mergeCell ref="B68:B85"/>
    <mergeCell ref="F68:F79"/>
    <mergeCell ref="G68:G85"/>
    <mergeCell ref="H68:H85"/>
    <mergeCell ref="I68:I85"/>
    <mergeCell ref="J53:J67"/>
    <mergeCell ref="K53:K67"/>
    <mergeCell ref="L55:L56"/>
    <mergeCell ref="L70:L71"/>
    <mergeCell ref="M70:M71"/>
    <mergeCell ref="N70:N71"/>
    <mergeCell ref="O70:O71"/>
    <mergeCell ref="BX34:BX39"/>
    <mergeCell ref="BY34:BY39"/>
    <mergeCell ref="BZ34:BZ39"/>
    <mergeCell ref="BW34:BW39"/>
    <mergeCell ref="BC34:BC39"/>
    <mergeCell ref="BD34:BD39"/>
    <mergeCell ref="BE34:BE39"/>
    <mergeCell ref="AT34:AT39"/>
    <mergeCell ref="AU34:AU39"/>
    <mergeCell ref="AV34:AV39"/>
    <mergeCell ref="AW34:AW39"/>
    <mergeCell ref="AX34:AX39"/>
    <mergeCell ref="AY34:AY39"/>
    <mergeCell ref="BT34:BT39"/>
    <mergeCell ref="BU34:BU39"/>
    <mergeCell ref="BV34:BV39"/>
    <mergeCell ref="AZ34:AZ39"/>
    <mergeCell ref="BA34:BA39"/>
    <mergeCell ref="BB34:BB39"/>
    <mergeCell ref="AS34:AS39"/>
    <mergeCell ref="AH34:AH39"/>
    <mergeCell ref="AI34:AI39"/>
    <mergeCell ref="AJ34:AJ39"/>
    <mergeCell ref="AK34:AK39"/>
    <mergeCell ref="AL34:AL39"/>
    <mergeCell ref="BR34:BR39"/>
    <mergeCell ref="BS34:BS39"/>
    <mergeCell ref="BL34:BL39"/>
    <mergeCell ref="BM34:BM39"/>
    <mergeCell ref="BN34:BN39"/>
    <mergeCell ref="BO34:BO39"/>
    <mergeCell ref="BP34:BP39"/>
    <mergeCell ref="BQ34:BQ39"/>
    <mergeCell ref="BF34:BF39"/>
    <mergeCell ref="BG34:BG39"/>
    <mergeCell ref="BH34:BH39"/>
    <mergeCell ref="BI34:BI39"/>
    <mergeCell ref="BJ34:BJ39"/>
    <mergeCell ref="BK34:BK39"/>
    <mergeCell ref="AN34:AN39"/>
    <mergeCell ref="AO34:AO39"/>
    <mergeCell ref="AP34:AP39"/>
    <mergeCell ref="AQ34:AQ39"/>
    <mergeCell ref="AR34:AR39"/>
    <mergeCell ref="V34:V39"/>
    <mergeCell ref="W34:W39"/>
    <mergeCell ref="X34:X39"/>
    <mergeCell ref="Y34:Y39"/>
    <mergeCell ref="Z34:Z39"/>
    <mergeCell ref="AA34:AA39"/>
    <mergeCell ref="BY32:BY33"/>
    <mergeCell ref="BZ32:BZ33"/>
    <mergeCell ref="BS32:BS33"/>
    <mergeCell ref="BT32:BT33"/>
    <mergeCell ref="BU32:BU33"/>
    <mergeCell ref="BV32:BV33"/>
    <mergeCell ref="BW32:BW33"/>
    <mergeCell ref="BX32:BX33"/>
    <mergeCell ref="BM32:BM33"/>
    <mergeCell ref="BN32:BN33"/>
    <mergeCell ref="BO32:BO33"/>
    <mergeCell ref="BP32:BP33"/>
    <mergeCell ref="BQ32:BQ33"/>
    <mergeCell ref="BR32:BR33"/>
    <mergeCell ref="BG32:BG33"/>
    <mergeCell ref="BH32:BH33"/>
    <mergeCell ref="BI32:BI33"/>
    <mergeCell ref="BJ32:BJ33"/>
    <mergeCell ref="BK32:BK33"/>
    <mergeCell ref="BL32:BL33"/>
    <mergeCell ref="BA32:BA33"/>
    <mergeCell ref="BB32:BB33"/>
    <mergeCell ref="BC32:BC33"/>
    <mergeCell ref="BD32:BD33"/>
    <mergeCell ref="BE32:BE33"/>
    <mergeCell ref="BF32:BF33"/>
    <mergeCell ref="AU32:AU33"/>
    <mergeCell ref="AV32:AV33"/>
    <mergeCell ref="AW32:AW33"/>
    <mergeCell ref="AX32:AX33"/>
    <mergeCell ref="AY32:AY33"/>
    <mergeCell ref="AZ32:AZ33"/>
    <mergeCell ref="AO32:AO33"/>
    <mergeCell ref="AP32:AP33"/>
    <mergeCell ref="AQ32:AQ33"/>
    <mergeCell ref="AR32:AR33"/>
    <mergeCell ref="AS32:AS33"/>
    <mergeCell ref="AT32:AT33"/>
    <mergeCell ref="AI32:AI33"/>
    <mergeCell ref="AJ32:AJ33"/>
    <mergeCell ref="AK32:AK33"/>
    <mergeCell ref="AL32:AL33"/>
    <mergeCell ref="AM32:AM33"/>
    <mergeCell ref="AN32:AN33"/>
    <mergeCell ref="AE32:AE33"/>
    <mergeCell ref="AF32:AF33"/>
    <mergeCell ref="AG32:AG33"/>
    <mergeCell ref="AH32:AH33"/>
    <mergeCell ref="W32:W33"/>
    <mergeCell ref="X32:X33"/>
    <mergeCell ref="Y32:Y33"/>
    <mergeCell ref="Z32:Z33"/>
    <mergeCell ref="AA32:AA33"/>
    <mergeCell ref="AB32:AB33"/>
    <mergeCell ref="R32:R33"/>
    <mergeCell ref="V32:V33"/>
    <mergeCell ref="AC32:AC33"/>
    <mergeCell ref="AD32:AD33"/>
    <mergeCell ref="A27:A28"/>
    <mergeCell ref="M32:M33"/>
    <mergeCell ref="N32:N33"/>
    <mergeCell ref="O32:O33"/>
    <mergeCell ref="P32:P33"/>
    <mergeCell ref="Q32:Q33"/>
    <mergeCell ref="BZ6:BZ7"/>
    <mergeCell ref="B8:B22"/>
    <mergeCell ref="C8:C85"/>
    <mergeCell ref="D8:D85"/>
    <mergeCell ref="E8:E85"/>
    <mergeCell ref="F8:F16"/>
    <mergeCell ref="G8:G22"/>
    <mergeCell ref="H8:H22"/>
    <mergeCell ref="I8:I22"/>
    <mergeCell ref="J8:J22"/>
    <mergeCell ref="BB6:BE6"/>
    <mergeCell ref="BF6:BI6"/>
    <mergeCell ref="BJ6:BM6"/>
    <mergeCell ref="BN6:BQ6"/>
    <mergeCell ref="BR6:BU6"/>
    <mergeCell ref="BV6:BY6"/>
    <mergeCell ref="T5:T7"/>
    <mergeCell ref="U5:U7"/>
    <mergeCell ref="V5:V7"/>
    <mergeCell ref="W5:AG6"/>
    <mergeCell ref="AH5:BZ5"/>
    <mergeCell ref="AH6:AK6"/>
    <mergeCell ref="AL6:AO6"/>
    <mergeCell ref="AP6:AS6"/>
    <mergeCell ref="AT6:AW6"/>
    <mergeCell ref="K8:K22"/>
    <mergeCell ref="AX6:BA6"/>
    <mergeCell ref="M5:M7"/>
    <mergeCell ref="N5:N7"/>
    <mergeCell ref="O5:O7"/>
    <mergeCell ref="P5:P7"/>
    <mergeCell ref="Q5:Q7"/>
    <mergeCell ref="R5:R7"/>
    <mergeCell ref="Q18:Q19"/>
    <mergeCell ref="R18:R19"/>
    <mergeCell ref="S5:S7"/>
    <mergeCell ref="L8:L9"/>
    <mergeCell ref="M8:M9"/>
    <mergeCell ref="N8:N9"/>
    <mergeCell ref="O8:O9"/>
    <mergeCell ref="P8:P9"/>
    <mergeCell ref="F17:F22"/>
    <mergeCell ref="A18:A20"/>
    <mergeCell ref="B23:B51"/>
    <mergeCell ref="F32:F39"/>
    <mergeCell ref="L34:L39"/>
    <mergeCell ref="L43:L44"/>
    <mergeCell ref="A42:A44"/>
    <mergeCell ref="L32:L33"/>
    <mergeCell ref="F53:F56"/>
    <mergeCell ref="L29:L31"/>
    <mergeCell ref="A45:A46"/>
    <mergeCell ref="B53:B67"/>
    <mergeCell ref="G53:G67"/>
    <mergeCell ref="H53:H67"/>
    <mergeCell ref="I53:I67"/>
    <mergeCell ref="F5:F7"/>
    <mergeCell ref="G5:G7"/>
    <mergeCell ref="H5:H7"/>
    <mergeCell ref="I5:I7"/>
    <mergeCell ref="J5:J7"/>
    <mergeCell ref="K5:K7"/>
    <mergeCell ref="A5:A7"/>
    <mergeCell ref="B5:B7"/>
    <mergeCell ref="C5:C7"/>
    <mergeCell ref="D5:D7"/>
    <mergeCell ref="E5:E7"/>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tabColor rgb="FFFF0000"/>
  </sheetPr>
  <dimension ref="B1:L521"/>
  <sheetViews>
    <sheetView showGridLines="0" zoomScale="90" zoomScaleNormal="90" workbookViewId="0">
      <pane ySplit="4140" topLeftCell="A5"/>
      <selection activeCell="C8" sqref="C8:I8"/>
      <selection pane="bottomLeft" activeCell="G8" sqref="G8"/>
    </sheetView>
  </sheetViews>
  <sheetFormatPr baseColWidth="10" defaultRowHeight="15"/>
  <cols>
    <col min="2" max="2" width="2.85546875" customWidth="1"/>
    <col min="3" max="3" width="26.85546875" customWidth="1"/>
    <col min="4" max="4" width="2.85546875" customWidth="1"/>
    <col min="5" max="5" width="37.140625" customWidth="1"/>
    <col min="6" max="6" width="2.85546875" customWidth="1"/>
    <col min="7" max="7" width="44.7109375" customWidth="1"/>
    <col min="8" max="8" width="2.85546875" customWidth="1"/>
    <col min="9" max="9" width="44.42578125" customWidth="1"/>
    <col min="11" max="11" width="2.85546875" customWidth="1"/>
    <col min="12" max="12" width="44.42578125" customWidth="1"/>
  </cols>
  <sheetData>
    <row r="1" spans="2:12">
      <c r="B1" s="17127" t="s">
        <v>8452</v>
      </c>
      <c r="C1" s="17128"/>
      <c r="D1" s="17127" t="s">
        <v>8453</v>
      </c>
      <c r="E1" s="17128"/>
      <c r="F1" s="17127" t="s">
        <v>8460</v>
      </c>
      <c r="G1" s="17128"/>
      <c r="H1" s="17127" t="s">
        <v>8466</v>
      </c>
      <c r="I1" s="17128"/>
      <c r="K1" s="17127" t="s">
        <v>8466</v>
      </c>
      <c r="L1" s="17128"/>
    </row>
    <row r="2" spans="2:12">
      <c r="B2" s="412"/>
      <c r="C2" s="413" t="s">
        <v>8447</v>
      </c>
      <c r="D2" s="412"/>
      <c r="E2" s="413" t="s">
        <v>8454</v>
      </c>
      <c r="F2" s="412"/>
      <c r="G2" s="413" t="s">
        <v>8461</v>
      </c>
      <c r="H2" s="412"/>
      <c r="I2" s="413" t="s">
        <v>8467</v>
      </c>
      <c r="K2" s="412"/>
      <c r="L2" s="413"/>
    </row>
    <row r="3" spans="2:12">
      <c r="B3" s="412"/>
      <c r="C3" s="413" t="s">
        <v>8448</v>
      </c>
      <c r="D3" s="412"/>
      <c r="E3" s="413" t="s">
        <v>8455</v>
      </c>
      <c r="F3" s="412"/>
      <c r="G3" s="413" t="s">
        <v>8462</v>
      </c>
      <c r="H3" s="412"/>
      <c r="I3" s="413" t="s">
        <v>8468</v>
      </c>
      <c r="K3" s="412"/>
      <c r="L3" s="413"/>
    </row>
    <row r="4" spans="2:12">
      <c r="B4" s="412"/>
      <c r="C4" s="413" t="s">
        <v>8449</v>
      </c>
      <c r="D4" s="412"/>
      <c r="E4" s="413" t="s">
        <v>8456</v>
      </c>
      <c r="F4" s="412"/>
      <c r="G4" s="413" t="s">
        <v>8463</v>
      </c>
      <c r="H4" s="412"/>
      <c r="I4" s="413" t="s">
        <v>8469</v>
      </c>
      <c r="K4" s="412"/>
      <c r="L4" s="413"/>
    </row>
    <row r="5" spans="2:12">
      <c r="B5" s="412"/>
      <c r="C5" s="413" t="s">
        <v>8450</v>
      </c>
      <c r="D5" s="412"/>
      <c r="E5" s="413" t="s">
        <v>8457</v>
      </c>
      <c r="F5" s="412"/>
      <c r="G5" s="413" t="s">
        <v>8464</v>
      </c>
      <c r="H5" s="412"/>
      <c r="I5" s="413" t="s">
        <v>8470</v>
      </c>
      <c r="K5" s="412"/>
      <c r="L5" s="413"/>
    </row>
    <row r="6" spans="2:12">
      <c r="B6" s="412"/>
      <c r="C6" s="413" t="s">
        <v>8451</v>
      </c>
      <c r="D6" s="412"/>
      <c r="E6" s="413" t="s">
        <v>8458</v>
      </c>
      <c r="F6" s="412"/>
      <c r="G6" s="413" t="s">
        <v>8465</v>
      </c>
      <c r="H6" s="412"/>
      <c r="I6" s="413" t="s">
        <v>8471</v>
      </c>
      <c r="K6" s="412"/>
      <c r="L6" s="413"/>
    </row>
    <row r="7" spans="2:12" ht="15.75" thickBot="1">
      <c r="B7" s="412"/>
      <c r="C7" s="413"/>
      <c r="D7" s="412"/>
      <c r="E7" s="413" t="s">
        <v>8459</v>
      </c>
      <c r="F7" s="412"/>
      <c r="G7" s="413"/>
      <c r="H7" s="412"/>
      <c r="I7" s="413" t="s">
        <v>8472</v>
      </c>
      <c r="K7" s="412"/>
      <c r="L7" s="413"/>
    </row>
    <row r="8" spans="2:12" ht="19.5" thickBot="1">
      <c r="B8" s="465"/>
      <c r="C8" s="466">
        <v>513</v>
      </c>
      <c r="D8" s="467"/>
      <c r="E8" s="466">
        <v>469</v>
      </c>
      <c r="F8" s="467"/>
      <c r="G8" s="466">
        <v>71</v>
      </c>
      <c r="H8" s="467"/>
      <c r="I8" s="466">
        <v>126</v>
      </c>
    </row>
    <row r="9" spans="2:12" ht="135.75" thickBot="1">
      <c r="B9" s="403" t="s">
        <v>4846</v>
      </c>
      <c r="C9" s="403" t="s">
        <v>560</v>
      </c>
      <c r="D9" s="403" t="s">
        <v>4840</v>
      </c>
      <c r="E9" s="462" t="s">
        <v>533</v>
      </c>
      <c r="F9" s="403" t="s">
        <v>4861</v>
      </c>
      <c r="G9" s="409" t="s">
        <v>591</v>
      </c>
      <c r="H9" s="403" t="s">
        <v>4847</v>
      </c>
      <c r="I9" s="462" t="s">
        <v>553</v>
      </c>
    </row>
    <row r="10" spans="2:12" ht="90.75" thickBot="1">
      <c r="B10" s="401" t="s">
        <v>4851</v>
      </c>
      <c r="C10" s="405" t="s">
        <v>567</v>
      </c>
      <c r="D10" s="401" t="s">
        <v>4841</v>
      </c>
      <c r="E10" s="402" t="s">
        <v>536</v>
      </c>
      <c r="F10" s="401" t="s">
        <v>4863</v>
      </c>
      <c r="G10" s="410" t="s">
        <v>597</v>
      </c>
      <c r="H10" s="401" t="s">
        <v>4848</v>
      </c>
      <c r="I10" s="414" t="s">
        <v>556</v>
      </c>
    </row>
    <row r="11" spans="2:12" ht="90.75" thickBot="1">
      <c r="B11" s="401" t="s">
        <v>4852</v>
      </c>
      <c r="C11" s="406" t="s">
        <v>571</v>
      </c>
      <c r="D11" s="401" t="s">
        <v>4842</v>
      </c>
      <c r="E11" s="402" t="s">
        <v>540</v>
      </c>
      <c r="F11" s="401" t="s">
        <v>4865</v>
      </c>
      <c r="G11" s="410" t="s">
        <v>602</v>
      </c>
      <c r="H11" s="401" t="s">
        <v>4862</v>
      </c>
      <c r="I11" s="410" t="s">
        <v>594</v>
      </c>
    </row>
    <row r="12" spans="2:12" ht="90.75" thickBot="1">
      <c r="B12" s="401" t="s">
        <v>4853</v>
      </c>
      <c r="C12" s="407" t="s">
        <v>573</v>
      </c>
      <c r="D12" s="401" t="s">
        <v>4843</v>
      </c>
      <c r="E12" s="402" t="s">
        <v>543</v>
      </c>
      <c r="F12" s="401" t="s">
        <v>4867</v>
      </c>
      <c r="G12" s="410" t="s">
        <v>608</v>
      </c>
      <c r="H12" s="401" t="s">
        <v>4866</v>
      </c>
      <c r="I12" s="410" t="s">
        <v>605</v>
      </c>
    </row>
    <row r="13" spans="2:12" ht="135.75" thickBot="1">
      <c r="B13" s="401" t="s">
        <v>4855</v>
      </c>
      <c r="C13" s="407" t="s">
        <v>577</v>
      </c>
      <c r="D13" s="401" t="s">
        <v>4844</v>
      </c>
      <c r="E13" s="402" t="s">
        <v>546</v>
      </c>
      <c r="F13" s="401" t="s">
        <v>4868</v>
      </c>
      <c r="G13" s="410" t="s">
        <v>610</v>
      </c>
      <c r="H13" s="343" t="s">
        <v>7552</v>
      </c>
      <c r="I13" s="342" t="s">
        <v>4793</v>
      </c>
    </row>
    <row r="14" spans="2:12" ht="105.75" thickBot="1">
      <c r="B14" s="401" t="s">
        <v>4856</v>
      </c>
      <c r="C14" s="407" t="s">
        <v>579</v>
      </c>
      <c r="D14" s="401" t="s">
        <v>4845</v>
      </c>
      <c r="E14" s="402" t="s">
        <v>551</v>
      </c>
      <c r="F14" s="401" t="s">
        <v>4869</v>
      </c>
      <c r="G14" s="411" t="s">
        <v>612</v>
      </c>
      <c r="H14" s="390" t="s">
        <v>7560</v>
      </c>
      <c r="I14" s="416" t="s">
        <v>2864</v>
      </c>
    </row>
    <row r="15" spans="2:12" ht="135.75" thickBot="1">
      <c r="B15" s="401" t="s">
        <v>4857</v>
      </c>
      <c r="C15" s="407" t="s">
        <v>581</v>
      </c>
      <c r="D15" s="401" t="s">
        <v>4849</v>
      </c>
      <c r="E15" s="404" t="s">
        <v>563</v>
      </c>
      <c r="F15" s="343" t="s">
        <v>7558</v>
      </c>
      <c r="G15" s="342" t="s">
        <v>4828</v>
      </c>
      <c r="H15" s="390" t="s">
        <v>7561</v>
      </c>
      <c r="I15" s="417" t="s">
        <v>1730</v>
      </c>
    </row>
    <row r="16" spans="2:12" ht="135.75" thickBot="1">
      <c r="B16" s="401" t="s">
        <v>4858</v>
      </c>
      <c r="C16" s="407" t="s">
        <v>583</v>
      </c>
      <c r="D16" s="401" t="s">
        <v>4850</v>
      </c>
      <c r="E16" s="404" t="s">
        <v>565</v>
      </c>
      <c r="F16" s="343" t="s">
        <v>7559</v>
      </c>
      <c r="G16" s="342" t="s">
        <v>4833</v>
      </c>
      <c r="H16" s="390" t="s">
        <v>7565</v>
      </c>
      <c r="I16" s="390" t="s">
        <v>1735</v>
      </c>
    </row>
    <row r="17" spans="2:9" ht="105.75" thickBot="1">
      <c r="B17" s="401" t="s">
        <v>4859</v>
      </c>
      <c r="C17" s="407" t="s">
        <v>585</v>
      </c>
      <c r="D17" s="401" t="s">
        <v>4854</v>
      </c>
      <c r="E17" s="407" t="s">
        <v>575</v>
      </c>
      <c r="F17" s="390" t="s">
        <v>7594</v>
      </c>
      <c r="G17" s="390" t="s">
        <v>8474</v>
      </c>
      <c r="H17" s="390" t="s">
        <v>7566</v>
      </c>
      <c r="I17" s="390" t="s">
        <v>1737</v>
      </c>
    </row>
    <row r="18" spans="2:9" ht="150.75" thickBot="1">
      <c r="B18" s="401" t="s">
        <v>4860</v>
      </c>
      <c r="C18" s="408" t="s">
        <v>588</v>
      </c>
      <c r="D18" s="401" t="s">
        <v>4870</v>
      </c>
      <c r="E18" s="406" t="s">
        <v>617</v>
      </c>
      <c r="F18" s="79" t="s">
        <v>4880</v>
      </c>
      <c r="G18" s="121" t="s">
        <v>2107</v>
      </c>
      <c r="H18" s="390" t="s">
        <v>7567</v>
      </c>
      <c r="I18" s="390" t="s">
        <v>1738</v>
      </c>
    </row>
    <row r="19" spans="2:9" ht="105.75" thickBot="1">
      <c r="B19" s="401" t="s">
        <v>4864</v>
      </c>
      <c r="C19" s="410" t="s">
        <v>600</v>
      </c>
      <c r="D19" s="401" t="s">
        <v>4871</v>
      </c>
      <c r="E19" s="407" t="s">
        <v>620</v>
      </c>
      <c r="F19" s="79" t="s">
        <v>4881</v>
      </c>
      <c r="G19" s="279" t="s">
        <v>2112</v>
      </c>
      <c r="H19" s="419" t="s">
        <v>7568</v>
      </c>
      <c r="I19" s="420" t="s">
        <v>1739</v>
      </c>
    </row>
    <row r="20" spans="2:9" ht="120.75" thickBot="1">
      <c r="B20" s="401" t="s">
        <v>4874</v>
      </c>
      <c r="C20" s="407" t="s">
        <v>626</v>
      </c>
      <c r="D20" s="401" t="s">
        <v>4872</v>
      </c>
      <c r="E20" s="407" t="s">
        <v>622</v>
      </c>
      <c r="F20" s="79" t="s">
        <v>4882</v>
      </c>
      <c r="G20" s="97" t="s">
        <v>2118</v>
      </c>
      <c r="H20" s="390" t="s">
        <v>7570</v>
      </c>
      <c r="I20" s="390" t="s">
        <v>2867</v>
      </c>
    </row>
    <row r="21" spans="2:9" ht="105.75" thickBot="1">
      <c r="B21" s="401" t="s">
        <v>4875</v>
      </c>
      <c r="C21" s="407" t="s">
        <v>629</v>
      </c>
      <c r="D21" s="401" t="s">
        <v>4873</v>
      </c>
      <c r="E21" s="407" t="s">
        <v>624</v>
      </c>
      <c r="F21" s="79" t="s">
        <v>4884</v>
      </c>
      <c r="G21" s="279" t="s">
        <v>2122</v>
      </c>
      <c r="H21" s="390" t="s">
        <v>7571</v>
      </c>
      <c r="I21" s="418" t="s">
        <v>2870</v>
      </c>
    </row>
    <row r="22" spans="2:9" ht="120.75" thickBot="1">
      <c r="B22" s="401" t="s">
        <v>4876</v>
      </c>
      <c r="C22" s="407" t="s">
        <v>632</v>
      </c>
      <c r="D22" s="343" t="s">
        <v>7530</v>
      </c>
      <c r="E22" s="342" t="s">
        <v>4653</v>
      </c>
      <c r="F22" s="79" t="s">
        <v>4885</v>
      </c>
      <c r="G22" s="279" t="s">
        <v>2124</v>
      </c>
      <c r="H22" s="390" t="s">
        <v>7572</v>
      </c>
      <c r="I22" s="418" t="s">
        <v>2872</v>
      </c>
    </row>
    <row r="23" spans="2:9" ht="120.75" thickBot="1">
      <c r="B23" s="401" t="s">
        <v>4877</v>
      </c>
      <c r="C23" s="407" t="s">
        <v>635</v>
      </c>
      <c r="D23" s="343" t="s">
        <v>7531</v>
      </c>
      <c r="E23" s="342" t="s">
        <v>4661</v>
      </c>
      <c r="F23" s="79" t="s">
        <v>4886</v>
      </c>
      <c r="G23" s="279" t="s">
        <v>2128</v>
      </c>
      <c r="H23" s="390" t="s">
        <v>7573</v>
      </c>
      <c r="I23" s="390" t="s">
        <v>1743</v>
      </c>
    </row>
    <row r="24" spans="2:9" ht="120.75" thickBot="1">
      <c r="B24" s="401" t="s">
        <v>4878</v>
      </c>
      <c r="C24" s="407" t="s">
        <v>638</v>
      </c>
      <c r="D24" s="343" t="s">
        <v>7532</v>
      </c>
      <c r="E24" s="342" t="s">
        <v>4669</v>
      </c>
      <c r="F24" s="79" t="s">
        <v>4887</v>
      </c>
      <c r="G24" s="279" t="s">
        <v>2133</v>
      </c>
      <c r="H24" s="390" t="s">
        <v>7574</v>
      </c>
      <c r="I24" s="418" t="s">
        <v>2875</v>
      </c>
    </row>
    <row r="25" spans="2:9" ht="120.75" thickBot="1">
      <c r="B25" s="401" t="s">
        <v>4879</v>
      </c>
      <c r="C25" s="408" t="s">
        <v>640</v>
      </c>
      <c r="D25" s="343" t="s">
        <v>7535</v>
      </c>
      <c r="E25" s="342" t="s">
        <v>4691</v>
      </c>
      <c r="F25" s="310" t="s">
        <v>4888</v>
      </c>
      <c r="G25" s="279" t="s">
        <v>2137</v>
      </c>
      <c r="H25" s="390" t="s">
        <v>7575</v>
      </c>
      <c r="I25" s="418" t="s">
        <v>2877</v>
      </c>
    </row>
    <row r="26" spans="2:9" ht="120">
      <c r="B26" s="343" t="s">
        <v>7533</v>
      </c>
      <c r="C26" s="342" t="s">
        <v>4675</v>
      </c>
      <c r="D26" s="343" t="s">
        <v>7539</v>
      </c>
      <c r="E26" s="415" t="s">
        <v>4719</v>
      </c>
      <c r="F26" s="310" t="s">
        <v>4889</v>
      </c>
      <c r="G26" s="279" t="s">
        <v>2141</v>
      </c>
      <c r="H26" s="390" t="s">
        <v>7576</v>
      </c>
      <c r="I26" s="418" t="s">
        <v>1746</v>
      </c>
    </row>
    <row r="27" spans="2:9" ht="165">
      <c r="B27" s="343" t="s">
        <v>7534</v>
      </c>
      <c r="C27" s="342" t="s">
        <v>4683</v>
      </c>
      <c r="D27" s="343" t="s">
        <v>7543</v>
      </c>
      <c r="E27" s="415" t="s">
        <v>4744</v>
      </c>
      <c r="F27" s="276" t="s">
        <v>4895</v>
      </c>
      <c r="G27" s="279" t="s">
        <v>2167</v>
      </c>
      <c r="H27" s="390" t="s">
        <v>7577</v>
      </c>
      <c r="I27" s="420" t="s">
        <v>1749</v>
      </c>
    </row>
    <row r="28" spans="2:9" ht="120">
      <c r="B28" s="343" t="s">
        <v>7536</v>
      </c>
      <c r="C28" s="415" t="s">
        <v>4703</v>
      </c>
      <c r="D28" s="343" t="s">
        <v>7544</v>
      </c>
      <c r="E28" s="415" t="s">
        <v>4749</v>
      </c>
      <c r="F28" s="310" t="s">
        <v>4896</v>
      </c>
      <c r="G28" s="279" t="s">
        <v>2173</v>
      </c>
      <c r="H28" s="390" t="s">
        <v>7578</v>
      </c>
      <c r="I28" s="420" t="s">
        <v>1751</v>
      </c>
    </row>
    <row r="29" spans="2:9" ht="120">
      <c r="B29" s="343" t="s">
        <v>7537</v>
      </c>
      <c r="C29" s="415" t="s">
        <v>4708</v>
      </c>
      <c r="D29" s="343" t="s">
        <v>7545</v>
      </c>
      <c r="E29" s="415" t="s">
        <v>4754</v>
      </c>
      <c r="F29" s="310" t="s">
        <v>4906</v>
      </c>
      <c r="G29" s="279" t="s">
        <v>2227</v>
      </c>
      <c r="H29" s="390" t="s">
        <v>7579</v>
      </c>
      <c r="I29" s="390" t="s">
        <v>1752</v>
      </c>
    </row>
    <row r="30" spans="2:9" ht="120">
      <c r="B30" s="343" t="s">
        <v>7538</v>
      </c>
      <c r="C30" s="415" t="s">
        <v>4713</v>
      </c>
      <c r="D30" s="343" t="s">
        <v>7550</v>
      </c>
      <c r="E30" s="415" t="s">
        <v>4784</v>
      </c>
      <c r="F30" s="310" t="s">
        <v>4907</v>
      </c>
      <c r="G30" s="279" t="s">
        <v>2231</v>
      </c>
      <c r="H30" s="390" t="s">
        <v>7580</v>
      </c>
      <c r="I30" s="420" t="s">
        <v>1754</v>
      </c>
    </row>
    <row r="31" spans="2:9" ht="135">
      <c r="B31" s="343" t="s">
        <v>7540</v>
      </c>
      <c r="C31" s="415" t="s">
        <v>4723</v>
      </c>
      <c r="D31" s="343" t="s">
        <v>7553</v>
      </c>
      <c r="E31" s="342" t="s">
        <v>4798</v>
      </c>
      <c r="F31" s="310" t="s">
        <v>4908</v>
      </c>
      <c r="G31" s="279" t="s">
        <v>2233</v>
      </c>
      <c r="H31" s="390" t="s">
        <v>7581</v>
      </c>
      <c r="I31" s="390" t="s">
        <v>2879</v>
      </c>
    </row>
    <row r="32" spans="2:9" ht="135">
      <c r="B32" s="343" t="s">
        <v>7541</v>
      </c>
      <c r="C32" s="415" t="s">
        <v>4730</v>
      </c>
      <c r="D32" s="343" t="s">
        <v>7554</v>
      </c>
      <c r="E32" s="342" t="s">
        <v>4803</v>
      </c>
      <c r="F32" s="310" t="s">
        <v>4909</v>
      </c>
      <c r="G32" s="279" t="s">
        <v>2237</v>
      </c>
      <c r="H32" s="390" t="s">
        <v>7582</v>
      </c>
      <c r="I32" s="390" t="s">
        <v>1760</v>
      </c>
    </row>
    <row r="33" spans="2:11" ht="135.75" thickBot="1">
      <c r="B33" s="343" t="s">
        <v>7542</v>
      </c>
      <c r="C33" s="415" t="s">
        <v>4740</v>
      </c>
      <c r="D33" s="343" t="s">
        <v>7555</v>
      </c>
      <c r="E33" s="342" t="s">
        <v>4814</v>
      </c>
      <c r="F33" s="310" t="s">
        <v>4910</v>
      </c>
      <c r="G33" s="280" t="s">
        <v>2241</v>
      </c>
      <c r="H33" s="390" t="s">
        <v>7583</v>
      </c>
      <c r="I33" s="390" t="s">
        <v>1762</v>
      </c>
    </row>
    <row r="34" spans="2:11" ht="135">
      <c r="B34" s="343" t="s">
        <v>7546</v>
      </c>
      <c r="C34" s="342" t="s">
        <v>4760</v>
      </c>
      <c r="D34" s="343" t="s">
        <v>7556</v>
      </c>
      <c r="E34" s="342" t="s">
        <v>4820</v>
      </c>
      <c r="F34" s="276" t="s">
        <v>4911</v>
      </c>
      <c r="G34" s="281" t="s">
        <v>2247</v>
      </c>
      <c r="H34" s="390" t="s">
        <v>7584</v>
      </c>
      <c r="I34" s="390" t="s">
        <v>2880</v>
      </c>
    </row>
    <row r="35" spans="2:11" ht="120">
      <c r="B35" s="343" t="s">
        <v>7547</v>
      </c>
      <c r="C35" s="342" t="s">
        <v>4765</v>
      </c>
      <c r="D35" s="390" t="s">
        <v>7562</v>
      </c>
      <c r="E35" s="417" t="s">
        <v>1733</v>
      </c>
      <c r="F35" s="310" t="s">
        <v>4912</v>
      </c>
      <c r="G35" s="279" t="s">
        <v>2252</v>
      </c>
      <c r="H35" s="390" t="s">
        <v>7585</v>
      </c>
      <c r="I35" s="390" t="s">
        <v>1767</v>
      </c>
    </row>
    <row r="36" spans="2:11" ht="120">
      <c r="B36" s="343" t="s">
        <v>7548</v>
      </c>
      <c r="C36" s="415" t="s">
        <v>4770</v>
      </c>
      <c r="D36" s="390" t="s">
        <v>7563</v>
      </c>
      <c r="E36" s="417" t="s">
        <v>2865</v>
      </c>
      <c r="F36" s="310" t="s">
        <v>4913</v>
      </c>
      <c r="G36" s="279" t="s">
        <v>2256</v>
      </c>
      <c r="H36" s="390" t="s">
        <v>7586</v>
      </c>
      <c r="I36" s="390" t="s">
        <v>1771</v>
      </c>
    </row>
    <row r="37" spans="2:11" ht="120">
      <c r="B37" s="343" t="s">
        <v>7549</v>
      </c>
      <c r="C37" s="415" t="s">
        <v>4778</v>
      </c>
      <c r="D37" s="390" t="s">
        <v>7569</v>
      </c>
      <c r="E37" s="390" t="s">
        <v>1741</v>
      </c>
      <c r="F37" s="310" t="s">
        <v>4914</v>
      </c>
      <c r="G37" s="279" t="s">
        <v>2260</v>
      </c>
      <c r="H37" s="390" t="s">
        <v>7587</v>
      </c>
      <c r="I37" s="390" t="s">
        <v>1775</v>
      </c>
    </row>
    <row r="38" spans="2:11" ht="150">
      <c r="B38" s="343" t="s">
        <v>7551</v>
      </c>
      <c r="C38" s="342" t="s">
        <v>4788</v>
      </c>
      <c r="D38" s="390" t="s">
        <v>7593</v>
      </c>
      <c r="E38" s="390" t="s">
        <v>2885</v>
      </c>
      <c r="F38" s="310" t="s">
        <v>4915</v>
      </c>
      <c r="G38" s="279" t="s">
        <v>2262</v>
      </c>
      <c r="H38" s="390" t="s">
        <v>7588</v>
      </c>
      <c r="I38" s="390" t="s">
        <v>2881</v>
      </c>
    </row>
    <row r="39" spans="2:11" ht="165">
      <c r="B39" s="343" t="s">
        <v>7557</v>
      </c>
      <c r="C39" s="342" t="s">
        <v>4824</v>
      </c>
      <c r="D39" s="349" t="s">
        <v>7598</v>
      </c>
      <c r="E39" s="349" t="s">
        <v>2314</v>
      </c>
      <c r="F39" s="310" t="s">
        <v>4916</v>
      </c>
      <c r="G39" s="279" t="s">
        <v>2264</v>
      </c>
      <c r="H39" s="390" t="s">
        <v>7589</v>
      </c>
      <c r="I39" s="390" t="s">
        <v>2882</v>
      </c>
    </row>
    <row r="40" spans="2:11" ht="135">
      <c r="B40" s="390" t="s">
        <v>7564</v>
      </c>
      <c r="C40" s="418" t="s">
        <v>8473</v>
      </c>
      <c r="D40" s="375" t="s">
        <v>7664</v>
      </c>
      <c r="E40" s="329" t="s">
        <v>2508</v>
      </c>
      <c r="F40" s="310" t="s">
        <v>4917</v>
      </c>
      <c r="G40" s="279" t="s">
        <v>2267</v>
      </c>
      <c r="H40" s="390" t="s">
        <v>7591</v>
      </c>
      <c r="I40" s="390" t="s">
        <v>1785</v>
      </c>
    </row>
    <row r="41" spans="2:11" ht="330.75" thickBot="1">
      <c r="B41" s="390" t="s">
        <v>7590</v>
      </c>
      <c r="C41" s="390" t="s">
        <v>2883</v>
      </c>
      <c r="D41" s="349" t="s">
        <v>7667</v>
      </c>
      <c r="E41" s="312" t="s">
        <v>2560</v>
      </c>
      <c r="F41" s="310" t="s">
        <v>4918</v>
      </c>
      <c r="G41" s="280" t="s">
        <v>2273</v>
      </c>
      <c r="H41" s="390" t="s">
        <v>7592</v>
      </c>
      <c r="I41" s="390" t="s">
        <v>1787</v>
      </c>
    </row>
    <row r="42" spans="2:11" ht="135">
      <c r="B42" s="349" t="s">
        <v>7597</v>
      </c>
      <c r="C42" s="349" t="s">
        <v>4339</v>
      </c>
      <c r="D42" s="349" t="s">
        <v>7668</v>
      </c>
      <c r="E42" s="312" t="s">
        <v>2562</v>
      </c>
      <c r="F42" s="351" t="s">
        <v>4544</v>
      </c>
      <c r="G42" s="357" t="s">
        <v>2665</v>
      </c>
      <c r="H42" s="390" t="s">
        <v>7595</v>
      </c>
      <c r="I42" s="390" t="s">
        <v>4627</v>
      </c>
    </row>
    <row r="43" spans="2:11" ht="120">
      <c r="B43" s="349" t="s">
        <v>7599</v>
      </c>
      <c r="C43" s="349" t="s">
        <v>2317</v>
      </c>
      <c r="D43" s="349" t="s">
        <v>7669</v>
      </c>
      <c r="E43" s="312" t="s">
        <v>2569</v>
      </c>
      <c r="F43" s="391" t="s">
        <v>8163</v>
      </c>
      <c r="G43" s="362" t="s">
        <v>1895</v>
      </c>
      <c r="H43" s="390" t="s">
        <v>7596</v>
      </c>
      <c r="I43" s="421" t="s">
        <v>4628</v>
      </c>
    </row>
    <row r="44" spans="2:11" ht="120.75" thickBot="1">
      <c r="B44" s="349" t="s">
        <v>7600</v>
      </c>
      <c r="C44" s="349" t="s">
        <v>2322</v>
      </c>
      <c r="D44" s="349" t="s">
        <v>7670</v>
      </c>
      <c r="E44" s="312" t="s">
        <v>2572</v>
      </c>
      <c r="F44" s="391" t="s">
        <v>8164</v>
      </c>
      <c r="G44" s="362" t="s">
        <v>1897</v>
      </c>
      <c r="H44" s="359" t="s">
        <v>7608</v>
      </c>
      <c r="I44" s="359" t="s">
        <v>2353</v>
      </c>
    </row>
    <row r="45" spans="2:11" ht="135.75" thickBot="1">
      <c r="B45" s="349" t="s">
        <v>7601</v>
      </c>
      <c r="C45" s="349" t="s">
        <v>2326</v>
      </c>
      <c r="D45" s="349" t="s">
        <v>7675</v>
      </c>
      <c r="E45" s="312" t="s">
        <v>2596</v>
      </c>
      <c r="F45" s="79" t="s">
        <v>4488</v>
      </c>
      <c r="G45" s="30" t="s">
        <v>380</v>
      </c>
      <c r="H45" s="359" t="s">
        <v>7637</v>
      </c>
      <c r="I45" s="359" t="s">
        <v>2448</v>
      </c>
      <c r="J45" s="422"/>
      <c r="K45" s="422"/>
    </row>
    <row r="46" spans="2:11" ht="135.75" thickBot="1">
      <c r="B46" s="349" t="s">
        <v>7602</v>
      </c>
      <c r="C46" s="349" t="s">
        <v>2328</v>
      </c>
      <c r="D46" s="349" t="s">
        <v>7676</v>
      </c>
      <c r="E46" s="312" t="s">
        <v>2598</v>
      </c>
      <c r="F46" s="79" t="s">
        <v>4489</v>
      </c>
      <c r="G46" s="26" t="s">
        <v>384</v>
      </c>
      <c r="H46" s="359" t="s">
        <v>7638</v>
      </c>
      <c r="I46" s="359" t="s">
        <v>2455</v>
      </c>
      <c r="J46" s="422"/>
      <c r="K46" s="422"/>
    </row>
    <row r="47" spans="2:11" ht="135.75" thickBot="1">
      <c r="B47" s="349" t="s">
        <v>7603</v>
      </c>
      <c r="C47" s="349" t="s">
        <v>2332</v>
      </c>
      <c r="D47" s="349" t="s">
        <v>7677</v>
      </c>
      <c r="E47" s="312" t="s">
        <v>2600</v>
      </c>
      <c r="F47" s="79" t="s">
        <v>4490</v>
      </c>
      <c r="G47" s="279" t="s">
        <v>388</v>
      </c>
      <c r="H47" s="359" t="s">
        <v>7639</v>
      </c>
      <c r="I47" s="359" t="s">
        <v>2462</v>
      </c>
      <c r="J47" s="422"/>
      <c r="K47" s="422"/>
    </row>
    <row r="48" spans="2:11" ht="135.75" thickBot="1">
      <c r="B48" s="356" t="s">
        <v>7604</v>
      </c>
      <c r="C48" s="356" t="s">
        <v>2338</v>
      </c>
      <c r="D48" s="349" t="s">
        <v>7679</v>
      </c>
      <c r="E48" s="381" t="s">
        <v>2610</v>
      </c>
      <c r="F48" s="79" t="s">
        <v>4491</v>
      </c>
      <c r="G48" s="279" t="s">
        <v>392</v>
      </c>
      <c r="H48" s="359" t="s">
        <v>7640</v>
      </c>
      <c r="I48" s="359" t="s">
        <v>2466</v>
      </c>
    </row>
    <row r="49" spans="2:9" ht="135.75" thickBot="1">
      <c r="B49" s="359" t="s">
        <v>7605</v>
      </c>
      <c r="C49" s="359" t="s">
        <v>2343</v>
      </c>
      <c r="D49" s="276" t="s">
        <v>4893</v>
      </c>
      <c r="E49" s="101" t="s">
        <v>2163</v>
      </c>
      <c r="F49" s="79" t="s">
        <v>4492</v>
      </c>
      <c r="G49" s="279" t="s">
        <v>394</v>
      </c>
      <c r="H49" s="359" t="s">
        <v>7641</v>
      </c>
      <c r="I49" s="367" t="s">
        <v>2468</v>
      </c>
    </row>
    <row r="50" spans="2:9" ht="135.75" thickBot="1">
      <c r="B50" s="359" t="s">
        <v>7606</v>
      </c>
      <c r="C50" s="359" t="s">
        <v>2346</v>
      </c>
      <c r="D50" s="83" t="s">
        <v>7793</v>
      </c>
      <c r="E50" s="284" t="s">
        <v>1572</v>
      </c>
      <c r="F50" s="79" t="s">
        <v>4493</v>
      </c>
      <c r="G50" s="279" t="s">
        <v>396</v>
      </c>
      <c r="H50" s="359" t="s">
        <v>7642</v>
      </c>
      <c r="I50" s="367" t="s">
        <v>2470</v>
      </c>
    </row>
    <row r="51" spans="2:9" ht="135.75" thickBot="1">
      <c r="B51" s="359" t="s">
        <v>7607</v>
      </c>
      <c r="C51" s="359" t="s">
        <v>2349</v>
      </c>
      <c r="D51" s="387" t="s">
        <v>7795</v>
      </c>
      <c r="E51" s="298" t="s">
        <v>1578</v>
      </c>
      <c r="F51" s="79" t="s">
        <v>4494</v>
      </c>
      <c r="G51" s="279" t="s">
        <v>400</v>
      </c>
      <c r="H51" s="359" t="s">
        <v>7643</v>
      </c>
      <c r="I51" s="367" t="s">
        <v>2473</v>
      </c>
    </row>
    <row r="52" spans="2:9" ht="135.75" thickBot="1">
      <c r="B52" s="359" t="s">
        <v>7609</v>
      </c>
      <c r="C52" s="359" t="s">
        <v>2359</v>
      </c>
      <c r="D52" s="219" t="s">
        <v>7814</v>
      </c>
      <c r="E52" s="284" t="s">
        <v>1642</v>
      </c>
      <c r="F52" s="79" t="s">
        <v>4497</v>
      </c>
      <c r="G52" s="28" t="s">
        <v>415</v>
      </c>
      <c r="H52" s="359" t="s">
        <v>7644</v>
      </c>
      <c r="I52" s="367" t="s">
        <v>2478</v>
      </c>
    </row>
    <row r="53" spans="2:9" ht="135.75" thickBot="1">
      <c r="B53" s="359" t="s">
        <v>7610</v>
      </c>
      <c r="C53" s="359" t="s">
        <v>2363</v>
      </c>
      <c r="D53" s="219" t="s">
        <v>7815</v>
      </c>
      <c r="E53" s="284" t="s">
        <v>1644</v>
      </c>
      <c r="F53" s="79" t="s">
        <v>4498</v>
      </c>
      <c r="G53" s="28" t="s">
        <v>418</v>
      </c>
      <c r="H53" s="359" t="s">
        <v>7645</v>
      </c>
      <c r="I53" s="367" t="s">
        <v>2483</v>
      </c>
    </row>
    <row r="54" spans="2:9" ht="135.75" thickBot="1">
      <c r="B54" s="359" t="s">
        <v>7611</v>
      </c>
      <c r="C54" s="359" t="s">
        <v>2365</v>
      </c>
      <c r="D54" s="219" t="s">
        <v>7816</v>
      </c>
      <c r="E54" s="284" t="s">
        <v>1645</v>
      </c>
      <c r="F54" s="79" t="s">
        <v>4499</v>
      </c>
      <c r="G54" s="29" t="s">
        <v>423</v>
      </c>
      <c r="H54" s="359" t="s">
        <v>7646</v>
      </c>
      <c r="I54" s="367" t="s">
        <v>2485</v>
      </c>
    </row>
    <row r="55" spans="2:9" ht="135.75" thickBot="1">
      <c r="B55" s="359" t="s">
        <v>7612</v>
      </c>
      <c r="C55" s="359" t="s">
        <v>2367</v>
      </c>
      <c r="D55" s="219" t="s">
        <v>7817</v>
      </c>
      <c r="E55" s="284" t="s">
        <v>1647</v>
      </c>
      <c r="F55" s="79" t="s">
        <v>4500</v>
      </c>
      <c r="G55" s="25" t="s">
        <v>426</v>
      </c>
      <c r="H55" s="375" t="s">
        <v>7655</v>
      </c>
      <c r="I55" s="329" t="s">
        <v>2525</v>
      </c>
    </row>
    <row r="56" spans="2:9" ht="135.75" thickBot="1">
      <c r="B56" s="359" t="s">
        <v>7613</v>
      </c>
      <c r="C56" s="359" t="s">
        <v>2369</v>
      </c>
      <c r="D56" s="219" t="s">
        <v>7818</v>
      </c>
      <c r="E56" s="284" t="s">
        <v>1650</v>
      </c>
      <c r="F56" s="79" t="s">
        <v>4501</v>
      </c>
      <c r="G56" s="28" t="s">
        <v>430</v>
      </c>
      <c r="H56" s="375" t="s">
        <v>7656</v>
      </c>
      <c r="I56" s="329" t="s">
        <v>2530</v>
      </c>
    </row>
    <row r="57" spans="2:9" ht="135.75" thickBot="1">
      <c r="B57" s="359" t="s">
        <v>7614</v>
      </c>
      <c r="C57" s="359" t="s">
        <v>2371</v>
      </c>
      <c r="D57" s="283" t="s">
        <v>7824</v>
      </c>
      <c r="E57" s="117" t="s">
        <v>1672</v>
      </c>
      <c r="F57" s="79" t="s">
        <v>4502</v>
      </c>
      <c r="G57" s="279" t="s">
        <v>432</v>
      </c>
      <c r="H57" s="310" t="s">
        <v>4890</v>
      </c>
      <c r="I57" s="279" t="s">
        <v>2145</v>
      </c>
    </row>
    <row r="58" spans="2:9" ht="135.75" thickBot="1">
      <c r="B58" s="359" t="s">
        <v>7615</v>
      </c>
      <c r="C58" s="359" t="s">
        <v>2378</v>
      </c>
      <c r="D58" s="283" t="s">
        <v>7825</v>
      </c>
      <c r="E58" s="284" t="s">
        <v>1676</v>
      </c>
      <c r="F58" s="79" t="s">
        <v>4503</v>
      </c>
      <c r="G58" s="279" t="s">
        <v>436</v>
      </c>
      <c r="H58" s="310" t="s">
        <v>4891</v>
      </c>
      <c r="I58" s="279" t="s">
        <v>2149</v>
      </c>
    </row>
    <row r="59" spans="2:9" ht="135.75" thickBot="1">
      <c r="B59" s="359" t="s">
        <v>7616</v>
      </c>
      <c r="C59" s="359" t="s">
        <v>2385</v>
      </c>
      <c r="D59" s="283" t="s">
        <v>7826</v>
      </c>
      <c r="E59" s="284" t="s">
        <v>1680</v>
      </c>
      <c r="F59" s="79" t="s">
        <v>4504</v>
      </c>
      <c r="G59" s="279" t="s">
        <v>440</v>
      </c>
      <c r="H59" s="310" t="s">
        <v>4892</v>
      </c>
      <c r="I59" s="97" t="s">
        <v>2153</v>
      </c>
    </row>
    <row r="60" spans="2:9" ht="135.75" thickBot="1">
      <c r="B60" s="359" t="s">
        <v>7617</v>
      </c>
      <c r="C60" s="359" t="s">
        <v>2390</v>
      </c>
      <c r="D60" s="283" t="s">
        <v>7827</v>
      </c>
      <c r="E60" s="284" t="s">
        <v>1684</v>
      </c>
      <c r="F60" s="79" t="s">
        <v>4505</v>
      </c>
      <c r="G60" s="28" t="s">
        <v>443</v>
      </c>
      <c r="H60" s="83" t="s">
        <v>7794</v>
      </c>
      <c r="I60" s="284" t="s">
        <v>1575</v>
      </c>
    </row>
    <row r="61" spans="2:9" ht="135.75" thickBot="1">
      <c r="B61" s="359" t="s">
        <v>7618</v>
      </c>
      <c r="C61" s="359" t="s">
        <v>2395</v>
      </c>
      <c r="D61" s="283" t="s">
        <v>7828</v>
      </c>
      <c r="E61" s="284" t="s">
        <v>1688</v>
      </c>
      <c r="F61" s="79" t="s">
        <v>4506</v>
      </c>
      <c r="G61" s="279" t="s">
        <v>446</v>
      </c>
      <c r="H61" s="219" t="s">
        <v>7822</v>
      </c>
      <c r="I61" s="284" t="s">
        <v>1664</v>
      </c>
    </row>
    <row r="62" spans="2:9" ht="135.75" thickBot="1">
      <c r="B62" s="359" t="s">
        <v>7619</v>
      </c>
      <c r="C62" s="359" t="s">
        <v>2401</v>
      </c>
      <c r="D62" s="283" t="s">
        <v>7829</v>
      </c>
      <c r="E62" s="284" t="s">
        <v>1693</v>
      </c>
      <c r="F62" s="79" t="s">
        <v>4509</v>
      </c>
      <c r="G62" s="28" t="s">
        <v>467</v>
      </c>
      <c r="H62" s="219" t="s">
        <v>7823</v>
      </c>
      <c r="I62" s="285" t="s">
        <v>1666</v>
      </c>
    </row>
    <row r="63" spans="2:9" ht="135.75" thickBot="1">
      <c r="B63" s="359" t="s">
        <v>7620</v>
      </c>
      <c r="C63" s="359" t="s">
        <v>2404</v>
      </c>
      <c r="D63" s="283" t="s">
        <v>7830</v>
      </c>
      <c r="E63" s="284" t="s">
        <v>1697</v>
      </c>
      <c r="F63" s="79" t="s">
        <v>4510</v>
      </c>
      <c r="G63" s="28" t="s">
        <v>470</v>
      </c>
      <c r="H63" s="350" t="s">
        <v>7845</v>
      </c>
      <c r="I63" s="113" t="s">
        <v>1320</v>
      </c>
    </row>
    <row r="64" spans="2:9" ht="135.75" thickBot="1">
      <c r="B64" s="359" t="s">
        <v>7621</v>
      </c>
      <c r="C64" s="359" t="s">
        <v>2406</v>
      </c>
      <c r="D64" s="283" t="s">
        <v>7831</v>
      </c>
      <c r="E64" s="284" t="s">
        <v>1700</v>
      </c>
      <c r="F64" s="79" t="s">
        <v>4511</v>
      </c>
      <c r="G64" s="28" t="s">
        <v>474</v>
      </c>
      <c r="H64" s="350" t="s">
        <v>7846</v>
      </c>
      <c r="I64" s="110" t="s">
        <v>1324</v>
      </c>
    </row>
    <row r="65" spans="2:9" ht="135.75" thickBot="1">
      <c r="B65" s="359" t="s">
        <v>7622</v>
      </c>
      <c r="C65" s="359" t="s">
        <v>2408</v>
      </c>
      <c r="D65" s="283" t="s">
        <v>7832</v>
      </c>
      <c r="E65" s="284" t="s">
        <v>1702</v>
      </c>
      <c r="F65" s="79" t="s">
        <v>4512</v>
      </c>
      <c r="G65" s="86" t="s">
        <v>478</v>
      </c>
      <c r="H65" s="350" t="s">
        <v>7847</v>
      </c>
      <c r="I65" s="110" t="s">
        <v>1325</v>
      </c>
    </row>
    <row r="66" spans="2:9" ht="195.75" thickBot="1">
      <c r="B66" s="359" t="s">
        <v>7623</v>
      </c>
      <c r="C66" s="359" t="s">
        <v>4340</v>
      </c>
      <c r="D66" s="283" t="s">
        <v>7833</v>
      </c>
      <c r="E66" s="285" t="s">
        <v>1704</v>
      </c>
      <c r="F66" s="276" t="s">
        <v>4513</v>
      </c>
      <c r="G66" s="27" t="s">
        <v>484</v>
      </c>
      <c r="H66" s="350" t="s">
        <v>7848</v>
      </c>
      <c r="I66" s="110" t="s">
        <v>1326</v>
      </c>
    </row>
    <row r="67" spans="2:9" ht="135.75" thickBot="1">
      <c r="B67" s="359" t="s">
        <v>7624</v>
      </c>
      <c r="C67" s="359" t="s">
        <v>2411</v>
      </c>
      <c r="D67" s="350" t="s">
        <v>7839</v>
      </c>
      <c r="E67" s="112" t="s">
        <v>1296</v>
      </c>
      <c r="F67" s="276" t="s">
        <v>4514</v>
      </c>
      <c r="G67" s="28" t="s">
        <v>488</v>
      </c>
      <c r="H67" s="350" t="s">
        <v>7849</v>
      </c>
      <c r="I67" s="110" t="s">
        <v>1328</v>
      </c>
    </row>
    <row r="68" spans="2:9" ht="135">
      <c r="B68" s="359" t="s">
        <v>7625</v>
      </c>
      <c r="C68" s="359" t="s">
        <v>2413</v>
      </c>
      <c r="D68" s="350" t="s">
        <v>7840</v>
      </c>
      <c r="E68" s="113" t="s">
        <v>1302</v>
      </c>
      <c r="F68" s="276" t="s">
        <v>4515</v>
      </c>
      <c r="G68" s="28" t="s">
        <v>491</v>
      </c>
      <c r="H68" s="350" t="s">
        <v>7850</v>
      </c>
      <c r="I68" s="110" t="s">
        <v>1331</v>
      </c>
    </row>
    <row r="69" spans="2:9" ht="135">
      <c r="B69" s="359" t="s">
        <v>7626</v>
      </c>
      <c r="C69" s="359" t="s">
        <v>2415</v>
      </c>
      <c r="D69" s="350" t="s">
        <v>7841</v>
      </c>
      <c r="E69" s="110" t="s">
        <v>1306</v>
      </c>
      <c r="F69" s="276" t="s">
        <v>4516</v>
      </c>
      <c r="G69" s="28" t="s">
        <v>493</v>
      </c>
      <c r="H69" s="350" t="s">
        <v>7851</v>
      </c>
      <c r="I69" s="110" t="s">
        <v>1332</v>
      </c>
    </row>
    <row r="70" spans="2:9" ht="135.75" thickBot="1">
      <c r="B70" s="359" t="s">
        <v>7627</v>
      </c>
      <c r="C70" s="359" t="s">
        <v>2417</v>
      </c>
      <c r="D70" s="350" t="s">
        <v>7842</v>
      </c>
      <c r="E70" s="110" t="s">
        <v>1308</v>
      </c>
      <c r="F70" s="276" t="s">
        <v>4517</v>
      </c>
      <c r="G70" s="28" t="s">
        <v>496</v>
      </c>
      <c r="H70" s="350" t="s">
        <v>7852</v>
      </c>
      <c r="I70" s="112" t="s">
        <v>1334</v>
      </c>
    </row>
    <row r="71" spans="2:9" ht="135">
      <c r="B71" s="359" t="s">
        <v>7628</v>
      </c>
      <c r="C71" s="359" t="s">
        <v>2421</v>
      </c>
      <c r="D71" s="350" t="s">
        <v>7843</v>
      </c>
      <c r="E71" s="110" t="s">
        <v>1312</v>
      </c>
      <c r="F71" s="276" t="s">
        <v>4518</v>
      </c>
      <c r="G71" s="28" t="s">
        <v>517</v>
      </c>
      <c r="H71" s="350" t="s">
        <v>7905</v>
      </c>
      <c r="I71" s="113" t="s">
        <v>1493</v>
      </c>
    </row>
    <row r="72" spans="2:9" ht="315.75" thickBot="1">
      <c r="B72" s="359" t="s">
        <v>7629</v>
      </c>
      <c r="C72" s="359" t="s">
        <v>2423</v>
      </c>
      <c r="D72" s="350" t="s">
        <v>7844</v>
      </c>
      <c r="E72" s="112" t="s">
        <v>1315</v>
      </c>
      <c r="F72" s="276" t="s">
        <v>4519</v>
      </c>
      <c r="G72" s="28" t="s">
        <v>501</v>
      </c>
      <c r="H72" s="350" t="s">
        <v>7906</v>
      </c>
      <c r="I72" s="112" t="s">
        <v>1497</v>
      </c>
    </row>
    <row r="73" spans="2:9" ht="135">
      <c r="B73" s="359" t="s">
        <v>7630</v>
      </c>
      <c r="C73" s="359" t="s">
        <v>2425</v>
      </c>
      <c r="D73" s="350" t="s">
        <v>7853</v>
      </c>
      <c r="E73" s="113" t="s">
        <v>1340</v>
      </c>
      <c r="F73" s="276" t="s">
        <v>4520</v>
      </c>
      <c r="G73" s="28" t="s">
        <v>504</v>
      </c>
      <c r="H73" s="400" t="s">
        <v>8011</v>
      </c>
      <c r="I73" s="284" t="s">
        <v>5038</v>
      </c>
    </row>
    <row r="74" spans="2:9" ht="135">
      <c r="B74" s="359" t="s">
        <v>7631</v>
      </c>
      <c r="C74" s="359" t="s">
        <v>2428</v>
      </c>
      <c r="D74" s="350" t="s">
        <v>7854</v>
      </c>
      <c r="E74" s="110" t="s">
        <v>1344</v>
      </c>
      <c r="F74" s="448" t="s">
        <v>8321</v>
      </c>
      <c r="G74" s="294" t="s">
        <v>6729</v>
      </c>
      <c r="H74" s="400" t="s">
        <v>8012</v>
      </c>
      <c r="I74" s="284" t="s">
        <v>5039</v>
      </c>
    </row>
    <row r="75" spans="2:9" ht="135">
      <c r="B75" s="359" t="s">
        <v>7632</v>
      </c>
      <c r="C75" s="359" t="s">
        <v>2433</v>
      </c>
      <c r="D75" s="350" t="s">
        <v>7855</v>
      </c>
      <c r="E75" s="110" t="s">
        <v>1347</v>
      </c>
      <c r="F75" s="449" t="s">
        <v>8322</v>
      </c>
      <c r="G75" s="430" t="s">
        <v>6749</v>
      </c>
      <c r="H75" s="400" t="s">
        <v>8013</v>
      </c>
      <c r="I75" s="284" t="s">
        <v>5040</v>
      </c>
    </row>
    <row r="76" spans="2:9" ht="135">
      <c r="B76" s="359" t="s">
        <v>7633</v>
      </c>
      <c r="C76" s="359" t="s">
        <v>2436</v>
      </c>
      <c r="D76" s="350" t="s">
        <v>7858</v>
      </c>
      <c r="E76" s="110" t="s">
        <v>1354</v>
      </c>
      <c r="F76" s="459" t="s">
        <v>8345</v>
      </c>
      <c r="G76" s="377" t="s">
        <v>8476</v>
      </c>
      <c r="H76" s="400" t="s">
        <v>8014</v>
      </c>
      <c r="I76" s="284" t="s">
        <v>5041</v>
      </c>
    </row>
    <row r="77" spans="2:9" ht="135">
      <c r="B77" s="359" t="s">
        <v>7634</v>
      </c>
      <c r="C77" s="359" t="s">
        <v>2438</v>
      </c>
      <c r="D77" s="350" t="s">
        <v>7859</v>
      </c>
      <c r="E77" s="110" t="s">
        <v>1358</v>
      </c>
      <c r="F77" s="456" t="s">
        <v>8347</v>
      </c>
      <c r="G77" s="377" t="s">
        <v>6935</v>
      </c>
      <c r="H77" s="400" t="s">
        <v>8015</v>
      </c>
      <c r="I77" s="284" t="s">
        <v>5042</v>
      </c>
    </row>
    <row r="78" spans="2:9" ht="135">
      <c r="B78" s="359" t="s">
        <v>7635</v>
      </c>
      <c r="C78" s="359" t="s">
        <v>2440</v>
      </c>
      <c r="D78" s="350" t="s">
        <v>7860</v>
      </c>
      <c r="E78" s="110" t="s">
        <v>1361</v>
      </c>
      <c r="F78" s="457" t="s">
        <v>8351</v>
      </c>
      <c r="G78" s="377" t="s">
        <v>6951</v>
      </c>
      <c r="H78" s="400" t="s">
        <v>8016</v>
      </c>
      <c r="I78" s="284" t="s">
        <v>5043</v>
      </c>
    </row>
    <row r="79" spans="2:9" ht="135">
      <c r="B79" s="359" t="s">
        <v>7636</v>
      </c>
      <c r="C79" s="359" t="s">
        <v>2442</v>
      </c>
      <c r="D79" s="350" t="s">
        <v>7861</v>
      </c>
      <c r="E79" s="110" t="s">
        <v>1364</v>
      </c>
      <c r="F79" s="450" t="s">
        <v>8437</v>
      </c>
      <c r="G79" s="437" t="s">
        <v>7297</v>
      </c>
      <c r="H79" s="400" t="s">
        <v>8017</v>
      </c>
      <c r="I79" s="284" t="s">
        <v>5044</v>
      </c>
    </row>
    <row r="80" spans="2:9" ht="135.75" thickBot="1">
      <c r="B80" s="359" t="s">
        <v>7647</v>
      </c>
      <c r="C80" s="367" t="s">
        <v>2492</v>
      </c>
      <c r="D80" s="350" t="s">
        <v>7862</v>
      </c>
      <c r="E80" s="112" t="s">
        <v>1365</v>
      </c>
      <c r="H80" s="400" t="s">
        <v>8018</v>
      </c>
      <c r="I80" s="284" t="s">
        <v>5045</v>
      </c>
    </row>
    <row r="81" spans="2:9" ht="135">
      <c r="B81" s="359" t="s">
        <v>7648</v>
      </c>
      <c r="C81" s="370" t="s">
        <v>4341</v>
      </c>
      <c r="D81" s="350" t="s">
        <v>7882</v>
      </c>
      <c r="E81" s="368" t="s">
        <v>4919</v>
      </c>
      <c r="H81" s="400" t="s">
        <v>8019</v>
      </c>
      <c r="I81" s="284" t="s">
        <v>5046</v>
      </c>
    </row>
    <row r="82" spans="2:9" ht="135">
      <c r="B82" s="359" t="s">
        <v>7649</v>
      </c>
      <c r="C82" s="367" t="s">
        <v>2502</v>
      </c>
      <c r="D82" s="350" t="s">
        <v>7897</v>
      </c>
      <c r="E82" s="113" t="s">
        <v>1462</v>
      </c>
      <c r="H82" s="400" t="s">
        <v>8020</v>
      </c>
      <c r="I82" s="284" t="s">
        <v>5047</v>
      </c>
    </row>
    <row r="83" spans="2:9" ht="120">
      <c r="B83" s="373" t="s">
        <v>7650</v>
      </c>
      <c r="C83" s="374" t="s">
        <v>2508</v>
      </c>
      <c r="D83" s="350" t="s">
        <v>7898</v>
      </c>
      <c r="E83" s="110" t="s">
        <v>1465</v>
      </c>
      <c r="H83" s="400" t="s">
        <v>8021</v>
      </c>
      <c r="I83" s="284" t="s">
        <v>5048</v>
      </c>
    </row>
    <row r="84" spans="2:9" ht="150.75" thickBot="1">
      <c r="B84" s="375" t="s">
        <v>7651</v>
      </c>
      <c r="C84" s="355" t="s">
        <v>2514</v>
      </c>
      <c r="D84" s="350" t="s">
        <v>7899</v>
      </c>
      <c r="E84" s="110" t="s">
        <v>1470</v>
      </c>
      <c r="H84" s="400" t="s">
        <v>8022</v>
      </c>
      <c r="I84" s="285" t="s">
        <v>5049</v>
      </c>
    </row>
    <row r="85" spans="2:9" ht="120">
      <c r="B85" s="375" t="s">
        <v>7652</v>
      </c>
      <c r="C85" s="329" t="s">
        <v>2519</v>
      </c>
      <c r="D85" s="350" t="s">
        <v>7900</v>
      </c>
      <c r="E85" s="110" t="s">
        <v>1473</v>
      </c>
      <c r="H85" s="277" t="s">
        <v>8068</v>
      </c>
      <c r="I85" s="286" t="s">
        <v>1101</v>
      </c>
    </row>
    <row r="86" spans="2:9" ht="120">
      <c r="B86" s="375" t="s">
        <v>7653</v>
      </c>
      <c r="C86" s="329" t="s">
        <v>2521</v>
      </c>
      <c r="D86" s="350" t="s">
        <v>7901</v>
      </c>
      <c r="E86" s="110" t="s">
        <v>1477</v>
      </c>
      <c r="H86" s="277" t="s">
        <v>8069</v>
      </c>
      <c r="I86" s="96" t="s">
        <v>1102</v>
      </c>
    </row>
    <row r="87" spans="2:9" ht="120.75" thickBot="1">
      <c r="B87" s="375" t="s">
        <v>7654</v>
      </c>
      <c r="C87" s="329" t="s">
        <v>2523</v>
      </c>
      <c r="D87" s="350" t="s">
        <v>7902</v>
      </c>
      <c r="E87" s="110" t="s">
        <v>1479</v>
      </c>
      <c r="H87" s="277" t="s">
        <v>8070</v>
      </c>
      <c r="I87" s="100" t="s">
        <v>1104</v>
      </c>
    </row>
    <row r="88" spans="2:9" ht="120.75" thickBot="1">
      <c r="B88" s="375" t="s">
        <v>7657</v>
      </c>
      <c r="C88" s="329" t="s">
        <v>2534</v>
      </c>
      <c r="D88" s="350" t="s">
        <v>7903</v>
      </c>
      <c r="E88" s="110" t="s">
        <v>1482</v>
      </c>
      <c r="H88" s="102" t="s">
        <v>8071</v>
      </c>
      <c r="I88" s="103" t="s">
        <v>1107</v>
      </c>
    </row>
    <row r="89" spans="2:9" ht="120.75" thickBot="1">
      <c r="B89" s="375" t="s">
        <v>7658</v>
      </c>
      <c r="C89" s="329" t="s">
        <v>2536</v>
      </c>
      <c r="D89" s="350" t="s">
        <v>7904</v>
      </c>
      <c r="E89" s="112" t="s">
        <v>1485</v>
      </c>
      <c r="H89" s="277" t="s">
        <v>8072</v>
      </c>
      <c r="I89" s="286" t="s">
        <v>1112</v>
      </c>
    </row>
    <row r="90" spans="2:9" ht="120">
      <c r="B90" s="375" t="s">
        <v>7659</v>
      </c>
      <c r="C90" s="329" t="s">
        <v>2543</v>
      </c>
      <c r="D90" s="383" t="s">
        <v>7922</v>
      </c>
      <c r="E90" s="284" t="s">
        <v>4949</v>
      </c>
      <c r="H90" s="277" t="s">
        <v>8073</v>
      </c>
      <c r="I90" s="97" t="s">
        <v>1115</v>
      </c>
    </row>
    <row r="91" spans="2:9" ht="135">
      <c r="B91" s="375" t="s">
        <v>7660</v>
      </c>
      <c r="C91" s="329" t="s">
        <v>2543</v>
      </c>
      <c r="D91" s="383" t="s">
        <v>7923</v>
      </c>
      <c r="E91" s="284" t="s">
        <v>4950</v>
      </c>
      <c r="H91" s="277" t="s">
        <v>8074</v>
      </c>
      <c r="I91" s="97" t="s">
        <v>1118</v>
      </c>
    </row>
    <row r="92" spans="2:9" ht="135.75" thickBot="1">
      <c r="B92" s="375" t="s">
        <v>7661</v>
      </c>
      <c r="C92" s="329" t="s">
        <v>2543</v>
      </c>
      <c r="D92" s="389" t="s">
        <v>7944</v>
      </c>
      <c r="E92" s="131" t="s">
        <v>4971</v>
      </c>
      <c r="H92" s="277" t="s">
        <v>8075</v>
      </c>
      <c r="I92" s="100" t="s">
        <v>1121</v>
      </c>
    </row>
    <row r="93" spans="2:9" ht="135">
      <c r="B93" s="375" t="s">
        <v>7662</v>
      </c>
      <c r="C93" s="329" t="s">
        <v>2549</v>
      </c>
      <c r="D93" s="389" t="s">
        <v>7945</v>
      </c>
      <c r="E93" s="131" t="s">
        <v>4972</v>
      </c>
      <c r="H93" s="331" t="s">
        <v>5106</v>
      </c>
      <c r="I93" s="372" t="s">
        <v>5107</v>
      </c>
    </row>
    <row r="94" spans="2:9" ht="135">
      <c r="B94" s="375" t="s">
        <v>7663</v>
      </c>
      <c r="C94" s="329" t="s">
        <v>2551</v>
      </c>
      <c r="D94" s="389" t="s">
        <v>7946</v>
      </c>
      <c r="E94" s="131" t="s">
        <v>4973</v>
      </c>
      <c r="H94" s="331" t="s">
        <v>5108</v>
      </c>
      <c r="I94" s="372" t="s">
        <v>312</v>
      </c>
    </row>
    <row r="95" spans="2:9" ht="135">
      <c r="B95" s="375" t="s">
        <v>7665</v>
      </c>
      <c r="C95" s="329" t="s">
        <v>2554</v>
      </c>
      <c r="D95" s="389" t="s">
        <v>7947</v>
      </c>
      <c r="E95" s="131" t="s">
        <v>4974</v>
      </c>
      <c r="H95" s="331" t="s">
        <v>5109</v>
      </c>
      <c r="I95" s="372" t="s">
        <v>317</v>
      </c>
    </row>
    <row r="96" spans="2:9" ht="135">
      <c r="B96" s="375" t="s">
        <v>7666</v>
      </c>
      <c r="C96" s="329" t="s">
        <v>2556</v>
      </c>
      <c r="D96" s="394" t="s">
        <v>7948</v>
      </c>
      <c r="E96" s="284" t="s">
        <v>4975</v>
      </c>
      <c r="H96" s="331" t="s">
        <v>5110</v>
      </c>
      <c r="I96" s="372" t="s">
        <v>321</v>
      </c>
    </row>
    <row r="97" spans="2:9" ht="120">
      <c r="B97" s="349" t="s">
        <v>7671</v>
      </c>
      <c r="C97" s="312" t="s">
        <v>4342</v>
      </c>
      <c r="D97" s="394" t="s">
        <v>7949</v>
      </c>
      <c r="E97" s="284" t="s">
        <v>4976</v>
      </c>
      <c r="H97" s="331" t="s">
        <v>5111</v>
      </c>
      <c r="I97" s="372" t="s">
        <v>326</v>
      </c>
    </row>
    <row r="98" spans="2:9" ht="120">
      <c r="B98" s="349" t="s">
        <v>7672</v>
      </c>
      <c r="C98" s="312" t="s">
        <v>2584</v>
      </c>
      <c r="D98" s="394" t="s">
        <v>7950</v>
      </c>
      <c r="E98" s="284" t="s">
        <v>4977</v>
      </c>
      <c r="H98" s="331" t="s">
        <v>5112</v>
      </c>
      <c r="I98" s="372" t="s">
        <v>331</v>
      </c>
    </row>
    <row r="99" spans="2:9" ht="120">
      <c r="B99" s="349" t="s">
        <v>7673</v>
      </c>
      <c r="C99" s="312" t="s">
        <v>2591</v>
      </c>
      <c r="D99" s="394" t="s">
        <v>7951</v>
      </c>
      <c r="E99" s="284" t="s">
        <v>4978</v>
      </c>
      <c r="H99" s="331" t="s">
        <v>5113</v>
      </c>
      <c r="I99" s="372" t="s">
        <v>334</v>
      </c>
    </row>
    <row r="100" spans="2:9" ht="120">
      <c r="B100" s="349" t="s">
        <v>7674</v>
      </c>
      <c r="C100" s="312" t="s">
        <v>2594</v>
      </c>
      <c r="D100" s="394" t="s">
        <v>7952</v>
      </c>
      <c r="E100" s="284" t="s">
        <v>4979</v>
      </c>
      <c r="H100" s="331" t="s">
        <v>5114</v>
      </c>
      <c r="I100" s="372" t="s">
        <v>338</v>
      </c>
    </row>
    <row r="101" spans="2:9" ht="135">
      <c r="B101" s="349" t="s">
        <v>7678</v>
      </c>
      <c r="C101" s="312" t="s">
        <v>2608</v>
      </c>
      <c r="D101" s="394" t="s">
        <v>7953</v>
      </c>
      <c r="E101" s="284" t="s">
        <v>4980</v>
      </c>
      <c r="H101" s="331" t="s">
        <v>5115</v>
      </c>
      <c r="I101" s="372" t="s">
        <v>340</v>
      </c>
    </row>
    <row r="102" spans="2:9" ht="105.75" thickBot="1">
      <c r="B102" s="310" t="s">
        <v>4897</v>
      </c>
      <c r="C102" s="280" t="s">
        <v>2178</v>
      </c>
      <c r="D102" s="394" t="s">
        <v>7954</v>
      </c>
      <c r="E102" s="284" t="s">
        <v>4981</v>
      </c>
      <c r="H102" s="331" t="s">
        <v>5116</v>
      </c>
      <c r="I102" s="372" t="s">
        <v>344</v>
      </c>
    </row>
    <row r="103" spans="2:9" ht="105">
      <c r="B103" s="276" t="s">
        <v>4898</v>
      </c>
      <c r="C103" s="281" t="s">
        <v>2184</v>
      </c>
      <c r="D103" s="394" t="s">
        <v>7955</v>
      </c>
      <c r="E103" s="284" t="s">
        <v>4982</v>
      </c>
      <c r="H103" s="331" t="s">
        <v>5117</v>
      </c>
      <c r="I103" s="372" t="s">
        <v>347</v>
      </c>
    </row>
    <row r="104" spans="2:9" ht="105">
      <c r="B104" s="276" t="s">
        <v>4899</v>
      </c>
      <c r="C104" s="279" t="s">
        <v>2189</v>
      </c>
      <c r="D104" s="394" t="s">
        <v>7956</v>
      </c>
      <c r="E104" s="284" t="s">
        <v>4983</v>
      </c>
      <c r="H104" s="331" t="s">
        <v>5118</v>
      </c>
      <c r="I104" s="372" t="s">
        <v>351</v>
      </c>
    </row>
    <row r="105" spans="2:9" ht="120">
      <c r="B105" s="276" t="s">
        <v>4900</v>
      </c>
      <c r="C105" s="279" t="s">
        <v>2193</v>
      </c>
      <c r="D105" s="394" t="s">
        <v>7957</v>
      </c>
      <c r="E105" s="284" t="s">
        <v>4984</v>
      </c>
      <c r="H105" s="391" t="s">
        <v>8162</v>
      </c>
      <c r="I105" s="364" t="s">
        <v>1889</v>
      </c>
    </row>
    <row r="106" spans="2:9" ht="120">
      <c r="B106" s="319" t="s">
        <v>4901</v>
      </c>
      <c r="C106" s="279" t="s">
        <v>2197</v>
      </c>
      <c r="D106" s="394" t="s">
        <v>7958</v>
      </c>
      <c r="E106" s="284" t="s">
        <v>4985</v>
      </c>
      <c r="H106" s="391" t="s">
        <v>8137</v>
      </c>
      <c r="I106" s="362" t="s">
        <v>1891</v>
      </c>
    </row>
    <row r="107" spans="2:9" ht="120">
      <c r="B107" s="321" t="s">
        <v>4902</v>
      </c>
      <c r="C107" s="279" t="s">
        <v>2205</v>
      </c>
      <c r="D107" s="394" t="s">
        <v>7959</v>
      </c>
      <c r="E107" s="284" t="s">
        <v>4986</v>
      </c>
      <c r="H107" s="391" t="s">
        <v>8138</v>
      </c>
      <c r="I107" s="362" t="s">
        <v>1893</v>
      </c>
    </row>
    <row r="108" spans="2:9" ht="120">
      <c r="B108" s="321" t="s">
        <v>8488</v>
      </c>
      <c r="C108" s="279" t="s">
        <v>2211</v>
      </c>
      <c r="D108" s="394" t="s">
        <v>7960</v>
      </c>
      <c r="E108" s="284" t="s">
        <v>4987</v>
      </c>
      <c r="H108" s="278" t="s">
        <v>8230</v>
      </c>
      <c r="I108" s="279" t="s">
        <v>2079</v>
      </c>
    </row>
    <row r="109" spans="2:9" ht="120.75" thickBot="1">
      <c r="B109" s="80" t="s">
        <v>4902</v>
      </c>
      <c r="C109" s="280" t="s">
        <v>2215</v>
      </c>
      <c r="D109" s="394" t="s">
        <v>7961</v>
      </c>
      <c r="E109" s="284" t="s">
        <v>4988</v>
      </c>
      <c r="H109" s="332" t="s">
        <v>8263</v>
      </c>
      <c r="I109" s="333" t="s">
        <v>5608</v>
      </c>
    </row>
    <row r="110" spans="2:9" ht="120">
      <c r="B110" s="23" t="s">
        <v>4903</v>
      </c>
      <c r="C110" s="281" t="s">
        <v>2219</v>
      </c>
      <c r="D110" s="394" t="s">
        <v>7962</v>
      </c>
      <c r="E110" s="284" t="s">
        <v>4989</v>
      </c>
      <c r="H110" s="332" t="s">
        <v>8264</v>
      </c>
      <c r="I110" s="333" t="s">
        <v>5628</v>
      </c>
    </row>
    <row r="111" spans="2:9" ht="120">
      <c r="B111" s="23" t="s">
        <v>4904</v>
      </c>
      <c r="C111" s="279" t="s">
        <v>2222</v>
      </c>
      <c r="D111" s="394" t="s">
        <v>7963</v>
      </c>
      <c r="E111" s="284" t="s">
        <v>4990</v>
      </c>
      <c r="H111" s="337" t="s">
        <v>8265</v>
      </c>
      <c r="I111" s="338" t="s">
        <v>5649</v>
      </c>
    </row>
    <row r="112" spans="2:9" ht="135.75" thickBot="1">
      <c r="B112" s="310" t="s">
        <v>4905</v>
      </c>
      <c r="C112" s="279" t="s">
        <v>2225</v>
      </c>
      <c r="D112" s="394" t="s">
        <v>7964</v>
      </c>
      <c r="E112" s="284" t="s">
        <v>4991</v>
      </c>
      <c r="H112" s="447" t="s">
        <v>8284</v>
      </c>
      <c r="I112" s="340" t="s">
        <v>5999</v>
      </c>
    </row>
    <row r="113" spans="2:9" ht="120.75" thickBot="1">
      <c r="B113" s="382" t="s">
        <v>7680</v>
      </c>
      <c r="C113" s="304" t="s">
        <v>3283</v>
      </c>
      <c r="D113" s="389" t="s">
        <v>7965</v>
      </c>
      <c r="E113" s="284" t="s">
        <v>4992</v>
      </c>
      <c r="H113" s="449" t="s">
        <v>8310</v>
      </c>
      <c r="I113" s="431" t="s">
        <v>6496</v>
      </c>
    </row>
    <row r="114" spans="2:9" ht="120.75" thickBot="1">
      <c r="B114" s="382" t="s">
        <v>7681</v>
      </c>
      <c r="C114" s="306" t="s">
        <v>3290</v>
      </c>
      <c r="D114" s="389" t="s">
        <v>7966</v>
      </c>
      <c r="E114" s="284" t="s">
        <v>4993</v>
      </c>
      <c r="H114" s="448" t="s">
        <v>8311</v>
      </c>
      <c r="I114" s="302" t="s">
        <v>6514</v>
      </c>
    </row>
    <row r="115" spans="2:9" ht="120.75" thickBot="1">
      <c r="B115" s="382" t="s">
        <v>7682</v>
      </c>
      <c r="C115" s="306" t="s">
        <v>3294</v>
      </c>
      <c r="D115" s="389" t="s">
        <v>7967</v>
      </c>
      <c r="E115" s="284" t="s">
        <v>4994</v>
      </c>
      <c r="H115" s="448" t="s">
        <v>8312</v>
      </c>
      <c r="I115" s="292" t="s">
        <v>6536</v>
      </c>
    </row>
    <row r="116" spans="2:9" ht="120.75" thickBot="1">
      <c r="B116" s="382" t="s">
        <v>7683</v>
      </c>
      <c r="C116" s="306" t="s">
        <v>3298</v>
      </c>
      <c r="D116" s="389" t="s">
        <v>7968</v>
      </c>
      <c r="E116" s="284" t="s">
        <v>4995</v>
      </c>
      <c r="H116" s="448" t="s">
        <v>8489</v>
      </c>
      <c r="I116" s="432" t="s">
        <v>6556</v>
      </c>
    </row>
    <row r="117" spans="2:9" ht="135.75" thickBot="1">
      <c r="B117" s="382" t="s">
        <v>7684</v>
      </c>
      <c r="C117" s="308" t="s">
        <v>3302</v>
      </c>
      <c r="D117" s="389" t="s">
        <v>7969</v>
      </c>
      <c r="E117" s="284" t="s">
        <v>4996</v>
      </c>
      <c r="H117" s="448" t="s">
        <v>8313</v>
      </c>
      <c r="I117" s="433" t="s">
        <v>6579</v>
      </c>
    </row>
    <row r="118" spans="2:9" ht="135.75" thickBot="1">
      <c r="B118" s="382" t="s">
        <v>7685</v>
      </c>
      <c r="C118" s="306" t="s">
        <v>3307</v>
      </c>
      <c r="D118" s="389" t="s">
        <v>7970</v>
      </c>
      <c r="E118" s="284" t="s">
        <v>4997</v>
      </c>
      <c r="H118" s="448" t="s">
        <v>8314</v>
      </c>
      <c r="I118" s="433" t="s">
        <v>6598</v>
      </c>
    </row>
    <row r="119" spans="2:9" ht="135.75" thickBot="1">
      <c r="B119" s="382" t="s">
        <v>7686</v>
      </c>
      <c r="C119" s="306" t="s">
        <v>3308</v>
      </c>
      <c r="D119" s="389" t="s">
        <v>7971</v>
      </c>
      <c r="E119" s="284" t="s">
        <v>4998</v>
      </c>
      <c r="H119" s="448" t="s">
        <v>8315</v>
      </c>
      <c r="I119" s="433" t="s">
        <v>6616</v>
      </c>
    </row>
    <row r="120" spans="2:9" ht="105.75" thickBot="1">
      <c r="B120" s="382" t="s">
        <v>7687</v>
      </c>
      <c r="C120" s="306" t="s">
        <v>3311</v>
      </c>
      <c r="D120" s="389" t="s">
        <v>7972</v>
      </c>
      <c r="E120" s="284" t="s">
        <v>4999</v>
      </c>
      <c r="H120" s="460" t="s">
        <v>8349</v>
      </c>
      <c r="I120" s="377" t="s">
        <v>6945</v>
      </c>
    </row>
    <row r="121" spans="2:9" ht="105.75" thickBot="1">
      <c r="B121" s="382" t="s">
        <v>7688</v>
      </c>
      <c r="C121" s="308" t="s">
        <v>3312</v>
      </c>
      <c r="D121" s="389" t="s">
        <v>7973</v>
      </c>
      <c r="E121" s="284" t="s">
        <v>5000</v>
      </c>
      <c r="H121" s="457" t="s">
        <v>8350</v>
      </c>
      <c r="I121" s="377" t="s">
        <v>6948</v>
      </c>
    </row>
    <row r="122" spans="2:9" ht="120.75" thickBot="1">
      <c r="B122" s="382" t="s">
        <v>7689</v>
      </c>
      <c r="C122" s="308" t="s">
        <v>3316</v>
      </c>
      <c r="D122" s="399" t="s">
        <v>8002</v>
      </c>
      <c r="E122" s="131" t="s">
        <v>5029</v>
      </c>
      <c r="H122" s="457" t="s">
        <v>8380</v>
      </c>
      <c r="I122" s="377" t="s">
        <v>7453</v>
      </c>
    </row>
    <row r="123" spans="2:9" ht="120.75" thickBot="1">
      <c r="B123" s="382" t="s">
        <v>7690</v>
      </c>
      <c r="C123" s="306" t="s">
        <v>3321</v>
      </c>
      <c r="D123" s="399" t="s">
        <v>8003</v>
      </c>
      <c r="E123" s="131" t="s">
        <v>5030</v>
      </c>
      <c r="H123" s="451" t="s">
        <v>8420</v>
      </c>
      <c r="I123" s="438" t="s">
        <v>7183</v>
      </c>
    </row>
    <row r="124" spans="2:9" ht="135.75" thickBot="1">
      <c r="B124" s="382" t="s">
        <v>7691</v>
      </c>
      <c r="C124" s="311" t="s">
        <v>3326</v>
      </c>
      <c r="D124" s="399" t="s">
        <v>8004</v>
      </c>
      <c r="E124" s="131" t="s">
        <v>5031</v>
      </c>
      <c r="H124" s="450" t="s">
        <v>8421</v>
      </c>
      <c r="I124" s="438" t="s">
        <v>7189</v>
      </c>
    </row>
    <row r="125" spans="2:9" ht="135.75" thickBot="1">
      <c r="B125" s="382" t="s">
        <v>7692</v>
      </c>
      <c r="C125" s="308" t="s">
        <v>3329</v>
      </c>
      <c r="D125" s="399" t="s">
        <v>8005</v>
      </c>
      <c r="E125" s="131" t="s">
        <v>5032</v>
      </c>
      <c r="H125" s="450" t="s">
        <v>8422</v>
      </c>
      <c r="I125" s="438" t="s">
        <v>7195</v>
      </c>
    </row>
    <row r="126" spans="2:9" ht="120.75" thickBot="1">
      <c r="B126" s="382" t="s">
        <v>7693</v>
      </c>
      <c r="C126" s="306" t="s">
        <v>8475</v>
      </c>
      <c r="D126" s="399" t="s">
        <v>8006</v>
      </c>
      <c r="E126" s="131" t="s">
        <v>5033</v>
      </c>
      <c r="H126" s="450" t="s">
        <v>8423</v>
      </c>
      <c r="I126" s="438" t="s">
        <v>7203</v>
      </c>
    </row>
    <row r="127" spans="2:9" ht="120.75" thickBot="1">
      <c r="B127" s="382" t="s">
        <v>7694</v>
      </c>
      <c r="C127" s="306" t="s">
        <v>3335</v>
      </c>
      <c r="D127" s="399" t="s">
        <v>8007</v>
      </c>
      <c r="E127" s="131" t="s">
        <v>5034</v>
      </c>
      <c r="H127" s="450" t="s">
        <v>8424</v>
      </c>
      <c r="I127" s="438" t="s">
        <v>7209</v>
      </c>
    </row>
    <row r="128" spans="2:9" ht="120.75" thickBot="1">
      <c r="B128" s="382" t="s">
        <v>7695</v>
      </c>
      <c r="C128" s="308" t="s">
        <v>3338</v>
      </c>
      <c r="D128" s="399" t="s">
        <v>8008</v>
      </c>
      <c r="E128" s="131" t="s">
        <v>5035</v>
      </c>
      <c r="H128" s="450" t="s">
        <v>8425</v>
      </c>
      <c r="I128" s="438" t="s">
        <v>7217</v>
      </c>
    </row>
    <row r="129" spans="2:9" ht="120.75" thickBot="1">
      <c r="B129" s="382" t="s">
        <v>7696</v>
      </c>
      <c r="C129" s="306" t="s">
        <v>3341</v>
      </c>
      <c r="D129" s="399" t="s">
        <v>8009</v>
      </c>
      <c r="E129" s="131" t="s">
        <v>5036</v>
      </c>
      <c r="H129" s="450" t="s">
        <v>8426</v>
      </c>
      <c r="I129" s="438" t="s">
        <v>7224</v>
      </c>
    </row>
    <row r="130" spans="2:9" ht="120.75" thickBot="1">
      <c r="B130" s="382" t="s">
        <v>7697</v>
      </c>
      <c r="C130" s="311" t="s">
        <v>3344</v>
      </c>
      <c r="D130" s="399" t="s">
        <v>8010</v>
      </c>
      <c r="E130" s="131" t="s">
        <v>5037</v>
      </c>
      <c r="H130" s="450" t="s">
        <v>8427</v>
      </c>
      <c r="I130" s="438" t="s">
        <v>7229</v>
      </c>
    </row>
    <row r="131" spans="2:9" ht="105.75" thickBot="1">
      <c r="B131" s="382" t="s">
        <v>7698</v>
      </c>
      <c r="C131" s="306" t="s">
        <v>3348</v>
      </c>
      <c r="D131" s="273" t="s">
        <v>8023</v>
      </c>
      <c r="E131" s="98" t="s">
        <v>956</v>
      </c>
      <c r="H131" s="450" t="s">
        <v>8428</v>
      </c>
      <c r="I131" s="438" t="s">
        <v>7236</v>
      </c>
    </row>
    <row r="132" spans="2:9" ht="105.75" thickBot="1">
      <c r="B132" s="382" t="s">
        <v>7699</v>
      </c>
      <c r="C132" s="306" t="s">
        <v>3349</v>
      </c>
      <c r="D132" s="273" t="s">
        <v>8024</v>
      </c>
      <c r="E132" s="100" t="s">
        <v>959</v>
      </c>
      <c r="H132" s="450" t="s">
        <v>8429</v>
      </c>
      <c r="I132" s="438" t="s">
        <v>7243</v>
      </c>
    </row>
    <row r="133" spans="2:9" ht="105.75" thickBot="1">
      <c r="B133" s="382" t="s">
        <v>7700</v>
      </c>
      <c r="C133" s="313" t="s">
        <v>3350</v>
      </c>
      <c r="D133" s="277" t="s">
        <v>8025</v>
      </c>
      <c r="E133" s="286" t="s">
        <v>963</v>
      </c>
      <c r="H133" s="450" t="s">
        <v>8430</v>
      </c>
      <c r="I133" s="438" t="s">
        <v>7249</v>
      </c>
    </row>
    <row r="134" spans="2:9" ht="105">
      <c r="B134" s="388" t="s">
        <v>7701</v>
      </c>
      <c r="C134" s="314" t="s">
        <v>3353</v>
      </c>
      <c r="D134" s="273" t="s">
        <v>8026</v>
      </c>
      <c r="E134" s="96" t="s">
        <v>969</v>
      </c>
      <c r="H134" s="450" t="s">
        <v>8431</v>
      </c>
      <c r="I134" s="438" t="s">
        <v>7255</v>
      </c>
    </row>
    <row r="135" spans="2:9" ht="105">
      <c r="B135" s="388" t="s">
        <v>7702</v>
      </c>
      <c r="C135" s="317" t="s">
        <v>3357</v>
      </c>
      <c r="D135" s="273" t="s">
        <v>8027</v>
      </c>
      <c r="E135" s="96" t="s">
        <v>971</v>
      </c>
    </row>
    <row r="136" spans="2:9" ht="105.75" thickBot="1">
      <c r="B136" s="388" t="s">
        <v>7703</v>
      </c>
      <c r="C136" s="320" t="s">
        <v>3359</v>
      </c>
      <c r="D136" s="273" t="s">
        <v>8028</v>
      </c>
      <c r="E136" s="100" t="s">
        <v>974</v>
      </c>
    </row>
    <row r="137" spans="2:9" ht="120">
      <c r="B137" s="388" t="s">
        <v>7704</v>
      </c>
      <c r="C137" s="317" t="s">
        <v>3361</v>
      </c>
      <c r="D137" s="273" t="s">
        <v>8029</v>
      </c>
      <c r="E137" s="101" t="s">
        <v>979</v>
      </c>
    </row>
    <row r="138" spans="2:9" ht="105">
      <c r="B138" s="388" t="s">
        <v>7705</v>
      </c>
      <c r="C138" s="317" t="s">
        <v>3363</v>
      </c>
      <c r="D138" s="273" t="s">
        <v>8031</v>
      </c>
      <c r="E138" s="97" t="s">
        <v>986</v>
      </c>
    </row>
    <row r="139" spans="2:9" ht="120.75" thickBot="1">
      <c r="B139" s="388" t="s">
        <v>7706</v>
      </c>
      <c r="C139" s="320" t="s">
        <v>3365</v>
      </c>
      <c r="D139" s="273" t="s">
        <v>8032</v>
      </c>
      <c r="E139" s="99" t="s">
        <v>989</v>
      </c>
    </row>
    <row r="140" spans="2:9" ht="105">
      <c r="B140" s="388" t="s">
        <v>7707</v>
      </c>
      <c r="C140" s="322" t="s">
        <v>3366</v>
      </c>
      <c r="D140" s="273" t="s">
        <v>8033</v>
      </c>
      <c r="E140" s="286" t="s">
        <v>994</v>
      </c>
    </row>
    <row r="141" spans="2:9" ht="105">
      <c r="B141" s="388" t="s">
        <v>7708</v>
      </c>
      <c r="C141" s="320" t="s">
        <v>3367</v>
      </c>
      <c r="D141" s="273" t="s">
        <v>8034</v>
      </c>
      <c r="E141" s="96" t="s">
        <v>996</v>
      </c>
    </row>
    <row r="142" spans="2:9" ht="105">
      <c r="B142" s="388" t="s">
        <v>7709</v>
      </c>
      <c r="C142" s="317" t="s">
        <v>3369</v>
      </c>
      <c r="D142" s="273" t="s">
        <v>8035</v>
      </c>
      <c r="E142" s="96" t="s">
        <v>999</v>
      </c>
    </row>
    <row r="143" spans="2:9" ht="120">
      <c r="B143" s="388" t="s">
        <v>7710</v>
      </c>
      <c r="C143" s="317" t="s">
        <v>3371</v>
      </c>
      <c r="D143" s="273" t="s">
        <v>8036</v>
      </c>
      <c r="E143" s="96" t="s">
        <v>1001</v>
      </c>
    </row>
    <row r="144" spans="2:9" ht="105.75" thickBot="1">
      <c r="B144" s="388" t="s">
        <v>7711</v>
      </c>
      <c r="C144" s="317" t="s">
        <v>3373</v>
      </c>
      <c r="D144" s="273" t="s">
        <v>8037</v>
      </c>
      <c r="E144" s="100" t="s">
        <v>1003</v>
      </c>
    </row>
    <row r="145" spans="2:5" ht="105">
      <c r="B145" s="388" t="s">
        <v>7712</v>
      </c>
      <c r="C145" s="320" t="s">
        <v>3375</v>
      </c>
      <c r="D145" s="273" t="s">
        <v>8038</v>
      </c>
      <c r="E145" s="286" t="s">
        <v>1007</v>
      </c>
    </row>
    <row r="146" spans="2:5" ht="105.75" thickBot="1">
      <c r="B146" s="388" t="s">
        <v>7713</v>
      </c>
      <c r="C146" s="317" t="s">
        <v>3376</v>
      </c>
      <c r="D146" s="273" t="s">
        <v>8039</v>
      </c>
      <c r="E146" s="100" t="s">
        <v>1009</v>
      </c>
    </row>
    <row r="147" spans="2:5" ht="105.75" thickBot="1">
      <c r="B147" s="388" t="s">
        <v>7714</v>
      </c>
      <c r="C147" s="324" t="s">
        <v>3377</v>
      </c>
      <c r="D147" s="273" t="s">
        <v>8040</v>
      </c>
      <c r="E147" s="286" t="s">
        <v>1014</v>
      </c>
    </row>
    <row r="148" spans="2:5" ht="105">
      <c r="B148" s="392" t="s">
        <v>7715</v>
      </c>
      <c r="C148" s="325" t="s">
        <v>3380</v>
      </c>
      <c r="D148" s="273" t="s">
        <v>8041</v>
      </c>
      <c r="E148" s="96" t="s">
        <v>1017</v>
      </c>
    </row>
    <row r="149" spans="2:5" ht="105.75" thickBot="1">
      <c r="B149" s="392" t="s">
        <v>7716</v>
      </c>
      <c r="C149" s="327" t="s">
        <v>3382</v>
      </c>
      <c r="D149" s="273" t="s">
        <v>8042</v>
      </c>
      <c r="E149" s="100" t="s">
        <v>1021</v>
      </c>
    </row>
    <row r="150" spans="2:5" ht="105">
      <c r="B150" s="392" t="s">
        <v>7717</v>
      </c>
      <c r="C150" s="327" t="s">
        <v>3386</v>
      </c>
      <c r="D150" s="273" t="s">
        <v>8043</v>
      </c>
      <c r="E150" s="286" t="s">
        <v>1025</v>
      </c>
    </row>
    <row r="151" spans="2:5" ht="105">
      <c r="B151" s="392" t="s">
        <v>7718</v>
      </c>
      <c r="C151" s="327" t="s">
        <v>3392</v>
      </c>
      <c r="D151" s="273" t="s">
        <v>8044</v>
      </c>
      <c r="E151" s="96" t="s">
        <v>1027</v>
      </c>
    </row>
    <row r="152" spans="2:5" ht="105.75" thickBot="1">
      <c r="B152" s="392" t="s">
        <v>7719</v>
      </c>
      <c r="C152" s="328" t="s">
        <v>3395</v>
      </c>
      <c r="D152" s="273" t="s">
        <v>8045</v>
      </c>
      <c r="E152" s="100" t="s">
        <v>1030</v>
      </c>
    </row>
    <row r="153" spans="2:5" ht="105">
      <c r="B153" s="392" t="s">
        <v>7720</v>
      </c>
      <c r="C153" s="327" t="s">
        <v>3396</v>
      </c>
      <c r="D153" s="273" t="s">
        <v>8046</v>
      </c>
      <c r="E153" s="286" t="s">
        <v>1035</v>
      </c>
    </row>
    <row r="154" spans="2:5" ht="105">
      <c r="B154" s="392" t="s">
        <v>7721</v>
      </c>
      <c r="C154" s="327" t="s">
        <v>3397</v>
      </c>
      <c r="D154" s="273" t="s">
        <v>8047</v>
      </c>
      <c r="E154" s="96" t="s">
        <v>1038</v>
      </c>
    </row>
    <row r="155" spans="2:5" ht="105.75" thickBot="1">
      <c r="B155" s="392" t="s">
        <v>7722</v>
      </c>
      <c r="C155" s="327" t="s">
        <v>3398</v>
      </c>
      <c r="D155" s="273" t="s">
        <v>8048</v>
      </c>
      <c r="E155" s="100" t="s">
        <v>1040</v>
      </c>
    </row>
    <row r="156" spans="2:5" ht="105">
      <c r="B156" s="392" t="s">
        <v>7723</v>
      </c>
      <c r="C156" s="327" t="s">
        <v>3399</v>
      </c>
      <c r="D156" s="277" t="s">
        <v>8049</v>
      </c>
      <c r="E156" s="101" t="s">
        <v>1042</v>
      </c>
    </row>
    <row r="157" spans="2:5" ht="105">
      <c r="B157" s="392" t="s">
        <v>7724</v>
      </c>
      <c r="C157" s="327" t="s">
        <v>3402</v>
      </c>
      <c r="D157" s="277" t="s">
        <v>8050</v>
      </c>
      <c r="E157" s="97" t="s">
        <v>1044</v>
      </c>
    </row>
    <row r="158" spans="2:5" ht="105">
      <c r="B158" s="392" t="s">
        <v>7725</v>
      </c>
      <c r="C158" s="327" t="s">
        <v>3403</v>
      </c>
      <c r="D158" s="277" t="s">
        <v>8051</v>
      </c>
      <c r="E158" s="97" t="s">
        <v>1048</v>
      </c>
    </row>
    <row r="159" spans="2:5" ht="105">
      <c r="B159" s="392" t="s">
        <v>7726</v>
      </c>
      <c r="C159" s="328" t="s">
        <v>3404</v>
      </c>
      <c r="D159" s="277" t="s">
        <v>8052</v>
      </c>
      <c r="E159" s="97" t="s">
        <v>1051</v>
      </c>
    </row>
    <row r="160" spans="2:5" ht="105">
      <c r="B160" s="392" t="s">
        <v>7727</v>
      </c>
      <c r="C160" s="327" t="s">
        <v>3405</v>
      </c>
      <c r="D160" s="277" t="s">
        <v>8053</v>
      </c>
      <c r="E160" s="97" t="s">
        <v>1054</v>
      </c>
    </row>
    <row r="161" spans="2:5" ht="105">
      <c r="B161" s="395" t="s">
        <v>7728</v>
      </c>
      <c r="C161" s="330" t="s">
        <v>3407</v>
      </c>
      <c r="D161" s="277" t="s">
        <v>8054</v>
      </c>
      <c r="E161" s="97" t="s">
        <v>1057</v>
      </c>
    </row>
    <row r="162" spans="2:5" ht="105">
      <c r="B162" s="395" t="s">
        <v>7729</v>
      </c>
      <c r="C162" s="330" t="s">
        <v>3408</v>
      </c>
      <c r="D162" s="277" t="s">
        <v>8055</v>
      </c>
      <c r="E162" s="97" t="s">
        <v>1059</v>
      </c>
    </row>
    <row r="163" spans="2:5" ht="105">
      <c r="B163" s="395" t="s">
        <v>7730</v>
      </c>
      <c r="C163" s="330" t="s">
        <v>3411</v>
      </c>
      <c r="D163" s="277" t="s">
        <v>8056</v>
      </c>
      <c r="E163" s="97" t="s">
        <v>1061</v>
      </c>
    </row>
    <row r="164" spans="2:5" ht="105">
      <c r="B164" s="395" t="s">
        <v>7731</v>
      </c>
      <c r="C164" s="330" t="s">
        <v>3392</v>
      </c>
      <c r="D164" s="277" t="s">
        <v>8057</v>
      </c>
      <c r="E164" s="97" t="s">
        <v>1063</v>
      </c>
    </row>
    <row r="165" spans="2:5" ht="120.75" thickBot="1">
      <c r="B165" s="395" t="s">
        <v>7732</v>
      </c>
      <c r="C165" s="330" t="s">
        <v>3396</v>
      </c>
      <c r="D165" s="277" t="s">
        <v>8058</v>
      </c>
      <c r="E165" s="99" t="s">
        <v>1067</v>
      </c>
    </row>
    <row r="166" spans="2:5" ht="120">
      <c r="B166" s="395" t="s">
        <v>7733</v>
      </c>
      <c r="C166" s="330" t="s">
        <v>3416</v>
      </c>
      <c r="D166" s="277" t="s">
        <v>8059</v>
      </c>
      <c r="E166" s="286" t="s">
        <v>1071</v>
      </c>
    </row>
    <row r="167" spans="2:5" ht="120">
      <c r="B167" s="395" t="s">
        <v>7734</v>
      </c>
      <c r="C167" s="330" t="s">
        <v>3420</v>
      </c>
      <c r="D167" s="277" t="s">
        <v>8060</v>
      </c>
      <c r="E167" s="96" t="s">
        <v>1074</v>
      </c>
    </row>
    <row r="168" spans="2:5" ht="120.75" thickBot="1">
      <c r="B168" s="395" t="s">
        <v>7735</v>
      </c>
      <c r="C168" s="330" t="s">
        <v>3425</v>
      </c>
      <c r="D168" s="277" t="s">
        <v>8061</v>
      </c>
      <c r="E168" s="100" t="s">
        <v>1075</v>
      </c>
    </row>
    <row r="169" spans="2:5" ht="120">
      <c r="B169" s="395" t="s">
        <v>7736</v>
      </c>
      <c r="C169" s="330" t="s">
        <v>4165</v>
      </c>
      <c r="D169" s="277" t="s">
        <v>8062</v>
      </c>
      <c r="E169" s="286" t="s">
        <v>1079</v>
      </c>
    </row>
    <row r="170" spans="2:5" ht="120">
      <c r="B170" s="395" t="s">
        <v>7737</v>
      </c>
      <c r="C170" s="330" t="s">
        <v>4166</v>
      </c>
      <c r="D170" s="277" t="s">
        <v>8063</v>
      </c>
      <c r="E170" s="96" t="s">
        <v>1082</v>
      </c>
    </row>
    <row r="171" spans="2:5" ht="120">
      <c r="B171" s="395" t="s">
        <v>7738</v>
      </c>
      <c r="C171" s="330" t="s">
        <v>4167</v>
      </c>
      <c r="D171" s="277" t="s">
        <v>8064</v>
      </c>
      <c r="E171" s="96" t="s">
        <v>1085</v>
      </c>
    </row>
    <row r="172" spans="2:5" ht="135">
      <c r="B172" s="396" t="s">
        <v>7739</v>
      </c>
      <c r="C172" s="308" t="s">
        <v>3431</v>
      </c>
      <c r="D172" s="277" t="s">
        <v>8065</v>
      </c>
      <c r="E172" s="96" t="s">
        <v>1088</v>
      </c>
    </row>
    <row r="173" spans="2:5" ht="120">
      <c r="B173" s="396" t="s">
        <v>7740</v>
      </c>
      <c r="C173" s="306" t="s">
        <v>3435</v>
      </c>
      <c r="D173" s="277" t="s">
        <v>8066</v>
      </c>
      <c r="E173" s="96" t="s">
        <v>1091</v>
      </c>
    </row>
    <row r="174" spans="2:5" ht="120.75" thickBot="1">
      <c r="B174" s="396" t="s">
        <v>7741</v>
      </c>
      <c r="C174" s="306" t="s">
        <v>3436</v>
      </c>
      <c r="D174" s="277" t="s">
        <v>8067</v>
      </c>
      <c r="E174" s="100" t="s">
        <v>1095</v>
      </c>
    </row>
    <row r="175" spans="2:5" ht="120">
      <c r="B175" s="396" t="s">
        <v>7742</v>
      </c>
      <c r="C175" s="306" t="s">
        <v>3440</v>
      </c>
      <c r="D175" s="277" t="s">
        <v>8076</v>
      </c>
      <c r="E175" s="286" t="s">
        <v>1124</v>
      </c>
    </row>
    <row r="176" spans="2:5" ht="120">
      <c r="B176" s="396" t="s">
        <v>7743</v>
      </c>
      <c r="C176" s="306" t="s">
        <v>3441</v>
      </c>
      <c r="D176" s="277" t="s">
        <v>8077</v>
      </c>
      <c r="E176" s="96" t="s">
        <v>1125</v>
      </c>
    </row>
    <row r="177" spans="2:5" ht="120.75" thickBot="1">
      <c r="B177" s="396" t="s">
        <v>7744</v>
      </c>
      <c r="C177" s="311" t="s">
        <v>3444</v>
      </c>
      <c r="D177" s="277" t="s">
        <v>8078</v>
      </c>
      <c r="E177" s="100" t="s">
        <v>1126</v>
      </c>
    </row>
    <row r="178" spans="2:5" ht="120">
      <c r="B178" s="396" t="s">
        <v>7745</v>
      </c>
      <c r="C178" s="311" t="s">
        <v>3446</v>
      </c>
      <c r="D178" s="277" t="s">
        <v>8079</v>
      </c>
      <c r="E178" s="101" t="s">
        <v>1131</v>
      </c>
    </row>
    <row r="179" spans="2:5" ht="120">
      <c r="B179" s="396" t="s">
        <v>7746</v>
      </c>
      <c r="C179" s="334" t="s">
        <v>3450</v>
      </c>
      <c r="D179" s="277" t="s">
        <v>8080</v>
      </c>
      <c r="E179" s="97" t="s">
        <v>1135</v>
      </c>
    </row>
    <row r="180" spans="2:5" ht="120">
      <c r="B180" s="396" t="s">
        <v>7747</v>
      </c>
      <c r="C180" s="311" t="s">
        <v>3453</v>
      </c>
      <c r="D180" s="277" t="s">
        <v>8081</v>
      </c>
      <c r="E180" s="97" t="s">
        <v>1139</v>
      </c>
    </row>
    <row r="181" spans="2:5" ht="135">
      <c r="B181" s="396" t="s">
        <v>7748</v>
      </c>
      <c r="C181" s="334" t="s">
        <v>3456</v>
      </c>
      <c r="D181" s="277" t="s">
        <v>8082</v>
      </c>
      <c r="E181" s="97" t="s">
        <v>1143</v>
      </c>
    </row>
    <row r="182" spans="2:5" ht="120">
      <c r="B182" s="396" t="s">
        <v>7749</v>
      </c>
      <c r="C182" s="311" t="s">
        <v>3460</v>
      </c>
      <c r="D182" s="277" t="s">
        <v>8083</v>
      </c>
      <c r="E182" s="97" t="s">
        <v>1146</v>
      </c>
    </row>
    <row r="183" spans="2:5" ht="135">
      <c r="B183" s="396" t="s">
        <v>7750</v>
      </c>
      <c r="C183" s="311" t="s">
        <v>3461</v>
      </c>
      <c r="D183" s="277" t="s">
        <v>8084</v>
      </c>
      <c r="E183" s="97" t="s">
        <v>1150</v>
      </c>
    </row>
    <row r="184" spans="2:5" ht="120.75" thickBot="1">
      <c r="B184" s="396" t="s">
        <v>7751</v>
      </c>
      <c r="C184" s="311" t="s">
        <v>3464</v>
      </c>
      <c r="D184" s="277" t="s">
        <v>8085</v>
      </c>
      <c r="E184" s="99" t="s">
        <v>1155</v>
      </c>
    </row>
    <row r="185" spans="2:5" ht="120">
      <c r="B185" s="396" t="s">
        <v>7752</v>
      </c>
      <c r="C185" s="334" t="s">
        <v>3465</v>
      </c>
      <c r="D185" s="277" t="s">
        <v>8086</v>
      </c>
      <c r="E185" s="101" t="s">
        <v>1160</v>
      </c>
    </row>
    <row r="186" spans="2:5" ht="135">
      <c r="B186" s="396" t="s">
        <v>7753</v>
      </c>
      <c r="C186" s="334" t="s">
        <v>3466</v>
      </c>
      <c r="D186" s="277" t="s">
        <v>8087</v>
      </c>
      <c r="E186" s="97" t="s">
        <v>1163</v>
      </c>
    </row>
    <row r="187" spans="2:5" ht="120.75" thickBot="1">
      <c r="B187" s="396" t="s">
        <v>7754</v>
      </c>
      <c r="C187" s="311" t="s">
        <v>3470</v>
      </c>
      <c r="D187" s="277" t="s">
        <v>8088</v>
      </c>
      <c r="E187" s="99" t="s">
        <v>1166</v>
      </c>
    </row>
    <row r="188" spans="2:5" ht="120">
      <c r="B188" s="396" t="s">
        <v>7755</v>
      </c>
      <c r="C188" s="334" t="s">
        <v>3475</v>
      </c>
      <c r="D188" s="277" t="s">
        <v>8089</v>
      </c>
      <c r="E188" s="101" t="s">
        <v>1169</v>
      </c>
    </row>
    <row r="189" spans="2:5" ht="120">
      <c r="B189" s="398" t="s">
        <v>7756</v>
      </c>
      <c r="C189" s="335" t="s">
        <v>4168</v>
      </c>
      <c r="D189" s="277" t="s">
        <v>8097</v>
      </c>
      <c r="E189" s="101" t="s">
        <v>1188</v>
      </c>
    </row>
    <row r="190" spans="2:5" ht="120">
      <c r="B190" s="398" t="s">
        <v>7757</v>
      </c>
      <c r="C190" s="335" t="s">
        <v>3482</v>
      </c>
      <c r="D190" s="277" t="s">
        <v>8098</v>
      </c>
      <c r="E190" s="97" t="s">
        <v>1191</v>
      </c>
    </row>
    <row r="191" spans="2:5" ht="120">
      <c r="B191" s="398" t="s">
        <v>7758</v>
      </c>
      <c r="C191" s="335" t="s">
        <v>3483</v>
      </c>
      <c r="D191" s="277" t="s">
        <v>8099</v>
      </c>
      <c r="E191" s="96" t="s">
        <v>1192</v>
      </c>
    </row>
    <row r="192" spans="2:5" ht="120">
      <c r="B192" s="398" t="s">
        <v>7759</v>
      </c>
      <c r="C192" s="336" t="s">
        <v>3484</v>
      </c>
      <c r="D192" s="277" t="s">
        <v>8100</v>
      </c>
      <c r="E192" s="97" t="s">
        <v>1194</v>
      </c>
    </row>
    <row r="193" spans="2:5" ht="120">
      <c r="B193" s="398" t="s">
        <v>7760</v>
      </c>
      <c r="C193" s="336" t="s">
        <v>3485</v>
      </c>
      <c r="D193" s="277" t="s">
        <v>8101</v>
      </c>
      <c r="E193" s="97" t="s">
        <v>1197</v>
      </c>
    </row>
    <row r="194" spans="2:5" ht="120">
      <c r="B194" s="398" t="s">
        <v>7761</v>
      </c>
      <c r="C194" s="335" t="s">
        <v>3486</v>
      </c>
      <c r="D194" s="277" t="s">
        <v>8102</v>
      </c>
      <c r="E194" s="97" t="s">
        <v>1199</v>
      </c>
    </row>
    <row r="195" spans="2:5" ht="120">
      <c r="B195" s="398" t="s">
        <v>7762</v>
      </c>
      <c r="C195" s="335" t="s">
        <v>3487</v>
      </c>
      <c r="D195" s="277" t="s">
        <v>8103</v>
      </c>
      <c r="E195" s="97" t="s">
        <v>1201</v>
      </c>
    </row>
    <row r="196" spans="2:5" ht="120.75" thickBot="1">
      <c r="B196" s="398" t="s">
        <v>7763</v>
      </c>
      <c r="C196" s="336" t="s">
        <v>3488</v>
      </c>
      <c r="D196" s="277" t="s">
        <v>8104</v>
      </c>
      <c r="E196" s="99" t="s">
        <v>1203</v>
      </c>
    </row>
    <row r="197" spans="2:5" ht="120">
      <c r="B197" s="398" t="s">
        <v>7764</v>
      </c>
      <c r="C197" s="335" t="s">
        <v>3444</v>
      </c>
      <c r="D197" s="277" t="s">
        <v>8105</v>
      </c>
      <c r="E197" s="101" t="s">
        <v>1205</v>
      </c>
    </row>
    <row r="198" spans="2:5" ht="120">
      <c r="B198" s="398" t="s">
        <v>7765</v>
      </c>
      <c r="C198" s="335" t="s">
        <v>3497</v>
      </c>
      <c r="D198" s="277" t="s">
        <v>8106</v>
      </c>
      <c r="E198" s="97" t="s">
        <v>1206</v>
      </c>
    </row>
    <row r="199" spans="2:5" ht="120">
      <c r="B199" s="398" t="s">
        <v>7766</v>
      </c>
      <c r="C199" s="335" t="s">
        <v>3498</v>
      </c>
      <c r="D199" s="277" t="s">
        <v>8107</v>
      </c>
      <c r="E199" s="97" t="s">
        <v>1207</v>
      </c>
    </row>
    <row r="200" spans="2:5" ht="120">
      <c r="B200" s="398" t="s">
        <v>7767</v>
      </c>
      <c r="C200" s="335" t="s">
        <v>3499</v>
      </c>
      <c r="D200" s="277" t="s">
        <v>8108</v>
      </c>
      <c r="E200" s="97" t="s">
        <v>1209</v>
      </c>
    </row>
    <row r="201" spans="2:5" ht="120">
      <c r="B201" s="398" t="s">
        <v>7768</v>
      </c>
      <c r="C201" s="335" t="s">
        <v>3500</v>
      </c>
      <c r="D201" s="277" t="s">
        <v>8109</v>
      </c>
      <c r="E201" s="97" t="s">
        <v>1211</v>
      </c>
    </row>
    <row r="202" spans="2:5" ht="120">
      <c r="B202" s="398" t="s">
        <v>7769</v>
      </c>
      <c r="C202" s="335" t="s">
        <v>3501</v>
      </c>
      <c r="D202" s="277" t="s">
        <v>8110</v>
      </c>
      <c r="E202" s="97" t="s">
        <v>1214</v>
      </c>
    </row>
    <row r="203" spans="2:5" ht="120">
      <c r="B203" s="398" t="s">
        <v>7770</v>
      </c>
      <c r="C203" s="335" t="s">
        <v>3502</v>
      </c>
      <c r="D203" s="277" t="s">
        <v>8111</v>
      </c>
      <c r="E203" s="97" t="s">
        <v>1216</v>
      </c>
    </row>
    <row r="204" spans="2:5" ht="210">
      <c r="B204" s="396" t="s">
        <v>7771</v>
      </c>
      <c r="C204" s="306" t="s">
        <v>4169</v>
      </c>
      <c r="D204" s="277" t="s">
        <v>8112</v>
      </c>
      <c r="E204" s="97" t="s">
        <v>1219</v>
      </c>
    </row>
    <row r="205" spans="2:5" ht="120">
      <c r="B205" s="396" t="s">
        <v>7772</v>
      </c>
      <c r="C205" s="306" t="s">
        <v>4170</v>
      </c>
      <c r="D205" s="277" t="s">
        <v>8113</v>
      </c>
      <c r="E205" s="97" t="s">
        <v>1222</v>
      </c>
    </row>
    <row r="206" spans="2:5" ht="135">
      <c r="B206" s="396" t="s">
        <v>7773</v>
      </c>
      <c r="C206" s="306" t="s">
        <v>4171</v>
      </c>
      <c r="D206" s="277" t="s">
        <v>8114</v>
      </c>
      <c r="E206" s="97" t="s">
        <v>1225</v>
      </c>
    </row>
    <row r="207" spans="2:5" ht="135">
      <c r="B207" s="396" t="s">
        <v>7774</v>
      </c>
      <c r="C207" s="306" t="s">
        <v>4172</v>
      </c>
      <c r="D207" s="277" t="s">
        <v>8115</v>
      </c>
      <c r="E207" s="97" t="s">
        <v>1229</v>
      </c>
    </row>
    <row r="208" spans="2:5" ht="135.75" thickBot="1">
      <c r="B208" s="396" t="s">
        <v>7775</v>
      </c>
      <c r="C208" s="306" t="s">
        <v>4173</v>
      </c>
      <c r="D208" s="277" t="s">
        <v>8116</v>
      </c>
      <c r="E208" s="99" t="s">
        <v>1234</v>
      </c>
    </row>
    <row r="209" spans="2:5" ht="120">
      <c r="B209" s="396" t="s">
        <v>7776</v>
      </c>
      <c r="C209" s="306" t="s">
        <v>4174</v>
      </c>
      <c r="D209" s="277" t="s">
        <v>8117</v>
      </c>
      <c r="E209" s="101" t="s">
        <v>1239</v>
      </c>
    </row>
    <row r="210" spans="2:5" ht="120.75" thickBot="1">
      <c r="B210" s="396" t="s">
        <v>7777</v>
      </c>
      <c r="C210" s="306" t="s">
        <v>4175</v>
      </c>
      <c r="D210" s="277" t="s">
        <v>8118</v>
      </c>
      <c r="E210" s="97" t="s">
        <v>1241</v>
      </c>
    </row>
    <row r="211" spans="2:5" ht="120.75" thickBot="1">
      <c r="B211" s="83" t="s">
        <v>7778</v>
      </c>
      <c r="C211" s="83" t="s">
        <v>1507</v>
      </c>
      <c r="D211" s="277" t="s">
        <v>8119</v>
      </c>
      <c r="E211" s="97" t="s">
        <v>1244</v>
      </c>
    </row>
    <row r="212" spans="2:5" ht="120.75" thickBot="1">
      <c r="B212" s="83" t="s">
        <v>7779</v>
      </c>
      <c r="C212" s="284" t="s">
        <v>1513</v>
      </c>
      <c r="D212" s="277" t="s">
        <v>8120</v>
      </c>
      <c r="E212" s="97" t="s">
        <v>1248</v>
      </c>
    </row>
    <row r="213" spans="2:5" ht="120.75" thickBot="1">
      <c r="B213" s="83" t="s">
        <v>7780</v>
      </c>
      <c r="C213" s="284" t="s">
        <v>1517</v>
      </c>
      <c r="D213" s="277" t="s">
        <v>8121</v>
      </c>
      <c r="E213" s="97" t="s">
        <v>1249</v>
      </c>
    </row>
    <row r="214" spans="2:5" ht="120.75" thickBot="1">
      <c r="B214" s="83" t="s">
        <v>7781</v>
      </c>
      <c r="C214" s="284" t="s">
        <v>1521</v>
      </c>
      <c r="D214" s="277" t="s">
        <v>8122</v>
      </c>
      <c r="E214" s="99" t="s">
        <v>1250</v>
      </c>
    </row>
    <row r="215" spans="2:5" ht="120.75" thickBot="1">
      <c r="B215" s="83" t="s">
        <v>7782</v>
      </c>
      <c r="C215" s="284" t="s">
        <v>1525</v>
      </c>
      <c r="D215" s="277" t="s">
        <v>8123</v>
      </c>
      <c r="E215" s="101" t="s">
        <v>1254</v>
      </c>
    </row>
    <row r="216" spans="2:5" ht="120.75" thickBot="1">
      <c r="B216" s="83" t="s">
        <v>7783</v>
      </c>
      <c r="C216" s="284" t="s">
        <v>1531</v>
      </c>
      <c r="D216" s="277" t="s">
        <v>8124</v>
      </c>
      <c r="E216" s="97" t="s">
        <v>1257</v>
      </c>
    </row>
    <row r="217" spans="2:5" ht="120.75" thickBot="1">
      <c r="B217" s="83" t="s">
        <v>7784</v>
      </c>
      <c r="C217" s="284" t="s">
        <v>1535</v>
      </c>
      <c r="D217" s="277" t="s">
        <v>8125</v>
      </c>
      <c r="E217" s="97" t="s">
        <v>1259</v>
      </c>
    </row>
    <row r="218" spans="2:5" ht="120.75" thickBot="1">
      <c r="B218" s="83" t="s">
        <v>7785</v>
      </c>
      <c r="C218" s="284" t="s">
        <v>1540</v>
      </c>
      <c r="D218" s="277" t="s">
        <v>8126</v>
      </c>
      <c r="E218" s="97" t="s">
        <v>1262</v>
      </c>
    </row>
    <row r="219" spans="2:5" ht="120.75" thickBot="1">
      <c r="B219" s="83" t="s">
        <v>7786</v>
      </c>
      <c r="C219" s="284" t="s">
        <v>1546</v>
      </c>
      <c r="D219" s="277" t="s">
        <v>8127</v>
      </c>
      <c r="E219" s="97" t="s">
        <v>1265</v>
      </c>
    </row>
    <row r="220" spans="2:5" ht="135.75" thickBot="1">
      <c r="B220" s="83" t="s">
        <v>7787</v>
      </c>
      <c r="C220" s="284" t="s">
        <v>1550</v>
      </c>
      <c r="D220" s="277" t="s">
        <v>8128</v>
      </c>
      <c r="E220" s="97" t="s">
        <v>1267</v>
      </c>
    </row>
    <row r="221" spans="2:5" ht="135.75" thickBot="1">
      <c r="B221" s="83" t="s">
        <v>7788</v>
      </c>
      <c r="C221" s="284" t="s">
        <v>1552</v>
      </c>
      <c r="D221" s="277" t="s">
        <v>8129</v>
      </c>
      <c r="E221" s="97" t="s">
        <v>1271</v>
      </c>
    </row>
    <row r="222" spans="2:5" ht="135.75" thickBot="1">
      <c r="B222" s="83" t="s">
        <v>7789</v>
      </c>
      <c r="C222" s="284" t="s">
        <v>1557</v>
      </c>
      <c r="D222" s="277" t="s">
        <v>8130</v>
      </c>
      <c r="E222" s="97" t="s">
        <v>1274</v>
      </c>
    </row>
    <row r="223" spans="2:5" ht="135.75" thickBot="1">
      <c r="B223" s="83" t="s">
        <v>7790</v>
      </c>
      <c r="C223" s="284" t="s">
        <v>1561</v>
      </c>
      <c r="D223" s="277" t="s">
        <v>8131</v>
      </c>
      <c r="E223" s="97" t="s">
        <v>1275</v>
      </c>
    </row>
    <row r="224" spans="2:5" ht="135.75" thickBot="1">
      <c r="B224" s="83" t="s">
        <v>7791</v>
      </c>
      <c r="C224" s="284" t="s">
        <v>1564</v>
      </c>
      <c r="D224" s="277" t="s">
        <v>8132</v>
      </c>
      <c r="E224" s="97" t="s">
        <v>1276</v>
      </c>
    </row>
    <row r="225" spans="2:5" ht="135">
      <c r="B225" s="83" t="s">
        <v>7792</v>
      </c>
      <c r="C225" s="284" t="s">
        <v>1567</v>
      </c>
      <c r="D225" s="277" t="s">
        <v>8133</v>
      </c>
      <c r="E225" s="97" t="s">
        <v>1278</v>
      </c>
    </row>
    <row r="226" spans="2:5" ht="135">
      <c r="B226" s="219" t="s">
        <v>7796</v>
      </c>
      <c r="C226" s="117" t="s">
        <v>1586</v>
      </c>
      <c r="D226" s="277" t="s">
        <v>8134</v>
      </c>
      <c r="E226" s="97" t="s">
        <v>1280</v>
      </c>
    </row>
    <row r="227" spans="2:5" ht="135.75" thickBot="1">
      <c r="B227" s="219" t="s">
        <v>7797</v>
      </c>
      <c r="C227" s="284" t="s">
        <v>1589</v>
      </c>
      <c r="D227" s="277" t="s">
        <v>8135</v>
      </c>
      <c r="E227" s="99" t="s">
        <v>1281</v>
      </c>
    </row>
    <row r="228" spans="2:5" ht="150">
      <c r="B228" s="219" t="s">
        <v>7798</v>
      </c>
      <c r="C228" s="284" t="s">
        <v>1592</v>
      </c>
      <c r="D228" s="351" t="s">
        <v>4523</v>
      </c>
      <c r="E228" s="352" t="s">
        <v>8445</v>
      </c>
    </row>
    <row r="229" spans="2:5" ht="120">
      <c r="B229" s="219" t="s">
        <v>7799</v>
      </c>
      <c r="C229" s="284" t="s">
        <v>1596</v>
      </c>
      <c r="D229" s="351" t="s">
        <v>4529</v>
      </c>
      <c r="E229" s="352" t="s">
        <v>4530</v>
      </c>
    </row>
    <row r="230" spans="2:5" ht="120">
      <c r="B230" s="219" t="s">
        <v>7800</v>
      </c>
      <c r="C230" s="284" t="s">
        <v>1599</v>
      </c>
      <c r="D230" s="351" t="s">
        <v>4531</v>
      </c>
      <c r="E230" s="352" t="s">
        <v>4532</v>
      </c>
    </row>
    <row r="231" spans="2:5" ht="120">
      <c r="B231" s="219" t="s">
        <v>7801</v>
      </c>
      <c r="C231" s="284" t="s">
        <v>1602</v>
      </c>
      <c r="D231" s="271" t="s">
        <v>4563</v>
      </c>
      <c r="E231" s="309" t="s">
        <v>2722</v>
      </c>
    </row>
    <row r="232" spans="2:5" ht="135">
      <c r="B232" s="219" t="s">
        <v>7802</v>
      </c>
      <c r="C232" s="284" t="s">
        <v>1606</v>
      </c>
      <c r="D232" s="271" t="s">
        <v>4564</v>
      </c>
      <c r="E232" s="309" t="s">
        <v>2729</v>
      </c>
    </row>
    <row r="233" spans="2:5" ht="120">
      <c r="B233" s="219" t="s">
        <v>7803</v>
      </c>
      <c r="C233" s="284" t="s">
        <v>1609</v>
      </c>
      <c r="D233" s="271" t="s">
        <v>4565</v>
      </c>
      <c r="E233" s="309" t="s">
        <v>2733</v>
      </c>
    </row>
    <row r="234" spans="2:5" ht="120">
      <c r="B234" s="219" t="s">
        <v>7804</v>
      </c>
      <c r="C234" s="298" t="s">
        <v>1611</v>
      </c>
      <c r="D234" s="271" t="s">
        <v>4566</v>
      </c>
      <c r="E234" s="309" t="s">
        <v>4567</v>
      </c>
    </row>
    <row r="235" spans="2:5" ht="135">
      <c r="B235" s="219" t="s">
        <v>7806</v>
      </c>
      <c r="C235" s="284" t="s">
        <v>1614</v>
      </c>
      <c r="D235" s="271" t="s">
        <v>4568</v>
      </c>
      <c r="E235" s="309" t="s">
        <v>4569</v>
      </c>
    </row>
    <row r="236" spans="2:5" ht="135">
      <c r="B236" s="219" t="s">
        <v>7807</v>
      </c>
      <c r="C236" s="284" t="s">
        <v>1620</v>
      </c>
      <c r="D236" s="271" t="s">
        <v>4570</v>
      </c>
      <c r="E236" s="309" t="s">
        <v>4571</v>
      </c>
    </row>
    <row r="237" spans="2:5" ht="135">
      <c r="B237" s="219" t="s">
        <v>7808</v>
      </c>
      <c r="C237" s="284" t="s">
        <v>1623</v>
      </c>
      <c r="D237" s="271" t="s">
        <v>4572</v>
      </c>
      <c r="E237" s="309" t="s">
        <v>4573</v>
      </c>
    </row>
    <row r="238" spans="2:5" ht="135">
      <c r="B238" s="219" t="s">
        <v>7809</v>
      </c>
      <c r="C238" s="284" t="s">
        <v>1625</v>
      </c>
      <c r="D238" s="271" t="s">
        <v>4574</v>
      </c>
      <c r="E238" s="309" t="s">
        <v>4575</v>
      </c>
    </row>
    <row r="239" spans="2:5" ht="135">
      <c r="B239" s="219" t="s">
        <v>7810</v>
      </c>
      <c r="C239" s="284" t="s">
        <v>1628</v>
      </c>
      <c r="D239" s="271" t="s">
        <v>4576</v>
      </c>
      <c r="E239" s="309" t="s">
        <v>4577</v>
      </c>
    </row>
    <row r="240" spans="2:5" ht="135">
      <c r="B240" s="219" t="s">
        <v>7811</v>
      </c>
      <c r="C240" s="284" t="s">
        <v>1631</v>
      </c>
      <c r="D240" s="271" t="s">
        <v>4578</v>
      </c>
      <c r="E240" s="309" t="s">
        <v>4579</v>
      </c>
    </row>
    <row r="241" spans="2:5" ht="135">
      <c r="B241" s="219" t="s">
        <v>7812</v>
      </c>
      <c r="C241" s="284" t="s">
        <v>1634</v>
      </c>
      <c r="D241" s="271" t="s">
        <v>4580</v>
      </c>
      <c r="E241" s="309" t="s">
        <v>4581</v>
      </c>
    </row>
    <row r="242" spans="2:5" ht="195">
      <c r="B242" s="219" t="s">
        <v>7813</v>
      </c>
      <c r="C242" s="284" t="s">
        <v>1639</v>
      </c>
      <c r="D242" s="271" t="s">
        <v>4582</v>
      </c>
      <c r="E242" s="309" t="s">
        <v>4583</v>
      </c>
    </row>
    <row r="243" spans="2:5" ht="135">
      <c r="B243" s="219" t="s">
        <v>7819</v>
      </c>
      <c r="C243" s="284" t="s">
        <v>1653</v>
      </c>
      <c r="D243" s="271" t="s">
        <v>4584</v>
      </c>
      <c r="E243" s="309" t="s">
        <v>4585</v>
      </c>
    </row>
    <row r="244" spans="2:5" ht="225">
      <c r="B244" s="219" t="s">
        <v>7820</v>
      </c>
      <c r="C244" s="284" t="s">
        <v>1656</v>
      </c>
      <c r="D244" s="271" t="s">
        <v>4586</v>
      </c>
      <c r="E244" s="309" t="s">
        <v>4587</v>
      </c>
    </row>
    <row r="245" spans="2:5" ht="135">
      <c r="B245" s="219" t="s">
        <v>7821</v>
      </c>
      <c r="C245" s="284" t="s">
        <v>1660</v>
      </c>
      <c r="D245" s="271" t="s">
        <v>4588</v>
      </c>
      <c r="E245" s="369" t="s">
        <v>2736</v>
      </c>
    </row>
    <row r="246" spans="2:5" ht="135">
      <c r="B246" s="283" t="s">
        <v>7834</v>
      </c>
      <c r="C246" s="117" t="s">
        <v>1710</v>
      </c>
      <c r="D246" s="271" t="s">
        <v>4589</v>
      </c>
      <c r="E246" s="369" t="s">
        <v>2738</v>
      </c>
    </row>
    <row r="247" spans="2:5" ht="135">
      <c r="B247" s="283" t="s">
        <v>7835</v>
      </c>
      <c r="C247" s="284" t="s">
        <v>1714</v>
      </c>
      <c r="D247" s="271" t="s">
        <v>4590</v>
      </c>
      <c r="E247" s="369" t="s">
        <v>2740</v>
      </c>
    </row>
    <row r="248" spans="2:5" ht="225.75" thickBot="1">
      <c r="B248" s="283" t="s">
        <v>7836</v>
      </c>
      <c r="C248" s="285" t="s">
        <v>1718</v>
      </c>
      <c r="D248" s="271" t="s">
        <v>4591</v>
      </c>
      <c r="E248" s="309" t="s">
        <v>2742</v>
      </c>
    </row>
    <row r="249" spans="2:5" ht="165">
      <c r="B249" s="350" t="s">
        <v>7837</v>
      </c>
      <c r="C249" s="111" t="s">
        <v>1289</v>
      </c>
      <c r="D249" s="371" t="s">
        <v>4592</v>
      </c>
      <c r="E249" s="371" t="s">
        <v>2744</v>
      </c>
    </row>
    <row r="250" spans="2:5" ht="120">
      <c r="B250" s="350" t="s">
        <v>7838</v>
      </c>
      <c r="C250" s="110" t="s">
        <v>1295</v>
      </c>
      <c r="D250" s="271" t="s">
        <v>4593</v>
      </c>
      <c r="E250" s="309" t="s">
        <v>2752</v>
      </c>
    </row>
    <row r="251" spans="2:5" ht="120">
      <c r="B251" s="350" t="s">
        <v>7856</v>
      </c>
      <c r="C251" s="110" t="s">
        <v>1349</v>
      </c>
      <c r="D251" s="271" t="s">
        <v>4594</v>
      </c>
      <c r="E251" s="309" t="s">
        <v>4595</v>
      </c>
    </row>
    <row r="252" spans="2:5" ht="120">
      <c r="B252" s="350" t="s">
        <v>7857</v>
      </c>
      <c r="C252" s="110" t="s">
        <v>1350</v>
      </c>
      <c r="D252" s="271" t="s">
        <v>4596</v>
      </c>
      <c r="E252" s="376" t="s">
        <v>4597</v>
      </c>
    </row>
    <row r="253" spans="2:5" ht="225">
      <c r="B253" s="350" t="s">
        <v>7863</v>
      </c>
      <c r="C253" s="113" t="s">
        <v>1369</v>
      </c>
      <c r="D253" s="371" t="s">
        <v>4598</v>
      </c>
      <c r="E253" s="371" t="s">
        <v>2756</v>
      </c>
    </row>
    <row r="254" spans="2:5" ht="120">
      <c r="B254" s="350" t="s">
        <v>7864</v>
      </c>
      <c r="C254" s="110" t="s">
        <v>1373</v>
      </c>
      <c r="D254" s="271" t="s">
        <v>4606</v>
      </c>
      <c r="E254" s="309" t="s">
        <v>4607</v>
      </c>
    </row>
    <row r="255" spans="2:5" ht="120">
      <c r="B255" s="350" t="s">
        <v>7865</v>
      </c>
      <c r="C255" s="110" t="s">
        <v>1376</v>
      </c>
      <c r="D255" s="271" t="s">
        <v>4608</v>
      </c>
      <c r="E255" s="309" t="s">
        <v>2795</v>
      </c>
    </row>
    <row r="256" spans="2:5" ht="120">
      <c r="B256" s="350" t="s">
        <v>7866</v>
      </c>
      <c r="C256" s="110" t="s">
        <v>1380</v>
      </c>
      <c r="D256" s="271" t="s">
        <v>4609</v>
      </c>
      <c r="E256" s="309" t="s">
        <v>2802</v>
      </c>
    </row>
    <row r="257" spans="2:5" ht="120">
      <c r="B257" s="350" t="s">
        <v>7867</v>
      </c>
      <c r="C257" s="110" t="s">
        <v>1385</v>
      </c>
      <c r="D257" s="271" t="s">
        <v>4610</v>
      </c>
      <c r="E257" s="309" t="s">
        <v>2806</v>
      </c>
    </row>
    <row r="258" spans="2:5" ht="120">
      <c r="B258" s="350" t="s">
        <v>7868</v>
      </c>
      <c r="C258" s="110" t="s">
        <v>1388</v>
      </c>
      <c r="D258" s="271" t="s">
        <v>4611</v>
      </c>
      <c r="E258" s="309" t="s">
        <v>2810</v>
      </c>
    </row>
    <row r="259" spans="2:5" ht="120">
      <c r="B259" s="350" t="s">
        <v>7869</v>
      </c>
      <c r="C259" s="110" t="s">
        <v>1390</v>
      </c>
      <c r="D259" s="271" t="s">
        <v>4612</v>
      </c>
      <c r="E259" s="309" t="s">
        <v>2814</v>
      </c>
    </row>
    <row r="260" spans="2:5" ht="150">
      <c r="B260" s="350" t="s">
        <v>7870</v>
      </c>
      <c r="C260" s="110" t="s">
        <v>1393</v>
      </c>
      <c r="D260" s="271" t="s">
        <v>4613</v>
      </c>
      <c r="E260" s="309" t="s">
        <v>2818</v>
      </c>
    </row>
    <row r="261" spans="2:5" ht="315">
      <c r="B261" s="350" t="s">
        <v>7871</v>
      </c>
      <c r="C261" s="110" t="s">
        <v>1396</v>
      </c>
      <c r="D261" s="371" t="s">
        <v>4617</v>
      </c>
      <c r="E261" s="380" t="s">
        <v>4618</v>
      </c>
    </row>
    <row r="262" spans="2:5" ht="135.75" thickBot="1">
      <c r="B262" s="350" t="s">
        <v>7872</v>
      </c>
      <c r="C262" s="112" t="s">
        <v>1399</v>
      </c>
      <c r="D262" s="271" t="s">
        <v>4619</v>
      </c>
      <c r="E262" s="275" t="s">
        <v>2834</v>
      </c>
    </row>
    <row r="263" spans="2:5" ht="360">
      <c r="B263" s="350" t="s">
        <v>7873</v>
      </c>
      <c r="C263" s="113" t="s">
        <v>1405</v>
      </c>
      <c r="D263" s="371" t="s">
        <v>4620</v>
      </c>
      <c r="E263" s="371" t="s">
        <v>4621</v>
      </c>
    </row>
    <row r="264" spans="2:5" ht="150">
      <c r="B264" s="350" t="s">
        <v>7874</v>
      </c>
      <c r="C264" s="110" t="s">
        <v>1407</v>
      </c>
      <c r="D264" s="271" t="s">
        <v>4622</v>
      </c>
      <c r="E264" s="275" t="s">
        <v>2846</v>
      </c>
    </row>
    <row r="265" spans="2:5" ht="135">
      <c r="B265" s="350" t="s">
        <v>7875</v>
      </c>
      <c r="C265" s="110" t="s">
        <v>1409</v>
      </c>
      <c r="D265" s="271" t="s">
        <v>4623</v>
      </c>
      <c r="E265" s="275" t="s">
        <v>2849</v>
      </c>
    </row>
    <row r="266" spans="2:5" ht="135.75" thickBot="1">
      <c r="B266" s="350" t="s">
        <v>7876</v>
      </c>
      <c r="C266" s="112" t="s">
        <v>1413</v>
      </c>
      <c r="D266" s="31" t="s">
        <v>4624</v>
      </c>
      <c r="E266" s="135" t="s">
        <v>2851</v>
      </c>
    </row>
    <row r="267" spans="2:5" ht="150">
      <c r="B267" s="350" t="s">
        <v>7877</v>
      </c>
      <c r="C267" s="113" t="s">
        <v>1418</v>
      </c>
      <c r="D267" s="303" t="s">
        <v>5083</v>
      </c>
      <c r="E267" s="303" t="s">
        <v>220</v>
      </c>
    </row>
    <row r="268" spans="2:5" ht="120">
      <c r="B268" s="350" t="s">
        <v>7878</v>
      </c>
      <c r="C268" s="110" t="s">
        <v>1422</v>
      </c>
      <c r="D268" s="303" t="s">
        <v>5084</v>
      </c>
      <c r="E268" s="303" t="s">
        <v>225</v>
      </c>
    </row>
    <row r="269" spans="2:5" ht="120">
      <c r="B269" s="350" t="s">
        <v>7879</v>
      </c>
      <c r="C269" s="110" t="s">
        <v>1426</v>
      </c>
      <c r="D269" s="303" t="s">
        <v>5085</v>
      </c>
      <c r="E269" s="303" t="s">
        <v>229</v>
      </c>
    </row>
    <row r="270" spans="2:5" ht="120">
      <c r="B270" s="350" t="s">
        <v>7880</v>
      </c>
      <c r="C270" s="110" t="s">
        <v>1428</v>
      </c>
      <c r="D270" s="303" t="s">
        <v>5086</v>
      </c>
      <c r="E270" s="303" t="s">
        <v>232</v>
      </c>
    </row>
    <row r="271" spans="2:5" ht="120">
      <c r="B271" s="350" t="s">
        <v>7881</v>
      </c>
      <c r="C271" s="110" t="s">
        <v>1431</v>
      </c>
      <c r="D271" s="303" t="s">
        <v>5087</v>
      </c>
      <c r="E271" s="303" t="s">
        <v>236</v>
      </c>
    </row>
    <row r="272" spans="2:5" ht="165">
      <c r="B272" s="350" t="s">
        <v>7883</v>
      </c>
      <c r="C272" s="110" t="s">
        <v>4920</v>
      </c>
      <c r="D272" s="303" t="s">
        <v>5088</v>
      </c>
      <c r="E272" s="303" t="s">
        <v>239</v>
      </c>
    </row>
    <row r="273" spans="2:5" ht="120">
      <c r="B273" s="350" t="s">
        <v>7884</v>
      </c>
      <c r="C273" s="110" t="s">
        <v>4933</v>
      </c>
      <c r="D273" s="303" t="s">
        <v>5089</v>
      </c>
      <c r="E273" s="303" t="s">
        <v>241</v>
      </c>
    </row>
    <row r="274" spans="2:5" ht="135">
      <c r="B274" s="350" t="s">
        <v>7885</v>
      </c>
      <c r="C274" s="110" t="s">
        <v>4921</v>
      </c>
      <c r="D274" s="303" t="s">
        <v>5090</v>
      </c>
      <c r="E274" s="303" t="s">
        <v>244</v>
      </c>
    </row>
    <row r="275" spans="2:5" ht="135">
      <c r="B275" s="350" t="s">
        <v>7886</v>
      </c>
      <c r="C275" s="110" t="s">
        <v>4922</v>
      </c>
      <c r="D275" s="303" t="s">
        <v>5091</v>
      </c>
      <c r="E275" s="303" t="s">
        <v>246</v>
      </c>
    </row>
    <row r="276" spans="2:5" ht="135">
      <c r="B276" s="350" t="s">
        <v>7887</v>
      </c>
      <c r="C276" s="110" t="s">
        <v>4923</v>
      </c>
      <c r="D276" s="272" t="s">
        <v>5092</v>
      </c>
      <c r="E276" s="272" t="s">
        <v>252</v>
      </c>
    </row>
    <row r="277" spans="2:5" ht="135">
      <c r="B277" s="350" t="s">
        <v>7888</v>
      </c>
      <c r="C277" s="110" t="s">
        <v>4924</v>
      </c>
      <c r="D277" s="272" t="s">
        <v>5093</v>
      </c>
      <c r="E277" s="272" t="s">
        <v>258</v>
      </c>
    </row>
    <row r="278" spans="2:5" ht="135">
      <c r="B278" s="350" t="s">
        <v>7889</v>
      </c>
      <c r="C278" s="110" t="s">
        <v>4925</v>
      </c>
      <c r="D278" s="272" t="s">
        <v>5094</v>
      </c>
      <c r="E278" s="272" t="s">
        <v>262</v>
      </c>
    </row>
    <row r="279" spans="2:5" ht="135">
      <c r="B279" s="350" t="s">
        <v>7890</v>
      </c>
      <c r="C279" s="110" t="s">
        <v>4926</v>
      </c>
      <c r="D279" s="272" t="s">
        <v>5095</v>
      </c>
      <c r="E279" s="272" t="s">
        <v>265</v>
      </c>
    </row>
    <row r="280" spans="2:5" ht="150">
      <c r="B280" s="350" t="s">
        <v>7891</v>
      </c>
      <c r="C280" s="110" t="s">
        <v>4927</v>
      </c>
      <c r="D280" s="272" t="s">
        <v>5096</v>
      </c>
      <c r="E280" s="272" t="s">
        <v>267</v>
      </c>
    </row>
    <row r="281" spans="2:5" ht="135">
      <c r="B281" s="350" t="s">
        <v>7892</v>
      </c>
      <c r="C281" s="110" t="s">
        <v>4928</v>
      </c>
      <c r="D281" s="272" t="s">
        <v>5097</v>
      </c>
      <c r="E281" s="272" t="s">
        <v>270</v>
      </c>
    </row>
    <row r="282" spans="2:5" ht="135">
      <c r="B282" s="350" t="s">
        <v>7893</v>
      </c>
      <c r="C282" s="110" t="s">
        <v>4929</v>
      </c>
      <c r="D282" s="272" t="s">
        <v>5098</v>
      </c>
      <c r="E282" s="272" t="s">
        <v>271</v>
      </c>
    </row>
    <row r="283" spans="2:5" ht="135">
      <c r="B283" s="350" t="s">
        <v>7894</v>
      </c>
      <c r="C283" s="110" t="s">
        <v>4930</v>
      </c>
      <c r="D283" s="272" t="s">
        <v>5099</v>
      </c>
      <c r="E283" s="272" t="s">
        <v>273</v>
      </c>
    </row>
    <row r="284" spans="2:5" ht="135">
      <c r="B284" s="350" t="s">
        <v>7895</v>
      </c>
      <c r="C284" s="110" t="s">
        <v>4931</v>
      </c>
      <c r="D284" s="329" t="s">
        <v>5100</v>
      </c>
      <c r="E284" s="329" t="s">
        <v>282</v>
      </c>
    </row>
    <row r="285" spans="2:5" ht="135.75" thickBot="1">
      <c r="B285" s="350" t="s">
        <v>7896</v>
      </c>
      <c r="C285" s="112" t="s">
        <v>4932</v>
      </c>
      <c r="D285" s="329" t="s">
        <v>5101</v>
      </c>
      <c r="E285" s="329" t="s">
        <v>286</v>
      </c>
    </row>
    <row r="286" spans="2:5" ht="165">
      <c r="B286" s="383" t="s">
        <v>7907</v>
      </c>
      <c r="C286" s="284" t="s">
        <v>4934</v>
      </c>
      <c r="D286" s="329" t="s">
        <v>5102</v>
      </c>
      <c r="E286" s="329" t="s">
        <v>290</v>
      </c>
    </row>
    <row r="287" spans="2:5" ht="135">
      <c r="B287" s="383" t="s">
        <v>7908</v>
      </c>
      <c r="C287" s="284" t="s">
        <v>4935</v>
      </c>
      <c r="D287" s="329" t="s">
        <v>5103</v>
      </c>
      <c r="E287" s="329" t="s">
        <v>293</v>
      </c>
    </row>
    <row r="288" spans="2:5" ht="105">
      <c r="B288" s="383" t="s">
        <v>7909</v>
      </c>
      <c r="C288" s="284" t="s">
        <v>4936</v>
      </c>
      <c r="D288" s="329" t="s">
        <v>5104</v>
      </c>
      <c r="E288" s="329" t="s">
        <v>296</v>
      </c>
    </row>
    <row r="289" spans="2:5" ht="105.75" thickBot="1">
      <c r="B289" s="383" t="s">
        <v>7910</v>
      </c>
      <c r="C289" s="284" t="s">
        <v>4937</v>
      </c>
      <c r="D289" s="329" t="s">
        <v>5105</v>
      </c>
      <c r="E289" s="329" t="s">
        <v>300</v>
      </c>
    </row>
    <row r="290" spans="2:5" ht="135.75" thickBot="1">
      <c r="B290" s="383" t="s">
        <v>7911</v>
      </c>
      <c r="C290" s="284" t="s">
        <v>4938</v>
      </c>
      <c r="D290" s="384" t="s">
        <v>8136</v>
      </c>
      <c r="E290" s="353" t="s">
        <v>1803</v>
      </c>
    </row>
    <row r="291" spans="2:5" ht="120.75" thickBot="1">
      <c r="B291" s="383" t="s">
        <v>7912</v>
      </c>
      <c r="C291" s="284" t="s">
        <v>4939</v>
      </c>
      <c r="D291" s="385" t="s">
        <v>8139</v>
      </c>
      <c r="E291" s="97" t="s">
        <v>1806</v>
      </c>
    </row>
    <row r="292" spans="2:5" ht="120.75" thickBot="1">
      <c r="B292" s="383" t="s">
        <v>7913</v>
      </c>
      <c r="C292" s="284" t="s">
        <v>4940</v>
      </c>
      <c r="D292" s="385" t="s">
        <v>8140</v>
      </c>
      <c r="E292" s="97" t="s">
        <v>1810</v>
      </c>
    </row>
    <row r="293" spans="2:5" ht="120.75" thickBot="1">
      <c r="B293" s="386" t="s">
        <v>7914</v>
      </c>
      <c r="C293" s="298" t="s">
        <v>4941</v>
      </c>
      <c r="D293" s="385" t="s">
        <v>8141</v>
      </c>
      <c r="E293" s="97" t="s">
        <v>1815</v>
      </c>
    </row>
    <row r="294" spans="2:5" ht="120.75" thickBot="1">
      <c r="B294" s="383" t="s">
        <v>7915</v>
      </c>
      <c r="C294" s="284" t="s">
        <v>4942</v>
      </c>
      <c r="D294" s="384" t="s">
        <v>8142</v>
      </c>
      <c r="E294" s="358" t="s">
        <v>1819</v>
      </c>
    </row>
    <row r="295" spans="2:5" ht="120.75" thickBot="1">
      <c r="B295" s="383" t="s">
        <v>7916</v>
      </c>
      <c r="C295" s="284" t="s">
        <v>4943</v>
      </c>
      <c r="D295" s="384" t="s">
        <v>8143</v>
      </c>
      <c r="E295" s="358" t="s">
        <v>1823</v>
      </c>
    </row>
    <row r="296" spans="2:5" ht="120.75" thickBot="1">
      <c r="B296" s="383" t="s">
        <v>7917</v>
      </c>
      <c r="C296" s="284" t="s">
        <v>4944</v>
      </c>
      <c r="D296" s="385" t="s">
        <v>8144</v>
      </c>
      <c r="E296" s="97" t="s">
        <v>1826</v>
      </c>
    </row>
    <row r="297" spans="2:5" ht="120.75" thickBot="1">
      <c r="B297" s="383" t="s">
        <v>7918</v>
      </c>
      <c r="C297" s="284" t="s">
        <v>4945</v>
      </c>
      <c r="D297" s="385" t="s">
        <v>8145</v>
      </c>
      <c r="E297" s="97" t="s">
        <v>1834</v>
      </c>
    </row>
    <row r="298" spans="2:5" ht="135.75" thickBot="1">
      <c r="B298" s="383" t="s">
        <v>7919</v>
      </c>
      <c r="C298" s="284" t="s">
        <v>4946</v>
      </c>
      <c r="D298" s="384" t="s">
        <v>8146</v>
      </c>
      <c r="E298" s="358" t="s">
        <v>1839</v>
      </c>
    </row>
    <row r="299" spans="2:5" ht="135.75" thickBot="1">
      <c r="B299" s="383" t="s">
        <v>7920</v>
      </c>
      <c r="C299" s="284" t="s">
        <v>4947</v>
      </c>
      <c r="D299" s="385" t="s">
        <v>8147</v>
      </c>
      <c r="E299" s="97" t="s">
        <v>1842</v>
      </c>
    </row>
    <row r="300" spans="2:5" ht="135.75" thickBot="1">
      <c r="B300" s="383" t="s">
        <v>7921</v>
      </c>
      <c r="C300" s="284" t="s">
        <v>4948</v>
      </c>
      <c r="D300" s="384" t="s">
        <v>8148</v>
      </c>
      <c r="E300" s="358" t="s">
        <v>1847</v>
      </c>
    </row>
    <row r="301" spans="2:5" ht="135.75" thickBot="1">
      <c r="B301" s="389" t="s">
        <v>7924</v>
      </c>
      <c r="C301" s="131" t="s">
        <v>4951</v>
      </c>
      <c r="D301" s="384" t="s">
        <v>8149</v>
      </c>
      <c r="E301" s="361" t="s">
        <v>1850</v>
      </c>
    </row>
    <row r="302" spans="2:5" ht="135.75" thickBot="1">
      <c r="B302" s="389" t="s">
        <v>7925</v>
      </c>
      <c r="C302" s="131" t="s">
        <v>4952</v>
      </c>
      <c r="D302" s="384" t="s">
        <v>8150</v>
      </c>
      <c r="E302" s="358" t="s">
        <v>1852</v>
      </c>
    </row>
    <row r="303" spans="2:5" ht="135.75" thickBot="1">
      <c r="B303" s="389" t="s">
        <v>7926</v>
      </c>
      <c r="C303" s="131" t="s">
        <v>4953</v>
      </c>
      <c r="D303" s="384" t="s">
        <v>8151</v>
      </c>
      <c r="E303" s="358" t="s">
        <v>1855</v>
      </c>
    </row>
    <row r="304" spans="2:5" ht="135.75" thickBot="1">
      <c r="B304" s="389" t="s">
        <v>7927</v>
      </c>
      <c r="C304" s="131" t="s">
        <v>4954</v>
      </c>
      <c r="D304" s="385" t="s">
        <v>8152</v>
      </c>
      <c r="E304" s="97" t="s">
        <v>1859</v>
      </c>
    </row>
    <row r="305" spans="2:5" ht="135.75" thickBot="1">
      <c r="B305" s="389" t="s">
        <v>7928</v>
      </c>
      <c r="C305" s="131" t="s">
        <v>4955</v>
      </c>
      <c r="D305" s="384" t="s">
        <v>8153</v>
      </c>
      <c r="E305" s="361" t="s">
        <v>1862</v>
      </c>
    </row>
    <row r="306" spans="2:5" ht="135.75" thickBot="1">
      <c r="B306" s="389" t="s">
        <v>7929</v>
      </c>
      <c r="C306" s="131" t="s">
        <v>4956</v>
      </c>
      <c r="D306" s="384" t="s">
        <v>8154</v>
      </c>
      <c r="E306" s="361" t="s">
        <v>1865</v>
      </c>
    </row>
    <row r="307" spans="2:5" ht="135.75" thickBot="1">
      <c r="B307" s="389" t="s">
        <v>7930</v>
      </c>
      <c r="C307" s="131" t="s">
        <v>4957</v>
      </c>
      <c r="D307" s="384" t="s">
        <v>8155</v>
      </c>
      <c r="E307" s="361" t="s">
        <v>1868</v>
      </c>
    </row>
    <row r="308" spans="2:5" ht="135.75" thickBot="1">
      <c r="B308" s="389" t="s">
        <v>7931</v>
      </c>
      <c r="C308" s="131" t="s">
        <v>4958</v>
      </c>
      <c r="D308" s="384" t="s">
        <v>8156</v>
      </c>
      <c r="E308" s="362" t="s">
        <v>1871</v>
      </c>
    </row>
    <row r="309" spans="2:5" ht="135.75" thickBot="1">
      <c r="B309" s="389" t="s">
        <v>7932</v>
      </c>
      <c r="C309" s="131" t="s">
        <v>4959</v>
      </c>
      <c r="D309" s="384" t="s">
        <v>8157</v>
      </c>
      <c r="E309" s="362" t="s">
        <v>1875</v>
      </c>
    </row>
    <row r="310" spans="2:5" ht="135.75" thickBot="1">
      <c r="B310" s="389" t="s">
        <v>7933</v>
      </c>
      <c r="C310" s="131" t="s">
        <v>4960</v>
      </c>
      <c r="D310" s="384" t="s">
        <v>8158</v>
      </c>
      <c r="E310" s="358" t="s">
        <v>1877</v>
      </c>
    </row>
    <row r="311" spans="2:5" ht="135.75" thickBot="1">
      <c r="B311" s="389" t="s">
        <v>7934</v>
      </c>
      <c r="C311" s="131" t="s">
        <v>4961</v>
      </c>
      <c r="D311" s="384" t="s">
        <v>8159</v>
      </c>
      <c r="E311" s="358" t="s">
        <v>1879</v>
      </c>
    </row>
    <row r="312" spans="2:5" ht="135.75" thickBot="1">
      <c r="B312" s="389" t="s">
        <v>7935</v>
      </c>
      <c r="C312" s="131" t="s">
        <v>4962</v>
      </c>
      <c r="D312" s="384" t="s">
        <v>8160</v>
      </c>
      <c r="E312" s="362" t="s">
        <v>1882</v>
      </c>
    </row>
    <row r="313" spans="2:5" ht="135.75" thickBot="1">
      <c r="B313" s="389" t="s">
        <v>7936</v>
      </c>
      <c r="C313" s="131" t="s">
        <v>4963</v>
      </c>
      <c r="D313" s="384" t="s">
        <v>8161</v>
      </c>
      <c r="E313" s="363" t="s">
        <v>1885</v>
      </c>
    </row>
    <row r="314" spans="2:5" ht="120.75" thickBot="1">
      <c r="B314" s="389" t="s">
        <v>7937</v>
      </c>
      <c r="C314" s="131" t="s">
        <v>4964</v>
      </c>
      <c r="D314" s="391" t="s">
        <v>8165</v>
      </c>
      <c r="E314" s="365" t="s">
        <v>1899</v>
      </c>
    </row>
    <row r="315" spans="2:5" ht="120">
      <c r="B315" s="389" t="s">
        <v>7938</v>
      </c>
      <c r="C315" s="131" t="s">
        <v>4965</v>
      </c>
      <c r="D315" s="393" t="s">
        <v>8166</v>
      </c>
      <c r="E315" s="366" t="s">
        <v>1903</v>
      </c>
    </row>
    <row r="316" spans="2:5" ht="120">
      <c r="B316" s="389" t="s">
        <v>7939</v>
      </c>
      <c r="C316" s="131" t="s">
        <v>4966</v>
      </c>
      <c r="D316" s="393" t="s">
        <v>8167</v>
      </c>
      <c r="E316" s="361" t="s">
        <v>1905</v>
      </c>
    </row>
    <row r="317" spans="2:5" ht="120">
      <c r="B317" s="389" t="s">
        <v>7940</v>
      </c>
      <c r="C317" s="131" t="s">
        <v>4967</v>
      </c>
      <c r="D317" s="393" t="s">
        <v>8168</v>
      </c>
      <c r="E317" s="361" t="s">
        <v>1908</v>
      </c>
    </row>
    <row r="318" spans="2:5" ht="120">
      <c r="B318" s="389" t="s">
        <v>7941</v>
      </c>
      <c r="C318" s="131" t="s">
        <v>4968</v>
      </c>
      <c r="D318" s="393" t="s">
        <v>8169</v>
      </c>
      <c r="E318" s="361" t="s">
        <v>1910</v>
      </c>
    </row>
    <row r="319" spans="2:5" ht="120">
      <c r="B319" s="389" t="s">
        <v>7942</v>
      </c>
      <c r="C319" s="131" t="s">
        <v>4969</v>
      </c>
      <c r="D319" s="393" t="s">
        <v>8170</v>
      </c>
      <c r="E319" s="358" t="s">
        <v>1913</v>
      </c>
    </row>
    <row r="320" spans="2:5" ht="120">
      <c r="B320" s="389" t="s">
        <v>7943</v>
      </c>
      <c r="C320" s="131" t="s">
        <v>4970</v>
      </c>
      <c r="D320" s="393" t="s">
        <v>8171</v>
      </c>
      <c r="E320" s="362" t="s">
        <v>1916</v>
      </c>
    </row>
    <row r="321" spans="2:5" ht="120">
      <c r="B321" s="397" t="s">
        <v>7974</v>
      </c>
      <c r="C321" s="284" t="s">
        <v>5001</v>
      </c>
      <c r="D321" s="393" t="s">
        <v>8172</v>
      </c>
      <c r="E321" s="362" t="s">
        <v>1919</v>
      </c>
    </row>
    <row r="322" spans="2:5" ht="120">
      <c r="B322" s="397" t="s">
        <v>7975</v>
      </c>
      <c r="C322" s="284" t="s">
        <v>5002</v>
      </c>
      <c r="D322" s="393" t="s">
        <v>8173</v>
      </c>
      <c r="E322" s="362" t="s">
        <v>1921</v>
      </c>
    </row>
    <row r="323" spans="2:5" ht="120">
      <c r="B323" s="397" t="s">
        <v>7976</v>
      </c>
      <c r="C323" s="284" t="s">
        <v>5003</v>
      </c>
      <c r="D323" s="393" t="s">
        <v>8174</v>
      </c>
      <c r="E323" s="362" t="s">
        <v>1923</v>
      </c>
    </row>
    <row r="324" spans="2:5" ht="135">
      <c r="B324" s="397" t="s">
        <v>7977</v>
      </c>
      <c r="C324" s="284" t="s">
        <v>5004</v>
      </c>
      <c r="D324" s="393" t="s">
        <v>8175</v>
      </c>
      <c r="E324" s="362" t="s">
        <v>1925</v>
      </c>
    </row>
    <row r="325" spans="2:5" ht="135">
      <c r="B325" s="397" t="s">
        <v>7978</v>
      </c>
      <c r="C325" s="284" t="s">
        <v>5005</v>
      </c>
      <c r="D325" s="393" t="s">
        <v>8176</v>
      </c>
      <c r="E325" s="362" t="s">
        <v>1927</v>
      </c>
    </row>
    <row r="326" spans="2:5" ht="135">
      <c r="B326" s="389" t="s">
        <v>7979</v>
      </c>
      <c r="C326" s="284" t="s">
        <v>5006</v>
      </c>
      <c r="D326" s="393" t="s">
        <v>8177</v>
      </c>
      <c r="E326" s="362" t="s">
        <v>1929</v>
      </c>
    </row>
    <row r="327" spans="2:5" ht="135">
      <c r="B327" s="389" t="s">
        <v>7980</v>
      </c>
      <c r="C327" s="284" t="s">
        <v>5007</v>
      </c>
      <c r="D327" s="393" t="s">
        <v>8178</v>
      </c>
      <c r="E327" s="362" t="s">
        <v>1931</v>
      </c>
    </row>
    <row r="328" spans="2:5" ht="135">
      <c r="B328" s="389" t="s">
        <v>7981</v>
      </c>
      <c r="C328" s="284" t="s">
        <v>5008</v>
      </c>
      <c r="D328" s="393" t="s">
        <v>8179</v>
      </c>
      <c r="E328" s="362" t="s">
        <v>1933</v>
      </c>
    </row>
    <row r="329" spans="2:5" ht="135">
      <c r="B329" s="389" t="s">
        <v>7982</v>
      </c>
      <c r="C329" s="284" t="s">
        <v>5009</v>
      </c>
      <c r="D329" s="393" t="s">
        <v>8180</v>
      </c>
      <c r="E329" s="362" t="s">
        <v>1935</v>
      </c>
    </row>
    <row r="330" spans="2:5" ht="135">
      <c r="B330" s="389" t="s">
        <v>7983</v>
      </c>
      <c r="C330" s="284" t="s">
        <v>5010</v>
      </c>
      <c r="D330" s="393" t="s">
        <v>8181</v>
      </c>
      <c r="E330" s="362" t="s">
        <v>1937</v>
      </c>
    </row>
    <row r="331" spans="2:5" ht="135">
      <c r="B331" s="389" t="s">
        <v>7984</v>
      </c>
      <c r="C331" s="284" t="s">
        <v>5011</v>
      </c>
      <c r="D331" s="393" t="s">
        <v>8182</v>
      </c>
      <c r="E331" s="362" t="s">
        <v>1939</v>
      </c>
    </row>
    <row r="332" spans="2:5" ht="135">
      <c r="B332" s="389" t="s">
        <v>7985</v>
      </c>
      <c r="C332" s="284" t="s">
        <v>5012</v>
      </c>
      <c r="D332" s="393" t="s">
        <v>8183</v>
      </c>
      <c r="E332" s="362" t="s">
        <v>1942</v>
      </c>
    </row>
    <row r="333" spans="2:5" ht="135">
      <c r="B333" s="389" t="s">
        <v>7986</v>
      </c>
      <c r="C333" s="284" t="s">
        <v>5013</v>
      </c>
      <c r="D333" s="393" t="s">
        <v>8184</v>
      </c>
      <c r="E333" s="362" t="s">
        <v>1944</v>
      </c>
    </row>
    <row r="334" spans="2:5" ht="135">
      <c r="B334" s="389" t="s">
        <v>7987</v>
      </c>
      <c r="C334" s="284" t="s">
        <v>5014</v>
      </c>
      <c r="D334" s="393" t="s">
        <v>8185</v>
      </c>
      <c r="E334" s="358" t="s">
        <v>1946</v>
      </c>
    </row>
    <row r="335" spans="2:5" ht="135">
      <c r="B335" s="389" t="s">
        <v>7988</v>
      </c>
      <c r="C335" s="284" t="s">
        <v>5015</v>
      </c>
      <c r="D335" s="393" t="s">
        <v>8186</v>
      </c>
      <c r="E335" s="358" t="s">
        <v>1948</v>
      </c>
    </row>
    <row r="336" spans="2:5" ht="135">
      <c r="B336" s="389" t="s">
        <v>7989</v>
      </c>
      <c r="C336" s="284" t="s">
        <v>5016</v>
      </c>
      <c r="D336" s="393" t="s">
        <v>8187</v>
      </c>
      <c r="E336" s="362" t="s">
        <v>1951</v>
      </c>
    </row>
    <row r="337" spans="2:5" ht="135">
      <c r="B337" s="389" t="s">
        <v>7990</v>
      </c>
      <c r="C337" s="284" t="s">
        <v>5017</v>
      </c>
      <c r="D337" s="393" t="s">
        <v>8188</v>
      </c>
      <c r="E337" s="362" t="s">
        <v>1954</v>
      </c>
    </row>
    <row r="338" spans="2:5" ht="135">
      <c r="B338" s="389" t="s">
        <v>7991</v>
      </c>
      <c r="C338" s="284" t="s">
        <v>5018</v>
      </c>
      <c r="D338" s="393" t="s">
        <v>8189</v>
      </c>
      <c r="E338" s="362" t="s">
        <v>1956</v>
      </c>
    </row>
    <row r="339" spans="2:5" ht="135">
      <c r="B339" s="389" t="s">
        <v>7992</v>
      </c>
      <c r="C339" s="284" t="s">
        <v>5019</v>
      </c>
      <c r="D339" s="393" t="s">
        <v>8190</v>
      </c>
      <c r="E339" s="358" t="s">
        <v>1959</v>
      </c>
    </row>
    <row r="340" spans="2:5" ht="165">
      <c r="B340" s="389" t="s">
        <v>7993</v>
      </c>
      <c r="C340" s="284" t="s">
        <v>5020</v>
      </c>
      <c r="D340" s="393" t="s">
        <v>8191</v>
      </c>
      <c r="E340" s="358" t="s">
        <v>1961</v>
      </c>
    </row>
    <row r="341" spans="2:5" ht="135">
      <c r="B341" s="399" t="s">
        <v>7994</v>
      </c>
      <c r="C341" s="131" t="s">
        <v>5021</v>
      </c>
      <c r="D341" s="393" t="s">
        <v>8192</v>
      </c>
      <c r="E341" s="362" t="s">
        <v>1964</v>
      </c>
    </row>
    <row r="342" spans="2:5" ht="135">
      <c r="B342" s="399" t="s">
        <v>7995</v>
      </c>
      <c r="C342" s="131" t="s">
        <v>5022</v>
      </c>
      <c r="D342" s="393" t="s">
        <v>8193</v>
      </c>
      <c r="E342" s="362" t="s">
        <v>1967</v>
      </c>
    </row>
    <row r="343" spans="2:5" ht="135">
      <c r="B343" s="399" t="s">
        <v>7996</v>
      </c>
      <c r="C343" s="131" t="s">
        <v>5023</v>
      </c>
      <c r="D343" s="393" t="s">
        <v>8194</v>
      </c>
      <c r="E343" s="362" t="s">
        <v>1969</v>
      </c>
    </row>
    <row r="344" spans="2:5" ht="135">
      <c r="B344" s="399" t="s">
        <v>7997</v>
      </c>
      <c r="C344" s="131" t="s">
        <v>5024</v>
      </c>
      <c r="D344" s="393" t="s">
        <v>8195</v>
      </c>
      <c r="E344" s="362" t="s">
        <v>1971</v>
      </c>
    </row>
    <row r="345" spans="2:5" ht="135">
      <c r="B345" s="399" t="s">
        <v>7998</v>
      </c>
      <c r="C345" s="131" t="s">
        <v>5025</v>
      </c>
      <c r="D345" s="393" t="s">
        <v>8196</v>
      </c>
      <c r="E345" s="362" t="s">
        <v>1973</v>
      </c>
    </row>
    <row r="346" spans="2:5" ht="135">
      <c r="B346" s="399" t="s">
        <v>7999</v>
      </c>
      <c r="C346" s="131" t="s">
        <v>5026</v>
      </c>
      <c r="D346" s="393" t="s">
        <v>8197</v>
      </c>
      <c r="E346" s="362" t="s">
        <v>1975</v>
      </c>
    </row>
    <row r="347" spans="2:5" ht="135">
      <c r="B347" s="399" t="s">
        <v>8000</v>
      </c>
      <c r="C347" s="131" t="s">
        <v>5027</v>
      </c>
      <c r="D347" s="393" t="s">
        <v>8198</v>
      </c>
      <c r="E347" s="362" t="s">
        <v>1977</v>
      </c>
    </row>
    <row r="348" spans="2:5" ht="135">
      <c r="B348" s="399" t="s">
        <v>8001</v>
      </c>
      <c r="C348" s="131" t="s">
        <v>5028</v>
      </c>
      <c r="D348" s="393" t="s">
        <v>8199</v>
      </c>
      <c r="E348" s="362" t="s">
        <v>1979</v>
      </c>
    </row>
    <row r="349" spans="2:5" ht="135">
      <c r="B349" s="277" t="s">
        <v>8090</v>
      </c>
      <c r="C349" s="97" t="s">
        <v>1171</v>
      </c>
      <c r="D349" s="393" t="s">
        <v>8200</v>
      </c>
      <c r="E349" s="362" t="s">
        <v>1981</v>
      </c>
    </row>
    <row r="350" spans="2:5" ht="135">
      <c r="B350" s="277" t="s">
        <v>8091</v>
      </c>
      <c r="C350" s="97" t="s">
        <v>1173</v>
      </c>
      <c r="D350" s="393" t="s">
        <v>8201</v>
      </c>
      <c r="E350" s="362" t="s">
        <v>1983</v>
      </c>
    </row>
    <row r="351" spans="2:5" ht="135">
      <c r="B351" s="277" t="s">
        <v>8092</v>
      </c>
      <c r="C351" s="97" t="s">
        <v>1175</v>
      </c>
      <c r="D351" s="393" t="s">
        <v>8202</v>
      </c>
      <c r="E351" s="362" t="s">
        <v>1984</v>
      </c>
    </row>
    <row r="352" spans="2:5" ht="135">
      <c r="B352" s="277" t="s">
        <v>8093</v>
      </c>
      <c r="C352" s="97" t="s">
        <v>1178</v>
      </c>
      <c r="D352" s="393" t="s">
        <v>8203</v>
      </c>
      <c r="E352" s="362" t="s">
        <v>1987</v>
      </c>
    </row>
    <row r="353" spans="2:5" ht="135">
      <c r="B353" s="277" t="s">
        <v>8094</v>
      </c>
      <c r="C353" s="97" t="s">
        <v>1180</v>
      </c>
      <c r="D353" s="393" t="s">
        <v>8204</v>
      </c>
      <c r="E353" s="362" t="s">
        <v>1989</v>
      </c>
    </row>
    <row r="354" spans="2:5" ht="135">
      <c r="B354" s="277" t="s">
        <v>8095</v>
      </c>
      <c r="C354" s="97" t="s">
        <v>1182</v>
      </c>
      <c r="D354" s="393" t="s">
        <v>8205</v>
      </c>
      <c r="E354" s="362" t="s">
        <v>1991</v>
      </c>
    </row>
    <row r="355" spans="2:5" ht="135.75" thickBot="1">
      <c r="B355" s="277" t="s">
        <v>8096</v>
      </c>
      <c r="C355" s="99" t="s">
        <v>1184</v>
      </c>
      <c r="D355" s="393" t="s">
        <v>8206</v>
      </c>
      <c r="E355" s="365" t="s">
        <v>1993</v>
      </c>
    </row>
    <row r="356" spans="2:5" ht="120.75" thickBot="1">
      <c r="B356" s="351" t="s">
        <v>4524</v>
      </c>
      <c r="C356" s="352" t="s">
        <v>2630</v>
      </c>
      <c r="D356" s="287" t="s">
        <v>8213</v>
      </c>
      <c r="E356" s="280" t="s">
        <v>2027</v>
      </c>
    </row>
    <row r="357" spans="2:5" ht="165">
      <c r="B357" s="351" t="s">
        <v>4525</v>
      </c>
      <c r="C357" s="352" t="s">
        <v>4526</v>
      </c>
      <c r="D357" s="282" t="s">
        <v>8214</v>
      </c>
      <c r="E357" s="281" t="s">
        <v>2032</v>
      </c>
    </row>
    <row r="358" spans="2:5" ht="120">
      <c r="B358" s="351" t="s">
        <v>4527</v>
      </c>
      <c r="C358" s="352" t="s">
        <v>4528</v>
      </c>
      <c r="D358" s="278" t="s">
        <v>8225</v>
      </c>
      <c r="E358" s="281" t="s">
        <v>2065</v>
      </c>
    </row>
    <row r="359" spans="2:5" ht="120">
      <c r="B359" s="351" t="s">
        <v>4533</v>
      </c>
      <c r="C359" s="352" t="s">
        <v>4534</v>
      </c>
      <c r="D359" s="278" t="s">
        <v>8226</v>
      </c>
      <c r="E359" s="279" t="s">
        <v>2068</v>
      </c>
    </row>
    <row r="360" spans="2:5" ht="165">
      <c r="B360" s="351" t="s">
        <v>4535</v>
      </c>
      <c r="C360" s="357" t="s">
        <v>2643</v>
      </c>
      <c r="D360" s="278" t="s">
        <v>8227</v>
      </c>
      <c r="E360" s="279" t="s">
        <v>2071</v>
      </c>
    </row>
    <row r="361" spans="2:5" ht="120">
      <c r="B361" s="351" t="s">
        <v>4536</v>
      </c>
      <c r="C361" s="357" t="s">
        <v>2645</v>
      </c>
      <c r="D361" s="278" t="s">
        <v>8228</v>
      </c>
      <c r="E361" s="279" t="s">
        <v>2073</v>
      </c>
    </row>
    <row r="362" spans="2:5" ht="195">
      <c r="B362" s="351" t="s">
        <v>4537</v>
      </c>
      <c r="C362" s="357" t="s">
        <v>2647</v>
      </c>
      <c r="D362" s="278" t="s">
        <v>8229</v>
      </c>
      <c r="E362" s="279" t="s">
        <v>2076</v>
      </c>
    </row>
    <row r="363" spans="2:5" ht="120">
      <c r="B363" s="351" t="s">
        <v>4538</v>
      </c>
      <c r="C363" s="357" t="s">
        <v>2649</v>
      </c>
      <c r="D363" s="278" t="s">
        <v>8233</v>
      </c>
      <c r="E363" s="279" t="s">
        <v>2087</v>
      </c>
    </row>
    <row r="364" spans="2:5" ht="135">
      <c r="B364" s="351" t="s">
        <v>4539</v>
      </c>
      <c r="C364" s="357" t="s">
        <v>2651</v>
      </c>
      <c r="D364" s="278" t="s">
        <v>8234</v>
      </c>
      <c r="E364" s="279" t="s">
        <v>2089</v>
      </c>
    </row>
    <row r="365" spans="2:5" ht="135.75" thickBot="1">
      <c r="B365" s="351" t="s">
        <v>4540</v>
      </c>
      <c r="C365" s="357" t="s">
        <v>2653</v>
      </c>
      <c r="D365" s="278" t="s">
        <v>8235</v>
      </c>
      <c r="E365" s="280" t="s">
        <v>2092</v>
      </c>
    </row>
    <row r="366" spans="2:5" ht="120.75" thickBot="1">
      <c r="B366" s="351" t="s">
        <v>4541</v>
      </c>
      <c r="C366" s="357" t="s">
        <v>2655</v>
      </c>
      <c r="D366" s="79" t="s">
        <v>4495</v>
      </c>
      <c r="E366" s="84" t="s">
        <v>403</v>
      </c>
    </row>
    <row r="367" spans="2:5" ht="120.75" thickBot="1">
      <c r="B367" s="351" t="s">
        <v>4542</v>
      </c>
      <c r="C367" s="357" t="s">
        <v>2657</v>
      </c>
      <c r="D367" s="79" t="s">
        <v>4496</v>
      </c>
      <c r="E367" s="85" t="s">
        <v>412</v>
      </c>
    </row>
    <row r="368" spans="2:5" ht="165.75" thickBot="1">
      <c r="B368" s="351" t="s">
        <v>4543</v>
      </c>
      <c r="C368" s="357" t="s">
        <v>2661</v>
      </c>
      <c r="D368" s="79" t="s">
        <v>4507</v>
      </c>
      <c r="E368" s="28" t="s">
        <v>462</v>
      </c>
    </row>
    <row r="369" spans="2:5" ht="135">
      <c r="B369" s="351" t="s">
        <v>4545</v>
      </c>
      <c r="C369" s="357" t="s">
        <v>2667</v>
      </c>
      <c r="D369" s="79" t="s">
        <v>4508</v>
      </c>
      <c r="E369" s="28" t="s">
        <v>465</v>
      </c>
    </row>
    <row r="370" spans="2:5" ht="135">
      <c r="B370" s="351" t="s">
        <v>4546</v>
      </c>
      <c r="C370" s="357" t="s">
        <v>2670</v>
      </c>
      <c r="D370" s="276" t="s">
        <v>4521</v>
      </c>
      <c r="E370" s="28" t="s">
        <v>509</v>
      </c>
    </row>
    <row r="371" spans="2:5" ht="150.75" thickBot="1">
      <c r="B371" s="351" t="s">
        <v>4547</v>
      </c>
      <c r="C371" s="357" t="s">
        <v>2676</v>
      </c>
      <c r="D371" s="276" t="s">
        <v>4522</v>
      </c>
      <c r="E371" s="86" t="s">
        <v>513</v>
      </c>
    </row>
    <row r="372" spans="2:5" ht="120">
      <c r="B372" s="351" t="s">
        <v>4548</v>
      </c>
      <c r="C372" s="357" t="s">
        <v>2680</v>
      </c>
      <c r="D372" s="315" t="s">
        <v>8242</v>
      </c>
      <c r="E372" s="316" t="s">
        <v>5257</v>
      </c>
    </row>
    <row r="373" spans="2:5" ht="135">
      <c r="B373" s="351" t="s">
        <v>4549</v>
      </c>
      <c r="C373" s="357" t="s">
        <v>2684</v>
      </c>
      <c r="D373" s="318" t="s">
        <v>8243</v>
      </c>
      <c r="E373" s="316" t="s">
        <v>5268</v>
      </c>
    </row>
    <row r="374" spans="2:5" ht="120">
      <c r="B374" s="351" t="s">
        <v>4550</v>
      </c>
      <c r="C374" s="357" t="s">
        <v>2688</v>
      </c>
      <c r="D374" s="441" t="s">
        <v>8244</v>
      </c>
      <c r="E374" s="323" t="s">
        <v>5288</v>
      </c>
    </row>
    <row r="375" spans="2:5" ht="135">
      <c r="B375" s="351" t="s">
        <v>4551</v>
      </c>
      <c r="C375" s="357" t="s">
        <v>2692</v>
      </c>
      <c r="D375" s="318" t="s">
        <v>8245</v>
      </c>
      <c r="E375" s="316" t="s">
        <v>5296</v>
      </c>
    </row>
    <row r="376" spans="2:5" ht="135">
      <c r="B376" s="351" t="s">
        <v>4552</v>
      </c>
      <c r="C376" s="357" t="s">
        <v>2696</v>
      </c>
      <c r="D376" s="441" t="s">
        <v>8246</v>
      </c>
      <c r="E376" s="323" t="s">
        <v>5304</v>
      </c>
    </row>
    <row r="377" spans="2:5" ht="135">
      <c r="B377" s="351" t="s">
        <v>4553</v>
      </c>
      <c r="C377" s="357" t="s">
        <v>2700</v>
      </c>
      <c r="D377" s="318" t="s">
        <v>8247</v>
      </c>
      <c r="E377" s="316" t="s">
        <v>5323</v>
      </c>
    </row>
    <row r="378" spans="2:5" ht="150">
      <c r="B378" s="351" t="s">
        <v>4554</v>
      </c>
      <c r="C378" s="357" t="s">
        <v>8446</v>
      </c>
      <c r="D378" s="326" t="s">
        <v>8248</v>
      </c>
      <c r="E378" s="289" t="s">
        <v>5334</v>
      </c>
    </row>
    <row r="379" spans="2:5" ht="135">
      <c r="B379" s="351" t="s">
        <v>4555</v>
      </c>
      <c r="C379" s="357" t="s">
        <v>2709</v>
      </c>
      <c r="D379" s="426" t="s">
        <v>8249</v>
      </c>
      <c r="E379" s="323" t="s">
        <v>5353</v>
      </c>
    </row>
    <row r="380" spans="2:5" ht="135">
      <c r="B380" s="351" t="s">
        <v>4556</v>
      </c>
      <c r="C380" s="357" t="s">
        <v>4557</v>
      </c>
      <c r="D380" s="444" t="s">
        <v>8259</v>
      </c>
      <c r="E380" s="333" t="s">
        <v>5525</v>
      </c>
    </row>
    <row r="381" spans="2:5" ht="120">
      <c r="B381" s="271" t="s">
        <v>4558</v>
      </c>
      <c r="C381" s="309" t="s">
        <v>2712</v>
      </c>
      <c r="D381" s="424" t="s">
        <v>8260</v>
      </c>
      <c r="E381" s="423" t="s">
        <v>5547</v>
      </c>
    </row>
    <row r="382" spans="2:5" ht="150">
      <c r="B382" s="271" t="s">
        <v>4559</v>
      </c>
      <c r="C382" s="309" t="s">
        <v>4560</v>
      </c>
      <c r="D382" s="424" t="s">
        <v>8261</v>
      </c>
      <c r="E382" s="291" t="s">
        <v>5565</v>
      </c>
    </row>
    <row r="383" spans="2:5" ht="120">
      <c r="B383" s="271" t="s">
        <v>4561</v>
      </c>
      <c r="C383" s="309" t="s">
        <v>2715</v>
      </c>
      <c r="D383" s="305" t="s">
        <v>8262</v>
      </c>
      <c r="E383" s="291" t="s">
        <v>5583</v>
      </c>
    </row>
    <row r="384" spans="2:5" ht="240">
      <c r="B384" s="271" t="s">
        <v>4562</v>
      </c>
      <c r="C384" s="309" t="s">
        <v>2719</v>
      </c>
      <c r="D384" s="339" t="s">
        <v>8266</v>
      </c>
      <c r="E384" s="340" t="s">
        <v>5674</v>
      </c>
    </row>
    <row r="385" spans="2:5" ht="120">
      <c r="B385" s="271" t="s">
        <v>4599</v>
      </c>
      <c r="C385" s="309" t="s">
        <v>2767</v>
      </c>
      <c r="D385" s="341" t="s">
        <v>8267</v>
      </c>
      <c r="E385" s="342" t="s">
        <v>5697</v>
      </c>
    </row>
    <row r="386" spans="2:5" ht="120">
      <c r="B386" s="271" t="s">
        <v>4600</v>
      </c>
      <c r="C386" s="309" t="s">
        <v>2771</v>
      </c>
      <c r="D386" s="344" t="s">
        <v>8268</v>
      </c>
      <c r="E386" s="344" t="s">
        <v>5714</v>
      </c>
    </row>
    <row r="387" spans="2:5" ht="135">
      <c r="B387" s="271" t="s">
        <v>4601</v>
      </c>
      <c r="C387" s="309" t="s">
        <v>2774</v>
      </c>
      <c r="D387" s="344" t="s">
        <v>8269</v>
      </c>
      <c r="E387" s="345" t="s">
        <v>5731</v>
      </c>
    </row>
    <row r="388" spans="2:5" ht="135">
      <c r="B388" s="271" t="s">
        <v>4602</v>
      </c>
      <c r="C388" s="309" t="s">
        <v>2777</v>
      </c>
      <c r="D388" s="445" t="s">
        <v>8270</v>
      </c>
      <c r="E388" s="346" t="s">
        <v>5745</v>
      </c>
    </row>
    <row r="389" spans="2:5" ht="120">
      <c r="B389" s="271" t="s">
        <v>4603</v>
      </c>
      <c r="C389" s="309" t="s">
        <v>2780</v>
      </c>
      <c r="D389" s="429" t="s">
        <v>8278</v>
      </c>
      <c r="E389" s="428" t="s">
        <v>5883</v>
      </c>
    </row>
    <row r="390" spans="2:5" ht="135">
      <c r="B390" s="271" t="s">
        <v>4604</v>
      </c>
      <c r="C390" s="309" t="s">
        <v>2784</v>
      </c>
      <c r="D390" s="426" t="s">
        <v>8279</v>
      </c>
      <c r="E390" s="427" t="s">
        <v>5906</v>
      </c>
    </row>
    <row r="391" spans="2:5" ht="135">
      <c r="B391" s="271" t="s">
        <v>4605</v>
      </c>
      <c r="C391" s="309" t="s">
        <v>2788</v>
      </c>
      <c r="D391" s="339" t="s">
        <v>8280</v>
      </c>
      <c r="E391" s="340" t="s">
        <v>5928</v>
      </c>
    </row>
    <row r="392" spans="2:5" ht="135">
      <c r="B392" s="270" t="s">
        <v>4614</v>
      </c>
      <c r="C392" s="378" t="s">
        <v>2827</v>
      </c>
      <c r="D392" s="339" t="s">
        <v>8281</v>
      </c>
      <c r="E392" s="340" t="s">
        <v>5946</v>
      </c>
    </row>
    <row r="393" spans="2:5" ht="135">
      <c r="B393" s="379" t="s">
        <v>4615</v>
      </c>
      <c r="C393" s="379" t="s">
        <v>4616</v>
      </c>
      <c r="D393" s="447" t="s">
        <v>8282</v>
      </c>
      <c r="E393" s="340" t="s">
        <v>5964</v>
      </c>
    </row>
    <row r="394" spans="2:5" ht="135">
      <c r="B394" s="272" t="s">
        <v>5050</v>
      </c>
      <c r="C394" s="272" t="s">
        <v>68</v>
      </c>
      <c r="D394" s="447" t="s">
        <v>8283</v>
      </c>
      <c r="E394" s="340" t="s">
        <v>5982</v>
      </c>
    </row>
    <row r="395" spans="2:5" ht="120">
      <c r="B395" s="272" t="s">
        <v>5051</v>
      </c>
      <c r="C395" s="272" t="s">
        <v>75</v>
      </c>
      <c r="D395" s="448" t="s">
        <v>8296</v>
      </c>
      <c r="E395" s="433" t="s">
        <v>6240</v>
      </c>
    </row>
    <row r="396" spans="2:5" ht="120">
      <c r="B396" s="272" t="s">
        <v>5052</v>
      </c>
      <c r="C396" s="272" t="s">
        <v>81</v>
      </c>
      <c r="D396" s="449" t="s">
        <v>8297</v>
      </c>
      <c r="E396" s="433" t="s">
        <v>6258</v>
      </c>
    </row>
    <row r="397" spans="2:5" ht="120">
      <c r="B397" s="307" t="s">
        <v>5053</v>
      </c>
      <c r="C397" s="354" t="s">
        <v>89</v>
      </c>
      <c r="D397" s="448" t="s">
        <v>8298</v>
      </c>
      <c r="E397" s="433" t="s">
        <v>6276</v>
      </c>
    </row>
    <row r="398" spans="2:5" ht="120">
      <c r="B398" s="307" t="s">
        <v>5054</v>
      </c>
      <c r="C398" s="354" t="s">
        <v>94</v>
      </c>
      <c r="D398" s="449" t="s">
        <v>8299</v>
      </c>
      <c r="E398" s="433" t="s">
        <v>6293</v>
      </c>
    </row>
    <row r="399" spans="2:5" ht="135">
      <c r="B399" s="307" t="s">
        <v>5055</v>
      </c>
      <c r="C399" s="354" t="s">
        <v>99</v>
      </c>
      <c r="D399" s="448" t="s">
        <v>8300</v>
      </c>
      <c r="E399" s="433" t="s">
        <v>6312</v>
      </c>
    </row>
    <row r="400" spans="2:5" ht="120">
      <c r="B400" s="307" t="s">
        <v>5056</v>
      </c>
      <c r="C400" s="354" t="s">
        <v>102</v>
      </c>
      <c r="D400" s="448" t="s">
        <v>8301</v>
      </c>
      <c r="E400" s="434" t="s">
        <v>6333</v>
      </c>
    </row>
    <row r="401" spans="2:5" ht="120">
      <c r="B401" s="307" t="s">
        <v>5057</v>
      </c>
      <c r="C401" s="354" t="s">
        <v>109</v>
      </c>
      <c r="D401" s="448" t="s">
        <v>8302</v>
      </c>
      <c r="E401" s="434" t="s">
        <v>6353</v>
      </c>
    </row>
    <row r="402" spans="2:5" ht="120">
      <c r="B402" s="307" t="s">
        <v>5058</v>
      </c>
      <c r="C402" s="354" t="s">
        <v>113</v>
      </c>
      <c r="D402" s="448" t="s">
        <v>8307</v>
      </c>
      <c r="E402" s="433" t="s">
        <v>6432</v>
      </c>
    </row>
    <row r="403" spans="2:5" ht="120">
      <c r="B403" s="307" t="s">
        <v>5059</v>
      </c>
      <c r="C403" s="354" t="s">
        <v>116</v>
      </c>
      <c r="D403" s="449" t="s">
        <v>8308</v>
      </c>
      <c r="E403" s="433" t="s">
        <v>6450</v>
      </c>
    </row>
    <row r="404" spans="2:5" ht="120">
      <c r="B404" s="307" t="s">
        <v>5060</v>
      </c>
      <c r="C404" s="354" t="s">
        <v>123</v>
      </c>
      <c r="D404" s="448" t="s">
        <v>8309</v>
      </c>
      <c r="E404" s="301" t="s">
        <v>6471</v>
      </c>
    </row>
    <row r="405" spans="2:5" ht="135">
      <c r="B405" s="307" t="s">
        <v>5061</v>
      </c>
      <c r="C405" s="354" t="s">
        <v>125</v>
      </c>
      <c r="D405" s="449" t="s">
        <v>8320</v>
      </c>
      <c r="E405" s="430" t="s">
        <v>6710</v>
      </c>
    </row>
    <row r="406" spans="2:5" ht="105">
      <c r="B406" s="307" t="s">
        <v>5062</v>
      </c>
      <c r="C406" s="354" t="s">
        <v>131</v>
      </c>
      <c r="D406" s="457" t="s">
        <v>8352</v>
      </c>
      <c r="E406" s="377" t="s">
        <v>7348</v>
      </c>
    </row>
    <row r="407" spans="2:5" ht="105">
      <c r="B407" s="307" t="s">
        <v>5063</v>
      </c>
      <c r="C407" s="354" t="s">
        <v>133</v>
      </c>
      <c r="D407" s="457" t="s">
        <v>8353</v>
      </c>
      <c r="E407" s="377" t="s">
        <v>7357</v>
      </c>
    </row>
    <row r="408" spans="2:5" ht="105">
      <c r="B408" s="307" t="s">
        <v>5064</v>
      </c>
      <c r="C408" s="354" t="s">
        <v>140</v>
      </c>
      <c r="D408" s="457" t="s">
        <v>8354</v>
      </c>
      <c r="E408" s="377" t="s">
        <v>7362</v>
      </c>
    </row>
    <row r="409" spans="2:5" ht="105">
      <c r="B409" s="307" t="s">
        <v>5065</v>
      </c>
      <c r="C409" s="354" t="s">
        <v>146</v>
      </c>
      <c r="D409" s="457" t="s">
        <v>8355</v>
      </c>
      <c r="E409" s="377" t="s">
        <v>7367</v>
      </c>
    </row>
    <row r="410" spans="2:5" ht="105">
      <c r="B410" s="307" t="s">
        <v>5066</v>
      </c>
      <c r="C410" s="354" t="s">
        <v>150</v>
      </c>
      <c r="D410" s="457" t="s">
        <v>8356</v>
      </c>
      <c r="E410" s="377" t="s">
        <v>7372</v>
      </c>
    </row>
    <row r="411" spans="2:5" ht="105">
      <c r="B411" s="307" t="s">
        <v>5067</v>
      </c>
      <c r="C411" s="354" t="s">
        <v>154</v>
      </c>
      <c r="D411" s="456" t="s">
        <v>8357</v>
      </c>
      <c r="E411" s="377" t="s">
        <v>7376</v>
      </c>
    </row>
    <row r="412" spans="2:5" ht="135">
      <c r="B412" s="312" t="s">
        <v>5068</v>
      </c>
      <c r="C412" s="360" t="s">
        <v>5069</v>
      </c>
      <c r="D412" s="457" t="s">
        <v>8358</v>
      </c>
      <c r="E412" s="377" t="s">
        <v>7380</v>
      </c>
    </row>
    <row r="413" spans="2:5" ht="105">
      <c r="B413" s="312" t="s">
        <v>5070</v>
      </c>
      <c r="C413" s="360" t="s">
        <v>164</v>
      </c>
      <c r="D413" s="456" t="s">
        <v>8359</v>
      </c>
      <c r="E413" s="377" t="s">
        <v>7384</v>
      </c>
    </row>
    <row r="414" spans="2:5" ht="105">
      <c r="B414" s="312" t="s">
        <v>5071</v>
      </c>
      <c r="C414" s="360" t="s">
        <v>5072</v>
      </c>
      <c r="D414" s="456" t="s">
        <v>8360</v>
      </c>
      <c r="E414" s="377" t="s">
        <v>7386</v>
      </c>
    </row>
    <row r="415" spans="2:5" ht="105">
      <c r="B415" s="312" t="s">
        <v>5073</v>
      </c>
      <c r="C415" s="360" t="s">
        <v>173</v>
      </c>
      <c r="D415" s="457" t="s">
        <v>8361</v>
      </c>
      <c r="E415" s="377" t="s">
        <v>8478</v>
      </c>
    </row>
    <row r="416" spans="2:5" ht="150">
      <c r="B416" s="312" t="s">
        <v>5074</v>
      </c>
      <c r="C416" s="360" t="s">
        <v>178</v>
      </c>
      <c r="D416" s="457" t="s">
        <v>8362</v>
      </c>
      <c r="E416" s="377" t="s">
        <v>8479</v>
      </c>
    </row>
    <row r="417" spans="2:5" ht="105">
      <c r="B417" s="312" t="s">
        <v>5075</v>
      </c>
      <c r="C417" s="360" t="s">
        <v>185</v>
      </c>
      <c r="D417" s="457" t="s">
        <v>8363</v>
      </c>
      <c r="E417" s="377" t="s">
        <v>8480</v>
      </c>
    </row>
    <row r="418" spans="2:5" ht="105">
      <c r="B418" s="312" t="s">
        <v>5076</v>
      </c>
      <c r="C418" s="360" t="s">
        <v>190</v>
      </c>
      <c r="D418" s="457" t="s">
        <v>8364</v>
      </c>
      <c r="E418" s="377" t="s">
        <v>8481</v>
      </c>
    </row>
    <row r="419" spans="2:5" ht="135">
      <c r="B419" s="312" t="s">
        <v>5077</v>
      </c>
      <c r="C419" s="360" t="s">
        <v>197</v>
      </c>
      <c r="D419" s="457" t="s">
        <v>8365</v>
      </c>
      <c r="E419" s="377" t="s">
        <v>8482</v>
      </c>
    </row>
    <row r="420" spans="2:5" ht="135">
      <c r="B420" s="312" t="s">
        <v>5078</v>
      </c>
      <c r="C420" s="360" t="s">
        <v>5079</v>
      </c>
      <c r="D420" s="457" t="s">
        <v>8366</v>
      </c>
      <c r="E420" s="377" t="s">
        <v>8483</v>
      </c>
    </row>
    <row r="421" spans="2:5" ht="105">
      <c r="B421" s="312" t="s">
        <v>5080</v>
      </c>
      <c r="C421" s="360" t="s">
        <v>5081</v>
      </c>
      <c r="D421" s="457" t="s">
        <v>8367</v>
      </c>
      <c r="E421" s="377" t="s">
        <v>8484</v>
      </c>
    </row>
    <row r="422" spans="2:5" ht="105.75" thickBot="1">
      <c r="B422" s="312" t="s">
        <v>5082</v>
      </c>
      <c r="C422" s="312" t="s">
        <v>215</v>
      </c>
      <c r="D422" s="457" t="s">
        <v>8368</v>
      </c>
      <c r="E422" s="377" t="s">
        <v>8485</v>
      </c>
    </row>
    <row r="423" spans="2:5" ht="120.75" thickBot="1">
      <c r="B423" s="287" t="s">
        <v>8207</v>
      </c>
      <c r="C423" s="121" t="s">
        <v>2285</v>
      </c>
      <c r="D423" s="457" t="s">
        <v>8369</v>
      </c>
      <c r="E423" s="377" t="s">
        <v>8486</v>
      </c>
    </row>
    <row r="424" spans="2:5" ht="120.75" thickBot="1">
      <c r="B424" s="287" t="s">
        <v>8208</v>
      </c>
      <c r="C424" s="279" t="s">
        <v>2007</v>
      </c>
      <c r="D424" s="457" t="s">
        <v>8374</v>
      </c>
      <c r="E424" s="377" t="s">
        <v>7431</v>
      </c>
    </row>
    <row r="425" spans="2:5" ht="120.75" thickBot="1">
      <c r="B425" s="287" t="s">
        <v>8209</v>
      </c>
      <c r="C425" s="279" t="s">
        <v>2012</v>
      </c>
      <c r="D425" s="457" t="s">
        <v>8375</v>
      </c>
      <c r="E425" s="377" t="s">
        <v>7436</v>
      </c>
    </row>
    <row r="426" spans="2:5" ht="165.75" thickBot="1">
      <c r="B426" s="287" t="s">
        <v>8210</v>
      </c>
      <c r="C426" s="279" t="s">
        <v>2016</v>
      </c>
      <c r="D426" s="457" t="s">
        <v>8376</v>
      </c>
      <c r="E426" s="377" t="s">
        <v>7440</v>
      </c>
    </row>
    <row r="427" spans="2:5" ht="120.75" thickBot="1">
      <c r="B427" s="287" t="s">
        <v>8211</v>
      </c>
      <c r="C427" s="279" t="s">
        <v>2020</v>
      </c>
      <c r="D427" s="457" t="s">
        <v>8377</v>
      </c>
      <c r="E427" s="377" t="s">
        <v>7444</v>
      </c>
    </row>
    <row r="428" spans="2:5" ht="120">
      <c r="B428" s="287" t="s">
        <v>8212</v>
      </c>
      <c r="C428" s="279" t="s">
        <v>2023</v>
      </c>
      <c r="D428" s="457" t="s">
        <v>8378</v>
      </c>
      <c r="E428" s="377" t="s">
        <v>7447</v>
      </c>
    </row>
    <row r="429" spans="2:5" ht="120">
      <c r="B429" s="282" t="s">
        <v>8215</v>
      </c>
      <c r="C429" s="279" t="s">
        <v>2035</v>
      </c>
      <c r="D429" s="457" t="s">
        <v>8379</v>
      </c>
      <c r="E429" s="377" t="s">
        <v>7449</v>
      </c>
    </row>
    <row r="430" spans="2:5" ht="120.75" thickBot="1">
      <c r="B430" s="282" t="s">
        <v>8216</v>
      </c>
      <c r="C430" s="280" t="s">
        <v>2039</v>
      </c>
      <c r="D430" s="456" t="s">
        <v>8381</v>
      </c>
      <c r="E430" s="377" t="s">
        <v>7455</v>
      </c>
    </row>
    <row r="431" spans="2:5" ht="120">
      <c r="B431" s="278" t="s">
        <v>8217</v>
      </c>
      <c r="C431" s="281" t="s">
        <v>2043</v>
      </c>
      <c r="D431" s="456" t="s">
        <v>8382</v>
      </c>
      <c r="E431" s="377" t="s">
        <v>7460</v>
      </c>
    </row>
    <row r="432" spans="2:5" ht="120">
      <c r="B432" s="278" t="s">
        <v>8218</v>
      </c>
      <c r="C432" s="279" t="s">
        <v>2046</v>
      </c>
      <c r="D432" s="457" t="s">
        <v>8383</v>
      </c>
      <c r="E432" s="377" t="s">
        <v>7465</v>
      </c>
    </row>
    <row r="433" spans="2:5" ht="120">
      <c r="B433" s="278" t="s">
        <v>8219</v>
      </c>
      <c r="C433" s="279" t="s">
        <v>2049</v>
      </c>
      <c r="D433" s="456" t="s">
        <v>8384</v>
      </c>
      <c r="E433" s="377" t="s">
        <v>7468</v>
      </c>
    </row>
    <row r="434" spans="2:5" ht="120">
      <c r="B434" s="278" t="s">
        <v>8220</v>
      </c>
      <c r="C434" s="279" t="s">
        <v>2050</v>
      </c>
      <c r="D434" s="459" t="s">
        <v>8361</v>
      </c>
      <c r="E434" s="455" t="s">
        <v>7475</v>
      </c>
    </row>
    <row r="435" spans="2:5" ht="120">
      <c r="B435" s="278" t="s">
        <v>8221</v>
      </c>
      <c r="C435" s="279" t="s">
        <v>2052</v>
      </c>
      <c r="D435" s="459" t="s">
        <v>8362</v>
      </c>
      <c r="E435" s="377" t="s">
        <v>7480</v>
      </c>
    </row>
    <row r="436" spans="2:5" ht="120">
      <c r="B436" s="278" t="s">
        <v>8222</v>
      </c>
      <c r="C436" s="279" t="s">
        <v>2055</v>
      </c>
      <c r="D436" s="459" t="s">
        <v>8363</v>
      </c>
      <c r="E436" s="377" t="s">
        <v>7483</v>
      </c>
    </row>
    <row r="437" spans="2:5" ht="120">
      <c r="B437" s="278" t="s">
        <v>8223</v>
      </c>
      <c r="C437" s="279" t="s">
        <v>2058</v>
      </c>
      <c r="D437" s="459" t="s">
        <v>8364</v>
      </c>
      <c r="E437" s="377" t="s">
        <v>7487</v>
      </c>
    </row>
    <row r="438" spans="2:5" ht="120.75" thickBot="1">
      <c r="B438" s="278" t="s">
        <v>8224</v>
      </c>
      <c r="C438" s="280" t="s">
        <v>2061</v>
      </c>
      <c r="D438" s="459" t="s">
        <v>8365</v>
      </c>
      <c r="E438" s="377" t="s">
        <v>7491</v>
      </c>
    </row>
    <row r="439" spans="2:5" ht="120">
      <c r="B439" s="278" t="s">
        <v>8231</v>
      </c>
      <c r="C439" s="279" t="s">
        <v>2082</v>
      </c>
      <c r="D439" s="459" t="s">
        <v>8366</v>
      </c>
      <c r="E439" s="377" t="s">
        <v>7496</v>
      </c>
    </row>
    <row r="440" spans="2:5" ht="120">
      <c r="B440" s="278" t="s">
        <v>8232</v>
      </c>
      <c r="C440" s="279" t="s">
        <v>2084</v>
      </c>
      <c r="D440" s="458" t="s">
        <v>8367</v>
      </c>
      <c r="E440" s="455" t="s">
        <v>7498</v>
      </c>
    </row>
    <row r="441" spans="2:5" ht="120">
      <c r="B441" s="305" t="s">
        <v>8236</v>
      </c>
      <c r="C441" s="305" t="s">
        <v>5150</v>
      </c>
      <c r="D441" s="458" t="s">
        <v>8368</v>
      </c>
      <c r="E441" s="377" t="s">
        <v>7503</v>
      </c>
    </row>
    <row r="442" spans="2:5" ht="165">
      <c r="B442" s="305" t="s">
        <v>8237</v>
      </c>
      <c r="C442" s="305" t="s">
        <v>5169</v>
      </c>
      <c r="D442" s="459" t="s">
        <v>8369</v>
      </c>
      <c r="E442" s="377" t="s">
        <v>7506</v>
      </c>
    </row>
    <row r="443" spans="2:5" ht="135">
      <c r="B443" s="305" t="s">
        <v>8238</v>
      </c>
      <c r="C443" s="305" t="s">
        <v>5187</v>
      </c>
      <c r="D443" s="459" t="s">
        <v>8370</v>
      </c>
      <c r="E443" s="377" t="s">
        <v>7512</v>
      </c>
    </row>
    <row r="444" spans="2:5" ht="120">
      <c r="B444" s="305" t="s">
        <v>8239</v>
      </c>
      <c r="C444" s="305" t="s">
        <v>5204</v>
      </c>
      <c r="D444" s="459" t="s">
        <v>8385</v>
      </c>
      <c r="E444" s="377" t="s">
        <v>7515</v>
      </c>
    </row>
    <row r="445" spans="2:5" ht="120">
      <c r="B445" s="305" t="s">
        <v>8240</v>
      </c>
      <c r="C445" s="305" t="s">
        <v>5222</v>
      </c>
      <c r="D445" s="459" t="s">
        <v>8386</v>
      </c>
      <c r="E445" s="454" t="s">
        <v>7519</v>
      </c>
    </row>
    <row r="446" spans="2:5" ht="120">
      <c r="B446" s="305" t="s">
        <v>8241</v>
      </c>
      <c r="C446" s="305" t="s">
        <v>5239</v>
      </c>
      <c r="D446" s="459" t="s">
        <v>8387</v>
      </c>
      <c r="E446" s="454" t="s">
        <v>7523</v>
      </c>
    </row>
    <row r="447" spans="2:5" ht="135">
      <c r="B447" s="424" t="s">
        <v>8250</v>
      </c>
      <c r="C447" s="424" t="s">
        <v>5365</v>
      </c>
      <c r="D447" s="459" t="s">
        <v>8388</v>
      </c>
      <c r="E447" s="454" t="s">
        <v>7526</v>
      </c>
    </row>
    <row r="448" spans="2:5" ht="120">
      <c r="B448" s="424" t="s">
        <v>8251</v>
      </c>
      <c r="C448" s="424" t="s">
        <v>5383</v>
      </c>
      <c r="D448" s="450" t="s">
        <v>8401</v>
      </c>
      <c r="E448" s="439" t="s">
        <v>7062</v>
      </c>
    </row>
    <row r="449" spans="2:5" ht="120">
      <c r="B449" s="442" t="s">
        <v>8252</v>
      </c>
      <c r="C449" s="442" t="s">
        <v>5400</v>
      </c>
      <c r="D449" s="451" t="s">
        <v>8402</v>
      </c>
      <c r="E449" s="439" t="s">
        <v>7069</v>
      </c>
    </row>
    <row r="450" spans="2:5" ht="120">
      <c r="B450" s="442" t="s">
        <v>8253</v>
      </c>
      <c r="C450" s="443" t="s">
        <v>5420</v>
      </c>
      <c r="D450" s="451" t="s">
        <v>8403</v>
      </c>
      <c r="E450" s="439" t="s">
        <v>7075</v>
      </c>
    </row>
    <row r="451" spans="2:5" ht="120">
      <c r="B451" s="424" t="s">
        <v>8254</v>
      </c>
      <c r="C451" s="424" t="s">
        <v>5439</v>
      </c>
      <c r="D451" s="450" t="s">
        <v>8404</v>
      </c>
      <c r="E451" s="439" t="s">
        <v>7080</v>
      </c>
    </row>
    <row r="452" spans="2:5" ht="120">
      <c r="B452" s="424" t="s">
        <v>8255</v>
      </c>
      <c r="C452" s="424" t="s">
        <v>5455</v>
      </c>
      <c r="D452" s="451" t="s">
        <v>8405</v>
      </c>
      <c r="E452" s="439" t="s">
        <v>7085</v>
      </c>
    </row>
    <row r="453" spans="2:5" ht="120">
      <c r="B453" s="424" t="s">
        <v>8256</v>
      </c>
      <c r="C453" s="424" t="s">
        <v>5471</v>
      </c>
      <c r="D453" s="450" t="s">
        <v>8406</v>
      </c>
      <c r="E453" s="461" t="s">
        <v>8487</v>
      </c>
    </row>
    <row r="454" spans="2:5" ht="120">
      <c r="B454" s="442" t="s">
        <v>8257</v>
      </c>
      <c r="C454" s="424" t="s">
        <v>5489</v>
      </c>
      <c r="D454" s="450" t="s">
        <v>8407</v>
      </c>
      <c r="E454" s="439" t="s">
        <v>7093</v>
      </c>
    </row>
    <row r="455" spans="2:5" ht="120">
      <c r="B455" s="424" t="s">
        <v>8258</v>
      </c>
      <c r="C455" s="291" t="s">
        <v>5504</v>
      </c>
      <c r="D455" s="451" t="s">
        <v>8408</v>
      </c>
      <c r="E455" s="439" t="s">
        <v>7102</v>
      </c>
    </row>
    <row r="456" spans="2:5" ht="120">
      <c r="B456" s="446" t="s">
        <v>8271</v>
      </c>
      <c r="C456" s="425" t="s">
        <v>5766</v>
      </c>
      <c r="D456" s="451" t="s">
        <v>8409</v>
      </c>
      <c r="E456" s="439" t="s">
        <v>7110</v>
      </c>
    </row>
    <row r="457" spans="2:5" ht="120">
      <c r="B457" s="446" t="s">
        <v>8272</v>
      </c>
      <c r="C457" s="425" t="s">
        <v>5782</v>
      </c>
      <c r="D457" s="450" t="s">
        <v>8410</v>
      </c>
      <c r="E457" s="439" t="s">
        <v>7120</v>
      </c>
    </row>
    <row r="458" spans="2:5" ht="120">
      <c r="B458" s="446" t="s">
        <v>8273</v>
      </c>
      <c r="C458" s="425" t="s">
        <v>5793</v>
      </c>
      <c r="D458" s="450" t="s">
        <v>8411</v>
      </c>
      <c r="E458" s="439" t="s">
        <v>7126</v>
      </c>
    </row>
    <row r="459" spans="2:5" ht="120">
      <c r="B459" s="446" t="s">
        <v>8274</v>
      </c>
      <c r="C459" s="425" t="s">
        <v>5809</v>
      </c>
      <c r="D459" s="450" t="s">
        <v>8412</v>
      </c>
      <c r="E459" s="439" t="s">
        <v>7132</v>
      </c>
    </row>
    <row r="460" spans="2:5" ht="120">
      <c r="B460" s="347" t="s">
        <v>8275</v>
      </c>
      <c r="C460" s="348" t="s">
        <v>5826</v>
      </c>
      <c r="D460" s="451" t="s">
        <v>8413</v>
      </c>
      <c r="E460" s="439" t="s">
        <v>7138</v>
      </c>
    </row>
    <row r="461" spans="2:5" ht="120">
      <c r="B461" s="315" t="s">
        <v>8276</v>
      </c>
      <c r="C461" s="428" t="s">
        <v>5848</v>
      </c>
      <c r="D461" s="450" t="s">
        <v>8414</v>
      </c>
      <c r="E461" s="295" t="s">
        <v>8444</v>
      </c>
    </row>
    <row r="462" spans="2:5" ht="135">
      <c r="B462" s="429" t="s">
        <v>8277</v>
      </c>
      <c r="C462" s="428" t="s">
        <v>5866</v>
      </c>
      <c r="D462" s="450" t="s">
        <v>8415</v>
      </c>
      <c r="E462" s="439" t="s">
        <v>7149</v>
      </c>
    </row>
    <row r="463" spans="2:5" ht="120">
      <c r="B463" s="448" t="s">
        <v>8285</v>
      </c>
      <c r="C463" s="296" t="s">
        <v>6044</v>
      </c>
      <c r="D463" s="450" t="s">
        <v>8416</v>
      </c>
      <c r="E463" s="439" t="s">
        <v>7154</v>
      </c>
    </row>
    <row r="464" spans="2:5" ht="120">
      <c r="B464" s="448" t="s">
        <v>8286</v>
      </c>
      <c r="C464" s="297" t="s">
        <v>6060</v>
      </c>
      <c r="D464" s="450" t="s">
        <v>8417</v>
      </c>
      <c r="E464" s="439" t="s">
        <v>7160</v>
      </c>
    </row>
    <row r="465" spans="2:5" ht="120">
      <c r="B465" s="448" t="s">
        <v>8287</v>
      </c>
      <c r="C465" s="297" t="s">
        <v>6079</v>
      </c>
      <c r="D465" s="451" t="s">
        <v>8418</v>
      </c>
      <c r="E465" s="439" t="s">
        <v>7167</v>
      </c>
    </row>
    <row r="466" spans="2:5" ht="120">
      <c r="B466" s="449" t="s">
        <v>8288</v>
      </c>
      <c r="C466" s="436" t="s">
        <v>6095</v>
      </c>
      <c r="D466" s="450" t="s">
        <v>8419</v>
      </c>
      <c r="E466" s="439" t="s">
        <v>7173</v>
      </c>
    </row>
    <row r="467" spans="2:5" ht="135">
      <c r="B467" s="448" t="s">
        <v>8289</v>
      </c>
      <c r="C467" s="299" t="s">
        <v>6115</v>
      </c>
      <c r="D467" s="450" t="s">
        <v>8432</v>
      </c>
      <c r="E467" s="437" t="s">
        <v>7267</v>
      </c>
    </row>
    <row r="468" spans="2:5" ht="150">
      <c r="B468" s="449" t="s">
        <v>8290</v>
      </c>
      <c r="C468" s="435" t="s">
        <v>6132</v>
      </c>
      <c r="D468" s="450" t="s">
        <v>8433</v>
      </c>
      <c r="E468" s="437" t="s">
        <v>7274</v>
      </c>
    </row>
    <row r="469" spans="2:5" ht="165">
      <c r="B469" s="449" t="s">
        <v>8291</v>
      </c>
      <c r="C469" s="435" t="s">
        <v>6149</v>
      </c>
      <c r="D469" s="450" t="s">
        <v>8434</v>
      </c>
      <c r="E469" s="437" t="s">
        <v>7279</v>
      </c>
    </row>
    <row r="470" spans="2:5" ht="120">
      <c r="B470" s="449" t="s">
        <v>8292</v>
      </c>
      <c r="C470" s="435" t="s">
        <v>6166</v>
      </c>
      <c r="D470" s="450" t="s">
        <v>8435</v>
      </c>
      <c r="E470" s="437" t="s">
        <v>7284</v>
      </c>
    </row>
    <row r="471" spans="2:5" ht="120">
      <c r="B471" s="448" t="s">
        <v>8293</v>
      </c>
      <c r="C471" s="300" t="s">
        <v>6183</v>
      </c>
      <c r="D471" s="450" t="s">
        <v>8436</v>
      </c>
      <c r="E471" s="437" t="s">
        <v>7291</v>
      </c>
    </row>
    <row r="472" spans="2:5" ht="120">
      <c r="B472" s="449" t="s">
        <v>8294</v>
      </c>
      <c r="C472" s="435" t="s">
        <v>6201</v>
      </c>
      <c r="D472" s="450" t="s">
        <v>8438</v>
      </c>
      <c r="E472" s="437" t="s">
        <v>7305</v>
      </c>
    </row>
    <row r="473" spans="2:5" ht="120">
      <c r="B473" s="449" t="s">
        <v>8295</v>
      </c>
      <c r="C473" s="435" t="s">
        <v>5304</v>
      </c>
      <c r="D473" s="453" t="s">
        <v>8439</v>
      </c>
      <c r="E473" s="437" t="s">
        <v>7311</v>
      </c>
    </row>
    <row r="474" spans="2:5" ht="135">
      <c r="B474" s="449" t="s">
        <v>8303</v>
      </c>
      <c r="C474" s="290" t="s">
        <v>6369</v>
      </c>
      <c r="D474" s="450" t="s">
        <v>8440</v>
      </c>
      <c r="E474" s="437" t="s">
        <v>7320</v>
      </c>
    </row>
    <row r="475" spans="2:5" ht="165">
      <c r="B475" s="448" t="s">
        <v>8304</v>
      </c>
      <c r="C475" s="433" t="s">
        <v>6378</v>
      </c>
      <c r="D475" s="453" t="s">
        <v>8441</v>
      </c>
      <c r="E475" s="437" t="s">
        <v>7327</v>
      </c>
    </row>
    <row r="476" spans="2:5" ht="120">
      <c r="B476" s="449" t="s">
        <v>8305</v>
      </c>
      <c r="C476" s="433" t="s">
        <v>6397</v>
      </c>
      <c r="D476" s="453" t="s">
        <v>8442</v>
      </c>
      <c r="E476" s="437" t="s">
        <v>7335</v>
      </c>
    </row>
    <row r="477" spans="2:5" ht="120">
      <c r="B477" s="449" t="s">
        <v>8306</v>
      </c>
      <c r="C477" s="433" t="s">
        <v>6414</v>
      </c>
      <c r="D477" s="453" t="s">
        <v>8443</v>
      </c>
      <c r="E477" s="437" t="s">
        <v>7344</v>
      </c>
    </row>
    <row r="478" spans="2:5" ht="135">
      <c r="B478" s="449" t="s">
        <v>8316</v>
      </c>
      <c r="C478" s="293" t="s">
        <v>6638</v>
      </c>
    </row>
    <row r="479" spans="2:5" ht="135">
      <c r="B479" s="449" t="s">
        <v>8317</v>
      </c>
      <c r="C479" s="293" t="s">
        <v>6655</v>
      </c>
    </row>
    <row r="480" spans="2:5" ht="135">
      <c r="B480" s="449" t="s">
        <v>8318</v>
      </c>
      <c r="C480" s="293" t="s">
        <v>6671</v>
      </c>
    </row>
    <row r="481" spans="2:3" ht="135">
      <c r="B481" s="449" t="s">
        <v>8319</v>
      </c>
      <c r="C481" s="293" t="s">
        <v>6689</v>
      </c>
    </row>
    <row r="482" spans="2:3" ht="105">
      <c r="B482" s="456" t="s">
        <v>8323</v>
      </c>
      <c r="C482" s="377" t="s">
        <v>6783</v>
      </c>
    </row>
    <row r="483" spans="2:3" ht="105">
      <c r="B483" s="457" t="s">
        <v>8324</v>
      </c>
      <c r="C483" s="377" t="s">
        <v>6794</v>
      </c>
    </row>
    <row r="484" spans="2:3" ht="135">
      <c r="B484" s="456" t="s">
        <v>8325</v>
      </c>
      <c r="C484" s="377" t="s">
        <v>6802</v>
      </c>
    </row>
    <row r="485" spans="2:3" ht="135">
      <c r="B485" s="457" t="s">
        <v>8326</v>
      </c>
      <c r="C485" s="377" t="s">
        <v>6810</v>
      </c>
    </row>
    <row r="486" spans="2:3" ht="105">
      <c r="B486" s="457" t="s">
        <v>8327</v>
      </c>
      <c r="C486" s="377" t="s">
        <v>6815</v>
      </c>
    </row>
    <row r="487" spans="2:3" ht="105">
      <c r="B487" s="456" t="s">
        <v>8328</v>
      </c>
      <c r="C487" s="377" t="s">
        <v>6820</v>
      </c>
    </row>
    <row r="488" spans="2:3" ht="105">
      <c r="B488" s="458" t="s">
        <v>8329</v>
      </c>
      <c r="C488" s="377" t="s">
        <v>6833</v>
      </c>
    </row>
    <row r="489" spans="2:3" ht="105">
      <c r="B489" s="458" t="s">
        <v>8330</v>
      </c>
      <c r="C489" s="377" t="s">
        <v>6846</v>
      </c>
    </row>
    <row r="490" spans="2:3" ht="105">
      <c r="B490" s="459" t="s">
        <v>8331</v>
      </c>
      <c r="C490" s="377" t="s">
        <v>6851</v>
      </c>
    </row>
    <row r="491" spans="2:3" ht="105">
      <c r="B491" s="459" t="s">
        <v>8332</v>
      </c>
      <c r="C491" s="377" t="s">
        <v>6856</v>
      </c>
    </row>
    <row r="492" spans="2:3" ht="105">
      <c r="B492" s="458" t="s">
        <v>8333</v>
      </c>
      <c r="C492" s="377" t="s">
        <v>6861</v>
      </c>
    </row>
    <row r="493" spans="2:3" ht="105">
      <c r="B493" s="459" t="s">
        <v>8334</v>
      </c>
      <c r="C493" s="377" t="s">
        <v>6863</v>
      </c>
    </row>
    <row r="494" spans="2:3" ht="120">
      <c r="B494" s="459" t="s">
        <v>8335</v>
      </c>
      <c r="C494" s="377" t="s">
        <v>6867</v>
      </c>
    </row>
    <row r="495" spans="2:3" ht="105">
      <c r="B495" s="458" t="s">
        <v>8336</v>
      </c>
      <c r="C495" s="377" t="s">
        <v>6872</v>
      </c>
    </row>
    <row r="496" spans="2:3" ht="105">
      <c r="B496" s="459" t="s">
        <v>8337</v>
      </c>
      <c r="C496" s="377" t="s">
        <v>6879</v>
      </c>
    </row>
    <row r="497" spans="2:3" ht="120">
      <c r="B497" s="458" t="s">
        <v>8338</v>
      </c>
      <c r="C497" s="377" t="s">
        <v>6884</v>
      </c>
    </row>
    <row r="498" spans="2:3" ht="120">
      <c r="B498" s="458" t="s">
        <v>8339</v>
      </c>
      <c r="C498" s="377" t="s">
        <v>6890</v>
      </c>
    </row>
    <row r="499" spans="2:3" ht="120">
      <c r="B499" s="458" t="s">
        <v>8340</v>
      </c>
      <c r="C499" s="377" t="s">
        <v>6895</v>
      </c>
    </row>
    <row r="500" spans="2:3" ht="120">
      <c r="B500" s="459" t="s">
        <v>8341</v>
      </c>
      <c r="C500" s="377" t="s">
        <v>6900</v>
      </c>
    </row>
    <row r="501" spans="2:3" ht="120">
      <c r="B501" s="459" t="s">
        <v>8342</v>
      </c>
      <c r="C501" s="377" t="s">
        <v>6905</v>
      </c>
    </row>
    <row r="502" spans="2:3" ht="105">
      <c r="B502" s="459" t="s">
        <v>8343</v>
      </c>
      <c r="C502" s="377" t="s">
        <v>6914</v>
      </c>
    </row>
    <row r="503" spans="2:3" ht="105">
      <c r="B503" s="459" t="s">
        <v>8344</v>
      </c>
      <c r="C503" s="377" t="s">
        <v>6919</v>
      </c>
    </row>
    <row r="504" spans="2:3" ht="105">
      <c r="B504" s="456" t="s">
        <v>8346</v>
      </c>
      <c r="C504" s="319" t="s">
        <v>6929</v>
      </c>
    </row>
    <row r="505" spans="2:3" ht="135">
      <c r="B505" s="456" t="s">
        <v>8348</v>
      </c>
      <c r="C505" s="377" t="s">
        <v>6940</v>
      </c>
    </row>
    <row r="506" spans="2:3" ht="120">
      <c r="B506" s="457" t="s">
        <v>8477</v>
      </c>
      <c r="C506" s="377" t="s">
        <v>6956</v>
      </c>
    </row>
    <row r="507" spans="2:3" ht="120">
      <c r="B507" s="457" t="s">
        <v>8370</v>
      </c>
      <c r="C507" s="454" t="s">
        <v>7412</v>
      </c>
    </row>
    <row r="508" spans="2:3" ht="120">
      <c r="B508" s="456" t="s">
        <v>8371</v>
      </c>
      <c r="C508" s="377" t="s">
        <v>7415</v>
      </c>
    </row>
    <row r="509" spans="2:3" ht="120">
      <c r="B509" s="457" t="s">
        <v>8372</v>
      </c>
      <c r="C509" s="377" t="s">
        <v>7420</v>
      </c>
    </row>
    <row r="510" spans="2:3" ht="120">
      <c r="B510" s="456" t="s">
        <v>8373</v>
      </c>
      <c r="C510" s="377" t="s">
        <v>7425</v>
      </c>
    </row>
    <row r="511" spans="2:3" ht="90">
      <c r="B511" s="450" t="s">
        <v>8390</v>
      </c>
      <c r="C511" s="440" t="s">
        <v>6991</v>
      </c>
    </row>
    <row r="512" spans="2:3" ht="90">
      <c r="B512" s="451" t="s">
        <v>8391</v>
      </c>
      <c r="C512" s="440" t="s">
        <v>6999</v>
      </c>
    </row>
    <row r="513" spans="2:3" ht="90">
      <c r="B513" s="450" t="s">
        <v>8392</v>
      </c>
      <c r="C513" s="440" t="s">
        <v>7004</v>
      </c>
    </row>
    <row r="514" spans="2:3" ht="90">
      <c r="B514" s="450" t="s">
        <v>8393</v>
      </c>
      <c r="C514" s="440" t="s">
        <v>7009</v>
      </c>
    </row>
    <row r="515" spans="2:3" ht="105">
      <c r="B515" s="450" t="s">
        <v>8394</v>
      </c>
      <c r="C515" s="440" t="s">
        <v>7015</v>
      </c>
    </row>
    <row r="516" spans="2:3" ht="90">
      <c r="B516" s="450" t="s">
        <v>8395</v>
      </c>
      <c r="C516" s="440" t="s">
        <v>7021</v>
      </c>
    </row>
    <row r="517" spans="2:3" ht="90">
      <c r="B517" s="450" t="s">
        <v>8396</v>
      </c>
      <c r="C517" s="440" t="s">
        <v>7027</v>
      </c>
    </row>
    <row r="518" spans="2:3" ht="90">
      <c r="B518" s="450" t="s">
        <v>8397</v>
      </c>
      <c r="C518" s="452" t="s">
        <v>7034</v>
      </c>
    </row>
    <row r="519" spans="2:3" ht="90">
      <c r="B519" s="450" t="s">
        <v>8398</v>
      </c>
      <c r="C519" s="452" t="s">
        <v>7040</v>
      </c>
    </row>
    <row r="520" spans="2:3" ht="105">
      <c r="B520" s="450" t="s">
        <v>8399</v>
      </c>
      <c r="C520" s="452" t="s">
        <v>7045</v>
      </c>
    </row>
    <row r="521" spans="2:3" ht="120">
      <c r="B521" s="450" t="s">
        <v>8400</v>
      </c>
      <c r="C521" s="452" t="s">
        <v>7051</v>
      </c>
    </row>
  </sheetData>
  <mergeCells count="5">
    <mergeCell ref="B1:C1"/>
    <mergeCell ref="D1:E1"/>
    <mergeCell ref="F1:G1"/>
    <mergeCell ref="H1:I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39997558519241921"/>
  </sheetPr>
  <dimension ref="A1:NS87"/>
  <sheetViews>
    <sheetView showGridLines="0" topLeftCell="B1" zoomScaleNormal="100" workbookViewId="0">
      <selection activeCell="D5" sqref="D5:D45"/>
    </sheetView>
  </sheetViews>
  <sheetFormatPr baseColWidth="10" defaultColWidth="11.42578125" defaultRowHeight="15"/>
  <cols>
    <col min="1" max="1" width="17.5703125" style="2" hidden="1" customWidth="1"/>
    <col min="2" max="2" width="50.28515625" style="2" customWidth="1"/>
    <col min="3" max="3" width="24.7109375" style="2" hidden="1" customWidth="1"/>
    <col min="4" max="4" width="71.42578125" style="2" customWidth="1"/>
    <col min="5" max="5" width="27.5703125" style="3" customWidth="1"/>
    <col min="6" max="6" width="13.42578125" style="3" customWidth="1"/>
    <col min="7" max="7" width="12" style="3" hidden="1" customWidth="1"/>
    <col min="8" max="8" width="12" style="3" customWidth="1"/>
    <col min="9" max="9" width="10.140625" style="3" hidden="1" customWidth="1"/>
    <col min="10" max="10" width="27.42578125" style="3" customWidth="1"/>
    <col min="11" max="11" width="29.28515625" style="3" customWidth="1"/>
    <col min="12" max="12" width="20.85546875" hidden="1" customWidth="1"/>
    <col min="13" max="13" width="30" hidden="1" customWidth="1"/>
    <col min="14" max="14" width="23.28515625" hidden="1" customWidth="1"/>
    <col min="15" max="15" width="26" hidden="1" customWidth="1"/>
    <col min="16" max="16" width="19.28515625" hidden="1" customWidth="1"/>
    <col min="17" max="17" width="21.7109375" hidden="1" customWidth="1"/>
    <col min="18" max="18" width="19" hidden="1" customWidth="1"/>
    <col min="19" max="19" width="7.7109375" hidden="1" customWidth="1"/>
    <col min="20" max="20" width="15" hidden="1" customWidth="1"/>
    <col min="21" max="23" width="9.5703125" hidden="1" customWidth="1"/>
    <col min="24" max="24" width="6.140625" hidden="1" customWidth="1"/>
    <col min="25" max="25" width="6.7109375" hidden="1" customWidth="1"/>
    <col min="26" max="30" width="6.5703125" hidden="1" customWidth="1"/>
    <col min="31" max="31" width="6.7109375" hidden="1" customWidth="1"/>
    <col min="32" max="35" width="6.140625" hidden="1" customWidth="1"/>
    <col min="36" max="36" width="5.7109375" hidden="1" customWidth="1"/>
    <col min="37" max="37" width="6.140625" hidden="1" customWidth="1"/>
    <col min="38" max="38" width="5.5703125" hidden="1" customWidth="1"/>
    <col min="39" max="41" width="4.28515625" hidden="1" customWidth="1"/>
    <col min="42" max="45" width="6.140625" hidden="1" customWidth="1"/>
    <col min="46" max="46" width="25.7109375" hidden="1" customWidth="1"/>
    <col min="47" max="47" width="29.5703125" hidden="1" customWidth="1"/>
    <col min="48" max="48" width="19.42578125" hidden="1" customWidth="1"/>
    <col min="49" max="49" width="23.7109375" hidden="1" customWidth="1"/>
    <col min="50" max="50" width="20.28515625" hidden="1" customWidth="1"/>
    <col min="51" max="51" width="20.7109375" hidden="1" customWidth="1"/>
    <col min="52" max="52" width="14.28515625" hidden="1" customWidth="1"/>
    <col min="53" max="54" width="11.42578125" hidden="1" customWidth="1"/>
    <col min="55" max="55" width="20.7109375" hidden="1" customWidth="1"/>
    <col min="56" max="56" width="11.5703125" customWidth="1"/>
    <col min="57" max="57" width="23.85546875" customWidth="1"/>
    <col min="58" max="58" width="11.5703125" customWidth="1"/>
    <col min="59" max="59" width="18.28515625" customWidth="1"/>
    <col min="60" max="61" width="11.5703125" customWidth="1"/>
    <col min="62" max="62" width="15.140625" customWidth="1"/>
    <col min="63" max="63" width="19.7109375" customWidth="1"/>
    <col min="64" max="67" width="11.5703125" customWidth="1"/>
    <col min="68" max="87" width="11.42578125" style="2"/>
    <col min="88" max="88" width="10.28515625" style="2" customWidth="1"/>
    <col min="89" max="89" width="11.42578125" style="2" hidden="1" customWidth="1"/>
    <col min="90" max="93" width="11.42578125" style="2"/>
    <col min="94" max="94" width="17.140625" style="2" customWidth="1"/>
    <col min="95" max="16384" width="11.42578125" style="2"/>
  </cols>
  <sheetData>
    <row r="1" spans="1:383" s="32" customFormat="1" ht="30" customHeight="1" thickBot="1">
      <c r="A1" s="13316" t="s">
        <v>518</v>
      </c>
      <c r="B1" s="13316"/>
      <c r="C1" s="13316"/>
      <c r="D1" s="13316"/>
      <c r="E1" s="13316"/>
      <c r="F1" s="13316"/>
      <c r="G1" s="13316"/>
      <c r="H1" s="13316"/>
      <c r="I1" s="13316"/>
      <c r="J1" s="13316"/>
      <c r="K1" s="13317"/>
      <c r="L1" s="13290" t="s">
        <v>0</v>
      </c>
      <c r="M1" s="13291"/>
      <c r="N1" s="13291"/>
      <c r="O1" s="13291"/>
      <c r="P1" s="13291"/>
      <c r="Q1" s="13291"/>
      <c r="R1" s="13291"/>
      <c r="S1" s="13291"/>
      <c r="T1" s="13291"/>
      <c r="U1" s="13291"/>
      <c r="V1" s="13291"/>
      <c r="W1" s="13291"/>
      <c r="X1" s="13291"/>
      <c r="Y1" s="13291"/>
      <c r="Z1" s="13291"/>
      <c r="AA1" s="13291"/>
      <c r="AB1" s="13291"/>
      <c r="AC1" s="13291"/>
      <c r="AD1" s="13291"/>
      <c r="AE1" s="13291"/>
      <c r="AF1" s="13291"/>
      <c r="AG1" s="13291"/>
      <c r="AH1" s="13291"/>
      <c r="AI1" s="13291"/>
      <c r="AJ1" s="13291"/>
      <c r="AK1" s="13291"/>
      <c r="AL1" s="13291"/>
      <c r="AM1" s="13291"/>
      <c r="AN1" s="13291"/>
      <c r="AO1" s="13291"/>
      <c r="AP1" s="13291"/>
      <c r="AQ1" s="13291"/>
      <c r="AR1" s="13291"/>
      <c r="AS1" s="13291"/>
      <c r="AT1" s="13291"/>
      <c r="AU1" s="13291"/>
      <c r="AV1" s="13291"/>
      <c r="AW1" s="13291"/>
      <c r="AX1" s="13291"/>
      <c r="AY1" s="13291"/>
      <c r="AZ1" s="13291"/>
      <c r="BA1" s="13291"/>
      <c r="BB1" s="13291"/>
      <c r="BC1" s="13292"/>
      <c r="BD1" s="13290" t="s">
        <v>8493</v>
      </c>
      <c r="BE1" s="13291"/>
      <c r="BF1" s="13291"/>
      <c r="BG1" s="13291"/>
      <c r="BH1" s="13291"/>
      <c r="BI1" s="13291"/>
      <c r="BJ1" s="13291"/>
      <c r="BK1" s="13291"/>
      <c r="BL1" s="13291"/>
      <c r="BM1" s="13291"/>
      <c r="BN1" s="13291"/>
      <c r="BO1" s="13291"/>
      <c r="BP1" s="13291"/>
      <c r="BQ1" s="13291"/>
      <c r="BR1" s="13291"/>
      <c r="BS1" s="13291"/>
      <c r="BT1" s="13291"/>
      <c r="BU1" s="13291"/>
      <c r="BV1" s="13291"/>
      <c r="BW1" s="13291"/>
      <c r="BX1" s="13291"/>
      <c r="BY1" s="13291"/>
      <c r="BZ1" s="13291"/>
      <c r="CA1" s="13291"/>
      <c r="CB1" s="13291"/>
      <c r="CC1" s="13291"/>
      <c r="CD1" s="13291"/>
      <c r="CE1" s="13291"/>
      <c r="CF1" s="13291"/>
      <c r="CG1" s="13291"/>
      <c r="CH1" s="13291"/>
      <c r="CI1" s="13291"/>
      <c r="CJ1" s="13291"/>
      <c r="CK1" s="13291"/>
      <c r="CL1" s="13291"/>
      <c r="CM1" s="13291"/>
      <c r="CN1" s="13291"/>
      <c r="CO1" s="13291"/>
      <c r="CP1" s="13291"/>
      <c r="CQ1" s="13291"/>
      <c r="CR1" s="13291"/>
      <c r="CS1" s="13291"/>
      <c r="CT1" s="13291"/>
      <c r="CU1" s="13292"/>
      <c r="NL1" s="33"/>
      <c r="NM1" s="33"/>
      <c r="NN1" s="33"/>
      <c r="NO1" s="33"/>
      <c r="NP1" s="33"/>
      <c r="NQ1" s="33"/>
      <c r="NR1" s="33"/>
      <c r="NS1" s="33"/>
    </row>
    <row r="2" spans="1:383" s="32" customFormat="1" ht="51.75" customHeight="1" thickBot="1">
      <c r="A2" s="13327" t="s">
        <v>519</v>
      </c>
      <c r="B2" s="13327"/>
      <c r="C2" s="13327"/>
      <c r="D2" s="13327"/>
      <c r="E2" s="13327"/>
      <c r="F2" s="13327"/>
      <c r="G2" s="13327"/>
      <c r="H2" s="13327"/>
      <c r="I2" s="13327"/>
      <c r="J2" s="13327"/>
      <c r="K2" s="13327"/>
      <c r="L2" s="13293" t="s">
        <v>1</v>
      </c>
      <c r="M2" s="13295" t="s">
        <v>2</v>
      </c>
      <c r="N2" s="13295" t="s">
        <v>3</v>
      </c>
      <c r="O2" s="13297" t="s">
        <v>4</v>
      </c>
      <c r="P2" s="13299" t="s">
        <v>355</v>
      </c>
      <c r="Q2" s="13300"/>
      <c r="R2" s="13300"/>
      <c r="S2" s="13301"/>
      <c r="T2" s="13299" t="s">
        <v>356</v>
      </c>
      <c r="U2" s="13300"/>
      <c r="V2" s="13300"/>
      <c r="W2" s="13300"/>
      <c r="X2" s="13300"/>
      <c r="Y2" s="13300"/>
      <c r="Z2" s="13300"/>
      <c r="AA2" s="13300"/>
      <c r="AB2" s="13300"/>
      <c r="AC2" s="13300"/>
      <c r="AD2" s="13300"/>
      <c r="AE2" s="13300"/>
      <c r="AF2" s="13300"/>
      <c r="AG2" s="13300"/>
      <c r="AH2" s="13300"/>
      <c r="AI2" s="13300"/>
      <c r="AJ2" s="13300"/>
      <c r="AK2" s="13300"/>
      <c r="AL2" s="13300"/>
      <c r="AM2" s="13300"/>
      <c r="AN2" s="13300"/>
      <c r="AO2" s="13300"/>
      <c r="AP2" s="13300"/>
      <c r="AQ2" s="13300"/>
      <c r="AR2" s="13300"/>
      <c r="AS2" s="13301"/>
      <c r="AT2" s="13302" t="s">
        <v>357</v>
      </c>
      <c r="AU2" s="13303"/>
      <c r="AV2" s="13303"/>
      <c r="AW2" s="13303"/>
      <c r="AX2" s="13304"/>
      <c r="AY2" s="13305" t="s">
        <v>5</v>
      </c>
      <c r="AZ2" s="13306"/>
      <c r="BA2" s="13306"/>
      <c r="BB2" s="13306"/>
      <c r="BC2" s="13307"/>
      <c r="BD2" s="13293" t="s">
        <v>8490</v>
      </c>
      <c r="BE2" s="13295" t="s">
        <v>8491</v>
      </c>
      <c r="BF2" s="13295" t="s">
        <v>8492</v>
      </c>
      <c r="BG2" s="13297" t="s">
        <v>4</v>
      </c>
      <c r="BH2" s="13299" t="s">
        <v>355</v>
      </c>
      <c r="BI2" s="13300"/>
      <c r="BJ2" s="13300"/>
      <c r="BK2" s="13301"/>
      <c r="BL2" s="13299" t="s">
        <v>356</v>
      </c>
      <c r="BM2" s="13300"/>
      <c r="BN2" s="13300"/>
      <c r="BO2" s="13300"/>
      <c r="BP2" s="13300"/>
      <c r="BQ2" s="13300"/>
      <c r="BR2" s="13300"/>
      <c r="BS2" s="13300"/>
      <c r="BT2" s="13300"/>
      <c r="BU2" s="13300"/>
      <c r="BV2" s="13300"/>
      <c r="BW2" s="13300"/>
      <c r="BX2" s="13300"/>
      <c r="BY2" s="13300"/>
      <c r="BZ2" s="13300"/>
      <c r="CA2" s="13300"/>
      <c r="CB2" s="13300"/>
      <c r="CC2" s="13300"/>
      <c r="CD2" s="13300"/>
      <c r="CE2" s="13300"/>
      <c r="CF2" s="13300"/>
      <c r="CG2" s="13300"/>
      <c r="CH2" s="13300"/>
      <c r="CI2" s="13300"/>
      <c r="CJ2" s="13300"/>
      <c r="CK2" s="13301"/>
      <c r="CL2" s="13302" t="s">
        <v>357</v>
      </c>
      <c r="CM2" s="13303"/>
      <c r="CN2" s="13303"/>
      <c r="CO2" s="13303"/>
      <c r="CP2" s="13304"/>
      <c r="CQ2" s="13305" t="s">
        <v>5</v>
      </c>
      <c r="CR2" s="13306"/>
      <c r="CS2" s="13306"/>
      <c r="CT2" s="13306"/>
      <c r="CU2" s="13307"/>
      <c r="NH2" s="33"/>
      <c r="NI2" s="33"/>
      <c r="NJ2" s="33"/>
      <c r="NK2" s="33"/>
      <c r="NL2" s="33"/>
      <c r="NM2" s="33"/>
      <c r="NN2" s="33"/>
      <c r="NO2" s="33"/>
    </row>
    <row r="3" spans="1:383" ht="18.75" customHeight="1" thickBot="1">
      <c r="A3" s="13331" t="s">
        <v>55</v>
      </c>
      <c r="B3" s="13331" t="s">
        <v>520</v>
      </c>
      <c r="C3" s="13337" t="s">
        <v>4635</v>
      </c>
      <c r="D3" s="13331" t="s">
        <v>56</v>
      </c>
      <c r="E3" s="13331" t="s">
        <v>521</v>
      </c>
      <c r="F3" s="13333" t="s">
        <v>365</v>
      </c>
      <c r="G3" s="13329" t="s">
        <v>524</v>
      </c>
      <c r="H3" s="13329" t="s">
        <v>2104</v>
      </c>
      <c r="I3" s="13329" t="s">
        <v>525</v>
      </c>
      <c r="J3" s="13335" t="s">
        <v>522</v>
      </c>
      <c r="K3" s="13335" t="s">
        <v>523</v>
      </c>
      <c r="L3" s="13294"/>
      <c r="M3" s="13296"/>
      <c r="N3" s="13296"/>
      <c r="O3" s="13298"/>
      <c r="P3" s="13308" t="s">
        <v>6</v>
      </c>
      <c r="Q3" s="13310" t="s">
        <v>7</v>
      </c>
      <c r="R3" s="13312" t="s">
        <v>8</v>
      </c>
      <c r="S3" s="13314" t="s">
        <v>9</v>
      </c>
      <c r="T3" s="13308" t="s">
        <v>10</v>
      </c>
      <c r="U3" s="13282" t="s">
        <v>11</v>
      </c>
      <c r="V3" s="13284"/>
      <c r="W3" s="13282" t="s">
        <v>12</v>
      </c>
      <c r="X3" s="13284"/>
      <c r="Y3" s="13282" t="s">
        <v>13</v>
      </c>
      <c r="Z3" s="13283"/>
      <c r="AA3" s="13283"/>
      <c r="AB3" s="13283"/>
      <c r="AC3" s="13283"/>
      <c r="AD3" s="13283"/>
      <c r="AE3" s="13284"/>
      <c r="AF3" s="13285" t="s">
        <v>14</v>
      </c>
      <c r="AG3" s="13286"/>
      <c r="AH3" s="13286"/>
      <c r="AI3" s="13286"/>
      <c r="AJ3" s="13286"/>
      <c r="AK3" s="13286"/>
      <c r="AL3" s="13286"/>
      <c r="AM3" s="13287"/>
      <c r="AN3" s="13285" t="s">
        <v>15</v>
      </c>
      <c r="AO3" s="13286"/>
      <c r="AP3" s="13286"/>
      <c r="AQ3" s="13286"/>
      <c r="AR3" s="13286"/>
      <c r="AS3" s="13287"/>
      <c r="AT3" s="13288" t="s">
        <v>16</v>
      </c>
      <c r="AU3" s="13288" t="s">
        <v>17</v>
      </c>
      <c r="AV3" s="13275" t="s">
        <v>18</v>
      </c>
      <c r="AW3" s="10" t="s">
        <v>19</v>
      </c>
      <c r="AX3" s="11" t="s">
        <v>20</v>
      </c>
      <c r="AY3" s="13277" t="s">
        <v>21</v>
      </c>
      <c r="AZ3" s="13279" t="s">
        <v>22</v>
      </c>
      <c r="BA3" s="13280"/>
      <c r="BB3" s="13281"/>
      <c r="BC3" s="12" t="s">
        <v>20</v>
      </c>
      <c r="BD3" s="13294"/>
      <c r="BE3" s="13296"/>
      <c r="BF3" s="13296"/>
      <c r="BG3" s="13298"/>
      <c r="BH3" s="13308" t="s">
        <v>6</v>
      </c>
      <c r="BI3" s="13310" t="s">
        <v>7</v>
      </c>
      <c r="BJ3" s="13312" t="s">
        <v>8</v>
      </c>
      <c r="BK3" s="13314" t="s">
        <v>9</v>
      </c>
      <c r="BL3" s="13308" t="s">
        <v>10</v>
      </c>
      <c r="BM3" s="13282" t="s">
        <v>11</v>
      </c>
      <c r="BN3" s="13284"/>
      <c r="BO3" s="13282" t="s">
        <v>12</v>
      </c>
      <c r="BP3" s="13284"/>
      <c r="BQ3" s="13282" t="s">
        <v>13</v>
      </c>
      <c r="BR3" s="13283"/>
      <c r="BS3" s="13283"/>
      <c r="BT3" s="13283"/>
      <c r="BU3" s="13283"/>
      <c r="BV3" s="13283"/>
      <c r="BW3" s="13284"/>
      <c r="BX3" s="13285" t="s">
        <v>14</v>
      </c>
      <c r="BY3" s="13286"/>
      <c r="BZ3" s="13286"/>
      <c r="CA3" s="13286"/>
      <c r="CB3" s="13286"/>
      <c r="CC3" s="13286"/>
      <c r="CD3" s="13286"/>
      <c r="CE3" s="13287"/>
      <c r="CF3" s="13285" t="s">
        <v>15</v>
      </c>
      <c r="CG3" s="13286"/>
      <c r="CH3" s="13286"/>
      <c r="CI3" s="13286"/>
      <c r="CJ3" s="13286"/>
      <c r="CK3" s="13287"/>
      <c r="CL3" s="13288" t="s">
        <v>16</v>
      </c>
      <c r="CM3" s="13288" t="s">
        <v>17</v>
      </c>
      <c r="CN3" s="13275" t="s">
        <v>18</v>
      </c>
      <c r="CO3" s="10" t="s">
        <v>19</v>
      </c>
      <c r="CP3" s="11" t="s">
        <v>20</v>
      </c>
      <c r="CQ3" s="13277" t="s">
        <v>21</v>
      </c>
      <c r="CR3" s="13279" t="s">
        <v>22</v>
      </c>
      <c r="CS3" s="13280"/>
      <c r="CT3" s="13281"/>
      <c r="CU3" s="12" t="s">
        <v>20</v>
      </c>
    </row>
    <row r="4" spans="1:383" s="1" customFormat="1" ht="45" customHeight="1" thickBot="1">
      <c r="A4" s="13332"/>
      <c r="B4" s="13332"/>
      <c r="C4" s="13338"/>
      <c r="D4" s="13332"/>
      <c r="E4" s="13332"/>
      <c r="F4" s="13334"/>
      <c r="G4" s="13330"/>
      <c r="H4" s="13330"/>
      <c r="I4" s="13330"/>
      <c r="J4" s="13336"/>
      <c r="K4" s="13336"/>
      <c r="L4" s="13294"/>
      <c r="M4" s="13296"/>
      <c r="N4" s="13296"/>
      <c r="O4" s="13298"/>
      <c r="P4" s="13309"/>
      <c r="Q4" s="13311"/>
      <c r="R4" s="13313"/>
      <c r="S4" s="13315"/>
      <c r="T4" s="13309"/>
      <c r="U4" s="13" t="s">
        <v>23</v>
      </c>
      <c r="V4" s="14" t="s">
        <v>24</v>
      </c>
      <c r="W4" s="13" t="s">
        <v>25</v>
      </c>
      <c r="X4" s="14" t="s">
        <v>26</v>
      </c>
      <c r="Y4" s="15" t="s">
        <v>27</v>
      </c>
      <c r="Z4" s="16" t="s">
        <v>28</v>
      </c>
      <c r="AA4" s="17" t="s">
        <v>29</v>
      </c>
      <c r="AB4" s="17" t="s">
        <v>30</v>
      </c>
      <c r="AC4" s="17" t="s">
        <v>31</v>
      </c>
      <c r="AD4" s="17" t="s">
        <v>32</v>
      </c>
      <c r="AE4" s="18" t="s">
        <v>33</v>
      </c>
      <c r="AF4" s="15" t="s">
        <v>34</v>
      </c>
      <c r="AG4" s="17" t="s">
        <v>35</v>
      </c>
      <c r="AH4" s="17" t="s">
        <v>36</v>
      </c>
      <c r="AI4" s="17" t="s">
        <v>37</v>
      </c>
      <c r="AJ4" s="17" t="s">
        <v>38</v>
      </c>
      <c r="AK4" s="17" t="s">
        <v>39</v>
      </c>
      <c r="AL4" s="17" t="s">
        <v>40</v>
      </c>
      <c r="AM4" s="18" t="s">
        <v>41</v>
      </c>
      <c r="AN4" s="19" t="s">
        <v>42</v>
      </c>
      <c r="AO4" s="17" t="s">
        <v>43</v>
      </c>
      <c r="AP4" s="17" t="s">
        <v>44</v>
      </c>
      <c r="AQ4" s="17" t="s">
        <v>45</v>
      </c>
      <c r="AR4" s="17" t="s">
        <v>46</v>
      </c>
      <c r="AS4" s="20" t="s">
        <v>47</v>
      </c>
      <c r="AT4" s="13289"/>
      <c r="AU4" s="13289"/>
      <c r="AV4" s="13276"/>
      <c r="AW4" s="40" t="s">
        <v>48</v>
      </c>
      <c r="AX4" s="21" t="s">
        <v>49</v>
      </c>
      <c r="AY4" s="13278"/>
      <c r="AZ4" s="9" t="s">
        <v>50</v>
      </c>
      <c r="BA4" s="9" t="s">
        <v>51</v>
      </c>
      <c r="BB4" s="9" t="s">
        <v>52</v>
      </c>
      <c r="BC4" s="22" t="s">
        <v>49</v>
      </c>
      <c r="BD4" s="13294"/>
      <c r="BE4" s="13296"/>
      <c r="BF4" s="13296"/>
      <c r="BG4" s="13298"/>
      <c r="BH4" s="13309"/>
      <c r="BI4" s="13311"/>
      <c r="BJ4" s="13313"/>
      <c r="BK4" s="13315"/>
      <c r="BL4" s="13309"/>
      <c r="BM4" s="13" t="s">
        <v>23</v>
      </c>
      <c r="BN4" s="14" t="s">
        <v>24</v>
      </c>
      <c r="BO4" s="13" t="s">
        <v>25</v>
      </c>
      <c r="BP4" s="14" t="s">
        <v>26</v>
      </c>
      <c r="BQ4" s="15" t="s">
        <v>27</v>
      </c>
      <c r="BR4" s="16" t="s">
        <v>28</v>
      </c>
      <c r="BS4" s="17" t="s">
        <v>29</v>
      </c>
      <c r="BT4" s="17" t="s">
        <v>30</v>
      </c>
      <c r="BU4" s="17" t="s">
        <v>31</v>
      </c>
      <c r="BV4" s="17" t="s">
        <v>32</v>
      </c>
      <c r="BW4" s="18" t="s">
        <v>33</v>
      </c>
      <c r="BX4" s="15" t="s">
        <v>34</v>
      </c>
      <c r="BY4" s="17" t="s">
        <v>35</v>
      </c>
      <c r="BZ4" s="17" t="s">
        <v>36</v>
      </c>
      <c r="CA4" s="17" t="s">
        <v>37</v>
      </c>
      <c r="CB4" s="17" t="s">
        <v>38</v>
      </c>
      <c r="CC4" s="17" t="s">
        <v>39</v>
      </c>
      <c r="CD4" s="17" t="s">
        <v>40</v>
      </c>
      <c r="CE4" s="18" t="s">
        <v>41</v>
      </c>
      <c r="CF4" s="19" t="s">
        <v>42</v>
      </c>
      <c r="CG4" s="17" t="s">
        <v>43</v>
      </c>
      <c r="CH4" s="17" t="s">
        <v>44</v>
      </c>
      <c r="CI4" s="17" t="s">
        <v>45</v>
      </c>
      <c r="CJ4" s="17" t="s">
        <v>46</v>
      </c>
      <c r="CK4" s="20" t="s">
        <v>47</v>
      </c>
      <c r="CL4" s="13289"/>
      <c r="CM4" s="13289"/>
      <c r="CN4" s="13276"/>
      <c r="CO4" s="463" t="s">
        <v>48</v>
      </c>
      <c r="CP4" s="21" t="s">
        <v>49</v>
      </c>
      <c r="CQ4" s="13278"/>
      <c r="CR4" s="9" t="s">
        <v>50</v>
      </c>
      <c r="CS4" s="9" t="s">
        <v>51</v>
      </c>
      <c r="CT4" s="9" t="s">
        <v>52</v>
      </c>
      <c r="CU4" s="22" t="s">
        <v>49</v>
      </c>
    </row>
    <row r="5" spans="1:383" s="36" customFormat="1" ht="45" customHeight="1" thickBot="1">
      <c r="A5" s="13328" t="s">
        <v>526</v>
      </c>
      <c r="B5" s="55" t="s">
        <v>527</v>
      </c>
      <c r="C5" s="55" t="s">
        <v>4839</v>
      </c>
      <c r="D5" s="56" t="s">
        <v>528</v>
      </c>
      <c r="E5" s="57" t="s">
        <v>529</v>
      </c>
      <c r="F5" s="58">
        <v>1</v>
      </c>
      <c r="G5" s="59">
        <v>1</v>
      </c>
      <c r="H5" s="59">
        <v>1</v>
      </c>
      <c r="I5" s="60">
        <v>1</v>
      </c>
      <c r="J5" s="61" t="s">
        <v>530</v>
      </c>
      <c r="K5" s="61" t="s">
        <v>531</v>
      </c>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3"/>
      <c r="BD5" s="468"/>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3"/>
    </row>
    <row r="6" spans="1:383" ht="45" customHeight="1" thickBot="1">
      <c r="A6" s="13319"/>
      <c r="B6" s="54" t="s">
        <v>532</v>
      </c>
      <c r="C6" s="55" t="s">
        <v>4840</v>
      </c>
      <c r="D6" s="41" t="s">
        <v>533</v>
      </c>
      <c r="E6" s="29" t="s">
        <v>534</v>
      </c>
      <c r="F6" s="42">
        <v>1</v>
      </c>
      <c r="G6" s="43">
        <v>1</v>
      </c>
      <c r="H6" s="43">
        <v>1</v>
      </c>
      <c r="I6" s="35">
        <v>1</v>
      </c>
      <c r="J6" s="34" t="s">
        <v>298</v>
      </c>
      <c r="K6" s="34" t="s">
        <v>512</v>
      </c>
      <c r="L6" s="226">
        <v>1</v>
      </c>
      <c r="M6" s="220" t="s">
        <v>4071</v>
      </c>
      <c r="N6" s="221"/>
      <c r="O6" s="222" t="s">
        <v>2951</v>
      </c>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64"/>
      <c r="BD6" s="469"/>
      <c r="BE6" s="220"/>
      <c r="BF6" s="221"/>
      <c r="BG6" s="222"/>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64"/>
    </row>
    <row r="7" spans="1:383" ht="45" customHeight="1" thickBot="1">
      <c r="A7" s="13319"/>
      <c r="B7" s="13322" t="s">
        <v>535</v>
      </c>
      <c r="C7" s="55" t="s">
        <v>4841</v>
      </c>
      <c r="D7" s="41" t="s">
        <v>536</v>
      </c>
      <c r="E7" s="29" t="s">
        <v>537</v>
      </c>
      <c r="F7" s="42">
        <v>1</v>
      </c>
      <c r="G7" s="43">
        <v>1</v>
      </c>
      <c r="H7" s="43">
        <v>1</v>
      </c>
      <c r="I7" s="35">
        <v>1</v>
      </c>
      <c r="J7" s="34" t="s">
        <v>538</v>
      </c>
      <c r="K7" s="34" t="s">
        <v>539</v>
      </c>
      <c r="L7" s="172">
        <v>1</v>
      </c>
      <c r="M7" s="167" t="s">
        <v>3762</v>
      </c>
      <c r="N7" s="168" t="s">
        <v>3763</v>
      </c>
      <c r="O7" s="53"/>
      <c r="P7" s="194">
        <v>4000000</v>
      </c>
      <c r="Q7" s="53"/>
      <c r="R7" s="53"/>
      <c r="S7" s="53"/>
      <c r="T7" s="125">
        <v>576</v>
      </c>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195" t="s">
        <v>3764</v>
      </c>
      <c r="BD7" s="470"/>
      <c r="BE7" s="167"/>
      <c r="BF7" s="168"/>
      <c r="BG7" s="53"/>
      <c r="BH7" s="194"/>
      <c r="BI7" s="53"/>
      <c r="BJ7" s="53"/>
      <c r="BK7" s="53"/>
      <c r="BL7" s="199"/>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195"/>
    </row>
    <row r="8" spans="1:383" ht="45" customHeight="1" thickBot="1">
      <c r="A8" s="13319"/>
      <c r="B8" s="13322"/>
      <c r="C8" s="55" t="s">
        <v>4842</v>
      </c>
      <c r="D8" s="41" t="s">
        <v>540</v>
      </c>
      <c r="E8" s="29" t="s">
        <v>541</v>
      </c>
      <c r="F8" s="42" t="s">
        <v>542</v>
      </c>
      <c r="G8" s="43">
        <v>1</v>
      </c>
      <c r="H8" s="43">
        <v>1</v>
      </c>
      <c r="I8" s="35">
        <v>1</v>
      </c>
      <c r="J8" s="34" t="s">
        <v>538</v>
      </c>
      <c r="K8" s="34" t="s">
        <v>512</v>
      </c>
      <c r="L8" s="172">
        <v>1</v>
      </c>
      <c r="M8" s="167" t="s">
        <v>3765</v>
      </c>
      <c r="N8" s="196" t="s">
        <v>3766</v>
      </c>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64"/>
      <c r="BD8" s="470"/>
      <c r="BE8" s="167"/>
      <c r="BF8" s="196"/>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64"/>
    </row>
    <row r="9" spans="1:383" ht="45" customHeight="1" thickBot="1">
      <c r="A9" s="13319"/>
      <c r="B9" s="13322"/>
      <c r="C9" s="55" t="s">
        <v>4843</v>
      </c>
      <c r="D9" s="41" t="s">
        <v>543</v>
      </c>
      <c r="E9" s="29" t="s">
        <v>544</v>
      </c>
      <c r="F9" s="42" t="s">
        <v>542</v>
      </c>
      <c r="G9" s="43">
        <v>1</v>
      </c>
      <c r="H9" s="43">
        <v>1</v>
      </c>
      <c r="I9" s="35">
        <v>1</v>
      </c>
      <c r="J9" s="34" t="s">
        <v>298</v>
      </c>
      <c r="K9" s="34" t="s">
        <v>545</v>
      </c>
      <c r="L9" s="226">
        <v>1</v>
      </c>
      <c r="M9" s="220" t="s">
        <v>4072</v>
      </c>
      <c r="N9" s="221"/>
      <c r="O9" s="222" t="s">
        <v>2951</v>
      </c>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64"/>
      <c r="BD9" s="469"/>
      <c r="BE9" s="220"/>
      <c r="BF9" s="221"/>
      <c r="BG9" s="222"/>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64"/>
    </row>
    <row r="10" spans="1:383" ht="45" customHeight="1" thickBot="1">
      <c r="A10" s="13319"/>
      <c r="B10" s="13322"/>
      <c r="C10" s="55" t="s">
        <v>4844</v>
      </c>
      <c r="D10" s="41" t="s">
        <v>546</v>
      </c>
      <c r="E10" s="29" t="s">
        <v>547</v>
      </c>
      <c r="F10" s="42">
        <v>1</v>
      </c>
      <c r="G10" s="43">
        <v>0.5</v>
      </c>
      <c r="H10" s="43">
        <v>0.5</v>
      </c>
      <c r="I10" s="35">
        <v>1</v>
      </c>
      <c r="J10" s="34" t="s">
        <v>548</v>
      </c>
      <c r="K10" s="34" t="s">
        <v>549</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64"/>
      <c r="BD10" s="14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64"/>
    </row>
    <row r="11" spans="1:383" ht="45" customHeight="1" thickBot="1">
      <c r="A11" s="13319"/>
      <c r="B11" s="13322" t="s">
        <v>550</v>
      </c>
      <c r="C11" s="55" t="s">
        <v>4845</v>
      </c>
      <c r="D11" s="41" t="s">
        <v>551</v>
      </c>
      <c r="E11" s="29" t="s">
        <v>552</v>
      </c>
      <c r="F11" s="42">
        <v>1</v>
      </c>
      <c r="G11" s="43">
        <v>0</v>
      </c>
      <c r="H11" s="43">
        <v>0</v>
      </c>
      <c r="I11" s="35">
        <v>0</v>
      </c>
      <c r="J11" s="34" t="s">
        <v>538</v>
      </c>
      <c r="K11" s="34" t="s">
        <v>548</v>
      </c>
      <c r="L11" s="172">
        <v>1</v>
      </c>
      <c r="M11" s="167" t="s">
        <v>3767</v>
      </c>
      <c r="N11" s="167" t="s">
        <v>3763</v>
      </c>
      <c r="O11" s="53"/>
      <c r="P11" s="197">
        <v>33012333</v>
      </c>
      <c r="Q11" s="125" t="s">
        <v>2891</v>
      </c>
      <c r="R11" s="53"/>
      <c r="S11" s="53"/>
      <c r="T11" s="125">
        <v>31081</v>
      </c>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126"/>
      <c r="AY11" s="53"/>
      <c r="AZ11" s="53"/>
      <c r="BA11" s="53"/>
      <c r="BB11" s="53"/>
      <c r="BC11" s="198" t="s">
        <v>3768</v>
      </c>
      <c r="BD11" s="470"/>
      <c r="BE11" s="167"/>
      <c r="BF11" s="167"/>
      <c r="BG11" s="53"/>
      <c r="BH11" s="197"/>
      <c r="BI11" s="199"/>
      <c r="BJ11" s="53"/>
      <c r="BK11" s="53"/>
      <c r="BL11" s="199"/>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126"/>
      <c r="CQ11" s="53"/>
      <c r="CR11" s="53"/>
      <c r="CS11" s="53"/>
      <c r="CT11" s="53"/>
      <c r="CU11" s="198"/>
    </row>
    <row r="12" spans="1:383" ht="45" customHeight="1" thickBot="1">
      <c r="A12" s="13319"/>
      <c r="B12" s="13322"/>
      <c r="C12" s="55" t="s">
        <v>4847</v>
      </c>
      <c r="D12" s="41" t="s">
        <v>553</v>
      </c>
      <c r="E12" s="29" t="s">
        <v>554</v>
      </c>
      <c r="F12" s="42">
        <v>1</v>
      </c>
      <c r="G12" s="43">
        <v>1</v>
      </c>
      <c r="H12" s="43">
        <v>1</v>
      </c>
      <c r="I12" s="35">
        <v>1</v>
      </c>
      <c r="J12" s="34" t="s">
        <v>538</v>
      </c>
      <c r="K12" s="34" t="s">
        <v>548</v>
      </c>
      <c r="L12" s="162"/>
      <c r="M12" s="53"/>
      <c r="N12" s="53"/>
      <c r="O12" s="167" t="s">
        <v>3769</v>
      </c>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64"/>
      <c r="BD12" s="470"/>
      <c r="BE12" s="53"/>
      <c r="BF12" s="53"/>
      <c r="BG12" s="167"/>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64"/>
    </row>
    <row r="13" spans="1:383" ht="45" customHeight="1" thickBot="1">
      <c r="A13" s="13320"/>
      <c r="B13" s="65" t="s">
        <v>555</v>
      </c>
      <c r="C13" s="55" t="s">
        <v>4848</v>
      </c>
      <c r="D13" s="66" t="s">
        <v>556</v>
      </c>
      <c r="E13" s="67" t="s">
        <v>557</v>
      </c>
      <c r="F13" s="68">
        <v>0.3</v>
      </c>
      <c r="G13" s="69">
        <v>0</v>
      </c>
      <c r="H13" s="69">
        <v>0</v>
      </c>
      <c r="I13" s="70">
        <v>0</v>
      </c>
      <c r="J13" s="71" t="s">
        <v>298</v>
      </c>
      <c r="K13" s="71" t="s">
        <v>545</v>
      </c>
      <c r="L13" s="226">
        <v>1</v>
      </c>
      <c r="M13" s="223" t="s">
        <v>4073</v>
      </c>
      <c r="N13" s="72"/>
      <c r="O13" s="222" t="s">
        <v>2951</v>
      </c>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3"/>
      <c r="BD13" s="469"/>
      <c r="BE13" s="223"/>
      <c r="BF13" s="72"/>
      <c r="BG13" s="22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3"/>
    </row>
    <row r="14" spans="1:383" ht="45" customHeight="1" thickBot="1">
      <c r="A14" s="13318" t="s">
        <v>558</v>
      </c>
      <c r="B14" s="13321" t="s">
        <v>559</v>
      </c>
      <c r="C14" s="55" t="s">
        <v>4846</v>
      </c>
      <c r="D14" s="47" t="s">
        <v>560</v>
      </c>
      <c r="E14" s="48" t="s">
        <v>561</v>
      </c>
      <c r="F14" s="49">
        <v>1</v>
      </c>
      <c r="G14" s="50">
        <v>1</v>
      </c>
      <c r="H14" s="50">
        <v>1</v>
      </c>
      <c r="I14" s="51">
        <v>1</v>
      </c>
      <c r="J14" s="52" t="s">
        <v>298</v>
      </c>
      <c r="K14" s="52" t="s">
        <v>562</v>
      </c>
      <c r="L14" s="226">
        <v>1</v>
      </c>
      <c r="M14" s="170" t="s">
        <v>4074</v>
      </c>
      <c r="N14" s="212" t="s">
        <v>4075</v>
      </c>
      <c r="O14" s="222" t="s">
        <v>2951</v>
      </c>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9"/>
      <c r="BD14" s="469"/>
      <c r="BE14" s="170"/>
      <c r="BF14" s="464"/>
      <c r="BG14" s="222"/>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9"/>
    </row>
    <row r="15" spans="1:383" ht="45" customHeight="1" thickBot="1">
      <c r="A15" s="13319"/>
      <c r="B15" s="13322"/>
      <c r="C15" s="55" t="s">
        <v>4849</v>
      </c>
      <c r="D15" s="44" t="s">
        <v>563</v>
      </c>
      <c r="E15" s="29" t="s">
        <v>564</v>
      </c>
      <c r="F15" s="42">
        <v>1</v>
      </c>
      <c r="G15" s="43">
        <v>1</v>
      </c>
      <c r="H15" s="43">
        <v>1</v>
      </c>
      <c r="I15" s="35">
        <v>1</v>
      </c>
      <c r="J15" s="34" t="s">
        <v>298</v>
      </c>
      <c r="K15" s="34" t="s">
        <v>512</v>
      </c>
      <c r="L15" s="226">
        <v>1</v>
      </c>
      <c r="M15" s="170" t="s">
        <v>4076</v>
      </c>
      <c r="N15" s="212" t="s">
        <v>4075</v>
      </c>
      <c r="O15" s="222" t="s">
        <v>2951</v>
      </c>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64"/>
      <c r="BD15" s="469"/>
      <c r="BE15" s="170"/>
      <c r="BF15" s="464"/>
      <c r="BG15" s="222"/>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1"/>
      <c r="CS15" s="221"/>
      <c r="CT15" s="221"/>
      <c r="CU15" s="64"/>
    </row>
    <row r="16" spans="1:383" ht="45" customHeight="1" thickBot="1">
      <c r="A16" s="13319"/>
      <c r="B16" s="13322"/>
      <c r="C16" s="55" t="s">
        <v>4850</v>
      </c>
      <c r="D16" s="44" t="s">
        <v>565</v>
      </c>
      <c r="E16" s="29" t="s">
        <v>566</v>
      </c>
      <c r="F16" s="42">
        <v>1</v>
      </c>
      <c r="G16" s="43">
        <v>1</v>
      </c>
      <c r="H16" s="43">
        <v>1</v>
      </c>
      <c r="I16" s="35">
        <v>1</v>
      </c>
      <c r="J16" s="34" t="s">
        <v>298</v>
      </c>
      <c r="K16" s="34" t="s">
        <v>562</v>
      </c>
      <c r="L16" s="226">
        <v>1</v>
      </c>
      <c r="M16" s="224" t="s">
        <v>2951</v>
      </c>
      <c r="N16" s="222" t="s">
        <v>2951</v>
      </c>
      <c r="O16" s="222" t="s">
        <v>2951</v>
      </c>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64"/>
      <c r="BD16" s="469"/>
      <c r="BE16" s="224"/>
      <c r="BF16" s="222"/>
      <c r="BG16" s="222"/>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221"/>
      <c r="CQ16" s="221"/>
      <c r="CR16" s="221"/>
      <c r="CS16" s="221"/>
      <c r="CT16" s="221"/>
      <c r="CU16" s="64"/>
    </row>
    <row r="17" spans="1:99" ht="45" customHeight="1" thickBot="1">
      <c r="A17" s="13320"/>
      <c r="B17" s="13323"/>
      <c r="C17" s="55" t="s">
        <v>4851</v>
      </c>
      <c r="D17" s="94" t="s">
        <v>567</v>
      </c>
      <c r="E17" s="67" t="s">
        <v>568</v>
      </c>
      <c r="F17" s="68">
        <v>1</v>
      </c>
      <c r="G17" s="69">
        <v>1</v>
      </c>
      <c r="H17" s="69">
        <v>1</v>
      </c>
      <c r="I17" s="70">
        <v>1</v>
      </c>
      <c r="J17" s="71" t="s">
        <v>298</v>
      </c>
      <c r="K17" s="71" t="s">
        <v>562</v>
      </c>
      <c r="L17" s="226">
        <v>1</v>
      </c>
      <c r="M17" s="224" t="s">
        <v>2951</v>
      </c>
      <c r="N17" s="222" t="s">
        <v>2951</v>
      </c>
      <c r="O17" s="222" t="s">
        <v>2951</v>
      </c>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3"/>
      <c r="BD17" s="469"/>
      <c r="BE17" s="224"/>
      <c r="BF17" s="222"/>
      <c r="BG17" s="22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3"/>
    </row>
    <row r="18" spans="1:99" ht="45" customHeight="1" thickBot="1">
      <c r="A18" s="13324" t="s">
        <v>569</v>
      </c>
      <c r="B18" s="13321" t="s">
        <v>570</v>
      </c>
      <c r="C18" s="55" t="s">
        <v>4852</v>
      </c>
      <c r="D18" s="48" t="s">
        <v>571</v>
      </c>
      <c r="E18" s="47" t="s">
        <v>572</v>
      </c>
      <c r="F18" s="49">
        <v>1</v>
      </c>
      <c r="G18" s="50">
        <v>1</v>
      </c>
      <c r="H18" s="50">
        <v>1</v>
      </c>
      <c r="I18" s="93">
        <v>0</v>
      </c>
      <c r="J18" s="52" t="s">
        <v>163</v>
      </c>
      <c r="K18" s="52" t="s">
        <v>545</v>
      </c>
      <c r="L18" s="216">
        <v>0.7</v>
      </c>
      <c r="M18" s="212" t="s">
        <v>3872</v>
      </c>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9"/>
      <c r="BD18" s="471"/>
      <c r="BE18" s="464"/>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9"/>
    </row>
    <row r="19" spans="1:99" ht="45" customHeight="1" thickBot="1">
      <c r="A19" s="13325"/>
      <c r="B19" s="13322"/>
      <c r="C19" s="55" t="s">
        <v>4853</v>
      </c>
      <c r="D19" s="29" t="s">
        <v>573</v>
      </c>
      <c r="E19" s="44" t="s">
        <v>574</v>
      </c>
      <c r="F19" s="42">
        <v>1</v>
      </c>
      <c r="G19" s="43">
        <v>1</v>
      </c>
      <c r="H19" s="43">
        <v>1</v>
      </c>
      <c r="I19" s="37">
        <v>0</v>
      </c>
      <c r="J19" s="34" t="s">
        <v>163</v>
      </c>
      <c r="K19" s="34" t="s">
        <v>545</v>
      </c>
      <c r="L19" s="217" t="s">
        <v>1732</v>
      </c>
      <c r="M19" s="213" t="s">
        <v>3873</v>
      </c>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64"/>
      <c r="BD19" s="472"/>
      <c r="BE19" s="21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64"/>
    </row>
    <row r="20" spans="1:99" ht="45" customHeight="1" thickBot="1">
      <c r="A20" s="13325"/>
      <c r="B20" s="13322"/>
      <c r="C20" s="55" t="s">
        <v>4854</v>
      </c>
      <c r="D20" s="29" t="s">
        <v>575</v>
      </c>
      <c r="E20" s="44" t="s">
        <v>576</v>
      </c>
      <c r="F20" s="42">
        <v>0.5</v>
      </c>
      <c r="G20" s="43">
        <v>1</v>
      </c>
      <c r="H20" s="43">
        <v>1</v>
      </c>
      <c r="I20" s="37">
        <v>1</v>
      </c>
      <c r="J20" s="34" t="s">
        <v>298</v>
      </c>
      <c r="K20" s="34" t="s">
        <v>545</v>
      </c>
      <c r="L20" s="226">
        <v>1</v>
      </c>
      <c r="M20" s="224" t="s">
        <v>2951</v>
      </c>
      <c r="N20" s="222" t="s">
        <v>2951</v>
      </c>
      <c r="O20" s="222" t="s">
        <v>2951</v>
      </c>
      <c r="P20" s="221"/>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64"/>
      <c r="BD20" s="469"/>
      <c r="BE20" s="224"/>
      <c r="BF20" s="222"/>
      <c r="BG20" s="222"/>
      <c r="BH20" s="221"/>
      <c r="BI20" s="221"/>
      <c r="BJ20" s="221"/>
      <c r="BK20" s="221"/>
      <c r="BL20" s="221"/>
      <c r="BM20" s="221"/>
      <c r="BN20" s="221"/>
      <c r="BO20" s="221"/>
      <c r="BP20" s="221"/>
      <c r="BQ20" s="221"/>
      <c r="BR20" s="221"/>
      <c r="BS20" s="221"/>
      <c r="BT20" s="221"/>
      <c r="BU20" s="221"/>
      <c r="BV20" s="221"/>
      <c r="BW20" s="221"/>
      <c r="BX20" s="221"/>
      <c r="BY20" s="221"/>
      <c r="BZ20" s="221"/>
      <c r="CA20" s="221"/>
      <c r="CB20" s="221"/>
      <c r="CC20" s="221"/>
      <c r="CD20" s="221"/>
      <c r="CE20" s="221"/>
      <c r="CF20" s="221"/>
      <c r="CG20" s="221"/>
      <c r="CH20" s="221"/>
      <c r="CI20" s="221"/>
      <c r="CJ20" s="221"/>
      <c r="CK20" s="221"/>
      <c r="CL20" s="221"/>
      <c r="CM20" s="221"/>
      <c r="CN20" s="221"/>
      <c r="CO20" s="221"/>
      <c r="CP20" s="221"/>
      <c r="CQ20" s="221"/>
      <c r="CR20" s="221"/>
      <c r="CS20" s="221"/>
      <c r="CT20" s="221"/>
      <c r="CU20" s="64"/>
    </row>
    <row r="21" spans="1:99" ht="45" customHeight="1" thickBot="1">
      <c r="A21" s="13325"/>
      <c r="B21" s="13322"/>
      <c r="C21" s="55" t="s">
        <v>4855</v>
      </c>
      <c r="D21" s="29" t="s">
        <v>577</v>
      </c>
      <c r="E21" s="44" t="s">
        <v>578</v>
      </c>
      <c r="F21" s="42">
        <v>0</v>
      </c>
      <c r="G21" s="43">
        <v>1</v>
      </c>
      <c r="H21" s="43">
        <v>1</v>
      </c>
      <c r="I21" s="37">
        <v>0</v>
      </c>
      <c r="J21" s="34" t="s">
        <v>298</v>
      </c>
      <c r="K21" s="34" t="s">
        <v>545</v>
      </c>
      <c r="L21" s="226">
        <v>0</v>
      </c>
      <c r="M21" s="224" t="s">
        <v>2951</v>
      </c>
      <c r="N21" s="222" t="s">
        <v>2951</v>
      </c>
      <c r="O21" s="222" t="s">
        <v>2951</v>
      </c>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64"/>
      <c r="BD21" s="469"/>
      <c r="BE21" s="224"/>
      <c r="BF21" s="222"/>
      <c r="BG21" s="222"/>
      <c r="BH21" s="221"/>
      <c r="BI21" s="221"/>
      <c r="BJ21" s="221"/>
      <c r="BK21" s="221"/>
      <c r="BL21" s="221"/>
      <c r="BM21" s="221"/>
      <c r="BN21" s="221"/>
      <c r="BO21" s="221"/>
      <c r="BP21" s="221"/>
      <c r="BQ21" s="221"/>
      <c r="BR21" s="221"/>
      <c r="BS21" s="221"/>
      <c r="BT21" s="221"/>
      <c r="BU21" s="221"/>
      <c r="BV21" s="221"/>
      <c r="BW21" s="221"/>
      <c r="BX21" s="221"/>
      <c r="BY21" s="221"/>
      <c r="BZ21" s="221"/>
      <c r="CA21" s="221"/>
      <c r="CB21" s="221"/>
      <c r="CC21" s="221"/>
      <c r="CD21" s="221"/>
      <c r="CE21" s="221"/>
      <c r="CF21" s="221"/>
      <c r="CG21" s="221"/>
      <c r="CH21" s="221"/>
      <c r="CI21" s="221"/>
      <c r="CJ21" s="221"/>
      <c r="CK21" s="221"/>
      <c r="CL21" s="221"/>
      <c r="CM21" s="221"/>
      <c r="CN21" s="221"/>
      <c r="CO21" s="221"/>
      <c r="CP21" s="221"/>
      <c r="CQ21" s="221"/>
      <c r="CR21" s="221"/>
      <c r="CS21" s="221"/>
      <c r="CT21" s="221"/>
      <c r="CU21" s="64"/>
    </row>
    <row r="22" spans="1:99" ht="45" customHeight="1" thickBot="1">
      <c r="A22" s="13325"/>
      <c r="B22" s="13322"/>
      <c r="C22" s="55" t="s">
        <v>4856</v>
      </c>
      <c r="D22" s="29" t="s">
        <v>579</v>
      </c>
      <c r="E22" s="44" t="s">
        <v>580</v>
      </c>
      <c r="F22" s="42">
        <v>0</v>
      </c>
      <c r="G22" s="43">
        <v>1</v>
      </c>
      <c r="H22" s="43">
        <v>1</v>
      </c>
      <c r="I22" s="37">
        <v>0</v>
      </c>
      <c r="J22" s="34" t="s">
        <v>163</v>
      </c>
      <c r="K22" s="34" t="s">
        <v>545</v>
      </c>
      <c r="L22" s="217" t="s">
        <v>1732</v>
      </c>
      <c r="M22" s="140" t="s">
        <v>3874</v>
      </c>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64"/>
      <c r="BD22" s="472"/>
      <c r="BE22" s="140"/>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64"/>
    </row>
    <row r="23" spans="1:99" ht="45" customHeight="1" thickBot="1">
      <c r="A23" s="13325"/>
      <c r="B23" s="13322"/>
      <c r="C23" s="55" t="s">
        <v>4857</v>
      </c>
      <c r="D23" s="29" t="s">
        <v>581</v>
      </c>
      <c r="E23" s="44" t="s">
        <v>582</v>
      </c>
      <c r="F23" s="42">
        <v>1</v>
      </c>
      <c r="G23" s="43">
        <v>1</v>
      </c>
      <c r="H23" s="43">
        <v>1</v>
      </c>
      <c r="I23" s="37">
        <v>0.7</v>
      </c>
      <c r="J23" s="34" t="s">
        <v>163</v>
      </c>
      <c r="K23" s="34" t="s">
        <v>545</v>
      </c>
      <c r="L23" s="163">
        <v>1</v>
      </c>
      <c r="M23" s="140" t="s">
        <v>3875</v>
      </c>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64"/>
      <c r="BD23" s="473"/>
      <c r="BE23" s="140"/>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64"/>
    </row>
    <row r="24" spans="1:99" ht="45" customHeight="1" thickBot="1">
      <c r="A24" s="13325"/>
      <c r="B24" s="13322"/>
      <c r="C24" s="55" t="s">
        <v>4858</v>
      </c>
      <c r="D24" s="29" t="s">
        <v>583</v>
      </c>
      <c r="E24" s="44" t="s">
        <v>584</v>
      </c>
      <c r="F24" s="42">
        <v>1</v>
      </c>
      <c r="G24" s="43">
        <v>1</v>
      </c>
      <c r="H24" s="43">
        <v>1</v>
      </c>
      <c r="I24" s="37">
        <v>0.65</v>
      </c>
      <c r="J24" s="34" t="s">
        <v>163</v>
      </c>
      <c r="K24" s="34" t="s">
        <v>545</v>
      </c>
      <c r="L24" s="218">
        <v>1</v>
      </c>
      <c r="M24" s="214" t="s">
        <v>3876</v>
      </c>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64"/>
      <c r="BD24" s="474"/>
      <c r="BE24" s="214"/>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64"/>
    </row>
    <row r="25" spans="1:99" ht="45" customHeight="1" thickBot="1">
      <c r="A25" s="13325"/>
      <c r="B25" s="13322"/>
      <c r="C25" s="55" t="s">
        <v>4859</v>
      </c>
      <c r="D25" s="29" t="s">
        <v>585</v>
      </c>
      <c r="E25" s="44" t="s">
        <v>586</v>
      </c>
      <c r="F25" s="42">
        <v>1</v>
      </c>
      <c r="G25" s="43">
        <v>0.5</v>
      </c>
      <c r="H25" s="43">
        <v>0.5</v>
      </c>
      <c r="I25" s="37">
        <v>0</v>
      </c>
      <c r="J25" s="34" t="s">
        <v>163</v>
      </c>
      <c r="K25" s="34" t="s">
        <v>587</v>
      </c>
      <c r="L25" s="174">
        <f>42/73</f>
        <v>0.57534246575342463</v>
      </c>
      <c r="M25" s="215" t="s">
        <v>3877</v>
      </c>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64"/>
      <c r="BD25" s="475"/>
      <c r="BE25" s="215"/>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64"/>
    </row>
    <row r="26" spans="1:99" ht="45" customHeight="1" thickBot="1">
      <c r="A26" s="13326"/>
      <c r="B26" s="13323"/>
      <c r="C26" s="55" t="s">
        <v>4860</v>
      </c>
      <c r="D26" s="67" t="s">
        <v>588</v>
      </c>
      <c r="E26" s="94" t="s">
        <v>589</v>
      </c>
      <c r="F26" s="68">
        <v>1</v>
      </c>
      <c r="G26" s="69">
        <v>0.5</v>
      </c>
      <c r="H26" s="69">
        <v>0.5</v>
      </c>
      <c r="I26" s="95">
        <v>0</v>
      </c>
      <c r="J26" s="71" t="s">
        <v>163</v>
      </c>
      <c r="K26" s="71" t="s">
        <v>545</v>
      </c>
      <c r="L26" s="217" t="s">
        <v>1732</v>
      </c>
      <c r="M26" s="140" t="s">
        <v>3878</v>
      </c>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3"/>
      <c r="BD26" s="472"/>
      <c r="BE26" s="140"/>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3"/>
    </row>
    <row r="27" spans="1:99" ht="45" customHeight="1" thickBot="1">
      <c r="A27" s="13318" t="s">
        <v>590</v>
      </c>
      <c r="B27" s="13321" t="s">
        <v>527</v>
      </c>
      <c r="C27" s="55" t="s">
        <v>4861</v>
      </c>
      <c r="D27" s="92" t="s">
        <v>591</v>
      </c>
      <c r="E27" s="87" t="s">
        <v>592</v>
      </c>
      <c r="F27" s="49" t="s">
        <v>542</v>
      </c>
      <c r="G27" s="50">
        <v>1</v>
      </c>
      <c r="H27" s="50">
        <v>1</v>
      </c>
      <c r="I27" s="93">
        <v>1</v>
      </c>
      <c r="J27" s="52" t="s">
        <v>530</v>
      </c>
      <c r="K27" s="52" t="s">
        <v>593</v>
      </c>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9"/>
      <c r="BD27" s="173"/>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9"/>
    </row>
    <row r="28" spans="1:99" ht="45" customHeight="1" thickBot="1">
      <c r="A28" s="13319"/>
      <c r="B28" s="13322"/>
      <c r="C28" s="55" t="s">
        <v>4862</v>
      </c>
      <c r="D28" s="45" t="s">
        <v>594</v>
      </c>
      <c r="E28" s="46" t="s">
        <v>595</v>
      </c>
      <c r="F28" s="42">
        <v>1</v>
      </c>
      <c r="G28" s="43">
        <v>1</v>
      </c>
      <c r="H28" s="43">
        <v>1</v>
      </c>
      <c r="I28" s="35">
        <v>0</v>
      </c>
      <c r="J28" s="34" t="s">
        <v>390</v>
      </c>
      <c r="K28" s="34" t="s">
        <v>596</v>
      </c>
      <c r="L28" s="193">
        <v>0</v>
      </c>
      <c r="M28" s="53" t="s">
        <v>3241</v>
      </c>
      <c r="N28" s="53" t="s">
        <v>3241</v>
      </c>
      <c r="O28" s="167" t="s">
        <v>3853</v>
      </c>
      <c r="P28" s="53">
        <v>0</v>
      </c>
      <c r="Q28" s="53">
        <v>0</v>
      </c>
      <c r="R28" s="53">
        <v>0</v>
      </c>
      <c r="S28" s="53">
        <v>0</v>
      </c>
      <c r="T28" s="53">
        <v>0</v>
      </c>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64"/>
      <c r="BD28" s="476"/>
      <c r="BE28" s="53"/>
      <c r="BF28" s="53"/>
      <c r="BG28" s="167"/>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64"/>
    </row>
    <row r="29" spans="1:99" ht="45" customHeight="1" thickBot="1">
      <c r="A29" s="13319"/>
      <c r="B29" s="13322"/>
      <c r="C29" s="55" t="s">
        <v>4863</v>
      </c>
      <c r="D29" s="45" t="s">
        <v>597</v>
      </c>
      <c r="E29" s="46" t="s">
        <v>598</v>
      </c>
      <c r="F29" s="42">
        <v>1</v>
      </c>
      <c r="G29" s="43">
        <v>1</v>
      </c>
      <c r="H29" s="43">
        <v>1</v>
      </c>
      <c r="I29" s="35">
        <v>1</v>
      </c>
      <c r="J29" s="34" t="s">
        <v>390</v>
      </c>
      <c r="K29" s="34" t="s">
        <v>599</v>
      </c>
      <c r="L29" s="166">
        <v>1</v>
      </c>
      <c r="M29" s="167" t="s">
        <v>3854</v>
      </c>
      <c r="N29" s="167" t="s">
        <v>3855</v>
      </c>
      <c r="O29" s="167" t="s">
        <v>3856</v>
      </c>
      <c r="P29" s="209">
        <v>144673000</v>
      </c>
      <c r="Q29" s="209">
        <v>47943000</v>
      </c>
      <c r="R29" s="209">
        <v>96729000</v>
      </c>
      <c r="S29" s="53">
        <v>0</v>
      </c>
      <c r="T29" s="210">
        <v>70003</v>
      </c>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64"/>
      <c r="BD29" s="477"/>
      <c r="BE29" s="167"/>
      <c r="BF29" s="167"/>
      <c r="BG29" s="167"/>
      <c r="BH29" s="209"/>
      <c r="BI29" s="209"/>
      <c r="BJ29" s="209"/>
      <c r="BK29" s="53"/>
      <c r="BL29" s="210"/>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64"/>
    </row>
    <row r="30" spans="1:99" ht="45" customHeight="1" thickBot="1">
      <c r="A30" s="13319"/>
      <c r="B30" s="13322"/>
      <c r="C30" s="55" t="s">
        <v>4864</v>
      </c>
      <c r="D30" s="45" t="s">
        <v>600</v>
      </c>
      <c r="E30" s="46" t="s">
        <v>601</v>
      </c>
      <c r="F30" s="42">
        <v>0</v>
      </c>
      <c r="G30" s="43">
        <v>0.2</v>
      </c>
      <c r="H30" s="43">
        <v>0.2</v>
      </c>
      <c r="I30" s="35">
        <v>0</v>
      </c>
      <c r="J30" s="34" t="s">
        <v>298</v>
      </c>
      <c r="K30" s="34" t="s">
        <v>512</v>
      </c>
      <c r="L30" s="226">
        <v>1</v>
      </c>
      <c r="M30" s="220" t="s">
        <v>4077</v>
      </c>
      <c r="N30" s="221"/>
      <c r="O30" s="222" t="s">
        <v>2951</v>
      </c>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64"/>
      <c r="BD30" s="469"/>
      <c r="BE30" s="220"/>
      <c r="BF30" s="221"/>
      <c r="BG30" s="222"/>
      <c r="BH30" s="221"/>
      <c r="BI30" s="221"/>
      <c r="BJ30" s="221"/>
      <c r="BK30" s="221"/>
      <c r="BL30" s="221"/>
      <c r="BM30" s="221"/>
      <c r="BN30" s="221"/>
      <c r="BO30" s="221"/>
      <c r="BP30" s="221"/>
      <c r="BQ30" s="221"/>
      <c r="BR30" s="221"/>
      <c r="BS30" s="221"/>
      <c r="BT30" s="221"/>
      <c r="BU30" s="221"/>
      <c r="BV30" s="221"/>
      <c r="BW30" s="221"/>
      <c r="BX30" s="221"/>
      <c r="BY30" s="221"/>
      <c r="BZ30" s="221"/>
      <c r="CA30" s="221"/>
      <c r="CB30" s="221"/>
      <c r="CC30" s="221"/>
      <c r="CD30" s="221"/>
      <c r="CE30" s="221"/>
      <c r="CF30" s="221"/>
      <c r="CG30" s="221"/>
      <c r="CH30" s="221"/>
      <c r="CI30" s="221"/>
      <c r="CJ30" s="221"/>
      <c r="CK30" s="221"/>
      <c r="CL30" s="221"/>
      <c r="CM30" s="221"/>
      <c r="CN30" s="221"/>
      <c r="CO30" s="221"/>
      <c r="CP30" s="221"/>
      <c r="CQ30" s="221"/>
      <c r="CR30" s="221"/>
      <c r="CS30" s="221"/>
      <c r="CT30" s="221"/>
      <c r="CU30" s="64"/>
    </row>
    <row r="31" spans="1:99" ht="45" customHeight="1" thickBot="1">
      <c r="A31" s="13319"/>
      <c r="B31" s="13322"/>
      <c r="C31" s="55" t="s">
        <v>4865</v>
      </c>
      <c r="D31" s="45" t="s">
        <v>602</v>
      </c>
      <c r="E31" s="46" t="s">
        <v>603</v>
      </c>
      <c r="F31" s="42">
        <v>1</v>
      </c>
      <c r="G31" s="43">
        <v>0.1</v>
      </c>
      <c r="H31" s="43">
        <v>0.1</v>
      </c>
      <c r="I31" s="35">
        <v>1</v>
      </c>
      <c r="J31" s="34" t="s">
        <v>530</v>
      </c>
      <c r="K31" s="34" t="s">
        <v>604</v>
      </c>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64"/>
      <c r="BD31" s="14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64"/>
    </row>
    <row r="32" spans="1:99" ht="45" customHeight="1" thickBot="1">
      <c r="A32" s="13319"/>
      <c r="B32" s="13322"/>
      <c r="C32" s="55" t="s">
        <v>4866</v>
      </c>
      <c r="D32" s="45" t="s">
        <v>605</v>
      </c>
      <c r="E32" s="46" t="s">
        <v>606</v>
      </c>
      <c r="F32" s="42">
        <v>1</v>
      </c>
      <c r="G32" s="43">
        <v>1</v>
      </c>
      <c r="H32" s="43">
        <v>1</v>
      </c>
      <c r="I32" s="35">
        <v>0</v>
      </c>
      <c r="J32" s="34" t="s">
        <v>548</v>
      </c>
      <c r="K32" s="34" t="s">
        <v>607</v>
      </c>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64"/>
      <c r="BD32" s="14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64"/>
    </row>
    <row r="33" spans="1:99" ht="45" customHeight="1" thickBot="1">
      <c r="A33" s="13319"/>
      <c r="B33" s="13322"/>
      <c r="C33" s="55" t="s">
        <v>4867</v>
      </c>
      <c r="D33" s="45" t="s">
        <v>608</v>
      </c>
      <c r="E33" s="46" t="s">
        <v>609</v>
      </c>
      <c r="F33" s="42">
        <v>1</v>
      </c>
      <c r="G33" s="43">
        <v>1</v>
      </c>
      <c r="H33" s="43">
        <v>1</v>
      </c>
      <c r="I33" s="35">
        <v>0</v>
      </c>
      <c r="J33" s="34" t="s">
        <v>390</v>
      </c>
      <c r="K33" s="34" t="s">
        <v>512</v>
      </c>
      <c r="L33" s="211">
        <v>0.7</v>
      </c>
      <c r="M33" s="167" t="s">
        <v>3857</v>
      </c>
      <c r="N33" s="167" t="s">
        <v>3858</v>
      </c>
      <c r="O33" s="167" t="s">
        <v>3859</v>
      </c>
      <c r="P33" s="209">
        <f>311194000+47522696</f>
        <v>358716696</v>
      </c>
      <c r="Q33" s="209">
        <f>311194000+47522696</f>
        <v>358716696</v>
      </c>
      <c r="R33" s="53">
        <v>0</v>
      </c>
      <c r="S33" s="53">
        <v>0</v>
      </c>
      <c r="T33" s="167" t="s">
        <v>3860</v>
      </c>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167"/>
      <c r="AV33" s="53"/>
      <c r="AW33" s="53"/>
      <c r="AX33" s="167"/>
      <c r="AY33" s="53"/>
      <c r="AZ33" s="53"/>
      <c r="BA33" s="53"/>
      <c r="BB33" s="53"/>
      <c r="BC33" s="64"/>
      <c r="BD33" s="477"/>
      <c r="BE33" s="167"/>
      <c r="BF33" s="167"/>
      <c r="BG33" s="167"/>
      <c r="BH33" s="209"/>
      <c r="BI33" s="209"/>
      <c r="BJ33" s="53"/>
      <c r="BK33" s="53"/>
      <c r="BL33" s="167"/>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167"/>
      <c r="CN33" s="53"/>
      <c r="CO33" s="53"/>
      <c r="CP33" s="167"/>
      <c r="CQ33" s="53"/>
      <c r="CR33" s="53"/>
      <c r="CS33" s="53"/>
      <c r="CT33" s="53"/>
      <c r="CU33" s="64"/>
    </row>
    <row r="34" spans="1:99" ht="45" customHeight="1" thickBot="1">
      <c r="A34" s="13319"/>
      <c r="B34" s="13322"/>
      <c r="C34" s="55" t="s">
        <v>4868</v>
      </c>
      <c r="D34" s="45" t="s">
        <v>610</v>
      </c>
      <c r="E34" s="46" t="s">
        <v>611</v>
      </c>
      <c r="F34" s="42">
        <v>1</v>
      </c>
      <c r="G34" s="43">
        <v>0.05</v>
      </c>
      <c r="H34" s="43">
        <v>0.05</v>
      </c>
      <c r="I34" s="35">
        <v>0</v>
      </c>
      <c r="J34" s="34" t="s">
        <v>512</v>
      </c>
      <c r="K34" s="34" t="s">
        <v>390</v>
      </c>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64"/>
      <c r="BD34" s="14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64"/>
    </row>
    <row r="35" spans="1:99" ht="45" customHeight="1" thickBot="1">
      <c r="A35" s="13320"/>
      <c r="B35" s="13323"/>
      <c r="C35" s="55" t="s">
        <v>4869</v>
      </c>
      <c r="D35" s="90" t="s">
        <v>612</v>
      </c>
      <c r="E35" s="91" t="s">
        <v>613</v>
      </c>
      <c r="F35" s="68">
        <v>1</v>
      </c>
      <c r="G35" s="69">
        <v>0.5</v>
      </c>
      <c r="H35" s="69">
        <v>0.5</v>
      </c>
      <c r="I35" s="70">
        <v>0.43</v>
      </c>
      <c r="J35" s="71" t="s">
        <v>614</v>
      </c>
      <c r="K35" s="71" t="s">
        <v>593</v>
      </c>
      <c r="L35" s="161">
        <v>0.51</v>
      </c>
      <c r="M35" s="200" t="s">
        <v>3782</v>
      </c>
      <c r="N35" s="201" t="s">
        <v>3783</v>
      </c>
      <c r="O35" s="202" t="s">
        <v>3784</v>
      </c>
      <c r="P35" s="207">
        <f>16876147383+382732661+276793093+742110951+8556549723</f>
        <v>26834333811</v>
      </c>
      <c r="Q35" s="207">
        <f>16348847731+382732661+276793093+742110951+8556549723</f>
        <v>26307034159</v>
      </c>
      <c r="R35" s="208">
        <v>527299650</v>
      </c>
      <c r="S35" s="203">
        <v>0</v>
      </c>
      <c r="T35" s="204">
        <v>403787</v>
      </c>
      <c r="U35" s="145">
        <v>190926</v>
      </c>
      <c r="V35" s="145">
        <v>212861</v>
      </c>
      <c r="W35" s="145">
        <v>403787</v>
      </c>
      <c r="X35" s="145">
        <v>0</v>
      </c>
      <c r="Y35" s="145">
        <v>39804</v>
      </c>
      <c r="Z35" s="145">
        <v>34584</v>
      </c>
      <c r="AA35" s="145">
        <v>29382</v>
      </c>
      <c r="AB35" s="145">
        <v>70640</v>
      </c>
      <c r="AC35" s="145">
        <v>96791</v>
      </c>
      <c r="AD35" s="145">
        <v>90761</v>
      </c>
      <c r="AE35" s="145">
        <v>41825</v>
      </c>
      <c r="AF35" s="145" t="s">
        <v>3241</v>
      </c>
      <c r="AG35" s="205" t="s">
        <v>3241</v>
      </c>
      <c r="AH35" s="205" t="s">
        <v>3241</v>
      </c>
      <c r="AI35" s="205" t="s">
        <v>3241</v>
      </c>
      <c r="AJ35" s="205" t="s">
        <v>3241</v>
      </c>
      <c r="AK35" s="205" t="s">
        <v>3241</v>
      </c>
      <c r="AL35" s="205" t="s">
        <v>3241</v>
      </c>
      <c r="AM35" s="205" t="s">
        <v>3241</v>
      </c>
      <c r="AN35" s="205" t="s">
        <v>3241</v>
      </c>
      <c r="AO35" s="205" t="s">
        <v>3241</v>
      </c>
      <c r="AP35" s="205" t="s">
        <v>3241</v>
      </c>
      <c r="AQ35" s="205" t="s">
        <v>3241</v>
      </c>
      <c r="AR35" s="205" t="s">
        <v>3241</v>
      </c>
      <c r="AS35" s="205" t="s">
        <v>3241</v>
      </c>
      <c r="AT35" s="205" t="s">
        <v>3241</v>
      </c>
      <c r="AU35" s="205" t="s">
        <v>3241</v>
      </c>
      <c r="AV35" s="205" t="s">
        <v>3241</v>
      </c>
      <c r="AW35" s="205" t="s">
        <v>3241</v>
      </c>
      <c r="AX35" s="205" t="s">
        <v>3241</v>
      </c>
      <c r="AY35" s="205" t="s">
        <v>3241</v>
      </c>
      <c r="AZ35" s="205" t="s">
        <v>3241</v>
      </c>
      <c r="BA35" s="205" t="s">
        <v>3241</v>
      </c>
      <c r="BB35" s="205" t="s">
        <v>3241</v>
      </c>
      <c r="BC35" s="206" t="s">
        <v>3241</v>
      </c>
      <c r="BD35" s="478"/>
      <c r="BE35" s="200"/>
      <c r="BF35" s="201"/>
      <c r="BG35" s="202"/>
      <c r="BH35" s="207"/>
      <c r="BI35" s="207"/>
      <c r="BJ35" s="208"/>
      <c r="BK35" s="203"/>
      <c r="BL35" s="204"/>
      <c r="BM35" s="145"/>
      <c r="BN35" s="145"/>
      <c r="BO35" s="145"/>
      <c r="BP35" s="145"/>
      <c r="BQ35" s="145"/>
      <c r="BR35" s="145"/>
      <c r="BS35" s="145"/>
      <c r="BT35" s="145"/>
      <c r="BU35" s="145"/>
      <c r="BV35" s="145"/>
      <c r="BW35" s="145"/>
      <c r="BX35" s="14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6"/>
    </row>
    <row r="36" spans="1:99" ht="45" customHeight="1" thickBot="1">
      <c r="A36" s="13318" t="s">
        <v>615</v>
      </c>
      <c r="B36" s="13321" t="s">
        <v>616</v>
      </c>
      <c r="C36" s="55" t="s">
        <v>4870</v>
      </c>
      <c r="D36" s="48" t="s">
        <v>617</v>
      </c>
      <c r="E36" s="87" t="s">
        <v>618</v>
      </c>
      <c r="F36" s="49">
        <v>1</v>
      </c>
      <c r="G36" s="50">
        <v>1</v>
      </c>
      <c r="H36" s="50">
        <v>1</v>
      </c>
      <c r="I36" s="51">
        <v>1</v>
      </c>
      <c r="J36" s="52" t="s">
        <v>298</v>
      </c>
      <c r="K36" s="52" t="s">
        <v>619</v>
      </c>
      <c r="L36" s="226">
        <v>1</v>
      </c>
      <c r="M36" s="225" t="s">
        <v>4078</v>
      </c>
      <c r="N36" s="88"/>
      <c r="O36" s="222" t="s">
        <v>2951</v>
      </c>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9"/>
      <c r="BD36" s="469"/>
      <c r="BE36" s="225"/>
      <c r="BF36" s="88"/>
      <c r="BG36" s="222"/>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9"/>
    </row>
    <row r="37" spans="1:99" ht="45" customHeight="1" thickBot="1">
      <c r="A37" s="13319"/>
      <c r="B37" s="13322"/>
      <c r="C37" s="55" t="s">
        <v>4871</v>
      </c>
      <c r="D37" s="29" t="s">
        <v>620</v>
      </c>
      <c r="E37" s="29" t="s">
        <v>621</v>
      </c>
      <c r="F37" s="42">
        <v>1</v>
      </c>
      <c r="G37" s="43">
        <v>1</v>
      </c>
      <c r="H37" s="43">
        <v>1</v>
      </c>
      <c r="I37" s="35">
        <v>1</v>
      </c>
      <c r="J37" s="34" t="s">
        <v>298</v>
      </c>
      <c r="K37" s="34" t="s">
        <v>619</v>
      </c>
      <c r="L37" s="226">
        <v>1</v>
      </c>
      <c r="M37" s="220" t="s">
        <v>4079</v>
      </c>
      <c r="N37" s="221" t="s">
        <v>4080</v>
      </c>
      <c r="O37" s="222" t="s">
        <v>2951</v>
      </c>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64"/>
      <c r="BD37" s="469"/>
      <c r="BE37" s="220"/>
      <c r="BF37" s="221"/>
      <c r="BG37" s="222"/>
      <c r="BH37" s="221"/>
      <c r="BI37" s="221"/>
      <c r="BJ37" s="221"/>
      <c r="BK37" s="221"/>
      <c r="BL37" s="221"/>
      <c r="BM37" s="221"/>
      <c r="BN37" s="221"/>
      <c r="BO37" s="221"/>
      <c r="BP37" s="221"/>
      <c r="BQ37" s="221"/>
      <c r="BR37" s="221"/>
      <c r="BS37" s="221"/>
      <c r="BT37" s="221"/>
      <c r="BU37" s="221"/>
      <c r="BV37" s="221"/>
      <c r="BW37" s="221"/>
      <c r="BX37" s="221"/>
      <c r="BY37" s="221"/>
      <c r="BZ37" s="221"/>
      <c r="CA37" s="221"/>
      <c r="CB37" s="221"/>
      <c r="CC37" s="221"/>
      <c r="CD37" s="221"/>
      <c r="CE37" s="221"/>
      <c r="CF37" s="221"/>
      <c r="CG37" s="221"/>
      <c r="CH37" s="221"/>
      <c r="CI37" s="221"/>
      <c r="CJ37" s="221"/>
      <c r="CK37" s="221"/>
      <c r="CL37" s="221"/>
      <c r="CM37" s="221"/>
      <c r="CN37" s="221"/>
      <c r="CO37" s="221"/>
      <c r="CP37" s="221"/>
      <c r="CQ37" s="221"/>
      <c r="CR37" s="221"/>
      <c r="CS37" s="221"/>
      <c r="CT37" s="221"/>
      <c r="CU37" s="64"/>
    </row>
    <row r="38" spans="1:99" ht="45" customHeight="1" thickBot="1">
      <c r="A38" s="13319"/>
      <c r="B38" s="13322"/>
      <c r="C38" s="55" t="s">
        <v>4872</v>
      </c>
      <c r="D38" s="29" t="s">
        <v>622</v>
      </c>
      <c r="E38" s="29" t="s">
        <v>623</v>
      </c>
      <c r="F38" s="42">
        <v>1</v>
      </c>
      <c r="G38" s="43">
        <v>1</v>
      </c>
      <c r="H38" s="43">
        <v>1</v>
      </c>
      <c r="I38" s="35">
        <v>1</v>
      </c>
      <c r="J38" s="34" t="s">
        <v>298</v>
      </c>
      <c r="K38" s="34" t="s">
        <v>619</v>
      </c>
      <c r="L38" s="226">
        <v>1</v>
      </c>
      <c r="M38" s="220" t="s">
        <v>4081</v>
      </c>
      <c r="N38" s="221" t="s">
        <v>4080</v>
      </c>
      <c r="O38" s="222" t="s">
        <v>2951</v>
      </c>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64"/>
      <c r="BD38" s="469"/>
      <c r="BE38" s="220"/>
      <c r="BF38" s="221"/>
      <c r="BG38" s="222"/>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c r="CQ38" s="221"/>
      <c r="CR38" s="221"/>
      <c r="CS38" s="221"/>
      <c r="CT38" s="221"/>
      <c r="CU38" s="64"/>
    </row>
    <row r="39" spans="1:99" ht="45" customHeight="1" thickBot="1">
      <c r="A39" s="13319"/>
      <c r="B39" s="13322"/>
      <c r="C39" s="55" t="s">
        <v>4873</v>
      </c>
      <c r="D39" s="29" t="s">
        <v>624</v>
      </c>
      <c r="E39" s="29" t="s">
        <v>625</v>
      </c>
      <c r="F39" s="42">
        <v>1</v>
      </c>
      <c r="G39" s="43">
        <v>1</v>
      </c>
      <c r="H39" s="43">
        <v>1</v>
      </c>
      <c r="I39" s="35">
        <v>1</v>
      </c>
      <c r="J39" s="34" t="s">
        <v>298</v>
      </c>
      <c r="K39" s="34" t="s">
        <v>619</v>
      </c>
      <c r="L39" s="226">
        <v>1</v>
      </c>
      <c r="M39" s="220" t="s">
        <v>4082</v>
      </c>
      <c r="N39" s="221" t="s">
        <v>4080</v>
      </c>
      <c r="O39" s="222" t="s">
        <v>2951</v>
      </c>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64"/>
      <c r="BD39" s="469"/>
      <c r="BE39" s="220"/>
      <c r="BF39" s="221"/>
      <c r="BG39" s="222"/>
      <c r="BH39" s="221"/>
      <c r="BI39" s="221"/>
      <c r="BJ39" s="221"/>
      <c r="BK39" s="221"/>
      <c r="BL39" s="221"/>
      <c r="BM39" s="221"/>
      <c r="BN39" s="221"/>
      <c r="BO39" s="221"/>
      <c r="BP39" s="221"/>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1"/>
      <c r="CO39" s="221"/>
      <c r="CP39" s="221"/>
      <c r="CQ39" s="221"/>
      <c r="CR39" s="221"/>
      <c r="CS39" s="221"/>
      <c r="CT39" s="221"/>
      <c r="CU39" s="64"/>
    </row>
    <row r="40" spans="1:99" ht="45" customHeight="1" thickBot="1">
      <c r="A40" s="13319"/>
      <c r="B40" s="13322" t="s">
        <v>570</v>
      </c>
      <c r="C40" s="55" t="s">
        <v>4874</v>
      </c>
      <c r="D40" s="29" t="s">
        <v>626</v>
      </c>
      <c r="E40" s="29" t="s">
        <v>627</v>
      </c>
      <c r="F40" s="42">
        <v>1</v>
      </c>
      <c r="G40" s="43">
        <v>1</v>
      </c>
      <c r="H40" s="43">
        <v>1</v>
      </c>
      <c r="I40" s="35">
        <v>1</v>
      </c>
      <c r="J40" s="34" t="s">
        <v>298</v>
      </c>
      <c r="K40" s="34" t="s">
        <v>628</v>
      </c>
      <c r="L40" s="226">
        <v>1</v>
      </c>
      <c r="M40" s="220" t="s">
        <v>4083</v>
      </c>
      <c r="N40" s="221"/>
      <c r="O40" s="222" t="s">
        <v>2951</v>
      </c>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64"/>
      <c r="BD40" s="469"/>
      <c r="BE40" s="220"/>
      <c r="BF40" s="221"/>
      <c r="BG40" s="222"/>
      <c r="BH40" s="221"/>
      <c r="BI40" s="221"/>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1"/>
      <c r="CO40" s="221"/>
      <c r="CP40" s="221"/>
      <c r="CQ40" s="221"/>
      <c r="CR40" s="221"/>
      <c r="CS40" s="221"/>
      <c r="CT40" s="221"/>
      <c r="CU40" s="64"/>
    </row>
    <row r="41" spans="1:99" ht="45" customHeight="1" thickBot="1">
      <c r="A41" s="13319"/>
      <c r="B41" s="13322"/>
      <c r="C41" s="55" t="s">
        <v>4875</v>
      </c>
      <c r="D41" s="29" t="s">
        <v>629</v>
      </c>
      <c r="E41" s="29" t="s">
        <v>630</v>
      </c>
      <c r="F41" s="42">
        <v>1</v>
      </c>
      <c r="G41" s="43">
        <v>1</v>
      </c>
      <c r="H41" s="43">
        <v>1</v>
      </c>
      <c r="I41" s="38">
        <v>1</v>
      </c>
      <c r="J41" s="34" t="s">
        <v>144</v>
      </c>
      <c r="K41" s="34" t="s">
        <v>631</v>
      </c>
      <c r="L41" s="162">
        <v>1</v>
      </c>
      <c r="M41" s="141" t="s">
        <v>3048</v>
      </c>
      <c r="N41" s="142" t="s">
        <v>3049</v>
      </c>
      <c r="O41" s="147"/>
      <c r="P41" s="148">
        <f>Q41+R41+S41</f>
        <v>452009278.98131311</v>
      </c>
      <c r="Q41" s="149">
        <v>246258127.9313131</v>
      </c>
      <c r="R41" s="149">
        <v>205751151.05000001</v>
      </c>
      <c r="S41" s="149">
        <v>0</v>
      </c>
      <c r="T41" s="145">
        <f>3802+8944</f>
        <v>12746</v>
      </c>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3"/>
      <c r="AU41" s="143"/>
      <c r="AV41" s="143"/>
      <c r="AW41" s="143"/>
      <c r="AX41" s="143"/>
      <c r="AY41" s="143"/>
      <c r="AZ41" s="143"/>
      <c r="BA41" s="143"/>
      <c r="BB41" s="143"/>
      <c r="BC41" s="150"/>
      <c r="BD41" s="470"/>
      <c r="BE41" s="141"/>
      <c r="BF41" s="142"/>
      <c r="BG41" s="147"/>
      <c r="BH41" s="148"/>
      <c r="BI41" s="149"/>
      <c r="BJ41" s="149"/>
      <c r="BK41" s="149"/>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3"/>
      <c r="CM41" s="143"/>
      <c r="CN41" s="143"/>
      <c r="CO41" s="143"/>
      <c r="CP41" s="143"/>
      <c r="CQ41" s="143"/>
      <c r="CR41" s="143"/>
      <c r="CS41" s="143"/>
      <c r="CT41" s="143"/>
      <c r="CU41" s="150"/>
    </row>
    <row r="42" spans="1:99" ht="45" customHeight="1" thickBot="1">
      <c r="A42" s="13319"/>
      <c r="B42" s="13322"/>
      <c r="C42" s="55" t="s">
        <v>4876</v>
      </c>
      <c r="D42" s="29" t="s">
        <v>632</v>
      </c>
      <c r="E42" s="29" t="s">
        <v>633</v>
      </c>
      <c r="F42" s="42">
        <v>1</v>
      </c>
      <c r="G42" s="43">
        <v>0.7</v>
      </c>
      <c r="H42" s="43">
        <v>0.7</v>
      </c>
      <c r="I42" s="35">
        <v>0</v>
      </c>
      <c r="J42" s="34" t="s">
        <v>144</v>
      </c>
      <c r="K42" s="34" t="s">
        <v>634</v>
      </c>
      <c r="L42" s="146">
        <v>1</v>
      </c>
      <c r="M42" s="151" t="s">
        <v>3050</v>
      </c>
      <c r="N42" s="142" t="s">
        <v>3051</v>
      </c>
      <c r="O42" s="147"/>
      <c r="P42" s="152">
        <f>Q42+R42+S42</f>
        <v>485095932</v>
      </c>
      <c r="Q42" s="149">
        <v>233118548.00000003</v>
      </c>
      <c r="R42" s="149">
        <v>251977384</v>
      </c>
      <c r="S42" s="149">
        <v>0</v>
      </c>
      <c r="T42" s="145">
        <v>696</v>
      </c>
      <c r="U42" s="145">
        <v>570</v>
      </c>
      <c r="V42" s="145">
        <v>126</v>
      </c>
      <c r="W42" s="145">
        <v>604</v>
      </c>
      <c r="X42" s="145">
        <v>92</v>
      </c>
      <c r="Y42" s="145"/>
      <c r="Z42" s="145"/>
      <c r="AA42" s="145">
        <v>40</v>
      </c>
      <c r="AB42" s="145">
        <v>197</v>
      </c>
      <c r="AC42" s="145">
        <v>210</v>
      </c>
      <c r="AD42" s="145">
        <v>206</v>
      </c>
      <c r="AE42" s="145">
        <v>43</v>
      </c>
      <c r="AF42" s="145"/>
      <c r="AG42" s="145"/>
      <c r="AH42" s="145"/>
      <c r="AI42" s="145"/>
      <c r="AJ42" s="145"/>
      <c r="AK42" s="145"/>
      <c r="AL42" s="145" t="s">
        <v>2943</v>
      </c>
      <c r="AM42" s="145"/>
      <c r="AN42" s="145" t="s">
        <v>2943</v>
      </c>
      <c r="AO42" s="145" t="s">
        <v>2943</v>
      </c>
      <c r="AP42" s="145" t="s">
        <v>2943</v>
      </c>
      <c r="AQ42" s="145"/>
      <c r="AR42" s="145"/>
      <c r="AS42" s="145"/>
      <c r="AT42" s="145"/>
      <c r="AU42" s="145"/>
      <c r="AV42" s="145"/>
      <c r="AW42" s="145"/>
      <c r="AX42" s="145"/>
      <c r="AY42" s="145"/>
      <c r="AZ42" s="145"/>
      <c r="BA42" s="145"/>
      <c r="BB42" s="145"/>
      <c r="BC42" s="153"/>
      <c r="BD42" s="479"/>
      <c r="BE42" s="151"/>
      <c r="BF42" s="142"/>
      <c r="BG42" s="147"/>
      <c r="BH42" s="152"/>
      <c r="BI42" s="149"/>
      <c r="BJ42" s="149"/>
      <c r="BK42" s="149"/>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53"/>
    </row>
    <row r="43" spans="1:99" ht="45" customHeight="1" thickBot="1">
      <c r="A43" s="13319"/>
      <c r="B43" s="13322"/>
      <c r="C43" s="55" t="s">
        <v>4877</v>
      </c>
      <c r="D43" s="29" t="s">
        <v>635</v>
      </c>
      <c r="E43" s="29" t="s">
        <v>636</v>
      </c>
      <c r="F43" s="42">
        <v>1</v>
      </c>
      <c r="G43" s="43">
        <v>1</v>
      </c>
      <c r="H43" s="43">
        <v>1</v>
      </c>
      <c r="I43" s="35">
        <v>0</v>
      </c>
      <c r="J43" s="34" t="s">
        <v>637</v>
      </c>
      <c r="K43" s="34" t="s">
        <v>545</v>
      </c>
      <c r="L43" s="166">
        <v>0</v>
      </c>
      <c r="M43" s="53"/>
      <c r="N43" s="164" t="s">
        <v>3234</v>
      </c>
      <c r="O43" s="165" t="s">
        <v>3235</v>
      </c>
      <c r="P43" s="164">
        <v>0</v>
      </c>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64"/>
      <c r="BD43" s="477"/>
      <c r="BE43" s="53"/>
      <c r="BF43" s="164"/>
      <c r="BG43" s="165"/>
      <c r="BH43" s="164"/>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64"/>
    </row>
    <row r="44" spans="1:99" ht="45" customHeight="1" thickBot="1">
      <c r="A44" s="13319"/>
      <c r="B44" s="13322"/>
      <c r="C44" s="55" t="s">
        <v>4878</v>
      </c>
      <c r="D44" s="29" t="s">
        <v>638</v>
      </c>
      <c r="E44" s="29" t="s">
        <v>639</v>
      </c>
      <c r="F44" s="42">
        <v>1</v>
      </c>
      <c r="G44" s="43">
        <v>1</v>
      </c>
      <c r="H44" s="43">
        <v>1</v>
      </c>
      <c r="I44" s="35">
        <v>1</v>
      </c>
      <c r="J44" s="34" t="s">
        <v>298</v>
      </c>
      <c r="K44" s="34" t="s">
        <v>545</v>
      </c>
      <c r="L44" s="226">
        <v>1</v>
      </c>
      <c r="M44" s="220" t="s">
        <v>4084</v>
      </c>
      <c r="N44" s="221"/>
      <c r="O44" s="222" t="s">
        <v>2951</v>
      </c>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64"/>
      <c r="BD44" s="469"/>
      <c r="BE44" s="220"/>
      <c r="BF44" s="221"/>
      <c r="BG44" s="222"/>
      <c r="BH44" s="221"/>
      <c r="BI44" s="221"/>
      <c r="BJ44" s="221"/>
      <c r="BK44" s="221"/>
      <c r="BL44" s="221"/>
      <c r="BM44" s="221"/>
      <c r="BN44" s="221"/>
      <c r="BO44" s="221"/>
      <c r="BP44" s="221"/>
      <c r="BQ44" s="221"/>
      <c r="BR44" s="221"/>
      <c r="BS44" s="221"/>
      <c r="BT44" s="221"/>
      <c r="BU44" s="221"/>
      <c r="BV44" s="221"/>
      <c r="BW44" s="221"/>
      <c r="BX44" s="221"/>
      <c r="BY44" s="221"/>
      <c r="BZ44" s="221"/>
      <c r="CA44" s="221"/>
      <c r="CB44" s="221"/>
      <c r="CC44" s="221"/>
      <c r="CD44" s="221"/>
      <c r="CE44" s="221"/>
      <c r="CF44" s="221"/>
      <c r="CG44" s="221"/>
      <c r="CH44" s="221"/>
      <c r="CI44" s="221"/>
      <c r="CJ44" s="221"/>
      <c r="CK44" s="221"/>
      <c r="CL44" s="221"/>
      <c r="CM44" s="221"/>
      <c r="CN44" s="221"/>
      <c r="CO44" s="221"/>
      <c r="CP44" s="221"/>
      <c r="CQ44" s="221"/>
      <c r="CR44" s="221"/>
      <c r="CS44" s="221"/>
      <c r="CT44" s="221"/>
      <c r="CU44" s="64"/>
    </row>
    <row r="45" spans="1:99" ht="45" customHeight="1" thickBot="1">
      <c r="A45" s="13320"/>
      <c r="B45" s="13323"/>
      <c r="C45" s="55" t="s">
        <v>4879</v>
      </c>
      <c r="D45" s="67" t="s">
        <v>640</v>
      </c>
      <c r="E45" s="67" t="s">
        <v>641</v>
      </c>
      <c r="F45" s="68">
        <v>1</v>
      </c>
      <c r="G45" s="69">
        <v>1</v>
      </c>
      <c r="H45" s="69">
        <v>1</v>
      </c>
      <c r="I45" s="70">
        <v>1</v>
      </c>
      <c r="J45" s="71" t="s">
        <v>144</v>
      </c>
      <c r="K45" s="71" t="s">
        <v>298</v>
      </c>
      <c r="L45" s="161">
        <f>5254/5254*100%</f>
        <v>1</v>
      </c>
      <c r="M45" s="154" t="s">
        <v>3052</v>
      </c>
      <c r="N45" s="154" t="s">
        <v>3053</v>
      </c>
      <c r="O45" s="147"/>
      <c r="P45" s="155">
        <f>Q45+R45+S45</f>
        <v>203837999</v>
      </c>
      <c r="Q45" s="155">
        <v>170991999</v>
      </c>
      <c r="R45" s="155">
        <v>32846000</v>
      </c>
      <c r="S45" s="155">
        <v>0</v>
      </c>
      <c r="T45" s="156">
        <v>5254</v>
      </c>
      <c r="U45" s="157">
        <v>2499</v>
      </c>
      <c r="V45" s="157">
        <v>2755</v>
      </c>
      <c r="W45" s="156">
        <v>4962</v>
      </c>
      <c r="X45" s="156">
        <v>292</v>
      </c>
      <c r="Y45" s="157">
        <v>229</v>
      </c>
      <c r="Z45" s="157">
        <v>165</v>
      </c>
      <c r="AA45" s="157">
        <v>1841</v>
      </c>
      <c r="AB45" s="157">
        <v>1484</v>
      </c>
      <c r="AC45" s="157">
        <v>1062</v>
      </c>
      <c r="AD45" s="157">
        <v>390</v>
      </c>
      <c r="AE45" s="157">
        <v>83</v>
      </c>
      <c r="AF45" s="157"/>
      <c r="AG45" s="157"/>
      <c r="AH45" s="157"/>
      <c r="AI45" s="157"/>
      <c r="AJ45" s="157"/>
      <c r="AK45" s="157"/>
      <c r="AL45" s="157"/>
      <c r="AM45" s="158">
        <v>2352</v>
      </c>
      <c r="AN45" s="157"/>
      <c r="AO45" s="157"/>
      <c r="AP45" s="157"/>
      <c r="AQ45" s="157"/>
      <c r="AR45" s="157"/>
      <c r="AS45" s="157"/>
      <c r="AT45" s="157"/>
      <c r="AU45" s="157"/>
      <c r="AV45" s="157"/>
      <c r="AW45" s="157"/>
      <c r="AX45" s="157"/>
      <c r="AY45" s="159"/>
      <c r="AZ45" s="159"/>
      <c r="BA45" s="159"/>
      <c r="BB45" s="159"/>
      <c r="BC45" s="160"/>
      <c r="BD45" s="478"/>
      <c r="BE45" s="154"/>
      <c r="BF45" s="154"/>
      <c r="BG45" s="147"/>
      <c r="BH45" s="155"/>
      <c r="BI45" s="155"/>
      <c r="BJ45" s="155"/>
      <c r="BK45" s="155"/>
      <c r="BL45" s="156"/>
      <c r="BM45" s="157"/>
      <c r="BN45" s="157"/>
      <c r="BO45" s="156"/>
      <c r="BP45" s="156"/>
      <c r="BQ45" s="157"/>
      <c r="BR45" s="157"/>
      <c r="BS45" s="157"/>
      <c r="BT45" s="157"/>
      <c r="BU45" s="157"/>
      <c r="BV45" s="157"/>
      <c r="BW45" s="157"/>
      <c r="BX45" s="157"/>
      <c r="BY45" s="157"/>
      <c r="BZ45" s="157"/>
      <c r="CA45" s="157"/>
      <c r="CB45" s="157"/>
      <c r="CC45" s="157"/>
      <c r="CD45" s="157"/>
      <c r="CE45" s="158"/>
      <c r="CF45" s="157"/>
      <c r="CG45" s="157"/>
      <c r="CH45" s="157"/>
      <c r="CI45" s="157"/>
      <c r="CJ45" s="157"/>
      <c r="CK45" s="157"/>
      <c r="CL45" s="157"/>
      <c r="CM45" s="157"/>
      <c r="CN45" s="157"/>
      <c r="CO45" s="157"/>
      <c r="CP45" s="157"/>
      <c r="CQ45" s="159"/>
      <c r="CR45" s="159"/>
      <c r="CS45" s="159"/>
      <c r="CT45" s="159"/>
      <c r="CU45" s="160"/>
    </row>
    <row r="46" spans="1:99">
      <c r="G46" s="2"/>
      <c r="H46" s="2"/>
      <c r="I46" s="2"/>
    </row>
    <row r="47" spans="1:99">
      <c r="G47" s="2"/>
      <c r="H47" s="2"/>
      <c r="I47" s="2"/>
    </row>
    <row r="48" spans="1:99">
      <c r="G48" s="2"/>
      <c r="H48" s="2"/>
      <c r="I48" s="2"/>
    </row>
    <row r="49" spans="7:9">
      <c r="G49" s="2"/>
      <c r="H49" s="2"/>
      <c r="I49" s="2"/>
    </row>
    <row r="50" spans="7:9">
      <c r="G50" s="2"/>
      <c r="H50" s="2"/>
      <c r="I50" s="2"/>
    </row>
    <row r="51" spans="7:9">
      <c r="G51" s="2"/>
      <c r="H51" s="2"/>
      <c r="I51" s="2"/>
    </row>
    <row r="52" spans="7:9">
      <c r="G52" s="2"/>
      <c r="H52" s="2"/>
      <c r="I52" s="2"/>
    </row>
    <row r="53" spans="7:9">
      <c r="G53" s="2"/>
      <c r="H53" s="2"/>
      <c r="I53" s="2"/>
    </row>
    <row r="54" spans="7:9">
      <c r="G54" s="2"/>
      <c r="H54" s="2"/>
      <c r="I54" s="2"/>
    </row>
    <row r="55" spans="7:9">
      <c r="G55" s="2"/>
      <c r="H55" s="2"/>
      <c r="I55" s="2"/>
    </row>
    <row r="56" spans="7:9">
      <c r="G56" s="2"/>
      <c r="H56" s="2"/>
      <c r="I56" s="2"/>
    </row>
    <row r="57" spans="7:9">
      <c r="G57" s="2"/>
      <c r="H57" s="2"/>
      <c r="I57" s="2"/>
    </row>
    <row r="58" spans="7:9">
      <c r="G58" s="2"/>
      <c r="H58" s="2"/>
      <c r="I58" s="2"/>
    </row>
    <row r="59" spans="7:9">
      <c r="I59" s="2"/>
    </row>
    <row r="60" spans="7:9">
      <c r="I60" s="2"/>
    </row>
    <row r="61" spans="7:9">
      <c r="I61" s="2"/>
    </row>
    <row r="62" spans="7:9">
      <c r="I62" s="2"/>
    </row>
    <row r="63" spans="7:9">
      <c r="I63" s="2"/>
    </row>
    <row r="64" spans="7:9">
      <c r="I64" s="2"/>
    </row>
    <row r="65" spans="9:9">
      <c r="I65" s="2"/>
    </row>
    <row r="66" spans="9:9">
      <c r="I66" s="2"/>
    </row>
    <row r="67" spans="9:9">
      <c r="I67" s="2"/>
    </row>
    <row r="68" spans="9:9">
      <c r="I68" s="2"/>
    </row>
    <row r="69" spans="9:9">
      <c r="I69" s="2"/>
    </row>
    <row r="70" spans="9:9">
      <c r="I70" s="2"/>
    </row>
    <row r="71" spans="9:9">
      <c r="I71" s="2"/>
    </row>
    <row r="72" spans="9:9">
      <c r="I72" s="2"/>
    </row>
    <row r="73" spans="9:9">
      <c r="I73" s="2"/>
    </row>
    <row r="74" spans="9:9">
      <c r="I74" s="2"/>
    </row>
    <row r="75" spans="9:9">
      <c r="I75" s="2"/>
    </row>
    <row r="76" spans="9:9">
      <c r="I76" s="2"/>
    </row>
    <row r="77" spans="9:9">
      <c r="I77" s="2"/>
    </row>
    <row r="78" spans="9:9">
      <c r="I78" s="2"/>
    </row>
    <row r="79" spans="9:9">
      <c r="I79" s="2"/>
    </row>
    <row r="80" spans="9:9">
      <c r="I80" s="2"/>
    </row>
    <row r="81" spans="9:9">
      <c r="I81" s="2"/>
    </row>
    <row r="82" spans="9:9">
      <c r="I82" s="2"/>
    </row>
    <row r="83" spans="9:9">
      <c r="I83" s="2"/>
    </row>
    <row r="84" spans="9:9">
      <c r="I84" s="2"/>
    </row>
    <row r="85" spans="9:9">
      <c r="I85" s="2"/>
    </row>
    <row r="86" spans="9:9">
      <c r="I86" s="2"/>
    </row>
    <row r="87" spans="9:9">
      <c r="I87" s="2"/>
    </row>
  </sheetData>
  <autoFilter ref="A4:NS45" xr:uid="{00000000-0009-0000-0000-000002000000}"/>
  <mergeCells count="73">
    <mergeCell ref="A2:K2"/>
    <mergeCell ref="A5:A13"/>
    <mergeCell ref="B7:B10"/>
    <mergeCell ref="B11:B12"/>
    <mergeCell ref="I3:I4"/>
    <mergeCell ref="A3:A4"/>
    <mergeCell ref="B3:B4"/>
    <mergeCell ref="D3:D4"/>
    <mergeCell ref="E3:E4"/>
    <mergeCell ref="F3:F4"/>
    <mergeCell ref="J3:J4"/>
    <mergeCell ref="K3:K4"/>
    <mergeCell ref="G3:G4"/>
    <mergeCell ref="C3:C4"/>
    <mergeCell ref="H3:H4"/>
    <mergeCell ref="A36:A45"/>
    <mergeCell ref="B36:B39"/>
    <mergeCell ref="B40:B45"/>
    <mergeCell ref="A14:A17"/>
    <mergeCell ref="B14:B17"/>
    <mergeCell ref="A18:A26"/>
    <mergeCell ref="B18:B26"/>
    <mergeCell ref="A27:A35"/>
    <mergeCell ref="B27:B35"/>
    <mergeCell ref="AT2:AX2"/>
    <mergeCell ref="AY2:BC2"/>
    <mergeCell ref="P3:P4"/>
    <mergeCell ref="Q3:Q4"/>
    <mergeCell ref="R3:R4"/>
    <mergeCell ref="S3:S4"/>
    <mergeCell ref="T3:T4"/>
    <mergeCell ref="U3:V3"/>
    <mergeCell ref="W3:X3"/>
    <mergeCell ref="A1:K1"/>
    <mergeCell ref="AV3:AV4"/>
    <mergeCell ref="AY3:AY4"/>
    <mergeCell ref="AZ3:BB3"/>
    <mergeCell ref="Y3:AE3"/>
    <mergeCell ref="AF3:AM3"/>
    <mergeCell ref="AN3:AS3"/>
    <mergeCell ref="AT3:AT4"/>
    <mergeCell ref="AU3:AU4"/>
    <mergeCell ref="L1:BC1"/>
    <mergeCell ref="L2:L4"/>
    <mergeCell ref="M2:M4"/>
    <mergeCell ref="N2:N4"/>
    <mergeCell ref="O2:O4"/>
    <mergeCell ref="P2:S2"/>
    <mergeCell ref="T2:AS2"/>
    <mergeCell ref="BD1:CU1"/>
    <mergeCell ref="BD2:BD4"/>
    <mergeCell ref="BE2:BE4"/>
    <mergeCell ref="BF2:BF4"/>
    <mergeCell ref="BG2:BG4"/>
    <mergeCell ref="BH2:BK2"/>
    <mergeCell ref="BL2:CK2"/>
    <mergeCell ref="CL2:CP2"/>
    <mergeCell ref="CQ2:CU2"/>
    <mergeCell ref="BH3:BH4"/>
    <mergeCell ref="BI3:BI4"/>
    <mergeCell ref="BJ3:BJ4"/>
    <mergeCell ref="BK3:BK4"/>
    <mergeCell ref="BL3:BL4"/>
    <mergeCell ref="BM3:BN3"/>
    <mergeCell ref="BO3:BP3"/>
    <mergeCell ref="CN3:CN4"/>
    <mergeCell ref="CQ3:CQ4"/>
    <mergeCell ref="CR3:CT3"/>
    <mergeCell ref="BQ3:BW3"/>
    <mergeCell ref="BX3:CE3"/>
    <mergeCell ref="CF3:CK3"/>
    <mergeCell ref="CL3:CL4"/>
    <mergeCell ref="CM3:CM4"/>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2" tint="-0.89999084444715716"/>
  </sheetPr>
  <dimension ref="A1:AU33"/>
  <sheetViews>
    <sheetView showGridLines="0" topLeftCell="B2" zoomScale="70" zoomScaleNormal="70" workbookViewId="0">
      <pane xSplit="3" ySplit="2" topLeftCell="E4" activePane="bottomRight" state="frozen"/>
      <selection activeCell="B2" sqref="B2"/>
      <selection pane="topRight" activeCell="E2" sqref="E2"/>
      <selection pane="bottomLeft" activeCell="B4" sqref="B4"/>
      <selection pane="bottomRight" activeCell="A10" sqref="A10"/>
    </sheetView>
  </sheetViews>
  <sheetFormatPr baseColWidth="10" defaultColWidth="11.42578125" defaultRowHeight="15"/>
  <cols>
    <col min="1" max="1" width="4.140625" style="268" customWidth="1"/>
    <col min="2" max="2" width="38.85546875" style="2" customWidth="1"/>
    <col min="3" max="3" width="17.5703125" style="2" customWidth="1"/>
    <col min="4" max="4" width="21.140625" style="2" customWidth="1"/>
    <col min="5" max="5" width="17.5703125" style="2" customWidth="1"/>
    <col min="6" max="6" width="21.140625" style="2" customWidth="1"/>
    <col min="7" max="8" width="17.5703125" style="2" customWidth="1"/>
    <col min="9" max="9" width="21.28515625" style="2" customWidth="1"/>
    <col min="10" max="10" width="17.5703125" style="2" customWidth="1"/>
    <col min="11" max="11" width="21.140625" style="2" customWidth="1"/>
    <col min="12" max="13" width="17.5703125" style="2" customWidth="1"/>
    <col min="14" max="14" width="21.140625" style="2" customWidth="1"/>
    <col min="15" max="15" width="17.5703125" style="2" customWidth="1"/>
    <col min="16" max="16" width="21.140625" style="2" customWidth="1"/>
    <col min="17" max="17" width="17.5703125" style="2" customWidth="1"/>
    <col min="18" max="18" width="21.140625" style="2" customWidth="1"/>
    <col min="19" max="19" width="17.5703125" style="2" customWidth="1"/>
    <col min="20" max="20" width="21.140625" style="2" customWidth="1"/>
    <col min="21" max="21" width="17.5703125" style="2" customWidth="1"/>
    <col min="22" max="22" width="21.140625" style="2" customWidth="1"/>
    <col min="23" max="23" width="17.5703125" style="2" customWidth="1"/>
    <col min="24" max="24" width="21.140625" style="2" customWidth="1"/>
    <col min="25" max="25" width="17.5703125" style="2" customWidth="1"/>
    <col min="26" max="26" width="21.140625" style="2" customWidth="1"/>
    <col min="27" max="27" width="17.5703125" style="2" customWidth="1"/>
    <col min="28" max="28" width="19.85546875" style="2" customWidth="1"/>
    <col min="29" max="29" width="17.5703125" style="2" customWidth="1"/>
    <col min="30" max="31" width="17.5703125" style="2" hidden="1" customWidth="1"/>
    <col min="32" max="32" width="12.42578125" style="764" hidden="1" customWidth="1"/>
    <col min="33" max="33" width="10.42578125" style="764" hidden="1" customWidth="1"/>
    <col min="34" max="34" width="18.140625" style="764" hidden="1" customWidth="1"/>
    <col min="35" max="35" width="13.140625" style="764" hidden="1" customWidth="1"/>
    <col min="36" max="36" width="0" style="2" hidden="1" customWidth="1"/>
    <col min="37" max="37" width="0" style="136" hidden="1" customWidth="1"/>
    <col min="38" max="39" width="0" style="2" hidden="1" customWidth="1"/>
    <col min="40" max="16384" width="11.42578125" style="2"/>
  </cols>
  <sheetData>
    <row r="1" spans="1:41" s="136" customFormat="1" ht="15.75" hidden="1" thickBot="1">
      <c r="A1" s="268"/>
      <c r="E1" s="136">
        <v>1</v>
      </c>
      <c r="G1" s="136">
        <v>2</v>
      </c>
      <c r="H1" s="136">
        <v>3</v>
      </c>
      <c r="J1" s="136">
        <v>4</v>
      </c>
      <c r="L1" s="136">
        <v>5</v>
      </c>
      <c r="M1" s="136">
        <v>6</v>
      </c>
      <c r="O1" s="136">
        <v>7</v>
      </c>
      <c r="Q1" s="136">
        <v>8</v>
      </c>
      <c r="S1" s="136">
        <v>9</v>
      </c>
      <c r="U1" s="136">
        <v>10</v>
      </c>
      <c r="W1" s="136">
        <v>11</v>
      </c>
      <c r="Y1" s="136">
        <v>12</v>
      </c>
      <c r="AA1" s="136">
        <v>13</v>
      </c>
      <c r="AC1" s="136">
        <v>14</v>
      </c>
      <c r="AD1" s="2"/>
      <c r="AE1" s="2"/>
      <c r="AF1" s="136">
        <v>15</v>
      </c>
      <c r="AG1" s="136">
        <v>16</v>
      </c>
      <c r="AH1" s="136">
        <v>17</v>
      </c>
      <c r="AI1" s="136">
        <v>18</v>
      </c>
    </row>
    <row r="2" spans="1:41" ht="45" customHeight="1" thickTop="1" thickBot="1">
      <c r="B2" s="2782" t="s">
        <v>4306</v>
      </c>
      <c r="C2" s="13373" t="s">
        <v>10055</v>
      </c>
      <c r="D2" s="13374"/>
      <c r="E2" s="13371" t="s">
        <v>4240</v>
      </c>
      <c r="F2" s="13372"/>
      <c r="G2" s="2810" t="s">
        <v>4307</v>
      </c>
      <c r="H2" s="13365" t="s">
        <v>4308</v>
      </c>
      <c r="I2" s="13366"/>
      <c r="J2" s="13355" t="s">
        <v>4309</v>
      </c>
      <c r="K2" s="13356"/>
      <c r="L2" s="2825" t="s">
        <v>4310</v>
      </c>
      <c r="M2" s="13343" t="s">
        <v>4311</v>
      </c>
      <c r="N2" s="13344"/>
      <c r="O2" s="13359" t="s">
        <v>4312</v>
      </c>
      <c r="P2" s="13360"/>
      <c r="Q2" s="13361" t="s">
        <v>4265</v>
      </c>
      <c r="R2" s="13362"/>
      <c r="S2" s="13363" t="s">
        <v>4313</v>
      </c>
      <c r="T2" s="13364"/>
      <c r="U2" s="13365" t="s">
        <v>4314</v>
      </c>
      <c r="V2" s="13366"/>
      <c r="W2" s="13355" t="s">
        <v>4315</v>
      </c>
      <c r="X2" s="13356"/>
      <c r="Y2" s="13357" t="s">
        <v>4316</v>
      </c>
      <c r="Z2" s="13358"/>
      <c r="AA2" s="13343" t="s">
        <v>4317</v>
      </c>
      <c r="AB2" s="13344"/>
      <c r="AC2" s="2850" t="s">
        <v>4318</v>
      </c>
      <c r="AF2" s="264" t="s">
        <v>4319</v>
      </c>
      <c r="AG2" s="264" t="s">
        <v>4320</v>
      </c>
      <c r="AH2" s="264" t="s">
        <v>4300</v>
      </c>
      <c r="AI2" s="264" t="s">
        <v>4304</v>
      </c>
      <c r="AJ2" s="2150" t="s">
        <v>10034</v>
      </c>
      <c r="AK2" s="493"/>
    </row>
    <row r="3" spans="1:41" ht="45" customHeight="1" thickBot="1">
      <c r="B3" s="2783"/>
      <c r="C3" s="2788" t="s">
        <v>2290</v>
      </c>
      <c r="D3" s="2789" t="s">
        <v>10053</v>
      </c>
      <c r="E3" s="2798" t="s">
        <v>2290</v>
      </c>
      <c r="F3" s="2799" t="s">
        <v>10053</v>
      </c>
      <c r="G3" s="2811" t="s">
        <v>2290</v>
      </c>
      <c r="H3" s="2817" t="s">
        <v>2290</v>
      </c>
      <c r="I3" s="2818" t="s">
        <v>10053</v>
      </c>
      <c r="J3" s="2821" t="s">
        <v>2290</v>
      </c>
      <c r="K3" s="2822" t="s">
        <v>10053</v>
      </c>
      <c r="L3" s="2826" t="s">
        <v>2290</v>
      </c>
      <c r="M3" s="2828" t="s">
        <v>2290</v>
      </c>
      <c r="N3" s="2829" t="s">
        <v>10053</v>
      </c>
      <c r="O3" s="2832" t="s">
        <v>2290</v>
      </c>
      <c r="P3" s="2833" t="s">
        <v>10053</v>
      </c>
      <c r="Q3" s="2837" t="s">
        <v>2290</v>
      </c>
      <c r="R3" s="2838" t="s">
        <v>10053</v>
      </c>
      <c r="S3" s="2841" t="s">
        <v>2290</v>
      </c>
      <c r="T3" s="2842" t="s">
        <v>10053</v>
      </c>
      <c r="U3" s="2817" t="s">
        <v>2290</v>
      </c>
      <c r="V3" s="2818" t="s">
        <v>10053</v>
      </c>
      <c r="W3" s="2821" t="s">
        <v>2290</v>
      </c>
      <c r="X3" s="2822" t="s">
        <v>10053</v>
      </c>
      <c r="Y3" s="2846" t="s">
        <v>2290</v>
      </c>
      <c r="Z3" s="2847" t="s">
        <v>10053</v>
      </c>
      <c r="AA3" s="2828" t="s">
        <v>2290</v>
      </c>
      <c r="AB3" s="2829" t="s">
        <v>10053</v>
      </c>
      <c r="AC3" s="2851" t="s">
        <v>2290</v>
      </c>
      <c r="AF3" s="264"/>
      <c r="AG3" s="264"/>
      <c r="AH3" s="264"/>
      <c r="AI3" s="2183"/>
      <c r="AJ3" s="494"/>
      <c r="AK3" s="493"/>
    </row>
    <row r="4" spans="1:41" ht="21" customHeight="1" thickBot="1">
      <c r="A4" s="2"/>
      <c r="B4" s="2780"/>
      <c r="C4" s="2790"/>
      <c r="D4" s="2791"/>
      <c r="E4" s="2794"/>
      <c r="F4" s="2795"/>
      <c r="G4" s="2812"/>
      <c r="H4" s="2794"/>
      <c r="I4" s="2795"/>
      <c r="J4" s="2794"/>
      <c r="K4" s="2795"/>
      <c r="L4" s="2812"/>
      <c r="M4" s="2794"/>
      <c r="N4" s="2795"/>
      <c r="O4" s="2794"/>
      <c r="P4" s="2795"/>
      <c r="Q4" s="2794"/>
      <c r="R4" s="2795"/>
      <c r="S4" s="2794"/>
      <c r="T4" s="2795"/>
      <c r="U4" s="2794"/>
      <c r="V4" s="2795"/>
      <c r="W4" s="2794"/>
      <c r="X4" s="2795"/>
      <c r="Y4" s="2794"/>
      <c r="Z4" s="2795"/>
      <c r="AA4" s="2794"/>
      <c r="AB4" s="2795"/>
      <c r="AC4" s="2812"/>
      <c r="AF4" s="2"/>
      <c r="AG4" s="2"/>
      <c r="AH4" s="2"/>
      <c r="AI4" s="2"/>
      <c r="AK4" s="2"/>
    </row>
    <row r="5" spans="1:41" s="144" customFormat="1">
      <c r="A5" s="483"/>
      <c r="B5" s="2784" t="s">
        <v>8524</v>
      </c>
      <c r="C5" s="2792"/>
      <c r="D5" s="2793">
        <f>+F5+I5+K5+N5+P5+R5+T5+V5+X5+Z5+AB5</f>
        <v>6</v>
      </c>
      <c r="E5" s="2800"/>
      <c r="F5" s="2801"/>
      <c r="G5" s="2813"/>
      <c r="H5" s="2800"/>
      <c r="I5" s="2801"/>
      <c r="J5" s="2800"/>
      <c r="K5" s="2823">
        <v>3</v>
      </c>
      <c r="L5" s="2813"/>
      <c r="M5" s="2800"/>
      <c r="N5" s="2801"/>
      <c r="O5" s="2800"/>
      <c r="P5" s="2801"/>
      <c r="Q5" s="2800"/>
      <c r="R5" s="2801"/>
      <c r="S5" s="2800"/>
      <c r="T5" s="2801"/>
      <c r="U5" s="2800"/>
      <c r="V5" s="2820">
        <v>3</v>
      </c>
      <c r="W5" s="2800"/>
      <c r="X5" s="2801"/>
      <c r="Y5" s="2800"/>
      <c r="Z5" s="2801"/>
      <c r="AA5" s="2800"/>
      <c r="AB5" s="2801"/>
      <c r="AC5" s="2813"/>
      <c r="AD5" s="2"/>
      <c r="AE5" s="2"/>
      <c r="AF5" s="138"/>
      <c r="AG5" s="138"/>
      <c r="AH5" s="138"/>
      <c r="AI5" s="171"/>
      <c r="AJ5" s="2"/>
      <c r="AK5" s="488">
        <f t="shared" ref="AK5:AK28" si="0">SUM(E5:AI5)</f>
        <v>6</v>
      </c>
    </row>
    <row r="6" spans="1:41" s="144" customFormat="1" ht="18.75" customHeight="1">
      <c r="A6" s="483">
        <v>1</v>
      </c>
      <c r="B6" s="2784" t="s">
        <v>4321</v>
      </c>
      <c r="C6" s="2792">
        <f>+E6+G6+H6+J6+L6+M6+O6+Q6+S6+U6+W6+Y6+AA6+AC6</f>
        <v>1</v>
      </c>
      <c r="D6" s="2793">
        <f>+F6+I6+K6+N6+P6+R6+T6+V6+X6+Z6+AB6</f>
        <v>3</v>
      </c>
      <c r="E6" s="2802">
        <v>1</v>
      </c>
      <c r="F6" s="2803">
        <v>3</v>
      </c>
      <c r="G6" s="2813"/>
      <c r="H6" s="2800"/>
      <c r="I6" s="2801"/>
      <c r="J6" s="2800"/>
      <c r="K6" s="2801"/>
      <c r="L6" s="2813"/>
      <c r="M6" s="2800"/>
      <c r="N6" s="2801"/>
      <c r="O6" s="2800"/>
      <c r="P6" s="2801"/>
      <c r="Q6" s="2800"/>
      <c r="R6" s="2801"/>
      <c r="S6" s="2800"/>
      <c r="T6" s="2801"/>
      <c r="U6" s="2800"/>
      <c r="V6" s="2801"/>
      <c r="W6" s="2800"/>
      <c r="X6" s="2801"/>
      <c r="Y6" s="2800"/>
      <c r="Z6" s="2801"/>
      <c r="AA6" s="2800"/>
      <c r="AB6" s="2801"/>
      <c r="AC6" s="2813"/>
      <c r="AD6" s="2"/>
      <c r="AE6" s="2"/>
      <c r="AF6" s="139">
        <v>0</v>
      </c>
      <c r="AG6" s="139">
        <v>0</v>
      </c>
      <c r="AH6" s="139">
        <v>0</v>
      </c>
      <c r="AI6" s="482">
        <v>0</v>
      </c>
      <c r="AJ6" s="2">
        <f t="shared" ref="AJ6:AJ17" si="1">+G6+H6+J6+L6+M6+O6+Q6+S6+U6+W6+Y6+AA6+AC6+E6</f>
        <v>1</v>
      </c>
      <c r="AK6" s="488">
        <f t="shared" si="0"/>
        <v>4</v>
      </c>
      <c r="AN6" s="2"/>
      <c r="AO6" s="2"/>
    </row>
    <row r="7" spans="1:41" s="144" customFormat="1" ht="18.75" customHeight="1">
      <c r="A7" s="483">
        <v>2</v>
      </c>
      <c r="B7" s="2784" t="s">
        <v>4322</v>
      </c>
      <c r="C7" s="2792">
        <f t="shared" ref="C7:C28" si="2">+E7+G7+H7+J7+L7+M7+O7+Q7+S7+U7+W7+Y7+AA7+AC7</f>
        <v>0</v>
      </c>
      <c r="D7" s="2793">
        <f t="shared" ref="D7:D28" si="3">+F7+I7+K7+N7+P7+R7+T7+V7+X7+Z7+AB7</f>
        <v>2</v>
      </c>
      <c r="E7" s="2800"/>
      <c r="F7" s="2804">
        <v>2</v>
      </c>
      <c r="G7" s="2813"/>
      <c r="H7" s="2800"/>
      <c r="I7" s="2801"/>
      <c r="J7" s="2800"/>
      <c r="K7" s="2801"/>
      <c r="L7" s="2813"/>
      <c r="M7" s="2800"/>
      <c r="N7" s="2801"/>
      <c r="O7" s="2800"/>
      <c r="P7" s="2801"/>
      <c r="Q7" s="2800"/>
      <c r="R7" s="2801"/>
      <c r="S7" s="2800"/>
      <c r="T7" s="2801"/>
      <c r="U7" s="2800"/>
      <c r="V7" s="2801"/>
      <c r="W7" s="2800"/>
      <c r="X7" s="2801"/>
      <c r="Y7" s="2800"/>
      <c r="Z7" s="2801"/>
      <c r="AA7" s="2800"/>
      <c r="AB7" s="2801"/>
      <c r="AC7" s="2813"/>
      <c r="AD7" s="2"/>
      <c r="AE7" s="2"/>
      <c r="AF7" s="139">
        <v>0</v>
      </c>
      <c r="AG7" s="139">
        <v>0</v>
      </c>
      <c r="AH7" s="139">
        <v>0</v>
      </c>
      <c r="AI7" s="482">
        <v>0</v>
      </c>
      <c r="AJ7" s="2">
        <f t="shared" si="1"/>
        <v>0</v>
      </c>
      <c r="AK7" s="488">
        <f t="shared" si="0"/>
        <v>2</v>
      </c>
      <c r="AN7" s="2"/>
      <c r="AO7" s="2"/>
    </row>
    <row r="8" spans="1:41" s="144" customFormat="1">
      <c r="A8" s="483">
        <v>3</v>
      </c>
      <c r="B8" s="2784" t="s">
        <v>4323</v>
      </c>
      <c r="C8" s="2792">
        <f t="shared" si="2"/>
        <v>4</v>
      </c>
      <c r="D8" s="2793">
        <f t="shared" si="3"/>
        <v>6</v>
      </c>
      <c r="E8" s="2802">
        <v>1</v>
      </c>
      <c r="F8" s="2803">
        <v>6</v>
      </c>
      <c r="G8" s="2813"/>
      <c r="H8" s="2800"/>
      <c r="I8" s="2801"/>
      <c r="J8" s="2800"/>
      <c r="K8" s="2801"/>
      <c r="L8" s="2813"/>
      <c r="M8" s="2800"/>
      <c r="N8" s="2801"/>
      <c r="O8" s="2800"/>
      <c r="P8" s="2801"/>
      <c r="Q8" s="2839">
        <v>1</v>
      </c>
      <c r="R8" s="2801"/>
      <c r="S8" s="2800"/>
      <c r="T8" s="2801"/>
      <c r="U8" s="2800"/>
      <c r="V8" s="2801"/>
      <c r="W8" s="2800"/>
      <c r="X8" s="2801"/>
      <c r="Y8" s="2800"/>
      <c r="Z8" s="2801"/>
      <c r="AA8" s="2830">
        <v>1</v>
      </c>
      <c r="AB8" s="2801"/>
      <c r="AC8" s="2852">
        <v>1</v>
      </c>
      <c r="AD8" s="2"/>
      <c r="AE8" s="2"/>
      <c r="AF8" s="139">
        <v>1</v>
      </c>
      <c r="AG8" s="139">
        <v>1</v>
      </c>
      <c r="AH8" s="139">
        <v>5</v>
      </c>
      <c r="AI8" s="482">
        <v>1</v>
      </c>
      <c r="AJ8" s="2">
        <f t="shared" si="1"/>
        <v>4</v>
      </c>
      <c r="AK8" s="488">
        <f t="shared" si="0"/>
        <v>18</v>
      </c>
      <c r="AN8" s="2"/>
      <c r="AO8" s="2"/>
    </row>
    <row r="9" spans="1:41" s="144" customFormat="1" ht="18.75" customHeight="1">
      <c r="A9" s="483">
        <v>4</v>
      </c>
      <c r="B9" s="2784" t="s">
        <v>4324</v>
      </c>
      <c r="C9" s="2792">
        <f t="shared" si="2"/>
        <v>48</v>
      </c>
      <c r="D9" s="2793">
        <f t="shared" si="3"/>
        <v>2</v>
      </c>
      <c r="E9" s="2802">
        <v>4</v>
      </c>
      <c r="F9" s="2803">
        <v>2</v>
      </c>
      <c r="G9" s="2813"/>
      <c r="H9" s="2800"/>
      <c r="I9" s="2801"/>
      <c r="J9" s="2800"/>
      <c r="K9" s="2801"/>
      <c r="L9" s="2813"/>
      <c r="M9" s="2828">
        <v>5</v>
      </c>
      <c r="N9" s="2801"/>
      <c r="O9" s="2834">
        <v>6</v>
      </c>
      <c r="P9" s="2801"/>
      <c r="Q9" s="2839">
        <v>17</v>
      </c>
      <c r="R9" s="2801"/>
      <c r="S9" s="2800"/>
      <c r="T9" s="2801"/>
      <c r="U9" s="2819">
        <v>6</v>
      </c>
      <c r="V9" s="2801"/>
      <c r="W9" s="2824">
        <v>9</v>
      </c>
      <c r="X9" s="2801"/>
      <c r="Y9" s="2800"/>
      <c r="Z9" s="2801"/>
      <c r="AA9" s="2830">
        <v>1</v>
      </c>
      <c r="AB9" s="2801"/>
      <c r="AC9" s="2813"/>
      <c r="AD9" s="2"/>
      <c r="AE9" s="2"/>
      <c r="AF9" s="139">
        <v>8</v>
      </c>
      <c r="AG9" s="139">
        <v>5</v>
      </c>
      <c r="AH9" s="139">
        <v>10</v>
      </c>
      <c r="AI9" s="482">
        <v>3</v>
      </c>
      <c r="AJ9" s="2">
        <f t="shared" si="1"/>
        <v>48</v>
      </c>
      <c r="AK9" s="488">
        <f t="shared" si="0"/>
        <v>76</v>
      </c>
      <c r="AN9" s="2"/>
      <c r="AO9" s="2"/>
    </row>
    <row r="10" spans="1:41" s="144" customFormat="1" ht="18.75" customHeight="1">
      <c r="A10" s="483">
        <v>5</v>
      </c>
      <c r="B10" s="2784" t="s">
        <v>4325</v>
      </c>
      <c r="C10" s="2792">
        <f t="shared" si="2"/>
        <v>152</v>
      </c>
      <c r="D10" s="2793">
        <f t="shared" si="3"/>
        <v>6</v>
      </c>
      <c r="E10" s="2800"/>
      <c r="F10" s="2804">
        <v>2</v>
      </c>
      <c r="G10" s="2813"/>
      <c r="H10" s="2819">
        <v>5</v>
      </c>
      <c r="I10" s="2801"/>
      <c r="J10" s="2800"/>
      <c r="K10" s="2801"/>
      <c r="L10" s="2813"/>
      <c r="M10" s="2828">
        <v>5</v>
      </c>
      <c r="N10" s="2829">
        <v>1</v>
      </c>
      <c r="O10" s="2834">
        <v>2</v>
      </c>
      <c r="P10" s="2835">
        <v>1</v>
      </c>
      <c r="Q10" s="2839">
        <v>15</v>
      </c>
      <c r="R10" s="2840">
        <v>1</v>
      </c>
      <c r="S10" s="2843">
        <v>112</v>
      </c>
      <c r="T10" s="2801"/>
      <c r="U10" s="2819">
        <v>2</v>
      </c>
      <c r="V10" s="2801"/>
      <c r="W10" s="2824">
        <v>8</v>
      </c>
      <c r="X10" s="2823">
        <v>1</v>
      </c>
      <c r="Y10" s="2800"/>
      <c r="Z10" s="2801"/>
      <c r="AA10" s="2830">
        <v>3</v>
      </c>
      <c r="AB10" s="2801"/>
      <c r="AC10" s="2813"/>
      <c r="AD10" s="2"/>
      <c r="AE10" s="2"/>
      <c r="AF10" s="139">
        <v>4</v>
      </c>
      <c r="AG10" s="139">
        <v>1</v>
      </c>
      <c r="AH10" s="139">
        <v>2</v>
      </c>
      <c r="AI10" s="482">
        <v>2</v>
      </c>
      <c r="AJ10" s="2">
        <f t="shared" si="1"/>
        <v>152</v>
      </c>
      <c r="AK10" s="488">
        <f t="shared" si="0"/>
        <v>167</v>
      </c>
      <c r="AN10" s="2"/>
      <c r="AO10" s="2"/>
    </row>
    <row r="11" spans="1:41" s="144" customFormat="1" ht="33" customHeight="1">
      <c r="A11" s="483">
        <v>6</v>
      </c>
      <c r="B11" s="2785" t="s">
        <v>4326</v>
      </c>
      <c r="C11" s="2792">
        <f t="shared" si="2"/>
        <v>76</v>
      </c>
      <c r="D11" s="2793">
        <f t="shared" si="3"/>
        <v>2</v>
      </c>
      <c r="E11" s="2800"/>
      <c r="F11" s="2804">
        <v>1</v>
      </c>
      <c r="G11" s="2814">
        <v>30</v>
      </c>
      <c r="H11" s="2819">
        <v>9</v>
      </c>
      <c r="I11" s="2801"/>
      <c r="J11" s="2800"/>
      <c r="K11" s="2801"/>
      <c r="L11" s="2813"/>
      <c r="M11" s="2830">
        <v>1</v>
      </c>
      <c r="N11" s="2801"/>
      <c r="O11" s="2834">
        <v>8</v>
      </c>
      <c r="P11" s="2835">
        <v>1</v>
      </c>
      <c r="Q11" s="2839">
        <v>11</v>
      </c>
      <c r="R11" s="2801"/>
      <c r="S11" s="2800"/>
      <c r="T11" s="2801"/>
      <c r="U11" s="2819">
        <v>1</v>
      </c>
      <c r="V11" s="2801"/>
      <c r="W11" s="2824">
        <v>12</v>
      </c>
      <c r="X11" s="2801"/>
      <c r="Y11" s="2800"/>
      <c r="Z11" s="2801"/>
      <c r="AA11" s="2830">
        <v>4</v>
      </c>
      <c r="AB11" s="2801"/>
      <c r="AC11" s="2813"/>
      <c r="AD11" s="2"/>
      <c r="AE11" s="2"/>
      <c r="AF11" s="139">
        <v>5</v>
      </c>
      <c r="AG11" s="139">
        <v>8</v>
      </c>
      <c r="AH11" s="139">
        <v>3</v>
      </c>
      <c r="AI11" s="482">
        <v>9</v>
      </c>
      <c r="AJ11" s="2">
        <f t="shared" si="1"/>
        <v>76</v>
      </c>
      <c r="AK11" s="488">
        <f t="shared" si="0"/>
        <v>103</v>
      </c>
      <c r="AN11" s="2"/>
      <c r="AO11" s="2"/>
    </row>
    <row r="12" spans="1:41" s="144" customFormat="1">
      <c r="A12" s="483">
        <v>7</v>
      </c>
      <c r="B12" s="2784" t="s">
        <v>4327</v>
      </c>
      <c r="C12" s="2792">
        <f t="shared" si="2"/>
        <v>124</v>
      </c>
      <c r="D12" s="2793">
        <f t="shared" si="3"/>
        <v>96</v>
      </c>
      <c r="E12" s="2800"/>
      <c r="F12" s="2804">
        <v>2</v>
      </c>
      <c r="G12" s="2813"/>
      <c r="H12" s="2819">
        <v>29</v>
      </c>
      <c r="I12" s="2801"/>
      <c r="J12" s="2824">
        <v>2</v>
      </c>
      <c r="K12" s="2823">
        <v>3</v>
      </c>
      <c r="L12" s="2813"/>
      <c r="M12" s="2830">
        <v>15</v>
      </c>
      <c r="N12" s="2831">
        <v>6</v>
      </c>
      <c r="O12" s="2834">
        <v>13</v>
      </c>
      <c r="P12" s="2835">
        <v>13</v>
      </c>
      <c r="Q12" s="2839">
        <v>9</v>
      </c>
      <c r="R12" s="2840">
        <v>26</v>
      </c>
      <c r="S12" s="2800"/>
      <c r="T12" s="2844">
        <v>7</v>
      </c>
      <c r="U12" s="2819">
        <v>30</v>
      </c>
      <c r="V12" s="2820">
        <v>30</v>
      </c>
      <c r="W12" s="2824">
        <v>5</v>
      </c>
      <c r="X12" s="2823">
        <v>9</v>
      </c>
      <c r="Y12" s="2800"/>
      <c r="Z12" s="2801"/>
      <c r="AA12" s="2830">
        <v>21</v>
      </c>
      <c r="AB12" s="2801"/>
      <c r="AC12" s="2813"/>
      <c r="AD12" s="2"/>
      <c r="AE12" s="2"/>
      <c r="AF12" s="139">
        <v>26</v>
      </c>
      <c r="AG12" s="139">
        <v>19</v>
      </c>
      <c r="AH12" s="139">
        <v>11</v>
      </c>
      <c r="AI12" s="482">
        <v>25</v>
      </c>
      <c r="AJ12" s="2">
        <f t="shared" si="1"/>
        <v>124</v>
      </c>
      <c r="AK12" s="488">
        <f t="shared" si="0"/>
        <v>301</v>
      </c>
      <c r="AN12" s="2"/>
      <c r="AO12" s="2"/>
    </row>
    <row r="13" spans="1:41" s="144" customFormat="1">
      <c r="A13" s="483">
        <v>8</v>
      </c>
      <c r="B13" s="2784" t="s">
        <v>4328</v>
      </c>
      <c r="C13" s="2792">
        <f t="shared" si="2"/>
        <v>1</v>
      </c>
      <c r="D13" s="2793">
        <f t="shared" si="3"/>
        <v>8</v>
      </c>
      <c r="E13" s="2800"/>
      <c r="F13" s="2804">
        <v>2</v>
      </c>
      <c r="G13" s="2813"/>
      <c r="H13" s="2800"/>
      <c r="I13" s="2801"/>
      <c r="J13" s="2800"/>
      <c r="K13" s="2801"/>
      <c r="L13" s="2813"/>
      <c r="M13" s="2800"/>
      <c r="N13" s="2801"/>
      <c r="O13" s="2800"/>
      <c r="P13" s="2801"/>
      <c r="Q13" s="2839">
        <v>1</v>
      </c>
      <c r="R13" s="2801"/>
      <c r="S13" s="2800"/>
      <c r="T13" s="2844">
        <v>6</v>
      </c>
      <c r="U13" s="2800"/>
      <c r="V13" s="2801"/>
      <c r="W13" s="2800"/>
      <c r="X13" s="2801"/>
      <c r="Y13" s="2800"/>
      <c r="Z13" s="2801"/>
      <c r="AA13" s="2800"/>
      <c r="AB13" s="2801"/>
      <c r="AC13" s="2813"/>
      <c r="AD13" s="2"/>
      <c r="AE13" s="2"/>
      <c r="AF13" s="139">
        <v>1</v>
      </c>
      <c r="AG13" s="139">
        <v>0</v>
      </c>
      <c r="AH13" s="139">
        <v>2</v>
      </c>
      <c r="AI13" s="482">
        <v>0</v>
      </c>
      <c r="AJ13" s="2">
        <f t="shared" si="1"/>
        <v>1</v>
      </c>
      <c r="AK13" s="488">
        <f t="shared" si="0"/>
        <v>12</v>
      </c>
      <c r="AN13" s="2"/>
      <c r="AO13" s="2"/>
    </row>
    <row r="14" spans="1:41" s="144" customFormat="1">
      <c r="A14" s="483">
        <v>9</v>
      </c>
      <c r="B14" s="2784" t="s">
        <v>158</v>
      </c>
      <c r="C14" s="2792">
        <f t="shared" si="2"/>
        <v>97</v>
      </c>
      <c r="D14" s="2793">
        <f t="shared" si="3"/>
        <v>29</v>
      </c>
      <c r="E14" s="2805">
        <v>3</v>
      </c>
      <c r="F14" s="2804">
        <v>1</v>
      </c>
      <c r="G14" s="2814">
        <v>5</v>
      </c>
      <c r="H14" s="2819">
        <v>13</v>
      </c>
      <c r="I14" s="2801"/>
      <c r="J14" s="2824">
        <v>1</v>
      </c>
      <c r="K14" s="2823">
        <v>1</v>
      </c>
      <c r="L14" s="2813"/>
      <c r="M14" s="2830">
        <v>18</v>
      </c>
      <c r="N14" s="2831">
        <v>4</v>
      </c>
      <c r="O14" s="2834">
        <v>10</v>
      </c>
      <c r="P14" s="2801"/>
      <c r="Q14" s="2839">
        <v>17</v>
      </c>
      <c r="R14" s="2840">
        <v>4</v>
      </c>
      <c r="S14" s="2800"/>
      <c r="T14" s="2844">
        <v>17</v>
      </c>
      <c r="U14" s="2819">
        <v>14</v>
      </c>
      <c r="V14" s="2801"/>
      <c r="W14" s="2824">
        <v>11</v>
      </c>
      <c r="X14" s="2801"/>
      <c r="Y14" s="2800"/>
      <c r="Z14" s="2848">
        <v>2</v>
      </c>
      <c r="AA14" s="2830">
        <v>2</v>
      </c>
      <c r="AB14" s="2801"/>
      <c r="AC14" s="2852">
        <v>3</v>
      </c>
      <c r="AD14" s="2"/>
      <c r="AE14" s="2"/>
      <c r="AF14" s="139">
        <v>5</v>
      </c>
      <c r="AG14" s="139">
        <v>6</v>
      </c>
      <c r="AH14" s="139">
        <v>11</v>
      </c>
      <c r="AI14" s="482">
        <v>1</v>
      </c>
      <c r="AJ14" s="2">
        <f t="shared" si="1"/>
        <v>97</v>
      </c>
      <c r="AK14" s="488">
        <f t="shared" si="0"/>
        <v>149</v>
      </c>
      <c r="AL14" s="2" t="s">
        <v>10037</v>
      </c>
      <c r="AM14" s="2" t="s">
        <v>10038</v>
      </c>
      <c r="AN14" s="2"/>
      <c r="AO14" s="2"/>
    </row>
    <row r="15" spans="1:41" s="144" customFormat="1" ht="18.75" customHeight="1">
      <c r="A15" s="483">
        <v>10</v>
      </c>
      <c r="B15" s="2784" t="s">
        <v>4329</v>
      </c>
      <c r="C15" s="2792">
        <f t="shared" si="2"/>
        <v>55</v>
      </c>
      <c r="D15" s="2793">
        <f t="shared" si="3"/>
        <v>14</v>
      </c>
      <c r="E15" s="2805">
        <v>16</v>
      </c>
      <c r="F15" s="2804">
        <v>3</v>
      </c>
      <c r="G15" s="2813"/>
      <c r="H15" s="2819">
        <v>8</v>
      </c>
      <c r="I15" s="2801"/>
      <c r="J15" s="2800"/>
      <c r="K15" s="2801"/>
      <c r="L15" s="2813"/>
      <c r="M15" s="2830">
        <v>2</v>
      </c>
      <c r="N15" s="2831">
        <v>2</v>
      </c>
      <c r="O15" s="2834">
        <v>7</v>
      </c>
      <c r="P15" s="2835">
        <v>2</v>
      </c>
      <c r="Q15" s="2839">
        <v>8</v>
      </c>
      <c r="R15" s="2840">
        <v>1</v>
      </c>
      <c r="S15" s="2800"/>
      <c r="T15" s="2801"/>
      <c r="U15" s="2800"/>
      <c r="V15" s="2820">
        <v>5</v>
      </c>
      <c r="W15" s="2824">
        <v>2</v>
      </c>
      <c r="X15" s="2801"/>
      <c r="Y15" s="2800"/>
      <c r="Z15" s="2801"/>
      <c r="AA15" s="2830">
        <v>2</v>
      </c>
      <c r="AB15" s="2831">
        <v>1</v>
      </c>
      <c r="AC15" s="2852">
        <v>10</v>
      </c>
      <c r="AD15" s="2"/>
      <c r="AE15" s="2"/>
      <c r="AF15" s="139">
        <v>1</v>
      </c>
      <c r="AG15" s="139">
        <v>4</v>
      </c>
      <c r="AH15" s="139">
        <v>31</v>
      </c>
      <c r="AI15" s="482">
        <v>10</v>
      </c>
      <c r="AJ15" s="2">
        <f t="shared" si="1"/>
        <v>55</v>
      </c>
      <c r="AK15" s="488">
        <f t="shared" si="0"/>
        <v>115</v>
      </c>
      <c r="AL15" s="2" t="s">
        <v>10045</v>
      </c>
      <c r="AN15" s="2"/>
      <c r="AO15" s="2"/>
    </row>
    <row r="16" spans="1:41" s="144" customFormat="1" ht="18.75" customHeight="1">
      <c r="A16" s="483">
        <v>11</v>
      </c>
      <c r="B16" s="2784" t="s">
        <v>4330</v>
      </c>
      <c r="C16" s="2792">
        <f t="shared" si="2"/>
        <v>2</v>
      </c>
      <c r="D16" s="2793">
        <f t="shared" si="3"/>
        <v>5</v>
      </c>
      <c r="E16" s="2800"/>
      <c r="F16" s="2801"/>
      <c r="G16" s="2814">
        <v>1</v>
      </c>
      <c r="H16" s="2819">
        <v>1</v>
      </c>
      <c r="I16" s="2801"/>
      <c r="J16" s="2800"/>
      <c r="K16" s="2801"/>
      <c r="L16" s="2813"/>
      <c r="M16" s="2800"/>
      <c r="N16" s="2801"/>
      <c r="O16" s="2800"/>
      <c r="P16" s="2801"/>
      <c r="Q16" s="2800"/>
      <c r="R16" s="2840">
        <v>2</v>
      </c>
      <c r="S16" s="2800"/>
      <c r="T16" s="2844">
        <v>3</v>
      </c>
      <c r="U16" s="2800"/>
      <c r="V16" s="2801"/>
      <c r="W16" s="2800"/>
      <c r="X16" s="2801"/>
      <c r="Y16" s="2800"/>
      <c r="Z16" s="2801"/>
      <c r="AA16" s="2800"/>
      <c r="AB16" s="2801"/>
      <c r="AC16" s="2813"/>
      <c r="AD16" s="2"/>
      <c r="AE16" s="2"/>
      <c r="AF16" s="139">
        <v>1</v>
      </c>
      <c r="AG16" s="139">
        <v>0</v>
      </c>
      <c r="AH16" s="139">
        <v>1</v>
      </c>
      <c r="AI16" s="482">
        <v>0</v>
      </c>
      <c r="AJ16" s="2">
        <f t="shared" si="1"/>
        <v>2</v>
      </c>
      <c r="AK16" s="488">
        <f t="shared" si="0"/>
        <v>9</v>
      </c>
      <c r="AN16" s="2"/>
      <c r="AO16" s="2"/>
    </row>
    <row r="17" spans="1:47" s="144" customFormat="1" ht="18.75" customHeight="1">
      <c r="A17" s="483">
        <v>12</v>
      </c>
      <c r="B17" s="2784" t="s">
        <v>208</v>
      </c>
      <c r="C17" s="2792">
        <f t="shared" si="2"/>
        <v>3</v>
      </c>
      <c r="D17" s="2793">
        <f t="shared" si="3"/>
        <v>7</v>
      </c>
      <c r="E17" s="2800"/>
      <c r="F17" s="2801"/>
      <c r="G17" s="2813"/>
      <c r="H17" s="2800"/>
      <c r="I17" s="2801"/>
      <c r="J17" s="2800"/>
      <c r="K17" s="2801"/>
      <c r="L17" s="2813"/>
      <c r="M17" s="2830">
        <v>1</v>
      </c>
      <c r="N17" s="2801"/>
      <c r="O17" s="2800"/>
      <c r="P17" s="2835">
        <v>2</v>
      </c>
      <c r="Q17" s="2800"/>
      <c r="R17" s="2801"/>
      <c r="S17" s="2800"/>
      <c r="T17" s="2801"/>
      <c r="U17" s="2819">
        <v>2</v>
      </c>
      <c r="V17" s="2820">
        <v>2</v>
      </c>
      <c r="W17" s="2800"/>
      <c r="X17" s="2823">
        <v>3</v>
      </c>
      <c r="Y17" s="2800"/>
      <c r="Z17" s="2801"/>
      <c r="AA17" s="2800"/>
      <c r="AB17" s="2801"/>
      <c r="AC17" s="2813"/>
      <c r="AD17" s="2"/>
      <c r="AE17" s="2"/>
      <c r="AF17" s="139">
        <v>0</v>
      </c>
      <c r="AG17" s="139">
        <v>0</v>
      </c>
      <c r="AH17" s="139">
        <v>0</v>
      </c>
      <c r="AI17" s="482">
        <v>0</v>
      </c>
      <c r="AJ17" s="2">
        <f t="shared" si="1"/>
        <v>3</v>
      </c>
      <c r="AK17" s="488">
        <f t="shared" si="0"/>
        <v>10</v>
      </c>
      <c r="AN17" s="2"/>
      <c r="AO17" s="2"/>
    </row>
    <row r="18" spans="1:47" s="144" customFormat="1">
      <c r="A18" s="483">
        <v>13</v>
      </c>
      <c r="B18" s="2784" t="s">
        <v>4331</v>
      </c>
      <c r="C18" s="2792">
        <f t="shared" si="2"/>
        <v>12</v>
      </c>
      <c r="D18" s="2793">
        <f t="shared" si="3"/>
        <v>16</v>
      </c>
      <c r="E18" s="2800"/>
      <c r="F18" s="2801"/>
      <c r="G18" s="2813"/>
      <c r="H18" s="2800"/>
      <c r="I18" s="2801"/>
      <c r="J18" s="2800"/>
      <c r="K18" s="2823">
        <v>1</v>
      </c>
      <c r="L18" s="2813"/>
      <c r="M18" s="2800"/>
      <c r="N18" s="2801"/>
      <c r="O18" s="2800"/>
      <c r="P18" s="2835">
        <v>2</v>
      </c>
      <c r="Q18" s="2839">
        <v>1</v>
      </c>
      <c r="R18" s="2840">
        <v>5</v>
      </c>
      <c r="S18" s="2845"/>
      <c r="T18" s="2844">
        <v>8</v>
      </c>
      <c r="U18" s="2800"/>
      <c r="V18" s="2801"/>
      <c r="W18" s="2800"/>
      <c r="X18" s="2801"/>
      <c r="Y18" s="2800"/>
      <c r="Z18" s="2801"/>
      <c r="AA18" s="2830">
        <v>11</v>
      </c>
      <c r="AB18" s="2801"/>
      <c r="AC18" s="2813"/>
      <c r="AD18" s="2"/>
      <c r="AE18" s="2"/>
      <c r="AF18" s="139">
        <v>1</v>
      </c>
      <c r="AG18" s="139">
        <v>0</v>
      </c>
      <c r="AH18" s="139">
        <v>0</v>
      </c>
      <c r="AI18" s="482">
        <v>0</v>
      </c>
      <c r="AJ18" s="2">
        <f>+G18+H18+J18+L18+M18+O18+Q18+T18+U18+W18+Y18+AA18+AC18+E18</f>
        <v>20</v>
      </c>
      <c r="AK18" s="488">
        <f t="shared" si="0"/>
        <v>29</v>
      </c>
      <c r="AN18" s="2"/>
      <c r="AO18" s="2"/>
    </row>
    <row r="19" spans="1:47" s="144" customFormat="1" ht="18.75" customHeight="1">
      <c r="A19" s="483">
        <v>14</v>
      </c>
      <c r="B19" s="2784" t="s">
        <v>4332</v>
      </c>
      <c r="C19" s="2792">
        <f t="shared" si="2"/>
        <v>1</v>
      </c>
      <c r="D19" s="2793">
        <f t="shared" si="3"/>
        <v>1</v>
      </c>
      <c r="E19" s="2800"/>
      <c r="F19" s="2801"/>
      <c r="G19" s="2813"/>
      <c r="H19" s="2819">
        <v>1</v>
      </c>
      <c r="I19" s="2801"/>
      <c r="J19" s="2800"/>
      <c r="K19" s="2801"/>
      <c r="L19" s="2813"/>
      <c r="M19" s="2800"/>
      <c r="N19" s="2801"/>
      <c r="O19" s="2800"/>
      <c r="P19" s="2801"/>
      <c r="Q19" s="2800"/>
      <c r="R19" s="2801"/>
      <c r="S19" s="2845"/>
      <c r="T19" s="2844">
        <v>1</v>
      </c>
      <c r="U19" s="2800"/>
      <c r="V19" s="2801"/>
      <c r="W19" s="2800"/>
      <c r="X19" s="2801"/>
      <c r="Y19" s="2800"/>
      <c r="Z19" s="2801"/>
      <c r="AA19" s="2800"/>
      <c r="AB19" s="2801"/>
      <c r="AC19" s="2813"/>
      <c r="AD19" s="2"/>
      <c r="AE19" s="2"/>
      <c r="AF19" s="139">
        <v>0</v>
      </c>
      <c r="AG19" s="139">
        <v>0</v>
      </c>
      <c r="AH19" s="139">
        <v>0</v>
      </c>
      <c r="AI19" s="482">
        <v>0</v>
      </c>
      <c r="AJ19" s="2">
        <f t="shared" ref="AJ19:AJ28" si="4">+G19+H19+J19+L19+M19+O19+Q19+S19+U19+W19+Y19+AA19+AC19+E19</f>
        <v>1</v>
      </c>
      <c r="AK19" s="488">
        <f t="shared" si="0"/>
        <v>2</v>
      </c>
      <c r="AN19" s="2"/>
      <c r="AO19" s="2"/>
    </row>
    <row r="20" spans="1:47" s="144" customFormat="1" ht="18.75" customHeight="1">
      <c r="A20" s="483">
        <v>15</v>
      </c>
      <c r="B20" s="2784" t="s">
        <v>2859</v>
      </c>
      <c r="C20" s="2792">
        <f t="shared" si="2"/>
        <v>7</v>
      </c>
      <c r="D20" s="2793">
        <f t="shared" si="3"/>
        <v>5</v>
      </c>
      <c r="E20" s="2805">
        <v>2</v>
      </c>
      <c r="F20" s="2804">
        <v>3</v>
      </c>
      <c r="G20" s="2813"/>
      <c r="H20" s="2800"/>
      <c r="I20" s="2801"/>
      <c r="J20" s="2800"/>
      <c r="K20" s="2801"/>
      <c r="L20" s="2813"/>
      <c r="M20" s="2830">
        <v>1</v>
      </c>
      <c r="N20" s="2801"/>
      <c r="O20" s="2800"/>
      <c r="P20" s="2801"/>
      <c r="Q20" s="2839">
        <v>2</v>
      </c>
      <c r="R20" s="2840">
        <v>2</v>
      </c>
      <c r="S20" s="2800"/>
      <c r="T20" s="2801"/>
      <c r="U20" s="2819">
        <v>2</v>
      </c>
      <c r="V20" s="2801"/>
      <c r="W20" s="2800"/>
      <c r="X20" s="2801"/>
      <c r="Y20" s="2800"/>
      <c r="Z20" s="2801"/>
      <c r="AA20" s="2800"/>
      <c r="AB20" s="2801"/>
      <c r="AC20" s="2813"/>
      <c r="AD20" s="2"/>
      <c r="AE20" s="2"/>
      <c r="AF20" s="139">
        <v>2</v>
      </c>
      <c r="AG20" s="139">
        <v>0</v>
      </c>
      <c r="AH20" s="139">
        <v>0</v>
      </c>
      <c r="AI20" s="482">
        <v>0</v>
      </c>
      <c r="AJ20" s="2">
        <f t="shared" si="4"/>
        <v>7</v>
      </c>
      <c r="AK20" s="488">
        <f t="shared" si="0"/>
        <v>14</v>
      </c>
      <c r="AN20" s="2"/>
      <c r="AO20" s="2"/>
    </row>
    <row r="21" spans="1:47" s="144" customFormat="1">
      <c r="A21" s="483">
        <v>16</v>
      </c>
      <c r="B21" s="2784" t="s">
        <v>4333</v>
      </c>
      <c r="C21" s="2792">
        <f t="shared" si="2"/>
        <v>2</v>
      </c>
      <c r="D21" s="2793">
        <f t="shared" si="3"/>
        <v>0</v>
      </c>
      <c r="E21" s="2800"/>
      <c r="F21" s="2801"/>
      <c r="G21" s="2813"/>
      <c r="H21" s="2800"/>
      <c r="I21" s="2801"/>
      <c r="J21" s="2800"/>
      <c r="K21" s="2801"/>
      <c r="L21" s="2813"/>
      <c r="M21" s="2800"/>
      <c r="N21" s="2801"/>
      <c r="O21" s="2800"/>
      <c r="P21" s="2801"/>
      <c r="Q21" s="2800"/>
      <c r="R21" s="2801"/>
      <c r="S21" s="2800"/>
      <c r="T21" s="2801"/>
      <c r="U21" s="2800"/>
      <c r="V21" s="2801"/>
      <c r="W21" s="2800"/>
      <c r="X21" s="2801"/>
      <c r="Y21" s="2800"/>
      <c r="Z21" s="2801"/>
      <c r="AA21" s="2830">
        <v>2</v>
      </c>
      <c r="AB21" s="2801"/>
      <c r="AC21" s="2813"/>
      <c r="AD21" s="2"/>
      <c r="AE21" s="2"/>
      <c r="AF21" s="139">
        <v>1</v>
      </c>
      <c r="AG21" s="139">
        <v>3</v>
      </c>
      <c r="AH21" s="139">
        <v>42</v>
      </c>
      <c r="AI21" s="482">
        <v>0</v>
      </c>
      <c r="AJ21" s="2">
        <f t="shared" si="4"/>
        <v>2</v>
      </c>
      <c r="AK21" s="488">
        <f t="shared" si="0"/>
        <v>48</v>
      </c>
      <c r="AN21" s="2"/>
      <c r="AO21" s="2"/>
    </row>
    <row r="22" spans="1:47" s="144" customFormat="1">
      <c r="A22" s="483">
        <v>17</v>
      </c>
      <c r="B22" s="2784" t="s">
        <v>4334</v>
      </c>
      <c r="C22" s="2792">
        <f t="shared" si="2"/>
        <v>23</v>
      </c>
      <c r="D22" s="2793">
        <f t="shared" si="3"/>
        <v>14</v>
      </c>
      <c r="E22" s="2805">
        <v>2</v>
      </c>
      <c r="F22" s="2804">
        <v>5</v>
      </c>
      <c r="G22" s="2813"/>
      <c r="H22" s="2800"/>
      <c r="I22" s="2820">
        <v>1</v>
      </c>
      <c r="J22" s="2800"/>
      <c r="K22" s="2801"/>
      <c r="L22" s="2813"/>
      <c r="M22" s="2830">
        <v>1</v>
      </c>
      <c r="N22" s="2801"/>
      <c r="O22" s="2800"/>
      <c r="P22" s="2801"/>
      <c r="Q22" s="2839">
        <v>6</v>
      </c>
      <c r="R22" s="2840">
        <v>1</v>
      </c>
      <c r="S22" s="2800"/>
      <c r="T22" s="2844">
        <v>6</v>
      </c>
      <c r="U22" s="2819">
        <v>1</v>
      </c>
      <c r="V22" s="2820">
        <v>1</v>
      </c>
      <c r="W22" s="2800"/>
      <c r="X22" s="2801"/>
      <c r="Y22" s="2800"/>
      <c r="Z22" s="2801"/>
      <c r="AA22" s="2830">
        <v>11</v>
      </c>
      <c r="AB22" s="2801"/>
      <c r="AC22" s="2852">
        <v>2</v>
      </c>
      <c r="AD22" s="2"/>
      <c r="AE22" s="2"/>
      <c r="AF22" s="139">
        <v>2</v>
      </c>
      <c r="AG22" s="139">
        <v>3</v>
      </c>
      <c r="AH22" s="139">
        <v>5</v>
      </c>
      <c r="AI22" s="482">
        <v>1</v>
      </c>
      <c r="AJ22" s="2">
        <f t="shared" si="4"/>
        <v>23</v>
      </c>
      <c r="AK22" s="488">
        <f t="shared" si="0"/>
        <v>48</v>
      </c>
      <c r="AN22" s="2"/>
      <c r="AO22" s="2"/>
    </row>
    <row r="23" spans="1:47" s="144" customFormat="1" ht="18.75" customHeight="1">
      <c r="A23" s="483">
        <v>18</v>
      </c>
      <c r="B23" s="2784" t="s">
        <v>4335</v>
      </c>
      <c r="C23" s="2792">
        <f t="shared" si="2"/>
        <v>50</v>
      </c>
      <c r="D23" s="2793">
        <f t="shared" si="3"/>
        <v>1</v>
      </c>
      <c r="E23" s="2805">
        <v>1</v>
      </c>
      <c r="F23" s="2801"/>
      <c r="G23" s="2814">
        <v>2</v>
      </c>
      <c r="H23" s="2819">
        <v>2</v>
      </c>
      <c r="I23" s="2801"/>
      <c r="J23" s="2824">
        <v>25</v>
      </c>
      <c r="K23" s="2801"/>
      <c r="L23" s="2813"/>
      <c r="M23" s="2800"/>
      <c r="N23" s="2801"/>
      <c r="O23" s="2834">
        <v>1</v>
      </c>
      <c r="P23" s="2801"/>
      <c r="Q23" s="2800"/>
      <c r="R23" s="2801"/>
      <c r="S23" s="2800"/>
      <c r="T23" s="2801"/>
      <c r="U23" s="2800"/>
      <c r="V23" s="2801"/>
      <c r="W23" s="2800"/>
      <c r="X23" s="2823">
        <v>1</v>
      </c>
      <c r="Y23" s="2800"/>
      <c r="Z23" s="2801"/>
      <c r="AA23" s="2830">
        <v>3</v>
      </c>
      <c r="AB23" s="2801"/>
      <c r="AC23" s="2852">
        <v>16</v>
      </c>
      <c r="AD23" s="2"/>
      <c r="AE23" s="2"/>
      <c r="AF23" s="139">
        <v>2</v>
      </c>
      <c r="AG23" s="139">
        <v>1</v>
      </c>
      <c r="AH23" s="139">
        <v>4</v>
      </c>
      <c r="AI23" s="482">
        <v>2</v>
      </c>
      <c r="AJ23" s="2">
        <f t="shared" si="4"/>
        <v>50</v>
      </c>
      <c r="AK23" s="488">
        <f t="shared" si="0"/>
        <v>60</v>
      </c>
      <c r="AN23" s="2"/>
      <c r="AO23" s="2"/>
    </row>
    <row r="24" spans="1:47" s="144" customFormat="1" ht="18.75" customHeight="1">
      <c r="A24" s="483">
        <v>19</v>
      </c>
      <c r="B24" s="2784" t="s">
        <v>86</v>
      </c>
      <c r="C24" s="2792">
        <f t="shared" si="2"/>
        <v>256</v>
      </c>
      <c r="D24" s="2793">
        <f t="shared" si="3"/>
        <v>10</v>
      </c>
      <c r="E24" s="2800"/>
      <c r="F24" s="2804">
        <v>2</v>
      </c>
      <c r="G24" s="2813"/>
      <c r="H24" s="2819">
        <v>7</v>
      </c>
      <c r="I24" s="2801"/>
      <c r="J24" s="2824">
        <v>15</v>
      </c>
      <c r="K24" s="2801"/>
      <c r="L24" s="2826">
        <v>98</v>
      </c>
      <c r="M24" s="2830">
        <v>9</v>
      </c>
      <c r="N24" s="2831">
        <v>1</v>
      </c>
      <c r="O24" s="2834">
        <v>19</v>
      </c>
      <c r="P24" s="2801"/>
      <c r="Q24" s="2839">
        <v>24</v>
      </c>
      <c r="R24" s="2840">
        <v>1</v>
      </c>
      <c r="S24" s="2800"/>
      <c r="T24" s="2844">
        <v>6</v>
      </c>
      <c r="U24" s="2819">
        <v>33</v>
      </c>
      <c r="V24" s="2801"/>
      <c r="W24" s="2824">
        <v>14</v>
      </c>
      <c r="X24" s="2801"/>
      <c r="Y24" s="2849">
        <v>29</v>
      </c>
      <c r="Z24" s="2801"/>
      <c r="AA24" s="2830">
        <v>5</v>
      </c>
      <c r="AB24" s="2801"/>
      <c r="AC24" s="2852">
        <v>3</v>
      </c>
      <c r="AD24" s="2"/>
      <c r="AE24" s="2"/>
      <c r="AF24" s="139">
        <v>10</v>
      </c>
      <c r="AG24" s="139">
        <v>6</v>
      </c>
      <c r="AH24" s="139">
        <v>6</v>
      </c>
      <c r="AI24" s="482">
        <v>10</v>
      </c>
      <c r="AJ24" s="2">
        <f t="shared" si="4"/>
        <v>256</v>
      </c>
      <c r="AK24" s="488">
        <f t="shared" si="0"/>
        <v>298</v>
      </c>
      <c r="AL24" s="2" t="s">
        <v>10042</v>
      </c>
      <c r="AN24" s="2"/>
      <c r="AO24" s="2"/>
    </row>
    <row r="25" spans="1:47" s="144" customFormat="1">
      <c r="A25" s="483">
        <v>20</v>
      </c>
      <c r="B25" s="2784" t="s">
        <v>4336</v>
      </c>
      <c r="C25" s="2792">
        <f t="shared" si="2"/>
        <v>2</v>
      </c>
      <c r="D25" s="2793">
        <f t="shared" si="3"/>
        <v>4</v>
      </c>
      <c r="E25" s="2800"/>
      <c r="F25" s="2804">
        <v>3</v>
      </c>
      <c r="G25" s="2813"/>
      <c r="H25" s="2800"/>
      <c r="I25" s="2801"/>
      <c r="J25" s="2800"/>
      <c r="K25" s="2801"/>
      <c r="L25" s="2813"/>
      <c r="M25" s="2800"/>
      <c r="N25" s="2801"/>
      <c r="O25" s="2800"/>
      <c r="P25" s="2801"/>
      <c r="Q25" s="2800"/>
      <c r="R25" s="2840">
        <v>1</v>
      </c>
      <c r="S25" s="2800"/>
      <c r="T25" s="2801"/>
      <c r="U25" s="2800"/>
      <c r="V25" s="2801"/>
      <c r="W25" s="2800"/>
      <c r="X25" s="2801"/>
      <c r="Y25" s="2800"/>
      <c r="Z25" s="2801"/>
      <c r="AA25" s="2830">
        <v>2</v>
      </c>
      <c r="AB25" s="2801"/>
      <c r="AC25" s="2813"/>
      <c r="AD25" s="2"/>
      <c r="AE25" s="2"/>
      <c r="AF25" s="139">
        <v>0</v>
      </c>
      <c r="AG25" s="139">
        <v>0</v>
      </c>
      <c r="AH25" s="139">
        <v>0</v>
      </c>
      <c r="AI25" s="482">
        <v>0</v>
      </c>
      <c r="AJ25" s="2">
        <f t="shared" si="4"/>
        <v>2</v>
      </c>
      <c r="AK25" s="488">
        <f t="shared" si="0"/>
        <v>6</v>
      </c>
      <c r="AN25" s="2"/>
      <c r="AO25" s="2"/>
    </row>
    <row r="26" spans="1:47" s="144" customFormat="1" ht="18.75" customHeight="1">
      <c r="A26" s="483">
        <v>21</v>
      </c>
      <c r="B26" s="2784" t="s">
        <v>4337</v>
      </c>
      <c r="C26" s="2792">
        <f t="shared" si="2"/>
        <v>6</v>
      </c>
      <c r="D26" s="2793">
        <f t="shared" si="3"/>
        <v>1</v>
      </c>
      <c r="E26" s="2800"/>
      <c r="F26" s="2804">
        <v>1</v>
      </c>
      <c r="G26" s="2813"/>
      <c r="H26" s="2819">
        <v>3</v>
      </c>
      <c r="I26" s="2801"/>
      <c r="J26" s="2800"/>
      <c r="K26" s="2801"/>
      <c r="L26" s="2813"/>
      <c r="M26" s="2800"/>
      <c r="N26" s="2801"/>
      <c r="O26" s="2800"/>
      <c r="P26" s="2801"/>
      <c r="Q26" s="2839">
        <v>2</v>
      </c>
      <c r="R26" s="2801"/>
      <c r="S26" s="2800"/>
      <c r="T26" s="2801"/>
      <c r="U26" s="2800"/>
      <c r="V26" s="2801"/>
      <c r="W26" s="2800"/>
      <c r="X26" s="2801"/>
      <c r="Y26" s="2800"/>
      <c r="Z26" s="2801"/>
      <c r="AA26" s="2830">
        <v>1</v>
      </c>
      <c r="AB26" s="2801"/>
      <c r="AC26" s="2813"/>
      <c r="AD26" s="2"/>
      <c r="AE26" s="2"/>
      <c r="AF26" s="139">
        <v>1</v>
      </c>
      <c r="AG26" s="139">
        <v>1</v>
      </c>
      <c r="AH26" s="139">
        <v>1</v>
      </c>
      <c r="AI26" s="482">
        <v>1</v>
      </c>
      <c r="AJ26" s="2">
        <f t="shared" si="4"/>
        <v>6</v>
      </c>
      <c r="AK26" s="488">
        <f t="shared" si="0"/>
        <v>11</v>
      </c>
      <c r="AN26" s="2"/>
      <c r="AO26" s="2"/>
    </row>
    <row r="27" spans="1:47" s="144" customFormat="1" ht="18.75" customHeight="1">
      <c r="A27" s="483">
        <v>22</v>
      </c>
      <c r="B27" s="2784" t="s">
        <v>65</v>
      </c>
      <c r="C27" s="2792">
        <f t="shared" si="2"/>
        <v>16</v>
      </c>
      <c r="D27" s="2793">
        <f t="shared" si="3"/>
        <v>1</v>
      </c>
      <c r="E27" s="2800"/>
      <c r="F27" s="2801"/>
      <c r="G27" s="2813"/>
      <c r="H27" s="2819">
        <v>5</v>
      </c>
      <c r="I27" s="2801"/>
      <c r="J27" s="2800"/>
      <c r="K27" s="2801"/>
      <c r="L27" s="2813"/>
      <c r="M27" s="2800"/>
      <c r="N27" s="2801"/>
      <c r="O27" s="2834">
        <v>4</v>
      </c>
      <c r="P27" s="2835">
        <v>1</v>
      </c>
      <c r="Q27" s="2839">
        <v>2</v>
      </c>
      <c r="R27" s="2801"/>
      <c r="S27" s="2800"/>
      <c r="T27" s="2801"/>
      <c r="U27" s="2800"/>
      <c r="V27" s="2801"/>
      <c r="W27" s="2824">
        <v>3</v>
      </c>
      <c r="X27" s="2801"/>
      <c r="Y27" s="2800"/>
      <c r="Z27" s="2801"/>
      <c r="AA27" s="2830">
        <v>2</v>
      </c>
      <c r="AB27" s="2801"/>
      <c r="AC27" s="2813"/>
      <c r="AD27" s="2"/>
      <c r="AE27" s="2"/>
      <c r="AF27" s="139">
        <v>0</v>
      </c>
      <c r="AG27" s="139">
        <v>0</v>
      </c>
      <c r="AH27" s="139">
        <v>1</v>
      </c>
      <c r="AI27" s="482">
        <v>0</v>
      </c>
      <c r="AJ27" s="2">
        <f t="shared" si="4"/>
        <v>16</v>
      </c>
      <c r="AK27" s="488">
        <f t="shared" si="0"/>
        <v>18</v>
      </c>
      <c r="AL27" s="2" t="s">
        <v>10043</v>
      </c>
      <c r="AM27" s="2">
        <v>3167476604</v>
      </c>
      <c r="AN27" s="2" t="s">
        <v>10044</v>
      </c>
      <c r="AO27" s="2"/>
    </row>
    <row r="28" spans="1:47" s="144" customFormat="1" ht="18.75" customHeight="1">
      <c r="A28" s="483">
        <v>23</v>
      </c>
      <c r="B28" s="2784" t="s">
        <v>4338</v>
      </c>
      <c r="C28" s="2792">
        <f t="shared" si="2"/>
        <v>0</v>
      </c>
      <c r="D28" s="2793">
        <f t="shared" si="3"/>
        <v>1</v>
      </c>
      <c r="E28" s="2800"/>
      <c r="F28" s="2801"/>
      <c r="G28" s="2813"/>
      <c r="H28" s="2800"/>
      <c r="I28" s="2801"/>
      <c r="J28" s="2800"/>
      <c r="K28" s="2801"/>
      <c r="L28" s="2813"/>
      <c r="M28" s="2800"/>
      <c r="N28" s="2801"/>
      <c r="O28" s="2800"/>
      <c r="P28" s="2801"/>
      <c r="Q28" s="2800"/>
      <c r="R28" s="2801"/>
      <c r="S28" s="2800"/>
      <c r="T28" s="2801"/>
      <c r="U28" s="2800"/>
      <c r="V28" s="2801"/>
      <c r="W28" s="2800"/>
      <c r="X28" s="2801"/>
      <c r="Y28" s="2800"/>
      <c r="Z28" s="2801"/>
      <c r="AA28" s="2800"/>
      <c r="AB28" s="2831">
        <v>1</v>
      </c>
      <c r="AC28" s="2813"/>
      <c r="AD28" s="2"/>
      <c r="AE28" s="2"/>
      <c r="AF28" s="139">
        <v>0</v>
      </c>
      <c r="AG28" s="139">
        <v>0</v>
      </c>
      <c r="AH28" s="139">
        <v>0</v>
      </c>
      <c r="AI28" s="482">
        <v>0</v>
      </c>
      <c r="AJ28" s="2">
        <f t="shared" si="4"/>
        <v>0</v>
      </c>
      <c r="AK28" s="488">
        <f t="shared" si="0"/>
        <v>1</v>
      </c>
      <c r="AN28" s="2"/>
      <c r="AO28" s="2"/>
    </row>
    <row r="29" spans="1:47" ht="18.75" customHeight="1">
      <c r="A29" s="2"/>
      <c r="B29" s="2780"/>
      <c r="C29" s="2794"/>
      <c r="D29" s="2795"/>
      <c r="E29" s="2794"/>
      <c r="F29" s="2795"/>
      <c r="G29" s="2812"/>
      <c r="H29" s="2794"/>
      <c r="I29" s="2795"/>
      <c r="J29" s="2794"/>
      <c r="K29" s="2795"/>
      <c r="L29" s="2812"/>
      <c r="M29" s="2794"/>
      <c r="N29" s="2795"/>
      <c r="O29" s="2794"/>
      <c r="P29" s="2795"/>
      <c r="Q29" s="2794"/>
      <c r="R29" s="2795"/>
      <c r="S29" s="2794"/>
      <c r="T29" s="2795"/>
      <c r="U29" s="2794"/>
      <c r="V29" s="2795"/>
      <c r="W29" s="2794"/>
      <c r="X29" s="2795"/>
      <c r="Y29" s="2794"/>
      <c r="Z29" s="2795"/>
      <c r="AA29" s="2794"/>
      <c r="AB29" s="2795"/>
      <c r="AC29" s="2812"/>
      <c r="AF29" s="2"/>
      <c r="AG29" s="2"/>
      <c r="AH29" s="2"/>
      <c r="AI29" s="2"/>
      <c r="AK29" s="2"/>
    </row>
    <row r="30" spans="1:47" s="493" customFormat="1" ht="45">
      <c r="A30" s="268"/>
      <c r="B30" s="2786" t="s">
        <v>8507</v>
      </c>
      <c r="C30" s="2788">
        <f>SUM(C5:C29)</f>
        <v>938</v>
      </c>
      <c r="D30" s="2789">
        <f t="shared" ref="D30:P30" si="5">SUM(D5:D29)</f>
        <v>240</v>
      </c>
      <c r="E30" s="2806">
        <f t="shared" si="5"/>
        <v>30</v>
      </c>
      <c r="F30" s="2807">
        <f t="shared" si="5"/>
        <v>38</v>
      </c>
      <c r="G30" s="2811">
        <f t="shared" si="5"/>
        <v>38</v>
      </c>
      <c r="H30" s="2817">
        <f t="shared" si="5"/>
        <v>83</v>
      </c>
      <c r="I30" s="2818">
        <f t="shared" si="5"/>
        <v>1</v>
      </c>
      <c r="J30" s="2821">
        <f t="shared" si="5"/>
        <v>43</v>
      </c>
      <c r="K30" s="2822">
        <f t="shared" si="5"/>
        <v>8</v>
      </c>
      <c r="L30" s="2826">
        <f t="shared" si="5"/>
        <v>98</v>
      </c>
      <c r="M30" s="2828">
        <f t="shared" si="5"/>
        <v>58</v>
      </c>
      <c r="N30" s="2829">
        <f t="shared" si="5"/>
        <v>14</v>
      </c>
      <c r="O30" s="2832">
        <f t="shared" si="5"/>
        <v>70</v>
      </c>
      <c r="P30" s="2836">
        <f t="shared" si="5"/>
        <v>22</v>
      </c>
      <c r="Q30" s="2837">
        <f t="shared" ref="Q30:AC30" si="6">SUM(Q5:Q29)</f>
        <v>116</v>
      </c>
      <c r="R30" s="2838">
        <f t="shared" si="6"/>
        <v>44</v>
      </c>
      <c r="S30" s="2841">
        <f t="shared" si="6"/>
        <v>112</v>
      </c>
      <c r="T30" s="2842">
        <f t="shared" si="6"/>
        <v>54</v>
      </c>
      <c r="U30" s="2817">
        <f t="shared" si="6"/>
        <v>91</v>
      </c>
      <c r="V30" s="2818">
        <f t="shared" si="6"/>
        <v>41</v>
      </c>
      <c r="W30" s="2821">
        <f t="shared" si="6"/>
        <v>64</v>
      </c>
      <c r="X30" s="2822">
        <f t="shared" si="6"/>
        <v>14</v>
      </c>
      <c r="Y30" s="2846">
        <f t="shared" si="6"/>
        <v>29</v>
      </c>
      <c r="Z30" s="2847">
        <f t="shared" si="6"/>
        <v>2</v>
      </c>
      <c r="AA30" s="2828">
        <f t="shared" si="6"/>
        <v>71</v>
      </c>
      <c r="AB30" s="2829">
        <f t="shared" si="6"/>
        <v>2</v>
      </c>
      <c r="AC30" s="2851">
        <f t="shared" si="6"/>
        <v>35</v>
      </c>
      <c r="AD30" s="2"/>
      <c r="AE30" s="2"/>
      <c r="AF30" s="492">
        <f>SUM(AF5:AF29)</f>
        <v>71</v>
      </c>
      <c r="AG30" s="492">
        <f>SUM(AG5:AG29)</f>
        <v>58</v>
      </c>
      <c r="AH30" s="492">
        <f>SUM(AH5:AH29)</f>
        <v>135</v>
      </c>
      <c r="AI30" s="492">
        <f>SUM(AI5:AI29)</f>
        <v>65</v>
      </c>
      <c r="AK30" s="491">
        <f>SUM(AK5:AK29)</f>
        <v>1507</v>
      </c>
      <c r="AL30" s="24" t="s">
        <v>8883</v>
      </c>
      <c r="AN30" s="119"/>
      <c r="AO30" s="119"/>
      <c r="AP30" s="119"/>
      <c r="AQ30" s="119"/>
      <c r="AR30" s="119"/>
      <c r="AS30" s="119"/>
      <c r="AT30" s="119"/>
      <c r="AU30" s="119"/>
    </row>
    <row r="31" spans="1:47" s="493" customFormat="1">
      <c r="A31" s="268"/>
      <c r="B31" s="2781"/>
      <c r="C31" s="2796"/>
      <c r="D31" s="2797"/>
      <c r="E31" s="2808"/>
      <c r="F31" s="2809"/>
      <c r="G31" s="2815"/>
      <c r="H31" s="2808"/>
      <c r="I31" s="2809"/>
      <c r="J31" s="2808"/>
      <c r="K31" s="2809"/>
      <c r="L31" s="2815"/>
      <c r="M31" s="2808"/>
      <c r="N31" s="2809"/>
      <c r="O31" s="2808"/>
      <c r="P31" s="2809"/>
      <c r="Q31" s="2808"/>
      <c r="R31" s="2809"/>
      <c r="S31" s="2808"/>
      <c r="T31" s="2809"/>
      <c r="U31" s="2808"/>
      <c r="V31" s="2809"/>
      <c r="W31" s="2808"/>
      <c r="X31" s="2809"/>
      <c r="Y31" s="2808"/>
      <c r="Z31" s="2809"/>
      <c r="AA31" s="2808"/>
      <c r="AB31" s="2809"/>
      <c r="AC31" s="2815"/>
      <c r="AD31" s="2"/>
      <c r="AE31" s="2"/>
      <c r="AF31" s="495"/>
      <c r="AG31" s="495"/>
      <c r="AH31" s="495"/>
      <c r="AI31" s="495"/>
      <c r="AJ31" s="761"/>
      <c r="AK31" s="488"/>
      <c r="AN31" s="119"/>
      <c r="AO31" s="119"/>
      <c r="AP31" s="119"/>
      <c r="AQ31" s="119"/>
      <c r="AR31" s="119"/>
      <c r="AS31" s="119"/>
      <c r="AT31" s="119"/>
      <c r="AU31" s="119"/>
    </row>
    <row r="32" spans="1:47" s="493" customFormat="1" ht="30.75" thickBot="1">
      <c r="A32" s="268"/>
      <c r="B32" s="2787" t="s">
        <v>8506</v>
      </c>
      <c r="C32" s="13369">
        <f>SUM(C5:C29)</f>
        <v>938</v>
      </c>
      <c r="D32" s="13370"/>
      <c r="E32" s="13367">
        <f>SUM(E5:E29)</f>
        <v>30</v>
      </c>
      <c r="F32" s="13368"/>
      <c r="G32" s="2816">
        <f>SUM(G5:G29)</f>
        <v>38</v>
      </c>
      <c r="H32" s="13353">
        <f>SUM(H5:H29)</f>
        <v>83</v>
      </c>
      <c r="I32" s="13354"/>
      <c r="J32" s="13339">
        <f>SUM(J5:J29)</f>
        <v>43</v>
      </c>
      <c r="K32" s="13340"/>
      <c r="L32" s="2827">
        <f>SUM(L5:L29)</f>
        <v>98</v>
      </c>
      <c r="M32" s="13345">
        <f>SUM(M5:M29)</f>
        <v>58</v>
      </c>
      <c r="N32" s="13346"/>
      <c r="O32" s="13347">
        <f>SUM(O5:O29)</f>
        <v>70</v>
      </c>
      <c r="P32" s="13348"/>
      <c r="Q32" s="13349">
        <f>SUM(Q5:Q29)</f>
        <v>116</v>
      </c>
      <c r="R32" s="13350"/>
      <c r="S32" s="13351">
        <f>SUM(S5:S29)</f>
        <v>112</v>
      </c>
      <c r="T32" s="13352"/>
      <c r="U32" s="13353">
        <f>SUM(U5:U29)</f>
        <v>91</v>
      </c>
      <c r="V32" s="13354"/>
      <c r="W32" s="13339">
        <f>SUM(W5:W29)</f>
        <v>64</v>
      </c>
      <c r="X32" s="13340"/>
      <c r="Y32" s="13341">
        <f>SUM(Y5:Y29)</f>
        <v>29</v>
      </c>
      <c r="Z32" s="13342"/>
      <c r="AA32" s="13345">
        <f>SUM(AA5:AA29)</f>
        <v>71</v>
      </c>
      <c r="AB32" s="13346"/>
      <c r="AC32" s="2853">
        <f>SUM(AC5:AC29)</f>
        <v>35</v>
      </c>
      <c r="AD32" s="2"/>
      <c r="AE32" s="2"/>
      <c r="AF32" s="762">
        <v>49</v>
      </c>
      <c r="AG32" s="762">
        <v>39</v>
      </c>
      <c r="AH32" s="762">
        <v>78</v>
      </c>
      <c r="AI32" s="762">
        <v>54</v>
      </c>
      <c r="AK32" s="763">
        <f>SUM(E32:AI32)</f>
        <v>1158</v>
      </c>
      <c r="AL32" s="24" t="s">
        <v>8884</v>
      </c>
      <c r="AN32" s="119"/>
      <c r="AO32" s="119"/>
      <c r="AP32" s="119"/>
      <c r="AQ32" s="119"/>
      <c r="AR32" s="119"/>
      <c r="AS32" s="119"/>
      <c r="AT32" s="119"/>
      <c r="AU32" s="119"/>
    </row>
    <row r="33" spans="1:37" s="81" customFormat="1" ht="27.75" customHeight="1">
      <c r="A33" s="484"/>
      <c r="E33" s="485"/>
      <c r="F33" s="485"/>
      <c r="U33" s="486"/>
      <c r="V33" s="486"/>
      <c r="AD33" s="2"/>
      <c r="AE33" s="2"/>
      <c r="AF33" s="487"/>
      <c r="AG33" s="487"/>
      <c r="AH33" s="487"/>
      <c r="AI33" s="487"/>
      <c r="AJ33" s="3"/>
      <c r="AK33" s="119"/>
    </row>
  </sheetData>
  <sortState ref="AN6:AO28">
    <sortCondition descending="1" ref="AO6:AO28"/>
  </sortState>
  <mergeCells count="24">
    <mergeCell ref="E32:F32"/>
    <mergeCell ref="H2:I2"/>
    <mergeCell ref="H32:I32"/>
    <mergeCell ref="C32:D32"/>
    <mergeCell ref="J32:K32"/>
    <mergeCell ref="E2:F2"/>
    <mergeCell ref="J2:K2"/>
    <mergeCell ref="C2:D2"/>
    <mergeCell ref="W32:X32"/>
    <mergeCell ref="Y32:Z32"/>
    <mergeCell ref="AA2:AB2"/>
    <mergeCell ref="AA32:AB32"/>
    <mergeCell ref="M32:N32"/>
    <mergeCell ref="O32:P32"/>
    <mergeCell ref="Q32:R32"/>
    <mergeCell ref="S32:T32"/>
    <mergeCell ref="U32:V32"/>
    <mergeCell ref="W2:X2"/>
    <mergeCell ref="Y2:Z2"/>
    <mergeCell ref="M2:N2"/>
    <mergeCell ref="O2:P2"/>
    <mergeCell ref="Q2:R2"/>
    <mergeCell ref="S2:T2"/>
    <mergeCell ref="U2:V2"/>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U61"/>
  <sheetViews>
    <sheetView showGridLines="0" topLeftCell="B2" zoomScale="70" zoomScaleNormal="70" workbookViewId="0">
      <pane xSplit="3" ySplit="2" topLeftCell="E4" activePane="bottomRight" state="frozen"/>
      <selection activeCell="B2" sqref="B2"/>
      <selection pane="topRight" activeCell="E2" sqref="E2"/>
      <selection pane="bottomLeft" activeCell="B4" sqref="B4"/>
      <selection pane="bottomRight" activeCell="A2" sqref="A2"/>
    </sheetView>
  </sheetViews>
  <sheetFormatPr baseColWidth="10" defaultColWidth="11.42578125" defaultRowHeight="15"/>
  <cols>
    <col min="1" max="1" width="4.140625" style="268" customWidth="1"/>
    <col min="2" max="2" width="29.7109375" style="2" customWidth="1"/>
    <col min="3" max="3" width="17.5703125" style="2" hidden="1" customWidth="1"/>
    <col min="4" max="4" width="21.140625" style="2" hidden="1" customWidth="1"/>
    <col min="5" max="5" width="20.140625" style="136" customWidth="1"/>
    <col min="6" max="6" width="21.140625" style="136" hidden="1" customWidth="1"/>
    <col min="7" max="7" width="12.7109375" style="136" customWidth="1"/>
    <col min="8" max="8" width="24.5703125" style="136" customWidth="1"/>
    <col min="9" max="9" width="21.28515625" style="136" hidden="1" customWidth="1"/>
    <col min="10" max="10" width="14.85546875" style="136" customWidth="1"/>
    <col min="11" max="11" width="21.140625" style="136" hidden="1" customWidth="1"/>
    <col min="12" max="12" width="14.42578125" style="136" customWidth="1"/>
    <col min="13" max="13" width="12.5703125" style="136" customWidth="1"/>
    <col min="14" max="14" width="21.140625" style="136" hidden="1" customWidth="1"/>
    <col min="15" max="15" width="13" style="136" customWidth="1"/>
    <col min="16" max="16" width="21.140625" style="136" hidden="1" customWidth="1"/>
    <col min="17" max="17" width="20.42578125" style="136" customWidth="1"/>
    <col min="18" max="18" width="21.140625" style="136" hidden="1" customWidth="1"/>
    <col min="19" max="19" width="15.7109375" style="136" customWidth="1"/>
    <col min="20" max="20" width="21.140625" style="136" hidden="1" customWidth="1"/>
    <col min="21" max="21" width="18.42578125" style="136" customWidth="1"/>
    <col min="22" max="22" width="21.140625" style="136" hidden="1" customWidth="1"/>
    <col min="23" max="23" width="13.5703125" style="136" customWidth="1"/>
    <col min="24" max="24" width="21.140625" style="136" hidden="1" customWidth="1"/>
    <col min="25" max="25" width="18.28515625" style="136" customWidth="1"/>
    <col min="26" max="26" width="21.140625" style="136" hidden="1" customWidth="1"/>
    <col min="27" max="27" width="19.5703125" style="136" customWidth="1"/>
    <col min="28" max="28" width="19.85546875" style="2" hidden="1" customWidth="1"/>
    <col min="29" max="29" width="14.7109375" style="2" customWidth="1"/>
    <col min="30" max="31" width="17.5703125" style="2" hidden="1" customWidth="1"/>
    <col min="32" max="32" width="12.42578125" style="764" hidden="1" customWidth="1"/>
    <col min="33" max="33" width="10.42578125" style="764" hidden="1" customWidth="1"/>
    <col min="34" max="34" width="18.140625" style="764" hidden="1" customWidth="1"/>
    <col min="35" max="35" width="13.140625" style="764" hidden="1" customWidth="1"/>
    <col min="36" max="36" width="0" style="2" hidden="1" customWidth="1"/>
    <col min="37" max="37" width="0" style="136" hidden="1" customWidth="1"/>
    <col min="38" max="39" width="0" style="2" hidden="1" customWidth="1"/>
    <col min="40" max="40" width="16.28515625" style="2" bestFit="1" customWidth="1"/>
    <col min="41" max="41" width="14.85546875" style="2" bestFit="1" customWidth="1"/>
    <col min="42" max="16384" width="11.42578125" style="2"/>
  </cols>
  <sheetData>
    <row r="1" spans="1:41" s="136" customFormat="1" ht="15.75" hidden="1" thickBot="1">
      <c r="A1" s="268"/>
      <c r="E1" s="136">
        <v>1</v>
      </c>
      <c r="G1" s="136">
        <v>2</v>
      </c>
      <c r="H1" s="136">
        <v>3</v>
      </c>
      <c r="J1" s="136">
        <v>4</v>
      </c>
      <c r="L1" s="136">
        <v>5</v>
      </c>
      <c r="M1" s="136">
        <v>6</v>
      </c>
      <c r="O1" s="136">
        <v>7</v>
      </c>
      <c r="Q1" s="136">
        <v>8</v>
      </c>
      <c r="S1" s="136">
        <v>9</v>
      </c>
      <c r="U1" s="136">
        <v>10</v>
      </c>
      <c r="W1" s="136">
        <v>11</v>
      </c>
      <c r="Y1" s="136">
        <v>12</v>
      </c>
      <c r="AA1" s="136">
        <v>13</v>
      </c>
      <c r="AC1" s="136">
        <v>14</v>
      </c>
      <c r="AD1" s="2"/>
      <c r="AE1" s="2"/>
      <c r="AF1" s="136">
        <v>15</v>
      </c>
      <c r="AG1" s="136">
        <v>16</v>
      </c>
      <c r="AH1" s="136">
        <v>17</v>
      </c>
      <c r="AI1" s="136">
        <v>18</v>
      </c>
    </row>
    <row r="2" spans="1:41" ht="45" customHeight="1" thickTop="1" thickBot="1">
      <c r="B2" s="2782" t="s">
        <v>4306</v>
      </c>
      <c r="C2" s="13373" t="s">
        <v>10055</v>
      </c>
      <c r="D2" s="13374"/>
      <c r="E2" s="13371" t="s">
        <v>4240</v>
      </c>
      <c r="F2" s="13372"/>
      <c r="G2" s="2810" t="s">
        <v>4307</v>
      </c>
      <c r="H2" s="13365" t="s">
        <v>4308</v>
      </c>
      <c r="I2" s="13366"/>
      <c r="J2" s="13355" t="s">
        <v>4309</v>
      </c>
      <c r="K2" s="13356"/>
      <c r="L2" s="2825" t="s">
        <v>4310</v>
      </c>
      <c r="M2" s="13343" t="s">
        <v>4311</v>
      </c>
      <c r="N2" s="13344"/>
      <c r="O2" s="13359" t="s">
        <v>4312</v>
      </c>
      <c r="P2" s="13360"/>
      <c r="Q2" s="13361" t="s">
        <v>4265</v>
      </c>
      <c r="R2" s="13362"/>
      <c r="S2" s="13363" t="s">
        <v>4313</v>
      </c>
      <c r="T2" s="13364"/>
      <c r="U2" s="13365" t="s">
        <v>4314</v>
      </c>
      <c r="V2" s="13366"/>
      <c r="W2" s="13355" t="s">
        <v>4315</v>
      </c>
      <c r="X2" s="13356"/>
      <c r="Y2" s="13357" t="s">
        <v>4316</v>
      </c>
      <c r="Z2" s="13358"/>
      <c r="AA2" s="13343" t="s">
        <v>4317</v>
      </c>
      <c r="AB2" s="13344"/>
      <c r="AC2" s="2850" t="s">
        <v>4318</v>
      </c>
      <c r="AF2" s="264" t="s">
        <v>4319</v>
      </c>
      <c r="AG2" s="264" t="s">
        <v>4320</v>
      </c>
      <c r="AH2" s="264" t="s">
        <v>4300</v>
      </c>
      <c r="AI2" s="264" t="s">
        <v>4304</v>
      </c>
      <c r="AJ2" s="2150" t="s">
        <v>10034</v>
      </c>
      <c r="AK2" s="493"/>
    </row>
    <row r="3" spans="1:41" ht="15" customHeight="1" thickBot="1">
      <c r="B3" s="2886"/>
      <c r="C3" s="2788" t="s">
        <v>2290</v>
      </c>
      <c r="D3" s="2789" t="s">
        <v>10053</v>
      </c>
      <c r="E3" s="2798"/>
      <c r="F3" s="2799"/>
      <c r="G3" s="2811"/>
      <c r="H3" s="2817"/>
      <c r="I3" s="2818"/>
      <c r="J3" s="2821"/>
      <c r="K3" s="2822"/>
      <c r="L3" s="2826"/>
      <c r="M3" s="2828"/>
      <c r="N3" s="2829"/>
      <c r="O3" s="2832"/>
      <c r="P3" s="2833"/>
      <c r="Q3" s="2837"/>
      <c r="R3" s="2838"/>
      <c r="S3" s="2841"/>
      <c r="T3" s="2842"/>
      <c r="U3" s="2817"/>
      <c r="V3" s="2818"/>
      <c r="W3" s="2821"/>
      <c r="X3" s="2822"/>
      <c r="Y3" s="2846"/>
      <c r="Z3" s="2847"/>
      <c r="AA3" s="2828"/>
      <c r="AB3" s="2829"/>
      <c r="AC3" s="2851"/>
      <c r="AF3" s="264"/>
      <c r="AG3" s="264"/>
      <c r="AH3" s="264"/>
      <c r="AI3" s="2183"/>
      <c r="AJ3" s="494"/>
      <c r="AK3" s="493"/>
    </row>
    <row r="4" spans="1:41" ht="6.75" customHeight="1">
      <c r="A4" s="2"/>
      <c r="B4" s="2780"/>
      <c r="C4" s="2790"/>
      <c r="D4" s="2791"/>
      <c r="E4" s="2939"/>
      <c r="F4" s="2940"/>
      <c r="G4" s="2941"/>
      <c r="H4" s="2939"/>
      <c r="I4" s="2940"/>
      <c r="J4" s="2939"/>
      <c r="K4" s="2940"/>
      <c r="L4" s="2941"/>
      <c r="M4" s="2939"/>
      <c r="N4" s="2940"/>
      <c r="O4" s="2939"/>
      <c r="P4" s="2940"/>
      <c r="Q4" s="2939"/>
      <c r="R4" s="2940"/>
      <c r="S4" s="2939"/>
      <c r="T4" s="2940"/>
      <c r="U4" s="2939"/>
      <c r="V4" s="2940"/>
      <c r="W4" s="2939"/>
      <c r="X4" s="2940"/>
      <c r="Y4" s="2939"/>
      <c r="Z4" s="2940"/>
      <c r="AA4" s="2939"/>
      <c r="AB4" s="2795"/>
      <c r="AC4" s="2812"/>
      <c r="AF4" s="2"/>
      <c r="AG4" s="2"/>
      <c r="AH4" s="2"/>
      <c r="AI4" s="2"/>
      <c r="AK4" s="2"/>
    </row>
    <row r="5" spans="1:41" s="144" customFormat="1" ht="18.75" hidden="1">
      <c r="A5" s="483"/>
      <c r="B5" s="2784" t="s">
        <v>8524</v>
      </c>
      <c r="C5" s="2792"/>
      <c r="D5" s="2793">
        <f>+F5+I5+K5+N5+P5+R5+T5+V5+X5+Z5+AB5</f>
        <v>6</v>
      </c>
      <c r="E5" s="2887"/>
      <c r="F5" s="2889"/>
      <c r="G5" s="2890"/>
      <c r="H5" s="2887"/>
      <c r="I5" s="2889"/>
      <c r="J5" s="2887"/>
      <c r="K5" s="2891">
        <v>3</v>
      </c>
      <c r="L5" s="2890"/>
      <c r="M5" s="2887"/>
      <c r="N5" s="2889"/>
      <c r="O5" s="2887"/>
      <c r="P5" s="2889"/>
      <c r="Q5" s="2887"/>
      <c r="R5" s="2889"/>
      <c r="S5" s="2887"/>
      <c r="T5" s="2889"/>
      <c r="U5" s="2887"/>
      <c r="V5" s="2892">
        <v>3</v>
      </c>
      <c r="W5" s="2887"/>
      <c r="X5" s="2889"/>
      <c r="Y5" s="2887"/>
      <c r="Z5" s="2889"/>
      <c r="AA5" s="2887"/>
      <c r="AB5" s="2889"/>
      <c r="AC5" s="2890"/>
      <c r="AD5" s="2"/>
      <c r="AE5" s="2"/>
      <c r="AF5" s="138"/>
      <c r="AG5" s="138"/>
      <c r="AH5" s="138"/>
      <c r="AI5" s="171"/>
      <c r="AJ5" s="2"/>
      <c r="AK5" s="488">
        <f t="shared" ref="AK5:AK28" si="0">SUM(E5:AI5)</f>
        <v>6</v>
      </c>
    </row>
    <row r="6" spans="1:41" s="144" customFormat="1" ht="18.75" hidden="1" customHeight="1">
      <c r="A6" s="483">
        <v>1</v>
      </c>
      <c r="B6" s="2784" t="s">
        <v>4321</v>
      </c>
      <c r="C6" s="2792">
        <f>+E6+G6+H6+J6+L6+M6+O6+Q6+S6+U6+W6+Y6+AA6+AC6</f>
        <v>1</v>
      </c>
      <c r="D6" s="2793">
        <f>+F6+I6+K6+N6+P6+R6+T6+V6+X6+Z6+AB6</f>
        <v>3</v>
      </c>
      <c r="E6" s="2888">
        <v>1</v>
      </c>
      <c r="F6" s="2893">
        <v>3</v>
      </c>
      <c r="G6" s="2890"/>
      <c r="H6" s="2887"/>
      <c r="I6" s="2889"/>
      <c r="J6" s="2887"/>
      <c r="K6" s="2889"/>
      <c r="L6" s="2890"/>
      <c r="M6" s="2887"/>
      <c r="N6" s="2889"/>
      <c r="O6" s="2887"/>
      <c r="P6" s="2889"/>
      <c r="Q6" s="2887"/>
      <c r="R6" s="2889"/>
      <c r="S6" s="2887"/>
      <c r="T6" s="2889"/>
      <c r="U6" s="2887"/>
      <c r="V6" s="2889"/>
      <c r="W6" s="2887"/>
      <c r="X6" s="2889"/>
      <c r="Y6" s="2887"/>
      <c r="Z6" s="2889"/>
      <c r="AA6" s="2887"/>
      <c r="AB6" s="2889"/>
      <c r="AC6" s="2890"/>
      <c r="AD6" s="2"/>
      <c r="AE6" s="2"/>
      <c r="AF6" s="139">
        <v>0</v>
      </c>
      <c r="AG6" s="139">
        <v>0</v>
      </c>
      <c r="AH6" s="139">
        <v>0</v>
      </c>
      <c r="AI6" s="482">
        <v>0</v>
      </c>
      <c r="AJ6" s="2">
        <f t="shared" ref="AJ6:AJ17" si="1">+G6+H6+J6+L6+M6+O6+Q6+S6+U6+W6+Y6+AA6+AC6+E6</f>
        <v>1</v>
      </c>
      <c r="AK6" s="488">
        <f t="shared" si="0"/>
        <v>4</v>
      </c>
      <c r="AN6" s="2"/>
      <c r="AO6" s="2"/>
    </row>
    <row r="7" spans="1:41" s="144" customFormat="1" ht="18.75" hidden="1" customHeight="1">
      <c r="A7" s="483">
        <v>2</v>
      </c>
      <c r="B7" s="2784" t="s">
        <v>4322</v>
      </c>
      <c r="C7" s="2792">
        <f t="shared" ref="C7:C28" si="2">+E7+G7+H7+J7+L7+M7+O7+Q7+S7+U7+W7+Y7+AA7+AC7</f>
        <v>0</v>
      </c>
      <c r="D7" s="2793">
        <f t="shared" ref="D7:D28" si="3">+F7+I7+K7+N7+P7+R7+T7+V7+X7+Z7+AB7</f>
        <v>2</v>
      </c>
      <c r="E7" s="2887"/>
      <c r="F7" s="2894">
        <v>2</v>
      </c>
      <c r="G7" s="2890"/>
      <c r="H7" s="2887"/>
      <c r="I7" s="2889"/>
      <c r="J7" s="2887"/>
      <c r="K7" s="2889"/>
      <c r="L7" s="2890"/>
      <c r="M7" s="2887"/>
      <c r="N7" s="2889"/>
      <c r="O7" s="2887"/>
      <c r="P7" s="2889"/>
      <c r="Q7" s="2887"/>
      <c r="R7" s="2889"/>
      <c r="S7" s="2887"/>
      <c r="T7" s="2889"/>
      <c r="U7" s="2887"/>
      <c r="V7" s="2889"/>
      <c r="W7" s="2887"/>
      <c r="X7" s="2889"/>
      <c r="Y7" s="2887"/>
      <c r="Z7" s="2889"/>
      <c r="AA7" s="2887"/>
      <c r="AB7" s="2889"/>
      <c r="AC7" s="2890"/>
      <c r="AD7" s="2"/>
      <c r="AE7" s="2"/>
      <c r="AF7" s="139">
        <v>0</v>
      </c>
      <c r="AG7" s="139">
        <v>0</v>
      </c>
      <c r="AH7" s="139">
        <v>0</v>
      </c>
      <c r="AI7" s="482">
        <v>0</v>
      </c>
      <c r="AJ7" s="2">
        <f t="shared" si="1"/>
        <v>0</v>
      </c>
      <c r="AK7" s="488">
        <f t="shared" si="0"/>
        <v>2</v>
      </c>
      <c r="AN7" s="2"/>
      <c r="AO7" s="2"/>
    </row>
    <row r="8" spans="1:41" s="144" customFormat="1" ht="16.5" customHeight="1">
      <c r="A8" s="483">
        <v>3</v>
      </c>
      <c r="B8" s="2784" t="s">
        <v>4323</v>
      </c>
      <c r="C8" s="2792">
        <f t="shared" si="2"/>
        <v>4</v>
      </c>
      <c r="D8" s="2793">
        <f t="shared" si="3"/>
        <v>6</v>
      </c>
      <c r="E8" s="2888">
        <v>1</v>
      </c>
      <c r="F8" s="2893">
        <v>6</v>
      </c>
      <c r="G8" s="2890"/>
      <c r="H8" s="2887"/>
      <c r="I8" s="2889"/>
      <c r="J8" s="2887"/>
      <c r="K8" s="2889"/>
      <c r="L8" s="2890"/>
      <c r="M8" s="2887"/>
      <c r="N8" s="2889"/>
      <c r="O8" s="2887"/>
      <c r="P8" s="2889"/>
      <c r="Q8" s="2895">
        <v>1</v>
      </c>
      <c r="R8" s="2889"/>
      <c r="S8" s="2887"/>
      <c r="T8" s="2889"/>
      <c r="U8" s="2887"/>
      <c r="V8" s="2889"/>
      <c r="W8" s="2887"/>
      <c r="X8" s="2889"/>
      <c r="Y8" s="2887"/>
      <c r="Z8" s="2889"/>
      <c r="AA8" s="2896">
        <v>1</v>
      </c>
      <c r="AB8" s="2889"/>
      <c r="AC8" s="2897">
        <v>1</v>
      </c>
      <c r="AD8" s="2"/>
      <c r="AE8" s="2"/>
      <c r="AF8" s="139">
        <v>1</v>
      </c>
      <c r="AG8" s="139">
        <v>1</v>
      </c>
      <c r="AH8" s="139">
        <v>5</v>
      </c>
      <c r="AI8" s="482">
        <v>1</v>
      </c>
      <c r="AJ8" s="2">
        <f t="shared" si="1"/>
        <v>4</v>
      </c>
      <c r="AK8" s="488">
        <f t="shared" si="0"/>
        <v>18</v>
      </c>
      <c r="AN8" s="2"/>
      <c r="AO8" s="2"/>
    </row>
    <row r="9" spans="1:41" s="144" customFormat="1" ht="16.5" customHeight="1">
      <c r="A9" s="483">
        <v>4</v>
      </c>
      <c r="B9" s="2784" t="s">
        <v>4324</v>
      </c>
      <c r="C9" s="2792">
        <f t="shared" si="2"/>
        <v>48</v>
      </c>
      <c r="D9" s="2793">
        <f t="shared" si="3"/>
        <v>2</v>
      </c>
      <c r="E9" s="2888">
        <v>4</v>
      </c>
      <c r="F9" s="2893">
        <v>2</v>
      </c>
      <c r="G9" s="2890"/>
      <c r="H9" s="2887"/>
      <c r="I9" s="2889"/>
      <c r="J9" s="2887"/>
      <c r="K9" s="2889"/>
      <c r="L9" s="2890"/>
      <c r="M9" s="2898">
        <v>5</v>
      </c>
      <c r="N9" s="2889"/>
      <c r="O9" s="2899">
        <v>6</v>
      </c>
      <c r="P9" s="2889"/>
      <c r="Q9" s="2895">
        <v>17</v>
      </c>
      <c r="R9" s="2889"/>
      <c r="S9" s="2887"/>
      <c r="T9" s="2889"/>
      <c r="U9" s="2900">
        <v>6</v>
      </c>
      <c r="V9" s="2889"/>
      <c r="W9" s="2901">
        <v>9</v>
      </c>
      <c r="X9" s="2889"/>
      <c r="Y9" s="2887"/>
      <c r="Z9" s="2889"/>
      <c r="AA9" s="2896">
        <v>1</v>
      </c>
      <c r="AB9" s="2889"/>
      <c r="AC9" s="2890"/>
      <c r="AD9" s="2"/>
      <c r="AE9" s="2"/>
      <c r="AF9" s="139">
        <v>8</v>
      </c>
      <c r="AG9" s="139">
        <v>5</v>
      </c>
      <c r="AH9" s="139">
        <v>10</v>
      </c>
      <c r="AI9" s="482">
        <v>3</v>
      </c>
      <c r="AJ9" s="2">
        <f t="shared" si="1"/>
        <v>48</v>
      </c>
      <c r="AK9" s="488">
        <f t="shared" si="0"/>
        <v>76</v>
      </c>
      <c r="AN9" s="2"/>
      <c r="AO9" s="2"/>
    </row>
    <row r="10" spans="1:41" s="144" customFormat="1" ht="16.5" customHeight="1">
      <c r="A10" s="483">
        <v>5</v>
      </c>
      <c r="B10" s="2784" t="s">
        <v>4325</v>
      </c>
      <c r="C10" s="2792">
        <f t="shared" si="2"/>
        <v>152</v>
      </c>
      <c r="D10" s="2793">
        <f t="shared" si="3"/>
        <v>6</v>
      </c>
      <c r="E10" s="2887"/>
      <c r="F10" s="2894">
        <v>2</v>
      </c>
      <c r="G10" s="2890"/>
      <c r="H10" s="2900">
        <v>5</v>
      </c>
      <c r="I10" s="2889"/>
      <c r="J10" s="2887"/>
      <c r="K10" s="2889"/>
      <c r="L10" s="2890"/>
      <c r="M10" s="2898">
        <v>5</v>
      </c>
      <c r="N10" s="2902">
        <v>1</v>
      </c>
      <c r="O10" s="2899">
        <v>2</v>
      </c>
      <c r="P10" s="2903">
        <v>1</v>
      </c>
      <c r="Q10" s="2895">
        <v>15</v>
      </c>
      <c r="R10" s="2904">
        <v>1</v>
      </c>
      <c r="S10" s="2905">
        <v>112</v>
      </c>
      <c r="T10" s="2889"/>
      <c r="U10" s="2900">
        <v>2</v>
      </c>
      <c r="V10" s="2889"/>
      <c r="W10" s="2901">
        <v>8</v>
      </c>
      <c r="X10" s="2891">
        <v>1</v>
      </c>
      <c r="Y10" s="2887"/>
      <c r="Z10" s="2889"/>
      <c r="AA10" s="2896">
        <v>3</v>
      </c>
      <c r="AB10" s="2889"/>
      <c r="AC10" s="2890"/>
      <c r="AD10" s="2"/>
      <c r="AE10" s="2"/>
      <c r="AF10" s="139">
        <v>4</v>
      </c>
      <c r="AG10" s="139">
        <v>1</v>
      </c>
      <c r="AH10" s="139">
        <v>2</v>
      </c>
      <c r="AI10" s="482">
        <v>2</v>
      </c>
      <c r="AJ10" s="2">
        <f t="shared" si="1"/>
        <v>152</v>
      </c>
      <c r="AK10" s="488">
        <f t="shared" si="0"/>
        <v>167</v>
      </c>
      <c r="AN10" s="2"/>
      <c r="AO10" s="2"/>
    </row>
    <row r="11" spans="1:41" s="144" customFormat="1" ht="16.5" customHeight="1">
      <c r="A11" s="483">
        <v>6</v>
      </c>
      <c r="B11" s="2785" t="s">
        <v>4326</v>
      </c>
      <c r="C11" s="2792">
        <f t="shared" si="2"/>
        <v>76</v>
      </c>
      <c r="D11" s="2793">
        <f t="shared" si="3"/>
        <v>2</v>
      </c>
      <c r="E11" s="2887"/>
      <c r="F11" s="2894">
        <v>1</v>
      </c>
      <c r="G11" s="2906">
        <v>30</v>
      </c>
      <c r="H11" s="2900">
        <v>9</v>
      </c>
      <c r="I11" s="2889"/>
      <c r="J11" s="2887"/>
      <c r="K11" s="2889"/>
      <c r="L11" s="2890"/>
      <c r="M11" s="2896">
        <v>1</v>
      </c>
      <c r="N11" s="2889"/>
      <c r="O11" s="2899">
        <v>8</v>
      </c>
      <c r="P11" s="2903">
        <v>1</v>
      </c>
      <c r="Q11" s="2895">
        <v>11</v>
      </c>
      <c r="R11" s="2889"/>
      <c r="S11" s="2887"/>
      <c r="T11" s="2889"/>
      <c r="U11" s="2900">
        <v>1</v>
      </c>
      <c r="V11" s="2889"/>
      <c r="W11" s="2901">
        <v>12</v>
      </c>
      <c r="X11" s="2889"/>
      <c r="Y11" s="2887"/>
      <c r="Z11" s="2889"/>
      <c r="AA11" s="2896">
        <v>4</v>
      </c>
      <c r="AB11" s="2889"/>
      <c r="AC11" s="2890"/>
      <c r="AD11" s="2"/>
      <c r="AE11" s="2"/>
      <c r="AF11" s="139">
        <v>5</v>
      </c>
      <c r="AG11" s="139">
        <v>8</v>
      </c>
      <c r="AH11" s="139">
        <v>3</v>
      </c>
      <c r="AI11" s="482">
        <v>9</v>
      </c>
      <c r="AJ11" s="2">
        <f t="shared" si="1"/>
        <v>76</v>
      </c>
      <c r="AK11" s="488">
        <f t="shared" si="0"/>
        <v>103</v>
      </c>
      <c r="AN11" s="2"/>
      <c r="AO11" s="2"/>
    </row>
    <row r="12" spans="1:41" s="144" customFormat="1" ht="16.5" customHeight="1">
      <c r="A12" s="483">
        <v>7</v>
      </c>
      <c r="B12" s="2784" t="s">
        <v>4327</v>
      </c>
      <c r="C12" s="2792">
        <f t="shared" si="2"/>
        <v>124</v>
      </c>
      <c r="D12" s="2793">
        <f t="shared" si="3"/>
        <v>96</v>
      </c>
      <c r="E12" s="2887"/>
      <c r="F12" s="2894">
        <v>2</v>
      </c>
      <c r="G12" s="2890"/>
      <c r="H12" s="2915">
        <v>29</v>
      </c>
      <c r="I12" s="2928"/>
      <c r="J12" s="2917">
        <v>2</v>
      </c>
      <c r="K12" s="2918">
        <v>3</v>
      </c>
      <c r="L12" s="2929"/>
      <c r="M12" s="2898">
        <v>15</v>
      </c>
      <c r="N12" s="2902">
        <v>6</v>
      </c>
      <c r="O12" s="2919">
        <v>13</v>
      </c>
      <c r="P12" s="2930">
        <v>13</v>
      </c>
      <c r="Q12" s="2921">
        <v>9</v>
      </c>
      <c r="R12" s="2922">
        <v>26</v>
      </c>
      <c r="S12" s="2931"/>
      <c r="T12" s="2924">
        <v>7</v>
      </c>
      <c r="U12" s="2915">
        <v>30</v>
      </c>
      <c r="V12" s="2916">
        <v>30</v>
      </c>
      <c r="W12" s="2917">
        <v>5</v>
      </c>
      <c r="X12" s="2918">
        <v>9</v>
      </c>
      <c r="Y12" s="2931"/>
      <c r="Z12" s="2928"/>
      <c r="AA12" s="2898">
        <v>21</v>
      </c>
      <c r="AB12" s="2928"/>
      <c r="AC12" s="2929"/>
      <c r="AD12" s="2"/>
      <c r="AE12" s="2"/>
      <c r="AF12" s="139">
        <v>26</v>
      </c>
      <c r="AG12" s="139">
        <v>19</v>
      </c>
      <c r="AH12" s="139">
        <v>11</v>
      </c>
      <c r="AI12" s="482">
        <v>25</v>
      </c>
      <c r="AJ12" s="2">
        <f t="shared" si="1"/>
        <v>124</v>
      </c>
      <c r="AK12" s="488">
        <f t="shared" si="0"/>
        <v>301</v>
      </c>
      <c r="AN12" s="2"/>
      <c r="AO12" s="2"/>
    </row>
    <row r="13" spans="1:41" s="144" customFormat="1" ht="16.5" customHeight="1">
      <c r="A13" s="483">
        <v>8</v>
      </c>
      <c r="B13" s="2784" t="s">
        <v>4328</v>
      </c>
      <c r="C13" s="2792">
        <f t="shared" si="2"/>
        <v>1</v>
      </c>
      <c r="D13" s="2793">
        <f t="shared" si="3"/>
        <v>8</v>
      </c>
      <c r="E13" s="2887"/>
      <c r="F13" s="2894">
        <v>2</v>
      </c>
      <c r="G13" s="2890"/>
      <c r="H13" s="2931"/>
      <c r="I13" s="2928"/>
      <c r="J13" s="2931"/>
      <c r="K13" s="2928"/>
      <c r="L13" s="2929"/>
      <c r="M13" s="2931"/>
      <c r="N13" s="2928"/>
      <c r="O13" s="2931"/>
      <c r="P13" s="2928"/>
      <c r="Q13" s="2921">
        <v>1</v>
      </c>
      <c r="R13" s="2928"/>
      <c r="S13" s="2931"/>
      <c r="T13" s="2924">
        <v>6</v>
      </c>
      <c r="U13" s="2931"/>
      <c r="V13" s="2928"/>
      <c r="W13" s="2931"/>
      <c r="X13" s="2928"/>
      <c r="Y13" s="2931"/>
      <c r="Z13" s="2928"/>
      <c r="AA13" s="2931"/>
      <c r="AB13" s="2928"/>
      <c r="AC13" s="2929"/>
      <c r="AD13" s="2"/>
      <c r="AE13" s="2"/>
      <c r="AF13" s="139">
        <v>1</v>
      </c>
      <c r="AG13" s="139">
        <v>0</v>
      </c>
      <c r="AH13" s="139">
        <v>2</v>
      </c>
      <c r="AI13" s="482">
        <v>0</v>
      </c>
      <c r="AJ13" s="2">
        <f t="shared" si="1"/>
        <v>1</v>
      </c>
      <c r="AK13" s="488">
        <f t="shared" si="0"/>
        <v>12</v>
      </c>
      <c r="AN13" s="2"/>
      <c r="AO13" s="2"/>
    </row>
    <row r="14" spans="1:41" s="144" customFormat="1" ht="16.5" customHeight="1">
      <c r="A14" s="483">
        <v>9</v>
      </c>
      <c r="B14" s="2784" t="s">
        <v>158</v>
      </c>
      <c r="C14" s="2792">
        <f t="shared" si="2"/>
        <v>97</v>
      </c>
      <c r="D14" s="2793">
        <f t="shared" si="3"/>
        <v>29</v>
      </c>
      <c r="E14" s="2908">
        <v>3</v>
      </c>
      <c r="F14" s="2894">
        <v>1</v>
      </c>
      <c r="G14" s="2906">
        <v>5</v>
      </c>
      <c r="H14" s="2915">
        <v>13</v>
      </c>
      <c r="I14" s="2928"/>
      <c r="J14" s="2917">
        <v>1</v>
      </c>
      <c r="K14" s="2918">
        <v>1</v>
      </c>
      <c r="L14" s="2929"/>
      <c r="M14" s="2898">
        <v>18</v>
      </c>
      <c r="N14" s="2902">
        <v>4</v>
      </c>
      <c r="O14" s="2919">
        <v>10</v>
      </c>
      <c r="P14" s="2928"/>
      <c r="Q14" s="2921">
        <v>17</v>
      </c>
      <c r="R14" s="2922">
        <v>4</v>
      </c>
      <c r="S14" s="2931"/>
      <c r="T14" s="2924">
        <v>17</v>
      </c>
      <c r="U14" s="2915">
        <v>14</v>
      </c>
      <c r="V14" s="2928"/>
      <c r="W14" s="2917">
        <v>11</v>
      </c>
      <c r="X14" s="2928"/>
      <c r="Y14" s="2931"/>
      <c r="Z14" s="2926">
        <v>2</v>
      </c>
      <c r="AA14" s="2898">
        <v>2</v>
      </c>
      <c r="AB14" s="2928"/>
      <c r="AC14" s="2927">
        <v>3</v>
      </c>
      <c r="AD14" s="2"/>
      <c r="AE14" s="2"/>
      <c r="AF14" s="139">
        <v>5</v>
      </c>
      <c r="AG14" s="139">
        <v>6</v>
      </c>
      <c r="AH14" s="139">
        <v>11</v>
      </c>
      <c r="AI14" s="482">
        <v>1</v>
      </c>
      <c r="AJ14" s="2">
        <f t="shared" si="1"/>
        <v>97</v>
      </c>
      <c r="AK14" s="488">
        <f t="shared" si="0"/>
        <v>149</v>
      </c>
      <c r="AL14" s="2" t="s">
        <v>10037</v>
      </c>
      <c r="AM14" s="2" t="s">
        <v>10038</v>
      </c>
      <c r="AN14" s="2"/>
      <c r="AO14" s="2"/>
    </row>
    <row r="15" spans="1:41" s="144" customFormat="1" ht="16.5" customHeight="1">
      <c r="A15" s="483">
        <v>10</v>
      </c>
      <c r="B15" s="2784" t="s">
        <v>4329</v>
      </c>
      <c r="C15" s="2792">
        <f t="shared" si="2"/>
        <v>55</v>
      </c>
      <c r="D15" s="2793">
        <f t="shared" si="3"/>
        <v>14</v>
      </c>
      <c r="E15" s="2908">
        <v>16</v>
      </c>
      <c r="F15" s="2894">
        <v>3</v>
      </c>
      <c r="G15" s="2890"/>
      <c r="H15" s="2915">
        <v>8</v>
      </c>
      <c r="I15" s="2928"/>
      <c r="J15" s="2931"/>
      <c r="K15" s="2928"/>
      <c r="L15" s="2929"/>
      <c r="M15" s="2898">
        <v>2</v>
      </c>
      <c r="N15" s="2902">
        <v>2</v>
      </c>
      <c r="O15" s="2919">
        <v>7</v>
      </c>
      <c r="P15" s="2930">
        <v>2</v>
      </c>
      <c r="Q15" s="2921">
        <v>8</v>
      </c>
      <c r="R15" s="2922">
        <v>1</v>
      </c>
      <c r="S15" s="2931"/>
      <c r="T15" s="2928"/>
      <c r="U15" s="2931"/>
      <c r="V15" s="2916">
        <v>5</v>
      </c>
      <c r="W15" s="2917">
        <v>2</v>
      </c>
      <c r="X15" s="2928"/>
      <c r="Y15" s="2931"/>
      <c r="Z15" s="2928"/>
      <c r="AA15" s="2898">
        <v>2</v>
      </c>
      <c r="AB15" s="2902">
        <v>1</v>
      </c>
      <c r="AC15" s="2927">
        <v>10</v>
      </c>
      <c r="AD15" s="2"/>
      <c r="AE15" s="2"/>
      <c r="AF15" s="139">
        <v>1</v>
      </c>
      <c r="AG15" s="139">
        <v>4</v>
      </c>
      <c r="AH15" s="139">
        <v>31</v>
      </c>
      <c r="AI15" s="482">
        <v>10</v>
      </c>
      <c r="AJ15" s="2">
        <f t="shared" si="1"/>
        <v>55</v>
      </c>
      <c r="AK15" s="488">
        <f t="shared" si="0"/>
        <v>115</v>
      </c>
      <c r="AL15" s="2" t="s">
        <v>10045</v>
      </c>
      <c r="AN15" s="2"/>
      <c r="AO15" s="2"/>
    </row>
    <row r="16" spans="1:41" s="144" customFormat="1" ht="16.5" customHeight="1">
      <c r="A16" s="483">
        <v>11</v>
      </c>
      <c r="B16" s="2784" t="s">
        <v>4330</v>
      </c>
      <c r="C16" s="2792">
        <f t="shared" si="2"/>
        <v>2</v>
      </c>
      <c r="D16" s="2793">
        <f t="shared" si="3"/>
        <v>5</v>
      </c>
      <c r="E16" s="2887"/>
      <c r="F16" s="2889"/>
      <c r="G16" s="2906">
        <v>1</v>
      </c>
      <c r="H16" s="2915">
        <v>1</v>
      </c>
      <c r="I16" s="2928"/>
      <c r="J16" s="2931"/>
      <c r="K16" s="2928"/>
      <c r="L16" s="2929"/>
      <c r="M16" s="2931"/>
      <c r="N16" s="2928"/>
      <c r="O16" s="2931"/>
      <c r="P16" s="2928"/>
      <c r="Q16" s="2931"/>
      <c r="R16" s="2922">
        <v>2</v>
      </c>
      <c r="S16" s="2931"/>
      <c r="T16" s="2924">
        <v>3</v>
      </c>
      <c r="U16" s="2931"/>
      <c r="V16" s="2928"/>
      <c r="W16" s="2931"/>
      <c r="X16" s="2928"/>
      <c r="Y16" s="2931"/>
      <c r="Z16" s="2928"/>
      <c r="AA16" s="2931"/>
      <c r="AB16" s="2928"/>
      <c r="AC16" s="2929"/>
      <c r="AD16" s="2"/>
      <c r="AE16" s="2"/>
      <c r="AF16" s="139">
        <v>1</v>
      </c>
      <c r="AG16" s="139">
        <v>0</v>
      </c>
      <c r="AH16" s="139">
        <v>1</v>
      </c>
      <c r="AI16" s="482">
        <v>0</v>
      </c>
      <c r="AJ16" s="2">
        <f t="shared" si="1"/>
        <v>2</v>
      </c>
      <c r="AK16" s="488">
        <f t="shared" si="0"/>
        <v>9</v>
      </c>
      <c r="AN16" s="2"/>
      <c r="AO16" s="2"/>
    </row>
    <row r="17" spans="1:47" s="144" customFormat="1" ht="16.5" customHeight="1">
      <c r="A17" s="483">
        <v>12</v>
      </c>
      <c r="B17" s="2784" t="s">
        <v>208</v>
      </c>
      <c r="C17" s="2792">
        <f t="shared" si="2"/>
        <v>3</v>
      </c>
      <c r="D17" s="2793">
        <f t="shared" si="3"/>
        <v>7</v>
      </c>
      <c r="E17" s="2887"/>
      <c r="F17" s="2889"/>
      <c r="G17" s="2890"/>
      <c r="H17" s="2931"/>
      <c r="I17" s="2928"/>
      <c r="J17" s="2931"/>
      <c r="K17" s="2928"/>
      <c r="L17" s="2929"/>
      <c r="M17" s="2898">
        <v>1</v>
      </c>
      <c r="N17" s="2928"/>
      <c r="O17" s="2931"/>
      <c r="P17" s="2930">
        <v>2</v>
      </c>
      <c r="Q17" s="2931"/>
      <c r="R17" s="2928"/>
      <c r="S17" s="2931"/>
      <c r="T17" s="2928"/>
      <c r="U17" s="2915">
        <v>2</v>
      </c>
      <c r="V17" s="2916">
        <v>2</v>
      </c>
      <c r="W17" s="2931"/>
      <c r="X17" s="2918">
        <v>3</v>
      </c>
      <c r="Y17" s="2931"/>
      <c r="Z17" s="2928"/>
      <c r="AA17" s="2931"/>
      <c r="AB17" s="2928"/>
      <c r="AC17" s="2929"/>
      <c r="AD17" s="2"/>
      <c r="AE17" s="2"/>
      <c r="AF17" s="139">
        <v>0</v>
      </c>
      <c r="AG17" s="139">
        <v>0</v>
      </c>
      <c r="AH17" s="139">
        <v>0</v>
      </c>
      <c r="AI17" s="482">
        <v>0</v>
      </c>
      <c r="AJ17" s="2">
        <f t="shared" si="1"/>
        <v>3</v>
      </c>
      <c r="AK17" s="488">
        <f t="shared" si="0"/>
        <v>10</v>
      </c>
      <c r="AN17" s="2"/>
      <c r="AO17" s="2"/>
    </row>
    <row r="18" spans="1:47" s="144" customFormat="1" ht="16.5" customHeight="1">
      <c r="A18" s="483">
        <v>13</v>
      </c>
      <c r="B18" s="2784" t="s">
        <v>4331</v>
      </c>
      <c r="C18" s="2792">
        <f t="shared" si="2"/>
        <v>12</v>
      </c>
      <c r="D18" s="2793">
        <f t="shared" si="3"/>
        <v>16</v>
      </c>
      <c r="E18" s="2887"/>
      <c r="F18" s="2889"/>
      <c r="G18" s="2890"/>
      <c r="H18" s="2931"/>
      <c r="I18" s="2928"/>
      <c r="J18" s="2931"/>
      <c r="K18" s="2918">
        <v>1</v>
      </c>
      <c r="L18" s="2929"/>
      <c r="M18" s="2931"/>
      <c r="N18" s="2928"/>
      <c r="O18" s="2931"/>
      <c r="P18" s="2930">
        <v>2</v>
      </c>
      <c r="Q18" s="2921">
        <v>1</v>
      </c>
      <c r="R18" s="2922">
        <v>5</v>
      </c>
      <c r="S18" s="2942"/>
      <c r="T18" s="2924">
        <v>8</v>
      </c>
      <c r="U18" s="2931"/>
      <c r="V18" s="2928"/>
      <c r="W18" s="2931"/>
      <c r="X18" s="2928"/>
      <c r="Y18" s="2931"/>
      <c r="Z18" s="2928"/>
      <c r="AA18" s="2898">
        <v>11</v>
      </c>
      <c r="AB18" s="2928"/>
      <c r="AC18" s="2929"/>
      <c r="AD18" s="2"/>
      <c r="AE18" s="2"/>
      <c r="AF18" s="139">
        <v>1</v>
      </c>
      <c r="AG18" s="139">
        <v>0</v>
      </c>
      <c r="AH18" s="139">
        <v>0</v>
      </c>
      <c r="AI18" s="482">
        <v>0</v>
      </c>
      <c r="AJ18" s="2">
        <f>+G18+H18+J18+L18+M18+O18+Q18+T18+U18+W18+Y18+AA18+AC18+E18</f>
        <v>20</v>
      </c>
      <c r="AK18" s="488">
        <f t="shared" si="0"/>
        <v>29</v>
      </c>
      <c r="AN18" s="2"/>
      <c r="AO18" s="2"/>
    </row>
    <row r="19" spans="1:47" s="144" customFormat="1" ht="16.5" customHeight="1">
      <c r="A19" s="483">
        <v>14</v>
      </c>
      <c r="B19" s="2784" t="s">
        <v>4332</v>
      </c>
      <c r="C19" s="2792">
        <f t="shared" si="2"/>
        <v>1</v>
      </c>
      <c r="D19" s="2793">
        <f t="shared" si="3"/>
        <v>1</v>
      </c>
      <c r="E19" s="2887"/>
      <c r="F19" s="2889"/>
      <c r="G19" s="2890"/>
      <c r="H19" s="2915">
        <v>1</v>
      </c>
      <c r="I19" s="2928"/>
      <c r="J19" s="2931"/>
      <c r="K19" s="2928"/>
      <c r="L19" s="2929"/>
      <c r="M19" s="2931"/>
      <c r="N19" s="2928"/>
      <c r="O19" s="2931"/>
      <c r="P19" s="2928"/>
      <c r="Q19" s="2931"/>
      <c r="R19" s="2928"/>
      <c r="S19" s="2942"/>
      <c r="T19" s="2924">
        <v>1</v>
      </c>
      <c r="U19" s="2931"/>
      <c r="V19" s="2928"/>
      <c r="W19" s="2931"/>
      <c r="X19" s="2928"/>
      <c r="Y19" s="2931"/>
      <c r="Z19" s="2928"/>
      <c r="AA19" s="2931"/>
      <c r="AB19" s="2928"/>
      <c r="AC19" s="2929"/>
      <c r="AD19" s="2"/>
      <c r="AE19" s="2"/>
      <c r="AF19" s="139">
        <v>0</v>
      </c>
      <c r="AG19" s="139">
        <v>0</v>
      </c>
      <c r="AH19" s="139">
        <v>0</v>
      </c>
      <c r="AI19" s="482">
        <v>0</v>
      </c>
      <c r="AJ19" s="2">
        <f t="shared" ref="AJ19:AJ28" si="4">+G19+H19+J19+L19+M19+O19+Q19+S19+U19+W19+Y19+AA19+AC19+E19</f>
        <v>1</v>
      </c>
      <c r="AK19" s="488">
        <f t="shared" si="0"/>
        <v>2</v>
      </c>
      <c r="AN19" s="2"/>
      <c r="AO19" s="2"/>
    </row>
    <row r="20" spans="1:47" s="144" customFormat="1" ht="16.5" customHeight="1">
      <c r="A20" s="483">
        <v>15</v>
      </c>
      <c r="B20" s="2784" t="s">
        <v>2859</v>
      </c>
      <c r="C20" s="2792">
        <f t="shared" si="2"/>
        <v>7</v>
      </c>
      <c r="D20" s="2793">
        <f t="shared" si="3"/>
        <v>5</v>
      </c>
      <c r="E20" s="2908">
        <v>2</v>
      </c>
      <c r="F20" s="2894">
        <v>3</v>
      </c>
      <c r="G20" s="2890"/>
      <c r="H20" s="2931"/>
      <c r="I20" s="2928"/>
      <c r="J20" s="2931"/>
      <c r="K20" s="2928"/>
      <c r="L20" s="2929"/>
      <c r="M20" s="2898">
        <v>1</v>
      </c>
      <c r="N20" s="2928"/>
      <c r="O20" s="2931"/>
      <c r="P20" s="2928"/>
      <c r="Q20" s="2921">
        <v>2</v>
      </c>
      <c r="R20" s="2922">
        <v>2</v>
      </c>
      <c r="S20" s="2931"/>
      <c r="T20" s="2928"/>
      <c r="U20" s="2915">
        <v>2</v>
      </c>
      <c r="V20" s="2928"/>
      <c r="W20" s="2931"/>
      <c r="X20" s="2928"/>
      <c r="Y20" s="2931"/>
      <c r="Z20" s="2928"/>
      <c r="AA20" s="2931"/>
      <c r="AB20" s="2928"/>
      <c r="AC20" s="2929"/>
      <c r="AD20" s="2"/>
      <c r="AE20" s="2"/>
      <c r="AF20" s="139">
        <v>2</v>
      </c>
      <c r="AG20" s="139">
        <v>0</v>
      </c>
      <c r="AH20" s="139">
        <v>0</v>
      </c>
      <c r="AI20" s="482">
        <v>0</v>
      </c>
      <c r="AJ20" s="2">
        <f t="shared" si="4"/>
        <v>7</v>
      </c>
      <c r="AK20" s="488">
        <f t="shared" si="0"/>
        <v>14</v>
      </c>
      <c r="AN20" s="2"/>
      <c r="AO20" s="2"/>
    </row>
    <row r="21" spans="1:47" s="144" customFormat="1" ht="16.5" customHeight="1">
      <c r="A21" s="483">
        <v>16</v>
      </c>
      <c r="B21" s="2784" t="s">
        <v>4333</v>
      </c>
      <c r="C21" s="2792">
        <f t="shared" si="2"/>
        <v>2</v>
      </c>
      <c r="D21" s="2793">
        <f t="shared" si="3"/>
        <v>0</v>
      </c>
      <c r="E21" s="2887"/>
      <c r="F21" s="2889"/>
      <c r="G21" s="2890"/>
      <c r="H21" s="2931"/>
      <c r="I21" s="2928"/>
      <c r="J21" s="2931"/>
      <c r="K21" s="2928"/>
      <c r="L21" s="2929"/>
      <c r="M21" s="2931"/>
      <c r="N21" s="2928"/>
      <c r="O21" s="2931"/>
      <c r="P21" s="2928"/>
      <c r="Q21" s="2931"/>
      <c r="R21" s="2928"/>
      <c r="S21" s="2931"/>
      <c r="T21" s="2928"/>
      <c r="U21" s="2931"/>
      <c r="V21" s="2928"/>
      <c r="W21" s="2931"/>
      <c r="X21" s="2928"/>
      <c r="Y21" s="2931"/>
      <c r="Z21" s="2928"/>
      <c r="AA21" s="2898">
        <v>2</v>
      </c>
      <c r="AB21" s="2928"/>
      <c r="AC21" s="2929"/>
      <c r="AD21" s="2"/>
      <c r="AE21" s="2"/>
      <c r="AF21" s="139">
        <v>1</v>
      </c>
      <c r="AG21" s="139">
        <v>3</v>
      </c>
      <c r="AH21" s="139">
        <v>42</v>
      </c>
      <c r="AI21" s="482">
        <v>0</v>
      </c>
      <c r="AJ21" s="2">
        <f t="shared" si="4"/>
        <v>2</v>
      </c>
      <c r="AK21" s="488">
        <f t="shared" si="0"/>
        <v>48</v>
      </c>
      <c r="AN21" s="2"/>
      <c r="AO21" s="2"/>
    </row>
    <row r="22" spans="1:47" s="144" customFormat="1" ht="16.5" customHeight="1">
      <c r="A22" s="483">
        <v>17</v>
      </c>
      <c r="B22" s="2784" t="s">
        <v>4334</v>
      </c>
      <c r="C22" s="2792">
        <f t="shared" si="2"/>
        <v>23</v>
      </c>
      <c r="D22" s="2793">
        <f t="shared" si="3"/>
        <v>14</v>
      </c>
      <c r="E22" s="2908">
        <v>2</v>
      </c>
      <c r="F22" s="2894">
        <v>5</v>
      </c>
      <c r="G22" s="2890"/>
      <c r="H22" s="2931"/>
      <c r="I22" s="2916">
        <v>1</v>
      </c>
      <c r="J22" s="2931"/>
      <c r="K22" s="2928"/>
      <c r="L22" s="2929"/>
      <c r="M22" s="2898">
        <v>1</v>
      </c>
      <c r="N22" s="2928"/>
      <c r="O22" s="2931"/>
      <c r="P22" s="2928"/>
      <c r="Q22" s="2921">
        <v>6</v>
      </c>
      <c r="R22" s="2922">
        <v>1</v>
      </c>
      <c r="S22" s="2931"/>
      <c r="T22" s="2924">
        <v>6</v>
      </c>
      <c r="U22" s="2915">
        <v>1</v>
      </c>
      <c r="V22" s="2916">
        <v>1</v>
      </c>
      <c r="W22" s="2931"/>
      <c r="X22" s="2928"/>
      <c r="Y22" s="2931"/>
      <c r="Z22" s="2928"/>
      <c r="AA22" s="2898">
        <v>11</v>
      </c>
      <c r="AB22" s="2928"/>
      <c r="AC22" s="2927">
        <v>2</v>
      </c>
      <c r="AD22" s="2"/>
      <c r="AE22" s="2"/>
      <c r="AF22" s="139">
        <v>2</v>
      </c>
      <c r="AG22" s="139">
        <v>3</v>
      </c>
      <c r="AH22" s="139">
        <v>5</v>
      </c>
      <c r="AI22" s="482">
        <v>1</v>
      </c>
      <c r="AJ22" s="2">
        <f t="shared" si="4"/>
        <v>23</v>
      </c>
      <c r="AK22" s="488">
        <f t="shared" si="0"/>
        <v>48</v>
      </c>
      <c r="AN22" s="2"/>
      <c r="AO22" s="2"/>
    </row>
    <row r="23" spans="1:47" s="144" customFormat="1" ht="16.5" customHeight="1">
      <c r="A23" s="483">
        <v>18</v>
      </c>
      <c r="B23" s="2784" t="s">
        <v>4335</v>
      </c>
      <c r="C23" s="2792">
        <f t="shared" si="2"/>
        <v>50</v>
      </c>
      <c r="D23" s="2793">
        <f t="shared" si="3"/>
        <v>1</v>
      </c>
      <c r="E23" s="2908">
        <v>1</v>
      </c>
      <c r="F23" s="2889"/>
      <c r="G23" s="2906">
        <v>2</v>
      </c>
      <c r="H23" s="2915">
        <v>2</v>
      </c>
      <c r="I23" s="2928"/>
      <c r="J23" s="2917">
        <v>25</v>
      </c>
      <c r="K23" s="2928"/>
      <c r="L23" s="2929"/>
      <c r="M23" s="2931"/>
      <c r="N23" s="2928"/>
      <c r="O23" s="2919">
        <v>1</v>
      </c>
      <c r="P23" s="2928"/>
      <c r="Q23" s="2931"/>
      <c r="R23" s="2928"/>
      <c r="S23" s="2931"/>
      <c r="T23" s="2928"/>
      <c r="U23" s="2931"/>
      <c r="V23" s="2928"/>
      <c r="W23" s="2931"/>
      <c r="X23" s="2918">
        <v>1</v>
      </c>
      <c r="Y23" s="2931"/>
      <c r="Z23" s="2928"/>
      <c r="AA23" s="2898">
        <v>3</v>
      </c>
      <c r="AB23" s="2928"/>
      <c r="AC23" s="2927">
        <v>16</v>
      </c>
      <c r="AD23" s="2"/>
      <c r="AE23" s="2"/>
      <c r="AF23" s="139">
        <v>2</v>
      </c>
      <c r="AG23" s="139">
        <v>1</v>
      </c>
      <c r="AH23" s="139">
        <v>4</v>
      </c>
      <c r="AI23" s="482">
        <v>2</v>
      </c>
      <c r="AJ23" s="2">
        <f t="shared" si="4"/>
        <v>50</v>
      </c>
      <c r="AK23" s="488">
        <f t="shared" si="0"/>
        <v>60</v>
      </c>
      <c r="AN23" s="2"/>
      <c r="AO23" s="2"/>
    </row>
    <row r="24" spans="1:47" s="144" customFormat="1" ht="16.5" customHeight="1">
      <c r="A24" s="483">
        <v>19</v>
      </c>
      <c r="B24" s="2784" t="s">
        <v>86</v>
      </c>
      <c r="C24" s="2792">
        <f t="shared" si="2"/>
        <v>256</v>
      </c>
      <c r="D24" s="2793">
        <f t="shared" si="3"/>
        <v>10</v>
      </c>
      <c r="E24" s="2887"/>
      <c r="F24" s="2894">
        <v>2</v>
      </c>
      <c r="G24" s="2890"/>
      <c r="H24" s="2915">
        <v>7</v>
      </c>
      <c r="I24" s="2928"/>
      <c r="J24" s="2917">
        <v>15</v>
      </c>
      <c r="K24" s="2928"/>
      <c r="L24" s="2909">
        <v>98</v>
      </c>
      <c r="M24" s="2898">
        <v>9</v>
      </c>
      <c r="N24" s="2902">
        <v>1</v>
      </c>
      <c r="O24" s="2919">
        <v>19</v>
      </c>
      <c r="P24" s="2928"/>
      <c r="Q24" s="2921">
        <v>24</v>
      </c>
      <c r="R24" s="2922">
        <v>1</v>
      </c>
      <c r="S24" s="2931"/>
      <c r="T24" s="2924">
        <v>6</v>
      </c>
      <c r="U24" s="2915">
        <v>33</v>
      </c>
      <c r="V24" s="2928"/>
      <c r="W24" s="2917">
        <v>14</v>
      </c>
      <c r="X24" s="2928"/>
      <c r="Y24" s="2925">
        <v>29</v>
      </c>
      <c r="Z24" s="2928"/>
      <c r="AA24" s="2898">
        <v>5</v>
      </c>
      <c r="AB24" s="2928"/>
      <c r="AC24" s="2927">
        <v>3</v>
      </c>
      <c r="AD24" s="2"/>
      <c r="AE24" s="2"/>
      <c r="AF24" s="139">
        <v>10</v>
      </c>
      <c r="AG24" s="139">
        <v>6</v>
      </c>
      <c r="AH24" s="139">
        <v>6</v>
      </c>
      <c r="AI24" s="482">
        <v>10</v>
      </c>
      <c r="AJ24" s="2">
        <f t="shared" si="4"/>
        <v>256</v>
      </c>
      <c r="AK24" s="488">
        <f t="shared" si="0"/>
        <v>298</v>
      </c>
      <c r="AL24" s="2" t="s">
        <v>10042</v>
      </c>
      <c r="AN24" s="2"/>
      <c r="AO24" s="2"/>
    </row>
    <row r="25" spans="1:47" s="144" customFormat="1" ht="16.5" customHeight="1">
      <c r="A25" s="483">
        <v>20</v>
      </c>
      <c r="B25" s="2784" t="s">
        <v>4336</v>
      </c>
      <c r="C25" s="2792">
        <f t="shared" si="2"/>
        <v>2</v>
      </c>
      <c r="D25" s="2793">
        <f t="shared" si="3"/>
        <v>4</v>
      </c>
      <c r="E25" s="2887"/>
      <c r="F25" s="2894">
        <v>3</v>
      </c>
      <c r="G25" s="2890"/>
      <c r="H25" s="2931"/>
      <c r="I25" s="2928"/>
      <c r="J25" s="2931"/>
      <c r="K25" s="2928"/>
      <c r="L25" s="2929"/>
      <c r="M25" s="2931"/>
      <c r="N25" s="2928"/>
      <c r="O25" s="2931"/>
      <c r="P25" s="2928"/>
      <c r="Q25" s="2931"/>
      <c r="R25" s="2922">
        <v>1</v>
      </c>
      <c r="S25" s="2931"/>
      <c r="T25" s="2928"/>
      <c r="U25" s="2931"/>
      <c r="V25" s="2928"/>
      <c r="W25" s="2931"/>
      <c r="X25" s="2928"/>
      <c r="Y25" s="2931"/>
      <c r="Z25" s="2928"/>
      <c r="AA25" s="2898">
        <v>2</v>
      </c>
      <c r="AB25" s="2928"/>
      <c r="AC25" s="2929"/>
      <c r="AD25" s="2"/>
      <c r="AE25" s="2"/>
      <c r="AF25" s="139">
        <v>0</v>
      </c>
      <c r="AG25" s="139">
        <v>0</v>
      </c>
      <c r="AH25" s="139">
        <v>0</v>
      </c>
      <c r="AI25" s="482">
        <v>0</v>
      </c>
      <c r="AJ25" s="2">
        <f t="shared" si="4"/>
        <v>2</v>
      </c>
      <c r="AK25" s="488">
        <f t="shared" si="0"/>
        <v>6</v>
      </c>
      <c r="AN25" s="2"/>
      <c r="AO25" s="2"/>
    </row>
    <row r="26" spans="1:47" s="144" customFormat="1" ht="16.5" customHeight="1">
      <c r="A26" s="483">
        <v>21</v>
      </c>
      <c r="B26" s="2784" t="s">
        <v>4337</v>
      </c>
      <c r="C26" s="2792">
        <f t="shared" si="2"/>
        <v>6</v>
      </c>
      <c r="D26" s="2793">
        <f t="shared" si="3"/>
        <v>1</v>
      </c>
      <c r="E26" s="2887"/>
      <c r="F26" s="2894">
        <v>1</v>
      </c>
      <c r="G26" s="2890"/>
      <c r="H26" s="2915">
        <v>3</v>
      </c>
      <c r="I26" s="2928"/>
      <c r="J26" s="2931"/>
      <c r="K26" s="2928"/>
      <c r="L26" s="2929"/>
      <c r="M26" s="2931"/>
      <c r="N26" s="2928"/>
      <c r="O26" s="2931"/>
      <c r="P26" s="2928"/>
      <c r="Q26" s="2921">
        <v>2</v>
      </c>
      <c r="R26" s="2928"/>
      <c r="S26" s="2931"/>
      <c r="T26" s="2928"/>
      <c r="U26" s="2931"/>
      <c r="V26" s="2928"/>
      <c r="W26" s="2931"/>
      <c r="X26" s="2928"/>
      <c r="Y26" s="2931"/>
      <c r="Z26" s="2928"/>
      <c r="AA26" s="2898">
        <v>1</v>
      </c>
      <c r="AB26" s="2928"/>
      <c r="AC26" s="2929"/>
      <c r="AD26" s="2"/>
      <c r="AE26" s="2"/>
      <c r="AF26" s="139">
        <v>1</v>
      </c>
      <c r="AG26" s="139">
        <v>1</v>
      </c>
      <c r="AH26" s="139">
        <v>1</v>
      </c>
      <c r="AI26" s="482">
        <v>1</v>
      </c>
      <c r="AJ26" s="2">
        <f t="shared" si="4"/>
        <v>6</v>
      </c>
      <c r="AK26" s="488">
        <f t="shared" si="0"/>
        <v>11</v>
      </c>
      <c r="AN26" s="2"/>
      <c r="AO26" s="2"/>
    </row>
    <row r="27" spans="1:47" s="144" customFormat="1" ht="16.5" customHeight="1">
      <c r="A27" s="483">
        <v>22</v>
      </c>
      <c r="B27" s="2784" t="s">
        <v>65</v>
      </c>
      <c r="C27" s="2792">
        <f t="shared" si="2"/>
        <v>16</v>
      </c>
      <c r="D27" s="2793">
        <f t="shared" si="3"/>
        <v>1</v>
      </c>
      <c r="E27" s="2887"/>
      <c r="F27" s="2889"/>
      <c r="G27" s="2890"/>
      <c r="H27" s="2915">
        <v>5</v>
      </c>
      <c r="I27" s="2928"/>
      <c r="J27" s="2931"/>
      <c r="K27" s="2928"/>
      <c r="L27" s="2929"/>
      <c r="M27" s="2931"/>
      <c r="N27" s="2928"/>
      <c r="O27" s="2919">
        <v>4</v>
      </c>
      <c r="P27" s="2930">
        <v>1</v>
      </c>
      <c r="Q27" s="2921">
        <v>2</v>
      </c>
      <c r="R27" s="2928"/>
      <c r="S27" s="2931"/>
      <c r="T27" s="2928"/>
      <c r="U27" s="2931"/>
      <c r="V27" s="2928"/>
      <c r="W27" s="2917">
        <v>3</v>
      </c>
      <c r="X27" s="2928"/>
      <c r="Y27" s="2931"/>
      <c r="Z27" s="2928"/>
      <c r="AA27" s="2898">
        <v>2</v>
      </c>
      <c r="AB27" s="2928"/>
      <c r="AC27" s="2929"/>
      <c r="AD27" s="2"/>
      <c r="AE27" s="2"/>
      <c r="AF27" s="139">
        <v>0</v>
      </c>
      <c r="AG27" s="139">
        <v>0</v>
      </c>
      <c r="AH27" s="139">
        <v>1</v>
      </c>
      <c r="AI27" s="482">
        <v>0</v>
      </c>
      <c r="AJ27" s="2">
        <f t="shared" si="4"/>
        <v>16</v>
      </c>
      <c r="AK27" s="488">
        <f t="shared" si="0"/>
        <v>18</v>
      </c>
      <c r="AL27" s="2" t="s">
        <v>10043</v>
      </c>
      <c r="AM27" s="2">
        <v>3167476604</v>
      </c>
      <c r="AN27" s="2" t="s">
        <v>10044</v>
      </c>
      <c r="AO27" s="2"/>
    </row>
    <row r="28" spans="1:47" s="144" customFormat="1" ht="16.5" customHeight="1">
      <c r="A28" s="483">
        <v>23</v>
      </c>
      <c r="B28" s="2784" t="s">
        <v>4338</v>
      </c>
      <c r="C28" s="2792">
        <f t="shared" si="2"/>
        <v>0</v>
      </c>
      <c r="D28" s="2793">
        <f t="shared" si="3"/>
        <v>1</v>
      </c>
      <c r="E28" s="2887"/>
      <c r="F28" s="2889"/>
      <c r="G28" s="2890"/>
      <c r="H28" s="2887"/>
      <c r="I28" s="2889"/>
      <c r="J28" s="2887"/>
      <c r="K28" s="2889"/>
      <c r="L28" s="2890"/>
      <c r="M28" s="2887"/>
      <c r="N28" s="2889"/>
      <c r="O28" s="2887"/>
      <c r="P28" s="2889"/>
      <c r="Q28" s="2887"/>
      <c r="R28" s="2889"/>
      <c r="S28" s="2887"/>
      <c r="T28" s="2889"/>
      <c r="U28" s="2887"/>
      <c r="V28" s="2889"/>
      <c r="W28" s="2887"/>
      <c r="X28" s="2889"/>
      <c r="Y28" s="2887"/>
      <c r="Z28" s="2889"/>
      <c r="AA28" s="2887"/>
      <c r="AB28" s="2907">
        <v>1</v>
      </c>
      <c r="AC28" s="2890"/>
      <c r="AD28" s="2"/>
      <c r="AE28" s="2"/>
      <c r="AF28" s="139">
        <v>0</v>
      </c>
      <c r="AG28" s="139">
        <v>0</v>
      </c>
      <c r="AH28" s="139">
        <v>0</v>
      </c>
      <c r="AI28" s="482">
        <v>0</v>
      </c>
      <c r="AJ28" s="2">
        <f t="shared" si="4"/>
        <v>0</v>
      </c>
      <c r="AK28" s="488">
        <f t="shared" si="0"/>
        <v>1</v>
      </c>
      <c r="AN28" s="2"/>
      <c r="AO28" s="2"/>
    </row>
    <row r="29" spans="1:47" ht="6.75" customHeight="1">
      <c r="A29" s="2"/>
      <c r="B29" s="2780"/>
      <c r="C29" s="2794"/>
      <c r="D29" s="2795"/>
      <c r="E29" s="2943"/>
      <c r="F29" s="2944"/>
      <c r="G29" s="2945"/>
      <c r="H29" s="2943"/>
      <c r="I29" s="2944"/>
      <c r="J29" s="2943"/>
      <c r="K29" s="2944"/>
      <c r="L29" s="2945"/>
      <c r="M29" s="2943"/>
      <c r="N29" s="2944"/>
      <c r="O29" s="2943"/>
      <c r="P29" s="2944"/>
      <c r="Q29" s="2943"/>
      <c r="R29" s="2944"/>
      <c r="S29" s="2943"/>
      <c r="T29" s="2944"/>
      <c r="U29" s="2943"/>
      <c r="V29" s="2944"/>
      <c r="W29" s="2943"/>
      <c r="X29" s="2944"/>
      <c r="Y29" s="2943"/>
      <c r="Z29" s="2944"/>
      <c r="AA29" s="2943"/>
      <c r="AB29" s="2910"/>
      <c r="AC29" s="2911"/>
      <c r="AF29" s="2"/>
      <c r="AG29" s="2"/>
      <c r="AH29" s="2"/>
      <c r="AI29" s="2"/>
      <c r="AK29" s="2"/>
    </row>
    <row r="30" spans="1:47" s="493" customFormat="1" ht="45">
      <c r="A30" s="268"/>
      <c r="B30" s="2786" t="s">
        <v>8507</v>
      </c>
      <c r="C30" s="2788">
        <f>SUM(C5:C29)</f>
        <v>938</v>
      </c>
      <c r="D30" s="2789">
        <f t="shared" ref="D30:AC30" si="5">SUM(D5:D29)</f>
        <v>240</v>
      </c>
      <c r="E30" s="2912">
        <f t="shared" si="5"/>
        <v>30</v>
      </c>
      <c r="F30" s="2913">
        <f t="shared" si="5"/>
        <v>38</v>
      </c>
      <c r="G30" s="2914">
        <f t="shared" si="5"/>
        <v>38</v>
      </c>
      <c r="H30" s="2915">
        <f t="shared" si="5"/>
        <v>83</v>
      </c>
      <c r="I30" s="2916">
        <f t="shared" si="5"/>
        <v>1</v>
      </c>
      <c r="J30" s="2917">
        <f t="shared" si="5"/>
        <v>43</v>
      </c>
      <c r="K30" s="2918">
        <f t="shared" si="5"/>
        <v>8</v>
      </c>
      <c r="L30" s="2909">
        <f t="shared" si="5"/>
        <v>98</v>
      </c>
      <c r="M30" s="2898">
        <f t="shared" si="5"/>
        <v>58</v>
      </c>
      <c r="N30" s="2902">
        <f t="shared" si="5"/>
        <v>14</v>
      </c>
      <c r="O30" s="2919">
        <f t="shared" si="5"/>
        <v>70</v>
      </c>
      <c r="P30" s="2920">
        <f t="shared" si="5"/>
        <v>22</v>
      </c>
      <c r="Q30" s="2921">
        <f t="shared" si="5"/>
        <v>116</v>
      </c>
      <c r="R30" s="2922">
        <f t="shared" si="5"/>
        <v>44</v>
      </c>
      <c r="S30" s="2923">
        <f t="shared" si="5"/>
        <v>112</v>
      </c>
      <c r="T30" s="2924">
        <f t="shared" si="5"/>
        <v>54</v>
      </c>
      <c r="U30" s="2915">
        <f t="shared" si="5"/>
        <v>91</v>
      </c>
      <c r="V30" s="2916">
        <f t="shared" si="5"/>
        <v>41</v>
      </c>
      <c r="W30" s="2917">
        <f t="shared" si="5"/>
        <v>64</v>
      </c>
      <c r="X30" s="2918">
        <f t="shared" si="5"/>
        <v>14</v>
      </c>
      <c r="Y30" s="2925">
        <f t="shared" si="5"/>
        <v>29</v>
      </c>
      <c r="Z30" s="2926">
        <f t="shared" si="5"/>
        <v>2</v>
      </c>
      <c r="AA30" s="2898">
        <f t="shared" si="5"/>
        <v>71</v>
      </c>
      <c r="AB30" s="2902">
        <f t="shared" si="5"/>
        <v>2</v>
      </c>
      <c r="AC30" s="2927">
        <f t="shared" si="5"/>
        <v>35</v>
      </c>
      <c r="AD30" s="2"/>
      <c r="AE30" s="2"/>
      <c r="AF30" s="492">
        <f>SUM(AF5:AF29)</f>
        <v>71</v>
      </c>
      <c r="AG30" s="492">
        <f>SUM(AG5:AG29)</f>
        <v>58</v>
      </c>
      <c r="AH30" s="492">
        <f>SUM(AH5:AH29)</f>
        <v>135</v>
      </c>
      <c r="AI30" s="492">
        <f>SUM(AI5:AI29)</f>
        <v>65</v>
      </c>
      <c r="AK30" s="491">
        <f>SUM(AK5:AK29)</f>
        <v>1507</v>
      </c>
      <c r="AL30" s="24" t="s">
        <v>8883</v>
      </c>
      <c r="AN30" s="119"/>
      <c r="AO30" s="119"/>
      <c r="AP30" s="119"/>
      <c r="AQ30" s="119"/>
      <c r="AR30" s="119"/>
      <c r="AS30" s="119"/>
      <c r="AT30" s="119"/>
      <c r="AU30" s="119"/>
    </row>
    <row r="31" spans="1:47" s="493" customFormat="1">
      <c r="A31" s="268"/>
      <c r="B31" s="2781"/>
      <c r="C31" s="2796"/>
      <c r="D31" s="2797"/>
      <c r="E31" s="2808"/>
      <c r="F31" s="2809"/>
      <c r="G31" s="2815"/>
      <c r="H31" s="2808"/>
      <c r="I31" s="2809"/>
      <c r="J31" s="2808"/>
      <c r="K31" s="2809"/>
      <c r="L31" s="2815"/>
      <c r="M31" s="2808"/>
      <c r="N31" s="2809"/>
      <c r="O31" s="2808"/>
      <c r="P31" s="2809"/>
      <c r="Q31" s="2808"/>
      <c r="R31" s="2809"/>
      <c r="S31" s="2808"/>
      <c r="T31" s="2809"/>
      <c r="U31" s="2808"/>
      <c r="V31" s="2809"/>
      <c r="W31" s="2808"/>
      <c r="X31" s="2809"/>
      <c r="Y31" s="2808"/>
      <c r="Z31" s="2809"/>
      <c r="AA31" s="2808"/>
      <c r="AB31" s="2809"/>
      <c r="AC31" s="2815"/>
      <c r="AD31" s="2"/>
      <c r="AE31" s="2"/>
      <c r="AF31" s="495"/>
      <c r="AG31" s="495"/>
      <c r="AH31" s="495"/>
      <c r="AI31" s="495"/>
      <c r="AJ31" s="761"/>
      <c r="AK31" s="488"/>
      <c r="AN31" s="119"/>
      <c r="AO31" s="119"/>
      <c r="AP31" s="119"/>
      <c r="AQ31" s="119"/>
      <c r="AR31" s="119"/>
      <c r="AS31" s="119"/>
      <c r="AT31" s="119"/>
      <c r="AU31" s="119"/>
    </row>
    <row r="32" spans="1:47" s="493" customFormat="1" ht="30.75" thickBot="1">
      <c r="A32" s="268"/>
      <c r="B32" s="2787" t="s">
        <v>8506</v>
      </c>
      <c r="C32" s="13369">
        <f>SUM(C5:C29)</f>
        <v>938</v>
      </c>
      <c r="D32" s="13370"/>
      <c r="E32" s="13367">
        <f>SUM(E5:E29)</f>
        <v>30</v>
      </c>
      <c r="F32" s="13368"/>
      <c r="G32" s="2816">
        <f>SUM(G5:G29)</f>
        <v>38</v>
      </c>
      <c r="H32" s="13353">
        <f>SUM(H5:H29)</f>
        <v>83</v>
      </c>
      <c r="I32" s="13354"/>
      <c r="J32" s="13339">
        <f>SUM(J5:J29)</f>
        <v>43</v>
      </c>
      <c r="K32" s="13340"/>
      <c r="L32" s="2827">
        <f>SUM(L5:L29)</f>
        <v>98</v>
      </c>
      <c r="M32" s="13345">
        <f>SUM(M5:M29)</f>
        <v>58</v>
      </c>
      <c r="N32" s="13346"/>
      <c r="O32" s="13347">
        <f>SUM(O5:O29)</f>
        <v>70</v>
      </c>
      <c r="P32" s="13348"/>
      <c r="Q32" s="13349">
        <f>SUM(Q5:Q29)</f>
        <v>116</v>
      </c>
      <c r="R32" s="13350"/>
      <c r="S32" s="13351">
        <f>SUM(S5:S29)</f>
        <v>112</v>
      </c>
      <c r="T32" s="13352"/>
      <c r="U32" s="13353">
        <f>SUM(U5:U29)</f>
        <v>91</v>
      </c>
      <c r="V32" s="13354"/>
      <c r="W32" s="13339">
        <f>SUM(W5:W29)</f>
        <v>64</v>
      </c>
      <c r="X32" s="13340"/>
      <c r="Y32" s="13341">
        <f>SUM(Y5:Y29)</f>
        <v>29</v>
      </c>
      <c r="Z32" s="13342"/>
      <c r="AA32" s="13345">
        <f>SUM(AA5:AA29)</f>
        <v>71</v>
      </c>
      <c r="AB32" s="13346"/>
      <c r="AC32" s="2853">
        <f>SUM(AC5:AC29)</f>
        <v>35</v>
      </c>
      <c r="AD32" s="2"/>
      <c r="AE32" s="2"/>
      <c r="AF32" s="762">
        <v>49</v>
      </c>
      <c r="AG32" s="762">
        <v>39</v>
      </c>
      <c r="AH32" s="762">
        <v>78</v>
      </c>
      <c r="AI32" s="762">
        <v>54</v>
      </c>
      <c r="AK32" s="763">
        <f>SUM(E32:AI32)</f>
        <v>1158</v>
      </c>
      <c r="AL32" s="24" t="s">
        <v>8884</v>
      </c>
      <c r="AN32" s="119"/>
      <c r="AO32" s="119"/>
      <c r="AP32" s="119"/>
      <c r="AQ32" s="119"/>
      <c r="AR32" s="119"/>
      <c r="AS32" s="119"/>
      <c r="AT32" s="119"/>
      <c r="AU32" s="119"/>
    </row>
    <row r="33" spans="1:41" s="81" customFormat="1" ht="27.75" customHeight="1">
      <c r="A33" s="484"/>
      <c r="E33" s="2946"/>
      <c r="F33" s="2946"/>
      <c r="G33" s="119"/>
      <c r="H33" s="119"/>
      <c r="I33" s="119"/>
      <c r="J33" s="119"/>
      <c r="K33" s="119"/>
      <c r="L33" s="119"/>
      <c r="M33" s="119"/>
      <c r="N33" s="119"/>
      <c r="O33" s="119"/>
      <c r="P33" s="119"/>
      <c r="Q33" s="119"/>
      <c r="R33" s="119"/>
      <c r="S33" s="119"/>
      <c r="T33" s="119"/>
      <c r="U33" s="36"/>
      <c r="V33" s="36"/>
      <c r="W33" s="119"/>
      <c r="X33" s="119"/>
      <c r="Y33" s="119"/>
      <c r="Z33" s="119"/>
      <c r="AA33" s="119"/>
      <c r="AD33" s="2"/>
      <c r="AE33" s="2"/>
      <c r="AF33" s="487"/>
      <c r="AG33" s="487"/>
      <c r="AH33" s="487"/>
      <c r="AI33" s="487"/>
      <c r="AJ33" s="3"/>
      <c r="AK33" s="119"/>
    </row>
    <row r="36" spans="1:41" ht="15.75" thickBot="1"/>
    <row r="37" spans="1:41" ht="52.5" customHeight="1" thickTop="1" thickBot="1">
      <c r="E37" s="2867" t="s">
        <v>4265</v>
      </c>
      <c r="F37" s="2872"/>
      <c r="T37" s="2862"/>
      <c r="Z37" s="2864"/>
      <c r="AB37" s="2937"/>
    </row>
    <row r="38" spans="1:41" ht="52.5" customHeight="1" thickTop="1" thickBot="1">
      <c r="G38" s="2869" t="s">
        <v>4314</v>
      </c>
    </row>
    <row r="39" spans="1:41" ht="52.5" customHeight="1" thickTop="1" thickBot="1">
      <c r="H39" s="2861" t="s">
        <v>10133</v>
      </c>
      <c r="I39" s="2870"/>
      <c r="V39" s="2862"/>
    </row>
    <row r="40" spans="1:41" ht="52.5" customHeight="1" thickTop="1" thickBot="1">
      <c r="X40" s="2866"/>
      <c r="AC40" s="2871" t="s">
        <v>4240</v>
      </c>
    </row>
    <row r="41" spans="1:41" ht="52.5" customHeight="1" thickTop="1" thickBot="1">
      <c r="Z41" s="2860"/>
      <c r="AC41" s="2938" t="s">
        <v>10135</v>
      </c>
    </row>
    <row r="42" spans="1:41" ht="52.5" customHeight="1" thickTop="1" thickBot="1">
      <c r="AB42" s="2935"/>
    </row>
    <row r="43" spans="1:41" ht="52.5" customHeight="1" thickTop="1" thickBot="1">
      <c r="AD43" s="2936"/>
    </row>
    <row r="44" spans="1:41" ht="52.5" customHeight="1" thickTop="1">
      <c r="J44" s="2865" t="s">
        <v>4312</v>
      </c>
      <c r="L44" s="2859" t="s">
        <v>4311</v>
      </c>
      <c r="M44" s="2869" t="s">
        <v>4308</v>
      </c>
      <c r="O44" s="2868" t="s">
        <v>4313</v>
      </c>
      <c r="Q44" s="2825" t="s">
        <v>4310</v>
      </c>
      <c r="S44" s="2850" t="s">
        <v>10134</v>
      </c>
      <c r="U44" s="2859" t="s">
        <v>4317</v>
      </c>
      <c r="W44" s="2863" t="s">
        <v>4316</v>
      </c>
      <c r="Y44" s="2810" t="s">
        <v>4307</v>
      </c>
      <c r="AA44" s="2861" t="s">
        <v>4309</v>
      </c>
    </row>
    <row r="45" spans="1:41" ht="52.5" customHeight="1">
      <c r="E45" s="2932">
        <v>0.80100000000000005</v>
      </c>
      <c r="G45" s="2932">
        <v>0.95</v>
      </c>
      <c r="H45" s="2932">
        <v>0.86799999999999999</v>
      </c>
      <c r="J45" s="2933">
        <v>0.78700000000000003</v>
      </c>
      <c r="L45" s="2932">
        <v>0.81</v>
      </c>
      <c r="M45" s="2932">
        <v>0.91</v>
      </c>
      <c r="O45" s="2934">
        <v>0.46</v>
      </c>
      <c r="Q45" s="2932">
        <v>0.97</v>
      </c>
      <c r="S45" s="2932">
        <v>0.9</v>
      </c>
      <c r="U45" s="2933">
        <v>0.73</v>
      </c>
      <c r="W45" s="2932">
        <v>0.99</v>
      </c>
      <c r="Y45" s="2932">
        <v>0.93300000000000005</v>
      </c>
      <c r="AA45" s="2932">
        <v>0.82</v>
      </c>
      <c r="AN45" s="2932">
        <f>AVERAGE(E45:AA45)</f>
        <v>0.84069230769230774</v>
      </c>
    </row>
    <row r="46" spans="1:41" ht="52.5" customHeight="1"/>
    <row r="47" spans="1:41" ht="52.5" customHeight="1">
      <c r="AA47" s="136" t="s">
        <v>10136</v>
      </c>
      <c r="AN47" s="490">
        <f>+'1-Ajuste Cult Legalidad'!AH94+'2-Pereira Innova'!BK45+'3-Victimas'!CR95+'4-Seguridad Alimentaria'!BR65+'5-Salud Sexual'!BO105+'6-Juventud'!BO102+'7-Indigenas'!CA154+'8-Discapacidad'!CB193+'9-DRAEF'!BS193+'10-Infancia'!BL157+'11-Afros'!BV109+'12-Salud Mental'!BW43+'13-J Accion Comunal'!BY89+'14-Animal'!CC63</f>
        <v>58800346342.625534</v>
      </c>
      <c r="AO47" s="2">
        <v>59188932374.625504</v>
      </c>
    </row>
    <row r="48" spans="1:41" ht="52.5" customHeight="1">
      <c r="AA48" s="136" t="s">
        <v>10137</v>
      </c>
      <c r="AN48" s="490">
        <f>+'1-Ajuste Cult Legalidad'!AL94+'2-Pereira Innova'!BO45+'3-Victimas'!CV95+'4-Seguridad Alimentaria'!BV65+'5-Salud Sexual'!BT105+'6-Juventud'!BS102+'7-Indigenas'!CE154+'8-Discapacidad'!CF193+'9-DRAEF'!BW193+'10-Infancia'!BQ157+'12-Salud Mental'!CA43+'13-J Accion Comunal'!CC89+'14-Animal'!CG63</f>
        <v>1168617.4330000002</v>
      </c>
      <c r="AO48" s="2">
        <v>1168689.433</v>
      </c>
    </row>
    <row r="49" ht="52.5" customHeight="1"/>
    <row r="50" ht="52.5" customHeight="1"/>
    <row r="51" ht="52.5" customHeight="1"/>
    <row r="52" ht="52.5" customHeight="1"/>
    <row r="53" ht="52.5" customHeight="1"/>
    <row r="54" ht="52.5" customHeight="1"/>
    <row r="55" ht="52.5" customHeight="1"/>
    <row r="56" ht="52.5" customHeight="1"/>
    <row r="57" ht="52.5" customHeight="1"/>
    <row r="58" ht="52.5" customHeight="1"/>
    <row r="59" ht="52.5" customHeight="1"/>
    <row r="60" ht="52.5" customHeight="1"/>
    <row r="61" ht="52.5" customHeight="1"/>
  </sheetData>
  <mergeCells count="24">
    <mergeCell ref="AA2:AB2"/>
    <mergeCell ref="C2:D2"/>
    <mergeCell ref="E2:F2"/>
    <mergeCell ref="H2:I2"/>
    <mergeCell ref="J2:K2"/>
    <mergeCell ref="M2:N2"/>
    <mergeCell ref="O2:P2"/>
    <mergeCell ref="Q2:R2"/>
    <mergeCell ref="S2:T2"/>
    <mergeCell ref="U2:V2"/>
    <mergeCell ref="W2:X2"/>
    <mergeCell ref="Y2:Z2"/>
    <mergeCell ref="AA32:AB32"/>
    <mergeCell ref="C32:D32"/>
    <mergeCell ref="E32:F32"/>
    <mergeCell ref="H32:I32"/>
    <mergeCell ref="J32:K32"/>
    <mergeCell ref="M32:N32"/>
    <mergeCell ref="O32:P32"/>
    <mergeCell ref="Q32:R32"/>
    <mergeCell ref="S32:T32"/>
    <mergeCell ref="U32:V32"/>
    <mergeCell ref="W32:X32"/>
    <mergeCell ref="Y32:Z32"/>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
  <sheetViews>
    <sheetView topLeftCell="DJ1" workbookViewId="0">
      <selection activeCell="DK11" sqref="DK11"/>
    </sheetView>
  </sheetViews>
  <sheetFormatPr baseColWidth="10" defaultRowHeight="18" customHeight="1"/>
  <cols>
    <col min="1" max="1" width="30.7109375" customWidth="1"/>
    <col min="2" max="2" width="71.42578125" customWidth="1"/>
    <col min="3" max="3" width="22" customWidth="1"/>
    <col min="4" max="4" width="15.140625" customWidth="1"/>
    <col min="5" max="5" width="19.7109375" customWidth="1"/>
    <col min="6" max="6" width="13" customWidth="1"/>
    <col min="10" max="10" width="20.85546875" customWidth="1"/>
    <col min="11" max="11" width="71.42578125" customWidth="1"/>
    <col min="12" max="12" width="23" customWidth="1"/>
    <col min="13" max="13" width="18.140625" customWidth="1"/>
    <col min="14" max="14" width="15.140625" bestFit="1" customWidth="1"/>
    <col min="15" max="15" width="19.85546875" customWidth="1"/>
    <col min="19" max="19" width="21.5703125" customWidth="1"/>
    <col min="21" max="21" width="17" customWidth="1"/>
    <col min="22" max="22" width="20.140625" customWidth="1"/>
    <col min="23" max="23" width="16.5703125" customWidth="1"/>
    <col min="28" max="28" width="27.28515625" customWidth="1"/>
    <col min="29" max="29" width="43.28515625" customWidth="1"/>
    <col min="30" max="30" width="29.42578125" customWidth="1"/>
    <col min="31" max="31" width="11.5703125" bestFit="1" customWidth="1"/>
    <col min="32" max="32" width="19.42578125" customWidth="1"/>
    <col min="33" max="35" width="11.5703125" bestFit="1" customWidth="1"/>
    <col min="37" max="37" width="17.140625" customWidth="1"/>
    <col min="38" max="39" width="71.42578125" customWidth="1"/>
    <col min="40" max="40" width="19.85546875" customWidth="1"/>
    <col min="41" max="41" width="14.28515625" customWidth="1"/>
    <col min="46" max="46" width="19.5703125" customWidth="1"/>
    <col min="47" max="47" width="71.42578125" customWidth="1"/>
    <col min="48" max="48" width="21.7109375" customWidth="1"/>
    <col min="50" max="50" width="20.140625" customWidth="1"/>
    <col min="55" max="55" width="17.140625" customWidth="1"/>
    <col min="56" max="56" width="71.42578125" customWidth="1"/>
    <col min="57" max="57" width="17.28515625" customWidth="1"/>
    <col min="58" max="58" width="20.5703125" bestFit="1" customWidth="1"/>
    <col min="59" max="59" width="19.28515625" customWidth="1"/>
    <col min="60" max="62" width="11.5703125" bestFit="1" customWidth="1"/>
    <col min="64" max="64" width="18.28515625" customWidth="1"/>
    <col min="65" max="65" width="71.42578125" customWidth="1"/>
    <col min="66" max="66" width="18.140625" customWidth="1"/>
    <col min="67" max="67" width="18.5703125" customWidth="1"/>
    <col min="68" max="68" width="17.7109375" customWidth="1"/>
    <col min="69" max="71" width="11.5703125" bestFit="1" customWidth="1"/>
    <col min="73" max="73" width="22.140625" customWidth="1"/>
    <col min="74" max="74" width="71.42578125" customWidth="1"/>
    <col min="75" max="75" width="21.5703125" customWidth="1"/>
    <col min="76" max="76" width="19" customWidth="1"/>
    <col min="77" max="77" width="14.140625" bestFit="1" customWidth="1"/>
    <col min="78" max="80" width="11.5703125" bestFit="1" customWidth="1"/>
    <col min="82" max="82" width="26.140625" customWidth="1"/>
    <col min="83" max="83" width="68.85546875" customWidth="1"/>
    <col min="84" max="84" width="22.28515625" customWidth="1"/>
    <col min="85" max="85" width="25" customWidth="1"/>
    <col min="86" max="86" width="19.28515625" customWidth="1"/>
    <col min="87" max="87" width="37" customWidth="1"/>
    <col min="88" max="89" width="7.140625" customWidth="1"/>
    <col min="91" max="91" width="17" customWidth="1"/>
    <col min="92" max="92" width="71.42578125" customWidth="1"/>
    <col min="93" max="93" width="17.28515625" customWidth="1"/>
    <col min="94" max="95" width="17.42578125" customWidth="1"/>
    <col min="96" max="98" width="11.5703125" bestFit="1" customWidth="1"/>
    <col min="100" max="100" width="11" customWidth="1"/>
    <col min="101" max="101" width="71.42578125" customWidth="1"/>
    <col min="102" max="102" width="21.5703125" customWidth="1"/>
    <col min="103" max="103" width="17.140625" customWidth="1"/>
    <col min="104" max="104" width="17.85546875" bestFit="1" customWidth="1"/>
    <col min="109" max="109" width="16.42578125" customWidth="1"/>
    <col min="110" max="110" width="71.42578125" customWidth="1"/>
    <col min="111" max="111" width="19.85546875" customWidth="1"/>
    <col min="112" max="112" width="27" customWidth="1"/>
    <col min="113" max="113" width="21.85546875" customWidth="1"/>
    <col min="114" max="116" width="14.28515625" customWidth="1"/>
    <col min="118" max="118" width="24.28515625" customWidth="1"/>
    <col min="119" max="119" width="46.42578125" customWidth="1"/>
    <col min="120" max="120" width="17" customWidth="1"/>
    <col min="121" max="121" width="18.85546875" customWidth="1"/>
    <col min="122" max="124" width="11.5703125" bestFit="1" customWidth="1"/>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FF0000"/>
  </sheetPr>
  <dimension ref="B1:P19"/>
  <sheetViews>
    <sheetView showGridLines="0" workbookViewId="0">
      <selection activeCell="G17" sqref="G17"/>
    </sheetView>
  </sheetViews>
  <sheetFormatPr baseColWidth="10" defaultRowHeight="15"/>
  <cols>
    <col min="2" max="2" width="11.140625" customWidth="1"/>
    <col min="3" max="3" width="9.5703125" customWidth="1"/>
    <col min="4" max="4" width="12.5703125" customWidth="1"/>
    <col min="5" max="5" width="10.7109375" customWidth="1"/>
    <col min="6" max="6" width="1.42578125" customWidth="1"/>
    <col min="7" max="7" width="11.7109375" customWidth="1"/>
    <col min="8" max="8" width="10.7109375" customWidth="1"/>
    <col min="9" max="9" width="1.42578125" customWidth="1"/>
    <col min="10" max="10" width="15.7109375" customWidth="1"/>
    <col min="11" max="11" width="1.42578125" customWidth="1"/>
    <col min="12" max="12" width="9" customWidth="1"/>
    <col min="13" max="13" width="1.42578125" customWidth="1"/>
    <col min="14" max="14" width="15.42578125" customWidth="1"/>
    <col min="15" max="15" width="1.42578125" customWidth="1"/>
    <col min="16" max="16" width="16.85546875" customWidth="1"/>
  </cols>
  <sheetData>
    <row r="1" spans="2:16" ht="15.75" thickBot="1"/>
    <row r="2" spans="2:16" ht="31.5" customHeight="1" thickBot="1">
      <c r="B2" s="2884" t="s">
        <v>10098</v>
      </c>
      <c r="C2" s="2882" t="s">
        <v>1724</v>
      </c>
      <c r="D2" s="2882" t="s">
        <v>10099</v>
      </c>
      <c r="E2" s="2882" t="s">
        <v>10100</v>
      </c>
      <c r="F2" s="268"/>
      <c r="G2" s="2882" t="s">
        <v>10055</v>
      </c>
      <c r="H2" s="2882" t="s">
        <v>2299</v>
      </c>
      <c r="I2" s="268"/>
      <c r="J2" s="2882" t="s">
        <v>2290</v>
      </c>
      <c r="K2" s="268"/>
      <c r="L2" s="2884" t="s">
        <v>10125</v>
      </c>
      <c r="M2" s="2883"/>
      <c r="N2" s="2884" t="s">
        <v>10132</v>
      </c>
      <c r="O2" s="2883"/>
      <c r="P2" s="2884" t="s">
        <v>10131</v>
      </c>
    </row>
    <row r="3" spans="2:16">
      <c r="B3" s="13384" t="s">
        <v>10104</v>
      </c>
      <c r="C3" s="13384" t="s">
        <v>10105</v>
      </c>
      <c r="D3" s="13384" t="s">
        <v>10106</v>
      </c>
      <c r="E3" s="13384" t="s">
        <v>10107</v>
      </c>
      <c r="G3" s="2873" t="s">
        <v>10101</v>
      </c>
      <c r="H3" s="2873"/>
      <c r="J3" s="2873" t="s">
        <v>10126</v>
      </c>
      <c r="L3" s="2873" t="s">
        <v>2943</v>
      </c>
      <c r="N3" s="2876">
        <v>1</v>
      </c>
      <c r="P3" s="13375">
        <f>AVERAGE(N3:N6)</f>
        <v>0.95</v>
      </c>
    </row>
    <row r="4" spans="2:16">
      <c r="B4" s="13385"/>
      <c r="C4" s="13385"/>
      <c r="D4" s="13385"/>
      <c r="E4" s="13385"/>
      <c r="G4" s="2874" t="s">
        <v>10102</v>
      </c>
      <c r="H4" s="2874"/>
      <c r="J4" s="2874" t="s">
        <v>10127</v>
      </c>
      <c r="L4" s="2874" t="s">
        <v>10025</v>
      </c>
      <c r="N4" s="2877">
        <v>1</v>
      </c>
      <c r="P4" s="13376"/>
    </row>
    <row r="5" spans="2:16">
      <c r="B5" s="13385"/>
      <c r="C5" s="13385"/>
      <c r="D5" s="13385"/>
      <c r="E5" s="13385"/>
      <c r="G5" s="2874" t="s">
        <v>10103</v>
      </c>
      <c r="H5" s="2874"/>
      <c r="J5" s="2874" t="s">
        <v>10126</v>
      </c>
      <c r="L5" s="2874" t="s">
        <v>10025</v>
      </c>
      <c r="N5" s="2877">
        <v>1</v>
      </c>
      <c r="P5" s="13376"/>
    </row>
    <row r="6" spans="2:16" ht="15.75" thickBot="1">
      <c r="B6" s="13386"/>
      <c r="C6" s="13386"/>
      <c r="D6" s="13386"/>
      <c r="E6" s="13386"/>
      <c r="G6" s="2875" t="s">
        <v>10108</v>
      </c>
      <c r="H6" s="2875"/>
      <c r="J6" s="2875" t="s">
        <v>1415</v>
      </c>
      <c r="L6" s="2875" t="s">
        <v>2943</v>
      </c>
      <c r="N6" s="2878">
        <v>0.8</v>
      </c>
      <c r="P6" s="13377"/>
    </row>
    <row r="7" spans="2:16">
      <c r="B7" s="13384" t="s">
        <v>10109</v>
      </c>
      <c r="C7" s="13384" t="s">
        <v>10110</v>
      </c>
      <c r="D7" s="13384" t="s">
        <v>10111</v>
      </c>
      <c r="E7" s="13384" t="s">
        <v>10112</v>
      </c>
      <c r="G7" s="2873" t="s">
        <v>10113</v>
      </c>
      <c r="H7" s="2873"/>
      <c r="J7" s="2873" t="s">
        <v>10128</v>
      </c>
      <c r="L7" s="2873" t="s">
        <v>2943</v>
      </c>
      <c r="N7" s="2876">
        <v>0.8</v>
      </c>
      <c r="P7" s="13378">
        <f>AVERAGE(N7:N10)</f>
        <v>0.70000000000000007</v>
      </c>
    </row>
    <row r="8" spans="2:16">
      <c r="B8" s="13385"/>
      <c r="C8" s="13385"/>
      <c r="D8" s="13385"/>
      <c r="E8" s="13385"/>
      <c r="G8" s="2874" t="s">
        <v>10114</v>
      </c>
      <c r="H8" s="2874"/>
      <c r="J8" s="2874" t="s">
        <v>10128</v>
      </c>
      <c r="L8" s="2874" t="s">
        <v>10025</v>
      </c>
      <c r="N8" s="2877">
        <v>0.8</v>
      </c>
      <c r="P8" s="13379"/>
    </row>
    <row r="9" spans="2:16">
      <c r="B9" s="13385"/>
      <c r="C9" s="13385"/>
      <c r="D9" s="13385"/>
      <c r="E9" s="13385"/>
      <c r="G9" s="2874" t="s">
        <v>10115</v>
      </c>
      <c r="H9" s="2874"/>
      <c r="J9" s="2874" t="s">
        <v>4337</v>
      </c>
      <c r="L9" s="2874" t="s">
        <v>2943</v>
      </c>
      <c r="N9" s="2879">
        <v>0.6</v>
      </c>
      <c r="P9" s="13379"/>
    </row>
    <row r="10" spans="2:16" ht="15.75" thickBot="1">
      <c r="B10" s="13386"/>
      <c r="C10" s="13386"/>
      <c r="D10" s="13386"/>
      <c r="E10" s="13386"/>
      <c r="G10" s="2875" t="s">
        <v>10116</v>
      </c>
      <c r="H10" s="2875"/>
      <c r="J10" s="2875" t="s">
        <v>9549</v>
      </c>
      <c r="L10" s="2875" t="s">
        <v>2943</v>
      </c>
      <c r="N10" s="2880">
        <v>0.6</v>
      </c>
      <c r="P10" s="13380"/>
    </row>
    <row r="11" spans="2:16" ht="15.75" thickBot="1">
      <c r="G11" s="2274"/>
      <c r="H11" s="2274"/>
      <c r="J11" s="2274"/>
      <c r="L11" s="2274"/>
      <c r="N11" s="2274"/>
    </row>
    <row r="12" spans="2:16">
      <c r="B12" s="13384" t="s">
        <v>10121</v>
      </c>
      <c r="C12" s="13384" t="s">
        <v>10122</v>
      </c>
      <c r="D12" s="13384" t="s">
        <v>10123</v>
      </c>
      <c r="E12" s="13384" t="s">
        <v>10124</v>
      </c>
      <c r="G12" s="2873" t="s">
        <v>10117</v>
      </c>
      <c r="H12" s="2873"/>
      <c r="J12" s="2873" t="s">
        <v>569</v>
      </c>
      <c r="L12" s="2873" t="s">
        <v>2943</v>
      </c>
      <c r="N12" s="2881">
        <v>0.6</v>
      </c>
      <c r="P12" s="13381">
        <f>AVERAGE(N12:N15)</f>
        <v>0.375</v>
      </c>
    </row>
    <row r="13" spans="2:16">
      <c r="B13" s="13385"/>
      <c r="C13" s="13385"/>
      <c r="D13" s="13385"/>
      <c r="E13" s="13385"/>
      <c r="G13" s="2874" t="s">
        <v>10118</v>
      </c>
      <c r="H13" s="2874"/>
      <c r="J13" s="2874" t="s">
        <v>569</v>
      </c>
      <c r="L13" s="2874" t="s">
        <v>2943</v>
      </c>
      <c r="N13" s="2877">
        <v>0.3</v>
      </c>
      <c r="P13" s="13382"/>
    </row>
    <row r="14" spans="2:16">
      <c r="B14" s="13385"/>
      <c r="C14" s="13385"/>
      <c r="D14" s="13385"/>
      <c r="E14" s="13385"/>
      <c r="G14" s="2874" t="s">
        <v>10119</v>
      </c>
      <c r="H14" s="2874"/>
      <c r="J14" s="2874" t="s">
        <v>569</v>
      </c>
      <c r="L14" s="2874" t="s">
        <v>10025</v>
      </c>
      <c r="N14" s="2877">
        <v>0.3</v>
      </c>
      <c r="P14" s="13382"/>
    </row>
    <row r="15" spans="2:16" ht="15.75" thickBot="1">
      <c r="B15" s="13386"/>
      <c r="C15" s="13386"/>
      <c r="D15" s="13386"/>
      <c r="E15" s="13386"/>
      <c r="G15" s="2875" t="s">
        <v>10120</v>
      </c>
      <c r="H15" s="2875"/>
      <c r="J15" s="2875" t="s">
        <v>10129</v>
      </c>
      <c r="L15" s="2875" t="s">
        <v>2943</v>
      </c>
      <c r="N15" s="2878">
        <v>0.3</v>
      </c>
      <c r="P15" s="13383"/>
    </row>
    <row r="16" spans="2:16" ht="7.5" customHeight="1"/>
    <row r="17" spans="14:14" ht="30">
      <c r="N17" s="2885" t="s">
        <v>10130</v>
      </c>
    </row>
    <row r="19" spans="14:14" ht="15" customHeight="1"/>
  </sheetData>
  <mergeCells count="15">
    <mergeCell ref="P3:P6"/>
    <mergeCell ref="P7:P10"/>
    <mergeCell ref="P12:P15"/>
    <mergeCell ref="B7:B10"/>
    <mergeCell ref="C7:C10"/>
    <mergeCell ref="D7:D10"/>
    <mergeCell ref="E7:E10"/>
    <mergeCell ref="B12:B15"/>
    <mergeCell ref="C12:C15"/>
    <mergeCell ref="D12:D15"/>
    <mergeCell ref="E12:E15"/>
    <mergeCell ref="E3:E6"/>
    <mergeCell ref="B3:B6"/>
    <mergeCell ref="C3:C6"/>
    <mergeCell ref="D3:D6"/>
  </mergeCells>
  <phoneticPr fontId="68" type="noConversion"/>
  <conditionalFormatting sqref="N3 N6:N8">
    <cfRule type="cellIs" dxfId="339" priority="21" operator="between">
      <formula>0.81</formula>
      <formula>1</formula>
    </cfRule>
    <cfRule type="cellIs" dxfId="338" priority="22" operator="between">
      <formula>0.61</formula>
      <formula>0.8</formula>
    </cfRule>
    <cfRule type="cellIs" dxfId="337" priority="23" operator="between">
      <formula>0.31</formula>
      <formula>0.6</formula>
    </cfRule>
    <cfRule type="cellIs" dxfId="336" priority="24" operator="between">
      <formula>0</formula>
      <formula>0.3</formula>
    </cfRule>
  </conditionalFormatting>
  <conditionalFormatting sqref="N13:N15">
    <cfRule type="cellIs" dxfId="335" priority="17" operator="between">
      <formula>0.81</formula>
      <formula>1</formula>
    </cfRule>
    <cfRule type="cellIs" dxfId="334" priority="18" operator="between">
      <formula>0.61</formula>
      <formula>0.8</formula>
    </cfRule>
    <cfRule type="cellIs" dxfId="333" priority="19" operator="between">
      <formula>0.31</formula>
      <formula>0.6</formula>
    </cfRule>
    <cfRule type="cellIs" dxfId="332" priority="20" operator="between">
      <formula>0</formula>
      <formula>0.3</formula>
    </cfRule>
  </conditionalFormatting>
  <conditionalFormatting sqref="N4">
    <cfRule type="cellIs" dxfId="331" priority="5" operator="between">
      <formula>0.81</formula>
      <formula>1</formula>
    </cfRule>
    <cfRule type="cellIs" dxfId="330" priority="6" operator="between">
      <formula>0.61</formula>
      <formula>0.8</formula>
    </cfRule>
    <cfRule type="cellIs" dxfId="329" priority="7" operator="between">
      <formula>0.31</formula>
      <formula>0.6</formula>
    </cfRule>
    <cfRule type="cellIs" dxfId="328" priority="8" operator="between">
      <formula>0</formula>
      <formula>0.3</formula>
    </cfRule>
  </conditionalFormatting>
  <conditionalFormatting sqref="N5">
    <cfRule type="cellIs" dxfId="327" priority="1" operator="between">
      <formula>0.81</formula>
      <formula>1</formula>
    </cfRule>
    <cfRule type="cellIs" dxfId="326" priority="2" operator="between">
      <formula>0.61</formula>
      <formula>0.8</formula>
    </cfRule>
    <cfRule type="cellIs" dxfId="325" priority="3" operator="between">
      <formula>0.31</formula>
      <formula>0.6</formula>
    </cfRule>
    <cfRule type="cellIs" dxfId="324" priority="4" operator="between">
      <formula>0</formula>
      <formula>0.3</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filterMode="1">
    <tabColor theme="9" tint="-0.499984740745262"/>
  </sheetPr>
  <dimension ref="A1:BN2088"/>
  <sheetViews>
    <sheetView tabSelected="1" topLeftCell="C1" zoomScale="80" zoomScaleNormal="80" workbookViewId="0">
      <pane xSplit="1" ySplit="156" topLeftCell="D909" activePane="bottomRight" state="frozen"/>
      <selection activeCell="C1" sqref="C1"/>
      <selection pane="topRight" activeCell="D1" sqref="D1"/>
      <selection pane="bottomLeft" activeCell="C157" sqref="C157"/>
      <selection pane="bottomRight" activeCell="D917" sqref="A917:XFD917"/>
    </sheetView>
  </sheetViews>
  <sheetFormatPr baseColWidth="10" defaultColWidth="11.42578125" defaultRowHeight="30" customHeight="1"/>
  <cols>
    <col min="1" max="1" width="11.85546875" style="498" hidden="1" customWidth="1"/>
    <col min="2" max="2" width="19.7109375" style="498" hidden="1" customWidth="1"/>
    <col min="3" max="3" width="25.85546875" style="7" bestFit="1" customWidth="1"/>
    <col min="4" max="4" width="27.5703125" style="5" customWidth="1"/>
    <col min="5" max="5" width="25.42578125" style="11648" hidden="1" customWidth="1"/>
    <col min="6" max="6" width="26.7109375" style="11648" hidden="1" customWidth="1"/>
    <col min="7" max="7" width="60" style="11648" customWidth="1"/>
    <col min="8" max="8" width="46.28515625" style="11648" customWidth="1"/>
    <col min="9" max="9" width="16.85546875" style="7" customWidth="1"/>
    <col min="10" max="10" width="3.5703125" style="7918" customWidth="1"/>
    <col min="11" max="11" width="19.28515625" style="498" customWidth="1"/>
    <col min="12" max="12" width="16.140625" style="11645" hidden="1" customWidth="1"/>
    <col min="13" max="13" width="22" style="11645" hidden="1" customWidth="1"/>
    <col min="14" max="14" width="46.42578125" style="8" customWidth="1"/>
    <col min="15" max="15" width="29.7109375" style="8" customWidth="1"/>
    <col min="16" max="16" width="31" style="8" customWidth="1"/>
    <col min="17" max="20" width="20.140625" style="11646" customWidth="1"/>
    <col min="21" max="21" width="18.5703125" style="11646" customWidth="1"/>
    <col min="22" max="23" width="15.7109375" style="11646" customWidth="1"/>
    <col min="24" max="46" width="11.42578125" style="11646"/>
    <col min="47" max="49" width="30.85546875" style="8" customWidth="1"/>
    <col min="50" max="50" width="17.85546875" style="8" customWidth="1"/>
    <col min="51" max="51" width="24" style="8" customWidth="1"/>
    <col min="52" max="52" width="24.140625" style="8" customWidth="1"/>
    <col min="53" max="53" width="19.5703125" style="8" customWidth="1"/>
    <col min="54" max="54" width="20.28515625" style="8" customWidth="1"/>
    <col min="55" max="55" width="17.7109375" style="8" customWidth="1"/>
    <col min="56" max="56" width="27.140625" style="8" customWidth="1"/>
    <col min="57" max="57" width="4.28515625" style="7918" customWidth="1"/>
    <col min="58" max="58" width="15.140625" style="7918" hidden="1" customWidth="1"/>
    <col min="59" max="59" width="22" style="7918" hidden="1" customWidth="1"/>
    <col min="60" max="60" width="13.85546875" style="7918" hidden="1" customWidth="1"/>
    <col min="61" max="61" width="19.85546875" style="7918" hidden="1" customWidth="1"/>
    <col min="62" max="62" width="18.7109375" style="7918" hidden="1" customWidth="1"/>
    <col min="63" max="63" width="18.7109375" style="7918" customWidth="1"/>
    <col min="64" max="64" width="72.42578125" style="7918" customWidth="1"/>
    <col min="65" max="65" width="31.5703125" style="7918" hidden="1" customWidth="1"/>
    <col min="66" max="66" width="26.7109375" style="7918" hidden="1" customWidth="1"/>
    <col min="67" max="16384" width="11.42578125" style="7918"/>
  </cols>
  <sheetData>
    <row r="1" spans="1:66" ht="15" customHeight="1" thickBot="1">
      <c r="A1" s="7917"/>
      <c r="B1" s="7917"/>
      <c r="C1" s="4"/>
      <c r="D1" s="4"/>
      <c r="E1" s="11647"/>
      <c r="F1" s="11647"/>
      <c r="G1" s="4"/>
      <c r="H1" s="4"/>
      <c r="I1" s="4"/>
      <c r="K1" s="13290" t="s">
        <v>8497</v>
      </c>
      <c r="L1" s="13291"/>
      <c r="M1" s="13291"/>
      <c r="N1" s="13291"/>
      <c r="O1" s="13291"/>
      <c r="P1" s="13291"/>
      <c r="Q1" s="13618"/>
      <c r="R1" s="13618"/>
      <c r="S1" s="13618"/>
      <c r="T1" s="13618"/>
      <c r="U1" s="13291"/>
      <c r="V1" s="13291"/>
      <c r="W1" s="13291"/>
      <c r="X1" s="13291"/>
      <c r="Y1" s="13291"/>
      <c r="Z1" s="13291"/>
      <c r="AA1" s="13291"/>
      <c r="AB1" s="13291"/>
      <c r="AC1" s="13291"/>
      <c r="AD1" s="13291"/>
      <c r="AE1" s="13291"/>
      <c r="AF1" s="13291"/>
      <c r="AG1" s="13291"/>
      <c r="AH1" s="13291"/>
      <c r="AI1" s="13291"/>
      <c r="AJ1" s="13291"/>
      <c r="AK1" s="13291"/>
      <c r="AL1" s="13291"/>
      <c r="AM1" s="13291"/>
      <c r="AN1" s="13291"/>
      <c r="AO1" s="13291"/>
      <c r="AP1" s="13291"/>
      <c r="AQ1" s="13291"/>
      <c r="AR1" s="13291"/>
      <c r="AS1" s="13291"/>
      <c r="AT1" s="13291"/>
      <c r="AU1" s="13291"/>
      <c r="AV1" s="13291"/>
      <c r="AW1" s="13291"/>
      <c r="AX1" s="13291"/>
      <c r="AY1" s="13291"/>
      <c r="AZ1" s="13291"/>
      <c r="BA1" s="13291"/>
      <c r="BB1" s="13291"/>
      <c r="BC1" s="13291"/>
      <c r="BD1" s="13292"/>
    </row>
    <row r="2" spans="1:66" ht="30" customHeight="1" thickBot="1">
      <c r="A2" s="7917"/>
      <c r="B2" s="7917"/>
      <c r="C2" s="4"/>
      <c r="D2" s="4"/>
      <c r="E2" s="11647"/>
      <c r="F2" s="11647"/>
      <c r="G2" s="4"/>
      <c r="H2" s="4"/>
      <c r="I2" s="4"/>
      <c r="K2" s="13619" t="s">
        <v>8498</v>
      </c>
      <c r="L2" s="13622" t="s">
        <v>10189</v>
      </c>
      <c r="M2" s="13622" t="s">
        <v>10190</v>
      </c>
      <c r="N2" s="13295" t="s">
        <v>8499</v>
      </c>
      <c r="O2" s="13295" t="s">
        <v>8500</v>
      </c>
      <c r="P2" s="13297" t="s">
        <v>4</v>
      </c>
      <c r="Q2" s="13626" t="s">
        <v>355</v>
      </c>
      <c r="R2" s="13627"/>
      <c r="S2" s="13627"/>
      <c r="T2" s="13628"/>
      <c r="U2" s="13626" t="s">
        <v>356</v>
      </c>
      <c r="V2" s="13627"/>
      <c r="W2" s="13627"/>
      <c r="X2" s="13627"/>
      <c r="Y2" s="13627"/>
      <c r="Z2" s="13627"/>
      <c r="AA2" s="13627"/>
      <c r="AB2" s="13627"/>
      <c r="AC2" s="13627"/>
      <c r="AD2" s="13627"/>
      <c r="AE2" s="13627"/>
      <c r="AF2" s="13627"/>
      <c r="AG2" s="13627"/>
      <c r="AH2" s="13627"/>
      <c r="AI2" s="13627"/>
      <c r="AJ2" s="13627"/>
      <c r="AK2" s="13627"/>
      <c r="AL2" s="13627"/>
      <c r="AM2" s="13627"/>
      <c r="AN2" s="13627"/>
      <c r="AO2" s="13627"/>
      <c r="AP2" s="13627"/>
      <c r="AQ2" s="13627"/>
      <c r="AR2" s="13627"/>
      <c r="AS2" s="13627"/>
      <c r="AT2" s="13628"/>
      <c r="AU2" s="13302" t="s">
        <v>357</v>
      </c>
      <c r="AV2" s="13303"/>
      <c r="AW2" s="13303"/>
      <c r="AX2" s="13303"/>
      <c r="AY2" s="13304"/>
      <c r="AZ2" s="13305" t="s">
        <v>5</v>
      </c>
      <c r="BA2" s="13306"/>
      <c r="BB2" s="13306"/>
      <c r="BC2" s="13306"/>
      <c r="BD2" s="13307"/>
      <c r="BF2" s="14401" t="s">
        <v>10367</v>
      </c>
      <c r="BG2" s="14401"/>
      <c r="BH2" s="14401"/>
      <c r="BI2" s="14401"/>
      <c r="BJ2" s="14401"/>
      <c r="BK2" s="14401"/>
      <c r="BL2" s="14401"/>
      <c r="BM2" s="14401"/>
      <c r="BN2" s="14401"/>
    </row>
    <row r="3" spans="1:66" ht="30" customHeight="1" thickBot="1">
      <c r="K3" s="13620"/>
      <c r="L3" s="13622"/>
      <c r="M3" s="13622"/>
      <c r="N3" s="13296"/>
      <c r="O3" s="13296"/>
      <c r="P3" s="13298"/>
      <c r="Q3" s="13629" t="s">
        <v>6</v>
      </c>
      <c r="R3" s="13631" t="s">
        <v>7</v>
      </c>
      <c r="S3" s="13633" t="s">
        <v>8</v>
      </c>
      <c r="T3" s="13635" t="s">
        <v>9</v>
      </c>
      <c r="U3" s="13629" t="s">
        <v>10</v>
      </c>
      <c r="V3" s="13637" t="s">
        <v>11</v>
      </c>
      <c r="W3" s="13638"/>
      <c r="X3" s="13637" t="s">
        <v>12</v>
      </c>
      <c r="Y3" s="13638"/>
      <c r="Z3" s="13637" t="s">
        <v>13</v>
      </c>
      <c r="AA3" s="13639"/>
      <c r="AB3" s="13639"/>
      <c r="AC3" s="13639"/>
      <c r="AD3" s="13639"/>
      <c r="AE3" s="13639"/>
      <c r="AF3" s="13638"/>
      <c r="AG3" s="13640" t="s">
        <v>14</v>
      </c>
      <c r="AH3" s="13641"/>
      <c r="AI3" s="13641"/>
      <c r="AJ3" s="13641"/>
      <c r="AK3" s="13641"/>
      <c r="AL3" s="13641"/>
      <c r="AM3" s="13641"/>
      <c r="AN3" s="13642"/>
      <c r="AO3" s="13640" t="s">
        <v>15</v>
      </c>
      <c r="AP3" s="13641"/>
      <c r="AQ3" s="13641"/>
      <c r="AR3" s="13641"/>
      <c r="AS3" s="13641"/>
      <c r="AT3" s="13642"/>
      <c r="AU3" s="13288" t="s">
        <v>16</v>
      </c>
      <c r="AV3" s="13288" t="s">
        <v>17</v>
      </c>
      <c r="AW3" s="13275" t="s">
        <v>18</v>
      </c>
      <c r="AX3" s="10" t="s">
        <v>19</v>
      </c>
      <c r="AY3" s="489" t="s">
        <v>20</v>
      </c>
      <c r="AZ3" s="13277" t="s">
        <v>21</v>
      </c>
      <c r="BA3" s="13279" t="s">
        <v>22</v>
      </c>
      <c r="BB3" s="13280"/>
      <c r="BC3" s="13281"/>
      <c r="BD3" s="12" t="s">
        <v>20</v>
      </c>
      <c r="BF3" s="14402"/>
      <c r="BG3" s="14402"/>
      <c r="BH3" s="14402"/>
      <c r="BI3" s="14402"/>
      <c r="BJ3" s="14402"/>
      <c r="BK3" s="14402"/>
      <c r="BL3" s="14402"/>
      <c r="BM3" s="14402"/>
      <c r="BN3" s="14402"/>
    </row>
    <row r="4" spans="1:66" ht="98.25" customHeight="1" thickBot="1">
      <c r="A4" s="7920" t="s">
        <v>10336</v>
      </c>
      <c r="B4" s="7921" t="s">
        <v>4635</v>
      </c>
      <c r="C4" s="11649" t="s">
        <v>10337</v>
      </c>
      <c r="D4" s="12803" t="s">
        <v>10362</v>
      </c>
      <c r="E4" s="11650" t="s">
        <v>368</v>
      </c>
      <c r="F4" s="11650" t="s">
        <v>4642</v>
      </c>
      <c r="G4" s="11651" t="s">
        <v>4636</v>
      </c>
      <c r="H4" s="11652" t="s">
        <v>4641</v>
      </c>
      <c r="I4" s="11650" t="s">
        <v>6768</v>
      </c>
      <c r="K4" s="13621"/>
      <c r="L4" s="13623"/>
      <c r="M4" s="13623"/>
      <c r="N4" s="13624"/>
      <c r="O4" s="13624"/>
      <c r="P4" s="13625"/>
      <c r="Q4" s="13630"/>
      <c r="R4" s="13632"/>
      <c r="S4" s="13634"/>
      <c r="T4" s="13636"/>
      <c r="U4" s="13630"/>
      <c r="V4" s="7725" t="s">
        <v>23</v>
      </c>
      <c r="W4" s="7726" t="s">
        <v>24</v>
      </c>
      <c r="X4" s="7725" t="s">
        <v>25</v>
      </c>
      <c r="Y4" s="7726" t="s">
        <v>26</v>
      </c>
      <c r="Z4" s="7727" t="s">
        <v>27</v>
      </c>
      <c r="AA4" s="7728" t="s">
        <v>28</v>
      </c>
      <c r="AB4" s="7728" t="s">
        <v>29</v>
      </c>
      <c r="AC4" s="7728" t="s">
        <v>30</v>
      </c>
      <c r="AD4" s="7728" t="s">
        <v>31</v>
      </c>
      <c r="AE4" s="7728" t="s">
        <v>32</v>
      </c>
      <c r="AF4" s="7729" t="s">
        <v>33</v>
      </c>
      <c r="AG4" s="7727" t="s">
        <v>34</v>
      </c>
      <c r="AH4" s="7728" t="s">
        <v>35</v>
      </c>
      <c r="AI4" s="7728" t="s">
        <v>36</v>
      </c>
      <c r="AJ4" s="7728" t="s">
        <v>37</v>
      </c>
      <c r="AK4" s="7728" t="s">
        <v>38</v>
      </c>
      <c r="AL4" s="7728" t="s">
        <v>39</v>
      </c>
      <c r="AM4" s="7728" t="s">
        <v>40</v>
      </c>
      <c r="AN4" s="7729" t="s">
        <v>41</v>
      </c>
      <c r="AO4" s="7730" t="s">
        <v>42</v>
      </c>
      <c r="AP4" s="7728" t="s">
        <v>43</v>
      </c>
      <c r="AQ4" s="7728" t="s">
        <v>44</v>
      </c>
      <c r="AR4" s="7728" t="s">
        <v>45</v>
      </c>
      <c r="AS4" s="7728" t="s">
        <v>46</v>
      </c>
      <c r="AT4" s="7731" t="s">
        <v>47</v>
      </c>
      <c r="AU4" s="13643"/>
      <c r="AV4" s="13643"/>
      <c r="AW4" s="13644"/>
      <c r="AX4" s="7732" t="s">
        <v>48</v>
      </c>
      <c r="AY4" s="7733" t="s">
        <v>49</v>
      </c>
      <c r="AZ4" s="13645"/>
      <c r="BA4" s="7734" t="s">
        <v>50</v>
      </c>
      <c r="BB4" s="7734" t="s">
        <v>51</v>
      </c>
      <c r="BC4" s="7734" t="s">
        <v>52</v>
      </c>
      <c r="BD4" s="7735" t="s">
        <v>49</v>
      </c>
      <c r="BF4" s="7922" t="s">
        <v>10363</v>
      </c>
      <c r="BG4" s="7922" t="s">
        <v>10364</v>
      </c>
      <c r="BH4" s="7922" t="s">
        <v>9925</v>
      </c>
      <c r="BI4" s="7923" t="s">
        <v>362</v>
      </c>
      <c r="BJ4" s="7923" t="s">
        <v>10365</v>
      </c>
      <c r="BK4" s="7923" t="s">
        <v>10368</v>
      </c>
      <c r="BL4" s="7923" t="s">
        <v>1073</v>
      </c>
      <c r="BM4" s="7923" t="s">
        <v>10366</v>
      </c>
      <c r="BN4" s="7924" t="s">
        <v>9925</v>
      </c>
    </row>
    <row r="5" spans="1:66" ht="24.75" hidden="1" customHeight="1">
      <c r="A5" s="13776">
        <v>1</v>
      </c>
      <c r="B5" s="13824" t="s">
        <v>7530</v>
      </c>
      <c r="C5" s="13579" t="s">
        <v>10338</v>
      </c>
      <c r="D5" s="11653" t="s">
        <v>10066</v>
      </c>
      <c r="E5" s="11654" t="s">
        <v>298</v>
      </c>
      <c r="F5" s="11654"/>
      <c r="G5" s="13825" t="s">
        <v>4653</v>
      </c>
      <c r="H5" s="13531" t="s">
        <v>4658</v>
      </c>
      <c r="I5" s="13822">
        <v>10</v>
      </c>
      <c r="K5" s="7925"/>
      <c r="L5" s="7926"/>
      <c r="M5" s="7926"/>
      <c r="N5" s="7927"/>
      <c r="O5" s="7927"/>
      <c r="P5" s="7928"/>
      <c r="Q5" s="7929"/>
      <c r="R5" s="7930"/>
      <c r="S5" s="7931"/>
      <c r="T5" s="7932"/>
      <c r="U5" s="7929"/>
      <c r="V5" s="7930"/>
      <c r="W5" s="7932"/>
      <c r="X5" s="7930"/>
      <c r="Y5" s="7932"/>
      <c r="Z5" s="7930"/>
      <c r="AA5" s="7931"/>
      <c r="AB5" s="7931"/>
      <c r="AC5" s="7931"/>
      <c r="AD5" s="7931"/>
      <c r="AE5" s="7931"/>
      <c r="AF5" s="7932"/>
      <c r="AG5" s="7930"/>
      <c r="AH5" s="7931"/>
      <c r="AI5" s="7931"/>
      <c r="AJ5" s="7931"/>
      <c r="AK5" s="7931"/>
      <c r="AL5" s="7931"/>
      <c r="AM5" s="7931"/>
      <c r="AN5" s="7932"/>
      <c r="AO5" s="7930"/>
      <c r="AP5" s="7931"/>
      <c r="AQ5" s="7931"/>
      <c r="AR5" s="7931"/>
      <c r="AS5" s="7931"/>
      <c r="AT5" s="7932"/>
      <c r="AU5" s="7933"/>
      <c r="AV5" s="7933"/>
      <c r="AW5" s="7933"/>
      <c r="AX5" s="7925"/>
      <c r="AY5" s="7928"/>
      <c r="AZ5" s="7933"/>
      <c r="BA5" s="7925"/>
      <c r="BB5" s="7927"/>
      <c r="BC5" s="7928"/>
      <c r="BD5" s="7934"/>
      <c r="BF5" s="14403"/>
      <c r="BG5" s="14403"/>
      <c r="BH5" s="14403"/>
      <c r="BI5" s="14403"/>
      <c r="BJ5" s="14403"/>
      <c r="BK5" s="7935"/>
      <c r="BL5" s="14403"/>
      <c r="BM5" s="14403"/>
      <c r="BN5" s="14403"/>
    </row>
    <row r="6" spans="1:66" ht="24.75" hidden="1" customHeight="1">
      <c r="A6" s="13528"/>
      <c r="B6" s="13781"/>
      <c r="C6" s="13580"/>
      <c r="D6" s="11655" t="s">
        <v>10238</v>
      </c>
      <c r="E6" s="7833"/>
      <c r="F6" s="7833" t="s">
        <v>4659</v>
      </c>
      <c r="G6" s="13783"/>
      <c r="H6" s="13413"/>
      <c r="I6" s="13823"/>
      <c r="K6" s="7936"/>
      <c r="L6" s="7937"/>
      <c r="M6" s="7937"/>
      <c r="N6" s="7938"/>
      <c r="O6" s="7938"/>
      <c r="P6" s="7939"/>
      <c r="Q6" s="7940"/>
      <c r="R6" s="7941"/>
      <c r="S6" s="7942"/>
      <c r="T6" s="7943"/>
      <c r="U6" s="7940"/>
      <c r="V6" s="7941"/>
      <c r="W6" s="7943"/>
      <c r="X6" s="7941"/>
      <c r="Y6" s="7943"/>
      <c r="Z6" s="7941"/>
      <c r="AA6" s="7942"/>
      <c r="AB6" s="7942"/>
      <c r="AC6" s="7942"/>
      <c r="AD6" s="7942"/>
      <c r="AE6" s="7942"/>
      <c r="AF6" s="7943"/>
      <c r="AG6" s="7941"/>
      <c r="AH6" s="7942"/>
      <c r="AI6" s="7942"/>
      <c r="AJ6" s="7942"/>
      <c r="AK6" s="7942"/>
      <c r="AL6" s="7942"/>
      <c r="AM6" s="7942"/>
      <c r="AN6" s="7943"/>
      <c r="AO6" s="7941"/>
      <c r="AP6" s="7942"/>
      <c r="AQ6" s="7942"/>
      <c r="AR6" s="7942"/>
      <c r="AS6" s="7942"/>
      <c r="AT6" s="7943"/>
      <c r="AU6" s="7944"/>
      <c r="AV6" s="7944"/>
      <c r="AW6" s="7944"/>
      <c r="AX6" s="7936"/>
      <c r="AY6" s="7939"/>
      <c r="AZ6" s="7944"/>
      <c r="BA6" s="7936"/>
      <c r="BB6" s="7938"/>
      <c r="BC6" s="7939"/>
      <c r="BD6" s="7945"/>
      <c r="BF6" s="14404"/>
      <c r="BG6" s="14404"/>
      <c r="BH6" s="14404"/>
      <c r="BI6" s="14404"/>
      <c r="BJ6" s="14404"/>
      <c r="BK6" s="7946"/>
      <c r="BL6" s="14404"/>
      <c r="BM6" s="14404"/>
      <c r="BN6" s="14404"/>
    </row>
    <row r="7" spans="1:66" ht="30" hidden="1" customHeight="1">
      <c r="A7" s="13528">
        <v>2</v>
      </c>
      <c r="B7" s="13781" t="s">
        <v>7531</v>
      </c>
      <c r="C7" s="13580"/>
      <c r="D7" s="11655" t="s">
        <v>10066</v>
      </c>
      <c r="E7" s="7833" t="s">
        <v>298</v>
      </c>
      <c r="F7" s="7833"/>
      <c r="G7" s="13783" t="s">
        <v>4661</v>
      </c>
      <c r="H7" s="13413" t="s">
        <v>4665</v>
      </c>
      <c r="I7" s="13821">
        <v>1</v>
      </c>
      <c r="K7" s="7947"/>
      <c r="L7" s="7937"/>
      <c r="M7" s="7937"/>
      <c r="N7" s="7948"/>
      <c r="O7" s="7948"/>
      <c r="P7" s="7949"/>
      <c r="Q7" s="7940"/>
      <c r="R7" s="7941"/>
      <c r="S7" s="7942"/>
      <c r="T7" s="7943"/>
      <c r="U7" s="7940"/>
      <c r="V7" s="7941"/>
      <c r="W7" s="7943"/>
      <c r="X7" s="7941"/>
      <c r="Y7" s="7943"/>
      <c r="Z7" s="7941"/>
      <c r="AA7" s="7942"/>
      <c r="AB7" s="7942"/>
      <c r="AC7" s="7942"/>
      <c r="AD7" s="7942"/>
      <c r="AE7" s="7942"/>
      <c r="AF7" s="7943"/>
      <c r="AG7" s="7941"/>
      <c r="AH7" s="7942"/>
      <c r="AI7" s="7942"/>
      <c r="AJ7" s="7942"/>
      <c r="AK7" s="7942"/>
      <c r="AL7" s="7942"/>
      <c r="AM7" s="7942"/>
      <c r="AN7" s="7943"/>
      <c r="AO7" s="7941"/>
      <c r="AP7" s="7942"/>
      <c r="AQ7" s="7942"/>
      <c r="AR7" s="7942"/>
      <c r="AS7" s="7942"/>
      <c r="AT7" s="7943"/>
      <c r="AU7" s="7950"/>
      <c r="AV7" s="7950"/>
      <c r="AW7" s="7950"/>
      <c r="AX7" s="7947"/>
      <c r="AY7" s="7949"/>
      <c r="AZ7" s="7950"/>
      <c r="BA7" s="7947"/>
      <c r="BB7" s="7948"/>
      <c r="BC7" s="7949"/>
      <c r="BD7" s="7951"/>
      <c r="BF7" s="14404"/>
      <c r="BG7" s="14404"/>
      <c r="BH7" s="14404"/>
      <c r="BI7" s="14404"/>
      <c r="BJ7" s="14404"/>
      <c r="BK7" s="7946"/>
      <c r="BL7" s="14404"/>
      <c r="BM7" s="14404"/>
      <c r="BN7" s="14404"/>
    </row>
    <row r="8" spans="1:66" ht="30" hidden="1" customHeight="1">
      <c r="A8" s="13528"/>
      <c r="B8" s="13781"/>
      <c r="C8" s="13580"/>
      <c r="D8" s="11655" t="s">
        <v>10238</v>
      </c>
      <c r="E8" s="7833"/>
      <c r="F8" s="7833" t="s">
        <v>10064</v>
      </c>
      <c r="G8" s="13783"/>
      <c r="H8" s="13413"/>
      <c r="I8" s="13821"/>
      <c r="K8" s="7947"/>
      <c r="L8" s="7937"/>
      <c r="M8" s="7937"/>
      <c r="N8" s="7948"/>
      <c r="O8" s="7948"/>
      <c r="P8" s="7949"/>
      <c r="Q8" s="7940"/>
      <c r="R8" s="7941"/>
      <c r="S8" s="7942"/>
      <c r="T8" s="7943"/>
      <c r="U8" s="7940"/>
      <c r="V8" s="7941"/>
      <c r="W8" s="7943"/>
      <c r="X8" s="7941"/>
      <c r="Y8" s="7943"/>
      <c r="Z8" s="7941"/>
      <c r="AA8" s="7942"/>
      <c r="AB8" s="7942"/>
      <c r="AC8" s="7942"/>
      <c r="AD8" s="7942"/>
      <c r="AE8" s="7942"/>
      <c r="AF8" s="7943"/>
      <c r="AG8" s="7941"/>
      <c r="AH8" s="7942"/>
      <c r="AI8" s="7942"/>
      <c r="AJ8" s="7942"/>
      <c r="AK8" s="7942"/>
      <c r="AL8" s="7942"/>
      <c r="AM8" s="7942"/>
      <c r="AN8" s="7943"/>
      <c r="AO8" s="7941"/>
      <c r="AP8" s="7942"/>
      <c r="AQ8" s="7942"/>
      <c r="AR8" s="7942"/>
      <c r="AS8" s="7942"/>
      <c r="AT8" s="7943"/>
      <c r="AU8" s="7950"/>
      <c r="AV8" s="7950"/>
      <c r="AW8" s="7950"/>
      <c r="AX8" s="7947"/>
      <c r="AY8" s="7949"/>
      <c r="AZ8" s="7950"/>
      <c r="BA8" s="7947"/>
      <c r="BB8" s="7948"/>
      <c r="BC8" s="7949"/>
      <c r="BD8" s="7951"/>
      <c r="BF8" s="14404"/>
      <c r="BG8" s="14404"/>
      <c r="BH8" s="14404"/>
      <c r="BI8" s="14404"/>
      <c r="BJ8" s="14404"/>
      <c r="BK8" s="7946"/>
      <c r="BL8" s="14404"/>
      <c r="BM8" s="14404"/>
      <c r="BN8" s="14404"/>
    </row>
    <row r="9" spans="1:66" ht="30" hidden="1" customHeight="1">
      <c r="A9" s="7952">
        <v>3</v>
      </c>
      <c r="B9" s="7953" t="s">
        <v>7532</v>
      </c>
      <c r="C9" s="13580"/>
      <c r="D9" s="11655" t="s">
        <v>10066</v>
      </c>
      <c r="E9" s="7833" t="s">
        <v>298</v>
      </c>
      <c r="F9" s="7833"/>
      <c r="G9" s="11656" t="s">
        <v>4669</v>
      </c>
      <c r="H9" s="11657" t="s">
        <v>4673</v>
      </c>
      <c r="I9" s="11658">
        <v>3</v>
      </c>
      <c r="K9" s="7954"/>
      <c r="L9" s="7955"/>
      <c r="M9" s="7955"/>
      <c r="N9" s="7956"/>
      <c r="O9" s="7956"/>
      <c r="P9" s="7957"/>
      <c r="Q9" s="7958"/>
      <c r="R9" s="7959"/>
      <c r="S9" s="7960"/>
      <c r="T9" s="7961"/>
      <c r="U9" s="7958"/>
      <c r="V9" s="7959"/>
      <c r="W9" s="7961"/>
      <c r="X9" s="7959"/>
      <c r="Y9" s="7961"/>
      <c r="Z9" s="7959"/>
      <c r="AA9" s="7960"/>
      <c r="AB9" s="7960"/>
      <c r="AC9" s="7960"/>
      <c r="AD9" s="7960"/>
      <c r="AE9" s="7960"/>
      <c r="AF9" s="7961"/>
      <c r="AG9" s="7959"/>
      <c r="AH9" s="7960"/>
      <c r="AI9" s="7960"/>
      <c r="AJ9" s="7960"/>
      <c r="AK9" s="7960"/>
      <c r="AL9" s="7960"/>
      <c r="AM9" s="7960"/>
      <c r="AN9" s="7961"/>
      <c r="AO9" s="7959"/>
      <c r="AP9" s="7960"/>
      <c r="AQ9" s="7960"/>
      <c r="AR9" s="7960"/>
      <c r="AS9" s="7960"/>
      <c r="AT9" s="7961"/>
      <c r="AU9" s="7962"/>
      <c r="AV9" s="7962"/>
      <c r="AW9" s="7962"/>
      <c r="AX9" s="7954"/>
      <c r="AY9" s="7957"/>
      <c r="AZ9" s="7962"/>
      <c r="BA9" s="7954"/>
      <c r="BB9" s="7956"/>
      <c r="BC9" s="7957"/>
      <c r="BD9" s="7963"/>
      <c r="BF9" s="7946"/>
      <c r="BG9" s="7946"/>
      <c r="BH9" s="7946"/>
      <c r="BI9" s="7946"/>
      <c r="BJ9" s="7946"/>
      <c r="BK9" s="7946"/>
      <c r="BL9" s="7946"/>
      <c r="BM9" s="7946"/>
      <c r="BN9" s="7946"/>
    </row>
    <row r="10" spans="1:66" ht="30" hidden="1" customHeight="1">
      <c r="A10" s="13528">
        <v>4</v>
      </c>
      <c r="B10" s="13781" t="s">
        <v>7533</v>
      </c>
      <c r="C10" s="13580"/>
      <c r="D10" s="11655" t="s">
        <v>10070</v>
      </c>
      <c r="E10" s="7833" t="s">
        <v>512</v>
      </c>
      <c r="F10" s="7833"/>
      <c r="G10" s="13783" t="s">
        <v>4675</v>
      </c>
      <c r="H10" s="13413" t="s">
        <v>4680</v>
      </c>
      <c r="I10" s="13821">
        <v>1</v>
      </c>
      <c r="K10" s="7947"/>
      <c r="L10" s="7937"/>
      <c r="M10" s="7937"/>
      <c r="N10" s="7948"/>
      <c r="O10" s="7948"/>
      <c r="P10" s="7949"/>
      <c r="Q10" s="7940"/>
      <c r="R10" s="7941"/>
      <c r="S10" s="7942"/>
      <c r="T10" s="7943"/>
      <c r="U10" s="7940"/>
      <c r="V10" s="7941"/>
      <c r="W10" s="7943"/>
      <c r="X10" s="7941"/>
      <c r="Y10" s="7943"/>
      <c r="Z10" s="7941"/>
      <c r="AA10" s="7942"/>
      <c r="AB10" s="7942"/>
      <c r="AC10" s="7942"/>
      <c r="AD10" s="7942"/>
      <c r="AE10" s="7942"/>
      <c r="AF10" s="7943"/>
      <c r="AG10" s="7941"/>
      <c r="AH10" s="7942"/>
      <c r="AI10" s="7942"/>
      <c r="AJ10" s="7942"/>
      <c r="AK10" s="7942"/>
      <c r="AL10" s="7942"/>
      <c r="AM10" s="7942"/>
      <c r="AN10" s="7943"/>
      <c r="AO10" s="7941"/>
      <c r="AP10" s="7942"/>
      <c r="AQ10" s="7942"/>
      <c r="AR10" s="7942"/>
      <c r="AS10" s="7942"/>
      <c r="AT10" s="7943"/>
      <c r="AU10" s="7950"/>
      <c r="AV10" s="7950"/>
      <c r="AW10" s="7950"/>
      <c r="AX10" s="7947"/>
      <c r="AY10" s="7949"/>
      <c r="AZ10" s="7950"/>
      <c r="BA10" s="7947"/>
      <c r="BB10" s="7948"/>
      <c r="BC10" s="7949"/>
      <c r="BD10" s="7951"/>
      <c r="BF10" s="14404"/>
      <c r="BG10" s="14404"/>
      <c r="BH10" s="14404"/>
      <c r="BI10" s="14404"/>
      <c r="BJ10" s="14404"/>
      <c r="BK10" s="7946"/>
      <c r="BL10" s="14404"/>
      <c r="BM10" s="14404"/>
      <c r="BN10" s="14404"/>
    </row>
    <row r="11" spans="1:66" ht="30" hidden="1" customHeight="1">
      <c r="A11" s="13528"/>
      <c r="B11" s="13781"/>
      <c r="C11" s="13580"/>
      <c r="D11" s="11655" t="s">
        <v>10066</v>
      </c>
      <c r="E11" s="7833"/>
      <c r="F11" s="7833" t="s">
        <v>298</v>
      </c>
      <c r="G11" s="13783"/>
      <c r="H11" s="13413"/>
      <c r="I11" s="13821"/>
      <c r="K11" s="7947"/>
      <c r="L11" s="7937"/>
      <c r="M11" s="7937"/>
      <c r="N11" s="7948"/>
      <c r="O11" s="7948"/>
      <c r="P11" s="7949"/>
      <c r="Q11" s="7940"/>
      <c r="R11" s="7941"/>
      <c r="S11" s="7942"/>
      <c r="T11" s="7943"/>
      <c r="U11" s="7940"/>
      <c r="V11" s="7941"/>
      <c r="W11" s="7943"/>
      <c r="X11" s="7941"/>
      <c r="Y11" s="7943"/>
      <c r="Z11" s="7941"/>
      <c r="AA11" s="7942"/>
      <c r="AB11" s="7942"/>
      <c r="AC11" s="7942"/>
      <c r="AD11" s="7942"/>
      <c r="AE11" s="7942"/>
      <c r="AF11" s="7943"/>
      <c r="AG11" s="7941"/>
      <c r="AH11" s="7942"/>
      <c r="AI11" s="7942"/>
      <c r="AJ11" s="7942"/>
      <c r="AK11" s="7942"/>
      <c r="AL11" s="7942"/>
      <c r="AM11" s="7942"/>
      <c r="AN11" s="7943"/>
      <c r="AO11" s="7941"/>
      <c r="AP11" s="7942"/>
      <c r="AQ11" s="7942"/>
      <c r="AR11" s="7942"/>
      <c r="AS11" s="7942"/>
      <c r="AT11" s="7943"/>
      <c r="AU11" s="7950"/>
      <c r="AV11" s="7950"/>
      <c r="AW11" s="7950"/>
      <c r="AX11" s="7947"/>
      <c r="AY11" s="7949"/>
      <c r="AZ11" s="7950"/>
      <c r="BA11" s="7947"/>
      <c r="BB11" s="7948"/>
      <c r="BC11" s="7949"/>
      <c r="BD11" s="7951"/>
      <c r="BF11" s="14404"/>
      <c r="BG11" s="14404"/>
      <c r="BH11" s="14404"/>
      <c r="BI11" s="14404"/>
      <c r="BJ11" s="14404"/>
      <c r="BK11" s="7946"/>
      <c r="BL11" s="14404"/>
      <c r="BM11" s="14404"/>
      <c r="BN11" s="14404"/>
    </row>
    <row r="12" spans="1:66" ht="19.5" hidden="1" customHeight="1">
      <c r="A12" s="13528">
        <v>5</v>
      </c>
      <c r="B12" s="13781" t="s">
        <v>7534</v>
      </c>
      <c r="C12" s="13580"/>
      <c r="D12" s="11655" t="s">
        <v>10066</v>
      </c>
      <c r="E12" s="7833" t="s">
        <v>10060</v>
      </c>
      <c r="F12" s="7833"/>
      <c r="G12" s="13783" t="s">
        <v>4683</v>
      </c>
      <c r="H12" s="13413" t="s">
        <v>4687</v>
      </c>
      <c r="I12" s="13780">
        <v>0.15</v>
      </c>
      <c r="K12" s="7964"/>
      <c r="L12" s="7965"/>
      <c r="M12" s="7965"/>
      <c r="N12" s="7965"/>
      <c r="O12" s="7965"/>
      <c r="P12" s="7966"/>
      <c r="Q12" s="7967"/>
      <c r="R12" s="7968"/>
      <c r="S12" s="7969"/>
      <c r="T12" s="7970"/>
      <c r="U12" s="7967"/>
      <c r="V12" s="7968"/>
      <c r="W12" s="7970"/>
      <c r="X12" s="7968"/>
      <c r="Y12" s="7970"/>
      <c r="Z12" s="7968"/>
      <c r="AA12" s="7969"/>
      <c r="AB12" s="7969"/>
      <c r="AC12" s="7969"/>
      <c r="AD12" s="7969"/>
      <c r="AE12" s="7969"/>
      <c r="AF12" s="7970"/>
      <c r="AG12" s="7968"/>
      <c r="AH12" s="7969"/>
      <c r="AI12" s="7969"/>
      <c r="AJ12" s="7969"/>
      <c r="AK12" s="7969"/>
      <c r="AL12" s="7969"/>
      <c r="AM12" s="7969"/>
      <c r="AN12" s="7970"/>
      <c r="AO12" s="7968"/>
      <c r="AP12" s="7969"/>
      <c r="AQ12" s="7969"/>
      <c r="AR12" s="7969"/>
      <c r="AS12" s="7969"/>
      <c r="AT12" s="7970"/>
      <c r="AU12" s="7971"/>
      <c r="AV12" s="7971"/>
      <c r="AW12" s="7971"/>
      <c r="AX12" s="7964"/>
      <c r="AY12" s="7966"/>
      <c r="AZ12" s="7971"/>
      <c r="BA12" s="7964"/>
      <c r="BB12" s="7965"/>
      <c r="BC12" s="7966"/>
      <c r="BD12" s="7972"/>
      <c r="BF12" s="14404"/>
      <c r="BG12" s="14404"/>
      <c r="BH12" s="14404"/>
      <c r="BI12" s="14404"/>
      <c r="BJ12" s="14404"/>
      <c r="BK12" s="7946"/>
      <c r="BL12" s="14404"/>
      <c r="BM12" s="14404"/>
      <c r="BN12" s="14404"/>
    </row>
    <row r="13" spans="1:66" ht="19.5" hidden="1" customHeight="1">
      <c r="A13" s="13528"/>
      <c r="B13" s="13781"/>
      <c r="C13" s="13580"/>
      <c r="D13" s="11655" t="s">
        <v>10057</v>
      </c>
      <c r="E13" s="7833"/>
      <c r="F13" s="7833" t="s">
        <v>10058</v>
      </c>
      <c r="G13" s="13783"/>
      <c r="H13" s="13413"/>
      <c r="I13" s="13780"/>
      <c r="K13" s="7964"/>
      <c r="L13" s="7965"/>
      <c r="M13" s="7965"/>
      <c r="N13" s="7965"/>
      <c r="O13" s="7965"/>
      <c r="P13" s="7966"/>
      <c r="Q13" s="7967"/>
      <c r="R13" s="7968"/>
      <c r="S13" s="7969"/>
      <c r="T13" s="7970"/>
      <c r="U13" s="7967"/>
      <c r="V13" s="7968"/>
      <c r="W13" s="7970"/>
      <c r="X13" s="7968"/>
      <c r="Y13" s="7970"/>
      <c r="Z13" s="7968"/>
      <c r="AA13" s="7969"/>
      <c r="AB13" s="7969"/>
      <c r="AC13" s="7969"/>
      <c r="AD13" s="7969"/>
      <c r="AE13" s="7969"/>
      <c r="AF13" s="7970"/>
      <c r="AG13" s="7968"/>
      <c r="AH13" s="7969"/>
      <c r="AI13" s="7969"/>
      <c r="AJ13" s="7969"/>
      <c r="AK13" s="7969"/>
      <c r="AL13" s="7969"/>
      <c r="AM13" s="7969"/>
      <c r="AN13" s="7970"/>
      <c r="AO13" s="7968"/>
      <c r="AP13" s="7969"/>
      <c r="AQ13" s="7969"/>
      <c r="AR13" s="7969"/>
      <c r="AS13" s="7969"/>
      <c r="AT13" s="7970"/>
      <c r="AU13" s="7971"/>
      <c r="AV13" s="7971"/>
      <c r="AW13" s="7971"/>
      <c r="AX13" s="7964"/>
      <c r="AY13" s="7966"/>
      <c r="AZ13" s="7971"/>
      <c r="BA13" s="7964"/>
      <c r="BB13" s="7965"/>
      <c r="BC13" s="7966"/>
      <c r="BD13" s="7972"/>
      <c r="BF13" s="14404"/>
      <c r="BG13" s="14404"/>
      <c r="BH13" s="14404"/>
      <c r="BI13" s="14404"/>
      <c r="BJ13" s="14404"/>
      <c r="BK13" s="7946"/>
      <c r="BL13" s="14404"/>
      <c r="BM13" s="14404"/>
      <c r="BN13" s="14404"/>
    </row>
    <row r="14" spans="1:66" ht="19.5" hidden="1" customHeight="1">
      <c r="A14" s="13528"/>
      <c r="B14" s="13781"/>
      <c r="C14" s="13580"/>
      <c r="D14" s="11655" t="s">
        <v>218</v>
      </c>
      <c r="E14" s="7833"/>
      <c r="F14" s="7833" t="s">
        <v>768</v>
      </c>
      <c r="G14" s="13783"/>
      <c r="H14" s="13413"/>
      <c r="I14" s="13780"/>
      <c r="K14" s="7964"/>
      <c r="L14" s="7965"/>
      <c r="M14" s="7965"/>
      <c r="N14" s="7965"/>
      <c r="O14" s="7965"/>
      <c r="P14" s="7966"/>
      <c r="Q14" s="7967"/>
      <c r="R14" s="7968"/>
      <c r="S14" s="7969"/>
      <c r="T14" s="7970"/>
      <c r="U14" s="7967"/>
      <c r="V14" s="7968"/>
      <c r="W14" s="7970"/>
      <c r="X14" s="7968"/>
      <c r="Y14" s="7970"/>
      <c r="Z14" s="7968"/>
      <c r="AA14" s="7969"/>
      <c r="AB14" s="7969"/>
      <c r="AC14" s="7969"/>
      <c r="AD14" s="7969"/>
      <c r="AE14" s="7969"/>
      <c r="AF14" s="7970"/>
      <c r="AG14" s="7968"/>
      <c r="AH14" s="7969"/>
      <c r="AI14" s="7969"/>
      <c r="AJ14" s="7969"/>
      <c r="AK14" s="7969"/>
      <c r="AL14" s="7969"/>
      <c r="AM14" s="7969"/>
      <c r="AN14" s="7970"/>
      <c r="AO14" s="7968"/>
      <c r="AP14" s="7969"/>
      <c r="AQ14" s="7969"/>
      <c r="AR14" s="7969"/>
      <c r="AS14" s="7969"/>
      <c r="AT14" s="7970"/>
      <c r="AU14" s="7971"/>
      <c r="AV14" s="7971"/>
      <c r="AW14" s="7971"/>
      <c r="AX14" s="7964"/>
      <c r="AY14" s="7966"/>
      <c r="AZ14" s="7971"/>
      <c r="BA14" s="7964"/>
      <c r="BB14" s="7965"/>
      <c r="BC14" s="7966"/>
      <c r="BD14" s="7972"/>
      <c r="BF14" s="14404"/>
      <c r="BG14" s="14404"/>
      <c r="BH14" s="14404"/>
      <c r="BI14" s="14404"/>
      <c r="BJ14" s="14404"/>
      <c r="BK14" s="7946"/>
      <c r="BL14" s="14404"/>
      <c r="BM14" s="14404"/>
      <c r="BN14" s="14404"/>
    </row>
    <row r="15" spans="1:66" ht="19.5" hidden="1" customHeight="1">
      <c r="A15" s="13528"/>
      <c r="B15" s="13781"/>
      <c r="C15" s="13580"/>
      <c r="D15" s="11655" t="s">
        <v>4337</v>
      </c>
      <c r="E15" s="7833"/>
      <c r="F15" s="7833" t="s">
        <v>10164</v>
      </c>
      <c r="G15" s="13783"/>
      <c r="H15" s="13413"/>
      <c r="I15" s="13780"/>
      <c r="K15" s="7964"/>
      <c r="L15" s="7965"/>
      <c r="M15" s="7965"/>
      <c r="N15" s="7965"/>
      <c r="O15" s="7965"/>
      <c r="P15" s="7966"/>
      <c r="Q15" s="7967"/>
      <c r="R15" s="7968"/>
      <c r="S15" s="7969"/>
      <c r="T15" s="7970"/>
      <c r="U15" s="7967"/>
      <c r="V15" s="7968"/>
      <c r="W15" s="7970"/>
      <c r="X15" s="7968"/>
      <c r="Y15" s="7970"/>
      <c r="Z15" s="7968"/>
      <c r="AA15" s="7969"/>
      <c r="AB15" s="7969"/>
      <c r="AC15" s="7969"/>
      <c r="AD15" s="7969"/>
      <c r="AE15" s="7969"/>
      <c r="AF15" s="7970"/>
      <c r="AG15" s="7968"/>
      <c r="AH15" s="7969"/>
      <c r="AI15" s="7969"/>
      <c r="AJ15" s="7969"/>
      <c r="AK15" s="7969"/>
      <c r="AL15" s="7969"/>
      <c r="AM15" s="7969"/>
      <c r="AN15" s="7970"/>
      <c r="AO15" s="7968"/>
      <c r="AP15" s="7969"/>
      <c r="AQ15" s="7969"/>
      <c r="AR15" s="7969"/>
      <c r="AS15" s="7969"/>
      <c r="AT15" s="7970"/>
      <c r="AU15" s="7971"/>
      <c r="AV15" s="7971"/>
      <c r="AW15" s="7971"/>
      <c r="AX15" s="7964"/>
      <c r="AY15" s="7966"/>
      <c r="AZ15" s="7971"/>
      <c r="BA15" s="7964"/>
      <c r="BB15" s="7965"/>
      <c r="BC15" s="7966"/>
      <c r="BD15" s="7972"/>
      <c r="BF15" s="14404"/>
      <c r="BG15" s="14404"/>
      <c r="BH15" s="14404"/>
      <c r="BI15" s="14404"/>
      <c r="BJ15" s="14404"/>
      <c r="BK15" s="7946"/>
      <c r="BL15" s="14404"/>
      <c r="BM15" s="14404"/>
      <c r="BN15" s="14404"/>
    </row>
    <row r="16" spans="1:66" ht="30" hidden="1" customHeight="1">
      <c r="A16" s="13528">
        <v>6</v>
      </c>
      <c r="B16" s="13781" t="s">
        <v>7535</v>
      </c>
      <c r="C16" s="13580"/>
      <c r="D16" s="11655" t="s">
        <v>10066</v>
      </c>
      <c r="E16" s="7833" t="s">
        <v>298</v>
      </c>
      <c r="F16" s="7833"/>
      <c r="G16" s="13783" t="s">
        <v>4691</v>
      </c>
      <c r="H16" s="13413" t="s">
        <v>4695</v>
      </c>
      <c r="I16" s="13821">
        <v>0.15</v>
      </c>
      <c r="K16" s="7947"/>
      <c r="L16" s="7937"/>
      <c r="M16" s="7937"/>
      <c r="N16" s="7948"/>
      <c r="O16" s="7948"/>
      <c r="P16" s="7949"/>
      <c r="Q16" s="7940"/>
      <c r="R16" s="7941"/>
      <c r="S16" s="7942"/>
      <c r="T16" s="7943"/>
      <c r="U16" s="7940"/>
      <c r="V16" s="7941"/>
      <c r="W16" s="7943"/>
      <c r="X16" s="7941"/>
      <c r="Y16" s="7943"/>
      <c r="Z16" s="7941"/>
      <c r="AA16" s="7942"/>
      <c r="AB16" s="7942"/>
      <c r="AC16" s="7942"/>
      <c r="AD16" s="7942"/>
      <c r="AE16" s="7942"/>
      <c r="AF16" s="7943"/>
      <c r="AG16" s="7941"/>
      <c r="AH16" s="7942"/>
      <c r="AI16" s="7942"/>
      <c r="AJ16" s="7942"/>
      <c r="AK16" s="7942"/>
      <c r="AL16" s="7942"/>
      <c r="AM16" s="7942"/>
      <c r="AN16" s="7943"/>
      <c r="AO16" s="7941"/>
      <c r="AP16" s="7942"/>
      <c r="AQ16" s="7942"/>
      <c r="AR16" s="7942"/>
      <c r="AS16" s="7942"/>
      <c r="AT16" s="7943"/>
      <c r="AU16" s="7950"/>
      <c r="AV16" s="7950"/>
      <c r="AW16" s="7950"/>
      <c r="AX16" s="7947"/>
      <c r="AY16" s="7949"/>
      <c r="AZ16" s="7950"/>
      <c r="BA16" s="7947"/>
      <c r="BB16" s="7948"/>
      <c r="BC16" s="7949"/>
      <c r="BD16" s="7951"/>
      <c r="BF16" s="14404"/>
      <c r="BG16" s="14404"/>
      <c r="BH16" s="14404"/>
      <c r="BI16" s="14404"/>
      <c r="BJ16" s="14404"/>
      <c r="BK16" s="7946"/>
      <c r="BL16" s="14404"/>
      <c r="BM16" s="14404"/>
      <c r="BN16" s="14404"/>
    </row>
    <row r="17" spans="1:66" ht="30" hidden="1" customHeight="1" thickBot="1">
      <c r="A17" s="13777"/>
      <c r="B17" s="13782"/>
      <c r="C17" s="13580"/>
      <c r="D17" s="11659" t="s">
        <v>4321</v>
      </c>
      <c r="E17" s="7834"/>
      <c r="F17" s="7834" t="s">
        <v>4321</v>
      </c>
      <c r="G17" s="13784"/>
      <c r="H17" s="13532"/>
      <c r="I17" s="13830"/>
      <c r="K17" s="7973"/>
      <c r="L17" s="7974"/>
      <c r="M17" s="7974"/>
      <c r="N17" s="7975"/>
      <c r="O17" s="7975"/>
      <c r="P17" s="7976"/>
      <c r="Q17" s="7977"/>
      <c r="R17" s="7978"/>
      <c r="S17" s="7979"/>
      <c r="T17" s="7980"/>
      <c r="U17" s="7977"/>
      <c r="V17" s="7978"/>
      <c r="W17" s="7980"/>
      <c r="X17" s="7978"/>
      <c r="Y17" s="7980"/>
      <c r="Z17" s="7978"/>
      <c r="AA17" s="7979"/>
      <c r="AB17" s="7979"/>
      <c r="AC17" s="7979"/>
      <c r="AD17" s="7979"/>
      <c r="AE17" s="7979"/>
      <c r="AF17" s="7980"/>
      <c r="AG17" s="7978"/>
      <c r="AH17" s="7979"/>
      <c r="AI17" s="7979"/>
      <c r="AJ17" s="7979"/>
      <c r="AK17" s="7979"/>
      <c r="AL17" s="7979"/>
      <c r="AM17" s="7979"/>
      <c r="AN17" s="7980"/>
      <c r="AO17" s="7978"/>
      <c r="AP17" s="7979"/>
      <c r="AQ17" s="7979"/>
      <c r="AR17" s="7979"/>
      <c r="AS17" s="7979"/>
      <c r="AT17" s="7980"/>
      <c r="AU17" s="7981"/>
      <c r="AV17" s="7981"/>
      <c r="AW17" s="7981"/>
      <c r="AX17" s="7973"/>
      <c r="AY17" s="7976"/>
      <c r="AZ17" s="7981"/>
      <c r="BA17" s="7973"/>
      <c r="BB17" s="7975"/>
      <c r="BC17" s="7976"/>
      <c r="BD17" s="7982"/>
      <c r="BF17" s="14405"/>
      <c r="BG17" s="14405"/>
      <c r="BH17" s="14405"/>
      <c r="BI17" s="14405"/>
      <c r="BJ17" s="14405"/>
      <c r="BK17" s="7983"/>
      <c r="BL17" s="14405"/>
      <c r="BM17" s="14405"/>
      <c r="BN17" s="14405"/>
    </row>
    <row r="18" spans="1:66" ht="17.25" hidden="1" customHeight="1">
      <c r="A18" s="13548">
        <v>7</v>
      </c>
      <c r="B18" s="13831" t="s">
        <v>7536</v>
      </c>
      <c r="C18" s="13580"/>
      <c r="D18" s="11660" t="s">
        <v>10057</v>
      </c>
      <c r="E18" s="11661" t="s">
        <v>10058</v>
      </c>
      <c r="F18" s="11661"/>
      <c r="G18" s="13832" t="s">
        <v>4703</v>
      </c>
      <c r="H18" s="13438" t="s">
        <v>4707</v>
      </c>
      <c r="I18" s="13829">
        <v>1</v>
      </c>
      <c r="K18" s="7984"/>
      <c r="L18" s="7985"/>
      <c r="M18" s="7985"/>
      <c r="N18" s="7986"/>
      <c r="O18" s="7986"/>
      <c r="P18" s="7987"/>
      <c r="Q18" s="7988"/>
      <c r="R18" s="7989"/>
      <c r="S18" s="7990"/>
      <c r="T18" s="7991"/>
      <c r="U18" s="7988"/>
      <c r="V18" s="7989"/>
      <c r="W18" s="7991"/>
      <c r="X18" s="7989"/>
      <c r="Y18" s="7991"/>
      <c r="Z18" s="7989"/>
      <c r="AA18" s="7990"/>
      <c r="AB18" s="7990"/>
      <c r="AC18" s="7990"/>
      <c r="AD18" s="7990"/>
      <c r="AE18" s="7990"/>
      <c r="AF18" s="7991"/>
      <c r="AG18" s="7989"/>
      <c r="AH18" s="7990"/>
      <c r="AI18" s="7990"/>
      <c r="AJ18" s="7990"/>
      <c r="AK18" s="7990"/>
      <c r="AL18" s="7990"/>
      <c r="AM18" s="7990"/>
      <c r="AN18" s="7991"/>
      <c r="AO18" s="7989"/>
      <c r="AP18" s="7990"/>
      <c r="AQ18" s="7990"/>
      <c r="AR18" s="7990"/>
      <c r="AS18" s="7990"/>
      <c r="AT18" s="7991"/>
      <c r="AU18" s="7992"/>
      <c r="AV18" s="7992"/>
      <c r="AW18" s="7992"/>
      <c r="AX18" s="7984"/>
      <c r="AY18" s="7987"/>
      <c r="AZ18" s="7992"/>
      <c r="BA18" s="7984"/>
      <c r="BB18" s="7986"/>
      <c r="BC18" s="7987"/>
      <c r="BD18" s="7993"/>
      <c r="BF18" s="14406"/>
      <c r="BG18" s="14406"/>
      <c r="BH18" s="14406"/>
      <c r="BI18" s="14406"/>
      <c r="BJ18" s="14406"/>
      <c r="BK18" s="7994"/>
      <c r="BL18" s="14406"/>
      <c r="BM18" s="14406"/>
      <c r="BN18" s="14406"/>
    </row>
    <row r="19" spans="1:66" ht="17.25" hidden="1" customHeight="1">
      <c r="A19" s="13778"/>
      <c r="B19" s="13827"/>
      <c r="C19" s="13580"/>
      <c r="D19" s="11662" t="s">
        <v>10066</v>
      </c>
      <c r="E19" s="11663"/>
      <c r="F19" s="11663" t="s">
        <v>298</v>
      </c>
      <c r="G19" s="13828"/>
      <c r="H19" s="13439"/>
      <c r="I19" s="13818"/>
      <c r="K19" s="7995"/>
      <c r="L19" s="7996"/>
      <c r="M19" s="7996"/>
      <c r="N19" s="7997"/>
      <c r="O19" s="7997"/>
      <c r="P19" s="7998"/>
      <c r="Q19" s="7999"/>
      <c r="R19" s="8000"/>
      <c r="S19" s="8001"/>
      <c r="T19" s="8002"/>
      <c r="U19" s="7999"/>
      <c r="V19" s="8000"/>
      <c r="W19" s="8002"/>
      <c r="X19" s="8000"/>
      <c r="Y19" s="8002"/>
      <c r="Z19" s="8000"/>
      <c r="AA19" s="8001"/>
      <c r="AB19" s="8001"/>
      <c r="AC19" s="8001"/>
      <c r="AD19" s="8001"/>
      <c r="AE19" s="8001"/>
      <c r="AF19" s="8002"/>
      <c r="AG19" s="8000"/>
      <c r="AH19" s="8001"/>
      <c r="AI19" s="8001"/>
      <c r="AJ19" s="8001"/>
      <c r="AK19" s="8001"/>
      <c r="AL19" s="8001"/>
      <c r="AM19" s="8001"/>
      <c r="AN19" s="8002"/>
      <c r="AO19" s="8000"/>
      <c r="AP19" s="8001"/>
      <c r="AQ19" s="8001"/>
      <c r="AR19" s="8001"/>
      <c r="AS19" s="8001"/>
      <c r="AT19" s="8002"/>
      <c r="AU19" s="8003"/>
      <c r="AV19" s="8003"/>
      <c r="AW19" s="8003"/>
      <c r="AX19" s="7995"/>
      <c r="AY19" s="7998"/>
      <c r="AZ19" s="8003"/>
      <c r="BA19" s="7995"/>
      <c r="BB19" s="7997"/>
      <c r="BC19" s="7998"/>
      <c r="BD19" s="8004"/>
      <c r="BF19" s="14407"/>
      <c r="BG19" s="14407"/>
      <c r="BH19" s="14407"/>
      <c r="BI19" s="14407"/>
      <c r="BJ19" s="14407"/>
      <c r="BK19" s="8005"/>
      <c r="BL19" s="14407"/>
      <c r="BM19" s="14407"/>
      <c r="BN19" s="14407"/>
    </row>
    <row r="20" spans="1:66" ht="17.25" hidden="1" customHeight="1">
      <c r="A20" s="13778"/>
      <c r="B20" s="13827"/>
      <c r="C20" s="13580"/>
      <c r="D20" s="11662" t="s">
        <v>10070</v>
      </c>
      <c r="E20" s="11663"/>
      <c r="F20" s="11663" t="s">
        <v>10165</v>
      </c>
      <c r="G20" s="13828"/>
      <c r="H20" s="13439"/>
      <c r="I20" s="13818"/>
      <c r="K20" s="7995"/>
      <c r="L20" s="7996"/>
      <c r="M20" s="7996"/>
      <c r="N20" s="7997"/>
      <c r="O20" s="7997"/>
      <c r="P20" s="7998"/>
      <c r="Q20" s="7999"/>
      <c r="R20" s="8000"/>
      <c r="S20" s="8001"/>
      <c r="T20" s="8002"/>
      <c r="U20" s="7999"/>
      <c r="V20" s="8000"/>
      <c r="W20" s="8002"/>
      <c r="X20" s="8000"/>
      <c r="Y20" s="8002"/>
      <c r="Z20" s="8000"/>
      <c r="AA20" s="8001"/>
      <c r="AB20" s="8001"/>
      <c r="AC20" s="8001"/>
      <c r="AD20" s="8001"/>
      <c r="AE20" s="8001"/>
      <c r="AF20" s="8002"/>
      <c r="AG20" s="8000"/>
      <c r="AH20" s="8001"/>
      <c r="AI20" s="8001"/>
      <c r="AJ20" s="8001"/>
      <c r="AK20" s="8001"/>
      <c r="AL20" s="8001"/>
      <c r="AM20" s="8001"/>
      <c r="AN20" s="8002"/>
      <c r="AO20" s="8000"/>
      <c r="AP20" s="8001"/>
      <c r="AQ20" s="8001"/>
      <c r="AR20" s="8001"/>
      <c r="AS20" s="8001"/>
      <c r="AT20" s="8002"/>
      <c r="AU20" s="8003"/>
      <c r="AV20" s="8003"/>
      <c r="AW20" s="8003"/>
      <c r="AX20" s="7995"/>
      <c r="AY20" s="7998"/>
      <c r="AZ20" s="8003"/>
      <c r="BA20" s="7995"/>
      <c r="BB20" s="7997"/>
      <c r="BC20" s="7998"/>
      <c r="BD20" s="8004"/>
      <c r="BF20" s="14407"/>
      <c r="BG20" s="14407"/>
      <c r="BH20" s="14407"/>
      <c r="BI20" s="14407"/>
      <c r="BJ20" s="14407"/>
      <c r="BK20" s="8005"/>
      <c r="BL20" s="14407"/>
      <c r="BM20" s="14407"/>
      <c r="BN20" s="14407"/>
    </row>
    <row r="21" spans="1:66" ht="47.25" hidden="1" customHeight="1">
      <c r="A21" s="13778"/>
      <c r="B21" s="13827"/>
      <c r="C21" s="13580"/>
      <c r="D21" s="11662" t="s">
        <v>10182</v>
      </c>
      <c r="E21" s="11663"/>
      <c r="F21" s="11663" t="s">
        <v>10166</v>
      </c>
      <c r="G21" s="13828"/>
      <c r="H21" s="13439"/>
      <c r="I21" s="13818"/>
      <c r="K21" s="7995"/>
      <c r="L21" s="7996"/>
      <c r="M21" s="7996"/>
      <c r="N21" s="7997"/>
      <c r="O21" s="7997"/>
      <c r="P21" s="7998"/>
      <c r="Q21" s="7999"/>
      <c r="R21" s="8000"/>
      <c r="S21" s="8001"/>
      <c r="T21" s="8002"/>
      <c r="U21" s="7999"/>
      <c r="V21" s="8000"/>
      <c r="W21" s="8002"/>
      <c r="X21" s="8000"/>
      <c r="Y21" s="8002"/>
      <c r="Z21" s="8000"/>
      <c r="AA21" s="8001"/>
      <c r="AB21" s="8001"/>
      <c r="AC21" s="8001"/>
      <c r="AD21" s="8001"/>
      <c r="AE21" s="8001"/>
      <c r="AF21" s="8002"/>
      <c r="AG21" s="8000"/>
      <c r="AH21" s="8001"/>
      <c r="AI21" s="8001"/>
      <c r="AJ21" s="8001"/>
      <c r="AK21" s="8001"/>
      <c r="AL21" s="8001"/>
      <c r="AM21" s="8001"/>
      <c r="AN21" s="8002"/>
      <c r="AO21" s="8000"/>
      <c r="AP21" s="8001"/>
      <c r="AQ21" s="8001"/>
      <c r="AR21" s="8001"/>
      <c r="AS21" s="8001"/>
      <c r="AT21" s="8002"/>
      <c r="AU21" s="8003"/>
      <c r="AV21" s="8003"/>
      <c r="AW21" s="8003"/>
      <c r="AX21" s="7995"/>
      <c r="AY21" s="7998"/>
      <c r="AZ21" s="8003"/>
      <c r="BA21" s="7995"/>
      <c r="BB21" s="7997"/>
      <c r="BC21" s="7998"/>
      <c r="BD21" s="8004"/>
      <c r="BF21" s="14407"/>
      <c r="BG21" s="14407"/>
      <c r="BH21" s="14407"/>
      <c r="BI21" s="14407"/>
      <c r="BJ21" s="14407"/>
      <c r="BK21" s="8005"/>
      <c r="BL21" s="14407"/>
      <c r="BM21" s="14407"/>
      <c r="BN21" s="14407"/>
    </row>
    <row r="22" spans="1:66" ht="30" hidden="1" customHeight="1">
      <c r="A22" s="8006">
        <v>8</v>
      </c>
      <c r="B22" s="8007" t="s">
        <v>7537</v>
      </c>
      <c r="C22" s="13580"/>
      <c r="D22" s="11662" t="s">
        <v>2896</v>
      </c>
      <c r="E22" s="11663" t="s">
        <v>163</v>
      </c>
      <c r="F22" s="11663"/>
      <c r="G22" s="11664" t="s">
        <v>4708</v>
      </c>
      <c r="H22" s="11665" t="s">
        <v>4711</v>
      </c>
      <c r="I22" s="11666">
        <v>0.2</v>
      </c>
      <c r="K22" s="8008"/>
      <c r="L22" s="8009"/>
      <c r="M22" s="8009"/>
      <c r="N22" s="8010"/>
      <c r="O22" s="8010"/>
      <c r="P22" s="8011"/>
      <c r="Q22" s="8012"/>
      <c r="R22" s="8013"/>
      <c r="S22" s="8014"/>
      <c r="T22" s="8015"/>
      <c r="U22" s="8012"/>
      <c r="V22" s="8013"/>
      <c r="W22" s="8015"/>
      <c r="X22" s="8013"/>
      <c r="Y22" s="8015"/>
      <c r="Z22" s="8013"/>
      <c r="AA22" s="8014"/>
      <c r="AB22" s="8014"/>
      <c r="AC22" s="8014"/>
      <c r="AD22" s="8014"/>
      <c r="AE22" s="8014"/>
      <c r="AF22" s="8015"/>
      <c r="AG22" s="8013"/>
      <c r="AH22" s="8014"/>
      <c r="AI22" s="8014"/>
      <c r="AJ22" s="8014"/>
      <c r="AK22" s="8014"/>
      <c r="AL22" s="8014"/>
      <c r="AM22" s="8014"/>
      <c r="AN22" s="8015"/>
      <c r="AO22" s="8013"/>
      <c r="AP22" s="8014"/>
      <c r="AQ22" s="8014"/>
      <c r="AR22" s="8014"/>
      <c r="AS22" s="8014"/>
      <c r="AT22" s="8015"/>
      <c r="AU22" s="8016"/>
      <c r="AV22" s="8016"/>
      <c r="AW22" s="8016"/>
      <c r="AX22" s="8008"/>
      <c r="AY22" s="8011"/>
      <c r="AZ22" s="8016"/>
      <c r="BA22" s="8008"/>
      <c r="BB22" s="8010"/>
      <c r="BC22" s="8011"/>
      <c r="BD22" s="8017"/>
      <c r="BF22" s="8005"/>
      <c r="BG22" s="8005"/>
      <c r="BH22" s="8005"/>
      <c r="BI22" s="8005"/>
      <c r="BJ22" s="8005"/>
      <c r="BK22" s="8005"/>
      <c r="BL22" s="8005"/>
      <c r="BM22" s="8005"/>
      <c r="BN22" s="8005"/>
    </row>
    <row r="23" spans="1:66" ht="30" hidden="1" customHeight="1">
      <c r="A23" s="13778">
        <v>9</v>
      </c>
      <c r="B23" s="13827" t="s">
        <v>7538</v>
      </c>
      <c r="C23" s="13580"/>
      <c r="D23" s="11662" t="s">
        <v>10070</v>
      </c>
      <c r="E23" s="11663" t="s">
        <v>10062</v>
      </c>
      <c r="F23" s="11663"/>
      <c r="G23" s="13828" t="s">
        <v>4713</v>
      </c>
      <c r="H23" s="13439" t="s">
        <v>4717</v>
      </c>
      <c r="I23" s="13826">
        <v>1</v>
      </c>
      <c r="K23" s="8018"/>
      <c r="L23" s="8019"/>
      <c r="M23" s="8019"/>
      <c r="N23" s="8020"/>
      <c r="O23" s="8020"/>
      <c r="P23" s="8021"/>
      <c r="Q23" s="8022"/>
      <c r="R23" s="8023"/>
      <c r="S23" s="8024"/>
      <c r="T23" s="8025"/>
      <c r="U23" s="8022"/>
      <c r="V23" s="8023"/>
      <c r="W23" s="8025"/>
      <c r="X23" s="8023"/>
      <c r="Y23" s="8025"/>
      <c r="Z23" s="8023"/>
      <c r="AA23" s="8024"/>
      <c r="AB23" s="8024"/>
      <c r="AC23" s="8024"/>
      <c r="AD23" s="8024"/>
      <c r="AE23" s="8024"/>
      <c r="AF23" s="8025"/>
      <c r="AG23" s="8023"/>
      <c r="AH23" s="8024"/>
      <c r="AI23" s="8024"/>
      <c r="AJ23" s="8024"/>
      <c r="AK23" s="8024"/>
      <c r="AL23" s="8024"/>
      <c r="AM23" s="8024"/>
      <c r="AN23" s="8025"/>
      <c r="AO23" s="8023"/>
      <c r="AP23" s="8024"/>
      <c r="AQ23" s="8024"/>
      <c r="AR23" s="8024"/>
      <c r="AS23" s="8024"/>
      <c r="AT23" s="8025"/>
      <c r="AU23" s="8026"/>
      <c r="AV23" s="8026"/>
      <c r="AW23" s="8026"/>
      <c r="AX23" s="8018"/>
      <c r="AY23" s="8021"/>
      <c r="AZ23" s="8026"/>
      <c r="BA23" s="8018"/>
      <c r="BB23" s="8020"/>
      <c r="BC23" s="8021"/>
      <c r="BD23" s="8027"/>
      <c r="BF23" s="14407"/>
      <c r="BG23" s="14407"/>
      <c r="BH23" s="14407"/>
      <c r="BI23" s="14407"/>
      <c r="BJ23" s="14407"/>
      <c r="BK23" s="8005"/>
      <c r="BL23" s="14407"/>
      <c r="BM23" s="14407"/>
      <c r="BN23" s="14407"/>
    </row>
    <row r="24" spans="1:66" ht="30" hidden="1" customHeight="1">
      <c r="A24" s="13778"/>
      <c r="B24" s="13827"/>
      <c r="C24" s="13580"/>
      <c r="D24" s="11662" t="s">
        <v>10063</v>
      </c>
      <c r="E24" s="11663"/>
      <c r="F24" s="11663" t="s">
        <v>4718</v>
      </c>
      <c r="G24" s="13828"/>
      <c r="H24" s="13439"/>
      <c r="I24" s="13826"/>
      <c r="K24" s="8018"/>
      <c r="L24" s="8019"/>
      <c r="M24" s="8019"/>
      <c r="N24" s="8020"/>
      <c r="O24" s="8020"/>
      <c r="P24" s="8021"/>
      <c r="Q24" s="8022"/>
      <c r="R24" s="8023"/>
      <c r="S24" s="8024"/>
      <c r="T24" s="8025"/>
      <c r="U24" s="8022"/>
      <c r="V24" s="8023"/>
      <c r="W24" s="8025"/>
      <c r="X24" s="8023"/>
      <c r="Y24" s="8025"/>
      <c r="Z24" s="8023"/>
      <c r="AA24" s="8024"/>
      <c r="AB24" s="8024"/>
      <c r="AC24" s="8024"/>
      <c r="AD24" s="8024"/>
      <c r="AE24" s="8024"/>
      <c r="AF24" s="8025"/>
      <c r="AG24" s="8023"/>
      <c r="AH24" s="8024"/>
      <c r="AI24" s="8024"/>
      <c r="AJ24" s="8024"/>
      <c r="AK24" s="8024"/>
      <c r="AL24" s="8024"/>
      <c r="AM24" s="8024"/>
      <c r="AN24" s="8025"/>
      <c r="AO24" s="8023"/>
      <c r="AP24" s="8024"/>
      <c r="AQ24" s="8024"/>
      <c r="AR24" s="8024"/>
      <c r="AS24" s="8024"/>
      <c r="AT24" s="8025"/>
      <c r="AU24" s="8026"/>
      <c r="AV24" s="8026"/>
      <c r="AW24" s="8026"/>
      <c r="AX24" s="8018"/>
      <c r="AY24" s="8021"/>
      <c r="AZ24" s="8026"/>
      <c r="BA24" s="8018"/>
      <c r="BB24" s="8020"/>
      <c r="BC24" s="8021"/>
      <c r="BD24" s="8027"/>
      <c r="BF24" s="14407"/>
      <c r="BG24" s="14407"/>
      <c r="BH24" s="14407"/>
      <c r="BI24" s="14407"/>
      <c r="BJ24" s="14407"/>
      <c r="BK24" s="8005"/>
      <c r="BL24" s="14407"/>
      <c r="BM24" s="14407"/>
      <c r="BN24" s="14407"/>
    </row>
    <row r="25" spans="1:66" ht="30" hidden="1" customHeight="1">
      <c r="A25" s="13778">
        <v>10</v>
      </c>
      <c r="B25" s="13827" t="s">
        <v>7539</v>
      </c>
      <c r="C25" s="13580"/>
      <c r="D25" s="11662" t="s">
        <v>10066</v>
      </c>
      <c r="E25" s="11663" t="s">
        <v>10059</v>
      </c>
      <c r="F25" s="11663"/>
      <c r="G25" s="13828" t="s">
        <v>4719</v>
      </c>
      <c r="H25" s="13439" t="s">
        <v>4721</v>
      </c>
      <c r="I25" s="13826">
        <v>6</v>
      </c>
      <c r="K25" s="8018"/>
      <c r="L25" s="8019"/>
      <c r="M25" s="8019"/>
      <c r="N25" s="8020"/>
      <c r="O25" s="8020"/>
      <c r="P25" s="8021"/>
      <c r="Q25" s="8022"/>
      <c r="R25" s="8023"/>
      <c r="S25" s="8024"/>
      <c r="T25" s="8025"/>
      <c r="U25" s="8022"/>
      <c r="V25" s="8023"/>
      <c r="W25" s="8025"/>
      <c r="X25" s="8023"/>
      <c r="Y25" s="8025"/>
      <c r="Z25" s="8023"/>
      <c r="AA25" s="8024"/>
      <c r="AB25" s="8024"/>
      <c r="AC25" s="8024"/>
      <c r="AD25" s="8024"/>
      <c r="AE25" s="8024"/>
      <c r="AF25" s="8025"/>
      <c r="AG25" s="8023"/>
      <c r="AH25" s="8024"/>
      <c r="AI25" s="8024"/>
      <c r="AJ25" s="8024"/>
      <c r="AK25" s="8024"/>
      <c r="AL25" s="8024"/>
      <c r="AM25" s="8024"/>
      <c r="AN25" s="8025"/>
      <c r="AO25" s="8023"/>
      <c r="AP25" s="8024"/>
      <c r="AQ25" s="8024"/>
      <c r="AR25" s="8024"/>
      <c r="AS25" s="8024"/>
      <c r="AT25" s="8025"/>
      <c r="AU25" s="8026"/>
      <c r="AV25" s="8026"/>
      <c r="AW25" s="8026"/>
      <c r="AX25" s="8018"/>
      <c r="AY25" s="8021"/>
      <c r="AZ25" s="8026"/>
      <c r="BA25" s="8018"/>
      <c r="BB25" s="8020"/>
      <c r="BC25" s="8021"/>
      <c r="BD25" s="8027"/>
      <c r="BF25" s="14407"/>
      <c r="BG25" s="14407"/>
      <c r="BH25" s="14407"/>
      <c r="BI25" s="14407"/>
      <c r="BJ25" s="14407"/>
      <c r="BK25" s="8005"/>
      <c r="BL25" s="14407"/>
      <c r="BM25" s="14407"/>
      <c r="BN25" s="14407"/>
    </row>
    <row r="26" spans="1:66" ht="30" hidden="1" customHeight="1">
      <c r="A26" s="13778"/>
      <c r="B26" s="13827"/>
      <c r="C26" s="13580"/>
      <c r="D26" s="11662" t="s">
        <v>10183</v>
      </c>
      <c r="E26" s="11663"/>
      <c r="F26" s="11663" t="s">
        <v>4722</v>
      </c>
      <c r="G26" s="13828"/>
      <c r="H26" s="13439"/>
      <c r="I26" s="13826"/>
      <c r="K26" s="8018"/>
      <c r="L26" s="8019"/>
      <c r="M26" s="8019"/>
      <c r="N26" s="8020"/>
      <c r="O26" s="8020"/>
      <c r="P26" s="8021"/>
      <c r="Q26" s="8022"/>
      <c r="R26" s="8023"/>
      <c r="S26" s="8024"/>
      <c r="T26" s="8025"/>
      <c r="U26" s="8022"/>
      <c r="V26" s="8023"/>
      <c r="W26" s="8025"/>
      <c r="X26" s="8023"/>
      <c r="Y26" s="8025"/>
      <c r="Z26" s="8023"/>
      <c r="AA26" s="8024"/>
      <c r="AB26" s="8024"/>
      <c r="AC26" s="8024"/>
      <c r="AD26" s="8024"/>
      <c r="AE26" s="8024"/>
      <c r="AF26" s="8025"/>
      <c r="AG26" s="8023"/>
      <c r="AH26" s="8024"/>
      <c r="AI26" s="8024"/>
      <c r="AJ26" s="8024"/>
      <c r="AK26" s="8024"/>
      <c r="AL26" s="8024"/>
      <c r="AM26" s="8024"/>
      <c r="AN26" s="8025"/>
      <c r="AO26" s="8023"/>
      <c r="AP26" s="8024"/>
      <c r="AQ26" s="8024"/>
      <c r="AR26" s="8024"/>
      <c r="AS26" s="8024"/>
      <c r="AT26" s="8025"/>
      <c r="AU26" s="8026"/>
      <c r="AV26" s="8026"/>
      <c r="AW26" s="8026"/>
      <c r="AX26" s="8018"/>
      <c r="AY26" s="8021"/>
      <c r="AZ26" s="8026"/>
      <c r="BA26" s="8018"/>
      <c r="BB26" s="8020"/>
      <c r="BC26" s="8021"/>
      <c r="BD26" s="8027"/>
      <c r="BF26" s="14407"/>
      <c r="BG26" s="14407"/>
      <c r="BH26" s="14407"/>
      <c r="BI26" s="14407"/>
      <c r="BJ26" s="14407"/>
      <c r="BK26" s="8005"/>
      <c r="BL26" s="14407"/>
      <c r="BM26" s="14407"/>
      <c r="BN26" s="14407"/>
    </row>
    <row r="27" spans="1:66" ht="15" hidden="1" customHeight="1">
      <c r="A27" s="13778">
        <v>11</v>
      </c>
      <c r="B27" s="13827" t="s">
        <v>7540</v>
      </c>
      <c r="C27" s="13580"/>
      <c r="D27" s="11662" t="s">
        <v>10066</v>
      </c>
      <c r="E27" s="11663" t="s">
        <v>298</v>
      </c>
      <c r="F27" s="11663"/>
      <c r="G27" s="13828" t="s">
        <v>4723</v>
      </c>
      <c r="H27" s="13439" t="s">
        <v>4727</v>
      </c>
      <c r="I27" s="13818">
        <v>2</v>
      </c>
      <c r="K27" s="7995"/>
      <c r="L27" s="7996"/>
      <c r="M27" s="7996"/>
      <c r="N27" s="7997"/>
      <c r="O27" s="7997"/>
      <c r="P27" s="7998"/>
      <c r="Q27" s="7999"/>
      <c r="R27" s="8000"/>
      <c r="S27" s="8001"/>
      <c r="T27" s="8002"/>
      <c r="U27" s="7999"/>
      <c r="V27" s="8000"/>
      <c r="W27" s="8002"/>
      <c r="X27" s="8000"/>
      <c r="Y27" s="8002"/>
      <c r="Z27" s="8000"/>
      <c r="AA27" s="8001"/>
      <c r="AB27" s="8001"/>
      <c r="AC27" s="8001"/>
      <c r="AD27" s="8001"/>
      <c r="AE27" s="8001"/>
      <c r="AF27" s="8002"/>
      <c r="AG27" s="8000"/>
      <c r="AH27" s="8001"/>
      <c r="AI27" s="8001"/>
      <c r="AJ27" s="8001"/>
      <c r="AK27" s="8001"/>
      <c r="AL27" s="8001"/>
      <c r="AM27" s="8001"/>
      <c r="AN27" s="8002"/>
      <c r="AO27" s="8000"/>
      <c r="AP27" s="8001"/>
      <c r="AQ27" s="8001"/>
      <c r="AR27" s="8001"/>
      <c r="AS27" s="8001"/>
      <c r="AT27" s="8002"/>
      <c r="AU27" s="8003"/>
      <c r="AV27" s="8003"/>
      <c r="AW27" s="8003"/>
      <c r="AX27" s="7995"/>
      <c r="AY27" s="7998"/>
      <c r="AZ27" s="8003"/>
      <c r="BA27" s="7995"/>
      <c r="BB27" s="7997"/>
      <c r="BC27" s="7998"/>
      <c r="BD27" s="8004"/>
      <c r="BF27" s="14407"/>
      <c r="BG27" s="14407"/>
      <c r="BH27" s="14407"/>
      <c r="BI27" s="14407"/>
      <c r="BJ27" s="14407"/>
      <c r="BK27" s="8005"/>
      <c r="BL27" s="14407"/>
      <c r="BM27" s="14407"/>
      <c r="BN27" s="14407"/>
    </row>
    <row r="28" spans="1:66" ht="15" hidden="1" customHeight="1">
      <c r="A28" s="13778"/>
      <c r="B28" s="13827"/>
      <c r="C28" s="13580"/>
      <c r="D28" s="11662" t="s">
        <v>10070</v>
      </c>
      <c r="E28" s="11663"/>
      <c r="F28" s="11663" t="s">
        <v>10062</v>
      </c>
      <c r="G28" s="13828"/>
      <c r="H28" s="13439"/>
      <c r="I28" s="13818"/>
      <c r="K28" s="7995"/>
      <c r="L28" s="7996"/>
      <c r="M28" s="7996"/>
      <c r="N28" s="7997"/>
      <c r="O28" s="7997"/>
      <c r="P28" s="7998"/>
      <c r="Q28" s="7999"/>
      <c r="R28" s="8000"/>
      <c r="S28" s="8001"/>
      <c r="T28" s="8002"/>
      <c r="U28" s="7999"/>
      <c r="V28" s="8000"/>
      <c r="W28" s="8002"/>
      <c r="X28" s="8000"/>
      <c r="Y28" s="8002"/>
      <c r="Z28" s="8000"/>
      <c r="AA28" s="8001"/>
      <c r="AB28" s="8001"/>
      <c r="AC28" s="8001"/>
      <c r="AD28" s="8001"/>
      <c r="AE28" s="8001"/>
      <c r="AF28" s="8002"/>
      <c r="AG28" s="8000"/>
      <c r="AH28" s="8001"/>
      <c r="AI28" s="8001"/>
      <c r="AJ28" s="8001"/>
      <c r="AK28" s="8001"/>
      <c r="AL28" s="8001"/>
      <c r="AM28" s="8001"/>
      <c r="AN28" s="8002"/>
      <c r="AO28" s="8000"/>
      <c r="AP28" s="8001"/>
      <c r="AQ28" s="8001"/>
      <c r="AR28" s="8001"/>
      <c r="AS28" s="8001"/>
      <c r="AT28" s="8002"/>
      <c r="AU28" s="8003"/>
      <c r="AV28" s="8003"/>
      <c r="AW28" s="8003"/>
      <c r="AX28" s="7995"/>
      <c r="AY28" s="7998"/>
      <c r="AZ28" s="8003"/>
      <c r="BA28" s="7995"/>
      <c r="BB28" s="7997"/>
      <c r="BC28" s="7998"/>
      <c r="BD28" s="8004"/>
      <c r="BF28" s="14407"/>
      <c r="BG28" s="14407"/>
      <c r="BH28" s="14407"/>
      <c r="BI28" s="14407"/>
      <c r="BJ28" s="14407"/>
      <c r="BK28" s="8005"/>
      <c r="BL28" s="14407"/>
      <c r="BM28" s="14407"/>
      <c r="BN28" s="14407"/>
    </row>
    <row r="29" spans="1:66" ht="15" hidden="1" customHeight="1">
      <c r="A29" s="13778"/>
      <c r="B29" s="13827"/>
      <c r="C29" s="13580"/>
      <c r="D29" s="11662" t="s">
        <v>218</v>
      </c>
      <c r="E29" s="11663"/>
      <c r="F29" s="11663" t="s">
        <v>768</v>
      </c>
      <c r="G29" s="13828"/>
      <c r="H29" s="13439"/>
      <c r="I29" s="13818"/>
      <c r="K29" s="7995"/>
      <c r="L29" s="7996"/>
      <c r="M29" s="7996"/>
      <c r="N29" s="7997"/>
      <c r="O29" s="7997"/>
      <c r="P29" s="7998"/>
      <c r="Q29" s="7999"/>
      <c r="R29" s="8000"/>
      <c r="S29" s="8001"/>
      <c r="T29" s="8002"/>
      <c r="U29" s="7999"/>
      <c r="V29" s="8000"/>
      <c r="W29" s="8002"/>
      <c r="X29" s="8000"/>
      <c r="Y29" s="8002"/>
      <c r="Z29" s="8000"/>
      <c r="AA29" s="8001"/>
      <c r="AB29" s="8001"/>
      <c r="AC29" s="8001"/>
      <c r="AD29" s="8001"/>
      <c r="AE29" s="8001"/>
      <c r="AF29" s="8002"/>
      <c r="AG29" s="8000"/>
      <c r="AH29" s="8001"/>
      <c r="AI29" s="8001"/>
      <c r="AJ29" s="8001"/>
      <c r="AK29" s="8001"/>
      <c r="AL29" s="8001"/>
      <c r="AM29" s="8001"/>
      <c r="AN29" s="8002"/>
      <c r="AO29" s="8000"/>
      <c r="AP29" s="8001"/>
      <c r="AQ29" s="8001"/>
      <c r="AR29" s="8001"/>
      <c r="AS29" s="8001"/>
      <c r="AT29" s="8002"/>
      <c r="AU29" s="8003"/>
      <c r="AV29" s="8003"/>
      <c r="AW29" s="8003"/>
      <c r="AX29" s="7995"/>
      <c r="AY29" s="7998"/>
      <c r="AZ29" s="8003"/>
      <c r="BA29" s="7995"/>
      <c r="BB29" s="7997"/>
      <c r="BC29" s="7998"/>
      <c r="BD29" s="8004"/>
      <c r="BF29" s="14407"/>
      <c r="BG29" s="14407"/>
      <c r="BH29" s="14407"/>
      <c r="BI29" s="14407"/>
      <c r="BJ29" s="14407"/>
      <c r="BK29" s="8005"/>
      <c r="BL29" s="14407"/>
      <c r="BM29" s="14407"/>
      <c r="BN29" s="14407"/>
    </row>
    <row r="30" spans="1:66" ht="15" hidden="1" customHeight="1">
      <c r="A30" s="13778"/>
      <c r="B30" s="13827"/>
      <c r="C30" s="13580"/>
      <c r="D30" s="11662" t="s">
        <v>10184</v>
      </c>
      <c r="E30" s="11663"/>
      <c r="F30" s="11663" t="s">
        <v>10167</v>
      </c>
      <c r="G30" s="13828"/>
      <c r="H30" s="13439"/>
      <c r="I30" s="13818"/>
      <c r="K30" s="7995"/>
      <c r="L30" s="7996"/>
      <c r="M30" s="7996"/>
      <c r="N30" s="7997"/>
      <c r="O30" s="7997"/>
      <c r="P30" s="7998"/>
      <c r="Q30" s="7999"/>
      <c r="R30" s="8000"/>
      <c r="S30" s="8001"/>
      <c r="T30" s="8002"/>
      <c r="U30" s="7999"/>
      <c r="V30" s="8000"/>
      <c r="W30" s="8002"/>
      <c r="X30" s="8000"/>
      <c r="Y30" s="8002"/>
      <c r="Z30" s="8000"/>
      <c r="AA30" s="8001"/>
      <c r="AB30" s="8001"/>
      <c r="AC30" s="8001"/>
      <c r="AD30" s="8001"/>
      <c r="AE30" s="8001"/>
      <c r="AF30" s="8002"/>
      <c r="AG30" s="8000"/>
      <c r="AH30" s="8001"/>
      <c r="AI30" s="8001"/>
      <c r="AJ30" s="8001"/>
      <c r="AK30" s="8001"/>
      <c r="AL30" s="8001"/>
      <c r="AM30" s="8001"/>
      <c r="AN30" s="8002"/>
      <c r="AO30" s="8000"/>
      <c r="AP30" s="8001"/>
      <c r="AQ30" s="8001"/>
      <c r="AR30" s="8001"/>
      <c r="AS30" s="8001"/>
      <c r="AT30" s="8002"/>
      <c r="AU30" s="8003"/>
      <c r="AV30" s="8003"/>
      <c r="AW30" s="8003"/>
      <c r="AX30" s="7995"/>
      <c r="AY30" s="7998"/>
      <c r="AZ30" s="8003"/>
      <c r="BA30" s="7995"/>
      <c r="BB30" s="7997"/>
      <c r="BC30" s="7998"/>
      <c r="BD30" s="8004"/>
      <c r="BF30" s="14407"/>
      <c r="BG30" s="14407"/>
      <c r="BH30" s="14407"/>
      <c r="BI30" s="14407"/>
      <c r="BJ30" s="14407"/>
      <c r="BK30" s="8005"/>
      <c r="BL30" s="14407"/>
      <c r="BM30" s="14407"/>
      <c r="BN30" s="14407"/>
    </row>
    <row r="31" spans="1:66" ht="30" hidden="1" customHeight="1" thickBot="1">
      <c r="A31" s="8028">
        <v>12</v>
      </c>
      <c r="B31" s="8029" t="s">
        <v>7541</v>
      </c>
      <c r="C31" s="13580"/>
      <c r="D31" s="11667" t="s">
        <v>10066</v>
      </c>
      <c r="E31" s="11668" t="s">
        <v>298</v>
      </c>
      <c r="F31" s="11668"/>
      <c r="G31" s="11669" t="s">
        <v>4730</v>
      </c>
      <c r="H31" s="11670" t="s">
        <v>4733</v>
      </c>
      <c r="I31" s="11671">
        <v>1</v>
      </c>
      <c r="K31" s="8031"/>
      <c r="L31" s="8032"/>
      <c r="M31" s="8032"/>
      <c r="N31" s="8033"/>
      <c r="O31" s="8033"/>
      <c r="P31" s="8034"/>
      <c r="Q31" s="8035"/>
      <c r="R31" s="8036"/>
      <c r="S31" s="8037"/>
      <c r="T31" s="8038"/>
      <c r="U31" s="8035"/>
      <c r="V31" s="8036"/>
      <c r="W31" s="8038"/>
      <c r="X31" s="8036"/>
      <c r="Y31" s="8038"/>
      <c r="Z31" s="8036"/>
      <c r="AA31" s="8037"/>
      <c r="AB31" s="8037"/>
      <c r="AC31" s="8037"/>
      <c r="AD31" s="8037"/>
      <c r="AE31" s="8037"/>
      <c r="AF31" s="8038"/>
      <c r="AG31" s="8036"/>
      <c r="AH31" s="8037"/>
      <c r="AI31" s="8037"/>
      <c r="AJ31" s="8037"/>
      <c r="AK31" s="8037"/>
      <c r="AL31" s="8037"/>
      <c r="AM31" s="8037"/>
      <c r="AN31" s="8038"/>
      <c r="AO31" s="8036"/>
      <c r="AP31" s="8037"/>
      <c r="AQ31" s="8037"/>
      <c r="AR31" s="8037"/>
      <c r="AS31" s="8037"/>
      <c r="AT31" s="8038"/>
      <c r="AU31" s="8039"/>
      <c r="AV31" s="8039"/>
      <c r="AW31" s="8039"/>
      <c r="AX31" s="8031"/>
      <c r="AY31" s="8034"/>
      <c r="AZ31" s="8039"/>
      <c r="BA31" s="8031"/>
      <c r="BB31" s="8033"/>
      <c r="BC31" s="8034"/>
      <c r="BD31" s="8040"/>
      <c r="BF31" s="8030"/>
      <c r="BG31" s="8030"/>
      <c r="BH31" s="8030"/>
      <c r="BI31" s="8030"/>
      <c r="BJ31" s="8030"/>
      <c r="BK31" s="8030"/>
      <c r="BL31" s="8030"/>
      <c r="BM31" s="8030"/>
      <c r="BN31" s="8030"/>
    </row>
    <row r="32" spans="1:66" ht="14.25" hidden="1" customHeight="1">
      <c r="A32" s="13576">
        <v>13</v>
      </c>
      <c r="B32" s="13819" t="s">
        <v>7542</v>
      </c>
      <c r="C32" s="13580"/>
      <c r="D32" s="11672" t="s">
        <v>10066</v>
      </c>
      <c r="E32" s="11673" t="s">
        <v>298</v>
      </c>
      <c r="F32" s="11673"/>
      <c r="G32" s="13568" t="s">
        <v>4740</v>
      </c>
      <c r="H32" s="13392" t="s">
        <v>4743</v>
      </c>
      <c r="I32" s="13814">
        <v>1</v>
      </c>
      <c r="K32" s="8041"/>
      <c r="L32" s="8042"/>
      <c r="M32" s="8042"/>
      <c r="N32" s="8043"/>
      <c r="O32" s="8043"/>
      <c r="P32" s="8044"/>
      <c r="Q32" s="8045"/>
      <c r="R32" s="8046"/>
      <c r="S32" s="8047"/>
      <c r="T32" s="8048"/>
      <c r="U32" s="8045"/>
      <c r="V32" s="8046"/>
      <c r="W32" s="8048"/>
      <c r="X32" s="8046"/>
      <c r="Y32" s="8048"/>
      <c r="Z32" s="8046"/>
      <c r="AA32" s="8047"/>
      <c r="AB32" s="8047"/>
      <c r="AC32" s="8047"/>
      <c r="AD32" s="8047"/>
      <c r="AE32" s="8047"/>
      <c r="AF32" s="8048"/>
      <c r="AG32" s="8046"/>
      <c r="AH32" s="8047"/>
      <c r="AI32" s="8047"/>
      <c r="AJ32" s="8047"/>
      <c r="AK32" s="8047"/>
      <c r="AL32" s="8047"/>
      <c r="AM32" s="8047"/>
      <c r="AN32" s="8048"/>
      <c r="AO32" s="8046"/>
      <c r="AP32" s="8047"/>
      <c r="AQ32" s="8047"/>
      <c r="AR32" s="8047"/>
      <c r="AS32" s="8047"/>
      <c r="AT32" s="8048"/>
      <c r="AU32" s="8049"/>
      <c r="AV32" s="8049"/>
      <c r="AW32" s="8049"/>
      <c r="AX32" s="8041"/>
      <c r="AY32" s="8044"/>
      <c r="AZ32" s="8049"/>
      <c r="BA32" s="8041"/>
      <c r="BB32" s="8043"/>
      <c r="BC32" s="8044"/>
      <c r="BD32" s="8050"/>
      <c r="BF32" s="14408"/>
      <c r="BG32" s="14408"/>
      <c r="BH32" s="14408"/>
      <c r="BI32" s="14408"/>
      <c r="BJ32" s="14408"/>
      <c r="BK32" s="8051"/>
      <c r="BL32" s="14408"/>
      <c r="BM32" s="14408"/>
      <c r="BN32" s="14408"/>
    </row>
    <row r="33" spans="1:66" ht="14.25" hidden="1" customHeight="1">
      <c r="A33" s="13779"/>
      <c r="B33" s="13816"/>
      <c r="C33" s="13580"/>
      <c r="D33" s="11674" t="s">
        <v>10057</v>
      </c>
      <c r="E33" s="11675"/>
      <c r="F33" s="11675" t="s">
        <v>10058</v>
      </c>
      <c r="G33" s="13817"/>
      <c r="H33" s="13533"/>
      <c r="I33" s="13815"/>
      <c r="K33" s="8052"/>
      <c r="L33" s="8053"/>
      <c r="M33" s="8053"/>
      <c r="N33" s="8054"/>
      <c r="O33" s="8054"/>
      <c r="P33" s="8055"/>
      <c r="Q33" s="8056"/>
      <c r="R33" s="8057"/>
      <c r="S33" s="8058"/>
      <c r="T33" s="8059"/>
      <c r="U33" s="8056"/>
      <c r="V33" s="8057"/>
      <c r="W33" s="8059"/>
      <c r="X33" s="8057"/>
      <c r="Y33" s="8059"/>
      <c r="Z33" s="8057"/>
      <c r="AA33" s="8058"/>
      <c r="AB33" s="8058"/>
      <c r="AC33" s="8058"/>
      <c r="AD33" s="8058"/>
      <c r="AE33" s="8058"/>
      <c r="AF33" s="8059"/>
      <c r="AG33" s="8057"/>
      <c r="AH33" s="8058"/>
      <c r="AI33" s="8058"/>
      <c r="AJ33" s="8058"/>
      <c r="AK33" s="8058"/>
      <c r="AL33" s="8058"/>
      <c r="AM33" s="8058"/>
      <c r="AN33" s="8059"/>
      <c r="AO33" s="8057"/>
      <c r="AP33" s="8058"/>
      <c r="AQ33" s="8058"/>
      <c r="AR33" s="8058"/>
      <c r="AS33" s="8058"/>
      <c r="AT33" s="8059"/>
      <c r="AU33" s="8060"/>
      <c r="AV33" s="8060"/>
      <c r="AW33" s="8060"/>
      <c r="AX33" s="8052"/>
      <c r="AY33" s="8055"/>
      <c r="AZ33" s="8060"/>
      <c r="BA33" s="8052"/>
      <c r="BB33" s="8054"/>
      <c r="BC33" s="8055"/>
      <c r="BD33" s="8061"/>
      <c r="BF33" s="14409"/>
      <c r="BG33" s="14409"/>
      <c r="BH33" s="14409"/>
      <c r="BI33" s="14409"/>
      <c r="BJ33" s="14409"/>
      <c r="BK33" s="8062"/>
      <c r="BL33" s="14409"/>
      <c r="BM33" s="14409"/>
      <c r="BN33" s="14409"/>
    </row>
    <row r="34" spans="1:66" ht="14.25" hidden="1" customHeight="1">
      <c r="A34" s="13779"/>
      <c r="B34" s="13816"/>
      <c r="C34" s="13580"/>
      <c r="D34" s="11674" t="s">
        <v>10184</v>
      </c>
      <c r="E34" s="11675"/>
      <c r="F34" s="11675" t="s">
        <v>10168</v>
      </c>
      <c r="G34" s="13817"/>
      <c r="H34" s="13533"/>
      <c r="I34" s="13815"/>
      <c r="K34" s="8052"/>
      <c r="L34" s="8053"/>
      <c r="M34" s="8053"/>
      <c r="N34" s="8054"/>
      <c r="O34" s="8054"/>
      <c r="P34" s="8055"/>
      <c r="Q34" s="8056"/>
      <c r="R34" s="8057"/>
      <c r="S34" s="8058"/>
      <c r="T34" s="8059"/>
      <c r="U34" s="8056"/>
      <c r="V34" s="8057"/>
      <c r="W34" s="8059"/>
      <c r="X34" s="8057"/>
      <c r="Y34" s="8059"/>
      <c r="Z34" s="8057"/>
      <c r="AA34" s="8058"/>
      <c r="AB34" s="8058"/>
      <c r="AC34" s="8058"/>
      <c r="AD34" s="8058"/>
      <c r="AE34" s="8058"/>
      <c r="AF34" s="8059"/>
      <c r="AG34" s="8057"/>
      <c r="AH34" s="8058"/>
      <c r="AI34" s="8058"/>
      <c r="AJ34" s="8058"/>
      <c r="AK34" s="8058"/>
      <c r="AL34" s="8058"/>
      <c r="AM34" s="8058"/>
      <c r="AN34" s="8059"/>
      <c r="AO34" s="8057"/>
      <c r="AP34" s="8058"/>
      <c r="AQ34" s="8058"/>
      <c r="AR34" s="8058"/>
      <c r="AS34" s="8058"/>
      <c r="AT34" s="8059"/>
      <c r="AU34" s="8060"/>
      <c r="AV34" s="8060"/>
      <c r="AW34" s="8060"/>
      <c r="AX34" s="8052"/>
      <c r="AY34" s="8055"/>
      <c r="AZ34" s="8060"/>
      <c r="BA34" s="8052"/>
      <c r="BB34" s="8054"/>
      <c r="BC34" s="8055"/>
      <c r="BD34" s="8061"/>
      <c r="BF34" s="14409"/>
      <c r="BG34" s="14409"/>
      <c r="BH34" s="14409"/>
      <c r="BI34" s="14409"/>
      <c r="BJ34" s="14409"/>
      <c r="BK34" s="8062"/>
      <c r="BL34" s="14409"/>
      <c r="BM34" s="14409"/>
      <c r="BN34" s="14409"/>
    </row>
    <row r="35" spans="1:66" ht="14.25" hidden="1" customHeight="1">
      <c r="A35" s="13779"/>
      <c r="B35" s="13816"/>
      <c r="C35" s="13580"/>
      <c r="D35" s="11674" t="s">
        <v>10185</v>
      </c>
      <c r="E35" s="11675"/>
      <c r="F35" s="11675" t="s">
        <v>1323</v>
      </c>
      <c r="G35" s="13817"/>
      <c r="H35" s="13533"/>
      <c r="I35" s="13815"/>
      <c r="K35" s="8052"/>
      <c r="L35" s="8053"/>
      <c r="M35" s="8053"/>
      <c r="N35" s="8054"/>
      <c r="O35" s="8054"/>
      <c r="P35" s="8055"/>
      <c r="Q35" s="8056"/>
      <c r="R35" s="8057"/>
      <c r="S35" s="8058"/>
      <c r="T35" s="8059"/>
      <c r="U35" s="8056"/>
      <c r="V35" s="8057"/>
      <c r="W35" s="8059"/>
      <c r="X35" s="8057"/>
      <c r="Y35" s="8059"/>
      <c r="Z35" s="8057"/>
      <c r="AA35" s="8058"/>
      <c r="AB35" s="8058"/>
      <c r="AC35" s="8058"/>
      <c r="AD35" s="8058"/>
      <c r="AE35" s="8058"/>
      <c r="AF35" s="8059"/>
      <c r="AG35" s="8057"/>
      <c r="AH35" s="8058"/>
      <c r="AI35" s="8058"/>
      <c r="AJ35" s="8058"/>
      <c r="AK35" s="8058"/>
      <c r="AL35" s="8058"/>
      <c r="AM35" s="8058"/>
      <c r="AN35" s="8059"/>
      <c r="AO35" s="8057"/>
      <c r="AP35" s="8058"/>
      <c r="AQ35" s="8058"/>
      <c r="AR35" s="8058"/>
      <c r="AS35" s="8058"/>
      <c r="AT35" s="8059"/>
      <c r="AU35" s="8060"/>
      <c r="AV35" s="8060"/>
      <c r="AW35" s="8060"/>
      <c r="AX35" s="8052"/>
      <c r="AY35" s="8055"/>
      <c r="AZ35" s="8060"/>
      <c r="BA35" s="8052"/>
      <c r="BB35" s="8054"/>
      <c r="BC35" s="8055"/>
      <c r="BD35" s="8061"/>
      <c r="BF35" s="14409"/>
      <c r="BG35" s="14409"/>
      <c r="BH35" s="14409"/>
      <c r="BI35" s="14409"/>
      <c r="BJ35" s="14409"/>
      <c r="BK35" s="8062"/>
      <c r="BL35" s="14409"/>
      <c r="BM35" s="14409"/>
      <c r="BN35" s="14409"/>
    </row>
    <row r="36" spans="1:66" ht="14.25" hidden="1" customHeight="1">
      <c r="A36" s="13779">
        <v>14</v>
      </c>
      <c r="B36" s="13816" t="s">
        <v>7543</v>
      </c>
      <c r="C36" s="13580"/>
      <c r="D36" s="11674" t="s">
        <v>10066</v>
      </c>
      <c r="E36" s="11675" t="s">
        <v>298</v>
      </c>
      <c r="F36" s="11675"/>
      <c r="G36" s="13817" t="s">
        <v>4744</v>
      </c>
      <c r="H36" s="13533" t="s">
        <v>4748</v>
      </c>
      <c r="I36" s="13815">
        <v>2</v>
      </c>
      <c r="K36" s="8052"/>
      <c r="L36" s="8053"/>
      <c r="M36" s="8053"/>
      <c r="N36" s="8054"/>
      <c r="O36" s="8054"/>
      <c r="P36" s="8055"/>
      <c r="Q36" s="8056"/>
      <c r="R36" s="8057"/>
      <c r="S36" s="8058"/>
      <c r="T36" s="8059"/>
      <c r="U36" s="8056"/>
      <c r="V36" s="8057"/>
      <c r="W36" s="8059"/>
      <c r="X36" s="8057"/>
      <c r="Y36" s="8059"/>
      <c r="Z36" s="8057"/>
      <c r="AA36" s="8058"/>
      <c r="AB36" s="8058"/>
      <c r="AC36" s="8058"/>
      <c r="AD36" s="8058"/>
      <c r="AE36" s="8058"/>
      <c r="AF36" s="8059"/>
      <c r="AG36" s="8057"/>
      <c r="AH36" s="8058"/>
      <c r="AI36" s="8058"/>
      <c r="AJ36" s="8058"/>
      <c r="AK36" s="8058"/>
      <c r="AL36" s="8058"/>
      <c r="AM36" s="8058"/>
      <c r="AN36" s="8059"/>
      <c r="AO36" s="8057"/>
      <c r="AP36" s="8058"/>
      <c r="AQ36" s="8058"/>
      <c r="AR36" s="8058"/>
      <c r="AS36" s="8058"/>
      <c r="AT36" s="8059"/>
      <c r="AU36" s="8060"/>
      <c r="AV36" s="8060"/>
      <c r="AW36" s="8060"/>
      <c r="AX36" s="8052"/>
      <c r="AY36" s="8055"/>
      <c r="AZ36" s="8060"/>
      <c r="BA36" s="8052"/>
      <c r="BB36" s="8054"/>
      <c r="BC36" s="8055"/>
      <c r="BD36" s="8061"/>
      <c r="BF36" s="14409"/>
      <c r="BG36" s="14409"/>
      <c r="BH36" s="14409"/>
      <c r="BI36" s="14409"/>
      <c r="BJ36" s="14409"/>
      <c r="BK36" s="8062"/>
      <c r="BL36" s="14409"/>
      <c r="BM36" s="14409"/>
      <c r="BN36" s="14409"/>
    </row>
    <row r="37" spans="1:66" ht="14.25" hidden="1" customHeight="1">
      <c r="A37" s="13779"/>
      <c r="B37" s="13816"/>
      <c r="C37" s="13580"/>
      <c r="D37" s="11674" t="s">
        <v>10057</v>
      </c>
      <c r="E37" s="11675"/>
      <c r="F37" s="11675" t="s">
        <v>10058</v>
      </c>
      <c r="G37" s="13817"/>
      <c r="H37" s="13533"/>
      <c r="I37" s="13815"/>
      <c r="K37" s="8052"/>
      <c r="L37" s="8053"/>
      <c r="M37" s="8053"/>
      <c r="N37" s="8054"/>
      <c r="O37" s="8054"/>
      <c r="P37" s="8055"/>
      <c r="Q37" s="8056"/>
      <c r="R37" s="8057"/>
      <c r="S37" s="8058"/>
      <c r="T37" s="8059"/>
      <c r="U37" s="8056"/>
      <c r="V37" s="8057"/>
      <c r="W37" s="8059"/>
      <c r="X37" s="8057"/>
      <c r="Y37" s="8059"/>
      <c r="Z37" s="8057"/>
      <c r="AA37" s="8058"/>
      <c r="AB37" s="8058"/>
      <c r="AC37" s="8058"/>
      <c r="AD37" s="8058"/>
      <c r="AE37" s="8058"/>
      <c r="AF37" s="8059"/>
      <c r="AG37" s="8057"/>
      <c r="AH37" s="8058"/>
      <c r="AI37" s="8058"/>
      <c r="AJ37" s="8058"/>
      <c r="AK37" s="8058"/>
      <c r="AL37" s="8058"/>
      <c r="AM37" s="8058"/>
      <c r="AN37" s="8059"/>
      <c r="AO37" s="8057"/>
      <c r="AP37" s="8058"/>
      <c r="AQ37" s="8058"/>
      <c r="AR37" s="8058"/>
      <c r="AS37" s="8058"/>
      <c r="AT37" s="8059"/>
      <c r="AU37" s="8060"/>
      <c r="AV37" s="8060"/>
      <c r="AW37" s="8060"/>
      <c r="AX37" s="8052"/>
      <c r="AY37" s="8055"/>
      <c r="AZ37" s="8060"/>
      <c r="BA37" s="8052"/>
      <c r="BB37" s="8054"/>
      <c r="BC37" s="8055"/>
      <c r="BD37" s="8061"/>
      <c r="BF37" s="14409"/>
      <c r="BG37" s="14409"/>
      <c r="BH37" s="14409"/>
      <c r="BI37" s="14409"/>
      <c r="BJ37" s="14409"/>
      <c r="BK37" s="8062"/>
      <c r="BL37" s="14409"/>
      <c r="BM37" s="14409"/>
      <c r="BN37" s="14409"/>
    </row>
    <row r="38" spans="1:66" ht="14.25" hidden="1" customHeight="1">
      <c r="A38" s="13779"/>
      <c r="B38" s="13816"/>
      <c r="C38" s="13580"/>
      <c r="D38" s="11674" t="s">
        <v>10185</v>
      </c>
      <c r="E38" s="11675"/>
      <c r="F38" s="11675" t="s">
        <v>1323</v>
      </c>
      <c r="G38" s="13817"/>
      <c r="H38" s="13533"/>
      <c r="I38" s="13815"/>
      <c r="K38" s="8052"/>
      <c r="L38" s="8053"/>
      <c r="M38" s="8053"/>
      <c r="N38" s="8054"/>
      <c r="O38" s="8054"/>
      <c r="P38" s="8055"/>
      <c r="Q38" s="8056"/>
      <c r="R38" s="8057"/>
      <c r="S38" s="8058"/>
      <c r="T38" s="8059"/>
      <c r="U38" s="8056"/>
      <c r="V38" s="8057"/>
      <c r="W38" s="8059"/>
      <c r="X38" s="8057"/>
      <c r="Y38" s="8059"/>
      <c r="Z38" s="8057"/>
      <c r="AA38" s="8058"/>
      <c r="AB38" s="8058"/>
      <c r="AC38" s="8058"/>
      <c r="AD38" s="8058"/>
      <c r="AE38" s="8058"/>
      <c r="AF38" s="8059"/>
      <c r="AG38" s="8057"/>
      <c r="AH38" s="8058"/>
      <c r="AI38" s="8058"/>
      <c r="AJ38" s="8058"/>
      <c r="AK38" s="8058"/>
      <c r="AL38" s="8058"/>
      <c r="AM38" s="8058"/>
      <c r="AN38" s="8059"/>
      <c r="AO38" s="8057"/>
      <c r="AP38" s="8058"/>
      <c r="AQ38" s="8058"/>
      <c r="AR38" s="8058"/>
      <c r="AS38" s="8058"/>
      <c r="AT38" s="8059"/>
      <c r="AU38" s="8060"/>
      <c r="AV38" s="8060"/>
      <c r="AW38" s="8060"/>
      <c r="AX38" s="8052"/>
      <c r="AY38" s="8055"/>
      <c r="AZ38" s="8060"/>
      <c r="BA38" s="8052"/>
      <c r="BB38" s="8054"/>
      <c r="BC38" s="8055"/>
      <c r="BD38" s="8061"/>
      <c r="BF38" s="14409"/>
      <c r="BG38" s="14409"/>
      <c r="BH38" s="14409"/>
      <c r="BI38" s="14409"/>
      <c r="BJ38" s="14409"/>
      <c r="BK38" s="8062"/>
      <c r="BL38" s="14409"/>
      <c r="BM38" s="14409"/>
      <c r="BN38" s="14409"/>
    </row>
    <row r="39" spans="1:66" ht="14.25" hidden="1" customHeight="1">
      <c r="A39" s="13779"/>
      <c r="B39" s="13816"/>
      <c r="C39" s="13580"/>
      <c r="D39" s="11674" t="s">
        <v>10184</v>
      </c>
      <c r="E39" s="11675"/>
      <c r="F39" s="11675" t="s">
        <v>10168</v>
      </c>
      <c r="G39" s="13817"/>
      <c r="H39" s="13533"/>
      <c r="I39" s="13815"/>
      <c r="K39" s="8052"/>
      <c r="L39" s="8053"/>
      <c r="M39" s="8053"/>
      <c r="N39" s="8054"/>
      <c r="O39" s="8054"/>
      <c r="P39" s="8055"/>
      <c r="Q39" s="8056"/>
      <c r="R39" s="8057"/>
      <c r="S39" s="8058"/>
      <c r="T39" s="8059"/>
      <c r="U39" s="8056"/>
      <c r="V39" s="8057"/>
      <c r="W39" s="8059"/>
      <c r="X39" s="8057"/>
      <c r="Y39" s="8059"/>
      <c r="Z39" s="8057"/>
      <c r="AA39" s="8058"/>
      <c r="AB39" s="8058"/>
      <c r="AC39" s="8058"/>
      <c r="AD39" s="8058"/>
      <c r="AE39" s="8058"/>
      <c r="AF39" s="8059"/>
      <c r="AG39" s="8057"/>
      <c r="AH39" s="8058"/>
      <c r="AI39" s="8058"/>
      <c r="AJ39" s="8058"/>
      <c r="AK39" s="8058"/>
      <c r="AL39" s="8058"/>
      <c r="AM39" s="8058"/>
      <c r="AN39" s="8059"/>
      <c r="AO39" s="8057"/>
      <c r="AP39" s="8058"/>
      <c r="AQ39" s="8058"/>
      <c r="AR39" s="8058"/>
      <c r="AS39" s="8058"/>
      <c r="AT39" s="8059"/>
      <c r="AU39" s="8060"/>
      <c r="AV39" s="8060"/>
      <c r="AW39" s="8060"/>
      <c r="AX39" s="8052"/>
      <c r="AY39" s="8055"/>
      <c r="AZ39" s="8060"/>
      <c r="BA39" s="8052"/>
      <c r="BB39" s="8054"/>
      <c r="BC39" s="8055"/>
      <c r="BD39" s="8061"/>
      <c r="BF39" s="14409"/>
      <c r="BG39" s="14409"/>
      <c r="BH39" s="14409"/>
      <c r="BI39" s="14409"/>
      <c r="BJ39" s="14409"/>
      <c r="BK39" s="8062"/>
      <c r="BL39" s="14409"/>
      <c r="BM39" s="14409"/>
      <c r="BN39" s="14409"/>
    </row>
    <row r="40" spans="1:66" ht="14.25" hidden="1" customHeight="1">
      <c r="A40" s="13779">
        <v>15</v>
      </c>
      <c r="B40" s="13816" t="s">
        <v>7544</v>
      </c>
      <c r="C40" s="13580"/>
      <c r="D40" s="11674" t="s">
        <v>218</v>
      </c>
      <c r="E40" s="11675" t="s">
        <v>768</v>
      </c>
      <c r="F40" s="11675"/>
      <c r="G40" s="13817" t="s">
        <v>4749</v>
      </c>
      <c r="H40" s="13533" t="s">
        <v>4753</v>
      </c>
      <c r="I40" s="13815">
        <v>1</v>
      </c>
      <c r="K40" s="8052"/>
      <c r="L40" s="8053"/>
      <c r="M40" s="8053"/>
      <c r="N40" s="8054"/>
      <c r="O40" s="8054"/>
      <c r="P40" s="8055"/>
      <c r="Q40" s="8056"/>
      <c r="R40" s="8057"/>
      <c r="S40" s="8058"/>
      <c r="T40" s="8059"/>
      <c r="U40" s="8056"/>
      <c r="V40" s="8057"/>
      <c r="W40" s="8059"/>
      <c r="X40" s="8057"/>
      <c r="Y40" s="8059"/>
      <c r="Z40" s="8057"/>
      <c r="AA40" s="8058"/>
      <c r="AB40" s="8058"/>
      <c r="AC40" s="8058"/>
      <c r="AD40" s="8058"/>
      <c r="AE40" s="8058"/>
      <c r="AF40" s="8059"/>
      <c r="AG40" s="8057"/>
      <c r="AH40" s="8058"/>
      <c r="AI40" s="8058"/>
      <c r="AJ40" s="8058"/>
      <c r="AK40" s="8058"/>
      <c r="AL40" s="8058"/>
      <c r="AM40" s="8058"/>
      <c r="AN40" s="8059"/>
      <c r="AO40" s="8057"/>
      <c r="AP40" s="8058"/>
      <c r="AQ40" s="8058"/>
      <c r="AR40" s="8058"/>
      <c r="AS40" s="8058"/>
      <c r="AT40" s="8059"/>
      <c r="AU40" s="8060"/>
      <c r="AV40" s="8060"/>
      <c r="AW40" s="8060"/>
      <c r="AX40" s="8052"/>
      <c r="AY40" s="8055"/>
      <c r="AZ40" s="8060"/>
      <c r="BA40" s="8052"/>
      <c r="BB40" s="8054"/>
      <c r="BC40" s="8055"/>
      <c r="BD40" s="8061"/>
      <c r="BF40" s="14409"/>
      <c r="BG40" s="14409"/>
      <c r="BH40" s="14409"/>
      <c r="BI40" s="14409"/>
      <c r="BJ40" s="14409"/>
      <c r="BK40" s="8062"/>
      <c r="BL40" s="14409"/>
      <c r="BM40" s="14409"/>
      <c r="BN40" s="14409"/>
    </row>
    <row r="41" spans="1:66" ht="14.25" hidden="1" customHeight="1">
      <c r="A41" s="13779"/>
      <c r="B41" s="13816"/>
      <c r="C41" s="13580"/>
      <c r="D41" s="11674" t="s">
        <v>10063</v>
      </c>
      <c r="E41" s="11675"/>
      <c r="F41" s="11675" t="s">
        <v>144</v>
      </c>
      <c r="G41" s="13817"/>
      <c r="H41" s="13533"/>
      <c r="I41" s="13815"/>
      <c r="K41" s="8052"/>
      <c r="L41" s="8053"/>
      <c r="M41" s="8053"/>
      <c r="N41" s="8054"/>
      <c r="O41" s="8054"/>
      <c r="P41" s="8055"/>
      <c r="Q41" s="8056"/>
      <c r="R41" s="8057"/>
      <c r="S41" s="8058"/>
      <c r="T41" s="8059"/>
      <c r="U41" s="8056"/>
      <c r="V41" s="8057"/>
      <c r="W41" s="8059"/>
      <c r="X41" s="8057"/>
      <c r="Y41" s="8059"/>
      <c r="Z41" s="8057"/>
      <c r="AA41" s="8058"/>
      <c r="AB41" s="8058"/>
      <c r="AC41" s="8058"/>
      <c r="AD41" s="8058"/>
      <c r="AE41" s="8058"/>
      <c r="AF41" s="8059"/>
      <c r="AG41" s="8057"/>
      <c r="AH41" s="8058"/>
      <c r="AI41" s="8058"/>
      <c r="AJ41" s="8058"/>
      <c r="AK41" s="8058"/>
      <c r="AL41" s="8058"/>
      <c r="AM41" s="8058"/>
      <c r="AN41" s="8059"/>
      <c r="AO41" s="8057"/>
      <c r="AP41" s="8058"/>
      <c r="AQ41" s="8058"/>
      <c r="AR41" s="8058"/>
      <c r="AS41" s="8058"/>
      <c r="AT41" s="8059"/>
      <c r="AU41" s="8060"/>
      <c r="AV41" s="8060"/>
      <c r="AW41" s="8060"/>
      <c r="AX41" s="8052"/>
      <c r="AY41" s="8055"/>
      <c r="AZ41" s="8060"/>
      <c r="BA41" s="8052"/>
      <c r="BB41" s="8054"/>
      <c r="BC41" s="8055"/>
      <c r="BD41" s="8061"/>
      <c r="BF41" s="14409"/>
      <c r="BG41" s="14409"/>
      <c r="BH41" s="14409"/>
      <c r="BI41" s="14409"/>
      <c r="BJ41" s="14409"/>
      <c r="BK41" s="8062"/>
      <c r="BL41" s="14409"/>
      <c r="BM41" s="14409"/>
      <c r="BN41" s="14409"/>
    </row>
    <row r="42" spans="1:66" ht="14.25" hidden="1" customHeight="1">
      <c r="A42" s="13779"/>
      <c r="B42" s="13816"/>
      <c r="C42" s="13580"/>
      <c r="D42" s="11674" t="s">
        <v>2896</v>
      </c>
      <c r="E42" s="11675"/>
      <c r="F42" s="11675" t="s">
        <v>163</v>
      </c>
      <c r="G42" s="13817"/>
      <c r="H42" s="13533"/>
      <c r="I42" s="13815"/>
      <c r="K42" s="8052"/>
      <c r="L42" s="8053"/>
      <c r="M42" s="8053"/>
      <c r="N42" s="8054"/>
      <c r="O42" s="8054"/>
      <c r="P42" s="8055"/>
      <c r="Q42" s="8056"/>
      <c r="R42" s="8057"/>
      <c r="S42" s="8058"/>
      <c r="T42" s="8059"/>
      <c r="U42" s="8056"/>
      <c r="V42" s="8057"/>
      <c r="W42" s="8059"/>
      <c r="X42" s="8057"/>
      <c r="Y42" s="8059"/>
      <c r="Z42" s="8057"/>
      <c r="AA42" s="8058"/>
      <c r="AB42" s="8058"/>
      <c r="AC42" s="8058"/>
      <c r="AD42" s="8058"/>
      <c r="AE42" s="8058"/>
      <c r="AF42" s="8059"/>
      <c r="AG42" s="8057"/>
      <c r="AH42" s="8058"/>
      <c r="AI42" s="8058"/>
      <c r="AJ42" s="8058"/>
      <c r="AK42" s="8058"/>
      <c r="AL42" s="8058"/>
      <c r="AM42" s="8058"/>
      <c r="AN42" s="8059"/>
      <c r="AO42" s="8057"/>
      <c r="AP42" s="8058"/>
      <c r="AQ42" s="8058"/>
      <c r="AR42" s="8058"/>
      <c r="AS42" s="8058"/>
      <c r="AT42" s="8059"/>
      <c r="AU42" s="8060"/>
      <c r="AV42" s="8060"/>
      <c r="AW42" s="8060"/>
      <c r="AX42" s="8052"/>
      <c r="AY42" s="8055"/>
      <c r="AZ42" s="8060"/>
      <c r="BA42" s="8052"/>
      <c r="BB42" s="8054"/>
      <c r="BC42" s="8055"/>
      <c r="BD42" s="8061"/>
      <c r="BF42" s="14409"/>
      <c r="BG42" s="14409"/>
      <c r="BH42" s="14409"/>
      <c r="BI42" s="14409"/>
      <c r="BJ42" s="14409"/>
      <c r="BK42" s="8062"/>
      <c r="BL42" s="14409"/>
      <c r="BM42" s="14409"/>
      <c r="BN42" s="14409"/>
    </row>
    <row r="43" spans="1:66" ht="14.25" hidden="1" customHeight="1">
      <c r="A43" s="13779"/>
      <c r="B43" s="13816"/>
      <c r="C43" s="13580"/>
      <c r="D43" s="11674" t="s">
        <v>10072</v>
      </c>
      <c r="E43" s="11675"/>
      <c r="F43" s="11675" t="s">
        <v>1293</v>
      </c>
      <c r="G43" s="13817"/>
      <c r="H43" s="13533"/>
      <c r="I43" s="13815"/>
      <c r="K43" s="8052"/>
      <c r="L43" s="8053"/>
      <c r="M43" s="8053"/>
      <c r="N43" s="8054"/>
      <c r="O43" s="8054"/>
      <c r="P43" s="8055"/>
      <c r="Q43" s="8056"/>
      <c r="R43" s="8057"/>
      <c r="S43" s="8058"/>
      <c r="T43" s="8059"/>
      <c r="U43" s="8056"/>
      <c r="V43" s="8057"/>
      <c r="W43" s="8059"/>
      <c r="X43" s="8057"/>
      <c r="Y43" s="8059"/>
      <c r="Z43" s="8057"/>
      <c r="AA43" s="8058"/>
      <c r="AB43" s="8058"/>
      <c r="AC43" s="8058"/>
      <c r="AD43" s="8058"/>
      <c r="AE43" s="8058"/>
      <c r="AF43" s="8059"/>
      <c r="AG43" s="8057"/>
      <c r="AH43" s="8058"/>
      <c r="AI43" s="8058"/>
      <c r="AJ43" s="8058"/>
      <c r="AK43" s="8058"/>
      <c r="AL43" s="8058"/>
      <c r="AM43" s="8058"/>
      <c r="AN43" s="8059"/>
      <c r="AO43" s="8057"/>
      <c r="AP43" s="8058"/>
      <c r="AQ43" s="8058"/>
      <c r="AR43" s="8058"/>
      <c r="AS43" s="8058"/>
      <c r="AT43" s="8059"/>
      <c r="AU43" s="8060"/>
      <c r="AV43" s="8060"/>
      <c r="AW43" s="8060"/>
      <c r="AX43" s="8052"/>
      <c r="AY43" s="8055"/>
      <c r="AZ43" s="8060"/>
      <c r="BA43" s="8052"/>
      <c r="BB43" s="8054"/>
      <c r="BC43" s="8055"/>
      <c r="BD43" s="8061"/>
      <c r="BF43" s="14409"/>
      <c r="BG43" s="14409"/>
      <c r="BH43" s="14409"/>
      <c r="BI43" s="14409"/>
      <c r="BJ43" s="14409"/>
      <c r="BK43" s="8062"/>
      <c r="BL43" s="14409"/>
      <c r="BM43" s="14409"/>
      <c r="BN43" s="14409"/>
    </row>
    <row r="44" spans="1:66" ht="30" hidden="1" customHeight="1">
      <c r="A44" s="13779">
        <v>16</v>
      </c>
      <c r="B44" s="13816" t="s">
        <v>7545</v>
      </c>
      <c r="C44" s="13580"/>
      <c r="D44" s="11674" t="s">
        <v>218</v>
      </c>
      <c r="E44" s="11675" t="s">
        <v>4758</v>
      </c>
      <c r="F44" s="11675"/>
      <c r="G44" s="13817" t="s">
        <v>4754</v>
      </c>
      <c r="H44" s="13533" t="s">
        <v>4757</v>
      </c>
      <c r="I44" s="13835">
        <v>1</v>
      </c>
      <c r="K44" s="8063"/>
      <c r="L44" s="8064"/>
      <c r="M44" s="8064"/>
      <c r="N44" s="8064"/>
      <c r="O44" s="8064"/>
      <c r="P44" s="8065"/>
      <c r="Q44" s="8066"/>
      <c r="R44" s="8067"/>
      <c r="S44" s="8068"/>
      <c r="T44" s="8069"/>
      <c r="U44" s="8066"/>
      <c r="V44" s="8067"/>
      <c r="W44" s="8069"/>
      <c r="X44" s="8067"/>
      <c r="Y44" s="8069"/>
      <c r="Z44" s="8067"/>
      <c r="AA44" s="8068"/>
      <c r="AB44" s="8068"/>
      <c r="AC44" s="8068"/>
      <c r="AD44" s="8068"/>
      <c r="AE44" s="8068"/>
      <c r="AF44" s="8069"/>
      <c r="AG44" s="8067"/>
      <c r="AH44" s="8068"/>
      <c r="AI44" s="8068"/>
      <c r="AJ44" s="8068"/>
      <c r="AK44" s="8068"/>
      <c r="AL44" s="8068"/>
      <c r="AM44" s="8068"/>
      <c r="AN44" s="8069"/>
      <c r="AO44" s="8067"/>
      <c r="AP44" s="8068"/>
      <c r="AQ44" s="8068"/>
      <c r="AR44" s="8068"/>
      <c r="AS44" s="8068"/>
      <c r="AT44" s="8069"/>
      <c r="AU44" s="8070"/>
      <c r="AV44" s="8070"/>
      <c r="AW44" s="8070"/>
      <c r="AX44" s="8063"/>
      <c r="AY44" s="8065"/>
      <c r="AZ44" s="8070"/>
      <c r="BA44" s="8063"/>
      <c r="BB44" s="8064"/>
      <c r="BC44" s="8065"/>
      <c r="BD44" s="8071"/>
      <c r="BF44" s="14409"/>
      <c r="BG44" s="14409"/>
      <c r="BH44" s="14409"/>
      <c r="BI44" s="14409"/>
      <c r="BJ44" s="14409"/>
      <c r="BK44" s="8062"/>
      <c r="BL44" s="14409"/>
      <c r="BM44" s="14409"/>
      <c r="BN44" s="14409"/>
    </row>
    <row r="45" spans="1:66" ht="30" hidden="1" customHeight="1">
      <c r="A45" s="13779"/>
      <c r="B45" s="13816"/>
      <c r="C45" s="13580"/>
      <c r="D45" s="11674" t="s">
        <v>10057</v>
      </c>
      <c r="E45" s="11675"/>
      <c r="F45" s="11675" t="s">
        <v>562</v>
      </c>
      <c r="G45" s="13817"/>
      <c r="H45" s="13533"/>
      <c r="I45" s="13835"/>
      <c r="K45" s="8063"/>
      <c r="L45" s="8064"/>
      <c r="M45" s="8064"/>
      <c r="N45" s="8064"/>
      <c r="O45" s="8064"/>
      <c r="P45" s="8065"/>
      <c r="Q45" s="8066"/>
      <c r="R45" s="8067"/>
      <c r="S45" s="8068"/>
      <c r="T45" s="8069"/>
      <c r="U45" s="8066"/>
      <c r="V45" s="8067"/>
      <c r="W45" s="8069"/>
      <c r="X45" s="8067"/>
      <c r="Y45" s="8069"/>
      <c r="Z45" s="8067"/>
      <c r="AA45" s="8068"/>
      <c r="AB45" s="8068"/>
      <c r="AC45" s="8068"/>
      <c r="AD45" s="8068"/>
      <c r="AE45" s="8068"/>
      <c r="AF45" s="8069"/>
      <c r="AG45" s="8067"/>
      <c r="AH45" s="8068"/>
      <c r="AI45" s="8068"/>
      <c r="AJ45" s="8068"/>
      <c r="AK45" s="8068"/>
      <c r="AL45" s="8068"/>
      <c r="AM45" s="8068"/>
      <c r="AN45" s="8069"/>
      <c r="AO45" s="8067"/>
      <c r="AP45" s="8068"/>
      <c r="AQ45" s="8068"/>
      <c r="AR45" s="8068"/>
      <c r="AS45" s="8068"/>
      <c r="AT45" s="8069"/>
      <c r="AU45" s="8070"/>
      <c r="AV45" s="8070"/>
      <c r="AW45" s="8070"/>
      <c r="AX45" s="8063"/>
      <c r="AY45" s="8065"/>
      <c r="AZ45" s="8070"/>
      <c r="BA45" s="8063"/>
      <c r="BB45" s="8064"/>
      <c r="BC45" s="8065"/>
      <c r="BD45" s="8071"/>
      <c r="BF45" s="14409"/>
      <c r="BG45" s="14409"/>
      <c r="BH45" s="14409"/>
      <c r="BI45" s="14409"/>
      <c r="BJ45" s="14409"/>
      <c r="BK45" s="8062"/>
      <c r="BL45" s="14409"/>
      <c r="BM45" s="14409"/>
      <c r="BN45" s="14409"/>
    </row>
    <row r="46" spans="1:66" ht="30" hidden="1" customHeight="1">
      <c r="A46" s="8072">
        <v>17</v>
      </c>
      <c r="B46" s="8073" t="s">
        <v>7546</v>
      </c>
      <c r="C46" s="13580"/>
      <c r="D46" s="11674" t="s">
        <v>2896</v>
      </c>
      <c r="E46" s="11675" t="s">
        <v>163</v>
      </c>
      <c r="F46" s="11675"/>
      <c r="G46" s="11676" t="s">
        <v>4760</v>
      </c>
      <c r="H46" s="11677" t="s">
        <v>4764</v>
      </c>
      <c r="I46" s="11678">
        <v>0.2</v>
      </c>
      <c r="K46" s="8074"/>
      <c r="L46" s="8075"/>
      <c r="M46" s="8075"/>
      <c r="N46" s="8076"/>
      <c r="O46" s="8076"/>
      <c r="P46" s="8077"/>
      <c r="Q46" s="8078"/>
      <c r="R46" s="8079"/>
      <c r="S46" s="8080"/>
      <c r="T46" s="8081"/>
      <c r="U46" s="8078"/>
      <c r="V46" s="8079"/>
      <c r="W46" s="8081"/>
      <c r="X46" s="8079"/>
      <c r="Y46" s="8081"/>
      <c r="Z46" s="8079"/>
      <c r="AA46" s="8080"/>
      <c r="AB46" s="8080"/>
      <c r="AC46" s="8080"/>
      <c r="AD46" s="8080"/>
      <c r="AE46" s="8080"/>
      <c r="AF46" s="8081"/>
      <c r="AG46" s="8079"/>
      <c r="AH46" s="8080"/>
      <c r="AI46" s="8080"/>
      <c r="AJ46" s="8080"/>
      <c r="AK46" s="8080"/>
      <c r="AL46" s="8080"/>
      <c r="AM46" s="8080"/>
      <c r="AN46" s="8081"/>
      <c r="AO46" s="8079"/>
      <c r="AP46" s="8080"/>
      <c r="AQ46" s="8080"/>
      <c r="AR46" s="8080"/>
      <c r="AS46" s="8080"/>
      <c r="AT46" s="8081"/>
      <c r="AU46" s="8082"/>
      <c r="AV46" s="8082"/>
      <c r="AW46" s="8082"/>
      <c r="AX46" s="8074"/>
      <c r="AY46" s="8077"/>
      <c r="AZ46" s="8082"/>
      <c r="BA46" s="8074"/>
      <c r="BB46" s="8076"/>
      <c r="BC46" s="8077"/>
      <c r="BD46" s="8083"/>
      <c r="BF46" s="8062"/>
      <c r="BG46" s="8062"/>
      <c r="BH46" s="8062"/>
      <c r="BI46" s="8062"/>
      <c r="BJ46" s="8062"/>
      <c r="BK46" s="8062"/>
      <c r="BL46" s="8062"/>
      <c r="BM46" s="8062"/>
      <c r="BN46" s="8062"/>
    </row>
    <row r="47" spans="1:66" ht="30" hidden="1" customHeight="1">
      <c r="A47" s="13779">
        <v>18</v>
      </c>
      <c r="B47" s="13816" t="s">
        <v>7547</v>
      </c>
      <c r="C47" s="13580"/>
      <c r="D47" s="11674" t="s">
        <v>10066</v>
      </c>
      <c r="E47" s="11675" t="s">
        <v>298</v>
      </c>
      <c r="F47" s="11675"/>
      <c r="G47" s="13817" t="s">
        <v>4765</v>
      </c>
      <c r="H47" s="13533" t="s">
        <v>4768</v>
      </c>
      <c r="I47" s="13820">
        <v>2</v>
      </c>
      <c r="K47" s="8067"/>
      <c r="L47" s="8064"/>
      <c r="M47" s="8064"/>
      <c r="N47" s="8068"/>
      <c r="O47" s="8068"/>
      <c r="P47" s="8069"/>
      <c r="Q47" s="8066"/>
      <c r="R47" s="8067"/>
      <c r="S47" s="8068"/>
      <c r="T47" s="8069"/>
      <c r="U47" s="8066"/>
      <c r="V47" s="8067"/>
      <c r="W47" s="8069"/>
      <c r="X47" s="8067"/>
      <c r="Y47" s="8069"/>
      <c r="Z47" s="8067"/>
      <c r="AA47" s="8068"/>
      <c r="AB47" s="8068"/>
      <c r="AC47" s="8068"/>
      <c r="AD47" s="8068"/>
      <c r="AE47" s="8068"/>
      <c r="AF47" s="8069"/>
      <c r="AG47" s="8067"/>
      <c r="AH47" s="8068"/>
      <c r="AI47" s="8068"/>
      <c r="AJ47" s="8068"/>
      <c r="AK47" s="8068"/>
      <c r="AL47" s="8068"/>
      <c r="AM47" s="8068"/>
      <c r="AN47" s="8069"/>
      <c r="AO47" s="8067"/>
      <c r="AP47" s="8068"/>
      <c r="AQ47" s="8068"/>
      <c r="AR47" s="8068"/>
      <c r="AS47" s="8068"/>
      <c r="AT47" s="8069"/>
      <c r="AU47" s="8066"/>
      <c r="AV47" s="8066"/>
      <c r="AW47" s="8066"/>
      <c r="AX47" s="8067"/>
      <c r="AY47" s="8069"/>
      <c r="AZ47" s="8066"/>
      <c r="BA47" s="8067"/>
      <c r="BB47" s="8068"/>
      <c r="BC47" s="8069"/>
      <c r="BD47" s="8084"/>
      <c r="BF47" s="14409"/>
      <c r="BG47" s="14409"/>
      <c r="BH47" s="14409"/>
      <c r="BI47" s="14409"/>
      <c r="BJ47" s="14409"/>
      <c r="BK47" s="8062"/>
      <c r="BL47" s="14409"/>
      <c r="BM47" s="14409"/>
      <c r="BN47" s="14409"/>
    </row>
    <row r="48" spans="1:66" ht="30" hidden="1" customHeight="1">
      <c r="A48" s="13779"/>
      <c r="B48" s="13816"/>
      <c r="C48" s="13580"/>
      <c r="D48" s="11674" t="s">
        <v>10186</v>
      </c>
      <c r="E48" s="11675"/>
      <c r="F48" s="11675" t="s">
        <v>10065</v>
      </c>
      <c r="G48" s="13817"/>
      <c r="H48" s="13533"/>
      <c r="I48" s="13820"/>
      <c r="K48" s="8067"/>
      <c r="L48" s="8064"/>
      <c r="M48" s="8064"/>
      <c r="N48" s="8068"/>
      <c r="O48" s="8068"/>
      <c r="P48" s="8069"/>
      <c r="Q48" s="8066"/>
      <c r="R48" s="8067"/>
      <c r="S48" s="8068"/>
      <c r="T48" s="8069"/>
      <c r="U48" s="8066"/>
      <c r="V48" s="8067"/>
      <c r="W48" s="8069"/>
      <c r="X48" s="8067"/>
      <c r="Y48" s="8069"/>
      <c r="Z48" s="8067"/>
      <c r="AA48" s="8068"/>
      <c r="AB48" s="8068"/>
      <c r="AC48" s="8068"/>
      <c r="AD48" s="8068"/>
      <c r="AE48" s="8068"/>
      <c r="AF48" s="8069"/>
      <c r="AG48" s="8067"/>
      <c r="AH48" s="8068"/>
      <c r="AI48" s="8068"/>
      <c r="AJ48" s="8068"/>
      <c r="AK48" s="8068"/>
      <c r="AL48" s="8068"/>
      <c r="AM48" s="8068"/>
      <c r="AN48" s="8069"/>
      <c r="AO48" s="8067"/>
      <c r="AP48" s="8068"/>
      <c r="AQ48" s="8068"/>
      <c r="AR48" s="8068"/>
      <c r="AS48" s="8068"/>
      <c r="AT48" s="8069"/>
      <c r="AU48" s="8066"/>
      <c r="AV48" s="8066"/>
      <c r="AW48" s="8066"/>
      <c r="AX48" s="8067"/>
      <c r="AY48" s="8069"/>
      <c r="AZ48" s="8066"/>
      <c r="BA48" s="8067"/>
      <c r="BB48" s="8068"/>
      <c r="BC48" s="8069"/>
      <c r="BD48" s="8084"/>
      <c r="BF48" s="14409"/>
      <c r="BG48" s="14409"/>
      <c r="BH48" s="14409"/>
      <c r="BI48" s="14409"/>
      <c r="BJ48" s="14409"/>
      <c r="BK48" s="8062"/>
      <c r="BL48" s="14409"/>
      <c r="BM48" s="14409"/>
      <c r="BN48" s="14409"/>
    </row>
    <row r="49" spans="1:66" ht="30" hidden="1" customHeight="1">
      <c r="A49" s="8072">
        <v>19</v>
      </c>
      <c r="B49" s="8073" t="s">
        <v>7548</v>
      </c>
      <c r="C49" s="13580"/>
      <c r="D49" s="11674" t="s">
        <v>2859</v>
      </c>
      <c r="E49" s="11675" t="s">
        <v>538</v>
      </c>
      <c r="F49" s="11675"/>
      <c r="G49" s="11676" t="s">
        <v>4770</v>
      </c>
      <c r="H49" s="11677" t="s">
        <v>4774</v>
      </c>
      <c r="I49" s="11678">
        <v>1</v>
      </c>
      <c r="K49" s="8074"/>
      <c r="L49" s="8075"/>
      <c r="M49" s="8075"/>
      <c r="N49" s="8076"/>
      <c r="O49" s="8076"/>
      <c r="P49" s="8077"/>
      <c r="Q49" s="8078"/>
      <c r="R49" s="8079"/>
      <c r="S49" s="8080"/>
      <c r="T49" s="8081"/>
      <c r="U49" s="8078"/>
      <c r="V49" s="8079"/>
      <c r="W49" s="8081"/>
      <c r="X49" s="8079"/>
      <c r="Y49" s="8081"/>
      <c r="Z49" s="8079"/>
      <c r="AA49" s="8080"/>
      <c r="AB49" s="8080"/>
      <c r="AC49" s="8080"/>
      <c r="AD49" s="8080"/>
      <c r="AE49" s="8080"/>
      <c r="AF49" s="8081"/>
      <c r="AG49" s="8079"/>
      <c r="AH49" s="8080"/>
      <c r="AI49" s="8080"/>
      <c r="AJ49" s="8080"/>
      <c r="AK49" s="8080"/>
      <c r="AL49" s="8080"/>
      <c r="AM49" s="8080"/>
      <c r="AN49" s="8081"/>
      <c r="AO49" s="8079"/>
      <c r="AP49" s="8080"/>
      <c r="AQ49" s="8080"/>
      <c r="AR49" s="8080"/>
      <c r="AS49" s="8080"/>
      <c r="AT49" s="8081"/>
      <c r="AU49" s="8082"/>
      <c r="AV49" s="8082"/>
      <c r="AW49" s="8082"/>
      <c r="AX49" s="8074"/>
      <c r="AY49" s="8077"/>
      <c r="AZ49" s="8082"/>
      <c r="BA49" s="8074"/>
      <c r="BB49" s="8076"/>
      <c r="BC49" s="8077"/>
      <c r="BD49" s="8083"/>
      <c r="BF49" s="8062"/>
      <c r="BG49" s="8062"/>
      <c r="BH49" s="8062"/>
      <c r="BI49" s="8062"/>
      <c r="BJ49" s="8062"/>
      <c r="BK49" s="8062"/>
      <c r="BL49" s="8062"/>
      <c r="BM49" s="8062"/>
      <c r="BN49" s="8062"/>
    </row>
    <row r="50" spans="1:66" ht="30" hidden="1" customHeight="1">
      <c r="A50" s="8072">
        <v>20</v>
      </c>
      <c r="B50" s="8073" t="s">
        <v>7549</v>
      </c>
      <c r="C50" s="13580"/>
      <c r="D50" s="11674" t="s">
        <v>10066</v>
      </c>
      <c r="E50" s="11675" t="s">
        <v>298</v>
      </c>
      <c r="F50" s="11675"/>
      <c r="G50" s="11676" t="s">
        <v>4778</v>
      </c>
      <c r="H50" s="11677" t="s">
        <v>4782</v>
      </c>
      <c r="I50" s="11678">
        <v>0.23</v>
      </c>
      <c r="K50" s="8074"/>
      <c r="L50" s="8075"/>
      <c r="M50" s="8075"/>
      <c r="N50" s="8076"/>
      <c r="O50" s="8076"/>
      <c r="P50" s="8077"/>
      <c r="Q50" s="8078"/>
      <c r="R50" s="8079"/>
      <c r="S50" s="8080"/>
      <c r="T50" s="8081"/>
      <c r="U50" s="8078"/>
      <c r="V50" s="8079"/>
      <c r="W50" s="8081"/>
      <c r="X50" s="8079"/>
      <c r="Y50" s="8081"/>
      <c r="Z50" s="8079"/>
      <c r="AA50" s="8080"/>
      <c r="AB50" s="8080"/>
      <c r="AC50" s="8080"/>
      <c r="AD50" s="8080"/>
      <c r="AE50" s="8080"/>
      <c r="AF50" s="8081"/>
      <c r="AG50" s="8079"/>
      <c r="AH50" s="8080"/>
      <c r="AI50" s="8080"/>
      <c r="AJ50" s="8080"/>
      <c r="AK50" s="8080"/>
      <c r="AL50" s="8080"/>
      <c r="AM50" s="8080"/>
      <c r="AN50" s="8081"/>
      <c r="AO50" s="8079"/>
      <c r="AP50" s="8080"/>
      <c r="AQ50" s="8080"/>
      <c r="AR50" s="8080"/>
      <c r="AS50" s="8080"/>
      <c r="AT50" s="8081"/>
      <c r="AU50" s="8082"/>
      <c r="AV50" s="8082"/>
      <c r="AW50" s="8082"/>
      <c r="AX50" s="8074"/>
      <c r="AY50" s="8077"/>
      <c r="AZ50" s="8082"/>
      <c r="BA50" s="8074"/>
      <c r="BB50" s="8076"/>
      <c r="BC50" s="8077"/>
      <c r="BD50" s="8083"/>
      <c r="BF50" s="8062"/>
      <c r="BG50" s="8062"/>
      <c r="BH50" s="8062"/>
      <c r="BI50" s="8062"/>
      <c r="BJ50" s="8062"/>
      <c r="BK50" s="8062"/>
      <c r="BL50" s="8062"/>
      <c r="BM50" s="8062"/>
      <c r="BN50" s="8062"/>
    </row>
    <row r="51" spans="1:66" ht="30" hidden="1" customHeight="1">
      <c r="A51" s="13779">
        <v>21</v>
      </c>
      <c r="B51" s="13816" t="s">
        <v>7550</v>
      </c>
      <c r="C51" s="13580"/>
      <c r="D51" s="11674" t="s">
        <v>218</v>
      </c>
      <c r="E51" s="11675" t="s">
        <v>768</v>
      </c>
      <c r="F51" s="11675"/>
      <c r="G51" s="13817" t="s">
        <v>4784</v>
      </c>
      <c r="H51" s="13533" t="s">
        <v>4787</v>
      </c>
      <c r="I51" s="13820">
        <v>6</v>
      </c>
      <c r="K51" s="8067"/>
      <c r="L51" s="8064"/>
      <c r="M51" s="8064"/>
      <c r="N51" s="8068"/>
      <c r="O51" s="8068"/>
      <c r="P51" s="8069"/>
      <c r="Q51" s="8066"/>
      <c r="R51" s="8067"/>
      <c r="S51" s="8068"/>
      <c r="T51" s="8069"/>
      <c r="U51" s="8066"/>
      <c r="V51" s="8067"/>
      <c r="W51" s="8069"/>
      <c r="X51" s="8067"/>
      <c r="Y51" s="8069"/>
      <c r="Z51" s="8067"/>
      <c r="AA51" s="8068"/>
      <c r="AB51" s="8068"/>
      <c r="AC51" s="8068"/>
      <c r="AD51" s="8068"/>
      <c r="AE51" s="8068"/>
      <c r="AF51" s="8069"/>
      <c r="AG51" s="8067"/>
      <c r="AH51" s="8068"/>
      <c r="AI51" s="8068"/>
      <c r="AJ51" s="8068"/>
      <c r="AK51" s="8068"/>
      <c r="AL51" s="8068"/>
      <c r="AM51" s="8068"/>
      <c r="AN51" s="8069"/>
      <c r="AO51" s="8067"/>
      <c r="AP51" s="8068"/>
      <c r="AQ51" s="8068"/>
      <c r="AR51" s="8068"/>
      <c r="AS51" s="8068"/>
      <c r="AT51" s="8069"/>
      <c r="AU51" s="8066"/>
      <c r="AV51" s="8066"/>
      <c r="AW51" s="8066"/>
      <c r="AX51" s="8067"/>
      <c r="AY51" s="8069"/>
      <c r="AZ51" s="8066"/>
      <c r="BA51" s="8067"/>
      <c r="BB51" s="8068"/>
      <c r="BC51" s="8069"/>
      <c r="BD51" s="8084"/>
      <c r="BF51" s="14409"/>
      <c r="BG51" s="14409"/>
      <c r="BH51" s="14409"/>
      <c r="BI51" s="14409"/>
      <c r="BJ51" s="14409"/>
      <c r="BK51" s="8062"/>
      <c r="BL51" s="14409"/>
      <c r="BM51" s="14409"/>
      <c r="BN51" s="14409"/>
    </row>
    <row r="52" spans="1:66" ht="30" hidden="1" customHeight="1">
      <c r="A52" s="13779"/>
      <c r="B52" s="13816"/>
      <c r="C52" s="13580"/>
      <c r="D52" s="11674" t="s">
        <v>10070</v>
      </c>
      <c r="E52" s="11675"/>
      <c r="F52" s="11675" t="s">
        <v>4285</v>
      </c>
      <c r="G52" s="13817"/>
      <c r="H52" s="13533"/>
      <c r="I52" s="13820"/>
      <c r="K52" s="8067"/>
      <c r="L52" s="8064"/>
      <c r="M52" s="8064"/>
      <c r="N52" s="8068"/>
      <c r="O52" s="8068"/>
      <c r="P52" s="8069"/>
      <c r="Q52" s="8066"/>
      <c r="R52" s="8067"/>
      <c r="S52" s="8068"/>
      <c r="T52" s="8069"/>
      <c r="U52" s="8066"/>
      <c r="V52" s="8067"/>
      <c r="W52" s="8069"/>
      <c r="X52" s="8067"/>
      <c r="Y52" s="8069"/>
      <c r="Z52" s="8067"/>
      <c r="AA52" s="8068"/>
      <c r="AB52" s="8068"/>
      <c r="AC52" s="8068"/>
      <c r="AD52" s="8068"/>
      <c r="AE52" s="8068"/>
      <c r="AF52" s="8069"/>
      <c r="AG52" s="8067"/>
      <c r="AH52" s="8068"/>
      <c r="AI52" s="8068"/>
      <c r="AJ52" s="8068"/>
      <c r="AK52" s="8068"/>
      <c r="AL52" s="8068"/>
      <c r="AM52" s="8068"/>
      <c r="AN52" s="8069"/>
      <c r="AO52" s="8067"/>
      <c r="AP52" s="8068"/>
      <c r="AQ52" s="8068"/>
      <c r="AR52" s="8068"/>
      <c r="AS52" s="8068"/>
      <c r="AT52" s="8069"/>
      <c r="AU52" s="8066"/>
      <c r="AV52" s="8066"/>
      <c r="AW52" s="8066"/>
      <c r="AX52" s="8067"/>
      <c r="AY52" s="8069"/>
      <c r="AZ52" s="8066"/>
      <c r="BA52" s="8067"/>
      <c r="BB52" s="8068"/>
      <c r="BC52" s="8069"/>
      <c r="BD52" s="8084"/>
      <c r="BF52" s="14409"/>
      <c r="BG52" s="14409"/>
      <c r="BH52" s="14409"/>
      <c r="BI52" s="14409"/>
      <c r="BJ52" s="14409"/>
      <c r="BK52" s="8062"/>
      <c r="BL52" s="14409"/>
      <c r="BM52" s="14409"/>
      <c r="BN52" s="14409"/>
    </row>
    <row r="53" spans="1:66" ht="21.75" hidden="1" customHeight="1">
      <c r="A53" s="13779">
        <v>22</v>
      </c>
      <c r="B53" s="13816" t="s">
        <v>7551</v>
      </c>
      <c r="C53" s="13580"/>
      <c r="D53" s="11674" t="s">
        <v>2896</v>
      </c>
      <c r="E53" s="11675" t="s">
        <v>163</v>
      </c>
      <c r="F53" s="11675"/>
      <c r="G53" s="13817" t="s">
        <v>4788</v>
      </c>
      <c r="H53" s="13533" t="s">
        <v>4792</v>
      </c>
      <c r="I53" s="13863">
        <v>0.2</v>
      </c>
      <c r="K53" s="8085"/>
      <c r="L53" s="8053"/>
      <c r="M53" s="8053"/>
      <c r="N53" s="8086"/>
      <c r="O53" s="8086"/>
      <c r="P53" s="8087"/>
      <c r="Q53" s="8056"/>
      <c r="R53" s="8057"/>
      <c r="S53" s="8058"/>
      <c r="T53" s="8059"/>
      <c r="U53" s="8056"/>
      <c r="V53" s="8057"/>
      <c r="W53" s="8059"/>
      <c r="X53" s="8057"/>
      <c r="Y53" s="8059"/>
      <c r="Z53" s="8057"/>
      <c r="AA53" s="8058"/>
      <c r="AB53" s="8058"/>
      <c r="AC53" s="8058"/>
      <c r="AD53" s="8058"/>
      <c r="AE53" s="8058"/>
      <c r="AF53" s="8059"/>
      <c r="AG53" s="8057"/>
      <c r="AH53" s="8058"/>
      <c r="AI53" s="8058"/>
      <c r="AJ53" s="8058"/>
      <c r="AK53" s="8058"/>
      <c r="AL53" s="8058"/>
      <c r="AM53" s="8058"/>
      <c r="AN53" s="8059"/>
      <c r="AO53" s="8057"/>
      <c r="AP53" s="8058"/>
      <c r="AQ53" s="8058"/>
      <c r="AR53" s="8058"/>
      <c r="AS53" s="8058"/>
      <c r="AT53" s="8059"/>
      <c r="AU53" s="8088"/>
      <c r="AV53" s="8088"/>
      <c r="AW53" s="8088"/>
      <c r="AX53" s="8085"/>
      <c r="AY53" s="8087"/>
      <c r="AZ53" s="8088"/>
      <c r="BA53" s="8085"/>
      <c r="BB53" s="8086"/>
      <c r="BC53" s="8087"/>
      <c r="BD53" s="8089"/>
      <c r="BF53" s="14409"/>
      <c r="BG53" s="14409"/>
      <c r="BH53" s="14409"/>
      <c r="BI53" s="14409"/>
      <c r="BJ53" s="14409"/>
      <c r="BK53" s="8062"/>
      <c r="BL53" s="14409"/>
      <c r="BM53" s="14409"/>
      <c r="BN53" s="14409"/>
    </row>
    <row r="54" spans="1:66" ht="46.5" hidden="1" customHeight="1">
      <c r="A54" s="13779"/>
      <c r="B54" s="13816"/>
      <c r="C54" s="13580"/>
      <c r="D54" s="11674" t="s">
        <v>86</v>
      </c>
      <c r="E54" s="11675"/>
      <c r="F54" s="11675" t="s">
        <v>1509</v>
      </c>
      <c r="G54" s="13817"/>
      <c r="H54" s="13533"/>
      <c r="I54" s="13863"/>
      <c r="K54" s="8085"/>
      <c r="L54" s="8053"/>
      <c r="M54" s="8053"/>
      <c r="N54" s="8086"/>
      <c r="O54" s="8086"/>
      <c r="P54" s="8087"/>
      <c r="Q54" s="8056"/>
      <c r="R54" s="8057"/>
      <c r="S54" s="8058"/>
      <c r="T54" s="8059"/>
      <c r="U54" s="8056"/>
      <c r="V54" s="8057"/>
      <c r="W54" s="8059"/>
      <c r="X54" s="8057"/>
      <c r="Y54" s="8059"/>
      <c r="Z54" s="8057"/>
      <c r="AA54" s="8058"/>
      <c r="AB54" s="8058"/>
      <c r="AC54" s="8058"/>
      <c r="AD54" s="8058"/>
      <c r="AE54" s="8058"/>
      <c r="AF54" s="8059"/>
      <c r="AG54" s="8057"/>
      <c r="AH54" s="8058"/>
      <c r="AI54" s="8058"/>
      <c r="AJ54" s="8058"/>
      <c r="AK54" s="8058"/>
      <c r="AL54" s="8058"/>
      <c r="AM54" s="8058"/>
      <c r="AN54" s="8059"/>
      <c r="AO54" s="8057"/>
      <c r="AP54" s="8058"/>
      <c r="AQ54" s="8058"/>
      <c r="AR54" s="8058"/>
      <c r="AS54" s="8058"/>
      <c r="AT54" s="8059"/>
      <c r="AU54" s="8088"/>
      <c r="AV54" s="8088"/>
      <c r="AW54" s="8088"/>
      <c r="AX54" s="8085"/>
      <c r="AY54" s="8087"/>
      <c r="AZ54" s="8088"/>
      <c r="BA54" s="8085"/>
      <c r="BB54" s="8086"/>
      <c r="BC54" s="8087"/>
      <c r="BD54" s="8089"/>
      <c r="BF54" s="14409"/>
      <c r="BG54" s="14409"/>
      <c r="BH54" s="14409"/>
      <c r="BI54" s="14409"/>
      <c r="BJ54" s="14409"/>
      <c r="BK54" s="8062"/>
      <c r="BL54" s="14409"/>
      <c r="BM54" s="14409"/>
      <c r="BN54" s="14409"/>
    </row>
    <row r="55" spans="1:66" ht="21.75" hidden="1" customHeight="1">
      <c r="A55" s="13779"/>
      <c r="B55" s="13816"/>
      <c r="C55" s="13580"/>
      <c r="D55" s="11674" t="s">
        <v>10066</v>
      </c>
      <c r="E55" s="11675"/>
      <c r="F55" s="11675" t="s">
        <v>10169</v>
      </c>
      <c r="G55" s="13817"/>
      <c r="H55" s="13533"/>
      <c r="I55" s="13863"/>
      <c r="K55" s="8085"/>
      <c r="L55" s="8053"/>
      <c r="M55" s="8053"/>
      <c r="N55" s="8086"/>
      <c r="O55" s="8086"/>
      <c r="P55" s="8087"/>
      <c r="Q55" s="8056"/>
      <c r="R55" s="8057"/>
      <c r="S55" s="8058"/>
      <c r="T55" s="8059"/>
      <c r="U55" s="8056"/>
      <c r="V55" s="8057"/>
      <c r="W55" s="8059"/>
      <c r="X55" s="8057"/>
      <c r="Y55" s="8059"/>
      <c r="Z55" s="8057"/>
      <c r="AA55" s="8058"/>
      <c r="AB55" s="8058"/>
      <c r="AC55" s="8058"/>
      <c r="AD55" s="8058"/>
      <c r="AE55" s="8058"/>
      <c r="AF55" s="8059"/>
      <c r="AG55" s="8057"/>
      <c r="AH55" s="8058"/>
      <c r="AI55" s="8058"/>
      <c r="AJ55" s="8058"/>
      <c r="AK55" s="8058"/>
      <c r="AL55" s="8058"/>
      <c r="AM55" s="8058"/>
      <c r="AN55" s="8059"/>
      <c r="AO55" s="8057"/>
      <c r="AP55" s="8058"/>
      <c r="AQ55" s="8058"/>
      <c r="AR55" s="8058"/>
      <c r="AS55" s="8058"/>
      <c r="AT55" s="8059"/>
      <c r="AU55" s="8088"/>
      <c r="AV55" s="8088"/>
      <c r="AW55" s="8088"/>
      <c r="AX55" s="8085"/>
      <c r="AY55" s="8087"/>
      <c r="AZ55" s="8088"/>
      <c r="BA55" s="8085"/>
      <c r="BB55" s="8086"/>
      <c r="BC55" s="8087"/>
      <c r="BD55" s="8089"/>
      <c r="BF55" s="14409"/>
      <c r="BG55" s="14409"/>
      <c r="BH55" s="14409"/>
      <c r="BI55" s="14409"/>
      <c r="BJ55" s="14409"/>
      <c r="BK55" s="8062"/>
      <c r="BL55" s="14409"/>
      <c r="BM55" s="14409"/>
      <c r="BN55" s="14409"/>
    </row>
    <row r="56" spans="1:66" ht="15.75" hidden="1" customHeight="1">
      <c r="A56" s="13779">
        <v>23</v>
      </c>
      <c r="B56" s="13816" t="s">
        <v>7552</v>
      </c>
      <c r="C56" s="13580"/>
      <c r="D56" s="11674" t="s">
        <v>218</v>
      </c>
      <c r="E56" s="11675" t="s">
        <v>768</v>
      </c>
      <c r="F56" s="11675"/>
      <c r="G56" s="13817" t="s">
        <v>4793</v>
      </c>
      <c r="H56" s="13533" t="s">
        <v>4796</v>
      </c>
      <c r="I56" s="13833">
        <v>2</v>
      </c>
      <c r="K56" s="8090"/>
      <c r="L56" s="8064"/>
      <c r="M56" s="8064"/>
      <c r="N56" s="8091"/>
      <c r="O56" s="8091"/>
      <c r="P56" s="8092"/>
      <c r="Q56" s="8066"/>
      <c r="R56" s="8067"/>
      <c r="S56" s="8068"/>
      <c r="T56" s="8069"/>
      <c r="U56" s="8066"/>
      <c r="V56" s="8067"/>
      <c r="W56" s="8069"/>
      <c r="X56" s="8067"/>
      <c r="Y56" s="8069"/>
      <c r="Z56" s="8067"/>
      <c r="AA56" s="8068"/>
      <c r="AB56" s="8068"/>
      <c r="AC56" s="8068"/>
      <c r="AD56" s="8068"/>
      <c r="AE56" s="8068"/>
      <c r="AF56" s="8069"/>
      <c r="AG56" s="8067"/>
      <c r="AH56" s="8068"/>
      <c r="AI56" s="8068"/>
      <c r="AJ56" s="8068"/>
      <c r="AK56" s="8068"/>
      <c r="AL56" s="8068"/>
      <c r="AM56" s="8068"/>
      <c r="AN56" s="8069"/>
      <c r="AO56" s="8067"/>
      <c r="AP56" s="8068"/>
      <c r="AQ56" s="8068"/>
      <c r="AR56" s="8068"/>
      <c r="AS56" s="8068"/>
      <c r="AT56" s="8069"/>
      <c r="AU56" s="8093"/>
      <c r="AV56" s="8093"/>
      <c r="AW56" s="8093"/>
      <c r="AX56" s="8090"/>
      <c r="AY56" s="8092"/>
      <c r="AZ56" s="8093"/>
      <c r="BA56" s="8090"/>
      <c r="BB56" s="8091"/>
      <c r="BC56" s="8092"/>
      <c r="BD56" s="8094"/>
      <c r="BF56" s="14409"/>
      <c r="BG56" s="14409"/>
      <c r="BH56" s="14409"/>
      <c r="BI56" s="14409"/>
      <c r="BJ56" s="14409"/>
      <c r="BK56" s="8062"/>
      <c r="BL56" s="14409"/>
      <c r="BM56" s="14409"/>
      <c r="BN56" s="14409"/>
    </row>
    <row r="57" spans="1:66" ht="88.5" hidden="1" customHeight="1">
      <c r="A57" s="13779"/>
      <c r="B57" s="13816"/>
      <c r="C57" s="13580"/>
      <c r="D57" s="11674" t="s">
        <v>4305</v>
      </c>
      <c r="E57" s="11675"/>
      <c r="F57" s="11675" t="s">
        <v>311</v>
      </c>
      <c r="G57" s="13817"/>
      <c r="H57" s="13533"/>
      <c r="I57" s="13833"/>
      <c r="K57" s="8090"/>
      <c r="L57" s="8064"/>
      <c r="M57" s="8064"/>
      <c r="N57" s="8091"/>
      <c r="O57" s="8091"/>
      <c r="P57" s="8092"/>
      <c r="Q57" s="8066"/>
      <c r="R57" s="8067"/>
      <c r="S57" s="8068"/>
      <c r="T57" s="8069"/>
      <c r="U57" s="8066"/>
      <c r="V57" s="8067"/>
      <c r="W57" s="8069"/>
      <c r="X57" s="8067"/>
      <c r="Y57" s="8069"/>
      <c r="Z57" s="8067"/>
      <c r="AA57" s="8068"/>
      <c r="AB57" s="8068"/>
      <c r="AC57" s="8068"/>
      <c r="AD57" s="8068"/>
      <c r="AE57" s="8068"/>
      <c r="AF57" s="8069"/>
      <c r="AG57" s="8067"/>
      <c r="AH57" s="8068"/>
      <c r="AI57" s="8068"/>
      <c r="AJ57" s="8068"/>
      <c r="AK57" s="8068"/>
      <c r="AL57" s="8068"/>
      <c r="AM57" s="8068"/>
      <c r="AN57" s="8069"/>
      <c r="AO57" s="8067"/>
      <c r="AP57" s="8068"/>
      <c r="AQ57" s="8068"/>
      <c r="AR57" s="8068"/>
      <c r="AS57" s="8068"/>
      <c r="AT57" s="8069"/>
      <c r="AU57" s="8093"/>
      <c r="AV57" s="8093"/>
      <c r="AW57" s="8093"/>
      <c r="AX57" s="8090"/>
      <c r="AY57" s="8092"/>
      <c r="AZ57" s="8093"/>
      <c r="BA57" s="8090"/>
      <c r="BB57" s="8091"/>
      <c r="BC57" s="8092"/>
      <c r="BD57" s="8094"/>
      <c r="BF57" s="14409"/>
      <c r="BG57" s="14409"/>
      <c r="BH57" s="14409"/>
      <c r="BI57" s="14409"/>
      <c r="BJ57" s="14409"/>
      <c r="BK57" s="8062"/>
      <c r="BL57" s="14409"/>
      <c r="BM57" s="14409"/>
      <c r="BN57" s="14409"/>
    </row>
    <row r="58" spans="1:66" ht="15.75" hidden="1" customHeight="1">
      <c r="A58" s="13779"/>
      <c r="B58" s="13816"/>
      <c r="C58" s="13580"/>
      <c r="D58" s="11674" t="s">
        <v>10057</v>
      </c>
      <c r="E58" s="11675"/>
      <c r="F58" s="11675" t="s">
        <v>10058</v>
      </c>
      <c r="G58" s="13817"/>
      <c r="H58" s="13533"/>
      <c r="I58" s="13833"/>
      <c r="K58" s="8090"/>
      <c r="L58" s="8064"/>
      <c r="M58" s="8064"/>
      <c r="N58" s="8091"/>
      <c r="O58" s="8091"/>
      <c r="P58" s="8092"/>
      <c r="Q58" s="8066"/>
      <c r="R58" s="8067"/>
      <c r="S58" s="8068"/>
      <c r="T58" s="8069"/>
      <c r="U58" s="8066"/>
      <c r="V58" s="8067"/>
      <c r="W58" s="8069"/>
      <c r="X58" s="8067"/>
      <c r="Y58" s="8069"/>
      <c r="Z58" s="8067"/>
      <c r="AA58" s="8068"/>
      <c r="AB58" s="8068"/>
      <c r="AC58" s="8068"/>
      <c r="AD58" s="8068"/>
      <c r="AE58" s="8068"/>
      <c r="AF58" s="8069"/>
      <c r="AG58" s="8067"/>
      <c r="AH58" s="8068"/>
      <c r="AI58" s="8068"/>
      <c r="AJ58" s="8068"/>
      <c r="AK58" s="8068"/>
      <c r="AL58" s="8068"/>
      <c r="AM58" s="8068"/>
      <c r="AN58" s="8069"/>
      <c r="AO58" s="8067"/>
      <c r="AP58" s="8068"/>
      <c r="AQ58" s="8068"/>
      <c r="AR58" s="8068"/>
      <c r="AS58" s="8068"/>
      <c r="AT58" s="8069"/>
      <c r="AU58" s="8093"/>
      <c r="AV58" s="8093"/>
      <c r="AW58" s="8093"/>
      <c r="AX58" s="8090"/>
      <c r="AY58" s="8092"/>
      <c r="AZ58" s="8093"/>
      <c r="BA58" s="8090"/>
      <c r="BB58" s="8091"/>
      <c r="BC58" s="8092"/>
      <c r="BD58" s="8094"/>
      <c r="BF58" s="14409"/>
      <c r="BG58" s="14409"/>
      <c r="BH58" s="14409"/>
      <c r="BI58" s="14409"/>
      <c r="BJ58" s="14409"/>
      <c r="BK58" s="8062"/>
      <c r="BL58" s="14409"/>
      <c r="BM58" s="14409"/>
      <c r="BN58" s="14409"/>
    </row>
    <row r="59" spans="1:66" ht="15.75" hidden="1" customHeight="1">
      <c r="A59" s="13779"/>
      <c r="B59" s="13816"/>
      <c r="C59" s="13580"/>
      <c r="D59" s="11674" t="s">
        <v>10183</v>
      </c>
      <c r="E59" s="11675"/>
      <c r="F59" s="11675" t="s">
        <v>10170</v>
      </c>
      <c r="G59" s="13817"/>
      <c r="H59" s="13533"/>
      <c r="I59" s="13833"/>
      <c r="K59" s="8090"/>
      <c r="L59" s="8064"/>
      <c r="M59" s="8064"/>
      <c r="N59" s="8091"/>
      <c r="O59" s="8091"/>
      <c r="P59" s="8092"/>
      <c r="Q59" s="8066"/>
      <c r="R59" s="8067"/>
      <c r="S59" s="8068"/>
      <c r="T59" s="8069"/>
      <c r="U59" s="8066"/>
      <c r="V59" s="8067"/>
      <c r="W59" s="8069"/>
      <c r="X59" s="8067"/>
      <c r="Y59" s="8069"/>
      <c r="Z59" s="8067"/>
      <c r="AA59" s="8068"/>
      <c r="AB59" s="8068"/>
      <c r="AC59" s="8068"/>
      <c r="AD59" s="8068"/>
      <c r="AE59" s="8068"/>
      <c r="AF59" s="8069"/>
      <c r="AG59" s="8067"/>
      <c r="AH59" s="8068"/>
      <c r="AI59" s="8068"/>
      <c r="AJ59" s="8068"/>
      <c r="AK59" s="8068"/>
      <c r="AL59" s="8068"/>
      <c r="AM59" s="8068"/>
      <c r="AN59" s="8069"/>
      <c r="AO59" s="8067"/>
      <c r="AP59" s="8068"/>
      <c r="AQ59" s="8068"/>
      <c r="AR59" s="8068"/>
      <c r="AS59" s="8068"/>
      <c r="AT59" s="8069"/>
      <c r="AU59" s="8093"/>
      <c r="AV59" s="8093"/>
      <c r="AW59" s="8093"/>
      <c r="AX59" s="8090"/>
      <c r="AY59" s="8092"/>
      <c r="AZ59" s="8093"/>
      <c r="BA59" s="8090"/>
      <c r="BB59" s="8091"/>
      <c r="BC59" s="8092"/>
      <c r="BD59" s="8094"/>
      <c r="BF59" s="14409"/>
      <c r="BG59" s="14409"/>
      <c r="BH59" s="14409"/>
      <c r="BI59" s="14409"/>
      <c r="BJ59" s="14409"/>
      <c r="BK59" s="8062"/>
      <c r="BL59" s="14409"/>
      <c r="BM59" s="14409"/>
      <c r="BN59" s="14409"/>
    </row>
    <row r="60" spans="1:66" ht="15.75" hidden="1" customHeight="1">
      <c r="A60" s="13779"/>
      <c r="B60" s="13816"/>
      <c r="C60" s="13580"/>
      <c r="D60" s="11674" t="s">
        <v>10185</v>
      </c>
      <c r="E60" s="11675"/>
      <c r="F60" s="11675" t="s">
        <v>1323</v>
      </c>
      <c r="G60" s="13817"/>
      <c r="H60" s="13533"/>
      <c r="I60" s="13833"/>
      <c r="K60" s="8090"/>
      <c r="L60" s="8064"/>
      <c r="M60" s="8064"/>
      <c r="N60" s="8091"/>
      <c r="O60" s="8091"/>
      <c r="P60" s="8092"/>
      <c r="Q60" s="8066"/>
      <c r="R60" s="8067"/>
      <c r="S60" s="8068"/>
      <c r="T60" s="8069"/>
      <c r="U60" s="8066"/>
      <c r="V60" s="8067"/>
      <c r="W60" s="8069"/>
      <c r="X60" s="8067"/>
      <c r="Y60" s="8069"/>
      <c r="Z60" s="8067"/>
      <c r="AA60" s="8068"/>
      <c r="AB60" s="8068"/>
      <c r="AC60" s="8068"/>
      <c r="AD60" s="8068"/>
      <c r="AE60" s="8068"/>
      <c r="AF60" s="8069"/>
      <c r="AG60" s="8067"/>
      <c r="AH60" s="8068"/>
      <c r="AI60" s="8068"/>
      <c r="AJ60" s="8068"/>
      <c r="AK60" s="8068"/>
      <c r="AL60" s="8068"/>
      <c r="AM60" s="8068"/>
      <c r="AN60" s="8069"/>
      <c r="AO60" s="8067"/>
      <c r="AP60" s="8068"/>
      <c r="AQ60" s="8068"/>
      <c r="AR60" s="8068"/>
      <c r="AS60" s="8068"/>
      <c r="AT60" s="8069"/>
      <c r="AU60" s="8093"/>
      <c r="AV60" s="8093"/>
      <c r="AW60" s="8093"/>
      <c r="AX60" s="8090"/>
      <c r="AY60" s="8092"/>
      <c r="AZ60" s="8093"/>
      <c r="BA60" s="8090"/>
      <c r="BB60" s="8091"/>
      <c r="BC60" s="8092"/>
      <c r="BD60" s="8094"/>
      <c r="BF60" s="14409"/>
      <c r="BG60" s="14409"/>
      <c r="BH60" s="14409"/>
      <c r="BI60" s="14409"/>
      <c r="BJ60" s="14409"/>
      <c r="BK60" s="8062"/>
      <c r="BL60" s="14409"/>
      <c r="BM60" s="14409"/>
      <c r="BN60" s="14409"/>
    </row>
    <row r="61" spans="1:66" ht="15.75" hidden="1" customHeight="1">
      <c r="A61" s="13779">
        <v>24</v>
      </c>
      <c r="B61" s="13816" t="s">
        <v>7553</v>
      </c>
      <c r="C61" s="13580"/>
      <c r="D61" s="11674" t="s">
        <v>2859</v>
      </c>
      <c r="E61" s="11675" t="s">
        <v>10061</v>
      </c>
      <c r="F61" s="11679"/>
      <c r="G61" s="13817" t="s">
        <v>4798</v>
      </c>
      <c r="H61" s="13533" t="s">
        <v>4801</v>
      </c>
      <c r="I61" s="13834">
        <v>7.0000000000000007E-2</v>
      </c>
      <c r="K61" s="8095"/>
      <c r="L61" s="8064"/>
      <c r="M61" s="8064"/>
      <c r="N61" s="8096"/>
      <c r="O61" s="8096"/>
      <c r="P61" s="8097"/>
      <c r="Q61" s="8066"/>
      <c r="R61" s="8067"/>
      <c r="S61" s="8068"/>
      <c r="T61" s="8069"/>
      <c r="U61" s="8066"/>
      <c r="V61" s="8067"/>
      <c r="W61" s="8069"/>
      <c r="X61" s="8067"/>
      <c r="Y61" s="8069"/>
      <c r="Z61" s="8067"/>
      <c r="AA61" s="8068"/>
      <c r="AB61" s="8068"/>
      <c r="AC61" s="8068"/>
      <c r="AD61" s="8068"/>
      <c r="AE61" s="8068"/>
      <c r="AF61" s="8069"/>
      <c r="AG61" s="8067"/>
      <c r="AH61" s="8068"/>
      <c r="AI61" s="8068"/>
      <c r="AJ61" s="8068"/>
      <c r="AK61" s="8068"/>
      <c r="AL61" s="8068"/>
      <c r="AM61" s="8068"/>
      <c r="AN61" s="8069"/>
      <c r="AO61" s="8067"/>
      <c r="AP61" s="8068"/>
      <c r="AQ61" s="8068"/>
      <c r="AR61" s="8068"/>
      <c r="AS61" s="8068"/>
      <c r="AT61" s="8069"/>
      <c r="AU61" s="8098"/>
      <c r="AV61" s="8098"/>
      <c r="AW61" s="8098"/>
      <c r="AX61" s="8095"/>
      <c r="AY61" s="8097"/>
      <c r="AZ61" s="8098"/>
      <c r="BA61" s="8095"/>
      <c r="BB61" s="8096"/>
      <c r="BC61" s="8097"/>
      <c r="BD61" s="8099"/>
      <c r="BF61" s="14409"/>
      <c r="BG61" s="14409"/>
      <c r="BH61" s="14409"/>
      <c r="BI61" s="14409"/>
      <c r="BJ61" s="14409"/>
      <c r="BK61" s="8062"/>
      <c r="BL61" s="14409"/>
      <c r="BM61" s="14409"/>
      <c r="BN61" s="14409"/>
    </row>
    <row r="62" spans="1:66" ht="15.75" hidden="1" customHeight="1">
      <c r="A62" s="13779"/>
      <c r="B62" s="13816"/>
      <c r="C62" s="13580"/>
      <c r="D62" s="11674" t="s">
        <v>4321</v>
      </c>
      <c r="E62" s="11675"/>
      <c r="F62" s="11675" t="s">
        <v>4808</v>
      </c>
      <c r="G62" s="13817"/>
      <c r="H62" s="13533"/>
      <c r="I62" s="13834"/>
      <c r="K62" s="8095"/>
      <c r="L62" s="8064"/>
      <c r="M62" s="8064"/>
      <c r="N62" s="8096"/>
      <c r="O62" s="8096"/>
      <c r="P62" s="8097"/>
      <c r="Q62" s="8066"/>
      <c r="R62" s="8067"/>
      <c r="S62" s="8068"/>
      <c r="T62" s="8069"/>
      <c r="U62" s="8066"/>
      <c r="V62" s="8067"/>
      <c r="W62" s="8069"/>
      <c r="X62" s="8067"/>
      <c r="Y62" s="8069"/>
      <c r="Z62" s="8067"/>
      <c r="AA62" s="8068"/>
      <c r="AB62" s="8068"/>
      <c r="AC62" s="8068"/>
      <c r="AD62" s="8068"/>
      <c r="AE62" s="8068"/>
      <c r="AF62" s="8069"/>
      <c r="AG62" s="8067"/>
      <c r="AH62" s="8068"/>
      <c r="AI62" s="8068"/>
      <c r="AJ62" s="8068"/>
      <c r="AK62" s="8068"/>
      <c r="AL62" s="8068"/>
      <c r="AM62" s="8068"/>
      <c r="AN62" s="8069"/>
      <c r="AO62" s="8067"/>
      <c r="AP62" s="8068"/>
      <c r="AQ62" s="8068"/>
      <c r="AR62" s="8068"/>
      <c r="AS62" s="8068"/>
      <c r="AT62" s="8069"/>
      <c r="AU62" s="8098"/>
      <c r="AV62" s="8098"/>
      <c r="AW62" s="8098"/>
      <c r="AX62" s="8095"/>
      <c r="AY62" s="8097"/>
      <c r="AZ62" s="8098"/>
      <c r="BA62" s="8095"/>
      <c r="BB62" s="8096"/>
      <c r="BC62" s="8097"/>
      <c r="BD62" s="8099"/>
      <c r="BF62" s="14409"/>
      <c r="BG62" s="14409"/>
      <c r="BH62" s="14409"/>
      <c r="BI62" s="14409"/>
      <c r="BJ62" s="14409"/>
      <c r="BK62" s="8062"/>
      <c r="BL62" s="14409"/>
      <c r="BM62" s="14409"/>
      <c r="BN62" s="14409"/>
    </row>
    <row r="63" spans="1:66" ht="15.75" hidden="1" customHeight="1">
      <c r="A63" s="13779"/>
      <c r="B63" s="13816"/>
      <c r="C63" s="13580"/>
      <c r="D63" s="11674" t="s">
        <v>10187</v>
      </c>
      <c r="E63" s="11675"/>
      <c r="F63" s="11675" t="s">
        <v>10171</v>
      </c>
      <c r="G63" s="13817"/>
      <c r="H63" s="13533"/>
      <c r="I63" s="13834"/>
      <c r="K63" s="8095"/>
      <c r="L63" s="8064"/>
      <c r="M63" s="8064"/>
      <c r="N63" s="8096"/>
      <c r="O63" s="8096"/>
      <c r="P63" s="8097"/>
      <c r="Q63" s="8066"/>
      <c r="R63" s="8067"/>
      <c r="S63" s="8068"/>
      <c r="T63" s="8069"/>
      <c r="U63" s="8066"/>
      <c r="V63" s="8067"/>
      <c r="W63" s="8069"/>
      <c r="X63" s="8067"/>
      <c r="Y63" s="8069"/>
      <c r="Z63" s="8067"/>
      <c r="AA63" s="8068"/>
      <c r="AB63" s="8068"/>
      <c r="AC63" s="8068"/>
      <c r="AD63" s="8068"/>
      <c r="AE63" s="8068"/>
      <c r="AF63" s="8069"/>
      <c r="AG63" s="8067"/>
      <c r="AH63" s="8068"/>
      <c r="AI63" s="8068"/>
      <c r="AJ63" s="8068"/>
      <c r="AK63" s="8068"/>
      <c r="AL63" s="8068"/>
      <c r="AM63" s="8068"/>
      <c r="AN63" s="8069"/>
      <c r="AO63" s="8067"/>
      <c r="AP63" s="8068"/>
      <c r="AQ63" s="8068"/>
      <c r="AR63" s="8068"/>
      <c r="AS63" s="8068"/>
      <c r="AT63" s="8069"/>
      <c r="AU63" s="8098"/>
      <c r="AV63" s="8098"/>
      <c r="AW63" s="8098"/>
      <c r="AX63" s="8095"/>
      <c r="AY63" s="8097"/>
      <c r="AZ63" s="8098"/>
      <c r="BA63" s="8095"/>
      <c r="BB63" s="8096"/>
      <c r="BC63" s="8097"/>
      <c r="BD63" s="8099"/>
      <c r="BF63" s="14409"/>
      <c r="BG63" s="14409"/>
      <c r="BH63" s="14409"/>
      <c r="BI63" s="14409"/>
      <c r="BJ63" s="14409"/>
      <c r="BK63" s="8062"/>
      <c r="BL63" s="14409"/>
      <c r="BM63" s="14409"/>
      <c r="BN63" s="14409"/>
    </row>
    <row r="64" spans="1:66" ht="15.75" hidden="1" customHeight="1">
      <c r="A64" s="13779"/>
      <c r="B64" s="13816"/>
      <c r="C64" s="13580"/>
      <c r="D64" s="11674" t="s">
        <v>10072</v>
      </c>
      <c r="E64" s="11675"/>
      <c r="F64" s="11675" t="s">
        <v>10172</v>
      </c>
      <c r="G64" s="13817"/>
      <c r="H64" s="13533"/>
      <c r="I64" s="13834"/>
      <c r="K64" s="8095"/>
      <c r="L64" s="8064"/>
      <c r="M64" s="8064"/>
      <c r="N64" s="8096"/>
      <c r="O64" s="8096"/>
      <c r="P64" s="8097"/>
      <c r="Q64" s="8066"/>
      <c r="R64" s="8067"/>
      <c r="S64" s="8068"/>
      <c r="T64" s="8069"/>
      <c r="U64" s="8066"/>
      <c r="V64" s="8067"/>
      <c r="W64" s="8069"/>
      <c r="X64" s="8067"/>
      <c r="Y64" s="8069"/>
      <c r="Z64" s="8067"/>
      <c r="AA64" s="8068"/>
      <c r="AB64" s="8068"/>
      <c r="AC64" s="8068"/>
      <c r="AD64" s="8068"/>
      <c r="AE64" s="8068"/>
      <c r="AF64" s="8069"/>
      <c r="AG64" s="8067"/>
      <c r="AH64" s="8068"/>
      <c r="AI64" s="8068"/>
      <c r="AJ64" s="8068"/>
      <c r="AK64" s="8068"/>
      <c r="AL64" s="8068"/>
      <c r="AM64" s="8068"/>
      <c r="AN64" s="8069"/>
      <c r="AO64" s="8067"/>
      <c r="AP64" s="8068"/>
      <c r="AQ64" s="8068"/>
      <c r="AR64" s="8068"/>
      <c r="AS64" s="8068"/>
      <c r="AT64" s="8069"/>
      <c r="AU64" s="8098"/>
      <c r="AV64" s="8098"/>
      <c r="AW64" s="8098"/>
      <c r="AX64" s="8095"/>
      <c r="AY64" s="8097"/>
      <c r="AZ64" s="8098"/>
      <c r="BA64" s="8095"/>
      <c r="BB64" s="8096"/>
      <c r="BC64" s="8097"/>
      <c r="BD64" s="8099"/>
      <c r="BF64" s="14409"/>
      <c r="BG64" s="14409"/>
      <c r="BH64" s="14409"/>
      <c r="BI64" s="14409"/>
      <c r="BJ64" s="14409"/>
      <c r="BK64" s="8062"/>
      <c r="BL64" s="14409"/>
      <c r="BM64" s="14409"/>
      <c r="BN64" s="14409"/>
    </row>
    <row r="65" spans="1:66" ht="15.75" hidden="1" customHeight="1">
      <c r="A65" s="13779">
        <v>25</v>
      </c>
      <c r="B65" s="13816" t="s">
        <v>7554</v>
      </c>
      <c r="C65" s="13580"/>
      <c r="D65" s="11674" t="s">
        <v>4321</v>
      </c>
      <c r="E65" s="11675" t="s">
        <v>4808</v>
      </c>
      <c r="F65" s="11675"/>
      <c r="G65" s="13817" t="s">
        <v>4803</v>
      </c>
      <c r="H65" s="13533" t="s">
        <v>4807</v>
      </c>
      <c r="I65" s="13833">
        <v>1</v>
      </c>
      <c r="K65" s="8090"/>
      <c r="L65" s="8064"/>
      <c r="M65" s="8064"/>
      <c r="N65" s="8091"/>
      <c r="O65" s="8091"/>
      <c r="P65" s="8092"/>
      <c r="Q65" s="8066"/>
      <c r="R65" s="8067"/>
      <c r="S65" s="8068"/>
      <c r="T65" s="8069"/>
      <c r="U65" s="8066"/>
      <c r="V65" s="8067"/>
      <c r="W65" s="8069"/>
      <c r="X65" s="8067"/>
      <c r="Y65" s="8069"/>
      <c r="Z65" s="8067"/>
      <c r="AA65" s="8068"/>
      <c r="AB65" s="8068"/>
      <c r="AC65" s="8068"/>
      <c r="AD65" s="8068"/>
      <c r="AE65" s="8068"/>
      <c r="AF65" s="8069"/>
      <c r="AG65" s="8067"/>
      <c r="AH65" s="8068"/>
      <c r="AI65" s="8068"/>
      <c r="AJ65" s="8068"/>
      <c r="AK65" s="8068"/>
      <c r="AL65" s="8068"/>
      <c r="AM65" s="8068"/>
      <c r="AN65" s="8069"/>
      <c r="AO65" s="8067"/>
      <c r="AP65" s="8068"/>
      <c r="AQ65" s="8068"/>
      <c r="AR65" s="8068"/>
      <c r="AS65" s="8068"/>
      <c r="AT65" s="8069"/>
      <c r="AU65" s="8093"/>
      <c r="AV65" s="8093"/>
      <c r="AW65" s="8093"/>
      <c r="AX65" s="8090"/>
      <c r="AY65" s="8092"/>
      <c r="AZ65" s="8093"/>
      <c r="BA65" s="8090"/>
      <c r="BB65" s="8091"/>
      <c r="BC65" s="8092"/>
      <c r="BD65" s="8094"/>
      <c r="BF65" s="14409"/>
      <c r="BG65" s="14409"/>
      <c r="BH65" s="14409"/>
      <c r="BI65" s="14409"/>
      <c r="BJ65" s="14409"/>
      <c r="BK65" s="8062"/>
      <c r="BL65" s="14409"/>
      <c r="BM65" s="14409"/>
      <c r="BN65" s="14409"/>
    </row>
    <row r="66" spans="1:66" ht="15.75" hidden="1" customHeight="1">
      <c r="A66" s="13779"/>
      <c r="B66" s="13816"/>
      <c r="C66" s="13580"/>
      <c r="D66" s="11674" t="s">
        <v>2859</v>
      </c>
      <c r="E66" s="11675"/>
      <c r="F66" s="11675" t="s">
        <v>538</v>
      </c>
      <c r="G66" s="13817"/>
      <c r="H66" s="13533"/>
      <c r="I66" s="13833"/>
      <c r="K66" s="8090"/>
      <c r="L66" s="8064"/>
      <c r="M66" s="8064"/>
      <c r="N66" s="8091"/>
      <c r="O66" s="8091"/>
      <c r="P66" s="8092"/>
      <c r="Q66" s="8066"/>
      <c r="R66" s="8067"/>
      <c r="S66" s="8068"/>
      <c r="T66" s="8069"/>
      <c r="U66" s="8066"/>
      <c r="V66" s="8067"/>
      <c r="W66" s="8069"/>
      <c r="X66" s="8067"/>
      <c r="Y66" s="8069"/>
      <c r="Z66" s="8067"/>
      <c r="AA66" s="8068"/>
      <c r="AB66" s="8068"/>
      <c r="AC66" s="8068"/>
      <c r="AD66" s="8068"/>
      <c r="AE66" s="8068"/>
      <c r="AF66" s="8069"/>
      <c r="AG66" s="8067"/>
      <c r="AH66" s="8068"/>
      <c r="AI66" s="8068"/>
      <c r="AJ66" s="8068"/>
      <c r="AK66" s="8068"/>
      <c r="AL66" s="8068"/>
      <c r="AM66" s="8068"/>
      <c r="AN66" s="8069"/>
      <c r="AO66" s="8067"/>
      <c r="AP66" s="8068"/>
      <c r="AQ66" s="8068"/>
      <c r="AR66" s="8068"/>
      <c r="AS66" s="8068"/>
      <c r="AT66" s="8069"/>
      <c r="AU66" s="8093"/>
      <c r="AV66" s="8093"/>
      <c r="AW66" s="8093"/>
      <c r="AX66" s="8090"/>
      <c r="AY66" s="8092"/>
      <c r="AZ66" s="8093"/>
      <c r="BA66" s="8090"/>
      <c r="BB66" s="8091"/>
      <c r="BC66" s="8092"/>
      <c r="BD66" s="8094"/>
      <c r="BF66" s="14409"/>
      <c r="BG66" s="14409"/>
      <c r="BH66" s="14409"/>
      <c r="BI66" s="14409"/>
      <c r="BJ66" s="14409"/>
      <c r="BK66" s="8062"/>
      <c r="BL66" s="14409"/>
      <c r="BM66" s="14409"/>
      <c r="BN66" s="14409"/>
    </row>
    <row r="67" spans="1:66" ht="15.75" hidden="1" customHeight="1">
      <c r="A67" s="13779"/>
      <c r="B67" s="13816"/>
      <c r="C67" s="13580"/>
      <c r="D67" s="11674" t="s">
        <v>10187</v>
      </c>
      <c r="E67" s="11675"/>
      <c r="F67" s="11675" t="s">
        <v>10173</v>
      </c>
      <c r="G67" s="13817"/>
      <c r="H67" s="13533"/>
      <c r="I67" s="13833"/>
      <c r="K67" s="8090"/>
      <c r="L67" s="8064"/>
      <c r="M67" s="8064"/>
      <c r="N67" s="8091"/>
      <c r="O67" s="8091"/>
      <c r="P67" s="8092"/>
      <c r="Q67" s="8066"/>
      <c r="R67" s="8067"/>
      <c r="S67" s="8068"/>
      <c r="T67" s="8069"/>
      <c r="U67" s="8066"/>
      <c r="V67" s="8067"/>
      <c r="W67" s="8069"/>
      <c r="X67" s="8067"/>
      <c r="Y67" s="8069"/>
      <c r="Z67" s="8067"/>
      <c r="AA67" s="8068"/>
      <c r="AB67" s="8068"/>
      <c r="AC67" s="8068"/>
      <c r="AD67" s="8068"/>
      <c r="AE67" s="8068"/>
      <c r="AF67" s="8069"/>
      <c r="AG67" s="8067"/>
      <c r="AH67" s="8068"/>
      <c r="AI67" s="8068"/>
      <c r="AJ67" s="8068"/>
      <c r="AK67" s="8068"/>
      <c r="AL67" s="8068"/>
      <c r="AM67" s="8068"/>
      <c r="AN67" s="8069"/>
      <c r="AO67" s="8067"/>
      <c r="AP67" s="8068"/>
      <c r="AQ67" s="8068"/>
      <c r="AR67" s="8068"/>
      <c r="AS67" s="8068"/>
      <c r="AT67" s="8069"/>
      <c r="AU67" s="8093"/>
      <c r="AV67" s="8093"/>
      <c r="AW67" s="8093"/>
      <c r="AX67" s="8090"/>
      <c r="AY67" s="8092"/>
      <c r="AZ67" s="8093"/>
      <c r="BA67" s="8090"/>
      <c r="BB67" s="8091"/>
      <c r="BC67" s="8092"/>
      <c r="BD67" s="8094"/>
      <c r="BF67" s="14409"/>
      <c r="BG67" s="14409"/>
      <c r="BH67" s="14409"/>
      <c r="BI67" s="14409"/>
      <c r="BJ67" s="14409"/>
      <c r="BK67" s="8062"/>
      <c r="BL67" s="14409"/>
      <c r="BM67" s="14409"/>
      <c r="BN67" s="14409"/>
    </row>
    <row r="68" spans="1:66" ht="15.75" hidden="1" customHeight="1">
      <c r="A68" s="13779">
        <v>26</v>
      </c>
      <c r="B68" s="13816" t="s">
        <v>7555</v>
      </c>
      <c r="C68" s="13580"/>
      <c r="D68" s="11674" t="s">
        <v>10066</v>
      </c>
      <c r="E68" s="11675" t="s">
        <v>4819</v>
      </c>
      <c r="F68" s="11679"/>
      <c r="G68" s="13817" t="s">
        <v>4814</v>
      </c>
      <c r="H68" s="13533" t="s">
        <v>4818</v>
      </c>
      <c r="I68" s="13834">
        <v>0.2</v>
      </c>
      <c r="K68" s="8095"/>
      <c r="L68" s="8064"/>
      <c r="M68" s="8064"/>
      <c r="N68" s="8096"/>
      <c r="O68" s="8096"/>
      <c r="P68" s="8097"/>
      <c r="Q68" s="8066"/>
      <c r="R68" s="8067"/>
      <c r="S68" s="8068"/>
      <c r="T68" s="8069"/>
      <c r="U68" s="8066"/>
      <c r="V68" s="8067"/>
      <c r="W68" s="8069"/>
      <c r="X68" s="8067"/>
      <c r="Y68" s="8069"/>
      <c r="Z68" s="8067"/>
      <c r="AA68" s="8068"/>
      <c r="AB68" s="8068"/>
      <c r="AC68" s="8068"/>
      <c r="AD68" s="8068"/>
      <c r="AE68" s="8068"/>
      <c r="AF68" s="8069"/>
      <c r="AG68" s="8067"/>
      <c r="AH68" s="8068"/>
      <c r="AI68" s="8068"/>
      <c r="AJ68" s="8068"/>
      <c r="AK68" s="8068"/>
      <c r="AL68" s="8068"/>
      <c r="AM68" s="8068"/>
      <c r="AN68" s="8069"/>
      <c r="AO68" s="8067"/>
      <c r="AP68" s="8068"/>
      <c r="AQ68" s="8068"/>
      <c r="AR68" s="8068"/>
      <c r="AS68" s="8068"/>
      <c r="AT68" s="8069"/>
      <c r="AU68" s="8098"/>
      <c r="AV68" s="8098"/>
      <c r="AW68" s="8098"/>
      <c r="AX68" s="8095"/>
      <c r="AY68" s="8097"/>
      <c r="AZ68" s="8098"/>
      <c r="BA68" s="8095"/>
      <c r="BB68" s="8096"/>
      <c r="BC68" s="8097"/>
      <c r="BD68" s="8099"/>
      <c r="BF68" s="14409"/>
      <c r="BG68" s="14409"/>
      <c r="BH68" s="14409"/>
      <c r="BI68" s="14409"/>
      <c r="BJ68" s="14409"/>
      <c r="BK68" s="8062"/>
      <c r="BL68" s="14409"/>
      <c r="BM68" s="14409"/>
      <c r="BN68" s="14409"/>
    </row>
    <row r="69" spans="1:66" ht="15.75" hidden="1" customHeight="1">
      <c r="A69" s="13779"/>
      <c r="B69" s="13816"/>
      <c r="C69" s="13580"/>
      <c r="D69" s="11674" t="s">
        <v>10070</v>
      </c>
      <c r="E69" s="11675"/>
      <c r="F69" s="11675" t="s">
        <v>512</v>
      </c>
      <c r="G69" s="13817"/>
      <c r="H69" s="13533"/>
      <c r="I69" s="13834"/>
      <c r="K69" s="8095"/>
      <c r="L69" s="8064"/>
      <c r="M69" s="8064"/>
      <c r="N69" s="8096"/>
      <c r="O69" s="8096"/>
      <c r="P69" s="8097"/>
      <c r="Q69" s="8066"/>
      <c r="R69" s="8067"/>
      <c r="S69" s="8068"/>
      <c r="T69" s="8069"/>
      <c r="U69" s="8066"/>
      <c r="V69" s="8067"/>
      <c r="W69" s="8069"/>
      <c r="X69" s="8067"/>
      <c r="Y69" s="8069"/>
      <c r="Z69" s="8067"/>
      <c r="AA69" s="8068"/>
      <c r="AB69" s="8068"/>
      <c r="AC69" s="8068"/>
      <c r="AD69" s="8068"/>
      <c r="AE69" s="8068"/>
      <c r="AF69" s="8069"/>
      <c r="AG69" s="8067"/>
      <c r="AH69" s="8068"/>
      <c r="AI69" s="8068"/>
      <c r="AJ69" s="8068"/>
      <c r="AK69" s="8068"/>
      <c r="AL69" s="8068"/>
      <c r="AM69" s="8068"/>
      <c r="AN69" s="8069"/>
      <c r="AO69" s="8067"/>
      <c r="AP69" s="8068"/>
      <c r="AQ69" s="8068"/>
      <c r="AR69" s="8068"/>
      <c r="AS69" s="8068"/>
      <c r="AT69" s="8069"/>
      <c r="AU69" s="8098"/>
      <c r="AV69" s="8098"/>
      <c r="AW69" s="8098"/>
      <c r="AX69" s="8095"/>
      <c r="AY69" s="8097"/>
      <c r="AZ69" s="8098"/>
      <c r="BA69" s="8095"/>
      <c r="BB69" s="8096"/>
      <c r="BC69" s="8097"/>
      <c r="BD69" s="8099"/>
      <c r="BF69" s="14409"/>
      <c r="BG69" s="14409"/>
      <c r="BH69" s="14409"/>
      <c r="BI69" s="14409"/>
      <c r="BJ69" s="14409"/>
      <c r="BK69" s="8062"/>
      <c r="BL69" s="14409"/>
      <c r="BM69" s="14409"/>
      <c r="BN69" s="14409"/>
    </row>
    <row r="70" spans="1:66" ht="15.75" hidden="1" customHeight="1">
      <c r="A70" s="13779"/>
      <c r="B70" s="13816"/>
      <c r="C70" s="13580"/>
      <c r="D70" s="11674" t="s">
        <v>10057</v>
      </c>
      <c r="E70" s="11675"/>
      <c r="F70" s="11675" t="s">
        <v>10058</v>
      </c>
      <c r="G70" s="13817"/>
      <c r="H70" s="13533"/>
      <c r="I70" s="13834"/>
      <c r="K70" s="8095"/>
      <c r="L70" s="8064"/>
      <c r="M70" s="8064"/>
      <c r="N70" s="8096"/>
      <c r="O70" s="8096"/>
      <c r="P70" s="8097"/>
      <c r="Q70" s="8066"/>
      <c r="R70" s="8067"/>
      <c r="S70" s="8068"/>
      <c r="T70" s="8069"/>
      <c r="U70" s="8066"/>
      <c r="V70" s="8067"/>
      <c r="W70" s="8069"/>
      <c r="X70" s="8067"/>
      <c r="Y70" s="8069"/>
      <c r="Z70" s="8067"/>
      <c r="AA70" s="8068"/>
      <c r="AB70" s="8068"/>
      <c r="AC70" s="8068"/>
      <c r="AD70" s="8068"/>
      <c r="AE70" s="8068"/>
      <c r="AF70" s="8069"/>
      <c r="AG70" s="8067"/>
      <c r="AH70" s="8068"/>
      <c r="AI70" s="8068"/>
      <c r="AJ70" s="8068"/>
      <c r="AK70" s="8068"/>
      <c r="AL70" s="8068"/>
      <c r="AM70" s="8068"/>
      <c r="AN70" s="8069"/>
      <c r="AO70" s="8067"/>
      <c r="AP70" s="8068"/>
      <c r="AQ70" s="8068"/>
      <c r="AR70" s="8068"/>
      <c r="AS70" s="8068"/>
      <c r="AT70" s="8069"/>
      <c r="AU70" s="8098"/>
      <c r="AV70" s="8098"/>
      <c r="AW70" s="8098"/>
      <c r="AX70" s="8095"/>
      <c r="AY70" s="8097"/>
      <c r="AZ70" s="8098"/>
      <c r="BA70" s="8095"/>
      <c r="BB70" s="8096"/>
      <c r="BC70" s="8097"/>
      <c r="BD70" s="8099"/>
      <c r="BF70" s="14409"/>
      <c r="BG70" s="14409"/>
      <c r="BH70" s="14409"/>
      <c r="BI70" s="14409"/>
      <c r="BJ70" s="14409"/>
      <c r="BK70" s="8062"/>
      <c r="BL70" s="14409"/>
      <c r="BM70" s="14409"/>
      <c r="BN70" s="14409"/>
    </row>
    <row r="71" spans="1:66" ht="15.75" hidden="1" customHeight="1">
      <c r="A71" s="13779"/>
      <c r="B71" s="13816"/>
      <c r="C71" s="13580"/>
      <c r="D71" s="11674" t="s">
        <v>10185</v>
      </c>
      <c r="E71" s="11675"/>
      <c r="F71" s="11675" t="s">
        <v>1323</v>
      </c>
      <c r="G71" s="13817"/>
      <c r="H71" s="13533"/>
      <c r="I71" s="13834"/>
      <c r="K71" s="8095"/>
      <c r="L71" s="8064"/>
      <c r="M71" s="8064"/>
      <c r="N71" s="8096"/>
      <c r="O71" s="8096"/>
      <c r="P71" s="8097"/>
      <c r="Q71" s="8066"/>
      <c r="R71" s="8067"/>
      <c r="S71" s="8068"/>
      <c r="T71" s="8069"/>
      <c r="U71" s="8066"/>
      <c r="V71" s="8067"/>
      <c r="W71" s="8069"/>
      <c r="X71" s="8067"/>
      <c r="Y71" s="8069"/>
      <c r="Z71" s="8067"/>
      <c r="AA71" s="8068"/>
      <c r="AB71" s="8068"/>
      <c r="AC71" s="8068"/>
      <c r="AD71" s="8068"/>
      <c r="AE71" s="8068"/>
      <c r="AF71" s="8069"/>
      <c r="AG71" s="8067"/>
      <c r="AH71" s="8068"/>
      <c r="AI71" s="8068"/>
      <c r="AJ71" s="8068"/>
      <c r="AK71" s="8068"/>
      <c r="AL71" s="8068"/>
      <c r="AM71" s="8068"/>
      <c r="AN71" s="8069"/>
      <c r="AO71" s="8067"/>
      <c r="AP71" s="8068"/>
      <c r="AQ71" s="8068"/>
      <c r="AR71" s="8068"/>
      <c r="AS71" s="8068"/>
      <c r="AT71" s="8069"/>
      <c r="AU71" s="8098"/>
      <c r="AV71" s="8098"/>
      <c r="AW71" s="8098"/>
      <c r="AX71" s="8095"/>
      <c r="AY71" s="8097"/>
      <c r="AZ71" s="8098"/>
      <c r="BA71" s="8095"/>
      <c r="BB71" s="8096"/>
      <c r="BC71" s="8097"/>
      <c r="BD71" s="8099"/>
      <c r="BF71" s="14409"/>
      <c r="BG71" s="14409"/>
      <c r="BH71" s="14409"/>
      <c r="BI71" s="14409"/>
      <c r="BJ71" s="14409"/>
      <c r="BK71" s="8062"/>
      <c r="BL71" s="14409"/>
      <c r="BM71" s="14409"/>
      <c r="BN71" s="14409"/>
    </row>
    <row r="72" spans="1:66" ht="15.75" hidden="1" customHeight="1">
      <c r="A72" s="13779">
        <v>27</v>
      </c>
      <c r="B72" s="13816" t="s">
        <v>7556</v>
      </c>
      <c r="C72" s="13580"/>
      <c r="D72" s="11674" t="s">
        <v>10066</v>
      </c>
      <c r="E72" s="11675" t="s">
        <v>298</v>
      </c>
      <c r="F72" s="11675"/>
      <c r="G72" s="13817" t="s">
        <v>4820</v>
      </c>
      <c r="H72" s="13533" t="s">
        <v>1451</v>
      </c>
      <c r="I72" s="13833">
        <v>1</v>
      </c>
      <c r="K72" s="8090"/>
      <c r="L72" s="8064"/>
      <c r="M72" s="8064"/>
      <c r="N72" s="8091"/>
      <c r="O72" s="8091"/>
      <c r="P72" s="8092"/>
      <c r="Q72" s="8066"/>
      <c r="R72" s="8067"/>
      <c r="S72" s="8068"/>
      <c r="T72" s="8069"/>
      <c r="U72" s="8066"/>
      <c r="V72" s="8067"/>
      <c r="W72" s="8069"/>
      <c r="X72" s="8067"/>
      <c r="Y72" s="8069"/>
      <c r="Z72" s="8067"/>
      <c r="AA72" s="8068"/>
      <c r="AB72" s="8068"/>
      <c r="AC72" s="8068"/>
      <c r="AD72" s="8068"/>
      <c r="AE72" s="8068"/>
      <c r="AF72" s="8069"/>
      <c r="AG72" s="8067"/>
      <c r="AH72" s="8068"/>
      <c r="AI72" s="8068"/>
      <c r="AJ72" s="8068"/>
      <c r="AK72" s="8068"/>
      <c r="AL72" s="8068"/>
      <c r="AM72" s="8068"/>
      <c r="AN72" s="8069"/>
      <c r="AO72" s="8067"/>
      <c r="AP72" s="8068"/>
      <c r="AQ72" s="8068"/>
      <c r="AR72" s="8068"/>
      <c r="AS72" s="8068"/>
      <c r="AT72" s="8069"/>
      <c r="AU72" s="8093"/>
      <c r="AV72" s="8093"/>
      <c r="AW72" s="8093"/>
      <c r="AX72" s="8090"/>
      <c r="AY72" s="8092"/>
      <c r="AZ72" s="8093"/>
      <c r="BA72" s="8090"/>
      <c r="BB72" s="8091"/>
      <c r="BC72" s="8092"/>
      <c r="BD72" s="8094"/>
      <c r="BF72" s="14409"/>
      <c r="BG72" s="14409"/>
      <c r="BH72" s="14409"/>
      <c r="BI72" s="14409"/>
      <c r="BJ72" s="14409"/>
      <c r="BK72" s="8062"/>
      <c r="BL72" s="14409"/>
      <c r="BM72" s="14409"/>
      <c r="BN72" s="14409"/>
    </row>
    <row r="73" spans="1:66" ht="15.75" hidden="1" customHeight="1">
      <c r="A73" s="13779"/>
      <c r="B73" s="13816"/>
      <c r="C73" s="13580"/>
      <c r="D73" s="11674" t="s">
        <v>10183</v>
      </c>
      <c r="E73" s="11675"/>
      <c r="F73" s="11675" t="s">
        <v>1874</v>
      </c>
      <c r="G73" s="13817"/>
      <c r="H73" s="13533"/>
      <c r="I73" s="13833"/>
      <c r="K73" s="8090"/>
      <c r="L73" s="8064"/>
      <c r="M73" s="8064"/>
      <c r="N73" s="8091"/>
      <c r="O73" s="8091"/>
      <c r="P73" s="8092"/>
      <c r="Q73" s="8066"/>
      <c r="R73" s="8067"/>
      <c r="S73" s="8068"/>
      <c r="T73" s="8069"/>
      <c r="U73" s="8066"/>
      <c r="V73" s="8067"/>
      <c r="W73" s="8069"/>
      <c r="X73" s="8067"/>
      <c r="Y73" s="8069"/>
      <c r="Z73" s="8067"/>
      <c r="AA73" s="8068"/>
      <c r="AB73" s="8068"/>
      <c r="AC73" s="8068"/>
      <c r="AD73" s="8068"/>
      <c r="AE73" s="8068"/>
      <c r="AF73" s="8069"/>
      <c r="AG73" s="8067"/>
      <c r="AH73" s="8068"/>
      <c r="AI73" s="8068"/>
      <c r="AJ73" s="8068"/>
      <c r="AK73" s="8068"/>
      <c r="AL73" s="8068"/>
      <c r="AM73" s="8068"/>
      <c r="AN73" s="8069"/>
      <c r="AO73" s="8067"/>
      <c r="AP73" s="8068"/>
      <c r="AQ73" s="8068"/>
      <c r="AR73" s="8068"/>
      <c r="AS73" s="8068"/>
      <c r="AT73" s="8069"/>
      <c r="AU73" s="8093"/>
      <c r="AV73" s="8093"/>
      <c r="AW73" s="8093"/>
      <c r="AX73" s="8090"/>
      <c r="AY73" s="8092"/>
      <c r="AZ73" s="8093"/>
      <c r="BA73" s="8090"/>
      <c r="BB73" s="8091"/>
      <c r="BC73" s="8092"/>
      <c r="BD73" s="8094"/>
      <c r="BF73" s="14409"/>
      <c r="BG73" s="14409"/>
      <c r="BH73" s="14409"/>
      <c r="BI73" s="14409"/>
      <c r="BJ73" s="14409"/>
      <c r="BK73" s="8062"/>
      <c r="BL73" s="14409"/>
      <c r="BM73" s="14409"/>
      <c r="BN73" s="14409"/>
    </row>
    <row r="74" spans="1:66" ht="15.75" hidden="1" customHeight="1">
      <c r="A74" s="13779"/>
      <c r="B74" s="13816"/>
      <c r="C74" s="13580"/>
      <c r="D74" s="11674" t="s">
        <v>10177</v>
      </c>
      <c r="E74" s="11675"/>
      <c r="F74" s="11675" t="s">
        <v>10174</v>
      </c>
      <c r="G74" s="13817"/>
      <c r="H74" s="13533"/>
      <c r="I74" s="13833"/>
      <c r="K74" s="8090"/>
      <c r="L74" s="8064"/>
      <c r="M74" s="8064"/>
      <c r="N74" s="8091"/>
      <c r="O74" s="8091"/>
      <c r="P74" s="8092"/>
      <c r="Q74" s="8066"/>
      <c r="R74" s="8067"/>
      <c r="S74" s="8068"/>
      <c r="T74" s="8069"/>
      <c r="U74" s="8066"/>
      <c r="V74" s="8067"/>
      <c r="W74" s="8069"/>
      <c r="X74" s="8067"/>
      <c r="Y74" s="8069"/>
      <c r="Z74" s="8067"/>
      <c r="AA74" s="8068"/>
      <c r="AB74" s="8068"/>
      <c r="AC74" s="8068"/>
      <c r="AD74" s="8068"/>
      <c r="AE74" s="8068"/>
      <c r="AF74" s="8069"/>
      <c r="AG74" s="8067"/>
      <c r="AH74" s="8068"/>
      <c r="AI74" s="8068"/>
      <c r="AJ74" s="8068"/>
      <c r="AK74" s="8068"/>
      <c r="AL74" s="8068"/>
      <c r="AM74" s="8068"/>
      <c r="AN74" s="8069"/>
      <c r="AO74" s="8067"/>
      <c r="AP74" s="8068"/>
      <c r="AQ74" s="8068"/>
      <c r="AR74" s="8068"/>
      <c r="AS74" s="8068"/>
      <c r="AT74" s="8069"/>
      <c r="AU74" s="8093"/>
      <c r="AV74" s="8093"/>
      <c r="AW74" s="8093"/>
      <c r="AX74" s="8090"/>
      <c r="AY74" s="8092"/>
      <c r="AZ74" s="8093"/>
      <c r="BA74" s="8090"/>
      <c r="BB74" s="8091"/>
      <c r="BC74" s="8092"/>
      <c r="BD74" s="8094"/>
      <c r="BF74" s="14409"/>
      <c r="BG74" s="14409"/>
      <c r="BH74" s="14409"/>
      <c r="BI74" s="14409"/>
      <c r="BJ74" s="14409"/>
      <c r="BK74" s="8062"/>
      <c r="BL74" s="14409"/>
      <c r="BM74" s="14409"/>
      <c r="BN74" s="14409"/>
    </row>
    <row r="75" spans="1:66" ht="15.75" hidden="1" customHeight="1">
      <c r="A75" s="13779"/>
      <c r="B75" s="13816"/>
      <c r="C75" s="13580"/>
      <c r="D75" s="11674" t="s">
        <v>10188</v>
      </c>
      <c r="E75" s="11675"/>
      <c r="F75" s="11675" t="s">
        <v>10175</v>
      </c>
      <c r="G75" s="13817"/>
      <c r="H75" s="13533"/>
      <c r="I75" s="13833"/>
      <c r="K75" s="8090"/>
      <c r="L75" s="8064"/>
      <c r="M75" s="8064"/>
      <c r="N75" s="8091"/>
      <c r="O75" s="8091"/>
      <c r="P75" s="8092"/>
      <c r="Q75" s="8066"/>
      <c r="R75" s="8067"/>
      <c r="S75" s="8068"/>
      <c r="T75" s="8069"/>
      <c r="U75" s="8066"/>
      <c r="V75" s="8067"/>
      <c r="W75" s="8069"/>
      <c r="X75" s="8067"/>
      <c r="Y75" s="8069"/>
      <c r="Z75" s="8067"/>
      <c r="AA75" s="8068"/>
      <c r="AB75" s="8068"/>
      <c r="AC75" s="8068"/>
      <c r="AD75" s="8068"/>
      <c r="AE75" s="8068"/>
      <c r="AF75" s="8069"/>
      <c r="AG75" s="8067"/>
      <c r="AH75" s="8068"/>
      <c r="AI75" s="8068"/>
      <c r="AJ75" s="8068"/>
      <c r="AK75" s="8068"/>
      <c r="AL75" s="8068"/>
      <c r="AM75" s="8068"/>
      <c r="AN75" s="8069"/>
      <c r="AO75" s="8067"/>
      <c r="AP75" s="8068"/>
      <c r="AQ75" s="8068"/>
      <c r="AR75" s="8068"/>
      <c r="AS75" s="8068"/>
      <c r="AT75" s="8069"/>
      <c r="AU75" s="8093"/>
      <c r="AV75" s="8093"/>
      <c r="AW75" s="8093"/>
      <c r="AX75" s="8090"/>
      <c r="AY75" s="8092"/>
      <c r="AZ75" s="8093"/>
      <c r="BA75" s="8090"/>
      <c r="BB75" s="8091"/>
      <c r="BC75" s="8092"/>
      <c r="BD75" s="8094"/>
      <c r="BF75" s="14409"/>
      <c r="BG75" s="14409"/>
      <c r="BH75" s="14409"/>
      <c r="BI75" s="14409"/>
      <c r="BJ75" s="14409"/>
      <c r="BK75" s="8062"/>
      <c r="BL75" s="14409"/>
      <c r="BM75" s="14409"/>
      <c r="BN75" s="14409"/>
    </row>
    <row r="76" spans="1:66" ht="15.75" hidden="1" customHeight="1">
      <c r="A76" s="13779"/>
      <c r="B76" s="13816"/>
      <c r="C76" s="13580"/>
      <c r="D76" s="11674" t="s">
        <v>2859</v>
      </c>
      <c r="E76" s="11675"/>
      <c r="F76" s="11675" t="s">
        <v>1514</v>
      </c>
      <c r="G76" s="13817"/>
      <c r="H76" s="13533"/>
      <c r="I76" s="13833"/>
      <c r="K76" s="8090"/>
      <c r="L76" s="8064"/>
      <c r="M76" s="8064"/>
      <c r="N76" s="8091"/>
      <c r="O76" s="8091"/>
      <c r="P76" s="8092"/>
      <c r="Q76" s="8066"/>
      <c r="R76" s="8067"/>
      <c r="S76" s="8068"/>
      <c r="T76" s="8069"/>
      <c r="U76" s="8066"/>
      <c r="V76" s="8067"/>
      <c r="W76" s="8069"/>
      <c r="X76" s="8067"/>
      <c r="Y76" s="8069"/>
      <c r="Z76" s="8067"/>
      <c r="AA76" s="8068"/>
      <c r="AB76" s="8068"/>
      <c r="AC76" s="8068"/>
      <c r="AD76" s="8068"/>
      <c r="AE76" s="8068"/>
      <c r="AF76" s="8069"/>
      <c r="AG76" s="8067"/>
      <c r="AH76" s="8068"/>
      <c r="AI76" s="8068"/>
      <c r="AJ76" s="8068"/>
      <c r="AK76" s="8068"/>
      <c r="AL76" s="8068"/>
      <c r="AM76" s="8068"/>
      <c r="AN76" s="8069"/>
      <c r="AO76" s="8067"/>
      <c r="AP76" s="8068"/>
      <c r="AQ76" s="8068"/>
      <c r="AR76" s="8068"/>
      <c r="AS76" s="8068"/>
      <c r="AT76" s="8069"/>
      <c r="AU76" s="8093"/>
      <c r="AV76" s="8093"/>
      <c r="AW76" s="8093"/>
      <c r="AX76" s="8090"/>
      <c r="AY76" s="8092"/>
      <c r="AZ76" s="8093"/>
      <c r="BA76" s="8090"/>
      <c r="BB76" s="8091"/>
      <c r="BC76" s="8092"/>
      <c r="BD76" s="8094"/>
      <c r="BF76" s="14409"/>
      <c r="BG76" s="14409"/>
      <c r="BH76" s="14409"/>
      <c r="BI76" s="14409"/>
      <c r="BJ76" s="14409"/>
      <c r="BK76" s="8062"/>
      <c r="BL76" s="14409"/>
      <c r="BM76" s="14409"/>
      <c r="BN76" s="14409"/>
    </row>
    <row r="77" spans="1:66" ht="15.75" hidden="1" customHeight="1">
      <c r="A77" s="13779"/>
      <c r="B77" s="13816"/>
      <c r="C77" s="13580"/>
      <c r="D77" s="11674" t="s">
        <v>10184</v>
      </c>
      <c r="E77" s="11675"/>
      <c r="F77" s="11675" t="s">
        <v>10176</v>
      </c>
      <c r="G77" s="13817"/>
      <c r="H77" s="13533"/>
      <c r="I77" s="13833"/>
      <c r="K77" s="8090"/>
      <c r="L77" s="8064"/>
      <c r="M77" s="8064"/>
      <c r="N77" s="8091"/>
      <c r="O77" s="8091"/>
      <c r="P77" s="8092"/>
      <c r="Q77" s="8066"/>
      <c r="R77" s="8067"/>
      <c r="S77" s="8068"/>
      <c r="T77" s="8069"/>
      <c r="U77" s="8066"/>
      <c r="V77" s="8067"/>
      <c r="W77" s="8069"/>
      <c r="X77" s="8067"/>
      <c r="Y77" s="8069"/>
      <c r="Z77" s="8067"/>
      <c r="AA77" s="8068"/>
      <c r="AB77" s="8068"/>
      <c r="AC77" s="8068"/>
      <c r="AD77" s="8068"/>
      <c r="AE77" s="8068"/>
      <c r="AF77" s="8069"/>
      <c r="AG77" s="8067"/>
      <c r="AH77" s="8068"/>
      <c r="AI77" s="8068"/>
      <c r="AJ77" s="8068"/>
      <c r="AK77" s="8068"/>
      <c r="AL77" s="8068"/>
      <c r="AM77" s="8068"/>
      <c r="AN77" s="8069"/>
      <c r="AO77" s="8067"/>
      <c r="AP77" s="8068"/>
      <c r="AQ77" s="8068"/>
      <c r="AR77" s="8068"/>
      <c r="AS77" s="8068"/>
      <c r="AT77" s="8069"/>
      <c r="AU77" s="8093"/>
      <c r="AV77" s="8093"/>
      <c r="AW77" s="8093"/>
      <c r="AX77" s="8090"/>
      <c r="AY77" s="8092"/>
      <c r="AZ77" s="8093"/>
      <c r="BA77" s="8090"/>
      <c r="BB77" s="8091"/>
      <c r="BC77" s="8092"/>
      <c r="BD77" s="8094"/>
      <c r="BF77" s="14409"/>
      <c r="BG77" s="14409"/>
      <c r="BH77" s="14409"/>
      <c r="BI77" s="14409"/>
      <c r="BJ77" s="14409"/>
      <c r="BK77" s="8062"/>
      <c r="BL77" s="14409"/>
      <c r="BM77" s="14409"/>
      <c r="BN77" s="14409"/>
    </row>
    <row r="78" spans="1:66" ht="45.75" hidden="1" customHeight="1">
      <c r="A78" s="8072">
        <v>28</v>
      </c>
      <c r="B78" s="8073" t="s">
        <v>7557</v>
      </c>
      <c r="C78" s="13580"/>
      <c r="D78" s="11674" t="s">
        <v>10066</v>
      </c>
      <c r="E78" s="11675" t="s">
        <v>298</v>
      </c>
      <c r="F78" s="11675"/>
      <c r="G78" s="11676" t="s">
        <v>4824</v>
      </c>
      <c r="H78" s="11677" t="s">
        <v>4827</v>
      </c>
      <c r="I78" s="11680">
        <v>1</v>
      </c>
      <c r="K78" s="8100"/>
      <c r="L78" s="8075"/>
      <c r="M78" s="8075"/>
      <c r="N78" s="8101"/>
      <c r="O78" s="8101"/>
      <c r="P78" s="8102"/>
      <c r="Q78" s="8078"/>
      <c r="R78" s="8079"/>
      <c r="S78" s="8080"/>
      <c r="T78" s="8081"/>
      <c r="U78" s="8078"/>
      <c r="V78" s="8079"/>
      <c r="W78" s="8081"/>
      <c r="X78" s="8079"/>
      <c r="Y78" s="8081"/>
      <c r="Z78" s="8079"/>
      <c r="AA78" s="8080"/>
      <c r="AB78" s="8080"/>
      <c r="AC78" s="8080"/>
      <c r="AD78" s="8080"/>
      <c r="AE78" s="8080"/>
      <c r="AF78" s="8081"/>
      <c r="AG78" s="8079"/>
      <c r="AH78" s="8080"/>
      <c r="AI78" s="8080"/>
      <c r="AJ78" s="8080"/>
      <c r="AK78" s="8080"/>
      <c r="AL78" s="8080"/>
      <c r="AM78" s="8080"/>
      <c r="AN78" s="8081"/>
      <c r="AO78" s="8079"/>
      <c r="AP78" s="8080"/>
      <c r="AQ78" s="8080"/>
      <c r="AR78" s="8080"/>
      <c r="AS78" s="8080"/>
      <c r="AT78" s="8081"/>
      <c r="AU78" s="8103"/>
      <c r="AV78" s="8103"/>
      <c r="AW78" s="8103"/>
      <c r="AX78" s="8100"/>
      <c r="AY78" s="8102"/>
      <c r="AZ78" s="8103"/>
      <c r="BA78" s="8100"/>
      <c r="BB78" s="8101"/>
      <c r="BC78" s="8102"/>
      <c r="BD78" s="8104"/>
      <c r="BF78" s="8062"/>
      <c r="BG78" s="8062"/>
      <c r="BH78" s="8062"/>
      <c r="BI78" s="8062"/>
      <c r="BJ78" s="8062"/>
      <c r="BK78" s="8062"/>
      <c r="BL78" s="8062"/>
      <c r="BM78" s="8062"/>
      <c r="BN78" s="8062"/>
    </row>
    <row r="79" spans="1:66" ht="38.25" hidden="1" customHeight="1">
      <c r="A79" s="13779">
        <v>29</v>
      </c>
      <c r="B79" s="13816" t="s">
        <v>7558</v>
      </c>
      <c r="C79" s="13580"/>
      <c r="D79" s="11674" t="s">
        <v>26</v>
      </c>
      <c r="E79" s="11675" t="s">
        <v>390</v>
      </c>
      <c r="F79" s="11675"/>
      <c r="G79" s="13817" t="s">
        <v>4828</v>
      </c>
      <c r="H79" s="13533" t="s">
        <v>4831</v>
      </c>
      <c r="I79" s="13833">
        <v>1</v>
      </c>
      <c r="K79" s="8090"/>
      <c r="L79" s="8064"/>
      <c r="M79" s="8064"/>
      <c r="N79" s="8091"/>
      <c r="O79" s="8091"/>
      <c r="P79" s="8092"/>
      <c r="Q79" s="8066"/>
      <c r="R79" s="8067"/>
      <c r="S79" s="8068"/>
      <c r="T79" s="8069"/>
      <c r="U79" s="8066"/>
      <c r="V79" s="8067"/>
      <c r="W79" s="8069"/>
      <c r="X79" s="8067"/>
      <c r="Y79" s="8069"/>
      <c r="Z79" s="8067"/>
      <c r="AA79" s="8068"/>
      <c r="AB79" s="8068"/>
      <c r="AC79" s="8068"/>
      <c r="AD79" s="8068"/>
      <c r="AE79" s="8068"/>
      <c r="AF79" s="8069"/>
      <c r="AG79" s="8067"/>
      <c r="AH79" s="8068"/>
      <c r="AI79" s="8068"/>
      <c r="AJ79" s="8068"/>
      <c r="AK79" s="8068"/>
      <c r="AL79" s="8068"/>
      <c r="AM79" s="8068"/>
      <c r="AN79" s="8069"/>
      <c r="AO79" s="8067"/>
      <c r="AP79" s="8068"/>
      <c r="AQ79" s="8068"/>
      <c r="AR79" s="8068"/>
      <c r="AS79" s="8068"/>
      <c r="AT79" s="8069"/>
      <c r="AU79" s="8093"/>
      <c r="AV79" s="8093"/>
      <c r="AW79" s="8093"/>
      <c r="AX79" s="8090"/>
      <c r="AY79" s="8092"/>
      <c r="AZ79" s="8093"/>
      <c r="BA79" s="8090"/>
      <c r="BB79" s="8091"/>
      <c r="BC79" s="8092"/>
      <c r="BD79" s="8094"/>
      <c r="BF79" s="14409"/>
      <c r="BG79" s="14409"/>
      <c r="BH79" s="14409"/>
      <c r="BI79" s="14409"/>
      <c r="BJ79" s="14409"/>
      <c r="BK79" s="8062"/>
      <c r="BL79" s="14409"/>
      <c r="BM79" s="14409"/>
      <c r="BN79" s="14409"/>
    </row>
    <row r="80" spans="1:66" ht="15" hidden="1" customHeight="1">
      <c r="A80" s="13779"/>
      <c r="B80" s="13816"/>
      <c r="C80" s="13580"/>
      <c r="D80" s="11674" t="s">
        <v>477</v>
      </c>
      <c r="E80" s="11675"/>
      <c r="F80" s="11675" t="s">
        <v>477</v>
      </c>
      <c r="G80" s="13817"/>
      <c r="H80" s="13533"/>
      <c r="I80" s="13833"/>
      <c r="K80" s="8090"/>
      <c r="L80" s="8064"/>
      <c r="M80" s="8064"/>
      <c r="N80" s="8091"/>
      <c r="O80" s="8091"/>
      <c r="P80" s="8092"/>
      <c r="Q80" s="8066"/>
      <c r="R80" s="8067"/>
      <c r="S80" s="8068"/>
      <c r="T80" s="8069"/>
      <c r="U80" s="8066"/>
      <c r="V80" s="8067"/>
      <c r="W80" s="8069"/>
      <c r="X80" s="8067"/>
      <c r="Y80" s="8069"/>
      <c r="Z80" s="8067"/>
      <c r="AA80" s="8068"/>
      <c r="AB80" s="8068"/>
      <c r="AC80" s="8068"/>
      <c r="AD80" s="8068"/>
      <c r="AE80" s="8068"/>
      <c r="AF80" s="8069"/>
      <c r="AG80" s="8067"/>
      <c r="AH80" s="8068"/>
      <c r="AI80" s="8068"/>
      <c r="AJ80" s="8068"/>
      <c r="AK80" s="8068"/>
      <c r="AL80" s="8068"/>
      <c r="AM80" s="8068"/>
      <c r="AN80" s="8069"/>
      <c r="AO80" s="8067"/>
      <c r="AP80" s="8068"/>
      <c r="AQ80" s="8068"/>
      <c r="AR80" s="8068"/>
      <c r="AS80" s="8068"/>
      <c r="AT80" s="8069"/>
      <c r="AU80" s="8093"/>
      <c r="AV80" s="8093"/>
      <c r="AW80" s="8093"/>
      <c r="AX80" s="8090"/>
      <c r="AY80" s="8092"/>
      <c r="AZ80" s="8093"/>
      <c r="BA80" s="8090"/>
      <c r="BB80" s="8091"/>
      <c r="BC80" s="8092"/>
      <c r="BD80" s="8094"/>
      <c r="BF80" s="14409"/>
      <c r="BG80" s="14409"/>
      <c r="BH80" s="14409"/>
      <c r="BI80" s="14409"/>
      <c r="BJ80" s="14409"/>
      <c r="BK80" s="8062"/>
      <c r="BL80" s="14409"/>
      <c r="BM80" s="14409"/>
      <c r="BN80" s="14409"/>
    </row>
    <row r="81" spans="1:66" ht="15" hidden="1" customHeight="1">
      <c r="A81" s="13779"/>
      <c r="B81" s="13816"/>
      <c r="C81" s="13580"/>
      <c r="D81" s="11674" t="s">
        <v>10188</v>
      </c>
      <c r="E81" s="11675"/>
      <c r="F81" s="11675" t="s">
        <v>10175</v>
      </c>
      <c r="G81" s="13817"/>
      <c r="H81" s="13533"/>
      <c r="I81" s="13833"/>
      <c r="K81" s="8090"/>
      <c r="L81" s="8064"/>
      <c r="M81" s="8064"/>
      <c r="N81" s="8091"/>
      <c r="O81" s="8091"/>
      <c r="P81" s="8092"/>
      <c r="Q81" s="8066"/>
      <c r="R81" s="8067"/>
      <c r="S81" s="8068"/>
      <c r="T81" s="8069"/>
      <c r="U81" s="8066"/>
      <c r="V81" s="8067"/>
      <c r="W81" s="8069"/>
      <c r="X81" s="8067"/>
      <c r="Y81" s="8069"/>
      <c r="Z81" s="8067"/>
      <c r="AA81" s="8068"/>
      <c r="AB81" s="8068"/>
      <c r="AC81" s="8068"/>
      <c r="AD81" s="8068"/>
      <c r="AE81" s="8068"/>
      <c r="AF81" s="8069"/>
      <c r="AG81" s="8067"/>
      <c r="AH81" s="8068"/>
      <c r="AI81" s="8068"/>
      <c r="AJ81" s="8068"/>
      <c r="AK81" s="8068"/>
      <c r="AL81" s="8068"/>
      <c r="AM81" s="8068"/>
      <c r="AN81" s="8069"/>
      <c r="AO81" s="8067"/>
      <c r="AP81" s="8068"/>
      <c r="AQ81" s="8068"/>
      <c r="AR81" s="8068"/>
      <c r="AS81" s="8068"/>
      <c r="AT81" s="8069"/>
      <c r="AU81" s="8093"/>
      <c r="AV81" s="8093"/>
      <c r="AW81" s="8093"/>
      <c r="AX81" s="8090"/>
      <c r="AY81" s="8092"/>
      <c r="AZ81" s="8093"/>
      <c r="BA81" s="8090"/>
      <c r="BB81" s="8091"/>
      <c r="BC81" s="8092"/>
      <c r="BD81" s="8094"/>
      <c r="BF81" s="14409"/>
      <c r="BG81" s="14409"/>
      <c r="BH81" s="14409"/>
      <c r="BI81" s="14409"/>
      <c r="BJ81" s="14409"/>
      <c r="BK81" s="8062"/>
      <c r="BL81" s="14409"/>
      <c r="BM81" s="14409"/>
      <c r="BN81" s="14409"/>
    </row>
    <row r="82" spans="1:66" ht="15" hidden="1" customHeight="1">
      <c r="A82" s="13779"/>
      <c r="B82" s="13816"/>
      <c r="C82" s="13580"/>
      <c r="D82" s="11674" t="s">
        <v>10177</v>
      </c>
      <c r="E82" s="11675"/>
      <c r="F82" s="11675" t="s">
        <v>10177</v>
      </c>
      <c r="G82" s="13817"/>
      <c r="H82" s="13533"/>
      <c r="I82" s="13833"/>
      <c r="K82" s="8090"/>
      <c r="L82" s="8064"/>
      <c r="M82" s="8064"/>
      <c r="N82" s="8091"/>
      <c r="O82" s="8091"/>
      <c r="P82" s="8092"/>
      <c r="Q82" s="8066"/>
      <c r="R82" s="8067"/>
      <c r="S82" s="8068"/>
      <c r="T82" s="8069"/>
      <c r="U82" s="8066"/>
      <c r="V82" s="8067"/>
      <c r="W82" s="8069"/>
      <c r="X82" s="8067"/>
      <c r="Y82" s="8069"/>
      <c r="Z82" s="8067"/>
      <c r="AA82" s="8068"/>
      <c r="AB82" s="8068"/>
      <c r="AC82" s="8068"/>
      <c r="AD82" s="8068"/>
      <c r="AE82" s="8068"/>
      <c r="AF82" s="8069"/>
      <c r="AG82" s="8067"/>
      <c r="AH82" s="8068"/>
      <c r="AI82" s="8068"/>
      <c r="AJ82" s="8068"/>
      <c r="AK82" s="8068"/>
      <c r="AL82" s="8068"/>
      <c r="AM82" s="8068"/>
      <c r="AN82" s="8069"/>
      <c r="AO82" s="8067"/>
      <c r="AP82" s="8068"/>
      <c r="AQ82" s="8068"/>
      <c r="AR82" s="8068"/>
      <c r="AS82" s="8068"/>
      <c r="AT82" s="8069"/>
      <c r="AU82" s="8093"/>
      <c r="AV82" s="8093"/>
      <c r="AW82" s="8093"/>
      <c r="AX82" s="8090"/>
      <c r="AY82" s="8092"/>
      <c r="AZ82" s="8093"/>
      <c r="BA82" s="8090"/>
      <c r="BB82" s="8091"/>
      <c r="BC82" s="8092"/>
      <c r="BD82" s="8094"/>
      <c r="BF82" s="14409"/>
      <c r="BG82" s="14409"/>
      <c r="BH82" s="14409"/>
      <c r="BI82" s="14409"/>
      <c r="BJ82" s="14409"/>
      <c r="BK82" s="8062"/>
      <c r="BL82" s="14409"/>
      <c r="BM82" s="14409"/>
      <c r="BN82" s="14409"/>
    </row>
    <row r="83" spans="1:66" ht="15" hidden="1" customHeight="1">
      <c r="A83" s="13779"/>
      <c r="B83" s="13816"/>
      <c r="C83" s="13580"/>
      <c r="D83" s="11674" t="s">
        <v>10186</v>
      </c>
      <c r="E83" s="11675"/>
      <c r="F83" s="11675" t="s">
        <v>10178</v>
      </c>
      <c r="G83" s="13817"/>
      <c r="H83" s="13533"/>
      <c r="I83" s="13833"/>
      <c r="K83" s="8090"/>
      <c r="L83" s="8064"/>
      <c r="M83" s="8064"/>
      <c r="N83" s="8091"/>
      <c r="O83" s="8091"/>
      <c r="P83" s="8092"/>
      <c r="Q83" s="8066"/>
      <c r="R83" s="8067"/>
      <c r="S83" s="8068"/>
      <c r="T83" s="8069"/>
      <c r="U83" s="8066"/>
      <c r="V83" s="8067"/>
      <c r="W83" s="8069"/>
      <c r="X83" s="8067"/>
      <c r="Y83" s="8069"/>
      <c r="Z83" s="8067"/>
      <c r="AA83" s="8068"/>
      <c r="AB83" s="8068"/>
      <c r="AC83" s="8068"/>
      <c r="AD83" s="8068"/>
      <c r="AE83" s="8068"/>
      <c r="AF83" s="8069"/>
      <c r="AG83" s="8067"/>
      <c r="AH83" s="8068"/>
      <c r="AI83" s="8068"/>
      <c r="AJ83" s="8068"/>
      <c r="AK83" s="8068"/>
      <c r="AL83" s="8068"/>
      <c r="AM83" s="8068"/>
      <c r="AN83" s="8069"/>
      <c r="AO83" s="8067"/>
      <c r="AP83" s="8068"/>
      <c r="AQ83" s="8068"/>
      <c r="AR83" s="8068"/>
      <c r="AS83" s="8068"/>
      <c r="AT83" s="8069"/>
      <c r="AU83" s="8093"/>
      <c r="AV83" s="8093"/>
      <c r="AW83" s="8093"/>
      <c r="AX83" s="8090"/>
      <c r="AY83" s="8092"/>
      <c r="AZ83" s="8093"/>
      <c r="BA83" s="8090"/>
      <c r="BB83" s="8091"/>
      <c r="BC83" s="8092"/>
      <c r="BD83" s="8094"/>
      <c r="BF83" s="14409"/>
      <c r="BG83" s="14409"/>
      <c r="BH83" s="14409"/>
      <c r="BI83" s="14409"/>
      <c r="BJ83" s="14409"/>
      <c r="BK83" s="8062"/>
      <c r="BL83" s="14409"/>
      <c r="BM83" s="14409"/>
      <c r="BN83" s="14409"/>
    </row>
    <row r="84" spans="1:66" ht="15" hidden="1" customHeight="1">
      <c r="A84" s="13779"/>
      <c r="B84" s="13816"/>
      <c r="C84" s="13580"/>
      <c r="D84" s="11674" t="s">
        <v>4321</v>
      </c>
      <c r="E84" s="11675"/>
      <c r="F84" s="11675" t="s">
        <v>10179</v>
      </c>
      <c r="G84" s="13817"/>
      <c r="H84" s="13533"/>
      <c r="I84" s="13833"/>
      <c r="K84" s="8090"/>
      <c r="L84" s="8064"/>
      <c r="M84" s="8064"/>
      <c r="N84" s="8091"/>
      <c r="O84" s="8091"/>
      <c r="P84" s="8092"/>
      <c r="Q84" s="8066"/>
      <c r="R84" s="8067"/>
      <c r="S84" s="8068"/>
      <c r="T84" s="8069"/>
      <c r="U84" s="8066"/>
      <c r="V84" s="8067"/>
      <c r="W84" s="8069"/>
      <c r="X84" s="8067"/>
      <c r="Y84" s="8069"/>
      <c r="Z84" s="8067"/>
      <c r="AA84" s="8068"/>
      <c r="AB84" s="8068"/>
      <c r="AC84" s="8068"/>
      <c r="AD84" s="8068"/>
      <c r="AE84" s="8068"/>
      <c r="AF84" s="8069"/>
      <c r="AG84" s="8067"/>
      <c r="AH84" s="8068"/>
      <c r="AI84" s="8068"/>
      <c r="AJ84" s="8068"/>
      <c r="AK84" s="8068"/>
      <c r="AL84" s="8068"/>
      <c r="AM84" s="8068"/>
      <c r="AN84" s="8069"/>
      <c r="AO84" s="8067"/>
      <c r="AP84" s="8068"/>
      <c r="AQ84" s="8068"/>
      <c r="AR84" s="8068"/>
      <c r="AS84" s="8068"/>
      <c r="AT84" s="8069"/>
      <c r="AU84" s="8093"/>
      <c r="AV84" s="8093"/>
      <c r="AW84" s="8093"/>
      <c r="AX84" s="8090"/>
      <c r="AY84" s="8092"/>
      <c r="AZ84" s="8093"/>
      <c r="BA84" s="8090"/>
      <c r="BB84" s="8091"/>
      <c r="BC84" s="8092"/>
      <c r="BD84" s="8094"/>
      <c r="BF84" s="14409"/>
      <c r="BG84" s="14409"/>
      <c r="BH84" s="14409"/>
      <c r="BI84" s="14409"/>
      <c r="BJ84" s="14409"/>
      <c r="BK84" s="8062"/>
      <c r="BL84" s="14409"/>
      <c r="BM84" s="14409"/>
      <c r="BN84" s="14409"/>
    </row>
    <row r="85" spans="1:66" ht="15" hidden="1" customHeight="1">
      <c r="A85" s="13779"/>
      <c r="B85" s="13816"/>
      <c r="C85" s="13580"/>
      <c r="D85" s="11674" t="s">
        <v>2896</v>
      </c>
      <c r="E85" s="11675"/>
      <c r="F85" s="11675" t="s">
        <v>2896</v>
      </c>
      <c r="G85" s="13817"/>
      <c r="H85" s="13533"/>
      <c r="I85" s="13833"/>
      <c r="K85" s="8090"/>
      <c r="L85" s="8064"/>
      <c r="M85" s="8064"/>
      <c r="N85" s="8091"/>
      <c r="O85" s="8091"/>
      <c r="P85" s="8092"/>
      <c r="Q85" s="8066"/>
      <c r="R85" s="8067"/>
      <c r="S85" s="8068"/>
      <c r="T85" s="8069"/>
      <c r="U85" s="8066"/>
      <c r="V85" s="8067"/>
      <c r="W85" s="8069"/>
      <c r="X85" s="8067"/>
      <c r="Y85" s="8069"/>
      <c r="Z85" s="8067"/>
      <c r="AA85" s="8068"/>
      <c r="AB85" s="8068"/>
      <c r="AC85" s="8068"/>
      <c r="AD85" s="8068"/>
      <c r="AE85" s="8068"/>
      <c r="AF85" s="8069"/>
      <c r="AG85" s="8067"/>
      <c r="AH85" s="8068"/>
      <c r="AI85" s="8068"/>
      <c r="AJ85" s="8068"/>
      <c r="AK85" s="8068"/>
      <c r="AL85" s="8068"/>
      <c r="AM85" s="8068"/>
      <c r="AN85" s="8069"/>
      <c r="AO85" s="8067"/>
      <c r="AP85" s="8068"/>
      <c r="AQ85" s="8068"/>
      <c r="AR85" s="8068"/>
      <c r="AS85" s="8068"/>
      <c r="AT85" s="8069"/>
      <c r="AU85" s="8093"/>
      <c r="AV85" s="8093"/>
      <c r="AW85" s="8093"/>
      <c r="AX85" s="8090"/>
      <c r="AY85" s="8092"/>
      <c r="AZ85" s="8093"/>
      <c r="BA85" s="8090"/>
      <c r="BB85" s="8091"/>
      <c r="BC85" s="8092"/>
      <c r="BD85" s="8094"/>
      <c r="BF85" s="14409"/>
      <c r="BG85" s="14409"/>
      <c r="BH85" s="14409"/>
      <c r="BI85" s="14409"/>
      <c r="BJ85" s="14409"/>
      <c r="BK85" s="8062"/>
      <c r="BL85" s="14409"/>
      <c r="BM85" s="14409"/>
      <c r="BN85" s="14409"/>
    </row>
    <row r="86" spans="1:66" ht="15" hidden="1" customHeight="1">
      <c r="A86" s="13779">
        <v>30</v>
      </c>
      <c r="B86" s="13816" t="s">
        <v>7559</v>
      </c>
      <c r="C86" s="13580"/>
      <c r="D86" s="11674" t="s">
        <v>10066</v>
      </c>
      <c r="E86" s="11675" t="s">
        <v>298</v>
      </c>
      <c r="F86" s="11675"/>
      <c r="G86" s="13817" t="s">
        <v>4833</v>
      </c>
      <c r="H86" s="13533" t="s">
        <v>4837</v>
      </c>
      <c r="I86" s="13833">
        <v>20</v>
      </c>
      <c r="K86" s="8090"/>
      <c r="L86" s="8064"/>
      <c r="M86" s="8064"/>
      <c r="N86" s="8091"/>
      <c r="O86" s="8091"/>
      <c r="P86" s="8092"/>
      <c r="Q86" s="8066"/>
      <c r="R86" s="8067"/>
      <c r="S86" s="8068"/>
      <c r="T86" s="8069"/>
      <c r="U86" s="8066"/>
      <c r="V86" s="8067"/>
      <c r="W86" s="8069"/>
      <c r="X86" s="8067"/>
      <c r="Y86" s="8069"/>
      <c r="Z86" s="8067"/>
      <c r="AA86" s="8068"/>
      <c r="AB86" s="8068"/>
      <c r="AC86" s="8068"/>
      <c r="AD86" s="8068"/>
      <c r="AE86" s="8068"/>
      <c r="AF86" s="8069"/>
      <c r="AG86" s="8067"/>
      <c r="AH86" s="8068"/>
      <c r="AI86" s="8068"/>
      <c r="AJ86" s="8068"/>
      <c r="AK86" s="8068"/>
      <c r="AL86" s="8068"/>
      <c r="AM86" s="8068"/>
      <c r="AN86" s="8069"/>
      <c r="AO86" s="8067"/>
      <c r="AP86" s="8068"/>
      <c r="AQ86" s="8068"/>
      <c r="AR86" s="8068"/>
      <c r="AS86" s="8068"/>
      <c r="AT86" s="8069"/>
      <c r="AU86" s="8093"/>
      <c r="AV86" s="8093"/>
      <c r="AW86" s="8093"/>
      <c r="AX86" s="8090"/>
      <c r="AY86" s="8092"/>
      <c r="AZ86" s="8093"/>
      <c r="BA86" s="8090"/>
      <c r="BB86" s="8091"/>
      <c r="BC86" s="8092"/>
      <c r="BD86" s="8094"/>
      <c r="BF86" s="14409"/>
      <c r="BG86" s="14409"/>
      <c r="BH86" s="14409"/>
      <c r="BI86" s="14409"/>
      <c r="BJ86" s="14409"/>
      <c r="BK86" s="8062"/>
      <c r="BL86" s="14409"/>
      <c r="BM86" s="14409"/>
      <c r="BN86" s="14409"/>
    </row>
    <row r="87" spans="1:66" ht="15" hidden="1" customHeight="1">
      <c r="A87" s="13779"/>
      <c r="B87" s="13816"/>
      <c r="C87" s="13580"/>
      <c r="D87" s="11674" t="s">
        <v>10070</v>
      </c>
      <c r="E87" s="11675"/>
      <c r="F87" s="11675" t="s">
        <v>512</v>
      </c>
      <c r="G87" s="13817"/>
      <c r="H87" s="13533"/>
      <c r="I87" s="13833"/>
      <c r="K87" s="8090"/>
      <c r="L87" s="8064"/>
      <c r="M87" s="8064"/>
      <c r="N87" s="8091"/>
      <c r="O87" s="8091"/>
      <c r="P87" s="8092"/>
      <c r="Q87" s="8066"/>
      <c r="R87" s="8067"/>
      <c r="S87" s="8068"/>
      <c r="T87" s="8069"/>
      <c r="U87" s="8066"/>
      <c r="V87" s="8067"/>
      <c r="W87" s="8069"/>
      <c r="X87" s="8067"/>
      <c r="Y87" s="8069"/>
      <c r="Z87" s="8067"/>
      <c r="AA87" s="8068"/>
      <c r="AB87" s="8068"/>
      <c r="AC87" s="8068"/>
      <c r="AD87" s="8068"/>
      <c r="AE87" s="8068"/>
      <c r="AF87" s="8069"/>
      <c r="AG87" s="8067"/>
      <c r="AH87" s="8068"/>
      <c r="AI87" s="8068"/>
      <c r="AJ87" s="8068"/>
      <c r="AK87" s="8068"/>
      <c r="AL87" s="8068"/>
      <c r="AM87" s="8068"/>
      <c r="AN87" s="8069"/>
      <c r="AO87" s="8067"/>
      <c r="AP87" s="8068"/>
      <c r="AQ87" s="8068"/>
      <c r="AR87" s="8068"/>
      <c r="AS87" s="8068"/>
      <c r="AT87" s="8069"/>
      <c r="AU87" s="8093"/>
      <c r="AV87" s="8093"/>
      <c r="AW87" s="8093"/>
      <c r="AX87" s="8090"/>
      <c r="AY87" s="8092"/>
      <c r="AZ87" s="8093"/>
      <c r="BA87" s="8090"/>
      <c r="BB87" s="8091"/>
      <c r="BC87" s="8092"/>
      <c r="BD87" s="8094"/>
      <c r="BF87" s="14409"/>
      <c r="BG87" s="14409"/>
      <c r="BH87" s="14409"/>
      <c r="BI87" s="14409"/>
      <c r="BJ87" s="14409"/>
      <c r="BK87" s="8062"/>
      <c r="BL87" s="14409"/>
      <c r="BM87" s="14409"/>
      <c r="BN87" s="14409"/>
    </row>
    <row r="88" spans="1:66" ht="54.75" hidden="1" customHeight="1">
      <c r="A88" s="13779"/>
      <c r="B88" s="13816"/>
      <c r="C88" s="13580"/>
      <c r="D88" s="11674" t="s">
        <v>86</v>
      </c>
      <c r="E88" s="11675"/>
      <c r="F88" s="11675" t="s">
        <v>1509</v>
      </c>
      <c r="G88" s="13817"/>
      <c r="H88" s="13533"/>
      <c r="I88" s="13833"/>
      <c r="K88" s="8090"/>
      <c r="L88" s="8064"/>
      <c r="M88" s="8064"/>
      <c r="N88" s="8091"/>
      <c r="O88" s="8091"/>
      <c r="P88" s="8092"/>
      <c r="Q88" s="8066"/>
      <c r="R88" s="8067"/>
      <c r="S88" s="8068"/>
      <c r="T88" s="8069"/>
      <c r="U88" s="8066"/>
      <c r="V88" s="8067"/>
      <c r="W88" s="8069"/>
      <c r="X88" s="8067"/>
      <c r="Y88" s="8069"/>
      <c r="Z88" s="8067"/>
      <c r="AA88" s="8068"/>
      <c r="AB88" s="8068"/>
      <c r="AC88" s="8068"/>
      <c r="AD88" s="8068"/>
      <c r="AE88" s="8068"/>
      <c r="AF88" s="8069"/>
      <c r="AG88" s="8067"/>
      <c r="AH88" s="8068"/>
      <c r="AI88" s="8068"/>
      <c r="AJ88" s="8068"/>
      <c r="AK88" s="8068"/>
      <c r="AL88" s="8068"/>
      <c r="AM88" s="8068"/>
      <c r="AN88" s="8069"/>
      <c r="AO88" s="8067"/>
      <c r="AP88" s="8068"/>
      <c r="AQ88" s="8068"/>
      <c r="AR88" s="8068"/>
      <c r="AS88" s="8068"/>
      <c r="AT88" s="8069"/>
      <c r="AU88" s="8093"/>
      <c r="AV88" s="8093"/>
      <c r="AW88" s="8093"/>
      <c r="AX88" s="8090"/>
      <c r="AY88" s="8092"/>
      <c r="AZ88" s="8093"/>
      <c r="BA88" s="8090"/>
      <c r="BB88" s="8091"/>
      <c r="BC88" s="8092"/>
      <c r="BD88" s="8094"/>
      <c r="BF88" s="14409"/>
      <c r="BG88" s="14409"/>
      <c r="BH88" s="14409"/>
      <c r="BI88" s="14409"/>
      <c r="BJ88" s="14409"/>
      <c r="BK88" s="8062"/>
      <c r="BL88" s="14409"/>
      <c r="BM88" s="14409"/>
      <c r="BN88" s="14409"/>
    </row>
    <row r="89" spans="1:66" ht="15" hidden="1" customHeight="1">
      <c r="A89" s="13779"/>
      <c r="B89" s="13816"/>
      <c r="C89" s="13580"/>
      <c r="D89" s="11674" t="s">
        <v>10185</v>
      </c>
      <c r="E89" s="11675"/>
      <c r="F89" s="11675" t="s">
        <v>1323</v>
      </c>
      <c r="G89" s="13817"/>
      <c r="H89" s="13533"/>
      <c r="I89" s="13833"/>
      <c r="K89" s="8090"/>
      <c r="L89" s="8064"/>
      <c r="M89" s="8064"/>
      <c r="N89" s="8091"/>
      <c r="O89" s="8091"/>
      <c r="P89" s="8092"/>
      <c r="Q89" s="8066"/>
      <c r="R89" s="8067"/>
      <c r="S89" s="8068"/>
      <c r="T89" s="8069"/>
      <c r="U89" s="8066"/>
      <c r="V89" s="8067"/>
      <c r="W89" s="8069"/>
      <c r="X89" s="8067"/>
      <c r="Y89" s="8069"/>
      <c r="Z89" s="8067"/>
      <c r="AA89" s="8068"/>
      <c r="AB89" s="8068"/>
      <c r="AC89" s="8068"/>
      <c r="AD89" s="8068"/>
      <c r="AE89" s="8068"/>
      <c r="AF89" s="8069"/>
      <c r="AG89" s="8067"/>
      <c r="AH89" s="8068"/>
      <c r="AI89" s="8068"/>
      <c r="AJ89" s="8068"/>
      <c r="AK89" s="8068"/>
      <c r="AL89" s="8068"/>
      <c r="AM89" s="8068"/>
      <c r="AN89" s="8069"/>
      <c r="AO89" s="8067"/>
      <c r="AP89" s="8068"/>
      <c r="AQ89" s="8068"/>
      <c r="AR89" s="8068"/>
      <c r="AS89" s="8068"/>
      <c r="AT89" s="8069"/>
      <c r="AU89" s="8093"/>
      <c r="AV89" s="8093"/>
      <c r="AW89" s="8093"/>
      <c r="AX89" s="8090"/>
      <c r="AY89" s="8092"/>
      <c r="AZ89" s="8093"/>
      <c r="BA89" s="8090"/>
      <c r="BB89" s="8091"/>
      <c r="BC89" s="8092"/>
      <c r="BD89" s="8094"/>
      <c r="BF89" s="14409"/>
      <c r="BG89" s="14409"/>
      <c r="BH89" s="14409"/>
      <c r="BI89" s="14409"/>
      <c r="BJ89" s="14409"/>
      <c r="BK89" s="8062"/>
      <c r="BL89" s="14409"/>
      <c r="BM89" s="14409"/>
      <c r="BN89" s="14409"/>
    </row>
    <row r="90" spans="1:66" ht="15" hidden="1" customHeight="1">
      <c r="A90" s="13779"/>
      <c r="B90" s="13816"/>
      <c r="C90" s="13580"/>
      <c r="D90" s="11674" t="s">
        <v>10186</v>
      </c>
      <c r="E90" s="11675"/>
      <c r="F90" s="11675" t="s">
        <v>10180</v>
      </c>
      <c r="G90" s="13817"/>
      <c r="H90" s="13533"/>
      <c r="I90" s="13833"/>
      <c r="K90" s="8090"/>
      <c r="L90" s="8064"/>
      <c r="M90" s="8064"/>
      <c r="N90" s="8091"/>
      <c r="O90" s="8091"/>
      <c r="P90" s="8092"/>
      <c r="Q90" s="8066"/>
      <c r="R90" s="8067"/>
      <c r="S90" s="8068"/>
      <c r="T90" s="8069"/>
      <c r="U90" s="8066"/>
      <c r="V90" s="8067"/>
      <c r="W90" s="8069"/>
      <c r="X90" s="8067"/>
      <c r="Y90" s="8069"/>
      <c r="Z90" s="8067"/>
      <c r="AA90" s="8068"/>
      <c r="AB90" s="8068"/>
      <c r="AC90" s="8068"/>
      <c r="AD90" s="8068"/>
      <c r="AE90" s="8068"/>
      <c r="AF90" s="8069"/>
      <c r="AG90" s="8067"/>
      <c r="AH90" s="8068"/>
      <c r="AI90" s="8068"/>
      <c r="AJ90" s="8068"/>
      <c r="AK90" s="8068"/>
      <c r="AL90" s="8068"/>
      <c r="AM90" s="8068"/>
      <c r="AN90" s="8069"/>
      <c r="AO90" s="8067"/>
      <c r="AP90" s="8068"/>
      <c r="AQ90" s="8068"/>
      <c r="AR90" s="8068"/>
      <c r="AS90" s="8068"/>
      <c r="AT90" s="8069"/>
      <c r="AU90" s="8093"/>
      <c r="AV90" s="8093"/>
      <c r="AW90" s="8093"/>
      <c r="AX90" s="8090"/>
      <c r="AY90" s="8092"/>
      <c r="AZ90" s="8093"/>
      <c r="BA90" s="8090"/>
      <c r="BB90" s="8091"/>
      <c r="BC90" s="8092"/>
      <c r="BD90" s="8094"/>
      <c r="BF90" s="14409"/>
      <c r="BG90" s="14409"/>
      <c r="BH90" s="14409"/>
      <c r="BI90" s="14409"/>
      <c r="BJ90" s="14409"/>
      <c r="BK90" s="8062"/>
      <c r="BL90" s="14409"/>
      <c r="BM90" s="14409"/>
      <c r="BN90" s="14409"/>
    </row>
    <row r="91" spans="1:66" ht="15" hidden="1" customHeight="1" thickBot="1">
      <c r="A91" s="13785"/>
      <c r="B91" s="13844"/>
      <c r="C91" s="13581"/>
      <c r="D91" s="11681" t="s">
        <v>477</v>
      </c>
      <c r="E91" s="11682"/>
      <c r="F91" s="11682" t="s">
        <v>477</v>
      </c>
      <c r="G91" s="13845"/>
      <c r="H91" s="13864"/>
      <c r="I91" s="13857"/>
      <c r="K91" s="8105"/>
      <c r="L91" s="8106"/>
      <c r="M91" s="8106"/>
      <c r="N91" s="8107"/>
      <c r="O91" s="8107"/>
      <c r="P91" s="8108"/>
      <c r="Q91" s="8109"/>
      <c r="R91" s="8110"/>
      <c r="S91" s="8111"/>
      <c r="T91" s="8112"/>
      <c r="U91" s="8109"/>
      <c r="V91" s="8110"/>
      <c r="W91" s="8112"/>
      <c r="X91" s="8110"/>
      <c r="Y91" s="8112"/>
      <c r="Z91" s="8110"/>
      <c r="AA91" s="8111"/>
      <c r="AB91" s="8111"/>
      <c r="AC91" s="8111"/>
      <c r="AD91" s="8111"/>
      <c r="AE91" s="8111"/>
      <c r="AF91" s="8112"/>
      <c r="AG91" s="8110"/>
      <c r="AH91" s="8111"/>
      <c r="AI91" s="8111"/>
      <c r="AJ91" s="8111"/>
      <c r="AK91" s="8111"/>
      <c r="AL91" s="8111"/>
      <c r="AM91" s="8111"/>
      <c r="AN91" s="8112"/>
      <c r="AO91" s="8110"/>
      <c r="AP91" s="8111"/>
      <c r="AQ91" s="8111"/>
      <c r="AR91" s="8111"/>
      <c r="AS91" s="8111"/>
      <c r="AT91" s="8112"/>
      <c r="AU91" s="8113"/>
      <c r="AV91" s="8113"/>
      <c r="AW91" s="8113"/>
      <c r="AX91" s="8105"/>
      <c r="AY91" s="8108"/>
      <c r="AZ91" s="8113"/>
      <c r="BA91" s="8105"/>
      <c r="BB91" s="8107"/>
      <c r="BC91" s="8108"/>
      <c r="BD91" s="8114"/>
      <c r="BF91" s="14416"/>
      <c r="BG91" s="14416"/>
      <c r="BH91" s="14416"/>
      <c r="BI91" s="14416"/>
      <c r="BJ91" s="14416"/>
      <c r="BK91" s="8115"/>
      <c r="BL91" s="14416"/>
      <c r="BM91" s="14416"/>
      <c r="BN91" s="14416"/>
    </row>
    <row r="92" spans="1:66" ht="30" hidden="1" customHeight="1">
      <c r="A92" s="7784">
        <v>31</v>
      </c>
      <c r="B92" s="7786" t="s">
        <v>7560</v>
      </c>
      <c r="C92" s="13582" t="s">
        <v>10339</v>
      </c>
      <c r="D92" s="11683" t="s">
        <v>4305</v>
      </c>
      <c r="E92" s="11684"/>
      <c r="F92" s="11684"/>
      <c r="G92" s="11685" t="s">
        <v>8555</v>
      </c>
      <c r="H92" s="11686" t="s">
        <v>8556</v>
      </c>
      <c r="I92" s="11687">
        <v>38</v>
      </c>
      <c r="K92" s="8116"/>
      <c r="L92" s="8117"/>
      <c r="M92" s="8117"/>
      <c r="N92" s="8118"/>
      <c r="O92" s="8118"/>
      <c r="P92" s="8119"/>
      <c r="Q92" s="8120"/>
      <c r="R92" s="8121"/>
      <c r="S92" s="8122"/>
      <c r="T92" s="8123"/>
      <c r="U92" s="8120"/>
      <c r="V92" s="8121"/>
      <c r="W92" s="8123"/>
      <c r="X92" s="8121"/>
      <c r="Y92" s="8123"/>
      <c r="Z92" s="8121"/>
      <c r="AA92" s="8122"/>
      <c r="AB92" s="8122"/>
      <c r="AC92" s="8122"/>
      <c r="AD92" s="8122"/>
      <c r="AE92" s="8122"/>
      <c r="AF92" s="8123"/>
      <c r="AG92" s="8121"/>
      <c r="AH92" s="8122"/>
      <c r="AI92" s="8122"/>
      <c r="AJ92" s="8122"/>
      <c r="AK92" s="8122"/>
      <c r="AL92" s="8122"/>
      <c r="AM92" s="8122"/>
      <c r="AN92" s="8123"/>
      <c r="AO92" s="8121"/>
      <c r="AP92" s="8122"/>
      <c r="AQ92" s="8122"/>
      <c r="AR92" s="8122"/>
      <c r="AS92" s="8122"/>
      <c r="AT92" s="8123"/>
      <c r="AU92" s="8124"/>
      <c r="AV92" s="8124"/>
      <c r="AW92" s="8124"/>
      <c r="AX92" s="8116"/>
      <c r="AY92" s="8119"/>
      <c r="AZ92" s="8124"/>
      <c r="BA92" s="8116"/>
      <c r="BB92" s="8118"/>
      <c r="BC92" s="8119"/>
      <c r="BD92" s="8125"/>
      <c r="BF92" s="7867"/>
      <c r="BG92" s="7867"/>
      <c r="BH92" s="7867"/>
      <c r="BI92" s="7867"/>
      <c r="BJ92" s="7867"/>
      <c r="BK92" s="7867"/>
      <c r="BL92" s="7867"/>
      <c r="BM92" s="7867"/>
      <c r="BN92" s="7867"/>
    </row>
    <row r="93" spans="1:66" ht="30" hidden="1" customHeight="1">
      <c r="A93" s="7903">
        <v>32</v>
      </c>
      <c r="B93" s="7906" t="s">
        <v>7561</v>
      </c>
      <c r="C93" s="13583"/>
      <c r="D93" s="11688" t="s">
        <v>4305</v>
      </c>
      <c r="E93" s="11689"/>
      <c r="F93" s="11689"/>
      <c r="G93" s="11690" t="s">
        <v>8557</v>
      </c>
      <c r="H93" s="11691" t="s">
        <v>1731</v>
      </c>
      <c r="I93" s="11692">
        <v>3</v>
      </c>
      <c r="K93" s="8127"/>
      <c r="L93" s="8128"/>
      <c r="M93" s="8128"/>
      <c r="N93" s="8129"/>
      <c r="O93" s="8129"/>
      <c r="P93" s="8130"/>
      <c r="Q93" s="8131"/>
      <c r="R93" s="8132"/>
      <c r="S93" s="8133"/>
      <c r="T93" s="8134"/>
      <c r="U93" s="8131"/>
      <c r="V93" s="8132"/>
      <c r="W93" s="8134"/>
      <c r="X93" s="8132"/>
      <c r="Y93" s="8134"/>
      <c r="Z93" s="8132"/>
      <c r="AA93" s="8133"/>
      <c r="AB93" s="8133"/>
      <c r="AC93" s="8133"/>
      <c r="AD93" s="8133"/>
      <c r="AE93" s="8133"/>
      <c r="AF93" s="8134"/>
      <c r="AG93" s="8132"/>
      <c r="AH93" s="8133"/>
      <c r="AI93" s="8133"/>
      <c r="AJ93" s="8133"/>
      <c r="AK93" s="8133"/>
      <c r="AL93" s="8133"/>
      <c r="AM93" s="8133"/>
      <c r="AN93" s="8134"/>
      <c r="AO93" s="8132"/>
      <c r="AP93" s="8133"/>
      <c r="AQ93" s="8133"/>
      <c r="AR93" s="8133"/>
      <c r="AS93" s="8133"/>
      <c r="AT93" s="8134"/>
      <c r="AU93" s="8135"/>
      <c r="AV93" s="8135"/>
      <c r="AW93" s="8135"/>
      <c r="AX93" s="8127"/>
      <c r="AY93" s="8130"/>
      <c r="AZ93" s="8135"/>
      <c r="BA93" s="8127"/>
      <c r="BB93" s="8129"/>
      <c r="BC93" s="8130"/>
      <c r="BD93" s="8136"/>
      <c r="BF93" s="7907"/>
      <c r="BG93" s="7907"/>
      <c r="BH93" s="7907"/>
      <c r="BI93" s="7907"/>
      <c r="BJ93" s="7907"/>
      <c r="BK93" s="7907"/>
      <c r="BL93" s="7907"/>
      <c r="BM93" s="7907"/>
      <c r="BN93" s="7907"/>
    </row>
    <row r="94" spans="1:66" ht="30" hidden="1" customHeight="1">
      <c r="A94" s="7903">
        <v>33</v>
      </c>
      <c r="B94" s="7906" t="s">
        <v>7562</v>
      </c>
      <c r="C94" s="13583"/>
      <c r="D94" s="11688" t="s">
        <v>4305</v>
      </c>
      <c r="E94" s="11689"/>
      <c r="F94" s="11689"/>
      <c r="G94" s="11690" t="s">
        <v>8558</v>
      </c>
      <c r="H94" s="11693" t="s">
        <v>8559</v>
      </c>
      <c r="I94" s="11694">
        <v>1</v>
      </c>
      <c r="K94" s="8137"/>
      <c r="L94" s="8138"/>
      <c r="M94" s="8138"/>
      <c r="N94" s="8139"/>
      <c r="O94" s="8139"/>
      <c r="P94" s="8140"/>
      <c r="Q94" s="8141"/>
      <c r="R94" s="8142"/>
      <c r="S94" s="8143"/>
      <c r="T94" s="8144"/>
      <c r="U94" s="8141"/>
      <c r="V94" s="8142"/>
      <c r="W94" s="8144"/>
      <c r="X94" s="8142"/>
      <c r="Y94" s="8144"/>
      <c r="Z94" s="8142"/>
      <c r="AA94" s="8143"/>
      <c r="AB94" s="8143"/>
      <c r="AC94" s="8143"/>
      <c r="AD94" s="8143"/>
      <c r="AE94" s="8143"/>
      <c r="AF94" s="8144"/>
      <c r="AG94" s="8142"/>
      <c r="AH94" s="8143"/>
      <c r="AI94" s="8143"/>
      <c r="AJ94" s="8143"/>
      <c r="AK94" s="8143"/>
      <c r="AL94" s="8143"/>
      <c r="AM94" s="8143"/>
      <c r="AN94" s="8144"/>
      <c r="AO94" s="8142"/>
      <c r="AP94" s="8143"/>
      <c r="AQ94" s="8143"/>
      <c r="AR94" s="8143"/>
      <c r="AS94" s="8143"/>
      <c r="AT94" s="8144"/>
      <c r="AU94" s="8145"/>
      <c r="AV94" s="8145"/>
      <c r="AW94" s="8145"/>
      <c r="AX94" s="8137"/>
      <c r="AY94" s="8140"/>
      <c r="AZ94" s="8145"/>
      <c r="BA94" s="8137"/>
      <c r="BB94" s="8139"/>
      <c r="BC94" s="8140"/>
      <c r="BD94" s="8146"/>
      <c r="BF94" s="7907"/>
      <c r="BG94" s="7907"/>
      <c r="BH94" s="7907"/>
      <c r="BI94" s="7907"/>
      <c r="BJ94" s="7907"/>
      <c r="BK94" s="7907"/>
      <c r="BL94" s="7907"/>
      <c r="BM94" s="7907"/>
      <c r="BN94" s="7907"/>
    </row>
    <row r="95" spans="1:66" ht="30" hidden="1" customHeight="1">
      <c r="A95" s="7903">
        <v>34</v>
      </c>
      <c r="B95" s="7906" t="s">
        <v>7563</v>
      </c>
      <c r="C95" s="13583"/>
      <c r="D95" s="11688" t="s">
        <v>4305</v>
      </c>
      <c r="E95" s="11689"/>
      <c r="F95" s="11689"/>
      <c r="G95" s="11690" t="s">
        <v>8560</v>
      </c>
      <c r="H95" s="11695" t="s">
        <v>8561</v>
      </c>
      <c r="I95" s="11694">
        <v>11</v>
      </c>
      <c r="K95" s="8137"/>
      <c r="L95" s="8138"/>
      <c r="M95" s="8138"/>
      <c r="N95" s="8139"/>
      <c r="O95" s="8139"/>
      <c r="P95" s="8140"/>
      <c r="Q95" s="8141"/>
      <c r="R95" s="8142"/>
      <c r="S95" s="8143"/>
      <c r="T95" s="8144"/>
      <c r="U95" s="8141"/>
      <c r="V95" s="8142"/>
      <c r="W95" s="8144"/>
      <c r="X95" s="8142"/>
      <c r="Y95" s="8144"/>
      <c r="Z95" s="8142"/>
      <c r="AA95" s="8143"/>
      <c r="AB95" s="8143"/>
      <c r="AC95" s="8143"/>
      <c r="AD95" s="8143"/>
      <c r="AE95" s="8143"/>
      <c r="AF95" s="8144"/>
      <c r="AG95" s="8142"/>
      <c r="AH95" s="8143"/>
      <c r="AI95" s="8143"/>
      <c r="AJ95" s="8143"/>
      <c r="AK95" s="8143"/>
      <c r="AL95" s="8143"/>
      <c r="AM95" s="8143"/>
      <c r="AN95" s="8144"/>
      <c r="AO95" s="8142"/>
      <c r="AP95" s="8143"/>
      <c r="AQ95" s="8143"/>
      <c r="AR95" s="8143"/>
      <c r="AS95" s="8143"/>
      <c r="AT95" s="8144"/>
      <c r="AU95" s="8145"/>
      <c r="AV95" s="8145"/>
      <c r="AW95" s="8145"/>
      <c r="AX95" s="8137"/>
      <c r="AY95" s="8140"/>
      <c r="AZ95" s="8145"/>
      <c r="BA95" s="8137"/>
      <c r="BB95" s="8139"/>
      <c r="BC95" s="8140"/>
      <c r="BD95" s="8146"/>
      <c r="BF95" s="7907"/>
      <c r="BG95" s="7907"/>
      <c r="BH95" s="7907"/>
      <c r="BI95" s="7907"/>
      <c r="BJ95" s="7907"/>
      <c r="BK95" s="7907"/>
      <c r="BL95" s="7907"/>
      <c r="BM95" s="7907"/>
      <c r="BN95" s="7907"/>
    </row>
    <row r="96" spans="1:66" ht="30" hidden="1" customHeight="1">
      <c r="A96" s="7903">
        <v>35</v>
      </c>
      <c r="B96" s="7906" t="s">
        <v>7564</v>
      </c>
      <c r="C96" s="13583"/>
      <c r="D96" s="11688" t="s">
        <v>2896</v>
      </c>
      <c r="E96" s="11689"/>
      <c r="F96" s="11689"/>
      <c r="G96" s="11696" t="s">
        <v>8562</v>
      </c>
      <c r="H96" s="11693" t="s">
        <v>8563</v>
      </c>
      <c r="I96" s="11697">
        <v>1</v>
      </c>
      <c r="K96" s="8127"/>
      <c r="L96" s="8128"/>
      <c r="M96" s="8128"/>
      <c r="N96" s="8129"/>
      <c r="O96" s="8129"/>
      <c r="P96" s="8130"/>
      <c r="Q96" s="8131"/>
      <c r="R96" s="8132"/>
      <c r="S96" s="8133"/>
      <c r="T96" s="8134"/>
      <c r="U96" s="8131"/>
      <c r="V96" s="8132"/>
      <c r="W96" s="8134"/>
      <c r="X96" s="8132"/>
      <c r="Y96" s="8134"/>
      <c r="Z96" s="8132"/>
      <c r="AA96" s="8133"/>
      <c r="AB96" s="8133"/>
      <c r="AC96" s="8133"/>
      <c r="AD96" s="8133"/>
      <c r="AE96" s="8133"/>
      <c r="AF96" s="8134"/>
      <c r="AG96" s="8132"/>
      <c r="AH96" s="8133"/>
      <c r="AI96" s="8133"/>
      <c r="AJ96" s="8133"/>
      <c r="AK96" s="8133"/>
      <c r="AL96" s="8133"/>
      <c r="AM96" s="8133"/>
      <c r="AN96" s="8134"/>
      <c r="AO96" s="8132"/>
      <c r="AP96" s="8133"/>
      <c r="AQ96" s="8133"/>
      <c r="AR96" s="8133"/>
      <c r="AS96" s="8133"/>
      <c r="AT96" s="8134"/>
      <c r="AU96" s="8135"/>
      <c r="AV96" s="8135"/>
      <c r="AW96" s="8135"/>
      <c r="AX96" s="8127"/>
      <c r="AY96" s="8130"/>
      <c r="AZ96" s="8135"/>
      <c r="BA96" s="8127"/>
      <c r="BB96" s="8129"/>
      <c r="BC96" s="8130"/>
      <c r="BD96" s="8136"/>
      <c r="BF96" s="8147"/>
      <c r="BG96" s="8147"/>
      <c r="BH96" s="8147"/>
      <c r="BI96" s="8147"/>
      <c r="BJ96" s="8147"/>
      <c r="BK96" s="8147"/>
      <c r="BL96" s="8147"/>
      <c r="BM96" s="8147"/>
      <c r="BN96" s="8147"/>
    </row>
    <row r="97" spans="1:66" ht="30" hidden="1" customHeight="1">
      <c r="A97" s="7903">
        <v>36</v>
      </c>
      <c r="B97" s="7906" t="s">
        <v>7565</v>
      </c>
      <c r="C97" s="13583"/>
      <c r="D97" s="11688" t="s">
        <v>4305</v>
      </c>
      <c r="E97" s="11689"/>
      <c r="F97" s="11689"/>
      <c r="G97" s="11690" t="s">
        <v>8564</v>
      </c>
      <c r="H97" s="11693" t="s">
        <v>8565</v>
      </c>
      <c r="I97" s="11698">
        <v>1</v>
      </c>
      <c r="K97" s="8148"/>
      <c r="L97" s="8149"/>
      <c r="M97" s="8149"/>
      <c r="N97" s="8150"/>
      <c r="O97" s="8150"/>
      <c r="P97" s="8151"/>
      <c r="Q97" s="8152"/>
      <c r="R97" s="8153"/>
      <c r="S97" s="8154"/>
      <c r="T97" s="8155"/>
      <c r="U97" s="8152"/>
      <c r="V97" s="8153"/>
      <c r="W97" s="8155"/>
      <c r="X97" s="8153"/>
      <c r="Y97" s="8155"/>
      <c r="Z97" s="8153"/>
      <c r="AA97" s="8154"/>
      <c r="AB97" s="8154"/>
      <c r="AC97" s="8154"/>
      <c r="AD97" s="8154"/>
      <c r="AE97" s="8154"/>
      <c r="AF97" s="8155"/>
      <c r="AG97" s="8153"/>
      <c r="AH97" s="8154"/>
      <c r="AI97" s="8154"/>
      <c r="AJ97" s="8154"/>
      <c r="AK97" s="8154"/>
      <c r="AL97" s="8154"/>
      <c r="AM97" s="8154"/>
      <c r="AN97" s="8155"/>
      <c r="AO97" s="8153"/>
      <c r="AP97" s="8154"/>
      <c r="AQ97" s="8154"/>
      <c r="AR97" s="8154"/>
      <c r="AS97" s="8154"/>
      <c r="AT97" s="8155"/>
      <c r="AU97" s="8156"/>
      <c r="AV97" s="8156"/>
      <c r="AW97" s="8156"/>
      <c r="AX97" s="8148"/>
      <c r="AY97" s="8151"/>
      <c r="AZ97" s="8156"/>
      <c r="BA97" s="8148"/>
      <c r="BB97" s="8150"/>
      <c r="BC97" s="8151"/>
      <c r="BD97" s="8157"/>
      <c r="BF97" s="7907"/>
      <c r="BG97" s="7907"/>
      <c r="BH97" s="7907"/>
      <c r="BI97" s="7907"/>
      <c r="BJ97" s="7907"/>
      <c r="BK97" s="7907"/>
      <c r="BL97" s="7907"/>
      <c r="BM97" s="7907"/>
      <c r="BN97" s="7907"/>
    </row>
    <row r="98" spans="1:66" ht="30" hidden="1" customHeight="1">
      <c r="A98" s="7903">
        <v>37</v>
      </c>
      <c r="B98" s="7906" t="s">
        <v>7566</v>
      </c>
      <c r="C98" s="13583"/>
      <c r="D98" s="11688" t="s">
        <v>4305</v>
      </c>
      <c r="E98" s="11689"/>
      <c r="F98" s="11689"/>
      <c r="G98" s="11690" t="s">
        <v>8566</v>
      </c>
      <c r="H98" s="11693" t="s">
        <v>8567</v>
      </c>
      <c r="I98" s="11698">
        <v>0.7</v>
      </c>
      <c r="K98" s="8148"/>
      <c r="L98" s="8149"/>
      <c r="M98" s="8149"/>
      <c r="N98" s="8150"/>
      <c r="O98" s="8150"/>
      <c r="P98" s="8151"/>
      <c r="Q98" s="8152"/>
      <c r="R98" s="8153"/>
      <c r="S98" s="8154"/>
      <c r="T98" s="8155"/>
      <c r="U98" s="8152"/>
      <c r="V98" s="8153"/>
      <c r="W98" s="8155"/>
      <c r="X98" s="8153"/>
      <c r="Y98" s="8155"/>
      <c r="Z98" s="8153"/>
      <c r="AA98" s="8154"/>
      <c r="AB98" s="8154"/>
      <c r="AC98" s="8154"/>
      <c r="AD98" s="8154"/>
      <c r="AE98" s="8154"/>
      <c r="AF98" s="8155"/>
      <c r="AG98" s="8153"/>
      <c r="AH98" s="8154"/>
      <c r="AI98" s="8154"/>
      <c r="AJ98" s="8154"/>
      <c r="AK98" s="8154"/>
      <c r="AL98" s="8154"/>
      <c r="AM98" s="8154"/>
      <c r="AN98" s="8155"/>
      <c r="AO98" s="8153"/>
      <c r="AP98" s="8154"/>
      <c r="AQ98" s="8154"/>
      <c r="AR98" s="8154"/>
      <c r="AS98" s="8154"/>
      <c r="AT98" s="8155"/>
      <c r="AU98" s="8156"/>
      <c r="AV98" s="8156"/>
      <c r="AW98" s="8156"/>
      <c r="AX98" s="8148"/>
      <c r="AY98" s="8151"/>
      <c r="AZ98" s="8156"/>
      <c r="BA98" s="8148"/>
      <c r="BB98" s="8150"/>
      <c r="BC98" s="8151"/>
      <c r="BD98" s="8157"/>
      <c r="BF98" s="7907"/>
      <c r="BG98" s="7907"/>
      <c r="BH98" s="7907"/>
      <c r="BI98" s="7907"/>
      <c r="BJ98" s="7907"/>
      <c r="BK98" s="7907"/>
      <c r="BL98" s="7907"/>
      <c r="BM98" s="7907"/>
      <c r="BN98" s="7907"/>
    </row>
    <row r="99" spans="1:66" ht="30" hidden="1" customHeight="1">
      <c r="A99" s="7903">
        <v>38</v>
      </c>
      <c r="B99" s="7906" t="s">
        <v>7567</v>
      </c>
      <c r="C99" s="13583"/>
      <c r="D99" s="11688" t="s">
        <v>4305</v>
      </c>
      <c r="E99" s="11689"/>
      <c r="F99" s="11689"/>
      <c r="G99" s="11690" t="s">
        <v>8568</v>
      </c>
      <c r="H99" s="11693" t="s">
        <v>8569</v>
      </c>
      <c r="I99" s="11698">
        <v>0.7</v>
      </c>
      <c r="K99" s="8127"/>
      <c r="L99" s="8128"/>
      <c r="M99" s="8128"/>
      <c r="N99" s="8129"/>
      <c r="O99" s="8129"/>
      <c r="P99" s="8130"/>
      <c r="Q99" s="8131"/>
      <c r="R99" s="8132"/>
      <c r="S99" s="8133"/>
      <c r="T99" s="8134"/>
      <c r="U99" s="8131"/>
      <c r="V99" s="8132"/>
      <c r="W99" s="8134"/>
      <c r="X99" s="8132"/>
      <c r="Y99" s="8134"/>
      <c r="Z99" s="8132"/>
      <c r="AA99" s="8133"/>
      <c r="AB99" s="8133"/>
      <c r="AC99" s="8133"/>
      <c r="AD99" s="8133"/>
      <c r="AE99" s="8133"/>
      <c r="AF99" s="8134"/>
      <c r="AG99" s="8132"/>
      <c r="AH99" s="8133"/>
      <c r="AI99" s="8133"/>
      <c r="AJ99" s="8133"/>
      <c r="AK99" s="8133"/>
      <c r="AL99" s="8133"/>
      <c r="AM99" s="8133"/>
      <c r="AN99" s="8134"/>
      <c r="AO99" s="8132"/>
      <c r="AP99" s="8133"/>
      <c r="AQ99" s="8133"/>
      <c r="AR99" s="8133"/>
      <c r="AS99" s="8133"/>
      <c r="AT99" s="8134"/>
      <c r="AU99" s="8135"/>
      <c r="AV99" s="8135"/>
      <c r="AW99" s="8135"/>
      <c r="AX99" s="8127"/>
      <c r="AY99" s="8130"/>
      <c r="AZ99" s="8135"/>
      <c r="BA99" s="8127"/>
      <c r="BB99" s="8129"/>
      <c r="BC99" s="8130"/>
      <c r="BD99" s="8136"/>
      <c r="BF99" s="7907"/>
      <c r="BG99" s="7907"/>
      <c r="BH99" s="7907"/>
      <c r="BI99" s="7907"/>
      <c r="BJ99" s="7907"/>
      <c r="BK99" s="7907"/>
      <c r="BL99" s="7907"/>
      <c r="BM99" s="7907"/>
      <c r="BN99" s="7907"/>
    </row>
    <row r="100" spans="1:66" ht="30" hidden="1" customHeight="1">
      <c r="A100" s="13786">
        <v>39</v>
      </c>
      <c r="B100" s="13838" t="s">
        <v>7568</v>
      </c>
      <c r="C100" s="13583"/>
      <c r="D100" s="11688" t="s">
        <v>4305</v>
      </c>
      <c r="E100" s="11689"/>
      <c r="F100" s="11689"/>
      <c r="G100" s="13839" t="s">
        <v>8570</v>
      </c>
      <c r="H100" s="11695" t="s">
        <v>8571</v>
      </c>
      <c r="I100" s="11698">
        <v>0.7</v>
      </c>
      <c r="K100" s="8127"/>
      <c r="L100" s="8128"/>
      <c r="M100" s="8128"/>
      <c r="N100" s="8129"/>
      <c r="O100" s="8129"/>
      <c r="P100" s="8130"/>
      <c r="Q100" s="8131"/>
      <c r="R100" s="8132"/>
      <c r="S100" s="8133"/>
      <c r="T100" s="8134"/>
      <c r="U100" s="8131"/>
      <c r="V100" s="8132"/>
      <c r="W100" s="8134"/>
      <c r="X100" s="8132"/>
      <c r="Y100" s="8134"/>
      <c r="Z100" s="8132"/>
      <c r="AA100" s="8133"/>
      <c r="AB100" s="8133"/>
      <c r="AC100" s="8133"/>
      <c r="AD100" s="8133"/>
      <c r="AE100" s="8133"/>
      <c r="AF100" s="8134"/>
      <c r="AG100" s="8132"/>
      <c r="AH100" s="8133"/>
      <c r="AI100" s="8133"/>
      <c r="AJ100" s="8133"/>
      <c r="AK100" s="8133"/>
      <c r="AL100" s="8133"/>
      <c r="AM100" s="8133"/>
      <c r="AN100" s="8134"/>
      <c r="AO100" s="8132"/>
      <c r="AP100" s="8133"/>
      <c r="AQ100" s="8133"/>
      <c r="AR100" s="8133"/>
      <c r="AS100" s="8133"/>
      <c r="AT100" s="8134"/>
      <c r="AU100" s="8135"/>
      <c r="AV100" s="8135"/>
      <c r="AW100" s="8135"/>
      <c r="AX100" s="8127"/>
      <c r="AY100" s="8130"/>
      <c r="AZ100" s="8135"/>
      <c r="BA100" s="8127"/>
      <c r="BB100" s="8129"/>
      <c r="BC100" s="8130"/>
      <c r="BD100" s="8136"/>
      <c r="BF100" s="14417"/>
      <c r="BG100" s="14417"/>
      <c r="BH100" s="14417"/>
      <c r="BI100" s="14417"/>
      <c r="BJ100" s="14417"/>
      <c r="BK100" s="7907"/>
      <c r="BL100" s="14417"/>
      <c r="BM100" s="14417"/>
      <c r="BN100" s="14417"/>
    </row>
    <row r="101" spans="1:66" ht="30" hidden="1" customHeight="1">
      <c r="A101" s="13786"/>
      <c r="B101" s="13838"/>
      <c r="C101" s="13583"/>
      <c r="D101" s="11688" t="s">
        <v>4305</v>
      </c>
      <c r="E101" s="11689"/>
      <c r="F101" s="11689"/>
      <c r="G101" s="13839"/>
      <c r="H101" s="11695" t="s">
        <v>8572</v>
      </c>
      <c r="I101" s="11698">
        <v>0.7</v>
      </c>
      <c r="K101" s="8127"/>
      <c r="L101" s="8128"/>
      <c r="M101" s="8128"/>
      <c r="N101" s="8129"/>
      <c r="O101" s="8129"/>
      <c r="P101" s="8130"/>
      <c r="Q101" s="8131"/>
      <c r="R101" s="8132"/>
      <c r="S101" s="8133"/>
      <c r="T101" s="8134"/>
      <c r="U101" s="8131"/>
      <c r="V101" s="8132"/>
      <c r="W101" s="8134"/>
      <c r="X101" s="8132"/>
      <c r="Y101" s="8134"/>
      <c r="Z101" s="8132"/>
      <c r="AA101" s="8133"/>
      <c r="AB101" s="8133"/>
      <c r="AC101" s="8133"/>
      <c r="AD101" s="8133"/>
      <c r="AE101" s="8133"/>
      <c r="AF101" s="8134"/>
      <c r="AG101" s="8132"/>
      <c r="AH101" s="8133"/>
      <c r="AI101" s="8133"/>
      <c r="AJ101" s="8133"/>
      <c r="AK101" s="8133"/>
      <c r="AL101" s="8133"/>
      <c r="AM101" s="8133"/>
      <c r="AN101" s="8134"/>
      <c r="AO101" s="8132"/>
      <c r="AP101" s="8133"/>
      <c r="AQ101" s="8133"/>
      <c r="AR101" s="8133"/>
      <c r="AS101" s="8133"/>
      <c r="AT101" s="8134"/>
      <c r="AU101" s="8135"/>
      <c r="AV101" s="8135"/>
      <c r="AW101" s="8135"/>
      <c r="AX101" s="8127"/>
      <c r="AY101" s="8130"/>
      <c r="AZ101" s="8135"/>
      <c r="BA101" s="8127"/>
      <c r="BB101" s="8129"/>
      <c r="BC101" s="8130"/>
      <c r="BD101" s="8136"/>
      <c r="BF101" s="14417"/>
      <c r="BG101" s="14417"/>
      <c r="BH101" s="14417"/>
      <c r="BI101" s="14417"/>
      <c r="BJ101" s="14417"/>
      <c r="BK101" s="7907"/>
      <c r="BL101" s="14417"/>
      <c r="BM101" s="14417"/>
      <c r="BN101" s="14417"/>
    </row>
    <row r="102" spans="1:66" ht="30" hidden="1" customHeight="1">
      <c r="A102" s="13787">
        <v>40</v>
      </c>
      <c r="B102" s="13838" t="s">
        <v>7569</v>
      </c>
      <c r="C102" s="13583"/>
      <c r="D102" s="11688" t="s">
        <v>4305</v>
      </c>
      <c r="E102" s="11689"/>
      <c r="F102" s="11689"/>
      <c r="G102" s="13839" t="s">
        <v>8573</v>
      </c>
      <c r="H102" s="11693" t="s">
        <v>8574</v>
      </c>
      <c r="I102" s="11692">
        <v>3</v>
      </c>
      <c r="K102" s="8127"/>
      <c r="L102" s="8128"/>
      <c r="M102" s="8128"/>
      <c r="N102" s="8129"/>
      <c r="O102" s="8129"/>
      <c r="P102" s="8130"/>
      <c r="Q102" s="8131"/>
      <c r="R102" s="8132"/>
      <c r="S102" s="8133"/>
      <c r="T102" s="8134"/>
      <c r="U102" s="8131"/>
      <c r="V102" s="8132"/>
      <c r="W102" s="8134"/>
      <c r="X102" s="8132"/>
      <c r="Y102" s="8134"/>
      <c r="Z102" s="8132"/>
      <c r="AA102" s="8133"/>
      <c r="AB102" s="8133"/>
      <c r="AC102" s="8133"/>
      <c r="AD102" s="8133"/>
      <c r="AE102" s="8133"/>
      <c r="AF102" s="8134"/>
      <c r="AG102" s="8132"/>
      <c r="AH102" s="8133"/>
      <c r="AI102" s="8133"/>
      <c r="AJ102" s="8133"/>
      <c r="AK102" s="8133"/>
      <c r="AL102" s="8133"/>
      <c r="AM102" s="8133"/>
      <c r="AN102" s="8134"/>
      <c r="AO102" s="8132"/>
      <c r="AP102" s="8133"/>
      <c r="AQ102" s="8133"/>
      <c r="AR102" s="8133"/>
      <c r="AS102" s="8133"/>
      <c r="AT102" s="8134"/>
      <c r="AU102" s="8135"/>
      <c r="AV102" s="8135"/>
      <c r="AW102" s="8135"/>
      <c r="AX102" s="8127"/>
      <c r="AY102" s="8130"/>
      <c r="AZ102" s="8135"/>
      <c r="BA102" s="8127"/>
      <c r="BB102" s="8129"/>
      <c r="BC102" s="8130"/>
      <c r="BD102" s="8136"/>
      <c r="BF102" s="14417"/>
      <c r="BG102" s="14417"/>
      <c r="BH102" s="14417"/>
      <c r="BI102" s="14417"/>
      <c r="BJ102" s="14417"/>
      <c r="BK102" s="7907"/>
      <c r="BL102" s="14417"/>
      <c r="BM102" s="14417"/>
      <c r="BN102" s="14417"/>
    </row>
    <row r="103" spans="1:66" ht="30" hidden="1" customHeight="1" thickBot="1">
      <c r="A103" s="13788"/>
      <c r="B103" s="13858"/>
      <c r="C103" s="13583"/>
      <c r="D103" s="11699" t="s">
        <v>8575</v>
      </c>
      <c r="E103" s="11700"/>
      <c r="F103" s="11700"/>
      <c r="G103" s="13840"/>
      <c r="H103" s="11701" t="s">
        <v>2868</v>
      </c>
      <c r="I103" s="11702">
        <v>1</v>
      </c>
      <c r="K103" s="8127"/>
      <c r="L103" s="8128"/>
      <c r="M103" s="8128"/>
      <c r="N103" s="8129"/>
      <c r="O103" s="8129"/>
      <c r="P103" s="8130"/>
      <c r="Q103" s="8131"/>
      <c r="R103" s="8132"/>
      <c r="S103" s="8133"/>
      <c r="T103" s="8134"/>
      <c r="U103" s="8131"/>
      <c r="V103" s="8132"/>
      <c r="W103" s="8134"/>
      <c r="X103" s="8132"/>
      <c r="Y103" s="8134"/>
      <c r="Z103" s="8132"/>
      <c r="AA103" s="8133"/>
      <c r="AB103" s="8133"/>
      <c r="AC103" s="8133"/>
      <c r="AD103" s="8133"/>
      <c r="AE103" s="8133"/>
      <c r="AF103" s="8134"/>
      <c r="AG103" s="8132"/>
      <c r="AH103" s="8133"/>
      <c r="AI103" s="8133"/>
      <c r="AJ103" s="8133"/>
      <c r="AK103" s="8133"/>
      <c r="AL103" s="8133"/>
      <c r="AM103" s="8133"/>
      <c r="AN103" s="8134"/>
      <c r="AO103" s="8132"/>
      <c r="AP103" s="8133"/>
      <c r="AQ103" s="8133"/>
      <c r="AR103" s="8133"/>
      <c r="AS103" s="8133"/>
      <c r="AT103" s="8134"/>
      <c r="AU103" s="8135"/>
      <c r="AV103" s="8135"/>
      <c r="AW103" s="8135"/>
      <c r="AX103" s="8127"/>
      <c r="AY103" s="8130"/>
      <c r="AZ103" s="8135"/>
      <c r="BA103" s="8127"/>
      <c r="BB103" s="8129"/>
      <c r="BC103" s="8130"/>
      <c r="BD103" s="8136"/>
      <c r="BF103" s="14418"/>
      <c r="BG103" s="14418"/>
      <c r="BH103" s="14418"/>
      <c r="BI103" s="14418"/>
      <c r="BJ103" s="14418"/>
      <c r="BK103" s="7908"/>
      <c r="BL103" s="14418"/>
      <c r="BM103" s="14418"/>
      <c r="BN103" s="14418"/>
    </row>
    <row r="104" spans="1:66" ht="30" hidden="1" customHeight="1">
      <c r="A104" s="8158">
        <v>41</v>
      </c>
      <c r="B104" s="8159" t="s">
        <v>7571</v>
      </c>
      <c r="C104" s="13583"/>
      <c r="D104" s="11703" t="s">
        <v>2896</v>
      </c>
      <c r="E104" s="11704"/>
      <c r="F104" s="11704"/>
      <c r="G104" s="11705" t="s">
        <v>8576</v>
      </c>
      <c r="H104" s="11706" t="s">
        <v>2871</v>
      </c>
      <c r="I104" s="11707">
        <v>1</v>
      </c>
      <c r="K104" s="8161"/>
      <c r="L104" s="8162"/>
      <c r="M104" s="8162"/>
      <c r="N104" s="8163"/>
      <c r="O104" s="8163"/>
      <c r="P104" s="8164"/>
      <c r="Q104" s="8165"/>
      <c r="R104" s="8166"/>
      <c r="S104" s="8167"/>
      <c r="T104" s="8168"/>
      <c r="U104" s="8165"/>
      <c r="V104" s="8166"/>
      <c r="W104" s="8168"/>
      <c r="X104" s="8166"/>
      <c r="Y104" s="8168"/>
      <c r="Z104" s="8166"/>
      <c r="AA104" s="8167"/>
      <c r="AB104" s="8167"/>
      <c r="AC104" s="8167"/>
      <c r="AD104" s="8167"/>
      <c r="AE104" s="8167"/>
      <c r="AF104" s="8168"/>
      <c r="AG104" s="8166"/>
      <c r="AH104" s="8167"/>
      <c r="AI104" s="8167"/>
      <c r="AJ104" s="8167"/>
      <c r="AK104" s="8167"/>
      <c r="AL104" s="8167"/>
      <c r="AM104" s="8167"/>
      <c r="AN104" s="8168"/>
      <c r="AO104" s="8166"/>
      <c r="AP104" s="8167"/>
      <c r="AQ104" s="8167"/>
      <c r="AR104" s="8167"/>
      <c r="AS104" s="8167"/>
      <c r="AT104" s="8168"/>
      <c r="AU104" s="8169"/>
      <c r="AV104" s="8169"/>
      <c r="AW104" s="8169"/>
      <c r="AX104" s="8161"/>
      <c r="AY104" s="8164"/>
      <c r="AZ104" s="8169"/>
      <c r="BA104" s="8161"/>
      <c r="BB104" s="8163"/>
      <c r="BC104" s="8164"/>
      <c r="BD104" s="8170"/>
      <c r="BF104" s="8160"/>
      <c r="BG104" s="8160"/>
      <c r="BH104" s="8160"/>
      <c r="BI104" s="8160"/>
      <c r="BJ104" s="8160"/>
      <c r="BK104" s="8160"/>
      <c r="BL104" s="8160"/>
      <c r="BM104" s="8160"/>
      <c r="BN104" s="8160"/>
    </row>
    <row r="105" spans="1:66" ht="30" hidden="1" customHeight="1">
      <c r="A105" s="8171">
        <v>42</v>
      </c>
      <c r="B105" s="8172" t="s">
        <v>7572</v>
      </c>
      <c r="C105" s="13583"/>
      <c r="D105" s="11708" t="s">
        <v>2896</v>
      </c>
      <c r="E105" s="11709"/>
      <c r="F105" s="11709"/>
      <c r="G105" s="11710" t="s">
        <v>8577</v>
      </c>
      <c r="H105" s="11711" t="s">
        <v>2873</v>
      </c>
      <c r="I105" s="11712">
        <v>1</v>
      </c>
      <c r="K105" s="8174"/>
      <c r="L105" s="8175"/>
      <c r="M105" s="8175"/>
      <c r="N105" s="8176"/>
      <c r="O105" s="8176"/>
      <c r="P105" s="8177"/>
      <c r="Q105" s="8178"/>
      <c r="R105" s="8179"/>
      <c r="S105" s="8180"/>
      <c r="T105" s="8181"/>
      <c r="U105" s="8178"/>
      <c r="V105" s="8179"/>
      <c r="W105" s="8181"/>
      <c r="X105" s="8179"/>
      <c r="Y105" s="8181"/>
      <c r="Z105" s="8179"/>
      <c r="AA105" s="8180"/>
      <c r="AB105" s="8180"/>
      <c r="AC105" s="8180"/>
      <c r="AD105" s="8180"/>
      <c r="AE105" s="8180"/>
      <c r="AF105" s="8181"/>
      <c r="AG105" s="8179"/>
      <c r="AH105" s="8180"/>
      <c r="AI105" s="8180"/>
      <c r="AJ105" s="8180"/>
      <c r="AK105" s="8180"/>
      <c r="AL105" s="8180"/>
      <c r="AM105" s="8180"/>
      <c r="AN105" s="8181"/>
      <c r="AO105" s="8179"/>
      <c r="AP105" s="8180"/>
      <c r="AQ105" s="8180"/>
      <c r="AR105" s="8180"/>
      <c r="AS105" s="8180"/>
      <c r="AT105" s="8181"/>
      <c r="AU105" s="8182"/>
      <c r="AV105" s="8182"/>
      <c r="AW105" s="8182"/>
      <c r="AX105" s="8174"/>
      <c r="AY105" s="8177"/>
      <c r="AZ105" s="8182"/>
      <c r="BA105" s="8174"/>
      <c r="BB105" s="8176"/>
      <c r="BC105" s="8177"/>
      <c r="BD105" s="8183"/>
      <c r="BF105" s="8173"/>
      <c r="BG105" s="8173"/>
      <c r="BH105" s="8173"/>
      <c r="BI105" s="8173"/>
      <c r="BJ105" s="8173"/>
      <c r="BK105" s="8173"/>
      <c r="BL105" s="8173"/>
      <c r="BM105" s="8173"/>
      <c r="BN105" s="8173"/>
    </row>
    <row r="106" spans="1:66" ht="30" hidden="1" customHeight="1">
      <c r="A106" s="7736">
        <v>43</v>
      </c>
      <c r="B106" s="7787" t="s">
        <v>7573</v>
      </c>
      <c r="C106" s="13583"/>
      <c r="D106" s="11708" t="s">
        <v>4305</v>
      </c>
      <c r="E106" s="11709"/>
      <c r="F106" s="11709"/>
      <c r="G106" s="11713" t="s">
        <v>8578</v>
      </c>
      <c r="H106" s="11714" t="s">
        <v>1744</v>
      </c>
      <c r="I106" s="11712">
        <v>1</v>
      </c>
      <c r="K106" s="8174"/>
      <c r="L106" s="8175"/>
      <c r="M106" s="8175"/>
      <c r="N106" s="8176"/>
      <c r="O106" s="8176"/>
      <c r="P106" s="8177"/>
      <c r="Q106" s="8178"/>
      <c r="R106" s="8179"/>
      <c r="S106" s="8180"/>
      <c r="T106" s="8181"/>
      <c r="U106" s="8178"/>
      <c r="V106" s="8179"/>
      <c r="W106" s="8181"/>
      <c r="X106" s="8179"/>
      <c r="Y106" s="8181"/>
      <c r="Z106" s="8179"/>
      <c r="AA106" s="8180"/>
      <c r="AB106" s="8180"/>
      <c r="AC106" s="8180"/>
      <c r="AD106" s="8180"/>
      <c r="AE106" s="8180"/>
      <c r="AF106" s="8181"/>
      <c r="AG106" s="8179"/>
      <c r="AH106" s="8180"/>
      <c r="AI106" s="8180"/>
      <c r="AJ106" s="8180"/>
      <c r="AK106" s="8180"/>
      <c r="AL106" s="8180"/>
      <c r="AM106" s="8180"/>
      <c r="AN106" s="8181"/>
      <c r="AO106" s="8179"/>
      <c r="AP106" s="8180"/>
      <c r="AQ106" s="8180"/>
      <c r="AR106" s="8180"/>
      <c r="AS106" s="8180"/>
      <c r="AT106" s="8181"/>
      <c r="AU106" s="8182"/>
      <c r="AV106" s="8182"/>
      <c r="AW106" s="8182"/>
      <c r="AX106" s="8174"/>
      <c r="AY106" s="8177"/>
      <c r="AZ106" s="8182"/>
      <c r="BA106" s="8174"/>
      <c r="BB106" s="8176"/>
      <c r="BC106" s="8177"/>
      <c r="BD106" s="8183"/>
      <c r="BF106" s="7868"/>
      <c r="BG106" s="7868"/>
      <c r="BH106" s="7868"/>
      <c r="BI106" s="7868"/>
      <c r="BJ106" s="7868"/>
      <c r="BK106" s="7868"/>
      <c r="BL106" s="7868"/>
      <c r="BM106" s="7868"/>
      <c r="BN106" s="7868"/>
    </row>
    <row r="107" spans="1:66" ht="30" hidden="1" customHeight="1">
      <c r="A107" s="7736">
        <v>44</v>
      </c>
      <c r="B107" s="7787" t="s">
        <v>7574</v>
      </c>
      <c r="C107" s="13583"/>
      <c r="D107" s="11708" t="s">
        <v>2896</v>
      </c>
      <c r="E107" s="11709"/>
      <c r="F107" s="11709"/>
      <c r="G107" s="11710" t="s">
        <v>8579</v>
      </c>
      <c r="H107" s="11714" t="s">
        <v>2876</v>
      </c>
      <c r="I107" s="11712">
        <v>1</v>
      </c>
      <c r="K107" s="8174"/>
      <c r="L107" s="8175"/>
      <c r="M107" s="8175"/>
      <c r="N107" s="8176"/>
      <c r="O107" s="8176"/>
      <c r="P107" s="8177"/>
      <c r="Q107" s="8178"/>
      <c r="R107" s="8179"/>
      <c r="S107" s="8180"/>
      <c r="T107" s="8181"/>
      <c r="U107" s="8178"/>
      <c r="V107" s="8179"/>
      <c r="W107" s="8181"/>
      <c r="X107" s="8179"/>
      <c r="Y107" s="8181"/>
      <c r="Z107" s="8179"/>
      <c r="AA107" s="8180"/>
      <c r="AB107" s="8180"/>
      <c r="AC107" s="8180"/>
      <c r="AD107" s="8180"/>
      <c r="AE107" s="8180"/>
      <c r="AF107" s="8181"/>
      <c r="AG107" s="8179"/>
      <c r="AH107" s="8180"/>
      <c r="AI107" s="8180"/>
      <c r="AJ107" s="8180"/>
      <c r="AK107" s="8180"/>
      <c r="AL107" s="8180"/>
      <c r="AM107" s="8180"/>
      <c r="AN107" s="8181"/>
      <c r="AO107" s="8179"/>
      <c r="AP107" s="8180"/>
      <c r="AQ107" s="8180"/>
      <c r="AR107" s="8180"/>
      <c r="AS107" s="8180"/>
      <c r="AT107" s="8181"/>
      <c r="AU107" s="8182"/>
      <c r="AV107" s="8182"/>
      <c r="AW107" s="8182"/>
      <c r="AX107" s="8174"/>
      <c r="AY107" s="8177"/>
      <c r="AZ107" s="8182"/>
      <c r="BA107" s="8174"/>
      <c r="BB107" s="8176"/>
      <c r="BC107" s="8177"/>
      <c r="BD107" s="8183"/>
      <c r="BF107" s="8173"/>
      <c r="BG107" s="8173"/>
      <c r="BH107" s="8173"/>
      <c r="BI107" s="8173"/>
      <c r="BJ107" s="8173"/>
      <c r="BK107" s="8173"/>
      <c r="BL107" s="8173"/>
      <c r="BM107" s="8173"/>
      <c r="BN107" s="8173"/>
    </row>
    <row r="108" spans="1:66" ht="30" hidden="1" customHeight="1">
      <c r="A108" s="7736">
        <v>45</v>
      </c>
      <c r="B108" s="7787" t="s">
        <v>7575</v>
      </c>
      <c r="C108" s="13583"/>
      <c r="D108" s="11708" t="s">
        <v>2896</v>
      </c>
      <c r="E108" s="11709"/>
      <c r="F108" s="11709"/>
      <c r="G108" s="11710" t="s">
        <v>8580</v>
      </c>
      <c r="H108" s="11714" t="s">
        <v>2878</v>
      </c>
      <c r="I108" s="11712">
        <v>1</v>
      </c>
      <c r="K108" s="8174"/>
      <c r="L108" s="8175"/>
      <c r="M108" s="8175"/>
      <c r="N108" s="8176"/>
      <c r="O108" s="8176"/>
      <c r="P108" s="8177"/>
      <c r="Q108" s="8178"/>
      <c r="R108" s="8179"/>
      <c r="S108" s="8180"/>
      <c r="T108" s="8181"/>
      <c r="U108" s="8178"/>
      <c r="V108" s="8179"/>
      <c r="W108" s="8181"/>
      <c r="X108" s="8179"/>
      <c r="Y108" s="8181"/>
      <c r="Z108" s="8179"/>
      <c r="AA108" s="8180"/>
      <c r="AB108" s="8180"/>
      <c r="AC108" s="8180"/>
      <c r="AD108" s="8180"/>
      <c r="AE108" s="8180"/>
      <c r="AF108" s="8181"/>
      <c r="AG108" s="8179"/>
      <c r="AH108" s="8180"/>
      <c r="AI108" s="8180"/>
      <c r="AJ108" s="8180"/>
      <c r="AK108" s="8180"/>
      <c r="AL108" s="8180"/>
      <c r="AM108" s="8180"/>
      <c r="AN108" s="8181"/>
      <c r="AO108" s="8179"/>
      <c r="AP108" s="8180"/>
      <c r="AQ108" s="8180"/>
      <c r="AR108" s="8180"/>
      <c r="AS108" s="8180"/>
      <c r="AT108" s="8181"/>
      <c r="AU108" s="8182"/>
      <c r="AV108" s="8182"/>
      <c r="AW108" s="8182"/>
      <c r="AX108" s="8174"/>
      <c r="AY108" s="8177"/>
      <c r="AZ108" s="8182"/>
      <c r="BA108" s="8174"/>
      <c r="BB108" s="8176"/>
      <c r="BC108" s="8177"/>
      <c r="BD108" s="8183"/>
      <c r="BF108" s="8173"/>
      <c r="BG108" s="8173"/>
      <c r="BH108" s="8173"/>
      <c r="BI108" s="8173"/>
      <c r="BJ108" s="8173"/>
      <c r="BK108" s="8173"/>
      <c r="BL108" s="8173"/>
      <c r="BM108" s="8173"/>
      <c r="BN108" s="8173"/>
    </row>
    <row r="109" spans="1:66" ht="30" hidden="1" customHeight="1">
      <c r="A109" s="8171">
        <v>46</v>
      </c>
      <c r="B109" s="8172" t="s">
        <v>7576</v>
      </c>
      <c r="C109" s="13583"/>
      <c r="D109" s="11708" t="s">
        <v>4305</v>
      </c>
      <c r="E109" s="11709"/>
      <c r="F109" s="11709"/>
      <c r="G109" s="11710" t="s">
        <v>1746</v>
      </c>
      <c r="H109" s="11711" t="s">
        <v>1747</v>
      </c>
      <c r="I109" s="11712">
        <v>1</v>
      </c>
      <c r="K109" s="8174"/>
      <c r="L109" s="8175"/>
      <c r="M109" s="8175"/>
      <c r="N109" s="8176"/>
      <c r="O109" s="8176"/>
      <c r="P109" s="8177"/>
      <c r="Q109" s="8178"/>
      <c r="R109" s="8179"/>
      <c r="S109" s="8180"/>
      <c r="T109" s="8181"/>
      <c r="U109" s="8178"/>
      <c r="V109" s="8179"/>
      <c r="W109" s="8181"/>
      <c r="X109" s="8179"/>
      <c r="Y109" s="8181"/>
      <c r="Z109" s="8179"/>
      <c r="AA109" s="8180"/>
      <c r="AB109" s="8180"/>
      <c r="AC109" s="8180"/>
      <c r="AD109" s="8180"/>
      <c r="AE109" s="8180"/>
      <c r="AF109" s="8181"/>
      <c r="AG109" s="8179"/>
      <c r="AH109" s="8180"/>
      <c r="AI109" s="8180"/>
      <c r="AJ109" s="8180"/>
      <c r="AK109" s="8180"/>
      <c r="AL109" s="8180"/>
      <c r="AM109" s="8180"/>
      <c r="AN109" s="8181"/>
      <c r="AO109" s="8179"/>
      <c r="AP109" s="8180"/>
      <c r="AQ109" s="8180"/>
      <c r="AR109" s="8180"/>
      <c r="AS109" s="8180"/>
      <c r="AT109" s="8181"/>
      <c r="AU109" s="8182"/>
      <c r="AV109" s="8182"/>
      <c r="AW109" s="8182"/>
      <c r="AX109" s="8174"/>
      <c r="AY109" s="8177"/>
      <c r="AZ109" s="8182"/>
      <c r="BA109" s="8174"/>
      <c r="BB109" s="8176"/>
      <c r="BC109" s="8177"/>
      <c r="BD109" s="8183"/>
      <c r="BF109" s="8173"/>
      <c r="BG109" s="8173"/>
      <c r="BH109" s="8173"/>
      <c r="BI109" s="8173"/>
      <c r="BJ109" s="8173"/>
      <c r="BK109" s="8173"/>
      <c r="BL109" s="8173"/>
      <c r="BM109" s="8173"/>
      <c r="BN109" s="8173"/>
    </row>
    <row r="110" spans="1:66" ht="30" hidden="1" customHeight="1">
      <c r="A110" s="7736">
        <v>47</v>
      </c>
      <c r="B110" s="7787" t="s">
        <v>7577</v>
      </c>
      <c r="C110" s="13583"/>
      <c r="D110" s="11708" t="s">
        <v>4305</v>
      </c>
      <c r="E110" s="11709"/>
      <c r="F110" s="11709"/>
      <c r="G110" s="11713" t="s">
        <v>1749</v>
      </c>
      <c r="H110" s="11714" t="s">
        <v>1750</v>
      </c>
      <c r="I110" s="11712">
        <v>1</v>
      </c>
      <c r="K110" s="8174"/>
      <c r="L110" s="8175"/>
      <c r="M110" s="8175"/>
      <c r="N110" s="8176"/>
      <c r="O110" s="8176"/>
      <c r="P110" s="8177"/>
      <c r="Q110" s="8178"/>
      <c r="R110" s="8179"/>
      <c r="S110" s="8180"/>
      <c r="T110" s="8181"/>
      <c r="U110" s="8178"/>
      <c r="V110" s="8179"/>
      <c r="W110" s="8181"/>
      <c r="X110" s="8179"/>
      <c r="Y110" s="8181"/>
      <c r="Z110" s="8179"/>
      <c r="AA110" s="8180"/>
      <c r="AB110" s="8180"/>
      <c r="AC110" s="8180"/>
      <c r="AD110" s="8180"/>
      <c r="AE110" s="8180"/>
      <c r="AF110" s="8181"/>
      <c r="AG110" s="8179"/>
      <c r="AH110" s="8180"/>
      <c r="AI110" s="8180"/>
      <c r="AJ110" s="8180"/>
      <c r="AK110" s="8180"/>
      <c r="AL110" s="8180"/>
      <c r="AM110" s="8180"/>
      <c r="AN110" s="8181"/>
      <c r="AO110" s="8179"/>
      <c r="AP110" s="8180"/>
      <c r="AQ110" s="8180"/>
      <c r="AR110" s="8180"/>
      <c r="AS110" s="8180"/>
      <c r="AT110" s="8181"/>
      <c r="AU110" s="8182"/>
      <c r="AV110" s="8182"/>
      <c r="AW110" s="8182"/>
      <c r="AX110" s="8174"/>
      <c r="AY110" s="8177"/>
      <c r="AZ110" s="8182"/>
      <c r="BA110" s="8174"/>
      <c r="BB110" s="8176"/>
      <c r="BC110" s="8177"/>
      <c r="BD110" s="8183"/>
      <c r="BF110" s="7868"/>
      <c r="BG110" s="7868"/>
      <c r="BH110" s="7868"/>
      <c r="BI110" s="7868"/>
      <c r="BJ110" s="7868"/>
      <c r="BK110" s="7868"/>
      <c r="BL110" s="7868"/>
      <c r="BM110" s="7868"/>
      <c r="BN110" s="7868"/>
    </row>
    <row r="111" spans="1:66" ht="30" hidden="1" customHeight="1">
      <c r="A111" s="8184">
        <v>48</v>
      </c>
      <c r="B111" s="8185" t="s">
        <v>7578</v>
      </c>
      <c r="C111" s="13583"/>
      <c r="D111" s="11708" t="s">
        <v>4305</v>
      </c>
      <c r="E111" s="11709"/>
      <c r="F111" s="11709"/>
      <c r="G111" s="11713" t="s">
        <v>1751</v>
      </c>
      <c r="H111" s="11715"/>
      <c r="I111" s="11712">
        <v>1</v>
      </c>
      <c r="K111" s="8174"/>
      <c r="L111" s="8175"/>
      <c r="M111" s="8175"/>
      <c r="N111" s="8176"/>
      <c r="O111" s="8176"/>
      <c r="P111" s="8177"/>
      <c r="Q111" s="8178"/>
      <c r="R111" s="8179"/>
      <c r="S111" s="8180"/>
      <c r="T111" s="8181"/>
      <c r="U111" s="8178"/>
      <c r="V111" s="8179"/>
      <c r="W111" s="8181"/>
      <c r="X111" s="8179"/>
      <c r="Y111" s="8181"/>
      <c r="Z111" s="8179"/>
      <c r="AA111" s="8180"/>
      <c r="AB111" s="8180"/>
      <c r="AC111" s="8180"/>
      <c r="AD111" s="8180"/>
      <c r="AE111" s="8180"/>
      <c r="AF111" s="8181"/>
      <c r="AG111" s="8179"/>
      <c r="AH111" s="8180"/>
      <c r="AI111" s="8180"/>
      <c r="AJ111" s="8180"/>
      <c r="AK111" s="8180"/>
      <c r="AL111" s="8180"/>
      <c r="AM111" s="8180"/>
      <c r="AN111" s="8181"/>
      <c r="AO111" s="8179"/>
      <c r="AP111" s="8180"/>
      <c r="AQ111" s="8180"/>
      <c r="AR111" s="8180"/>
      <c r="AS111" s="8180"/>
      <c r="AT111" s="8181"/>
      <c r="AU111" s="8182"/>
      <c r="AV111" s="8182"/>
      <c r="AW111" s="8182"/>
      <c r="AX111" s="8174"/>
      <c r="AY111" s="8177"/>
      <c r="AZ111" s="8182"/>
      <c r="BA111" s="8174"/>
      <c r="BB111" s="8176"/>
      <c r="BC111" s="8177"/>
      <c r="BD111" s="8183"/>
      <c r="BF111" s="7868"/>
      <c r="BG111" s="7868"/>
      <c r="BH111" s="7868"/>
      <c r="BI111" s="7868"/>
      <c r="BJ111" s="7868"/>
      <c r="BK111" s="7868"/>
      <c r="BL111" s="7868"/>
      <c r="BM111" s="7868"/>
      <c r="BN111" s="7868"/>
    </row>
    <row r="112" spans="1:66" ht="30" hidden="1" customHeight="1">
      <c r="A112" s="7736">
        <v>49</v>
      </c>
      <c r="B112" s="7787" t="s">
        <v>7579</v>
      </c>
      <c r="C112" s="13583"/>
      <c r="D112" s="11708" t="s">
        <v>4305</v>
      </c>
      <c r="E112" s="11709"/>
      <c r="F112" s="11709"/>
      <c r="G112" s="11713" t="s">
        <v>8581</v>
      </c>
      <c r="H112" s="11714" t="s">
        <v>1753</v>
      </c>
      <c r="I112" s="11712">
        <v>1</v>
      </c>
      <c r="K112" s="8174"/>
      <c r="L112" s="8175"/>
      <c r="M112" s="8175"/>
      <c r="N112" s="8176"/>
      <c r="O112" s="8176"/>
      <c r="P112" s="8177"/>
      <c r="Q112" s="8178"/>
      <c r="R112" s="8179"/>
      <c r="S112" s="8180"/>
      <c r="T112" s="8181"/>
      <c r="U112" s="8178"/>
      <c r="V112" s="8179"/>
      <c r="W112" s="8181"/>
      <c r="X112" s="8179"/>
      <c r="Y112" s="8181"/>
      <c r="Z112" s="8179"/>
      <c r="AA112" s="8180"/>
      <c r="AB112" s="8180"/>
      <c r="AC112" s="8180"/>
      <c r="AD112" s="8180"/>
      <c r="AE112" s="8180"/>
      <c r="AF112" s="8181"/>
      <c r="AG112" s="8179"/>
      <c r="AH112" s="8180"/>
      <c r="AI112" s="8180"/>
      <c r="AJ112" s="8180"/>
      <c r="AK112" s="8180"/>
      <c r="AL112" s="8180"/>
      <c r="AM112" s="8180"/>
      <c r="AN112" s="8181"/>
      <c r="AO112" s="8179"/>
      <c r="AP112" s="8180"/>
      <c r="AQ112" s="8180"/>
      <c r="AR112" s="8180"/>
      <c r="AS112" s="8180"/>
      <c r="AT112" s="8181"/>
      <c r="AU112" s="8182"/>
      <c r="AV112" s="8182"/>
      <c r="AW112" s="8182"/>
      <c r="AX112" s="8174"/>
      <c r="AY112" s="8177"/>
      <c r="AZ112" s="8182"/>
      <c r="BA112" s="8174"/>
      <c r="BB112" s="8176"/>
      <c r="BC112" s="8177"/>
      <c r="BD112" s="8183"/>
      <c r="BF112" s="7868"/>
      <c r="BG112" s="7868"/>
      <c r="BH112" s="7868"/>
      <c r="BI112" s="7868"/>
      <c r="BJ112" s="7868"/>
      <c r="BK112" s="7868"/>
      <c r="BL112" s="7868"/>
      <c r="BM112" s="7868"/>
      <c r="BN112" s="7868"/>
    </row>
    <row r="113" spans="1:66" ht="30" hidden="1" customHeight="1">
      <c r="A113" s="7736">
        <v>50</v>
      </c>
      <c r="B113" s="7787" t="s">
        <v>7580</v>
      </c>
      <c r="C113" s="13583"/>
      <c r="D113" s="11708" t="s">
        <v>4305</v>
      </c>
      <c r="E113" s="11709"/>
      <c r="F113" s="11709"/>
      <c r="G113" s="11713" t="s">
        <v>1754</v>
      </c>
      <c r="H113" s="11714" t="s">
        <v>1755</v>
      </c>
      <c r="I113" s="11716">
        <v>1</v>
      </c>
      <c r="K113" s="8186"/>
      <c r="L113" s="8187"/>
      <c r="M113" s="8187"/>
      <c r="N113" s="8188"/>
      <c r="O113" s="8188"/>
      <c r="P113" s="8189"/>
      <c r="Q113" s="8190"/>
      <c r="R113" s="8191"/>
      <c r="S113" s="8192"/>
      <c r="T113" s="8193"/>
      <c r="U113" s="8190"/>
      <c r="V113" s="8191"/>
      <c r="W113" s="8193"/>
      <c r="X113" s="8191"/>
      <c r="Y113" s="8193"/>
      <c r="Z113" s="8191"/>
      <c r="AA113" s="8192"/>
      <c r="AB113" s="8192"/>
      <c r="AC113" s="8192"/>
      <c r="AD113" s="8192"/>
      <c r="AE113" s="8192"/>
      <c r="AF113" s="8193"/>
      <c r="AG113" s="8191"/>
      <c r="AH113" s="8192"/>
      <c r="AI113" s="8192"/>
      <c r="AJ113" s="8192"/>
      <c r="AK113" s="8192"/>
      <c r="AL113" s="8192"/>
      <c r="AM113" s="8192"/>
      <c r="AN113" s="8193"/>
      <c r="AO113" s="8191"/>
      <c r="AP113" s="8192"/>
      <c r="AQ113" s="8192"/>
      <c r="AR113" s="8192"/>
      <c r="AS113" s="8192"/>
      <c r="AT113" s="8193"/>
      <c r="AU113" s="8194"/>
      <c r="AV113" s="8194"/>
      <c r="AW113" s="8194"/>
      <c r="AX113" s="8186"/>
      <c r="AY113" s="8189"/>
      <c r="AZ113" s="8194"/>
      <c r="BA113" s="8186"/>
      <c r="BB113" s="8188"/>
      <c r="BC113" s="8189"/>
      <c r="BD113" s="8195"/>
      <c r="BF113" s="7868"/>
      <c r="BG113" s="7868"/>
      <c r="BH113" s="7868"/>
      <c r="BI113" s="7868"/>
      <c r="BJ113" s="7868"/>
      <c r="BK113" s="7868"/>
      <c r="BL113" s="7868"/>
      <c r="BM113" s="7868"/>
      <c r="BN113" s="7868"/>
    </row>
    <row r="114" spans="1:66" ht="30" hidden="1" customHeight="1">
      <c r="A114" s="7736">
        <v>51</v>
      </c>
      <c r="B114" s="7787" t="s">
        <v>7581</v>
      </c>
      <c r="C114" s="13583"/>
      <c r="D114" s="11708" t="s">
        <v>4305</v>
      </c>
      <c r="E114" s="11709"/>
      <c r="F114" s="11709"/>
      <c r="G114" s="11713" t="s">
        <v>8582</v>
      </c>
      <c r="H114" s="11714" t="s">
        <v>1757</v>
      </c>
      <c r="I114" s="11712">
        <v>1</v>
      </c>
      <c r="K114" s="8174"/>
      <c r="L114" s="8175"/>
      <c r="M114" s="8175"/>
      <c r="N114" s="8176"/>
      <c r="O114" s="8176"/>
      <c r="P114" s="8177"/>
      <c r="Q114" s="8178"/>
      <c r="R114" s="8179"/>
      <c r="S114" s="8180"/>
      <c r="T114" s="8181"/>
      <c r="U114" s="8178"/>
      <c r="V114" s="8179"/>
      <c r="W114" s="8181"/>
      <c r="X114" s="8179"/>
      <c r="Y114" s="8181"/>
      <c r="Z114" s="8179"/>
      <c r="AA114" s="8180"/>
      <c r="AB114" s="8180"/>
      <c r="AC114" s="8180"/>
      <c r="AD114" s="8180"/>
      <c r="AE114" s="8180"/>
      <c r="AF114" s="8181"/>
      <c r="AG114" s="8179"/>
      <c r="AH114" s="8180"/>
      <c r="AI114" s="8180"/>
      <c r="AJ114" s="8180"/>
      <c r="AK114" s="8180"/>
      <c r="AL114" s="8180"/>
      <c r="AM114" s="8180"/>
      <c r="AN114" s="8181"/>
      <c r="AO114" s="8179"/>
      <c r="AP114" s="8180"/>
      <c r="AQ114" s="8180"/>
      <c r="AR114" s="8180"/>
      <c r="AS114" s="8180"/>
      <c r="AT114" s="8181"/>
      <c r="AU114" s="8182"/>
      <c r="AV114" s="8182"/>
      <c r="AW114" s="8182"/>
      <c r="AX114" s="8174"/>
      <c r="AY114" s="8177"/>
      <c r="AZ114" s="8182"/>
      <c r="BA114" s="8174"/>
      <c r="BB114" s="8176"/>
      <c r="BC114" s="8177"/>
      <c r="BD114" s="8183"/>
      <c r="BF114" s="7868"/>
      <c r="BG114" s="7868"/>
      <c r="BH114" s="7868"/>
      <c r="BI114" s="7868"/>
      <c r="BJ114" s="7868"/>
      <c r="BK114" s="7868"/>
      <c r="BL114" s="7868"/>
      <c r="BM114" s="7868"/>
      <c r="BN114" s="7868"/>
    </row>
    <row r="115" spans="1:66" ht="30" hidden="1" customHeight="1">
      <c r="A115" s="7736">
        <v>52</v>
      </c>
      <c r="B115" s="7787" t="s">
        <v>7582</v>
      </c>
      <c r="C115" s="13583"/>
      <c r="D115" s="11708" t="s">
        <v>4305</v>
      </c>
      <c r="E115" s="11709"/>
      <c r="F115" s="11709"/>
      <c r="G115" s="11713" t="s">
        <v>1760</v>
      </c>
      <c r="H115" s="11714" t="s">
        <v>1761</v>
      </c>
      <c r="I115" s="11712">
        <v>1</v>
      </c>
      <c r="K115" s="8174"/>
      <c r="L115" s="8175"/>
      <c r="M115" s="8175"/>
      <c r="N115" s="8176"/>
      <c r="O115" s="8176"/>
      <c r="P115" s="8177"/>
      <c r="Q115" s="8178"/>
      <c r="R115" s="8179"/>
      <c r="S115" s="8180"/>
      <c r="T115" s="8181"/>
      <c r="U115" s="8178"/>
      <c r="V115" s="8179"/>
      <c r="W115" s="8181"/>
      <c r="X115" s="8179"/>
      <c r="Y115" s="8181"/>
      <c r="Z115" s="8179"/>
      <c r="AA115" s="8180"/>
      <c r="AB115" s="8180"/>
      <c r="AC115" s="8180"/>
      <c r="AD115" s="8180"/>
      <c r="AE115" s="8180"/>
      <c r="AF115" s="8181"/>
      <c r="AG115" s="8179"/>
      <c r="AH115" s="8180"/>
      <c r="AI115" s="8180"/>
      <c r="AJ115" s="8180"/>
      <c r="AK115" s="8180"/>
      <c r="AL115" s="8180"/>
      <c r="AM115" s="8180"/>
      <c r="AN115" s="8181"/>
      <c r="AO115" s="8179"/>
      <c r="AP115" s="8180"/>
      <c r="AQ115" s="8180"/>
      <c r="AR115" s="8180"/>
      <c r="AS115" s="8180"/>
      <c r="AT115" s="8181"/>
      <c r="AU115" s="8182"/>
      <c r="AV115" s="8182"/>
      <c r="AW115" s="8182"/>
      <c r="AX115" s="8174"/>
      <c r="AY115" s="8177"/>
      <c r="AZ115" s="8182"/>
      <c r="BA115" s="8174"/>
      <c r="BB115" s="8176"/>
      <c r="BC115" s="8177"/>
      <c r="BD115" s="8183"/>
      <c r="BF115" s="7868"/>
      <c r="BG115" s="7868"/>
      <c r="BH115" s="7868"/>
      <c r="BI115" s="7868"/>
      <c r="BJ115" s="7868"/>
      <c r="BK115" s="7868"/>
      <c r="BL115" s="7868"/>
      <c r="BM115" s="7868"/>
      <c r="BN115" s="7868"/>
    </row>
    <row r="116" spans="1:66" ht="30" hidden="1" customHeight="1">
      <c r="A116" s="8184">
        <v>53</v>
      </c>
      <c r="B116" s="8185" t="s">
        <v>7583</v>
      </c>
      <c r="C116" s="13583"/>
      <c r="D116" s="11708" t="s">
        <v>4305</v>
      </c>
      <c r="E116" s="11709"/>
      <c r="F116" s="11709"/>
      <c r="G116" s="11713" t="s">
        <v>8583</v>
      </c>
      <c r="H116" s="11715"/>
      <c r="I116" s="11712">
        <v>1</v>
      </c>
      <c r="K116" s="8174"/>
      <c r="L116" s="8175"/>
      <c r="M116" s="8175"/>
      <c r="N116" s="8176"/>
      <c r="O116" s="8176"/>
      <c r="P116" s="8177"/>
      <c r="Q116" s="8178"/>
      <c r="R116" s="8179"/>
      <c r="S116" s="8180"/>
      <c r="T116" s="8181"/>
      <c r="U116" s="8178"/>
      <c r="V116" s="8179"/>
      <c r="W116" s="8181"/>
      <c r="X116" s="8179"/>
      <c r="Y116" s="8181"/>
      <c r="Z116" s="8179"/>
      <c r="AA116" s="8180"/>
      <c r="AB116" s="8180"/>
      <c r="AC116" s="8180"/>
      <c r="AD116" s="8180"/>
      <c r="AE116" s="8180"/>
      <c r="AF116" s="8181"/>
      <c r="AG116" s="8179"/>
      <c r="AH116" s="8180"/>
      <c r="AI116" s="8180"/>
      <c r="AJ116" s="8180"/>
      <c r="AK116" s="8180"/>
      <c r="AL116" s="8180"/>
      <c r="AM116" s="8180"/>
      <c r="AN116" s="8181"/>
      <c r="AO116" s="8179"/>
      <c r="AP116" s="8180"/>
      <c r="AQ116" s="8180"/>
      <c r="AR116" s="8180"/>
      <c r="AS116" s="8180"/>
      <c r="AT116" s="8181"/>
      <c r="AU116" s="8182"/>
      <c r="AV116" s="8182"/>
      <c r="AW116" s="8182"/>
      <c r="AX116" s="8174"/>
      <c r="AY116" s="8177"/>
      <c r="AZ116" s="8182"/>
      <c r="BA116" s="8174"/>
      <c r="BB116" s="8176"/>
      <c r="BC116" s="8177"/>
      <c r="BD116" s="8183"/>
      <c r="BF116" s="7868"/>
      <c r="BG116" s="7868"/>
      <c r="BH116" s="7868"/>
      <c r="BI116" s="7868"/>
      <c r="BJ116" s="7868"/>
      <c r="BK116" s="7868"/>
      <c r="BL116" s="7868"/>
      <c r="BM116" s="7868"/>
      <c r="BN116" s="7868"/>
    </row>
    <row r="117" spans="1:66" ht="30" hidden="1" customHeight="1">
      <c r="A117" s="7736">
        <v>54</v>
      </c>
      <c r="B117" s="7787" t="s">
        <v>7584</v>
      </c>
      <c r="C117" s="13583"/>
      <c r="D117" s="11708" t="s">
        <v>4305</v>
      </c>
      <c r="E117" s="11709"/>
      <c r="F117" s="11709"/>
      <c r="G117" s="11713" t="s">
        <v>8584</v>
      </c>
      <c r="H117" s="11714" t="s">
        <v>1766</v>
      </c>
      <c r="I117" s="11712">
        <v>1</v>
      </c>
      <c r="K117" s="8174"/>
      <c r="L117" s="8175"/>
      <c r="M117" s="8175"/>
      <c r="N117" s="8176"/>
      <c r="O117" s="8176"/>
      <c r="P117" s="8177"/>
      <c r="Q117" s="8178"/>
      <c r="R117" s="8179"/>
      <c r="S117" s="8180"/>
      <c r="T117" s="8181"/>
      <c r="U117" s="8178"/>
      <c r="V117" s="8179"/>
      <c r="W117" s="8181"/>
      <c r="X117" s="8179"/>
      <c r="Y117" s="8181"/>
      <c r="Z117" s="8179"/>
      <c r="AA117" s="8180"/>
      <c r="AB117" s="8180"/>
      <c r="AC117" s="8180"/>
      <c r="AD117" s="8180"/>
      <c r="AE117" s="8180"/>
      <c r="AF117" s="8181"/>
      <c r="AG117" s="8179"/>
      <c r="AH117" s="8180"/>
      <c r="AI117" s="8180"/>
      <c r="AJ117" s="8180"/>
      <c r="AK117" s="8180"/>
      <c r="AL117" s="8180"/>
      <c r="AM117" s="8180"/>
      <c r="AN117" s="8181"/>
      <c r="AO117" s="8179"/>
      <c r="AP117" s="8180"/>
      <c r="AQ117" s="8180"/>
      <c r="AR117" s="8180"/>
      <c r="AS117" s="8180"/>
      <c r="AT117" s="8181"/>
      <c r="AU117" s="8182"/>
      <c r="AV117" s="8182"/>
      <c r="AW117" s="8182"/>
      <c r="AX117" s="8174"/>
      <c r="AY117" s="8177"/>
      <c r="AZ117" s="8182"/>
      <c r="BA117" s="8174"/>
      <c r="BB117" s="8176"/>
      <c r="BC117" s="8177"/>
      <c r="BD117" s="8183"/>
      <c r="BF117" s="7868"/>
      <c r="BG117" s="7868"/>
      <c r="BH117" s="7868"/>
      <c r="BI117" s="7868"/>
      <c r="BJ117" s="7868"/>
      <c r="BK117" s="7868"/>
      <c r="BL117" s="7868"/>
      <c r="BM117" s="7868"/>
      <c r="BN117" s="7868"/>
    </row>
    <row r="118" spans="1:66" ht="30" hidden="1" customHeight="1" thickBot="1">
      <c r="A118" s="7737">
        <v>55</v>
      </c>
      <c r="B118" s="7788" t="s">
        <v>7585</v>
      </c>
      <c r="C118" s="13583"/>
      <c r="D118" s="11717" t="s">
        <v>4305</v>
      </c>
      <c r="E118" s="11718"/>
      <c r="F118" s="11718"/>
      <c r="G118" s="11719" t="s">
        <v>8585</v>
      </c>
      <c r="H118" s="11720" t="s">
        <v>1768</v>
      </c>
      <c r="I118" s="11721">
        <v>1</v>
      </c>
      <c r="K118" s="8196"/>
      <c r="L118" s="8197"/>
      <c r="M118" s="8197"/>
      <c r="N118" s="8198"/>
      <c r="O118" s="8198"/>
      <c r="P118" s="8199"/>
      <c r="Q118" s="8200"/>
      <c r="R118" s="8201"/>
      <c r="S118" s="8202"/>
      <c r="T118" s="8203"/>
      <c r="U118" s="8200"/>
      <c r="V118" s="8201"/>
      <c r="W118" s="8203"/>
      <c r="X118" s="8201"/>
      <c r="Y118" s="8203"/>
      <c r="Z118" s="8201"/>
      <c r="AA118" s="8202"/>
      <c r="AB118" s="8202"/>
      <c r="AC118" s="8202"/>
      <c r="AD118" s="8202"/>
      <c r="AE118" s="8202"/>
      <c r="AF118" s="8203"/>
      <c r="AG118" s="8201"/>
      <c r="AH118" s="8202"/>
      <c r="AI118" s="8202"/>
      <c r="AJ118" s="8202"/>
      <c r="AK118" s="8202"/>
      <c r="AL118" s="8202"/>
      <c r="AM118" s="8202"/>
      <c r="AN118" s="8203"/>
      <c r="AO118" s="8201"/>
      <c r="AP118" s="8202"/>
      <c r="AQ118" s="8202"/>
      <c r="AR118" s="8202"/>
      <c r="AS118" s="8202"/>
      <c r="AT118" s="8203"/>
      <c r="AU118" s="8204"/>
      <c r="AV118" s="8204"/>
      <c r="AW118" s="8204"/>
      <c r="AX118" s="8196"/>
      <c r="AY118" s="8199"/>
      <c r="AZ118" s="8204"/>
      <c r="BA118" s="8196"/>
      <c r="BB118" s="8198"/>
      <c r="BC118" s="8199"/>
      <c r="BD118" s="8205"/>
      <c r="BF118" s="7869"/>
      <c r="BG118" s="7869"/>
      <c r="BH118" s="7869"/>
      <c r="BI118" s="7869"/>
      <c r="BJ118" s="7869"/>
      <c r="BK118" s="7869"/>
      <c r="BL118" s="7869"/>
      <c r="BM118" s="7869"/>
      <c r="BN118" s="7869"/>
    </row>
    <row r="119" spans="1:66" ht="30" hidden="1" customHeight="1">
      <c r="A119" s="7738">
        <v>56</v>
      </c>
      <c r="B119" s="7789" t="s">
        <v>7586</v>
      </c>
      <c r="C119" s="13583"/>
      <c r="D119" s="11722" t="s">
        <v>4305</v>
      </c>
      <c r="E119" s="11723"/>
      <c r="F119" s="11723"/>
      <c r="G119" s="11724" t="s">
        <v>1771</v>
      </c>
      <c r="H119" s="11725" t="s">
        <v>1772</v>
      </c>
      <c r="I119" s="11726">
        <v>1</v>
      </c>
      <c r="K119" s="8206"/>
      <c r="L119" s="8207"/>
      <c r="M119" s="8207"/>
      <c r="N119" s="8208"/>
      <c r="O119" s="8208"/>
      <c r="P119" s="8209"/>
      <c r="Q119" s="8210"/>
      <c r="R119" s="8211"/>
      <c r="S119" s="8212"/>
      <c r="T119" s="8213"/>
      <c r="U119" s="8210"/>
      <c r="V119" s="8211"/>
      <c r="W119" s="8213"/>
      <c r="X119" s="8211"/>
      <c r="Y119" s="8213"/>
      <c r="Z119" s="8211"/>
      <c r="AA119" s="8212"/>
      <c r="AB119" s="8212"/>
      <c r="AC119" s="8212"/>
      <c r="AD119" s="8212"/>
      <c r="AE119" s="8212"/>
      <c r="AF119" s="8213"/>
      <c r="AG119" s="8211"/>
      <c r="AH119" s="8212"/>
      <c r="AI119" s="8212"/>
      <c r="AJ119" s="8212"/>
      <c r="AK119" s="8212"/>
      <c r="AL119" s="8212"/>
      <c r="AM119" s="8212"/>
      <c r="AN119" s="8213"/>
      <c r="AO119" s="8211"/>
      <c r="AP119" s="8212"/>
      <c r="AQ119" s="8212"/>
      <c r="AR119" s="8212"/>
      <c r="AS119" s="8212"/>
      <c r="AT119" s="8213"/>
      <c r="AU119" s="8214"/>
      <c r="AV119" s="8214"/>
      <c r="AW119" s="8214"/>
      <c r="AX119" s="8206"/>
      <c r="AY119" s="8209"/>
      <c r="AZ119" s="8214"/>
      <c r="BA119" s="8206"/>
      <c r="BB119" s="8208"/>
      <c r="BC119" s="8209"/>
      <c r="BD119" s="8215"/>
      <c r="BF119" s="7870"/>
      <c r="BG119" s="7870"/>
      <c r="BH119" s="7870"/>
      <c r="BI119" s="7870"/>
      <c r="BJ119" s="7870"/>
      <c r="BK119" s="7870"/>
      <c r="BL119" s="7870"/>
      <c r="BM119" s="7870"/>
      <c r="BN119" s="7870"/>
    </row>
    <row r="120" spans="1:66" ht="30" hidden="1" customHeight="1" thickBot="1">
      <c r="A120" s="7739">
        <v>57</v>
      </c>
      <c r="B120" s="7790" t="s">
        <v>7587</v>
      </c>
      <c r="C120" s="13583"/>
      <c r="D120" s="11727" t="s">
        <v>4305</v>
      </c>
      <c r="E120" s="7850"/>
      <c r="F120" s="7850"/>
      <c r="G120" s="11728" t="s">
        <v>1775</v>
      </c>
      <c r="H120" s="11729" t="s">
        <v>1776</v>
      </c>
      <c r="I120" s="11730">
        <v>1</v>
      </c>
      <c r="K120" s="8217"/>
      <c r="L120" s="8218"/>
      <c r="M120" s="8218"/>
      <c r="N120" s="8219"/>
      <c r="O120" s="8219"/>
      <c r="P120" s="8220"/>
      <c r="Q120" s="8221"/>
      <c r="R120" s="8222"/>
      <c r="S120" s="8223"/>
      <c r="T120" s="8224"/>
      <c r="U120" s="8221"/>
      <c r="V120" s="8222"/>
      <c r="W120" s="8224"/>
      <c r="X120" s="8222"/>
      <c r="Y120" s="8224"/>
      <c r="Z120" s="8222"/>
      <c r="AA120" s="8223"/>
      <c r="AB120" s="8223"/>
      <c r="AC120" s="8223"/>
      <c r="AD120" s="8223"/>
      <c r="AE120" s="8223"/>
      <c r="AF120" s="8224"/>
      <c r="AG120" s="8222"/>
      <c r="AH120" s="8223"/>
      <c r="AI120" s="8223"/>
      <c r="AJ120" s="8223"/>
      <c r="AK120" s="8223"/>
      <c r="AL120" s="8223"/>
      <c r="AM120" s="8223"/>
      <c r="AN120" s="8224"/>
      <c r="AO120" s="8222"/>
      <c r="AP120" s="8223"/>
      <c r="AQ120" s="8223"/>
      <c r="AR120" s="8223"/>
      <c r="AS120" s="8223"/>
      <c r="AT120" s="8224"/>
      <c r="AU120" s="8225"/>
      <c r="AV120" s="8225"/>
      <c r="AW120" s="8225"/>
      <c r="AX120" s="8217"/>
      <c r="AY120" s="8220"/>
      <c r="AZ120" s="8225"/>
      <c r="BA120" s="8217"/>
      <c r="BB120" s="8219"/>
      <c r="BC120" s="8220"/>
      <c r="BD120" s="8226"/>
      <c r="BF120" s="7871"/>
      <c r="BG120" s="7871"/>
      <c r="BH120" s="7871"/>
      <c r="BI120" s="7871"/>
      <c r="BJ120" s="7871"/>
      <c r="BK120" s="7871"/>
      <c r="BL120" s="7871"/>
      <c r="BM120" s="7871"/>
      <c r="BN120" s="7871"/>
    </row>
    <row r="121" spans="1:66" ht="30" hidden="1" customHeight="1">
      <c r="A121" s="7740">
        <v>58</v>
      </c>
      <c r="B121" s="7791" t="s">
        <v>7588</v>
      </c>
      <c r="C121" s="13583"/>
      <c r="D121" s="11731" t="s">
        <v>4305</v>
      </c>
      <c r="E121" s="11732"/>
      <c r="F121" s="11732"/>
      <c r="G121" s="11733" t="s">
        <v>8586</v>
      </c>
      <c r="H121" s="11734" t="s">
        <v>1780</v>
      </c>
      <c r="I121" s="11735">
        <v>1</v>
      </c>
      <c r="K121" s="8228"/>
      <c r="L121" s="8229"/>
      <c r="M121" s="8229"/>
      <c r="N121" s="8230"/>
      <c r="O121" s="8230"/>
      <c r="P121" s="8231"/>
      <c r="Q121" s="8232"/>
      <c r="R121" s="8233"/>
      <c r="S121" s="8234"/>
      <c r="T121" s="8235"/>
      <c r="U121" s="8232"/>
      <c r="V121" s="8233"/>
      <c r="W121" s="8235"/>
      <c r="X121" s="8233"/>
      <c r="Y121" s="8235"/>
      <c r="Z121" s="8233"/>
      <c r="AA121" s="8234"/>
      <c r="AB121" s="8234"/>
      <c r="AC121" s="8234"/>
      <c r="AD121" s="8234"/>
      <c r="AE121" s="8234"/>
      <c r="AF121" s="8235"/>
      <c r="AG121" s="8233"/>
      <c r="AH121" s="8234"/>
      <c r="AI121" s="8234"/>
      <c r="AJ121" s="8234"/>
      <c r="AK121" s="8234"/>
      <c r="AL121" s="8234"/>
      <c r="AM121" s="8234"/>
      <c r="AN121" s="8235"/>
      <c r="AO121" s="8233"/>
      <c r="AP121" s="8234"/>
      <c r="AQ121" s="8234"/>
      <c r="AR121" s="8234"/>
      <c r="AS121" s="8234"/>
      <c r="AT121" s="8235"/>
      <c r="AU121" s="8236"/>
      <c r="AV121" s="8236"/>
      <c r="AW121" s="8236"/>
      <c r="AX121" s="8228"/>
      <c r="AY121" s="8231"/>
      <c r="AZ121" s="8236"/>
      <c r="BA121" s="8228"/>
      <c r="BB121" s="8230"/>
      <c r="BC121" s="8231"/>
      <c r="BD121" s="8237"/>
      <c r="BF121" s="7872"/>
      <c r="BG121" s="7872"/>
      <c r="BH121" s="7872"/>
      <c r="BI121" s="7872"/>
      <c r="BJ121" s="7872"/>
      <c r="BK121" s="7872"/>
      <c r="BL121" s="7872"/>
      <c r="BM121" s="7872"/>
      <c r="BN121" s="7872"/>
    </row>
    <row r="122" spans="1:66" ht="30" hidden="1" customHeight="1">
      <c r="A122" s="7741">
        <v>59</v>
      </c>
      <c r="B122" s="7792" t="s">
        <v>7589</v>
      </c>
      <c r="C122" s="13583"/>
      <c r="D122" s="11736" t="s">
        <v>4305</v>
      </c>
      <c r="E122" s="7841"/>
      <c r="F122" s="7841"/>
      <c r="G122" s="11737" t="s">
        <v>8587</v>
      </c>
      <c r="H122" s="11738" t="s">
        <v>1782</v>
      </c>
      <c r="I122" s="11739">
        <v>1</v>
      </c>
      <c r="K122" s="8239"/>
      <c r="L122" s="8240"/>
      <c r="M122" s="8240"/>
      <c r="N122" s="8241"/>
      <c r="O122" s="8241"/>
      <c r="P122" s="8242"/>
      <c r="Q122" s="8243"/>
      <c r="R122" s="8244"/>
      <c r="S122" s="8245"/>
      <c r="T122" s="8246"/>
      <c r="U122" s="8243"/>
      <c r="V122" s="8244"/>
      <c r="W122" s="8246"/>
      <c r="X122" s="8244"/>
      <c r="Y122" s="8246"/>
      <c r="Z122" s="8244"/>
      <c r="AA122" s="8245"/>
      <c r="AB122" s="8245"/>
      <c r="AC122" s="8245"/>
      <c r="AD122" s="8245"/>
      <c r="AE122" s="8245"/>
      <c r="AF122" s="8246"/>
      <c r="AG122" s="8244"/>
      <c r="AH122" s="8245"/>
      <c r="AI122" s="8245"/>
      <c r="AJ122" s="8245"/>
      <c r="AK122" s="8245"/>
      <c r="AL122" s="8245"/>
      <c r="AM122" s="8245"/>
      <c r="AN122" s="8246"/>
      <c r="AO122" s="8244"/>
      <c r="AP122" s="8245"/>
      <c r="AQ122" s="8245"/>
      <c r="AR122" s="8245"/>
      <c r="AS122" s="8245"/>
      <c r="AT122" s="8246"/>
      <c r="AU122" s="8247"/>
      <c r="AV122" s="8247"/>
      <c r="AW122" s="8247"/>
      <c r="AX122" s="8239"/>
      <c r="AY122" s="8242"/>
      <c r="AZ122" s="8247"/>
      <c r="BA122" s="8239"/>
      <c r="BB122" s="8241"/>
      <c r="BC122" s="8242"/>
      <c r="BD122" s="8248"/>
      <c r="BF122" s="7873"/>
      <c r="BG122" s="7873"/>
      <c r="BH122" s="7873"/>
      <c r="BI122" s="7873"/>
      <c r="BJ122" s="7873"/>
      <c r="BK122" s="7873"/>
      <c r="BL122" s="7873"/>
      <c r="BM122" s="7873"/>
      <c r="BN122" s="7873"/>
    </row>
    <row r="123" spans="1:66" ht="30" hidden="1" customHeight="1">
      <c r="A123" s="7742">
        <v>60</v>
      </c>
      <c r="B123" s="7793" t="s">
        <v>7590</v>
      </c>
      <c r="C123" s="13583"/>
      <c r="D123" s="11736" t="s">
        <v>4305</v>
      </c>
      <c r="E123" s="7841"/>
      <c r="F123" s="7841"/>
      <c r="G123" s="11737" t="s">
        <v>8588</v>
      </c>
      <c r="H123" s="11740" t="s">
        <v>1783</v>
      </c>
      <c r="I123" s="11739">
        <v>1</v>
      </c>
      <c r="K123" s="8239"/>
      <c r="L123" s="8240"/>
      <c r="M123" s="8240"/>
      <c r="N123" s="8241"/>
      <c r="O123" s="8241"/>
      <c r="P123" s="8242"/>
      <c r="Q123" s="8243"/>
      <c r="R123" s="8244"/>
      <c r="S123" s="8245"/>
      <c r="T123" s="8246"/>
      <c r="U123" s="8243"/>
      <c r="V123" s="8244"/>
      <c r="W123" s="8246"/>
      <c r="X123" s="8244"/>
      <c r="Y123" s="8246"/>
      <c r="Z123" s="8244"/>
      <c r="AA123" s="8245"/>
      <c r="AB123" s="8245"/>
      <c r="AC123" s="8245"/>
      <c r="AD123" s="8245"/>
      <c r="AE123" s="8245"/>
      <c r="AF123" s="8246"/>
      <c r="AG123" s="8244"/>
      <c r="AH123" s="8245"/>
      <c r="AI123" s="8245"/>
      <c r="AJ123" s="8245"/>
      <c r="AK123" s="8245"/>
      <c r="AL123" s="8245"/>
      <c r="AM123" s="8245"/>
      <c r="AN123" s="8246"/>
      <c r="AO123" s="8244"/>
      <c r="AP123" s="8245"/>
      <c r="AQ123" s="8245"/>
      <c r="AR123" s="8245"/>
      <c r="AS123" s="8245"/>
      <c r="AT123" s="8246"/>
      <c r="AU123" s="8247"/>
      <c r="AV123" s="8247"/>
      <c r="AW123" s="8247"/>
      <c r="AX123" s="8239"/>
      <c r="AY123" s="8242"/>
      <c r="AZ123" s="8247"/>
      <c r="BA123" s="8239"/>
      <c r="BB123" s="8241"/>
      <c r="BC123" s="8242"/>
      <c r="BD123" s="8248"/>
      <c r="BF123" s="7873"/>
      <c r="BG123" s="7873"/>
      <c r="BH123" s="7873"/>
      <c r="BI123" s="7873"/>
      <c r="BJ123" s="7873"/>
      <c r="BK123" s="7873"/>
      <c r="BL123" s="7873"/>
      <c r="BM123" s="7873"/>
      <c r="BN123" s="7873"/>
    </row>
    <row r="124" spans="1:66" ht="30" hidden="1" customHeight="1">
      <c r="A124" s="7742">
        <v>61</v>
      </c>
      <c r="B124" s="7793" t="s">
        <v>7591</v>
      </c>
      <c r="C124" s="13583"/>
      <c r="D124" s="11736" t="s">
        <v>4305</v>
      </c>
      <c r="E124" s="7841"/>
      <c r="F124" s="7841"/>
      <c r="G124" s="11737" t="s">
        <v>1785</v>
      </c>
      <c r="H124" s="11740" t="s">
        <v>1776</v>
      </c>
      <c r="I124" s="11739">
        <v>1</v>
      </c>
      <c r="K124" s="8239"/>
      <c r="L124" s="8240"/>
      <c r="M124" s="8240"/>
      <c r="N124" s="8241"/>
      <c r="O124" s="8241"/>
      <c r="P124" s="8242"/>
      <c r="Q124" s="8243"/>
      <c r="R124" s="8244"/>
      <c r="S124" s="8245"/>
      <c r="T124" s="8246"/>
      <c r="U124" s="8243"/>
      <c r="V124" s="8244"/>
      <c r="W124" s="8246"/>
      <c r="X124" s="8244"/>
      <c r="Y124" s="8246"/>
      <c r="Z124" s="8244"/>
      <c r="AA124" s="8245"/>
      <c r="AB124" s="8245"/>
      <c r="AC124" s="8245"/>
      <c r="AD124" s="8245"/>
      <c r="AE124" s="8245"/>
      <c r="AF124" s="8246"/>
      <c r="AG124" s="8244"/>
      <c r="AH124" s="8245"/>
      <c r="AI124" s="8245"/>
      <c r="AJ124" s="8245"/>
      <c r="AK124" s="8245"/>
      <c r="AL124" s="8245"/>
      <c r="AM124" s="8245"/>
      <c r="AN124" s="8246"/>
      <c r="AO124" s="8244"/>
      <c r="AP124" s="8245"/>
      <c r="AQ124" s="8245"/>
      <c r="AR124" s="8245"/>
      <c r="AS124" s="8245"/>
      <c r="AT124" s="8246"/>
      <c r="AU124" s="8247"/>
      <c r="AV124" s="8247"/>
      <c r="AW124" s="8247"/>
      <c r="AX124" s="8239"/>
      <c r="AY124" s="8242"/>
      <c r="AZ124" s="8247"/>
      <c r="BA124" s="8239"/>
      <c r="BB124" s="8241"/>
      <c r="BC124" s="8242"/>
      <c r="BD124" s="8248"/>
      <c r="BF124" s="7873"/>
      <c r="BG124" s="7873"/>
      <c r="BH124" s="7873"/>
      <c r="BI124" s="7873"/>
      <c r="BJ124" s="7873"/>
      <c r="BK124" s="7873"/>
      <c r="BL124" s="7873"/>
      <c r="BM124" s="7873"/>
      <c r="BN124" s="7873"/>
    </row>
    <row r="125" spans="1:66" ht="30" hidden="1" customHeight="1">
      <c r="A125" s="7742">
        <v>62</v>
      </c>
      <c r="B125" s="7793" t="s">
        <v>7592</v>
      </c>
      <c r="C125" s="13583"/>
      <c r="D125" s="11736" t="s">
        <v>4305</v>
      </c>
      <c r="E125" s="7841"/>
      <c r="F125" s="7841"/>
      <c r="G125" s="11737" t="s">
        <v>1787</v>
      </c>
      <c r="H125" s="11740" t="s">
        <v>1787</v>
      </c>
      <c r="I125" s="11739">
        <v>1</v>
      </c>
      <c r="K125" s="8239"/>
      <c r="L125" s="8240"/>
      <c r="M125" s="8240"/>
      <c r="N125" s="8241"/>
      <c r="O125" s="8241"/>
      <c r="P125" s="8242"/>
      <c r="Q125" s="8243"/>
      <c r="R125" s="8244"/>
      <c r="S125" s="8245"/>
      <c r="T125" s="8246"/>
      <c r="U125" s="8243"/>
      <c r="V125" s="8244"/>
      <c r="W125" s="8246"/>
      <c r="X125" s="8244"/>
      <c r="Y125" s="8246"/>
      <c r="Z125" s="8244"/>
      <c r="AA125" s="8245"/>
      <c r="AB125" s="8245"/>
      <c r="AC125" s="8245"/>
      <c r="AD125" s="8245"/>
      <c r="AE125" s="8245"/>
      <c r="AF125" s="8246"/>
      <c r="AG125" s="8244"/>
      <c r="AH125" s="8245"/>
      <c r="AI125" s="8245"/>
      <c r="AJ125" s="8245"/>
      <c r="AK125" s="8245"/>
      <c r="AL125" s="8245"/>
      <c r="AM125" s="8245"/>
      <c r="AN125" s="8246"/>
      <c r="AO125" s="8244"/>
      <c r="AP125" s="8245"/>
      <c r="AQ125" s="8245"/>
      <c r="AR125" s="8245"/>
      <c r="AS125" s="8245"/>
      <c r="AT125" s="8246"/>
      <c r="AU125" s="8247"/>
      <c r="AV125" s="8247"/>
      <c r="AW125" s="8247"/>
      <c r="AX125" s="8239"/>
      <c r="AY125" s="8242"/>
      <c r="AZ125" s="8247"/>
      <c r="BA125" s="8239"/>
      <c r="BB125" s="8241"/>
      <c r="BC125" s="8242"/>
      <c r="BD125" s="8248"/>
      <c r="BF125" s="7873"/>
      <c r="BG125" s="7873"/>
      <c r="BH125" s="7873"/>
      <c r="BI125" s="7873"/>
      <c r="BJ125" s="7873"/>
      <c r="BK125" s="7873"/>
      <c r="BL125" s="7873"/>
      <c r="BM125" s="7873"/>
      <c r="BN125" s="7873"/>
    </row>
    <row r="126" spans="1:66" ht="30" hidden="1" customHeight="1">
      <c r="A126" s="7742">
        <v>63</v>
      </c>
      <c r="B126" s="7793" t="s">
        <v>7593</v>
      </c>
      <c r="C126" s="13583"/>
      <c r="D126" s="11736" t="s">
        <v>26</v>
      </c>
      <c r="E126" s="7841"/>
      <c r="F126" s="7841"/>
      <c r="G126" s="11737" t="s">
        <v>2885</v>
      </c>
      <c r="H126" s="11740" t="s">
        <v>2886</v>
      </c>
      <c r="I126" s="11741"/>
      <c r="K126" s="8249"/>
      <c r="L126" s="8250"/>
      <c r="M126" s="8250"/>
      <c r="N126" s="8251"/>
      <c r="O126" s="8251"/>
      <c r="P126" s="8252"/>
      <c r="Q126" s="8253"/>
      <c r="R126" s="8254"/>
      <c r="S126" s="8255"/>
      <c r="T126" s="8256"/>
      <c r="U126" s="8253"/>
      <c r="V126" s="8254"/>
      <c r="W126" s="8256"/>
      <c r="X126" s="8254"/>
      <c r="Y126" s="8256"/>
      <c r="Z126" s="8254"/>
      <c r="AA126" s="8255"/>
      <c r="AB126" s="8255"/>
      <c r="AC126" s="8255"/>
      <c r="AD126" s="8255"/>
      <c r="AE126" s="8255"/>
      <c r="AF126" s="8256"/>
      <c r="AG126" s="8254"/>
      <c r="AH126" s="8255"/>
      <c r="AI126" s="8255"/>
      <c r="AJ126" s="8255"/>
      <c r="AK126" s="8255"/>
      <c r="AL126" s="8255"/>
      <c r="AM126" s="8255"/>
      <c r="AN126" s="8256"/>
      <c r="AO126" s="8254"/>
      <c r="AP126" s="8255"/>
      <c r="AQ126" s="8255"/>
      <c r="AR126" s="8255"/>
      <c r="AS126" s="8255"/>
      <c r="AT126" s="8256"/>
      <c r="AU126" s="8257"/>
      <c r="AV126" s="8257"/>
      <c r="AW126" s="8257"/>
      <c r="AX126" s="8249"/>
      <c r="AY126" s="8252"/>
      <c r="AZ126" s="8257"/>
      <c r="BA126" s="8249"/>
      <c r="BB126" s="8251"/>
      <c r="BC126" s="8252"/>
      <c r="BD126" s="8258"/>
      <c r="BF126" s="7873"/>
      <c r="BG126" s="7873"/>
      <c r="BH126" s="7873"/>
      <c r="BI126" s="7873"/>
      <c r="BJ126" s="7873"/>
      <c r="BK126" s="7873"/>
      <c r="BL126" s="7873"/>
      <c r="BM126" s="7873"/>
      <c r="BN126" s="7873"/>
    </row>
    <row r="127" spans="1:66" ht="30" hidden="1" customHeight="1">
      <c r="A127" s="13657">
        <v>64</v>
      </c>
      <c r="B127" s="13789" t="s">
        <v>7594</v>
      </c>
      <c r="C127" s="13583"/>
      <c r="D127" s="11736" t="s">
        <v>26</v>
      </c>
      <c r="E127" s="7841"/>
      <c r="F127" s="7841"/>
      <c r="G127" s="13791" t="s">
        <v>2887</v>
      </c>
      <c r="H127" s="11740" t="s">
        <v>2888</v>
      </c>
      <c r="I127" s="11741"/>
      <c r="K127" s="8249"/>
      <c r="L127" s="8250"/>
      <c r="M127" s="8250"/>
      <c r="N127" s="8251"/>
      <c r="O127" s="8251"/>
      <c r="P127" s="8252"/>
      <c r="Q127" s="8253"/>
      <c r="R127" s="8254"/>
      <c r="S127" s="8255"/>
      <c r="T127" s="8256"/>
      <c r="U127" s="8253"/>
      <c r="V127" s="8254"/>
      <c r="W127" s="8256"/>
      <c r="X127" s="8254"/>
      <c r="Y127" s="8256"/>
      <c r="Z127" s="8254"/>
      <c r="AA127" s="8255"/>
      <c r="AB127" s="8255"/>
      <c r="AC127" s="8255"/>
      <c r="AD127" s="8255"/>
      <c r="AE127" s="8255"/>
      <c r="AF127" s="8256"/>
      <c r="AG127" s="8254"/>
      <c r="AH127" s="8255"/>
      <c r="AI127" s="8255"/>
      <c r="AJ127" s="8255"/>
      <c r="AK127" s="8255"/>
      <c r="AL127" s="8255"/>
      <c r="AM127" s="8255"/>
      <c r="AN127" s="8256"/>
      <c r="AO127" s="8254"/>
      <c r="AP127" s="8255"/>
      <c r="AQ127" s="8255"/>
      <c r="AR127" s="8255"/>
      <c r="AS127" s="8255"/>
      <c r="AT127" s="8256"/>
      <c r="AU127" s="8257"/>
      <c r="AV127" s="8257"/>
      <c r="AW127" s="8257"/>
      <c r="AX127" s="8249"/>
      <c r="AY127" s="8252"/>
      <c r="AZ127" s="8257"/>
      <c r="BA127" s="8249"/>
      <c r="BB127" s="8251"/>
      <c r="BC127" s="8252"/>
      <c r="BD127" s="8258"/>
      <c r="BF127" s="14419"/>
      <c r="BG127" s="14419"/>
      <c r="BH127" s="14419"/>
      <c r="BI127" s="14419"/>
      <c r="BJ127" s="14419"/>
      <c r="BK127" s="7904"/>
      <c r="BL127" s="14419"/>
      <c r="BM127" s="14419"/>
      <c r="BN127" s="14419"/>
    </row>
    <row r="128" spans="1:66" ht="30" hidden="1" customHeight="1" thickBot="1">
      <c r="A128" s="13775"/>
      <c r="B128" s="13790"/>
      <c r="C128" s="13583"/>
      <c r="D128" s="11742" t="s">
        <v>4305</v>
      </c>
      <c r="E128" s="7843"/>
      <c r="F128" s="7843"/>
      <c r="G128" s="13792"/>
      <c r="H128" s="11743" t="s">
        <v>1789</v>
      </c>
      <c r="I128" s="11744">
        <v>1</v>
      </c>
      <c r="K128" s="8260"/>
      <c r="L128" s="8261"/>
      <c r="M128" s="8261"/>
      <c r="N128" s="8262"/>
      <c r="O128" s="8262"/>
      <c r="P128" s="8263"/>
      <c r="Q128" s="8264"/>
      <c r="R128" s="8265"/>
      <c r="S128" s="8266"/>
      <c r="T128" s="8267"/>
      <c r="U128" s="8264"/>
      <c r="V128" s="8265"/>
      <c r="W128" s="8267"/>
      <c r="X128" s="8265"/>
      <c r="Y128" s="8267"/>
      <c r="Z128" s="8265"/>
      <c r="AA128" s="8266"/>
      <c r="AB128" s="8266"/>
      <c r="AC128" s="8266"/>
      <c r="AD128" s="8266"/>
      <c r="AE128" s="8266"/>
      <c r="AF128" s="8267"/>
      <c r="AG128" s="8265"/>
      <c r="AH128" s="8266"/>
      <c r="AI128" s="8266"/>
      <c r="AJ128" s="8266"/>
      <c r="AK128" s="8266"/>
      <c r="AL128" s="8266"/>
      <c r="AM128" s="8266"/>
      <c r="AN128" s="8267"/>
      <c r="AO128" s="8265"/>
      <c r="AP128" s="8266"/>
      <c r="AQ128" s="8266"/>
      <c r="AR128" s="8266"/>
      <c r="AS128" s="8266"/>
      <c r="AT128" s="8267"/>
      <c r="AU128" s="8268"/>
      <c r="AV128" s="8268"/>
      <c r="AW128" s="8268"/>
      <c r="AX128" s="8260"/>
      <c r="AY128" s="8263"/>
      <c r="AZ128" s="8268"/>
      <c r="BA128" s="8260"/>
      <c r="BB128" s="8262"/>
      <c r="BC128" s="8263"/>
      <c r="BD128" s="8269"/>
      <c r="BF128" s="14420"/>
      <c r="BG128" s="14420"/>
      <c r="BH128" s="14420"/>
      <c r="BI128" s="14420"/>
      <c r="BJ128" s="14420"/>
      <c r="BK128" s="7905"/>
      <c r="BL128" s="14420"/>
      <c r="BM128" s="14420"/>
      <c r="BN128" s="14420"/>
    </row>
    <row r="129" spans="1:66" ht="30" hidden="1" customHeight="1" thickBot="1">
      <c r="A129" s="7743">
        <v>65</v>
      </c>
      <c r="B129" s="7794" t="s">
        <v>7596</v>
      </c>
      <c r="C129" s="13584"/>
      <c r="D129" s="11745" t="s">
        <v>4305</v>
      </c>
      <c r="E129" s="11746"/>
      <c r="F129" s="11746"/>
      <c r="G129" s="11747" t="s">
        <v>1792</v>
      </c>
      <c r="H129" s="11748" t="s">
        <v>1792</v>
      </c>
      <c r="I129" s="11749">
        <v>1</v>
      </c>
      <c r="K129" s="8270"/>
      <c r="L129" s="8271"/>
      <c r="M129" s="8271"/>
      <c r="N129" s="8272"/>
      <c r="O129" s="8272"/>
      <c r="P129" s="8273"/>
      <c r="Q129" s="8274"/>
      <c r="R129" s="8275"/>
      <c r="S129" s="8276"/>
      <c r="T129" s="8277"/>
      <c r="U129" s="8274"/>
      <c r="V129" s="8275"/>
      <c r="W129" s="8277"/>
      <c r="X129" s="8275"/>
      <c r="Y129" s="8277"/>
      <c r="Z129" s="8275"/>
      <c r="AA129" s="8276"/>
      <c r="AB129" s="8276"/>
      <c r="AC129" s="8276"/>
      <c r="AD129" s="8276"/>
      <c r="AE129" s="8276"/>
      <c r="AF129" s="8277"/>
      <c r="AG129" s="8275"/>
      <c r="AH129" s="8276"/>
      <c r="AI129" s="8276"/>
      <c r="AJ129" s="8276"/>
      <c r="AK129" s="8276"/>
      <c r="AL129" s="8276"/>
      <c r="AM129" s="8276"/>
      <c r="AN129" s="8277"/>
      <c r="AO129" s="8275"/>
      <c r="AP129" s="8276"/>
      <c r="AQ129" s="8276"/>
      <c r="AR129" s="8276"/>
      <c r="AS129" s="8276"/>
      <c r="AT129" s="8277"/>
      <c r="AU129" s="8278"/>
      <c r="AV129" s="8278"/>
      <c r="AW129" s="8278"/>
      <c r="AX129" s="8270"/>
      <c r="AY129" s="8273"/>
      <c r="AZ129" s="8278"/>
      <c r="BA129" s="8270"/>
      <c r="BB129" s="8272"/>
      <c r="BC129" s="8273"/>
      <c r="BD129" s="8279"/>
      <c r="BF129" s="7874"/>
      <c r="BG129" s="7874"/>
      <c r="BH129" s="7874"/>
      <c r="BI129" s="7874"/>
      <c r="BJ129" s="7874"/>
      <c r="BK129" s="7874"/>
      <c r="BL129" s="7874"/>
      <c r="BM129" s="7874"/>
      <c r="BN129" s="7874"/>
    </row>
    <row r="130" spans="1:66" ht="30" hidden="1" customHeight="1">
      <c r="A130" s="7784">
        <v>66</v>
      </c>
      <c r="B130" s="8280" t="s">
        <v>4880</v>
      </c>
      <c r="C130" s="13582" t="s">
        <v>10340</v>
      </c>
      <c r="D130" s="11750" t="s">
        <v>26</v>
      </c>
      <c r="E130" s="11751" t="s">
        <v>390</v>
      </c>
      <c r="F130" s="11752"/>
      <c r="G130" s="11753" t="s">
        <v>2107</v>
      </c>
      <c r="H130" s="11754" t="s">
        <v>2108</v>
      </c>
      <c r="I130" s="11755">
        <v>9276</v>
      </c>
      <c r="K130" s="8281"/>
      <c r="L130" s="8283"/>
      <c r="M130" s="8283"/>
      <c r="N130" s="8284"/>
      <c r="O130" s="8284"/>
      <c r="P130" s="8285"/>
      <c r="Q130" s="8286"/>
      <c r="R130" s="8287"/>
      <c r="S130" s="8288"/>
      <c r="T130" s="8289"/>
      <c r="U130" s="8286"/>
      <c r="V130" s="8287"/>
      <c r="W130" s="8289"/>
      <c r="X130" s="8287"/>
      <c r="Y130" s="8289"/>
      <c r="Z130" s="8287"/>
      <c r="AA130" s="8288"/>
      <c r="AB130" s="8288"/>
      <c r="AC130" s="8288"/>
      <c r="AD130" s="8288"/>
      <c r="AE130" s="8288"/>
      <c r="AF130" s="8289"/>
      <c r="AG130" s="8287"/>
      <c r="AH130" s="8288"/>
      <c r="AI130" s="8288"/>
      <c r="AJ130" s="8288"/>
      <c r="AK130" s="8288"/>
      <c r="AL130" s="8288"/>
      <c r="AM130" s="8288"/>
      <c r="AN130" s="8289"/>
      <c r="AO130" s="8287"/>
      <c r="AP130" s="8288"/>
      <c r="AQ130" s="8288"/>
      <c r="AR130" s="8288"/>
      <c r="AS130" s="8288"/>
      <c r="AT130" s="8289"/>
      <c r="AU130" s="8290"/>
      <c r="AV130" s="8290"/>
      <c r="AW130" s="8290"/>
      <c r="AX130" s="8281"/>
      <c r="AY130" s="8285"/>
      <c r="AZ130" s="8290"/>
      <c r="BA130" s="8281"/>
      <c r="BB130" s="8284"/>
      <c r="BC130" s="8285"/>
      <c r="BD130" s="8291"/>
      <c r="BF130" s="8282"/>
      <c r="BG130" s="8282"/>
      <c r="BH130" s="8282"/>
      <c r="BI130" s="8282"/>
      <c r="BJ130" s="8282"/>
      <c r="BK130" s="8282"/>
      <c r="BL130" s="8282"/>
      <c r="BM130" s="8282"/>
      <c r="BN130" s="8282"/>
    </row>
    <row r="131" spans="1:66" ht="30" hidden="1" customHeight="1">
      <c r="A131" s="7903">
        <v>67</v>
      </c>
      <c r="B131" s="8292" t="s">
        <v>4881</v>
      </c>
      <c r="C131" s="13583"/>
      <c r="D131" s="11756" t="s">
        <v>26</v>
      </c>
      <c r="E131" s="11757" t="s">
        <v>390</v>
      </c>
      <c r="F131" s="11696"/>
      <c r="G131" s="11758" t="s">
        <v>2112</v>
      </c>
      <c r="H131" s="11695" t="s">
        <v>2113</v>
      </c>
      <c r="I131" s="11759" t="s">
        <v>2117</v>
      </c>
      <c r="K131" s="8295"/>
      <c r="L131" s="8296"/>
      <c r="M131" s="8296"/>
      <c r="N131" s="8297"/>
      <c r="O131" s="8297"/>
      <c r="P131" s="8298"/>
      <c r="Q131" s="8299"/>
      <c r="R131" s="8300"/>
      <c r="S131" s="8301"/>
      <c r="T131" s="8302"/>
      <c r="U131" s="8299"/>
      <c r="V131" s="8300"/>
      <c r="W131" s="8302"/>
      <c r="X131" s="8300"/>
      <c r="Y131" s="8302"/>
      <c r="Z131" s="8300"/>
      <c r="AA131" s="8301"/>
      <c r="AB131" s="8301"/>
      <c r="AC131" s="8301"/>
      <c r="AD131" s="8301"/>
      <c r="AE131" s="8301"/>
      <c r="AF131" s="8302"/>
      <c r="AG131" s="8300"/>
      <c r="AH131" s="8301"/>
      <c r="AI131" s="8301"/>
      <c r="AJ131" s="8301"/>
      <c r="AK131" s="8301"/>
      <c r="AL131" s="8301"/>
      <c r="AM131" s="8301"/>
      <c r="AN131" s="8302"/>
      <c r="AO131" s="8300"/>
      <c r="AP131" s="8301"/>
      <c r="AQ131" s="8301"/>
      <c r="AR131" s="8301"/>
      <c r="AS131" s="8301"/>
      <c r="AT131" s="8302"/>
      <c r="AU131" s="8303"/>
      <c r="AV131" s="8303"/>
      <c r="AW131" s="8303"/>
      <c r="AX131" s="8295"/>
      <c r="AY131" s="8298"/>
      <c r="AZ131" s="8303"/>
      <c r="BA131" s="8295"/>
      <c r="BB131" s="8297"/>
      <c r="BC131" s="8298"/>
      <c r="BD131" s="8304"/>
      <c r="BF131" s="8294"/>
      <c r="BG131" s="8294"/>
      <c r="BH131" s="8294"/>
      <c r="BI131" s="8294"/>
      <c r="BJ131" s="8294"/>
      <c r="BK131" s="8294"/>
      <c r="BL131" s="8294"/>
      <c r="BM131" s="8294"/>
      <c r="BN131" s="8294"/>
    </row>
    <row r="132" spans="1:66" ht="16.5" hidden="1" customHeight="1">
      <c r="A132" s="13787">
        <v>68</v>
      </c>
      <c r="B132" s="13809" t="s">
        <v>4882</v>
      </c>
      <c r="C132" s="13583"/>
      <c r="D132" s="11756" t="s">
        <v>26</v>
      </c>
      <c r="E132" s="11757" t="s">
        <v>390</v>
      </c>
      <c r="F132" s="11760"/>
      <c r="G132" s="13793" t="s">
        <v>2118</v>
      </c>
      <c r="H132" s="13859" t="s">
        <v>2119</v>
      </c>
      <c r="I132" s="13841">
        <v>38814</v>
      </c>
      <c r="K132" s="8305"/>
      <c r="L132" s="8306"/>
      <c r="M132" s="8306"/>
      <c r="N132" s="8307"/>
      <c r="O132" s="8307"/>
      <c r="P132" s="8308"/>
      <c r="Q132" s="8309"/>
      <c r="R132" s="8310"/>
      <c r="S132" s="8311"/>
      <c r="T132" s="8312"/>
      <c r="U132" s="8309"/>
      <c r="V132" s="8310"/>
      <c r="W132" s="8312"/>
      <c r="X132" s="8310"/>
      <c r="Y132" s="8312"/>
      <c r="Z132" s="8310"/>
      <c r="AA132" s="8311"/>
      <c r="AB132" s="8311"/>
      <c r="AC132" s="8311"/>
      <c r="AD132" s="8311"/>
      <c r="AE132" s="8311"/>
      <c r="AF132" s="8312"/>
      <c r="AG132" s="8310"/>
      <c r="AH132" s="8311"/>
      <c r="AI132" s="8311"/>
      <c r="AJ132" s="8311"/>
      <c r="AK132" s="8311"/>
      <c r="AL132" s="8311"/>
      <c r="AM132" s="8311"/>
      <c r="AN132" s="8312"/>
      <c r="AO132" s="8310"/>
      <c r="AP132" s="8311"/>
      <c r="AQ132" s="8311"/>
      <c r="AR132" s="8311"/>
      <c r="AS132" s="8311"/>
      <c r="AT132" s="8312"/>
      <c r="AU132" s="8313"/>
      <c r="AV132" s="8313"/>
      <c r="AW132" s="8313"/>
      <c r="AX132" s="8305"/>
      <c r="AY132" s="8308"/>
      <c r="AZ132" s="8313"/>
      <c r="BA132" s="8305"/>
      <c r="BB132" s="8307"/>
      <c r="BC132" s="8308"/>
      <c r="BD132" s="8314"/>
      <c r="BF132" s="14421"/>
      <c r="BG132" s="14421"/>
      <c r="BH132" s="14421"/>
      <c r="BI132" s="14421"/>
      <c r="BJ132" s="14421"/>
      <c r="BK132" s="8315"/>
      <c r="BL132" s="14421"/>
      <c r="BM132" s="14421"/>
      <c r="BN132" s="14421"/>
    </row>
    <row r="133" spans="1:66" ht="45.75" hidden="1" customHeight="1">
      <c r="A133" s="13812"/>
      <c r="B133" s="13810"/>
      <c r="C133" s="13583"/>
      <c r="D133" s="11756" t="s">
        <v>10191</v>
      </c>
      <c r="E133" s="11757"/>
      <c r="F133" s="11696" t="s">
        <v>2120</v>
      </c>
      <c r="G133" s="13794"/>
      <c r="H133" s="13860"/>
      <c r="I133" s="13841"/>
      <c r="K133" s="8305"/>
      <c r="L133" s="8306"/>
      <c r="M133" s="8306"/>
      <c r="N133" s="8307"/>
      <c r="O133" s="8307"/>
      <c r="P133" s="8308"/>
      <c r="Q133" s="8309"/>
      <c r="R133" s="8310"/>
      <c r="S133" s="8311"/>
      <c r="T133" s="8312"/>
      <c r="U133" s="8309"/>
      <c r="V133" s="8310"/>
      <c r="W133" s="8312"/>
      <c r="X133" s="8310"/>
      <c r="Y133" s="8312"/>
      <c r="Z133" s="8310"/>
      <c r="AA133" s="8311"/>
      <c r="AB133" s="8311"/>
      <c r="AC133" s="8311"/>
      <c r="AD133" s="8311"/>
      <c r="AE133" s="8311"/>
      <c r="AF133" s="8312"/>
      <c r="AG133" s="8310"/>
      <c r="AH133" s="8311"/>
      <c r="AI133" s="8311"/>
      <c r="AJ133" s="8311"/>
      <c r="AK133" s="8311"/>
      <c r="AL133" s="8311"/>
      <c r="AM133" s="8311"/>
      <c r="AN133" s="8312"/>
      <c r="AO133" s="8310"/>
      <c r="AP133" s="8311"/>
      <c r="AQ133" s="8311"/>
      <c r="AR133" s="8311"/>
      <c r="AS133" s="8311"/>
      <c r="AT133" s="8312"/>
      <c r="AU133" s="8313"/>
      <c r="AV133" s="8313"/>
      <c r="AW133" s="8313"/>
      <c r="AX133" s="8305"/>
      <c r="AY133" s="8308"/>
      <c r="AZ133" s="8313"/>
      <c r="BA133" s="8305"/>
      <c r="BB133" s="8307"/>
      <c r="BC133" s="8308"/>
      <c r="BD133" s="8314"/>
      <c r="BF133" s="14422"/>
      <c r="BG133" s="14422"/>
      <c r="BH133" s="14422"/>
      <c r="BI133" s="14422"/>
      <c r="BJ133" s="14422"/>
      <c r="BK133" s="8316"/>
      <c r="BL133" s="14422"/>
      <c r="BM133" s="14422"/>
      <c r="BN133" s="14422"/>
    </row>
    <row r="134" spans="1:66" ht="30" hidden="1" customHeight="1">
      <c r="A134" s="13813"/>
      <c r="B134" s="13811"/>
      <c r="C134" s="13583"/>
      <c r="D134" s="11756" t="s">
        <v>26</v>
      </c>
      <c r="E134" s="11757" t="s">
        <v>390</v>
      </c>
      <c r="F134" s="11696"/>
      <c r="G134" s="13808"/>
      <c r="H134" s="11695" t="s">
        <v>2121</v>
      </c>
      <c r="I134" s="11759" t="s">
        <v>2117</v>
      </c>
      <c r="K134" s="8295"/>
      <c r="L134" s="8296"/>
      <c r="M134" s="8296"/>
      <c r="N134" s="8297"/>
      <c r="O134" s="8297"/>
      <c r="P134" s="8298"/>
      <c r="Q134" s="8299"/>
      <c r="R134" s="8300"/>
      <c r="S134" s="8301"/>
      <c r="T134" s="8302"/>
      <c r="U134" s="8299"/>
      <c r="V134" s="8300"/>
      <c r="W134" s="8302"/>
      <c r="X134" s="8300"/>
      <c r="Y134" s="8302"/>
      <c r="Z134" s="8300"/>
      <c r="AA134" s="8301"/>
      <c r="AB134" s="8301"/>
      <c r="AC134" s="8301"/>
      <c r="AD134" s="8301"/>
      <c r="AE134" s="8301"/>
      <c r="AF134" s="8302"/>
      <c r="AG134" s="8300"/>
      <c r="AH134" s="8301"/>
      <c r="AI134" s="8301"/>
      <c r="AJ134" s="8301"/>
      <c r="AK134" s="8301"/>
      <c r="AL134" s="8301"/>
      <c r="AM134" s="8301"/>
      <c r="AN134" s="8302"/>
      <c r="AO134" s="8300"/>
      <c r="AP134" s="8301"/>
      <c r="AQ134" s="8301"/>
      <c r="AR134" s="8301"/>
      <c r="AS134" s="8301"/>
      <c r="AT134" s="8302"/>
      <c r="AU134" s="8303"/>
      <c r="AV134" s="8303"/>
      <c r="AW134" s="8303"/>
      <c r="AX134" s="8295"/>
      <c r="AY134" s="8298"/>
      <c r="AZ134" s="8303"/>
      <c r="BA134" s="8295"/>
      <c r="BB134" s="8297"/>
      <c r="BC134" s="8298"/>
      <c r="BD134" s="8304"/>
      <c r="BF134" s="14423"/>
      <c r="BG134" s="14423"/>
      <c r="BH134" s="14423"/>
      <c r="BI134" s="14423"/>
      <c r="BJ134" s="14423"/>
      <c r="BK134" s="8317"/>
      <c r="BL134" s="14423"/>
      <c r="BM134" s="14423"/>
      <c r="BN134" s="14423"/>
    </row>
    <row r="135" spans="1:66" ht="30" hidden="1" customHeight="1">
      <c r="A135" s="7903">
        <v>69</v>
      </c>
      <c r="B135" s="8292" t="s">
        <v>4883</v>
      </c>
      <c r="C135" s="13583"/>
      <c r="D135" s="11756" t="s">
        <v>26</v>
      </c>
      <c r="E135" s="11757" t="s">
        <v>390</v>
      </c>
      <c r="F135" s="11696"/>
      <c r="G135" s="11758" t="s">
        <v>2122</v>
      </c>
      <c r="H135" s="11695" t="s">
        <v>2123</v>
      </c>
      <c r="I135" s="11761">
        <v>17065795</v>
      </c>
      <c r="K135" s="8318"/>
      <c r="L135" s="8319"/>
      <c r="M135" s="8319"/>
      <c r="N135" s="8320"/>
      <c r="O135" s="8320"/>
      <c r="P135" s="8321"/>
      <c r="Q135" s="8322"/>
      <c r="R135" s="8323"/>
      <c r="S135" s="8324"/>
      <c r="T135" s="8325"/>
      <c r="U135" s="8322"/>
      <c r="V135" s="8323"/>
      <c r="W135" s="8325"/>
      <c r="X135" s="8323"/>
      <c r="Y135" s="8325"/>
      <c r="Z135" s="8323"/>
      <c r="AA135" s="8324"/>
      <c r="AB135" s="8324"/>
      <c r="AC135" s="8324"/>
      <c r="AD135" s="8324"/>
      <c r="AE135" s="8324"/>
      <c r="AF135" s="8325"/>
      <c r="AG135" s="8323"/>
      <c r="AH135" s="8324"/>
      <c r="AI135" s="8324"/>
      <c r="AJ135" s="8324"/>
      <c r="AK135" s="8324"/>
      <c r="AL135" s="8324"/>
      <c r="AM135" s="8324"/>
      <c r="AN135" s="8325"/>
      <c r="AO135" s="8323"/>
      <c r="AP135" s="8324"/>
      <c r="AQ135" s="8324"/>
      <c r="AR135" s="8324"/>
      <c r="AS135" s="8324"/>
      <c r="AT135" s="8325"/>
      <c r="AU135" s="8326"/>
      <c r="AV135" s="8326"/>
      <c r="AW135" s="8326"/>
      <c r="AX135" s="8318"/>
      <c r="AY135" s="8321"/>
      <c r="AZ135" s="8326"/>
      <c r="BA135" s="8318"/>
      <c r="BB135" s="8320"/>
      <c r="BC135" s="8321"/>
      <c r="BD135" s="8327"/>
      <c r="BF135" s="8294"/>
      <c r="BG135" s="8294"/>
      <c r="BH135" s="8294"/>
      <c r="BI135" s="8294"/>
      <c r="BJ135" s="8294"/>
      <c r="BK135" s="8294"/>
      <c r="BL135" s="8294"/>
      <c r="BM135" s="8294"/>
      <c r="BN135" s="8294"/>
    </row>
    <row r="136" spans="1:66" ht="30" hidden="1" customHeight="1">
      <c r="A136" s="13786">
        <v>70</v>
      </c>
      <c r="B136" s="13836" t="s">
        <v>4884</v>
      </c>
      <c r="C136" s="13583"/>
      <c r="D136" s="11756" t="s">
        <v>26</v>
      </c>
      <c r="E136" s="11757" t="s">
        <v>390</v>
      </c>
      <c r="F136" s="11760"/>
      <c r="G136" s="13837" t="s">
        <v>2124</v>
      </c>
      <c r="H136" s="13861" t="s">
        <v>2125</v>
      </c>
      <c r="I136" s="13842" t="s">
        <v>2127</v>
      </c>
      <c r="K136" s="8328"/>
      <c r="L136" s="8329"/>
      <c r="M136" s="8329"/>
      <c r="N136" s="8330"/>
      <c r="O136" s="8330"/>
      <c r="P136" s="8331"/>
      <c r="Q136" s="8332"/>
      <c r="R136" s="8333"/>
      <c r="S136" s="8334"/>
      <c r="T136" s="8335"/>
      <c r="U136" s="8332"/>
      <c r="V136" s="8333"/>
      <c r="W136" s="8335"/>
      <c r="X136" s="8333"/>
      <c r="Y136" s="8335"/>
      <c r="Z136" s="8333"/>
      <c r="AA136" s="8334"/>
      <c r="AB136" s="8334"/>
      <c r="AC136" s="8334"/>
      <c r="AD136" s="8334"/>
      <c r="AE136" s="8334"/>
      <c r="AF136" s="8335"/>
      <c r="AG136" s="8333"/>
      <c r="AH136" s="8334"/>
      <c r="AI136" s="8334"/>
      <c r="AJ136" s="8334"/>
      <c r="AK136" s="8334"/>
      <c r="AL136" s="8334"/>
      <c r="AM136" s="8334"/>
      <c r="AN136" s="8335"/>
      <c r="AO136" s="8333"/>
      <c r="AP136" s="8334"/>
      <c r="AQ136" s="8334"/>
      <c r="AR136" s="8334"/>
      <c r="AS136" s="8334"/>
      <c r="AT136" s="8335"/>
      <c r="AU136" s="8336"/>
      <c r="AV136" s="8336"/>
      <c r="AW136" s="8336"/>
      <c r="AX136" s="8328"/>
      <c r="AY136" s="8331"/>
      <c r="AZ136" s="8336"/>
      <c r="BA136" s="8328"/>
      <c r="BB136" s="8330"/>
      <c r="BC136" s="8331"/>
      <c r="BD136" s="8337"/>
      <c r="BF136" s="14424"/>
      <c r="BG136" s="14424"/>
      <c r="BH136" s="14424"/>
      <c r="BI136" s="14424"/>
      <c r="BJ136" s="14424"/>
      <c r="BK136" s="8294"/>
      <c r="BL136" s="14424"/>
      <c r="BM136" s="14424"/>
      <c r="BN136" s="14424"/>
    </row>
    <row r="137" spans="1:66" ht="30" hidden="1" customHeight="1">
      <c r="A137" s="13786"/>
      <c r="B137" s="13836"/>
      <c r="C137" s="13583"/>
      <c r="D137" s="11756" t="s">
        <v>477</v>
      </c>
      <c r="E137" s="11757"/>
      <c r="F137" s="11696" t="s">
        <v>477</v>
      </c>
      <c r="G137" s="13837"/>
      <c r="H137" s="13861"/>
      <c r="I137" s="13842"/>
      <c r="K137" s="8328"/>
      <c r="L137" s="8329"/>
      <c r="M137" s="8329"/>
      <c r="N137" s="8330"/>
      <c r="O137" s="8330"/>
      <c r="P137" s="8331"/>
      <c r="Q137" s="8332"/>
      <c r="R137" s="8333"/>
      <c r="S137" s="8334"/>
      <c r="T137" s="8335"/>
      <c r="U137" s="8332"/>
      <c r="V137" s="8333"/>
      <c r="W137" s="8335"/>
      <c r="X137" s="8333"/>
      <c r="Y137" s="8335"/>
      <c r="Z137" s="8333"/>
      <c r="AA137" s="8334"/>
      <c r="AB137" s="8334"/>
      <c r="AC137" s="8334"/>
      <c r="AD137" s="8334"/>
      <c r="AE137" s="8334"/>
      <c r="AF137" s="8335"/>
      <c r="AG137" s="8333"/>
      <c r="AH137" s="8334"/>
      <c r="AI137" s="8334"/>
      <c r="AJ137" s="8334"/>
      <c r="AK137" s="8334"/>
      <c r="AL137" s="8334"/>
      <c r="AM137" s="8334"/>
      <c r="AN137" s="8335"/>
      <c r="AO137" s="8333"/>
      <c r="AP137" s="8334"/>
      <c r="AQ137" s="8334"/>
      <c r="AR137" s="8334"/>
      <c r="AS137" s="8334"/>
      <c r="AT137" s="8335"/>
      <c r="AU137" s="8336"/>
      <c r="AV137" s="8336"/>
      <c r="AW137" s="8336"/>
      <c r="AX137" s="8328"/>
      <c r="AY137" s="8331"/>
      <c r="AZ137" s="8336"/>
      <c r="BA137" s="8328"/>
      <c r="BB137" s="8330"/>
      <c r="BC137" s="8331"/>
      <c r="BD137" s="8337"/>
      <c r="BF137" s="14424"/>
      <c r="BG137" s="14424"/>
      <c r="BH137" s="14424"/>
      <c r="BI137" s="14424"/>
      <c r="BJ137" s="14424"/>
      <c r="BK137" s="8294"/>
      <c r="BL137" s="14424"/>
      <c r="BM137" s="14424"/>
      <c r="BN137" s="14424"/>
    </row>
    <row r="138" spans="1:66" ht="30" hidden="1" customHeight="1">
      <c r="A138" s="13786">
        <v>71</v>
      </c>
      <c r="B138" s="13836" t="s">
        <v>4885</v>
      </c>
      <c r="C138" s="13583"/>
      <c r="D138" s="11756" t="s">
        <v>26</v>
      </c>
      <c r="E138" s="11757" t="s">
        <v>390</v>
      </c>
      <c r="F138" s="11760"/>
      <c r="G138" s="13837" t="s">
        <v>2128</v>
      </c>
      <c r="H138" s="13861" t="s">
        <v>2129</v>
      </c>
      <c r="I138" s="13842" t="s">
        <v>2132</v>
      </c>
      <c r="K138" s="8328"/>
      <c r="L138" s="8329"/>
      <c r="M138" s="8329"/>
      <c r="N138" s="8330"/>
      <c r="O138" s="8330"/>
      <c r="P138" s="8331"/>
      <c r="Q138" s="8332"/>
      <c r="R138" s="8333"/>
      <c r="S138" s="8334"/>
      <c r="T138" s="8335"/>
      <c r="U138" s="8332"/>
      <c r="V138" s="8333"/>
      <c r="W138" s="8335"/>
      <c r="X138" s="8333"/>
      <c r="Y138" s="8335"/>
      <c r="Z138" s="8333"/>
      <c r="AA138" s="8334"/>
      <c r="AB138" s="8334"/>
      <c r="AC138" s="8334"/>
      <c r="AD138" s="8334"/>
      <c r="AE138" s="8334"/>
      <c r="AF138" s="8335"/>
      <c r="AG138" s="8333"/>
      <c r="AH138" s="8334"/>
      <c r="AI138" s="8334"/>
      <c r="AJ138" s="8334"/>
      <c r="AK138" s="8334"/>
      <c r="AL138" s="8334"/>
      <c r="AM138" s="8334"/>
      <c r="AN138" s="8335"/>
      <c r="AO138" s="8333"/>
      <c r="AP138" s="8334"/>
      <c r="AQ138" s="8334"/>
      <c r="AR138" s="8334"/>
      <c r="AS138" s="8334"/>
      <c r="AT138" s="8335"/>
      <c r="AU138" s="8336"/>
      <c r="AV138" s="8336"/>
      <c r="AW138" s="8336"/>
      <c r="AX138" s="8328"/>
      <c r="AY138" s="8331"/>
      <c r="AZ138" s="8336"/>
      <c r="BA138" s="8328"/>
      <c r="BB138" s="8330"/>
      <c r="BC138" s="8331"/>
      <c r="BD138" s="8337"/>
      <c r="BF138" s="14424"/>
      <c r="BG138" s="14424"/>
      <c r="BH138" s="14424"/>
      <c r="BI138" s="14424"/>
      <c r="BJ138" s="14424"/>
      <c r="BK138" s="8294"/>
      <c r="BL138" s="14424"/>
      <c r="BM138" s="14424"/>
      <c r="BN138" s="14424"/>
    </row>
    <row r="139" spans="1:66" ht="30" hidden="1" customHeight="1">
      <c r="A139" s="13786"/>
      <c r="B139" s="13836"/>
      <c r="C139" s="13583"/>
      <c r="D139" s="11756" t="s">
        <v>477</v>
      </c>
      <c r="E139" s="11757"/>
      <c r="F139" s="11696" t="s">
        <v>477</v>
      </c>
      <c r="G139" s="13837"/>
      <c r="H139" s="13861"/>
      <c r="I139" s="13842"/>
      <c r="K139" s="8328"/>
      <c r="L139" s="8329"/>
      <c r="M139" s="8329"/>
      <c r="N139" s="8330"/>
      <c r="O139" s="8330"/>
      <c r="P139" s="8331"/>
      <c r="Q139" s="8332"/>
      <c r="R139" s="8333"/>
      <c r="S139" s="8334"/>
      <c r="T139" s="8335"/>
      <c r="U139" s="8332"/>
      <c r="V139" s="8333"/>
      <c r="W139" s="8335"/>
      <c r="X139" s="8333"/>
      <c r="Y139" s="8335"/>
      <c r="Z139" s="8333"/>
      <c r="AA139" s="8334"/>
      <c r="AB139" s="8334"/>
      <c r="AC139" s="8334"/>
      <c r="AD139" s="8334"/>
      <c r="AE139" s="8334"/>
      <c r="AF139" s="8335"/>
      <c r="AG139" s="8333"/>
      <c r="AH139" s="8334"/>
      <c r="AI139" s="8334"/>
      <c r="AJ139" s="8334"/>
      <c r="AK139" s="8334"/>
      <c r="AL139" s="8334"/>
      <c r="AM139" s="8334"/>
      <c r="AN139" s="8335"/>
      <c r="AO139" s="8333"/>
      <c r="AP139" s="8334"/>
      <c r="AQ139" s="8334"/>
      <c r="AR139" s="8334"/>
      <c r="AS139" s="8334"/>
      <c r="AT139" s="8335"/>
      <c r="AU139" s="8336"/>
      <c r="AV139" s="8336"/>
      <c r="AW139" s="8336"/>
      <c r="AX139" s="8328"/>
      <c r="AY139" s="8331"/>
      <c r="AZ139" s="8336"/>
      <c r="BA139" s="8328"/>
      <c r="BB139" s="8330"/>
      <c r="BC139" s="8331"/>
      <c r="BD139" s="8337"/>
      <c r="BF139" s="14424"/>
      <c r="BG139" s="14424"/>
      <c r="BH139" s="14424"/>
      <c r="BI139" s="14424"/>
      <c r="BJ139" s="14424"/>
      <c r="BK139" s="8294"/>
      <c r="BL139" s="14424"/>
      <c r="BM139" s="14424"/>
      <c r="BN139" s="14424"/>
    </row>
    <row r="140" spans="1:66" ht="30" hidden="1" customHeight="1">
      <c r="A140" s="7903">
        <v>72</v>
      </c>
      <c r="B140" s="8292" t="s">
        <v>4886</v>
      </c>
      <c r="C140" s="13583"/>
      <c r="D140" s="11756" t="s">
        <v>26</v>
      </c>
      <c r="E140" s="11757" t="s">
        <v>390</v>
      </c>
      <c r="F140" s="11696"/>
      <c r="G140" s="11758" t="s">
        <v>2133</v>
      </c>
      <c r="H140" s="11695" t="s">
        <v>2134</v>
      </c>
      <c r="I140" s="11759" t="s">
        <v>2135</v>
      </c>
      <c r="K140" s="8295"/>
      <c r="L140" s="8296"/>
      <c r="M140" s="8296"/>
      <c r="N140" s="8297"/>
      <c r="O140" s="8297"/>
      <c r="P140" s="8298"/>
      <c r="Q140" s="8299"/>
      <c r="R140" s="8300"/>
      <c r="S140" s="8301"/>
      <c r="T140" s="8302"/>
      <c r="U140" s="8299"/>
      <c r="V140" s="8300"/>
      <c r="W140" s="8302"/>
      <c r="X140" s="8300"/>
      <c r="Y140" s="8302"/>
      <c r="Z140" s="8300"/>
      <c r="AA140" s="8301"/>
      <c r="AB140" s="8301"/>
      <c r="AC140" s="8301"/>
      <c r="AD140" s="8301"/>
      <c r="AE140" s="8301"/>
      <c r="AF140" s="8302"/>
      <c r="AG140" s="8300"/>
      <c r="AH140" s="8301"/>
      <c r="AI140" s="8301"/>
      <c r="AJ140" s="8301"/>
      <c r="AK140" s="8301"/>
      <c r="AL140" s="8301"/>
      <c r="AM140" s="8301"/>
      <c r="AN140" s="8302"/>
      <c r="AO140" s="8300"/>
      <c r="AP140" s="8301"/>
      <c r="AQ140" s="8301"/>
      <c r="AR140" s="8301"/>
      <c r="AS140" s="8301"/>
      <c r="AT140" s="8302"/>
      <c r="AU140" s="8303"/>
      <c r="AV140" s="8303"/>
      <c r="AW140" s="8303"/>
      <c r="AX140" s="8295"/>
      <c r="AY140" s="8298"/>
      <c r="AZ140" s="8303"/>
      <c r="BA140" s="8295"/>
      <c r="BB140" s="8297"/>
      <c r="BC140" s="8298"/>
      <c r="BD140" s="8304"/>
      <c r="BF140" s="8294"/>
      <c r="BG140" s="8294"/>
      <c r="BH140" s="8294"/>
      <c r="BI140" s="8294"/>
      <c r="BJ140" s="8294"/>
      <c r="BK140" s="8294"/>
      <c r="BL140" s="8294"/>
      <c r="BM140" s="8294"/>
      <c r="BN140" s="8294"/>
    </row>
    <row r="141" spans="1:66" ht="30" hidden="1" customHeight="1">
      <c r="A141" s="7903">
        <v>73</v>
      </c>
      <c r="B141" s="8292" t="s">
        <v>4888</v>
      </c>
      <c r="C141" s="13583"/>
      <c r="D141" s="11756" t="s">
        <v>26</v>
      </c>
      <c r="E141" s="11757" t="s">
        <v>390</v>
      </c>
      <c r="F141" s="11696"/>
      <c r="G141" s="11758" t="s">
        <v>2137</v>
      </c>
      <c r="H141" s="11695" t="s">
        <v>2138</v>
      </c>
      <c r="I141" s="11759" t="s">
        <v>2140</v>
      </c>
      <c r="K141" s="8295"/>
      <c r="L141" s="8296"/>
      <c r="M141" s="8296"/>
      <c r="N141" s="8297"/>
      <c r="O141" s="8297"/>
      <c r="P141" s="8298"/>
      <c r="Q141" s="8299"/>
      <c r="R141" s="8300"/>
      <c r="S141" s="8301"/>
      <c r="T141" s="8302"/>
      <c r="U141" s="8299"/>
      <c r="V141" s="8300"/>
      <c r="W141" s="8302"/>
      <c r="X141" s="8300"/>
      <c r="Y141" s="8302"/>
      <c r="Z141" s="8300"/>
      <c r="AA141" s="8301"/>
      <c r="AB141" s="8301"/>
      <c r="AC141" s="8301"/>
      <c r="AD141" s="8301"/>
      <c r="AE141" s="8301"/>
      <c r="AF141" s="8302"/>
      <c r="AG141" s="8300"/>
      <c r="AH141" s="8301"/>
      <c r="AI141" s="8301"/>
      <c r="AJ141" s="8301"/>
      <c r="AK141" s="8301"/>
      <c r="AL141" s="8301"/>
      <c r="AM141" s="8301"/>
      <c r="AN141" s="8302"/>
      <c r="AO141" s="8300"/>
      <c r="AP141" s="8301"/>
      <c r="AQ141" s="8301"/>
      <c r="AR141" s="8301"/>
      <c r="AS141" s="8301"/>
      <c r="AT141" s="8302"/>
      <c r="AU141" s="8303"/>
      <c r="AV141" s="8303"/>
      <c r="AW141" s="8303"/>
      <c r="AX141" s="8295"/>
      <c r="AY141" s="8298"/>
      <c r="AZ141" s="8303"/>
      <c r="BA141" s="8295"/>
      <c r="BB141" s="8297"/>
      <c r="BC141" s="8298"/>
      <c r="BD141" s="8304"/>
      <c r="BF141" s="8294"/>
      <c r="BG141" s="8294"/>
      <c r="BH141" s="8294"/>
      <c r="BI141" s="8294"/>
      <c r="BJ141" s="8294"/>
      <c r="BK141" s="8294"/>
      <c r="BL141" s="8294"/>
      <c r="BM141" s="8294"/>
      <c r="BN141" s="8294"/>
    </row>
    <row r="142" spans="1:66" ht="30" hidden="1" customHeight="1">
      <c r="A142" s="7903">
        <v>74</v>
      </c>
      <c r="B142" s="8292" t="s">
        <v>4889</v>
      </c>
      <c r="C142" s="13583"/>
      <c r="D142" s="11756" t="s">
        <v>26</v>
      </c>
      <c r="E142" s="11757" t="s">
        <v>390</v>
      </c>
      <c r="F142" s="11696"/>
      <c r="G142" s="11758" t="s">
        <v>2141</v>
      </c>
      <c r="H142" s="11695" t="s">
        <v>2142</v>
      </c>
      <c r="I142" s="11759" t="s">
        <v>2144</v>
      </c>
      <c r="K142" s="8295"/>
      <c r="L142" s="8296"/>
      <c r="M142" s="8296"/>
      <c r="N142" s="8297"/>
      <c r="O142" s="8297"/>
      <c r="P142" s="8298"/>
      <c r="Q142" s="8299"/>
      <c r="R142" s="8300"/>
      <c r="S142" s="8301"/>
      <c r="T142" s="8302"/>
      <c r="U142" s="8299"/>
      <c r="V142" s="8300"/>
      <c r="W142" s="8302"/>
      <c r="X142" s="8300"/>
      <c r="Y142" s="8302"/>
      <c r="Z142" s="8300"/>
      <c r="AA142" s="8301"/>
      <c r="AB142" s="8301"/>
      <c r="AC142" s="8301"/>
      <c r="AD142" s="8301"/>
      <c r="AE142" s="8301"/>
      <c r="AF142" s="8302"/>
      <c r="AG142" s="8300"/>
      <c r="AH142" s="8301"/>
      <c r="AI142" s="8301"/>
      <c r="AJ142" s="8301"/>
      <c r="AK142" s="8301"/>
      <c r="AL142" s="8301"/>
      <c r="AM142" s="8301"/>
      <c r="AN142" s="8302"/>
      <c r="AO142" s="8300"/>
      <c r="AP142" s="8301"/>
      <c r="AQ142" s="8301"/>
      <c r="AR142" s="8301"/>
      <c r="AS142" s="8301"/>
      <c r="AT142" s="8302"/>
      <c r="AU142" s="8303"/>
      <c r="AV142" s="8303"/>
      <c r="AW142" s="8303"/>
      <c r="AX142" s="8295"/>
      <c r="AY142" s="8298"/>
      <c r="AZ142" s="8303"/>
      <c r="BA142" s="8295"/>
      <c r="BB142" s="8297"/>
      <c r="BC142" s="8298"/>
      <c r="BD142" s="8304"/>
      <c r="BF142" s="8294"/>
      <c r="BG142" s="8294"/>
      <c r="BH142" s="8294"/>
      <c r="BI142" s="8294"/>
      <c r="BJ142" s="8294"/>
      <c r="BK142" s="8294"/>
      <c r="BL142" s="8294"/>
      <c r="BM142" s="8294"/>
      <c r="BN142" s="8294"/>
    </row>
    <row r="143" spans="1:66" ht="30" hidden="1" customHeight="1">
      <c r="A143" s="13786">
        <v>75</v>
      </c>
      <c r="B143" s="13836" t="s">
        <v>4890</v>
      </c>
      <c r="C143" s="13583"/>
      <c r="D143" s="11756" t="s">
        <v>26</v>
      </c>
      <c r="E143" s="11757" t="s">
        <v>390</v>
      </c>
      <c r="F143" s="11760"/>
      <c r="G143" s="13837" t="s">
        <v>2145</v>
      </c>
      <c r="H143" s="13861" t="s">
        <v>2146</v>
      </c>
      <c r="I143" s="13843" t="s">
        <v>2148</v>
      </c>
      <c r="K143" s="8338"/>
      <c r="L143" s="8138"/>
      <c r="M143" s="8138"/>
      <c r="N143" s="8339"/>
      <c r="O143" s="8339"/>
      <c r="P143" s="8340"/>
      <c r="Q143" s="8141"/>
      <c r="R143" s="8142"/>
      <c r="S143" s="8143"/>
      <c r="T143" s="8144"/>
      <c r="U143" s="8141"/>
      <c r="V143" s="8142"/>
      <c r="W143" s="8144"/>
      <c r="X143" s="8142"/>
      <c r="Y143" s="8144"/>
      <c r="Z143" s="8142"/>
      <c r="AA143" s="8143"/>
      <c r="AB143" s="8143"/>
      <c r="AC143" s="8143"/>
      <c r="AD143" s="8143"/>
      <c r="AE143" s="8143"/>
      <c r="AF143" s="8144"/>
      <c r="AG143" s="8142"/>
      <c r="AH143" s="8143"/>
      <c r="AI143" s="8143"/>
      <c r="AJ143" s="8143"/>
      <c r="AK143" s="8143"/>
      <c r="AL143" s="8143"/>
      <c r="AM143" s="8143"/>
      <c r="AN143" s="8144"/>
      <c r="AO143" s="8142"/>
      <c r="AP143" s="8143"/>
      <c r="AQ143" s="8143"/>
      <c r="AR143" s="8143"/>
      <c r="AS143" s="8143"/>
      <c r="AT143" s="8144"/>
      <c r="AU143" s="8341"/>
      <c r="AV143" s="8341"/>
      <c r="AW143" s="8341"/>
      <c r="AX143" s="8338"/>
      <c r="AY143" s="8340"/>
      <c r="AZ143" s="8341"/>
      <c r="BA143" s="8338"/>
      <c r="BB143" s="8339"/>
      <c r="BC143" s="8340"/>
      <c r="BD143" s="8342"/>
      <c r="BF143" s="14424"/>
      <c r="BG143" s="14424"/>
      <c r="BH143" s="14424"/>
      <c r="BI143" s="14424"/>
      <c r="BJ143" s="14424"/>
      <c r="BK143" s="8294"/>
      <c r="BL143" s="14424"/>
      <c r="BM143" s="14424"/>
      <c r="BN143" s="14424"/>
    </row>
    <row r="144" spans="1:66" ht="45" hidden="1" customHeight="1">
      <c r="A144" s="13786"/>
      <c r="B144" s="13836"/>
      <c r="C144" s="13583"/>
      <c r="D144" s="11756" t="s">
        <v>10092</v>
      </c>
      <c r="E144" s="11757"/>
      <c r="F144" s="11758" t="s">
        <v>2147</v>
      </c>
      <c r="G144" s="13837"/>
      <c r="H144" s="13861"/>
      <c r="I144" s="13843"/>
      <c r="K144" s="8338"/>
      <c r="L144" s="8138"/>
      <c r="M144" s="8138"/>
      <c r="N144" s="8339"/>
      <c r="O144" s="8339"/>
      <c r="P144" s="8340"/>
      <c r="Q144" s="8141"/>
      <c r="R144" s="8142"/>
      <c r="S144" s="8143"/>
      <c r="T144" s="8144"/>
      <c r="U144" s="8141"/>
      <c r="V144" s="8142"/>
      <c r="W144" s="8144"/>
      <c r="X144" s="8142"/>
      <c r="Y144" s="8144"/>
      <c r="Z144" s="8142"/>
      <c r="AA144" s="8143"/>
      <c r="AB144" s="8143"/>
      <c r="AC144" s="8143"/>
      <c r="AD144" s="8143"/>
      <c r="AE144" s="8143"/>
      <c r="AF144" s="8144"/>
      <c r="AG144" s="8142"/>
      <c r="AH144" s="8143"/>
      <c r="AI144" s="8143"/>
      <c r="AJ144" s="8143"/>
      <c r="AK144" s="8143"/>
      <c r="AL144" s="8143"/>
      <c r="AM144" s="8143"/>
      <c r="AN144" s="8144"/>
      <c r="AO144" s="8142"/>
      <c r="AP144" s="8143"/>
      <c r="AQ144" s="8143"/>
      <c r="AR144" s="8143"/>
      <c r="AS144" s="8143"/>
      <c r="AT144" s="8144"/>
      <c r="AU144" s="8341"/>
      <c r="AV144" s="8341"/>
      <c r="AW144" s="8341"/>
      <c r="AX144" s="8338"/>
      <c r="AY144" s="8340"/>
      <c r="AZ144" s="8341"/>
      <c r="BA144" s="8338"/>
      <c r="BB144" s="8339"/>
      <c r="BC144" s="8340"/>
      <c r="BD144" s="8342"/>
      <c r="BF144" s="14424"/>
      <c r="BG144" s="14424"/>
      <c r="BH144" s="14424"/>
      <c r="BI144" s="14424"/>
      <c r="BJ144" s="14424"/>
      <c r="BK144" s="8294"/>
      <c r="BL144" s="14424"/>
      <c r="BM144" s="14424"/>
      <c r="BN144" s="14424"/>
    </row>
    <row r="145" spans="1:66" ht="30" hidden="1" customHeight="1">
      <c r="A145" s="7903">
        <v>76</v>
      </c>
      <c r="B145" s="8292" t="s">
        <v>4891</v>
      </c>
      <c r="C145" s="13583"/>
      <c r="D145" s="11756" t="s">
        <v>26</v>
      </c>
      <c r="E145" s="11757" t="s">
        <v>390</v>
      </c>
      <c r="F145" s="11696"/>
      <c r="G145" s="11758" t="s">
        <v>2149</v>
      </c>
      <c r="H145" s="11695" t="s">
        <v>2150</v>
      </c>
      <c r="I145" s="11759" t="s">
        <v>2151</v>
      </c>
      <c r="K145" s="8295"/>
      <c r="L145" s="8296"/>
      <c r="M145" s="8296"/>
      <c r="N145" s="8297"/>
      <c r="O145" s="8297"/>
      <c r="P145" s="8298"/>
      <c r="Q145" s="8299"/>
      <c r="R145" s="8300"/>
      <c r="S145" s="8301"/>
      <c r="T145" s="8302"/>
      <c r="U145" s="8299"/>
      <c r="V145" s="8300"/>
      <c r="W145" s="8302"/>
      <c r="X145" s="8300"/>
      <c r="Y145" s="8302"/>
      <c r="Z145" s="8300"/>
      <c r="AA145" s="8301"/>
      <c r="AB145" s="8301"/>
      <c r="AC145" s="8301"/>
      <c r="AD145" s="8301"/>
      <c r="AE145" s="8301"/>
      <c r="AF145" s="8302"/>
      <c r="AG145" s="8300"/>
      <c r="AH145" s="8301"/>
      <c r="AI145" s="8301"/>
      <c r="AJ145" s="8301"/>
      <c r="AK145" s="8301"/>
      <c r="AL145" s="8301"/>
      <c r="AM145" s="8301"/>
      <c r="AN145" s="8302"/>
      <c r="AO145" s="8300"/>
      <c r="AP145" s="8301"/>
      <c r="AQ145" s="8301"/>
      <c r="AR145" s="8301"/>
      <c r="AS145" s="8301"/>
      <c r="AT145" s="8302"/>
      <c r="AU145" s="8303"/>
      <c r="AV145" s="8303"/>
      <c r="AW145" s="8303"/>
      <c r="AX145" s="8295"/>
      <c r="AY145" s="8298"/>
      <c r="AZ145" s="8303"/>
      <c r="BA145" s="8295"/>
      <c r="BB145" s="8297"/>
      <c r="BC145" s="8298"/>
      <c r="BD145" s="8304"/>
      <c r="BF145" s="8294"/>
      <c r="BG145" s="8294"/>
      <c r="BH145" s="8294"/>
      <c r="BI145" s="8294"/>
      <c r="BJ145" s="8294"/>
      <c r="BK145" s="8294"/>
      <c r="BL145" s="8294"/>
      <c r="BM145" s="8294"/>
      <c r="BN145" s="8294"/>
    </row>
    <row r="146" spans="1:66" ht="30" hidden="1" customHeight="1">
      <c r="A146" s="13799">
        <v>77</v>
      </c>
      <c r="B146" s="13796" t="s">
        <v>4892</v>
      </c>
      <c r="C146" s="13583"/>
      <c r="D146" s="11756" t="s">
        <v>26</v>
      </c>
      <c r="E146" s="11757" t="s">
        <v>390</v>
      </c>
      <c r="F146" s="11762"/>
      <c r="G146" s="13793" t="s">
        <v>2153</v>
      </c>
      <c r="H146" s="11763" t="s">
        <v>2154</v>
      </c>
      <c r="I146" s="11694" t="s">
        <v>2157</v>
      </c>
      <c r="K146" s="8126"/>
      <c r="L146" s="8128"/>
      <c r="M146" s="8128"/>
      <c r="N146" s="8343"/>
      <c r="O146" s="8343"/>
      <c r="P146" s="8344"/>
      <c r="Q146" s="8131"/>
      <c r="R146" s="8132"/>
      <c r="S146" s="8133"/>
      <c r="T146" s="8134"/>
      <c r="U146" s="8131"/>
      <c r="V146" s="8132"/>
      <c r="W146" s="8134"/>
      <c r="X146" s="8132"/>
      <c r="Y146" s="8134"/>
      <c r="Z146" s="8132"/>
      <c r="AA146" s="8133"/>
      <c r="AB146" s="8133"/>
      <c r="AC146" s="8133"/>
      <c r="AD146" s="8133"/>
      <c r="AE146" s="8133"/>
      <c r="AF146" s="8134"/>
      <c r="AG146" s="8132"/>
      <c r="AH146" s="8133"/>
      <c r="AI146" s="8133"/>
      <c r="AJ146" s="8133"/>
      <c r="AK146" s="8133"/>
      <c r="AL146" s="8133"/>
      <c r="AM146" s="8133"/>
      <c r="AN146" s="8134"/>
      <c r="AO146" s="8132"/>
      <c r="AP146" s="8133"/>
      <c r="AQ146" s="8133"/>
      <c r="AR146" s="8133"/>
      <c r="AS146" s="8133"/>
      <c r="AT146" s="8134"/>
      <c r="AU146" s="8345"/>
      <c r="AV146" s="8345"/>
      <c r="AW146" s="8345"/>
      <c r="AX146" s="8126"/>
      <c r="AY146" s="8344"/>
      <c r="AZ146" s="8345"/>
      <c r="BA146" s="8126"/>
      <c r="BB146" s="8343"/>
      <c r="BC146" s="8344"/>
      <c r="BD146" s="7903"/>
      <c r="BF146" s="14421"/>
      <c r="BG146" s="14421"/>
      <c r="BH146" s="14421"/>
      <c r="BI146" s="14421"/>
      <c r="BJ146" s="14421"/>
      <c r="BK146" s="8315"/>
      <c r="BL146" s="14421"/>
      <c r="BM146" s="14421"/>
      <c r="BN146" s="14421"/>
    </row>
    <row r="147" spans="1:66" ht="30" hidden="1" customHeight="1">
      <c r="A147" s="13800"/>
      <c r="B147" s="13797"/>
      <c r="C147" s="13583"/>
      <c r="D147" s="11756" t="s">
        <v>26</v>
      </c>
      <c r="E147" s="11757" t="s">
        <v>390</v>
      </c>
      <c r="F147" s="11762"/>
      <c r="G147" s="13794"/>
      <c r="H147" s="11763" t="s">
        <v>2158</v>
      </c>
      <c r="I147" s="11764">
        <v>5</v>
      </c>
      <c r="K147" s="8293"/>
      <c r="L147" s="8346"/>
      <c r="M147" s="8346"/>
      <c r="N147" s="8347"/>
      <c r="O147" s="8347"/>
      <c r="P147" s="8348"/>
      <c r="Q147" s="8349"/>
      <c r="R147" s="8350"/>
      <c r="S147" s="8351"/>
      <c r="T147" s="8352"/>
      <c r="U147" s="8349"/>
      <c r="V147" s="8350"/>
      <c r="W147" s="8352"/>
      <c r="X147" s="8350"/>
      <c r="Y147" s="8352"/>
      <c r="Z147" s="8350"/>
      <c r="AA147" s="8351"/>
      <c r="AB147" s="8351"/>
      <c r="AC147" s="8351"/>
      <c r="AD147" s="8351"/>
      <c r="AE147" s="8351"/>
      <c r="AF147" s="8352"/>
      <c r="AG147" s="8350"/>
      <c r="AH147" s="8351"/>
      <c r="AI147" s="8351"/>
      <c r="AJ147" s="8351"/>
      <c r="AK147" s="8351"/>
      <c r="AL147" s="8351"/>
      <c r="AM147" s="8351"/>
      <c r="AN147" s="8352"/>
      <c r="AO147" s="8350"/>
      <c r="AP147" s="8351"/>
      <c r="AQ147" s="8351"/>
      <c r="AR147" s="8351"/>
      <c r="AS147" s="8351"/>
      <c r="AT147" s="8352"/>
      <c r="AU147" s="8353"/>
      <c r="AV147" s="8353"/>
      <c r="AW147" s="8353"/>
      <c r="AX147" s="8293"/>
      <c r="AY147" s="8348"/>
      <c r="AZ147" s="8353"/>
      <c r="BA147" s="8293"/>
      <c r="BB147" s="8347"/>
      <c r="BC147" s="8348"/>
      <c r="BD147" s="8354"/>
      <c r="BF147" s="14422"/>
      <c r="BG147" s="14422"/>
      <c r="BH147" s="14422"/>
      <c r="BI147" s="14422"/>
      <c r="BJ147" s="14422"/>
      <c r="BK147" s="8316"/>
      <c r="BL147" s="14422"/>
      <c r="BM147" s="14422"/>
      <c r="BN147" s="14422"/>
    </row>
    <row r="148" spans="1:66" ht="30" hidden="1" customHeight="1" thickBot="1">
      <c r="A148" s="13801"/>
      <c r="B148" s="13798"/>
      <c r="C148" s="13583"/>
      <c r="D148" s="11765" t="s">
        <v>26</v>
      </c>
      <c r="E148" s="11766" t="s">
        <v>390</v>
      </c>
      <c r="F148" s="11767"/>
      <c r="G148" s="13795"/>
      <c r="H148" s="11768" t="s">
        <v>2160</v>
      </c>
      <c r="I148" s="11769">
        <f>0.9/4</f>
        <v>0.22500000000000001</v>
      </c>
      <c r="K148" s="8355"/>
      <c r="L148" s="8356"/>
      <c r="M148" s="8356"/>
      <c r="N148" s="8357"/>
      <c r="O148" s="8357"/>
      <c r="P148" s="8358"/>
      <c r="Q148" s="8359"/>
      <c r="R148" s="8360"/>
      <c r="S148" s="8361"/>
      <c r="T148" s="8362"/>
      <c r="U148" s="8359"/>
      <c r="V148" s="8360"/>
      <c r="W148" s="8362"/>
      <c r="X148" s="8360"/>
      <c r="Y148" s="8362"/>
      <c r="Z148" s="8360"/>
      <c r="AA148" s="8361"/>
      <c r="AB148" s="8361"/>
      <c r="AC148" s="8361"/>
      <c r="AD148" s="8361"/>
      <c r="AE148" s="8361"/>
      <c r="AF148" s="8362"/>
      <c r="AG148" s="8360"/>
      <c r="AH148" s="8361"/>
      <c r="AI148" s="8361"/>
      <c r="AJ148" s="8361"/>
      <c r="AK148" s="8361"/>
      <c r="AL148" s="8361"/>
      <c r="AM148" s="8361"/>
      <c r="AN148" s="8362"/>
      <c r="AO148" s="8360"/>
      <c r="AP148" s="8361"/>
      <c r="AQ148" s="8361"/>
      <c r="AR148" s="8361"/>
      <c r="AS148" s="8361"/>
      <c r="AT148" s="8362"/>
      <c r="AU148" s="8363"/>
      <c r="AV148" s="8363"/>
      <c r="AW148" s="8363"/>
      <c r="AX148" s="8355"/>
      <c r="AY148" s="8358"/>
      <c r="AZ148" s="8363"/>
      <c r="BA148" s="8355"/>
      <c r="BB148" s="8357"/>
      <c r="BC148" s="8358"/>
      <c r="BD148" s="8364"/>
      <c r="BF148" s="14425"/>
      <c r="BG148" s="14425"/>
      <c r="BH148" s="14425"/>
      <c r="BI148" s="14425"/>
      <c r="BJ148" s="14425"/>
      <c r="BK148" s="8365"/>
      <c r="BL148" s="14425"/>
      <c r="BM148" s="14425"/>
      <c r="BN148" s="14425"/>
    </row>
    <row r="149" spans="1:66" ht="30" hidden="1" customHeight="1">
      <c r="A149" s="13805">
        <v>78</v>
      </c>
      <c r="B149" s="13802" t="s">
        <v>4893</v>
      </c>
      <c r="C149" s="13583"/>
      <c r="D149" s="11770" t="s">
        <v>26</v>
      </c>
      <c r="E149" s="11771" t="s">
        <v>390</v>
      </c>
      <c r="F149" s="11772"/>
      <c r="G149" s="13846" t="s">
        <v>2163</v>
      </c>
      <c r="H149" s="13862" t="s">
        <v>10355</v>
      </c>
      <c r="I149" s="13853">
        <v>1</v>
      </c>
      <c r="K149" s="8367"/>
      <c r="L149" s="8368"/>
      <c r="M149" s="8368"/>
      <c r="N149" s="8369"/>
      <c r="O149" s="8369"/>
      <c r="P149" s="8370"/>
      <c r="Q149" s="8371"/>
      <c r="R149" s="8372"/>
      <c r="S149" s="8373"/>
      <c r="T149" s="8374"/>
      <c r="U149" s="8371"/>
      <c r="V149" s="8372"/>
      <c r="W149" s="8374"/>
      <c r="X149" s="8372"/>
      <c r="Y149" s="8374"/>
      <c r="Z149" s="8372"/>
      <c r="AA149" s="8373"/>
      <c r="AB149" s="8373"/>
      <c r="AC149" s="8373"/>
      <c r="AD149" s="8373"/>
      <c r="AE149" s="8373"/>
      <c r="AF149" s="8374"/>
      <c r="AG149" s="8372"/>
      <c r="AH149" s="8373"/>
      <c r="AI149" s="8373"/>
      <c r="AJ149" s="8373"/>
      <c r="AK149" s="8373"/>
      <c r="AL149" s="8373"/>
      <c r="AM149" s="8373"/>
      <c r="AN149" s="8374"/>
      <c r="AO149" s="8372"/>
      <c r="AP149" s="8373"/>
      <c r="AQ149" s="8373"/>
      <c r="AR149" s="8373"/>
      <c r="AS149" s="8373"/>
      <c r="AT149" s="8374"/>
      <c r="AU149" s="8375"/>
      <c r="AV149" s="8375"/>
      <c r="AW149" s="8375"/>
      <c r="AX149" s="8367"/>
      <c r="AY149" s="8370"/>
      <c r="AZ149" s="8375"/>
      <c r="BA149" s="8367"/>
      <c r="BB149" s="8369"/>
      <c r="BC149" s="8370"/>
      <c r="BD149" s="8376"/>
      <c r="BF149" s="14426"/>
      <c r="BG149" s="14426"/>
      <c r="BH149" s="14426"/>
      <c r="BI149" s="14426"/>
      <c r="BJ149" s="14426"/>
      <c r="BK149" s="8366"/>
      <c r="BL149" s="14426"/>
      <c r="BM149" s="14426"/>
      <c r="BN149" s="14426"/>
    </row>
    <row r="150" spans="1:66" ht="30" hidden="1" customHeight="1">
      <c r="A150" s="13806"/>
      <c r="B150" s="13803"/>
      <c r="C150" s="13583"/>
      <c r="D150" s="11773" t="s">
        <v>10063</v>
      </c>
      <c r="E150" s="11774"/>
      <c r="F150" s="11775" t="s">
        <v>2187</v>
      </c>
      <c r="G150" s="13847"/>
      <c r="H150" s="13447"/>
      <c r="I150" s="13854"/>
      <c r="K150" s="8378"/>
      <c r="L150" s="8379"/>
      <c r="M150" s="8379"/>
      <c r="N150" s="8380"/>
      <c r="O150" s="8380"/>
      <c r="P150" s="8381"/>
      <c r="Q150" s="8382"/>
      <c r="R150" s="8383"/>
      <c r="S150" s="8384"/>
      <c r="T150" s="8385"/>
      <c r="U150" s="8382"/>
      <c r="V150" s="8383"/>
      <c r="W150" s="8385"/>
      <c r="X150" s="8383"/>
      <c r="Y150" s="8385"/>
      <c r="Z150" s="8383"/>
      <c r="AA150" s="8384"/>
      <c r="AB150" s="8384"/>
      <c r="AC150" s="8384"/>
      <c r="AD150" s="8384"/>
      <c r="AE150" s="8384"/>
      <c r="AF150" s="8385"/>
      <c r="AG150" s="8383"/>
      <c r="AH150" s="8384"/>
      <c r="AI150" s="8384"/>
      <c r="AJ150" s="8384"/>
      <c r="AK150" s="8384"/>
      <c r="AL150" s="8384"/>
      <c r="AM150" s="8384"/>
      <c r="AN150" s="8385"/>
      <c r="AO150" s="8383"/>
      <c r="AP150" s="8384"/>
      <c r="AQ150" s="8384"/>
      <c r="AR150" s="8384"/>
      <c r="AS150" s="8384"/>
      <c r="AT150" s="8385"/>
      <c r="AU150" s="8386"/>
      <c r="AV150" s="8386"/>
      <c r="AW150" s="8386"/>
      <c r="AX150" s="8378"/>
      <c r="AY150" s="8381"/>
      <c r="AZ150" s="8386"/>
      <c r="BA150" s="8378"/>
      <c r="BB150" s="8380"/>
      <c r="BC150" s="8381"/>
      <c r="BD150" s="8387"/>
      <c r="BF150" s="14427"/>
      <c r="BG150" s="14427"/>
      <c r="BH150" s="14427"/>
      <c r="BI150" s="14427"/>
      <c r="BJ150" s="14427"/>
      <c r="BK150" s="8377"/>
      <c r="BL150" s="14427"/>
      <c r="BM150" s="14427"/>
      <c r="BN150" s="14427"/>
    </row>
    <row r="151" spans="1:66" ht="30" hidden="1" customHeight="1">
      <c r="A151" s="13806"/>
      <c r="B151" s="13803"/>
      <c r="C151" s="13583"/>
      <c r="D151" s="11773" t="s">
        <v>26</v>
      </c>
      <c r="E151" s="11774" t="s">
        <v>390</v>
      </c>
      <c r="F151" s="11775"/>
      <c r="G151" s="13847"/>
      <c r="H151" s="13447" t="s">
        <v>10356</v>
      </c>
      <c r="I151" s="13854">
        <v>1</v>
      </c>
      <c r="K151" s="8378"/>
      <c r="L151" s="8379"/>
      <c r="M151" s="8379"/>
      <c r="N151" s="8380"/>
      <c r="O151" s="8380"/>
      <c r="P151" s="8381"/>
      <c r="Q151" s="8382"/>
      <c r="R151" s="8383"/>
      <c r="S151" s="8384"/>
      <c r="T151" s="8385"/>
      <c r="U151" s="8382"/>
      <c r="V151" s="8383"/>
      <c r="W151" s="8385"/>
      <c r="X151" s="8383"/>
      <c r="Y151" s="8385"/>
      <c r="Z151" s="8383"/>
      <c r="AA151" s="8384"/>
      <c r="AB151" s="8384"/>
      <c r="AC151" s="8384"/>
      <c r="AD151" s="8384"/>
      <c r="AE151" s="8384"/>
      <c r="AF151" s="8385"/>
      <c r="AG151" s="8383"/>
      <c r="AH151" s="8384"/>
      <c r="AI151" s="8384"/>
      <c r="AJ151" s="8384"/>
      <c r="AK151" s="8384"/>
      <c r="AL151" s="8384"/>
      <c r="AM151" s="8384"/>
      <c r="AN151" s="8385"/>
      <c r="AO151" s="8383"/>
      <c r="AP151" s="8384"/>
      <c r="AQ151" s="8384"/>
      <c r="AR151" s="8384"/>
      <c r="AS151" s="8384"/>
      <c r="AT151" s="8385"/>
      <c r="AU151" s="8386"/>
      <c r="AV151" s="8386"/>
      <c r="AW151" s="8386"/>
      <c r="AX151" s="8378"/>
      <c r="AY151" s="8381"/>
      <c r="AZ151" s="8386"/>
      <c r="BA151" s="8378"/>
      <c r="BB151" s="8380"/>
      <c r="BC151" s="8381"/>
      <c r="BD151" s="8387"/>
      <c r="BF151" s="14427"/>
      <c r="BG151" s="14427"/>
      <c r="BH151" s="14427"/>
      <c r="BI151" s="14427"/>
      <c r="BJ151" s="14427"/>
      <c r="BK151" s="8377"/>
      <c r="BL151" s="14427"/>
      <c r="BM151" s="14427"/>
      <c r="BN151" s="14427"/>
    </row>
    <row r="152" spans="1:66" ht="30" hidden="1" customHeight="1">
      <c r="A152" s="13807"/>
      <c r="B152" s="13804"/>
      <c r="C152" s="13583"/>
      <c r="D152" s="11773" t="s">
        <v>10063</v>
      </c>
      <c r="E152" s="11774"/>
      <c r="F152" s="11775" t="s">
        <v>2187</v>
      </c>
      <c r="G152" s="13847"/>
      <c r="H152" s="13447"/>
      <c r="I152" s="13854"/>
      <c r="K152" s="8378"/>
      <c r="L152" s="8379"/>
      <c r="M152" s="8379"/>
      <c r="N152" s="8380"/>
      <c r="O152" s="8380"/>
      <c r="P152" s="8381"/>
      <c r="Q152" s="8382"/>
      <c r="R152" s="8383"/>
      <c r="S152" s="8384"/>
      <c r="T152" s="8385"/>
      <c r="U152" s="8382"/>
      <c r="V152" s="8383"/>
      <c r="W152" s="8385"/>
      <c r="X152" s="8383"/>
      <c r="Y152" s="8385"/>
      <c r="Z152" s="8383"/>
      <c r="AA152" s="8384"/>
      <c r="AB152" s="8384"/>
      <c r="AC152" s="8384"/>
      <c r="AD152" s="8384"/>
      <c r="AE152" s="8384"/>
      <c r="AF152" s="8385"/>
      <c r="AG152" s="8383"/>
      <c r="AH152" s="8384"/>
      <c r="AI152" s="8384"/>
      <c r="AJ152" s="8384"/>
      <c r="AK152" s="8384"/>
      <c r="AL152" s="8384"/>
      <c r="AM152" s="8384"/>
      <c r="AN152" s="8385"/>
      <c r="AO152" s="8383"/>
      <c r="AP152" s="8384"/>
      <c r="AQ152" s="8384"/>
      <c r="AR152" s="8384"/>
      <c r="AS152" s="8384"/>
      <c r="AT152" s="8385"/>
      <c r="AU152" s="8386"/>
      <c r="AV152" s="8386"/>
      <c r="AW152" s="8386"/>
      <c r="AX152" s="8378"/>
      <c r="AY152" s="8381"/>
      <c r="AZ152" s="8386"/>
      <c r="BA152" s="8378"/>
      <c r="BB152" s="8380"/>
      <c r="BC152" s="8381"/>
      <c r="BD152" s="8387"/>
      <c r="BF152" s="14427"/>
      <c r="BG152" s="14427"/>
      <c r="BH152" s="14427"/>
      <c r="BI152" s="14427"/>
      <c r="BJ152" s="14427"/>
      <c r="BK152" s="8377"/>
      <c r="BL152" s="14427"/>
      <c r="BM152" s="14427"/>
      <c r="BN152" s="14427"/>
    </row>
    <row r="153" spans="1:66" ht="30" hidden="1" customHeight="1">
      <c r="A153" s="8171">
        <v>79</v>
      </c>
      <c r="B153" s="8172" t="s">
        <v>4895</v>
      </c>
      <c r="C153" s="13583"/>
      <c r="D153" s="11776" t="s">
        <v>26</v>
      </c>
      <c r="E153" s="11774" t="s">
        <v>390</v>
      </c>
      <c r="F153" s="11775"/>
      <c r="G153" s="11775" t="s">
        <v>2167</v>
      </c>
      <c r="H153" s="11711" t="s">
        <v>2168</v>
      </c>
      <c r="I153" s="11777">
        <v>0.6</v>
      </c>
      <c r="K153" s="8388"/>
      <c r="L153" s="8389"/>
      <c r="M153" s="8389"/>
      <c r="N153" s="8390"/>
      <c r="O153" s="8390"/>
      <c r="P153" s="8391"/>
      <c r="Q153" s="8392"/>
      <c r="R153" s="8393"/>
      <c r="S153" s="8394"/>
      <c r="T153" s="8395"/>
      <c r="U153" s="8392"/>
      <c r="V153" s="8393"/>
      <c r="W153" s="8395"/>
      <c r="X153" s="8393"/>
      <c r="Y153" s="8395"/>
      <c r="Z153" s="8393"/>
      <c r="AA153" s="8394"/>
      <c r="AB153" s="8394"/>
      <c r="AC153" s="8394"/>
      <c r="AD153" s="8394"/>
      <c r="AE153" s="8394"/>
      <c r="AF153" s="8395"/>
      <c r="AG153" s="8393"/>
      <c r="AH153" s="8394"/>
      <c r="AI153" s="8394"/>
      <c r="AJ153" s="8394"/>
      <c r="AK153" s="8394"/>
      <c r="AL153" s="8394"/>
      <c r="AM153" s="8394"/>
      <c r="AN153" s="8395"/>
      <c r="AO153" s="8393"/>
      <c r="AP153" s="8394"/>
      <c r="AQ153" s="8394"/>
      <c r="AR153" s="8394"/>
      <c r="AS153" s="8394"/>
      <c r="AT153" s="8395"/>
      <c r="AU153" s="8396"/>
      <c r="AV153" s="8396"/>
      <c r="AW153" s="8396"/>
      <c r="AX153" s="8388"/>
      <c r="AY153" s="8391"/>
      <c r="AZ153" s="8396"/>
      <c r="BA153" s="8388"/>
      <c r="BB153" s="8390"/>
      <c r="BC153" s="8391"/>
      <c r="BD153" s="8397"/>
      <c r="BF153" s="8377"/>
      <c r="BG153" s="8377"/>
      <c r="BH153" s="8377"/>
      <c r="BI153" s="8377"/>
      <c r="BJ153" s="8377"/>
      <c r="BK153" s="8377"/>
      <c r="BL153" s="8377"/>
      <c r="BM153" s="8377"/>
      <c r="BN153" s="8377"/>
    </row>
    <row r="154" spans="1:66" ht="30" hidden="1" customHeight="1">
      <c r="A154" s="8171">
        <v>80</v>
      </c>
      <c r="B154" s="8172" t="s">
        <v>4896</v>
      </c>
      <c r="C154" s="13583"/>
      <c r="D154" s="11708" t="s">
        <v>10063</v>
      </c>
      <c r="E154" s="11778" t="s">
        <v>2174</v>
      </c>
      <c r="F154" s="11775"/>
      <c r="G154" s="11775" t="s">
        <v>2173</v>
      </c>
      <c r="H154" s="11711" t="s">
        <v>10357</v>
      </c>
      <c r="I154" s="11779" t="s">
        <v>2177</v>
      </c>
      <c r="K154" s="8398"/>
      <c r="L154" s="8399"/>
      <c r="M154" s="8399"/>
      <c r="N154" s="8400"/>
      <c r="O154" s="8400"/>
      <c r="P154" s="8401"/>
      <c r="Q154" s="8402"/>
      <c r="R154" s="8403"/>
      <c r="S154" s="8404"/>
      <c r="T154" s="8405"/>
      <c r="U154" s="8402"/>
      <c r="V154" s="8403"/>
      <c r="W154" s="8405"/>
      <c r="X154" s="8403"/>
      <c r="Y154" s="8405"/>
      <c r="Z154" s="8403"/>
      <c r="AA154" s="8404"/>
      <c r="AB154" s="8404"/>
      <c r="AC154" s="8404"/>
      <c r="AD154" s="8404"/>
      <c r="AE154" s="8404"/>
      <c r="AF154" s="8405"/>
      <c r="AG154" s="8403"/>
      <c r="AH154" s="8404"/>
      <c r="AI154" s="8404"/>
      <c r="AJ154" s="8404"/>
      <c r="AK154" s="8404"/>
      <c r="AL154" s="8404"/>
      <c r="AM154" s="8404"/>
      <c r="AN154" s="8405"/>
      <c r="AO154" s="8403"/>
      <c r="AP154" s="8404"/>
      <c r="AQ154" s="8404"/>
      <c r="AR154" s="8404"/>
      <c r="AS154" s="8404"/>
      <c r="AT154" s="8405"/>
      <c r="AU154" s="8406"/>
      <c r="AV154" s="8406"/>
      <c r="AW154" s="8406"/>
      <c r="AX154" s="8398"/>
      <c r="AY154" s="8401"/>
      <c r="AZ154" s="8406"/>
      <c r="BA154" s="8398"/>
      <c r="BB154" s="8400"/>
      <c r="BC154" s="8401"/>
      <c r="BD154" s="8407"/>
      <c r="BF154" s="8377"/>
      <c r="BG154" s="8377"/>
      <c r="BH154" s="8377"/>
      <c r="BI154" s="8377"/>
      <c r="BJ154" s="8377"/>
      <c r="BK154" s="8377"/>
      <c r="BL154" s="8377"/>
      <c r="BM154" s="8377"/>
      <c r="BN154" s="8377"/>
    </row>
    <row r="155" spans="1:66" ht="30" hidden="1" customHeight="1">
      <c r="A155" s="13675">
        <v>81</v>
      </c>
      <c r="B155" s="13848" t="s">
        <v>4897</v>
      </c>
      <c r="C155" s="13583"/>
      <c r="D155" s="11708" t="s">
        <v>10063</v>
      </c>
      <c r="E155" s="11778" t="s">
        <v>2174</v>
      </c>
      <c r="F155" s="11775"/>
      <c r="G155" s="13847" t="s">
        <v>2178</v>
      </c>
      <c r="H155" s="13447" t="s">
        <v>2179</v>
      </c>
      <c r="I155" s="13855" t="s">
        <v>2181</v>
      </c>
      <c r="K155" s="8398"/>
      <c r="L155" s="8399"/>
      <c r="M155" s="8399"/>
      <c r="N155" s="8400"/>
      <c r="O155" s="8400"/>
      <c r="P155" s="8401"/>
      <c r="Q155" s="8402"/>
      <c r="R155" s="8403"/>
      <c r="S155" s="8404"/>
      <c r="T155" s="8405"/>
      <c r="U155" s="8402"/>
      <c r="V155" s="8403"/>
      <c r="W155" s="8405"/>
      <c r="X155" s="8403"/>
      <c r="Y155" s="8405"/>
      <c r="Z155" s="8403"/>
      <c r="AA155" s="8404"/>
      <c r="AB155" s="8404"/>
      <c r="AC155" s="8404"/>
      <c r="AD155" s="8404"/>
      <c r="AE155" s="8404"/>
      <c r="AF155" s="8405"/>
      <c r="AG155" s="8403"/>
      <c r="AH155" s="8404"/>
      <c r="AI155" s="8404"/>
      <c r="AJ155" s="8404"/>
      <c r="AK155" s="8404"/>
      <c r="AL155" s="8404"/>
      <c r="AM155" s="8404"/>
      <c r="AN155" s="8405"/>
      <c r="AO155" s="8403"/>
      <c r="AP155" s="8404"/>
      <c r="AQ155" s="8404"/>
      <c r="AR155" s="8404"/>
      <c r="AS155" s="8404"/>
      <c r="AT155" s="8405"/>
      <c r="AU155" s="8406"/>
      <c r="AV155" s="8406"/>
      <c r="AW155" s="8406"/>
      <c r="AX155" s="8398"/>
      <c r="AY155" s="8401"/>
      <c r="AZ155" s="8406"/>
      <c r="BA155" s="8398"/>
      <c r="BB155" s="8400"/>
      <c r="BC155" s="8401"/>
      <c r="BD155" s="8407"/>
      <c r="BF155" s="14427"/>
      <c r="BG155" s="14427"/>
      <c r="BH155" s="14427"/>
      <c r="BI155" s="14427"/>
      <c r="BJ155" s="14427"/>
      <c r="BK155" s="8377"/>
      <c r="BL155" s="14427"/>
      <c r="BM155" s="14427"/>
      <c r="BN155" s="14427"/>
    </row>
    <row r="156" spans="1:66" ht="30" hidden="1" customHeight="1" thickBot="1">
      <c r="A156" s="13676"/>
      <c r="B156" s="13849"/>
      <c r="C156" s="13583"/>
      <c r="D156" s="11780" t="s">
        <v>2896</v>
      </c>
      <c r="E156" s="11781"/>
      <c r="F156" s="11782" t="s">
        <v>163</v>
      </c>
      <c r="G156" s="13850"/>
      <c r="H156" s="13448"/>
      <c r="I156" s="13856"/>
      <c r="K156" s="8409"/>
      <c r="L156" s="8410"/>
      <c r="M156" s="8410"/>
      <c r="N156" s="8411"/>
      <c r="O156" s="8411"/>
      <c r="P156" s="8412"/>
      <c r="Q156" s="8413"/>
      <c r="R156" s="8414"/>
      <c r="S156" s="8415"/>
      <c r="T156" s="8416"/>
      <c r="U156" s="8413"/>
      <c r="V156" s="8414"/>
      <c r="W156" s="8416"/>
      <c r="X156" s="8414"/>
      <c r="Y156" s="8416"/>
      <c r="Z156" s="8414"/>
      <c r="AA156" s="8415"/>
      <c r="AB156" s="8415"/>
      <c r="AC156" s="8415"/>
      <c r="AD156" s="8415"/>
      <c r="AE156" s="8415"/>
      <c r="AF156" s="8416"/>
      <c r="AG156" s="8414"/>
      <c r="AH156" s="8415"/>
      <c r="AI156" s="8415"/>
      <c r="AJ156" s="8415"/>
      <c r="AK156" s="8415"/>
      <c r="AL156" s="8415"/>
      <c r="AM156" s="8415"/>
      <c r="AN156" s="8416"/>
      <c r="AO156" s="8414"/>
      <c r="AP156" s="8415"/>
      <c r="AQ156" s="8415"/>
      <c r="AR156" s="8415"/>
      <c r="AS156" s="8415"/>
      <c r="AT156" s="8416"/>
      <c r="AU156" s="8417"/>
      <c r="AV156" s="8417"/>
      <c r="AW156" s="8417"/>
      <c r="AX156" s="8409"/>
      <c r="AY156" s="8412"/>
      <c r="AZ156" s="8417"/>
      <c r="BA156" s="8409"/>
      <c r="BB156" s="8411"/>
      <c r="BC156" s="8412"/>
      <c r="BD156" s="8418"/>
      <c r="BF156" s="14428"/>
      <c r="BG156" s="14428"/>
      <c r="BH156" s="14428"/>
      <c r="BI156" s="14428"/>
      <c r="BJ156" s="14428"/>
      <c r="BK156" s="8408"/>
      <c r="BL156" s="14428"/>
      <c r="BM156" s="14428"/>
      <c r="BN156" s="14428"/>
    </row>
    <row r="157" spans="1:66" ht="30" customHeight="1">
      <c r="A157" s="13541">
        <v>82</v>
      </c>
      <c r="B157" s="13881" t="s">
        <v>4898</v>
      </c>
      <c r="C157" s="13583"/>
      <c r="D157" s="11783" t="s">
        <v>86</v>
      </c>
      <c r="E157" s="11784" t="s">
        <v>422</v>
      </c>
      <c r="F157" s="11785"/>
      <c r="G157" s="13883" t="s">
        <v>2184</v>
      </c>
      <c r="H157" s="13945" t="s">
        <v>2185</v>
      </c>
      <c r="I157" s="13865" t="s">
        <v>2188</v>
      </c>
      <c r="K157" s="8419">
        <v>2921</v>
      </c>
      <c r="L157" s="8422"/>
      <c r="M157" s="8422"/>
      <c r="N157" s="8423" t="s">
        <v>10516</v>
      </c>
      <c r="O157" s="8423" t="s">
        <v>10517</v>
      </c>
      <c r="P157" s="8424"/>
      <c r="Q157" s="8425"/>
      <c r="R157" s="8426"/>
      <c r="S157" s="8427"/>
      <c r="T157" s="8428"/>
      <c r="U157" s="9516">
        <v>2921</v>
      </c>
      <c r="V157" s="8425">
        <v>1454</v>
      </c>
      <c r="W157" s="8425">
        <v>1467</v>
      </c>
      <c r="X157" s="8425">
        <v>1739</v>
      </c>
      <c r="Y157" s="8425">
        <v>1182</v>
      </c>
      <c r="Z157" s="8425">
        <v>1945</v>
      </c>
      <c r="AA157" s="8425">
        <v>976</v>
      </c>
      <c r="AB157" s="8427"/>
      <c r="AC157" s="8427"/>
      <c r="AD157" s="8427"/>
      <c r="AE157" s="8427"/>
      <c r="AF157" s="8428"/>
      <c r="AG157" s="8428">
        <v>2617</v>
      </c>
      <c r="AH157" s="8428">
        <v>36</v>
      </c>
      <c r="AI157" s="8428">
        <v>268</v>
      </c>
      <c r="AJ157" s="8427"/>
      <c r="AK157" s="8427"/>
      <c r="AL157" s="8427"/>
      <c r="AM157" s="8427"/>
      <c r="AN157" s="8428"/>
      <c r="AO157" s="8426">
        <v>2703</v>
      </c>
      <c r="AP157" s="8427">
        <v>187</v>
      </c>
      <c r="AQ157" s="8427">
        <v>31</v>
      </c>
      <c r="AR157" s="8427"/>
      <c r="AS157" s="8427"/>
      <c r="AT157" s="8428"/>
      <c r="AU157" s="8429"/>
      <c r="AV157" s="8429"/>
      <c r="AW157" s="8429"/>
      <c r="AX157" s="8421"/>
      <c r="AY157" s="8424"/>
      <c r="AZ157" s="8429"/>
      <c r="BA157" s="8421"/>
      <c r="BB157" s="8423"/>
      <c r="BC157" s="8424"/>
      <c r="BD157" s="8430"/>
      <c r="BF157" s="14429"/>
      <c r="BG157" s="14429"/>
      <c r="BH157" s="14429"/>
      <c r="BI157" s="14429"/>
      <c r="BJ157" s="14429"/>
      <c r="BK157" s="13051"/>
      <c r="BL157" s="14429"/>
      <c r="BM157" s="14429"/>
      <c r="BN157" s="14429"/>
    </row>
    <row r="158" spans="1:66" ht="30" hidden="1" customHeight="1">
      <c r="A158" s="13528"/>
      <c r="B158" s="13882"/>
      <c r="C158" s="13583"/>
      <c r="D158" s="11786" t="s">
        <v>10063</v>
      </c>
      <c r="E158" s="7833"/>
      <c r="F158" s="11656" t="s">
        <v>2187</v>
      </c>
      <c r="G158" s="13783"/>
      <c r="H158" s="13413"/>
      <c r="I158" s="13866"/>
      <c r="K158" s="8432"/>
      <c r="L158" s="7965"/>
      <c r="M158" s="7965"/>
      <c r="N158" s="8433"/>
      <c r="O158" s="8433"/>
      <c r="P158" s="8434"/>
      <c r="Q158" s="7967"/>
      <c r="R158" s="7968"/>
      <c r="S158" s="7969"/>
      <c r="T158" s="7970"/>
      <c r="U158" s="7967"/>
      <c r="V158" s="7968"/>
      <c r="W158" s="7970"/>
      <c r="X158" s="7968"/>
      <c r="Y158" s="7970"/>
      <c r="Z158" s="7968"/>
      <c r="AA158" s="7969"/>
      <c r="AB158" s="7969"/>
      <c r="AC158" s="7969"/>
      <c r="AD158" s="7969"/>
      <c r="AE158" s="7969"/>
      <c r="AF158" s="7970"/>
      <c r="AG158" s="7968"/>
      <c r="AH158" s="7969"/>
      <c r="AI158" s="7969"/>
      <c r="AJ158" s="7969"/>
      <c r="AK158" s="7969"/>
      <c r="AL158" s="7969"/>
      <c r="AM158" s="7969"/>
      <c r="AN158" s="7970"/>
      <c r="AO158" s="7968"/>
      <c r="AP158" s="7969"/>
      <c r="AQ158" s="7969"/>
      <c r="AR158" s="7969"/>
      <c r="AS158" s="7969"/>
      <c r="AT158" s="7970"/>
      <c r="AU158" s="8435"/>
      <c r="AV158" s="8435"/>
      <c r="AW158" s="8435"/>
      <c r="AX158" s="8432"/>
      <c r="AY158" s="8434"/>
      <c r="AZ158" s="8435"/>
      <c r="BA158" s="8432"/>
      <c r="BB158" s="8433"/>
      <c r="BC158" s="8434"/>
      <c r="BD158" s="8436"/>
      <c r="BF158" s="14404"/>
      <c r="BG158" s="14404"/>
      <c r="BH158" s="14404"/>
      <c r="BI158" s="14404"/>
      <c r="BJ158" s="14404"/>
      <c r="BK158" s="7946"/>
      <c r="BL158" s="14404"/>
      <c r="BM158" s="14404"/>
      <c r="BN158" s="14404"/>
    </row>
    <row r="159" spans="1:66" ht="30" customHeight="1">
      <c r="A159" s="7952">
        <v>83</v>
      </c>
      <c r="B159" s="8437" t="s">
        <v>4899</v>
      </c>
      <c r="C159" s="13583"/>
      <c r="D159" s="11786" t="s">
        <v>86</v>
      </c>
      <c r="E159" s="7833" t="s">
        <v>422</v>
      </c>
      <c r="F159" s="11656"/>
      <c r="G159" s="13004" t="s">
        <v>2189</v>
      </c>
      <c r="H159" s="12980" t="s">
        <v>2190</v>
      </c>
      <c r="I159" s="13011" t="s">
        <v>2192</v>
      </c>
      <c r="K159" s="8431"/>
      <c r="L159" s="7965"/>
      <c r="M159" s="7965"/>
      <c r="N159" s="8433" t="s">
        <v>10579</v>
      </c>
      <c r="O159" s="8433"/>
      <c r="P159" s="8434"/>
      <c r="Q159" s="7967"/>
      <c r="R159" s="7968"/>
      <c r="S159" s="7969"/>
      <c r="T159" s="7970"/>
      <c r="U159" s="7967"/>
      <c r="V159" s="7968"/>
      <c r="W159" s="7970"/>
      <c r="X159" s="7968"/>
      <c r="Y159" s="7970"/>
      <c r="Z159" s="7968"/>
      <c r="AA159" s="7969"/>
      <c r="AB159" s="7969"/>
      <c r="AC159" s="7969"/>
      <c r="AD159" s="7969"/>
      <c r="AE159" s="7969"/>
      <c r="AF159" s="7970"/>
      <c r="AG159" s="7968"/>
      <c r="AH159" s="7969"/>
      <c r="AI159" s="7969"/>
      <c r="AJ159" s="7969"/>
      <c r="AK159" s="7969"/>
      <c r="AL159" s="7969"/>
      <c r="AM159" s="7969"/>
      <c r="AN159" s="7970"/>
      <c r="AO159" s="7968"/>
      <c r="AP159" s="7969"/>
      <c r="AQ159" s="7969"/>
      <c r="AR159" s="7969"/>
      <c r="AS159" s="7969"/>
      <c r="AT159" s="7970"/>
      <c r="AU159" s="8435"/>
      <c r="AV159" s="8435"/>
      <c r="AW159" s="8435"/>
      <c r="AX159" s="8432"/>
      <c r="AY159" s="8434"/>
      <c r="AZ159" s="8435"/>
      <c r="BA159" s="8432"/>
      <c r="BB159" s="8433"/>
      <c r="BC159" s="8434"/>
      <c r="BD159" s="8436"/>
      <c r="BF159" s="7946"/>
      <c r="BG159" s="7946"/>
      <c r="BH159" s="7946"/>
      <c r="BI159" s="7946"/>
      <c r="BJ159" s="7946"/>
      <c r="BK159" s="13047"/>
      <c r="BL159" s="13047"/>
      <c r="BM159" s="7946"/>
      <c r="BN159" s="7946"/>
    </row>
    <row r="160" spans="1:66" ht="30" customHeight="1">
      <c r="A160" s="7952">
        <v>84</v>
      </c>
      <c r="B160" s="8437" t="s">
        <v>4900</v>
      </c>
      <c r="C160" s="13583"/>
      <c r="D160" s="11788" t="s">
        <v>86</v>
      </c>
      <c r="E160" s="7833" t="s">
        <v>422</v>
      </c>
      <c r="F160" s="11656"/>
      <c r="G160" s="13004" t="s">
        <v>2193</v>
      </c>
      <c r="H160" s="12980" t="s">
        <v>2194</v>
      </c>
      <c r="I160" s="13006">
        <v>1</v>
      </c>
      <c r="K160" s="9894" t="s">
        <v>10551</v>
      </c>
      <c r="L160" s="7955"/>
      <c r="M160" s="7955"/>
      <c r="N160" s="10930" t="s">
        <v>10552</v>
      </c>
      <c r="O160" s="10930" t="s">
        <v>10553</v>
      </c>
      <c r="P160" s="8440"/>
      <c r="Q160" s="7958"/>
      <c r="R160" s="7959"/>
      <c r="S160" s="7960"/>
      <c r="T160" s="7961"/>
      <c r="U160" s="7958"/>
      <c r="V160" s="7959"/>
      <c r="W160" s="7961"/>
      <c r="X160" s="7959"/>
      <c r="Y160" s="7961"/>
      <c r="Z160" s="7959"/>
      <c r="AA160" s="7960"/>
      <c r="AB160" s="7960"/>
      <c r="AC160" s="7960"/>
      <c r="AD160" s="7960"/>
      <c r="AE160" s="7960"/>
      <c r="AF160" s="7961"/>
      <c r="AG160" s="7959"/>
      <c r="AH160" s="7960"/>
      <c r="AI160" s="7960"/>
      <c r="AJ160" s="7960"/>
      <c r="AK160" s="7960"/>
      <c r="AL160" s="7960"/>
      <c r="AM160" s="7960"/>
      <c r="AN160" s="7961"/>
      <c r="AO160" s="7959"/>
      <c r="AP160" s="7960"/>
      <c r="AQ160" s="7960"/>
      <c r="AR160" s="7960"/>
      <c r="AS160" s="7960"/>
      <c r="AT160" s="7961"/>
      <c r="AU160" s="8441"/>
      <c r="AV160" s="8441"/>
      <c r="AW160" s="8441"/>
      <c r="AX160" s="8438"/>
      <c r="AY160" s="8440"/>
      <c r="AZ160" s="8441"/>
      <c r="BA160" s="8438"/>
      <c r="BB160" s="8439"/>
      <c r="BC160" s="8440"/>
      <c r="BD160" s="8442"/>
      <c r="BF160" s="7946"/>
      <c r="BG160" s="7946"/>
      <c r="BH160" s="7946"/>
      <c r="BI160" s="7946"/>
      <c r="BJ160" s="7946"/>
      <c r="BK160" s="13047"/>
      <c r="BL160" s="13047"/>
      <c r="BM160" s="7946"/>
      <c r="BN160" s="7946"/>
    </row>
    <row r="161" spans="1:66" ht="30" hidden="1" customHeight="1">
      <c r="A161" s="7952">
        <v>85</v>
      </c>
      <c r="B161" s="8437" t="s">
        <v>4901</v>
      </c>
      <c r="C161" s="13583"/>
      <c r="D161" s="11786" t="s">
        <v>2896</v>
      </c>
      <c r="E161" s="7833" t="s">
        <v>2200</v>
      </c>
      <c r="F161" s="11656"/>
      <c r="G161" s="11656" t="s">
        <v>2197</v>
      </c>
      <c r="H161" s="11657" t="s">
        <v>2198</v>
      </c>
      <c r="I161" s="11787" t="s">
        <v>2203</v>
      </c>
      <c r="K161" s="8432"/>
      <c r="L161" s="7965"/>
      <c r="M161" s="7965"/>
      <c r="N161" s="8433"/>
      <c r="O161" s="8433"/>
      <c r="P161" s="8434"/>
      <c r="Q161" s="7967"/>
      <c r="R161" s="7968"/>
      <c r="S161" s="7969"/>
      <c r="T161" s="7970"/>
      <c r="U161" s="7967"/>
      <c r="V161" s="7968"/>
      <c r="W161" s="7970"/>
      <c r="X161" s="7968"/>
      <c r="Y161" s="7970"/>
      <c r="Z161" s="7968"/>
      <c r="AA161" s="7969"/>
      <c r="AB161" s="7969"/>
      <c r="AC161" s="7969"/>
      <c r="AD161" s="7969"/>
      <c r="AE161" s="7969"/>
      <c r="AF161" s="7970"/>
      <c r="AG161" s="7968"/>
      <c r="AH161" s="7969"/>
      <c r="AI161" s="7969"/>
      <c r="AJ161" s="7969"/>
      <c r="AK161" s="7969"/>
      <c r="AL161" s="7969"/>
      <c r="AM161" s="7969"/>
      <c r="AN161" s="7970"/>
      <c r="AO161" s="7968"/>
      <c r="AP161" s="7969"/>
      <c r="AQ161" s="7969"/>
      <c r="AR161" s="7969"/>
      <c r="AS161" s="7969"/>
      <c r="AT161" s="7970"/>
      <c r="AU161" s="8435"/>
      <c r="AV161" s="8435"/>
      <c r="AW161" s="8435"/>
      <c r="AX161" s="8432"/>
      <c r="AY161" s="8434"/>
      <c r="AZ161" s="8435"/>
      <c r="BA161" s="8432"/>
      <c r="BB161" s="8433"/>
      <c r="BC161" s="8434"/>
      <c r="BD161" s="8436"/>
      <c r="BF161" s="7946"/>
      <c r="BG161" s="7946"/>
      <c r="BH161" s="7946"/>
      <c r="BI161" s="7946"/>
      <c r="BJ161" s="7946"/>
      <c r="BK161" s="7946"/>
      <c r="BL161" s="7946"/>
      <c r="BM161" s="7946"/>
      <c r="BN161" s="7946"/>
    </row>
    <row r="162" spans="1:66" ht="30" customHeight="1">
      <c r="A162" s="7952">
        <v>86</v>
      </c>
      <c r="B162" s="8437" t="s">
        <v>4902</v>
      </c>
      <c r="C162" s="13583"/>
      <c r="D162" s="11786" t="s">
        <v>86</v>
      </c>
      <c r="E162" s="7833" t="s">
        <v>422</v>
      </c>
      <c r="F162" s="11656"/>
      <c r="G162" s="13004" t="s">
        <v>2205</v>
      </c>
      <c r="H162" s="12980" t="s">
        <v>2206</v>
      </c>
      <c r="I162" s="13011" t="s">
        <v>2210</v>
      </c>
      <c r="K162" s="8431">
        <v>4</v>
      </c>
      <c r="L162" s="8443"/>
      <c r="M162" s="8443"/>
      <c r="N162" s="8444" t="s">
        <v>10580</v>
      </c>
      <c r="O162" s="8444"/>
      <c r="P162" s="8445"/>
      <c r="Q162" s="8446"/>
      <c r="R162" s="8447"/>
      <c r="S162" s="8448"/>
      <c r="T162" s="8449"/>
      <c r="U162" s="8446"/>
      <c r="V162" s="8447"/>
      <c r="W162" s="8449"/>
      <c r="X162" s="8447"/>
      <c r="Y162" s="8449"/>
      <c r="Z162" s="8447"/>
      <c r="AA162" s="8448"/>
      <c r="AB162" s="8448"/>
      <c r="AC162" s="8448"/>
      <c r="AD162" s="8448"/>
      <c r="AE162" s="8448"/>
      <c r="AF162" s="8449"/>
      <c r="AG162" s="8447"/>
      <c r="AH162" s="8448"/>
      <c r="AI162" s="8448"/>
      <c r="AJ162" s="8448"/>
      <c r="AK162" s="8448"/>
      <c r="AL162" s="8448"/>
      <c r="AM162" s="8448"/>
      <c r="AN162" s="8449"/>
      <c r="AO162" s="8447"/>
      <c r="AP162" s="8448"/>
      <c r="AQ162" s="8448"/>
      <c r="AR162" s="8448"/>
      <c r="AS162" s="8448"/>
      <c r="AT162" s="8449"/>
      <c r="AU162" s="8450"/>
      <c r="AV162" s="8450"/>
      <c r="AW162" s="8450"/>
      <c r="AX162" s="8431"/>
      <c r="AY162" s="8445"/>
      <c r="AZ162" s="8450"/>
      <c r="BA162" s="8431"/>
      <c r="BB162" s="8444"/>
      <c r="BC162" s="8445"/>
      <c r="BD162" s="12992"/>
      <c r="BF162" s="7946"/>
      <c r="BG162" s="7946"/>
      <c r="BH162" s="7946"/>
      <c r="BI162" s="7946"/>
      <c r="BJ162" s="7946"/>
      <c r="BK162" s="13047"/>
      <c r="BL162" s="13047"/>
      <c r="BM162" s="7946"/>
      <c r="BN162" s="7946"/>
    </row>
    <row r="163" spans="1:66" ht="30" customHeight="1">
      <c r="A163" s="7952">
        <v>87</v>
      </c>
      <c r="B163" s="8437" t="s">
        <v>4902</v>
      </c>
      <c r="C163" s="13583"/>
      <c r="D163" s="11786" t="s">
        <v>86</v>
      </c>
      <c r="E163" s="7833" t="s">
        <v>422</v>
      </c>
      <c r="F163" s="11656"/>
      <c r="G163" s="13004" t="s">
        <v>2211</v>
      </c>
      <c r="H163" s="12980" t="s">
        <v>2212</v>
      </c>
      <c r="I163" s="13011" t="s">
        <v>2213</v>
      </c>
      <c r="K163" s="8431"/>
      <c r="L163" s="8452"/>
      <c r="M163" s="8452"/>
      <c r="N163" s="8453"/>
      <c r="O163" s="8453"/>
      <c r="P163" s="8454"/>
      <c r="Q163" s="8455"/>
      <c r="R163" s="8456"/>
      <c r="S163" s="8457"/>
      <c r="T163" s="8458"/>
      <c r="U163" s="8455"/>
      <c r="V163" s="8456"/>
      <c r="W163" s="8458"/>
      <c r="X163" s="8456"/>
      <c r="Y163" s="8458"/>
      <c r="Z163" s="8456"/>
      <c r="AA163" s="8457"/>
      <c r="AB163" s="8457"/>
      <c r="AC163" s="8457"/>
      <c r="AD163" s="8457"/>
      <c r="AE163" s="8457"/>
      <c r="AF163" s="8458"/>
      <c r="AG163" s="8456"/>
      <c r="AH163" s="8457"/>
      <c r="AI163" s="8457"/>
      <c r="AJ163" s="8457"/>
      <c r="AK163" s="8457"/>
      <c r="AL163" s="8457"/>
      <c r="AM163" s="8457"/>
      <c r="AN163" s="8458"/>
      <c r="AO163" s="8456"/>
      <c r="AP163" s="8457"/>
      <c r="AQ163" s="8457"/>
      <c r="AR163" s="8457"/>
      <c r="AS163" s="8457"/>
      <c r="AT163" s="8458"/>
      <c r="AU163" s="8459"/>
      <c r="AV163" s="8459"/>
      <c r="AW163" s="8459"/>
      <c r="AX163" s="8451"/>
      <c r="AY163" s="8454"/>
      <c r="AZ163" s="8459"/>
      <c r="BA163" s="8451"/>
      <c r="BB163" s="8453"/>
      <c r="BC163" s="8454"/>
      <c r="BD163" s="8460"/>
      <c r="BF163" s="7946"/>
      <c r="BG163" s="7946"/>
      <c r="BH163" s="7946"/>
      <c r="BI163" s="7946"/>
      <c r="BJ163" s="7946"/>
      <c r="BK163" s="13047"/>
      <c r="BL163" s="13047"/>
      <c r="BM163" s="7946"/>
      <c r="BN163" s="7946"/>
    </row>
    <row r="164" spans="1:66" ht="30" customHeight="1" thickBot="1">
      <c r="A164" s="8461">
        <v>88</v>
      </c>
      <c r="B164" s="8462" t="s">
        <v>4902</v>
      </c>
      <c r="C164" s="13583"/>
      <c r="D164" s="11789" t="s">
        <v>86</v>
      </c>
      <c r="E164" s="7834" t="s">
        <v>422</v>
      </c>
      <c r="F164" s="11790"/>
      <c r="G164" s="13005" t="s">
        <v>2215</v>
      </c>
      <c r="H164" s="12993" t="s">
        <v>2216</v>
      </c>
      <c r="I164" s="13028" t="s">
        <v>2217</v>
      </c>
      <c r="K164" s="8463">
        <v>2247</v>
      </c>
      <c r="L164" s="8464"/>
      <c r="M164" s="8464"/>
      <c r="N164" s="8465" t="s">
        <v>10518</v>
      </c>
      <c r="O164" s="8465" t="s">
        <v>10519</v>
      </c>
      <c r="P164" s="8466" t="s">
        <v>10520</v>
      </c>
      <c r="Q164" s="8467"/>
      <c r="R164" s="8468"/>
      <c r="S164" s="8469"/>
      <c r="T164" s="8470"/>
      <c r="U164" s="8467">
        <v>2247</v>
      </c>
      <c r="V164" s="8468">
        <v>1025</v>
      </c>
      <c r="W164" s="8470">
        <v>1222</v>
      </c>
      <c r="X164" s="8468">
        <v>1482</v>
      </c>
      <c r="Y164" s="8470">
        <v>765</v>
      </c>
      <c r="Z164" s="8468">
        <v>684</v>
      </c>
      <c r="AA164" s="8469">
        <v>1563</v>
      </c>
      <c r="AB164" s="8469"/>
      <c r="AC164" s="8469"/>
      <c r="AD164" s="8469"/>
      <c r="AE164" s="8469"/>
      <c r="AF164" s="8470"/>
      <c r="AG164" s="8468">
        <v>2064</v>
      </c>
      <c r="AH164" s="8469">
        <v>5</v>
      </c>
      <c r="AI164" s="8469">
        <v>59</v>
      </c>
      <c r="AJ164" s="8469">
        <v>4</v>
      </c>
      <c r="AK164" s="8469"/>
      <c r="AL164" s="8469"/>
      <c r="AM164" s="8469"/>
      <c r="AN164" s="8470">
        <v>115</v>
      </c>
      <c r="AO164" s="8468">
        <v>2096</v>
      </c>
      <c r="AP164" s="8469">
        <v>93</v>
      </c>
      <c r="AQ164" s="8469">
        <v>58</v>
      </c>
      <c r="AR164" s="8469"/>
      <c r="AS164" s="8469"/>
      <c r="AT164" s="8470"/>
      <c r="AU164" s="8471"/>
      <c r="AV164" s="8471"/>
      <c r="AW164" s="8471"/>
      <c r="AX164" s="8463"/>
      <c r="AY164" s="8466"/>
      <c r="AZ164" s="8471"/>
      <c r="BA164" s="8463"/>
      <c r="BB164" s="8465"/>
      <c r="BC164" s="8466"/>
      <c r="BD164" s="13003"/>
      <c r="BF164" s="7983"/>
      <c r="BG164" s="7983"/>
      <c r="BH164" s="7983"/>
      <c r="BI164" s="7983"/>
      <c r="BJ164" s="7983"/>
      <c r="BK164" s="13048"/>
      <c r="BL164" s="13048"/>
      <c r="BM164" s="7983"/>
      <c r="BN164" s="7983"/>
    </row>
    <row r="165" spans="1:66" ht="30" customHeight="1">
      <c r="A165" s="8472">
        <v>89</v>
      </c>
      <c r="B165" s="8473" t="s">
        <v>4903</v>
      </c>
      <c r="C165" s="13583"/>
      <c r="D165" s="11792" t="s">
        <v>86</v>
      </c>
      <c r="E165" s="11793" t="s">
        <v>422</v>
      </c>
      <c r="F165" s="11794"/>
      <c r="G165" s="11794" t="s">
        <v>2219</v>
      </c>
      <c r="H165" s="11795" t="s">
        <v>2220</v>
      </c>
      <c r="I165" s="11796">
        <v>1</v>
      </c>
      <c r="K165" s="8475" t="s">
        <v>10581</v>
      </c>
      <c r="L165" s="8207"/>
      <c r="M165" s="8207"/>
      <c r="N165" s="8207"/>
      <c r="O165" s="8207"/>
      <c r="P165" s="8476"/>
      <c r="Q165" s="8210"/>
      <c r="R165" s="8211"/>
      <c r="S165" s="8212"/>
      <c r="T165" s="8213"/>
      <c r="U165" s="8210"/>
      <c r="V165" s="8211"/>
      <c r="W165" s="8213"/>
      <c r="X165" s="8211"/>
      <c r="Y165" s="8213"/>
      <c r="Z165" s="8211"/>
      <c r="AA165" s="8212"/>
      <c r="AB165" s="8212"/>
      <c r="AC165" s="8212"/>
      <c r="AD165" s="8212"/>
      <c r="AE165" s="8212"/>
      <c r="AF165" s="8213"/>
      <c r="AG165" s="8211"/>
      <c r="AH165" s="8212"/>
      <c r="AI165" s="8212"/>
      <c r="AJ165" s="8212"/>
      <c r="AK165" s="8212"/>
      <c r="AL165" s="8212"/>
      <c r="AM165" s="8212"/>
      <c r="AN165" s="8213"/>
      <c r="AO165" s="8211"/>
      <c r="AP165" s="8212"/>
      <c r="AQ165" s="8212"/>
      <c r="AR165" s="8212"/>
      <c r="AS165" s="8212"/>
      <c r="AT165" s="8213"/>
      <c r="AU165" s="8477"/>
      <c r="AV165" s="8477"/>
      <c r="AW165" s="8477"/>
      <c r="AX165" s="8475"/>
      <c r="AY165" s="8476"/>
      <c r="AZ165" s="8477"/>
      <c r="BA165" s="8475"/>
      <c r="BB165" s="8207"/>
      <c r="BC165" s="8476"/>
      <c r="BD165" s="8478"/>
      <c r="BF165" s="8474"/>
      <c r="BG165" s="8474"/>
      <c r="BH165" s="8474"/>
      <c r="BI165" s="8474"/>
      <c r="BJ165" s="8474"/>
      <c r="BK165" s="8474"/>
      <c r="BL165" s="8474"/>
      <c r="BM165" s="8474"/>
      <c r="BN165" s="8474"/>
    </row>
    <row r="166" spans="1:66" ht="30" customHeight="1">
      <c r="A166" s="8479">
        <v>90</v>
      </c>
      <c r="B166" s="8480" t="s">
        <v>4904</v>
      </c>
      <c r="C166" s="13583"/>
      <c r="D166" s="11797" t="s">
        <v>86</v>
      </c>
      <c r="E166" s="7848" t="s">
        <v>422</v>
      </c>
      <c r="F166" s="11798"/>
      <c r="G166" s="13009" t="s">
        <v>2222</v>
      </c>
      <c r="H166" s="12984" t="s">
        <v>2223</v>
      </c>
      <c r="I166" s="11799">
        <v>1</v>
      </c>
      <c r="K166" s="8481" t="s">
        <v>10581</v>
      </c>
      <c r="L166" s="8483"/>
      <c r="M166" s="8483"/>
      <c r="N166" s="8484"/>
      <c r="O166" s="8484"/>
      <c r="P166" s="8485"/>
      <c r="Q166" s="8486"/>
      <c r="R166" s="8487"/>
      <c r="S166" s="8488"/>
      <c r="T166" s="8489"/>
      <c r="U166" s="8486"/>
      <c r="V166" s="8487"/>
      <c r="W166" s="8489"/>
      <c r="X166" s="8487"/>
      <c r="Y166" s="8489"/>
      <c r="Z166" s="8487"/>
      <c r="AA166" s="8488"/>
      <c r="AB166" s="8488"/>
      <c r="AC166" s="8488"/>
      <c r="AD166" s="8488"/>
      <c r="AE166" s="8488"/>
      <c r="AF166" s="8489"/>
      <c r="AG166" s="8487"/>
      <c r="AH166" s="8488"/>
      <c r="AI166" s="8488"/>
      <c r="AJ166" s="8488"/>
      <c r="AK166" s="8488"/>
      <c r="AL166" s="8488"/>
      <c r="AM166" s="8488"/>
      <c r="AN166" s="8489"/>
      <c r="AO166" s="8487"/>
      <c r="AP166" s="8488"/>
      <c r="AQ166" s="8488"/>
      <c r="AR166" s="8488"/>
      <c r="AS166" s="8488"/>
      <c r="AT166" s="8489"/>
      <c r="AU166" s="8490"/>
      <c r="AV166" s="8490"/>
      <c r="AW166" s="8490"/>
      <c r="AX166" s="8481"/>
      <c r="AY166" s="8485"/>
      <c r="AZ166" s="8490"/>
      <c r="BA166" s="8481"/>
      <c r="BB166" s="8484"/>
      <c r="BC166" s="8485"/>
      <c r="BD166" s="8491"/>
      <c r="BF166" s="8482"/>
      <c r="BG166" s="8482"/>
      <c r="BH166" s="8482"/>
      <c r="BI166" s="8482"/>
      <c r="BJ166" s="8482"/>
      <c r="BK166" s="13052"/>
      <c r="BL166" s="13052"/>
      <c r="BM166" s="8482"/>
      <c r="BN166" s="8482"/>
    </row>
    <row r="167" spans="1:66" ht="30" customHeight="1">
      <c r="A167" s="8479">
        <v>91</v>
      </c>
      <c r="B167" s="8480" t="s">
        <v>4905</v>
      </c>
      <c r="C167" s="13583"/>
      <c r="D167" s="11797" t="s">
        <v>86</v>
      </c>
      <c r="E167" s="7848" t="s">
        <v>422</v>
      </c>
      <c r="F167" s="11798"/>
      <c r="G167" s="13009" t="s">
        <v>2225</v>
      </c>
      <c r="H167" s="12984" t="s">
        <v>2226</v>
      </c>
      <c r="I167" s="11799">
        <v>0.6</v>
      </c>
      <c r="K167" s="12938">
        <v>3363</v>
      </c>
      <c r="L167" s="8483"/>
      <c r="M167" s="8483"/>
      <c r="N167" s="8484" t="s">
        <v>10521</v>
      </c>
      <c r="O167" s="8484" t="s">
        <v>10522</v>
      </c>
      <c r="P167" s="8485"/>
      <c r="Q167" s="8486"/>
      <c r="R167" s="8487"/>
      <c r="S167" s="8488"/>
      <c r="T167" s="8489"/>
      <c r="U167" s="8486">
        <v>3363</v>
      </c>
      <c r="V167" s="8487">
        <v>967</v>
      </c>
      <c r="W167" s="8489">
        <v>2396</v>
      </c>
      <c r="X167" s="8487">
        <v>2220</v>
      </c>
      <c r="Y167" s="8489">
        <v>1143</v>
      </c>
      <c r="Z167" s="8487">
        <v>2</v>
      </c>
      <c r="AA167" s="8488">
        <v>843</v>
      </c>
      <c r="AB167" s="8488">
        <v>290</v>
      </c>
      <c r="AC167" s="8488">
        <v>330</v>
      </c>
      <c r="AD167" s="8488">
        <v>652</v>
      </c>
      <c r="AE167" s="8488">
        <v>827</v>
      </c>
      <c r="AF167" s="8489">
        <v>419</v>
      </c>
      <c r="AG167" s="8487">
        <v>2837</v>
      </c>
      <c r="AH167" s="8488">
        <v>34</v>
      </c>
      <c r="AI167" s="8488">
        <v>149</v>
      </c>
      <c r="AJ167" s="8488">
        <v>48</v>
      </c>
      <c r="AK167" s="8488">
        <v>288</v>
      </c>
      <c r="AL167" s="8488"/>
      <c r="AM167" s="8488"/>
      <c r="AN167" s="8489">
        <v>7</v>
      </c>
      <c r="AO167" s="8487">
        <v>3212</v>
      </c>
      <c r="AP167" s="8488">
        <v>125</v>
      </c>
      <c r="AQ167" s="8488">
        <v>26</v>
      </c>
      <c r="AR167" s="8488"/>
      <c r="AS167" s="8488"/>
      <c r="AT167" s="8489"/>
      <c r="AU167" s="8490"/>
      <c r="AV167" s="8490"/>
      <c r="AW167" s="8490"/>
      <c r="AX167" s="8481"/>
      <c r="AY167" s="8485"/>
      <c r="AZ167" s="8490"/>
      <c r="BA167" s="8481"/>
      <c r="BB167" s="8484"/>
      <c r="BC167" s="8485"/>
      <c r="BD167" s="8491"/>
      <c r="BF167" s="8482"/>
      <c r="BG167" s="8482"/>
      <c r="BH167" s="8482"/>
      <c r="BI167" s="8482"/>
      <c r="BJ167" s="8482"/>
      <c r="BK167" s="13052"/>
      <c r="BL167" s="13052"/>
      <c r="BM167" s="8482"/>
      <c r="BN167" s="8482"/>
    </row>
    <row r="168" spans="1:66" ht="30" hidden="1" customHeight="1">
      <c r="A168" s="13668">
        <v>92</v>
      </c>
      <c r="B168" s="13851" t="s">
        <v>4906</v>
      </c>
      <c r="C168" s="13583"/>
      <c r="D168" s="11800" t="s">
        <v>26</v>
      </c>
      <c r="E168" s="11801" t="s">
        <v>390</v>
      </c>
      <c r="F168" s="11798"/>
      <c r="G168" s="13852" t="s">
        <v>2227</v>
      </c>
      <c r="H168" s="13430" t="s">
        <v>2228</v>
      </c>
      <c r="I168" s="13867">
        <v>95</v>
      </c>
      <c r="K168" s="8493"/>
      <c r="L168" s="8494"/>
      <c r="M168" s="8494"/>
      <c r="N168" s="8495"/>
      <c r="O168" s="8495"/>
      <c r="P168" s="8496"/>
      <c r="Q168" s="8497"/>
      <c r="R168" s="8498"/>
      <c r="S168" s="8499"/>
      <c r="T168" s="8500"/>
      <c r="U168" s="8497"/>
      <c r="V168" s="8498"/>
      <c r="W168" s="8500"/>
      <c r="X168" s="8498"/>
      <c r="Y168" s="8500"/>
      <c r="Z168" s="8498"/>
      <c r="AA168" s="8499"/>
      <c r="AB168" s="8499"/>
      <c r="AC168" s="8499"/>
      <c r="AD168" s="8499"/>
      <c r="AE168" s="8499"/>
      <c r="AF168" s="8500"/>
      <c r="AG168" s="8498"/>
      <c r="AH168" s="8499"/>
      <c r="AI168" s="8499"/>
      <c r="AJ168" s="8499"/>
      <c r="AK168" s="8499"/>
      <c r="AL168" s="8499"/>
      <c r="AM168" s="8499"/>
      <c r="AN168" s="8500"/>
      <c r="AO168" s="8498"/>
      <c r="AP168" s="8499"/>
      <c r="AQ168" s="8499"/>
      <c r="AR168" s="8499"/>
      <c r="AS168" s="8499"/>
      <c r="AT168" s="8500"/>
      <c r="AU168" s="8501"/>
      <c r="AV168" s="8501"/>
      <c r="AW168" s="8501"/>
      <c r="AX168" s="8493"/>
      <c r="AY168" s="8496"/>
      <c r="AZ168" s="8501"/>
      <c r="BA168" s="8493"/>
      <c r="BB168" s="8495"/>
      <c r="BC168" s="8496"/>
      <c r="BD168" s="8502"/>
      <c r="BF168" s="14430"/>
      <c r="BG168" s="14430"/>
      <c r="BH168" s="14430"/>
      <c r="BI168" s="14430"/>
      <c r="BJ168" s="14430"/>
      <c r="BK168" s="8482"/>
      <c r="BL168" s="14430"/>
      <c r="BM168" s="14430"/>
      <c r="BN168" s="14430"/>
    </row>
    <row r="169" spans="1:66" ht="30" hidden="1" customHeight="1">
      <c r="A169" s="13668"/>
      <c r="B169" s="13851"/>
      <c r="C169" s="13583"/>
      <c r="D169" s="11800" t="s">
        <v>10188</v>
      </c>
      <c r="E169" s="11801"/>
      <c r="F169" s="11798" t="s">
        <v>2229</v>
      </c>
      <c r="G169" s="13852"/>
      <c r="H169" s="13430"/>
      <c r="I169" s="13867"/>
      <c r="K169" s="8493"/>
      <c r="L169" s="8494"/>
      <c r="M169" s="8494"/>
      <c r="N169" s="8495"/>
      <c r="O169" s="8495"/>
      <c r="P169" s="8496"/>
      <c r="Q169" s="8497"/>
      <c r="R169" s="8498"/>
      <c r="S169" s="8499"/>
      <c r="T169" s="8500"/>
      <c r="U169" s="8497"/>
      <c r="V169" s="8498"/>
      <c r="W169" s="8500"/>
      <c r="X169" s="8498"/>
      <c r="Y169" s="8500"/>
      <c r="Z169" s="8498"/>
      <c r="AA169" s="8499"/>
      <c r="AB169" s="8499"/>
      <c r="AC169" s="8499"/>
      <c r="AD169" s="8499"/>
      <c r="AE169" s="8499"/>
      <c r="AF169" s="8500"/>
      <c r="AG169" s="8498"/>
      <c r="AH169" s="8499"/>
      <c r="AI169" s="8499"/>
      <c r="AJ169" s="8499"/>
      <c r="AK169" s="8499"/>
      <c r="AL169" s="8499"/>
      <c r="AM169" s="8499"/>
      <c r="AN169" s="8500"/>
      <c r="AO169" s="8498"/>
      <c r="AP169" s="8499"/>
      <c r="AQ169" s="8499"/>
      <c r="AR169" s="8499"/>
      <c r="AS169" s="8499"/>
      <c r="AT169" s="8500"/>
      <c r="AU169" s="8501"/>
      <c r="AV169" s="8501"/>
      <c r="AW169" s="8501"/>
      <c r="AX169" s="8493"/>
      <c r="AY169" s="8496"/>
      <c r="AZ169" s="8501"/>
      <c r="BA169" s="8493"/>
      <c r="BB169" s="8495"/>
      <c r="BC169" s="8496"/>
      <c r="BD169" s="8502"/>
      <c r="BF169" s="14430"/>
      <c r="BG169" s="14430"/>
      <c r="BH169" s="14430"/>
      <c r="BI169" s="14430"/>
      <c r="BJ169" s="14430"/>
      <c r="BK169" s="8482"/>
      <c r="BL169" s="14430"/>
      <c r="BM169" s="14430"/>
      <c r="BN169" s="14430"/>
    </row>
    <row r="170" spans="1:66" ht="30" hidden="1" customHeight="1">
      <c r="A170" s="13668">
        <v>93</v>
      </c>
      <c r="B170" s="13851" t="s">
        <v>4907</v>
      </c>
      <c r="C170" s="13583"/>
      <c r="D170" s="11800" t="s">
        <v>26</v>
      </c>
      <c r="E170" s="11801" t="s">
        <v>390</v>
      </c>
      <c r="F170" s="11798"/>
      <c r="G170" s="13852" t="s">
        <v>2231</v>
      </c>
      <c r="H170" s="13430" t="s">
        <v>2232</v>
      </c>
      <c r="I170" s="13940">
        <v>0.99860000000000004</v>
      </c>
      <c r="K170" s="8503"/>
      <c r="L170" s="8504"/>
      <c r="M170" s="8504"/>
      <c r="N170" s="8505"/>
      <c r="O170" s="8505"/>
      <c r="P170" s="8506"/>
      <c r="Q170" s="8507"/>
      <c r="R170" s="8508"/>
      <c r="S170" s="8509"/>
      <c r="T170" s="8510"/>
      <c r="U170" s="8507"/>
      <c r="V170" s="8508"/>
      <c r="W170" s="8510"/>
      <c r="X170" s="8508"/>
      <c r="Y170" s="8510"/>
      <c r="Z170" s="8508"/>
      <c r="AA170" s="8509"/>
      <c r="AB170" s="8509"/>
      <c r="AC170" s="8509"/>
      <c r="AD170" s="8509"/>
      <c r="AE170" s="8509"/>
      <c r="AF170" s="8510"/>
      <c r="AG170" s="8508"/>
      <c r="AH170" s="8509"/>
      <c r="AI170" s="8509"/>
      <c r="AJ170" s="8509"/>
      <c r="AK170" s="8509"/>
      <c r="AL170" s="8509"/>
      <c r="AM170" s="8509"/>
      <c r="AN170" s="8510"/>
      <c r="AO170" s="8508"/>
      <c r="AP170" s="8509"/>
      <c r="AQ170" s="8509"/>
      <c r="AR170" s="8509"/>
      <c r="AS170" s="8509"/>
      <c r="AT170" s="8510"/>
      <c r="AU170" s="8511"/>
      <c r="AV170" s="8511"/>
      <c r="AW170" s="8511"/>
      <c r="AX170" s="8503"/>
      <c r="AY170" s="8506"/>
      <c r="AZ170" s="8511"/>
      <c r="BA170" s="8503"/>
      <c r="BB170" s="8505"/>
      <c r="BC170" s="8506"/>
      <c r="BD170" s="8512"/>
      <c r="BF170" s="14430"/>
      <c r="BG170" s="14430"/>
      <c r="BH170" s="14430"/>
      <c r="BI170" s="14430"/>
      <c r="BJ170" s="14430"/>
      <c r="BK170" s="8482"/>
      <c r="BL170" s="14430"/>
      <c r="BM170" s="14430"/>
      <c r="BN170" s="14430"/>
    </row>
    <row r="171" spans="1:66" ht="30" hidden="1" customHeight="1">
      <c r="A171" s="13668"/>
      <c r="B171" s="13851"/>
      <c r="C171" s="13583"/>
      <c r="D171" s="11800" t="s">
        <v>10188</v>
      </c>
      <c r="E171" s="11801"/>
      <c r="F171" s="11798" t="s">
        <v>2229</v>
      </c>
      <c r="G171" s="13852"/>
      <c r="H171" s="13430"/>
      <c r="I171" s="13940"/>
      <c r="K171" s="8503"/>
      <c r="L171" s="8504"/>
      <c r="M171" s="8504"/>
      <c r="N171" s="8505"/>
      <c r="O171" s="8505"/>
      <c r="P171" s="8506"/>
      <c r="Q171" s="8507"/>
      <c r="R171" s="8508"/>
      <c r="S171" s="8509"/>
      <c r="T171" s="8510"/>
      <c r="U171" s="8507"/>
      <c r="V171" s="8508"/>
      <c r="W171" s="8510"/>
      <c r="X171" s="8508"/>
      <c r="Y171" s="8510"/>
      <c r="Z171" s="8508"/>
      <c r="AA171" s="8509"/>
      <c r="AB171" s="8509"/>
      <c r="AC171" s="8509"/>
      <c r="AD171" s="8509"/>
      <c r="AE171" s="8509"/>
      <c r="AF171" s="8510"/>
      <c r="AG171" s="8508"/>
      <c r="AH171" s="8509"/>
      <c r="AI171" s="8509"/>
      <c r="AJ171" s="8509"/>
      <c r="AK171" s="8509"/>
      <c r="AL171" s="8509"/>
      <c r="AM171" s="8509"/>
      <c r="AN171" s="8510"/>
      <c r="AO171" s="8508"/>
      <c r="AP171" s="8509"/>
      <c r="AQ171" s="8509"/>
      <c r="AR171" s="8509"/>
      <c r="AS171" s="8509"/>
      <c r="AT171" s="8510"/>
      <c r="AU171" s="8511"/>
      <c r="AV171" s="8511"/>
      <c r="AW171" s="8511"/>
      <c r="AX171" s="8503"/>
      <c r="AY171" s="8506"/>
      <c r="AZ171" s="8511"/>
      <c r="BA171" s="8503"/>
      <c r="BB171" s="8505"/>
      <c r="BC171" s="8506"/>
      <c r="BD171" s="8512"/>
      <c r="BF171" s="14430"/>
      <c r="BG171" s="14430"/>
      <c r="BH171" s="14430"/>
      <c r="BI171" s="14430"/>
      <c r="BJ171" s="14430"/>
      <c r="BK171" s="8482"/>
      <c r="BL171" s="14430"/>
      <c r="BM171" s="14430"/>
      <c r="BN171" s="14430"/>
    </row>
    <row r="172" spans="1:66" ht="30" customHeight="1">
      <c r="A172" s="8479">
        <v>94</v>
      </c>
      <c r="B172" s="8480" t="s">
        <v>4908</v>
      </c>
      <c r="C172" s="13583"/>
      <c r="D172" s="11800" t="s">
        <v>86</v>
      </c>
      <c r="E172" s="7848" t="s">
        <v>422</v>
      </c>
      <c r="F172" s="11798"/>
      <c r="G172" s="13009" t="s">
        <v>2233</v>
      </c>
      <c r="H172" s="12984" t="s">
        <v>2234</v>
      </c>
      <c r="I172" s="13012">
        <v>74</v>
      </c>
      <c r="K172" s="8492" t="s">
        <v>1732</v>
      </c>
      <c r="L172" s="8513"/>
      <c r="M172" s="8513"/>
      <c r="N172" s="8514" t="s">
        <v>10582</v>
      </c>
      <c r="O172" s="8514"/>
      <c r="P172" s="8515"/>
      <c r="Q172" s="8516"/>
      <c r="R172" s="8517"/>
      <c r="S172" s="8518"/>
      <c r="T172" s="8519"/>
      <c r="U172" s="8516"/>
      <c r="V172" s="8517"/>
      <c r="W172" s="8519"/>
      <c r="X172" s="8517"/>
      <c r="Y172" s="8519"/>
      <c r="Z172" s="8517"/>
      <c r="AA172" s="8518"/>
      <c r="AB172" s="8518"/>
      <c r="AC172" s="8518"/>
      <c r="AD172" s="8518"/>
      <c r="AE172" s="8518"/>
      <c r="AF172" s="8519"/>
      <c r="AG172" s="8517"/>
      <c r="AH172" s="8518"/>
      <c r="AI172" s="8518"/>
      <c r="AJ172" s="8518"/>
      <c r="AK172" s="8518"/>
      <c r="AL172" s="8518"/>
      <c r="AM172" s="8518"/>
      <c r="AN172" s="8519"/>
      <c r="AO172" s="8517"/>
      <c r="AP172" s="8518"/>
      <c r="AQ172" s="8518"/>
      <c r="AR172" s="8518"/>
      <c r="AS172" s="8518"/>
      <c r="AT172" s="8519"/>
      <c r="AU172" s="8520"/>
      <c r="AV172" s="8520"/>
      <c r="AW172" s="8520"/>
      <c r="AX172" s="8492"/>
      <c r="AY172" s="8515"/>
      <c r="AZ172" s="8520"/>
      <c r="BA172" s="8492"/>
      <c r="BB172" s="8514"/>
      <c r="BC172" s="8515"/>
      <c r="BD172" s="8521"/>
      <c r="BF172" s="8482"/>
      <c r="BG172" s="8482"/>
      <c r="BH172" s="8482"/>
      <c r="BI172" s="8482"/>
      <c r="BJ172" s="8482"/>
      <c r="BK172" s="13052"/>
      <c r="BL172" s="13052"/>
      <c r="BM172" s="8482"/>
      <c r="BN172" s="8482"/>
    </row>
    <row r="173" spans="1:66" ht="21.75" hidden="1" customHeight="1">
      <c r="A173" s="13769">
        <v>95</v>
      </c>
      <c r="B173" s="13912" t="s">
        <v>4909</v>
      </c>
      <c r="C173" s="13583"/>
      <c r="D173" s="11802" t="s">
        <v>26</v>
      </c>
      <c r="E173" s="11801" t="s">
        <v>390</v>
      </c>
      <c r="F173" s="11798"/>
      <c r="G173" s="13852" t="s">
        <v>2237</v>
      </c>
      <c r="H173" s="13946" t="s">
        <v>2238</v>
      </c>
      <c r="I173" s="13941">
        <v>0.96</v>
      </c>
      <c r="K173" s="8522"/>
      <c r="L173" s="8494"/>
      <c r="M173" s="8494"/>
      <c r="N173" s="8523"/>
      <c r="O173" s="8523"/>
      <c r="P173" s="8524"/>
      <c r="Q173" s="8497"/>
      <c r="R173" s="8498"/>
      <c r="S173" s="8499"/>
      <c r="T173" s="8500"/>
      <c r="U173" s="8497"/>
      <c r="V173" s="8498"/>
      <c r="W173" s="8500"/>
      <c r="X173" s="8498"/>
      <c r="Y173" s="8500"/>
      <c r="Z173" s="8498"/>
      <c r="AA173" s="8499"/>
      <c r="AB173" s="8499"/>
      <c r="AC173" s="8499"/>
      <c r="AD173" s="8499"/>
      <c r="AE173" s="8499"/>
      <c r="AF173" s="8500"/>
      <c r="AG173" s="8498"/>
      <c r="AH173" s="8499"/>
      <c r="AI173" s="8499"/>
      <c r="AJ173" s="8499"/>
      <c r="AK173" s="8499"/>
      <c r="AL173" s="8499"/>
      <c r="AM173" s="8499"/>
      <c r="AN173" s="8500"/>
      <c r="AO173" s="8498"/>
      <c r="AP173" s="8499"/>
      <c r="AQ173" s="8499"/>
      <c r="AR173" s="8499"/>
      <c r="AS173" s="8499"/>
      <c r="AT173" s="8500"/>
      <c r="AU173" s="8525"/>
      <c r="AV173" s="8525"/>
      <c r="AW173" s="8525"/>
      <c r="AX173" s="8522"/>
      <c r="AY173" s="8524"/>
      <c r="AZ173" s="8525"/>
      <c r="BA173" s="8522"/>
      <c r="BB173" s="8523"/>
      <c r="BC173" s="8524"/>
      <c r="BD173" s="8526"/>
      <c r="BF173" s="14430"/>
      <c r="BG173" s="14430"/>
      <c r="BH173" s="14430"/>
      <c r="BI173" s="14430"/>
      <c r="BJ173" s="14430"/>
      <c r="BK173" s="8482"/>
      <c r="BL173" s="14430"/>
      <c r="BM173" s="14430"/>
      <c r="BN173" s="14430"/>
    </row>
    <row r="174" spans="1:66" ht="21.75" hidden="1" customHeight="1">
      <c r="A174" s="13769"/>
      <c r="B174" s="13912"/>
      <c r="C174" s="13583"/>
      <c r="D174" s="11802" t="s">
        <v>10188</v>
      </c>
      <c r="E174" s="11801"/>
      <c r="F174" s="11798" t="s">
        <v>2229</v>
      </c>
      <c r="G174" s="13852"/>
      <c r="H174" s="13946"/>
      <c r="I174" s="13941"/>
      <c r="K174" s="8522"/>
      <c r="L174" s="8494"/>
      <c r="M174" s="8494"/>
      <c r="N174" s="8523"/>
      <c r="O174" s="8523"/>
      <c r="P174" s="8524"/>
      <c r="Q174" s="8497"/>
      <c r="R174" s="8498"/>
      <c r="S174" s="8499"/>
      <c r="T174" s="8500"/>
      <c r="U174" s="8497"/>
      <c r="V174" s="8498"/>
      <c r="W174" s="8500"/>
      <c r="X174" s="8498"/>
      <c r="Y174" s="8500"/>
      <c r="Z174" s="8498"/>
      <c r="AA174" s="8499"/>
      <c r="AB174" s="8499"/>
      <c r="AC174" s="8499"/>
      <c r="AD174" s="8499"/>
      <c r="AE174" s="8499"/>
      <c r="AF174" s="8500"/>
      <c r="AG174" s="8498"/>
      <c r="AH174" s="8499"/>
      <c r="AI174" s="8499"/>
      <c r="AJ174" s="8499"/>
      <c r="AK174" s="8499"/>
      <c r="AL174" s="8499"/>
      <c r="AM174" s="8499"/>
      <c r="AN174" s="8500"/>
      <c r="AO174" s="8498"/>
      <c r="AP174" s="8499"/>
      <c r="AQ174" s="8499"/>
      <c r="AR174" s="8499"/>
      <c r="AS174" s="8499"/>
      <c r="AT174" s="8500"/>
      <c r="AU174" s="8525"/>
      <c r="AV174" s="8525"/>
      <c r="AW174" s="8525"/>
      <c r="AX174" s="8522"/>
      <c r="AY174" s="8524"/>
      <c r="AZ174" s="8525"/>
      <c r="BA174" s="8522"/>
      <c r="BB174" s="8523"/>
      <c r="BC174" s="8524"/>
      <c r="BD174" s="8526"/>
      <c r="BF174" s="14430"/>
      <c r="BG174" s="14430"/>
      <c r="BH174" s="14430"/>
      <c r="BI174" s="14430"/>
      <c r="BJ174" s="14430"/>
      <c r="BK174" s="8482"/>
      <c r="BL174" s="14430"/>
      <c r="BM174" s="14430"/>
      <c r="BN174" s="14430"/>
    </row>
    <row r="175" spans="1:66" ht="30" customHeight="1" thickBot="1">
      <c r="A175" s="8527">
        <v>96</v>
      </c>
      <c r="B175" s="8528" t="s">
        <v>4910</v>
      </c>
      <c r="C175" s="13583"/>
      <c r="D175" s="11803" t="s">
        <v>86</v>
      </c>
      <c r="E175" s="7850" t="s">
        <v>422</v>
      </c>
      <c r="F175" s="11804"/>
      <c r="G175" s="13040" t="s">
        <v>2241</v>
      </c>
      <c r="H175" s="11805" t="s">
        <v>2238</v>
      </c>
      <c r="I175" s="11806">
        <v>0.61399999999999999</v>
      </c>
      <c r="K175" s="8529">
        <v>5.59</v>
      </c>
      <c r="L175" s="13099"/>
      <c r="M175" s="13099"/>
      <c r="N175" s="13100" t="s">
        <v>10554</v>
      </c>
      <c r="O175" s="13101" t="s">
        <v>10555</v>
      </c>
      <c r="P175" s="8532"/>
      <c r="Q175" s="8533"/>
      <c r="R175" s="8534"/>
      <c r="S175" s="6191"/>
      <c r="T175" s="8535"/>
      <c r="U175" s="8533"/>
      <c r="V175" s="8534"/>
      <c r="W175" s="8535"/>
      <c r="X175" s="8534"/>
      <c r="Y175" s="8535"/>
      <c r="Z175" s="8534"/>
      <c r="AA175" s="6191"/>
      <c r="AB175" s="6191"/>
      <c r="AC175" s="6191"/>
      <c r="AD175" s="6191"/>
      <c r="AE175" s="6191"/>
      <c r="AF175" s="8535"/>
      <c r="AG175" s="8534"/>
      <c r="AH175" s="6191"/>
      <c r="AI175" s="6191"/>
      <c r="AJ175" s="6191"/>
      <c r="AK175" s="6191"/>
      <c r="AL175" s="6191"/>
      <c r="AM175" s="6191"/>
      <c r="AN175" s="8535"/>
      <c r="AO175" s="8534"/>
      <c r="AP175" s="6191"/>
      <c r="AQ175" s="6191"/>
      <c r="AR175" s="6191"/>
      <c r="AS175" s="6191"/>
      <c r="AT175" s="8535"/>
      <c r="AU175" s="8536"/>
      <c r="AV175" s="8536"/>
      <c r="AW175" s="8536"/>
      <c r="AX175" s="8529"/>
      <c r="AY175" s="8532"/>
      <c r="AZ175" s="8536"/>
      <c r="BA175" s="8529"/>
      <c r="BB175" s="8531"/>
      <c r="BC175" s="8532"/>
      <c r="BD175" s="8537"/>
      <c r="BF175" s="12969"/>
      <c r="BG175" s="12969"/>
      <c r="BH175" s="8530"/>
      <c r="BI175" s="8530"/>
      <c r="BJ175" s="8530"/>
      <c r="BK175" s="13092"/>
      <c r="BL175" s="13092"/>
      <c r="BM175" s="8530"/>
      <c r="BN175" s="8530"/>
    </row>
    <row r="176" spans="1:66" ht="23.25" hidden="1" customHeight="1">
      <c r="A176" s="13770">
        <v>97</v>
      </c>
      <c r="B176" s="13913" t="s">
        <v>4911</v>
      </c>
      <c r="C176" s="13583"/>
      <c r="D176" s="11807" t="s">
        <v>26</v>
      </c>
      <c r="E176" s="11808" t="s">
        <v>390</v>
      </c>
      <c r="F176" s="11809"/>
      <c r="G176" s="13914" t="s">
        <v>2247</v>
      </c>
      <c r="H176" s="13947" t="s">
        <v>2248</v>
      </c>
      <c r="I176" s="13942">
        <v>1</v>
      </c>
      <c r="K176" s="8539"/>
      <c r="L176" s="8540"/>
      <c r="M176" s="8540"/>
      <c r="N176" s="8541"/>
      <c r="O176" s="8541"/>
      <c r="P176" s="8542"/>
      <c r="Q176" s="8543"/>
      <c r="R176" s="8544"/>
      <c r="S176" s="8545"/>
      <c r="T176" s="8546"/>
      <c r="U176" s="8543"/>
      <c r="V176" s="8544"/>
      <c r="W176" s="8546"/>
      <c r="X176" s="8544"/>
      <c r="Y176" s="8546"/>
      <c r="Z176" s="8544"/>
      <c r="AA176" s="8545"/>
      <c r="AB176" s="8545"/>
      <c r="AC176" s="8545"/>
      <c r="AD176" s="8545"/>
      <c r="AE176" s="8545"/>
      <c r="AF176" s="8546"/>
      <c r="AG176" s="8544"/>
      <c r="AH176" s="8545"/>
      <c r="AI176" s="8545"/>
      <c r="AJ176" s="8545"/>
      <c r="AK176" s="8545"/>
      <c r="AL176" s="8545"/>
      <c r="AM176" s="8545"/>
      <c r="AN176" s="8546"/>
      <c r="AO176" s="8544"/>
      <c r="AP176" s="8545"/>
      <c r="AQ176" s="8545"/>
      <c r="AR176" s="8545"/>
      <c r="AS176" s="8545"/>
      <c r="AT176" s="8546"/>
      <c r="AU176" s="8547"/>
      <c r="AV176" s="8547"/>
      <c r="AW176" s="8547"/>
      <c r="AX176" s="8539"/>
      <c r="AY176" s="8542"/>
      <c r="AZ176" s="8547"/>
      <c r="BA176" s="8539"/>
      <c r="BB176" s="8541"/>
      <c r="BC176" s="8542"/>
      <c r="BD176" s="8548"/>
      <c r="BF176" s="14431"/>
      <c r="BG176" s="14431"/>
      <c r="BH176" s="14431"/>
      <c r="BI176" s="14431"/>
      <c r="BJ176" s="14431"/>
      <c r="BK176" s="8538"/>
      <c r="BL176" s="14431"/>
      <c r="BM176" s="14431"/>
      <c r="BN176" s="14431"/>
    </row>
    <row r="177" spans="1:66" ht="54.75" hidden="1" customHeight="1">
      <c r="A177" s="13557"/>
      <c r="B177" s="13908"/>
      <c r="C177" s="13583"/>
      <c r="D177" s="11810" t="s">
        <v>2249</v>
      </c>
      <c r="E177" s="11811"/>
      <c r="F177" s="11812" t="s">
        <v>2249</v>
      </c>
      <c r="G177" s="13909"/>
      <c r="H177" s="13387"/>
      <c r="I177" s="13943"/>
      <c r="K177" s="8550"/>
      <c r="L177" s="8551"/>
      <c r="M177" s="8551"/>
      <c r="N177" s="8552"/>
      <c r="O177" s="8552"/>
      <c r="P177" s="8553"/>
      <c r="Q177" s="8554"/>
      <c r="R177" s="8555"/>
      <c r="S177" s="8556"/>
      <c r="T177" s="8557"/>
      <c r="U177" s="8554"/>
      <c r="V177" s="8555"/>
      <c r="W177" s="8557"/>
      <c r="X177" s="8555"/>
      <c r="Y177" s="8557"/>
      <c r="Z177" s="8555"/>
      <c r="AA177" s="8556"/>
      <c r="AB177" s="8556"/>
      <c r="AC177" s="8556"/>
      <c r="AD177" s="8556"/>
      <c r="AE177" s="8556"/>
      <c r="AF177" s="8557"/>
      <c r="AG177" s="8555"/>
      <c r="AH177" s="8556"/>
      <c r="AI177" s="8556"/>
      <c r="AJ177" s="8556"/>
      <c r="AK177" s="8556"/>
      <c r="AL177" s="8556"/>
      <c r="AM177" s="8556"/>
      <c r="AN177" s="8557"/>
      <c r="AO177" s="8555"/>
      <c r="AP177" s="8556"/>
      <c r="AQ177" s="8556"/>
      <c r="AR177" s="8556"/>
      <c r="AS177" s="8556"/>
      <c r="AT177" s="8557"/>
      <c r="AU177" s="8558"/>
      <c r="AV177" s="8558"/>
      <c r="AW177" s="8558"/>
      <c r="AX177" s="8550"/>
      <c r="AY177" s="8553"/>
      <c r="AZ177" s="8558"/>
      <c r="BA177" s="8550"/>
      <c r="BB177" s="8552"/>
      <c r="BC177" s="8553"/>
      <c r="BD177" s="8559"/>
      <c r="BF177" s="14432"/>
      <c r="BG177" s="14432"/>
      <c r="BH177" s="14432"/>
      <c r="BI177" s="14432"/>
      <c r="BJ177" s="14432"/>
      <c r="BK177" s="8549"/>
      <c r="BL177" s="14432"/>
      <c r="BM177" s="14432"/>
      <c r="BN177" s="14432"/>
    </row>
    <row r="178" spans="1:66" ht="23.25" hidden="1" customHeight="1">
      <c r="A178" s="13557">
        <v>98</v>
      </c>
      <c r="B178" s="13908" t="s">
        <v>4912</v>
      </c>
      <c r="C178" s="13583"/>
      <c r="D178" s="11813" t="s">
        <v>26</v>
      </c>
      <c r="E178" s="11811" t="s">
        <v>390</v>
      </c>
      <c r="F178" s="11812"/>
      <c r="G178" s="13909" t="s">
        <v>2252</v>
      </c>
      <c r="H178" s="13387" t="s">
        <v>2253</v>
      </c>
      <c r="I178" s="13944" t="s">
        <v>2117</v>
      </c>
      <c r="K178" s="8561"/>
      <c r="L178" s="7679"/>
      <c r="M178" s="7679"/>
      <c r="N178" s="8562"/>
      <c r="O178" s="8562"/>
      <c r="P178" s="8563"/>
      <c r="Q178" s="7687"/>
      <c r="R178" s="7686"/>
      <c r="S178" s="7680"/>
      <c r="T178" s="7688"/>
      <c r="U178" s="7687"/>
      <c r="V178" s="7686"/>
      <c r="W178" s="7688"/>
      <c r="X178" s="7686"/>
      <c r="Y178" s="7688"/>
      <c r="Z178" s="7686"/>
      <c r="AA178" s="7680"/>
      <c r="AB178" s="7680"/>
      <c r="AC178" s="7680"/>
      <c r="AD178" s="7680"/>
      <c r="AE178" s="7680"/>
      <c r="AF178" s="7688"/>
      <c r="AG178" s="7686"/>
      <c r="AH178" s="7680"/>
      <c r="AI178" s="7680"/>
      <c r="AJ178" s="7680"/>
      <c r="AK178" s="7680"/>
      <c r="AL178" s="7680"/>
      <c r="AM178" s="7680"/>
      <c r="AN178" s="7688"/>
      <c r="AO178" s="7686"/>
      <c r="AP178" s="7680"/>
      <c r="AQ178" s="7680"/>
      <c r="AR178" s="7680"/>
      <c r="AS178" s="7680"/>
      <c r="AT178" s="7688"/>
      <c r="AU178" s="8564"/>
      <c r="AV178" s="8564"/>
      <c r="AW178" s="8564"/>
      <c r="AX178" s="8561"/>
      <c r="AY178" s="8563"/>
      <c r="AZ178" s="8564"/>
      <c r="BA178" s="8561"/>
      <c r="BB178" s="8562"/>
      <c r="BC178" s="8563"/>
      <c r="BD178" s="8565"/>
      <c r="BF178" s="14432"/>
      <c r="BG178" s="14432"/>
      <c r="BH178" s="14432"/>
      <c r="BI178" s="14432"/>
      <c r="BJ178" s="14432"/>
      <c r="BK178" s="8549"/>
      <c r="BL178" s="14432"/>
      <c r="BM178" s="14432"/>
      <c r="BN178" s="14432"/>
    </row>
    <row r="179" spans="1:66" ht="23.25" hidden="1" customHeight="1">
      <c r="A179" s="13557"/>
      <c r="B179" s="13908"/>
      <c r="C179" s="13583"/>
      <c r="D179" s="11813" t="s">
        <v>2254</v>
      </c>
      <c r="E179" s="11811"/>
      <c r="F179" s="11812" t="s">
        <v>2254</v>
      </c>
      <c r="G179" s="13909"/>
      <c r="H179" s="13387"/>
      <c r="I179" s="13944"/>
      <c r="K179" s="8561"/>
      <c r="L179" s="7679"/>
      <c r="M179" s="7679"/>
      <c r="N179" s="8562"/>
      <c r="O179" s="8562"/>
      <c r="P179" s="8563"/>
      <c r="Q179" s="7687"/>
      <c r="R179" s="7686"/>
      <c r="S179" s="7680"/>
      <c r="T179" s="7688"/>
      <c r="U179" s="7687"/>
      <c r="V179" s="7686"/>
      <c r="W179" s="7688"/>
      <c r="X179" s="7686"/>
      <c r="Y179" s="7688"/>
      <c r="Z179" s="7686"/>
      <c r="AA179" s="7680"/>
      <c r="AB179" s="7680"/>
      <c r="AC179" s="7680"/>
      <c r="AD179" s="7680"/>
      <c r="AE179" s="7680"/>
      <c r="AF179" s="7688"/>
      <c r="AG179" s="7686"/>
      <c r="AH179" s="7680"/>
      <c r="AI179" s="7680"/>
      <c r="AJ179" s="7680"/>
      <c r="AK179" s="7680"/>
      <c r="AL179" s="7680"/>
      <c r="AM179" s="7680"/>
      <c r="AN179" s="7688"/>
      <c r="AO179" s="7686"/>
      <c r="AP179" s="7680"/>
      <c r="AQ179" s="7680"/>
      <c r="AR179" s="7680"/>
      <c r="AS179" s="7680"/>
      <c r="AT179" s="7688"/>
      <c r="AU179" s="8564"/>
      <c r="AV179" s="8564"/>
      <c r="AW179" s="8564"/>
      <c r="AX179" s="8561"/>
      <c r="AY179" s="8563"/>
      <c r="AZ179" s="8564"/>
      <c r="BA179" s="8561"/>
      <c r="BB179" s="8562"/>
      <c r="BC179" s="8563"/>
      <c r="BD179" s="8565"/>
      <c r="BF179" s="14432"/>
      <c r="BG179" s="14432"/>
      <c r="BH179" s="14432"/>
      <c r="BI179" s="14432"/>
      <c r="BJ179" s="14432"/>
      <c r="BK179" s="8549"/>
      <c r="BL179" s="14432"/>
      <c r="BM179" s="14432"/>
      <c r="BN179" s="14432"/>
    </row>
    <row r="180" spans="1:66" ht="30" customHeight="1">
      <c r="A180" s="8566">
        <v>99</v>
      </c>
      <c r="B180" s="8567" t="s">
        <v>4913</v>
      </c>
      <c r="C180" s="13583"/>
      <c r="D180" s="11813" t="s">
        <v>86</v>
      </c>
      <c r="E180" s="11814" t="s">
        <v>422</v>
      </c>
      <c r="F180" s="11812"/>
      <c r="G180" s="13014" t="s">
        <v>2256</v>
      </c>
      <c r="H180" s="12972" t="s">
        <v>2257</v>
      </c>
      <c r="I180" s="13017" t="s">
        <v>2117</v>
      </c>
      <c r="K180" s="8560" t="s">
        <v>10556</v>
      </c>
      <c r="L180" s="7679"/>
      <c r="M180" s="8568"/>
      <c r="N180" s="8569" t="s">
        <v>10557</v>
      </c>
      <c r="O180" s="8569" t="s">
        <v>10558</v>
      </c>
      <c r="P180" s="8570"/>
      <c r="Q180" s="8571"/>
      <c r="R180" s="8572"/>
      <c r="S180" s="8573"/>
      <c r="T180" s="8574"/>
      <c r="U180" s="8571" t="s">
        <v>1732</v>
      </c>
      <c r="V180" s="8572"/>
      <c r="W180" s="8574"/>
      <c r="X180" s="8572"/>
      <c r="Y180" s="8574"/>
      <c r="Z180" s="8572"/>
      <c r="AA180" s="8573"/>
      <c r="AB180" s="8573"/>
      <c r="AC180" s="8573"/>
      <c r="AD180" s="8573"/>
      <c r="AE180" s="8573"/>
      <c r="AF180" s="8574"/>
      <c r="AG180" s="8572"/>
      <c r="AH180" s="8573"/>
      <c r="AI180" s="8573"/>
      <c r="AJ180" s="8573"/>
      <c r="AK180" s="8573"/>
      <c r="AL180" s="8573"/>
      <c r="AM180" s="8573"/>
      <c r="AN180" s="8574"/>
      <c r="AO180" s="8572"/>
      <c r="AP180" s="8573"/>
      <c r="AQ180" s="8573"/>
      <c r="AR180" s="8573"/>
      <c r="AS180" s="8573"/>
      <c r="AT180" s="8574"/>
      <c r="AU180" s="8575" t="s">
        <v>1732</v>
      </c>
      <c r="AV180" s="8575" t="s">
        <v>1732</v>
      </c>
      <c r="AW180" s="8575" t="s">
        <v>1732</v>
      </c>
      <c r="AX180" s="8560" t="s">
        <v>1732</v>
      </c>
      <c r="AY180" s="8570" t="s">
        <v>1732</v>
      </c>
      <c r="AZ180" s="8575"/>
      <c r="BA180" s="8560"/>
      <c r="BB180" s="8569"/>
      <c r="BC180" s="8570"/>
      <c r="BD180" s="12996"/>
      <c r="BF180" s="12968"/>
      <c r="BG180" s="12968"/>
      <c r="BH180" s="8549"/>
      <c r="BI180" s="8549"/>
      <c r="BJ180" s="8549"/>
      <c r="BK180" s="13053"/>
      <c r="BL180" s="13053"/>
      <c r="BM180" s="8549"/>
      <c r="BN180" s="8549"/>
    </row>
    <row r="181" spans="1:66" ht="30" customHeight="1">
      <c r="A181" s="8566">
        <v>100</v>
      </c>
      <c r="B181" s="8567" t="s">
        <v>4914</v>
      </c>
      <c r="C181" s="13583"/>
      <c r="D181" s="11810" t="s">
        <v>86</v>
      </c>
      <c r="E181" s="11814" t="s">
        <v>422</v>
      </c>
      <c r="F181" s="11812"/>
      <c r="G181" s="13014" t="s">
        <v>2260</v>
      </c>
      <c r="H181" s="12972" t="s">
        <v>2261</v>
      </c>
      <c r="I181" s="13016">
        <v>0.73</v>
      </c>
      <c r="K181" s="10235" t="s">
        <v>10559</v>
      </c>
      <c r="L181" s="8551"/>
      <c r="M181" s="8551"/>
      <c r="N181" s="8569" t="s">
        <v>10557</v>
      </c>
      <c r="O181" s="8569" t="s">
        <v>10558</v>
      </c>
      <c r="P181" s="8553"/>
      <c r="Q181" s="8554"/>
      <c r="R181" s="8555"/>
      <c r="S181" s="8556"/>
      <c r="T181" s="8557"/>
      <c r="U181" s="12970" t="s">
        <v>1732</v>
      </c>
      <c r="V181" s="8555"/>
      <c r="W181" s="8557"/>
      <c r="X181" s="8555"/>
      <c r="Y181" s="8557"/>
      <c r="Z181" s="8555"/>
      <c r="AA181" s="8556"/>
      <c r="AB181" s="8556"/>
      <c r="AC181" s="8556"/>
      <c r="AD181" s="8556"/>
      <c r="AE181" s="8556"/>
      <c r="AF181" s="8557"/>
      <c r="AG181" s="8555"/>
      <c r="AH181" s="8556"/>
      <c r="AI181" s="8556"/>
      <c r="AJ181" s="8556"/>
      <c r="AK181" s="8556"/>
      <c r="AL181" s="8556"/>
      <c r="AM181" s="8556"/>
      <c r="AN181" s="8557"/>
      <c r="AO181" s="8555"/>
      <c r="AP181" s="8556"/>
      <c r="AQ181" s="8556"/>
      <c r="AR181" s="8556"/>
      <c r="AS181" s="8556"/>
      <c r="AT181" s="8557"/>
      <c r="AU181" s="8575" t="s">
        <v>1732</v>
      </c>
      <c r="AV181" s="8575" t="s">
        <v>1732</v>
      </c>
      <c r="AW181" s="8575" t="s">
        <v>1732</v>
      </c>
      <c r="AX181" s="8560" t="s">
        <v>1732</v>
      </c>
      <c r="AY181" s="8570" t="s">
        <v>1732</v>
      </c>
      <c r="AZ181" s="8558"/>
      <c r="BA181" s="8550"/>
      <c r="BB181" s="8552"/>
      <c r="BC181" s="8553"/>
      <c r="BD181" s="8559"/>
      <c r="BF181" s="12968"/>
      <c r="BG181" s="12968"/>
      <c r="BH181" s="8549"/>
      <c r="BI181" s="8549"/>
      <c r="BJ181" s="8549"/>
      <c r="BK181" s="13053"/>
      <c r="BL181" s="13053"/>
      <c r="BM181" s="8549"/>
      <c r="BN181" s="8549"/>
    </row>
    <row r="182" spans="1:66" ht="30" customHeight="1">
      <c r="A182" s="8566">
        <v>101</v>
      </c>
      <c r="B182" s="8567" t="s">
        <v>4915</v>
      </c>
      <c r="C182" s="13583"/>
      <c r="D182" s="11810" t="s">
        <v>86</v>
      </c>
      <c r="E182" s="11814" t="s">
        <v>422</v>
      </c>
      <c r="F182" s="11812"/>
      <c r="G182" s="13014" t="s">
        <v>2262</v>
      </c>
      <c r="H182" s="12972" t="s">
        <v>2263</v>
      </c>
      <c r="I182" s="13016">
        <v>0.18</v>
      </c>
      <c r="K182" s="10235" t="s">
        <v>10560</v>
      </c>
      <c r="L182" s="8551"/>
      <c r="M182" s="8551"/>
      <c r="N182" s="8569" t="s">
        <v>10557</v>
      </c>
      <c r="O182" s="8569" t="s">
        <v>10558</v>
      </c>
      <c r="P182" s="8553"/>
      <c r="Q182" s="8554"/>
      <c r="R182" s="8555"/>
      <c r="S182" s="8556"/>
      <c r="T182" s="8557"/>
      <c r="U182" s="12970" t="s">
        <v>1732</v>
      </c>
      <c r="V182" s="8555"/>
      <c r="W182" s="8557"/>
      <c r="X182" s="8555"/>
      <c r="Y182" s="8557"/>
      <c r="Z182" s="8555"/>
      <c r="AA182" s="8556"/>
      <c r="AB182" s="8556"/>
      <c r="AC182" s="8556"/>
      <c r="AD182" s="8556"/>
      <c r="AE182" s="8556"/>
      <c r="AF182" s="8557"/>
      <c r="AG182" s="8555"/>
      <c r="AH182" s="8556"/>
      <c r="AI182" s="8556"/>
      <c r="AJ182" s="8556"/>
      <c r="AK182" s="8556"/>
      <c r="AL182" s="8556"/>
      <c r="AM182" s="8556"/>
      <c r="AN182" s="8557"/>
      <c r="AO182" s="8555"/>
      <c r="AP182" s="8556"/>
      <c r="AQ182" s="8556"/>
      <c r="AR182" s="8556"/>
      <c r="AS182" s="8556"/>
      <c r="AT182" s="8557"/>
      <c r="AU182" s="8575" t="s">
        <v>1732</v>
      </c>
      <c r="AV182" s="8575" t="s">
        <v>1732</v>
      </c>
      <c r="AW182" s="8575" t="s">
        <v>1732</v>
      </c>
      <c r="AX182" s="8560" t="s">
        <v>1732</v>
      </c>
      <c r="AY182" s="8570" t="s">
        <v>1732</v>
      </c>
      <c r="AZ182" s="8558"/>
      <c r="BA182" s="8550"/>
      <c r="BB182" s="8552"/>
      <c r="BC182" s="8553"/>
      <c r="BD182" s="8559"/>
      <c r="BF182" s="12968"/>
      <c r="BG182" s="12968"/>
      <c r="BH182" s="8549"/>
      <c r="BI182" s="8549"/>
      <c r="BJ182" s="8549"/>
      <c r="BK182" s="13053"/>
      <c r="BL182" s="13053"/>
      <c r="BM182" s="8549"/>
      <c r="BN182" s="8549"/>
    </row>
    <row r="183" spans="1:66" ht="30" customHeight="1" thickBot="1">
      <c r="A183" s="8566">
        <v>102</v>
      </c>
      <c r="B183" s="8567" t="s">
        <v>4916</v>
      </c>
      <c r="C183" s="13583"/>
      <c r="D183" s="11810" t="s">
        <v>86</v>
      </c>
      <c r="E183" s="11814" t="s">
        <v>422</v>
      </c>
      <c r="F183" s="11812"/>
      <c r="G183" s="13014" t="s">
        <v>2264</v>
      </c>
      <c r="H183" s="12972" t="s">
        <v>2265</v>
      </c>
      <c r="I183" s="13016">
        <v>0.03</v>
      </c>
      <c r="K183" s="10235" t="s">
        <v>10561</v>
      </c>
      <c r="L183" s="8551"/>
      <c r="M183" s="8551"/>
      <c r="N183" s="8569" t="s">
        <v>10557</v>
      </c>
      <c r="O183" s="8569" t="s">
        <v>10558</v>
      </c>
      <c r="P183" s="8553"/>
      <c r="Q183" s="8554"/>
      <c r="R183" s="8555"/>
      <c r="S183" s="8556"/>
      <c r="T183" s="8557"/>
      <c r="U183" s="12970" t="s">
        <v>1732</v>
      </c>
      <c r="V183" s="8555"/>
      <c r="W183" s="8557"/>
      <c r="X183" s="8555"/>
      <c r="Y183" s="8557"/>
      <c r="Z183" s="8555"/>
      <c r="AA183" s="8556"/>
      <c r="AB183" s="8556"/>
      <c r="AC183" s="8556"/>
      <c r="AD183" s="8556"/>
      <c r="AE183" s="8556"/>
      <c r="AF183" s="8557"/>
      <c r="AG183" s="8555"/>
      <c r="AH183" s="8556"/>
      <c r="AI183" s="8556"/>
      <c r="AJ183" s="8556"/>
      <c r="AK183" s="8556"/>
      <c r="AL183" s="8556"/>
      <c r="AM183" s="8556"/>
      <c r="AN183" s="8557"/>
      <c r="AO183" s="8555"/>
      <c r="AP183" s="8556"/>
      <c r="AQ183" s="8556"/>
      <c r="AR183" s="8556"/>
      <c r="AS183" s="8556"/>
      <c r="AT183" s="8557"/>
      <c r="AU183" s="8575" t="s">
        <v>1732</v>
      </c>
      <c r="AV183" s="8575" t="s">
        <v>1732</v>
      </c>
      <c r="AW183" s="8575" t="s">
        <v>1732</v>
      </c>
      <c r="AX183" s="8560" t="s">
        <v>1732</v>
      </c>
      <c r="AY183" s="8570" t="s">
        <v>1732</v>
      </c>
      <c r="AZ183" s="8558"/>
      <c r="BA183" s="8550"/>
      <c r="BB183" s="8552"/>
      <c r="BC183" s="8553"/>
      <c r="BD183" s="8559"/>
      <c r="BF183" s="12968"/>
      <c r="BG183" s="12968"/>
      <c r="BH183" s="8549"/>
      <c r="BI183" s="8549"/>
      <c r="BJ183" s="8549"/>
      <c r="BK183" s="13053"/>
      <c r="BL183" s="13053"/>
      <c r="BM183" s="8549"/>
      <c r="BN183" s="8549"/>
    </row>
    <row r="184" spans="1:66" ht="30" hidden="1" customHeight="1">
      <c r="A184" s="13557">
        <v>103</v>
      </c>
      <c r="B184" s="13908" t="s">
        <v>4917</v>
      </c>
      <c r="C184" s="13583"/>
      <c r="D184" s="11813" t="s">
        <v>26</v>
      </c>
      <c r="E184" s="11811" t="s">
        <v>390</v>
      </c>
      <c r="F184" s="11812"/>
      <c r="G184" s="13909" t="s">
        <v>2267</v>
      </c>
      <c r="H184" s="13387" t="s">
        <v>2268</v>
      </c>
      <c r="I184" s="13944" t="s">
        <v>2272</v>
      </c>
      <c r="K184" s="8561"/>
      <c r="L184" s="7679"/>
      <c r="M184" s="7679"/>
      <c r="N184" s="8562"/>
      <c r="O184" s="8562"/>
      <c r="P184" s="8563"/>
      <c r="Q184" s="7687"/>
      <c r="R184" s="7686"/>
      <c r="S184" s="7680"/>
      <c r="T184" s="7688"/>
      <c r="U184" s="7687"/>
      <c r="V184" s="7686"/>
      <c r="W184" s="7688"/>
      <c r="X184" s="7686"/>
      <c r="Y184" s="7688"/>
      <c r="Z184" s="7686"/>
      <c r="AA184" s="7680"/>
      <c r="AB184" s="7680"/>
      <c r="AC184" s="7680"/>
      <c r="AD184" s="7680"/>
      <c r="AE184" s="7680"/>
      <c r="AF184" s="7688"/>
      <c r="AG184" s="7686"/>
      <c r="AH184" s="7680"/>
      <c r="AI184" s="7680"/>
      <c r="AJ184" s="7680"/>
      <c r="AK184" s="7680"/>
      <c r="AL184" s="7680"/>
      <c r="AM184" s="7680"/>
      <c r="AN184" s="7688"/>
      <c r="AO184" s="7686"/>
      <c r="AP184" s="7680"/>
      <c r="AQ184" s="7680"/>
      <c r="AR184" s="7680"/>
      <c r="AS184" s="7680"/>
      <c r="AT184" s="7688"/>
      <c r="AU184" s="8564"/>
      <c r="AV184" s="8564"/>
      <c r="AW184" s="8564"/>
      <c r="AX184" s="8561"/>
      <c r="AY184" s="8563"/>
      <c r="AZ184" s="8564"/>
      <c r="BA184" s="8561"/>
      <c r="BB184" s="8562"/>
      <c r="BC184" s="8563"/>
      <c r="BD184" s="8565"/>
      <c r="BF184" s="14432"/>
      <c r="BG184" s="14432"/>
      <c r="BH184" s="14432"/>
      <c r="BI184" s="14432"/>
      <c r="BJ184" s="14432"/>
      <c r="BK184" s="8549"/>
      <c r="BL184" s="14432"/>
      <c r="BM184" s="14432"/>
      <c r="BN184" s="14432"/>
    </row>
    <row r="185" spans="1:66" ht="30" hidden="1" customHeight="1">
      <c r="A185" s="13557"/>
      <c r="B185" s="13908"/>
      <c r="C185" s="13583"/>
      <c r="D185" s="11813" t="s">
        <v>477</v>
      </c>
      <c r="E185" s="11811"/>
      <c r="F185" s="11812" t="s">
        <v>477</v>
      </c>
      <c r="G185" s="13909"/>
      <c r="H185" s="13387"/>
      <c r="I185" s="13944"/>
      <c r="K185" s="8561"/>
      <c r="L185" s="7679"/>
      <c r="M185" s="7679"/>
      <c r="N185" s="8562"/>
      <c r="O185" s="8562"/>
      <c r="P185" s="8563"/>
      <c r="Q185" s="7687"/>
      <c r="R185" s="7686"/>
      <c r="S185" s="7680"/>
      <c r="T185" s="7688"/>
      <c r="U185" s="7687"/>
      <c r="V185" s="7686"/>
      <c r="W185" s="7688"/>
      <c r="X185" s="7686"/>
      <c r="Y185" s="7688"/>
      <c r="Z185" s="7686"/>
      <c r="AA185" s="7680"/>
      <c r="AB185" s="7680"/>
      <c r="AC185" s="7680"/>
      <c r="AD185" s="7680"/>
      <c r="AE185" s="7680"/>
      <c r="AF185" s="7688"/>
      <c r="AG185" s="7686"/>
      <c r="AH185" s="7680"/>
      <c r="AI185" s="7680"/>
      <c r="AJ185" s="7680"/>
      <c r="AK185" s="7680"/>
      <c r="AL185" s="7680"/>
      <c r="AM185" s="7680"/>
      <c r="AN185" s="7688"/>
      <c r="AO185" s="7686"/>
      <c r="AP185" s="7680"/>
      <c r="AQ185" s="7680"/>
      <c r="AR185" s="7680"/>
      <c r="AS185" s="7680"/>
      <c r="AT185" s="7688"/>
      <c r="AU185" s="8564"/>
      <c r="AV185" s="8564"/>
      <c r="AW185" s="8564"/>
      <c r="AX185" s="8561"/>
      <c r="AY185" s="8563"/>
      <c r="AZ185" s="8564"/>
      <c r="BA185" s="8561"/>
      <c r="BB185" s="8562"/>
      <c r="BC185" s="8563"/>
      <c r="BD185" s="8565"/>
      <c r="BF185" s="14432"/>
      <c r="BG185" s="14432"/>
      <c r="BH185" s="14432"/>
      <c r="BI185" s="14432"/>
      <c r="BJ185" s="14432"/>
      <c r="BK185" s="8549"/>
      <c r="BL185" s="14432"/>
      <c r="BM185" s="14432"/>
      <c r="BN185" s="14432"/>
    </row>
    <row r="186" spans="1:66" ht="30" hidden="1" customHeight="1">
      <c r="A186" s="13557">
        <v>104</v>
      </c>
      <c r="B186" s="13908" t="s">
        <v>4918</v>
      </c>
      <c r="C186" s="13583"/>
      <c r="D186" s="11813" t="s">
        <v>26</v>
      </c>
      <c r="E186" s="11811" t="s">
        <v>390</v>
      </c>
      <c r="F186" s="11812"/>
      <c r="G186" s="13909" t="s">
        <v>2273</v>
      </c>
      <c r="H186" s="13387" t="s">
        <v>2274</v>
      </c>
      <c r="I186" s="13944" t="s">
        <v>2278</v>
      </c>
      <c r="K186" s="8561"/>
      <c r="L186" s="7679"/>
      <c r="M186" s="7679"/>
      <c r="N186" s="8562"/>
      <c r="O186" s="8562"/>
      <c r="P186" s="8563"/>
      <c r="Q186" s="7687"/>
      <c r="R186" s="7686"/>
      <c r="S186" s="7680"/>
      <c r="T186" s="7688"/>
      <c r="U186" s="7687"/>
      <c r="V186" s="7686"/>
      <c r="W186" s="7688"/>
      <c r="X186" s="7686"/>
      <c r="Y186" s="7688"/>
      <c r="Z186" s="7686"/>
      <c r="AA186" s="7680"/>
      <c r="AB186" s="7680"/>
      <c r="AC186" s="7680"/>
      <c r="AD186" s="7680"/>
      <c r="AE186" s="7680"/>
      <c r="AF186" s="7688"/>
      <c r="AG186" s="7686"/>
      <c r="AH186" s="7680"/>
      <c r="AI186" s="7680"/>
      <c r="AJ186" s="7680"/>
      <c r="AK186" s="7680"/>
      <c r="AL186" s="7680"/>
      <c r="AM186" s="7680"/>
      <c r="AN186" s="7688"/>
      <c r="AO186" s="7686"/>
      <c r="AP186" s="7680"/>
      <c r="AQ186" s="7680"/>
      <c r="AR186" s="7680"/>
      <c r="AS186" s="7680"/>
      <c r="AT186" s="7688"/>
      <c r="AU186" s="8564"/>
      <c r="AV186" s="8564"/>
      <c r="AW186" s="8564"/>
      <c r="AX186" s="8561"/>
      <c r="AY186" s="8563"/>
      <c r="AZ186" s="8564"/>
      <c r="BA186" s="8561"/>
      <c r="BB186" s="8562"/>
      <c r="BC186" s="8563"/>
      <c r="BD186" s="8565"/>
      <c r="BF186" s="14432"/>
      <c r="BG186" s="14432"/>
      <c r="BH186" s="14432"/>
      <c r="BI186" s="14432"/>
      <c r="BJ186" s="14432"/>
      <c r="BK186" s="8549"/>
      <c r="BL186" s="14432"/>
      <c r="BM186" s="14432"/>
      <c r="BN186" s="14432"/>
    </row>
    <row r="187" spans="1:66" ht="30" hidden="1" customHeight="1" thickBot="1">
      <c r="A187" s="13649"/>
      <c r="B187" s="13910"/>
      <c r="C187" s="13584"/>
      <c r="D187" s="11817" t="s">
        <v>477</v>
      </c>
      <c r="E187" s="11818"/>
      <c r="F187" s="11819" t="s">
        <v>2276</v>
      </c>
      <c r="G187" s="13911"/>
      <c r="H187" s="13948"/>
      <c r="I187" s="13950"/>
      <c r="K187" s="8577"/>
      <c r="L187" s="7701"/>
      <c r="M187" s="7701"/>
      <c r="N187" s="8578"/>
      <c r="O187" s="8578"/>
      <c r="P187" s="8579"/>
      <c r="Q187" s="7704"/>
      <c r="R187" s="7705"/>
      <c r="S187" s="7706"/>
      <c r="T187" s="7707"/>
      <c r="U187" s="7704"/>
      <c r="V187" s="7705"/>
      <c r="W187" s="7707"/>
      <c r="X187" s="7705"/>
      <c r="Y187" s="7707"/>
      <c r="Z187" s="7705"/>
      <c r="AA187" s="7706"/>
      <c r="AB187" s="7706"/>
      <c r="AC187" s="7706"/>
      <c r="AD187" s="7706"/>
      <c r="AE187" s="7706"/>
      <c r="AF187" s="7707"/>
      <c r="AG187" s="7705"/>
      <c r="AH187" s="7706"/>
      <c r="AI187" s="7706"/>
      <c r="AJ187" s="7706"/>
      <c r="AK187" s="7706"/>
      <c r="AL187" s="7706"/>
      <c r="AM187" s="7706"/>
      <c r="AN187" s="7707"/>
      <c r="AO187" s="7705"/>
      <c r="AP187" s="7706"/>
      <c r="AQ187" s="7706"/>
      <c r="AR187" s="7706"/>
      <c r="AS187" s="7706"/>
      <c r="AT187" s="7707"/>
      <c r="AU187" s="8580"/>
      <c r="AV187" s="8580"/>
      <c r="AW187" s="8580"/>
      <c r="AX187" s="8577"/>
      <c r="AY187" s="8579"/>
      <c r="AZ187" s="8580"/>
      <c r="BA187" s="8577"/>
      <c r="BB187" s="8578"/>
      <c r="BC187" s="8579"/>
      <c r="BD187" s="8581"/>
      <c r="BF187" s="14433"/>
      <c r="BG187" s="14433"/>
      <c r="BH187" s="14433"/>
      <c r="BI187" s="14433"/>
      <c r="BJ187" s="14433"/>
      <c r="BK187" s="8576"/>
      <c r="BL187" s="14433"/>
      <c r="BM187" s="14433"/>
      <c r="BN187" s="14433"/>
    </row>
    <row r="188" spans="1:66" ht="30" customHeight="1">
      <c r="A188" s="8582">
        <v>105</v>
      </c>
      <c r="B188" s="8583" t="s">
        <v>7680</v>
      </c>
      <c r="C188" s="13585" t="s">
        <v>10341</v>
      </c>
      <c r="D188" s="11820" t="s">
        <v>86</v>
      </c>
      <c r="E188" s="11821"/>
      <c r="F188" s="11821"/>
      <c r="G188" s="11822" t="s">
        <v>3283</v>
      </c>
      <c r="H188" s="11823"/>
      <c r="I188" s="11824" t="s">
        <v>3284</v>
      </c>
      <c r="K188" s="13117">
        <v>1</v>
      </c>
      <c r="L188" s="8586"/>
      <c r="M188" s="8586"/>
      <c r="N188" s="8587" t="s">
        <v>10583</v>
      </c>
      <c r="O188" s="8587" t="s">
        <v>3537</v>
      </c>
      <c r="P188" s="8588"/>
      <c r="Q188" s="8589"/>
      <c r="R188" s="8590"/>
      <c r="S188" s="8591"/>
      <c r="T188" s="8592"/>
      <c r="U188" s="8589"/>
      <c r="V188" s="8590"/>
      <c r="W188" s="8592"/>
      <c r="X188" s="8590"/>
      <c r="Y188" s="8592"/>
      <c r="Z188" s="8590"/>
      <c r="AA188" s="8591"/>
      <c r="AB188" s="8591"/>
      <c r="AC188" s="8591"/>
      <c r="AD188" s="8591"/>
      <c r="AE188" s="8591"/>
      <c r="AF188" s="8592"/>
      <c r="AG188" s="8590"/>
      <c r="AH188" s="8591"/>
      <c r="AI188" s="8591"/>
      <c r="AJ188" s="8591"/>
      <c r="AK188" s="8591"/>
      <c r="AL188" s="8591"/>
      <c r="AM188" s="8591"/>
      <c r="AN188" s="8592"/>
      <c r="AO188" s="8590"/>
      <c r="AP188" s="8591"/>
      <c r="AQ188" s="8591"/>
      <c r="AR188" s="8591"/>
      <c r="AS188" s="8591"/>
      <c r="AT188" s="8592"/>
      <c r="AU188" s="8593"/>
      <c r="AV188" s="8593"/>
      <c r="AW188" s="8593"/>
      <c r="AX188" s="8585"/>
      <c r="AY188" s="8588"/>
      <c r="AZ188" s="8593"/>
      <c r="BA188" s="8585"/>
      <c r="BB188" s="8587"/>
      <c r="BC188" s="8588"/>
      <c r="BD188" s="8594"/>
      <c r="BF188" s="8584"/>
      <c r="BG188" s="8584"/>
      <c r="BH188" s="8584"/>
      <c r="BI188" s="8584"/>
      <c r="BJ188" s="8584"/>
      <c r="BK188" s="8584"/>
      <c r="BL188" s="8584"/>
      <c r="BM188" s="8584"/>
      <c r="BN188" s="8584"/>
    </row>
    <row r="189" spans="1:66" ht="30" customHeight="1">
      <c r="A189" s="8582">
        <v>106</v>
      </c>
      <c r="B189" s="8583" t="s">
        <v>7681</v>
      </c>
      <c r="C189" s="13586"/>
      <c r="D189" s="11825" t="s">
        <v>86</v>
      </c>
      <c r="E189" s="11826"/>
      <c r="F189" s="11826"/>
      <c r="G189" s="11827" t="s">
        <v>3290</v>
      </c>
      <c r="H189" s="11828"/>
      <c r="I189" s="11829" t="s">
        <v>3291</v>
      </c>
      <c r="K189" s="8616">
        <v>116</v>
      </c>
      <c r="L189" s="8597"/>
      <c r="M189" s="8597"/>
      <c r="N189" s="8598" t="s">
        <v>10523</v>
      </c>
      <c r="O189" s="8598" t="s">
        <v>10524</v>
      </c>
      <c r="P189" s="8599"/>
      <c r="Q189" s="8600"/>
      <c r="R189" s="8601"/>
      <c r="S189" s="8602"/>
      <c r="T189" s="8603"/>
      <c r="U189" s="8620">
        <v>116</v>
      </c>
      <c r="V189" s="8601"/>
      <c r="W189" s="8603">
        <v>116</v>
      </c>
      <c r="X189" s="8601">
        <v>52</v>
      </c>
      <c r="Y189" s="8603">
        <v>64</v>
      </c>
      <c r="Z189" s="8601"/>
      <c r="AA189" s="8602"/>
      <c r="AB189" s="8602">
        <v>11</v>
      </c>
      <c r="AC189" s="8602">
        <v>83</v>
      </c>
      <c r="AD189" s="8602">
        <v>22</v>
      </c>
      <c r="AE189" s="8602"/>
      <c r="AF189" s="8603"/>
      <c r="AG189" s="8601">
        <v>105</v>
      </c>
      <c r="AH189" s="8602"/>
      <c r="AI189" s="8602">
        <v>11</v>
      </c>
      <c r="AJ189" s="8602"/>
      <c r="AK189" s="8602"/>
      <c r="AL189" s="8602"/>
      <c r="AM189" s="8602"/>
      <c r="AN189" s="8603"/>
      <c r="AO189" s="8601">
        <v>107</v>
      </c>
      <c r="AP189" s="8602">
        <v>6</v>
      </c>
      <c r="AQ189" s="8602">
        <v>3</v>
      </c>
      <c r="AR189" s="8602"/>
      <c r="AS189" s="8602"/>
      <c r="AT189" s="8603"/>
      <c r="AU189" s="8604"/>
      <c r="AV189" s="8604"/>
      <c r="AW189" s="8604"/>
      <c r="AX189" s="8596"/>
      <c r="AY189" s="8599"/>
      <c r="AZ189" s="8604"/>
      <c r="BA189" s="8596"/>
      <c r="BB189" s="8598"/>
      <c r="BC189" s="8599"/>
      <c r="BD189" s="8605"/>
      <c r="BF189" s="8595"/>
      <c r="BG189" s="8595"/>
      <c r="BH189" s="8595"/>
      <c r="BI189" s="8595"/>
      <c r="BJ189" s="8595"/>
      <c r="BK189" s="8595"/>
      <c r="BL189" s="8595"/>
      <c r="BM189" s="8595"/>
      <c r="BN189" s="8595"/>
    </row>
    <row r="190" spans="1:66" ht="30" customHeight="1">
      <c r="A190" s="8582">
        <v>107</v>
      </c>
      <c r="B190" s="8583" t="s">
        <v>7682</v>
      </c>
      <c r="C190" s="13586"/>
      <c r="D190" s="11825" t="s">
        <v>86</v>
      </c>
      <c r="E190" s="11826"/>
      <c r="F190" s="11826"/>
      <c r="G190" s="11827" t="s">
        <v>3294</v>
      </c>
      <c r="H190" s="11828"/>
      <c r="I190" s="11829" t="s">
        <v>3291</v>
      </c>
      <c r="K190" s="8616">
        <v>116</v>
      </c>
      <c r="L190" s="8597"/>
      <c r="M190" s="8597"/>
      <c r="N190" s="8598" t="s">
        <v>10523</v>
      </c>
      <c r="O190" s="8598" t="s">
        <v>10524</v>
      </c>
      <c r="P190" s="8599"/>
      <c r="Q190" s="8600"/>
      <c r="R190" s="8601"/>
      <c r="S190" s="8602"/>
      <c r="T190" s="8603"/>
      <c r="U190" s="8620">
        <v>116</v>
      </c>
      <c r="V190" s="8601"/>
      <c r="W190" s="8603">
        <v>116</v>
      </c>
      <c r="X190" s="8601">
        <v>52</v>
      </c>
      <c r="Y190" s="8603">
        <v>64</v>
      </c>
      <c r="Z190" s="8601"/>
      <c r="AA190" s="8602"/>
      <c r="AB190" s="8602">
        <v>11</v>
      </c>
      <c r="AC190" s="8602">
        <v>83</v>
      </c>
      <c r="AD190" s="8602">
        <v>22</v>
      </c>
      <c r="AE190" s="8602"/>
      <c r="AF190" s="8603"/>
      <c r="AG190" s="8601">
        <v>105</v>
      </c>
      <c r="AH190" s="8602"/>
      <c r="AI190" s="8602">
        <v>11</v>
      </c>
      <c r="AJ190" s="8602"/>
      <c r="AK190" s="8602"/>
      <c r="AL190" s="8602"/>
      <c r="AM190" s="8602"/>
      <c r="AN190" s="8603"/>
      <c r="AO190" s="8601">
        <v>107</v>
      </c>
      <c r="AP190" s="8602">
        <v>6</v>
      </c>
      <c r="AQ190" s="8602">
        <v>3</v>
      </c>
      <c r="AR190" s="8602"/>
      <c r="AS190" s="8602"/>
      <c r="AT190" s="8603"/>
      <c r="AU190" s="8604"/>
      <c r="AV190" s="8604"/>
      <c r="AW190" s="8604"/>
      <c r="AX190" s="8596"/>
      <c r="AY190" s="8599"/>
      <c r="AZ190" s="8604"/>
      <c r="BA190" s="8596"/>
      <c r="BB190" s="8598"/>
      <c r="BC190" s="8599"/>
      <c r="BD190" s="8605"/>
      <c r="BF190" s="8595"/>
      <c r="BG190" s="8595"/>
      <c r="BH190" s="8595"/>
      <c r="BI190" s="8595"/>
      <c r="BJ190" s="8595"/>
      <c r="BK190" s="8595"/>
      <c r="BL190" s="8595"/>
      <c r="BM190" s="8595"/>
      <c r="BN190" s="8595"/>
    </row>
    <row r="191" spans="1:66" ht="30" customHeight="1">
      <c r="A191" s="8582">
        <v>108</v>
      </c>
      <c r="B191" s="8583" t="s">
        <v>7683</v>
      </c>
      <c r="C191" s="13586"/>
      <c r="D191" s="11825" t="s">
        <v>86</v>
      </c>
      <c r="E191" s="11826"/>
      <c r="F191" s="11826"/>
      <c r="G191" s="11827" t="s">
        <v>3298</v>
      </c>
      <c r="H191" s="11828"/>
      <c r="I191" s="11829" t="s">
        <v>3299</v>
      </c>
      <c r="K191" s="8616">
        <v>12.5</v>
      </c>
      <c r="L191" s="8607"/>
      <c r="M191" s="8607"/>
      <c r="N191" s="8608"/>
      <c r="O191" s="8608"/>
      <c r="P191" s="8609"/>
      <c r="Q191" s="8610"/>
      <c r="R191" s="8611"/>
      <c r="S191" s="8612"/>
      <c r="T191" s="8613"/>
      <c r="U191" s="8610"/>
      <c r="V191" s="8611"/>
      <c r="W191" s="8613"/>
      <c r="X191" s="8611"/>
      <c r="Y191" s="8613"/>
      <c r="Z191" s="8611"/>
      <c r="AA191" s="8612"/>
      <c r="AB191" s="8612"/>
      <c r="AC191" s="8612"/>
      <c r="AD191" s="8612"/>
      <c r="AE191" s="8612"/>
      <c r="AF191" s="8613"/>
      <c r="AG191" s="8611"/>
      <c r="AH191" s="8612"/>
      <c r="AI191" s="8612"/>
      <c r="AJ191" s="8612"/>
      <c r="AK191" s="8612"/>
      <c r="AL191" s="8612"/>
      <c r="AM191" s="8612"/>
      <c r="AN191" s="8613"/>
      <c r="AO191" s="8611"/>
      <c r="AP191" s="8612"/>
      <c r="AQ191" s="8612"/>
      <c r="AR191" s="8612"/>
      <c r="AS191" s="8612"/>
      <c r="AT191" s="8613"/>
      <c r="AU191" s="8614"/>
      <c r="AV191" s="8614"/>
      <c r="AW191" s="8614"/>
      <c r="AX191" s="8606"/>
      <c r="AY191" s="8609"/>
      <c r="AZ191" s="8614"/>
      <c r="BA191" s="8606"/>
      <c r="BB191" s="8608"/>
      <c r="BC191" s="8609"/>
      <c r="BD191" s="8615"/>
      <c r="BF191" s="8595"/>
      <c r="BG191" s="8595"/>
      <c r="BH191" s="8595"/>
      <c r="BI191" s="8595"/>
      <c r="BJ191" s="8595"/>
      <c r="BK191" s="8595"/>
      <c r="BL191" s="8595"/>
      <c r="BM191" s="8595"/>
      <c r="BN191" s="8595"/>
    </row>
    <row r="192" spans="1:66" ht="30" customHeight="1">
      <c r="A192" s="8582">
        <v>109</v>
      </c>
      <c r="B192" s="8583" t="s">
        <v>7684</v>
      </c>
      <c r="C192" s="13586"/>
      <c r="D192" s="11825" t="s">
        <v>86</v>
      </c>
      <c r="E192" s="11826"/>
      <c r="F192" s="11826"/>
      <c r="G192" s="11827" t="s">
        <v>3302</v>
      </c>
      <c r="H192" s="11828"/>
      <c r="I192" s="11829" t="s">
        <v>3303</v>
      </c>
      <c r="K192" s="8616">
        <v>70</v>
      </c>
      <c r="L192" s="8597"/>
      <c r="M192" s="8597"/>
      <c r="N192" s="8598"/>
      <c r="O192" s="8598"/>
      <c r="P192" s="8599"/>
      <c r="Q192" s="8600"/>
      <c r="R192" s="8601"/>
      <c r="S192" s="8602"/>
      <c r="T192" s="8603"/>
      <c r="U192" s="8600"/>
      <c r="V192" s="8601"/>
      <c r="W192" s="8603"/>
      <c r="X192" s="8601"/>
      <c r="Y192" s="8603"/>
      <c r="Z192" s="8601"/>
      <c r="AA192" s="8602"/>
      <c r="AB192" s="8602"/>
      <c r="AC192" s="8602"/>
      <c r="AD192" s="8602"/>
      <c r="AE192" s="8602"/>
      <c r="AF192" s="8603"/>
      <c r="AG192" s="8601"/>
      <c r="AH192" s="8602"/>
      <c r="AI192" s="8602"/>
      <c r="AJ192" s="8602"/>
      <c r="AK192" s="8602"/>
      <c r="AL192" s="8602"/>
      <c r="AM192" s="8602"/>
      <c r="AN192" s="8603"/>
      <c r="AO192" s="8601"/>
      <c r="AP192" s="8602"/>
      <c r="AQ192" s="8602"/>
      <c r="AR192" s="8602"/>
      <c r="AS192" s="8602"/>
      <c r="AT192" s="8603"/>
      <c r="AU192" s="8604"/>
      <c r="AV192" s="8604"/>
      <c r="AW192" s="8604"/>
      <c r="AX192" s="8596"/>
      <c r="AY192" s="8599"/>
      <c r="AZ192" s="8604"/>
      <c r="BA192" s="8596"/>
      <c r="BB192" s="8598"/>
      <c r="BC192" s="8599"/>
      <c r="BD192" s="8605"/>
      <c r="BF192" s="8595"/>
      <c r="BG192" s="8595"/>
      <c r="BH192" s="8595"/>
      <c r="BI192" s="8595"/>
      <c r="BJ192" s="8595"/>
      <c r="BK192" s="8595"/>
      <c r="BL192" s="8595"/>
      <c r="BM192" s="8595"/>
      <c r="BN192" s="8595"/>
    </row>
    <row r="193" spans="1:66" ht="30" customHeight="1">
      <c r="A193" s="8582">
        <v>110</v>
      </c>
      <c r="B193" s="8583" t="s">
        <v>7685</v>
      </c>
      <c r="C193" s="13586"/>
      <c r="D193" s="11825" t="s">
        <v>86</v>
      </c>
      <c r="E193" s="11826"/>
      <c r="F193" s="11826"/>
      <c r="G193" s="11827" t="s">
        <v>3307</v>
      </c>
      <c r="H193" s="11828"/>
      <c r="I193" s="11829" t="s">
        <v>3299</v>
      </c>
      <c r="K193" s="8616">
        <v>12.5</v>
      </c>
      <c r="L193" s="8607"/>
      <c r="M193" s="8607"/>
      <c r="N193" s="8608"/>
      <c r="O193" s="8608"/>
      <c r="P193" s="8609"/>
      <c r="Q193" s="8610"/>
      <c r="R193" s="8611"/>
      <c r="S193" s="8612"/>
      <c r="T193" s="8613"/>
      <c r="U193" s="8610"/>
      <c r="V193" s="8611"/>
      <c r="W193" s="8613"/>
      <c r="X193" s="8611"/>
      <c r="Y193" s="8613"/>
      <c r="Z193" s="8611"/>
      <c r="AA193" s="8612"/>
      <c r="AB193" s="8612"/>
      <c r="AC193" s="8612"/>
      <c r="AD193" s="8612"/>
      <c r="AE193" s="8612"/>
      <c r="AF193" s="8613"/>
      <c r="AG193" s="8611"/>
      <c r="AH193" s="8612"/>
      <c r="AI193" s="8612"/>
      <c r="AJ193" s="8612"/>
      <c r="AK193" s="8612"/>
      <c r="AL193" s="8612"/>
      <c r="AM193" s="8612"/>
      <c r="AN193" s="8613"/>
      <c r="AO193" s="8611"/>
      <c r="AP193" s="8612"/>
      <c r="AQ193" s="8612"/>
      <c r="AR193" s="8612"/>
      <c r="AS193" s="8612"/>
      <c r="AT193" s="8613"/>
      <c r="AU193" s="8614"/>
      <c r="AV193" s="8614"/>
      <c r="AW193" s="8614"/>
      <c r="AX193" s="8606"/>
      <c r="AY193" s="8609"/>
      <c r="AZ193" s="8614"/>
      <c r="BA193" s="8606"/>
      <c r="BB193" s="8608"/>
      <c r="BC193" s="8609"/>
      <c r="BD193" s="8615"/>
      <c r="BF193" s="8595"/>
      <c r="BG193" s="8595"/>
      <c r="BH193" s="8595"/>
      <c r="BI193" s="8595"/>
      <c r="BJ193" s="8595"/>
      <c r="BK193" s="8595"/>
      <c r="BL193" s="8595"/>
      <c r="BM193" s="8595"/>
      <c r="BN193" s="8595"/>
    </row>
    <row r="194" spans="1:66" ht="30" customHeight="1">
      <c r="A194" s="8582">
        <v>111</v>
      </c>
      <c r="B194" s="8583" t="s">
        <v>7686</v>
      </c>
      <c r="C194" s="13586"/>
      <c r="D194" s="11825" t="s">
        <v>86</v>
      </c>
      <c r="E194" s="11826"/>
      <c r="F194" s="11826"/>
      <c r="G194" s="11827" t="s">
        <v>3308</v>
      </c>
      <c r="H194" s="11828"/>
      <c r="I194" s="11829" t="s">
        <v>4092</v>
      </c>
      <c r="K194" s="8616">
        <v>16</v>
      </c>
      <c r="L194" s="8617"/>
      <c r="M194" s="8617"/>
      <c r="N194" s="8618"/>
      <c r="O194" s="8618"/>
      <c r="P194" s="8619"/>
      <c r="Q194" s="8620"/>
      <c r="R194" s="8621"/>
      <c r="S194" s="8622"/>
      <c r="T194" s="8623"/>
      <c r="U194" s="8620"/>
      <c r="V194" s="8621"/>
      <c r="W194" s="8623"/>
      <c r="X194" s="8621"/>
      <c r="Y194" s="8623"/>
      <c r="Z194" s="8621"/>
      <c r="AA194" s="8622"/>
      <c r="AB194" s="8622"/>
      <c r="AC194" s="8622"/>
      <c r="AD194" s="8622"/>
      <c r="AE194" s="8622"/>
      <c r="AF194" s="8623"/>
      <c r="AG194" s="8621"/>
      <c r="AH194" s="8622"/>
      <c r="AI194" s="8622"/>
      <c r="AJ194" s="8622"/>
      <c r="AK194" s="8622"/>
      <c r="AL194" s="8622"/>
      <c r="AM194" s="8622"/>
      <c r="AN194" s="8623"/>
      <c r="AO194" s="8621"/>
      <c r="AP194" s="8622"/>
      <c r="AQ194" s="8622"/>
      <c r="AR194" s="8622"/>
      <c r="AS194" s="8622"/>
      <c r="AT194" s="8623"/>
      <c r="AU194" s="8624"/>
      <c r="AV194" s="8624"/>
      <c r="AW194" s="8624"/>
      <c r="AX194" s="8616"/>
      <c r="AY194" s="8619"/>
      <c r="AZ194" s="8624"/>
      <c r="BA194" s="8616"/>
      <c r="BB194" s="8618"/>
      <c r="BC194" s="8619"/>
      <c r="BD194" s="8625"/>
      <c r="BF194" s="8595"/>
      <c r="BG194" s="8595"/>
      <c r="BH194" s="8595"/>
      <c r="BI194" s="8595"/>
      <c r="BJ194" s="8595"/>
      <c r="BK194" s="8595"/>
      <c r="BL194" s="8595"/>
      <c r="BM194" s="8595"/>
      <c r="BN194" s="8595"/>
    </row>
    <row r="195" spans="1:66" ht="30" customHeight="1">
      <c r="A195" s="8582">
        <v>112</v>
      </c>
      <c r="B195" s="8583" t="s">
        <v>7687</v>
      </c>
      <c r="C195" s="13586"/>
      <c r="D195" s="11825" t="s">
        <v>86</v>
      </c>
      <c r="E195" s="11826"/>
      <c r="F195" s="11826"/>
      <c r="G195" s="11827" t="s">
        <v>3311</v>
      </c>
      <c r="H195" s="11828"/>
      <c r="I195" s="11829" t="s">
        <v>3303</v>
      </c>
      <c r="K195" s="8616">
        <v>76</v>
      </c>
      <c r="L195" s="8607"/>
      <c r="M195" s="8607"/>
      <c r="N195" s="8608"/>
      <c r="O195" s="8608"/>
      <c r="P195" s="8609"/>
      <c r="Q195" s="8610"/>
      <c r="R195" s="8611"/>
      <c r="S195" s="8612"/>
      <c r="T195" s="8613"/>
      <c r="U195" s="8610"/>
      <c r="V195" s="8611"/>
      <c r="W195" s="8613"/>
      <c r="X195" s="8611"/>
      <c r="Y195" s="8613"/>
      <c r="Z195" s="8611"/>
      <c r="AA195" s="8612"/>
      <c r="AB195" s="8612"/>
      <c r="AC195" s="8612"/>
      <c r="AD195" s="8612"/>
      <c r="AE195" s="8612"/>
      <c r="AF195" s="8613"/>
      <c r="AG195" s="8611"/>
      <c r="AH195" s="8612"/>
      <c r="AI195" s="8612"/>
      <c r="AJ195" s="8612"/>
      <c r="AK195" s="8612"/>
      <c r="AL195" s="8612"/>
      <c r="AM195" s="8612"/>
      <c r="AN195" s="8613"/>
      <c r="AO195" s="8611"/>
      <c r="AP195" s="8612"/>
      <c r="AQ195" s="8612"/>
      <c r="AR195" s="8612"/>
      <c r="AS195" s="8612"/>
      <c r="AT195" s="8613"/>
      <c r="AU195" s="8614"/>
      <c r="AV195" s="8614"/>
      <c r="AW195" s="8614"/>
      <c r="AX195" s="8606"/>
      <c r="AY195" s="8609"/>
      <c r="AZ195" s="8614"/>
      <c r="BA195" s="8606"/>
      <c r="BB195" s="8608"/>
      <c r="BC195" s="8609"/>
      <c r="BD195" s="8615"/>
      <c r="BF195" s="8595"/>
      <c r="BG195" s="8595"/>
      <c r="BH195" s="8595"/>
      <c r="BI195" s="8595"/>
      <c r="BJ195" s="8595"/>
      <c r="BK195" s="8595"/>
      <c r="BL195" s="8595"/>
      <c r="BM195" s="8595"/>
      <c r="BN195" s="8595"/>
    </row>
    <row r="196" spans="1:66" ht="30" customHeight="1">
      <c r="A196" s="8582">
        <v>113</v>
      </c>
      <c r="B196" s="8583" t="s">
        <v>7688</v>
      </c>
      <c r="C196" s="13586"/>
      <c r="D196" s="11825" t="s">
        <v>86</v>
      </c>
      <c r="E196" s="11826"/>
      <c r="F196" s="11826"/>
      <c r="G196" s="11827" t="s">
        <v>3312</v>
      </c>
      <c r="H196" s="11828"/>
      <c r="I196" s="11829" t="s">
        <v>3313</v>
      </c>
      <c r="K196" s="13118">
        <v>0.67</v>
      </c>
      <c r="L196" s="8607"/>
      <c r="M196" s="8607"/>
      <c r="N196" s="8608"/>
      <c r="O196" s="8608"/>
      <c r="P196" s="8609"/>
      <c r="Q196" s="8610"/>
      <c r="R196" s="8611"/>
      <c r="S196" s="8612"/>
      <c r="T196" s="8613"/>
      <c r="U196" s="8610"/>
      <c r="V196" s="8611"/>
      <c r="W196" s="8613"/>
      <c r="X196" s="8611"/>
      <c r="Y196" s="8613"/>
      <c r="Z196" s="8611"/>
      <c r="AA196" s="8612"/>
      <c r="AB196" s="8612"/>
      <c r="AC196" s="8612"/>
      <c r="AD196" s="8612"/>
      <c r="AE196" s="8612"/>
      <c r="AF196" s="8613"/>
      <c r="AG196" s="8611"/>
      <c r="AH196" s="8612"/>
      <c r="AI196" s="8612"/>
      <c r="AJ196" s="8612"/>
      <c r="AK196" s="8612"/>
      <c r="AL196" s="8612"/>
      <c r="AM196" s="8612"/>
      <c r="AN196" s="8613"/>
      <c r="AO196" s="8611"/>
      <c r="AP196" s="8612"/>
      <c r="AQ196" s="8612"/>
      <c r="AR196" s="8612"/>
      <c r="AS196" s="8612"/>
      <c r="AT196" s="8613"/>
      <c r="AU196" s="8614"/>
      <c r="AV196" s="8614"/>
      <c r="AW196" s="8614"/>
      <c r="AX196" s="8606"/>
      <c r="AY196" s="8609"/>
      <c r="AZ196" s="8614"/>
      <c r="BA196" s="8606"/>
      <c r="BB196" s="8608"/>
      <c r="BC196" s="8609"/>
      <c r="BD196" s="8615"/>
      <c r="BF196" s="8595"/>
      <c r="BG196" s="8595"/>
      <c r="BH196" s="8595"/>
      <c r="BI196" s="8595"/>
      <c r="BJ196" s="8595"/>
      <c r="BK196" s="8595"/>
      <c r="BL196" s="8595"/>
      <c r="BM196" s="8595"/>
      <c r="BN196" s="8595"/>
    </row>
    <row r="197" spans="1:66" ht="30" customHeight="1">
      <c r="A197" s="8582">
        <v>114</v>
      </c>
      <c r="B197" s="8583" t="s">
        <v>7689</v>
      </c>
      <c r="C197" s="13586"/>
      <c r="D197" s="11825" t="s">
        <v>86</v>
      </c>
      <c r="E197" s="11826"/>
      <c r="F197" s="11826"/>
      <c r="G197" s="11827" t="s">
        <v>3316</v>
      </c>
      <c r="H197" s="11828"/>
      <c r="I197" s="11829" t="s">
        <v>3317</v>
      </c>
      <c r="K197" s="13118">
        <v>1</v>
      </c>
      <c r="L197" s="8607"/>
      <c r="M197" s="8607"/>
      <c r="N197" s="8608"/>
      <c r="O197" s="8608"/>
      <c r="P197" s="8609"/>
      <c r="Q197" s="8610"/>
      <c r="R197" s="8611"/>
      <c r="S197" s="8612"/>
      <c r="T197" s="8613"/>
      <c r="U197" s="8610"/>
      <c r="V197" s="8611"/>
      <c r="W197" s="8613"/>
      <c r="X197" s="8611"/>
      <c r="Y197" s="8613"/>
      <c r="Z197" s="8611"/>
      <c r="AA197" s="8612"/>
      <c r="AB197" s="8612"/>
      <c r="AC197" s="8612"/>
      <c r="AD197" s="8612"/>
      <c r="AE197" s="8612"/>
      <c r="AF197" s="8613"/>
      <c r="AG197" s="8611"/>
      <c r="AH197" s="8612"/>
      <c r="AI197" s="8612"/>
      <c r="AJ197" s="8612"/>
      <c r="AK197" s="8612"/>
      <c r="AL197" s="8612"/>
      <c r="AM197" s="8612"/>
      <c r="AN197" s="8613"/>
      <c r="AO197" s="8611"/>
      <c r="AP197" s="8612"/>
      <c r="AQ197" s="8612"/>
      <c r="AR197" s="8612"/>
      <c r="AS197" s="8612"/>
      <c r="AT197" s="8613"/>
      <c r="AU197" s="8614"/>
      <c r="AV197" s="8614"/>
      <c r="AW197" s="8614"/>
      <c r="AX197" s="8606"/>
      <c r="AY197" s="8609"/>
      <c r="AZ197" s="8614"/>
      <c r="BA197" s="8606"/>
      <c r="BB197" s="8608"/>
      <c r="BC197" s="8609"/>
      <c r="BD197" s="8615"/>
      <c r="BF197" s="8595"/>
      <c r="BG197" s="8595"/>
      <c r="BH197" s="8595"/>
      <c r="BI197" s="8595"/>
      <c r="BJ197" s="8595"/>
      <c r="BK197" s="8595"/>
      <c r="BL197" s="8595"/>
      <c r="BM197" s="8595"/>
      <c r="BN197" s="8595"/>
    </row>
    <row r="198" spans="1:66" ht="30" customHeight="1">
      <c r="A198" s="8582">
        <v>115</v>
      </c>
      <c r="B198" s="8583" t="s">
        <v>7690</v>
      </c>
      <c r="C198" s="13586"/>
      <c r="D198" s="11825" t="s">
        <v>86</v>
      </c>
      <c r="E198" s="11826"/>
      <c r="F198" s="11826"/>
      <c r="G198" s="11827" t="s">
        <v>3321</v>
      </c>
      <c r="H198" s="11828"/>
      <c r="I198" s="11829" t="s">
        <v>3322</v>
      </c>
      <c r="K198" s="13118">
        <v>1</v>
      </c>
      <c r="L198" s="8607"/>
      <c r="M198" s="8607"/>
      <c r="N198" s="8608"/>
      <c r="O198" s="8608"/>
      <c r="P198" s="8609"/>
      <c r="Q198" s="8610"/>
      <c r="R198" s="8611"/>
      <c r="S198" s="8612"/>
      <c r="T198" s="8613"/>
      <c r="U198" s="8610"/>
      <c r="V198" s="8611"/>
      <c r="W198" s="8613"/>
      <c r="X198" s="8611"/>
      <c r="Y198" s="8613"/>
      <c r="Z198" s="8611"/>
      <c r="AA198" s="8612"/>
      <c r="AB198" s="8612"/>
      <c r="AC198" s="8612"/>
      <c r="AD198" s="8612"/>
      <c r="AE198" s="8612"/>
      <c r="AF198" s="8613"/>
      <c r="AG198" s="8611"/>
      <c r="AH198" s="8612"/>
      <c r="AI198" s="8612"/>
      <c r="AJ198" s="8612"/>
      <c r="AK198" s="8612"/>
      <c r="AL198" s="8612"/>
      <c r="AM198" s="8612"/>
      <c r="AN198" s="8613"/>
      <c r="AO198" s="8611"/>
      <c r="AP198" s="8612"/>
      <c r="AQ198" s="8612"/>
      <c r="AR198" s="8612"/>
      <c r="AS198" s="8612"/>
      <c r="AT198" s="8613"/>
      <c r="AU198" s="8614"/>
      <c r="AV198" s="8614"/>
      <c r="AW198" s="8614"/>
      <c r="AX198" s="8606"/>
      <c r="AY198" s="8609"/>
      <c r="AZ198" s="8614"/>
      <c r="BA198" s="8606"/>
      <c r="BB198" s="8608"/>
      <c r="BC198" s="8609"/>
      <c r="BD198" s="8615"/>
      <c r="BF198" s="8595"/>
      <c r="BG198" s="8595"/>
      <c r="BH198" s="8595"/>
      <c r="BI198" s="8595"/>
      <c r="BJ198" s="8595"/>
      <c r="BK198" s="8595"/>
      <c r="BL198" s="8595"/>
      <c r="BM198" s="8595"/>
      <c r="BN198" s="8595"/>
    </row>
    <row r="199" spans="1:66" ht="30" customHeight="1">
      <c r="A199" s="8582">
        <v>116</v>
      </c>
      <c r="B199" s="8583" t="s">
        <v>7691</v>
      </c>
      <c r="C199" s="13586"/>
      <c r="D199" s="11825" t="s">
        <v>86</v>
      </c>
      <c r="E199" s="11826"/>
      <c r="F199" s="11826"/>
      <c r="G199" s="11827" t="s">
        <v>3326</v>
      </c>
      <c r="H199" s="11828"/>
      <c r="I199" s="11829" t="s">
        <v>3291</v>
      </c>
      <c r="K199" s="8616">
        <v>116</v>
      </c>
      <c r="L199" s="8597"/>
      <c r="M199" s="8597"/>
      <c r="N199" s="8598" t="s">
        <v>10523</v>
      </c>
      <c r="O199" s="8598" t="s">
        <v>10524</v>
      </c>
      <c r="P199" s="8599"/>
      <c r="Q199" s="8600"/>
      <c r="R199" s="8601"/>
      <c r="S199" s="8602"/>
      <c r="T199" s="8603"/>
      <c r="U199" s="8620">
        <v>116</v>
      </c>
      <c r="V199" s="8601"/>
      <c r="W199" s="8603">
        <v>116</v>
      </c>
      <c r="X199" s="8601">
        <v>52</v>
      </c>
      <c r="Y199" s="8603">
        <v>64</v>
      </c>
      <c r="Z199" s="8601"/>
      <c r="AA199" s="8602"/>
      <c r="AB199" s="8602">
        <v>11</v>
      </c>
      <c r="AC199" s="8602">
        <v>83</v>
      </c>
      <c r="AD199" s="8602">
        <v>22</v>
      </c>
      <c r="AE199" s="8602"/>
      <c r="AF199" s="8603"/>
      <c r="AG199" s="8601">
        <v>105</v>
      </c>
      <c r="AH199" s="8602"/>
      <c r="AI199" s="8602">
        <v>11</v>
      </c>
      <c r="AJ199" s="8602"/>
      <c r="AK199" s="8602"/>
      <c r="AL199" s="8602"/>
      <c r="AM199" s="8602"/>
      <c r="AN199" s="8603"/>
      <c r="AO199" s="8601">
        <v>107</v>
      </c>
      <c r="AP199" s="8602">
        <v>6</v>
      </c>
      <c r="AQ199" s="8602">
        <v>3</v>
      </c>
      <c r="AR199" s="8602"/>
      <c r="AS199" s="8602"/>
      <c r="AT199" s="8603"/>
      <c r="AU199" s="8614"/>
      <c r="AV199" s="8614"/>
      <c r="AW199" s="8614"/>
      <c r="AX199" s="8606"/>
      <c r="AY199" s="8609"/>
      <c r="AZ199" s="8614"/>
      <c r="BA199" s="8606"/>
      <c r="BB199" s="8608"/>
      <c r="BC199" s="8609"/>
      <c r="BD199" s="8615"/>
      <c r="BF199" s="8595"/>
      <c r="BG199" s="8595"/>
      <c r="BH199" s="8595"/>
      <c r="BI199" s="8595"/>
      <c r="BJ199" s="8595"/>
      <c r="BK199" s="8595"/>
      <c r="BL199" s="8595"/>
      <c r="BM199" s="8595"/>
      <c r="BN199" s="8595"/>
    </row>
    <row r="200" spans="1:66" ht="30" customHeight="1">
      <c r="A200" s="8582">
        <v>117</v>
      </c>
      <c r="B200" s="8583" t="s">
        <v>7692</v>
      </c>
      <c r="C200" s="13586"/>
      <c r="D200" s="11825" t="s">
        <v>86</v>
      </c>
      <c r="E200" s="11826"/>
      <c r="F200" s="11826"/>
      <c r="G200" s="11827" t="s">
        <v>3329</v>
      </c>
      <c r="H200" s="11828"/>
      <c r="I200" s="11829" t="s">
        <v>3330</v>
      </c>
      <c r="K200" s="8616">
        <v>50</v>
      </c>
      <c r="L200" s="8607"/>
      <c r="M200" s="8607"/>
      <c r="N200" s="8608"/>
      <c r="O200" s="8608"/>
      <c r="P200" s="8609"/>
      <c r="Q200" s="8610"/>
      <c r="R200" s="8611"/>
      <c r="S200" s="8612"/>
      <c r="T200" s="8613"/>
      <c r="U200" s="8610"/>
      <c r="V200" s="8611"/>
      <c r="W200" s="8613"/>
      <c r="X200" s="8611"/>
      <c r="Y200" s="8613"/>
      <c r="Z200" s="8611"/>
      <c r="AA200" s="8612"/>
      <c r="AB200" s="8612"/>
      <c r="AC200" s="8612"/>
      <c r="AD200" s="8612"/>
      <c r="AE200" s="8612"/>
      <c r="AF200" s="8613"/>
      <c r="AG200" s="8611"/>
      <c r="AH200" s="8612"/>
      <c r="AI200" s="8612"/>
      <c r="AJ200" s="8612"/>
      <c r="AK200" s="8612"/>
      <c r="AL200" s="8612"/>
      <c r="AM200" s="8612"/>
      <c r="AN200" s="8613"/>
      <c r="AO200" s="8611"/>
      <c r="AP200" s="8612"/>
      <c r="AQ200" s="8612"/>
      <c r="AR200" s="8612"/>
      <c r="AS200" s="8612"/>
      <c r="AT200" s="8613"/>
      <c r="AU200" s="8614"/>
      <c r="AV200" s="8614"/>
      <c r="AW200" s="8614"/>
      <c r="AX200" s="8606"/>
      <c r="AY200" s="8609"/>
      <c r="AZ200" s="8614"/>
      <c r="BA200" s="8606"/>
      <c r="BB200" s="8608"/>
      <c r="BC200" s="8609"/>
      <c r="BD200" s="8615"/>
      <c r="BF200" s="8595"/>
      <c r="BG200" s="8595"/>
      <c r="BH200" s="8595"/>
      <c r="BI200" s="8595"/>
      <c r="BJ200" s="8595"/>
      <c r="BK200" s="8595"/>
      <c r="BL200" s="8595"/>
      <c r="BM200" s="8595"/>
      <c r="BN200" s="8595"/>
    </row>
    <row r="201" spans="1:66" ht="81.75" customHeight="1">
      <c r="A201" s="8582">
        <v>118</v>
      </c>
      <c r="B201" s="8583" t="s">
        <v>7693</v>
      </c>
      <c r="C201" s="13586"/>
      <c r="D201" s="11825" t="s">
        <v>86</v>
      </c>
      <c r="E201" s="11826"/>
      <c r="F201" s="11826"/>
      <c r="G201" s="11827" t="s">
        <v>4176</v>
      </c>
      <c r="H201" s="11828"/>
      <c r="I201" s="11829" t="s">
        <v>3303</v>
      </c>
      <c r="K201" s="8616">
        <v>70</v>
      </c>
      <c r="L201" s="8607"/>
      <c r="M201" s="8607"/>
      <c r="N201" s="8608"/>
      <c r="O201" s="8608"/>
      <c r="P201" s="8609"/>
      <c r="Q201" s="8610"/>
      <c r="R201" s="8611"/>
      <c r="S201" s="8612"/>
      <c r="T201" s="8613"/>
      <c r="U201" s="8610"/>
      <c r="V201" s="8611"/>
      <c r="W201" s="8613"/>
      <c r="X201" s="8611"/>
      <c r="Y201" s="8613"/>
      <c r="Z201" s="8611"/>
      <c r="AA201" s="8612"/>
      <c r="AB201" s="8612"/>
      <c r="AC201" s="8612"/>
      <c r="AD201" s="8612"/>
      <c r="AE201" s="8612"/>
      <c r="AF201" s="8613"/>
      <c r="AG201" s="8611"/>
      <c r="AH201" s="8612"/>
      <c r="AI201" s="8612"/>
      <c r="AJ201" s="8612"/>
      <c r="AK201" s="8612"/>
      <c r="AL201" s="8612"/>
      <c r="AM201" s="8612"/>
      <c r="AN201" s="8613"/>
      <c r="AO201" s="8611"/>
      <c r="AP201" s="8612"/>
      <c r="AQ201" s="8612"/>
      <c r="AR201" s="8612"/>
      <c r="AS201" s="8612"/>
      <c r="AT201" s="8613"/>
      <c r="AU201" s="8614"/>
      <c r="AV201" s="8614"/>
      <c r="AW201" s="8614"/>
      <c r="AX201" s="8606"/>
      <c r="AY201" s="8609"/>
      <c r="AZ201" s="8614"/>
      <c r="BA201" s="8606"/>
      <c r="BB201" s="8608"/>
      <c r="BC201" s="8609"/>
      <c r="BD201" s="8615"/>
      <c r="BF201" s="8595"/>
      <c r="BG201" s="8595"/>
      <c r="BH201" s="8595"/>
      <c r="BI201" s="8595"/>
      <c r="BJ201" s="8595"/>
      <c r="BK201" s="8595"/>
      <c r="BL201" s="8595"/>
      <c r="BM201" s="8595"/>
      <c r="BN201" s="8595"/>
    </row>
    <row r="202" spans="1:66" ht="30" customHeight="1">
      <c r="A202" s="8582">
        <v>119</v>
      </c>
      <c r="B202" s="8583" t="s">
        <v>7694</v>
      </c>
      <c r="C202" s="13586"/>
      <c r="D202" s="11825" t="s">
        <v>86</v>
      </c>
      <c r="E202" s="11826"/>
      <c r="F202" s="11826"/>
      <c r="G202" s="11827" t="s">
        <v>3335</v>
      </c>
      <c r="H202" s="11828"/>
      <c r="I202" s="11829" t="s">
        <v>3291</v>
      </c>
      <c r="K202" s="8616">
        <v>116</v>
      </c>
      <c r="L202" s="8597"/>
      <c r="M202" s="8597"/>
      <c r="N202" s="8598" t="s">
        <v>10523</v>
      </c>
      <c r="O202" s="8598" t="s">
        <v>10524</v>
      </c>
      <c r="P202" s="8599"/>
      <c r="Q202" s="8600"/>
      <c r="R202" s="8601"/>
      <c r="S202" s="8602"/>
      <c r="T202" s="8603"/>
      <c r="U202" s="8620">
        <v>116</v>
      </c>
      <c r="V202" s="8601"/>
      <c r="W202" s="8603">
        <v>116</v>
      </c>
      <c r="X202" s="8601">
        <v>52</v>
      </c>
      <c r="Y202" s="8603">
        <v>64</v>
      </c>
      <c r="Z202" s="8601"/>
      <c r="AA202" s="8602"/>
      <c r="AB202" s="8602">
        <v>11</v>
      </c>
      <c r="AC202" s="8602">
        <v>83</v>
      </c>
      <c r="AD202" s="8602">
        <v>22</v>
      </c>
      <c r="AE202" s="8602"/>
      <c r="AF202" s="8603"/>
      <c r="AG202" s="8601">
        <v>105</v>
      </c>
      <c r="AH202" s="8602"/>
      <c r="AI202" s="8602">
        <v>11</v>
      </c>
      <c r="AJ202" s="8602"/>
      <c r="AK202" s="8602"/>
      <c r="AL202" s="8602"/>
      <c r="AM202" s="8602"/>
      <c r="AN202" s="8603"/>
      <c r="AO202" s="8601">
        <v>107</v>
      </c>
      <c r="AP202" s="8602">
        <v>6</v>
      </c>
      <c r="AQ202" s="8602">
        <v>3</v>
      </c>
      <c r="AR202" s="8602"/>
      <c r="AS202" s="8602"/>
      <c r="AT202" s="8603"/>
      <c r="AU202" s="8604"/>
      <c r="AV202" s="8604"/>
      <c r="AW202" s="8604"/>
      <c r="AX202" s="8596"/>
      <c r="AY202" s="8599"/>
      <c r="AZ202" s="8604"/>
      <c r="BA202" s="8596"/>
      <c r="BB202" s="8598"/>
      <c r="BC202" s="8599"/>
      <c r="BD202" s="8605"/>
      <c r="BF202" s="8595"/>
      <c r="BG202" s="8595"/>
      <c r="BH202" s="8595"/>
      <c r="BI202" s="8595"/>
      <c r="BJ202" s="8595"/>
      <c r="BK202" s="8595"/>
      <c r="BL202" s="8595"/>
      <c r="BM202" s="8595"/>
      <c r="BN202" s="8595"/>
    </row>
    <row r="203" spans="1:66" ht="48.75" customHeight="1">
      <c r="A203" s="8582">
        <v>120</v>
      </c>
      <c r="B203" s="8583" t="s">
        <v>7695</v>
      </c>
      <c r="C203" s="13586"/>
      <c r="D203" s="11825" t="s">
        <v>86</v>
      </c>
      <c r="E203" s="11826"/>
      <c r="F203" s="11826"/>
      <c r="G203" s="11827" t="s">
        <v>3338</v>
      </c>
      <c r="H203" s="11828"/>
      <c r="I203" s="11829" t="s">
        <v>3339</v>
      </c>
      <c r="K203" s="8616" t="s">
        <v>2951</v>
      </c>
      <c r="L203" s="8607"/>
      <c r="M203" s="8607"/>
      <c r="N203" s="8608"/>
      <c r="O203" s="8608"/>
      <c r="P203" s="8609"/>
      <c r="Q203" s="8610"/>
      <c r="R203" s="8611"/>
      <c r="S203" s="8612"/>
      <c r="T203" s="8613"/>
      <c r="U203" s="8610"/>
      <c r="V203" s="8611"/>
      <c r="W203" s="8613"/>
      <c r="X203" s="8611"/>
      <c r="Y203" s="8613"/>
      <c r="Z203" s="8611"/>
      <c r="AA203" s="8612"/>
      <c r="AB203" s="8612"/>
      <c r="AC203" s="8612"/>
      <c r="AD203" s="8612"/>
      <c r="AE203" s="8612"/>
      <c r="AF203" s="8613"/>
      <c r="AG203" s="8611"/>
      <c r="AH203" s="8612"/>
      <c r="AI203" s="8612"/>
      <c r="AJ203" s="8612"/>
      <c r="AK203" s="8612"/>
      <c r="AL203" s="8612"/>
      <c r="AM203" s="8612"/>
      <c r="AN203" s="8613"/>
      <c r="AO203" s="8611"/>
      <c r="AP203" s="8612"/>
      <c r="AQ203" s="8612"/>
      <c r="AR203" s="8612"/>
      <c r="AS203" s="8612"/>
      <c r="AT203" s="8613"/>
      <c r="AU203" s="8614"/>
      <c r="AV203" s="8614"/>
      <c r="AW203" s="8614"/>
      <c r="AX203" s="8606"/>
      <c r="AY203" s="8609"/>
      <c r="AZ203" s="8614"/>
      <c r="BA203" s="8606"/>
      <c r="BB203" s="8608"/>
      <c r="BC203" s="8609"/>
      <c r="BD203" s="8615"/>
      <c r="BF203" s="8595"/>
      <c r="BG203" s="8595"/>
      <c r="BH203" s="8595"/>
      <c r="BI203" s="8595"/>
      <c r="BJ203" s="8595"/>
      <c r="BK203" s="8595"/>
      <c r="BL203" s="8595"/>
      <c r="BM203" s="8595"/>
      <c r="BN203" s="8595"/>
    </row>
    <row r="204" spans="1:66" ht="45.75" customHeight="1">
      <c r="A204" s="8582">
        <v>121</v>
      </c>
      <c r="B204" s="8583" t="s">
        <v>7696</v>
      </c>
      <c r="C204" s="13586"/>
      <c r="D204" s="11825" t="s">
        <v>86</v>
      </c>
      <c r="E204" s="11826"/>
      <c r="F204" s="11826"/>
      <c r="G204" s="11827" t="s">
        <v>3341</v>
      </c>
      <c r="H204" s="11828"/>
      <c r="I204" s="11829" t="s">
        <v>3303</v>
      </c>
      <c r="K204" s="8616">
        <v>70</v>
      </c>
      <c r="L204" s="8607"/>
      <c r="M204" s="8607"/>
      <c r="N204" s="8608"/>
      <c r="O204" s="8608"/>
      <c r="P204" s="8609"/>
      <c r="Q204" s="8610"/>
      <c r="R204" s="8611"/>
      <c r="S204" s="8612"/>
      <c r="T204" s="8613"/>
      <c r="U204" s="8610"/>
      <c r="V204" s="8611"/>
      <c r="W204" s="8613"/>
      <c r="X204" s="8611"/>
      <c r="Y204" s="8613"/>
      <c r="Z204" s="8611"/>
      <c r="AA204" s="8612"/>
      <c r="AB204" s="8612"/>
      <c r="AC204" s="8612"/>
      <c r="AD204" s="8612"/>
      <c r="AE204" s="8612"/>
      <c r="AF204" s="8613"/>
      <c r="AG204" s="8611"/>
      <c r="AH204" s="8612"/>
      <c r="AI204" s="8612"/>
      <c r="AJ204" s="8612"/>
      <c r="AK204" s="8612"/>
      <c r="AL204" s="8612"/>
      <c r="AM204" s="8612"/>
      <c r="AN204" s="8613"/>
      <c r="AO204" s="8611"/>
      <c r="AP204" s="8612"/>
      <c r="AQ204" s="8612"/>
      <c r="AR204" s="8612"/>
      <c r="AS204" s="8612"/>
      <c r="AT204" s="8613"/>
      <c r="AU204" s="8614"/>
      <c r="AV204" s="8614"/>
      <c r="AW204" s="8614"/>
      <c r="AX204" s="8606"/>
      <c r="AY204" s="8609"/>
      <c r="AZ204" s="8614"/>
      <c r="BA204" s="8606"/>
      <c r="BB204" s="8608"/>
      <c r="BC204" s="8609"/>
      <c r="BD204" s="8615"/>
      <c r="BF204" s="8595"/>
      <c r="BG204" s="8595"/>
      <c r="BH204" s="8595"/>
      <c r="BI204" s="8595"/>
      <c r="BJ204" s="8595"/>
      <c r="BK204" s="8595"/>
      <c r="BL204" s="8595"/>
      <c r="BM204" s="8595"/>
      <c r="BN204" s="8595"/>
    </row>
    <row r="205" spans="1:66" ht="30" customHeight="1">
      <c r="A205" s="8582">
        <v>122</v>
      </c>
      <c r="B205" s="8583" t="s">
        <v>7697</v>
      </c>
      <c r="C205" s="13586"/>
      <c r="D205" s="11825" t="s">
        <v>86</v>
      </c>
      <c r="E205" s="11826"/>
      <c r="F205" s="11826"/>
      <c r="G205" s="11827" t="s">
        <v>3344</v>
      </c>
      <c r="H205" s="11828"/>
      <c r="I205" s="11829" t="s">
        <v>3303</v>
      </c>
      <c r="K205" s="8616">
        <v>70</v>
      </c>
      <c r="L205" s="8607"/>
      <c r="M205" s="8607"/>
      <c r="N205" s="8608"/>
      <c r="O205" s="8608"/>
      <c r="P205" s="8609"/>
      <c r="Q205" s="8610"/>
      <c r="R205" s="8611"/>
      <c r="S205" s="8612"/>
      <c r="T205" s="8613"/>
      <c r="U205" s="8610"/>
      <c r="V205" s="8611"/>
      <c r="W205" s="8613"/>
      <c r="X205" s="8611"/>
      <c r="Y205" s="8613"/>
      <c r="Z205" s="8611"/>
      <c r="AA205" s="8612"/>
      <c r="AB205" s="8612"/>
      <c r="AC205" s="8612"/>
      <c r="AD205" s="8612"/>
      <c r="AE205" s="8612"/>
      <c r="AF205" s="8613"/>
      <c r="AG205" s="8611"/>
      <c r="AH205" s="8612"/>
      <c r="AI205" s="8612"/>
      <c r="AJ205" s="8612"/>
      <c r="AK205" s="8612"/>
      <c r="AL205" s="8612"/>
      <c r="AM205" s="8612"/>
      <c r="AN205" s="8613"/>
      <c r="AO205" s="8611"/>
      <c r="AP205" s="8612"/>
      <c r="AQ205" s="8612"/>
      <c r="AR205" s="8612"/>
      <c r="AS205" s="8612"/>
      <c r="AT205" s="8613"/>
      <c r="AU205" s="8614"/>
      <c r="AV205" s="8614"/>
      <c r="AW205" s="8614"/>
      <c r="AX205" s="8606"/>
      <c r="AY205" s="8609"/>
      <c r="AZ205" s="8614"/>
      <c r="BA205" s="8606"/>
      <c r="BB205" s="8608"/>
      <c r="BC205" s="8609"/>
      <c r="BD205" s="8615"/>
      <c r="BF205" s="8595"/>
      <c r="BG205" s="8595"/>
      <c r="BH205" s="8595"/>
      <c r="BI205" s="8595"/>
      <c r="BJ205" s="8595"/>
      <c r="BK205" s="8595"/>
      <c r="BL205" s="8595"/>
      <c r="BM205" s="8595"/>
      <c r="BN205" s="8595"/>
    </row>
    <row r="206" spans="1:66" ht="30" customHeight="1">
      <c r="A206" s="8582">
        <v>123</v>
      </c>
      <c r="B206" s="8583" t="s">
        <v>7698</v>
      </c>
      <c r="C206" s="13586"/>
      <c r="D206" s="11825" t="s">
        <v>86</v>
      </c>
      <c r="E206" s="11826"/>
      <c r="F206" s="11826"/>
      <c r="G206" s="11827" t="s">
        <v>3348</v>
      </c>
      <c r="H206" s="11828"/>
      <c r="I206" s="11829" t="s">
        <v>3303</v>
      </c>
      <c r="K206" s="8616">
        <v>70</v>
      </c>
      <c r="L206" s="8607"/>
      <c r="M206" s="8607"/>
      <c r="N206" s="8608"/>
      <c r="O206" s="8608"/>
      <c r="P206" s="8609"/>
      <c r="Q206" s="8610"/>
      <c r="R206" s="8611"/>
      <c r="S206" s="8612"/>
      <c r="T206" s="8613"/>
      <c r="U206" s="8610"/>
      <c r="V206" s="8611"/>
      <c r="W206" s="8613"/>
      <c r="X206" s="8611"/>
      <c r="Y206" s="8613"/>
      <c r="Z206" s="8611"/>
      <c r="AA206" s="8612"/>
      <c r="AB206" s="8612"/>
      <c r="AC206" s="8612"/>
      <c r="AD206" s="8612"/>
      <c r="AE206" s="8612"/>
      <c r="AF206" s="8613"/>
      <c r="AG206" s="8611"/>
      <c r="AH206" s="8612"/>
      <c r="AI206" s="8612"/>
      <c r="AJ206" s="8612"/>
      <c r="AK206" s="8612"/>
      <c r="AL206" s="8612"/>
      <c r="AM206" s="8612"/>
      <c r="AN206" s="8613"/>
      <c r="AO206" s="8611"/>
      <c r="AP206" s="8612"/>
      <c r="AQ206" s="8612"/>
      <c r="AR206" s="8612"/>
      <c r="AS206" s="8612"/>
      <c r="AT206" s="8613"/>
      <c r="AU206" s="8614"/>
      <c r="AV206" s="8614"/>
      <c r="AW206" s="8614"/>
      <c r="AX206" s="8606"/>
      <c r="AY206" s="8609"/>
      <c r="AZ206" s="8614"/>
      <c r="BA206" s="8606"/>
      <c r="BB206" s="8608"/>
      <c r="BC206" s="8609"/>
      <c r="BD206" s="8615"/>
      <c r="BF206" s="8595"/>
      <c r="BG206" s="8595"/>
      <c r="BH206" s="8595"/>
      <c r="BI206" s="8595"/>
      <c r="BJ206" s="8595"/>
      <c r="BK206" s="8595"/>
      <c r="BL206" s="8595"/>
      <c r="BM206" s="8595"/>
      <c r="BN206" s="8595"/>
    </row>
    <row r="207" spans="1:66" ht="30" customHeight="1">
      <c r="A207" s="8582">
        <v>124</v>
      </c>
      <c r="B207" s="8583" t="s">
        <v>7699</v>
      </c>
      <c r="C207" s="13586"/>
      <c r="D207" s="11825" t="s">
        <v>86</v>
      </c>
      <c r="E207" s="11826"/>
      <c r="F207" s="11826"/>
      <c r="G207" s="11827" t="s">
        <v>3349</v>
      </c>
      <c r="H207" s="11828"/>
      <c r="I207" s="11829" t="s">
        <v>4093</v>
      </c>
      <c r="K207" s="13118">
        <v>1</v>
      </c>
      <c r="L207" s="8607"/>
      <c r="M207" s="8607"/>
      <c r="N207" s="8608"/>
      <c r="O207" s="8608"/>
      <c r="P207" s="8609"/>
      <c r="Q207" s="8610"/>
      <c r="R207" s="8611"/>
      <c r="S207" s="8612"/>
      <c r="T207" s="8613"/>
      <c r="U207" s="8610"/>
      <c r="V207" s="8611"/>
      <c r="W207" s="8613"/>
      <c r="X207" s="8611"/>
      <c r="Y207" s="8613"/>
      <c r="Z207" s="8611"/>
      <c r="AA207" s="8612"/>
      <c r="AB207" s="8612"/>
      <c r="AC207" s="8612"/>
      <c r="AD207" s="8612"/>
      <c r="AE207" s="8612"/>
      <c r="AF207" s="8613"/>
      <c r="AG207" s="8611"/>
      <c r="AH207" s="8612"/>
      <c r="AI207" s="8612"/>
      <c r="AJ207" s="8612"/>
      <c r="AK207" s="8612"/>
      <c r="AL207" s="8612"/>
      <c r="AM207" s="8612"/>
      <c r="AN207" s="8613"/>
      <c r="AO207" s="8611"/>
      <c r="AP207" s="8612"/>
      <c r="AQ207" s="8612"/>
      <c r="AR207" s="8612"/>
      <c r="AS207" s="8612"/>
      <c r="AT207" s="8613"/>
      <c r="AU207" s="8614"/>
      <c r="AV207" s="8614"/>
      <c r="AW207" s="8614"/>
      <c r="AX207" s="8606"/>
      <c r="AY207" s="8609"/>
      <c r="AZ207" s="8614"/>
      <c r="BA207" s="8606"/>
      <c r="BB207" s="8608"/>
      <c r="BC207" s="8609"/>
      <c r="BD207" s="8615"/>
      <c r="BF207" s="8595"/>
      <c r="BG207" s="8595"/>
      <c r="BH207" s="8595"/>
      <c r="BI207" s="8595"/>
      <c r="BJ207" s="8595"/>
      <c r="BK207" s="8595"/>
      <c r="BL207" s="8595"/>
      <c r="BM207" s="8595"/>
      <c r="BN207" s="8595"/>
    </row>
    <row r="208" spans="1:66" ht="30" customHeight="1" thickBot="1">
      <c r="A208" s="8626">
        <v>125</v>
      </c>
      <c r="B208" s="8627" t="s">
        <v>7700</v>
      </c>
      <c r="C208" s="13586"/>
      <c r="D208" s="11830" t="s">
        <v>86</v>
      </c>
      <c r="E208" s="11831"/>
      <c r="F208" s="11831"/>
      <c r="G208" s="11832" t="s">
        <v>3350</v>
      </c>
      <c r="H208" s="11833"/>
      <c r="I208" s="11834" t="s">
        <v>3291</v>
      </c>
      <c r="K208" s="13112">
        <v>1</v>
      </c>
      <c r="L208" s="8630"/>
      <c r="M208" s="8630"/>
      <c r="N208" s="8631"/>
      <c r="O208" s="8631"/>
      <c r="P208" s="8632"/>
      <c r="Q208" s="8633"/>
      <c r="R208" s="8634"/>
      <c r="S208" s="8635"/>
      <c r="T208" s="8636"/>
      <c r="U208" s="8633"/>
      <c r="V208" s="8634"/>
      <c r="W208" s="8636"/>
      <c r="X208" s="8634"/>
      <c r="Y208" s="8636"/>
      <c r="Z208" s="8634"/>
      <c r="AA208" s="8635"/>
      <c r="AB208" s="8635"/>
      <c r="AC208" s="8635"/>
      <c r="AD208" s="8635"/>
      <c r="AE208" s="8635"/>
      <c r="AF208" s="8636"/>
      <c r="AG208" s="8634"/>
      <c r="AH208" s="8635"/>
      <c r="AI208" s="8635"/>
      <c r="AJ208" s="8635"/>
      <c r="AK208" s="8635"/>
      <c r="AL208" s="8635"/>
      <c r="AM208" s="8635"/>
      <c r="AN208" s="8636"/>
      <c r="AO208" s="8634"/>
      <c r="AP208" s="8635"/>
      <c r="AQ208" s="8635"/>
      <c r="AR208" s="8635"/>
      <c r="AS208" s="8635"/>
      <c r="AT208" s="8636"/>
      <c r="AU208" s="8637"/>
      <c r="AV208" s="8637"/>
      <c r="AW208" s="8637"/>
      <c r="AX208" s="8629"/>
      <c r="AY208" s="8632"/>
      <c r="AZ208" s="8637"/>
      <c r="BA208" s="8629"/>
      <c r="BB208" s="8631"/>
      <c r="BC208" s="8632"/>
      <c r="BD208" s="8638"/>
      <c r="BF208" s="8628"/>
      <c r="BG208" s="8628"/>
      <c r="BH208" s="8628"/>
      <c r="BI208" s="8628"/>
      <c r="BJ208" s="8628"/>
      <c r="BK208" s="8628"/>
      <c r="BL208" s="8628"/>
      <c r="BM208" s="8628"/>
      <c r="BN208" s="8628"/>
    </row>
    <row r="209" spans="1:66" ht="33" customHeight="1">
      <c r="A209" s="8639">
        <v>126</v>
      </c>
      <c r="B209" s="8640" t="s">
        <v>7701</v>
      </c>
      <c r="C209" s="13586"/>
      <c r="D209" s="11835" t="s">
        <v>86</v>
      </c>
      <c r="E209" s="11836"/>
      <c r="F209" s="11836"/>
      <c r="G209" s="11837" t="s">
        <v>3353</v>
      </c>
      <c r="H209" s="11838"/>
      <c r="I209" s="11839" t="s">
        <v>3354</v>
      </c>
      <c r="K209" s="13119">
        <v>1</v>
      </c>
      <c r="L209" s="8643"/>
      <c r="M209" s="8643"/>
      <c r="N209" s="8644"/>
      <c r="O209" s="8644"/>
      <c r="P209" s="8645"/>
      <c r="Q209" s="8646"/>
      <c r="R209" s="8647"/>
      <c r="S209" s="8648"/>
      <c r="T209" s="8649"/>
      <c r="U209" s="8646"/>
      <c r="V209" s="8647"/>
      <c r="W209" s="8649"/>
      <c r="X209" s="8647"/>
      <c r="Y209" s="8649"/>
      <c r="Z209" s="8647"/>
      <c r="AA209" s="8648"/>
      <c r="AB209" s="8648"/>
      <c r="AC209" s="8648"/>
      <c r="AD209" s="8648"/>
      <c r="AE209" s="8648"/>
      <c r="AF209" s="8649"/>
      <c r="AG209" s="8647"/>
      <c r="AH209" s="8648"/>
      <c r="AI209" s="8648"/>
      <c r="AJ209" s="8648"/>
      <c r="AK209" s="8648"/>
      <c r="AL209" s="8648"/>
      <c r="AM209" s="8648"/>
      <c r="AN209" s="8649"/>
      <c r="AO209" s="8647"/>
      <c r="AP209" s="8648"/>
      <c r="AQ209" s="8648"/>
      <c r="AR209" s="8648"/>
      <c r="AS209" s="8648"/>
      <c r="AT209" s="8649"/>
      <c r="AU209" s="8650"/>
      <c r="AV209" s="8650"/>
      <c r="AW209" s="8650"/>
      <c r="AX209" s="8642"/>
      <c r="AY209" s="8645"/>
      <c r="AZ209" s="8650"/>
      <c r="BA209" s="8642"/>
      <c r="BB209" s="8644"/>
      <c r="BC209" s="8645"/>
      <c r="BD209" s="8651"/>
      <c r="BF209" s="8641"/>
      <c r="BG209" s="8641"/>
      <c r="BH209" s="8641"/>
      <c r="BI209" s="8641"/>
      <c r="BJ209" s="8641"/>
      <c r="BK209" s="8641"/>
      <c r="BL209" s="8641"/>
      <c r="BM209" s="8641"/>
      <c r="BN209" s="8641"/>
    </row>
    <row r="210" spans="1:66" ht="30" customHeight="1">
      <c r="A210" s="8652">
        <v>127</v>
      </c>
      <c r="B210" s="8653" t="s">
        <v>7702</v>
      </c>
      <c r="C210" s="13586"/>
      <c r="D210" s="11840" t="s">
        <v>86</v>
      </c>
      <c r="E210" s="11841"/>
      <c r="F210" s="11841"/>
      <c r="G210" s="13018" t="s">
        <v>3357</v>
      </c>
      <c r="H210" s="11843"/>
      <c r="I210" s="11844" t="s">
        <v>3354</v>
      </c>
      <c r="K210" s="13119">
        <v>1</v>
      </c>
      <c r="L210" s="8656"/>
      <c r="M210" s="8656"/>
      <c r="N210" s="8657"/>
      <c r="O210" s="8657"/>
      <c r="P210" s="8658"/>
      <c r="Q210" s="8659"/>
      <c r="R210" s="8660"/>
      <c r="S210" s="8661"/>
      <c r="T210" s="8662"/>
      <c r="U210" s="8659"/>
      <c r="V210" s="8660"/>
      <c r="W210" s="8662"/>
      <c r="X210" s="8660"/>
      <c r="Y210" s="8662"/>
      <c r="Z210" s="8660"/>
      <c r="AA210" s="8661"/>
      <c r="AB210" s="8661"/>
      <c r="AC210" s="8661"/>
      <c r="AD210" s="8661"/>
      <c r="AE210" s="8661"/>
      <c r="AF210" s="8662"/>
      <c r="AG210" s="8660"/>
      <c r="AH210" s="8661"/>
      <c r="AI210" s="8661"/>
      <c r="AJ210" s="8661"/>
      <c r="AK210" s="8661"/>
      <c r="AL210" s="8661"/>
      <c r="AM210" s="8661"/>
      <c r="AN210" s="8662"/>
      <c r="AO210" s="8660"/>
      <c r="AP210" s="8661"/>
      <c r="AQ210" s="8661"/>
      <c r="AR210" s="8661"/>
      <c r="AS210" s="8661"/>
      <c r="AT210" s="8662"/>
      <c r="AU210" s="8663"/>
      <c r="AV210" s="8663"/>
      <c r="AW210" s="8663"/>
      <c r="AX210" s="8655"/>
      <c r="AY210" s="8658"/>
      <c r="AZ210" s="8663"/>
      <c r="BA210" s="8655"/>
      <c r="BB210" s="8657"/>
      <c r="BC210" s="8658"/>
      <c r="BD210" s="8664"/>
      <c r="BF210" s="8654"/>
      <c r="BG210" s="8654"/>
      <c r="BH210" s="8654"/>
      <c r="BI210" s="8654"/>
      <c r="BJ210" s="8654"/>
      <c r="BK210" s="13065"/>
      <c r="BL210" s="13065"/>
      <c r="BM210" s="8654"/>
      <c r="BN210" s="8654"/>
    </row>
    <row r="211" spans="1:66" ht="30" customHeight="1">
      <c r="A211" s="8652">
        <v>128</v>
      </c>
      <c r="B211" s="8653" t="s">
        <v>7703</v>
      </c>
      <c r="C211" s="13586"/>
      <c r="D211" s="11840" t="s">
        <v>86</v>
      </c>
      <c r="E211" s="11841"/>
      <c r="F211" s="11841"/>
      <c r="G211" s="13018" t="s">
        <v>3359</v>
      </c>
      <c r="H211" s="11843"/>
      <c r="I211" s="11844" t="s">
        <v>3330</v>
      </c>
      <c r="K211" s="13119">
        <v>1</v>
      </c>
      <c r="L211" s="8666"/>
      <c r="M211" s="8666"/>
      <c r="N211" s="8667"/>
      <c r="O211" s="8667"/>
      <c r="P211" s="8668"/>
      <c r="Q211" s="8669"/>
      <c r="R211" s="8670"/>
      <c r="S211" s="8671"/>
      <c r="T211" s="8672"/>
      <c r="U211" s="8669"/>
      <c r="V211" s="8670"/>
      <c r="W211" s="8672"/>
      <c r="X211" s="8670"/>
      <c r="Y211" s="8672"/>
      <c r="Z211" s="8670"/>
      <c r="AA211" s="8671"/>
      <c r="AB211" s="8671"/>
      <c r="AC211" s="8671"/>
      <c r="AD211" s="8671"/>
      <c r="AE211" s="8671"/>
      <c r="AF211" s="8672"/>
      <c r="AG211" s="8670"/>
      <c r="AH211" s="8671"/>
      <c r="AI211" s="8671"/>
      <c r="AJ211" s="8671"/>
      <c r="AK211" s="8671"/>
      <c r="AL211" s="8671"/>
      <c r="AM211" s="8671"/>
      <c r="AN211" s="8672"/>
      <c r="AO211" s="8670"/>
      <c r="AP211" s="8671"/>
      <c r="AQ211" s="8671"/>
      <c r="AR211" s="8671"/>
      <c r="AS211" s="8671"/>
      <c r="AT211" s="8672"/>
      <c r="AU211" s="8673"/>
      <c r="AV211" s="8673"/>
      <c r="AW211" s="8673"/>
      <c r="AX211" s="8665"/>
      <c r="AY211" s="8668"/>
      <c r="AZ211" s="8673"/>
      <c r="BA211" s="8665"/>
      <c r="BB211" s="8667"/>
      <c r="BC211" s="8668"/>
      <c r="BD211" s="8674"/>
      <c r="BF211" s="8654"/>
      <c r="BG211" s="8654"/>
      <c r="BH211" s="8654"/>
      <c r="BI211" s="8654"/>
      <c r="BJ211" s="8654"/>
      <c r="BK211" s="13065"/>
      <c r="BL211" s="13065"/>
      <c r="BM211" s="8654"/>
      <c r="BN211" s="8654"/>
    </row>
    <row r="212" spans="1:66" ht="30" customHeight="1">
      <c r="A212" s="8652">
        <v>129</v>
      </c>
      <c r="B212" s="8653" t="s">
        <v>7704</v>
      </c>
      <c r="C212" s="13586"/>
      <c r="D212" s="11840" t="s">
        <v>86</v>
      </c>
      <c r="E212" s="11841"/>
      <c r="F212" s="11841"/>
      <c r="G212" s="13018" t="s">
        <v>3361</v>
      </c>
      <c r="H212" s="11843"/>
      <c r="I212" s="11844" t="s">
        <v>3330</v>
      </c>
      <c r="K212" s="13119">
        <v>1</v>
      </c>
      <c r="L212" s="8666"/>
      <c r="M212" s="8666"/>
      <c r="N212" s="8667"/>
      <c r="O212" s="8667"/>
      <c r="P212" s="8668"/>
      <c r="Q212" s="8669"/>
      <c r="R212" s="8670"/>
      <c r="S212" s="8671"/>
      <c r="T212" s="8672"/>
      <c r="U212" s="8669"/>
      <c r="V212" s="8670"/>
      <c r="W212" s="8672"/>
      <c r="X212" s="8670"/>
      <c r="Y212" s="8672"/>
      <c r="Z212" s="8670"/>
      <c r="AA212" s="8671"/>
      <c r="AB212" s="8671"/>
      <c r="AC212" s="8671"/>
      <c r="AD212" s="8671"/>
      <c r="AE212" s="8671"/>
      <c r="AF212" s="8672"/>
      <c r="AG212" s="8670"/>
      <c r="AH212" s="8671"/>
      <c r="AI212" s="8671"/>
      <c r="AJ212" s="8671"/>
      <c r="AK212" s="8671"/>
      <c r="AL212" s="8671"/>
      <c r="AM212" s="8671"/>
      <c r="AN212" s="8672"/>
      <c r="AO212" s="8670"/>
      <c r="AP212" s="8671"/>
      <c r="AQ212" s="8671"/>
      <c r="AR212" s="8671"/>
      <c r="AS212" s="8671"/>
      <c r="AT212" s="8672"/>
      <c r="AU212" s="8673"/>
      <c r="AV212" s="8673"/>
      <c r="AW212" s="8673"/>
      <c r="AX212" s="8665"/>
      <c r="AY212" s="8668"/>
      <c r="AZ212" s="8673"/>
      <c r="BA212" s="8665"/>
      <c r="BB212" s="8667"/>
      <c r="BC212" s="8668"/>
      <c r="BD212" s="8674"/>
      <c r="BF212" s="8654"/>
      <c r="BG212" s="8654"/>
      <c r="BH212" s="8654"/>
      <c r="BI212" s="8654"/>
      <c r="BJ212" s="8654"/>
      <c r="BK212" s="13065"/>
      <c r="BL212" s="13065"/>
      <c r="BM212" s="8654"/>
      <c r="BN212" s="8654"/>
    </row>
    <row r="213" spans="1:66" ht="30" customHeight="1">
      <c r="A213" s="8652">
        <v>130</v>
      </c>
      <c r="B213" s="8653" t="s">
        <v>7705</v>
      </c>
      <c r="C213" s="13586"/>
      <c r="D213" s="11840" t="s">
        <v>86</v>
      </c>
      <c r="E213" s="11841"/>
      <c r="F213" s="11841"/>
      <c r="G213" s="13018" t="s">
        <v>3363</v>
      </c>
      <c r="H213" s="11843"/>
      <c r="I213" s="11844" t="s">
        <v>3330</v>
      </c>
      <c r="K213" s="13119">
        <v>1</v>
      </c>
      <c r="L213" s="8666"/>
      <c r="M213" s="8666"/>
      <c r="N213" s="8667"/>
      <c r="O213" s="8667"/>
      <c r="P213" s="8668"/>
      <c r="Q213" s="8669"/>
      <c r="R213" s="8670"/>
      <c r="S213" s="8671"/>
      <c r="T213" s="8672"/>
      <c r="U213" s="8669"/>
      <c r="V213" s="8670"/>
      <c r="W213" s="8672"/>
      <c r="X213" s="8670"/>
      <c r="Y213" s="8672"/>
      <c r="Z213" s="8670"/>
      <c r="AA213" s="8671"/>
      <c r="AB213" s="8671"/>
      <c r="AC213" s="8671"/>
      <c r="AD213" s="8671"/>
      <c r="AE213" s="8671"/>
      <c r="AF213" s="8672"/>
      <c r="AG213" s="8670"/>
      <c r="AH213" s="8671"/>
      <c r="AI213" s="8671"/>
      <c r="AJ213" s="8671"/>
      <c r="AK213" s="8671"/>
      <c r="AL213" s="8671"/>
      <c r="AM213" s="8671"/>
      <c r="AN213" s="8672"/>
      <c r="AO213" s="8670"/>
      <c r="AP213" s="8671"/>
      <c r="AQ213" s="8671"/>
      <c r="AR213" s="8671"/>
      <c r="AS213" s="8671"/>
      <c r="AT213" s="8672"/>
      <c r="AU213" s="8673"/>
      <c r="AV213" s="8673"/>
      <c r="AW213" s="8673"/>
      <c r="AX213" s="8665"/>
      <c r="AY213" s="8668"/>
      <c r="AZ213" s="8673"/>
      <c r="BA213" s="8665"/>
      <c r="BB213" s="8667"/>
      <c r="BC213" s="8668"/>
      <c r="BD213" s="8674"/>
      <c r="BF213" s="8654"/>
      <c r="BG213" s="8654"/>
      <c r="BH213" s="8654"/>
      <c r="BI213" s="8654"/>
      <c r="BJ213" s="8654"/>
      <c r="BK213" s="13065"/>
      <c r="BL213" s="13065"/>
      <c r="BM213" s="8654"/>
      <c r="BN213" s="8654"/>
    </row>
    <row r="214" spans="1:66" ht="30" customHeight="1">
      <c r="A214" s="8652">
        <v>131</v>
      </c>
      <c r="B214" s="8653" t="s">
        <v>7706</v>
      </c>
      <c r="C214" s="13586"/>
      <c r="D214" s="11840" t="s">
        <v>86</v>
      </c>
      <c r="E214" s="11841"/>
      <c r="F214" s="11841"/>
      <c r="G214" s="13018" t="s">
        <v>3365</v>
      </c>
      <c r="H214" s="11843"/>
      <c r="I214" s="11741" t="s">
        <v>4100</v>
      </c>
      <c r="K214" s="12939" t="s">
        <v>10525</v>
      </c>
      <c r="L214" s="8250"/>
      <c r="M214" s="8250"/>
      <c r="N214" s="8251" t="s">
        <v>10526</v>
      </c>
      <c r="O214" s="8251" t="s">
        <v>10527</v>
      </c>
      <c r="P214" s="8252"/>
      <c r="Q214" s="8253"/>
      <c r="R214" s="8254"/>
      <c r="S214" s="8255"/>
      <c r="T214" s="8256"/>
      <c r="U214" s="12940">
        <v>688</v>
      </c>
      <c r="V214" s="8254">
        <v>330</v>
      </c>
      <c r="W214" s="8256">
        <v>358</v>
      </c>
      <c r="X214" s="8254">
        <v>622</v>
      </c>
      <c r="Y214" s="8256">
        <v>66</v>
      </c>
      <c r="Z214" s="8254"/>
      <c r="AA214" s="8255"/>
      <c r="AB214" s="8255"/>
      <c r="AC214" s="8255"/>
      <c r="AD214" s="8255"/>
      <c r="AE214" s="8255"/>
      <c r="AF214" s="8256"/>
      <c r="AG214" s="8254"/>
      <c r="AH214" s="8255"/>
      <c r="AI214" s="8255"/>
      <c r="AJ214" s="8255"/>
      <c r="AK214" s="8255"/>
      <c r="AL214" s="8255"/>
      <c r="AM214" s="8255"/>
      <c r="AN214" s="8256"/>
      <c r="AO214" s="8254"/>
      <c r="AP214" s="8255"/>
      <c r="AQ214" s="8255"/>
      <c r="AR214" s="8255"/>
      <c r="AS214" s="8255"/>
      <c r="AT214" s="8256"/>
      <c r="AU214" s="8257"/>
      <c r="AV214" s="8257"/>
      <c r="AW214" s="8257"/>
      <c r="AX214" s="8249"/>
      <c r="AY214" s="8252"/>
      <c r="AZ214" s="8257"/>
      <c r="BA214" s="8249"/>
      <c r="BB214" s="8251"/>
      <c r="BC214" s="8252"/>
      <c r="BD214" s="8258"/>
      <c r="BF214" s="8654"/>
      <c r="BG214" s="8654"/>
      <c r="BH214" s="8654"/>
      <c r="BI214" s="8654"/>
      <c r="BJ214" s="8654"/>
      <c r="BK214" s="13065"/>
      <c r="BL214" s="13065"/>
      <c r="BM214" s="8654"/>
      <c r="BN214" s="8654"/>
    </row>
    <row r="215" spans="1:66" ht="30" customHeight="1">
      <c r="A215" s="8652">
        <v>132</v>
      </c>
      <c r="B215" s="8653" t="s">
        <v>7707</v>
      </c>
      <c r="C215" s="13586"/>
      <c r="D215" s="11840" t="s">
        <v>86</v>
      </c>
      <c r="E215" s="11841"/>
      <c r="F215" s="11841"/>
      <c r="G215" s="13018" t="s">
        <v>3366</v>
      </c>
      <c r="H215" s="11843"/>
      <c r="I215" s="11844" t="s">
        <v>3317</v>
      </c>
      <c r="K215" s="13119">
        <v>1</v>
      </c>
      <c r="L215" s="8656"/>
      <c r="M215" s="8656"/>
      <c r="N215" s="8657"/>
      <c r="O215" s="8657"/>
      <c r="P215" s="8658"/>
      <c r="Q215" s="8659"/>
      <c r="R215" s="8660"/>
      <c r="S215" s="8661"/>
      <c r="T215" s="8662"/>
      <c r="U215" s="12942"/>
      <c r="V215" s="8660"/>
      <c r="W215" s="8662"/>
      <c r="X215" s="8660"/>
      <c r="Y215" s="8662"/>
      <c r="Z215" s="8660"/>
      <c r="AA215" s="8661"/>
      <c r="AB215" s="8661"/>
      <c r="AC215" s="8661"/>
      <c r="AD215" s="8661"/>
      <c r="AE215" s="8661"/>
      <c r="AF215" s="8662"/>
      <c r="AG215" s="8660"/>
      <c r="AH215" s="8661"/>
      <c r="AI215" s="8661"/>
      <c r="AJ215" s="8661"/>
      <c r="AK215" s="8661"/>
      <c r="AL215" s="8661"/>
      <c r="AM215" s="8661"/>
      <c r="AN215" s="8662"/>
      <c r="AO215" s="8660"/>
      <c r="AP215" s="8661"/>
      <c r="AQ215" s="8661"/>
      <c r="AR215" s="8661"/>
      <c r="AS215" s="8661"/>
      <c r="AT215" s="8662"/>
      <c r="AU215" s="8663"/>
      <c r="AV215" s="8663"/>
      <c r="AW215" s="8663"/>
      <c r="AX215" s="8655"/>
      <c r="AY215" s="8658"/>
      <c r="AZ215" s="8663"/>
      <c r="BA215" s="8655"/>
      <c r="BB215" s="8657"/>
      <c r="BC215" s="8658"/>
      <c r="BD215" s="8664"/>
      <c r="BF215" s="8654"/>
      <c r="BG215" s="8654"/>
      <c r="BH215" s="8654"/>
      <c r="BI215" s="8654"/>
      <c r="BJ215" s="8654"/>
      <c r="BK215" s="13065"/>
      <c r="BL215" s="13065"/>
      <c r="BM215" s="8654"/>
      <c r="BN215" s="8654"/>
    </row>
    <row r="216" spans="1:66" ht="30" customHeight="1">
      <c r="A216" s="8652">
        <v>133</v>
      </c>
      <c r="B216" s="8653" t="s">
        <v>7708</v>
      </c>
      <c r="C216" s="13586"/>
      <c r="D216" s="11840" t="s">
        <v>86</v>
      </c>
      <c r="E216" s="11841"/>
      <c r="F216" s="11841"/>
      <c r="G216" s="13018" t="s">
        <v>3367</v>
      </c>
      <c r="H216" s="11843"/>
      <c r="I216" s="11844" t="s">
        <v>3330</v>
      </c>
      <c r="K216" s="13119">
        <v>1</v>
      </c>
      <c r="L216" s="8666"/>
      <c r="M216" s="8666"/>
      <c r="N216" s="8667"/>
      <c r="O216" s="8667"/>
      <c r="P216" s="8668"/>
      <c r="Q216" s="8669"/>
      <c r="R216" s="8670"/>
      <c r="S216" s="8671"/>
      <c r="T216" s="8672"/>
      <c r="U216" s="12942"/>
      <c r="V216" s="8670"/>
      <c r="W216" s="8672"/>
      <c r="X216" s="8670"/>
      <c r="Y216" s="8672"/>
      <c r="Z216" s="8670"/>
      <c r="AA216" s="8671"/>
      <c r="AB216" s="8671"/>
      <c r="AC216" s="8671"/>
      <c r="AD216" s="8671"/>
      <c r="AE216" s="8671"/>
      <c r="AF216" s="8672"/>
      <c r="AG216" s="8670"/>
      <c r="AH216" s="8671"/>
      <c r="AI216" s="8671"/>
      <c r="AJ216" s="8671"/>
      <c r="AK216" s="8671"/>
      <c r="AL216" s="8671"/>
      <c r="AM216" s="8671"/>
      <c r="AN216" s="8672"/>
      <c r="AO216" s="8670"/>
      <c r="AP216" s="8671"/>
      <c r="AQ216" s="8671"/>
      <c r="AR216" s="8671"/>
      <c r="AS216" s="8671"/>
      <c r="AT216" s="8672"/>
      <c r="AU216" s="8673"/>
      <c r="AV216" s="8673"/>
      <c r="AW216" s="8673"/>
      <c r="AX216" s="8665"/>
      <c r="AY216" s="8668"/>
      <c r="AZ216" s="8673"/>
      <c r="BA216" s="8665"/>
      <c r="BB216" s="8667"/>
      <c r="BC216" s="8668"/>
      <c r="BD216" s="8674"/>
      <c r="BF216" s="8654"/>
      <c r="BG216" s="8654"/>
      <c r="BH216" s="8654"/>
      <c r="BI216" s="8654"/>
      <c r="BJ216" s="8654"/>
      <c r="BK216" s="13065"/>
      <c r="BL216" s="13065"/>
      <c r="BM216" s="8654"/>
      <c r="BN216" s="8654"/>
    </row>
    <row r="217" spans="1:66" ht="30" customHeight="1">
      <c r="A217" s="8652">
        <v>134</v>
      </c>
      <c r="B217" s="8653" t="s">
        <v>7709</v>
      </c>
      <c r="C217" s="13586"/>
      <c r="D217" s="11840" t="s">
        <v>86</v>
      </c>
      <c r="E217" s="11841"/>
      <c r="F217" s="11841"/>
      <c r="G217" s="13018" t="s">
        <v>3369</v>
      </c>
      <c r="H217" s="11843"/>
      <c r="I217" s="11844" t="s">
        <v>3370</v>
      </c>
      <c r="K217" s="12941">
        <v>9253</v>
      </c>
      <c r="L217" s="8666"/>
      <c r="M217" s="8666"/>
      <c r="N217" s="8667" t="s">
        <v>10528</v>
      </c>
      <c r="O217" s="8667" t="s">
        <v>10494</v>
      </c>
      <c r="P217" s="8668"/>
      <c r="Q217" s="8669"/>
      <c r="R217" s="8670"/>
      <c r="S217" s="8671"/>
      <c r="T217" s="8672"/>
      <c r="U217" s="12942">
        <v>9253</v>
      </c>
      <c r="V217" s="8670">
        <v>3313</v>
      </c>
      <c r="W217" s="8672">
        <v>5940</v>
      </c>
      <c r="X217" s="8670">
        <v>5657</v>
      </c>
      <c r="Y217" s="8672">
        <v>3596</v>
      </c>
      <c r="Z217" s="8670"/>
      <c r="AA217" s="8671"/>
      <c r="AB217" s="8671"/>
      <c r="AC217" s="8671">
        <v>4213</v>
      </c>
      <c r="AD217" s="8671">
        <v>5040</v>
      </c>
      <c r="AE217" s="8671"/>
      <c r="AF217" s="8672"/>
      <c r="AG217" s="8670">
        <v>8099</v>
      </c>
      <c r="AH217" s="8671">
        <v>230</v>
      </c>
      <c r="AI217" s="8671">
        <v>924</v>
      </c>
      <c r="AJ217" s="8671"/>
      <c r="AK217" s="8671"/>
      <c r="AL217" s="8671"/>
      <c r="AM217" s="8671"/>
      <c r="AN217" s="8672"/>
      <c r="AO217" s="8670">
        <v>8626</v>
      </c>
      <c r="AP217" s="8671">
        <v>562</v>
      </c>
      <c r="AQ217" s="8671">
        <v>65</v>
      </c>
      <c r="AR217" s="8671"/>
      <c r="AS217" s="8671"/>
      <c r="AT217" s="8672"/>
      <c r="AU217" s="8673"/>
      <c r="AV217" s="8673"/>
      <c r="AW217" s="8673"/>
      <c r="AX217" s="8665"/>
      <c r="AY217" s="8668"/>
      <c r="AZ217" s="8673"/>
      <c r="BA217" s="8665"/>
      <c r="BB217" s="8667"/>
      <c r="BC217" s="8668"/>
      <c r="BD217" s="8674"/>
      <c r="BF217" s="8654"/>
      <c r="BG217" s="8654"/>
      <c r="BH217" s="8654"/>
      <c r="BI217" s="8654"/>
      <c r="BJ217" s="8654"/>
      <c r="BK217" s="13065"/>
      <c r="BL217" s="13065"/>
      <c r="BM217" s="8654"/>
      <c r="BN217" s="8654"/>
    </row>
    <row r="218" spans="1:66" ht="30" customHeight="1">
      <c r="A218" s="8652">
        <v>135</v>
      </c>
      <c r="B218" s="8653" t="s">
        <v>7710</v>
      </c>
      <c r="C218" s="13586"/>
      <c r="D218" s="11840" t="s">
        <v>86</v>
      </c>
      <c r="E218" s="11841"/>
      <c r="F218" s="11841"/>
      <c r="G218" s="13018" t="s">
        <v>3371</v>
      </c>
      <c r="H218" s="11843"/>
      <c r="I218" s="11844" t="s">
        <v>3330</v>
      </c>
      <c r="K218" s="13119">
        <v>1</v>
      </c>
      <c r="L218" s="8666"/>
      <c r="M218" s="8666"/>
      <c r="N218" s="8667"/>
      <c r="O218" s="8667"/>
      <c r="P218" s="8668"/>
      <c r="Q218" s="8669"/>
      <c r="R218" s="8670"/>
      <c r="S218" s="8671"/>
      <c r="T218" s="8672"/>
      <c r="U218" s="12942"/>
      <c r="V218" s="8670"/>
      <c r="W218" s="8672"/>
      <c r="X218" s="8670"/>
      <c r="Y218" s="8672"/>
      <c r="Z218" s="8670"/>
      <c r="AA218" s="8671"/>
      <c r="AB218" s="8671"/>
      <c r="AC218" s="8671"/>
      <c r="AD218" s="8671"/>
      <c r="AE218" s="8671"/>
      <c r="AF218" s="8672"/>
      <c r="AG218" s="8670"/>
      <c r="AH218" s="8671"/>
      <c r="AI218" s="8671"/>
      <c r="AJ218" s="8671"/>
      <c r="AK218" s="8671"/>
      <c r="AL218" s="8671"/>
      <c r="AM218" s="8671"/>
      <c r="AN218" s="8672"/>
      <c r="AO218" s="8670"/>
      <c r="AP218" s="8671"/>
      <c r="AQ218" s="8671"/>
      <c r="AR218" s="8671"/>
      <c r="AS218" s="8671"/>
      <c r="AT218" s="8672"/>
      <c r="AU218" s="8673"/>
      <c r="AV218" s="8673"/>
      <c r="AW218" s="8673"/>
      <c r="AX218" s="8665"/>
      <c r="AY218" s="8668"/>
      <c r="AZ218" s="8673"/>
      <c r="BA218" s="8665"/>
      <c r="BB218" s="8667"/>
      <c r="BC218" s="8668"/>
      <c r="BD218" s="8674"/>
      <c r="BF218" s="8654"/>
      <c r="BG218" s="8654"/>
      <c r="BH218" s="8654"/>
      <c r="BI218" s="8654"/>
      <c r="BJ218" s="8654"/>
      <c r="BK218" s="13065"/>
      <c r="BL218" s="13065"/>
      <c r="BM218" s="8654"/>
      <c r="BN218" s="8654"/>
    </row>
    <row r="219" spans="1:66" ht="30" customHeight="1">
      <c r="A219" s="8652">
        <v>136</v>
      </c>
      <c r="B219" s="8653" t="s">
        <v>7711</v>
      </c>
      <c r="C219" s="13586"/>
      <c r="D219" s="11840" t="s">
        <v>86</v>
      </c>
      <c r="E219" s="11841"/>
      <c r="F219" s="11841"/>
      <c r="G219" s="13018" t="s">
        <v>3373</v>
      </c>
      <c r="H219" s="11843"/>
      <c r="I219" s="11844" t="s">
        <v>3330</v>
      </c>
      <c r="K219" s="13119">
        <v>1</v>
      </c>
      <c r="L219" s="8666"/>
      <c r="M219" s="8666"/>
      <c r="N219" s="8667"/>
      <c r="O219" s="8667"/>
      <c r="P219" s="8668"/>
      <c r="Q219" s="8669"/>
      <c r="R219" s="8670"/>
      <c r="S219" s="8671"/>
      <c r="T219" s="8672"/>
      <c r="U219" s="12942"/>
      <c r="V219" s="8670"/>
      <c r="W219" s="8672"/>
      <c r="X219" s="8670"/>
      <c r="Y219" s="8672"/>
      <c r="Z219" s="8670"/>
      <c r="AA219" s="8671"/>
      <c r="AB219" s="8671"/>
      <c r="AC219" s="8671"/>
      <c r="AD219" s="8671"/>
      <c r="AE219" s="8671"/>
      <c r="AF219" s="8672"/>
      <c r="AG219" s="8670"/>
      <c r="AH219" s="8671"/>
      <c r="AI219" s="8671"/>
      <c r="AJ219" s="8671"/>
      <c r="AK219" s="8671"/>
      <c r="AL219" s="8671"/>
      <c r="AM219" s="8671"/>
      <c r="AN219" s="8672"/>
      <c r="AO219" s="8670"/>
      <c r="AP219" s="8671"/>
      <c r="AQ219" s="8671"/>
      <c r="AR219" s="8671"/>
      <c r="AS219" s="8671"/>
      <c r="AT219" s="8672"/>
      <c r="AU219" s="8673"/>
      <c r="AV219" s="8673"/>
      <c r="AW219" s="8673"/>
      <c r="AX219" s="8665"/>
      <c r="AY219" s="8668"/>
      <c r="AZ219" s="8673"/>
      <c r="BA219" s="8665"/>
      <c r="BB219" s="8667"/>
      <c r="BC219" s="8668"/>
      <c r="BD219" s="8674"/>
      <c r="BF219" s="8654"/>
      <c r="BG219" s="8654"/>
      <c r="BH219" s="8654"/>
      <c r="BI219" s="8654"/>
      <c r="BJ219" s="8654"/>
      <c r="BK219" s="13065"/>
      <c r="BL219" s="13065"/>
      <c r="BM219" s="8654"/>
      <c r="BN219" s="8654"/>
    </row>
    <row r="220" spans="1:66" ht="30" customHeight="1">
      <c r="A220" s="8652">
        <v>137</v>
      </c>
      <c r="B220" s="8653" t="s">
        <v>7712</v>
      </c>
      <c r="C220" s="13586"/>
      <c r="D220" s="11840" t="s">
        <v>86</v>
      </c>
      <c r="E220" s="11841"/>
      <c r="F220" s="11841"/>
      <c r="G220" s="13018" t="s">
        <v>3375</v>
      </c>
      <c r="H220" s="11843"/>
      <c r="I220" s="11844" t="s">
        <v>3370</v>
      </c>
      <c r="K220" s="12941">
        <v>9253</v>
      </c>
      <c r="L220" s="8666"/>
      <c r="M220" s="8666"/>
      <c r="N220" s="8667" t="s">
        <v>10528</v>
      </c>
      <c r="O220" s="8667" t="s">
        <v>10494</v>
      </c>
      <c r="P220" s="8668"/>
      <c r="Q220" s="8669"/>
      <c r="R220" s="8670"/>
      <c r="S220" s="8671"/>
      <c r="T220" s="8672"/>
      <c r="U220" s="12942">
        <v>9253</v>
      </c>
      <c r="V220" s="8670">
        <v>3313</v>
      </c>
      <c r="W220" s="8672">
        <v>5940</v>
      </c>
      <c r="X220" s="8670">
        <v>5657</v>
      </c>
      <c r="Y220" s="8672">
        <v>3596</v>
      </c>
      <c r="Z220" s="8670"/>
      <c r="AA220" s="8671"/>
      <c r="AB220" s="8671"/>
      <c r="AC220" s="8671">
        <v>4213</v>
      </c>
      <c r="AD220" s="8671">
        <v>5040</v>
      </c>
      <c r="AE220" s="8671"/>
      <c r="AF220" s="8672"/>
      <c r="AG220" s="8670">
        <v>8099</v>
      </c>
      <c r="AH220" s="8671">
        <v>230</v>
      </c>
      <c r="AI220" s="8671">
        <v>924</v>
      </c>
      <c r="AJ220" s="8671"/>
      <c r="AK220" s="8671"/>
      <c r="AL220" s="8671"/>
      <c r="AM220" s="8671"/>
      <c r="AN220" s="8672"/>
      <c r="AO220" s="8670">
        <v>8626</v>
      </c>
      <c r="AP220" s="8671">
        <v>562</v>
      </c>
      <c r="AQ220" s="8671">
        <v>65</v>
      </c>
      <c r="AR220" s="8671"/>
      <c r="AS220" s="8671"/>
      <c r="AT220" s="8672"/>
      <c r="AU220" s="8673"/>
      <c r="AV220" s="8673"/>
      <c r="AW220" s="8673"/>
      <c r="AX220" s="8665"/>
      <c r="AY220" s="8668"/>
      <c r="AZ220" s="8673"/>
      <c r="BA220" s="8665"/>
      <c r="BB220" s="8667"/>
      <c r="BC220" s="8668"/>
      <c r="BD220" s="8674"/>
      <c r="BF220" s="8654"/>
      <c r="BG220" s="8654"/>
      <c r="BH220" s="8654"/>
      <c r="BI220" s="8654"/>
      <c r="BJ220" s="8654"/>
      <c r="BK220" s="13065"/>
      <c r="BL220" s="13065"/>
      <c r="BM220" s="8654"/>
      <c r="BN220" s="8654"/>
    </row>
    <row r="221" spans="1:66" ht="30" customHeight="1">
      <c r="A221" s="8652">
        <v>138</v>
      </c>
      <c r="B221" s="8653" t="s">
        <v>7713</v>
      </c>
      <c r="C221" s="13586"/>
      <c r="D221" s="11840" t="s">
        <v>86</v>
      </c>
      <c r="E221" s="11841"/>
      <c r="F221" s="11841"/>
      <c r="G221" s="13018" t="s">
        <v>3376</v>
      </c>
      <c r="H221" s="11843"/>
      <c r="I221" s="11844" t="s">
        <v>3370</v>
      </c>
      <c r="K221" s="12941">
        <v>5940</v>
      </c>
      <c r="L221" s="8666"/>
      <c r="M221" s="8666"/>
      <c r="N221" s="8667" t="s">
        <v>10529</v>
      </c>
      <c r="O221" s="8667" t="s">
        <v>10494</v>
      </c>
      <c r="P221" s="8668"/>
      <c r="Q221" s="8669"/>
      <c r="R221" s="8670"/>
      <c r="S221" s="8671"/>
      <c r="T221" s="8672"/>
      <c r="U221" s="12942">
        <v>5940</v>
      </c>
      <c r="V221" s="8670"/>
      <c r="W221" s="8672">
        <v>5940</v>
      </c>
      <c r="X221" s="8670">
        <v>3625</v>
      </c>
      <c r="Y221" s="8672">
        <v>2315</v>
      </c>
      <c r="Z221" s="8670"/>
      <c r="AA221" s="8671"/>
      <c r="AB221" s="8671"/>
      <c r="AC221" s="8671">
        <v>2630</v>
      </c>
      <c r="AD221" s="8671">
        <v>3310</v>
      </c>
      <c r="AE221" s="8671"/>
      <c r="AF221" s="8672"/>
      <c r="AG221" s="8670">
        <v>5199</v>
      </c>
      <c r="AH221" s="8671">
        <v>102</v>
      </c>
      <c r="AI221" s="8671">
        <v>639</v>
      </c>
      <c r="AJ221" s="8671"/>
      <c r="AK221" s="8671"/>
      <c r="AL221" s="8671"/>
      <c r="AM221" s="8671"/>
      <c r="AN221" s="8672"/>
      <c r="AO221" s="8670">
        <v>5510</v>
      </c>
      <c r="AP221" s="8671">
        <v>389</v>
      </c>
      <c r="AQ221" s="8671">
        <v>41</v>
      </c>
      <c r="AR221" s="8671"/>
      <c r="AS221" s="8671"/>
      <c r="AT221" s="8672"/>
      <c r="AU221" s="8673"/>
      <c r="AV221" s="8673"/>
      <c r="AW221" s="8673"/>
      <c r="AX221" s="8665"/>
      <c r="AY221" s="8668"/>
      <c r="AZ221" s="8673"/>
      <c r="BA221" s="8665"/>
      <c r="BB221" s="8667"/>
      <c r="BC221" s="8668"/>
      <c r="BD221" s="8674"/>
      <c r="BF221" s="8654"/>
      <c r="BG221" s="8654"/>
      <c r="BH221" s="8654"/>
      <c r="BI221" s="8654"/>
      <c r="BJ221" s="8654"/>
      <c r="BK221" s="13065"/>
      <c r="BL221" s="13065"/>
      <c r="BM221" s="8654"/>
      <c r="BN221" s="8654"/>
    </row>
    <row r="222" spans="1:66" ht="30" customHeight="1" thickBot="1">
      <c r="A222" s="8675">
        <v>139</v>
      </c>
      <c r="B222" s="8676" t="s">
        <v>7714</v>
      </c>
      <c r="C222" s="13586"/>
      <c r="D222" s="11845" t="s">
        <v>86</v>
      </c>
      <c r="E222" s="11846"/>
      <c r="F222" s="11846"/>
      <c r="G222" s="13044" t="s">
        <v>3377</v>
      </c>
      <c r="H222" s="11848"/>
      <c r="I222" s="11849" t="s">
        <v>3370</v>
      </c>
      <c r="K222" s="12943">
        <v>0</v>
      </c>
      <c r="L222" s="8679"/>
      <c r="M222" s="8679"/>
      <c r="N222" s="8680"/>
      <c r="O222" s="8680"/>
      <c r="P222" s="8681"/>
      <c r="Q222" s="8682"/>
      <c r="R222" s="8683"/>
      <c r="S222" s="8684"/>
      <c r="T222" s="8685"/>
      <c r="U222" s="12944"/>
      <c r="V222" s="8683"/>
      <c r="W222" s="8685"/>
      <c r="X222" s="8683"/>
      <c r="Y222" s="8685"/>
      <c r="Z222" s="8683"/>
      <c r="AA222" s="8684"/>
      <c r="AB222" s="8684"/>
      <c r="AC222" s="8684"/>
      <c r="AD222" s="8684"/>
      <c r="AE222" s="8684"/>
      <c r="AF222" s="8685"/>
      <c r="AG222" s="8683"/>
      <c r="AH222" s="8684"/>
      <c r="AI222" s="8684"/>
      <c r="AJ222" s="8684"/>
      <c r="AK222" s="8684"/>
      <c r="AL222" s="8684"/>
      <c r="AM222" s="8684"/>
      <c r="AN222" s="8685"/>
      <c r="AO222" s="8683"/>
      <c r="AP222" s="8684"/>
      <c r="AQ222" s="8684"/>
      <c r="AR222" s="8684"/>
      <c r="AS222" s="8684"/>
      <c r="AT222" s="8685"/>
      <c r="AU222" s="8686"/>
      <c r="AV222" s="8686"/>
      <c r="AW222" s="8686"/>
      <c r="AX222" s="8678"/>
      <c r="AY222" s="8681"/>
      <c r="AZ222" s="8686"/>
      <c r="BA222" s="8678"/>
      <c r="BB222" s="8680"/>
      <c r="BC222" s="8681"/>
      <c r="BD222" s="8687"/>
      <c r="BF222" s="8677"/>
      <c r="BG222" s="8677"/>
      <c r="BH222" s="8677"/>
      <c r="BI222" s="8677"/>
      <c r="BJ222" s="8677"/>
      <c r="BK222" s="13096"/>
      <c r="BL222" s="13096"/>
      <c r="BM222" s="8677"/>
      <c r="BN222" s="8677"/>
    </row>
    <row r="223" spans="1:66" ht="30" customHeight="1">
      <c r="A223" s="8688">
        <v>140</v>
      </c>
      <c r="B223" s="8689" t="s">
        <v>7715</v>
      </c>
      <c r="C223" s="13586"/>
      <c r="D223" s="11850" t="s">
        <v>86</v>
      </c>
      <c r="E223" s="11851"/>
      <c r="F223" s="11851"/>
      <c r="G223" s="13008" t="s">
        <v>3380</v>
      </c>
      <c r="H223" s="11852"/>
      <c r="I223" s="11853" t="s">
        <v>4183</v>
      </c>
      <c r="K223" s="12945">
        <v>2703</v>
      </c>
      <c r="L223" s="8691"/>
      <c r="M223" s="8691"/>
      <c r="N223" s="8692" t="s">
        <v>10530</v>
      </c>
      <c r="O223" s="8703" t="s">
        <v>10531</v>
      </c>
      <c r="P223" s="8693"/>
      <c r="Q223" s="8694"/>
      <c r="R223" s="8695"/>
      <c r="S223" s="8696"/>
      <c r="T223" s="8697"/>
      <c r="U223" s="12946">
        <v>2703</v>
      </c>
      <c r="V223" s="8695">
        <v>1297</v>
      </c>
      <c r="W223" s="8697">
        <v>1406</v>
      </c>
      <c r="X223" s="8695">
        <v>2271</v>
      </c>
      <c r="Y223" s="8697">
        <v>432</v>
      </c>
      <c r="Z223" s="8695"/>
      <c r="AA223" s="8696"/>
      <c r="AB223" s="8696">
        <v>2703</v>
      </c>
      <c r="AC223" s="8696"/>
      <c r="AD223" s="8696"/>
      <c r="AE223" s="8696"/>
      <c r="AF223" s="8697"/>
      <c r="AG223" s="8695"/>
      <c r="AH223" s="8696"/>
      <c r="AI223" s="8696"/>
      <c r="AJ223" s="8696"/>
      <c r="AK223" s="8696"/>
      <c r="AL223" s="8696"/>
      <c r="AM223" s="8696"/>
      <c r="AN223" s="8697"/>
      <c r="AO223" s="8695"/>
      <c r="AP223" s="8696"/>
      <c r="AQ223" s="8696"/>
      <c r="AR223" s="8696"/>
      <c r="AS223" s="8696"/>
      <c r="AT223" s="8697"/>
      <c r="AU223" s="8698"/>
      <c r="AV223" s="8698"/>
      <c r="AW223" s="8698"/>
      <c r="AX223" s="8690"/>
      <c r="AY223" s="8693"/>
      <c r="AZ223" s="8698"/>
      <c r="BA223" s="8690"/>
      <c r="BB223" s="8692"/>
      <c r="BC223" s="8693"/>
      <c r="BD223" s="8699"/>
      <c r="BF223" s="7994"/>
      <c r="BG223" s="7994"/>
      <c r="BH223" s="7994"/>
      <c r="BI223" s="7994"/>
      <c r="BJ223" s="7994"/>
      <c r="BK223" s="13049"/>
      <c r="BL223" s="13049"/>
      <c r="BM223" s="7994"/>
      <c r="BN223" s="7994"/>
    </row>
    <row r="224" spans="1:66" ht="30" customHeight="1">
      <c r="A224" s="8006">
        <v>141</v>
      </c>
      <c r="B224" s="8700" t="s">
        <v>7716</v>
      </c>
      <c r="C224" s="13586"/>
      <c r="D224" s="11854" t="s">
        <v>86</v>
      </c>
      <c r="E224" s="11855"/>
      <c r="F224" s="11855"/>
      <c r="G224" s="13007" t="s">
        <v>3382</v>
      </c>
      <c r="H224" s="11856"/>
      <c r="I224" s="11857" t="s">
        <v>3383</v>
      </c>
      <c r="K224" s="12947">
        <v>1</v>
      </c>
      <c r="L224" s="8703"/>
      <c r="M224" s="8703"/>
      <c r="N224" s="8703"/>
      <c r="O224" s="8703"/>
      <c r="P224" s="8704"/>
      <c r="Q224" s="8705"/>
      <c r="R224" s="8706"/>
      <c r="S224" s="8707"/>
      <c r="T224" s="8708"/>
      <c r="U224" s="12948"/>
      <c r="V224" s="8706"/>
      <c r="W224" s="8708"/>
      <c r="X224" s="8706"/>
      <c r="Y224" s="8708"/>
      <c r="Z224" s="8706"/>
      <c r="AA224" s="8707"/>
      <c r="AB224" s="8707"/>
      <c r="AC224" s="8707"/>
      <c r="AD224" s="8707"/>
      <c r="AE224" s="8707"/>
      <c r="AF224" s="8708"/>
      <c r="AG224" s="8706"/>
      <c r="AH224" s="8707"/>
      <c r="AI224" s="8707"/>
      <c r="AJ224" s="8707"/>
      <c r="AK224" s="8707"/>
      <c r="AL224" s="8707"/>
      <c r="AM224" s="8707"/>
      <c r="AN224" s="8708"/>
      <c r="AO224" s="8706"/>
      <c r="AP224" s="8707"/>
      <c r="AQ224" s="8707"/>
      <c r="AR224" s="8707"/>
      <c r="AS224" s="8707"/>
      <c r="AT224" s="8708"/>
      <c r="AU224" s="8709"/>
      <c r="AV224" s="8709"/>
      <c r="AW224" s="8709"/>
      <c r="AX224" s="8701"/>
      <c r="AY224" s="8704"/>
      <c r="AZ224" s="8709"/>
      <c r="BA224" s="8701"/>
      <c r="BB224" s="8703"/>
      <c r="BC224" s="8704"/>
      <c r="BD224" s="8710"/>
      <c r="BF224" s="8005"/>
      <c r="BG224" s="8005"/>
      <c r="BH224" s="8005"/>
      <c r="BI224" s="8005"/>
      <c r="BJ224" s="8005"/>
      <c r="BK224" s="13050"/>
      <c r="BL224" s="13050"/>
      <c r="BM224" s="8005"/>
      <c r="BN224" s="8005"/>
    </row>
    <row r="225" spans="1:66" ht="30" customHeight="1">
      <c r="A225" s="8006">
        <v>142</v>
      </c>
      <c r="B225" s="8700" t="s">
        <v>7717</v>
      </c>
      <c r="C225" s="13586"/>
      <c r="D225" s="11854" t="s">
        <v>86</v>
      </c>
      <c r="E225" s="11855"/>
      <c r="F225" s="11855"/>
      <c r="G225" s="13007" t="s">
        <v>3386</v>
      </c>
      <c r="H225" s="11856"/>
      <c r="I225" s="11857" t="s">
        <v>3387</v>
      </c>
      <c r="K225" s="12947">
        <v>50</v>
      </c>
      <c r="L225" s="8703"/>
      <c r="M225" s="8703"/>
      <c r="N225" s="8703" t="s">
        <v>10532</v>
      </c>
      <c r="O225" s="8703" t="s">
        <v>10533</v>
      </c>
      <c r="P225" s="8704"/>
      <c r="Q225" s="8705"/>
      <c r="R225" s="8706"/>
      <c r="S225" s="8707"/>
      <c r="T225" s="8708"/>
      <c r="U225" s="12948">
        <v>688</v>
      </c>
      <c r="V225" s="8706">
        <v>330</v>
      </c>
      <c r="W225" s="8708">
        <v>358</v>
      </c>
      <c r="X225" s="8706">
        <v>622</v>
      </c>
      <c r="Y225" s="8708">
        <v>66</v>
      </c>
      <c r="Z225" s="8706"/>
      <c r="AA225" s="8707"/>
      <c r="AB225" s="8707"/>
      <c r="AC225" s="8707"/>
      <c r="AD225" s="8707"/>
      <c r="AE225" s="8707"/>
      <c r="AF225" s="8708"/>
      <c r="AG225" s="8706"/>
      <c r="AH225" s="8707"/>
      <c r="AI225" s="8707"/>
      <c r="AJ225" s="8707"/>
      <c r="AK225" s="8707"/>
      <c r="AL225" s="8707"/>
      <c r="AM225" s="8707"/>
      <c r="AN225" s="8708"/>
      <c r="AO225" s="8706"/>
      <c r="AP225" s="8707"/>
      <c r="AQ225" s="8707"/>
      <c r="AR225" s="8707"/>
      <c r="AS225" s="8707"/>
      <c r="AT225" s="8708"/>
      <c r="AU225" s="8709"/>
      <c r="AV225" s="8709"/>
      <c r="AW225" s="8709"/>
      <c r="AX225" s="8701"/>
      <c r="AY225" s="8704"/>
      <c r="AZ225" s="8709"/>
      <c r="BA225" s="8701"/>
      <c r="BB225" s="8703"/>
      <c r="BC225" s="8704"/>
      <c r="BD225" s="8710"/>
      <c r="BF225" s="8005"/>
      <c r="BG225" s="8005"/>
      <c r="BH225" s="8005"/>
      <c r="BI225" s="8005"/>
      <c r="BJ225" s="8005"/>
      <c r="BK225" s="13050"/>
      <c r="BL225" s="13050"/>
      <c r="BM225" s="8005"/>
      <c r="BN225" s="8005"/>
    </row>
    <row r="226" spans="1:66" ht="30" customHeight="1">
      <c r="A226" s="8006">
        <v>143</v>
      </c>
      <c r="B226" s="8700" t="s">
        <v>7718</v>
      </c>
      <c r="C226" s="13586"/>
      <c r="D226" s="11854" t="s">
        <v>86</v>
      </c>
      <c r="E226" s="11855"/>
      <c r="F226" s="11855"/>
      <c r="G226" s="13007" t="s">
        <v>3392</v>
      </c>
      <c r="H226" s="11856"/>
      <c r="I226" s="11857" t="s">
        <v>3393</v>
      </c>
      <c r="K226" s="12949">
        <v>1</v>
      </c>
      <c r="L226" s="8702"/>
      <c r="M226" s="8702"/>
      <c r="N226" s="8703"/>
      <c r="O226" s="8703"/>
      <c r="P226" s="8704"/>
      <c r="Q226" s="8705"/>
      <c r="R226" s="8706"/>
      <c r="S226" s="8707"/>
      <c r="T226" s="8708"/>
      <c r="U226" s="12948"/>
      <c r="V226" s="8706"/>
      <c r="W226" s="8708"/>
      <c r="X226" s="8706"/>
      <c r="Y226" s="8708"/>
      <c r="Z226" s="8706"/>
      <c r="AA226" s="8707"/>
      <c r="AB226" s="8707"/>
      <c r="AC226" s="8707"/>
      <c r="AD226" s="8707"/>
      <c r="AE226" s="8707"/>
      <c r="AF226" s="8708"/>
      <c r="AG226" s="8706"/>
      <c r="AH226" s="8707"/>
      <c r="AI226" s="8707"/>
      <c r="AJ226" s="8707"/>
      <c r="AK226" s="8707"/>
      <c r="AL226" s="8707"/>
      <c r="AM226" s="8707"/>
      <c r="AN226" s="8708"/>
      <c r="AO226" s="8706"/>
      <c r="AP226" s="8707"/>
      <c r="AQ226" s="8707"/>
      <c r="AR226" s="8707"/>
      <c r="AS226" s="8707"/>
      <c r="AT226" s="8708"/>
      <c r="AU226" s="8709"/>
      <c r="AV226" s="8709"/>
      <c r="AW226" s="8709"/>
      <c r="AX226" s="8701"/>
      <c r="AY226" s="8704"/>
      <c r="AZ226" s="8709"/>
      <c r="BA226" s="8701"/>
      <c r="BB226" s="8703"/>
      <c r="BC226" s="8704"/>
      <c r="BD226" s="8710"/>
      <c r="BF226" s="8005"/>
      <c r="BG226" s="8005"/>
      <c r="BH226" s="8005"/>
      <c r="BI226" s="8005"/>
      <c r="BJ226" s="8005"/>
      <c r="BK226" s="13050"/>
      <c r="BL226" s="13050"/>
      <c r="BM226" s="8005"/>
      <c r="BN226" s="8005"/>
    </row>
    <row r="227" spans="1:66" ht="30" customHeight="1">
      <c r="A227" s="8006">
        <v>144</v>
      </c>
      <c r="B227" s="8700" t="s">
        <v>7719</v>
      </c>
      <c r="C227" s="13586"/>
      <c r="D227" s="11854" t="s">
        <v>86</v>
      </c>
      <c r="E227" s="11855"/>
      <c r="F227" s="11855"/>
      <c r="G227" s="13007" t="s">
        <v>3395</v>
      </c>
      <c r="H227" s="11856"/>
      <c r="I227" s="11858" t="s">
        <v>4106</v>
      </c>
      <c r="K227" s="12950">
        <v>1</v>
      </c>
      <c r="L227" s="8712"/>
      <c r="M227" s="8712"/>
      <c r="N227" s="8713"/>
      <c r="O227" s="8713"/>
      <c r="P227" s="8714"/>
      <c r="Q227" s="8715"/>
      <c r="R227" s="8716"/>
      <c r="S227" s="8717"/>
      <c r="T227" s="8718"/>
      <c r="U227" s="12951"/>
      <c r="V227" s="8716"/>
      <c r="W227" s="8718"/>
      <c r="X227" s="8716"/>
      <c r="Y227" s="8718"/>
      <c r="Z227" s="8716"/>
      <c r="AA227" s="8717"/>
      <c r="AB227" s="8717"/>
      <c r="AC227" s="8717"/>
      <c r="AD227" s="8717"/>
      <c r="AE227" s="8717"/>
      <c r="AF227" s="8718"/>
      <c r="AG227" s="8716"/>
      <c r="AH227" s="8717"/>
      <c r="AI227" s="8717"/>
      <c r="AJ227" s="8717"/>
      <c r="AK227" s="8717"/>
      <c r="AL227" s="8717"/>
      <c r="AM227" s="8717"/>
      <c r="AN227" s="8718"/>
      <c r="AO227" s="8716"/>
      <c r="AP227" s="8717"/>
      <c r="AQ227" s="8717"/>
      <c r="AR227" s="8717"/>
      <c r="AS227" s="8717"/>
      <c r="AT227" s="8718"/>
      <c r="AU227" s="8719"/>
      <c r="AV227" s="8719"/>
      <c r="AW227" s="8719"/>
      <c r="AX227" s="8711"/>
      <c r="AY227" s="8714"/>
      <c r="AZ227" s="8719"/>
      <c r="BA227" s="8711"/>
      <c r="BB227" s="8713"/>
      <c r="BC227" s="8714"/>
      <c r="BD227" s="8720"/>
      <c r="BF227" s="8005"/>
      <c r="BG227" s="8005"/>
      <c r="BH227" s="8005"/>
      <c r="BI227" s="8005"/>
      <c r="BJ227" s="8005"/>
      <c r="BK227" s="13050"/>
      <c r="BL227" s="13050"/>
      <c r="BM227" s="8005"/>
      <c r="BN227" s="8005"/>
    </row>
    <row r="228" spans="1:66" ht="30" customHeight="1">
      <c r="A228" s="8006">
        <v>145</v>
      </c>
      <c r="B228" s="8700" t="s">
        <v>7720</v>
      </c>
      <c r="C228" s="13586"/>
      <c r="D228" s="11854" t="s">
        <v>86</v>
      </c>
      <c r="E228" s="11855"/>
      <c r="F228" s="11855"/>
      <c r="G228" s="13007" t="s">
        <v>3396</v>
      </c>
      <c r="H228" s="11856"/>
      <c r="I228" s="11857" t="s">
        <v>3330</v>
      </c>
      <c r="K228" s="12949">
        <v>1</v>
      </c>
      <c r="L228" s="8702"/>
      <c r="M228" s="8702"/>
      <c r="N228" s="8703"/>
      <c r="O228" s="8703"/>
      <c r="P228" s="8704"/>
      <c r="Q228" s="8705"/>
      <c r="R228" s="8706"/>
      <c r="S228" s="8707"/>
      <c r="T228" s="8708"/>
      <c r="U228" s="12948"/>
      <c r="V228" s="8706"/>
      <c r="W228" s="8708"/>
      <c r="X228" s="8706"/>
      <c r="Y228" s="8708"/>
      <c r="Z228" s="8706"/>
      <c r="AA228" s="8707"/>
      <c r="AB228" s="8707"/>
      <c r="AC228" s="8707"/>
      <c r="AD228" s="8707"/>
      <c r="AE228" s="8707"/>
      <c r="AF228" s="8708"/>
      <c r="AG228" s="8706"/>
      <c r="AH228" s="8707"/>
      <c r="AI228" s="8707"/>
      <c r="AJ228" s="8707"/>
      <c r="AK228" s="8707"/>
      <c r="AL228" s="8707"/>
      <c r="AM228" s="8707"/>
      <c r="AN228" s="8708"/>
      <c r="AO228" s="8706"/>
      <c r="AP228" s="8707"/>
      <c r="AQ228" s="8707"/>
      <c r="AR228" s="8707"/>
      <c r="AS228" s="8707"/>
      <c r="AT228" s="8708"/>
      <c r="AU228" s="8709"/>
      <c r="AV228" s="8709"/>
      <c r="AW228" s="8709"/>
      <c r="AX228" s="8701"/>
      <c r="AY228" s="8704"/>
      <c r="AZ228" s="8709"/>
      <c r="BA228" s="8701"/>
      <c r="BB228" s="8703"/>
      <c r="BC228" s="8704"/>
      <c r="BD228" s="8710"/>
      <c r="BF228" s="8005"/>
      <c r="BG228" s="8005"/>
      <c r="BH228" s="8005"/>
      <c r="BI228" s="8005"/>
      <c r="BJ228" s="8005"/>
      <c r="BK228" s="13050"/>
      <c r="BL228" s="13050"/>
      <c r="BM228" s="8005"/>
      <c r="BN228" s="8005"/>
    </row>
    <row r="229" spans="1:66" ht="30" customHeight="1">
      <c r="A229" s="8006">
        <v>146</v>
      </c>
      <c r="B229" s="8700" t="s">
        <v>7721</v>
      </c>
      <c r="C229" s="13586"/>
      <c r="D229" s="11854" t="s">
        <v>86</v>
      </c>
      <c r="E229" s="11855"/>
      <c r="F229" s="11855"/>
      <c r="G229" s="13007" t="s">
        <v>3397</v>
      </c>
      <c r="H229" s="11856"/>
      <c r="I229" s="11857" t="s">
        <v>3387</v>
      </c>
      <c r="K229" s="12949">
        <v>1</v>
      </c>
      <c r="L229" s="8702"/>
      <c r="M229" s="8702"/>
      <c r="N229" s="8703"/>
      <c r="O229" s="8703"/>
      <c r="P229" s="8704"/>
      <c r="Q229" s="8705"/>
      <c r="R229" s="8706"/>
      <c r="S229" s="8707"/>
      <c r="T229" s="8708"/>
      <c r="U229" s="12948"/>
      <c r="V229" s="8706"/>
      <c r="W229" s="8708"/>
      <c r="X229" s="8706"/>
      <c r="Y229" s="8708"/>
      <c r="Z229" s="8706"/>
      <c r="AA229" s="8707"/>
      <c r="AB229" s="8707"/>
      <c r="AC229" s="8707"/>
      <c r="AD229" s="8707"/>
      <c r="AE229" s="8707"/>
      <c r="AF229" s="8708"/>
      <c r="AG229" s="8706"/>
      <c r="AH229" s="8707"/>
      <c r="AI229" s="8707"/>
      <c r="AJ229" s="8707"/>
      <c r="AK229" s="8707"/>
      <c r="AL229" s="8707"/>
      <c r="AM229" s="8707"/>
      <c r="AN229" s="8708"/>
      <c r="AO229" s="8706"/>
      <c r="AP229" s="8707"/>
      <c r="AQ229" s="8707"/>
      <c r="AR229" s="8707"/>
      <c r="AS229" s="8707"/>
      <c r="AT229" s="8708"/>
      <c r="AU229" s="8709"/>
      <c r="AV229" s="8709"/>
      <c r="AW229" s="8709"/>
      <c r="AX229" s="8701"/>
      <c r="AY229" s="8704"/>
      <c r="AZ229" s="8709"/>
      <c r="BA229" s="8701"/>
      <c r="BB229" s="8703"/>
      <c r="BC229" s="8704"/>
      <c r="BD229" s="8710"/>
      <c r="BF229" s="8005"/>
      <c r="BG229" s="8005"/>
      <c r="BH229" s="8005"/>
      <c r="BI229" s="8005"/>
      <c r="BJ229" s="8005"/>
      <c r="BK229" s="13050"/>
      <c r="BL229" s="13050"/>
      <c r="BM229" s="8005"/>
      <c r="BN229" s="8005"/>
    </row>
    <row r="230" spans="1:66" ht="30" customHeight="1">
      <c r="A230" s="8006">
        <v>147</v>
      </c>
      <c r="B230" s="8700" t="s">
        <v>7722</v>
      </c>
      <c r="C230" s="13586"/>
      <c r="D230" s="11854" t="s">
        <v>86</v>
      </c>
      <c r="E230" s="11855"/>
      <c r="F230" s="11855"/>
      <c r="G230" s="13007" t="s">
        <v>3398</v>
      </c>
      <c r="H230" s="11856"/>
      <c r="I230" s="11857" t="s">
        <v>3330</v>
      </c>
      <c r="K230" s="12949">
        <v>1</v>
      </c>
      <c r="L230" s="8702"/>
      <c r="M230" s="8702"/>
      <c r="N230" s="8703"/>
      <c r="O230" s="8703"/>
      <c r="P230" s="8704"/>
      <c r="Q230" s="8705"/>
      <c r="R230" s="8706"/>
      <c r="S230" s="8707"/>
      <c r="T230" s="8708"/>
      <c r="U230" s="12948"/>
      <c r="V230" s="8706"/>
      <c r="W230" s="8708"/>
      <c r="X230" s="8706"/>
      <c r="Y230" s="8708"/>
      <c r="Z230" s="8706"/>
      <c r="AA230" s="8707"/>
      <c r="AB230" s="8707"/>
      <c r="AC230" s="8707"/>
      <c r="AD230" s="8707"/>
      <c r="AE230" s="8707"/>
      <c r="AF230" s="8708"/>
      <c r="AG230" s="8706"/>
      <c r="AH230" s="8707"/>
      <c r="AI230" s="8707"/>
      <c r="AJ230" s="8707"/>
      <c r="AK230" s="8707"/>
      <c r="AL230" s="8707"/>
      <c r="AM230" s="8707"/>
      <c r="AN230" s="8708"/>
      <c r="AO230" s="8706"/>
      <c r="AP230" s="8707"/>
      <c r="AQ230" s="8707"/>
      <c r="AR230" s="8707"/>
      <c r="AS230" s="8707"/>
      <c r="AT230" s="8708"/>
      <c r="AU230" s="8709"/>
      <c r="AV230" s="8709"/>
      <c r="AW230" s="8709"/>
      <c r="AX230" s="8701"/>
      <c r="AY230" s="8704"/>
      <c r="AZ230" s="8709"/>
      <c r="BA230" s="8701"/>
      <c r="BB230" s="8703"/>
      <c r="BC230" s="8704"/>
      <c r="BD230" s="8710"/>
      <c r="BF230" s="8005"/>
      <c r="BG230" s="8005"/>
      <c r="BH230" s="8005"/>
      <c r="BI230" s="8005"/>
      <c r="BJ230" s="8005"/>
      <c r="BK230" s="13050"/>
      <c r="BL230" s="13050"/>
      <c r="BM230" s="8005"/>
      <c r="BN230" s="8005"/>
    </row>
    <row r="231" spans="1:66" ht="30" customHeight="1">
      <c r="A231" s="8006">
        <v>148</v>
      </c>
      <c r="B231" s="8700" t="s">
        <v>7723</v>
      </c>
      <c r="C231" s="13586"/>
      <c r="D231" s="11854" t="s">
        <v>86</v>
      </c>
      <c r="E231" s="11855"/>
      <c r="F231" s="11855"/>
      <c r="G231" s="13007" t="s">
        <v>3399</v>
      </c>
      <c r="H231" s="11856"/>
      <c r="I231" s="11857" t="s">
        <v>3400</v>
      </c>
      <c r="K231" s="12949">
        <v>2084</v>
      </c>
      <c r="L231" s="8702"/>
      <c r="M231" s="8702"/>
      <c r="N231" s="8703" t="s">
        <v>10534</v>
      </c>
      <c r="O231" s="8703" t="s">
        <v>10524</v>
      </c>
      <c r="P231" s="8704"/>
      <c r="Q231" s="8705"/>
      <c r="R231" s="8706"/>
      <c r="S231" s="8707"/>
      <c r="T231" s="8708"/>
      <c r="U231" s="12948">
        <v>2084</v>
      </c>
      <c r="V231" s="8706">
        <v>1023</v>
      </c>
      <c r="W231" s="8708">
        <v>1061</v>
      </c>
      <c r="X231" s="8706">
        <v>1275</v>
      </c>
      <c r="Y231" s="8708">
        <v>809</v>
      </c>
      <c r="Z231" s="8706"/>
      <c r="AA231" s="8707">
        <v>357</v>
      </c>
      <c r="AB231" s="8707">
        <v>1727</v>
      </c>
      <c r="AC231" s="8707"/>
      <c r="AD231" s="8707"/>
      <c r="AE231" s="8707"/>
      <c r="AF231" s="8708"/>
      <c r="AG231" s="8706">
        <v>1788</v>
      </c>
      <c r="AH231" s="8707">
        <v>40</v>
      </c>
      <c r="AI231" s="8707">
        <v>256</v>
      </c>
      <c r="AJ231" s="8707"/>
      <c r="AK231" s="8707"/>
      <c r="AL231" s="8707"/>
      <c r="AM231" s="8707"/>
      <c r="AN231" s="8708"/>
      <c r="AO231" s="8706">
        <v>1886</v>
      </c>
      <c r="AP231" s="8707">
        <v>164</v>
      </c>
      <c r="AQ231" s="8707">
        <v>34</v>
      </c>
      <c r="AR231" s="8707"/>
      <c r="AS231" s="8707"/>
      <c r="AT231" s="8708"/>
      <c r="AU231" s="8709"/>
      <c r="AV231" s="8709"/>
      <c r="AW231" s="8709"/>
      <c r="AX231" s="8701"/>
      <c r="AY231" s="8704"/>
      <c r="AZ231" s="8709"/>
      <c r="BA231" s="8701"/>
      <c r="BB231" s="8703"/>
      <c r="BC231" s="8704"/>
      <c r="BD231" s="8710"/>
      <c r="BF231" s="8005"/>
      <c r="BG231" s="8005"/>
      <c r="BH231" s="8005"/>
      <c r="BI231" s="8005"/>
      <c r="BJ231" s="8005"/>
      <c r="BK231" s="13050"/>
      <c r="BL231" s="13050"/>
      <c r="BM231" s="8005"/>
      <c r="BN231" s="8005"/>
    </row>
    <row r="232" spans="1:66" ht="30" customHeight="1">
      <c r="A232" s="8006">
        <v>149</v>
      </c>
      <c r="B232" s="8700" t="s">
        <v>7724</v>
      </c>
      <c r="C232" s="13586"/>
      <c r="D232" s="11854" t="s">
        <v>86</v>
      </c>
      <c r="E232" s="11855"/>
      <c r="F232" s="11855"/>
      <c r="G232" s="13007" t="s">
        <v>3402</v>
      </c>
      <c r="H232" s="11856"/>
      <c r="I232" s="11857" t="s">
        <v>3330</v>
      </c>
      <c r="K232" s="12949">
        <v>1</v>
      </c>
      <c r="L232" s="8702"/>
      <c r="M232" s="8702"/>
      <c r="N232" s="8703"/>
      <c r="O232" s="8703"/>
      <c r="P232" s="8704"/>
      <c r="Q232" s="8705"/>
      <c r="R232" s="8706"/>
      <c r="S232" s="8707"/>
      <c r="T232" s="8708"/>
      <c r="U232" s="12948"/>
      <c r="V232" s="8706"/>
      <c r="W232" s="8708"/>
      <c r="X232" s="8706"/>
      <c r="Y232" s="8708"/>
      <c r="Z232" s="8706"/>
      <c r="AA232" s="8707"/>
      <c r="AB232" s="8707"/>
      <c r="AC232" s="8707"/>
      <c r="AD232" s="8707"/>
      <c r="AE232" s="8707"/>
      <c r="AF232" s="8708"/>
      <c r="AG232" s="8706"/>
      <c r="AH232" s="8707"/>
      <c r="AI232" s="8707"/>
      <c r="AJ232" s="8707"/>
      <c r="AK232" s="8707"/>
      <c r="AL232" s="8707"/>
      <c r="AM232" s="8707"/>
      <c r="AN232" s="8708"/>
      <c r="AO232" s="8706"/>
      <c r="AP232" s="8707"/>
      <c r="AQ232" s="8707"/>
      <c r="AR232" s="8707"/>
      <c r="AS232" s="8707"/>
      <c r="AT232" s="8708"/>
      <c r="AU232" s="8709"/>
      <c r="AV232" s="8709"/>
      <c r="AW232" s="8709"/>
      <c r="AX232" s="8701"/>
      <c r="AY232" s="8704"/>
      <c r="AZ232" s="8709"/>
      <c r="BA232" s="8701"/>
      <c r="BB232" s="8703"/>
      <c r="BC232" s="8704"/>
      <c r="BD232" s="8710"/>
      <c r="BF232" s="8005"/>
      <c r="BG232" s="8005"/>
      <c r="BH232" s="8005"/>
      <c r="BI232" s="8005"/>
      <c r="BJ232" s="8005"/>
      <c r="BK232" s="13050"/>
      <c r="BL232" s="13050"/>
      <c r="BM232" s="8005"/>
      <c r="BN232" s="8005"/>
    </row>
    <row r="233" spans="1:66" ht="30" customHeight="1">
      <c r="A233" s="8006">
        <v>150</v>
      </c>
      <c r="B233" s="8700" t="s">
        <v>7725</v>
      </c>
      <c r="C233" s="13586"/>
      <c r="D233" s="11854" t="s">
        <v>86</v>
      </c>
      <c r="E233" s="11855"/>
      <c r="F233" s="11855"/>
      <c r="G233" s="13007" t="s">
        <v>3403</v>
      </c>
      <c r="H233" s="11856"/>
      <c r="I233" s="11858" t="s">
        <v>4100</v>
      </c>
      <c r="K233" s="12950">
        <v>1</v>
      </c>
      <c r="L233" s="8712"/>
      <c r="M233" s="8712"/>
      <c r="N233" s="8713"/>
      <c r="O233" s="8713"/>
      <c r="P233" s="8714"/>
      <c r="Q233" s="8715"/>
      <c r="R233" s="8716"/>
      <c r="S233" s="8717"/>
      <c r="T233" s="8718"/>
      <c r="U233" s="12951"/>
      <c r="V233" s="8716"/>
      <c r="W233" s="8718"/>
      <c r="X233" s="8716"/>
      <c r="Y233" s="8718"/>
      <c r="Z233" s="8716"/>
      <c r="AA233" s="8717"/>
      <c r="AB233" s="8717"/>
      <c r="AC233" s="8717"/>
      <c r="AD233" s="8717"/>
      <c r="AE233" s="8717"/>
      <c r="AF233" s="8718"/>
      <c r="AG233" s="8716"/>
      <c r="AH233" s="8717"/>
      <c r="AI233" s="8717"/>
      <c r="AJ233" s="8717"/>
      <c r="AK233" s="8717"/>
      <c r="AL233" s="8717"/>
      <c r="AM233" s="8717"/>
      <c r="AN233" s="8718"/>
      <c r="AO233" s="8716"/>
      <c r="AP233" s="8717"/>
      <c r="AQ233" s="8717"/>
      <c r="AR233" s="8717"/>
      <c r="AS233" s="8717"/>
      <c r="AT233" s="8718"/>
      <c r="AU233" s="8719"/>
      <c r="AV233" s="8719"/>
      <c r="AW233" s="8719"/>
      <c r="AX233" s="8711"/>
      <c r="AY233" s="8714"/>
      <c r="AZ233" s="8719"/>
      <c r="BA233" s="8711"/>
      <c r="BB233" s="8713"/>
      <c r="BC233" s="8714"/>
      <c r="BD233" s="8720"/>
      <c r="BF233" s="8005"/>
      <c r="BG233" s="8005"/>
      <c r="BH233" s="8005"/>
      <c r="BI233" s="8005"/>
      <c r="BJ233" s="8005"/>
      <c r="BK233" s="13050"/>
      <c r="BL233" s="13050"/>
      <c r="BM233" s="8005"/>
      <c r="BN233" s="8005"/>
    </row>
    <row r="234" spans="1:66" ht="30" customHeight="1">
      <c r="A234" s="8006">
        <v>151</v>
      </c>
      <c r="B234" s="8700" t="s">
        <v>7726</v>
      </c>
      <c r="C234" s="13586"/>
      <c r="D234" s="11854" t="s">
        <v>86</v>
      </c>
      <c r="E234" s="11855"/>
      <c r="F234" s="11855"/>
      <c r="G234" s="13007" t="s">
        <v>3404</v>
      </c>
      <c r="H234" s="11856"/>
      <c r="I234" s="11857" t="s">
        <v>4113</v>
      </c>
      <c r="K234" s="12949">
        <v>250</v>
      </c>
      <c r="L234" s="8702"/>
      <c r="M234" s="8702"/>
      <c r="N234" s="8703" t="s">
        <v>10535</v>
      </c>
      <c r="O234" s="8703" t="s">
        <v>10536</v>
      </c>
      <c r="P234" s="8704"/>
      <c r="Q234" s="8705"/>
      <c r="R234" s="8706"/>
      <c r="S234" s="8707"/>
      <c r="T234" s="8708"/>
      <c r="U234" s="12946">
        <v>2703</v>
      </c>
      <c r="V234" s="8695">
        <v>1297</v>
      </c>
      <c r="W234" s="8697">
        <v>1406</v>
      </c>
      <c r="X234" s="8695">
        <v>2271</v>
      </c>
      <c r="Y234" s="8697">
        <v>432</v>
      </c>
      <c r="Z234" s="8695"/>
      <c r="AA234" s="8696"/>
      <c r="AB234" s="8696">
        <v>2703</v>
      </c>
      <c r="AC234" s="8696"/>
      <c r="AD234" s="8696"/>
      <c r="AE234" s="8696"/>
      <c r="AF234" s="8697"/>
      <c r="AG234" s="8695"/>
      <c r="AH234" s="8696"/>
      <c r="AI234" s="8696"/>
      <c r="AJ234" s="8696"/>
      <c r="AK234" s="8696"/>
      <c r="AL234" s="8696"/>
      <c r="AM234" s="8696"/>
      <c r="AN234" s="8697"/>
      <c r="AO234" s="8706"/>
      <c r="AP234" s="8707"/>
      <c r="AQ234" s="8707"/>
      <c r="AR234" s="8707"/>
      <c r="AS234" s="8707"/>
      <c r="AT234" s="8708"/>
      <c r="AU234" s="8709"/>
      <c r="AV234" s="8709"/>
      <c r="AW234" s="8709"/>
      <c r="AX234" s="8701"/>
      <c r="AY234" s="8704"/>
      <c r="AZ234" s="8709"/>
      <c r="BA234" s="8701"/>
      <c r="BB234" s="8703"/>
      <c r="BC234" s="8704"/>
      <c r="BD234" s="8710"/>
      <c r="BF234" s="8005"/>
      <c r="BG234" s="8005"/>
      <c r="BH234" s="8005"/>
      <c r="BI234" s="8005"/>
      <c r="BJ234" s="8005"/>
      <c r="BK234" s="13050"/>
      <c r="BL234" s="13050"/>
      <c r="BM234" s="8005"/>
      <c r="BN234" s="8005"/>
    </row>
    <row r="235" spans="1:66" ht="30" customHeight="1" thickBot="1">
      <c r="A235" s="8028">
        <v>152</v>
      </c>
      <c r="B235" s="8721" t="s">
        <v>7727</v>
      </c>
      <c r="C235" s="13586"/>
      <c r="D235" s="11859" t="s">
        <v>86</v>
      </c>
      <c r="E235" s="11860"/>
      <c r="F235" s="11860"/>
      <c r="G235" s="13034" t="s">
        <v>3405</v>
      </c>
      <c r="H235" s="11861"/>
      <c r="I235" s="11862" t="s">
        <v>4114</v>
      </c>
      <c r="K235" s="12952">
        <v>1</v>
      </c>
      <c r="L235" s="8723"/>
      <c r="M235" s="8723"/>
      <c r="N235" s="8724"/>
      <c r="O235" s="8724"/>
      <c r="P235" s="8725"/>
      <c r="Q235" s="8726"/>
      <c r="R235" s="8727"/>
      <c r="S235" s="8728"/>
      <c r="T235" s="8729"/>
      <c r="U235" s="12953"/>
      <c r="V235" s="8727"/>
      <c r="W235" s="8729"/>
      <c r="X235" s="8727"/>
      <c r="Y235" s="8729"/>
      <c r="Z235" s="8727"/>
      <c r="AA235" s="8728"/>
      <c r="AB235" s="8728"/>
      <c r="AC235" s="8728"/>
      <c r="AD235" s="8728"/>
      <c r="AE235" s="8728"/>
      <c r="AF235" s="8729"/>
      <c r="AG235" s="8727"/>
      <c r="AH235" s="8728"/>
      <c r="AI235" s="8728"/>
      <c r="AJ235" s="8728"/>
      <c r="AK235" s="8728"/>
      <c r="AL235" s="8728"/>
      <c r="AM235" s="8728"/>
      <c r="AN235" s="8729"/>
      <c r="AO235" s="8727"/>
      <c r="AP235" s="8728"/>
      <c r="AQ235" s="8728"/>
      <c r="AR235" s="8728"/>
      <c r="AS235" s="8728"/>
      <c r="AT235" s="8729"/>
      <c r="AU235" s="8730"/>
      <c r="AV235" s="8730"/>
      <c r="AW235" s="8730"/>
      <c r="AX235" s="8722"/>
      <c r="AY235" s="8725"/>
      <c r="AZ235" s="8730"/>
      <c r="BA235" s="8722"/>
      <c r="BB235" s="8724"/>
      <c r="BC235" s="8725"/>
      <c r="BD235" s="8731"/>
      <c r="BF235" s="8030"/>
      <c r="BG235" s="8030"/>
      <c r="BH235" s="8030"/>
      <c r="BI235" s="8030"/>
      <c r="BJ235" s="8030"/>
      <c r="BK235" s="13088"/>
      <c r="BL235" s="13088"/>
      <c r="BM235" s="8030"/>
      <c r="BN235" s="8030"/>
    </row>
    <row r="236" spans="1:66" ht="30" customHeight="1">
      <c r="A236" s="8732">
        <v>153</v>
      </c>
      <c r="B236" s="8733" t="s">
        <v>7728</v>
      </c>
      <c r="C236" s="13586"/>
      <c r="D236" s="11863" t="s">
        <v>86</v>
      </c>
      <c r="E236" s="11864"/>
      <c r="F236" s="11864"/>
      <c r="G236" s="11865" t="s">
        <v>3407</v>
      </c>
      <c r="H236" s="11866"/>
      <c r="I236" s="11867" t="s">
        <v>4184</v>
      </c>
      <c r="K236" s="12954">
        <v>10959</v>
      </c>
      <c r="L236" s="8736"/>
      <c r="M236" s="8736"/>
      <c r="N236" s="8737" t="s">
        <v>10537</v>
      </c>
      <c r="O236" s="8737" t="s">
        <v>10524</v>
      </c>
      <c r="P236" s="8738"/>
      <c r="Q236" s="8739"/>
      <c r="R236" s="8740"/>
      <c r="S236" s="8741"/>
      <c r="T236" s="8742"/>
      <c r="U236" s="12955">
        <v>10959</v>
      </c>
      <c r="V236" s="8740">
        <v>2364</v>
      </c>
      <c r="W236" s="8742">
        <v>8595</v>
      </c>
      <c r="X236" s="8740">
        <v>6854</v>
      </c>
      <c r="Y236" s="8742">
        <v>4105</v>
      </c>
      <c r="Z236" s="8740"/>
      <c r="AA236" s="8741"/>
      <c r="AB236" s="8741"/>
      <c r="AC236" s="8741">
        <v>967</v>
      </c>
      <c r="AD236" s="8741">
        <v>3310</v>
      </c>
      <c r="AE236" s="8741">
        <v>5773</v>
      </c>
      <c r="AF236" s="8742">
        <v>909</v>
      </c>
      <c r="AG236" s="8740">
        <v>9650</v>
      </c>
      <c r="AH236" s="8741">
        <v>343</v>
      </c>
      <c r="AI236" s="8741">
        <v>966</v>
      </c>
      <c r="AJ236" s="8741"/>
      <c r="AK236" s="8741"/>
      <c r="AL236" s="8741"/>
      <c r="AM236" s="8741"/>
      <c r="AN236" s="8742"/>
      <c r="AO236" s="8740">
        <v>10420</v>
      </c>
      <c r="AP236" s="8741">
        <v>480</v>
      </c>
      <c r="AQ236" s="8741">
        <v>59</v>
      </c>
      <c r="AR236" s="8741"/>
      <c r="AS236" s="8741"/>
      <c r="AT236" s="8742"/>
      <c r="AU236" s="8743"/>
      <c r="AV236" s="8743"/>
      <c r="AW236" s="8743"/>
      <c r="AX236" s="8735"/>
      <c r="AY236" s="8738"/>
      <c r="AZ236" s="8743"/>
      <c r="BA236" s="8735"/>
      <c r="BB236" s="8737"/>
      <c r="BC236" s="8738"/>
      <c r="BD236" s="8744"/>
      <c r="BF236" s="8734"/>
      <c r="BG236" s="8734"/>
      <c r="BH236" s="8734"/>
      <c r="BI236" s="8734"/>
      <c r="BJ236" s="8734"/>
      <c r="BK236" s="8734"/>
      <c r="BL236" s="8734"/>
      <c r="BM236" s="8734"/>
      <c r="BN236" s="8734"/>
    </row>
    <row r="237" spans="1:66" ht="30" customHeight="1">
      <c r="A237" s="8745">
        <v>154</v>
      </c>
      <c r="B237" s="8746" t="s">
        <v>7729</v>
      </c>
      <c r="C237" s="13586"/>
      <c r="D237" s="11868" t="s">
        <v>86</v>
      </c>
      <c r="E237" s="11869"/>
      <c r="F237" s="11869"/>
      <c r="G237" s="13019" t="s">
        <v>3408</v>
      </c>
      <c r="H237" s="11871"/>
      <c r="I237" s="11872" t="s">
        <v>3409</v>
      </c>
      <c r="K237" s="13113">
        <v>1</v>
      </c>
      <c r="L237" s="8749"/>
      <c r="M237" s="8749"/>
      <c r="N237" s="8750"/>
      <c r="O237" s="8750"/>
      <c r="P237" s="8751" t="s">
        <v>10538</v>
      </c>
      <c r="Q237" s="8752"/>
      <c r="R237" s="8753"/>
      <c r="S237" s="8754"/>
      <c r="T237" s="8755"/>
      <c r="U237" s="12956"/>
      <c r="V237" s="8753"/>
      <c r="W237" s="8755"/>
      <c r="X237" s="8753"/>
      <c r="Y237" s="8755"/>
      <c r="Z237" s="8753"/>
      <c r="AA237" s="8754"/>
      <c r="AB237" s="8754"/>
      <c r="AC237" s="8754"/>
      <c r="AD237" s="8754"/>
      <c r="AE237" s="8754"/>
      <c r="AF237" s="8755"/>
      <c r="AG237" s="8753"/>
      <c r="AH237" s="8754"/>
      <c r="AI237" s="8754"/>
      <c r="AJ237" s="8754"/>
      <c r="AK237" s="8754"/>
      <c r="AL237" s="8754"/>
      <c r="AM237" s="8754"/>
      <c r="AN237" s="8755"/>
      <c r="AO237" s="8753"/>
      <c r="AP237" s="8754"/>
      <c r="AQ237" s="8754"/>
      <c r="AR237" s="8754"/>
      <c r="AS237" s="8754"/>
      <c r="AT237" s="8755"/>
      <c r="AU237" s="8756"/>
      <c r="AV237" s="8756"/>
      <c r="AW237" s="8756"/>
      <c r="AX237" s="8748"/>
      <c r="AY237" s="8751"/>
      <c r="AZ237" s="8756"/>
      <c r="BA237" s="8748"/>
      <c r="BB237" s="8750"/>
      <c r="BC237" s="8751"/>
      <c r="BD237" s="8757"/>
      <c r="BF237" s="8747"/>
      <c r="BG237" s="8747"/>
      <c r="BH237" s="8747"/>
      <c r="BI237" s="8747"/>
      <c r="BJ237" s="8747"/>
      <c r="BK237" s="13066"/>
      <c r="BL237" s="13066"/>
      <c r="BM237" s="8747"/>
      <c r="BN237" s="8747"/>
    </row>
    <row r="238" spans="1:66" ht="30" customHeight="1">
      <c r="A238" s="8745">
        <v>155</v>
      </c>
      <c r="B238" s="8746" t="s">
        <v>7730</v>
      </c>
      <c r="C238" s="13586"/>
      <c r="D238" s="11868" t="s">
        <v>86</v>
      </c>
      <c r="E238" s="11869"/>
      <c r="F238" s="11869"/>
      <c r="G238" s="13019" t="s">
        <v>3411</v>
      </c>
      <c r="H238" s="11871"/>
      <c r="I238" s="11872" t="s">
        <v>3409</v>
      </c>
      <c r="K238" s="13113">
        <v>1</v>
      </c>
      <c r="L238" s="8749"/>
      <c r="M238" s="8749"/>
      <c r="N238" s="8750"/>
      <c r="O238" s="8750"/>
      <c r="P238" s="8751"/>
      <c r="Q238" s="8752"/>
      <c r="R238" s="8753"/>
      <c r="S238" s="8754"/>
      <c r="T238" s="8755"/>
      <c r="U238" s="12956"/>
      <c r="V238" s="8753"/>
      <c r="W238" s="8755"/>
      <c r="X238" s="8753"/>
      <c r="Y238" s="8755"/>
      <c r="Z238" s="8753"/>
      <c r="AA238" s="8754"/>
      <c r="AB238" s="8754"/>
      <c r="AC238" s="8754"/>
      <c r="AD238" s="8754"/>
      <c r="AE238" s="8754"/>
      <c r="AF238" s="8755"/>
      <c r="AG238" s="8753"/>
      <c r="AH238" s="8754"/>
      <c r="AI238" s="8754"/>
      <c r="AJ238" s="8754"/>
      <c r="AK238" s="8754"/>
      <c r="AL238" s="8754"/>
      <c r="AM238" s="8754"/>
      <c r="AN238" s="8755"/>
      <c r="AO238" s="8753"/>
      <c r="AP238" s="8754"/>
      <c r="AQ238" s="8754"/>
      <c r="AR238" s="8754"/>
      <c r="AS238" s="8754"/>
      <c r="AT238" s="8755"/>
      <c r="AU238" s="8756"/>
      <c r="AV238" s="8756"/>
      <c r="AW238" s="8756"/>
      <c r="AX238" s="8748"/>
      <c r="AY238" s="8751"/>
      <c r="AZ238" s="8756"/>
      <c r="BA238" s="8748"/>
      <c r="BB238" s="8750"/>
      <c r="BC238" s="8751"/>
      <c r="BD238" s="8757"/>
      <c r="BF238" s="8747"/>
      <c r="BG238" s="8747"/>
      <c r="BH238" s="8747"/>
      <c r="BI238" s="8747"/>
      <c r="BJ238" s="8747"/>
      <c r="BK238" s="13066"/>
      <c r="BL238" s="13066"/>
      <c r="BM238" s="8747"/>
      <c r="BN238" s="8747"/>
    </row>
    <row r="239" spans="1:66" ht="30" customHeight="1">
      <c r="A239" s="8745">
        <v>156</v>
      </c>
      <c r="B239" s="8746" t="s">
        <v>7731</v>
      </c>
      <c r="C239" s="13586"/>
      <c r="D239" s="11868" t="s">
        <v>86</v>
      </c>
      <c r="E239" s="11869"/>
      <c r="F239" s="11869"/>
      <c r="G239" s="13019" t="s">
        <v>3392</v>
      </c>
      <c r="H239" s="11871"/>
      <c r="I239" s="11872" t="s">
        <v>3413</v>
      </c>
      <c r="K239" s="13113">
        <v>1</v>
      </c>
      <c r="L239" s="8749"/>
      <c r="M239" s="8749"/>
      <c r="N239" s="8750"/>
      <c r="O239" s="8750"/>
      <c r="P239" s="8751"/>
      <c r="Q239" s="8752"/>
      <c r="R239" s="8753"/>
      <c r="S239" s="8754"/>
      <c r="T239" s="8755"/>
      <c r="U239" s="12956"/>
      <c r="V239" s="8753"/>
      <c r="W239" s="8755"/>
      <c r="X239" s="8753"/>
      <c r="Y239" s="8755"/>
      <c r="Z239" s="8753"/>
      <c r="AA239" s="8754"/>
      <c r="AB239" s="8754"/>
      <c r="AC239" s="8754"/>
      <c r="AD239" s="8754"/>
      <c r="AE239" s="8754"/>
      <c r="AF239" s="8755"/>
      <c r="AG239" s="8753"/>
      <c r="AH239" s="8754"/>
      <c r="AI239" s="8754"/>
      <c r="AJ239" s="8754"/>
      <c r="AK239" s="8754"/>
      <c r="AL239" s="8754"/>
      <c r="AM239" s="8754"/>
      <c r="AN239" s="8755"/>
      <c r="AO239" s="8753"/>
      <c r="AP239" s="8754"/>
      <c r="AQ239" s="8754"/>
      <c r="AR239" s="8754"/>
      <c r="AS239" s="8754"/>
      <c r="AT239" s="8755"/>
      <c r="AU239" s="8756"/>
      <c r="AV239" s="8756"/>
      <c r="AW239" s="8756"/>
      <c r="AX239" s="8748"/>
      <c r="AY239" s="8751"/>
      <c r="AZ239" s="8756"/>
      <c r="BA239" s="8748"/>
      <c r="BB239" s="8750"/>
      <c r="BC239" s="8751"/>
      <c r="BD239" s="8757"/>
      <c r="BF239" s="8747"/>
      <c r="BG239" s="8747"/>
      <c r="BH239" s="8747"/>
      <c r="BI239" s="8747"/>
      <c r="BJ239" s="8747"/>
      <c r="BK239" s="13066"/>
      <c r="BL239" s="13066"/>
      <c r="BM239" s="8747"/>
      <c r="BN239" s="8747"/>
    </row>
    <row r="240" spans="1:66" ht="30" customHeight="1">
      <c r="A240" s="8745">
        <v>157</v>
      </c>
      <c r="B240" s="8746" t="s">
        <v>7732</v>
      </c>
      <c r="C240" s="13586"/>
      <c r="D240" s="11868" t="s">
        <v>86</v>
      </c>
      <c r="E240" s="11869"/>
      <c r="F240" s="11869"/>
      <c r="G240" s="13019" t="s">
        <v>3396</v>
      </c>
      <c r="H240" s="11871"/>
      <c r="I240" s="11872" t="s">
        <v>3413</v>
      </c>
      <c r="K240" s="13113">
        <v>1</v>
      </c>
      <c r="L240" s="8749"/>
      <c r="M240" s="8749"/>
      <c r="N240" s="8750"/>
      <c r="O240" s="8750"/>
      <c r="P240" s="8751"/>
      <c r="Q240" s="8752"/>
      <c r="R240" s="8753"/>
      <c r="S240" s="8754"/>
      <c r="T240" s="8755"/>
      <c r="U240" s="12956"/>
      <c r="V240" s="8753"/>
      <c r="W240" s="8755"/>
      <c r="X240" s="8753"/>
      <c r="Y240" s="8755"/>
      <c r="Z240" s="8753"/>
      <c r="AA240" s="8754"/>
      <c r="AB240" s="8754"/>
      <c r="AC240" s="8754"/>
      <c r="AD240" s="8754"/>
      <c r="AE240" s="8754"/>
      <c r="AF240" s="8755"/>
      <c r="AG240" s="8753"/>
      <c r="AH240" s="8754"/>
      <c r="AI240" s="8754"/>
      <c r="AJ240" s="8754"/>
      <c r="AK240" s="8754"/>
      <c r="AL240" s="8754"/>
      <c r="AM240" s="8754"/>
      <c r="AN240" s="8755"/>
      <c r="AO240" s="8753"/>
      <c r="AP240" s="8754"/>
      <c r="AQ240" s="8754"/>
      <c r="AR240" s="8754"/>
      <c r="AS240" s="8754"/>
      <c r="AT240" s="8755"/>
      <c r="AU240" s="8756"/>
      <c r="AV240" s="8756"/>
      <c r="AW240" s="8756"/>
      <c r="AX240" s="8748"/>
      <c r="AY240" s="8751"/>
      <c r="AZ240" s="8756"/>
      <c r="BA240" s="8748"/>
      <c r="BB240" s="8750"/>
      <c r="BC240" s="8751"/>
      <c r="BD240" s="8757"/>
      <c r="BF240" s="8747"/>
      <c r="BG240" s="8747"/>
      <c r="BH240" s="8747"/>
      <c r="BI240" s="8747"/>
      <c r="BJ240" s="8747"/>
      <c r="BK240" s="13066"/>
      <c r="BL240" s="13066"/>
      <c r="BM240" s="8747"/>
      <c r="BN240" s="8747"/>
    </row>
    <row r="241" spans="1:66" ht="30" customHeight="1">
      <c r="A241" s="8745">
        <v>158</v>
      </c>
      <c r="B241" s="8746" t="s">
        <v>7733</v>
      </c>
      <c r="C241" s="13586"/>
      <c r="D241" s="11868" t="s">
        <v>86</v>
      </c>
      <c r="E241" s="11869"/>
      <c r="F241" s="11869"/>
      <c r="G241" s="13019" t="s">
        <v>3416</v>
      </c>
      <c r="H241" s="11871"/>
      <c r="I241" s="11872" t="s">
        <v>3417</v>
      </c>
      <c r="K241" s="13113">
        <v>1</v>
      </c>
      <c r="L241" s="8749"/>
      <c r="M241" s="8749"/>
      <c r="N241" s="8750"/>
      <c r="O241" s="8750"/>
      <c r="P241" s="8751"/>
      <c r="Q241" s="8752"/>
      <c r="R241" s="8753"/>
      <c r="S241" s="8754"/>
      <c r="T241" s="8755"/>
      <c r="U241" s="12956"/>
      <c r="V241" s="8753"/>
      <c r="W241" s="8755"/>
      <c r="X241" s="8753"/>
      <c r="Y241" s="8755"/>
      <c r="Z241" s="8753"/>
      <c r="AA241" s="8754"/>
      <c r="AB241" s="8754"/>
      <c r="AC241" s="8754"/>
      <c r="AD241" s="8754"/>
      <c r="AE241" s="8754"/>
      <c r="AF241" s="8755"/>
      <c r="AG241" s="8753"/>
      <c r="AH241" s="8754"/>
      <c r="AI241" s="8754"/>
      <c r="AJ241" s="8754"/>
      <c r="AK241" s="8754"/>
      <c r="AL241" s="8754"/>
      <c r="AM241" s="8754"/>
      <c r="AN241" s="8755"/>
      <c r="AO241" s="8753"/>
      <c r="AP241" s="8754"/>
      <c r="AQ241" s="8754"/>
      <c r="AR241" s="8754"/>
      <c r="AS241" s="8754"/>
      <c r="AT241" s="8755"/>
      <c r="AU241" s="8756"/>
      <c r="AV241" s="8756"/>
      <c r="AW241" s="8756"/>
      <c r="AX241" s="8748"/>
      <c r="AY241" s="8751"/>
      <c r="AZ241" s="8756"/>
      <c r="BA241" s="8748"/>
      <c r="BB241" s="8750"/>
      <c r="BC241" s="8751"/>
      <c r="BD241" s="8757"/>
      <c r="BF241" s="8747"/>
      <c r="BG241" s="8747"/>
      <c r="BH241" s="8747"/>
      <c r="BI241" s="8747"/>
      <c r="BJ241" s="8747"/>
      <c r="BK241" s="13066"/>
      <c r="BL241" s="13066"/>
      <c r="BM241" s="8747"/>
      <c r="BN241" s="8747"/>
    </row>
    <row r="242" spans="1:66" ht="30" customHeight="1">
      <c r="A242" s="8745">
        <v>159</v>
      </c>
      <c r="B242" s="8746" t="s">
        <v>7734</v>
      </c>
      <c r="C242" s="13586"/>
      <c r="D242" s="11868" t="s">
        <v>86</v>
      </c>
      <c r="E242" s="11869"/>
      <c r="F242" s="11869"/>
      <c r="G242" s="13019" t="s">
        <v>3420</v>
      </c>
      <c r="H242" s="11871"/>
      <c r="I242" s="11872" t="s">
        <v>3421</v>
      </c>
      <c r="K242" s="13113">
        <v>1</v>
      </c>
      <c r="L242" s="8749"/>
      <c r="M242" s="8749"/>
      <c r="N242" s="8750"/>
      <c r="O242" s="8750"/>
      <c r="P242" s="8751"/>
      <c r="Q242" s="8752"/>
      <c r="R242" s="8753"/>
      <c r="S242" s="8754"/>
      <c r="T242" s="8755"/>
      <c r="U242" s="12956"/>
      <c r="V242" s="8753"/>
      <c r="W242" s="8755"/>
      <c r="X242" s="8753"/>
      <c r="Y242" s="8755"/>
      <c r="Z242" s="8753"/>
      <c r="AA242" s="8754"/>
      <c r="AB242" s="8754"/>
      <c r="AC242" s="8754"/>
      <c r="AD242" s="8754"/>
      <c r="AE242" s="8754"/>
      <c r="AF242" s="8755"/>
      <c r="AG242" s="8753"/>
      <c r="AH242" s="8754"/>
      <c r="AI242" s="8754"/>
      <c r="AJ242" s="8754"/>
      <c r="AK242" s="8754"/>
      <c r="AL242" s="8754"/>
      <c r="AM242" s="8754"/>
      <c r="AN242" s="8755"/>
      <c r="AO242" s="8753"/>
      <c r="AP242" s="8754"/>
      <c r="AQ242" s="8754"/>
      <c r="AR242" s="8754"/>
      <c r="AS242" s="8754"/>
      <c r="AT242" s="8755"/>
      <c r="AU242" s="8756"/>
      <c r="AV242" s="8756"/>
      <c r="AW242" s="8756"/>
      <c r="AX242" s="8748"/>
      <c r="AY242" s="8751"/>
      <c r="AZ242" s="8756"/>
      <c r="BA242" s="8748"/>
      <c r="BB242" s="8750"/>
      <c r="BC242" s="8751"/>
      <c r="BD242" s="8757"/>
      <c r="BF242" s="8747"/>
      <c r="BG242" s="8747"/>
      <c r="BH242" s="8747"/>
      <c r="BI242" s="8747"/>
      <c r="BJ242" s="8747"/>
      <c r="BK242" s="13066"/>
      <c r="BL242" s="13066"/>
      <c r="BM242" s="8747"/>
      <c r="BN242" s="8747"/>
    </row>
    <row r="243" spans="1:66" ht="30" customHeight="1">
      <c r="A243" s="8745">
        <v>160</v>
      </c>
      <c r="B243" s="8746" t="s">
        <v>7735</v>
      </c>
      <c r="C243" s="13586"/>
      <c r="D243" s="11868" t="s">
        <v>86</v>
      </c>
      <c r="E243" s="11869"/>
      <c r="F243" s="11869"/>
      <c r="G243" s="13019" t="s">
        <v>3425</v>
      </c>
      <c r="H243" s="11871"/>
      <c r="I243" s="11872" t="s">
        <v>3426</v>
      </c>
      <c r="K243" s="13113">
        <v>1</v>
      </c>
      <c r="L243" s="8749"/>
      <c r="M243" s="8749"/>
      <c r="N243" s="8750"/>
      <c r="O243" s="8750"/>
      <c r="P243" s="8751"/>
      <c r="Q243" s="8752"/>
      <c r="R243" s="8753"/>
      <c r="S243" s="8754"/>
      <c r="T243" s="8755"/>
      <c r="U243" s="12956"/>
      <c r="V243" s="8753"/>
      <c r="W243" s="8755"/>
      <c r="X243" s="8753"/>
      <c r="Y243" s="8755"/>
      <c r="Z243" s="8753"/>
      <c r="AA243" s="8754"/>
      <c r="AB243" s="8754"/>
      <c r="AC243" s="8754"/>
      <c r="AD243" s="8754"/>
      <c r="AE243" s="8754"/>
      <c r="AF243" s="8755"/>
      <c r="AG243" s="8753"/>
      <c r="AH243" s="8754"/>
      <c r="AI243" s="8754"/>
      <c r="AJ243" s="8754"/>
      <c r="AK243" s="8754"/>
      <c r="AL243" s="8754"/>
      <c r="AM243" s="8754"/>
      <c r="AN243" s="8755"/>
      <c r="AO243" s="8753"/>
      <c r="AP243" s="8754"/>
      <c r="AQ243" s="8754"/>
      <c r="AR243" s="8754"/>
      <c r="AS243" s="8754"/>
      <c r="AT243" s="8755"/>
      <c r="AU243" s="8756"/>
      <c r="AV243" s="8756"/>
      <c r="AW243" s="8756"/>
      <c r="AX243" s="8748"/>
      <c r="AY243" s="8751"/>
      <c r="AZ243" s="8756"/>
      <c r="BA243" s="8748"/>
      <c r="BB243" s="8750"/>
      <c r="BC243" s="8751"/>
      <c r="BD243" s="8757"/>
      <c r="BF243" s="8747"/>
      <c r="BG243" s="8747"/>
      <c r="BH243" s="8747"/>
      <c r="BI243" s="8747"/>
      <c r="BJ243" s="8747"/>
      <c r="BK243" s="13066"/>
      <c r="BL243" s="13066"/>
      <c r="BM243" s="8747"/>
      <c r="BN243" s="8747"/>
    </row>
    <row r="244" spans="1:66" ht="30" customHeight="1">
      <c r="A244" s="8745">
        <v>161</v>
      </c>
      <c r="B244" s="8746" t="s">
        <v>7736</v>
      </c>
      <c r="C244" s="13586"/>
      <c r="D244" s="11868" t="s">
        <v>86</v>
      </c>
      <c r="E244" s="11869"/>
      <c r="F244" s="11869"/>
      <c r="G244" s="13019" t="s">
        <v>4165</v>
      </c>
      <c r="H244" s="11871"/>
      <c r="I244" s="11872" t="s">
        <v>3409</v>
      </c>
      <c r="K244" s="12954">
        <v>10959</v>
      </c>
      <c r="L244" s="8736"/>
      <c r="M244" s="8736"/>
      <c r="N244" s="8737" t="s">
        <v>10537</v>
      </c>
      <c r="O244" s="8737" t="s">
        <v>10524</v>
      </c>
      <c r="P244" s="8738"/>
      <c r="Q244" s="8739"/>
      <c r="R244" s="8740"/>
      <c r="S244" s="8741"/>
      <c r="T244" s="8742"/>
      <c r="U244" s="12955">
        <v>10959</v>
      </c>
      <c r="V244" s="8740">
        <v>2364</v>
      </c>
      <c r="W244" s="8742">
        <v>8595</v>
      </c>
      <c r="X244" s="8740">
        <v>6854</v>
      </c>
      <c r="Y244" s="8742">
        <v>4105</v>
      </c>
      <c r="Z244" s="8740"/>
      <c r="AA244" s="8741"/>
      <c r="AB244" s="8741"/>
      <c r="AC244" s="8741">
        <v>967</v>
      </c>
      <c r="AD244" s="8741">
        <v>3310</v>
      </c>
      <c r="AE244" s="8741">
        <v>5773</v>
      </c>
      <c r="AF244" s="8742">
        <v>909</v>
      </c>
      <c r="AG244" s="8740">
        <v>9650</v>
      </c>
      <c r="AH244" s="8741">
        <v>343</v>
      </c>
      <c r="AI244" s="8741">
        <v>966</v>
      </c>
      <c r="AJ244" s="8741"/>
      <c r="AK244" s="8741"/>
      <c r="AL244" s="8741"/>
      <c r="AM244" s="8741"/>
      <c r="AN244" s="8742"/>
      <c r="AO244" s="8740">
        <v>10420</v>
      </c>
      <c r="AP244" s="8741">
        <v>480</v>
      </c>
      <c r="AQ244" s="8741">
        <v>59</v>
      </c>
      <c r="AR244" s="8741"/>
      <c r="AS244" s="8741"/>
      <c r="AT244" s="8742"/>
      <c r="AU244" s="8756"/>
      <c r="AV244" s="8756"/>
      <c r="AW244" s="8756"/>
      <c r="AX244" s="8748"/>
      <c r="AY244" s="8751"/>
      <c r="AZ244" s="8756"/>
      <c r="BA244" s="8748"/>
      <c r="BB244" s="8750"/>
      <c r="BC244" s="8751"/>
      <c r="BD244" s="8757"/>
      <c r="BF244" s="8747"/>
      <c r="BG244" s="8747"/>
      <c r="BH244" s="8747"/>
      <c r="BI244" s="8747"/>
      <c r="BJ244" s="8747"/>
      <c r="BK244" s="13066"/>
      <c r="BL244" s="13066"/>
      <c r="BM244" s="8747"/>
      <c r="BN244" s="8747"/>
    </row>
    <row r="245" spans="1:66" ht="30" customHeight="1">
      <c r="A245" s="8745">
        <v>162</v>
      </c>
      <c r="B245" s="8746" t="s">
        <v>7737</v>
      </c>
      <c r="C245" s="13586"/>
      <c r="D245" s="11868" t="s">
        <v>86</v>
      </c>
      <c r="E245" s="11869"/>
      <c r="F245" s="11869"/>
      <c r="G245" s="13019" t="s">
        <v>4166</v>
      </c>
      <c r="H245" s="11871"/>
      <c r="I245" s="11872" t="s">
        <v>3413</v>
      </c>
      <c r="K245" s="13113">
        <v>1</v>
      </c>
      <c r="L245" s="8749"/>
      <c r="M245" s="8749"/>
      <c r="N245" s="8750"/>
      <c r="O245" s="8750"/>
      <c r="P245" s="8751"/>
      <c r="Q245" s="8752"/>
      <c r="R245" s="8753"/>
      <c r="S245" s="8754"/>
      <c r="T245" s="8755"/>
      <c r="U245" s="12956"/>
      <c r="V245" s="8753"/>
      <c r="W245" s="8755"/>
      <c r="X245" s="8753"/>
      <c r="Y245" s="8755"/>
      <c r="Z245" s="8753"/>
      <c r="AA245" s="8754"/>
      <c r="AB245" s="8754"/>
      <c r="AC245" s="8754"/>
      <c r="AD245" s="8754"/>
      <c r="AE245" s="8754"/>
      <c r="AF245" s="8755"/>
      <c r="AG245" s="8753"/>
      <c r="AH245" s="8754"/>
      <c r="AI245" s="8754"/>
      <c r="AJ245" s="8754"/>
      <c r="AK245" s="8754"/>
      <c r="AL245" s="8754"/>
      <c r="AM245" s="8754"/>
      <c r="AN245" s="8755"/>
      <c r="AO245" s="8753"/>
      <c r="AP245" s="8754"/>
      <c r="AQ245" s="8754"/>
      <c r="AR245" s="8754"/>
      <c r="AS245" s="8754"/>
      <c r="AT245" s="8755"/>
      <c r="AU245" s="8756"/>
      <c r="AV245" s="8756"/>
      <c r="AW245" s="8756"/>
      <c r="AX245" s="8748"/>
      <c r="AY245" s="8751"/>
      <c r="AZ245" s="8756"/>
      <c r="BA245" s="8748"/>
      <c r="BB245" s="8750"/>
      <c r="BC245" s="8751"/>
      <c r="BD245" s="8757"/>
      <c r="BF245" s="8747"/>
      <c r="BG245" s="8747"/>
      <c r="BH245" s="8747"/>
      <c r="BI245" s="8747"/>
      <c r="BJ245" s="8747"/>
      <c r="BK245" s="13066"/>
      <c r="BL245" s="13066"/>
      <c r="BM245" s="8747"/>
      <c r="BN245" s="8747"/>
    </row>
    <row r="246" spans="1:66" ht="30" customHeight="1" thickBot="1">
      <c r="A246" s="8758">
        <v>163</v>
      </c>
      <c r="B246" s="8759" t="s">
        <v>7738</v>
      </c>
      <c r="C246" s="13586"/>
      <c r="D246" s="11873" t="s">
        <v>86</v>
      </c>
      <c r="E246" s="11874"/>
      <c r="F246" s="11874"/>
      <c r="G246" s="13022" t="s">
        <v>4167</v>
      </c>
      <c r="H246" s="11876"/>
      <c r="I246" s="11877" t="s">
        <v>4128</v>
      </c>
      <c r="K246" s="13113">
        <v>1</v>
      </c>
      <c r="L246" s="8762"/>
      <c r="M246" s="8762"/>
      <c r="N246" s="8763"/>
      <c r="O246" s="8763"/>
      <c r="P246" s="8764"/>
      <c r="Q246" s="8765"/>
      <c r="R246" s="8766"/>
      <c r="S246" s="8767"/>
      <c r="T246" s="8768"/>
      <c r="U246" s="12957"/>
      <c r="V246" s="8766"/>
      <c r="W246" s="8768"/>
      <c r="X246" s="8766"/>
      <c r="Y246" s="8768"/>
      <c r="Z246" s="8766"/>
      <c r="AA246" s="8767"/>
      <c r="AB246" s="8767"/>
      <c r="AC246" s="8767"/>
      <c r="AD246" s="8767"/>
      <c r="AE246" s="8767"/>
      <c r="AF246" s="8768"/>
      <c r="AG246" s="8766"/>
      <c r="AH246" s="8767"/>
      <c r="AI246" s="8767"/>
      <c r="AJ246" s="8767"/>
      <c r="AK246" s="8767"/>
      <c r="AL246" s="8767"/>
      <c r="AM246" s="8767"/>
      <c r="AN246" s="8768"/>
      <c r="AO246" s="8766"/>
      <c r="AP246" s="8767"/>
      <c r="AQ246" s="8767"/>
      <c r="AR246" s="8767"/>
      <c r="AS246" s="8767"/>
      <c r="AT246" s="8768"/>
      <c r="AU246" s="8769"/>
      <c r="AV246" s="8769"/>
      <c r="AW246" s="8769"/>
      <c r="AX246" s="8761"/>
      <c r="AY246" s="8764"/>
      <c r="AZ246" s="8769"/>
      <c r="BA246" s="8761"/>
      <c r="BB246" s="8763"/>
      <c r="BC246" s="8764"/>
      <c r="BD246" s="8770"/>
      <c r="BF246" s="8760"/>
      <c r="BG246" s="8760"/>
      <c r="BH246" s="8760"/>
      <c r="BI246" s="8760"/>
      <c r="BJ246" s="8760"/>
      <c r="BK246" s="13067"/>
      <c r="BL246" s="13067"/>
      <c r="BM246" s="8760"/>
      <c r="BN246" s="8760"/>
    </row>
    <row r="247" spans="1:66" ht="60" customHeight="1">
      <c r="A247" s="8771">
        <v>164</v>
      </c>
      <c r="B247" s="8772" t="s">
        <v>7739</v>
      </c>
      <c r="C247" s="13586"/>
      <c r="D247" s="11878" t="s">
        <v>86</v>
      </c>
      <c r="E247" s="11879"/>
      <c r="F247" s="11879"/>
      <c r="G247" s="13013" t="s">
        <v>3431</v>
      </c>
      <c r="H247" s="11880"/>
      <c r="I247" s="11881" t="s">
        <v>3432</v>
      </c>
      <c r="K247" s="13114">
        <v>1</v>
      </c>
      <c r="L247" s="8774"/>
      <c r="M247" s="8774"/>
      <c r="N247" s="8775"/>
      <c r="O247" s="8775"/>
      <c r="P247" s="8776"/>
      <c r="Q247" s="8777"/>
      <c r="R247" s="8778"/>
      <c r="S247" s="8779"/>
      <c r="T247" s="8780"/>
      <c r="U247" s="12958"/>
      <c r="V247" s="8778"/>
      <c r="W247" s="8780"/>
      <c r="X247" s="8778"/>
      <c r="Y247" s="8780"/>
      <c r="Z247" s="8778"/>
      <c r="AA247" s="8779"/>
      <c r="AB247" s="8779"/>
      <c r="AC247" s="8779"/>
      <c r="AD247" s="8779"/>
      <c r="AE247" s="8779"/>
      <c r="AF247" s="8780"/>
      <c r="AG247" s="8778"/>
      <c r="AH247" s="8779"/>
      <c r="AI247" s="8779"/>
      <c r="AJ247" s="8779"/>
      <c r="AK247" s="8779"/>
      <c r="AL247" s="8779"/>
      <c r="AM247" s="8779"/>
      <c r="AN247" s="8780"/>
      <c r="AO247" s="8778"/>
      <c r="AP247" s="8779"/>
      <c r="AQ247" s="8779"/>
      <c r="AR247" s="8779"/>
      <c r="AS247" s="8779"/>
      <c r="AT247" s="8780"/>
      <c r="AU247" s="8781"/>
      <c r="AV247" s="8781"/>
      <c r="AW247" s="8781"/>
      <c r="AX247" s="8773"/>
      <c r="AY247" s="8776"/>
      <c r="AZ247" s="8781"/>
      <c r="BA247" s="8773"/>
      <c r="BB247" s="8775"/>
      <c r="BC247" s="8776"/>
      <c r="BD247" s="8782"/>
      <c r="BF247" s="8420"/>
      <c r="BG247" s="8420"/>
      <c r="BH247" s="8420"/>
      <c r="BI247" s="8420"/>
      <c r="BJ247" s="8420"/>
      <c r="BK247" s="13051"/>
      <c r="BL247" s="13051"/>
      <c r="BM247" s="8420"/>
      <c r="BN247" s="8420"/>
    </row>
    <row r="248" spans="1:66" ht="30" customHeight="1">
      <c r="A248" s="7952">
        <v>165</v>
      </c>
      <c r="B248" s="8437" t="s">
        <v>7740</v>
      </c>
      <c r="C248" s="13586"/>
      <c r="D248" s="11882" t="s">
        <v>86</v>
      </c>
      <c r="E248" s="11883"/>
      <c r="F248" s="11883"/>
      <c r="G248" s="13004" t="s">
        <v>3435</v>
      </c>
      <c r="H248" s="11884"/>
      <c r="I248" s="11885" t="s">
        <v>3437</v>
      </c>
      <c r="K248" s="12959">
        <v>993</v>
      </c>
      <c r="L248" s="8784"/>
      <c r="M248" s="8784"/>
      <c r="N248" s="8785" t="s">
        <v>10539</v>
      </c>
      <c r="O248" s="8785" t="s">
        <v>3575</v>
      </c>
      <c r="P248" s="8786"/>
      <c r="Q248" s="8787"/>
      <c r="R248" s="8788"/>
      <c r="S248" s="8789"/>
      <c r="T248" s="8790"/>
      <c r="U248" s="12960">
        <v>993</v>
      </c>
      <c r="V248" s="8788">
        <v>855</v>
      </c>
      <c r="W248" s="8790">
        <v>138</v>
      </c>
      <c r="X248" s="8788"/>
      <c r="Y248" s="8790"/>
      <c r="Z248" s="8788">
        <v>9</v>
      </c>
      <c r="AA248" s="8789"/>
      <c r="AB248" s="8789">
        <v>13</v>
      </c>
      <c r="AC248" s="8789">
        <v>222</v>
      </c>
      <c r="AD248" s="8789">
        <v>368</v>
      </c>
      <c r="AE248" s="8789">
        <v>257</v>
      </c>
      <c r="AF248" s="8790">
        <v>124</v>
      </c>
      <c r="AG248" s="8788">
        <v>740</v>
      </c>
      <c r="AH248" s="8789">
        <v>8</v>
      </c>
      <c r="AI248" s="8789">
        <v>101</v>
      </c>
      <c r="AJ248" s="8789">
        <v>17</v>
      </c>
      <c r="AK248" s="8789">
        <v>125</v>
      </c>
      <c r="AL248" s="8789"/>
      <c r="AM248" s="8789"/>
      <c r="AN248" s="8790">
        <v>2</v>
      </c>
      <c r="AO248" s="8788">
        <v>917</v>
      </c>
      <c r="AP248" s="8789">
        <v>57</v>
      </c>
      <c r="AQ248" s="8789">
        <v>19</v>
      </c>
      <c r="AR248" s="8789"/>
      <c r="AS248" s="8789"/>
      <c r="AT248" s="8790"/>
      <c r="AU248" s="8791"/>
      <c r="AV248" s="8791"/>
      <c r="AW248" s="8791"/>
      <c r="AX248" s="8783"/>
      <c r="AY248" s="8786"/>
      <c r="AZ248" s="8791"/>
      <c r="BA248" s="8783"/>
      <c r="BB248" s="8785"/>
      <c r="BC248" s="8786"/>
      <c r="BD248" s="8792"/>
      <c r="BF248" s="7946"/>
      <c r="BG248" s="7946"/>
      <c r="BH248" s="7946"/>
      <c r="BI248" s="7946"/>
      <c r="BJ248" s="7946"/>
      <c r="BK248" s="13047"/>
      <c r="BL248" s="13047"/>
      <c r="BM248" s="7946"/>
      <c r="BN248" s="7946"/>
    </row>
    <row r="249" spans="1:66" ht="30" customHeight="1">
      <c r="A249" s="7952">
        <v>166</v>
      </c>
      <c r="B249" s="8437" t="s">
        <v>7741</v>
      </c>
      <c r="C249" s="13586"/>
      <c r="D249" s="11882" t="s">
        <v>86</v>
      </c>
      <c r="E249" s="11883"/>
      <c r="F249" s="11883"/>
      <c r="G249" s="13004" t="s">
        <v>3436</v>
      </c>
      <c r="H249" s="11884"/>
      <c r="I249" s="11885" t="s">
        <v>4129</v>
      </c>
      <c r="K249" s="13114">
        <v>1</v>
      </c>
      <c r="L249" s="8784"/>
      <c r="M249" s="8784"/>
      <c r="N249" s="8785"/>
      <c r="O249" s="8785"/>
      <c r="P249" s="8786"/>
      <c r="Q249" s="8787"/>
      <c r="R249" s="8788"/>
      <c r="S249" s="8789"/>
      <c r="T249" s="8790"/>
      <c r="U249" s="12960"/>
      <c r="V249" s="8788"/>
      <c r="W249" s="8790"/>
      <c r="X249" s="8788"/>
      <c r="Y249" s="8790"/>
      <c r="Z249" s="8788"/>
      <c r="AA249" s="8789"/>
      <c r="AB249" s="8789"/>
      <c r="AC249" s="8789"/>
      <c r="AD249" s="8789"/>
      <c r="AE249" s="8789"/>
      <c r="AF249" s="8790"/>
      <c r="AG249" s="8788"/>
      <c r="AH249" s="8789"/>
      <c r="AI249" s="8789"/>
      <c r="AJ249" s="8789"/>
      <c r="AK249" s="8789"/>
      <c r="AL249" s="8789"/>
      <c r="AM249" s="8789"/>
      <c r="AN249" s="8790"/>
      <c r="AO249" s="8788"/>
      <c r="AP249" s="8789"/>
      <c r="AQ249" s="8789"/>
      <c r="AR249" s="8789"/>
      <c r="AS249" s="8789"/>
      <c r="AT249" s="8790"/>
      <c r="AU249" s="8791"/>
      <c r="AV249" s="8791"/>
      <c r="AW249" s="8791"/>
      <c r="AX249" s="8783"/>
      <c r="AY249" s="8786"/>
      <c r="AZ249" s="8791"/>
      <c r="BA249" s="8783"/>
      <c r="BB249" s="8785"/>
      <c r="BC249" s="8786"/>
      <c r="BD249" s="8792"/>
      <c r="BF249" s="7946"/>
      <c r="BG249" s="7946"/>
      <c r="BH249" s="7946"/>
      <c r="BI249" s="7946"/>
      <c r="BJ249" s="7946"/>
      <c r="BK249" s="13047"/>
      <c r="BL249" s="13047"/>
      <c r="BM249" s="7946"/>
      <c r="BN249" s="7946"/>
    </row>
    <row r="250" spans="1:66" ht="30" customHeight="1">
      <c r="A250" s="7952">
        <v>167</v>
      </c>
      <c r="B250" s="8437" t="s">
        <v>7742</v>
      </c>
      <c r="C250" s="13586"/>
      <c r="D250" s="11882" t="s">
        <v>86</v>
      </c>
      <c r="E250" s="11883"/>
      <c r="F250" s="11883"/>
      <c r="G250" s="13004" t="s">
        <v>3440</v>
      </c>
      <c r="H250" s="11884"/>
      <c r="I250" s="11886" t="s">
        <v>4130</v>
      </c>
      <c r="K250" s="13114">
        <v>1</v>
      </c>
      <c r="L250" s="8794"/>
      <c r="M250" s="8794"/>
      <c r="N250" s="8795"/>
      <c r="O250" s="8795"/>
      <c r="P250" s="8796"/>
      <c r="Q250" s="8797"/>
      <c r="R250" s="8798"/>
      <c r="S250" s="8799"/>
      <c r="T250" s="8800"/>
      <c r="U250" s="12961"/>
      <c r="V250" s="8798"/>
      <c r="W250" s="8800"/>
      <c r="X250" s="8798"/>
      <c r="Y250" s="8800"/>
      <c r="Z250" s="8798"/>
      <c r="AA250" s="8799"/>
      <c r="AB250" s="8799"/>
      <c r="AC250" s="8799"/>
      <c r="AD250" s="8799"/>
      <c r="AE250" s="8799"/>
      <c r="AF250" s="8800"/>
      <c r="AG250" s="8798"/>
      <c r="AH250" s="8799"/>
      <c r="AI250" s="8799"/>
      <c r="AJ250" s="8799"/>
      <c r="AK250" s="8799"/>
      <c r="AL250" s="8799"/>
      <c r="AM250" s="8799"/>
      <c r="AN250" s="8800"/>
      <c r="AO250" s="8798"/>
      <c r="AP250" s="8799"/>
      <c r="AQ250" s="8799"/>
      <c r="AR250" s="8799"/>
      <c r="AS250" s="8799"/>
      <c r="AT250" s="8800"/>
      <c r="AU250" s="8801"/>
      <c r="AV250" s="8801"/>
      <c r="AW250" s="8801"/>
      <c r="AX250" s="8793"/>
      <c r="AY250" s="8796"/>
      <c r="AZ250" s="8801"/>
      <c r="BA250" s="8793"/>
      <c r="BB250" s="8795"/>
      <c r="BC250" s="8796"/>
      <c r="BD250" s="8802"/>
      <c r="BF250" s="7946"/>
      <c r="BG250" s="7946"/>
      <c r="BH250" s="7946"/>
      <c r="BI250" s="7946"/>
      <c r="BJ250" s="7946"/>
      <c r="BK250" s="13047"/>
      <c r="BL250" s="13047"/>
      <c r="BM250" s="7946"/>
      <c r="BN250" s="7946"/>
    </row>
    <row r="251" spans="1:66" ht="30" customHeight="1">
      <c r="A251" s="7952">
        <v>168</v>
      </c>
      <c r="B251" s="8437" t="s">
        <v>7743</v>
      </c>
      <c r="C251" s="13586"/>
      <c r="D251" s="11882" t="s">
        <v>86</v>
      </c>
      <c r="E251" s="11883"/>
      <c r="F251" s="11883"/>
      <c r="G251" s="13004" t="s">
        <v>3441</v>
      </c>
      <c r="H251" s="11884"/>
      <c r="I251" s="11885" t="s">
        <v>3387</v>
      </c>
      <c r="K251" s="12959" t="s">
        <v>10540</v>
      </c>
      <c r="L251" s="8784"/>
      <c r="M251" s="8784"/>
      <c r="N251" s="8785" t="s">
        <v>10541</v>
      </c>
      <c r="O251" s="8785" t="s">
        <v>10536</v>
      </c>
      <c r="P251" s="8785"/>
      <c r="Q251" s="8785"/>
      <c r="R251" s="8785"/>
      <c r="S251" s="8785"/>
      <c r="T251" s="8785"/>
      <c r="U251" s="12962">
        <v>688</v>
      </c>
      <c r="V251" s="8785">
        <v>330</v>
      </c>
      <c r="W251" s="8785">
        <v>358</v>
      </c>
      <c r="X251" s="8785">
        <v>622</v>
      </c>
      <c r="Y251" s="8785">
        <v>66</v>
      </c>
      <c r="Z251" s="8785"/>
      <c r="AA251" s="8785"/>
      <c r="AB251" s="8785"/>
      <c r="AC251" s="8785"/>
      <c r="AD251" s="8785"/>
      <c r="AE251" s="8785"/>
      <c r="AF251" s="8785"/>
      <c r="AG251" s="8785"/>
      <c r="AH251" s="8785"/>
      <c r="AI251" s="8785"/>
      <c r="AJ251" s="8789"/>
      <c r="AK251" s="8789"/>
      <c r="AL251" s="8789"/>
      <c r="AM251" s="8789"/>
      <c r="AN251" s="8790"/>
      <c r="AO251" s="8788"/>
      <c r="AP251" s="8789"/>
      <c r="AQ251" s="8789"/>
      <c r="AR251" s="8789"/>
      <c r="AS251" s="8789"/>
      <c r="AT251" s="8790"/>
      <c r="AU251" s="8791"/>
      <c r="AV251" s="8791"/>
      <c r="AW251" s="8791"/>
      <c r="AX251" s="8783"/>
      <c r="AY251" s="8786"/>
      <c r="AZ251" s="8791"/>
      <c r="BA251" s="8783"/>
      <c r="BB251" s="8785"/>
      <c r="BC251" s="8786"/>
      <c r="BD251" s="8792"/>
      <c r="BF251" s="7946"/>
      <c r="BG251" s="7946"/>
      <c r="BH251" s="7946"/>
      <c r="BI251" s="7946"/>
      <c r="BJ251" s="7946"/>
      <c r="BK251" s="13047"/>
      <c r="BL251" s="13047"/>
      <c r="BM251" s="7946"/>
      <c r="BN251" s="7946"/>
    </row>
    <row r="252" spans="1:66" ht="30" customHeight="1">
      <c r="A252" s="7952">
        <v>169</v>
      </c>
      <c r="B252" s="8437" t="s">
        <v>7744</v>
      </c>
      <c r="C252" s="13586"/>
      <c r="D252" s="11882" t="s">
        <v>86</v>
      </c>
      <c r="E252" s="11883"/>
      <c r="F252" s="11883"/>
      <c r="G252" s="13004" t="s">
        <v>3444</v>
      </c>
      <c r="H252" s="11884"/>
      <c r="I252" s="11885" t="s">
        <v>3303</v>
      </c>
      <c r="K252" s="13114">
        <v>1</v>
      </c>
      <c r="L252" s="8804"/>
      <c r="M252" s="8804"/>
      <c r="N252" s="8805"/>
      <c r="O252" s="8805"/>
      <c r="P252" s="8806"/>
      <c r="Q252" s="8807"/>
      <c r="R252" s="8808"/>
      <c r="S252" s="8809"/>
      <c r="T252" s="8810"/>
      <c r="U252" s="12960"/>
      <c r="V252" s="8808"/>
      <c r="W252" s="8810"/>
      <c r="X252" s="8808"/>
      <c r="Y252" s="8810"/>
      <c r="Z252" s="8808"/>
      <c r="AA252" s="8809"/>
      <c r="AB252" s="8809"/>
      <c r="AC252" s="8809"/>
      <c r="AD252" s="8809"/>
      <c r="AE252" s="8809"/>
      <c r="AF252" s="8810"/>
      <c r="AG252" s="8808"/>
      <c r="AH252" s="8809"/>
      <c r="AI252" s="8809"/>
      <c r="AJ252" s="8809"/>
      <c r="AK252" s="8809"/>
      <c r="AL252" s="8809"/>
      <c r="AM252" s="8809"/>
      <c r="AN252" s="8810"/>
      <c r="AO252" s="8808"/>
      <c r="AP252" s="8809"/>
      <c r="AQ252" s="8809"/>
      <c r="AR252" s="8809"/>
      <c r="AS252" s="8809"/>
      <c r="AT252" s="8810"/>
      <c r="AU252" s="8811"/>
      <c r="AV252" s="8811"/>
      <c r="AW252" s="8811"/>
      <c r="AX252" s="8803"/>
      <c r="AY252" s="8806"/>
      <c r="AZ252" s="8811"/>
      <c r="BA252" s="8803"/>
      <c r="BB252" s="8805"/>
      <c r="BC252" s="8806"/>
      <c r="BD252" s="8812"/>
      <c r="BF252" s="7946"/>
      <c r="BG252" s="7946"/>
      <c r="BH252" s="7946"/>
      <c r="BI252" s="7946"/>
      <c r="BJ252" s="7946"/>
      <c r="BK252" s="13047"/>
      <c r="BL252" s="13047"/>
      <c r="BM252" s="7946"/>
      <c r="BN252" s="7946"/>
    </row>
    <row r="253" spans="1:66" ht="30" customHeight="1">
      <c r="A253" s="7952">
        <v>170</v>
      </c>
      <c r="B253" s="8437" t="s">
        <v>7745</v>
      </c>
      <c r="C253" s="13586"/>
      <c r="D253" s="11882" t="s">
        <v>86</v>
      </c>
      <c r="E253" s="11883"/>
      <c r="F253" s="11883"/>
      <c r="G253" s="13004" t="s">
        <v>3446</v>
      </c>
      <c r="H253" s="11884"/>
      <c r="I253" s="11885" t="s">
        <v>3447</v>
      </c>
      <c r="K253" s="13114">
        <v>1</v>
      </c>
      <c r="L253" s="8784"/>
      <c r="M253" s="8784"/>
      <c r="N253" s="8785"/>
      <c r="O253" s="8785"/>
      <c r="P253" s="8786"/>
      <c r="Q253" s="8787"/>
      <c r="R253" s="8788"/>
      <c r="S253" s="8789"/>
      <c r="T253" s="8790"/>
      <c r="U253" s="12960"/>
      <c r="V253" s="8788"/>
      <c r="W253" s="8790"/>
      <c r="X253" s="8788"/>
      <c r="Y253" s="8790"/>
      <c r="Z253" s="8788"/>
      <c r="AA253" s="8789"/>
      <c r="AB253" s="8789"/>
      <c r="AC253" s="8789"/>
      <c r="AD253" s="8789"/>
      <c r="AE253" s="8789"/>
      <c r="AF253" s="8790"/>
      <c r="AG253" s="8788"/>
      <c r="AH253" s="8789"/>
      <c r="AI253" s="8789"/>
      <c r="AJ253" s="8789"/>
      <c r="AK253" s="8789"/>
      <c r="AL253" s="8789"/>
      <c r="AM253" s="8789"/>
      <c r="AN253" s="8790"/>
      <c r="AO253" s="8788"/>
      <c r="AP253" s="8789"/>
      <c r="AQ253" s="8789"/>
      <c r="AR253" s="8789"/>
      <c r="AS253" s="8789"/>
      <c r="AT253" s="8790"/>
      <c r="AU253" s="8791"/>
      <c r="AV253" s="8791"/>
      <c r="AW253" s="8791"/>
      <c r="AX253" s="8783"/>
      <c r="AY253" s="8786"/>
      <c r="AZ253" s="8791"/>
      <c r="BA253" s="8783"/>
      <c r="BB253" s="8785"/>
      <c r="BC253" s="8786"/>
      <c r="BD253" s="8792"/>
      <c r="BF253" s="7946"/>
      <c r="BG253" s="7946"/>
      <c r="BH253" s="7946"/>
      <c r="BI253" s="7946"/>
      <c r="BJ253" s="7946"/>
      <c r="BK253" s="13047"/>
      <c r="BL253" s="13047"/>
      <c r="BM253" s="7946"/>
      <c r="BN253" s="7946"/>
    </row>
    <row r="254" spans="1:66" ht="30" customHeight="1">
      <c r="A254" s="7952">
        <v>171</v>
      </c>
      <c r="B254" s="8437" t="s">
        <v>7746</v>
      </c>
      <c r="C254" s="13586"/>
      <c r="D254" s="11882" t="s">
        <v>86</v>
      </c>
      <c r="E254" s="11883"/>
      <c r="F254" s="11883"/>
      <c r="G254" s="13004" t="s">
        <v>3450</v>
      </c>
      <c r="H254" s="11884"/>
      <c r="I254" s="11885" t="s">
        <v>3451</v>
      </c>
      <c r="K254" s="13114" t="s">
        <v>2951</v>
      </c>
      <c r="L254" s="8784"/>
      <c r="M254" s="8784"/>
      <c r="N254" s="8785"/>
      <c r="O254" s="8785"/>
      <c r="P254" s="8786"/>
      <c r="Q254" s="8787"/>
      <c r="R254" s="8788"/>
      <c r="S254" s="8789"/>
      <c r="T254" s="8790"/>
      <c r="U254" s="12960"/>
      <c r="V254" s="8788"/>
      <c r="W254" s="8790"/>
      <c r="X254" s="8788"/>
      <c r="Y254" s="8790"/>
      <c r="Z254" s="8788"/>
      <c r="AA254" s="8789"/>
      <c r="AB254" s="8789"/>
      <c r="AC254" s="8789"/>
      <c r="AD254" s="8789"/>
      <c r="AE254" s="8789"/>
      <c r="AF254" s="8790"/>
      <c r="AG254" s="8788"/>
      <c r="AH254" s="8789"/>
      <c r="AI254" s="8789"/>
      <c r="AJ254" s="8789"/>
      <c r="AK254" s="8789"/>
      <c r="AL254" s="8789"/>
      <c r="AM254" s="8789"/>
      <c r="AN254" s="8790"/>
      <c r="AO254" s="8788"/>
      <c r="AP254" s="8789"/>
      <c r="AQ254" s="8789"/>
      <c r="AR254" s="8789"/>
      <c r="AS254" s="8789"/>
      <c r="AT254" s="8790"/>
      <c r="AU254" s="8791"/>
      <c r="AV254" s="8791"/>
      <c r="AW254" s="8791"/>
      <c r="AX254" s="8783"/>
      <c r="AY254" s="8786"/>
      <c r="AZ254" s="8791"/>
      <c r="BA254" s="8783"/>
      <c r="BB254" s="8785"/>
      <c r="BC254" s="8786"/>
      <c r="BD254" s="8792"/>
      <c r="BF254" s="7946"/>
      <c r="BG254" s="7946"/>
      <c r="BH254" s="7946"/>
      <c r="BI254" s="7946"/>
      <c r="BJ254" s="7946"/>
      <c r="BK254" s="13047"/>
      <c r="BL254" s="13047"/>
      <c r="BM254" s="7946"/>
      <c r="BN254" s="7946"/>
    </row>
    <row r="255" spans="1:66" ht="30" customHeight="1">
      <c r="A255" s="7952">
        <v>172</v>
      </c>
      <c r="B255" s="8437" t="s">
        <v>7747</v>
      </c>
      <c r="C255" s="13586"/>
      <c r="D255" s="11882" t="s">
        <v>86</v>
      </c>
      <c r="E255" s="11883"/>
      <c r="F255" s="11883"/>
      <c r="G255" s="13004" t="s">
        <v>3453</v>
      </c>
      <c r="H255" s="11884"/>
      <c r="I255" s="11885" t="s">
        <v>3454</v>
      </c>
      <c r="K255" s="13114">
        <v>1</v>
      </c>
      <c r="L255" s="8784"/>
      <c r="M255" s="8784"/>
      <c r="N255" s="8785"/>
      <c r="O255" s="8785"/>
      <c r="P255" s="8786"/>
      <c r="Q255" s="8787"/>
      <c r="R255" s="8788"/>
      <c r="S255" s="8789"/>
      <c r="T255" s="8790"/>
      <c r="U255" s="12960"/>
      <c r="V255" s="8788"/>
      <c r="W255" s="8790"/>
      <c r="X255" s="8788"/>
      <c r="Y255" s="8790"/>
      <c r="Z255" s="8788"/>
      <c r="AA255" s="8789"/>
      <c r="AB255" s="8789"/>
      <c r="AC255" s="8789"/>
      <c r="AD255" s="8789"/>
      <c r="AE255" s="8789"/>
      <c r="AF255" s="8790"/>
      <c r="AG255" s="8788"/>
      <c r="AH255" s="8789"/>
      <c r="AI255" s="8789"/>
      <c r="AJ255" s="8789"/>
      <c r="AK255" s="8789"/>
      <c r="AL255" s="8789"/>
      <c r="AM255" s="8789"/>
      <c r="AN255" s="8790"/>
      <c r="AO255" s="8788"/>
      <c r="AP255" s="8789"/>
      <c r="AQ255" s="8789"/>
      <c r="AR255" s="8789"/>
      <c r="AS255" s="8789"/>
      <c r="AT255" s="8790"/>
      <c r="AU255" s="8791"/>
      <c r="AV255" s="8791"/>
      <c r="AW255" s="8791"/>
      <c r="AX255" s="8783"/>
      <c r="AY255" s="8786"/>
      <c r="AZ255" s="8791"/>
      <c r="BA255" s="8783"/>
      <c r="BB255" s="8785"/>
      <c r="BC255" s="8786"/>
      <c r="BD255" s="8792"/>
      <c r="BF255" s="7946"/>
      <c r="BG255" s="7946"/>
      <c r="BH255" s="7946"/>
      <c r="BI255" s="7946"/>
      <c r="BJ255" s="7946"/>
      <c r="BK255" s="13047"/>
      <c r="BL255" s="13047"/>
      <c r="BM255" s="7946"/>
      <c r="BN255" s="7946"/>
    </row>
    <row r="256" spans="1:66" ht="30" customHeight="1">
      <c r="A256" s="7952">
        <v>173</v>
      </c>
      <c r="B256" s="8437" t="s">
        <v>7748</v>
      </c>
      <c r="C256" s="13586"/>
      <c r="D256" s="11882" t="s">
        <v>86</v>
      </c>
      <c r="E256" s="11883"/>
      <c r="F256" s="11883"/>
      <c r="G256" s="13004" t="s">
        <v>3456</v>
      </c>
      <c r="H256" s="11884"/>
      <c r="I256" s="11885" t="s">
        <v>4185</v>
      </c>
      <c r="K256" s="13114">
        <v>1</v>
      </c>
      <c r="L256" s="8784"/>
      <c r="M256" s="8784"/>
      <c r="N256" s="8785"/>
      <c r="O256" s="8785"/>
      <c r="P256" s="8786"/>
      <c r="Q256" s="8787"/>
      <c r="R256" s="8788"/>
      <c r="S256" s="8789"/>
      <c r="T256" s="8790"/>
      <c r="U256" s="12960"/>
      <c r="V256" s="8788"/>
      <c r="W256" s="8790"/>
      <c r="X256" s="8788"/>
      <c r="Y256" s="8790"/>
      <c r="Z256" s="8788"/>
      <c r="AA256" s="8789"/>
      <c r="AB256" s="8789"/>
      <c r="AC256" s="8789"/>
      <c r="AD256" s="8789"/>
      <c r="AE256" s="8789"/>
      <c r="AF256" s="8790"/>
      <c r="AG256" s="8788"/>
      <c r="AH256" s="8789"/>
      <c r="AI256" s="8789"/>
      <c r="AJ256" s="8789"/>
      <c r="AK256" s="8789"/>
      <c r="AL256" s="8789"/>
      <c r="AM256" s="8789"/>
      <c r="AN256" s="8790"/>
      <c r="AO256" s="8788"/>
      <c r="AP256" s="8789"/>
      <c r="AQ256" s="8789"/>
      <c r="AR256" s="8789"/>
      <c r="AS256" s="8789"/>
      <c r="AT256" s="8790"/>
      <c r="AU256" s="8791"/>
      <c r="AV256" s="8791"/>
      <c r="AW256" s="8791"/>
      <c r="AX256" s="8783"/>
      <c r="AY256" s="8786"/>
      <c r="AZ256" s="8791"/>
      <c r="BA256" s="8783"/>
      <c r="BB256" s="8785"/>
      <c r="BC256" s="8786"/>
      <c r="BD256" s="8792"/>
      <c r="BF256" s="7946"/>
      <c r="BG256" s="7946"/>
      <c r="BH256" s="7946"/>
      <c r="BI256" s="7946"/>
      <c r="BJ256" s="7946"/>
      <c r="BK256" s="13047"/>
      <c r="BL256" s="13047"/>
      <c r="BM256" s="7946"/>
      <c r="BN256" s="7946"/>
    </row>
    <row r="257" spans="1:66" ht="30" customHeight="1">
      <c r="A257" s="7952">
        <v>174</v>
      </c>
      <c r="B257" s="8437" t="s">
        <v>7749</v>
      </c>
      <c r="C257" s="13586"/>
      <c r="D257" s="11882" t="s">
        <v>86</v>
      </c>
      <c r="E257" s="11883"/>
      <c r="F257" s="11883"/>
      <c r="G257" s="13004" t="s">
        <v>3460</v>
      </c>
      <c r="H257" s="11884"/>
      <c r="I257" s="11885" t="s">
        <v>4186</v>
      </c>
      <c r="K257" s="13114">
        <v>1</v>
      </c>
      <c r="L257" s="8784"/>
      <c r="M257" s="8784"/>
      <c r="N257" s="8785"/>
      <c r="O257" s="8785"/>
      <c r="P257" s="8786"/>
      <c r="Q257" s="8787"/>
      <c r="R257" s="8788"/>
      <c r="S257" s="8789"/>
      <c r="T257" s="8790"/>
      <c r="U257" s="12960"/>
      <c r="V257" s="8788"/>
      <c r="W257" s="8790"/>
      <c r="X257" s="8788"/>
      <c r="Y257" s="8790"/>
      <c r="Z257" s="8788"/>
      <c r="AA257" s="8789"/>
      <c r="AB257" s="8789"/>
      <c r="AC257" s="8789"/>
      <c r="AD257" s="8789"/>
      <c r="AE257" s="8789"/>
      <c r="AF257" s="8790"/>
      <c r="AG257" s="8788"/>
      <c r="AH257" s="8789"/>
      <c r="AI257" s="8789"/>
      <c r="AJ257" s="8789"/>
      <c r="AK257" s="8789"/>
      <c r="AL257" s="8789"/>
      <c r="AM257" s="8789"/>
      <c r="AN257" s="8790"/>
      <c r="AO257" s="8788"/>
      <c r="AP257" s="8789"/>
      <c r="AQ257" s="8789"/>
      <c r="AR257" s="8789"/>
      <c r="AS257" s="8789"/>
      <c r="AT257" s="8790"/>
      <c r="AU257" s="8791"/>
      <c r="AV257" s="8791"/>
      <c r="AW257" s="8791"/>
      <c r="AX257" s="8783"/>
      <c r="AY257" s="8786"/>
      <c r="AZ257" s="8791"/>
      <c r="BA257" s="8783"/>
      <c r="BB257" s="8785"/>
      <c r="BC257" s="8786"/>
      <c r="BD257" s="8792"/>
      <c r="BF257" s="7946"/>
      <c r="BG257" s="7946"/>
      <c r="BH257" s="7946"/>
      <c r="BI257" s="7946"/>
      <c r="BJ257" s="7946"/>
      <c r="BK257" s="13047"/>
      <c r="BL257" s="13047"/>
      <c r="BM257" s="7946"/>
      <c r="BN257" s="7946"/>
    </row>
    <row r="258" spans="1:66" ht="30" customHeight="1">
      <c r="A258" s="7952">
        <v>175</v>
      </c>
      <c r="B258" s="8437" t="s">
        <v>7750</v>
      </c>
      <c r="C258" s="13586"/>
      <c r="D258" s="11882" t="s">
        <v>86</v>
      </c>
      <c r="E258" s="11883"/>
      <c r="F258" s="11883"/>
      <c r="G258" s="13004" t="s">
        <v>3461</v>
      </c>
      <c r="H258" s="11884"/>
      <c r="I258" s="11885" t="s">
        <v>3462</v>
      </c>
      <c r="K258" s="13114">
        <v>1</v>
      </c>
      <c r="L258" s="8784"/>
      <c r="M258" s="8784"/>
      <c r="N258" s="8785"/>
      <c r="O258" s="8785"/>
      <c r="P258" s="8786"/>
      <c r="Q258" s="8787"/>
      <c r="R258" s="8788"/>
      <c r="S258" s="8789"/>
      <c r="T258" s="8790"/>
      <c r="U258" s="12960"/>
      <c r="V258" s="8788"/>
      <c r="W258" s="8790"/>
      <c r="X258" s="8788"/>
      <c r="Y258" s="8790"/>
      <c r="Z258" s="8788"/>
      <c r="AA258" s="8789"/>
      <c r="AB258" s="8789"/>
      <c r="AC258" s="8789"/>
      <c r="AD258" s="8789"/>
      <c r="AE258" s="8789"/>
      <c r="AF258" s="8790"/>
      <c r="AG258" s="8788"/>
      <c r="AH258" s="8789"/>
      <c r="AI258" s="8789"/>
      <c r="AJ258" s="8789"/>
      <c r="AK258" s="8789"/>
      <c r="AL258" s="8789"/>
      <c r="AM258" s="8789"/>
      <c r="AN258" s="8790"/>
      <c r="AO258" s="8788"/>
      <c r="AP258" s="8789"/>
      <c r="AQ258" s="8789"/>
      <c r="AR258" s="8789"/>
      <c r="AS258" s="8789"/>
      <c r="AT258" s="8790"/>
      <c r="AU258" s="8791"/>
      <c r="AV258" s="8791"/>
      <c r="AW258" s="8791"/>
      <c r="AX258" s="8783"/>
      <c r="AY258" s="8786"/>
      <c r="AZ258" s="8791"/>
      <c r="BA258" s="8783"/>
      <c r="BB258" s="8785"/>
      <c r="BC258" s="8786"/>
      <c r="BD258" s="8792"/>
      <c r="BF258" s="7946"/>
      <c r="BG258" s="7946"/>
      <c r="BH258" s="7946"/>
      <c r="BI258" s="7946"/>
      <c r="BJ258" s="7946"/>
      <c r="BK258" s="13047"/>
      <c r="BL258" s="13047"/>
      <c r="BM258" s="7946"/>
      <c r="BN258" s="7946"/>
    </row>
    <row r="259" spans="1:66" ht="30" customHeight="1">
      <c r="A259" s="7952">
        <v>176</v>
      </c>
      <c r="B259" s="8437" t="s">
        <v>7751</v>
      </c>
      <c r="C259" s="13586"/>
      <c r="D259" s="11882" t="s">
        <v>86</v>
      </c>
      <c r="E259" s="11883"/>
      <c r="F259" s="11883"/>
      <c r="G259" s="13004" t="s">
        <v>3464</v>
      </c>
      <c r="H259" s="11884"/>
      <c r="I259" s="11885" t="s">
        <v>3437</v>
      </c>
      <c r="K259" s="12959">
        <v>993</v>
      </c>
      <c r="L259" s="8784"/>
      <c r="M259" s="8784"/>
      <c r="N259" s="8785" t="s">
        <v>10539</v>
      </c>
      <c r="O259" s="8785" t="s">
        <v>3575</v>
      </c>
      <c r="P259" s="8786"/>
      <c r="Q259" s="8787"/>
      <c r="R259" s="8788"/>
      <c r="S259" s="8789"/>
      <c r="T259" s="8790"/>
      <c r="U259" s="12960">
        <v>993</v>
      </c>
      <c r="V259" s="8788">
        <v>855</v>
      </c>
      <c r="W259" s="8790">
        <v>138</v>
      </c>
      <c r="X259" s="8788"/>
      <c r="Y259" s="8790"/>
      <c r="Z259" s="8788">
        <v>9</v>
      </c>
      <c r="AA259" s="8789"/>
      <c r="AB259" s="8789">
        <v>13</v>
      </c>
      <c r="AC259" s="8789">
        <v>222</v>
      </c>
      <c r="AD259" s="8789">
        <v>368</v>
      </c>
      <c r="AE259" s="8789">
        <v>257</v>
      </c>
      <c r="AF259" s="8790">
        <v>124</v>
      </c>
      <c r="AG259" s="8788">
        <v>740</v>
      </c>
      <c r="AH259" s="8789">
        <v>8</v>
      </c>
      <c r="AI259" s="8789">
        <v>101</v>
      </c>
      <c r="AJ259" s="8789">
        <v>17</v>
      </c>
      <c r="AK259" s="8789">
        <v>125</v>
      </c>
      <c r="AL259" s="8789"/>
      <c r="AM259" s="8789"/>
      <c r="AN259" s="8790">
        <v>2</v>
      </c>
      <c r="AO259" s="8788">
        <v>917</v>
      </c>
      <c r="AP259" s="8789">
        <v>57</v>
      </c>
      <c r="AQ259" s="8789">
        <v>19</v>
      </c>
      <c r="AR259" s="8789"/>
      <c r="AS259" s="8789"/>
      <c r="AT259" s="8790"/>
      <c r="AU259" s="8791"/>
      <c r="AV259" s="8791"/>
      <c r="AW259" s="8791"/>
      <c r="AX259" s="8783"/>
      <c r="AY259" s="8786"/>
      <c r="AZ259" s="8791"/>
      <c r="BA259" s="8783"/>
      <c r="BB259" s="8785"/>
      <c r="BC259" s="8786"/>
      <c r="BD259" s="8792"/>
      <c r="BF259" s="7946"/>
      <c r="BG259" s="7946"/>
      <c r="BH259" s="7946"/>
      <c r="BI259" s="7946"/>
      <c r="BJ259" s="7946"/>
      <c r="BK259" s="13047"/>
      <c r="BL259" s="13047"/>
      <c r="BM259" s="7946"/>
      <c r="BN259" s="7946"/>
    </row>
    <row r="260" spans="1:66" ht="30" customHeight="1">
      <c r="A260" s="7952">
        <v>177</v>
      </c>
      <c r="B260" s="8437" t="s">
        <v>7752</v>
      </c>
      <c r="C260" s="13586"/>
      <c r="D260" s="11882" t="s">
        <v>86</v>
      </c>
      <c r="E260" s="11883"/>
      <c r="F260" s="11883"/>
      <c r="G260" s="13004" t="s">
        <v>3465</v>
      </c>
      <c r="H260" s="11884"/>
      <c r="I260" s="11885" t="s">
        <v>3354</v>
      </c>
      <c r="K260" s="12959">
        <v>4</v>
      </c>
      <c r="L260" s="8804"/>
      <c r="M260" s="8804"/>
      <c r="N260" s="8805" t="s">
        <v>10542</v>
      </c>
      <c r="O260" s="8805"/>
      <c r="P260" s="8806"/>
      <c r="Q260" s="8807"/>
      <c r="R260" s="8808"/>
      <c r="S260" s="8809"/>
      <c r="T260" s="8810"/>
      <c r="U260" s="12960">
        <v>27</v>
      </c>
      <c r="V260" s="8808">
        <v>15</v>
      </c>
      <c r="W260" s="8810">
        <v>12</v>
      </c>
      <c r="X260" s="8808">
        <v>27</v>
      </c>
      <c r="Y260" s="8810"/>
      <c r="Z260" s="8808"/>
      <c r="AA260" s="8809"/>
      <c r="AB260" s="8809">
        <v>27</v>
      </c>
      <c r="AC260" s="8809"/>
      <c r="AD260" s="8809"/>
      <c r="AE260" s="8809"/>
      <c r="AF260" s="8810"/>
      <c r="AG260" s="8808"/>
      <c r="AH260" s="8809"/>
      <c r="AI260" s="8809"/>
      <c r="AJ260" s="8809"/>
      <c r="AK260" s="8809"/>
      <c r="AL260" s="8809"/>
      <c r="AM260" s="8809"/>
      <c r="AN260" s="8810"/>
      <c r="AO260" s="8808"/>
      <c r="AP260" s="8809"/>
      <c r="AQ260" s="8809"/>
      <c r="AR260" s="8809"/>
      <c r="AS260" s="8809"/>
      <c r="AT260" s="8810"/>
      <c r="AU260" s="8811"/>
      <c r="AV260" s="8811"/>
      <c r="AW260" s="8811"/>
      <c r="AX260" s="8803"/>
      <c r="AY260" s="8806"/>
      <c r="AZ260" s="8811"/>
      <c r="BA260" s="8803"/>
      <c r="BB260" s="8805"/>
      <c r="BC260" s="8806"/>
      <c r="BD260" s="8812"/>
      <c r="BF260" s="7946"/>
      <c r="BG260" s="7946"/>
      <c r="BH260" s="7946"/>
      <c r="BI260" s="7946"/>
      <c r="BJ260" s="7946"/>
      <c r="BK260" s="13047"/>
      <c r="BL260" s="13047"/>
      <c r="BM260" s="7946"/>
      <c r="BN260" s="7946"/>
    </row>
    <row r="261" spans="1:66" ht="30" customHeight="1">
      <c r="A261" s="7952">
        <v>178</v>
      </c>
      <c r="B261" s="8437" t="s">
        <v>7753</v>
      </c>
      <c r="C261" s="13586"/>
      <c r="D261" s="11882" t="s">
        <v>86</v>
      </c>
      <c r="E261" s="11883"/>
      <c r="F261" s="11883"/>
      <c r="G261" s="13004" t="s">
        <v>3466</v>
      </c>
      <c r="H261" s="11884"/>
      <c r="I261" s="11885" t="s">
        <v>3467</v>
      </c>
      <c r="K261" s="13114">
        <v>1</v>
      </c>
      <c r="L261" s="8784"/>
      <c r="M261" s="8784"/>
      <c r="N261" s="8785"/>
      <c r="O261" s="8785"/>
      <c r="P261" s="8786"/>
      <c r="Q261" s="8787"/>
      <c r="R261" s="8788"/>
      <c r="S261" s="8789"/>
      <c r="T261" s="8790"/>
      <c r="U261" s="12960"/>
      <c r="V261" s="8788"/>
      <c r="W261" s="8790"/>
      <c r="X261" s="8788"/>
      <c r="Y261" s="8790"/>
      <c r="Z261" s="8788"/>
      <c r="AA261" s="8789"/>
      <c r="AB261" s="8789"/>
      <c r="AC261" s="8789"/>
      <c r="AD261" s="8789"/>
      <c r="AE261" s="8789"/>
      <c r="AF261" s="8790"/>
      <c r="AG261" s="8788"/>
      <c r="AH261" s="8789"/>
      <c r="AI261" s="8789"/>
      <c r="AJ261" s="8789"/>
      <c r="AK261" s="8789"/>
      <c r="AL261" s="8789"/>
      <c r="AM261" s="8789"/>
      <c r="AN261" s="8790"/>
      <c r="AO261" s="8788"/>
      <c r="AP261" s="8789"/>
      <c r="AQ261" s="8789"/>
      <c r="AR261" s="8789"/>
      <c r="AS261" s="8789"/>
      <c r="AT261" s="8790"/>
      <c r="AU261" s="8791"/>
      <c r="AV261" s="8791"/>
      <c r="AW261" s="8791"/>
      <c r="AX261" s="8783"/>
      <c r="AY261" s="8786"/>
      <c r="AZ261" s="8791"/>
      <c r="BA261" s="8783"/>
      <c r="BB261" s="8785"/>
      <c r="BC261" s="8786"/>
      <c r="BD261" s="8792"/>
      <c r="BF261" s="7946"/>
      <c r="BG261" s="7946"/>
      <c r="BH261" s="7946"/>
      <c r="BI261" s="7946"/>
      <c r="BJ261" s="7946"/>
      <c r="BK261" s="13047"/>
      <c r="BL261" s="13047"/>
      <c r="BM261" s="7946"/>
      <c r="BN261" s="7946"/>
    </row>
    <row r="262" spans="1:66" ht="30" customHeight="1">
      <c r="A262" s="7952">
        <v>179</v>
      </c>
      <c r="B262" s="8437" t="s">
        <v>7754</v>
      </c>
      <c r="C262" s="13586"/>
      <c r="D262" s="11882" t="s">
        <v>86</v>
      </c>
      <c r="E262" s="11883"/>
      <c r="F262" s="11883"/>
      <c r="G262" s="13004" t="s">
        <v>3470</v>
      </c>
      <c r="H262" s="11884"/>
      <c r="I262" s="11885" t="s">
        <v>3471</v>
      </c>
      <c r="K262" s="13114">
        <v>1</v>
      </c>
      <c r="L262" s="8784"/>
      <c r="M262" s="8784"/>
      <c r="N262" s="8785"/>
      <c r="O262" s="8785"/>
      <c r="P262" s="8786"/>
      <c r="Q262" s="8787"/>
      <c r="R262" s="8788"/>
      <c r="S262" s="8789"/>
      <c r="T262" s="8790"/>
      <c r="U262" s="12960"/>
      <c r="V262" s="8788"/>
      <c r="W262" s="8790"/>
      <c r="X262" s="8788"/>
      <c r="Y262" s="8790"/>
      <c r="Z262" s="8788"/>
      <c r="AA262" s="8789"/>
      <c r="AB262" s="8789"/>
      <c r="AC262" s="8789"/>
      <c r="AD262" s="8789"/>
      <c r="AE262" s="8789"/>
      <c r="AF262" s="8790"/>
      <c r="AG262" s="8788"/>
      <c r="AH262" s="8789"/>
      <c r="AI262" s="8789"/>
      <c r="AJ262" s="8789"/>
      <c r="AK262" s="8789"/>
      <c r="AL262" s="8789"/>
      <c r="AM262" s="8789"/>
      <c r="AN262" s="8790"/>
      <c r="AO262" s="8788"/>
      <c r="AP262" s="8789"/>
      <c r="AQ262" s="8789"/>
      <c r="AR262" s="8789"/>
      <c r="AS262" s="8789"/>
      <c r="AT262" s="8790"/>
      <c r="AU262" s="8791"/>
      <c r="AV262" s="8791"/>
      <c r="AW262" s="8791"/>
      <c r="AX262" s="8783"/>
      <c r="AY262" s="8786"/>
      <c r="AZ262" s="8791"/>
      <c r="BA262" s="8783"/>
      <c r="BB262" s="8785"/>
      <c r="BC262" s="8786"/>
      <c r="BD262" s="8792"/>
      <c r="BF262" s="7946"/>
      <c r="BG262" s="7946"/>
      <c r="BH262" s="7946"/>
      <c r="BI262" s="7946"/>
      <c r="BJ262" s="7946"/>
      <c r="BK262" s="13047"/>
      <c r="BL262" s="13047"/>
      <c r="BM262" s="7946"/>
      <c r="BN262" s="7946"/>
    </row>
    <row r="263" spans="1:66" ht="30" customHeight="1" thickBot="1">
      <c r="A263" s="8461">
        <v>180</v>
      </c>
      <c r="B263" s="8462" t="s">
        <v>7755</v>
      </c>
      <c r="C263" s="13586"/>
      <c r="D263" s="11887" t="s">
        <v>86</v>
      </c>
      <c r="E263" s="11888"/>
      <c r="F263" s="11888"/>
      <c r="G263" s="13005" t="s">
        <v>3475</v>
      </c>
      <c r="H263" s="11889"/>
      <c r="I263" s="11890" t="s">
        <v>4149</v>
      </c>
      <c r="K263" s="13114">
        <v>1</v>
      </c>
      <c r="L263" s="8814"/>
      <c r="M263" s="8814"/>
      <c r="N263" s="8815"/>
      <c r="O263" s="8815"/>
      <c r="P263" s="8816"/>
      <c r="Q263" s="8817"/>
      <c r="R263" s="8818"/>
      <c r="S263" s="8819"/>
      <c r="T263" s="8820"/>
      <c r="U263" s="12963"/>
      <c r="V263" s="8818"/>
      <c r="W263" s="8820"/>
      <c r="X263" s="8818"/>
      <c r="Y263" s="8820"/>
      <c r="Z263" s="8818"/>
      <c r="AA263" s="8819"/>
      <c r="AB263" s="8819"/>
      <c r="AC263" s="8819"/>
      <c r="AD263" s="8819"/>
      <c r="AE263" s="8819"/>
      <c r="AF263" s="8820"/>
      <c r="AG263" s="8818"/>
      <c r="AH263" s="8819"/>
      <c r="AI263" s="8819"/>
      <c r="AJ263" s="8819"/>
      <c r="AK263" s="8819"/>
      <c r="AL263" s="8819"/>
      <c r="AM263" s="8819"/>
      <c r="AN263" s="8820"/>
      <c r="AO263" s="8818"/>
      <c r="AP263" s="8819"/>
      <c r="AQ263" s="8819"/>
      <c r="AR263" s="8819"/>
      <c r="AS263" s="8819"/>
      <c r="AT263" s="8820"/>
      <c r="AU263" s="8821"/>
      <c r="AV263" s="8821"/>
      <c r="AW263" s="8821"/>
      <c r="AX263" s="8813"/>
      <c r="AY263" s="8816"/>
      <c r="AZ263" s="8821"/>
      <c r="BA263" s="8813"/>
      <c r="BB263" s="8815"/>
      <c r="BC263" s="8816"/>
      <c r="BD263" s="8822"/>
      <c r="BF263" s="7983"/>
      <c r="BG263" s="7983"/>
      <c r="BH263" s="7983"/>
      <c r="BI263" s="7983"/>
      <c r="BJ263" s="7983"/>
      <c r="BK263" s="13048"/>
      <c r="BL263" s="13048"/>
      <c r="BM263" s="7983"/>
      <c r="BN263" s="7983"/>
    </row>
    <row r="264" spans="1:66" ht="30" customHeight="1">
      <c r="A264" s="8823">
        <v>181</v>
      </c>
      <c r="B264" s="8824" t="s">
        <v>7756</v>
      </c>
      <c r="C264" s="13586"/>
      <c r="D264" s="11850" t="s">
        <v>86</v>
      </c>
      <c r="E264" s="11851"/>
      <c r="F264" s="11851"/>
      <c r="G264" s="13008" t="s">
        <v>4168</v>
      </c>
      <c r="H264" s="11852"/>
      <c r="I264" s="11853" t="s">
        <v>4150</v>
      </c>
      <c r="K264" s="12945">
        <v>2160</v>
      </c>
      <c r="L264" s="8691"/>
      <c r="M264" s="8691"/>
      <c r="N264" s="8692" t="s">
        <v>10543</v>
      </c>
      <c r="O264" s="8692" t="s">
        <v>10544</v>
      </c>
      <c r="P264" s="8693"/>
      <c r="Q264" s="8694"/>
      <c r="R264" s="8695"/>
      <c r="S264" s="8696"/>
      <c r="T264" s="8697"/>
      <c r="U264" s="12946">
        <v>2160</v>
      </c>
      <c r="V264" s="8695">
        <v>836</v>
      </c>
      <c r="W264" s="8697">
        <v>1324</v>
      </c>
      <c r="X264" s="8695">
        <v>2106</v>
      </c>
      <c r="Y264" s="8697">
        <v>54</v>
      </c>
      <c r="Z264" s="8695"/>
      <c r="AA264" s="8696"/>
      <c r="AB264" s="8696"/>
      <c r="AC264" s="8696"/>
      <c r="AD264" s="8696">
        <v>2160</v>
      </c>
      <c r="AE264" s="8696"/>
      <c r="AF264" s="8697"/>
      <c r="AG264" s="8695">
        <v>2160</v>
      </c>
      <c r="AH264" s="8696"/>
      <c r="AI264" s="8696"/>
      <c r="AJ264" s="8696"/>
      <c r="AK264" s="8696"/>
      <c r="AL264" s="8696"/>
      <c r="AM264" s="8696"/>
      <c r="AN264" s="8697"/>
      <c r="AO264" s="8695">
        <v>1772</v>
      </c>
      <c r="AP264" s="8696">
        <v>388</v>
      </c>
      <c r="AQ264" s="8696"/>
      <c r="AR264" s="8696"/>
      <c r="AS264" s="8696"/>
      <c r="AT264" s="8697"/>
      <c r="AU264" s="8698"/>
      <c r="AV264" s="8698"/>
      <c r="AW264" s="8698"/>
      <c r="AX264" s="8690"/>
      <c r="AY264" s="8693"/>
      <c r="AZ264" s="8698"/>
      <c r="BA264" s="8690"/>
      <c r="BB264" s="8692"/>
      <c r="BC264" s="8693"/>
      <c r="BD264" s="8699"/>
      <c r="BF264" s="7994"/>
      <c r="BG264" s="7994"/>
      <c r="BH264" s="7994"/>
      <c r="BI264" s="7994"/>
      <c r="BJ264" s="7994"/>
      <c r="BK264" s="13049"/>
      <c r="BL264" s="13049"/>
      <c r="BM264" s="7994"/>
      <c r="BN264" s="7994"/>
    </row>
    <row r="265" spans="1:66" ht="30" customHeight="1">
      <c r="A265" s="8825">
        <v>182</v>
      </c>
      <c r="B265" s="8826" t="s">
        <v>7757</v>
      </c>
      <c r="C265" s="13586"/>
      <c r="D265" s="11854" t="s">
        <v>86</v>
      </c>
      <c r="E265" s="11855"/>
      <c r="F265" s="11855"/>
      <c r="G265" s="13007" t="s">
        <v>3482</v>
      </c>
      <c r="H265" s="11856"/>
      <c r="I265" s="11857" t="s">
        <v>3479</v>
      </c>
      <c r="K265" s="12945">
        <v>2160</v>
      </c>
      <c r="L265" s="8691"/>
      <c r="M265" s="8691"/>
      <c r="N265" s="8692" t="s">
        <v>10543</v>
      </c>
      <c r="O265" s="8692" t="s">
        <v>10544</v>
      </c>
      <c r="P265" s="8693"/>
      <c r="Q265" s="8694"/>
      <c r="R265" s="8695"/>
      <c r="S265" s="8696"/>
      <c r="T265" s="8697"/>
      <c r="U265" s="12946">
        <v>2160</v>
      </c>
      <c r="V265" s="8695">
        <v>836</v>
      </c>
      <c r="W265" s="8697">
        <v>1324</v>
      </c>
      <c r="X265" s="8695">
        <v>2106</v>
      </c>
      <c r="Y265" s="8697">
        <v>54</v>
      </c>
      <c r="Z265" s="8695"/>
      <c r="AA265" s="8696"/>
      <c r="AB265" s="8696"/>
      <c r="AC265" s="8696"/>
      <c r="AD265" s="8696">
        <v>2160</v>
      </c>
      <c r="AE265" s="8696"/>
      <c r="AF265" s="8697"/>
      <c r="AG265" s="8695">
        <v>2160</v>
      </c>
      <c r="AH265" s="8696"/>
      <c r="AI265" s="8696"/>
      <c r="AJ265" s="8696"/>
      <c r="AK265" s="8696"/>
      <c r="AL265" s="8696"/>
      <c r="AM265" s="8696"/>
      <c r="AN265" s="8697"/>
      <c r="AO265" s="8695">
        <v>1772</v>
      </c>
      <c r="AP265" s="8696">
        <v>388</v>
      </c>
      <c r="AQ265" s="8696"/>
      <c r="AR265" s="8696"/>
      <c r="AS265" s="8696"/>
      <c r="AT265" s="8697"/>
      <c r="AU265" s="8709"/>
      <c r="AV265" s="8709"/>
      <c r="AW265" s="8709"/>
      <c r="AX265" s="8701"/>
      <c r="AY265" s="8704"/>
      <c r="AZ265" s="8709"/>
      <c r="BA265" s="8701"/>
      <c r="BB265" s="8703"/>
      <c r="BC265" s="8704"/>
      <c r="BD265" s="8710"/>
      <c r="BF265" s="8005"/>
      <c r="BG265" s="8005"/>
      <c r="BH265" s="8005"/>
      <c r="BI265" s="8005"/>
      <c r="BJ265" s="8005"/>
      <c r="BK265" s="13050"/>
      <c r="BL265" s="13050"/>
      <c r="BM265" s="8005"/>
      <c r="BN265" s="8005"/>
    </row>
    <row r="266" spans="1:66" ht="30" customHeight="1">
      <c r="A266" s="8825">
        <v>183</v>
      </c>
      <c r="B266" s="8826" t="s">
        <v>7758</v>
      </c>
      <c r="C266" s="13586"/>
      <c r="D266" s="11854" t="s">
        <v>86</v>
      </c>
      <c r="E266" s="11855"/>
      <c r="F266" s="11855"/>
      <c r="G266" s="13007" t="s">
        <v>3483</v>
      </c>
      <c r="H266" s="11856"/>
      <c r="I266" s="11858" t="s">
        <v>4151</v>
      </c>
      <c r="K266" s="13115">
        <v>1</v>
      </c>
      <c r="L266" s="8712"/>
      <c r="M266" s="8712"/>
      <c r="N266" s="8713"/>
      <c r="O266" s="8713"/>
      <c r="P266" s="8714"/>
      <c r="Q266" s="8715"/>
      <c r="R266" s="8716"/>
      <c r="S266" s="8717"/>
      <c r="T266" s="8718"/>
      <c r="U266" s="12951"/>
      <c r="V266" s="8716"/>
      <c r="W266" s="8718"/>
      <c r="X266" s="8716"/>
      <c r="Y266" s="8718"/>
      <c r="Z266" s="8716"/>
      <c r="AA266" s="8717"/>
      <c r="AB266" s="8717"/>
      <c r="AC266" s="8717"/>
      <c r="AD266" s="8717"/>
      <c r="AE266" s="8717"/>
      <c r="AF266" s="8718"/>
      <c r="AG266" s="8716"/>
      <c r="AH266" s="8717"/>
      <c r="AI266" s="8717"/>
      <c r="AJ266" s="8717"/>
      <c r="AK266" s="8717"/>
      <c r="AL266" s="8717"/>
      <c r="AM266" s="8717"/>
      <c r="AN266" s="8718"/>
      <c r="AO266" s="8716"/>
      <c r="AP266" s="8717"/>
      <c r="AQ266" s="8717"/>
      <c r="AR266" s="8717"/>
      <c r="AS266" s="8717"/>
      <c r="AT266" s="8718"/>
      <c r="AU266" s="8719"/>
      <c r="AV266" s="8719"/>
      <c r="AW266" s="8719"/>
      <c r="AX266" s="8711"/>
      <c r="AY266" s="8714"/>
      <c r="AZ266" s="8719"/>
      <c r="BA266" s="8711"/>
      <c r="BB266" s="8713"/>
      <c r="BC266" s="8714"/>
      <c r="BD266" s="8720"/>
      <c r="BF266" s="8005"/>
      <c r="BG266" s="8005"/>
      <c r="BH266" s="8005"/>
      <c r="BI266" s="8005"/>
      <c r="BJ266" s="8005"/>
      <c r="BK266" s="13050"/>
      <c r="BL266" s="13050"/>
      <c r="BM266" s="8005"/>
      <c r="BN266" s="8005"/>
    </row>
    <row r="267" spans="1:66" ht="30" customHeight="1">
      <c r="A267" s="8827">
        <v>184</v>
      </c>
      <c r="B267" s="8828" t="s">
        <v>7759</v>
      </c>
      <c r="C267" s="13586"/>
      <c r="D267" s="11854" t="s">
        <v>86</v>
      </c>
      <c r="E267" s="11855"/>
      <c r="F267" s="11855"/>
      <c r="G267" s="13007" t="s">
        <v>3484</v>
      </c>
      <c r="H267" s="11856"/>
      <c r="I267" s="11858" t="s">
        <v>4152</v>
      </c>
      <c r="K267" s="13115">
        <v>1</v>
      </c>
      <c r="L267" s="8712"/>
      <c r="M267" s="8712"/>
      <c r="N267" s="8713"/>
      <c r="O267" s="8713"/>
      <c r="P267" s="8714"/>
      <c r="Q267" s="8715"/>
      <c r="R267" s="8716"/>
      <c r="S267" s="8717"/>
      <c r="T267" s="8718"/>
      <c r="U267" s="12951"/>
      <c r="V267" s="8716"/>
      <c r="W267" s="8718"/>
      <c r="X267" s="8716"/>
      <c r="Y267" s="8718"/>
      <c r="Z267" s="8716"/>
      <c r="AA267" s="8717"/>
      <c r="AB267" s="8717"/>
      <c r="AC267" s="8717"/>
      <c r="AD267" s="8717"/>
      <c r="AE267" s="8717"/>
      <c r="AF267" s="8718"/>
      <c r="AG267" s="8716"/>
      <c r="AH267" s="8717"/>
      <c r="AI267" s="8717"/>
      <c r="AJ267" s="8717"/>
      <c r="AK267" s="8717"/>
      <c r="AL267" s="8717"/>
      <c r="AM267" s="8717"/>
      <c r="AN267" s="8718"/>
      <c r="AO267" s="8716"/>
      <c r="AP267" s="8717"/>
      <c r="AQ267" s="8717"/>
      <c r="AR267" s="8717"/>
      <c r="AS267" s="8717"/>
      <c r="AT267" s="8718"/>
      <c r="AU267" s="8719"/>
      <c r="AV267" s="8719"/>
      <c r="AW267" s="8719"/>
      <c r="AX267" s="8711"/>
      <c r="AY267" s="8714"/>
      <c r="AZ267" s="8719"/>
      <c r="BA267" s="8711"/>
      <c r="BB267" s="8713"/>
      <c r="BC267" s="8714"/>
      <c r="BD267" s="8720"/>
      <c r="BF267" s="8005"/>
      <c r="BG267" s="8005"/>
      <c r="BH267" s="8005"/>
      <c r="BI267" s="8005"/>
      <c r="BJ267" s="8005"/>
      <c r="BK267" s="13050"/>
      <c r="BL267" s="13050"/>
      <c r="BM267" s="8005"/>
      <c r="BN267" s="8005"/>
    </row>
    <row r="268" spans="1:66" ht="30" customHeight="1">
      <c r="A268" s="8827">
        <v>185</v>
      </c>
      <c r="B268" s="8828" t="s">
        <v>7760</v>
      </c>
      <c r="C268" s="13586"/>
      <c r="D268" s="11854" t="s">
        <v>86</v>
      </c>
      <c r="E268" s="11855"/>
      <c r="F268" s="11855"/>
      <c r="G268" s="13007" t="s">
        <v>3485</v>
      </c>
      <c r="H268" s="11856"/>
      <c r="I268" s="11858" t="s">
        <v>8745</v>
      </c>
      <c r="K268" s="13115">
        <v>1</v>
      </c>
      <c r="L268" s="8712"/>
      <c r="M268" s="8712"/>
      <c r="N268" s="8713"/>
      <c r="O268" s="8713"/>
      <c r="P268" s="8714"/>
      <c r="Q268" s="8715"/>
      <c r="R268" s="8716"/>
      <c r="S268" s="8717"/>
      <c r="T268" s="8718"/>
      <c r="U268" s="12951"/>
      <c r="V268" s="8716"/>
      <c r="W268" s="8718"/>
      <c r="X268" s="8716"/>
      <c r="Y268" s="8718"/>
      <c r="Z268" s="8716"/>
      <c r="AA268" s="8717"/>
      <c r="AB268" s="8717"/>
      <c r="AC268" s="8717"/>
      <c r="AD268" s="8717"/>
      <c r="AE268" s="8717"/>
      <c r="AF268" s="8718"/>
      <c r="AG268" s="8716"/>
      <c r="AH268" s="8717"/>
      <c r="AI268" s="8717"/>
      <c r="AJ268" s="8717"/>
      <c r="AK268" s="8717"/>
      <c r="AL268" s="8717"/>
      <c r="AM268" s="8717"/>
      <c r="AN268" s="8718"/>
      <c r="AO268" s="8716"/>
      <c r="AP268" s="8717"/>
      <c r="AQ268" s="8717"/>
      <c r="AR268" s="8717"/>
      <c r="AS268" s="8717"/>
      <c r="AT268" s="8718"/>
      <c r="AU268" s="8719"/>
      <c r="AV268" s="8719"/>
      <c r="AW268" s="8719"/>
      <c r="AX268" s="8711"/>
      <c r="AY268" s="8714"/>
      <c r="AZ268" s="8719"/>
      <c r="BA268" s="8711"/>
      <c r="BB268" s="8713"/>
      <c r="BC268" s="8714"/>
      <c r="BD268" s="8720"/>
      <c r="BF268" s="8005"/>
      <c r="BG268" s="8005"/>
      <c r="BH268" s="8005"/>
      <c r="BI268" s="8005"/>
      <c r="BJ268" s="8005"/>
      <c r="BK268" s="13050"/>
      <c r="BL268" s="13050"/>
      <c r="BM268" s="8005"/>
      <c r="BN268" s="8005"/>
    </row>
    <row r="269" spans="1:66" ht="30" customHeight="1">
      <c r="A269" s="8825">
        <v>186</v>
      </c>
      <c r="B269" s="8826" t="s">
        <v>7761</v>
      </c>
      <c r="C269" s="13586"/>
      <c r="D269" s="11854" t="s">
        <v>86</v>
      </c>
      <c r="E269" s="11855"/>
      <c r="F269" s="11855"/>
      <c r="G269" s="13007" t="s">
        <v>3486</v>
      </c>
      <c r="H269" s="11856"/>
      <c r="I269" s="11857" t="s">
        <v>4153</v>
      </c>
      <c r="K269" s="12964" t="s">
        <v>10545</v>
      </c>
      <c r="L269" s="12964"/>
      <c r="M269" s="12964"/>
      <c r="N269" s="12964" t="s">
        <v>10546</v>
      </c>
      <c r="O269" s="12964" t="s">
        <v>10536</v>
      </c>
      <c r="P269" s="12964"/>
      <c r="Q269" s="12964"/>
      <c r="R269" s="12964"/>
      <c r="S269" s="12964"/>
      <c r="T269" s="12964"/>
      <c r="U269" s="12964">
        <v>688</v>
      </c>
      <c r="V269" s="12964">
        <v>330</v>
      </c>
      <c r="W269" s="12964">
        <v>358</v>
      </c>
      <c r="X269" s="12964">
        <v>622</v>
      </c>
      <c r="Y269" s="12964">
        <v>66</v>
      </c>
      <c r="Z269" s="12964"/>
      <c r="AA269" s="12964"/>
      <c r="AB269" s="12964"/>
      <c r="AC269" s="12964"/>
      <c r="AD269" s="12964"/>
      <c r="AE269" s="12964"/>
      <c r="AF269" s="12964"/>
      <c r="AG269" s="12964"/>
      <c r="AH269" s="12964"/>
      <c r="AI269" s="12964"/>
      <c r="AJ269" s="12964"/>
      <c r="AK269" s="12964"/>
      <c r="AL269" s="12964"/>
      <c r="AM269" s="12964"/>
      <c r="AN269" s="8708"/>
      <c r="AO269" s="8706"/>
      <c r="AP269" s="8707"/>
      <c r="AQ269" s="8707"/>
      <c r="AR269" s="8707"/>
      <c r="AS269" s="8707"/>
      <c r="AT269" s="8708"/>
      <c r="AU269" s="8709"/>
      <c r="AV269" s="8709"/>
      <c r="AW269" s="8709"/>
      <c r="AX269" s="8701"/>
      <c r="AY269" s="8704"/>
      <c r="AZ269" s="8709"/>
      <c r="BA269" s="8701"/>
      <c r="BB269" s="8703"/>
      <c r="BC269" s="8704"/>
      <c r="BD269" s="8710"/>
      <c r="BF269" s="8005"/>
      <c r="BG269" s="8005"/>
      <c r="BH269" s="8005"/>
      <c r="BI269" s="8005"/>
      <c r="BJ269" s="8005"/>
      <c r="BK269" s="13050"/>
      <c r="BL269" s="13050"/>
      <c r="BM269" s="8005"/>
      <c r="BN269" s="8005"/>
    </row>
    <row r="270" spans="1:66" ht="30" customHeight="1">
      <c r="A270" s="8825">
        <v>187</v>
      </c>
      <c r="B270" s="8826" t="s">
        <v>7762</v>
      </c>
      <c r="C270" s="13586"/>
      <c r="D270" s="11854" t="s">
        <v>86</v>
      </c>
      <c r="E270" s="11855"/>
      <c r="F270" s="11855"/>
      <c r="G270" s="13007" t="s">
        <v>3487</v>
      </c>
      <c r="H270" s="11856"/>
      <c r="I270" s="11857" t="s">
        <v>4154</v>
      </c>
      <c r="K270" s="13116">
        <v>1</v>
      </c>
      <c r="L270" s="8702"/>
      <c r="M270" s="8702"/>
      <c r="N270" s="8703"/>
      <c r="O270" s="8703"/>
      <c r="P270" s="8704"/>
      <c r="Q270" s="8705"/>
      <c r="R270" s="8706"/>
      <c r="S270" s="8707"/>
      <c r="T270" s="8708"/>
      <c r="U270" s="12948"/>
      <c r="V270" s="8706"/>
      <c r="W270" s="8708"/>
      <c r="X270" s="8706"/>
      <c r="Y270" s="8708"/>
      <c r="Z270" s="8706"/>
      <c r="AA270" s="8707"/>
      <c r="AB270" s="8707"/>
      <c r="AC270" s="8707"/>
      <c r="AD270" s="8707"/>
      <c r="AE270" s="8707"/>
      <c r="AF270" s="8708"/>
      <c r="AG270" s="8706"/>
      <c r="AH270" s="8707"/>
      <c r="AI270" s="8707"/>
      <c r="AJ270" s="8707"/>
      <c r="AK270" s="8707"/>
      <c r="AL270" s="8707"/>
      <c r="AM270" s="8707"/>
      <c r="AN270" s="8708"/>
      <c r="AO270" s="8706"/>
      <c r="AP270" s="8707"/>
      <c r="AQ270" s="8707"/>
      <c r="AR270" s="8707"/>
      <c r="AS270" s="8707"/>
      <c r="AT270" s="8708"/>
      <c r="AU270" s="8709"/>
      <c r="AV270" s="8709"/>
      <c r="AW270" s="8709"/>
      <c r="AX270" s="8701"/>
      <c r="AY270" s="8704"/>
      <c r="AZ270" s="8709"/>
      <c r="BA270" s="8701"/>
      <c r="BB270" s="8703"/>
      <c r="BC270" s="8704"/>
      <c r="BD270" s="8710"/>
      <c r="BF270" s="8005"/>
      <c r="BG270" s="8005"/>
      <c r="BH270" s="8005"/>
      <c r="BI270" s="8005"/>
      <c r="BJ270" s="8005"/>
      <c r="BK270" s="13050"/>
      <c r="BL270" s="13050"/>
      <c r="BM270" s="8005"/>
      <c r="BN270" s="8005"/>
    </row>
    <row r="271" spans="1:66" ht="30" customHeight="1">
      <c r="A271" s="8827">
        <v>188</v>
      </c>
      <c r="B271" s="8828" t="s">
        <v>7763</v>
      </c>
      <c r="C271" s="13586"/>
      <c r="D271" s="11854" t="s">
        <v>86</v>
      </c>
      <c r="E271" s="11855"/>
      <c r="F271" s="11855"/>
      <c r="G271" s="13007" t="s">
        <v>3488</v>
      </c>
      <c r="H271" s="11856"/>
      <c r="I271" s="11857" t="s">
        <v>3489</v>
      </c>
      <c r="K271" s="13116">
        <v>1</v>
      </c>
      <c r="L271" s="8702"/>
      <c r="M271" s="8702"/>
      <c r="N271" s="8703"/>
      <c r="O271" s="8703"/>
      <c r="P271" s="8704"/>
      <c r="Q271" s="8705"/>
      <c r="R271" s="8706"/>
      <c r="S271" s="8707"/>
      <c r="T271" s="8708"/>
      <c r="U271" s="12948"/>
      <c r="V271" s="8706"/>
      <c r="W271" s="8708"/>
      <c r="X271" s="8706"/>
      <c r="Y271" s="8708"/>
      <c r="Z271" s="8706"/>
      <c r="AA271" s="8707"/>
      <c r="AB271" s="8707"/>
      <c r="AC271" s="8707"/>
      <c r="AD271" s="8707"/>
      <c r="AE271" s="8707"/>
      <c r="AF271" s="8708"/>
      <c r="AG271" s="8706"/>
      <c r="AH271" s="8707"/>
      <c r="AI271" s="8707"/>
      <c r="AJ271" s="8707"/>
      <c r="AK271" s="8707"/>
      <c r="AL271" s="8707"/>
      <c r="AM271" s="8707"/>
      <c r="AN271" s="8708"/>
      <c r="AO271" s="8706"/>
      <c r="AP271" s="8707"/>
      <c r="AQ271" s="8707"/>
      <c r="AR271" s="8707"/>
      <c r="AS271" s="8707"/>
      <c r="AT271" s="8708"/>
      <c r="AU271" s="8709"/>
      <c r="AV271" s="8709"/>
      <c r="AW271" s="8709"/>
      <c r="AX271" s="8701"/>
      <c r="AY271" s="8704"/>
      <c r="AZ271" s="8709"/>
      <c r="BA271" s="8701"/>
      <c r="BB271" s="8703"/>
      <c r="BC271" s="8704"/>
      <c r="BD271" s="8710"/>
      <c r="BF271" s="8005"/>
      <c r="BG271" s="8005"/>
      <c r="BH271" s="8005"/>
      <c r="BI271" s="8005"/>
      <c r="BJ271" s="8005"/>
      <c r="BK271" s="13050"/>
      <c r="BL271" s="13050"/>
      <c r="BM271" s="8005"/>
      <c r="BN271" s="8005"/>
    </row>
    <row r="272" spans="1:66" ht="30" customHeight="1">
      <c r="A272" s="8825">
        <v>189</v>
      </c>
      <c r="B272" s="8826" t="s">
        <v>7764</v>
      </c>
      <c r="C272" s="13586"/>
      <c r="D272" s="11854" t="s">
        <v>86</v>
      </c>
      <c r="E272" s="11855"/>
      <c r="F272" s="11855"/>
      <c r="G272" s="13007" t="s">
        <v>3444</v>
      </c>
      <c r="H272" s="11856"/>
      <c r="I272" s="11857" t="s">
        <v>3492</v>
      </c>
      <c r="K272" s="13116">
        <v>1</v>
      </c>
      <c r="L272" s="8702"/>
      <c r="M272" s="8702"/>
      <c r="N272" s="8703"/>
      <c r="O272" s="8703"/>
      <c r="P272" s="8704"/>
      <c r="Q272" s="8705"/>
      <c r="R272" s="8706"/>
      <c r="S272" s="8707"/>
      <c r="T272" s="8708"/>
      <c r="U272" s="12948"/>
      <c r="V272" s="8706"/>
      <c r="W272" s="8708"/>
      <c r="X272" s="8706"/>
      <c r="Y272" s="8708"/>
      <c r="Z272" s="8706"/>
      <c r="AA272" s="8707"/>
      <c r="AB272" s="8707"/>
      <c r="AC272" s="8707"/>
      <c r="AD272" s="8707"/>
      <c r="AE272" s="8707"/>
      <c r="AF272" s="8708"/>
      <c r="AG272" s="8706"/>
      <c r="AH272" s="8707"/>
      <c r="AI272" s="8707"/>
      <c r="AJ272" s="8707"/>
      <c r="AK272" s="8707"/>
      <c r="AL272" s="8707"/>
      <c r="AM272" s="8707"/>
      <c r="AN272" s="8708"/>
      <c r="AO272" s="8706"/>
      <c r="AP272" s="8707"/>
      <c r="AQ272" s="8707"/>
      <c r="AR272" s="8707"/>
      <c r="AS272" s="8707"/>
      <c r="AT272" s="8708"/>
      <c r="AU272" s="8709"/>
      <c r="AV272" s="8709"/>
      <c r="AW272" s="8709"/>
      <c r="AX272" s="8701"/>
      <c r="AY272" s="8704"/>
      <c r="AZ272" s="8709"/>
      <c r="BA272" s="8701"/>
      <c r="BB272" s="8703"/>
      <c r="BC272" s="8704"/>
      <c r="BD272" s="8710"/>
      <c r="BF272" s="8005"/>
      <c r="BG272" s="8005"/>
      <c r="BH272" s="8005"/>
      <c r="BI272" s="8005"/>
      <c r="BJ272" s="8005"/>
      <c r="BK272" s="13050"/>
      <c r="BL272" s="13050"/>
      <c r="BM272" s="8005"/>
      <c r="BN272" s="8005"/>
    </row>
    <row r="273" spans="1:66" ht="30" customHeight="1">
      <c r="A273" s="8825">
        <v>190</v>
      </c>
      <c r="B273" s="8826" t="s">
        <v>7765</v>
      </c>
      <c r="C273" s="13586"/>
      <c r="D273" s="11854" t="s">
        <v>86</v>
      </c>
      <c r="E273" s="11855"/>
      <c r="F273" s="11855"/>
      <c r="G273" s="13007" t="s">
        <v>3497</v>
      </c>
      <c r="H273" s="11856"/>
      <c r="I273" s="11857" t="s">
        <v>4155</v>
      </c>
      <c r="K273" s="13116" t="s">
        <v>2951</v>
      </c>
      <c r="L273" s="8830"/>
      <c r="M273" s="8830"/>
      <c r="N273" s="8831"/>
      <c r="O273" s="8831"/>
      <c r="P273" s="8832"/>
      <c r="Q273" s="8833"/>
      <c r="R273" s="8834"/>
      <c r="S273" s="8835"/>
      <c r="T273" s="8836"/>
      <c r="U273" s="12948"/>
      <c r="V273" s="8834"/>
      <c r="W273" s="8836"/>
      <c r="X273" s="8834"/>
      <c r="Y273" s="8836"/>
      <c r="Z273" s="8834"/>
      <c r="AA273" s="8835"/>
      <c r="AB273" s="8835"/>
      <c r="AC273" s="8835"/>
      <c r="AD273" s="8835"/>
      <c r="AE273" s="8835"/>
      <c r="AF273" s="8836"/>
      <c r="AG273" s="8834"/>
      <c r="AH273" s="8835"/>
      <c r="AI273" s="8835"/>
      <c r="AJ273" s="8835"/>
      <c r="AK273" s="8835"/>
      <c r="AL273" s="8835"/>
      <c r="AM273" s="8835"/>
      <c r="AN273" s="8836"/>
      <c r="AO273" s="8834"/>
      <c r="AP273" s="8835"/>
      <c r="AQ273" s="8835"/>
      <c r="AR273" s="8835"/>
      <c r="AS273" s="8835"/>
      <c r="AT273" s="8836"/>
      <c r="AU273" s="8837"/>
      <c r="AV273" s="8837"/>
      <c r="AW273" s="8837"/>
      <c r="AX273" s="8829"/>
      <c r="AY273" s="8832"/>
      <c r="AZ273" s="8837"/>
      <c r="BA273" s="8829"/>
      <c r="BB273" s="8831"/>
      <c r="BC273" s="8832"/>
      <c r="BD273" s="8838"/>
      <c r="BF273" s="8005"/>
      <c r="BG273" s="8005"/>
      <c r="BH273" s="8005"/>
      <c r="BI273" s="8005"/>
      <c r="BJ273" s="8005"/>
      <c r="BK273" s="13050"/>
      <c r="BL273" s="13050"/>
      <c r="BM273" s="8005"/>
      <c r="BN273" s="8005"/>
    </row>
    <row r="274" spans="1:66" ht="30" customHeight="1">
      <c r="A274" s="8825">
        <v>191</v>
      </c>
      <c r="B274" s="8826" t="s">
        <v>7766</v>
      </c>
      <c r="C274" s="13586"/>
      <c r="D274" s="11854" t="s">
        <v>86</v>
      </c>
      <c r="E274" s="11855"/>
      <c r="F274" s="11855"/>
      <c r="G274" s="13007" t="s">
        <v>3498</v>
      </c>
      <c r="H274" s="11856"/>
      <c r="I274" s="11858" t="s">
        <v>4156</v>
      </c>
      <c r="K274" s="13116">
        <v>1</v>
      </c>
      <c r="L274" s="8712"/>
      <c r="M274" s="8712"/>
      <c r="N274" s="8713"/>
      <c r="O274" s="8713"/>
      <c r="P274" s="8714"/>
      <c r="Q274" s="8715"/>
      <c r="R274" s="8716"/>
      <c r="S274" s="8717"/>
      <c r="T274" s="8718"/>
      <c r="U274" s="12951"/>
      <c r="V274" s="8716"/>
      <c r="W274" s="8718"/>
      <c r="X274" s="8716"/>
      <c r="Y274" s="8718"/>
      <c r="Z274" s="8716"/>
      <c r="AA274" s="8717"/>
      <c r="AB274" s="8717"/>
      <c r="AC274" s="8717"/>
      <c r="AD274" s="8717"/>
      <c r="AE274" s="8717"/>
      <c r="AF274" s="8718"/>
      <c r="AG274" s="8716"/>
      <c r="AH274" s="8717"/>
      <c r="AI274" s="8717"/>
      <c r="AJ274" s="8717"/>
      <c r="AK274" s="8717"/>
      <c r="AL274" s="8717"/>
      <c r="AM274" s="8717"/>
      <c r="AN274" s="8718"/>
      <c r="AO274" s="8716"/>
      <c r="AP274" s="8717"/>
      <c r="AQ274" s="8717"/>
      <c r="AR274" s="8717"/>
      <c r="AS274" s="8717"/>
      <c r="AT274" s="8718"/>
      <c r="AU274" s="8719"/>
      <c r="AV274" s="8719"/>
      <c r="AW274" s="8719"/>
      <c r="AX274" s="8711"/>
      <c r="AY274" s="8714"/>
      <c r="AZ274" s="8719"/>
      <c r="BA274" s="8711"/>
      <c r="BB274" s="8713"/>
      <c r="BC274" s="8714"/>
      <c r="BD274" s="8720"/>
      <c r="BF274" s="8005"/>
      <c r="BG274" s="8005"/>
      <c r="BH274" s="8005"/>
      <c r="BI274" s="8005"/>
      <c r="BJ274" s="8005"/>
      <c r="BK274" s="13050"/>
      <c r="BL274" s="13050"/>
      <c r="BM274" s="8005"/>
      <c r="BN274" s="8005"/>
    </row>
    <row r="275" spans="1:66" ht="30" customHeight="1">
      <c r="A275" s="8825">
        <v>192</v>
      </c>
      <c r="B275" s="8826" t="s">
        <v>7767</v>
      </c>
      <c r="C275" s="13586"/>
      <c r="D275" s="11854" t="s">
        <v>86</v>
      </c>
      <c r="E275" s="11855"/>
      <c r="F275" s="11855"/>
      <c r="G275" s="13007" t="s">
        <v>3499</v>
      </c>
      <c r="H275" s="11856"/>
      <c r="I275" s="11858" t="s">
        <v>4157</v>
      </c>
      <c r="K275" s="12950">
        <v>1</v>
      </c>
      <c r="L275" s="8712"/>
      <c r="M275" s="8712"/>
      <c r="N275" s="8713" t="s">
        <v>10547</v>
      </c>
      <c r="O275" s="8713"/>
      <c r="P275" s="8714"/>
      <c r="Q275" s="8715"/>
      <c r="R275" s="8716"/>
      <c r="S275" s="8717"/>
      <c r="T275" s="8718"/>
      <c r="U275" s="12951">
        <v>1</v>
      </c>
      <c r="V275" s="8716"/>
      <c r="W275" s="8718">
        <v>1</v>
      </c>
      <c r="X275" s="8716">
        <v>1</v>
      </c>
      <c r="Y275" s="8718"/>
      <c r="Z275" s="8716"/>
      <c r="AA275" s="8717"/>
      <c r="AB275" s="8717"/>
      <c r="AC275" s="8717"/>
      <c r="AD275" s="8717">
        <v>1</v>
      </c>
      <c r="AE275" s="8717"/>
      <c r="AF275" s="8718"/>
      <c r="AG275" s="8716"/>
      <c r="AH275" s="8717"/>
      <c r="AI275" s="8717"/>
      <c r="AJ275" s="8717"/>
      <c r="AK275" s="8717">
        <v>1</v>
      </c>
      <c r="AL275" s="8717"/>
      <c r="AM275" s="8717"/>
      <c r="AN275" s="8718"/>
      <c r="AO275" s="8716">
        <v>1</v>
      </c>
      <c r="AP275" s="8717"/>
      <c r="AQ275" s="8717"/>
      <c r="AR275" s="8717"/>
      <c r="AS275" s="8717"/>
      <c r="AT275" s="8718"/>
      <c r="AU275" s="8719"/>
      <c r="AV275" s="8719"/>
      <c r="AW275" s="8719"/>
      <c r="AX275" s="8711"/>
      <c r="AY275" s="8714"/>
      <c r="AZ275" s="8719"/>
      <c r="BA275" s="8711"/>
      <c r="BB275" s="8713"/>
      <c r="BC275" s="8714"/>
      <c r="BD275" s="8720"/>
      <c r="BF275" s="8005"/>
      <c r="BG275" s="8005"/>
      <c r="BH275" s="8005"/>
      <c r="BI275" s="8005"/>
      <c r="BJ275" s="8005"/>
      <c r="BK275" s="13050"/>
      <c r="BL275" s="13050"/>
      <c r="BM275" s="8005"/>
      <c r="BN275" s="8005"/>
    </row>
    <row r="276" spans="1:66" ht="30" customHeight="1">
      <c r="A276" s="8825">
        <v>193</v>
      </c>
      <c r="B276" s="8826" t="s">
        <v>7768</v>
      </c>
      <c r="C276" s="13586"/>
      <c r="D276" s="11854" t="s">
        <v>86</v>
      </c>
      <c r="E276" s="11855"/>
      <c r="F276" s="11855"/>
      <c r="G276" s="13007" t="s">
        <v>3500</v>
      </c>
      <c r="H276" s="11856"/>
      <c r="I276" s="11857" t="s">
        <v>4158</v>
      </c>
      <c r="K276" s="12949">
        <v>4052</v>
      </c>
      <c r="L276" s="8702"/>
      <c r="M276" s="8702"/>
      <c r="N276" s="8703" t="s">
        <v>10548</v>
      </c>
      <c r="O276" s="8703" t="s">
        <v>3575</v>
      </c>
      <c r="P276" s="8704"/>
      <c r="Q276" s="8705"/>
      <c r="R276" s="8706"/>
      <c r="S276" s="8707"/>
      <c r="T276" s="8708"/>
      <c r="U276" s="12948">
        <v>4052</v>
      </c>
      <c r="V276" s="8706">
        <v>743</v>
      </c>
      <c r="W276" s="8708">
        <v>3309</v>
      </c>
      <c r="X276" s="8706">
        <v>3167</v>
      </c>
      <c r="Y276" s="8708">
        <v>885</v>
      </c>
      <c r="Z276" s="8706">
        <v>18</v>
      </c>
      <c r="AA276" s="8707">
        <v>6</v>
      </c>
      <c r="AB276" s="8707">
        <v>14</v>
      </c>
      <c r="AC276" s="8707">
        <v>577</v>
      </c>
      <c r="AD276" s="8707">
        <v>1197</v>
      </c>
      <c r="AE276" s="8707">
        <v>1464</v>
      </c>
      <c r="AF276" s="8708">
        <v>776</v>
      </c>
      <c r="AG276" s="8706">
        <v>3244</v>
      </c>
      <c r="AH276" s="8707">
        <v>48</v>
      </c>
      <c r="AI276" s="8707">
        <v>225</v>
      </c>
      <c r="AJ276" s="8707">
        <v>50</v>
      </c>
      <c r="AK276" s="8707">
        <v>461</v>
      </c>
      <c r="AL276" s="8707"/>
      <c r="AM276" s="8707"/>
      <c r="AN276" s="8708">
        <v>24</v>
      </c>
      <c r="AO276" s="8706">
        <v>3850</v>
      </c>
      <c r="AP276" s="8707">
        <v>156</v>
      </c>
      <c r="AQ276" s="8707">
        <v>46</v>
      </c>
      <c r="AR276" s="8707"/>
      <c r="AS276" s="8707"/>
      <c r="AT276" s="8708"/>
      <c r="AU276" s="8709"/>
      <c r="AV276" s="8709"/>
      <c r="AW276" s="8709"/>
      <c r="AX276" s="8701"/>
      <c r="AY276" s="8704"/>
      <c r="AZ276" s="8709"/>
      <c r="BA276" s="8701"/>
      <c r="BB276" s="8703"/>
      <c r="BC276" s="8704"/>
      <c r="BD276" s="8710"/>
      <c r="BF276" s="8005"/>
      <c r="BG276" s="8005"/>
      <c r="BH276" s="8005"/>
      <c r="BI276" s="8005"/>
      <c r="BJ276" s="8005"/>
      <c r="BK276" s="13050"/>
      <c r="BL276" s="13050"/>
      <c r="BM276" s="8005"/>
      <c r="BN276" s="8005"/>
    </row>
    <row r="277" spans="1:66" ht="30" customHeight="1">
      <c r="A277" s="8825">
        <v>194</v>
      </c>
      <c r="B277" s="8826" t="s">
        <v>7769</v>
      </c>
      <c r="C277" s="13586"/>
      <c r="D277" s="11854" t="s">
        <v>86</v>
      </c>
      <c r="E277" s="11855"/>
      <c r="F277" s="11855"/>
      <c r="G277" s="13007" t="s">
        <v>3501</v>
      </c>
      <c r="H277" s="11856"/>
      <c r="I277" s="11857" t="s">
        <v>3479</v>
      </c>
      <c r="K277" s="12945">
        <v>2160</v>
      </c>
      <c r="L277" s="8691"/>
      <c r="M277" s="8691"/>
      <c r="N277" s="8692" t="s">
        <v>10543</v>
      </c>
      <c r="O277" s="8692" t="s">
        <v>10544</v>
      </c>
      <c r="P277" s="8693"/>
      <c r="Q277" s="8694"/>
      <c r="R277" s="8695"/>
      <c r="S277" s="8696"/>
      <c r="T277" s="8697"/>
      <c r="U277" s="12946">
        <v>2160</v>
      </c>
      <c r="V277" s="8695">
        <v>836</v>
      </c>
      <c r="W277" s="8697">
        <v>1324</v>
      </c>
      <c r="X277" s="8695">
        <v>2106</v>
      </c>
      <c r="Y277" s="8697">
        <v>54</v>
      </c>
      <c r="Z277" s="8695"/>
      <c r="AA277" s="8696"/>
      <c r="AB277" s="8696"/>
      <c r="AC277" s="8696"/>
      <c r="AD277" s="8696">
        <v>2160</v>
      </c>
      <c r="AE277" s="8696"/>
      <c r="AF277" s="8697"/>
      <c r="AG277" s="8695">
        <v>2160</v>
      </c>
      <c r="AH277" s="8696"/>
      <c r="AI277" s="8696"/>
      <c r="AJ277" s="8696"/>
      <c r="AK277" s="8696"/>
      <c r="AL277" s="8696"/>
      <c r="AM277" s="8696"/>
      <c r="AN277" s="8697"/>
      <c r="AO277" s="8695">
        <v>1772</v>
      </c>
      <c r="AP277" s="8696">
        <v>388</v>
      </c>
      <c r="AQ277" s="8696"/>
      <c r="AR277" s="8696"/>
      <c r="AS277" s="8696"/>
      <c r="AT277" s="8697"/>
      <c r="AU277" s="8709"/>
      <c r="AV277" s="8709"/>
      <c r="AW277" s="8709"/>
      <c r="AX277" s="8701"/>
      <c r="AY277" s="8704"/>
      <c r="AZ277" s="8709"/>
      <c r="BA277" s="8701"/>
      <c r="BB277" s="8703"/>
      <c r="BC277" s="8704"/>
      <c r="BD277" s="8710"/>
      <c r="BF277" s="8005"/>
      <c r="BG277" s="8005"/>
      <c r="BH277" s="8005"/>
      <c r="BI277" s="8005"/>
      <c r="BJ277" s="8005"/>
      <c r="BK277" s="13050"/>
      <c r="BL277" s="13050"/>
      <c r="BM277" s="8005"/>
      <c r="BN277" s="8005"/>
    </row>
    <row r="278" spans="1:66" ht="30" customHeight="1" thickBot="1">
      <c r="A278" s="8839">
        <v>195</v>
      </c>
      <c r="B278" s="8840" t="s">
        <v>7770</v>
      </c>
      <c r="C278" s="13586"/>
      <c r="D278" s="11859" t="s">
        <v>86</v>
      </c>
      <c r="E278" s="11860"/>
      <c r="F278" s="11860"/>
      <c r="G278" s="13034" t="s">
        <v>3502</v>
      </c>
      <c r="H278" s="11861"/>
      <c r="I278" s="11862" t="s">
        <v>4159</v>
      </c>
      <c r="K278" s="12952">
        <v>508</v>
      </c>
      <c r="L278" s="8723"/>
      <c r="M278" s="8723"/>
      <c r="N278" s="8724" t="s">
        <v>10549</v>
      </c>
      <c r="O278" s="8724" t="s">
        <v>10550</v>
      </c>
      <c r="P278" s="8725"/>
      <c r="Q278" s="8726"/>
      <c r="R278" s="8727"/>
      <c r="S278" s="8728"/>
      <c r="T278" s="8729"/>
      <c r="U278" s="12953">
        <v>508</v>
      </c>
      <c r="V278" s="8727">
        <v>130</v>
      </c>
      <c r="W278" s="8729">
        <v>378</v>
      </c>
      <c r="X278" s="8727">
        <v>460</v>
      </c>
      <c r="Y278" s="8729">
        <v>48</v>
      </c>
      <c r="Z278" s="8727">
        <v>26</v>
      </c>
      <c r="AA278" s="8728">
        <v>181</v>
      </c>
      <c r="AB278" s="8728">
        <v>39</v>
      </c>
      <c r="AC278" s="8728">
        <v>44</v>
      </c>
      <c r="AD278" s="8728">
        <v>77</v>
      </c>
      <c r="AE278" s="8728">
        <v>88</v>
      </c>
      <c r="AF278" s="8729">
        <v>53</v>
      </c>
      <c r="AG278" s="8727">
        <v>415</v>
      </c>
      <c r="AH278" s="8728">
        <v>5</v>
      </c>
      <c r="AI278" s="8728">
        <v>35</v>
      </c>
      <c r="AJ278" s="8728">
        <v>5</v>
      </c>
      <c r="AK278" s="8728">
        <v>40</v>
      </c>
      <c r="AL278" s="8728"/>
      <c r="AM278" s="8728"/>
      <c r="AN278" s="8729">
        <v>8</v>
      </c>
      <c r="AO278" s="8727">
        <v>449</v>
      </c>
      <c r="AP278" s="8728">
        <v>54</v>
      </c>
      <c r="AQ278" s="8728">
        <v>5</v>
      </c>
      <c r="AR278" s="8728"/>
      <c r="AS278" s="8728"/>
      <c r="AT278" s="8729"/>
      <c r="AU278" s="8730"/>
      <c r="AV278" s="8730"/>
      <c r="AW278" s="8730"/>
      <c r="AX278" s="8722"/>
      <c r="AY278" s="8725"/>
      <c r="AZ278" s="8730"/>
      <c r="BA278" s="8722"/>
      <c r="BB278" s="8724"/>
      <c r="BC278" s="8725"/>
      <c r="BD278" s="8731"/>
      <c r="BF278" s="8030"/>
      <c r="BG278" s="8030"/>
      <c r="BH278" s="8030"/>
      <c r="BI278" s="8030"/>
      <c r="BJ278" s="8030"/>
      <c r="BK278" s="13088"/>
      <c r="BL278" s="13088"/>
      <c r="BM278" s="8030"/>
      <c r="BN278" s="8030"/>
    </row>
    <row r="279" spans="1:66" ht="30" customHeight="1">
      <c r="A279" s="8841">
        <v>196</v>
      </c>
      <c r="B279" s="8842" t="s">
        <v>7771</v>
      </c>
      <c r="C279" s="13586"/>
      <c r="D279" s="11891" t="s">
        <v>86</v>
      </c>
      <c r="E279" s="11892"/>
      <c r="F279" s="11892"/>
      <c r="G279" s="13033" t="s">
        <v>4169</v>
      </c>
      <c r="H279" s="11894"/>
      <c r="I279" s="11895" t="s">
        <v>4160</v>
      </c>
      <c r="K279" s="13120">
        <v>1</v>
      </c>
      <c r="L279" s="8846"/>
      <c r="M279" s="8846"/>
      <c r="N279" s="8847"/>
      <c r="O279" s="8847"/>
      <c r="P279" s="8848"/>
      <c r="Q279" s="8849"/>
      <c r="R279" s="8850"/>
      <c r="S279" s="8851"/>
      <c r="T279" s="8852"/>
      <c r="U279" s="8849"/>
      <c r="V279" s="8850"/>
      <c r="W279" s="8852"/>
      <c r="X279" s="8850"/>
      <c r="Y279" s="8852"/>
      <c r="Z279" s="8850"/>
      <c r="AA279" s="8851"/>
      <c r="AB279" s="8851"/>
      <c r="AC279" s="8851"/>
      <c r="AD279" s="8851"/>
      <c r="AE279" s="8851"/>
      <c r="AF279" s="8852"/>
      <c r="AG279" s="8850"/>
      <c r="AH279" s="8851"/>
      <c r="AI279" s="8851"/>
      <c r="AJ279" s="8851"/>
      <c r="AK279" s="8851"/>
      <c r="AL279" s="8851"/>
      <c r="AM279" s="8851"/>
      <c r="AN279" s="8852"/>
      <c r="AO279" s="8850"/>
      <c r="AP279" s="8851"/>
      <c r="AQ279" s="8851"/>
      <c r="AR279" s="8851"/>
      <c r="AS279" s="8851"/>
      <c r="AT279" s="8852"/>
      <c r="AU279" s="8853"/>
      <c r="AV279" s="8853"/>
      <c r="AW279" s="8853"/>
      <c r="AX279" s="8845"/>
      <c r="AY279" s="8848"/>
      <c r="AZ279" s="8853"/>
      <c r="BA279" s="8845"/>
      <c r="BB279" s="8847"/>
      <c r="BC279" s="8848"/>
      <c r="BD279" s="8854"/>
      <c r="BF279" s="8844"/>
      <c r="BG279" s="8844"/>
      <c r="BH279" s="8844"/>
      <c r="BI279" s="8844"/>
      <c r="BJ279" s="8844"/>
      <c r="BK279" s="13083"/>
      <c r="BL279" s="13083"/>
      <c r="BM279" s="8844"/>
      <c r="BN279" s="8844"/>
    </row>
    <row r="280" spans="1:66" ht="30" customHeight="1">
      <c r="A280" s="8855">
        <v>197</v>
      </c>
      <c r="B280" s="8856" t="s">
        <v>7772</v>
      </c>
      <c r="C280" s="13586"/>
      <c r="D280" s="11896" t="s">
        <v>86</v>
      </c>
      <c r="E280" s="11897"/>
      <c r="F280" s="11897"/>
      <c r="G280" s="13032" t="s">
        <v>4170</v>
      </c>
      <c r="H280" s="11899"/>
      <c r="I280" s="11900" t="s">
        <v>3387</v>
      </c>
      <c r="K280" s="12965" t="s">
        <v>10545</v>
      </c>
      <c r="L280" s="12966"/>
      <c r="M280" s="12966"/>
      <c r="N280" s="12966" t="s">
        <v>10546</v>
      </c>
      <c r="O280" s="12966" t="s">
        <v>10536</v>
      </c>
      <c r="P280" s="12966"/>
      <c r="Q280" s="12966"/>
      <c r="R280" s="12966"/>
      <c r="S280" s="12966"/>
      <c r="T280" s="12966"/>
      <c r="U280" s="12965">
        <v>688</v>
      </c>
      <c r="V280" s="12966">
        <v>330</v>
      </c>
      <c r="W280" s="12966">
        <v>358</v>
      </c>
      <c r="X280" s="12966">
        <v>622</v>
      </c>
      <c r="Y280" s="12966">
        <v>66</v>
      </c>
      <c r="Z280" s="12966"/>
      <c r="AA280" s="12966"/>
      <c r="AB280" s="12966"/>
      <c r="AC280" s="12966"/>
      <c r="AD280" s="12966"/>
      <c r="AE280" s="12966"/>
      <c r="AF280" s="12966"/>
      <c r="AG280" s="12966"/>
      <c r="AH280" s="12966"/>
      <c r="AI280" s="12966"/>
      <c r="AJ280" s="12966"/>
      <c r="AK280" s="12966"/>
      <c r="AL280" s="12966"/>
      <c r="AM280" s="12966"/>
      <c r="AN280" s="12966"/>
      <c r="AO280" s="12966"/>
      <c r="AP280" s="12966"/>
      <c r="AQ280" s="12966"/>
      <c r="AR280" s="12966"/>
      <c r="AS280" s="12966"/>
      <c r="AT280" s="12966"/>
      <c r="AU280" s="12966"/>
      <c r="AV280" s="12966"/>
      <c r="AW280" s="8868"/>
      <c r="AX280" s="8860"/>
      <c r="AY280" s="8863"/>
      <c r="AZ280" s="8868"/>
      <c r="BA280" s="8860"/>
      <c r="BB280" s="8862"/>
      <c r="BC280" s="8863"/>
      <c r="BD280" s="8869"/>
      <c r="BF280" s="8859"/>
      <c r="BG280" s="8859"/>
      <c r="BH280" s="8859"/>
      <c r="BI280" s="8859"/>
      <c r="BJ280" s="8859"/>
      <c r="BK280" s="13084"/>
      <c r="BL280" s="13084"/>
      <c r="BM280" s="8859"/>
      <c r="BN280" s="8859"/>
    </row>
    <row r="281" spans="1:66" ht="30" customHeight="1">
      <c r="A281" s="8855">
        <v>198</v>
      </c>
      <c r="B281" s="8856" t="s">
        <v>7773</v>
      </c>
      <c r="C281" s="13586"/>
      <c r="D281" s="11896" t="s">
        <v>86</v>
      </c>
      <c r="E281" s="11897"/>
      <c r="F281" s="11897"/>
      <c r="G281" s="13032" t="s">
        <v>4171</v>
      </c>
      <c r="H281" s="11899"/>
      <c r="I281" s="11900" t="s">
        <v>4161</v>
      </c>
      <c r="K281" s="13121">
        <v>1</v>
      </c>
      <c r="L281" s="8861"/>
      <c r="M281" s="8861"/>
      <c r="N281" s="8862"/>
      <c r="O281" s="8862"/>
      <c r="P281" s="8863"/>
      <c r="Q281" s="8864"/>
      <c r="R281" s="8865"/>
      <c r="S281" s="8866"/>
      <c r="T281" s="8867"/>
      <c r="U281" s="8864"/>
      <c r="V281" s="8865"/>
      <c r="W281" s="8867"/>
      <c r="X281" s="8865"/>
      <c r="Y281" s="8867"/>
      <c r="Z281" s="8865"/>
      <c r="AA281" s="8866"/>
      <c r="AB281" s="8866"/>
      <c r="AC281" s="8866"/>
      <c r="AD281" s="8866"/>
      <c r="AE281" s="8866"/>
      <c r="AF281" s="8867"/>
      <c r="AG281" s="8865"/>
      <c r="AH281" s="8866"/>
      <c r="AI281" s="8866"/>
      <c r="AJ281" s="8866"/>
      <c r="AK281" s="8866"/>
      <c r="AL281" s="8866"/>
      <c r="AM281" s="8866"/>
      <c r="AN281" s="8867"/>
      <c r="AO281" s="8865"/>
      <c r="AP281" s="8866"/>
      <c r="AQ281" s="8866"/>
      <c r="AR281" s="8866"/>
      <c r="AS281" s="8866"/>
      <c r="AT281" s="8867"/>
      <c r="AU281" s="8868"/>
      <c r="AV281" s="8868"/>
      <c r="AW281" s="8868"/>
      <c r="AX281" s="8860"/>
      <c r="AY281" s="8863"/>
      <c r="AZ281" s="8868"/>
      <c r="BA281" s="8860"/>
      <c r="BB281" s="8862"/>
      <c r="BC281" s="8863"/>
      <c r="BD281" s="8869"/>
      <c r="BF281" s="8859"/>
      <c r="BG281" s="8859"/>
      <c r="BH281" s="8859"/>
      <c r="BI281" s="8859"/>
      <c r="BJ281" s="8859"/>
      <c r="BK281" s="13084"/>
      <c r="BL281" s="13084"/>
      <c r="BM281" s="8859"/>
      <c r="BN281" s="8859"/>
    </row>
    <row r="282" spans="1:66" ht="30" customHeight="1">
      <c r="A282" s="8855">
        <v>199</v>
      </c>
      <c r="B282" s="8856" t="s">
        <v>7774</v>
      </c>
      <c r="C282" s="13586"/>
      <c r="D282" s="11896" t="s">
        <v>86</v>
      </c>
      <c r="E282" s="11897"/>
      <c r="F282" s="11897"/>
      <c r="G282" s="13032" t="s">
        <v>4172</v>
      </c>
      <c r="H282" s="11899"/>
      <c r="I282" s="11900" t="s">
        <v>4162</v>
      </c>
      <c r="K282" s="13121">
        <v>1</v>
      </c>
      <c r="L282" s="8861"/>
      <c r="M282" s="8861"/>
      <c r="N282" s="8862"/>
      <c r="O282" s="8862"/>
      <c r="P282" s="8863"/>
      <c r="Q282" s="8864"/>
      <c r="R282" s="8865"/>
      <c r="S282" s="8866"/>
      <c r="T282" s="8867"/>
      <c r="U282" s="8864"/>
      <c r="V282" s="8865"/>
      <c r="W282" s="8867"/>
      <c r="X282" s="8865"/>
      <c r="Y282" s="8867"/>
      <c r="Z282" s="8865"/>
      <c r="AA282" s="8866"/>
      <c r="AB282" s="8866"/>
      <c r="AC282" s="8866"/>
      <c r="AD282" s="8866"/>
      <c r="AE282" s="8866"/>
      <c r="AF282" s="8867"/>
      <c r="AG282" s="8865"/>
      <c r="AH282" s="8866"/>
      <c r="AI282" s="8866"/>
      <c r="AJ282" s="8866"/>
      <c r="AK282" s="8866"/>
      <c r="AL282" s="8866"/>
      <c r="AM282" s="8866"/>
      <c r="AN282" s="8867"/>
      <c r="AO282" s="8865"/>
      <c r="AP282" s="8866"/>
      <c r="AQ282" s="8866"/>
      <c r="AR282" s="8866"/>
      <c r="AS282" s="8866"/>
      <c r="AT282" s="8867"/>
      <c r="AU282" s="8868"/>
      <c r="AV282" s="8868"/>
      <c r="AW282" s="8868"/>
      <c r="AX282" s="8860"/>
      <c r="AY282" s="8863"/>
      <c r="AZ282" s="8868"/>
      <c r="BA282" s="8860"/>
      <c r="BB282" s="8862"/>
      <c r="BC282" s="8863"/>
      <c r="BD282" s="8869"/>
      <c r="BF282" s="8859"/>
      <c r="BG282" s="8859"/>
      <c r="BH282" s="8859"/>
      <c r="BI282" s="8859"/>
      <c r="BJ282" s="8859"/>
      <c r="BK282" s="13084"/>
      <c r="BL282" s="13084"/>
      <c r="BM282" s="8859"/>
      <c r="BN282" s="8859"/>
    </row>
    <row r="283" spans="1:66" ht="30" customHeight="1">
      <c r="A283" s="8855">
        <v>200</v>
      </c>
      <c r="B283" s="8856" t="s">
        <v>7775</v>
      </c>
      <c r="C283" s="13586"/>
      <c r="D283" s="11896" t="s">
        <v>86</v>
      </c>
      <c r="E283" s="11897"/>
      <c r="F283" s="11897"/>
      <c r="G283" s="13032" t="s">
        <v>4173</v>
      </c>
      <c r="H283" s="11899"/>
      <c r="I283" s="11900" t="s">
        <v>4163</v>
      </c>
      <c r="K283" s="13121">
        <v>1</v>
      </c>
      <c r="L283" s="8861"/>
      <c r="M283" s="8861"/>
      <c r="N283" s="8862"/>
      <c r="O283" s="8862"/>
      <c r="P283" s="8863"/>
      <c r="Q283" s="8864"/>
      <c r="R283" s="8865"/>
      <c r="S283" s="8866"/>
      <c r="T283" s="8867"/>
      <c r="U283" s="8864"/>
      <c r="V283" s="8865"/>
      <c r="W283" s="8867"/>
      <c r="X283" s="8865"/>
      <c r="Y283" s="8867"/>
      <c r="Z283" s="8865"/>
      <c r="AA283" s="8866"/>
      <c r="AB283" s="8866"/>
      <c r="AC283" s="8866"/>
      <c r="AD283" s="8866"/>
      <c r="AE283" s="8866"/>
      <c r="AF283" s="8867"/>
      <c r="AG283" s="8865"/>
      <c r="AH283" s="8866"/>
      <c r="AI283" s="8866"/>
      <c r="AJ283" s="8866"/>
      <c r="AK283" s="8866"/>
      <c r="AL283" s="8866"/>
      <c r="AM283" s="8866"/>
      <c r="AN283" s="8867"/>
      <c r="AO283" s="8865"/>
      <c r="AP283" s="8866"/>
      <c r="AQ283" s="8866"/>
      <c r="AR283" s="8866"/>
      <c r="AS283" s="8866"/>
      <c r="AT283" s="8867"/>
      <c r="AU283" s="8868"/>
      <c r="AV283" s="8868"/>
      <c r="AW283" s="8868"/>
      <c r="AX283" s="8860"/>
      <c r="AY283" s="8863"/>
      <c r="AZ283" s="8868"/>
      <c r="BA283" s="8860"/>
      <c r="BB283" s="8862"/>
      <c r="BC283" s="8863"/>
      <c r="BD283" s="8869"/>
      <c r="BF283" s="8859"/>
      <c r="BG283" s="8859"/>
      <c r="BH283" s="8859"/>
      <c r="BI283" s="8859"/>
      <c r="BJ283" s="8859"/>
      <c r="BK283" s="13084"/>
      <c r="BL283" s="13084"/>
      <c r="BM283" s="8859"/>
      <c r="BN283" s="8859"/>
    </row>
    <row r="284" spans="1:66" ht="30" customHeight="1">
      <c r="A284" s="8855">
        <v>201</v>
      </c>
      <c r="B284" s="8856" t="s">
        <v>7776</v>
      </c>
      <c r="C284" s="13586"/>
      <c r="D284" s="11896" t="s">
        <v>86</v>
      </c>
      <c r="E284" s="11897"/>
      <c r="F284" s="11897"/>
      <c r="G284" s="13032" t="s">
        <v>4174</v>
      </c>
      <c r="H284" s="11899"/>
      <c r="I284" s="11900" t="s">
        <v>3467</v>
      </c>
      <c r="K284" s="13121">
        <v>1</v>
      </c>
      <c r="L284" s="8861"/>
      <c r="M284" s="8861"/>
      <c r="N284" s="8862"/>
      <c r="O284" s="8862"/>
      <c r="P284" s="8863"/>
      <c r="Q284" s="8864"/>
      <c r="R284" s="8865"/>
      <c r="S284" s="8866"/>
      <c r="T284" s="8867"/>
      <c r="U284" s="8864"/>
      <c r="V284" s="8865"/>
      <c r="W284" s="8867"/>
      <c r="X284" s="8865"/>
      <c r="Y284" s="8867"/>
      <c r="Z284" s="8865"/>
      <c r="AA284" s="8866"/>
      <c r="AB284" s="8866"/>
      <c r="AC284" s="8866"/>
      <c r="AD284" s="8866"/>
      <c r="AE284" s="8866"/>
      <c r="AF284" s="8867"/>
      <c r="AG284" s="8865"/>
      <c r="AH284" s="8866"/>
      <c r="AI284" s="8866"/>
      <c r="AJ284" s="8866"/>
      <c r="AK284" s="8866"/>
      <c r="AL284" s="8866"/>
      <c r="AM284" s="8866"/>
      <c r="AN284" s="8867"/>
      <c r="AO284" s="8865"/>
      <c r="AP284" s="8866"/>
      <c r="AQ284" s="8866"/>
      <c r="AR284" s="8866"/>
      <c r="AS284" s="8866"/>
      <c r="AT284" s="8867"/>
      <c r="AU284" s="8868"/>
      <c r="AV284" s="8868"/>
      <c r="AW284" s="8868"/>
      <c r="AX284" s="8860"/>
      <c r="AY284" s="8863"/>
      <c r="AZ284" s="8868"/>
      <c r="BA284" s="8860"/>
      <c r="BB284" s="8862"/>
      <c r="BC284" s="8863"/>
      <c r="BD284" s="8869"/>
      <c r="BF284" s="8859"/>
      <c r="BG284" s="8859"/>
      <c r="BH284" s="8859"/>
      <c r="BI284" s="8859"/>
      <c r="BJ284" s="8859"/>
      <c r="BK284" s="13084"/>
      <c r="BL284" s="13084"/>
      <c r="BM284" s="8859"/>
      <c r="BN284" s="8859"/>
    </row>
    <row r="285" spans="1:66" ht="11.25" customHeight="1" thickBot="1">
      <c r="A285" s="8870">
        <v>202</v>
      </c>
      <c r="B285" s="8871" t="s">
        <v>7777</v>
      </c>
      <c r="C285" s="13586"/>
      <c r="D285" s="11901" t="s">
        <v>86</v>
      </c>
      <c r="E285" s="11902"/>
      <c r="F285" s="11902"/>
      <c r="G285" s="11903" t="s">
        <v>4175</v>
      </c>
      <c r="H285" s="11904"/>
      <c r="I285" s="11905" t="s">
        <v>4164</v>
      </c>
      <c r="K285" s="13121">
        <v>1</v>
      </c>
      <c r="L285" s="8874"/>
      <c r="M285" s="8874"/>
      <c r="N285" s="8875"/>
      <c r="O285" s="8875"/>
      <c r="P285" s="8876"/>
      <c r="Q285" s="8877"/>
      <c r="R285" s="8878"/>
      <c r="S285" s="8879"/>
      <c r="T285" s="8880"/>
      <c r="U285" s="8877"/>
      <c r="V285" s="8878"/>
      <c r="W285" s="8880"/>
      <c r="X285" s="8878"/>
      <c r="Y285" s="8880"/>
      <c r="Z285" s="8878"/>
      <c r="AA285" s="8879"/>
      <c r="AB285" s="8879"/>
      <c r="AC285" s="8879"/>
      <c r="AD285" s="8879"/>
      <c r="AE285" s="8879"/>
      <c r="AF285" s="8880"/>
      <c r="AG285" s="8878"/>
      <c r="AH285" s="8879"/>
      <c r="AI285" s="8879"/>
      <c r="AJ285" s="8879"/>
      <c r="AK285" s="8879"/>
      <c r="AL285" s="8879"/>
      <c r="AM285" s="8879"/>
      <c r="AN285" s="8880"/>
      <c r="AO285" s="8878"/>
      <c r="AP285" s="8879"/>
      <c r="AQ285" s="8879"/>
      <c r="AR285" s="8879"/>
      <c r="AS285" s="8879"/>
      <c r="AT285" s="8880"/>
      <c r="AU285" s="8881"/>
      <c r="AV285" s="8881"/>
      <c r="AW285" s="8881"/>
      <c r="AX285" s="8873"/>
      <c r="AY285" s="8876"/>
      <c r="AZ285" s="8881"/>
      <c r="BA285" s="8873"/>
      <c r="BB285" s="8875"/>
      <c r="BC285" s="8876"/>
      <c r="BD285" s="8882"/>
      <c r="BF285" s="8872"/>
      <c r="BG285" s="8872"/>
      <c r="BH285" s="8872"/>
      <c r="BI285" s="8872"/>
      <c r="BJ285" s="8872"/>
      <c r="BK285" s="8872"/>
      <c r="BL285" s="8872"/>
      <c r="BM285" s="8872"/>
      <c r="BN285" s="8872"/>
    </row>
    <row r="286" spans="1:66" ht="29.25" hidden="1" customHeight="1" thickBot="1">
      <c r="A286" s="13660">
        <v>203</v>
      </c>
      <c r="B286" s="13892" t="s">
        <v>7778</v>
      </c>
      <c r="C286" s="13587" t="s">
        <v>4311</v>
      </c>
      <c r="D286" s="11906" t="s">
        <v>86</v>
      </c>
      <c r="E286" s="11907" t="s">
        <v>1509</v>
      </c>
      <c r="F286" s="11907"/>
      <c r="G286" s="13973" t="s">
        <v>1507</v>
      </c>
      <c r="H286" s="13949" t="s">
        <v>1451</v>
      </c>
      <c r="I286" s="13964">
        <v>10</v>
      </c>
      <c r="K286" s="13132" t="s">
        <v>10385</v>
      </c>
      <c r="L286" s="12805"/>
      <c r="M286" s="12806"/>
      <c r="N286" s="12807" t="s">
        <v>10386</v>
      </c>
      <c r="O286" s="12807" t="s">
        <v>3537</v>
      </c>
      <c r="P286" s="12808">
        <v>40000000</v>
      </c>
      <c r="Q286" s="12808">
        <v>40000000</v>
      </c>
      <c r="R286" s="12808">
        <v>0</v>
      </c>
      <c r="S286" s="12808">
        <v>0</v>
      </c>
      <c r="T286" s="13133">
        <v>1891</v>
      </c>
      <c r="U286" s="12808">
        <v>703</v>
      </c>
      <c r="V286" s="12808">
        <v>1188</v>
      </c>
      <c r="W286" s="12808">
        <v>1503</v>
      </c>
      <c r="X286" s="12808">
        <v>388</v>
      </c>
      <c r="Y286" s="12808">
        <v>34</v>
      </c>
      <c r="Z286" s="12808">
        <v>356</v>
      </c>
      <c r="AA286" s="12808">
        <v>372</v>
      </c>
      <c r="AB286" s="12808">
        <v>319</v>
      </c>
      <c r="AC286" s="12808">
        <v>377</v>
      </c>
      <c r="AD286" s="12808">
        <v>306</v>
      </c>
      <c r="AE286" s="12808">
        <v>127</v>
      </c>
      <c r="AF286" s="12808">
        <v>1626</v>
      </c>
      <c r="AG286" s="12808">
        <v>55</v>
      </c>
      <c r="AH286" s="12808">
        <v>73</v>
      </c>
      <c r="AI286" s="12808">
        <v>19</v>
      </c>
      <c r="AJ286" s="12808">
        <v>100</v>
      </c>
      <c r="AK286" s="12808">
        <v>6</v>
      </c>
      <c r="AL286" s="12808">
        <v>0</v>
      </c>
      <c r="AM286" s="12808">
        <v>12</v>
      </c>
      <c r="AN286" s="12808">
        <v>1746</v>
      </c>
      <c r="AO286" s="12808">
        <v>122</v>
      </c>
      <c r="AP286" s="12808">
        <v>23</v>
      </c>
      <c r="AQ286" s="12808">
        <v>0</v>
      </c>
      <c r="AR286" s="12808">
        <v>0</v>
      </c>
      <c r="AS286" s="12808">
        <v>0</v>
      </c>
      <c r="AT286" s="13134"/>
      <c r="AU286" s="13134"/>
      <c r="AV286" s="13134"/>
      <c r="AW286" s="13134"/>
      <c r="AX286" s="13134"/>
      <c r="AY286" s="13134"/>
      <c r="AZ286" s="13134"/>
      <c r="BA286" s="13134"/>
      <c r="BB286" s="13134"/>
      <c r="BC286" s="13134"/>
      <c r="BD286" s="8892"/>
      <c r="BF286" s="14434"/>
      <c r="BG286" s="14434"/>
      <c r="BH286" s="14434"/>
      <c r="BI286" s="14434"/>
      <c r="BJ286" s="14434"/>
      <c r="BK286" s="13054"/>
      <c r="BL286" s="14434"/>
      <c r="BM286" s="14434"/>
      <c r="BN286" s="14434"/>
    </row>
    <row r="287" spans="1:66" ht="18" hidden="1" customHeight="1">
      <c r="A287" s="13526"/>
      <c r="B287" s="13893"/>
      <c r="C287" s="13588"/>
      <c r="D287" s="12804" t="s">
        <v>10063</v>
      </c>
      <c r="E287" s="7852"/>
      <c r="F287" s="7852" t="s">
        <v>79</v>
      </c>
      <c r="G287" s="13974"/>
      <c r="H287" s="13409"/>
      <c r="I287" s="13965"/>
      <c r="K287" s="7653"/>
      <c r="L287" s="7654"/>
      <c r="M287" s="7654"/>
      <c r="N287" s="7655"/>
      <c r="O287" s="7655"/>
      <c r="P287" s="7684"/>
      <c r="Q287" s="7674"/>
      <c r="R287" s="7669"/>
      <c r="S287" s="7656"/>
      <c r="T287" s="7689"/>
      <c r="U287" s="7674"/>
      <c r="V287" s="7669"/>
      <c r="W287" s="7689"/>
      <c r="X287" s="7669"/>
      <c r="Y287" s="7689"/>
      <c r="Z287" s="7669"/>
      <c r="AA287" s="7656"/>
      <c r="AB287" s="7656"/>
      <c r="AC287" s="7656"/>
      <c r="AD287" s="7656"/>
      <c r="AE287" s="7656"/>
      <c r="AF287" s="7689"/>
      <c r="AG287" s="7669"/>
      <c r="AH287" s="7656"/>
      <c r="AI287" s="7656"/>
      <c r="AJ287" s="7656"/>
      <c r="AK287" s="7656"/>
      <c r="AL287" s="7656"/>
      <c r="AM287" s="7656"/>
      <c r="AN287" s="7689"/>
      <c r="AO287" s="7669"/>
      <c r="AP287" s="7656"/>
      <c r="AQ287" s="7656"/>
      <c r="AR287" s="7656"/>
      <c r="AS287" s="7656"/>
      <c r="AT287" s="7689"/>
      <c r="AU287" s="7665"/>
      <c r="AV287" s="7665"/>
      <c r="AW287" s="7665"/>
      <c r="AX287" s="7653"/>
      <c r="AY287" s="7684"/>
      <c r="AZ287" s="7665"/>
      <c r="BA287" s="7653"/>
      <c r="BB287" s="7655"/>
      <c r="BC287" s="7684"/>
      <c r="BD287" s="7694"/>
      <c r="BF287" s="14435"/>
      <c r="BG287" s="14435"/>
      <c r="BH287" s="14435"/>
      <c r="BI287" s="14435"/>
      <c r="BJ287" s="14435"/>
      <c r="BK287" s="7911"/>
      <c r="BL287" s="14435"/>
      <c r="BM287" s="14435"/>
      <c r="BN287" s="14435"/>
    </row>
    <row r="288" spans="1:66" ht="18" hidden="1" customHeight="1">
      <c r="A288" s="13526"/>
      <c r="B288" s="13893"/>
      <c r="C288" s="13588"/>
      <c r="D288" s="11908" t="s">
        <v>10066</v>
      </c>
      <c r="E288" s="7852"/>
      <c r="F288" s="7852" t="s">
        <v>298</v>
      </c>
      <c r="G288" s="13919"/>
      <c r="H288" s="13403"/>
      <c r="I288" s="13966"/>
      <c r="K288" s="7653"/>
      <c r="L288" s="7654"/>
      <c r="M288" s="7654"/>
      <c r="N288" s="7655"/>
      <c r="O288" s="7655"/>
      <c r="P288" s="7684"/>
      <c r="Q288" s="7674"/>
      <c r="R288" s="7669"/>
      <c r="S288" s="7656"/>
      <c r="T288" s="7689"/>
      <c r="U288" s="7674"/>
      <c r="V288" s="7669"/>
      <c r="W288" s="7689"/>
      <c r="X288" s="7669"/>
      <c r="Y288" s="7689"/>
      <c r="Z288" s="7669"/>
      <c r="AA288" s="7656"/>
      <c r="AB288" s="7656"/>
      <c r="AC288" s="7656"/>
      <c r="AD288" s="7656"/>
      <c r="AE288" s="7656"/>
      <c r="AF288" s="7689"/>
      <c r="AG288" s="7669"/>
      <c r="AH288" s="7656"/>
      <c r="AI288" s="7656"/>
      <c r="AJ288" s="7656"/>
      <c r="AK288" s="7656"/>
      <c r="AL288" s="7656"/>
      <c r="AM288" s="7656"/>
      <c r="AN288" s="7689"/>
      <c r="AO288" s="7669"/>
      <c r="AP288" s="7656"/>
      <c r="AQ288" s="7656"/>
      <c r="AR288" s="7656"/>
      <c r="AS288" s="7656"/>
      <c r="AT288" s="7689"/>
      <c r="AU288" s="7665"/>
      <c r="AV288" s="7665"/>
      <c r="AW288" s="7665"/>
      <c r="AX288" s="7653"/>
      <c r="AY288" s="7684"/>
      <c r="AZ288" s="7665"/>
      <c r="BA288" s="7653"/>
      <c r="BB288" s="7655"/>
      <c r="BC288" s="7684"/>
      <c r="BD288" s="7694"/>
      <c r="BF288" s="14435"/>
      <c r="BG288" s="14435"/>
      <c r="BH288" s="14435"/>
      <c r="BI288" s="14435"/>
      <c r="BJ288" s="14435"/>
      <c r="BK288" s="7911"/>
      <c r="BL288" s="14435"/>
      <c r="BM288" s="14435"/>
      <c r="BN288" s="14435"/>
    </row>
    <row r="289" spans="1:66" ht="18" hidden="1" customHeight="1" thickBot="1">
      <c r="A289" s="7901">
        <v>204</v>
      </c>
      <c r="B289" s="7910" t="s">
        <v>7779</v>
      </c>
      <c r="C289" s="13588"/>
      <c r="D289" s="11908" t="s">
        <v>2859</v>
      </c>
      <c r="E289" s="7852" t="s">
        <v>1514</v>
      </c>
      <c r="F289" s="7852"/>
      <c r="G289" s="11909" t="s">
        <v>1513</v>
      </c>
      <c r="H289" s="11910" t="s">
        <v>1515</v>
      </c>
      <c r="I289" s="11911">
        <v>10</v>
      </c>
      <c r="K289" s="7657"/>
      <c r="L289" s="7658"/>
      <c r="M289" s="7658"/>
      <c r="N289" s="7659"/>
      <c r="O289" s="7659"/>
      <c r="P289" s="7685"/>
      <c r="Q289" s="7675"/>
      <c r="R289" s="7670"/>
      <c r="S289" s="7660"/>
      <c r="T289" s="7690"/>
      <c r="U289" s="7675"/>
      <c r="V289" s="7670"/>
      <c r="W289" s="7690"/>
      <c r="X289" s="7670"/>
      <c r="Y289" s="7690"/>
      <c r="Z289" s="7670"/>
      <c r="AA289" s="7660"/>
      <c r="AB289" s="7660"/>
      <c r="AC289" s="7660"/>
      <c r="AD289" s="7660"/>
      <c r="AE289" s="7660"/>
      <c r="AF289" s="7690"/>
      <c r="AG289" s="7670"/>
      <c r="AH289" s="7660"/>
      <c r="AI289" s="7660"/>
      <c r="AJ289" s="7660"/>
      <c r="AK289" s="7660"/>
      <c r="AL289" s="7660"/>
      <c r="AM289" s="7660"/>
      <c r="AN289" s="7690"/>
      <c r="AO289" s="7670"/>
      <c r="AP289" s="7660"/>
      <c r="AQ289" s="7660"/>
      <c r="AR289" s="7660"/>
      <c r="AS289" s="7660"/>
      <c r="AT289" s="7690"/>
      <c r="AU289" s="7666"/>
      <c r="AV289" s="7666"/>
      <c r="AW289" s="7666"/>
      <c r="AX289" s="7657"/>
      <c r="AY289" s="7685"/>
      <c r="AZ289" s="7666"/>
      <c r="BA289" s="7657"/>
      <c r="BB289" s="7659"/>
      <c r="BC289" s="7685"/>
      <c r="BD289" s="7901"/>
      <c r="BF289" s="7911"/>
      <c r="BG289" s="7911"/>
      <c r="BH289" s="7911"/>
      <c r="BI289" s="7911"/>
      <c r="BJ289" s="7911"/>
      <c r="BK289" s="7911"/>
      <c r="BL289" s="7911"/>
      <c r="BM289" s="7911"/>
      <c r="BN289" s="7911"/>
    </row>
    <row r="290" spans="1:66" ht="32.25" hidden="1" customHeight="1" thickBot="1">
      <c r="A290" s="13771">
        <v>205</v>
      </c>
      <c r="B290" s="13894" t="s">
        <v>7780</v>
      </c>
      <c r="C290" s="13587"/>
      <c r="D290" s="11908" t="s">
        <v>86</v>
      </c>
      <c r="E290" s="7852" t="s">
        <v>1509</v>
      </c>
      <c r="F290" s="7852"/>
      <c r="G290" s="13919" t="s">
        <v>1517</v>
      </c>
      <c r="H290" s="13403" t="s">
        <v>1519</v>
      </c>
      <c r="I290" s="13966">
        <v>10</v>
      </c>
      <c r="K290" s="13132" t="s">
        <v>10575</v>
      </c>
      <c r="L290" s="12805"/>
      <c r="M290" s="12806"/>
      <c r="N290" s="13134" t="s">
        <v>10584</v>
      </c>
      <c r="O290" s="13134" t="s">
        <v>3537</v>
      </c>
      <c r="P290" s="12808">
        <v>40000000</v>
      </c>
      <c r="Q290" s="12808">
        <v>40000000</v>
      </c>
      <c r="R290" s="12808">
        <v>0</v>
      </c>
      <c r="S290" s="13135">
        <v>0</v>
      </c>
      <c r="T290" s="13136">
        <v>1655</v>
      </c>
      <c r="U290" s="13135">
        <v>823</v>
      </c>
      <c r="V290" s="13135">
        <v>832</v>
      </c>
      <c r="W290" s="13135">
        <v>1316</v>
      </c>
      <c r="X290" s="13135">
        <v>339</v>
      </c>
      <c r="Y290" s="13135">
        <v>0</v>
      </c>
      <c r="Z290" s="13135">
        <v>395</v>
      </c>
      <c r="AA290" s="13135">
        <v>983</v>
      </c>
      <c r="AB290" s="13135">
        <v>182</v>
      </c>
      <c r="AC290" s="13135">
        <v>95</v>
      </c>
      <c r="AD290" s="13135">
        <v>0</v>
      </c>
      <c r="AE290" s="13135">
        <v>0</v>
      </c>
      <c r="AF290" s="13135">
        <v>1548</v>
      </c>
      <c r="AG290" s="13135">
        <v>45</v>
      </c>
      <c r="AH290" s="13135">
        <v>40</v>
      </c>
      <c r="AI290" s="13135">
        <v>8</v>
      </c>
      <c r="AJ290" s="13135">
        <v>0</v>
      </c>
      <c r="AK290" s="13135">
        <v>3</v>
      </c>
      <c r="AL290" s="13135">
        <v>0</v>
      </c>
      <c r="AM290" s="13135">
        <v>11</v>
      </c>
      <c r="AN290" s="13135">
        <v>1547</v>
      </c>
      <c r="AO290" s="13135">
        <v>97</v>
      </c>
      <c r="AP290" s="13135">
        <v>11</v>
      </c>
      <c r="AQ290" s="13135">
        <v>0</v>
      </c>
      <c r="AR290" s="13135">
        <v>0</v>
      </c>
      <c r="AS290" s="13135">
        <v>0</v>
      </c>
      <c r="AT290" s="13134"/>
      <c r="AU290" s="13134"/>
      <c r="AV290" s="13134"/>
      <c r="AW290" s="13134"/>
      <c r="AX290" s="13134"/>
      <c r="AY290" s="13134"/>
      <c r="AZ290" s="13134"/>
      <c r="BA290" s="13134"/>
      <c r="BB290" s="13134"/>
      <c r="BC290" s="13134"/>
      <c r="BD290" s="7694"/>
      <c r="BF290" s="14435"/>
      <c r="BG290" s="14435"/>
      <c r="BH290" s="14435"/>
      <c r="BI290" s="14435"/>
      <c r="BJ290" s="14435"/>
      <c r="BK290" s="13055"/>
      <c r="BL290" s="14435"/>
      <c r="BM290" s="14435"/>
      <c r="BN290" s="14435"/>
    </row>
    <row r="291" spans="1:66" ht="18" hidden="1" customHeight="1">
      <c r="A291" s="13660"/>
      <c r="B291" s="13892"/>
      <c r="C291" s="13588"/>
      <c r="D291" s="12804" t="s">
        <v>8644</v>
      </c>
      <c r="E291" s="7852"/>
      <c r="F291" s="7852" t="s">
        <v>1446</v>
      </c>
      <c r="G291" s="13974"/>
      <c r="H291" s="13409"/>
      <c r="I291" s="13965"/>
      <c r="K291" s="7653"/>
      <c r="L291" s="7654"/>
      <c r="M291" s="7654"/>
      <c r="N291" s="7655"/>
      <c r="O291" s="7655"/>
      <c r="P291" s="7684"/>
      <c r="Q291" s="7674"/>
      <c r="R291" s="7669"/>
      <c r="S291" s="7656"/>
      <c r="T291" s="7689"/>
      <c r="U291" s="7674"/>
      <c r="V291" s="7669"/>
      <c r="W291" s="7689"/>
      <c r="X291" s="7669"/>
      <c r="Y291" s="7689"/>
      <c r="Z291" s="7669"/>
      <c r="AA291" s="7656"/>
      <c r="AB291" s="7656"/>
      <c r="AC291" s="7656"/>
      <c r="AD291" s="7656"/>
      <c r="AE291" s="7656"/>
      <c r="AF291" s="7689"/>
      <c r="AG291" s="7669"/>
      <c r="AH291" s="7656"/>
      <c r="AI291" s="7656"/>
      <c r="AJ291" s="7656"/>
      <c r="AK291" s="7656"/>
      <c r="AL291" s="7656"/>
      <c r="AM291" s="7656"/>
      <c r="AN291" s="7689"/>
      <c r="AO291" s="7669"/>
      <c r="AP291" s="7656"/>
      <c r="AQ291" s="7656"/>
      <c r="AR291" s="7656"/>
      <c r="AS291" s="7656"/>
      <c r="AT291" s="7689"/>
      <c r="AU291" s="7665"/>
      <c r="AV291" s="7665"/>
      <c r="AW291" s="7665"/>
      <c r="AX291" s="7653"/>
      <c r="AY291" s="7684"/>
      <c r="AZ291" s="7665"/>
      <c r="BA291" s="7653"/>
      <c r="BB291" s="7655"/>
      <c r="BC291" s="7684"/>
      <c r="BD291" s="7694"/>
      <c r="BF291" s="14435"/>
      <c r="BG291" s="14435"/>
      <c r="BH291" s="14435"/>
      <c r="BI291" s="14435"/>
      <c r="BJ291" s="14435"/>
      <c r="BK291" s="7911"/>
      <c r="BL291" s="14435"/>
      <c r="BM291" s="14435"/>
      <c r="BN291" s="14435"/>
    </row>
    <row r="292" spans="1:66" ht="18" hidden="1" customHeight="1">
      <c r="A292" s="13771">
        <v>206</v>
      </c>
      <c r="B292" s="13894" t="s">
        <v>7781</v>
      </c>
      <c r="C292" s="13588"/>
      <c r="D292" s="11908" t="s">
        <v>10066</v>
      </c>
      <c r="E292" s="7852" t="s">
        <v>9307</v>
      </c>
      <c r="F292" s="7852"/>
      <c r="G292" s="13919" t="s">
        <v>1521</v>
      </c>
      <c r="H292" s="13403" t="s">
        <v>1522</v>
      </c>
      <c r="I292" s="13967">
        <v>1</v>
      </c>
      <c r="K292" s="8894"/>
      <c r="L292" s="7654"/>
      <c r="M292" s="7654"/>
      <c r="N292" s="8895"/>
      <c r="O292" s="8895"/>
      <c r="P292" s="8896"/>
      <c r="Q292" s="7674"/>
      <c r="R292" s="7669"/>
      <c r="S292" s="7656"/>
      <c r="T292" s="7689"/>
      <c r="U292" s="7674"/>
      <c r="V292" s="7669"/>
      <c r="W292" s="7689"/>
      <c r="X292" s="7669"/>
      <c r="Y292" s="7689"/>
      <c r="Z292" s="7669"/>
      <c r="AA292" s="7656"/>
      <c r="AB292" s="7656"/>
      <c r="AC292" s="7656"/>
      <c r="AD292" s="7656"/>
      <c r="AE292" s="7656"/>
      <c r="AF292" s="7689"/>
      <c r="AG292" s="7669"/>
      <c r="AH292" s="7656"/>
      <c r="AI292" s="7656"/>
      <c r="AJ292" s="7656"/>
      <c r="AK292" s="7656"/>
      <c r="AL292" s="7656"/>
      <c r="AM292" s="7656"/>
      <c r="AN292" s="7689"/>
      <c r="AO292" s="7669"/>
      <c r="AP292" s="7656"/>
      <c r="AQ292" s="7656"/>
      <c r="AR292" s="7656"/>
      <c r="AS292" s="7656"/>
      <c r="AT292" s="7689"/>
      <c r="AU292" s="8897"/>
      <c r="AV292" s="8897"/>
      <c r="AW292" s="8897"/>
      <c r="AX292" s="8894"/>
      <c r="AY292" s="8896"/>
      <c r="AZ292" s="8897"/>
      <c r="BA292" s="8894"/>
      <c r="BB292" s="8895"/>
      <c r="BC292" s="8896"/>
      <c r="BD292" s="8898"/>
      <c r="BF292" s="14435"/>
      <c r="BG292" s="14435"/>
      <c r="BH292" s="14435"/>
      <c r="BI292" s="14435"/>
      <c r="BJ292" s="14435"/>
      <c r="BK292" s="7911"/>
      <c r="BL292" s="14435"/>
      <c r="BM292" s="14435"/>
      <c r="BN292" s="14435"/>
    </row>
    <row r="293" spans="1:66" ht="18" hidden="1" customHeight="1">
      <c r="A293" s="13660"/>
      <c r="B293" s="13892"/>
      <c r="C293" s="13588"/>
      <c r="D293" s="11908" t="s">
        <v>10063</v>
      </c>
      <c r="E293" s="7852"/>
      <c r="F293" s="7852" t="s">
        <v>79</v>
      </c>
      <c r="G293" s="13919"/>
      <c r="H293" s="13403"/>
      <c r="I293" s="13967"/>
      <c r="K293" s="8894"/>
      <c r="L293" s="7654"/>
      <c r="M293" s="7654"/>
      <c r="N293" s="8895"/>
      <c r="O293" s="8895"/>
      <c r="P293" s="8896"/>
      <c r="Q293" s="7674"/>
      <c r="R293" s="7669"/>
      <c r="S293" s="7656"/>
      <c r="T293" s="7689"/>
      <c r="U293" s="7674"/>
      <c r="V293" s="7669"/>
      <c r="W293" s="7689"/>
      <c r="X293" s="7669"/>
      <c r="Y293" s="7689"/>
      <c r="Z293" s="7669"/>
      <c r="AA293" s="7656"/>
      <c r="AB293" s="7656"/>
      <c r="AC293" s="7656"/>
      <c r="AD293" s="7656"/>
      <c r="AE293" s="7656"/>
      <c r="AF293" s="7689"/>
      <c r="AG293" s="7669"/>
      <c r="AH293" s="7656"/>
      <c r="AI293" s="7656"/>
      <c r="AJ293" s="7656"/>
      <c r="AK293" s="7656"/>
      <c r="AL293" s="7656"/>
      <c r="AM293" s="7656"/>
      <c r="AN293" s="7689"/>
      <c r="AO293" s="7669"/>
      <c r="AP293" s="7656"/>
      <c r="AQ293" s="7656"/>
      <c r="AR293" s="7656"/>
      <c r="AS293" s="7656"/>
      <c r="AT293" s="7689"/>
      <c r="AU293" s="8897"/>
      <c r="AV293" s="8897"/>
      <c r="AW293" s="8897"/>
      <c r="AX293" s="8894"/>
      <c r="AY293" s="8896"/>
      <c r="AZ293" s="8897"/>
      <c r="BA293" s="8894"/>
      <c r="BB293" s="8895"/>
      <c r="BC293" s="8896"/>
      <c r="BD293" s="8898"/>
      <c r="BF293" s="14435"/>
      <c r="BG293" s="14435"/>
      <c r="BH293" s="14435"/>
      <c r="BI293" s="14435"/>
      <c r="BJ293" s="14435"/>
      <c r="BK293" s="7911"/>
      <c r="BL293" s="14435"/>
      <c r="BM293" s="14435"/>
      <c r="BN293" s="14435"/>
    </row>
    <row r="294" spans="1:66" ht="18" hidden="1" customHeight="1">
      <c r="A294" s="13526">
        <v>207</v>
      </c>
      <c r="B294" s="13893" t="s">
        <v>7782</v>
      </c>
      <c r="C294" s="13588"/>
      <c r="D294" s="11908" t="s">
        <v>10066</v>
      </c>
      <c r="E294" s="7852" t="s">
        <v>9307</v>
      </c>
      <c r="F294" s="7852"/>
      <c r="G294" s="13919" t="s">
        <v>1525</v>
      </c>
      <c r="H294" s="13403" t="s">
        <v>1527</v>
      </c>
      <c r="I294" s="13967">
        <v>1</v>
      </c>
      <c r="K294" s="8894"/>
      <c r="L294" s="7654"/>
      <c r="M294" s="7654"/>
      <c r="N294" s="8895"/>
      <c r="O294" s="8895"/>
      <c r="P294" s="8896"/>
      <c r="Q294" s="7674"/>
      <c r="R294" s="7669"/>
      <c r="S294" s="7656"/>
      <c r="T294" s="7689"/>
      <c r="U294" s="7674"/>
      <c r="V294" s="7669"/>
      <c r="W294" s="7689"/>
      <c r="X294" s="7669"/>
      <c r="Y294" s="7689"/>
      <c r="Z294" s="7669"/>
      <c r="AA294" s="7656"/>
      <c r="AB294" s="7656"/>
      <c r="AC294" s="7656"/>
      <c r="AD294" s="7656"/>
      <c r="AE294" s="7656"/>
      <c r="AF294" s="7689"/>
      <c r="AG294" s="7669"/>
      <c r="AH294" s="7656"/>
      <c r="AI294" s="7656"/>
      <c r="AJ294" s="7656"/>
      <c r="AK294" s="7656"/>
      <c r="AL294" s="7656"/>
      <c r="AM294" s="7656"/>
      <c r="AN294" s="7689"/>
      <c r="AO294" s="7669"/>
      <c r="AP294" s="7656"/>
      <c r="AQ294" s="7656"/>
      <c r="AR294" s="7656"/>
      <c r="AS294" s="7656"/>
      <c r="AT294" s="7689"/>
      <c r="AU294" s="8897"/>
      <c r="AV294" s="8897"/>
      <c r="AW294" s="8897"/>
      <c r="AX294" s="8894"/>
      <c r="AY294" s="8896"/>
      <c r="AZ294" s="8897"/>
      <c r="BA294" s="8894"/>
      <c r="BB294" s="8895"/>
      <c r="BC294" s="8896"/>
      <c r="BD294" s="8898"/>
      <c r="BF294" s="14435"/>
      <c r="BG294" s="14435"/>
      <c r="BH294" s="14435"/>
      <c r="BI294" s="14435"/>
      <c r="BJ294" s="14435"/>
      <c r="BK294" s="7911"/>
      <c r="BL294" s="14435"/>
      <c r="BM294" s="14435"/>
      <c r="BN294" s="14435"/>
    </row>
    <row r="295" spans="1:66" ht="18" hidden="1" customHeight="1">
      <c r="A295" s="13526"/>
      <c r="B295" s="13893"/>
      <c r="C295" s="13588"/>
      <c r="D295" s="11908" t="s">
        <v>10063</v>
      </c>
      <c r="E295" s="7852"/>
      <c r="F295" s="7852" t="s">
        <v>79</v>
      </c>
      <c r="G295" s="13919"/>
      <c r="H295" s="13403"/>
      <c r="I295" s="13967"/>
      <c r="K295" s="8894"/>
      <c r="L295" s="7654"/>
      <c r="M295" s="7654"/>
      <c r="N295" s="8895"/>
      <c r="O295" s="8895"/>
      <c r="P295" s="8896"/>
      <c r="Q295" s="7674"/>
      <c r="R295" s="7669"/>
      <c r="S295" s="7656"/>
      <c r="T295" s="7689"/>
      <c r="U295" s="7674"/>
      <c r="V295" s="7669"/>
      <c r="W295" s="7689"/>
      <c r="X295" s="7669"/>
      <c r="Y295" s="7689"/>
      <c r="Z295" s="7669"/>
      <c r="AA295" s="7656"/>
      <c r="AB295" s="7656"/>
      <c r="AC295" s="7656"/>
      <c r="AD295" s="7656"/>
      <c r="AE295" s="7656"/>
      <c r="AF295" s="7689"/>
      <c r="AG295" s="7669"/>
      <c r="AH295" s="7656"/>
      <c r="AI295" s="7656"/>
      <c r="AJ295" s="7656"/>
      <c r="AK295" s="7656"/>
      <c r="AL295" s="7656"/>
      <c r="AM295" s="7656"/>
      <c r="AN295" s="7689"/>
      <c r="AO295" s="7669"/>
      <c r="AP295" s="7656"/>
      <c r="AQ295" s="7656"/>
      <c r="AR295" s="7656"/>
      <c r="AS295" s="7656"/>
      <c r="AT295" s="7689"/>
      <c r="AU295" s="8897"/>
      <c r="AV295" s="8897"/>
      <c r="AW295" s="8897"/>
      <c r="AX295" s="8894"/>
      <c r="AY295" s="8896"/>
      <c r="AZ295" s="8897"/>
      <c r="BA295" s="8894"/>
      <c r="BB295" s="8895"/>
      <c r="BC295" s="8896"/>
      <c r="BD295" s="8898"/>
      <c r="BF295" s="14435"/>
      <c r="BG295" s="14435"/>
      <c r="BH295" s="14435"/>
      <c r="BI295" s="14435"/>
      <c r="BJ295" s="14435"/>
      <c r="BK295" s="7911"/>
      <c r="BL295" s="14435"/>
      <c r="BM295" s="14435"/>
      <c r="BN295" s="14435"/>
    </row>
    <row r="296" spans="1:66" ht="18" hidden="1" customHeight="1" thickBot="1">
      <c r="A296" s="13652"/>
      <c r="B296" s="13895"/>
      <c r="C296" s="13588"/>
      <c r="D296" s="11912" t="s">
        <v>2896</v>
      </c>
      <c r="E296" s="11913"/>
      <c r="F296" s="11913" t="s">
        <v>163</v>
      </c>
      <c r="G296" s="13920"/>
      <c r="H296" s="13476"/>
      <c r="I296" s="13968"/>
      <c r="K296" s="8899"/>
      <c r="L296" s="7628"/>
      <c r="M296" s="7628"/>
      <c r="N296" s="8900"/>
      <c r="O296" s="8900"/>
      <c r="P296" s="8901"/>
      <c r="Q296" s="7676"/>
      <c r="R296" s="7671"/>
      <c r="S296" s="7627"/>
      <c r="T296" s="7698"/>
      <c r="U296" s="7676"/>
      <c r="V296" s="7671"/>
      <c r="W296" s="7698"/>
      <c r="X296" s="7671"/>
      <c r="Y296" s="7698"/>
      <c r="Z296" s="7671"/>
      <c r="AA296" s="7627"/>
      <c r="AB296" s="7627"/>
      <c r="AC296" s="7627"/>
      <c r="AD296" s="7627"/>
      <c r="AE296" s="7627"/>
      <c r="AF296" s="7698"/>
      <c r="AG296" s="7671"/>
      <c r="AH296" s="7627"/>
      <c r="AI296" s="7627"/>
      <c r="AJ296" s="7627"/>
      <c r="AK296" s="7627"/>
      <c r="AL296" s="7627"/>
      <c r="AM296" s="7627"/>
      <c r="AN296" s="7698"/>
      <c r="AO296" s="7671"/>
      <c r="AP296" s="7627"/>
      <c r="AQ296" s="7627"/>
      <c r="AR296" s="7627"/>
      <c r="AS296" s="7627"/>
      <c r="AT296" s="7698"/>
      <c r="AU296" s="8902"/>
      <c r="AV296" s="8902"/>
      <c r="AW296" s="8902"/>
      <c r="AX296" s="8899"/>
      <c r="AY296" s="8901"/>
      <c r="AZ296" s="8902"/>
      <c r="BA296" s="8899"/>
      <c r="BB296" s="8900"/>
      <c r="BC296" s="8901"/>
      <c r="BD296" s="8903"/>
      <c r="BF296" s="14436"/>
      <c r="BG296" s="14436"/>
      <c r="BH296" s="14436"/>
      <c r="BI296" s="14436"/>
      <c r="BJ296" s="14436"/>
      <c r="BK296" s="7912"/>
      <c r="BL296" s="14436"/>
      <c r="BM296" s="14436"/>
      <c r="BN296" s="14436"/>
    </row>
    <row r="297" spans="1:66" ht="24.75" hidden="1" customHeight="1" thickBot="1">
      <c r="A297" s="13772">
        <v>208</v>
      </c>
      <c r="B297" s="13896" t="s">
        <v>7783</v>
      </c>
      <c r="C297" s="13587"/>
      <c r="D297" s="11914" t="s">
        <v>86</v>
      </c>
      <c r="E297" s="7820" t="s">
        <v>1509</v>
      </c>
      <c r="F297" s="7820"/>
      <c r="G297" s="13928" t="s">
        <v>1531</v>
      </c>
      <c r="H297" s="13451" t="s">
        <v>1533</v>
      </c>
      <c r="I297" s="13969">
        <v>20</v>
      </c>
      <c r="K297" s="13137" t="s">
        <v>10385</v>
      </c>
      <c r="L297" s="12810"/>
      <c r="M297" s="12811"/>
      <c r="N297" s="13138"/>
      <c r="O297" s="12811"/>
      <c r="P297" s="13139" t="s">
        <v>10387</v>
      </c>
      <c r="Q297" s="13139" t="s">
        <v>2951</v>
      </c>
      <c r="R297" s="13139" t="s">
        <v>2951</v>
      </c>
      <c r="S297" s="13139" t="s">
        <v>2951</v>
      </c>
      <c r="T297" s="13140" t="s">
        <v>2951</v>
      </c>
      <c r="U297" s="13139" t="s">
        <v>2951</v>
      </c>
      <c r="V297" s="13139" t="s">
        <v>2951</v>
      </c>
      <c r="W297" s="13139" t="s">
        <v>2951</v>
      </c>
      <c r="X297" s="13139" t="s">
        <v>2951</v>
      </c>
      <c r="Y297" s="13139" t="s">
        <v>2951</v>
      </c>
      <c r="Z297" s="13139" t="s">
        <v>2951</v>
      </c>
      <c r="AA297" s="13139" t="s">
        <v>2951</v>
      </c>
      <c r="AB297" s="13139" t="s">
        <v>2951</v>
      </c>
      <c r="AC297" s="13139" t="s">
        <v>2951</v>
      </c>
      <c r="AD297" s="13139" t="s">
        <v>2951</v>
      </c>
      <c r="AE297" s="13139" t="s">
        <v>2951</v>
      </c>
      <c r="AF297" s="13139" t="s">
        <v>2951</v>
      </c>
      <c r="AG297" s="13139" t="s">
        <v>2951</v>
      </c>
      <c r="AH297" s="13139" t="s">
        <v>2951</v>
      </c>
      <c r="AI297" s="13139" t="s">
        <v>2951</v>
      </c>
      <c r="AJ297" s="13139" t="s">
        <v>2951</v>
      </c>
      <c r="AK297" s="13139" t="s">
        <v>2951</v>
      </c>
      <c r="AL297" s="13139" t="s">
        <v>2951</v>
      </c>
      <c r="AM297" s="13139" t="s">
        <v>2951</v>
      </c>
      <c r="AN297" s="13139" t="s">
        <v>2951</v>
      </c>
      <c r="AO297" s="13139" t="s">
        <v>2951</v>
      </c>
      <c r="AP297" s="13139" t="s">
        <v>2951</v>
      </c>
      <c r="AQ297" s="13139" t="s">
        <v>2951</v>
      </c>
      <c r="AR297" s="13139" t="s">
        <v>2951</v>
      </c>
      <c r="AS297" s="13139" t="s">
        <v>2951</v>
      </c>
      <c r="AT297" s="13138" t="s">
        <v>2951</v>
      </c>
      <c r="AU297" s="13138" t="s">
        <v>2951</v>
      </c>
      <c r="AV297" s="13138" t="s">
        <v>2951</v>
      </c>
      <c r="AW297" s="13138" t="s">
        <v>2951</v>
      </c>
      <c r="AX297" s="13138" t="s">
        <v>2951</v>
      </c>
      <c r="AY297" s="13138"/>
      <c r="AZ297" s="13138"/>
      <c r="BA297" s="13138"/>
      <c r="BB297" s="13138"/>
      <c r="BC297" s="13138"/>
      <c r="BD297" s="8915"/>
      <c r="BF297" s="14437"/>
      <c r="BG297" s="14437"/>
      <c r="BH297" s="14437"/>
      <c r="BI297" s="14437"/>
      <c r="BJ297" s="14437"/>
      <c r="BK297" s="13056"/>
      <c r="BL297" s="14437"/>
      <c r="BM297" s="14437"/>
      <c r="BN297" s="14437"/>
    </row>
    <row r="298" spans="1:66" ht="18" hidden="1" customHeight="1">
      <c r="A298" s="13772"/>
      <c r="B298" s="13896"/>
      <c r="C298" s="13588"/>
      <c r="D298" s="11914" t="s">
        <v>10063</v>
      </c>
      <c r="E298" s="7822"/>
      <c r="F298" s="7822" t="s">
        <v>79</v>
      </c>
      <c r="G298" s="13929"/>
      <c r="H298" s="13978"/>
      <c r="I298" s="13970"/>
      <c r="K298" s="8919"/>
      <c r="L298" s="8920"/>
      <c r="M298" s="8920"/>
      <c r="N298" s="8921"/>
      <c r="O298" s="8921"/>
      <c r="P298" s="8922"/>
      <c r="Q298" s="8923"/>
      <c r="R298" s="8924"/>
      <c r="S298" s="8925"/>
      <c r="T298" s="8926"/>
      <c r="U298" s="8923"/>
      <c r="V298" s="8924"/>
      <c r="W298" s="8926"/>
      <c r="X298" s="8924"/>
      <c r="Y298" s="8926"/>
      <c r="Z298" s="8924"/>
      <c r="AA298" s="8925"/>
      <c r="AB298" s="8925"/>
      <c r="AC298" s="8925"/>
      <c r="AD298" s="8925"/>
      <c r="AE298" s="8925"/>
      <c r="AF298" s="8926"/>
      <c r="AG298" s="8924"/>
      <c r="AH298" s="8925"/>
      <c r="AI298" s="8925"/>
      <c r="AJ298" s="8925"/>
      <c r="AK298" s="8925"/>
      <c r="AL298" s="8925"/>
      <c r="AM298" s="8925"/>
      <c r="AN298" s="8926"/>
      <c r="AO298" s="8924"/>
      <c r="AP298" s="8925"/>
      <c r="AQ298" s="8925"/>
      <c r="AR298" s="8925"/>
      <c r="AS298" s="8925"/>
      <c r="AT298" s="8926"/>
      <c r="AU298" s="8927"/>
      <c r="AV298" s="8927"/>
      <c r="AW298" s="8927"/>
      <c r="AX298" s="8919"/>
      <c r="AY298" s="8922"/>
      <c r="AZ298" s="8927"/>
      <c r="BA298" s="8919"/>
      <c r="BB298" s="8921"/>
      <c r="BC298" s="8922"/>
      <c r="BD298" s="8928"/>
      <c r="BF298" s="14437"/>
      <c r="BG298" s="14437"/>
      <c r="BH298" s="14437"/>
      <c r="BI298" s="14437"/>
      <c r="BJ298" s="14437"/>
      <c r="BK298" s="8916"/>
      <c r="BL298" s="14437"/>
      <c r="BM298" s="14437"/>
      <c r="BN298" s="14437"/>
    </row>
    <row r="299" spans="1:66" ht="18" hidden="1" customHeight="1">
      <c r="A299" s="13772"/>
      <c r="B299" s="13896"/>
      <c r="C299" s="13588"/>
      <c r="D299" s="11915" t="s">
        <v>2896</v>
      </c>
      <c r="E299" s="7822"/>
      <c r="F299" s="7822" t="s">
        <v>10192</v>
      </c>
      <c r="G299" s="13929"/>
      <c r="H299" s="13978"/>
      <c r="I299" s="13970"/>
      <c r="K299" s="8919"/>
      <c r="L299" s="8920"/>
      <c r="M299" s="8920"/>
      <c r="N299" s="8921"/>
      <c r="O299" s="8921"/>
      <c r="P299" s="8922"/>
      <c r="Q299" s="8923"/>
      <c r="R299" s="8924"/>
      <c r="S299" s="8925"/>
      <c r="T299" s="8926"/>
      <c r="U299" s="8923"/>
      <c r="V299" s="8924"/>
      <c r="W299" s="8926"/>
      <c r="X299" s="8924"/>
      <c r="Y299" s="8926"/>
      <c r="Z299" s="8924"/>
      <c r="AA299" s="8925"/>
      <c r="AB299" s="8925"/>
      <c r="AC299" s="8925"/>
      <c r="AD299" s="8925"/>
      <c r="AE299" s="8925"/>
      <c r="AF299" s="8926"/>
      <c r="AG299" s="8924"/>
      <c r="AH299" s="8925"/>
      <c r="AI299" s="8925"/>
      <c r="AJ299" s="8925"/>
      <c r="AK299" s="8925"/>
      <c r="AL299" s="8925"/>
      <c r="AM299" s="8925"/>
      <c r="AN299" s="8926"/>
      <c r="AO299" s="8924"/>
      <c r="AP299" s="8925"/>
      <c r="AQ299" s="8925"/>
      <c r="AR299" s="8925"/>
      <c r="AS299" s="8925"/>
      <c r="AT299" s="8926"/>
      <c r="AU299" s="8927"/>
      <c r="AV299" s="8927"/>
      <c r="AW299" s="8927"/>
      <c r="AX299" s="8919"/>
      <c r="AY299" s="8922"/>
      <c r="AZ299" s="8927"/>
      <c r="BA299" s="8919"/>
      <c r="BB299" s="8921"/>
      <c r="BC299" s="8922"/>
      <c r="BD299" s="8928"/>
      <c r="BF299" s="14437"/>
      <c r="BG299" s="14437"/>
      <c r="BH299" s="14437"/>
      <c r="BI299" s="14437"/>
      <c r="BJ299" s="14437"/>
      <c r="BK299" s="8916"/>
      <c r="BL299" s="14437"/>
      <c r="BM299" s="14437"/>
      <c r="BN299" s="14437"/>
    </row>
    <row r="300" spans="1:66" ht="18" hidden="1" customHeight="1" thickBot="1">
      <c r="A300" s="13694"/>
      <c r="B300" s="13897"/>
      <c r="C300" s="13588"/>
      <c r="D300" s="11915" t="s">
        <v>10066</v>
      </c>
      <c r="E300" s="7822"/>
      <c r="F300" s="7822" t="s">
        <v>10071</v>
      </c>
      <c r="G300" s="13928"/>
      <c r="H300" s="13451"/>
      <c r="I300" s="13969"/>
      <c r="K300" s="8919"/>
      <c r="L300" s="8920"/>
      <c r="M300" s="8920"/>
      <c r="N300" s="8921"/>
      <c r="O300" s="8921"/>
      <c r="P300" s="8922"/>
      <c r="Q300" s="8923"/>
      <c r="R300" s="8924"/>
      <c r="S300" s="8925"/>
      <c r="T300" s="8926"/>
      <c r="U300" s="8923"/>
      <c r="V300" s="8924"/>
      <c r="W300" s="8926"/>
      <c r="X300" s="8924"/>
      <c r="Y300" s="8926"/>
      <c r="Z300" s="8924"/>
      <c r="AA300" s="8925"/>
      <c r="AB300" s="8925"/>
      <c r="AC300" s="8925"/>
      <c r="AD300" s="8925"/>
      <c r="AE300" s="8925"/>
      <c r="AF300" s="8926"/>
      <c r="AG300" s="8924"/>
      <c r="AH300" s="8925"/>
      <c r="AI300" s="8925"/>
      <c r="AJ300" s="8925"/>
      <c r="AK300" s="8925"/>
      <c r="AL300" s="8925"/>
      <c r="AM300" s="8925"/>
      <c r="AN300" s="8926"/>
      <c r="AO300" s="8924"/>
      <c r="AP300" s="8925"/>
      <c r="AQ300" s="8925"/>
      <c r="AR300" s="8925"/>
      <c r="AS300" s="8925"/>
      <c r="AT300" s="8926"/>
      <c r="AU300" s="8927"/>
      <c r="AV300" s="8927"/>
      <c r="AW300" s="8927"/>
      <c r="AX300" s="8919"/>
      <c r="AY300" s="8922"/>
      <c r="AZ300" s="8927"/>
      <c r="BA300" s="8919"/>
      <c r="BB300" s="8921"/>
      <c r="BC300" s="8922"/>
      <c r="BD300" s="8928"/>
      <c r="BF300" s="14438"/>
      <c r="BG300" s="14438"/>
      <c r="BH300" s="14438"/>
      <c r="BI300" s="14438"/>
      <c r="BJ300" s="14438"/>
      <c r="BK300" s="8929"/>
      <c r="BL300" s="14438"/>
      <c r="BM300" s="14438"/>
      <c r="BN300" s="14438"/>
    </row>
    <row r="301" spans="1:66" ht="30" hidden="1" customHeight="1">
      <c r="A301" s="8930">
        <v>209</v>
      </c>
      <c r="B301" s="8931" t="s">
        <v>7784</v>
      </c>
      <c r="C301" s="13589"/>
      <c r="D301" s="11914" t="s">
        <v>86</v>
      </c>
      <c r="E301" s="11916" t="s">
        <v>1509</v>
      </c>
      <c r="F301" s="7822"/>
      <c r="G301" s="13015" t="s">
        <v>1535</v>
      </c>
      <c r="H301" s="12974" t="s">
        <v>1537</v>
      </c>
      <c r="I301" s="11919">
        <v>300</v>
      </c>
      <c r="K301" s="13137" t="s">
        <v>10385</v>
      </c>
      <c r="L301" s="12810"/>
      <c r="M301" s="12811"/>
      <c r="N301" s="13138"/>
      <c r="O301" s="12811"/>
      <c r="P301" s="13139" t="s">
        <v>10387</v>
      </c>
      <c r="Q301" s="13139" t="s">
        <v>2951</v>
      </c>
      <c r="R301" s="13139" t="s">
        <v>2951</v>
      </c>
      <c r="S301" s="13139" t="s">
        <v>2951</v>
      </c>
      <c r="T301" s="13140" t="s">
        <v>2951</v>
      </c>
      <c r="U301" s="13139" t="s">
        <v>2951</v>
      </c>
      <c r="V301" s="13139" t="s">
        <v>2951</v>
      </c>
      <c r="W301" s="13139" t="s">
        <v>2951</v>
      </c>
      <c r="X301" s="13139" t="s">
        <v>2951</v>
      </c>
      <c r="Y301" s="13139" t="s">
        <v>2951</v>
      </c>
      <c r="Z301" s="13139" t="s">
        <v>2951</v>
      </c>
      <c r="AA301" s="13139" t="s">
        <v>2951</v>
      </c>
      <c r="AB301" s="13139" t="s">
        <v>2951</v>
      </c>
      <c r="AC301" s="13139" t="s">
        <v>2951</v>
      </c>
      <c r="AD301" s="13139" t="s">
        <v>2951</v>
      </c>
      <c r="AE301" s="13139" t="s">
        <v>2951</v>
      </c>
      <c r="AF301" s="13139" t="s">
        <v>2951</v>
      </c>
      <c r="AG301" s="13139" t="s">
        <v>2951</v>
      </c>
      <c r="AH301" s="13139" t="s">
        <v>2951</v>
      </c>
      <c r="AI301" s="13139" t="s">
        <v>2951</v>
      </c>
      <c r="AJ301" s="13139" t="s">
        <v>2951</v>
      </c>
      <c r="AK301" s="13139" t="s">
        <v>2951</v>
      </c>
      <c r="AL301" s="13139" t="s">
        <v>2951</v>
      </c>
      <c r="AM301" s="13139" t="s">
        <v>2951</v>
      </c>
      <c r="AN301" s="13139" t="s">
        <v>2951</v>
      </c>
      <c r="AO301" s="13139" t="s">
        <v>2951</v>
      </c>
      <c r="AP301" s="13139" t="s">
        <v>2951</v>
      </c>
      <c r="AQ301" s="13139" t="s">
        <v>2951</v>
      </c>
      <c r="AR301" s="13139" t="s">
        <v>2951</v>
      </c>
      <c r="AS301" s="13139" t="s">
        <v>2951</v>
      </c>
      <c r="AT301" s="13138" t="s">
        <v>2951</v>
      </c>
      <c r="AU301" s="13138" t="s">
        <v>2951</v>
      </c>
      <c r="AV301" s="13138" t="s">
        <v>2951</v>
      </c>
      <c r="AW301" s="13138" t="s">
        <v>2951</v>
      </c>
      <c r="AX301" s="13138" t="s">
        <v>2951</v>
      </c>
      <c r="AY301" s="13138"/>
      <c r="AZ301" s="13138"/>
      <c r="BA301" s="13138"/>
      <c r="BB301" s="13138"/>
      <c r="BC301" s="13138"/>
      <c r="BD301" s="12998"/>
      <c r="BF301" s="8932"/>
      <c r="BG301" s="8932"/>
      <c r="BH301" s="8932"/>
      <c r="BI301" s="8932"/>
      <c r="BJ301" s="8932"/>
      <c r="BK301" s="13058"/>
      <c r="BL301" s="13058"/>
      <c r="BM301" s="8932"/>
      <c r="BN301" s="8932"/>
    </row>
    <row r="302" spans="1:66" ht="30" hidden="1" customHeight="1" thickBot="1">
      <c r="A302" s="13648">
        <v>210</v>
      </c>
      <c r="B302" s="13884" t="s">
        <v>7785</v>
      </c>
      <c r="C302" s="13590"/>
      <c r="D302" s="11915" t="s">
        <v>86</v>
      </c>
      <c r="E302" s="7822" t="s">
        <v>1509</v>
      </c>
      <c r="F302" s="7822"/>
      <c r="G302" s="13930" t="s">
        <v>1540</v>
      </c>
      <c r="H302" s="13395" t="s">
        <v>1543</v>
      </c>
      <c r="I302" s="13971">
        <v>0.14000000000000001</v>
      </c>
      <c r="K302" s="13137" t="s">
        <v>10577</v>
      </c>
      <c r="L302" s="12812"/>
      <c r="M302" s="12813"/>
      <c r="N302" s="13141"/>
      <c r="O302" s="13138"/>
      <c r="P302" s="13139"/>
      <c r="Q302" s="13139"/>
      <c r="R302" s="13139"/>
      <c r="S302" s="13139"/>
      <c r="T302" s="13140"/>
      <c r="U302" s="13139"/>
      <c r="V302" s="13139"/>
      <c r="W302" s="13139"/>
      <c r="X302" s="13139"/>
      <c r="Y302" s="13139"/>
      <c r="Z302" s="13139"/>
      <c r="AA302" s="13139"/>
      <c r="AB302" s="13139"/>
      <c r="AC302" s="13139"/>
      <c r="AD302" s="13139"/>
      <c r="AE302" s="13139"/>
      <c r="AF302" s="13139"/>
      <c r="AG302" s="13139"/>
      <c r="AH302" s="13139"/>
      <c r="AI302" s="13139"/>
      <c r="AJ302" s="13139"/>
      <c r="AK302" s="13139"/>
      <c r="AL302" s="13139"/>
      <c r="AM302" s="13139"/>
      <c r="AN302" s="13139"/>
      <c r="AO302" s="13139"/>
      <c r="AP302" s="13139"/>
      <c r="AQ302" s="13139"/>
      <c r="AR302" s="13139"/>
      <c r="AS302" s="13139"/>
      <c r="AT302" s="13141"/>
      <c r="AU302" s="13141"/>
      <c r="AV302" s="13141"/>
      <c r="AW302" s="13141"/>
      <c r="AX302" s="13141"/>
      <c r="AY302" s="13141"/>
      <c r="AZ302" s="13141"/>
      <c r="BA302" s="13141"/>
      <c r="BB302" s="13141"/>
      <c r="BC302" s="13141"/>
      <c r="BD302" s="8945"/>
      <c r="BF302" s="14439"/>
      <c r="BG302" s="14439"/>
      <c r="BH302" s="14439"/>
      <c r="BI302" s="14439"/>
      <c r="BJ302" s="14439"/>
      <c r="BK302" s="13058"/>
      <c r="BL302" s="14439"/>
      <c r="BM302" s="14439"/>
      <c r="BN302" s="14439"/>
    </row>
    <row r="303" spans="1:66" ht="30" hidden="1" customHeight="1">
      <c r="A303" s="13648"/>
      <c r="B303" s="13884"/>
      <c r="C303" s="13588"/>
      <c r="D303" s="11914" t="s">
        <v>2896</v>
      </c>
      <c r="E303" s="7822"/>
      <c r="F303" s="7822" t="s">
        <v>1542</v>
      </c>
      <c r="G303" s="13928"/>
      <c r="H303" s="13451"/>
      <c r="I303" s="13972"/>
      <c r="K303" s="8941"/>
      <c r="L303" s="8920"/>
      <c r="M303" s="8920"/>
      <c r="N303" s="8942"/>
      <c r="O303" s="8942"/>
      <c r="P303" s="8943"/>
      <c r="Q303" s="8923"/>
      <c r="R303" s="8924"/>
      <c r="S303" s="8925"/>
      <c r="T303" s="8926"/>
      <c r="U303" s="8923"/>
      <c r="V303" s="8924"/>
      <c r="W303" s="8926"/>
      <c r="X303" s="8924"/>
      <c r="Y303" s="8926"/>
      <c r="Z303" s="8924"/>
      <c r="AA303" s="8925"/>
      <c r="AB303" s="8925"/>
      <c r="AC303" s="8925"/>
      <c r="AD303" s="8925"/>
      <c r="AE303" s="8925"/>
      <c r="AF303" s="8926"/>
      <c r="AG303" s="8924"/>
      <c r="AH303" s="8925"/>
      <c r="AI303" s="8925"/>
      <c r="AJ303" s="8925"/>
      <c r="AK303" s="8925"/>
      <c r="AL303" s="8925"/>
      <c r="AM303" s="8925"/>
      <c r="AN303" s="8926"/>
      <c r="AO303" s="8924"/>
      <c r="AP303" s="8925"/>
      <c r="AQ303" s="8925"/>
      <c r="AR303" s="8925"/>
      <c r="AS303" s="8925"/>
      <c r="AT303" s="8926"/>
      <c r="AU303" s="8944"/>
      <c r="AV303" s="8944"/>
      <c r="AW303" s="8944"/>
      <c r="AX303" s="8941"/>
      <c r="AY303" s="8943"/>
      <c r="AZ303" s="8944"/>
      <c r="BA303" s="8941"/>
      <c r="BB303" s="8942"/>
      <c r="BC303" s="8943"/>
      <c r="BD303" s="8945"/>
      <c r="BF303" s="14439"/>
      <c r="BG303" s="14439"/>
      <c r="BH303" s="14439"/>
      <c r="BI303" s="14439"/>
      <c r="BJ303" s="14439"/>
      <c r="BK303" s="8932"/>
      <c r="BL303" s="14439"/>
      <c r="BM303" s="14439"/>
      <c r="BN303" s="14439"/>
    </row>
    <row r="304" spans="1:66" ht="30" hidden="1" customHeight="1" thickBot="1">
      <c r="A304" s="8930">
        <v>211</v>
      </c>
      <c r="B304" s="8931" t="s">
        <v>7786</v>
      </c>
      <c r="C304" s="13588"/>
      <c r="D304" s="11915" t="s">
        <v>2896</v>
      </c>
      <c r="E304" s="7822" t="s">
        <v>163</v>
      </c>
      <c r="F304" s="7822"/>
      <c r="G304" s="11917" t="s">
        <v>1546</v>
      </c>
      <c r="H304" s="11918" t="s">
        <v>1548</v>
      </c>
      <c r="I304" s="11921">
        <v>1</v>
      </c>
      <c r="K304" s="8946"/>
      <c r="L304" s="8933"/>
      <c r="M304" s="8933"/>
      <c r="N304" s="8947"/>
      <c r="O304" s="8947"/>
      <c r="P304" s="8948"/>
      <c r="Q304" s="8936"/>
      <c r="R304" s="8937"/>
      <c r="S304" s="8938"/>
      <c r="T304" s="8939"/>
      <c r="U304" s="8936"/>
      <c r="V304" s="8937"/>
      <c r="W304" s="8939"/>
      <c r="X304" s="8937"/>
      <c r="Y304" s="8939"/>
      <c r="Z304" s="8937"/>
      <c r="AA304" s="8938"/>
      <c r="AB304" s="8938"/>
      <c r="AC304" s="8938"/>
      <c r="AD304" s="8938"/>
      <c r="AE304" s="8938"/>
      <c r="AF304" s="8939"/>
      <c r="AG304" s="8937"/>
      <c r="AH304" s="8938"/>
      <c r="AI304" s="8938"/>
      <c r="AJ304" s="8938"/>
      <c r="AK304" s="8938"/>
      <c r="AL304" s="8938"/>
      <c r="AM304" s="8938"/>
      <c r="AN304" s="8939"/>
      <c r="AO304" s="8937"/>
      <c r="AP304" s="8938"/>
      <c r="AQ304" s="8938"/>
      <c r="AR304" s="8938"/>
      <c r="AS304" s="8938"/>
      <c r="AT304" s="8939"/>
      <c r="AU304" s="8949"/>
      <c r="AV304" s="8949"/>
      <c r="AW304" s="8949"/>
      <c r="AX304" s="8946"/>
      <c r="AY304" s="8948"/>
      <c r="AZ304" s="8949"/>
      <c r="BA304" s="8946"/>
      <c r="BB304" s="8947"/>
      <c r="BC304" s="8948"/>
      <c r="BD304" s="8950"/>
      <c r="BF304" s="8932"/>
      <c r="BG304" s="8932"/>
      <c r="BH304" s="8932"/>
      <c r="BI304" s="8932"/>
      <c r="BJ304" s="8932"/>
      <c r="BK304" s="8932"/>
      <c r="BL304" s="8932"/>
      <c r="BM304" s="8932"/>
      <c r="BN304" s="8932"/>
    </row>
    <row r="305" spans="1:66" ht="15.75" hidden="1" customHeight="1" thickBot="1">
      <c r="A305" s="13648">
        <v>212</v>
      </c>
      <c r="B305" s="13884" t="s">
        <v>7787</v>
      </c>
      <c r="C305" s="13587"/>
      <c r="D305" s="11915" t="s">
        <v>86</v>
      </c>
      <c r="E305" s="7822" t="s">
        <v>1509</v>
      </c>
      <c r="F305" s="7822"/>
      <c r="G305" s="13930" t="s">
        <v>1550</v>
      </c>
      <c r="H305" s="13395" t="s">
        <v>1551</v>
      </c>
      <c r="I305" s="13975">
        <v>6</v>
      </c>
      <c r="K305" s="13137" t="s">
        <v>10388</v>
      </c>
      <c r="L305" s="12812"/>
      <c r="M305" s="12810"/>
      <c r="N305" s="13142" t="s">
        <v>10585</v>
      </c>
      <c r="O305" s="13142" t="s">
        <v>10389</v>
      </c>
      <c r="P305" s="13143"/>
      <c r="Q305" s="13139"/>
      <c r="R305" s="13139"/>
      <c r="S305" s="13139"/>
      <c r="T305" s="13140">
        <v>8299</v>
      </c>
      <c r="U305" s="13139">
        <v>4006</v>
      </c>
      <c r="V305" s="13139">
        <v>4293</v>
      </c>
      <c r="W305" s="13139">
        <v>5974</v>
      </c>
      <c r="X305" s="13139">
        <v>2325</v>
      </c>
      <c r="Y305" s="13139">
        <v>0</v>
      </c>
      <c r="Z305" s="13139">
        <v>3512</v>
      </c>
      <c r="AA305" s="13139">
        <v>4787</v>
      </c>
      <c r="AB305" s="13139">
        <v>0</v>
      </c>
      <c r="AC305" s="13139">
        <v>0</v>
      </c>
      <c r="AD305" s="13139">
        <v>0</v>
      </c>
      <c r="AE305" s="13139">
        <v>0</v>
      </c>
      <c r="AF305" s="13139">
        <v>8003</v>
      </c>
      <c r="AG305" s="13139">
        <v>40</v>
      </c>
      <c r="AH305" s="13139">
        <v>256</v>
      </c>
      <c r="AI305" s="13139">
        <v>0</v>
      </c>
      <c r="AJ305" s="13139">
        <v>0</v>
      </c>
      <c r="AK305" s="13139">
        <v>0</v>
      </c>
      <c r="AL305" s="13139">
        <v>0</v>
      </c>
      <c r="AM305" s="13139">
        <v>0</v>
      </c>
      <c r="AN305" s="13139">
        <v>8101</v>
      </c>
      <c r="AO305" s="13139">
        <v>164</v>
      </c>
      <c r="AP305" s="13139">
        <v>34</v>
      </c>
      <c r="AQ305" s="13139">
        <v>0</v>
      </c>
      <c r="AR305" s="13139">
        <v>0</v>
      </c>
      <c r="AS305" s="13139">
        <v>0</v>
      </c>
      <c r="AT305" s="13138"/>
      <c r="AU305" s="13138"/>
      <c r="AV305" s="13138"/>
      <c r="AW305" s="13138"/>
      <c r="AX305" s="13138"/>
      <c r="AY305" s="13138"/>
      <c r="AZ305" s="13138"/>
      <c r="BA305" s="13138"/>
      <c r="BB305" s="13138"/>
      <c r="BC305" s="13138"/>
      <c r="BD305" s="8928"/>
      <c r="BF305" s="14439"/>
      <c r="BG305" s="14439"/>
      <c r="BH305" s="14439"/>
      <c r="BI305" s="14439"/>
      <c r="BJ305" s="14439"/>
      <c r="BK305" s="13058"/>
      <c r="BL305" s="14439"/>
      <c r="BM305" s="14439"/>
      <c r="BN305" s="14439"/>
    </row>
    <row r="306" spans="1:66" ht="15.75" hidden="1" customHeight="1">
      <c r="A306" s="13648"/>
      <c r="B306" s="13884"/>
      <c r="C306" s="13588"/>
      <c r="D306" s="11922" t="s">
        <v>8644</v>
      </c>
      <c r="E306" s="7822"/>
      <c r="F306" s="7822" t="s">
        <v>1554</v>
      </c>
      <c r="G306" s="13928"/>
      <c r="H306" s="13451"/>
      <c r="I306" s="13969"/>
      <c r="K306" s="8919"/>
      <c r="L306" s="8920"/>
      <c r="M306" s="8920"/>
      <c r="N306" s="8921"/>
      <c r="O306" s="8921"/>
      <c r="P306" s="8922"/>
      <c r="Q306" s="8923"/>
      <c r="R306" s="8924"/>
      <c r="S306" s="8925"/>
      <c r="T306" s="8926"/>
      <c r="U306" s="8923"/>
      <c r="V306" s="8924"/>
      <c r="W306" s="8926"/>
      <c r="X306" s="8924"/>
      <c r="Y306" s="8926"/>
      <c r="Z306" s="8924"/>
      <c r="AA306" s="8925"/>
      <c r="AB306" s="8925"/>
      <c r="AC306" s="8925"/>
      <c r="AD306" s="8925"/>
      <c r="AE306" s="8925"/>
      <c r="AF306" s="8926"/>
      <c r="AG306" s="8924"/>
      <c r="AH306" s="8925"/>
      <c r="AI306" s="8925"/>
      <c r="AJ306" s="8925"/>
      <c r="AK306" s="8925"/>
      <c r="AL306" s="8925"/>
      <c r="AM306" s="8925"/>
      <c r="AN306" s="8926"/>
      <c r="AO306" s="8924"/>
      <c r="AP306" s="8925"/>
      <c r="AQ306" s="8925"/>
      <c r="AR306" s="8925"/>
      <c r="AS306" s="8925"/>
      <c r="AT306" s="8926"/>
      <c r="AU306" s="8927"/>
      <c r="AV306" s="8927"/>
      <c r="AW306" s="8927"/>
      <c r="AX306" s="8919"/>
      <c r="AY306" s="8922"/>
      <c r="AZ306" s="8927"/>
      <c r="BA306" s="8919"/>
      <c r="BB306" s="8921"/>
      <c r="BC306" s="8922"/>
      <c r="BD306" s="8928"/>
      <c r="BF306" s="14439"/>
      <c r="BG306" s="14439"/>
      <c r="BH306" s="14439"/>
      <c r="BI306" s="14439"/>
      <c r="BJ306" s="14439"/>
      <c r="BK306" s="8932"/>
      <c r="BL306" s="14439"/>
      <c r="BM306" s="14439"/>
      <c r="BN306" s="14439"/>
    </row>
    <row r="307" spans="1:66" ht="15.75" hidden="1" customHeight="1" thickBot="1">
      <c r="A307" s="13648"/>
      <c r="B307" s="13884"/>
      <c r="C307" s="13588"/>
      <c r="D307" s="11914" t="s">
        <v>2896</v>
      </c>
      <c r="E307" s="7822"/>
      <c r="F307" s="7822" t="s">
        <v>163</v>
      </c>
      <c r="G307" s="13930"/>
      <c r="H307" s="13395"/>
      <c r="I307" s="13975"/>
      <c r="K307" s="8919"/>
      <c r="L307" s="8920"/>
      <c r="M307" s="8920"/>
      <c r="N307" s="8921"/>
      <c r="O307" s="8921"/>
      <c r="P307" s="8922"/>
      <c r="Q307" s="8923"/>
      <c r="R307" s="8924"/>
      <c r="S307" s="8925"/>
      <c r="T307" s="8926"/>
      <c r="U307" s="8923"/>
      <c r="V307" s="8924"/>
      <c r="W307" s="8926"/>
      <c r="X307" s="8924"/>
      <c r="Y307" s="8926"/>
      <c r="Z307" s="8924"/>
      <c r="AA307" s="8925"/>
      <c r="AB307" s="8925"/>
      <c r="AC307" s="8925"/>
      <c r="AD307" s="8925"/>
      <c r="AE307" s="8925"/>
      <c r="AF307" s="8926"/>
      <c r="AG307" s="8924"/>
      <c r="AH307" s="8925"/>
      <c r="AI307" s="8925"/>
      <c r="AJ307" s="8925"/>
      <c r="AK307" s="8925"/>
      <c r="AL307" s="8925"/>
      <c r="AM307" s="8925"/>
      <c r="AN307" s="8926"/>
      <c r="AO307" s="8924"/>
      <c r="AP307" s="8925"/>
      <c r="AQ307" s="8925"/>
      <c r="AR307" s="8925"/>
      <c r="AS307" s="8925"/>
      <c r="AT307" s="8926"/>
      <c r="AU307" s="8927"/>
      <c r="AV307" s="8927"/>
      <c r="AW307" s="8927"/>
      <c r="AX307" s="8919"/>
      <c r="AY307" s="8922"/>
      <c r="AZ307" s="8927"/>
      <c r="BA307" s="8919"/>
      <c r="BB307" s="8921"/>
      <c r="BC307" s="8922"/>
      <c r="BD307" s="8928"/>
      <c r="BF307" s="14439"/>
      <c r="BG307" s="14439"/>
      <c r="BH307" s="14439"/>
      <c r="BI307" s="14439"/>
      <c r="BJ307" s="14439"/>
      <c r="BK307" s="8932"/>
      <c r="BL307" s="14439"/>
      <c r="BM307" s="14439"/>
      <c r="BN307" s="14439"/>
    </row>
    <row r="308" spans="1:66" ht="15.75" hidden="1" customHeight="1" thickBot="1">
      <c r="A308" s="13648">
        <v>213</v>
      </c>
      <c r="B308" s="13884" t="s">
        <v>7788</v>
      </c>
      <c r="C308" s="13587"/>
      <c r="D308" s="11915" t="s">
        <v>86</v>
      </c>
      <c r="E308" s="7822" t="s">
        <v>1509</v>
      </c>
      <c r="F308" s="7822"/>
      <c r="G308" s="13930" t="s">
        <v>1552</v>
      </c>
      <c r="H308" s="13395" t="s">
        <v>1555</v>
      </c>
      <c r="I308" s="13971">
        <v>1</v>
      </c>
      <c r="K308" s="8946">
        <v>0</v>
      </c>
      <c r="L308" s="8920"/>
      <c r="M308" s="12813"/>
      <c r="N308" s="8942" t="s">
        <v>10586</v>
      </c>
      <c r="O308" s="8942"/>
      <c r="P308" s="8943"/>
      <c r="Q308" s="8923"/>
      <c r="R308" s="8924"/>
      <c r="S308" s="8925"/>
      <c r="T308" s="8926"/>
      <c r="U308" s="8923"/>
      <c r="V308" s="8924"/>
      <c r="W308" s="8926"/>
      <c r="X308" s="8924"/>
      <c r="Y308" s="8926"/>
      <c r="Z308" s="8924"/>
      <c r="AA308" s="8925"/>
      <c r="AB308" s="8925"/>
      <c r="AC308" s="8925"/>
      <c r="AD308" s="8925"/>
      <c r="AE308" s="8925"/>
      <c r="AF308" s="8926"/>
      <c r="AG308" s="8924"/>
      <c r="AH308" s="8925"/>
      <c r="AI308" s="8925"/>
      <c r="AJ308" s="8925"/>
      <c r="AK308" s="8925"/>
      <c r="AL308" s="8925"/>
      <c r="AM308" s="8925"/>
      <c r="AN308" s="8926"/>
      <c r="AO308" s="8924"/>
      <c r="AP308" s="8925"/>
      <c r="AQ308" s="8925"/>
      <c r="AR308" s="8925"/>
      <c r="AS308" s="8925"/>
      <c r="AT308" s="8926"/>
      <c r="AU308" s="8944"/>
      <c r="AV308" s="8944"/>
      <c r="AW308" s="8944"/>
      <c r="AX308" s="8941"/>
      <c r="AY308" s="8943"/>
      <c r="AZ308" s="8944"/>
      <c r="BA308" s="8941"/>
      <c r="BB308" s="8942"/>
      <c r="BC308" s="8943"/>
      <c r="BD308" s="8945"/>
      <c r="BF308" s="14439"/>
      <c r="BG308" s="14439"/>
      <c r="BH308" s="14439"/>
      <c r="BI308" s="14439"/>
      <c r="BJ308" s="14439"/>
      <c r="BK308" s="13058"/>
      <c r="BL308" s="14439"/>
      <c r="BM308" s="14439"/>
      <c r="BN308" s="14439"/>
    </row>
    <row r="309" spans="1:66" ht="15.75" hidden="1" customHeight="1" thickBot="1">
      <c r="A309" s="13648"/>
      <c r="B309" s="13884"/>
      <c r="C309" s="13588"/>
      <c r="D309" s="11914" t="s">
        <v>8644</v>
      </c>
      <c r="E309" s="7822"/>
      <c r="F309" s="7822" t="s">
        <v>1554</v>
      </c>
      <c r="G309" s="13928"/>
      <c r="H309" s="13451"/>
      <c r="I309" s="13972"/>
      <c r="K309" s="8941"/>
      <c r="L309" s="8920"/>
      <c r="M309" s="12809" t="s">
        <v>10391</v>
      </c>
      <c r="N309" s="8942"/>
      <c r="O309" s="8942"/>
      <c r="P309" s="8943"/>
      <c r="Q309" s="8923"/>
      <c r="R309" s="8924"/>
      <c r="S309" s="8925"/>
      <c r="T309" s="8926"/>
      <c r="U309" s="8923"/>
      <c r="V309" s="8924"/>
      <c r="W309" s="8926"/>
      <c r="X309" s="8924"/>
      <c r="Y309" s="8926"/>
      <c r="Z309" s="8924"/>
      <c r="AA309" s="8925"/>
      <c r="AB309" s="8925"/>
      <c r="AC309" s="8925"/>
      <c r="AD309" s="8925"/>
      <c r="AE309" s="8925"/>
      <c r="AF309" s="8926"/>
      <c r="AG309" s="8924"/>
      <c r="AH309" s="8925"/>
      <c r="AI309" s="8925"/>
      <c r="AJ309" s="8925"/>
      <c r="AK309" s="8925"/>
      <c r="AL309" s="8925"/>
      <c r="AM309" s="8925"/>
      <c r="AN309" s="8926"/>
      <c r="AO309" s="8924"/>
      <c r="AP309" s="8925"/>
      <c r="AQ309" s="8925"/>
      <c r="AR309" s="8925"/>
      <c r="AS309" s="8925"/>
      <c r="AT309" s="8926"/>
      <c r="AU309" s="8944"/>
      <c r="AV309" s="8944"/>
      <c r="AW309" s="8944"/>
      <c r="AX309" s="8941"/>
      <c r="AY309" s="8943"/>
      <c r="AZ309" s="8944"/>
      <c r="BA309" s="8941"/>
      <c r="BB309" s="8942"/>
      <c r="BC309" s="8943"/>
      <c r="BD309" s="8945"/>
      <c r="BF309" s="14439"/>
      <c r="BG309" s="14439"/>
      <c r="BH309" s="14439"/>
      <c r="BI309" s="14439"/>
      <c r="BJ309" s="14439"/>
      <c r="BK309" s="8932"/>
      <c r="BL309" s="14439"/>
      <c r="BM309" s="14439"/>
      <c r="BN309" s="14439"/>
    </row>
    <row r="310" spans="1:66" ht="15.75" hidden="1" customHeight="1" thickBot="1">
      <c r="A310" s="13648">
        <v>214</v>
      </c>
      <c r="B310" s="13884" t="s">
        <v>7789</v>
      </c>
      <c r="C310" s="13587"/>
      <c r="D310" s="11915" t="s">
        <v>86</v>
      </c>
      <c r="E310" s="7822" t="s">
        <v>1509</v>
      </c>
      <c r="F310" s="7822"/>
      <c r="G310" s="13930" t="s">
        <v>1557</v>
      </c>
      <c r="H310" s="13395" t="s">
        <v>1558</v>
      </c>
      <c r="I310" s="13971">
        <v>1</v>
      </c>
      <c r="K310" s="8946">
        <v>0</v>
      </c>
      <c r="L310" s="8920"/>
      <c r="M310" s="12813"/>
      <c r="N310" s="8942" t="s">
        <v>10587</v>
      </c>
      <c r="O310" s="8942"/>
      <c r="P310" s="8943"/>
      <c r="Q310" s="8923"/>
      <c r="R310" s="8924"/>
      <c r="S310" s="8925"/>
      <c r="T310" s="8926"/>
      <c r="U310" s="8923"/>
      <c r="V310" s="8924"/>
      <c r="W310" s="8926"/>
      <c r="X310" s="8924"/>
      <c r="Y310" s="8926"/>
      <c r="Z310" s="8924"/>
      <c r="AA310" s="8925"/>
      <c r="AB310" s="8925"/>
      <c r="AC310" s="8925"/>
      <c r="AD310" s="8925"/>
      <c r="AE310" s="8925"/>
      <c r="AF310" s="8926"/>
      <c r="AG310" s="8924"/>
      <c r="AH310" s="8925"/>
      <c r="AI310" s="8925"/>
      <c r="AJ310" s="8925"/>
      <c r="AK310" s="8925"/>
      <c r="AL310" s="8925"/>
      <c r="AM310" s="8925"/>
      <c r="AN310" s="8926"/>
      <c r="AO310" s="8924"/>
      <c r="AP310" s="8925"/>
      <c r="AQ310" s="8925"/>
      <c r="AR310" s="8925"/>
      <c r="AS310" s="8925"/>
      <c r="AT310" s="8926"/>
      <c r="AU310" s="8944"/>
      <c r="AV310" s="8944"/>
      <c r="AW310" s="8944"/>
      <c r="AX310" s="8941"/>
      <c r="AY310" s="8943"/>
      <c r="AZ310" s="8944"/>
      <c r="BA310" s="8941"/>
      <c r="BB310" s="8942"/>
      <c r="BC310" s="8943"/>
      <c r="BD310" s="8945"/>
      <c r="BF310" s="14439"/>
      <c r="BG310" s="14439"/>
      <c r="BH310" s="14439"/>
      <c r="BI310" s="14439"/>
      <c r="BJ310" s="14439"/>
      <c r="BK310" s="13058"/>
      <c r="BL310" s="14439"/>
      <c r="BM310" s="14439"/>
      <c r="BN310" s="14439"/>
    </row>
    <row r="311" spans="1:66" ht="15.75" hidden="1" customHeight="1" thickBot="1">
      <c r="A311" s="13686"/>
      <c r="B311" s="13885"/>
      <c r="C311" s="13588"/>
      <c r="D311" s="11923" t="s">
        <v>8644</v>
      </c>
      <c r="E311" s="7815"/>
      <c r="F311" s="7815" t="s">
        <v>1554</v>
      </c>
      <c r="G311" s="13932"/>
      <c r="H311" s="13898"/>
      <c r="I311" s="13976"/>
      <c r="K311" s="8951"/>
      <c r="L311" s="8952"/>
      <c r="M311" s="8952"/>
      <c r="N311" s="8953"/>
      <c r="O311" s="8953"/>
      <c r="P311" s="8954"/>
      <c r="Q311" s="8955"/>
      <c r="R311" s="8956"/>
      <c r="S311" s="8957"/>
      <c r="T311" s="8958"/>
      <c r="U311" s="8955"/>
      <c r="V311" s="8956"/>
      <c r="W311" s="8958"/>
      <c r="X311" s="8956"/>
      <c r="Y311" s="8958"/>
      <c r="Z311" s="8956"/>
      <c r="AA311" s="8957"/>
      <c r="AB311" s="8957"/>
      <c r="AC311" s="8957"/>
      <c r="AD311" s="8957"/>
      <c r="AE311" s="8957"/>
      <c r="AF311" s="8958"/>
      <c r="AG311" s="8956"/>
      <c r="AH311" s="8957"/>
      <c r="AI311" s="8957"/>
      <c r="AJ311" s="8957"/>
      <c r="AK311" s="8957"/>
      <c r="AL311" s="8957"/>
      <c r="AM311" s="8957"/>
      <c r="AN311" s="8958"/>
      <c r="AO311" s="8956"/>
      <c r="AP311" s="8957"/>
      <c r="AQ311" s="8957"/>
      <c r="AR311" s="8957"/>
      <c r="AS311" s="8957"/>
      <c r="AT311" s="8958"/>
      <c r="AU311" s="8959"/>
      <c r="AV311" s="8959"/>
      <c r="AW311" s="8959"/>
      <c r="AX311" s="8951"/>
      <c r="AY311" s="8954"/>
      <c r="AZ311" s="8959"/>
      <c r="BA311" s="8951"/>
      <c r="BB311" s="8953"/>
      <c r="BC311" s="8954"/>
      <c r="BD311" s="8960"/>
      <c r="BF311" s="14440"/>
      <c r="BG311" s="14440"/>
      <c r="BH311" s="14440"/>
      <c r="BI311" s="14440"/>
      <c r="BJ311" s="14440"/>
      <c r="BK311" s="8961"/>
      <c r="BL311" s="14440"/>
      <c r="BM311" s="14440"/>
      <c r="BN311" s="14440"/>
    </row>
    <row r="312" spans="1:66" ht="28.5" hidden="1" customHeight="1" thickBot="1">
      <c r="A312" s="13773">
        <v>215</v>
      </c>
      <c r="B312" s="13886" t="s">
        <v>7790</v>
      </c>
      <c r="C312" s="13587"/>
      <c r="D312" s="11914" t="s">
        <v>86</v>
      </c>
      <c r="E312" s="7844" t="s">
        <v>1509</v>
      </c>
      <c r="F312" s="7844"/>
      <c r="G312" s="13933" t="s">
        <v>1561</v>
      </c>
      <c r="H312" s="13451" t="s">
        <v>1563</v>
      </c>
      <c r="I312" s="13972">
        <v>0.2</v>
      </c>
      <c r="K312" s="13137" t="s">
        <v>10392</v>
      </c>
      <c r="L312" s="12812"/>
      <c r="M312" s="12812"/>
      <c r="N312" s="13138"/>
      <c r="O312" s="13141" t="s">
        <v>10393</v>
      </c>
      <c r="P312" s="13143"/>
      <c r="Q312" s="13139"/>
      <c r="R312" s="13139"/>
      <c r="S312" s="13139"/>
      <c r="T312" s="13140">
        <v>260</v>
      </c>
      <c r="U312" s="13139">
        <v>145</v>
      </c>
      <c r="V312" s="13139">
        <v>115</v>
      </c>
      <c r="W312" s="13139">
        <v>171</v>
      </c>
      <c r="X312" s="13139">
        <v>89</v>
      </c>
      <c r="Y312" s="13139">
        <v>0</v>
      </c>
      <c r="Z312" s="13139">
        <v>0</v>
      </c>
      <c r="AA312" s="13139">
        <v>260</v>
      </c>
      <c r="AB312" s="13139">
        <v>0</v>
      </c>
      <c r="AC312" s="13139">
        <v>0</v>
      </c>
      <c r="AD312" s="13139">
        <v>0</v>
      </c>
      <c r="AE312" s="13139">
        <v>0</v>
      </c>
      <c r="AF312" s="13139">
        <v>0</v>
      </c>
      <c r="AG312" s="13139">
        <v>0</v>
      </c>
      <c r="AH312" s="13139">
        <v>0</v>
      </c>
      <c r="AI312" s="13139">
        <v>0</v>
      </c>
      <c r="AJ312" s="13139">
        <v>0</v>
      </c>
      <c r="AK312" s="13139">
        <v>0</v>
      </c>
      <c r="AL312" s="13139">
        <v>0</v>
      </c>
      <c r="AM312" s="13139">
        <v>0</v>
      </c>
      <c r="AN312" s="13139">
        <v>0</v>
      </c>
      <c r="AO312" s="13139">
        <v>0</v>
      </c>
      <c r="AP312" s="13139">
        <v>0</v>
      </c>
      <c r="AQ312" s="13139">
        <v>0</v>
      </c>
      <c r="AR312" s="13139">
        <v>0</v>
      </c>
      <c r="AS312" s="13139">
        <v>0</v>
      </c>
      <c r="AT312" s="13141"/>
      <c r="AU312" s="13141"/>
      <c r="AV312" s="13141"/>
      <c r="AW312" s="13141"/>
      <c r="AX312" s="13141"/>
      <c r="AY312" s="13141"/>
      <c r="AZ312" s="13141"/>
      <c r="BA312" s="13141"/>
      <c r="BB312" s="13141"/>
      <c r="BC312" s="13141"/>
      <c r="BD312" s="13128"/>
      <c r="BF312" s="14441"/>
      <c r="BG312" s="14441"/>
      <c r="BH312" s="14441"/>
      <c r="BI312" s="14441"/>
      <c r="BJ312" s="14441"/>
      <c r="BK312" s="13057"/>
      <c r="BL312" s="14438"/>
      <c r="BM312" s="14441"/>
      <c r="BN312" s="14441"/>
    </row>
    <row r="313" spans="1:66" ht="22.5" hidden="1" customHeight="1">
      <c r="A313" s="13659"/>
      <c r="B313" s="13887"/>
      <c r="C313" s="13588"/>
      <c r="D313" s="12637" t="s">
        <v>10063</v>
      </c>
      <c r="E313" s="7846"/>
      <c r="F313" s="7846" t="s">
        <v>79</v>
      </c>
      <c r="G313" s="13934"/>
      <c r="H313" s="13899"/>
      <c r="I313" s="13977"/>
      <c r="K313" s="8964"/>
      <c r="L313" s="8965"/>
      <c r="M313" s="8965"/>
      <c r="N313" s="8966"/>
      <c r="O313" s="8966"/>
      <c r="P313" s="8967"/>
      <c r="Q313" s="8968"/>
      <c r="R313" s="8969"/>
      <c r="S313" s="8970"/>
      <c r="T313" s="8971"/>
      <c r="U313" s="8968"/>
      <c r="V313" s="8969"/>
      <c r="W313" s="8971"/>
      <c r="X313" s="8969"/>
      <c r="Y313" s="8971"/>
      <c r="Z313" s="8969"/>
      <c r="AA313" s="8970"/>
      <c r="AB313" s="8970"/>
      <c r="AC313" s="8970"/>
      <c r="AD313" s="8970"/>
      <c r="AE313" s="8970"/>
      <c r="AF313" s="8971"/>
      <c r="AG313" s="8969"/>
      <c r="AH313" s="8970"/>
      <c r="AI313" s="8970"/>
      <c r="AJ313" s="8970"/>
      <c r="AK313" s="8970"/>
      <c r="AL313" s="8970"/>
      <c r="AM313" s="8970"/>
      <c r="AN313" s="8971"/>
      <c r="AO313" s="8969"/>
      <c r="AP313" s="8970"/>
      <c r="AQ313" s="8970"/>
      <c r="AR313" s="8970"/>
      <c r="AS313" s="8970"/>
      <c r="AT313" s="8971"/>
      <c r="AU313" s="8972"/>
      <c r="AV313" s="8972"/>
      <c r="AW313" s="8972"/>
      <c r="AX313" s="8964"/>
      <c r="AY313" s="8967"/>
      <c r="AZ313" s="8972"/>
      <c r="BA313" s="8964"/>
      <c r="BB313" s="8966"/>
      <c r="BC313" s="8967"/>
      <c r="BD313" s="8973"/>
      <c r="BF313" s="14442"/>
      <c r="BG313" s="14442"/>
      <c r="BH313" s="14442"/>
      <c r="BI313" s="14442"/>
      <c r="BJ313" s="14442"/>
      <c r="BK313" s="8974"/>
      <c r="BL313" s="14442"/>
      <c r="BM313" s="14442"/>
      <c r="BN313" s="14442"/>
    </row>
    <row r="314" spans="1:66" ht="30" hidden="1" customHeight="1">
      <c r="A314" s="8975">
        <v>216</v>
      </c>
      <c r="B314" s="8976" t="s">
        <v>7791</v>
      </c>
      <c r="C314" s="13588"/>
      <c r="D314" s="11924" t="s">
        <v>2896</v>
      </c>
      <c r="E314" s="7846" t="s">
        <v>163</v>
      </c>
      <c r="F314" s="7846"/>
      <c r="G314" s="11925" t="s">
        <v>1564</v>
      </c>
      <c r="H314" s="11926" t="s">
        <v>1566</v>
      </c>
      <c r="I314" s="11927">
        <v>1</v>
      </c>
      <c r="K314" s="8977"/>
      <c r="L314" s="8978"/>
      <c r="M314" s="8978"/>
      <c r="N314" s="8979"/>
      <c r="O314" s="8979"/>
      <c r="P314" s="8980"/>
      <c r="Q314" s="8981"/>
      <c r="R314" s="8982"/>
      <c r="S314" s="8983"/>
      <c r="T314" s="8984"/>
      <c r="U314" s="8981"/>
      <c r="V314" s="8982"/>
      <c r="W314" s="8984"/>
      <c r="X314" s="8982"/>
      <c r="Y314" s="8984"/>
      <c r="Z314" s="8982"/>
      <c r="AA314" s="8983"/>
      <c r="AB314" s="8983"/>
      <c r="AC314" s="8983"/>
      <c r="AD314" s="8983"/>
      <c r="AE314" s="8983"/>
      <c r="AF314" s="8984"/>
      <c r="AG314" s="8982"/>
      <c r="AH314" s="8983"/>
      <c r="AI314" s="8983"/>
      <c r="AJ314" s="8983"/>
      <c r="AK314" s="8983"/>
      <c r="AL314" s="8983"/>
      <c r="AM314" s="8983"/>
      <c r="AN314" s="8984"/>
      <c r="AO314" s="8982"/>
      <c r="AP314" s="8983"/>
      <c r="AQ314" s="8983"/>
      <c r="AR314" s="8983"/>
      <c r="AS314" s="8983"/>
      <c r="AT314" s="8984"/>
      <c r="AU314" s="8985"/>
      <c r="AV314" s="8985"/>
      <c r="AW314" s="8985"/>
      <c r="AX314" s="8977"/>
      <c r="AY314" s="8980"/>
      <c r="AZ314" s="8985"/>
      <c r="BA314" s="8977"/>
      <c r="BB314" s="8979"/>
      <c r="BC314" s="8980"/>
      <c r="BD314" s="8986"/>
      <c r="BF314" s="8974"/>
      <c r="BG314" s="8974"/>
      <c r="BH314" s="8974"/>
      <c r="BI314" s="8974"/>
      <c r="BJ314" s="8974"/>
      <c r="BK314" s="8974"/>
      <c r="BL314" s="8974"/>
      <c r="BM314" s="8974"/>
      <c r="BN314" s="8974"/>
    </row>
    <row r="315" spans="1:66" ht="30" hidden="1" customHeight="1" thickBot="1">
      <c r="A315" s="7739">
        <v>217</v>
      </c>
      <c r="B315" s="7790" t="s">
        <v>7792</v>
      </c>
      <c r="C315" s="13588"/>
      <c r="D315" s="11928" t="s">
        <v>2896</v>
      </c>
      <c r="E315" s="11929" t="s">
        <v>163</v>
      </c>
      <c r="F315" s="11929"/>
      <c r="G315" s="11930" t="s">
        <v>1567</v>
      </c>
      <c r="H315" s="11931" t="s">
        <v>1569</v>
      </c>
      <c r="I315" s="11932">
        <v>1</v>
      </c>
      <c r="K315" s="8988"/>
      <c r="L315" s="8989"/>
      <c r="M315" s="8989"/>
      <c r="N315" s="8990"/>
      <c r="O315" s="8990"/>
      <c r="P315" s="8991"/>
      <c r="Q315" s="8992"/>
      <c r="R315" s="8993"/>
      <c r="S315" s="8994"/>
      <c r="T315" s="8995"/>
      <c r="U315" s="8992"/>
      <c r="V315" s="8993"/>
      <c r="W315" s="8995"/>
      <c r="X315" s="8993"/>
      <c r="Y315" s="8995"/>
      <c r="Z315" s="8993"/>
      <c r="AA315" s="8994"/>
      <c r="AB315" s="8994"/>
      <c r="AC315" s="8994"/>
      <c r="AD315" s="8994"/>
      <c r="AE315" s="8994"/>
      <c r="AF315" s="8995"/>
      <c r="AG315" s="8993"/>
      <c r="AH315" s="8994"/>
      <c r="AI315" s="8994"/>
      <c r="AJ315" s="8994"/>
      <c r="AK315" s="8994"/>
      <c r="AL315" s="8994"/>
      <c r="AM315" s="8994"/>
      <c r="AN315" s="8995"/>
      <c r="AO315" s="8993"/>
      <c r="AP315" s="8994"/>
      <c r="AQ315" s="8994"/>
      <c r="AR315" s="8994"/>
      <c r="AS315" s="8994"/>
      <c r="AT315" s="8995"/>
      <c r="AU315" s="8996"/>
      <c r="AV315" s="8996"/>
      <c r="AW315" s="8996"/>
      <c r="AX315" s="8988"/>
      <c r="AY315" s="8991"/>
      <c r="AZ315" s="8996"/>
      <c r="BA315" s="8988"/>
      <c r="BB315" s="8990"/>
      <c r="BC315" s="8991"/>
      <c r="BD315" s="8997"/>
      <c r="BF315" s="8987"/>
      <c r="BG315" s="8987"/>
      <c r="BH315" s="8987"/>
      <c r="BI315" s="8987"/>
      <c r="BJ315" s="8987"/>
      <c r="BK315" s="8987"/>
      <c r="BL315" s="8987"/>
      <c r="BM315" s="8987"/>
      <c r="BN315" s="8987"/>
    </row>
    <row r="316" spans="1:66" ht="30" hidden="1" customHeight="1">
      <c r="A316" s="7740">
        <v>218</v>
      </c>
      <c r="B316" s="7791" t="s">
        <v>7793</v>
      </c>
      <c r="C316" s="13588"/>
      <c r="D316" s="11933" t="s">
        <v>10063</v>
      </c>
      <c r="E316" s="11934" t="s">
        <v>79</v>
      </c>
      <c r="F316" s="11934"/>
      <c r="G316" s="11935" t="s">
        <v>1572</v>
      </c>
      <c r="H316" s="11936" t="s">
        <v>1573</v>
      </c>
      <c r="I316" s="11937">
        <v>20</v>
      </c>
      <c r="K316" s="8999"/>
      <c r="L316" s="9000"/>
      <c r="M316" s="9000"/>
      <c r="N316" s="9001"/>
      <c r="O316" s="9001"/>
      <c r="P316" s="9002"/>
      <c r="Q316" s="9003"/>
      <c r="R316" s="9004"/>
      <c r="S316" s="9005"/>
      <c r="T316" s="9006"/>
      <c r="U316" s="9003"/>
      <c r="V316" s="9004"/>
      <c r="W316" s="9006"/>
      <c r="X316" s="9004"/>
      <c r="Y316" s="9006"/>
      <c r="Z316" s="9004"/>
      <c r="AA316" s="9005"/>
      <c r="AB316" s="9005"/>
      <c r="AC316" s="9005"/>
      <c r="AD316" s="9005"/>
      <c r="AE316" s="9005"/>
      <c r="AF316" s="9006"/>
      <c r="AG316" s="9004"/>
      <c r="AH316" s="9005"/>
      <c r="AI316" s="9005"/>
      <c r="AJ316" s="9005"/>
      <c r="AK316" s="9005"/>
      <c r="AL316" s="9005"/>
      <c r="AM316" s="9005"/>
      <c r="AN316" s="9006"/>
      <c r="AO316" s="9004"/>
      <c r="AP316" s="9005"/>
      <c r="AQ316" s="9005"/>
      <c r="AR316" s="9005"/>
      <c r="AS316" s="9005"/>
      <c r="AT316" s="9006"/>
      <c r="AU316" s="9007"/>
      <c r="AV316" s="9007"/>
      <c r="AW316" s="9007"/>
      <c r="AX316" s="8999"/>
      <c r="AY316" s="9002"/>
      <c r="AZ316" s="9007"/>
      <c r="BA316" s="8999"/>
      <c r="BB316" s="9001"/>
      <c r="BC316" s="9002"/>
      <c r="BD316" s="7740"/>
      <c r="BF316" s="8998"/>
      <c r="BG316" s="8998"/>
      <c r="BH316" s="8998"/>
      <c r="BI316" s="8998"/>
      <c r="BJ316" s="8998"/>
      <c r="BK316" s="8998"/>
      <c r="BL316" s="8998"/>
      <c r="BM316" s="8998"/>
      <c r="BN316" s="8998"/>
    </row>
    <row r="317" spans="1:66" ht="30" hidden="1" customHeight="1">
      <c r="A317" s="7742">
        <v>219</v>
      </c>
      <c r="B317" s="7793" t="s">
        <v>7794</v>
      </c>
      <c r="C317" s="13588"/>
      <c r="D317" s="11938" t="s">
        <v>10063</v>
      </c>
      <c r="E317" s="11939" t="s">
        <v>79</v>
      </c>
      <c r="F317" s="11939"/>
      <c r="G317" s="11737" t="s">
        <v>1575</v>
      </c>
      <c r="H317" s="11740" t="s">
        <v>1576</v>
      </c>
      <c r="I317" s="11940">
        <v>20</v>
      </c>
      <c r="K317" s="9008"/>
      <c r="L317" s="9009"/>
      <c r="M317" s="9009"/>
      <c r="N317" s="9010"/>
      <c r="O317" s="9010"/>
      <c r="P317" s="9011"/>
      <c r="Q317" s="9012"/>
      <c r="R317" s="9013"/>
      <c r="S317" s="9014"/>
      <c r="T317" s="9015"/>
      <c r="U317" s="9012"/>
      <c r="V317" s="9013"/>
      <c r="W317" s="9015"/>
      <c r="X317" s="9013"/>
      <c r="Y317" s="9015"/>
      <c r="Z317" s="9013"/>
      <c r="AA317" s="9014"/>
      <c r="AB317" s="9014"/>
      <c r="AC317" s="9014"/>
      <c r="AD317" s="9014"/>
      <c r="AE317" s="9014"/>
      <c r="AF317" s="9015"/>
      <c r="AG317" s="9013"/>
      <c r="AH317" s="9014"/>
      <c r="AI317" s="9014"/>
      <c r="AJ317" s="9014"/>
      <c r="AK317" s="9014"/>
      <c r="AL317" s="9014"/>
      <c r="AM317" s="9014"/>
      <c r="AN317" s="9015"/>
      <c r="AO317" s="9013"/>
      <c r="AP317" s="9014"/>
      <c r="AQ317" s="9014"/>
      <c r="AR317" s="9014"/>
      <c r="AS317" s="9014"/>
      <c r="AT317" s="9015"/>
      <c r="AU317" s="9016"/>
      <c r="AV317" s="9016"/>
      <c r="AW317" s="9016"/>
      <c r="AX317" s="9008"/>
      <c r="AY317" s="9011"/>
      <c r="AZ317" s="9016"/>
      <c r="BA317" s="9008"/>
      <c r="BB317" s="9010"/>
      <c r="BC317" s="9011"/>
      <c r="BD317" s="7742"/>
      <c r="BF317" s="7873"/>
      <c r="BG317" s="7873"/>
      <c r="BH317" s="7873"/>
      <c r="BI317" s="7873"/>
      <c r="BJ317" s="7873"/>
      <c r="BK317" s="7873"/>
      <c r="BL317" s="7873"/>
      <c r="BM317" s="7873"/>
      <c r="BN317" s="7873"/>
    </row>
    <row r="318" spans="1:66" ht="30" hidden="1" customHeight="1">
      <c r="A318" s="13657">
        <v>220</v>
      </c>
      <c r="B318" s="13789" t="s">
        <v>7795</v>
      </c>
      <c r="C318" s="13588"/>
      <c r="D318" s="11938" t="s">
        <v>208</v>
      </c>
      <c r="E318" s="11939" t="s">
        <v>208</v>
      </c>
      <c r="F318" s="11939"/>
      <c r="G318" s="13935" t="s">
        <v>1578</v>
      </c>
      <c r="H318" s="11740" t="s">
        <v>1522</v>
      </c>
      <c r="I318" s="11940"/>
      <c r="K318" s="9008"/>
      <c r="L318" s="9009"/>
      <c r="M318" s="9009"/>
      <c r="N318" s="9010"/>
      <c r="O318" s="9010"/>
      <c r="P318" s="9011"/>
      <c r="Q318" s="9012"/>
      <c r="R318" s="9013"/>
      <c r="S318" s="9014"/>
      <c r="T318" s="9015"/>
      <c r="U318" s="9012"/>
      <c r="V318" s="9013"/>
      <c r="W318" s="9015"/>
      <c r="X318" s="9013"/>
      <c r="Y318" s="9015"/>
      <c r="Z318" s="9013"/>
      <c r="AA318" s="9014"/>
      <c r="AB318" s="9014"/>
      <c r="AC318" s="9014"/>
      <c r="AD318" s="9014"/>
      <c r="AE318" s="9014"/>
      <c r="AF318" s="9015"/>
      <c r="AG318" s="9013"/>
      <c r="AH318" s="9014"/>
      <c r="AI318" s="9014"/>
      <c r="AJ318" s="9014"/>
      <c r="AK318" s="9014"/>
      <c r="AL318" s="9014"/>
      <c r="AM318" s="9014"/>
      <c r="AN318" s="9015"/>
      <c r="AO318" s="9013"/>
      <c r="AP318" s="9014"/>
      <c r="AQ318" s="9014"/>
      <c r="AR318" s="9014"/>
      <c r="AS318" s="9014"/>
      <c r="AT318" s="9015"/>
      <c r="AU318" s="9016"/>
      <c r="AV318" s="9016"/>
      <c r="AW318" s="9016"/>
      <c r="AX318" s="9008"/>
      <c r="AY318" s="9011"/>
      <c r="AZ318" s="9016"/>
      <c r="BA318" s="9008"/>
      <c r="BB318" s="9010"/>
      <c r="BC318" s="9011"/>
      <c r="BD318" s="7742"/>
      <c r="BF318" s="14443"/>
      <c r="BG318" s="14443"/>
      <c r="BH318" s="14443"/>
      <c r="BI318" s="14443"/>
      <c r="BJ318" s="14443"/>
      <c r="BK318" s="7873"/>
      <c r="BL318" s="14443"/>
      <c r="BM318" s="14443"/>
      <c r="BN318" s="14443"/>
    </row>
    <row r="319" spans="1:66" ht="30" hidden="1" customHeight="1">
      <c r="A319" s="13774"/>
      <c r="B319" s="13888"/>
      <c r="C319" s="13588"/>
      <c r="D319" s="11938" t="s">
        <v>208</v>
      </c>
      <c r="E319" s="11939" t="s">
        <v>208</v>
      </c>
      <c r="F319" s="11939"/>
      <c r="G319" s="13935"/>
      <c r="H319" s="11740" t="s">
        <v>1579</v>
      </c>
      <c r="I319" s="11940"/>
      <c r="K319" s="9008"/>
      <c r="L319" s="9009"/>
      <c r="M319" s="9009"/>
      <c r="N319" s="9010"/>
      <c r="O319" s="9010"/>
      <c r="P319" s="9011"/>
      <c r="Q319" s="9012"/>
      <c r="R319" s="9013"/>
      <c r="S319" s="9014"/>
      <c r="T319" s="9015"/>
      <c r="U319" s="9012"/>
      <c r="V319" s="9013"/>
      <c r="W319" s="9015"/>
      <c r="X319" s="9013"/>
      <c r="Y319" s="9015"/>
      <c r="Z319" s="9013"/>
      <c r="AA319" s="9014"/>
      <c r="AB319" s="9014"/>
      <c r="AC319" s="9014"/>
      <c r="AD319" s="9014"/>
      <c r="AE319" s="9014"/>
      <c r="AF319" s="9015"/>
      <c r="AG319" s="9013"/>
      <c r="AH319" s="9014"/>
      <c r="AI319" s="9014"/>
      <c r="AJ319" s="9014"/>
      <c r="AK319" s="9014"/>
      <c r="AL319" s="9014"/>
      <c r="AM319" s="9014"/>
      <c r="AN319" s="9015"/>
      <c r="AO319" s="9013"/>
      <c r="AP319" s="9014"/>
      <c r="AQ319" s="9014"/>
      <c r="AR319" s="9014"/>
      <c r="AS319" s="9014"/>
      <c r="AT319" s="9015"/>
      <c r="AU319" s="9016"/>
      <c r="AV319" s="9016"/>
      <c r="AW319" s="9016"/>
      <c r="AX319" s="9008"/>
      <c r="AY319" s="9011"/>
      <c r="AZ319" s="9016"/>
      <c r="BA319" s="9008"/>
      <c r="BB319" s="9010"/>
      <c r="BC319" s="9011"/>
      <c r="BD319" s="7742"/>
      <c r="BF319" s="14443"/>
      <c r="BG319" s="14443"/>
      <c r="BH319" s="14443"/>
      <c r="BI319" s="14443"/>
      <c r="BJ319" s="14443"/>
      <c r="BK319" s="7873"/>
      <c r="BL319" s="14443"/>
      <c r="BM319" s="14443"/>
      <c r="BN319" s="14443"/>
    </row>
    <row r="320" spans="1:66" ht="30" hidden="1" customHeight="1" thickBot="1">
      <c r="A320" s="13775"/>
      <c r="B320" s="13790"/>
      <c r="C320" s="13588"/>
      <c r="D320" s="11941" t="s">
        <v>208</v>
      </c>
      <c r="E320" s="11942" t="s">
        <v>208</v>
      </c>
      <c r="F320" s="11942"/>
      <c r="G320" s="13936"/>
      <c r="H320" s="11743" t="s">
        <v>1581</v>
      </c>
      <c r="I320" s="11943">
        <v>0.7</v>
      </c>
      <c r="K320" s="9017"/>
      <c r="L320" s="9018"/>
      <c r="M320" s="9018"/>
      <c r="N320" s="9019"/>
      <c r="O320" s="9019"/>
      <c r="P320" s="9020"/>
      <c r="Q320" s="9021"/>
      <c r="R320" s="9022"/>
      <c r="S320" s="9023"/>
      <c r="T320" s="9024"/>
      <c r="U320" s="9021"/>
      <c r="V320" s="9022"/>
      <c r="W320" s="9024"/>
      <c r="X320" s="9022"/>
      <c r="Y320" s="9024"/>
      <c r="Z320" s="9022"/>
      <c r="AA320" s="9023"/>
      <c r="AB320" s="9023"/>
      <c r="AC320" s="9023"/>
      <c r="AD320" s="9023"/>
      <c r="AE320" s="9023"/>
      <c r="AF320" s="9024"/>
      <c r="AG320" s="9022"/>
      <c r="AH320" s="9023"/>
      <c r="AI320" s="9023"/>
      <c r="AJ320" s="9023"/>
      <c r="AK320" s="9023"/>
      <c r="AL320" s="9023"/>
      <c r="AM320" s="9023"/>
      <c r="AN320" s="9024"/>
      <c r="AO320" s="9022"/>
      <c r="AP320" s="9023"/>
      <c r="AQ320" s="9023"/>
      <c r="AR320" s="9023"/>
      <c r="AS320" s="9023"/>
      <c r="AT320" s="9024"/>
      <c r="AU320" s="9025"/>
      <c r="AV320" s="9025"/>
      <c r="AW320" s="9025"/>
      <c r="AX320" s="9017"/>
      <c r="AY320" s="9020"/>
      <c r="AZ320" s="9025"/>
      <c r="BA320" s="9017"/>
      <c r="BB320" s="9019"/>
      <c r="BC320" s="9020"/>
      <c r="BD320" s="9026"/>
      <c r="BF320" s="14444"/>
      <c r="BG320" s="14444"/>
      <c r="BH320" s="14444"/>
      <c r="BI320" s="14444"/>
      <c r="BJ320" s="14444"/>
      <c r="BK320" s="9027"/>
      <c r="BL320" s="14444"/>
      <c r="BM320" s="14444"/>
      <c r="BN320" s="14444"/>
    </row>
    <row r="321" spans="1:66" ht="30" hidden="1" customHeight="1">
      <c r="A321" s="9028">
        <v>221</v>
      </c>
      <c r="B321" s="9029" t="s">
        <v>7796</v>
      </c>
      <c r="C321" s="13588"/>
      <c r="D321" s="11944" t="s">
        <v>2896</v>
      </c>
      <c r="E321" s="11945" t="s">
        <v>163</v>
      </c>
      <c r="F321" s="11945"/>
      <c r="G321" s="11946" t="s">
        <v>1586</v>
      </c>
      <c r="H321" s="11947" t="s">
        <v>1588</v>
      </c>
      <c r="I321" s="11948">
        <v>1</v>
      </c>
      <c r="K321" s="9031"/>
      <c r="L321" s="9032"/>
      <c r="M321" s="9032"/>
      <c r="N321" s="9033"/>
      <c r="O321" s="9033"/>
      <c r="P321" s="9034"/>
      <c r="Q321" s="9035"/>
      <c r="R321" s="9036"/>
      <c r="S321" s="9037"/>
      <c r="T321" s="9038"/>
      <c r="U321" s="9035"/>
      <c r="V321" s="9036"/>
      <c r="W321" s="9038"/>
      <c r="X321" s="9036"/>
      <c r="Y321" s="9038"/>
      <c r="Z321" s="9036"/>
      <c r="AA321" s="9037"/>
      <c r="AB321" s="9037"/>
      <c r="AC321" s="9037"/>
      <c r="AD321" s="9037"/>
      <c r="AE321" s="9037"/>
      <c r="AF321" s="9038"/>
      <c r="AG321" s="9036"/>
      <c r="AH321" s="9037"/>
      <c r="AI321" s="9037"/>
      <c r="AJ321" s="9037"/>
      <c r="AK321" s="9037"/>
      <c r="AL321" s="9037"/>
      <c r="AM321" s="9037"/>
      <c r="AN321" s="9038"/>
      <c r="AO321" s="9036"/>
      <c r="AP321" s="9037"/>
      <c r="AQ321" s="9037"/>
      <c r="AR321" s="9037"/>
      <c r="AS321" s="9037"/>
      <c r="AT321" s="9038"/>
      <c r="AU321" s="9039"/>
      <c r="AV321" s="9039"/>
      <c r="AW321" s="9039"/>
      <c r="AX321" s="9031"/>
      <c r="AY321" s="9034"/>
      <c r="AZ321" s="9039"/>
      <c r="BA321" s="9031"/>
      <c r="BB321" s="9033"/>
      <c r="BC321" s="9034"/>
      <c r="BD321" s="9040"/>
      <c r="BF321" s="9030"/>
      <c r="BG321" s="9030"/>
      <c r="BH321" s="9030"/>
      <c r="BI321" s="9030"/>
      <c r="BJ321" s="9030"/>
      <c r="BK321" s="9030"/>
      <c r="BL321" s="9030"/>
      <c r="BM321" s="9030"/>
      <c r="BN321" s="9030"/>
    </row>
    <row r="322" spans="1:66" ht="30" hidden="1" customHeight="1">
      <c r="A322" s="9041">
        <v>222</v>
      </c>
      <c r="B322" s="9042" t="s">
        <v>7797</v>
      </c>
      <c r="C322" s="13588"/>
      <c r="D322" s="11949" t="s">
        <v>2896</v>
      </c>
      <c r="E322" s="11950" t="s">
        <v>163</v>
      </c>
      <c r="F322" s="11950"/>
      <c r="G322" s="11951" t="s">
        <v>1589</v>
      </c>
      <c r="H322" s="11952" t="s">
        <v>1591</v>
      </c>
      <c r="I322" s="11953">
        <v>1</v>
      </c>
      <c r="K322" s="9045"/>
      <c r="L322" s="9046"/>
      <c r="M322" s="9046"/>
      <c r="N322" s="9047"/>
      <c r="O322" s="9047"/>
      <c r="P322" s="9048"/>
      <c r="Q322" s="9049"/>
      <c r="R322" s="9050"/>
      <c r="S322" s="9051"/>
      <c r="T322" s="9052"/>
      <c r="U322" s="9049"/>
      <c r="V322" s="9050"/>
      <c r="W322" s="9052"/>
      <c r="X322" s="9050"/>
      <c r="Y322" s="9052"/>
      <c r="Z322" s="9050"/>
      <c r="AA322" s="9051"/>
      <c r="AB322" s="9051"/>
      <c r="AC322" s="9051"/>
      <c r="AD322" s="9051"/>
      <c r="AE322" s="9051"/>
      <c r="AF322" s="9052"/>
      <c r="AG322" s="9050"/>
      <c r="AH322" s="9051"/>
      <c r="AI322" s="9051"/>
      <c r="AJ322" s="9051"/>
      <c r="AK322" s="9051"/>
      <c r="AL322" s="9051"/>
      <c r="AM322" s="9051"/>
      <c r="AN322" s="9052"/>
      <c r="AO322" s="9050"/>
      <c r="AP322" s="9051"/>
      <c r="AQ322" s="9051"/>
      <c r="AR322" s="9051"/>
      <c r="AS322" s="9051"/>
      <c r="AT322" s="9052"/>
      <c r="AU322" s="9053"/>
      <c r="AV322" s="9053"/>
      <c r="AW322" s="9053"/>
      <c r="AX322" s="9045"/>
      <c r="AY322" s="9048"/>
      <c r="AZ322" s="9053"/>
      <c r="BA322" s="9045"/>
      <c r="BB322" s="9047"/>
      <c r="BC322" s="9048"/>
      <c r="BD322" s="9054"/>
      <c r="BF322" s="9044"/>
      <c r="BG322" s="9044"/>
      <c r="BH322" s="9044"/>
      <c r="BI322" s="9044"/>
      <c r="BJ322" s="9044"/>
      <c r="BK322" s="9044"/>
      <c r="BL322" s="9044"/>
      <c r="BM322" s="9044"/>
      <c r="BN322" s="9044"/>
    </row>
    <row r="323" spans="1:66" ht="30" hidden="1" customHeight="1">
      <c r="A323" s="9041">
        <v>223</v>
      </c>
      <c r="B323" s="9042" t="s">
        <v>7798</v>
      </c>
      <c r="C323" s="13588"/>
      <c r="D323" s="11949" t="s">
        <v>2896</v>
      </c>
      <c r="E323" s="11950" t="s">
        <v>163</v>
      </c>
      <c r="F323" s="11950"/>
      <c r="G323" s="11951" t="s">
        <v>1592</v>
      </c>
      <c r="H323" s="11952" t="s">
        <v>1594</v>
      </c>
      <c r="I323" s="11953">
        <v>1</v>
      </c>
      <c r="K323" s="9045"/>
      <c r="L323" s="9046"/>
      <c r="M323" s="9046"/>
      <c r="N323" s="9047"/>
      <c r="O323" s="9047"/>
      <c r="P323" s="9048"/>
      <c r="Q323" s="9049"/>
      <c r="R323" s="9050"/>
      <c r="S323" s="9051"/>
      <c r="T323" s="9052"/>
      <c r="U323" s="9049"/>
      <c r="V323" s="9050"/>
      <c r="W323" s="9052"/>
      <c r="X323" s="9050"/>
      <c r="Y323" s="9052"/>
      <c r="Z323" s="9050"/>
      <c r="AA323" s="9051"/>
      <c r="AB323" s="9051"/>
      <c r="AC323" s="9051"/>
      <c r="AD323" s="9051"/>
      <c r="AE323" s="9051"/>
      <c r="AF323" s="9052"/>
      <c r="AG323" s="9050"/>
      <c r="AH323" s="9051"/>
      <c r="AI323" s="9051"/>
      <c r="AJ323" s="9051"/>
      <c r="AK323" s="9051"/>
      <c r="AL323" s="9051"/>
      <c r="AM323" s="9051"/>
      <c r="AN323" s="9052"/>
      <c r="AO323" s="9050"/>
      <c r="AP323" s="9051"/>
      <c r="AQ323" s="9051"/>
      <c r="AR323" s="9051"/>
      <c r="AS323" s="9051"/>
      <c r="AT323" s="9052"/>
      <c r="AU323" s="9053"/>
      <c r="AV323" s="9053"/>
      <c r="AW323" s="9053"/>
      <c r="AX323" s="9045"/>
      <c r="AY323" s="9048"/>
      <c r="AZ323" s="9053"/>
      <c r="BA323" s="9045"/>
      <c r="BB323" s="9047"/>
      <c r="BC323" s="9048"/>
      <c r="BD323" s="9054"/>
      <c r="BF323" s="9044"/>
      <c r="BG323" s="9044"/>
      <c r="BH323" s="9044"/>
      <c r="BI323" s="9044"/>
      <c r="BJ323" s="9044"/>
      <c r="BK323" s="9044"/>
      <c r="BL323" s="9044"/>
      <c r="BM323" s="9044"/>
      <c r="BN323" s="9044"/>
    </row>
    <row r="324" spans="1:66" ht="30" hidden="1" customHeight="1">
      <c r="A324" s="9041">
        <v>224</v>
      </c>
      <c r="B324" s="9042" t="s">
        <v>7799</v>
      </c>
      <c r="C324" s="13588"/>
      <c r="D324" s="11949" t="s">
        <v>2896</v>
      </c>
      <c r="E324" s="11950" t="s">
        <v>163</v>
      </c>
      <c r="F324" s="11950"/>
      <c r="G324" s="11951" t="s">
        <v>1596</v>
      </c>
      <c r="H324" s="11952" t="s">
        <v>1598</v>
      </c>
      <c r="I324" s="11954">
        <v>60</v>
      </c>
      <c r="K324" s="9043"/>
      <c r="L324" s="9046"/>
      <c r="M324" s="9046"/>
      <c r="N324" s="9055"/>
      <c r="O324" s="9055"/>
      <c r="P324" s="9056"/>
      <c r="Q324" s="9049"/>
      <c r="R324" s="9050"/>
      <c r="S324" s="9051"/>
      <c r="T324" s="9052"/>
      <c r="U324" s="9049"/>
      <c r="V324" s="9050"/>
      <c r="W324" s="9052"/>
      <c r="X324" s="9050"/>
      <c r="Y324" s="9052"/>
      <c r="Z324" s="9050"/>
      <c r="AA324" s="9051"/>
      <c r="AB324" s="9051"/>
      <c r="AC324" s="9051"/>
      <c r="AD324" s="9051"/>
      <c r="AE324" s="9051"/>
      <c r="AF324" s="9052"/>
      <c r="AG324" s="9050"/>
      <c r="AH324" s="9051"/>
      <c r="AI324" s="9051"/>
      <c r="AJ324" s="9051"/>
      <c r="AK324" s="9051"/>
      <c r="AL324" s="9051"/>
      <c r="AM324" s="9051"/>
      <c r="AN324" s="9052"/>
      <c r="AO324" s="9050"/>
      <c r="AP324" s="9051"/>
      <c r="AQ324" s="9051"/>
      <c r="AR324" s="9051"/>
      <c r="AS324" s="9051"/>
      <c r="AT324" s="9052"/>
      <c r="AU324" s="9057"/>
      <c r="AV324" s="9057"/>
      <c r="AW324" s="9057"/>
      <c r="AX324" s="9043"/>
      <c r="AY324" s="9056"/>
      <c r="AZ324" s="9057"/>
      <c r="BA324" s="9043"/>
      <c r="BB324" s="9055"/>
      <c r="BC324" s="9056"/>
      <c r="BD324" s="9041"/>
      <c r="BF324" s="9044"/>
      <c r="BG324" s="9044"/>
      <c r="BH324" s="9044"/>
      <c r="BI324" s="9044"/>
      <c r="BJ324" s="9044"/>
      <c r="BK324" s="9044"/>
      <c r="BL324" s="9044"/>
      <c r="BM324" s="9044"/>
      <c r="BN324" s="9044"/>
    </row>
    <row r="325" spans="1:66" ht="30" hidden="1" customHeight="1">
      <c r="A325" s="9041">
        <v>225</v>
      </c>
      <c r="B325" s="9042" t="s">
        <v>7800</v>
      </c>
      <c r="C325" s="13588"/>
      <c r="D325" s="11949" t="s">
        <v>2896</v>
      </c>
      <c r="E325" s="11950" t="s">
        <v>163</v>
      </c>
      <c r="F325" s="11950"/>
      <c r="G325" s="11951" t="s">
        <v>1599</v>
      </c>
      <c r="H325" s="11952" t="s">
        <v>1600</v>
      </c>
      <c r="I325" s="11954">
        <v>53</v>
      </c>
      <c r="K325" s="9043"/>
      <c r="L325" s="9046"/>
      <c r="M325" s="9046"/>
      <c r="N325" s="9055"/>
      <c r="O325" s="9055"/>
      <c r="P325" s="9056"/>
      <c r="Q325" s="9049"/>
      <c r="R325" s="9050"/>
      <c r="S325" s="9051"/>
      <c r="T325" s="9052"/>
      <c r="U325" s="9049"/>
      <c r="V325" s="9050"/>
      <c r="W325" s="9052"/>
      <c r="X325" s="9050"/>
      <c r="Y325" s="9052"/>
      <c r="Z325" s="9050"/>
      <c r="AA325" s="9051"/>
      <c r="AB325" s="9051"/>
      <c r="AC325" s="9051"/>
      <c r="AD325" s="9051"/>
      <c r="AE325" s="9051"/>
      <c r="AF325" s="9052"/>
      <c r="AG325" s="9050"/>
      <c r="AH325" s="9051"/>
      <c r="AI325" s="9051"/>
      <c r="AJ325" s="9051"/>
      <c r="AK325" s="9051"/>
      <c r="AL325" s="9051"/>
      <c r="AM325" s="9051"/>
      <c r="AN325" s="9052"/>
      <c r="AO325" s="9050"/>
      <c r="AP325" s="9051"/>
      <c r="AQ325" s="9051"/>
      <c r="AR325" s="9051"/>
      <c r="AS325" s="9051"/>
      <c r="AT325" s="9052"/>
      <c r="AU325" s="9057"/>
      <c r="AV325" s="9057"/>
      <c r="AW325" s="9057"/>
      <c r="AX325" s="9043"/>
      <c r="AY325" s="9056"/>
      <c r="AZ325" s="9057"/>
      <c r="BA325" s="9043"/>
      <c r="BB325" s="9055"/>
      <c r="BC325" s="9056"/>
      <c r="BD325" s="9041"/>
      <c r="BF325" s="9044"/>
      <c r="BG325" s="9044"/>
      <c r="BH325" s="9044"/>
      <c r="BI325" s="9044"/>
      <c r="BJ325" s="9044"/>
      <c r="BK325" s="9044"/>
      <c r="BL325" s="9044"/>
      <c r="BM325" s="9044"/>
      <c r="BN325" s="9044"/>
    </row>
    <row r="326" spans="1:66" ht="30" hidden="1" customHeight="1">
      <c r="A326" s="9041">
        <v>226</v>
      </c>
      <c r="B326" s="9042" t="s">
        <v>7801</v>
      </c>
      <c r="C326" s="13588"/>
      <c r="D326" s="11949" t="s">
        <v>2896</v>
      </c>
      <c r="E326" s="11950" t="s">
        <v>163</v>
      </c>
      <c r="F326" s="11950"/>
      <c r="G326" s="11951" t="s">
        <v>1602</v>
      </c>
      <c r="H326" s="11952" t="s">
        <v>1604</v>
      </c>
      <c r="I326" s="11954">
        <v>0</v>
      </c>
      <c r="K326" s="9043"/>
      <c r="L326" s="9046"/>
      <c r="M326" s="9046"/>
      <c r="N326" s="9055"/>
      <c r="O326" s="9055"/>
      <c r="P326" s="9056"/>
      <c r="Q326" s="9049"/>
      <c r="R326" s="9050"/>
      <c r="S326" s="9051"/>
      <c r="T326" s="9052"/>
      <c r="U326" s="9049"/>
      <c r="V326" s="9050"/>
      <c r="W326" s="9052"/>
      <c r="X326" s="9050"/>
      <c r="Y326" s="9052"/>
      <c r="Z326" s="9050"/>
      <c r="AA326" s="9051"/>
      <c r="AB326" s="9051"/>
      <c r="AC326" s="9051"/>
      <c r="AD326" s="9051"/>
      <c r="AE326" s="9051"/>
      <c r="AF326" s="9052"/>
      <c r="AG326" s="9050"/>
      <c r="AH326" s="9051"/>
      <c r="AI326" s="9051"/>
      <c r="AJ326" s="9051"/>
      <c r="AK326" s="9051"/>
      <c r="AL326" s="9051"/>
      <c r="AM326" s="9051"/>
      <c r="AN326" s="9052"/>
      <c r="AO326" s="9050"/>
      <c r="AP326" s="9051"/>
      <c r="AQ326" s="9051"/>
      <c r="AR326" s="9051"/>
      <c r="AS326" s="9051"/>
      <c r="AT326" s="9052"/>
      <c r="AU326" s="9057"/>
      <c r="AV326" s="9057"/>
      <c r="AW326" s="9057"/>
      <c r="AX326" s="9043"/>
      <c r="AY326" s="9056"/>
      <c r="AZ326" s="9057"/>
      <c r="BA326" s="9043"/>
      <c r="BB326" s="9055"/>
      <c r="BC326" s="9056"/>
      <c r="BD326" s="9041"/>
      <c r="BF326" s="9044"/>
      <c r="BG326" s="9044"/>
      <c r="BH326" s="9044"/>
      <c r="BI326" s="9044"/>
      <c r="BJ326" s="9044"/>
      <c r="BK326" s="9044"/>
      <c r="BL326" s="9044"/>
      <c r="BM326" s="9044"/>
      <c r="BN326" s="9044"/>
    </row>
    <row r="327" spans="1:66" ht="15" hidden="1" customHeight="1">
      <c r="A327" s="13534">
        <v>227</v>
      </c>
      <c r="B327" s="13889" t="s">
        <v>7802</v>
      </c>
      <c r="C327" s="13588"/>
      <c r="D327" s="11949" t="s">
        <v>2896</v>
      </c>
      <c r="E327" s="11950" t="s">
        <v>163</v>
      </c>
      <c r="F327" s="11950"/>
      <c r="G327" s="13925" t="s">
        <v>1606</v>
      </c>
      <c r="H327" s="13900" t="s">
        <v>1608</v>
      </c>
      <c r="I327" s="13961">
        <v>0.8</v>
      </c>
      <c r="K327" s="9058"/>
      <c r="L327" s="9059"/>
      <c r="M327" s="9059"/>
      <c r="N327" s="9060"/>
      <c r="O327" s="9060"/>
      <c r="P327" s="9061"/>
      <c r="Q327" s="9062"/>
      <c r="R327" s="9063"/>
      <c r="S327" s="9064"/>
      <c r="T327" s="9065"/>
      <c r="U327" s="9062"/>
      <c r="V327" s="9063"/>
      <c r="W327" s="9065"/>
      <c r="X327" s="9063"/>
      <c r="Y327" s="9065"/>
      <c r="Z327" s="9063"/>
      <c r="AA327" s="9064"/>
      <c r="AB327" s="9064"/>
      <c r="AC327" s="9064"/>
      <c r="AD327" s="9064"/>
      <c r="AE327" s="9064"/>
      <c r="AF327" s="9065"/>
      <c r="AG327" s="9063"/>
      <c r="AH327" s="9064"/>
      <c r="AI327" s="9064"/>
      <c r="AJ327" s="9064"/>
      <c r="AK327" s="9064"/>
      <c r="AL327" s="9064"/>
      <c r="AM327" s="9064"/>
      <c r="AN327" s="9065"/>
      <c r="AO327" s="9063"/>
      <c r="AP327" s="9064"/>
      <c r="AQ327" s="9064"/>
      <c r="AR327" s="9064"/>
      <c r="AS327" s="9064"/>
      <c r="AT327" s="9065"/>
      <c r="AU327" s="9066"/>
      <c r="AV327" s="9066"/>
      <c r="AW327" s="9066"/>
      <c r="AX327" s="9058"/>
      <c r="AY327" s="9061"/>
      <c r="AZ327" s="9066"/>
      <c r="BA327" s="9058"/>
      <c r="BB327" s="9060"/>
      <c r="BC327" s="9061"/>
      <c r="BD327" s="9067"/>
      <c r="BF327" s="14445"/>
      <c r="BG327" s="14445"/>
      <c r="BH327" s="14445"/>
      <c r="BI327" s="14445"/>
      <c r="BJ327" s="14445"/>
      <c r="BK327" s="9068"/>
      <c r="BL327" s="14445"/>
      <c r="BM327" s="14445"/>
      <c r="BN327" s="14445"/>
    </row>
    <row r="328" spans="1:66" ht="15" hidden="1" customHeight="1">
      <c r="A328" s="13535"/>
      <c r="B328" s="13890"/>
      <c r="C328" s="13588"/>
      <c r="D328" s="11949" t="s">
        <v>329</v>
      </c>
      <c r="E328" s="11950"/>
      <c r="F328" s="11950" t="s">
        <v>10193</v>
      </c>
      <c r="G328" s="13926"/>
      <c r="H328" s="13901"/>
      <c r="I328" s="13962"/>
      <c r="K328" s="9058"/>
      <c r="L328" s="9059"/>
      <c r="M328" s="9059"/>
      <c r="N328" s="9060"/>
      <c r="O328" s="9060"/>
      <c r="P328" s="9061"/>
      <c r="Q328" s="9062"/>
      <c r="R328" s="9063"/>
      <c r="S328" s="9064"/>
      <c r="T328" s="9065"/>
      <c r="U328" s="9062"/>
      <c r="V328" s="9063"/>
      <c r="W328" s="9065"/>
      <c r="X328" s="9063"/>
      <c r="Y328" s="9065"/>
      <c r="Z328" s="9063"/>
      <c r="AA328" s="9064"/>
      <c r="AB328" s="9064"/>
      <c r="AC328" s="9064"/>
      <c r="AD328" s="9064"/>
      <c r="AE328" s="9064"/>
      <c r="AF328" s="9065"/>
      <c r="AG328" s="9063"/>
      <c r="AH328" s="9064"/>
      <c r="AI328" s="9064"/>
      <c r="AJ328" s="9064"/>
      <c r="AK328" s="9064"/>
      <c r="AL328" s="9064"/>
      <c r="AM328" s="9064"/>
      <c r="AN328" s="9065"/>
      <c r="AO328" s="9063"/>
      <c r="AP328" s="9064"/>
      <c r="AQ328" s="9064"/>
      <c r="AR328" s="9064"/>
      <c r="AS328" s="9064"/>
      <c r="AT328" s="9065"/>
      <c r="AU328" s="9066"/>
      <c r="AV328" s="9066"/>
      <c r="AW328" s="9066"/>
      <c r="AX328" s="9058"/>
      <c r="AY328" s="9061"/>
      <c r="AZ328" s="9066"/>
      <c r="BA328" s="9058"/>
      <c r="BB328" s="9060"/>
      <c r="BC328" s="9061"/>
      <c r="BD328" s="9067"/>
      <c r="BF328" s="14446"/>
      <c r="BG328" s="14446"/>
      <c r="BH328" s="14446"/>
      <c r="BI328" s="14446"/>
      <c r="BJ328" s="14446"/>
      <c r="BK328" s="9069"/>
      <c r="BL328" s="14446"/>
      <c r="BM328" s="14446"/>
      <c r="BN328" s="14446"/>
    </row>
    <row r="329" spans="1:66" ht="15" hidden="1" customHeight="1">
      <c r="A329" s="13536"/>
      <c r="B329" s="13891"/>
      <c r="C329" s="13588"/>
      <c r="D329" s="11949" t="s">
        <v>10194</v>
      </c>
      <c r="E329" s="11950"/>
      <c r="F329" s="11950" t="s">
        <v>733</v>
      </c>
      <c r="G329" s="13937"/>
      <c r="H329" s="13902"/>
      <c r="I329" s="13963"/>
      <c r="K329" s="9058"/>
      <c r="L329" s="9059"/>
      <c r="M329" s="9059"/>
      <c r="N329" s="9060"/>
      <c r="O329" s="9060"/>
      <c r="P329" s="9061"/>
      <c r="Q329" s="9062"/>
      <c r="R329" s="9063"/>
      <c r="S329" s="9064"/>
      <c r="T329" s="9065"/>
      <c r="U329" s="9062"/>
      <c r="V329" s="9063"/>
      <c r="W329" s="9065"/>
      <c r="X329" s="9063"/>
      <c r="Y329" s="9065"/>
      <c r="Z329" s="9063"/>
      <c r="AA329" s="9064"/>
      <c r="AB329" s="9064"/>
      <c r="AC329" s="9064"/>
      <c r="AD329" s="9064"/>
      <c r="AE329" s="9064"/>
      <c r="AF329" s="9065"/>
      <c r="AG329" s="9063"/>
      <c r="AH329" s="9064"/>
      <c r="AI329" s="9064"/>
      <c r="AJ329" s="9064"/>
      <c r="AK329" s="9064"/>
      <c r="AL329" s="9064"/>
      <c r="AM329" s="9064"/>
      <c r="AN329" s="9065"/>
      <c r="AO329" s="9063"/>
      <c r="AP329" s="9064"/>
      <c r="AQ329" s="9064"/>
      <c r="AR329" s="9064"/>
      <c r="AS329" s="9064"/>
      <c r="AT329" s="9065"/>
      <c r="AU329" s="9066"/>
      <c r="AV329" s="9066"/>
      <c r="AW329" s="9066"/>
      <c r="AX329" s="9058"/>
      <c r="AY329" s="9061"/>
      <c r="AZ329" s="9066"/>
      <c r="BA329" s="9058"/>
      <c r="BB329" s="9060"/>
      <c r="BC329" s="9061"/>
      <c r="BD329" s="9067"/>
      <c r="BF329" s="14447"/>
      <c r="BG329" s="14447"/>
      <c r="BH329" s="14447"/>
      <c r="BI329" s="14447"/>
      <c r="BJ329" s="14447"/>
      <c r="BK329" s="9030"/>
      <c r="BL329" s="14447"/>
      <c r="BM329" s="14447"/>
      <c r="BN329" s="14447"/>
    </row>
    <row r="330" spans="1:66" ht="15" hidden="1" customHeight="1">
      <c r="A330" s="9041">
        <v>228</v>
      </c>
      <c r="B330" s="9042" t="s">
        <v>7803</v>
      </c>
      <c r="C330" s="13588"/>
      <c r="D330" s="11949" t="s">
        <v>2896</v>
      </c>
      <c r="E330" s="11950" t="s">
        <v>163</v>
      </c>
      <c r="F330" s="11950" t="s">
        <v>1607</v>
      </c>
      <c r="G330" s="11951" t="s">
        <v>1609</v>
      </c>
      <c r="H330" s="11952" t="s">
        <v>1610</v>
      </c>
      <c r="I330" s="11953">
        <v>0.9</v>
      </c>
      <c r="K330" s="9045"/>
      <c r="L330" s="9046"/>
      <c r="M330" s="9046"/>
      <c r="N330" s="9047"/>
      <c r="O330" s="9047"/>
      <c r="P330" s="9048"/>
      <c r="Q330" s="9049"/>
      <c r="R330" s="9050"/>
      <c r="S330" s="9051"/>
      <c r="T330" s="9052"/>
      <c r="U330" s="9049"/>
      <c r="V330" s="9050"/>
      <c r="W330" s="9052"/>
      <c r="X330" s="9050"/>
      <c r="Y330" s="9052"/>
      <c r="Z330" s="9050"/>
      <c r="AA330" s="9051"/>
      <c r="AB330" s="9051"/>
      <c r="AC330" s="9051"/>
      <c r="AD330" s="9051"/>
      <c r="AE330" s="9051"/>
      <c r="AF330" s="9052"/>
      <c r="AG330" s="9050"/>
      <c r="AH330" s="9051"/>
      <c r="AI330" s="9051"/>
      <c r="AJ330" s="9051"/>
      <c r="AK330" s="9051"/>
      <c r="AL330" s="9051"/>
      <c r="AM330" s="9051"/>
      <c r="AN330" s="9052"/>
      <c r="AO330" s="9050"/>
      <c r="AP330" s="9051"/>
      <c r="AQ330" s="9051"/>
      <c r="AR330" s="9051"/>
      <c r="AS330" s="9051"/>
      <c r="AT330" s="9052"/>
      <c r="AU330" s="9053"/>
      <c r="AV330" s="9053"/>
      <c r="AW330" s="9053"/>
      <c r="AX330" s="9045"/>
      <c r="AY330" s="9048"/>
      <c r="AZ330" s="9053"/>
      <c r="BA330" s="9045"/>
      <c r="BB330" s="9047"/>
      <c r="BC330" s="9048"/>
      <c r="BD330" s="9054"/>
      <c r="BF330" s="9044"/>
      <c r="BG330" s="9044"/>
      <c r="BH330" s="9044"/>
      <c r="BI330" s="9044"/>
      <c r="BJ330" s="9044"/>
      <c r="BK330" s="9044"/>
      <c r="BL330" s="9044"/>
      <c r="BM330" s="9044"/>
      <c r="BN330" s="9044"/>
    </row>
    <row r="331" spans="1:66" ht="15" hidden="1" customHeight="1">
      <c r="A331" s="13534">
        <v>229</v>
      </c>
      <c r="B331" s="13889" t="s">
        <v>7804</v>
      </c>
      <c r="C331" s="13588"/>
      <c r="D331" s="11955" t="s">
        <v>2896</v>
      </c>
      <c r="E331" s="11956" t="s">
        <v>163</v>
      </c>
      <c r="F331" s="11950"/>
      <c r="G331" s="13925" t="s">
        <v>1611</v>
      </c>
      <c r="H331" s="11952" t="s">
        <v>1612</v>
      </c>
      <c r="I331" s="11953">
        <v>0.17</v>
      </c>
      <c r="K331" s="9045"/>
      <c r="L331" s="9046"/>
      <c r="M331" s="9046"/>
      <c r="N331" s="9047"/>
      <c r="O331" s="9047"/>
      <c r="P331" s="9048"/>
      <c r="Q331" s="9049"/>
      <c r="R331" s="9050"/>
      <c r="S331" s="9051"/>
      <c r="T331" s="9052"/>
      <c r="U331" s="9049"/>
      <c r="V331" s="9050"/>
      <c r="W331" s="9052"/>
      <c r="X331" s="9050"/>
      <c r="Y331" s="9052"/>
      <c r="Z331" s="9050"/>
      <c r="AA331" s="9051"/>
      <c r="AB331" s="9051"/>
      <c r="AC331" s="9051"/>
      <c r="AD331" s="9051"/>
      <c r="AE331" s="9051"/>
      <c r="AF331" s="9052"/>
      <c r="AG331" s="9050"/>
      <c r="AH331" s="9051"/>
      <c r="AI331" s="9051"/>
      <c r="AJ331" s="9051"/>
      <c r="AK331" s="9051"/>
      <c r="AL331" s="9051"/>
      <c r="AM331" s="9051"/>
      <c r="AN331" s="9052"/>
      <c r="AO331" s="9050"/>
      <c r="AP331" s="9051"/>
      <c r="AQ331" s="9051"/>
      <c r="AR331" s="9051"/>
      <c r="AS331" s="9051"/>
      <c r="AT331" s="9052"/>
      <c r="AU331" s="9053"/>
      <c r="AV331" s="9053"/>
      <c r="AW331" s="9053"/>
      <c r="AX331" s="9045"/>
      <c r="AY331" s="9048"/>
      <c r="AZ331" s="9053"/>
      <c r="BA331" s="9045"/>
      <c r="BB331" s="9047"/>
      <c r="BC331" s="9048"/>
      <c r="BD331" s="9054"/>
      <c r="BF331" s="14445"/>
      <c r="BG331" s="14445"/>
      <c r="BH331" s="14445"/>
      <c r="BI331" s="14445"/>
      <c r="BJ331" s="14445"/>
      <c r="BK331" s="9068"/>
      <c r="BL331" s="14445"/>
      <c r="BM331" s="14445"/>
      <c r="BN331" s="14445"/>
    </row>
    <row r="332" spans="1:66" ht="15" hidden="1" customHeight="1">
      <c r="A332" s="13535"/>
      <c r="B332" s="13890"/>
      <c r="C332" s="13588"/>
      <c r="D332" s="11944" t="s">
        <v>329</v>
      </c>
      <c r="E332" s="11945"/>
      <c r="F332" s="11950" t="s">
        <v>10193</v>
      </c>
      <c r="G332" s="13926"/>
      <c r="H332" s="13900" t="s">
        <v>1613</v>
      </c>
      <c r="I332" s="13961">
        <v>0.25</v>
      </c>
      <c r="K332" s="9058"/>
      <c r="L332" s="9059"/>
      <c r="M332" s="9059"/>
      <c r="N332" s="9060"/>
      <c r="O332" s="9060"/>
      <c r="P332" s="9061"/>
      <c r="Q332" s="9062"/>
      <c r="R332" s="9063"/>
      <c r="S332" s="9064"/>
      <c r="T332" s="9065"/>
      <c r="U332" s="9062"/>
      <c r="V332" s="9063"/>
      <c r="W332" s="9065"/>
      <c r="X332" s="9063"/>
      <c r="Y332" s="9065"/>
      <c r="Z332" s="9063"/>
      <c r="AA332" s="9064"/>
      <c r="AB332" s="9064"/>
      <c r="AC332" s="9064"/>
      <c r="AD332" s="9064"/>
      <c r="AE332" s="9064"/>
      <c r="AF332" s="9065"/>
      <c r="AG332" s="9063"/>
      <c r="AH332" s="9064"/>
      <c r="AI332" s="9064"/>
      <c r="AJ332" s="9064"/>
      <c r="AK332" s="9064"/>
      <c r="AL332" s="9064"/>
      <c r="AM332" s="9064"/>
      <c r="AN332" s="9065"/>
      <c r="AO332" s="9063"/>
      <c r="AP332" s="9064"/>
      <c r="AQ332" s="9064"/>
      <c r="AR332" s="9064"/>
      <c r="AS332" s="9064"/>
      <c r="AT332" s="9065"/>
      <c r="AU332" s="9066"/>
      <c r="AV332" s="9066"/>
      <c r="AW332" s="9066"/>
      <c r="AX332" s="9058"/>
      <c r="AY332" s="9061"/>
      <c r="AZ332" s="9066"/>
      <c r="BA332" s="9058"/>
      <c r="BB332" s="9060"/>
      <c r="BC332" s="9061"/>
      <c r="BD332" s="9067"/>
      <c r="BF332" s="14446"/>
      <c r="BG332" s="14446"/>
      <c r="BH332" s="14446"/>
      <c r="BI332" s="14446"/>
      <c r="BJ332" s="14446"/>
      <c r="BK332" s="9069"/>
      <c r="BL332" s="14446"/>
      <c r="BM332" s="14446"/>
      <c r="BN332" s="14446"/>
    </row>
    <row r="333" spans="1:66" ht="15" hidden="1" customHeight="1">
      <c r="A333" s="13536"/>
      <c r="B333" s="13891"/>
      <c r="C333" s="13588"/>
      <c r="D333" s="11944" t="s">
        <v>10194</v>
      </c>
      <c r="E333" s="11945"/>
      <c r="F333" s="11950" t="s">
        <v>733</v>
      </c>
      <c r="G333" s="13937"/>
      <c r="H333" s="13902"/>
      <c r="I333" s="13963"/>
      <c r="K333" s="9058"/>
      <c r="L333" s="9059"/>
      <c r="M333" s="9059"/>
      <c r="N333" s="9060"/>
      <c r="O333" s="9060"/>
      <c r="P333" s="9061"/>
      <c r="Q333" s="9062"/>
      <c r="R333" s="9063"/>
      <c r="S333" s="9064"/>
      <c r="T333" s="9065"/>
      <c r="U333" s="9062"/>
      <c r="V333" s="9063"/>
      <c r="W333" s="9065"/>
      <c r="X333" s="9063"/>
      <c r="Y333" s="9065"/>
      <c r="Z333" s="9063"/>
      <c r="AA333" s="9064"/>
      <c r="AB333" s="9064"/>
      <c r="AC333" s="9064"/>
      <c r="AD333" s="9064"/>
      <c r="AE333" s="9064"/>
      <c r="AF333" s="9065"/>
      <c r="AG333" s="9063"/>
      <c r="AH333" s="9064"/>
      <c r="AI333" s="9064"/>
      <c r="AJ333" s="9064"/>
      <c r="AK333" s="9064"/>
      <c r="AL333" s="9064"/>
      <c r="AM333" s="9064"/>
      <c r="AN333" s="9065"/>
      <c r="AO333" s="9063"/>
      <c r="AP333" s="9064"/>
      <c r="AQ333" s="9064"/>
      <c r="AR333" s="9064"/>
      <c r="AS333" s="9064"/>
      <c r="AT333" s="9065"/>
      <c r="AU333" s="9066"/>
      <c r="AV333" s="9066"/>
      <c r="AW333" s="9066"/>
      <c r="AX333" s="9058"/>
      <c r="AY333" s="9061"/>
      <c r="AZ333" s="9066"/>
      <c r="BA333" s="9058"/>
      <c r="BB333" s="9060"/>
      <c r="BC333" s="9061"/>
      <c r="BD333" s="9067"/>
      <c r="BF333" s="14447"/>
      <c r="BG333" s="14447"/>
      <c r="BH333" s="14447"/>
      <c r="BI333" s="14447"/>
      <c r="BJ333" s="14447"/>
      <c r="BK333" s="9030"/>
      <c r="BL333" s="14447"/>
      <c r="BM333" s="14447"/>
      <c r="BN333" s="14447"/>
    </row>
    <row r="334" spans="1:66" ht="15" hidden="1" customHeight="1">
      <c r="A334" s="13534">
        <v>230</v>
      </c>
      <c r="B334" s="13889" t="s">
        <v>7805</v>
      </c>
      <c r="C334" s="13588"/>
      <c r="D334" s="11944" t="s">
        <v>2896</v>
      </c>
      <c r="E334" s="11950" t="s">
        <v>163</v>
      </c>
      <c r="F334" s="11950"/>
      <c r="G334" s="13925" t="s">
        <v>1614</v>
      </c>
      <c r="H334" s="13900" t="s">
        <v>1616</v>
      </c>
      <c r="I334" s="13870">
        <v>1</v>
      </c>
      <c r="K334" s="9070"/>
      <c r="L334" s="9059"/>
      <c r="M334" s="9059"/>
      <c r="N334" s="9071"/>
      <c r="O334" s="9071"/>
      <c r="P334" s="9072"/>
      <c r="Q334" s="9062"/>
      <c r="R334" s="9063"/>
      <c r="S334" s="9064"/>
      <c r="T334" s="9065"/>
      <c r="U334" s="9062"/>
      <c r="V334" s="9063"/>
      <c r="W334" s="9065"/>
      <c r="X334" s="9063"/>
      <c r="Y334" s="9065"/>
      <c r="Z334" s="9063"/>
      <c r="AA334" s="9064"/>
      <c r="AB334" s="9064"/>
      <c r="AC334" s="9064"/>
      <c r="AD334" s="9064"/>
      <c r="AE334" s="9064"/>
      <c r="AF334" s="9065"/>
      <c r="AG334" s="9063"/>
      <c r="AH334" s="9064"/>
      <c r="AI334" s="9064"/>
      <c r="AJ334" s="9064"/>
      <c r="AK334" s="9064"/>
      <c r="AL334" s="9064"/>
      <c r="AM334" s="9064"/>
      <c r="AN334" s="9065"/>
      <c r="AO334" s="9063"/>
      <c r="AP334" s="9064"/>
      <c r="AQ334" s="9064"/>
      <c r="AR334" s="9064"/>
      <c r="AS334" s="9064"/>
      <c r="AT334" s="9065"/>
      <c r="AU334" s="9073"/>
      <c r="AV334" s="9073"/>
      <c r="AW334" s="9073"/>
      <c r="AX334" s="9070"/>
      <c r="AY334" s="9072"/>
      <c r="AZ334" s="9073"/>
      <c r="BA334" s="9070"/>
      <c r="BB334" s="9071"/>
      <c r="BC334" s="9072"/>
      <c r="BD334" s="9074"/>
      <c r="BF334" s="14445"/>
      <c r="BG334" s="14445"/>
      <c r="BH334" s="14445"/>
      <c r="BI334" s="14445"/>
      <c r="BJ334" s="14445"/>
      <c r="BK334" s="9068"/>
      <c r="BL334" s="14445"/>
      <c r="BM334" s="14445"/>
      <c r="BN334" s="14445"/>
    </row>
    <row r="335" spans="1:66" ht="15" hidden="1" customHeight="1">
      <c r="A335" s="13535"/>
      <c r="B335" s="13890"/>
      <c r="C335" s="13588"/>
      <c r="D335" s="11944" t="s">
        <v>10063</v>
      </c>
      <c r="E335" s="11950"/>
      <c r="F335" s="11950" t="s">
        <v>79</v>
      </c>
      <c r="G335" s="13926"/>
      <c r="H335" s="13901"/>
      <c r="I335" s="13871"/>
      <c r="K335" s="9070"/>
      <c r="L335" s="9059"/>
      <c r="M335" s="9059"/>
      <c r="N335" s="9071"/>
      <c r="O335" s="9071"/>
      <c r="P335" s="9072"/>
      <c r="Q335" s="9062"/>
      <c r="R335" s="9063"/>
      <c r="S335" s="9064"/>
      <c r="T335" s="9065"/>
      <c r="U335" s="9062"/>
      <c r="V335" s="9063"/>
      <c r="W335" s="9065"/>
      <c r="X335" s="9063"/>
      <c r="Y335" s="9065"/>
      <c r="Z335" s="9063"/>
      <c r="AA335" s="9064"/>
      <c r="AB335" s="9064"/>
      <c r="AC335" s="9064"/>
      <c r="AD335" s="9064"/>
      <c r="AE335" s="9064"/>
      <c r="AF335" s="9065"/>
      <c r="AG335" s="9063"/>
      <c r="AH335" s="9064"/>
      <c r="AI335" s="9064"/>
      <c r="AJ335" s="9064"/>
      <c r="AK335" s="9064"/>
      <c r="AL335" s="9064"/>
      <c r="AM335" s="9064"/>
      <c r="AN335" s="9065"/>
      <c r="AO335" s="9063"/>
      <c r="AP335" s="9064"/>
      <c r="AQ335" s="9064"/>
      <c r="AR335" s="9064"/>
      <c r="AS335" s="9064"/>
      <c r="AT335" s="9065"/>
      <c r="AU335" s="9073"/>
      <c r="AV335" s="9073"/>
      <c r="AW335" s="9073"/>
      <c r="AX335" s="9070"/>
      <c r="AY335" s="9072"/>
      <c r="AZ335" s="9073"/>
      <c r="BA335" s="9070"/>
      <c r="BB335" s="9071"/>
      <c r="BC335" s="9072"/>
      <c r="BD335" s="9074"/>
      <c r="BF335" s="14446"/>
      <c r="BG335" s="14446"/>
      <c r="BH335" s="14446"/>
      <c r="BI335" s="14446"/>
      <c r="BJ335" s="14446"/>
      <c r="BK335" s="9069"/>
      <c r="BL335" s="14446"/>
      <c r="BM335" s="14446"/>
      <c r="BN335" s="14446"/>
    </row>
    <row r="336" spans="1:66" ht="15" hidden="1" customHeight="1">
      <c r="A336" s="13535"/>
      <c r="B336" s="13890"/>
      <c r="C336" s="13588"/>
      <c r="D336" s="11944" t="s">
        <v>329</v>
      </c>
      <c r="E336" s="11950"/>
      <c r="F336" s="11950" t="s">
        <v>10195</v>
      </c>
      <c r="G336" s="13926"/>
      <c r="H336" s="13901"/>
      <c r="I336" s="13871"/>
      <c r="K336" s="9070"/>
      <c r="L336" s="9059"/>
      <c r="M336" s="9059"/>
      <c r="N336" s="9071"/>
      <c r="O336" s="9071"/>
      <c r="P336" s="9072"/>
      <c r="Q336" s="9062"/>
      <c r="R336" s="9063"/>
      <c r="S336" s="9064"/>
      <c r="T336" s="9065"/>
      <c r="U336" s="9062"/>
      <c r="V336" s="9063"/>
      <c r="W336" s="9065"/>
      <c r="X336" s="9063"/>
      <c r="Y336" s="9065"/>
      <c r="Z336" s="9063"/>
      <c r="AA336" s="9064"/>
      <c r="AB336" s="9064"/>
      <c r="AC336" s="9064"/>
      <c r="AD336" s="9064"/>
      <c r="AE336" s="9064"/>
      <c r="AF336" s="9065"/>
      <c r="AG336" s="9063"/>
      <c r="AH336" s="9064"/>
      <c r="AI336" s="9064"/>
      <c r="AJ336" s="9064"/>
      <c r="AK336" s="9064"/>
      <c r="AL336" s="9064"/>
      <c r="AM336" s="9064"/>
      <c r="AN336" s="9065"/>
      <c r="AO336" s="9063"/>
      <c r="AP336" s="9064"/>
      <c r="AQ336" s="9064"/>
      <c r="AR336" s="9064"/>
      <c r="AS336" s="9064"/>
      <c r="AT336" s="9065"/>
      <c r="AU336" s="9073"/>
      <c r="AV336" s="9073"/>
      <c r="AW336" s="9073"/>
      <c r="AX336" s="9070"/>
      <c r="AY336" s="9072"/>
      <c r="AZ336" s="9073"/>
      <c r="BA336" s="9070"/>
      <c r="BB336" s="9071"/>
      <c r="BC336" s="9072"/>
      <c r="BD336" s="9074"/>
      <c r="BF336" s="14446"/>
      <c r="BG336" s="14446"/>
      <c r="BH336" s="14446"/>
      <c r="BI336" s="14446"/>
      <c r="BJ336" s="14446"/>
      <c r="BK336" s="9069"/>
      <c r="BL336" s="14446"/>
      <c r="BM336" s="14446"/>
      <c r="BN336" s="14446"/>
    </row>
    <row r="337" spans="1:66" ht="15" hidden="1" customHeight="1" thickBot="1">
      <c r="A337" s="13758"/>
      <c r="B337" s="13956"/>
      <c r="C337" s="13588"/>
      <c r="D337" s="11957" t="s">
        <v>10194</v>
      </c>
      <c r="E337" s="11958"/>
      <c r="F337" s="11958" t="s">
        <v>733</v>
      </c>
      <c r="G337" s="13927"/>
      <c r="H337" s="13903"/>
      <c r="I337" s="13872"/>
      <c r="K337" s="9075"/>
      <c r="L337" s="9076"/>
      <c r="M337" s="9076"/>
      <c r="N337" s="9077"/>
      <c r="O337" s="9077"/>
      <c r="P337" s="9078"/>
      <c r="Q337" s="9079"/>
      <c r="R337" s="9080"/>
      <c r="S337" s="9081"/>
      <c r="T337" s="9082"/>
      <c r="U337" s="9079"/>
      <c r="V337" s="9080"/>
      <c r="W337" s="9082"/>
      <c r="X337" s="9080"/>
      <c r="Y337" s="9082"/>
      <c r="Z337" s="9080"/>
      <c r="AA337" s="9081"/>
      <c r="AB337" s="9081"/>
      <c r="AC337" s="9081"/>
      <c r="AD337" s="9081"/>
      <c r="AE337" s="9081"/>
      <c r="AF337" s="9082"/>
      <c r="AG337" s="9080"/>
      <c r="AH337" s="9081"/>
      <c r="AI337" s="9081"/>
      <c r="AJ337" s="9081"/>
      <c r="AK337" s="9081"/>
      <c r="AL337" s="9081"/>
      <c r="AM337" s="9081"/>
      <c r="AN337" s="9082"/>
      <c r="AO337" s="9080"/>
      <c r="AP337" s="9081"/>
      <c r="AQ337" s="9081"/>
      <c r="AR337" s="9081"/>
      <c r="AS337" s="9081"/>
      <c r="AT337" s="9082"/>
      <c r="AU337" s="9083"/>
      <c r="AV337" s="9083"/>
      <c r="AW337" s="9083"/>
      <c r="AX337" s="9075"/>
      <c r="AY337" s="9078"/>
      <c r="AZ337" s="9083"/>
      <c r="BA337" s="9075"/>
      <c r="BB337" s="9077"/>
      <c r="BC337" s="9078"/>
      <c r="BD337" s="9084"/>
      <c r="BF337" s="14448"/>
      <c r="BG337" s="14448"/>
      <c r="BH337" s="14448"/>
      <c r="BI337" s="14448"/>
      <c r="BJ337" s="14448"/>
      <c r="BK337" s="9085"/>
      <c r="BL337" s="14448"/>
      <c r="BM337" s="14448"/>
      <c r="BN337" s="14448"/>
    </row>
    <row r="338" spans="1:66" ht="16.5" hidden="1" customHeight="1">
      <c r="A338" s="13759">
        <v>231</v>
      </c>
      <c r="B338" s="13957" t="s">
        <v>7807</v>
      </c>
      <c r="C338" s="13588"/>
      <c r="D338" s="11959" t="s">
        <v>2896</v>
      </c>
      <c r="E338" s="11960" t="s">
        <v>163</v>
      </c>
      <c r="F338" s="11960"/>
      <c r="G338" s="13938" t="s">
        <v>1620</v>
      </c>
      <c r="H338" s="13904" t="s">
        <v>1622</v>
      </c>
      <c r="I338" s="13873">
        <v>1</v>
      </c>
      <c r="K338" s="9086"/>
      <c r="L338" s="9087"/>
      <c r="M338" s="9087"/>
      <c r="N338" s="9088"/>
      <c r="O338" s="9088"/>
      <c r="P338" s="9089"/>
      <c r="Q338" s="9090"/>
      <c r="R338" s="9091"/>
      <c r="S338" s="9092"/>
      <c r="T338" s="9093"/>
      <c r="U338" s="9090"/>
      <c r="V338" s="9091"/>
      <c r="W338" s="9093"/>
      <c r="X338" s="9091"/>
      <c r="Y338" s="9093"/>
      <c r="Z338" s="9091"/>
      <c r="AA338" s="9092"/>
      <c r="AB338" s="9092"/>
      <c r="AC338" s="9092"/>
      <c r="AD338" s="9092"/>
      <c r="AE338" s="9092"/>
      <c r="AF338" s="9093"/>
      <c r="AG338" s="9091"/>
      <c r="AH338" s="9092"/>
      <c r="AI338" s="9092"/>
      <c r="AJ338" s="9092"/>
      <c r="AK338" s="9092"/>
      <c r="AL338" s="9092"/>
      <c r="AM338" s="9092"/>
      <c r="AN338" s="9093"/>
      <c r="AO338" s="9091"/>
      <c r="AP338" s="9092"/>
      <c r="AQ338" s="9092"/>
      <c r="AR338" s="9092"/>
      <c r="AS338" s="9092"/>
      <c r="AT338" s="9093"/>
      <c r="AU338" s="9094"/>
      <c r="AV338" s="9094"/>
      <c r="AW338" s="9094"/>
      <c r="AX338" s="9086"/>
      <c r="AY338" s="9089"/>
      <c r="AZ338" s="9094"/>
      <c r="BA338" s="9086"/>
      <c r="BB338" s="9088"/>
      <c r="BC338" s="9089"/>
      <c r="BD338" s="9095"/>
      <c r="BF338" s="14449"/>
      <c r="BG338" s="14449"/>
      <c r="BH338" s="14449"/>
      <c r="BI338" s="14449"/>
      <c r="BJ338" s="14449"/>
      <c r="BK338" s="9096"/>
      <c r="BL338" s="14449"/>
      <c r="BM338" s="14449"/>
      <c r="BN338" s="14449"/>
    </row>
    <row r="339" spans="1:66" ht="16.5" hidden="1" customHeight="1">
      <c r="A339" s="13760"/>
      <c r="B339" s="13958"/>
      <c r="C339" s="13588"/>
      <c r="D339" s="11961" t="s">
        <v>10072</v>
      </c>
      <c r="E339" s="11962"/>
      <c r="F339" s="11962" t="s">
        <v>1624</v>
      </c>
      <c r="G339" s="13939"/>
      <c r="H339" s="13905"/>
      <c r="I339" s="13874"/>
      <c r="K339" s="9097"/>
      <c r="L339" s="9098"/>
      <c r="M339" s="9098"/>
      <c r="N339" s="9099"/>
      <c r="O339" s="9099"/>
      <c r="P339" s="9100"/>
      <c r="Q339" s="9101"/>
      <c r="R339" s="9102"/>
      <c r="S339" s="9103"/>
      <c r="T339" s="9104"/>
      <c r="U339" s="9101"/>
      <c r="V339" s="9102"/>
      <c r="W339" s="9104"/>
      <c r="X339" s="9102"/>
      <c r="Y339" s="9104"/>
      <c r="Z339" s="9102"/>
      <c r="AA339" s="9103"/>
      <c r="AB339" s="9103"/>
      <c r="AC339" s="9103"/>
      <c r="AD339" s="9103"/>
      <c r="AE339" s="9103"/>
      <c r="AF339" s="9104"/>
      <c r="AG339" s="9102"/>
      <c r="AH339" s="9103"/>
      <c r="AI339" s="9103"/>
      <c r="AJ339" s="9103"/>
      <c r="AK339" s="9103"/>
      <c r="AL339" s="9103"/>
      <c r="AM339" s="9103"/>
      <c r="AN339" s="9104"/>
      <c r="AO339" s="9102"/>
      <c r="AP339" s="9103"/>
      <c r="AQ339" s="9103"/>
      <c r="AR339" s="9103"/>
      <c r="AS339" s="9103"/>
      <c r="AT339" s="9104"/>
      <c r="AU339" s="9105"/>
      <c r="AV339" s="9105"/>
      <c r="AW339" s="9105"/>
      <c r="AX339" s="9097"/>
      <c r="AY339" s="9100"/>
      <c r="AZ339" s="9105"/>
      <c r="BA339" s="9097"/>
      <c r="BB339" s="9099"/>
      <c r="BC339" s="9100"/>
      <c r="BD339" s="9106"/>
      <c r="BF339" s="14450"/>
      <c r="BG339" s="14450"/>
      <c r="BH339" s="14450"/>
      <c r="BI339" s="14450"/>
      <c r="BJ339" s="14450"/>
      <c r="BK339" s="9107"/>
      <c r="BL339" s="14450"/>
      <c r="BM339" s="14450"/>
      <c r="BN339" s="14450"/>
    </row>
    <row r="340" spans="1:66" ht="16.5" hidden="1" customHeight="1">
      <c r="A340" s="9108">
        <v>232</v>
      </c>
      <c r="B340" s="9109" t="s">
        <v>7808</v>
      </c>
      <c r="C340" s="13588"/>
      <c r="D340" s="11963" t="s">
        <v>10072</v>
      </c>
      <c r="E340" s="11962" t="s">
        <v>1624</v>
      </c>
      <c r="F340" s="11962"/>
      <c r="G340" s="11964" t="s">
        <v>1623</v>
      </c>
      <c r="H340" s="11965" t="s">
        <v>1573</v>
      </c>
      <c r="I340" s="11966">
        <v>60</v>
      </c>
      <c r="K340" s="9110"/>
      <c r="L340" s="9111"/>
      <c r="M340" s="9111"/>
      <c r="N340" s="9112"/>
      <c r="O340" s="9112"/>
      <c r="P340" s="9113"/>
      <c r="Q340" s="9114"/>
      <c r="R340" s="9115"/>
      <c r="S340" s="9116"/>
      <c r="T340" s="9117"/>
      <c r="U340" s="9114"/>
      <c r="V340" s="9115"/>
      <c r="W340" s="9117"/>
      <c r="X340" s="9115"/>
      <c r="Y340" s="9117"/>
      <c r="Z340" s="9115"/>
      <c r="AA340" s="9116"/>
      <c r="AB340" s="9116"/>
      <c r="AC340" s="9116"/>
      <c r="AD340" s="9116"/>
      <c r="AE340" s="9116"/>
      <c r="AF340" s="9117"/>
      <c r="AG340" s="9115"/>
      <c r="AH340" s="9116"/>
      <c r="AI340" s="9116"/>
      <c r="AJ340" s="9116"/>
      <c r="AK340" s="9116"/>
      <c r="AL340" s="9116"/>
      <c r="AM340" s="9116"/>
      <c r="AN340" s="9117"/>
      <c r="AO340" s="9115"/>
      <c r="AP340" s="9116"/>
      <c r="AQ340" s="9116"/>
      <c r="AR340" s="9116"/>
      <c r="AS340" s="9116"/>
      <c r="AT340" s="9117"/>
      <c r="AU340" s="9118"/>
      <c r="AV340" s="9118"/>
      <c r="AW340" s="9118"/>
      <c r="AX340" s="9110"/>
      <c r="AY340" s="9113"/>
      <c r="AZ340" s="9118"/>
      <c r="BA340" s="9110"/>
      <c r="BB340" s="9112"/>
      <c r="BC340" s="9113"/>
      <c r="BD340" s="9119"/>
      <c r="BF340" s="9107"/>
      <c r="BG340" s="9107"/>
      <c r="BH340" s="9107"/>
      <c r="BI340" s="9107"/>
      <c r="BJ340" s="9107"/>
      <c r="BK340" s="9107"/>
      <c r="BL340" s="9107"/>
      <c r="BM340" s="9107"/>
      <c r="BN340" s="9107"/>
    </row>
    <row r="341" spans="1:66" ht="16.5" hidden="1" customHeight="1">
      <c r="A341" s="9108">
        <v>233</v>
      </c>
      <c r="B341" s="9109" t="s">
        <v>7809</v>
      </c>
      <c r="C341" s="13588"/>
      <c r="D341" s="11963" t="s">
        <v>10072</v>
      </c>
      <c r="E341" s="11962" t="s">
        <v>1624</v>
      </c>
      <c r="F341" s="11962"/>
      <c r="G341" s="11964" t="s">
        <v>1625</v>
      </c>
      <c r="H341" s="11965" t="s">
        <v>1627</v>
      </c>
      <c r="I341" s="11966">
        <v>40</v>
      </c>
      <c r="K341" s="9110"/>
      <c r="L341" s="9111"/>
      <c r="M341" s="9111"/>
      <c r="N341" s="9112"/>
      <c r="O341" s="9112"/>
      <c r="P341" s="9113"/>
      <c r="Q341" s="9114"/>
      <c r="R341" s="9115"/>
      <c r="S341" s="9116"/>
      <c r="T341" s="9117"/>
      <c r="U341" s="9114"/>
      <c r="V341" s="9115"/>
      <c r="W341" s="9117"/>
      <c r="X341" s="9115"/>
      <c r="Y341" s="9117"/>
      <c r="Z341" s="9115"/>
      <c r="AA341" s="9116"/>
      <c r="AB341" s="9116"/>
      <c r="AC341" s="9116"/>
      <c r="AD341" s="9116"/>
      <c r="AE341" s="9116"/>
      <c r="AF341" s="9117"/>
      <c r="AG341" s="9115"/>
      <c r="AH341" s="9116"/>
      <c r="AI341" s="9116"/>
      <c r="AJ341" s="9116"/>
      <c r="AK341" s="9116"/>
      <c r="AL341" s="9116"/>
      <c r="AM341" s="9116"/>
      <c r="AN341" s="9117"/>
      <c r="AO341" s="9115"/>
      <c r="AP341" s="9116"/>
      <c r="AQ341" s="9116"/>
      <c r="AR341" s="9116"/>
      <c r="AS341" s="9116"/>
      <c r="AT341" s="9117"/>
      <c r="AU341" s="9118"/>
      <c r="AV341" s="9118"/>
      <c r="AW341" s="9118"/>
      <c r="AX341" s="9110"/>
      <c r="AY341" s="9113"/>
      <c r="AZ341" s="9118"/>
      <c r="BA341" s="9110"/>
      <c r="BB341" s="9112"/>
      <c r="BC341" s="9113"/>
      <c r="BD341" s="9119"/>
      <c r="BF341" s="9107"/>
      <c r="BG341" s="9107"/>
      <c r="BH341" s="9107"/>
      <c r="BI341" s="9107"/>
      <c r="BJ341" s="9107"/>
      <c r="BK341" s="9107"/>
      <c r="BL341" s="9107"/>
      <c r="BM341" s="9107"/>
      <c r="BN341" s="9107"/>
    </row>
    <row r="342" spans="1:66" ht="16.5" hidden="1" customHeight="1">
      <c r="A342" s="13760">
        <v>234</v>
      </c>
      <c r="B342" s="13958" t="s">
        <v>7810</v>
      </c>
      <c r="C342" s="13588"/>
      <c r="D342" s="11967" t="s">
        <v>10072</v>
      </c>
      <c r="E342" s="11962" t="s">
        <v>1624</v>
      </c>
      <c r="F342" s="11962"/>
      <c r="G342" s="13868" t="s">
        <v>1628</v>
      </c>
      <c r="H342" s="13905" t="s">
        <v>1630</v>
      </c>
      <c r="I342" s="13875">
        <v>15</v>
      </c>
      <c r="K342" s="9120"/>
      <c r="L342" s="9098"/>
      <c r="M342" s="9098"/>
      <c r="N342" s="9121"/>
      <c r="O342" s="9121"/>
      <c r="P342" s="9122"/>
      <c r="Q342" s="9101"/>
      <c r="R342" s="9102"/>
      <c r="S342" s="9103"/>
      <c r="T342" s="9104"/>
      <c r="U342" s="9101"/>
      <c r="V342" s="9102"/>
      <c r="W342" s="9104"/>
      <c r="X342" s="9102"/>
      <c r="Y342" s="9104"/>
      <c r="Z342" s="9102"/>
      <c r="AA342" s="9103"/>
      <c r="AB342" s="9103"/>
      <c r="AC342" s="9103"/>
      <c r="AD342" s="9103"/>
      <c r="AE342" s="9103"/>
      <c r="AF342" s="9104"/>
      <c r="AG342" s="9102"/>
      <c r="AH342" s="9103"/>
      <c r="AI342" s="9103"/>
      <c r="AJ342" s="9103"/>
      <c r="AK342" s="9103"/>
      <c r="AL342" s="9103"/>
      <c r="AM342" s="9103"/>
      <c r="AN342" s="9104"/>
      <c r="AO342" s="9102"/>
      <c r="AP342" s="9103"/>
      <c r="AQ342" s="9103"/>
      <c r="AR342" s="9103"/>
      <c r="AS342" s="9103"/>
      <c r="AT342" s="9104"/>
      <c r="AU342" s="9123"/>
      <c r="AV342" s="9123"/>
      <c r="AW342" s="9123"/>
      <c r="AX342" s="9120"/>
      <c r="AY342" s="9122"/>
      <c r="AZ342" s="9123"/>
      <c r="BA342" s="9120"/>
      <c r="BB342" s="9121"/>
      <c r="BC342" s="9122"/>
      <c r="BD342" s="9124"/>
      <c r="BF342" s="14451"/>
      <c r="BG342" s="14451"/>
      <c r="BH342" s="14451"/>
      <c r="BI342" s="14451"/>
      <c r="BJ342" s="14451"/>
      <c r="BK342" s="9125"/>
      <c r="BL342" s="14451"/>
      <c r="BM342" s="14451"/>
      <c r="BN342" s="14451"/>
    </row>
    <row r="343" spans="1:66" ht="16.5" hidden="1" customHeight="1">
      <c r="A343" s="13760"/>
      <c r="B343" s="13958"/>
      <c r="C343" s="13588"/>
      <c r="D343" s="11961" t="s">
        <v>2896</v>
      </c>
      <c r="E343" s="11962"/>
      <c r="F343" s="11962" t="s">
        <v>2200</v>
      </c>
      <c r="G343" s="13938"/>
      <c r="H343" s="13905"/>
      <c r="I343" s="13875"/>
      <c r="K343" s="9120"/>
      <c r="L343" s="9098"/>
      <c r="M343" s="9098"/>
      <c r="N343" s="9121"/>
      <c r="O343" s="9121"/>
      <c r="P343" s="9122"/>
      <c r="Q343" s="9101"/>
      <c r="R343" s="9102"/>
      <c r="S343" s="9103"/>
      <c r="T343" s="9104"/>
      <c r="U343" s="9101"/>
      <c r="V343" s="9102"/>
      <c r="W343" s="9104"/>
      <c r="X343" s="9102"/>
      <c r="Y343" s="9104"/>
      <c r="Z343" s="9102"/>
      <c r="AA343" s="9103"/>
      <c r="AB343" s="9103"/>
      <c r="AC343" s="9103"/>
      <c r="AD343" s="9103"/>
      <c r="AE343" s="9103"/>
      <c r="AF343" s="9104"/>
      <c r="AG343" s="9102"/>
      <c r="AH343" s="9103"/>
      <c r="AI343" s="9103"/>
      <c r="AJ343" s="9103"/>
      <c r="AK343" s="9103"/>
      <c r="AL343" s="9103"/>
      <c r="AM343" s="9103"/>
      <c r="AN343" s="9104"/>
      <c r="AO343" s="9102"/>
      <c r="AP343" s="9103"/>
      <c r="AQ343" s="9103"/>
      <c r="AR343" s="9103"/>
      <c r="AS343" s="9103"/>
      <c r="AT343" s="9104"/>
      <c r="AU343" s="9123"/>
      <c r="AV343" s="9123"/>
      <c r="AW343" s="9123"/>
      <c r="AX343" s="9120"/>
      <c r="AY343" s="9122"/>
      <c r="AZ343" s="9123"/>
      <c r="BA343" s="9120"/>
      <c r="BB343" s="9121"/>
      <c r="BC343" s="9122"/>
      <c r="BD343" s="9124"/>
      <c r="BF343" s="14449"/>
      <c r="BG343" s="14449"/>
      <c r="BH343" s="14449"/>
      <c r="BI343" s="14449"/>
      <c r="BJ343" s="14449"/>
      <c r="BK343" s="9096"/>
      <c r="BL343" s="14449"/>
      <c r="BM343" s="14449"/>
      <c r="BN343" s="14449"/>
    </row>
    <row r="344" spans="1:66" ht="16.5" hidden="1" customHeight="1">
      <c r="A344" s="9108">
        <v>235</v>
      </c>
      <c r="B344" s="9109" t="s">
        <v>7811</v>
      </c>
      <c r="C344" s="13588"/>
      <c r="D344" s="11967" t="s">
        <v>10072</v>
      </c>
      <c r="E344" s="11962" t="s">
        <v>1624</v>
      </c>
      <c r="F344" s="11960"/>
      <c r="G344" s="11968" t="s">
        <v>1631</v>
      </c>
      <c r="H344" s="11965" t="s">
        <v>1633</v>
      </c>
      <c r="I344" s="11966">
        <v>1</v>
      </c>
      <c r="K344" s="9120"/>
      <c r="L344" s="9098"/>
      <c r="M344" s="9098"/>
      <c r="N344" s="9121"/>
      <c r="O344" s="9121"/>
      <c r="P344" s="9122"/>
      <c r="Q344" s="9101"/>
      <c r="R344" s="9102"/>
      <c r="S344" s="9103"/>
      <c r="T344" s="9104"/>
      <c r="U344" s="9101"/>
      <c r="V344" s="9102"/>
      <c r="W344" s="9104"/>
      <c r="X344" s="9102"/>
      <c r="Y344" s="9104"/>
      <c r="Z344" s="9102"/>
      <c r="AA344" s="9103"/>
      <c r="AB344" s="9103"/>
      <c r="AC344" s="9103"/>
      <c r="AD344" s="9103"/>
      <c r="AE344" s="9103"/>
      <c r="AF344" s="9104"/>
      <c r="AG344" s="9102"/>
      <c r="AH344" s="9103"/>
      <c r="AI344" s="9103"/>
      <c r="AJ344" s="9103"/>
      <c r="AK344" s="9103"/>
      <c r="AL344" s="9103"/>
      <c r="AM344" s="9103"/>
      <c r="AN344" s="9104"/>
      <c r="AO344" s="9102"/>
      <c r="AP344" s="9103"/>
      <c r="AQ344" s="9103"/>
      <c r="AR344" s="9103"/>
      <c r="AS344" s="9103"/>
      <c r="AT344" s="9104"/>
      <c r="AU344" s="9123"/>
      <c r="AV344" s="9123"/>
      <c r="AW344" s="9123"/>
      <c r="AX344" s="9120"/>
      <c r="AY344" s="9122"/>
      <c r="AZ344" s="9123"/>
      <c r="BA344" s="9120"/>
      <c r="BB344" s="9121"/>
      <c r="BC344" s="9122"/>
      <c r="BD344" s="9124"/>
      <c r="BF344" s="9125"/>
      <c r="BG344" s="9125"/>
      <c r="BH344" s="9125"/>
      <c r="BI344" s="9125"/>
      <c r="BJ344" s="9125"/>
      <c r="BK344" s="9125"/>
      <c r="BL344" s="9125"/>
      <c r="BM344" s="9125"/>
      <c r="BN344" s="9125"/>
    </row>
    <row r="345" spans="1:66" ht="16.5" hidden="1" customHeight="1">
      <c r="A345" s="13761">
        <v>236</v>
      </c>
      <c r="B345" s="13959" t="s">
        <v>7812</v>
      </c>
      <c r="C345" s="13588"/>
      <c r="D345" s="11967" t="s">
        <v>10072</v>
      </c>
      <c r="E345" s="11962" t="s">
        <v>1624</v>
      </c>
      <c r="F345" s="11962"/>
      <c r="G345" s="13868" t="s">
        <v>1634</v>
      </c>
      <c r="H345" s="13906" t="s">
        <v>1636</v>
      </c>
      <c r="I345" s="13876">
        <v>1</v>
      </c>
      <c r="K345" s="9120"/>
      <c r="L345" s="9098"/>
      <c r="M345" s="9098"/>
      <c r="N345" s="9121"/>
      <c r="O345" s="9121"/>
      <c r="P345" s="9122"/>
      <c r="Q345" s="9101"/>
      <c r="R345" s="9102"/>
      <c r="S345" s="9103"/>
      <c r="T345" s="9104"/>
      <c r="U345" s="9101"/>
      <c r="V345" s="9102"/>
      <c r="W345" s="9104"/>
      <c r="X345" s="9102"/>
      <c r="Y345" s="9104"/>
      <c r="Z345" s="9102"/>
      <c r="AA345" s="9103"/>
      <c r="AB345" s="9103"/>
      <c r="AC345" s="9103"/>
      <c r="AD345" s="9103"/>
      <c r="AE345" s="9103"/>
      <c r="AF345" s="9104"/>
      <c r="AG345" s="9102"/>
      <c r="AH345" s="9103"/>
      <c r="AI345" s="9103"/>
      <c r="AJ345" s="9103"/>
      <c r="AK345" s="9103"/>
      <c r="AL345" s="9103"/>
      <c r="AM345" s="9103"/>
      <c r="AN345" s="9104"/>
      <c r="AO345" s="9102"/>
      <c r="AP345" s="9103"/>
      <c r="AQ345" s="9103"/>
      <c r="AR345" s="9103"/>
      <c r="AS345" s="9103"/>
      <c r="AT345" s="9104"/>
      <c r="AU345" s="9123"/>
      <c r="AV345" s="9123"/>
      <c r="AW345" s="9123"/>
      <c r="AX345" s="9120"/>
      <c r="AY345" s="9122"/>
      <c r="AZ345" s="9123"/>
      <c r="BA345" s="9120"/>
      <c r="BB345" s="9121"/>
      <c r="BC345" s="9122"/>
      <c r="BD345" s="9124"/>
      <c r="BF345" s="14451"/>
      <c r="BG345" s="14451"/>
      <c r="BH345" s="14451"/>
      <c r="BI345" s="14451"/>
      <c r="BJ345" s="14451"/>
      <c r="BK345" s="9125"/>
      <c r="BL345" s="14451"/>
      <c r="BM345" s="14451"/>
      <c r="BN345" s="14451"/>
    </row>
    <row r="346" spans="1:66" ht="16.5" hidden="1" customHeight="1" thickBot="1">
      <c r="A346" s="13762"/>
      <c r="B346" s="13960"/>
      <c r="C346" s="13588"/>
      <c r="D346" s="11969" t="s">
        <v>2896</v>
      </c>
      <c r="E346" s="11970"/>
      <c r="F346" s="11970" t="s">
        <v>2200</v>
      </c>
      <c r="G346" s="13869"/>
      <c r="H346" s="13907"/>
      <c r="I346" s="13877"/>
      <c r="K346" s="9126"/>
      <c r="L346" s="9127"/>
      <c r="M346" s="9127"/>
      <c r="N346" s="9128"/>
      <c r="O346" s="9128"/>
      <c r="P346" s="9129"/>
      <c r="Q346" s="9130"/>
      <c r="R346" s="9131"/>
      <c r="S346" s="9132"/>
      <c r="T346" s="9133"/>
      <c r="U346" s="9130"/>
      <c r="V346" s="9131"/>
      <c r="W346" s="9133"/>
      <c r="X346" s="9131"/>
      <c r="Y346" s="9133"/>
      <c r="Z346" s="9131"/>
      <c r="AA346" s="9132"/>
      <c r="AB346" s="9132"/>
      <c r="AC346" s="9132"/>
      <c r="AD346" s="9132"/>
      <c r="AE346" s="9132"/>
      <c r="AF346" s="9133"/>
      <c r="AG346" s="9131"/>
      <c r="AH346" s="9132"/>
      <c r="AI346" s="9132"/>
      <c r="AJ346" s="9132"/>
      <c r="AK346" s="9132"/>
      <c r="AL346" s="9132"/>
      <c r="AM346" s="9132"/>
      <c r="AN346" s="9133"/>
      <c r="AO346" s="9131"/>
      <c r="AP346" s="9132"/>
      <c r="AQ346" s="9132"/>
      <c r="AR346" s="9132"/>
      <c r="AS346" s="9132"/>
      <c r="AT346" s="9133"/>
      <c r="AU346" s="9134"/>
      <c r="AV346" s="9134"/>
      <c r="AW346" s="9134"/>
      <c r="AX346" s="9126"/>
      <c r="AY346" s="9129"/>
      <c r="AZ346" s="9134"/>
      <c r="BA346" s="9126"/>
      <c r="BB346" s="9128"/>
      <c r="BC346" s="9129"/>
      <c r="BD346" s="9135"/>
      <c r="BF346" s="14452"/>
      <c r="BG346" s="14452"/>
      <c r="BH346" s="14452"/>
      <c r="BI346" s="14452"/>
      <c r="BJ346" s="14452"/>
      <c r="BK346" s="9136"/>
      <c r="BL346" s="14452"/>
      <c r="BM346" s="14452"/>
      <c r="BN346" s="14452"/>
    </row>
    <row r="347" spans="1:66" ht="16.5" hidden="1" customHeight="1">
      <c r="A347" s="9137">
        <v>237</v>
      </c>
      <c r="B347" s="9138" t="s">
        <v>7813</v>
      </c>
      <c r="C347" s="13588"/>
      <c r="D347" s="11971" t="s">
        <v>2896</v>
      </c>
      <c r="E347" s="7824" t="s">
        <v>163</v>
      </c>
      <c r="F347" s="7824"/>
      <c r="G347" s="11972" t="s">
        <v>1639</v>
      </c>
      <c r="H347" s="11973" t="s">
        <v>1641</v>
      </c>
      <c r="I347" s="11974">
        <v>1</v>
      </c>
      <c r="K347" s="9140"/>
      <c r="L347" s="9141"/>
      <c r="M347" s="9141"/>
      <c r="N347" s="9142"/>
      <c r="O347" s="9142"/>
      <c r="P347" s="9143"/>
      <c r="Q347" s="9144"/>
      <c r="R347" s="9145"/>
      <c r="S347" s="9146"/>
      <c r="T347" s="9147"/>
      <c r="U347" s="9144"/>
      <c r="V347" s="9145"/>
      <c r="W347" s="9147"/>
      <c r="X347" s="9145"/>
      <c r="Y347" s="9147"/>
      <c r="Z347" s="9145"/>
      <c r="AA347" s="9146"/>
      <c r="AB347" s="9146"/>
      <c r="AC347" s="9146"/>
      <c r="AD347" s="9146"/>
      <c r="AE347" s="9146"/>
      <c r="AF347" s="9147"/>
      <c r="AG347" s="9145"/>
      <c r="AH347" s="9146"/>
      <c r="AI347" s="9146"/>
      <c r="AJ347" s="9146"/>
      <c r="AK347" s="9146"/>
      <c r="AL347" s="9146"/>
      <c r="AM347" s="9146"/>
      <c r="AN347" s="9147"/>
      <c r="AO347" s="9145"/>
      <c r="AP347" s="9146"/>
      <c r="AQ347" s="9146"/>
      <c r="AR347" s="9146"/>
      <c r="AS347" s="9146"/>
      <c r="AT347" s="9147"/>
      <c r="AU347" s="9148"/>
      <c r="AV347" s="9148"/>
      <c r="AW347" s="9148"/>
      <c r="AX347" s="9140"/>
      <c r="AY347" s="9143"/>
      <c r="AZ347" s="9148"/>
      <c r="BA347" s="9140"/>
      <c r="BB347" s="9142"/>
      <c r="BC347" s="9143"/>
      <c r="BD347" s="9149"/>
      <c r="BF347" s="9139"/>
      <c r="BG347" s="9139"/>
      <c r="BH347" s="9139"/>
      <c r="BI347" s="9139"/>
      <c r="BJ347" s="9139"/>
      <c r="BK347" s="9139"/>
      <c r="BL347" s="9139"/>
      <c r="BM347" s="9139"/>
      <c r="BN347" s="9139"/>
    </row>
    <row r="348" spans="1:66" ht="16.5" hidden="1" customHeight="1">
      <c r="A348" s="9150">
        <v>238</v>
      </c>
      <c r="B348" s="9151" t="s">
        <v>7814</v>
      </c>
      <c r="C348" s="13588"/>
      <c r="D348" s="11975" t="s">
        <v>218</v>
      </c>
      <c r="E348" s="7826" t="s">
        <v>768</v>
      </c>
      <c r="F348" s="7826"/>
      <c r="G348" s="11976" t="s">
        <v>1642</v>
      </c>
      <c r="H348" s="11977" t="s">
        <v>1573</v>
      </c>
      <c r="I348" s="11978">
        <v>60</v>
      </c>
      <c r="K348" s="9152"/>
      <c r="L348" s="9154"/>
      <c r="M348" s="9154"/>
      <c r="N348" s="9155"/>
      <c r="O348" s="9155"/>
      <c r="P348" s="9156"/>
      <c r="Q348" s="9157"/>
      <c r="R348" s="9158"/>
      <c r="S348" s="9159"/>
      <c r="T348" s="9160"/>
      <c r="U348" s="9157"/>
      <c r="V348" s="9158"/>
      <c r="W348" s="9160"/>
      <c r="X348" s="9158"/>
      <c r="Y348" s="9160"/>
      <c r="Z348" s="9158"/>
      <c r="AA348" s="9159"/>
      <c r="AB348" s="9159"/>
      <c r="AC348" s="9159"/>
      <c r="AD348" s="9159"/>
      <c r="AE348" s="9159"/>
      <c r="AF348" s="9160"/>
      <c r="AG348" s="9158"/>
      <c r="AH348" s="9159"/>
      <c r="AI348" s="9159"/>
      <c r="AJ348" s="9159"/>
      <c r="AK348" s="9159"/>
      <c r="AL348" s="9159"/>
      <c r="AM348" s="9159"/>
      <c r="AN348" s="9160"/>
      <c r="AO348" s="9158"/>
      <c r="AP348" s="9159"/>
      <c r="AQ348" s="9159"/>
      <c r="AR348" s="9159"/>
      <c r="AS348" s="9159"/>
      <c r="AT348" s="9160"/>
      <c r="AU348" s="9161"/>
      <c r="AV348" s="9161"/>
      <c r="AW348" s="9161"/>
      <c r="AX348" s="9152"/>
      <c r="AY348" s="9156"/>
      <c r="AZ348" s="9161"/>
      <c r="BA348" s="9152"/>
      <c r="BB348" s="9155"/>
      <c r="BC348" s="9156"/>
      <c r="BD348" s="9150"/>
      <c r="BF348" s="9153"/>
      <c r="BG348" s="9153"/>
      <c r="BH348" s="9153"/>
      <c r="BI348" s="9153"/>
      <c r="BJ348" s="9153"/>
      <c r="BK348" s="9153"/>
      <c r="BL348" s="9153"/>
      <c r="BM348" s="9153"/>
      <c r="BN348" s="9153"/>
    </row>
    <row r="349" spans="1:66" ht="16.5" hidden="1" customHeight="1">
      <c r="A349" s="9150">
        <v>239</v>
      </c>
      <c r="B349" s="9151" t="s">
        <v>7815</v>
      </c>
      <c r="C349" s="13588"/>
      <c r="D349" s="11975" t="s">
        <v>218</v>
      </c>
      <c r="E349" s="7826" t="s">
        <v>768</v>
      </c>
      <c r="F349" s="7826"/>
      <c r="G349" s="11976" t="s">
        <v>1644</v>
      </c>
      <c r="H349" s="11977" t="s">
        <v>1627</v>
      </c>
      <c r="I349" s="11978">
        <v>40</v>
      </c>
      <c r="K349" s="9152"/>
      <c r="L349" s="9154"/>
      <c r="M349" s="9154"/>
      <c r="N349" s="9155"/>
      <c r="O349" s="9155"/>
      <c r="P349" s="9156"/>
      <c r="Q349" s="9157"/>
      <c r="R349" s="9158"/>
      <c r="S349" s="9159"/>
      <c r="T349" s="9160"/>
      <c r="U349" s="9157"/>
      <c r="V349" s="9158"/>
      <c r="W349" s="9160"/>
      <c r="X349" s="9158"/>
      <c r="Y349" s="9160"/>
      <c r="Z349" s="9158"/>
      <c r="AA349" s="9159"/>
      <c r="AB349" s="9159"/>
      <c r="AC349" s="9159"/>
      <c r="AD349" s="9159"/>
      <c r="AE349" s="9159"/>
      <c r="AF349" s="9160"/>
      <c r="AG349" s="9158"/>
      <c r="AH349" s="9159"/>
      <c r="AI349" s="9159"/>
      <c r="AJ349" s="9159"/>
      <c r="AK349" s="9159"/>
      <c r="AL349" s="9159"/>
      <c r="AM349" s="9159"/>
      <c r="AN349" s="9160"/>
      <c r="AO349" s="9158"/>
      <c r="AP349" s="9159"/>
      <c r="AQ349" s="9159"/>
      <c r="AR349" s="9159"/>
      <c r="AS349" s="9159"/>
      <c r="AT349" s="9160"/>
      <c r="AU349" s="9161"/>
      <c r="AV349" s="9161"/>
      <c r="AW349" s="9161"/>
      <c r="AX349" s="9152"/>
      <c r="AY349" s="9156"/>
      <c r="AZ349" s="9161"/>
      <c r="BA349" s="9152"/>
      <c r="BB349" s="9155"/>
      <c r="BC349" s="9156"/>
      <c r="BD349" s="9150"/>
      <c r="BF349" s="9153"/>
      <c r="BG349" s="9153"/>
      <c r="BH349" s="9153"/>
      <c r="BI349" s="9153"/>
      <c r="BJ349" s="9153"/>
      <c r="BK349" s="9153"/>
      <c r="BL349" s="9153"/>
      <c r="BM349" s="9153"/>
      <c r="BN349" s="9153"/>
    </row>
    <row r="350" spans="1:66" ht="16.5" hidden="1" customHeight="1">
      <c r="A350" s="13654">
        <v>240</v>
      </c>
      <c r="B350" s="13951" t="s">
        <v>7816</v>
      </c>
      <c r="C350" s="13588"/>
      <c r="D350" s="11979" t="s">
        <v>218</v>
      </c>
      <c r="E350" s="7827" t="s">
        <v>768</v>
      </c>
      <c r="F350" s="7827"/>
      <c r="G350" s="13917" t="s">
        <v>1645</v>
      </c>
      <c r="H350" s="13405" t="s">
        <v>1646</v>
      </c>
      <c r="I350" s="13878">
        <v>1</v>
      </c>
      <c r="K350" s="9162"/>
      <c r="L350" s="9163"/>
      <c r="M350" s="9163"/>
      <c r="N350" s="9164"/>
      <c r="O350" s="9164"/>
      <c r="P350" s="9165"/>
      <c r="Q350" s="9166"/>
      <c r="R350" s="9167"/>
      <c r="S350" s="9168"/>
      <c r="T350" s="9169"/>
      <c r="U350" s="9166"/>
      <c r="V350" s="9167"/>
      <c r="W350" s="9169"/>
      <c r="X350" s="9167"/>
      <c r="Y350" s="9169"/>
      <c r="Z350" s="9167"/>
      <c r="AA350" s="9168"/>
      <c r="AB350" s="9168"/>
      <c r="AC350" s="9168"/>
      <c r="AD350" s="9168"/>
      <c r="AE350" s="9168"/>
      <c r="AF350" s="9169"/>
      <c r="AG350" s="9167"/>
      <c r="AH350" s="9168"/>
      <c r="AI350" s="9168"/>
      <c r="AJ350" s="9168"/>
      <c r="AK350" s="9168"/>
      <c r="AL350" s="9168"/>
      <c r="AM350" s="9168"/>
      <c r="AN350" s="9169"/>
      <c r="AO350" s="9167"/>
      <c r="AP350" s="9168"/>
      <c r="AQ350" s="9168"/>
      <c r="AR350" s="9168"/>
      <c r="AS350" s="9168"/>
      <c r="AT350" s="9169"/>
      <c r="AU350" s="9170"/>
      <c r="AV350" s="9170"/>
      <c r="AW350" s="9170"/>
      <c r="AX350" s="9162"/>
      <c r="AY350" s="9165"/>
      <c r="AZ350" s="9170"/>
      <c r="BA350" s="9162"/>
      <c r="BB350" s="9164"/>
      <c r="BC350" s="9165"/>
      <c r="BD350" s="9171"/>
      <c r="BF350" s="14453"/>
      <c r="BG350" s="14453"/>
      <c r="BH350" s="14453"/>
      <c r="BI350" s="14453"/>
      <c r="BJ350" s="14453"/>
      <c r="BK350" s="9172"/>
      <c r="BL350" s="14453"/>
      <c r="BM350" s="14453"/>
      <c r="BN350" s="14453"/>
    </row>
    <row r="351" spans="1:66" ht="16.5" hidden="1" customHeight="1">
      <c r="A351" s="13654"/>
      <c r="B351" s="13951"/>
      <c r="C351" s="13588"/>
      <c r="D351" s="11971" t="s">
        <v>2896</v>
      </c>
      <c r="E351" s="7826"/>
      <c r="F351" s="7826" t="s">
        <v>2200</v>
      </c>
      <c r="G351" s="13931"/>
      <c r="H351" s="13405"/>
      <c r="I351" s="13879"/>
      <c r="K351" s="9162"/>
      <c r="L351" s="9163"/>
      <c r="M351" s="9163"/>
      <c r="N351" s="9164"/>
      <c r="O351" s="9164"/>
      <c r="P351" s="9165"/>
      <c r="Q351" s="9166"/>
      <c r="R351" s="9167"/>
      <c r="S351" s="9168"/>
      <c r="T351" s="9169"/>
      <c r="U351" s="9166"/>
      <c r="V351" s="9167"/>
      <c r="W351" s="9169"/>
      <c r="X351" s="9167"/>
      <c r="Y351" s="9169"/>
      <c r="Z351" s="9167"/>
      <c r="AA351" s="9168"/>
      <c r="AB351" s="9168"/>
      <c r="AC351" s="9168"/>
      <c r="AD351" s="9168"/>
      <c r="AE351" s="9168"/>
      <c r="AF351" s="9169"/>
      <c r="AG351" s="9167"/>
      <c r="AH351" s="9168"/>
      <c r="AI351" s="9168"/>
      <c r="AJ351" s="9168"/>
      <c r="AK351" s="9168"/>
      <c r="AL351" s="9168"/>
      <c r="AM351" s="9168"/>
      <c r="AN351" s="9169"/>
      <c r="AO351" s="9167"/>
      <c r="AP351" s="9168"/>
      <c r="AQ351" s="9168"/>
      <c r="AR351" s="9168"/>
      <c r="AS351" s="9168"/>
      <c r="AT351" s="9169"/>
      <c r="AU351" s="9170"/>
      <c r="AV351" s="9170"/>
      <c r="AW351" s="9170"/>
      <c r="AX351" s="9162"/>
      <c r="AY351" s="9165"/>
      <c r="AZ351" s="9170"/>
      <c r="BA351" s="9162"/>
      <c r="BB351" s="9164"/>
      <c r="BC351" s="9165"/>
      <c r="BD351" s="9171"/>
      <c r="BF351" s="14454"/>
      <c r="BG351" s="14454"/>
      <c r="BH351" s="14454"/>
      <c r="BI351" s="14454"/>
      <c r="BJ351" s="14454"/>
      <c r="BK351" s="9153"/>
      <c r="BL351" s="14454"/>
      <c r="BM351" s="14454"/>
      <c r="BN351" s="14454"/>
    </row>
    <row r="352" spans="1:66" ht="16.5" hidden="1" customHeight="1">
      <c r="A352" s="13654">
        <v>241</v>
      </c>
      <c r="B352" s="13951" t="s">
        <v>7817</v>
      </c>
      <c r="C352" s="13588"/>
      <c r="D352" s="11979" t="s">
        <v>218</v>
      </c>
      <c r="E352" s="7826" t="s">
        <v>768</v>
      </c>
      <c r="F352" s="7826"/>
      <c r="G352" s="13931" t="s">
        <v>1647</v>
      </c>
      <c r="H352" s="13405" t="s">
        <v>1649</v>
      </c>
      <c r="I352" s="13880">
        <v>1</v>
      </c>
      <c r="K352" s="9162"/>
      <c r="L352" s="9163"/>
      <c r="M352" s="9163"/>
      <c r="N352" s="9164"/>
      <c r="O352" s="9164"/>
      <c r="P352" s="9165"/>
      <c r="Q352" s="9166"/>
      <c r="R352" s="9167"/>
      <c r="S352" s="9168"/>
      <c r="T352" s="9169"/>
      <c r="U352" s="9166"/>
      <c r="V352" s="9167"/>
      <c r="W352" s="9169"/>
      <c r="X352" s="9167"/>
      <c r="Y352" s="9169"/>
      <c r="Z352" s="9167"/>
      <c r="AA352" s="9168"/>
      <c r="AB352" s="9168"/>
      <c r="AC352" s="9168"/>
      <c r="AD352" s="9168"/>
      <c r="AE352" s="9168"/>
      <c r="AF352" s="9169"/>
      <c r="AG352" s="9167"/>
      <c r="AH352" s="9168"/>
      <c r="AI352" s="9168"/>
      <c r="AJ352" s="9168"/>
      <c r="AK352" s="9168"/>
      <c r="AL352" s="9168"/>
      <c r="AM352" s="9168"/>
      <c r="AN352" s="9169"/>
      <c r="AO352" s="9167"/>
      <c r="AP352" s="9168"/>
      <c r="AQ352" s="9168"/>
      <c r="AR352" s="9168"/>
      <c r="AS352" s="9168"/>
      <c r="AT352" s="9169"/>
      <c r="AU352" s="9170"/>
      <c r="AV352" s="9170"/>
      <c r="AW352" s="9170"/>
      <c r="AX352" s="9162"/>
      <c r="AY352" s="9165"/>
      <c r="AZ352" s="9170"/>
      <c r="BA352" s="9162"/>
      <c r="BB352" s="9164"/>
      <c r="BC352" s="9165"/>
      <c r="BD352" s="9171"/>
      <c r="BF352" s="14454"/>
      <c r="BG352" s="14454"/>
      <c r="BH352" s="14454"/>
      <c r="BI352" s="14454"/>
      <c r="BJ352" s="14454"/>
      <c r="BK352" s="9153"/>
      <c r="BL352" s="14454"/>
      <c r="BM352" s="14454"/>
      <c r="BN352" s="14454"/>
    </row>
    <row r="353" spans="1:66" ht="16.5" hidden="1" customHeight="1">
      <c r="A353" s="13654"/>
      <c r="B353" s="13951"/>
      <c r="C353" s="13588"/>
      <c r="D353" s="11971" t="s">
        <v>2896</v>
      </c>
      <c r="E353" s="7826"/>
      <c r="F353" s="7826" t="s">
        <v>2200</v>
      </c>
      <c r="G353" s="13931"/>
      <c r="H353" s="13405"/>
      <c r="I353" s="13880"/>
      <c r="K353" s="9162"/>
      <c r="L353" s="9163"/>
      <c r="M353" s="9163"/>
      <c r="N353" s="9164"/>
      <c r="O353" s="9164"/>
      <c r="P353" s="9165"/>
      <c r="Q353" s="9166"/>
      <c r="R353" s="9167"/>
      <c r="S353" s="9168"/>
      <c r="T353" s="9169"/>
      <c r="U353" s="9166"/>
      <c r="V353" s="9167"/>
      <c r="W353" s="9169"/>
      <c r="X353" s="9167"/>
      <c r="Y353" s="9169"/>
      <c r="Z353" s="9167"/>
      <c r="AA353" s="9168"/>
      <c r="AB353" s="9168"/>
      <c r="AC353" s="9168"/>
      <c r="AD353" s="9168"/>
      <c r="AE353" s="9168"/>
      <c r="AF353" s="9169"/>
      <c r="AG353" s="9167"/>
      <c r="AH353" s="9168"/>
      <c r="AI353" s="9168"/>
      <c r="AJ353" s="9168"/>
      <c r="AK353" s="9168"/>
      <c r="AL353" s="9168"/>
      <c r="AM353" s="9168"/>
      <c r="AN353" s="9169"/>
      <c r="AO353" s="9167"/>
      <c r="AP353" s="9168"/>
      <c r="AQ353" s="9168"/>
      <c r="AR353" s="9168"/>
      <c r="AS353" s="9168"/>
      <c r="AT353" s="9169"/>
      <c r="AU353" s="9170"/>
      <c r="AV353" s="9170"/>
      <c r="AW353" s="9170"/>
      <c r="AX353" s="9162"/>
      <c r="AY353" s="9165"/>
      <c r="AZ353" s="9170"/>
      <c r="BA353" s="9162"/>
      <c r="BB353" s="9164"/>
      <c r="BC353" s="9165"/>
      <c r="BD353" s="9171"/>
      <c r="BF353" s="14454"/>
      <c r="BG353" s="14454"/>
      <c r="BH353" s="14454"/>
      <c r="BI353" s="14454"/>
      <c r="BJ353" s="14454"/>
      <c r="BK353" s="9153"/>
      <c r="BL353" s="14454"/>
      <c r="BM353" s="14454"/>
      <c r="BN353" s="14454"/>
    </row>
    <row r="354" spans="1:66" ht="16.5" hidden="1" customHeight="1">
      <c r="A354" s="13654">
        <v>242</v>
      </c>
      <c r="B354" s="13951" t="s">
        <v>7818</v>
      </c>
      <c r="C354" s="13588"/>
      <c r="D354" s="11979" t="s">
        <v>218</v>
      </c>
      <c r="E354" s="7827" t="s">
        <v>768</v>
      </c>
      <c r="F354" s="7827"/>
      <c r="G354" s="13917" t="s">
        <v>1650</v>
      </c>
      <c r="H354" s="13405" t="s">
        <v>1636</v>
      </c>
      <c r="I354" s="13880">
        <v>1</v>
      </c>
      <c r="K354" s="9162"/>
      <c r="L354" s="9163"/>
      <c r="M354" s="9163"/>
      <c r="N354" s="9164"/>
      <c r="O354" s="9164"/>
      <c r="P354" s="9165"/>
      <c r="Q354" s="9166"/>
      <c r="R354" s="9167"/>
      <c r="S354" s="9168"/>
      <c r="T354" s="9169"/>
      <c r="U354" s="9166"/>
      <c r="V354" s="9167"/>
      <c r="W354" s="9169"/>
      <c r="X354" s="9167"/>
      <c r="Y354" s="9169"/>
      <c r="Z354" s="9167"/>
      <c r="AA354" s="9168"/>
      <c r="AB354" s="9168"/>
      <c r="AC354" s="9168"/>
      <c r="AD354" s="9168"/>
      <c r="AE354" s="9168"/>
      <c r="AF354" s="9169"/>
      <c r="AG354" s="9167"/>
      <c r="AH354" s="9168"/>
      <c r="AI354" s="9168"/>
      <c r="AJ354" s="9168"/>
      <c r="AK354" s="9168"/>
      <c r="AL354" s="9168"/>
      <c r="AM354" s="9168"/>
      <c r="AN354" s="9169"/>
      <c r="AO354" s="9167"/>
      <c r="AP354" s="9168"/>
      <c r="AQ354" s="9168"/>
      <c r="AR354" s="9168"/>
      <c r="AS354" s="9168"/>
      <c r="AT354" s="9169"/>
      <c r="AU354" s="9170"/>
      <c r="AV354" s="9170"/>
      <c r="AW354" s="9170"/>
      <c r="AX354" s="9162"/>
      <c r="AY354" s="9165"/>
      <c r="AZ354" s="9170"/>
      <c r="BA354" s="9162"/>
      <c r="BB354" s="9164"/>
      <c r="BC354" s="9165"/>
      <c r="BD354" s="9171"/>
      <c r="BF354" s="14453"/>
      <c r="BG354" s="14453"/>
      <c r="BH354" s="14453"/>
      <c r="BI354" s="14453"/>
      <c r="BJ354" s="14453"/>
      <c r="BK354" s="9172"/>
      <c r="BL354" s="14453"/>
      <c r="BM354" s="14453"/>
      <c r="BN354" s="14453"/>
    </row>
    <row r="355" spans="1:66" ht="16.5" hidden="1" customHeight="1" thickBot="1">
      <c r="A355" s="13693"/>
      <c r="B355" s="13952"/>
      <c r="C355" s="13588"/>
      <c r="D355" s="11980" t="s">
        <v>2896</v>
      </c>
      <c r="E355" s="11981"/>
      <c r="F355" s="11981" t="s">
        <v>2200</v>
      </c>
      <c r="G355" s="13918"/>
      <c r="H355" s="13450"/>
      <c r="I355" s="14000"/>
      <c r="K355" s="9173"/>
      <c r="L355" s="9174"/>
      <c r="M355" s="9174"/>
      <c r="N355" s="9175"/>
      <c r="O355" s="9175"/>
      <c r="P355" s="9176"/>
      <c r="Q355" s="9177"/>
      <c r="R355" s="9178"/>
      <c r="S355" s="9179"/>
      <c r="T355" s="9180"/>
      <c r="U355" s="9177"/>
      <c r="V355" s="9178"/>
      <c r="W355" s="9180"/>
      <c r="X355" s="9178"/>
      <c r="Y355" s="9180"/>
      <c r="Z355" s="9178"/>
      <c r="AA355" s="9179"/>
      <c r="AB355" s="9179"/>
      <c r="AC355" s="9179"/>
      <c r="AD355" s="9179"/>
      <c r="AE355" s="9179"/>
      <c r="AF355" s="9180"/>
      <c r="AG355" s="9178"/>
      <c r="AH355" s="9179"/>
      <c r="AI355" s="9179"/>
      <c r="AJ355" s="9179"/>
      <c r="AK355" s="9179"/>
      <c r="AL355" s="9179"/>
      <c r="AM355" s="9179"/>
      <c r="AN355" s="9180"/>
      <c r="AO355" s="9178"/>
      <c r="AP355" s="9179"/>
      <c r="AQ355" s="9179"/>
      <c r="AR355" s="9179"/>
      <c r="AS355" s="9179"/>
      <c r="AT355" s="9180"/>
      <c r="AU355" s="9181"/>
      <c r="AV355" s="9181"/>
      <c r="AW355" s="9181"/>
      <c r="AX355" s="9173"/>
      <c r="AY355" s="9176"/>
      <c r="AZ355" s="9181"/>
      <c r="BA355" s="9173"/>
      <c r="BB355" s="9175"/>
      <c r="BC355" s="9176"/>
      <c r="BD355" s="9182"/>
      <c r="BF355" s="14455"/>
      <c r="BG355" s="14455"/>
      <c r="BH355" s="14455"/>
      <c r="BI355" s="14455"/>
      <c r="BJ355" s="14455"/>
      <c r="BK355" s="9183"/>
      <c r="BL355" s="14455"/>
      <c r="BM355" s="14455"/>
      <c r="BN355" s="14455"/>
    </row>
    <row r="356" spans="1:66" ht="16.5" hidden="1" customHeight="1">
      <c r="A356" s="7785">
        <v>243</v>
      </c>
      <c r="B356" s="7795" t="s">
        <v>7819</v>
      </c>
      <c r="C356" s="13588"/>
      <c r="D356" s="11982" t="s">
        <v>2896</v>
      </c>
      <c r="E356" s="7830" t="s">
        <v>163</v>
      </c>
      <c r="F356" s="7830"/>
      <c r="G356" s="11983" t="s">
        <v>1653</v>
      </c>
      <c r="H356" s="11984" t="s">
        <v>1654</v>
      </c>
      <c r="I356" s="11985">
        <v>1</v>
      </c>
      <c r="K356" s="9184"/>
      <c r="L356" s="9185"/>
      <c r="M356" s="9185"/>
      <c r="N356" s="4337"/>
      <c r="O356" s="4337"/>
      <c r="P356" s="9186"/>
      <c r="Q356" s="9187"/>
      <c r="R356" s="9188"/>
      <c r="S356" s="9189"/>
      <c r="T356" s="9190"/>
      <c r="U356" s="9187"/>
      <c r="V356" s="9188"/>
      <c r="W356" s="9190"/>
      <c r="X356" s="9188"/>
      <c r="Y356" s="9190"/>
      <c r="Z356" s="9188"/>
      <c r="AA356" s="9189"/>
      <c r="AB356" s="9189"/>
      <c r="AC356" s="9189"/>
      <c r="AD356" s="9189"/>
      <c r="AE356" s="9189"/>
      <c r="AF356" s="9190"/>
      <c r="AG356" s="9188"/>
      <c r="AH356" s="9189"/>
      <c r="AI356" s="9189"/>
      <c r="AJ356" s="9189"/>
      <c r="AK356" s="9189"/>
      <c r="AL356" s="9189"/>
      <c r="AM356" s="9189"/>
      <c r="AN356" s="9190"/>
      <c r="AO356" s="9188"/>
      <c r="AP356" s="9189"/>
      <c r="AQ356" s="9189"/>
      <c r="AR356" s="9189"/>
      <c r="AS356" s="9189"/>
      <c r="AT356" s="9190"/>
      <c r="AU356" s="9191"/>
      <c r="AV356" s="9191"/>
      <c r="AW356" s="9191"/>
      <c r="AX356" s="9184"/>
      <c r="AY356" s="9186"/>
      <c r="AZ356" s="9191"/>
      <c r="BA356" s="9184"/>
      <c r="BB356" s="4337"/>
      <c r="BC356" s="9186"/>
      <c r="BD356" s="9192"/>
      <c r="BF356" s="7887"/>
      <c r="BG356" s="7887"/>
      <c r="BH356" s="7887"/>
      <c r="BI356" s="7887"/>
      <c r="BJ356" s="7887"/>
      <c r="BK356" s="7887"/>
      <c r="BL356" s="7887"/>
      <c r="BM356" s="7887"/>
      <c r="BN356" s="7887"/>
    </row>
    <row r="357" spans="1:66" ht="16.5" hidden="1" customHeight="1">
      <c r="A357" s="7901">
        <v>244</v>
      </c>
      <c r="B357" s="7910" t="s">
        <v>7820</v>
      </c>
      <c r="C357" s="13588"/>
      <c r="D357" s="11986" t="s">
        <v>10063</v>
      </c>
      <c r="E357" s="7852" t="s">
        <v>79</v>
      </c>
      <c r="F357" s="7852" t="s">
        <v>1657</v>
      </c>
      <c r="G357" s="11909" t="s">
        <v>1656</v>
      </c>
      <c r="H357" s="11910" t="s">
        <v>1658</v>
      </c>
      <c r="I357" s="11987">
        <v>0.02</v>
      </c>
      <c r="K357" s="9193"/>
      <c r="L357" s="7658"/>
      <c r="M357" s="7658"/>
      <c r="N357" s="9194"/>
      <c r="O357" s="9194"/>
      <c r="P357" s="9195"/>
      <c r="Q357" s="7675"/>
      <c r="R357" s="7670"/>
      <c r="S357" s="7660"/>
      <c r="T357" s="7690"/>
      <c r="U357" s="7675"/>
      <c r="V357" s="7670"/>
      <c r="W357" s="7690"/>
      <c r="X357" s="7670"/>
      <c r="Y357" s="7690"/>
      <c r="Z357" s="7670"/>
      <c r="AA357" s="7660"/>
      <c r="AB357" s="7660"/>
      <c r="AC357" s="7660"/>
      <c r="AD357" s="7660"/>
      <c r="AE357" s="7660"/>
      <c r="AF357" s="7690"/>
      <c r="AG357" s="7670"/>
      <c r="AH357" s="7660"/>
      <c r="AI357" s="7660"/>
      <c r="AJ357" s="7660"/>
      <c r="AK357" s="7660"/>
      <c r="AL357" s="7660"/>
      <c r="AM357" s="7660"/>
      <c r="AN357" s="7690"/>
      <c r="AO357" s="7670"/>
      <c r="AP357" s="7660"/>
      <c r="AQ357" s="7660"/>
      <c r="AR357" s="7660"/>
      <c r="AS357" s="7660"/>
      <c r="AT357" s="7690"/>
      <c r="AU357" s="9196"/>
      <c r="AV357" s="9196"/>
      <c r="AW357" s="9196"/>
      <c r="AX357" s="9193"/>
      <c r="AY357" s="9195"/>
      <c r="AZ357" s="9196"/>
      <c r="BA357" s="9193"/>
      <c r="BB357" s="9194"/>
      <c r="BC357" s="9195"/>
      <c r="BD357" s="9197"/>
      <c r="BF357" s="7911"/>
      <c r="BG357" s="7911"/>
      <c r="BH357" s="7911"/>
      <c r="BI357" s="7911"/>
      <c r="BJ357" s="7911"/>
      <c r="BK357" s="7911"/>
      <c r="BL357" s="7911"/>
      <c r="BM357" s="7911"/>
      <c r="BN357" s="7911"/>
    </row>
    <row r="358" spans="1:66" ht="16.5" hidden="1" customHeight="1">
      <c r="A358" s="7901">
        <v>245</v>
      </c>
      <c r="B358" s="7910" t="s">
        <v>7821</v>
      </c>
      <c r="C358" s="13588"/>
      <c r="D358" s="11988" t="s">
        <v>4305</v>
      </c>
      <c r="E358" s="7852" t="s">
        <v>1662</v>
      </c>
      <c r="F358" s="7852"/>
      <c r="G358" s="11909" t="s">
        <v>1660</v>
      </c>
      <c r="H358" s="11910" t="s">
        <v>1663</v>
      </c>
      <c r="I358" s="11987">
        <v>0.15</v>
      </c>
      <c r="K358" s="8894"/>
      <c r="L358" s="7654"/>
      <c r="M358" s="7654"/>
      <c r="N358" s="8895"/>
      <c r="O358" s="8895"/>
      <c r="P358" s="8896"/>
      <c r="Q358" s="7674"/>
      <c r="R358" s="7669"/>
      <c r="S358" s="7656"/>
      <c r="T358" s="7689"/>
      <c r="U358" s="7674"/>
      <c r="V358" s="7669"/>
      <c r="W358" s="7689"/>
      <c r="X358" s="7669"/>
      <c r="Y358" s="7689"/>
      <c r="Z358" s="7669"/>
      <c r="AA358" s="7656"/>
      <c r="AB358" s="7656"/>
      <c r="AC358" s="7656"/>
      <c r="AD358" s="7656"/>
      <c r="AE358" s="7656"/>
      <c r="AF358" s="7689"/>
      <c r="AG358" s="7669"/>
      <c r="AH358" s="7656"/>
      <c r="AI358" s="7656"/>
      <c r="AJ358" s="7656"/>
      <c r="AK358" s="7656"/>
      <c r="AL358" s="7656"/>
      <c r="AM358" s="7656"/>
      <c r="AN358" s="7689"/>
      <c r="AO358" s="7669"/>
      <c r="AP358" s="7656"/>
      <c r="AQ358" s="7656"/>
      <c r="AR358" s="7656"/>
      <c r="AS358" s="7656"/>
      <c r="AT358" s="7689"/>
      <c r="AU358" s="8897"/>
      <c r="AV358" s="8897"/>
      <c r="AW358" s="8897"/>
      <c r="AX358" s="8894"/>
      <c r="AY358" s="8896"/>
      <c r="AZ358" s="8897"/>
      <c r="BA358" s="8894"/>
      <c r="BB358" s="8895"/>
      <c r="BC358" s="8896"/>
      <c r="BD358" s="8898"/>
      <c r="BF358" s="7911"/>
      <c r="BG358" s="7911"/>
      <c r="BH358" s="7911"/>
      <c r="BI358" s="7911"/>
      <c r="BJ358" s="7911"/>
      <c r="BK358" s="7911"/>
      <c r="BL358" s="7911"/>
      <c r="BM358" s="7911"/>
      <c r="BN358" s="7911"/>
    </row>
    <row r="359" spans="1:66" ht="16.5" hidden="1" customHeight="1">
      <c r="A359" s="13526">
        <v>246</v>
      </c>
      <c r="B359" s="13893" t="s">
        <v>7822</v>
      </c>
      <c r="C359" s="13588"/>
      <c r="D359" s="11986" t="s">
        <v>10063</v>
      </c>
      <c r="E359" s="7852" t="s">
        <v>79</v>
      </c>
      <c r="F359" s="7852"/>
      <c r="G359" s="13919" t="s">
        <v>1664</v>
      </c>
      <c r="H359" s="13403" t="s">
        <v>1515</v>
      </c>
      <c r="I359" s="13966">
        <v>11</v>
      </c>
      <c r="K359" s="7653"/>
      <c r="L359" s="7654"/>
      <c r="M359" s="7654"/>
      <c r="N359" s="7655"/>
      <c r="O359" s="7655"/>
      <c r="P359" s="7684"/>
      <c r="Q359" s="7674"/>
      <c r="R359" s="7669"/>
      <c r="S359" s="7656"/>
      <c r="T359" s="7689"/>
      <c r="U359" s="7674"/>
      <c r="V359" s="7669"/>
      <c r="W359" s="7689"/>
      <c r="X359" s="7669"/>
      <c r="Y359" s="7689"/>
      <c r="Z359" s="7669"/>
      <c r="AA359" s="7656"/>
      <c r="AB359" s="7656"/>
      <c r="AC359" s="7656"/>
      <c r="AD359" s="7656"/>
      <c r="AE359" s="7656"/>
      <c r="AF359" s="7689"/>
      <c r="AG359" s="7669"/>
      <c r="AH359" s="7656"/>
      <c r="AI359" s="7656"/>
      <c r="AJ359" s="7656"/>
      <c r="AK359" s="7656"/>
      <c r="AL359" s="7656"/>
      <c r="AM359" s="7656"/>
      <c r="AN359" s="7689"/>
      <c r="AO359" s="7669"/>
      <c r="AP359" s="7656"/>
      <c r="AQ359" s="7656"/>
      <c r="AR359" s="7656"/>
      <c r="AS359" s="7656"/>
      <c r="AT359" s="7689"/>
      <c r="AU359" s="7665"/>
      <c r="AV359" s="7665"/>
      <c r="AW359" s="7665"/>
      <c r="AX359" s="7653"/>
      <c r="AY359" s="7684"/>
      <c r="AZ359" s="7665"/>
      <c r="BA359" s="7653"/>
      <c r="BB359" s="7655"/>
      <c r="BC359" s="7684"/>
      <c r="BD359" s="7694"/>
      <c r="BF359" s="14435"/>
      <c r="BG359" s="14435"/>
      <c r="BH359" s="14435"/>
      <c r="BI359" s="14435"/>
      <c r="BJ359" s="14435"/>
      <c r="BK359" s="7911"/>
      <c r="BL359" s="14435"/>
      <c r="BM359" s="14435"/>
      <c r="BN359" s="14435"/>
    </row>
    <row r="360" spans="1:66" ht="16.5" hidden="1" customHeight="1">
      <c r="A360" s="13526"/>
      <c r="B360" s="13893"/>
      <c r="C360" s="13588"/>
      <c r="D360" s="11982" t="s">
        <v>4305</v>
      </c>
      <c r="E360" s="7852"/>
      <c r="F360" s="7852" t="s">
        <v>1662</v>
      </c>
      <c r="G360" s="13919"/>
      <c r="H360" s="13403"/>
      <c r="I360" s="13966"/>
      <c r="K360" s="7653"/>
      <c r="L360" s="7654"/>
      <c r="M360" s="7654"/>
      <c r="N360" s="7655"/>
      <c r="O360" s="7655"/>
      <c r="P360" s="7684"/>
      <c r="Q360" s="7674"/>
      <c r="R360" s="7669"/>
      <c r="S360" s="7656"/>
      <c r="T360" s="7689"/>
      <c r="U360" s="7674"/>
      <c r="V360" s="7669"/>
      <c r="W360" s="7689"/>
      <c r="X360" s="7669"/>
      <c r="Y360" s="7689"/>
      <c r="Z360" s="7669"/>
      <c r="AA360" s="7656"/>
      <c r="AB360" s="7656"/>
      <c r="AC360" s="7656"/>
      <c r="AD360" s="7656"/>
      <c r="AE360" s="7656"/>
      <c r="AF360" s="7689"/>
      <c r="AG360" s="7669"/>
      <c r="AH360" s="7656"/>
      <c r="AI360" s="7656"/>
      <c r="AJ360" s="7656"/>
      <c r="AK360" s="7656"/>
      <c r="AL360" s="7656"/>
      <c r="AM360" s="7656"/>
      <c r="AN360" s="7689"/>
      <c r="AO360" s="7669"/>
      <c r="AP360" s="7656"/>
      <c r="AQ360" s="7656"/>
      <c r="AR360" s="7656"/>
      <c r="AS360" s="7656"/>
      <c r="AT360" s="7689"/>
      <c r="AU360" s="7665"/>
      <c r="AV360" s="7665"/>
      <c r="AW360" s="7665"/>
      <c r="AX360" s="7653"/>
      <c r="AY360" s="7684"/>
      <c r="AZ360" s="7665"/>
      <c r="BA360" s="7653"/>
      <c r="BB360" s="7655"/>
      <c r="BC360" s="7684"/>
      <c r="BD360" s="7694"/>
      <c r="BF360" s="14435"/>
      <c r="BG360" s="14435"/>
      <c r="BH360" s="14435"/>
      <c r="BI360" s="14435"/>
      <c r="BJ360" s="14435"/>
      <c r="BK360" s="7911"/>
      <c r="BL360" s="14435"/>
      <c r="BM360" s="14435"/>
      <c r="BN360" s="14435"/>
    </row>
    <row r="361" spans="1:66" ht="16.5" hidden="1" customHeight="1">
      <c r="A361" s="13526">
        <v>247</v>
      </c>
      <c r="B361" s="13893" t="s">
        <v>7823</v>
      </c>
      <c r="C361" s="13588"/>
      <c r="D361" s="11986" t="s">
        <v>10063</v>
      </c>
      <c r="E361" s="7852" t="s">
        <v>79</v>
      </c>
      <c r="F361" s="7852"/>
      <c r="G361" s="13919" t="s">
        <v>1666</v>
      </c>
      <c r="H361" s="13403" t="s">
        <v>1668</v>
      </c>
      <c r="I361" s="13966">
        <v>40</v>
      </c>
      <c r="K361" s="7653"/>
      <c r="L361" s="7654"/>
      <c r="M361" s="7654"/>
      <c r="N361" s="7655"/>
      <c r="O361" s="7655"/>
      <c r="P361" s="7684"/>
      <c r="Q361" s="7674"/>
      <c r="R361" s="7669"/>
      <c r="S361" s="7656"/>
      <c r="T361" s="7689"/>
      <c r="U361" s="7674"/>
      <c r="V361" s="7669"/>
      <c r="W361" s="7689"/>
      <c r="X361" s="7669"/>
      <c r="Y361" s="7689"/>
      <c r="Z361" s="7669"/>
      <c r="AA361" s="7656"/>
      <c r="AB361" s="7656"/>
      <c r="AC361" s="7656"/>
      <c r="AD361" s="7656"/>
      <c r="AE361" s="7656"/>
      <c r="AF361" s="7689"/>
      <c r="AG361" s="7669"/>
      <c r="AH361" s="7656"/>
      <c r="AI361" s="7656"/>
      <c r="AJ361" s="7656"/>
      <c r="AK361" s="7656"/>
      <c r="AL361" s="7656"/>
      <c r="AM361" s="7656"/>
      <c r="AN361" s="7689"/>
      <c r="AO361" s="7669"/>
      <c r="AP361" s="7656"/>
      <c r="AQ361" s="7656"/>
      <c r="AR361" s="7656"/>
      <c r="AS361" s="7656"/>
      <c r="AT361" s="7689"/>
      <c r="AU361" s="7665"/>
      <c r="AV361" s="7665"/>
      <c r="AW361" s="7665"/>
      <c r="AX361" s="7653"/>
      <c r="AY361" s="7684"/>
      <c r="AZ361" s="7665"/>
      <c r="BA361" s="7653"/>
      <c r="BB361" s="7655"/>
      <c r="BC361" s="7684"/>
      <c r="BD361" s="7694"/>
      <c r="BF361" s="14435"/>
      <c r="BG361" s="14435"/>
      <c r="BH361" s="14435"/>
      <c r="BI361" s="14435"/>
      <c r="BJ361" s="14435"/>
      <c r="BK361" s="7911"/>
      <c r="BL361" s="14435"/>
      <c r="BM361" s="14435"/>
      <c r="BN361" s="14435"/>
    </row>
    <row r="362" spans="1:66" ht="16.5" hidden="1" customHeight="1" thickBot="1">
      <c r="A362" s="13652"/>
      <c r="B362" s="13895"/>
      <c r="C362" s="13588"/>
      <c r="D362" s="11989" t="s">
        <v>4305</v>
      </c>
      <c r="E362" s="11990"/>
      <c r="F362" s="11913" t="s">
        <v>1662</v>
      </c>
      <c r="G362" s="13920"/>
      <c r="H362" s="13476"/>
      <c r="I362" s="14001"/>
      <c r="K362" s="7661"/>
      <c r="L362" s="7628"/>
      <c r="M362" s="7628"/>
      <c r="N362" s="7626"/>
      <c r="O362" s="7626"/>
      <c r="P362" s="7697"/>
      <c r="Q362" s="7676"/>
      <c r="R362" s="7671"/>
      <c r="S362" s="7627"/>
      <c r="T362" s="7698"/>
      <c r="U362" s="7676"/>
      <c r="V362" s="7671"/>
      <c r="W362" s="7698"/>
      <c r="X362" s="7671"/>
      <c r="Y362" s="7698"/>
      <c r="Z362" s="7671"/>
      <c r="AA362" s="7627"/>
      <c r="AB362" s="7627"/>
      <c r="AC362" s="7627"/>
      <c r="AD362" s="7627"/>
      <c r="AE362" s="7627"/>
      <c r="AF362" s="7698"/>
      <c r="AG362" s="7671"/>
      <c r="AH362" s="7627"/>
      <c r="AI362" s="7627"/>
      <c r="AJ362" s="7627"/>
      <c r="AK362" s="7627"/>
      <c r="AL362" s="7627"/>
      <c r="AM362" s="7627"/>
      <c r="AN362" s="7698"/>
      <c r="AO362" s="7671"/>
      <c r="AP362" s="7627"/>
      <c r="AQ362" s="7627"/>
      <c r="AR362" s="7627"/>
      <c r="AS362" s="7627"/>
      <c r="AT362" s="7698"/>
      <c r="AU362" s="7667"/>
      <c r="AV362" s="7667"/>
      <c r="AW362" s="7667"/>
      <c r="AX362" s="7661"/>
      <c r="AY362" s="7697"/>
      <c r="AZ362" s="7667"/>
      <c r="BA362" s="7661"/>
      <c r="BB362" s="7626"/>
      <c r="BC362" s="7697"/>
      <c r="BD362" s="7699"/>
      <c r="BF362" s="14436"/>
      <c r="BG362" s="14436"/>
      <c r="BH362" s="14436"/>
      <c r="BI362" s="14436"/>
      <c r="BJ362" s="14436"/>
      <c r="BK362" s="7912"/>
      <c r="BL362" s="14436"/>
      <c r="BM362" s="14436"/>
      <c r="BN362" s="14436"/>
    </row>
    <row r="363" spans="1:66" ht="16.5" hidden="1" customHeight="1">
      <c r="A363" s="13763">
        <v>248</v>
      </c>
      <c r="B363" s="13953" t="s">
        <v>7824</v>
      </c>
      <c r="C363" s="13588"/>
      <c r="D363" s="11991" t="s">
        <v>2896</v>
      </c>
      <c r="E363" s="11992" t="s">
        <v>163</v>
      </c>
      <c r="F363" s="11992"/>
      <c r="G363" s="13921" t="s">
        <v>1672</v>
      </c>
      <c r="H363" s="13511" t="s">
        <v>1674</v>
      </c>
      <c r="I363" s="14002">
        <v>1</v>
      </c>
      <c r="K363" s="9198"/>
      <c r="L363" s="9199"/>
      <c r="M363" s="9199"/>
      <c r="N363" s="9200"/>
      <c r="O363" s="9200"/>
      <c r="P363" s="9201"/>
      <c r="Q363" s="9202"/>
      <c r="R363" s="9203"/>
      <c r="S363" s="9204"/>
      <c r="T363" s="9205"/>
      <c r="U363" s="9202"/>
      <c r="V363" s="9203"/>
      <c r="W363" s="9205"/>
      <c r="X363" s="9203"/>
      <c r="Y363" s="9205"/>
      <c r="Z363" s="9203"/>
      <c r="AA363" s="9204"/>
      <c r="AB363" s="9204"/>
      <c r="AC363" s="9204"/>
      <c r="AD363" s="9204"/>
      <c r="AE363" s="9204"/>
      <c r="AF363" s="9205"/>
      <c r="AG363" s="9203"/>
      <c r="AH363" s="9204"/>
      <c r="AI363" s="9204"/>
      <c r="AJ363" s="9204"/>
      <c r="AK363" s="9204"/>
      <c r="AL363" s="9204"/>
      <c r="AM363" s="9204"/>
      <c r="AN363" s="9205"/>
      <c r="AO363" s="9203"/>
      <c r="AP363" s="9204"/>
      <c r="AQ363" s="9204"/>
      <c r="AR363" s="9204"/>
      <c r="AS363" s="9204"/>
      <c r="AT363" s="9205"/>
      <c r="AU363" s="9206"/>
      <c r="AV363" s="9206"/>
      <c r="AW363" s="9206"/>
      <c r="AX363" s="9198"/>
      <c r="AY363" s="9201"/>
      <c r="AZ363" s="9206"/>
      <c r="BA363" s="9198"/>
      <c r="BB363" s="9200"/>
      <c r="BC363" s="9201"/>
      <c r="BD363" s="9207"/>
      <c r="BF363" s="14456"/>
      <c r="BG363" s="14456"/>
      <c r="BH363" s="14456"/>
      <c r="BI363" s="14456"/>
      <c r="BJ363" s="14456"/>
      <c r="BK363" s="9208"/>
      <c r="BL363" s="14456"/>
      <c r="BM363" s="14456"/>
      <c r="BN363" s="14456"/>
    </row>
    <row r="364" spans="1:66" ht="16.5" hidden="1" customHeight="1">
      <c r="A364" s="13764"/>
      <c r="B364" s="13954"/>
      <c r="C364" s="13588"/>
      <c r="D364" s="11993" t="s">
        <v>10199</v>
      </c>
      <c r="E364" s="11994"/>
      <c r="F364" s="11994" t="s">
        <v>507</v>
      </c>
      <c r="G364" s="13922"/>
      <c r="H364" s="13512"/>
      <c r="I364" s="14003"/>
      <c r="K364" s="9210"/>
      <c r="L364" s="9211"/>
      <c r="M364" s="9211"/>
      <c r="N364" s="9212"/>
      <c r="O364" s="9212"/>
      <c r="P364" s="9213"/>
      <c r="Q364" s="9214"/>
      <c r="R364" s="9215"/>
      <c r="S364" s="9216"/>
      <c r="T364" s="9217"/>
      <c r="U364" s="9214"/>
      <c r="V364" s="9215"/>
      <c r="W364" s="9217"/>
      <c r="X364" s="9215"/>
      <c r="Y364" s="9217"/>
      <c r="Z364" s="9215"/>
      <c r="AA364" s="9216"/>
      <c r="AB364" s="9216"/>
      <c r="AC364" s="9216"/>
      <c r="AD364" s="9216"/>
      <c r="AE364" s="9216"/>
      <c r="AF364" s="9217"/>
      <c r="AG364" s="9215"/>
      <c r="AH364" s="9216"/>
      <c r="AI364" s="9216"/>
      <c r="AJ364" s="9216"/>
      <c r="AK364" s="9216"/>
      <c r="AL364" s="9216"/>
      <c r="AM364" s="9216"/>
      <c r="AN364" s="9217"/>
      <c r="AO364" s="9215"/>
      <c r="AP364" s="9216"/>
      <c r="AQ364" s="9216"/>
      <c r="AR364" s="9216"/>
      <c r="AS364" s="9216"/>
      <c r="AT364" s="9217"/>
      <c r="AU364" s="9218"/>
      <c r="AV364" s="9218"/>
      <c r="AW364" s="9218"/>
      <c r="AX364" s="9210"/>
      <c r="AY364" s="9213"/>
      <c r="AZ364" s="9218"/>
      <c r="BA364" s="9210"/>
      <c r="BB364" s="9212"/>
      <c r="BC364" s="9213"/>
      <c r="BD364" s="9219"/>
      <c r="BF364" s="14457"/>
      <c r="BG364" s="14457"/>
      <c r="BH364" s="14457"/>
      <c r="BI364" s="14457"/>
      <c r="BJ364" s="14457"/>
      <c r="BK364" s="9220"/>
      <c r="BL364" s="14457"/>
      <c r="BM364" s="14457"/>
      <c r="BN364" s="14457"/>
    </row>
    <row r="365" spans="1:66" ht="16.5" hidden="1" customHeight="1">
      <c r="A365" s="9221">
        <v>249</v>
      </c>
      <c r="B365" s="9222" t="s">
        <v>7825</v>
      </c>
      <c r="C365" s="13588"/>
      <c r="D365" s="11993" t="s">
        <v>2896</v>
      </c>
      <c r="E365" s="11994" t="s">
        <v>163</v>
      </c>
      <c r="F365" s="11994"/>
      <c r="G365" s="11995" t="s">
        <v>1676</v>
      </c>
      <c r="H365" s="11996" t="s">
        <v>1677</v>
      </c>
      <c r="I365" s="11997">
        <v>1</v>
      </c>
      <c r="K365" s="9224"/>
      <c r="L365" s="9225"/>
      <c r="M365" s="9225"/>
      <c r="N365" s="9226"/>
      <c r="O365" s="9226"/>
      <c r="P365" s="9227"/>
      <c r="Q365" s="9228"/>
      <c r="R365" s="9229"/>
      <c r="S365" s="9230"/>
      <c r="T365" s="9231"/>
      <c r="U365" s="9228"/>
      <c r="V365" s="9229"/>
      <c r="W365" s="9231"/>
      <c r="X365" s="9229"/>
      <c r="Y365" s="9231"/>
      <c r="Z365" s="9229"/>
      <c r="AA365" s="9230"/>
      <c r="AB365" s="9230"/>
      <c r="AC365" s="9230"/>
      <c r="AD365" s="9230"/>
      <c r="AE365" s="9230"/>
      <c r="AF365" s="9231"/>
      <c r="AG365" s="9229"/>
      <c r="AH365" s="9230"/>
      <c r="AI365" s="9230"/>
      <c r="AJ365" s="9230"/>
      <c r="AK365" s="9230"/>
      <c r="AL365" s="9230"/>
      <c r="AM365" s="9230"/>
      <c r="AN365" s="9231"/>
      <c r="AO365" s="9229"/>
      <c r="AP365" s="9230"/>
      <c r="AQ365" s="9230"/>
      <c r="AR365" s="9230"/>
      <c r="AS365" s="9230"/>
      <c r="AT365" s="9231"/>
      <c r="AU365" s="9232"/>
      <c r="AV365" s="9232"/>
      <c r="AW365" s="9232"/>
      <c r="AX365" s="9224"/>
      <c r="AY365" s="9227"/>
      <c r="AZ365" s="9232"/>
      <c r="BA365" s="9224"/>
      <c r="BB365" s="9226"/>
      <c r="BC365" s="9227"/>
      <c r="BD365" s="9233"/>
      <c r="BF365" s="9223"/>
      <c r="BG365" s="9223"/>
      <c r="BH365" s="9223"/>
      <c r="BI365" s="9223"/>
      <c r="BJ365" s="9223"/>
      <c r="BK365" s="9223"/>
      <c r="BL365" s="9223"/>
      <c r="BM365" s="9223"/>
      <c r="BN365" s="9223"/>
    </row>
    <row r="366" spans="1:66" ht="16.5" hidden="1" customHeight="1">
      <c r="A366" s="9221">
        <v>250</v>
      </c>
      <c r="B366" s="9222" t="s">
        <v>7826</v>
      </c>
      <c r="C366" s="13588"/>
      <c r="D366" s="11993" t="s">
        <v>10063</v>
      </c>
      <c r="E366" s="11994" t="s">
        <v>79</v>
      </c>
      <c r="F366" s="11994"/>
      <c r="G366" s="11995" t="s">
        <v>1680</v>
      </c>
      <c r="H366" s="11996" t="s">
        <v>1682</v>
      </c>
      <c r="I366" s="11998">
        <v>7</v>
      </c>
      <c r="K366" s="9209"/>
      <c r="L366" s="9225"/>
      <c r="M366" s="9225"/>
      <c r="N366" s="9234"/>
      <c r="O366" s="9234"/>
      <c r="P366" s="9235"/>
      <c r="Q366" s="9228"/>
      <c r="R366" s="9229"/>
      <c r="S366" s="9230"/>
      <c r="T366" s="9231"/>
      <c r="U366" s="9228"/>
      <c r="V366" s="9229"/>
      <c r="W366" s="9231"/>
      <c r="X366" s="9229"/>
      <c r="Y366" s="9231"/>
      <c r="Z366" s="9229"/>
      <c r="AA366" s="9230"/>
      <c r="AB366" s="9230"/>
      <c r="AC366" s="9230"/>
      <c r="AD366" s="9230"/>
      <c r="AE366" s="9230"/>
      <c r="AF366" s="9231"/>
      <c r="AG366" s="9229"/>
      <c r="AH366" s="9230"/>
      <c r="AI366" s="9230"/>
      <c r="AJ366" s="9230"/>
      <c r="AK366" s="9230"/>
      <c r="AL366" s="9230"/>
      <c r="AM366" s="9230"/>
      <c r="AN366" s="9231"/>
      <c r="AO366" s="9229"/>
      <c r="AP366" s="9230"/>
      <c r="AQ366" s="9230"/>
      <c r="AR366" s="9230"/>
      <c r="AS366" s="9230"/>
      <c r="AT366" s="9231"/>
      <c r="AU366" s="9236"/>
      <c r="AV366" s="9236"/>
      <c r="AW366" s="9236"/>
      <c r="AX366" s="9209"/>
      <c r="AY366" s="9235"/>
      <c r="AZ366" s="9236"/>
      <c r="BA366" s="9209"/>
      <c r="BB366" s="9234"/>
      <c r="BC366" s="9235"/>
      <c r="BD366" s="9221"/>
      <c r="BF366" s="9223"/>
      <c r="BG366" s="9223"/>
      <c r="BH366" s="9223"/>
      <c r="BI366" s="9223"/>
      <c r="BJ366" s="9223"/>
      <c r="BK366" s="9223"/>
      <c r="BL366" s="9223"/>
      <c r="BM366" s="9223"/>
      <c r="BN366" s="9223"/>
    </row>
    <row r="367" spans="1:66" ht="16.5" hidden="1" customHeight="1">
      <c r="A367" s="9221">
        <v>251</v>
      </c>
      <c r="B367" s="9222" t="s">
        <v>7827</v>
      </c>
      <c r="C367" s="13588"/>
      <c r="D367" s="11993" t="s">
        <v>10063</v>
      </c>
      <c r="E367" s="11994" t="s">
        <v>79</v>
      </c>
      <c r="F367" s="11994"/>
      <c r="G367" s="11995" t="s">
        <v>1684</v>
      </c>
      <c r="H367" s="11996" t="s">
        <v>1685</v>
      </c>
      <c r="I367" s="11998">
        <v>10</v>
      </c>
      <c r="K367" s="9209"/>
      <c r="L367" s="9225"/>
      <c r="M367" s="9225"/>
      <c r="N367" s="9234"/>
      <c r="O367" s="9234"/>
      <c r="P367" s="9235"/>
      <c r="Q367" s="9228"/>
      <c r="R367" s="9229"/>
      <c r="S367" s="9230"/>
      <c r="T367" s="9231"/>
      <c r="U367" s="9228"/>
      <c r="V367" s="9229"/>
      <c r="W367" s="9231"/>
      <c r="X367" s="9229"/>
      <c r="Y367" s="9231"/>
      <c r="Z367" s="9229"/>
      <c r="AA367" s="9230"/>
      <c r="AB367" s="9230"/>
      <c r="AC367" s="9230"/>
      <c r="AD367" s="9230"/>
      <c r="AE367" s="9230"/>
      <c r="AF367" s="9231"/>
      <c r="AG367" s="9229"/>
      <c r="AH367" s="9230"/>
      <c r="AI367" s="9230"/>
      <c r="AJ367" s="9230"/>
      <c r="AK367" s="9230"/>
      <c r="AL367" s="9230"/>
      <c r="AM367" s="9230"/>
      <c r="AN367" s="9231"/>
      <c r="AO367" s="9229"/>
      <c r="AP367" s="9230"/>
      <c r="AQ367" s="9230"/>
      <c r="AR367" s="9230"/>
      <c r="AS367" s="9230"/>
      <c r="AT367" s="9231"/>
      <c r="AU367" s="9236"/>
      <c r="AV367" s="9236"/>
      <c r="AW367" s="9236"/>
      <c r="AX367" s="9209"/>
      <c r="AY367" s="9235"/>
      <c r="AZ367" s="9236"/>
      <c r="BA367" s="9209"/>
      <c r="BB367" s="9234"/>
      <c r="BC367" s="9235"/>
      <c r="BD367" s="9221"/>
      <c r="BF367" s="9223"/>
      <c r="BG367" s="9223"/>
      <c r="BH367" s="9223"/>
      <c r="BI367" s="9223"/>
      <c r="BJ367" s="9223"/>
      <c r="BK367" s="9223"/>
      <c r="BL367" s="9223"/>
      <c r="BM367" s="9223"/>
      <c r="BN367" s="9223"/>
    </row>
    <row r="368" spans="1:66" ht="16.5" hidden="1" customHeight="1">
      <c r="A368" s="13765">
        <v>252</v>
      </c>
      <c r="B368" s="13955" t="s">
        <v>7828</v>
      </c>
      <c r="C368" s="13588"/>
      <c r="D368" s="11993" t="s">
        <v>10063</v>
      </c>
      <c r="E368" s="11994" t="s">
        <v>79</v>
      </c>
      <c r="F368" s="11994"/>
      <c r="G368" s="13923" t="s">
        <v>1688</v>
      </c>
      <c r="H368" s="13513" t="s">
        <v>1691</v>
      </c>
      <c r="I368" s="14004">
        <v>1</v>
      </c>
      <c r="K368" s="9210"/>
      <c r="L368" s="9211"/>
      <c r="M368" s="9211"/>
      <c r="N368" s="9212"/>
      <c r="O368" s="9212"/>
      <c r="P368" s="9213"/>
      <c r="Q368" s="9214"/>
      <c r="R368" s="9215"/>
      <c r="S368" s="9216"/>
      <c r="T368" s="9217"/>
      <c r="U368" s="9214"/>
      <c r="V368" s="9215"/>
      <c r="W368" s="9217"/>
      <c r="X368" s="9215"/>
      <c r="Y368" s="9217"/>
      <c r="Z368" s="9215"/>
      <c r="AA368" s="9216"/>
      <c r="AB368" s="9216"/>
      <c r="AC368" s="9216"/>
      <c r="AD368" s="9216"/>
      <c r="AE368" s="9216"/>
      <c r="AF368" s="9217"/>
      <c r="AG368" s="9215"/>
      <c r="AH368" s="9216"/>
      <c r="AI368" s="9216"/>
      <c r="AJ368" s="9216"/>
      <c r="AK368" s="9216"/>
      <c r="AL368" s="9216"/>
      <c r="AM368" s="9216"/>
      <c r="AN368" s="9217"/>
      <c r="AO368" s="9215"/>
      <c r="AP368" s="9216"/>
      <c r="AQ368" s="9216"/>
      <c r="AR368" s="9216"/>
      <c r="AS368" s="9216"/>
      <c r="AT368" s="9217"/>
      <c r="AU368" s="9218"/>
      <c r="AV368" s="9218"/>
      <c r="AW368" s="9218"/>
      <c r="AX368" s="9210"/>
      <c r="AY368" s="9213"/>
      <c r="AZ368" s="9218"/>
      <c r="BA368" s="9210"/>
      <c r="BB368" s="9212"/>
      <c r="BC368" s="9213"/>
      <c r="BD368" s="9219"/>
      <c r="BF368" s="14458"/>
      <c r="BG368" s="14458"/>
      <c r="BH368" s="14458"/>
      <c r="BI368" s="14458"/>
      <c r="BJ368" s="14458"/>
      <c r="BK368" s="9237"/>
      <c r="BL368" s="14458"/>
      <c r="BM368" s="14458"/>
      <c r="BN368" s="14458"/>
    </row>
    <row r="369" spans="1:66" ht="16.5" hidden="1" customHeight="1">
      <c r="A369" s="13764"/>
      <c r="B369" s="13954"/>
      <c r="C369" s="13588"/>
      <c r="D369" s="11993" t="s">
        <v>10200</v>
      </c>
      <c r="E369" s="11994"/>
      <c r="F369" s="11994" t="s">
        <v>1690</v>
      </c>
      <c r="G369" s="13922"/>
      <c r="H369" s="13512"/>
      <c r="I369" s="14003"/>
      <c r="K369" s="9210"/>
      <c r="L369" s="9211"/>
      <c r="M369" s="9211"/>
      <c r="N369" s="9212"/>
      <c r="O369" s="9212"/>
      <c r="P369" s="9213"/>
      <c r="Q369" s="9214"/>
      <c r="R369" s="9215"/>
      <c r="S369" s="9216"/>
      <c r="T369" s="9217"/>
      <c r="U369" s="9214"/>
      <c r="V369" s="9215"/>
      <c r="W369" s="9217"/>
      <c r="X369" s="9215"/>
      <c r="Y369" s="9217"/>
      <c r="Z369" s="9215"/>
      <c r="AA369" s="9216"/>
      <c r="AB369" s="9216"/>
      <c r="AC369" s="9216"/>
      <c r="AD369" s="9216"/>
      <c r="AE369" s="9216"/>
      <c r="AF369" s="9217"/>
      <c r="AG369" s="9215"/>
      <c r="AH369" s="9216"/>
      <c r="AI369" s="9216"/>
      <c r="AJ369" s="9216"/>
      <c r="AK369" s="9216"/>
      <c r="AL369" s="9216"/>
      <c r="AM369" s="9216"/>
      <c r="AN369" s="9217"/>
      <c r="AO369" s="9215"/>
      <c r="AP369" s="9216"/>
      <c r="AQ369" s="9216"/>
      <c r="AR369" s="9216"/>
      <c r="AS369" s="9216"/>
      <c r="AT369" s="9217"/>
      <c r="AU369" s="9218"/>
      <c r="AV369" s="9218"/>
      <c r="AW369" s="9218"/>
      <c r="AX369" s="9210"/>
      <c r="AY369" s="9213"/>
      <c r="AZ369" s="9218"/>
      <c r="BA369" s="9210"/>
      <c r="BB369" s="9212"/>
      <c r="BC369" s="9213"/>
      <c r="BD369" s="9219"/>
      <c r="BF369" s="14457"/>
      <c r="BG369" s="14457"/>
      <c r="BH369" s="14457"/>
      <c r="BI369" s="14457"/>
      <c r="BJ369" s="14457"/>
      <c r="BK369" s="9220"/>
      <c r="BL369" s="14457"/>
      <c r="BM369" s="14457"/>
      <c r="BN369" s="14457"/>
    </row>
    <row r="370" spans="1:66" ht="16.5" hidden="1" customHeight="1">
      <c r="A370" s="9221">
        <v>253</v>
      </c>
      <c r="B370" s="9222" t="s">
        <v>7829</v>
      </c>
      <c r="C370" s="13588"/>
      <c r="D370" s="11993" t="s">
        <v>10063</v>
      </c>
      <c r="E370" s="11994" t="s">
        <v>79</v>
      </c>
      <c r="F370" s="11994"/>
      <c r="G370" s="11995" t="s">
        <v>1693</v>
      </c>
      <c r="H370" s="11996" t="s">
        <v>1695</v>
      </c>
      <c r="I370" s="11998">
        <v>1</v>
      </c>
      <c r="K370" s="9209"/>
      <c r="L370" s="9225"/>
      <c r="M370" s="9225"/>
      <c r="N370" s="9234"/>
      <c r="O370" s="9234"/>
      <c r="P370" s="9235"/>
      <c r="Q370" s="9228"/>
      <c r="R370" s="9229"/>
      <c r="S370" s="9230"/>
      <c r="T370" s="9231"/>
      <c r="U370" s="9228"/>
      <c r="V370" s="9229"/>
      <c r="W370" s="9231"/>
      <c r="X370" s="9229"/>
      <c r="Y370" s="9231"/>
      <c r="Z370" s="9229"/>
      <c r="AA370" s="9230"/>
      <c r="AB370" s="9230"/>
      <c r="AC370" s="9230"/>
      <c r="AD370" s="9230"/>
      <c r="AE370" s="9230"/>
      <c r="AF370" s="9231"/>
      <c r="AG370" s="9229"/>
      <c r="AH370" s="9230"/>
      <c r="AI370" s="9230"/>
      <c r="AJ370" s="9230"/>
      <c r="AK370" s="9230"/>
      <c r="AL370" s="9230"/>
      <c r="AM370" s="9230"/>
      <c r="AN370" s="9231"/>
      <c r="AO370" s="9229"/>
      <c r="AP370" s="9230"/>
      <c r="AQ370" s="9230"/>
      <c r="AR370" s="9230"/>
      <c r="AS370" s="9230"/>
      <c r="AT370" s="9231"/>
      <c r="AU370" s="9236"/>
      <c r="AV370" s="9236"/>
      <c r="AW370" s="9236"/>
      <c r="AX370" s="9209"/>
      <c r="AY370" s="9235"/>
      <c r="AZ370" s="9236"/>
      <c r="BA370" s="9209"/>
      <c r="BB370" s="9234"/>
      <c r="BC370" s="9235"/>
      <c r="BD370" s="9221"/>
      <c r="BF370" s="9223"/>
      <c r="BG370" s="9223"/>
      <c r="BH370" s="9223"/>
      <c r="BI370" s="9223"/>
      <c r="BJ370" s="9223"/>
      <c r="BK370" s="9223"/>
      <c r="BL370" s="9223"/>
      <c r="BM370" s="9223"/>
      <c r="BN370" s="9223"/>
    </row>
    <row r="371" spans="1:66" ht="16.5" hidden="1" customHeight="1">
      <c r="A371" s="9221">
        <v>254</v>
      </c>
      <c r="B371" s="9222" t="s">
        <v>7830</v>
      </c>
      <c r="C371" s="13588"/>
      <c r="D371" s="11993" t="s">
        <v>10063</v>
      </c>
      <c r="E371" s="11994" t="s">
        <v>79</v>
      </c>
      <c r="F371" s="11994"/>
      <c r="G371" s="11995" t="s">
        <v>1697</v>
      </c>
      <c r="H371" s="11996" t="s">
        <v>1698</v>
      </c>
      <c r="I371" s="11998">
        <v>1</v>
      </c>
      <c r="K371" s="9209"/>
      <c r="L371" s="9225"/>
      <c r="M371" s="9225"/>
      <c r="N371" s="9234"/>
      <c r="O371" s="9234"/>
      <c r="P371" s="9235"/>
      <c r="Q371" s="9228"/>
      <c r="R371" s="9229"/>
      <c r="S371" s="9230"/>
      <c r="T371" s="9231"/>
      <c r="U371" s="9228"/>
      <c r="V371" s="9229"/>
      <c r="W371" s="9231"/>
      <c r="X371" s="9229"/>
      <c r="Y371" s="9231"/>
      <c r="Z371" s="9229"/>
      <c r="AA371" s="9230"/>
      <c r="AB371" s="9230"/>
      <c r="AC371" s="9230"/>
      <c r="AD371" s="9230"/>
      <c r="AE371" s="9230"/>
      <c r="AF371" s="9231"/>
      <c r="AG371" s="9229"/>
      <c r="AH371" s="9230"/>
      <c r="AI371" s="9230"/>
      <c r="AJ371" s="9230"/>
      <c r="AK371" s="9230"/>
      <c r="AL371" s="9230"/>
      <c r="AM371" s="9230"/>
      <c r="AN371" s="9231"/>
      <c r="AO371" s="9229"/>
      <c r="AP371" s="9230"/>
      <c r="AQ371" s="9230"/>
      <c r="AR371" s="9230"/>
      <c r="AS371" s="9230"/>
      <c r="AT371" s="9231"/>
      <c r="AU371" s="9236"/>
      <c r="AV371" s="9236"/>
      <c r="AW371" s="9236"/>
      <c r="AX371" s="9209"/>
      <c r="AY371" s="9235"/>
      <c r="AZ371" s="9236"/>
      <c r="BA371" s="9209"/>
      <c r="BB371" s="9234"/>
      <c r="BC371" s="9235"/>
      <c r="BD371" s="9221"/>
      <c r="BF371" s="9223"/>
      <c r="BG371" s="9223"/>
      <c r="BH371" s="9223"/>
      <c r="BI371" s="9223"/>
      <c r="BJ371" s="9223"/>
      <c r="BK371" s="9223"/>
      <c r="BL371" s="9223"/>
      <c r="BM371" s="9223"/>
      <c r="BN371" s="9223"/>
    </row>
    <row r="372" spans="1:66" ht="30" hidden="1" customHeight="1">
      <c r="A372" s="9221">
        <v>255</v>
      </c>
      <c r="B372" s="9222" t="s">
        <v>7831</v>
      </c>
      <c r="C372" s="13588"/>
      <c r="D372" s="11993" t="s">
        <v>10070</v>
      </c>
      <c r="E372" s="11994" t="s">
        <v>512</v>
      </c>
      <c r="F372" s="11994"/>
      <c r="G372" s="11995" t="s">
        <v>1700</v>
      </c>
      <c r="H372" s="11996" t="s">
        <v>1701</v>
      </c>
      <c r="I372" s="11998">
        <v>10</v>
      </c>
      <c r="K372" s="9209"/>
      <c r="L372" s="9225"/>
      <c r="M372" s="9225"/>
      <c r="N372" s="9234"/>
      <c r="O372" s="9234"/>
      <c r="P372" s="9235"/>
      <c r="Q372" s="9228"/>
      <c r="R372" s="9229"/>
      <c r="S372" s="9230"/>
      <c r="T372" s="9231"/>
      <c r="U372" s="9228"/>
      <c r="V372" s="9229"/>
      <c r="W372" s="9231"/>
      <c r="X372" s="9229"/>
      <c r="Y372" s="9231"/>
      <c r="Z372" s="9229"/>
      <c r="AA372" s="9230"/>
      <c r="AB372" s="9230"/>
      <c r="AC372" s="9230"/>
      <c r="AD372" s="9230"/>
      <c r="AE372" s="9230"/>
      <c r="AF372" s="9231"/>
      <c r="AG372" s="9229"/>
      <c r="AH372" s="9230"/>
      <c r="AI372" s="9230"/>
      <c r="AJ372" s="9230"/>
      <c r="AK372" s="9230"/>
      <c r="AL372" s="9230"/>
      <c r="AM372" s="9230"/>
      <c r="AN372" s="9231"/>
      <c r="AO372" s="9229"/>
      <c r="AP372" s="9230"/>
      <c r="AQ372" s="9230"/>
      <c r="AR372" s="9230"/>
      <c r="AS372" s="9230"/>
      <c r="AT372" s="9231"/>
      <c r="AU372" s="9236"/>
      <c r="AV372" s="9236"/>
      <c r="AW372" s="9236"/>
      <c r="AX372" s="9209"/>
      <c r="AY372" s="9235"/>
      <c r="AZ372" s="9236"/>
      <c r="BA372" s="9209"/>
      <c r="BB372" s="9234"/>
      <c r="BC372" s="9235"/>
      <c r="BD372" s="9221"/>
      <c r="BF372" s="9223"/>
      <c r="BG372" s="9223"/>
      <c r="BH372" s="9223"/>
      <c r="BI372" s="9223"/>
      <c r="BJ372" s="9223"/>
      <c r="BK372" s="9223"/>
      <c r="BL372" s="9223"/>
      <c r="BM372" s="9223"/>
      <c r="BN372" s="9223"/>
    </row>
    <row r="373" spans="1:66" ht="16.5" hidden="1" customHeight="1">
      <c r="A373" s="9221">
        <v>256</v>
      </c>
      <c r="B373" s="9222" t="s">
        <v>7832</v>
      </c>
      <c r="C373" s="13588"/>
      <c r="D373" s="11993" t="s">
        <v>10063</v>
      </c>
      <c r="E373" s="11994" t="s">
        <v>79</v>
      </c>
      <c r="F373" s="11994"/>
      <c r="G373" s="11995" t="s">
        <v>1702</v>
      </c>
      <c r="H373" s="11996" t="s">
        <v>1703</v>
      </c>
      <c r="I373" s="11998">
        <v>100</v>
      </c>
      <c r="K373" s="9209"/>
      <c r="L373" s="9225"/>
      <c r="M373" s="9225"/>
      <c r="N373" s="9234"/>
      <c r="O373" s="9234"/>
      <c r="P373" s="9235"/>
      <c r="Q373" s="9228"/>
      <c r="R373" s="9229"/>
      <c r="S373" s="9230"/>
      <c r="T373" s="9231"/>
      <c r="U373" s="9228"/>
      <c r="V373" s="9229"/>
      <c r="W373" s="9231"/>
      <c r="X373" s="9229"/>
      <c r="Y373" s="9231"/>
      <c r="Z373" s="9229"/>
      <c r="AA373" s="9230"/>
      <c r="AB373" s="9230"/>
      <c r="AC373" s="9230"/>
      <c r="AD373" s="9230"/>
      <c r="AE373" s="9230"/>
      <c r="AF373" s="9231"/>
      <c r="AG373" s="9229"/>
      <c r="AH373" s="9230"/>
      <c r="AI373" s="9230"/>
      <c r="AJ373" s="9230"/>
      <c r="AK373" s="9230"/>
      <c r="AL373" s="9230"/>
      <c r="AM373" s="9230"/>
      <c r="AN373" s="9231"/>
      <c r="AO373" s="9229"/>
      <c r="AP373" s="9230"/>
      <c r="AQ373" s="9230"/>
      <c r="AR373" s="9230"/>
      <c r="AS373" s="9230"/>
      <c r="AT373" s="9231"/>
      <c r="AU373" s="9236"/>
      <c r="AV373" s="9236"/>
      <c r="AW373" s="9236"/>
      <c r="AX373" s="9209"/>
      <c r="AY373" s="9235"/>
      <c r="AZ373" s="9236"/>
      <c r="BA373" s="9209"/>
      <c r="BB373" s="9234"/>
      <c r="BC373" s="9235"/>
      <c r="BD373" s="9221"/>
      <c r="BF373" s="9223"/>
      <c r="BG373" s="9223"/>
      <c r="BH373" s="9223"/>
      <c r="BI373" s="9223"/>
      <c r="BJ373" s="9223"/>
      <c r="BK373" s="9223"/>
      <c r="BL373" s="9223"/>
      <c r="BM373" s="9223"/>
      <c r="BN373" s="9223"/>
    </row>
    <row r="374" spans="1:66" ht="16.5" hidden="1" customHeight="1" thickBot="1">
      <c r="A374" s="9238">
        <v>257</v>
      </c>
      <c r="B374" s="9239" t="s">
        <v>7833</v>
      </c>
      <c r="C374" s="13588"/>
      <c r="D374" s="11999" t="s">
        <v>10063</v>
      </c>
      <c r="E374" s="12000" t="s">
        <v>79</v>
      </c>
      <c r="F374" s="12000"/>
      <c r="G374" s="12001" t="s">
        <v>1704</v>
      </c>
      <c r="H374" s="12002" t="s">
        <v>1706</v>
      </c>
      <c r="I374" s="12003">
        <v>0.75</v>
      </c>
      <c r="K374" s="9241"/>
      <c r="L374" s="9242"/>
      <c r="M374" s="9242"/>
      <c r="N374" s="9243"/>
      <c r="O374" s="9243"/>
      <c r="P374" s="9244"/>
      <c r="Q374" s="9245"/>
      <c r="R374" s="9246"/>
      <c r="S374" s="9247"/>
      <c r="T374" s="9248"/>
      <c r="U374" s="9245"/>
      <c r="V374" s="9246"/>
      <c r="W374" s="9248"/>
      <c r="X374" s="9246"/>
      <c r="Y374" s="9248"/>
      <c r="Z374" s="9246"/>
      <c r="AA374" s="9247"/>
      <c r="AB374" s="9247"/>
      <c r="AC374" s="9247"/>
      <c r="AD374" s="9247"/>
      <c r="AE374" s="9247"/>
      <c r="AF374" s="9248"/>
      <c r="AG374" s="9246"/>
      <c r="AH374" s="9247"/>
      <c r="AI374" s="9247"/>
      <c r="AJ374" s="9247"/>
      <c r="AK374" s="9247"/>
      <c r="AL374" s="9247"/>
      <c r="AM374" s="9247"/>
      <c r="AN374" s="9248"/>
      <c r="AO374" s="9246"/>
      <c r="AP374" s="9247"/>
      <c r="AQ374" s="9247"/>
      <c r="AR374" s="9247"/>
      <c r="AS374" s="9247"/>
      <c r="AT374" s="9248"/>
      <c r="AU374" s="9249"/>
      <c r="AV374" s="9249"/>
      <c r="AW374" s="9249"/>
      <c r="AX374" s="9241"/>
      <c r="AY374" s="9244"/>
      <c r="AZ374" s="9249"/>
      <c r="BA374" s="9241"/>
      <c r="BB374" s="9243"/>
      <c r="BC374" s="9244"/>
      <c r="BD374" s="9250"/>
      <c r="BF374" s="9240"/>
      <c r="BG374" s="9240"/>
      <c r="BH374" s="9240"/>
      <c r="BI374" s="9240"/>
      <c r="BJ374" s="9240"/>
      <c r="BK374" s="9240"/>
      <c r="BL374" s="9240"/>
      <c r="BM374" s="9240"/>
      <c r="BN374" s="9240"/>
    </row>
    <row r="375" spans="1:66" ht="16.5" hidden="1" customHeight="1">
      <c r="A375" s="13766">
        <v>258</v>
      </c>
      <c r="B375" s="14006" t="s">
        <v>7834</v>
      </c>
      <c r="C375" s="13588"/>
      <c r="D375" s="12004" t="s">
        <v>10063</v>
      </c>
      <c r="E375" s="12005" t="s">
        <v>79</v>
      </c>
      <c r="F375" s="12005"/>
      <c r="G375" s="13924" t="s">
        <v>1710</v>
      </c>
      <c r="H375" s="13514" t="s">
        <v>1712</v>
      </c>
      <c r="I375" s="14005">
        <v>1</v>
      </c>
      <c r="K375" s="9251"/>
      <c r="L375" s="9252"/>
      <c r="M375" s="9252"/>
      <c r="N375" s="9253"/>
      <c r="O375" s="9253"/>
      <c r="P375" s="9254"/>
      <c r="Q375" s="9255"/>
      <c r="R375" s="9256"/>
      <c r="S375" s="9257"/>
      <c r="T375" s="9258"/>
      <c r="U375" s="9255"/>
      <c r="V375" s="9256"/>
      <c r="W375" s="9258"/>
      <c r="X375" s="9256"/>
      <c r="Y375" s="9258"/>
      <c r="Z375" s="9256"/>
      <c r="AA375" s="9257"/>
      <c r="AB375" s="9257"/>
      <c r="AC375" s="9257"/>
      <c r="AD375" s="9257"/>
      <c r="AE375" s="9257"/>
      <c r="AF375" s="9258"/>
      <c r="AG375" s="9256"/>
      <c r="AH375" s="9257"/>
      <c r="AI375" s="9257"/>
      <c r="AJ375" s="9257"/>
      <c r="AK375" s="9257"/>
      <c r="AL375" s="9257"/>
      <c r="AM375" s="9257"/>
      <c r="AN375" s="9258"/>
      <c r="AO375" s="9256"/>
      <c r="AP375" s="9257"/>
      <c r="AQ375" s="9257"/>
      <c r="AR375" s="9257"/>
      <c r="AS375" s="9257"/>
      <c r="AT375" s="9258"/>
      <c r="AU375" s="9259"/>
      <c r="AV375" s="9259"/>
      <c r="AW375" s="9259"/>
      <c r="AX375" s="9251"/>
      <c r="AY375" s="9254"/>
      <c r="AZ375" s="9259"/>
      <c r="BA375" s="9251"/>
      <c r="BB375" s="9253"/>
      <c r="BC375" s="9254"/>
      <c r="BD375" s="9260"/>
      <c r="BF375" s="14459"/>
      <c r="BG375" s="14459"/>
      <c r="BH375" s="14459"/>
      <c r="BI375" s="14459"/>
      <c r="BJ375" s="14459"/>
      <c r="BK375" s="9261"/>
      <c r="BL375" s="14459"/>
      <c r="BM375" s="14459"/>
      <c r="BN375" s="14459"/>
    </row>
    <row r="376" spans="1:66" ht="16.5" hidden="1" customHeight="1">
      <c r="A376" s="13767"/>
      <c r="B376" s="14007"/>
      <c r="C376" s="13588"/>
      <c r="D376" s="12006" t="s">
        <v>10201</v>
      </c>
      <c r="E376" s="12007"/>
      <c r="F376" s="12007"/>
      <c r="G376" s="13915"/>
      <c r="H376" s="13515"/>
      <c r="I376" s="13987"/>
      <c r="K376" s="9262"/>
      <c r="L376" s="9263"/>
      <c r="M376" s="9263"/>
      <c r="N376" s="9264"/>
      <c r="O376" s="9264"/>
      <c r="P376" s="9265"/>
      <c r="Q376" s="9266"/>
      <c r="R376" s="9267"/>
      <c r="S376" s="9268"/>
      <c r="T376" s="9269"/>
      <c r="U376" s="9266"/>
      <c r="V376" s="9267"/>
      <c r="W376" s="9269"/>
      <c r="X376" s="9267"/>
      <c r="Y376" s="9269"/>
      <c r="Z376" s="9267"/>
      <c r="AA376" s="9268"/>
      <c r="AB376" s="9268"/>
      <c r="AC376" s="9268"/>
      <c r="AD376" s="9268"/>
      <c r="AE376" s="9268"/>
      <c r="AF376" s="9269"/>
      <c r="AG376" s="9267"/>
      <c r="AH376" s="9268"/>
      <c r="AI376" s="9268"/>
      <c r="AJ376" s="9268"/>
      <c r="AK376" s="9268"/>
      <c r="AL376" s="9268"/>
      <c r="AM376" s="9268"/>
      <c r="AN376" s="9269"/>
      <c r="AO376" s="9267"/>
      <c r="AP376" s="9268"/>
      <c r="AQ376" s="9268"/>
      <c r="AR376" s="9268"/>
      <c r="AS376" s="9268"/>
      <c r="AT376" s="9269"/>
      <c r="AU376" s="9270"/>
      <c r="AV376" s="9270"/>
      <c r="AW376" s="9270"/>
      <c r="AX376" s="9262"/>
      <c r="AY376" s="9265"/>
      <c r="AZ376" s="9270"/>
      <c r="BA376" s="9262"/>
      <c r="BB376" s="9264"/>
      <c r="BC376" s="9265"/>
      <c r="BD376" s="9271"/>
      <c r="BF376" s="14460"/>
      <c r="BG376" s="14460"/>
      <c r="BH376" s="14460"/>
      <c r="BI376" s="14460"/>
      <c r="BJ376" s="14460"/>
      <c r="BK376" s="9272"/>
      <c r="BL376" s="14460"/>
      <c r="BM376" s="14460"/>
      <c r="BN376" s="14460"/>
    </row>
    <row r="377" spans="1:66" ht="16.5" hidden="1" customHeight="1">
      <c r="A377" s="13767">
        <v>259</v>
      </c>
      <c r="B377" s="14007" t="s">
        <v>7835</v>
      </c>
      <c r="C377" s="13588"/>
      <c r="D377" s="12006" t="s">
        <v>10063</v>
      </c>
      <c r="E377" s="12007" t="s">
        <v>79</v>
      </c>
      <c r="F377" s="12007" t="s">
        <v>1715</v>
      </c>
      <c r="G377" s="13915" t="s">
        <v>1714</v>
      </c>
      <c r="H377" s="13515" t="s">
        <v>1522</v>
      </c>
      <c r="I377" s="13987">
        <v>1</v>
      </c>
      <c r="K377" s="9262"/>
      <c r="L377" s="9263"/>
      <c r="M377" s="9263"/>
      <c r="N377" s="9264"/>
      <c r="O377" s="9264"/>
      <c r="P377" s="9265"/>
      <c r="Q377" s="9266"/>
      <c r="R377" s="9267"/>
      <c r="S377" s="9268"/>
      <c r="T377" s="9269"/>
      <c r="U377" s="9266"/>
      <c r="V377" s="9267"/>
      <c r="W377" s="9269"/>
      <c r="X377" s="9267"/>
      <c r="Y377" s="9269"/>
      <c r="Z377" s="9267"/>
      <c r="AA377" s="9268"/>
      <c r="AB377" s="9268"/>
      <c r="AC377" s="9268"/>
      <c r="AD377" s="9268"/>
      <c r="AE377" s="9268"/>
      <c r="AF377" s="9269"/>
      <c r="AG377" s="9267"/>
      <c r="AH377" s="9268"/>
      <c r="AI377" s="9268"/>
      <c r="AJ377" s="9268"/>
      <c r="AK377" s="9268"/>
      <c r="AL377" s="9268"/>
      <c r="AM377" s="9268"/>
      <c r="AN377" s="9269"/>
      <c r="AO377" s="9267"/>
      <c r="AP377" s="9268"/>
      <c r="AQ377" s="9268"/>
      <c r="AR377" s="9268"/>
      <c r="AS377" s="9268"/>
      <c r="AT377" s="9269"/>
      <c r="AU377" s="9270"/>
      <c r="AV377" s="9270"/>
      <c r="AW377" s="9270"/>
      <c r="AX377" s="9262"/>
      <c r="AY377" s="9265"/>
      <c r="AZ377" s="9270"/>
      <c r="BA377" s="9262"/>
      <c r="BB377" s="9264"/>
      <c r="BC377" s="9265"/>
      <c r="BD377" s="9271"/>
      <c r="BF377" s="14460"/>
      <c r="BG377" s="14460"/>
      <c r="BH377" s="14460"/>
      <c r="BI377" s="14460"/>
      <c r="BJ377" s="14460"/>
      <c r="BK377" s="9272"/>
      <c r="BL377" s="14460"/>
      <c r="BM377" s="14460"/>
      <c r="BN377" s="14460"/>
    </row>
    <row r="378" spans="1:66" ht="16.5" hidden="1" customHeight="1">
      <c r="A378" s="13767"/>
      <c r="B378" s="14007"/>
      <c r="C378" s="13588"/>
      <c r="D378" s="12006" t="s">
        <v>10201</v>
      </c>
      <c r="E378" s="12007"/>
      <c r="F378" s="12007" t="s">
        <v>1715</v>
      </c>
      <c r="G378" s="13915"/>
      <c r="H378" s="13515"/>
      <c r="I378" s="13987"/>
      <c r="K378" s="9262"/>
      <c r="L378" s="9263"/>
      <c r="M378" s="9263"/>
      <c r="N378" s="9264"/>
      <c r="O378" s="9264"/>
      <c r="P378" s="9265"/>
      <c r="Q378" s="9266"/>
      <c r="R378" s="9267"/>
      <c r="S378" s="9268"/>
      <c r="T378" s="9269"/>
      <c r="U378" s="9266"/>
      <c r="V378" s="9267"/>
      <c r="W378" s="9269"/>
      <c r="X378" s="9267"/>
      <c r="Y378" s="9269"/>
      <c r="Z378" s="9267"/>
      <c r="AA378" s="9268"/>
      <c r="AB378" s="9268"/>
      <c r="AC378" s="9268"/>
      <c r="AD378" s="9268"/>
      <c r="AE378" s="9268"/>
      <c r="AF378" s="9269"/>
      <c r="AG378" s="9267"/>
      <c r="AH378" s="9268"/>
      <c r="AI378" s="9268"/>
      <c r="AJ378" s="9268"/>
      <c r="AK378" s="9268"/>
      <c r="AL378" s="9268"/>
      <c r="AM378" s="9268"/>
      <c r="AN378" s="9269"/>
      <c r="AO378" s="9267"/>
      <c r="AP378" s="9268"/>
      <c r="AQ378" s="9268"/>
      <c r="AR378" s="9268"/>
      <c r="AS378" s="9268"/>
      <c r="AT378" s="9269"/>
      <c r="AU378" s="9270"/>
      <c r="AV378" s="9270"/>
      <c r="AW378" s="9270"/>
      <c r="AX378" s="9262"/>
      <c r="AY378" s="9265"/>
      <c r="AZ378" s="9270"/>
      <c r="BA378" s="9262"/>
      <c r="BB378" s="9264"/>
      <c r="BC378" s="9265"/>
      <c r="BD378" s="9271"/>
      <c r="BF378" s="14460"/>
      <c r="BG378" s="14460"/>
      <c r="BH378" s="14460"/>
      <c r="BI378" s="14460"/>
      <c r="BJ378" s="14460"/>
      <c r="BK378" s="9272"/>
      <c r="BL378" s="14460"/>
      <c r="BM378" s="14460"/>
      <c r="BN378" s="14460"/>
    </row>
    <row r="379" spans="1:66" ht="16.5" hidden="1" customHeight="1">
      <c r="A379" s="13767">
        <v>260</v>
      </c>
      <c r="B379" s="14007" t="s">
        <v>7836</v>
      </c>
      <c r="C379" s="13588"/>
      <c r="D379" s="12006" t="s">
        <v>10063</v>
      </c>
      <c r="E379" s="12007" t="s">
        <v>79</v>
      </c>
      <c r="F379" s="12007" t="s">
        <v>507</v>
      </c>
      <c r="G379" s="13915" t="s">
        <v>1718</v>
      </c>
      <c r="H379" s="13515" t="s">
        <v>1719</v>
      </c>
      <c r="I379" s="13988">
        <v>1</v>
      </c>
      <c r="K379" s="9273"/>
      <c r="L379" s="9263"/>
      <c r="M379" s="9263"/>
      <c r="N379" s="9274"/>
      <c r="O379" s="9274"/>
      <c r="P379" s="9275"/>
      <c r="Q379" s="9266"/>
      <c r="R379" s="9267"/>
      <c r="S379" s="9268"/>
      <c r="T379" s="9269"/>
      <c r="U379" s="9266"/>
      <c r="V379" s="9267"/>
      <c r="W379" s="9269"/>
      <c r="X379" s="9267"/>
      <c r="Y379" s="9269"/>
      <c r="Z379" s="9267"/>
      <c r="AA379" s="9268"/>
      <c r="AB379" s="9268"/>
      <c r="AC379" s="9268"/>
      <c r="AD379" s="9268"/>
      <c r="AE379" s="9268"/>
      <c r="AF379" s="9269"/>
      <c r="AG379" s="9267"/>
      <c r="AH379" s="9268"/>
      <c r="AI379" s="9268"/>
      <c r="AJ379" s="9268"/>
      <c r="AK379" s="9268"/>
      <c r="AL379" s="9268"/>
      <c r="AM379" s="9268"/>
      <c r="AN379" s="9269"/>
      <c r="AO379" s="9267"/>
      <c r="AP379" s="9268"/>
      <c r="AQ379" s="9268"/>
      <c r="AR379" s="9268"/>
      <c r="AS379" s="9268"/>
      <c r="AT379" s="9269"/>
      <c r="AU379" s="9276"/>
      <c r="AV379" s="9276"/>
      <c r="AW379" s="9276"/>
      <c r="AX379" s="9273"/>
      <c r="AY379" s="9275"/>
      <c r="AZ379" s="9276"/>
      <c r="BA379" s="9273"/>
      <c r="BB379" s="9274"/>
      <c r="BC379" s="9275"/>
      <c r="BD379" s="9277"/>
      <c r="BF379" s="14460"/>
      <c r="BG379" s="14460"/>
      <c r="BH379" s="14460"/>
      <c r="BI379" s="14460"/>
      <c r="BJ379" s="14460"/>
      <c r="BK379" s="9272"/>
      <c r="BL379" s="14460"/>
      <c r="BM379" s="14460"/>
      <c r="BN379" s="14460"/>
    </row>
    <row r="380" spans="1:66" ht="16.5" hidden="1" customHeight="1" thickBot="1">
      <c r="A380" s="13768"/>
      <c r="B380" s="14008"/>
      <c r="C380" s="13590"/>
      <c r="D380" s="12008" t="s">
        <v>10199</v>
      </c>
      <c r="E380" s="12009"/>
      <c r="F380" s="12010" t="s">
        <v>507</v>
      </c>
      <c r="G380" s="13916"/>
      <c r="H380" s="13516"/>
      <c r="I380" s="13989"/>
      <c r="K380" s="9278"/>
      <c r="L380" s="9279"/>
      <c r="M380" s="9279"/>
      <c r="N380" s="9280"/>
      <c r="O380" s="9280"/>
      <c r="P380" s="9281"/>
      <c r="Q380" s="9282"/>
      <c r="R380" s="9283"/>
      <c r="S380" s="9284"/>
      <c r="T380" s="9285"/>
      <c r="U380" s="9282"/>
      <c r="V380" s="9283"/>
      <c r="W380" s="9285"/>
      <c r="X380" s="9283"/>
      <c r="Y380" s="9285"/>
      <c r="Z380" s="9283"/>
      <c r="AA380" s="9284"/>
      <c r="AB380" s="9284"/>
      <c r="AC380" s="9284"/>
      <c r="AD380" s="9284"/>
      <c r="AE380" s="9284"/>
      <c r="AF380" s="9285"/>
      <c r="AG380" s="9283"/>
      <c r="AH380" s="9284"/>
      <c r="AI380" s="9284"/>
      <c r="AJ380" s="9284"/>
      <c r="AK380" s="9284"/>
      <c r="AL380" s="9284"/>
      <c r="AM380" s="9284"/>
      <c r="AN380" s="9285"/>
      <c r="AO380" s="9283"/>
      <c r="AP380" s="9284"/>
      <c r="AQ380" s="9284"/>
      <c r="AR380" s="9284"/>
      <c r="AS380" s="9284"/>
      <c r="AT380" s="9285"/>
      <c r="AU380" s="9286"/>
      <c r="AV380" s="9286"/>
      <c r="AW380" s="9286"/>
      <c r="AX380" s="9278"/>
      <c r="AY380" s="9281"/>
      <c r="AZ380" s="9286"/>
      <c r="BA380" s="9278"/>
      <c r="BB380" s="9280"/>
      <c r="BC380" s="9281"/>
      <c r="BD380" s="9287"/>
      <c r="BF380" s="14461"/>
      <c r="BG380" s="14461"/>
      <c r="BH380" s="14461"/>
      <c r="BI380" s="14461"/>
      <c r="BJ380" s="14461"/>
      <c r="BK380" s="9288"/>
      <c r="BL380" s="14461"/>
      <c r="BM380" s="14461"/>
      <c r="BN380" s="14461"/>
    </row>
    <row r="381" spans="1:66" ht="16.5" hidden="1" customHeight="1">
      <c r="A381" s="13747">
        <v>2261</v>
      </c>
      <c r="B381" s="13990" t="s">
        <v>7837</v>
      </c>
      <c r="C381" s="13591" t="s">
        <v>4312</v>
      </c>
      <c r="D381" s="12011" t="s">
        <v>10072</v>
      </c>
      <c r="E381" s="12012" t="s">
        <v>1293</v>
      </c>
      <c r="F381" s="12012"/>
      <c r="G381" s="13993" t="s">
        <v>1289</v>
      </c>
      <c r="H381" s="13517" t="s">
        <v>1290</v>
      </c>
      <c r="I381" s="13996" t="s">
        <v>1291</v>
      </c>
      <c r="K381" s="7633"/>
      <c r="L381" s="7631"/>
      <c r="M381" s="7631"/>
      <c r="N381" s="7629"/>
      <c r="O381" s="7629"/>
      <c r="P381" s="7710"/>
      <c r="Q381" s="7673"/>
      <c r="R381" s="7668"/>
      <c r="S381" s="7630"/>
      <c r="T381" s="7711"/>
      <c r="U381" s="7673"/>
      <c r="V381" s="7668"/>
      <c r="W381" s="7711"/>
      <c r="X381" s="7668"/>
      <c r="Y381" s="7711"/>
      <c r="Z381" s="7668"/>
      <c r="AA381" s="7630"/>
      <c r="AB381" s="7630"/>
      <c r="AC381" s="7630"/>
      <c r="AD381" s="7630"/>
      <c r="AE381" s="7630"/>
      <c r="AF381" s="7711"/>
      <c r="AG381" s="7668"/>
      <c r="AH381" s="7630"/>
      <c r="AI381" s="7630"/>
      <c r="AJ381" s="7630"/>
      <c r="AK381" s="7630"/>
      <c r="AL381" s="7630"/>
      <c r="AM381" s="7630"/>
      <c r="AN381" s="7711"/>
      <c r="AO381" s="7668"/>
      <c r="AP381" s="7630"/>
      <c r="AQ381" s="7630"/>
      <c r="AR381" s="7630"/>
      <c r="AS381" s="7630"/>
      <c r="AT381" s="7711"/>
      <c r="AU381" s="7664"/>
      <c r="AV381" s="7664"/>
      <c r="AW381" s="7664"/>
      <c r="AX381" s="7633"/>
      <c r="AY381" s="7710"/>
      <c r="AZ381" s="7664"/>
      <c r="BA381" s="7633"/>
      <c r="BB381" s="7629"/>
      <c r="BC381" s="7710"/>
      <c r="BD381" s="7712"/>
      <c r="BF381" s="14462"/>
      <c r="BG381" s="14462"/>
      <c r="BH381" s="14462"/>
      <c r="BI381" s="14462"/>
      <c r="BJ381" s="14462"/>
      <c r="BK381" s="9289"/>
      <c r="BL381" s="14462"/>
      <c r="BM381" s="14462"/>
      <c r="BN381" s="14462"/>
    </row>
    <row r="382" spans="1:66" ht="16.5" hidden="1" customHeight="1">
      <c r="A382" s="13727"/>
      <c r="B382" s="13991"/>
      <c r="C382" s="13592"/>
      <c r="D382" s="12013" t="s">
        <v>10063</v>
      </c>
      <c r="E382" s="12014"/>
      <c r="F382" s="12014" t="s">
        <v>10202</v>
      </c>
      <c r="G382" s="13994"/>
      <c r="H382" s="13490"/>
      <c r="I382" s="13997"/>
      <c r="K382" s="7681"/>
      <c r="L382" s="7679"/>
      <c r="M382" s="7679"/>
      <c r="N382" s="7678"/>
      <c r="O382" s="7678"/>
      <c r="P382" s="7683"/>
      <c r="Q382" s="7687"/>
      <c r="R382" s="7686"/>
      <c r="S382" s="7680"/>
      <c r="T382" s="7688"/>
      <c r="U382" s="7687"/>
      <c r="V382" s="7686"/>
      <c r="W382" s="7688"/>
      <c r="X382" s="7686"/>
      <c r="Y382" s="7688"/>
      <c r="Z382" s="7686"/>
      <c r="AA382" s="7680"/>
      <c r="AB382" s="7680"/>
      <c r="AC382" s="7680"/>
      <c r="AD382" s="7680"/>
      <c r="AE382" s="7680"/>
      <c r="AF382" s="7688"/>
      <c r="AG382" s="7686"/>
      <c r="AH382" s="7680"/>
      <c r="AI382" s="7680"/>
      <c r="AJ382" s="7680"/>
      <c r="AK382" s="7680"/>
      <c r="AL382" s="7680"/>
      <c r="AM382" s="7680"/>
      <c r="AN382" s="7688"/>
      <c r="AO382" s="7686"/>
      <c r="AP382" s="7680"/>
      <c r="AQ382" s="7680"/>
      <c r="AR382" s="7680"/>
      <c r="AS382" s="7680"/>
      <c r="AT382" s="7688"/>
      <c r="AU382" s="7692"/>
      <c r="AV382" s="7692"/>
      <c r="AW382" s="7692"/>
      <c r="AX382" s="7681"/>
      <c r="AY382" s="7683"/>
      <c r="AZ382" s="7692"/>
      <c r="BA382" s="7681"/>
      <c r="BB382" s="7678"/>
      <c r="BC382" s="7683"/>
      <c r="BD382" s="7693"/>
      <c r="BF382" s="14463"/>
      <c r="BG382" s="14463"/>
      <c r="BH382" s="14463"/>
      <c r="BI382" s="14463"/>
      <c r="BJ382" s="14463"/>
      <c r="BK382" s="9290"/>
      <c r="BL382" s="14463"/>
      <c r="BM382" s="14463"/>
      <c r="BN382" s="14463"/>
    </row>
    <row r="383" spans="1:66" ht="16.5" hidden="1" customHeight="1">
      <c r="A383" s="13726"/>
      <c r="B383" s="13992"/>
      <c r="C383" s="13592"/>
      <c r="D383" s="12013" t="s">
        <v>10204</v>
      </c>
      <c r="E383" s="12014"/>
      <c r="F383" s="12015" t="s">
        <v>10203</v>
      </c>
      <c r="G383" s="13995"/>
      <c r="H383" s="13491"/>
      <c r="I383" s="13998"/>
      <c r="K383" s="7681"/>
      <c r="L383" s="7679"/>
      <c r="M383" s="7679"/>
      <c r="N383" s="7678"/>
      <c r="O383" s="7678"/>
      <c r="P383" s="7683"/>
      <c r="Q383" s="7687"/>
      <c r="R383" s="7686"/>
      <c r="S383" s="7680"/>
      <c r="T383" s="7688"/>
      <c r="U383" s="7687"/>
      <c r="V383" s="7686"/>
      <c r="W383" s="7688"/>
      <c r="X383" s="7686"/>
      <c r="Y383" s="7688"/>
      <c r="Z383" s="7686"/>
      <c r="AA383" s="7680"/>
      <c r="AB383" s="7680"/>
      <c r="AC383" s="7680"/>
      <c r="AD383" s="7680"/>
      <c r="AE383" s="7680"/>
      <c r="AF383" s="7688"/>
      <c r="AG383" s="7686"/>
      <c r="AH383" s="7680"/>
      <c r="AI383" s="7680"/>
      <c r="AJ383" s="7680"/>
      <c r="AK383" s="7680"/>
      <c r="AL383" s="7680"/>
      <c r="AM383" s="7680"/>
      <c r="AN383" s="7688"/>
      <c r="AO383" s="7686"/>
      <c r="AP383" s="7680"/>
      <c r="AQ383" s="7680"/>
      <c r="AR383" s="7680"/>
      <c r="AS383" s="7680"/>
      <c r="AT383" s="7688"/>
      <c r="AU383" s="7692"/>
      <c r="AV383" s="7692"/>
      <c r="AW383" s="7692"/>
      <c r="AX383" s="7681"/>
      <c r="AY383" s="7683"/>
      <c r="AZ383" s="7692"/>
      <c r="BA383" s="7681"/>
      <c r="BB383" s="7678"/>
      <c r="BC383" s="7683"/>
      <c r="BD383" s="7693"/>
      <c r="BF383" s="14464"/>
      <c r="BG383" s="14464"/>
      <c r="BH383" s="14464"/>
      <c r="BI383" s="14464"/>
      <c r="BJ383" s="14464"/>
      <c r="BK383" s="9291"/>
      <c r="BL383" s="14464"/>
      <c r="BM383" s="14464"/>
      <c r="BN383" s="14464"/>
    </row>
    <row r="384" spans="1:66" ht="16.5" hidden="1" customHeight="1">
      <c r="A384" s="13725">
        <v>262</v>
      </c>
      <c r="B384" s="13979" t="s">
        <v>7838</v>
      </c>
      <c r="C384" s="13592"/>
      <c r="D384" s="12013" t="s">
        <v>10072</v>
      </c>
      <c r="E384" s="12015" t="s">
        <v>1293</v>
      </c>
      <c r="F384" s="12014"/>
      <c r="G384" s="13981" t="s">
        <v>1295</v>
      </c>
      <c r="H384" s="13492" t="s">
        <v>1290</v>
      </c>
      <c r="I384" s="13999">
        <v>1</v>
      </c>
      <c r="K384" s="7681"/>
      <c r="L384" s="7679"/>
      <c r="M384" s="7679"/>
      <c r="N384" s="7678"/>
      <c r="O384" s="7678"/>
      <c r="P384" s="7683"/>
      <c r="Q384" s="7687"/>
      <c r="R384" s="7686"/>
      <c r="S384" s="7680"/>
      <c r="T384" s="7688"/>
      <c r="U384" s="7687"/>
      <c r="V384" s="7686"/>
      <c r="W384" s="7688"/>
      <c r="X384" s="7686"/>
      <c r="Y384" s="7688"/>
      <c r="Z384" s="7686"/>
      <c r="AA384" s="7680"/>
      <c r="AB384" s="7680"/>
      <c r="AC384" s="7680"/>
      <c r="AD384" s="7680"/>
      <c r="AE384" s="7680"/>
      <c r="AF384" s="7688"/>
      <c r="AG384" s="7686"/>
      <c r="AH384" s="7680"/>
      <c r="AI384" s="7680"/>
      <c r="AJ384" s="7680"/>
      <c r="AK384" s="7680"/>
      <c r="AL384" s="7680"/>
      <c r="AM384" s="7680"/>
      <c r="AN384" s="7688"/>
      <c r="AO384" s="7686"/>
      <c r="AP384" s="7680"/>
      <c r="AQ384" s="7680"/>
      <c r="AR384" s="7680"/>
      <c r="AS384" s="7680"/>
      <c r="AT384" s="7688"/>
      <c r="AU384" s="7692"/>
      <c r="AV384" s="7692"/>
      <c r="AW384" s="7692"/>
      <c r="AX384" s="7681"/>
      <c r="AY384" s="7683"/>
      <c r="AZ384" s="7692"/>
      <c r="BA384" s="7681"/>
      <c r="BB384" s="7678"/>
      <c r="BC384" s="7683"/>
      <c r="BD384" s="7693"/>
      <c r="BF384" s="14465"/>
      <c r="BG384" s="14465"/>
      <c r="BH384" s="14465"/>
      <c r="BI384" s="14465"/>
      <c r="BJ384" s="14465"/>
      <c r="BK384" s="9292"/>
      <c r="BL384" s="14465"/>
      <c r="BM384" s="14465"/>
      <c r="BN384" s="14465"/>
    </row>
    <row r="385" spans="1:66" ht="16.5" hidden="1" customHeight="1">
      <c r="A385" s="13727"/>
      <c r="B385" s="13991"/>
      <c r="C385" s="13592"/>
      <c r="D385" s="12013" t="s">
        <v>10063</v>
      </c>
      <c r="E385" s="12016"/>
      <c r="F385" s="12014" t="s">
        <v>10202</v>
      </c>
      <c r="G385" s="13994"/>
      <c r="H385" s="13490"/>
      <c r="I385" s="13997"/>
      <c r="K385" s="7681"/>
      <c r="L385" s="7679"/>
      <c r="M385" s="7679"/>
      <c r="N385" s="7678"/>
      <c r="O385" s="7678"/>
      <c r="P385" s="7683"/>
      <c r="Q385" s="7687"/>
      <c r="R385" s="7686"/>
      <c r="S385" s="7680"/>
      <c r="T385" s="7688"/>
      <c r="U385" s="7687"/>
      <c r="V385" s="7686"/>
      <c r="W385" s="7688"/>
      <c r="X385" s="7686"/>
      <c r="Y385" s="7688"/>
      <c r="Z385" s="7686"/>
      <c r="AA385" s="7680"/>
      <c r="AB385" s="7680"/>
      <c r="AC385" s="7680"/>
      <c r="AD385" s="7680"/>
      <c r="AE385" s="7680"/>
      <c r="AF385" s="7688"/>
      <c r="AG385" s="7686"/>
      <c r="AH385" s="7680"/>
      <c r="AI385" s="7680"/>
      <c r="AJ385" s="7680"/>
      <c r="AK385" s="7680"/>
      <c r="AL385" s="7680"/>
      <c r="AM385" s="7680"/>
      <c r="AN385" s="7688"/>
      <c r="AO385" s="7686"/>
      <c r="AP385" s="7680"/>
      <c r="AQ385" s="7680"/>
      <c r="AR385" s="7680"/>
      <c r="AS385" s="7680"/>
      <c r="AT385" s="7688"/>
      <c r="AU385" s="7692"/>
      <c r="AV385" s="7692"/>
      <c r="AW385" s="7692"/>
      <c r="AX385" s="7681"/>
      <c r="AY385" s="7683"/>
      <c r="AZ385" s="7692"/>
      <c r="BA385" s="7681"/>
      <c r="BB385" s="7678"/>
      <c r="BC385" s="7683"/>
      <c r="BD385" s="7693"/>
      <c r="BF385" s="14463"/>
      <c r="BG385" s="14463"/>
      <c r="BH385" s="14463"/>
      <c r="BI385" s="14463"/>
      <c r="BJ385" s="14463"/>
      <c r="BK385" s="9290"/>
      <c r="BL385" s="14463"/>
      <c r="BM385" s="14463"/>
      <c r="BN385" s="14463"/>
    </row>
    <row r="386" spans="1:66" ht="16.5" hidden="1" customHeight="1">
      <c r="A386" s="13726"/>
      <c r="B386" s="13992"/>
      <c r="C386" s="13592"/>
      <c r="D386" s="12013" t="s">
        <v>10204</v>
      </c>
      <c r="E386" s="12016"/>
      <c r="F386" s="12014" t="s">
        <v>10203</v>
      </c>
      <c r="G386" s="13995"/>
      <c r="H386" s="13491"/>
      <c r="I386" s="13998"/>
      <c r="K386" s="7681"/>
      <c r="L386" s="7679"/>
      <c r="M386" s="7679"/>
      <c r="N386" s="7678"/>
      <c r="O386" s="7678"/>
      <c r="P386" s="7683"/>
      <c r="Q386" s="7687"/>
      <c r="R386" s="7686"/>
      <c r="S386" s="7680"/>
      <c r="T386" s="7688"/>
      <c r="U386" s="7687"/>
      <c r="V386" s="7686"/>
      <c r="W386" s="7688"/>
      <c r="X386" s="7686"/>
      <c r="Y386" s="7688"/>
      <c r="Z386" s="7686"/>
      <c r="AA386" s="7680"/>
      <c r="AB386" s="7680"/>
      <c r="AC386" s="7680"/>
      <c r="AD386" s="7680"/>
      <c r="AE386" s="7680"/>
      <c r="AF386" s="7688"/>
      <c r="AG386" s="7686"/>
      <c r="AH386" s="7680"/>
      <c r="AI386" s="7680"/>
      <c r="AJ386" s="7680"/>
      <c r="AK386" s="7680"/>
      <c r="AL386" s="7680"/>
      <c r="AM386" s="7680"/>
      <c r="AN386" s="7688"/>
      <c r="AO386" s="7686"/>
      <c r="AP386" s="7680"/>
      <c r="AQ386" s="7680"/>
      <c r="AR386" s="7680"/>
      <c r="AS386" s="7680"/>
      <c r="AT386" s="7688"/>
      <c r="AU386" s="7692"/>
      <c r="AV386" s="7692"/>
      <c r="AW386" s="7692"/>
      <c r="AX386" s="7681"/>
      <c r="AY386" s="7683"/>
      <c r="AZ386" s="7692"/>
      <c r="BA386" s="7681"/>
      <c r="BB386" s="7678"/>
      <c r="BC386" s="7683"/>
      <c r="BD386" s="7693"/>
      <c r="BF386" s="14464"/>
      <c r="BG386" s="14464"/>
      <c r="BH386" s="14464"/>
      <c r="BI386" s="14464"/>
      <c r="BJ386" s="14464"/>
      <c r="BK386" s="9291"/>
      <c r="BL386" s="14464"/>
      <c r="BM386" s="14464"/>
      <c r="BN386" s="14464"/>
    </row>
    <row r="387" spans="1:66" ht="30" hidden="1" customHeight="1">
      <c r="A387" s="13725">
        <v>263</v>
      </c>
      <c r="B387" s="13979" t="s">
        <v>7839</v>
      </c>
      <c r="C387" s="13592"/>
      <c r="D387" s="12017" t="s">
        <v>218</v>
      </c>
      <c r="E387" s="12016" t="s">
        <v>768</v>
      </c>
      <c r="F387" s="12018"/>
      <c r="G387" s="13981" t="s">
        <v>1296</v>
      </c>
      <c r="H387" s="13492" t="s">
        <v>95</v>
      </c>
      <c r="I387" s="13999">
        <v>1</v>
      </c>
      <c r="K387" s="7681"/>
      <c r="L387" s="7679"/>
      <c r="M387" s="7679"/>
      <c r="N387" s="7678"/>
      <c r="O387" s="7678"/>
      <c r="P387" s="7683"/>
      <c r="Q387" s="7687"/>
      <c r="R387" s="7686"/>
      <c r="S387" s="7680"/>
      <c r="T387" s="7688"/>
      <c r="U387" s="7687"/>
      <c r="V387" s="7686"/>
      <c r="W387" s="7688"/>
      <c r="X387" s="7686"/>
      <c r="Y387" s="7688"/>
      <c r="Z387" s="7686"/>
      <c r="AA387" s="7680"/>
      <c r="AB387" s="7680"/>
      <c r="AC387" s="7680"/>
      <c r="AD387" s="7680"/>
      <c r="AE387" s="7680"/>
      <c r="AF387" s="7688"/>
      <c r="AG387" s="7686"/>
      <c r="AH387" s="7680"/>
      <c r="AI387" s="7680"/>
      <c r="AJ387" s="7680"/>
      <c r="AK387" s="7680"/>
      <c r="AL387" s="7680"/>
      <c r="AM387" s="7680"/>
      <c r="AN387" s="7688"/>
      <c r="AO387" s="7686"/>
      <c r="AP387" s="7680"/>
      <c r="AQ387" s="7680"/>
      <c r="AR387" s="7680"/>
      <c r="AS387" s="7680"/>
      <c r="AT387" s="7688"/>
      <c r="AU387" s="7692"/>
      <c r="AV387" s="7692"/>
      <c r="AW387" s="7692"/>
      <c r="AX387" s="7681"/>
      <c r="AY387" s="7683"/>
      <c r="AZ387" s="7692"/>
      <c r="BA387" s="7681"/>
      <c r="BB387" s="7678"/>
      <c r="BC387" s="7683"/>
      <c r="BD387" s="7693"/>
      <c r="BF387" s="14465"/>
      <c r="BG387" s="14465"/>
      <c r="BH387" s="14465"/>
      <c r="BI387" s="14465"/>
      <c r="BJ387" s="14465"/>
      <c r="BK387" s="9292"/>
      <c r="BL387" s="14465"/>
      <c r="BM387" s="14465"/>
      <c r="BN387" s="14465"/>
    </row>
    <row r="388" spans="1:66" ht="30" hidden="1" customHeight="1" thickBot="1">
      <c r="A388" s="13728"/>
      <c r="B388" s="13980"/>
      <c r="C388" s="13592"/>
      <c r="D388" s="12019" t="s">
        <v>10204</v>
      </c>
      <c r="E388" s="12020" t="s">
        <v>10205</v>
      </c>
      <c r="F388" s="12020" t="s">
        <v>1298</v>
      </c>
      <c r="G388" s="13982"/>
      <c r="H388" s="13493"/>
      <c r="I388" s="14058"/>
      <c r="K388" s="7700"/>
      <c r="L388" s="7701"/>
      <c r="M388" s="7701"/>
      <c r="N388" s="7702"/>
      <c r="O388" s="7702"/>
      <c r="P388" s="7703"/>
      <c r="Q388" s="7704"/>
      <c r="R388" s="7705"/>
      <c r="S388" s="7706"/>
      <c r="T388" s="7707"/>
      <c r="U388" s="7704"/>
      <c r="V388" s="7705"/>
      <c r="W388" s="7707"/>
      <c r="X388" s="7705"/>
      <c r="Y388" s="7707"/>
      <c r="Z388" s="7705"/>
      <c r="AA388" s="7706"/>
      <c r="AB388" s="7706"/>
      <c r="AC388" s="7706"/>
      <c r="AD388" s="7706"/>
      <c r="AE388" s="7706"/>
      <c r="AF388" s="7707"/>
      <c r="AG388" s="7705"/>
      <c r="AH388" s="7706"/>
      <c r="AI388" s="7706"/>
      <c r="AJ388" s="7706"/>
      <c r="AK388" s="7706"/>
      <c r="AL388" s="7706"/>
      <c r="AM388" s="7706"/>
      <c r="AN388" s="7707"/>
      <c r="AO388" s="7705"/>
      <c r="AP388" s="7706"/>
      <c r="AQ388" s="7706"/>
      <c r="AR388" s="7706"/>
      <c r="AS388" s="7706"/>
      <c r="AT388" s="7707"/>
      <c r="AU388" s="7708"/>
      <c r="AV388" s="7708"/>
      <c r="AW388" s="7708"/>
      <c r="AX388" s="7700"/>
      <c r="AY388" s="7703"/>
      <c r="AZ388" s="7708"/>
      <c r="BA388" s="7700"/>
      <c r="BB388" s="7702"/>
      <c r="BC388" s="7703"/>
      <c r="BD388" s="7709"/>
      <c r="BF388" s="14466"/>
      <c r="BG388" s="14466"/>
      <c r="BH388" s="14466"/>
      <c r="BI388" s="14466"/>
      <c r="BJ388" s="14466"/>
      <c r="BK388" s="9293"/>
      <c r="BL388" s="14466"/>
      <c r="BM388" s="14466"/>
      <c r="BN388" s="14466"/>
    </row>
    <row r="389" spans="1:66" ht="30" hidden="1" customHeight="1">
      <c r="A389" s="9294">
        <v>264</v>
      </c>
      <c r="B389" s="9295" t="s">
        <v>7840</v>
      </c>
      <c r="C389" s="13592"/>
      <c r="D389" s="12021" t="s">
        <v>218</v>
      </c>
      <c r="E389" s="12022" t="s">
        <v>1297</v>
      </c>
      <c r="F389" s="12023" t="s">
        <v>224</v>
      </c>
      <c r="G389" s="12024" t="s">
        <v>1302</v>
      </c>
      <c r="H389" s="12025" t="s">
        <v>1303</v>
      </c>
      <c r="I389" s="12026">
        <v>0</v>
      </c>
      <c r="K389" s="9297"/>
      <c r="L389" s="9298"/>
      <c r="M389" s="9298"/>
      <c r="N389" s="9299"/>
      <c r="O389" s="9299"/>
      <c r="P389" s="9300"/>
      <c r="Q389" s="9301"/>
      <c r="R389" s="9302"/>
      <c r="S389" s="9303"/>
      <c r="T389" s="9304"/>
      <c r="U389" s="9301"/>
      <c r="V389" s="9302"/>
      <c r="W389" s="9304"/>
      <c r="X389" s="9302"/>
      <c r="Y389" s="9304"/>
      <c r="Z389" s="9302"/>
      <c r="AA389" s="9303"/>
      <c r="AB389" s="9303"/>
      <c r="AC389" s="9303"/>
      <c r="AD389" s="9303"/>
      <c r="AE389" s="9303"/>
      <c r="AF389" s="9304"/>
      <c r="AG389" s="9302"/>
      <c r="AH389" s="9303"/>
      <c r="AI389" s="9303"/>
      <c r="AJ389" s="9303"/>
      <c r="AK389" s="9303"/>
      <c r="AL389" s="9303"/>
      <c r="AM389" s="9303"/>
      <c r="AN389" s="9304"/>
      <c r="AO389" s="9302"/>
      <c r="AP389" s="9303"/>
      <c r="AQ389" s="9303"/>
      <c r="AR389" s="9303"/>
      <c r="AS389" s="9303"/>
      <c r="AT389" s="9304"/>
      <c r="AU389" s="9305"/>
      <c r="AV389" s="9305"/>
      <c r="AW389" s="9305"/>
      <c r="AX389" s="9297"/>
      <c r="AY389" s="9300"/>
      <c r="AZ389" s="9305"/>
      <c r="BA389" s="9297"/>
      <c r="BB389" s="9299"/>
      <c r="BC389" s="9300"/>
      <c r="BD389" s="9306"/>
      <c r="BF389" s="9296"/>
      <c r="BG389" s="9296"/>
      <c r="BH389" s="9296"/>
      <c r="BI389" s="9296"/>
      <c r="BJ389" s="9296"/>
      <c r="BK389" s="9296"/>
      <c r="BL389" s="9296"/>
      <c r="BM389" s="9296"/>
      <c r="BN389" s="9296"/>
    </row>
    <row r="390" spans="1:66" ht="30" hidden="1" customHeight="1">
      <c r="A390" s="9307">
        <v>265</v>
      </c>
      <c r="B390" s="9308" t="s">
        <v>7841</v>
      </c>
      <c r="C390" s="13592"/>
      <c r="D390" s="12027" t="s">
        <v>218</v>
      </c>
      <c r="E390" s="12028" t="s">
        <v>1297</v>
      </c>
      <c r="F390" s="12029" t="s">
        <v>224</v>
      </c>
      <c r="G390" s="12030" t="s">
        <v>1306</v>
      </c>
      <c r="H390" s="12031" t="s">
        <v>103</v>
      </c>
      <c r="I390" s="12032" t="s">
        <v>1307</v>
      </c>
      <c r="K390" s="9309"/>
      <c r="L390" s="7715"/>
      <c r="M390" s="7715"/>
      <c r="N390" s="9311"/>
      <c r="O390" s="9311"/>
      <c r="P390" s="9312"/>
      <c r="Q390" s="7718"/>
      <c r="R390" s="7719"/>
      <c r="S390" s="7720"/>
      <c r="T390" s="7721"/>
      <c r="U390" s="7718"/>
      <c r="V390" s="7719"/>
      <c r="W390" s="7721"/>
      <c r="X390" s="7719"/>
      <c r="Y390" s="7721"/>
      <c r="Z390" s="7719"/>
      <c r="AA390" s="7720"/>
      <c r="AB390" s="7720"/>
      <c r="AC390" s="7720"/>
      <c r="AD390" s="7720"/>
      <c r="AE390" s="7720"/>
      <c r="AF390" s="7721"/>
      <c r="AG390" s="7719"/>
      <c r="AH390" s="7720"/>
      <c r="AI390" s="7720"/>
      <c r="AJ390" s="7720"/>
      <c r="AK390" s="7720"/>
      <c r="AL390" s="7720"/>
      <c r="AM390" s="7720"/>
      <c r="AN390" s="7721"/>
      <c r="AO390" s="7719"/>
      <c r="AP390" s="7720"/>
      <c r="AQ390" s="7720"/>
      <c r="AR390" s="7720"/>
      <c r="AS390" s="7720"/>
      <c r="AT390" s="7721"/>
      <c r="AU390" s="9313"/>
      <c r="AV390" s="9313"/>
      <c r="AW390" s="9313"/>
      <c r="AX390" s="9309"/>
      <c r="AY390" s="9312"/>
      <c r="AZ390" s="9313"/>
      <c r="BA390" s="9309"/>
      <c r="BB390" s="9311"/>
      <c r="BC390" s="9312"/>
      <c r="BD390" s="9314"/>
      <c r="BF390" s="9310"/>
      <c r="BG390" s="9310"/>
      <c r="BH390" s="9310"/>
      <c r="BI390" s="9310"/>
      <c r="BJ390" s="9310"/>
      <c r="BK390" s="9310"/>
      <c r="BL390" s="9310"/>
      <c r="BM390" s="9310"/>
      <c r="BN390" s="9310"/>
    </row>
    <row r="391" spans="1:66" ht="30" hidden="1" customHeight="1">
      <c r="A391" s="13748">
        <v>266</v>
      </c>
      <c r="B391" s="13983" t="s">
        <v>7842</v>
      </c>
      <c r="C391" s="13592"/>
      <c r="D391" s="12027" t="s">
        <v>218</v>
      </c>
      <c r="E391" s="12028" t="s">
        <v>1297</v>
      </c>
      <c r="F391" s="12028"/>
      <c r="G391" s="13985" t="s">
        <v>1308</v>
      </c>
      <c r="H391" s="13518" t="s">
        <v>1309</v>
      </c>
      <c r="I391" s="14059">
        <v>1</v>
      </c>
      <c r="K391" s="9315"/>
      <c r="L391" s="8053"/>
      <c r="M391" s="8053"/>
      <c r="N391" s="9316"/>
      <c r="O391" s="9316"/>
      <c r="P391" s="9317"/>
      <c r="Q391" s="8056"/>
      <c r="R391" s="8057"/>
      <c r="S391" s="8058"/>
      <c r="T391" s="8059"/>
      <c r="U391" s="8056"/>
      <c r="V391" s="8057"/>
      <c r="W391" s="8059"/>
      <c r="X391" s="8057"/>
      <c r="Y391" s="8059"/>
      <c r="Z391" s="8057"/>
      <c r="AA391" s="8058"/>
      <c r="AB391" s="8058"/>
      <c r="AC391" s="8058"/>
      <c r="AD391" s="8058"/>
      <c r="AE391" s="8058"/>
      <c r="AF391" s="8059"/>
      <c r="AG391" s="8057"/>
      <c r="AH391" s="8058"/>
      <c r="AI391" s="8058"/>
      <c r="AJ391" s="8058"/>
      <c r="AK391" s="8058"/>
      <c r="AL391" s="8058"/>
      <c r="AM391" s="8058"/>
      <c r="AN391" s="8059"/>
      <c r="AO391" s="8057"/>
      <c r="AP391" s="8058"/>
      <c r="AQ391" s="8058"/>
      <c r="AR391" s="8058"/>
      <c r="AS391" s="8058"/>
      <c r="AT391" s="8059"/>
      <c r="AU391" s="9318"/>
      <c r="AV391" s="9318"/>
      <c r="AW391" s="9318"/>
      <c r="AX391" s="9315"/>
      <c r="AY391" s="9317"/>
      <c r="AZ391" s="9318"/>
      <c r="BA391" s="9315"/>
      <c r="BB391" s="9316"/>
      <c r="BC391" s="9317"/>
      <c r="BD391" s="9319"/>
      <c r="BF391" s="14467"/>
      <c r="BG391" s="14467"/>
      <c r="BH391" s="14467"/>
      <c r="BI391" s="14467"/>
      <c r="BJ391" s="14467"/>
      <c r="BK391" s="9320"/>
      <c r="BL391" s="14467"/>
      <c r="BM391" s="14467"/>
      <c r="BN391" s="14467"/>
    </row>
    <row r="392" spans="1:66" ht="30" hidden="1" customHeight="1">
      <c r="A392" s="13749"/>
      <c r="B392" s="13984"/>
      <c r="C392" s="13592"/>
      <c r="D392" s="12027" t="s">
        <v>10204</v>
      </c>
      <c r="E392" s="12028"/>
      <c r="F392" s="12028" t="s">
        <v>1310</v>
      </c>
      <c r="G392" s="13986"/>
      <c r="H392" s="13519"/>
      <c r="I392" s="14060"/>
      <c r="K392" s="9315"/>
      <c r="L392" s="8053"/>
      <c r="M392" s="8053"/>
      <c r="N392" s="9316"/>
      <c r="O392" s="9316"/>
      <c r="P392" s="9317"/>
      <c r="Q392" s="8056"/>
      <c r="R392" s="8057"/>
      <c r="S392" s="8058"/>
      <c r="T392" s="8059"/>
      <c r="U392" s="8056"/>
      <c r="V392" s="8057"/>
      <c r="W392" s="8059"/>
      <c r="X392" s="8057"/>
      <c r="Y392" s="8059"/>
      <c r="Z392" s="8057"/>
      <c r="AA392" s="8058"/>
      <c r="AB392" s="8058"/>
      <c r="AC392" s="8058"/>
      <c r="AD392" s="8058"/>
      <c r="AE392" s="8058"/>
      <c r="AF392" s="8059"/>
      <c r="AG392" s="8057"/>
      <c r="AH392" s="8058"/>
      <c r="AI392" s="8058"/>
      <c r="AJ392" s="8058"/>
      <c r="AK392" s="8058"/>
      <c r="AL392" s="8058"/>
      <c r="AM392" s="8058"/>
      <c r="AN392" s="8059"/>
      <c r="AO392" s="8057"/>
      <c r="AP392" s="8058"/>
      <c r="AQ392" s="8058"/>
      <c r="AR392" s="8058"/>
      <c r="AS392" s="8058"/>
      <c r="AT392" s="8059"/>
      <c r="AU392" s="9318"/>
      <c r="AV392" s="9318"/>
      <c r="AW392" s="9318"/>
      <c r="AX392" s="9315"/>
      <c r="AY392" s="9317"/>
      <c r="AZ392" s="9318"/>
      <c r="BA392" s="9315"/>
      <c r="BB392" s="9316"/>
      <c r="BC392" s="9317"/>
      <c r="BD392" s="9319"/>
      <c r="BF392" s="14468"/>
      <c r="BG392" s="14468"/>
      <c r="BH392" s="14468"/>
      <c r="BI392" s="14468"/>
      <c r="BJ392" s="14468"/>
      <c r="BK392" s="9296"/>
      <c r="BL392" s="14468"/>
      <c r="BM392" s="14468"/>
      <c r="BN392" s="14468"/>
    </row>
    <row r="393" spans="1:66" ht="30" hidden="1" customHeight="1">
      <c r="A393" s="13748">
        <v>267</v>
      </c>
      <c r="B393" s="13983" t="s">
        <v>7843</v>
      </c>
      <c r="C393" s="13592"/>
      <c r="D393" s="12027" t="s">
        <v>218</v>
      </c>
      <c r="E393" s="12028" t="s">
        <v>1297</v>
      </c>
      <c r="F393" s="12028"/>
      <c r="G393" s="13985" t="s">
        <v>1312</v>
      </c>
      <c r="H393" s="13518" t="s">
        <v>1313</v>
      </c>
      <c r="I393" s="14059">
        <v>1</v>
      </c>
      <c r="K393" s="9315"/>
      <c r="L393" s="8053"/>
      <c r="M393" s="8053"/>
      <c r="N393" s="9316"/>
      <c r="O393" s="9316"/>
      <c r="P393" s="9317"/>
      <c r="Q393" s="8056"/>
      <c r="R393" s="8057"/>
      <c r="S393" s="8058"/>
      <c r="T393" s="8059"/>
      <c r="U393" s="8056"/>
      <c r="V393" s="8057"/>
      <c r="W393" s="8059"/>
      <c r="X393" s="8057"/>
      <c r="Y393" s="8059"/>
      <c r="Z393" s="8057"/>
      <c r="AA393" s="8058"/>
      <c r="AB393" s="8058"/>
      <c r="AC393" s="8058"/>
      <c r="AD393" s="8058"/>
      <c r="AE393" s="8058"/>
      <c r="AF393" s="8059"/>
      <c r="AG393" s="8057"/>
      <c r="AH393" s="8058"/>
      <c r="AI393" s="8058"/>
      <c r="AJ393" s="8058"/>
      <c r="AK393" s="8058"/>
      <c r="AL393" s="8058"/>
      <c r="AM393" s="8058"/>
      <c r="AN393" s="8059"/>
      <c r="AO393" s="8057"/>
      <c r="AP393" s="8058"/>
      <c r="AQ393" s="8058"/>
      <c r="AR393" s="8058"/>
      <c r="AS393" s="8058"/>
      <c r="AT393" s="8059"/>
      <c r="AU393" s="9318"/>
      <c r="AV393" s="9318"/>
      <c r="AW393" s="9318"/>
      <c r="AX393" s="9315"/>
      <c r="AY393" s="9317"/>
      <c r="AZ393" s="9318"/>
      <c r="BA393" s="9315"/>
      <c r="BB393" s="9316"/>
      <c r="BC393" s="9317"/>
      <c r="BD393" s="9319"/>
      <c r="BF393" s="14467"/>
      <c r="BG393" s="14467"/>
      <c r="BH393" s="14467"/>
      <c r="BI393" s="14467"/>
      <c r="BJ393" s="14467"/>
      <c r="BK393" s="9320"/>
      <c r="BL393" s="14467"/>
      <c r="BM393" s="14467"/>
      <c r="BN393" s="14467"/>
    </row>
    <row r="394" spans="1:66" ht="30" hidden="1" customHeight="1">
      <c r="A394" s="13749"/>
      <c r="B394" s="13984"/>
      <c r="C394" s="13592"/>
      <c r="D394" s="12033" t="s">
        <v>4305</v>
      </c>
      <c r="E394" s="12034"/>
      <c r="F394" s="12028" t="s">
        <v>1314</v>
      </c>
      <c r="G394" s="13986"/>
      <c r="H394" s="13519"/>
      <c r="I394" s="14060"/>
      <c r="K394" s="9315"/>
      <c r="L394" s="8053"/>
      <c r="M394" s="8053"/>
      <c r="N394" s="9316"/>
      <c r="O394" s="9316"/>
      <c r="P394" s="9317"/>
      <c r="Q394" s="8056"/>
      <c r="R394" s="8057"/>
      <c r="S394" s="8058"/>
      <c r="T394" s="8059"/>
      <c r="U394" s="8056"/>
      <c r="V394" s="8057"/>
      <c r="W394" s="8059"/>
      <c r="X394" s="8057"/>
      <c r="Y394" s="8059"/>
      <c r="Z394" s="8057"/>
      <c r="AA394" s="8058"/>
      <c r="AB394" s="8058"/>
      <c r="AC394" s="8058"/>
      <c r="AD394" s="8058"/>
      <c r="AE394" s="8058"/>
      <c r="AF394" s="8059"/>
      <c r="AG394" s="8057"/>
      <c r="AH394" s="8058"/>
      <c r="AI394" s="8058"/>
      <c r="AJ394" s="8058"/>
      <c r="AK394" s="8058"/>
      <c r="AL394" s="8058"/>
      <c r="AM394" s="8058"/>
      <c r="AN394" s="8059"/>
      <c r="AO394" s="8057"/>
      <c r="AP394" s="8058"/>
      <c r="AQ394" s="8058"/>
      <c r="AR394" s="8058"/>
      <c r="AS394" s="8058"/>
      <c r="AT394" s="8059"/>
      <c r="AU394" s="9318"/>
      <c r="AV394" s="9318"/>
      <c r="AW394" s="9318"/>
      <c r="AX394" s="9315"/>
      <c r="AY394" s="9317"/>
      <c r="AZ394" s="9318"/>
      <c r="BA394" s="9315"/>
      <c r="BB394" s="9316"/>
      <c r="BC394" s="9317"/>
      <c r="BD394" s="9319"/>
      <c r="BF394" s="14468"/>
      <c r="BG394" s="14468"/>
      <c r="BH394" s="14468"/>
      <c r="BI394" s="14468"/>
      <c r="BJ394" s="14468"/>
      <c r="BK394" s="9296"/>
      <c r="BL394" s="14468"/>
      <c r="BM394" s="14468"/>
      <c r="BN394" s="14468"/>
    </row>
    <row r="395" spans="1:66" ht="30" hidden="1" customHeight="1" thickBot="1">
      <c r="A395" s="9321">
        <v>268</v>
      </c>
      <c r="B395" s="9322" t="s">
        <v>7844</v>
      </c>
      <c r="C395" s="13592"/>
      <c r="D395" s="12035" t="s">
        <v>218</v>
      </c>
      <c r="E395" s="12036" t="s">
        <v>1297</v>
      </c>
      <c r="F395" s="12037" t="s">
        <v>235</v>
      </c>
      <c r="G395" s="12038" t="s">
        <v>1315</v>
      </c>
      <c r="H395" s="12039" t="s">
        <v>1316</v>
      </c>
      <c r="I395" s="12040">
        <v>9</v>
      </c>
      <c r="K395" s="9324"/>
      <c r="L395" s="9325"/>
      <c r="M395" s="9325"/>
      <c r="N395" s="9326"/>
      <c r="O395" s="9326"/>
      <c r="P395" s="9327"/>
      <c r="Q395" s="9328"/>
      <c r="R395" s="9329"/>
      <c r="S395" s="9330"/>
      <c r="T395" s="9331"/>
      <c r="U395" s="9328"/>
      <c r="V395" s="9329"/>
      <c r="W395" s="9331"/>
      <c r="X395" s="9329"/>
      <c r="Y395" s="9331"/>
      <c r="Z395" s="9329"/>
      <c r="AA395" s="9330"/>
      <c r="AB395" s="9330"/>
      <c r="AC395" s="9330"/>
      <c r="AD395" s="9330"/>
      <c r="AE395" s="9330"/>
      <c r="AF395" s="9331"/>
      <c r="AG395" s="9329"/>
      <c r="AH395" s="9330"/>
      <c r="AI395" s="9330"/>
      <c r="AJ395" s="9330"/>
      <c r="AK395" s="9330"/>
      <c r="AL395" s="9330"/>
      <c r="AM395" s="9330"/>
      <c r="AN395" s="9331"/>
      <c r="AO395" s="9329"/>
      <c r="AP395" s="9330"/>
      <c r="AQ395" s="9330"/>
      <c r="AR395" s="9330"/>
      <c r="AS395" s="9330"/>
      <c r="AT395" s="9331"/>
      <c r="AU395" s="9332"/>
      <c r="AV395" s="9332"/>
      <c r="AW395" s="9332"/>
      <c r="AX395" s="9324"/>
      <c r="AY395" s="9327"/>
      <c r="AZ395" s="9332"/>
      <c r="BA395" s="9324"/>
      <c r="BB395" s="9326"/>
      <c r="BC395" s="9327"/>
      <c r="BD395" s="9333"/>
      <c r="BF395" s="9323"/>
      <c r="BG395" s="9323"/>
      <c r="BH395" s="9323"/>
      <c r="BI395" s="9323"/>
      <c r="BJ395" s="9323"/>
      <c r="BK395" s="9323"/>
      <c r="BL395" s="9323"/>
      <c r="BM395" s="9323"/>
      <c r="BN395" s="9323"/>
    </row>
    <row r="396" spans="1:66" ht="30" hidden="1" customHeight="1">
      <c r="A396" s="13750">
        <v>269</v>
      </c>
      <c r="B396" s="14018" t="s">
        <v>7845</v>
      </c>
      <c r="C396" s="13592"/>
      <c r="D396" s="12041" t="s">
        <v>4305</v>
      </c>
      <c r="E396" s="12042" t="s">
        <v>1322</v>
      </c>
      <c r="F396" s="12042"/>
      <c r="G396" s="14019" t="s">
        <v>1320</v>
      </c>
      <c r="H396" s="13520" t="s">
        <v>497</v>
      </c>
      <c r="I396" s="14061">
        <v>1</v>
      </c>
      <c r="K396" s="9334"/>
      <c r="L396" s="9335"/>
      <c r="M396" s="9335"/>
      <c r="N396" s="9336"/>
      <c r="O396" s="9336"/>
      <c r="P396" s="9337"/>
      <c r="Q396" s="9338"/>
      <c r="R396" s="9339"/>
      <c r="S396" s="9340"/>
      <c r="T396" s="9341"/>
      <c r="U396" s="9338"/>
      <c r="V396" s="9339"/>
      <c r="W396" s="9341"/>
      <c r="X396" s="9339"/>
      <c r="Y396" s="9341"/>
      <c r="Z396" s="9339"/>
      <c r="AA396" s="9340"/>
      <c r="AB396" s="9340"/>
      <c r="AC396" s="9340"/>
      <c r="AD396" s="9340"/>
      <c r="AE396" s="9340"/>
      <c r="AF396" s="9341"/>
      <c r="AG396" s="9339"/>
      <c r="AH396" s="9340"/>
      <c r="AI396" s="9340"/>
      <c r="AJ396" s="9340"/>
      <c r="AK396" s="9340"/>
      <c r="AL396" s="9340"/>
      <c r="AM396" s="9340"/>
      <c r="AN396" s="9341"/>
      <c r="AO396" s="9339"/>
      <c r="AP396" s="9340"/>
      <c r="AQ396" s="9340"/>
      <c r="AR396" s="9340"/>
      <c r="AS396" s="9340"/>
      <c r="AT396" s="9341"/>
      <c r="AU396" s="9342"/>
      <c r="AV396" s="9342"/>
      <c r="AW396" s="9342"/>
      <c r="AX396" s="9334"/>
      <c r="AY396" s="9337"/>
      <c r="AZ396" s="9342"/>
      <c r="BA396" s="9334"/>
      <c r="BB396" s="9336"/>
      <c r="BC396" s="9337"/>
      <c r="BD396" s="9343"/>
      <c r="BF396" s="14469"/>
      <c r="BG396" s="14469"/>
      <c r="BH396" s="14469"/>
      <c r="BI396" s="14469"/>
      <c r="BJ396" s="14469"/>
      <c r="BK396" s="9344"/>
      <c r="BL396" s="14469"/>
      <c r="BM396" s="14469"/>
      <c r="BN396" s="14469"/>
    </row>
    <row r="397" spans="1:66" ht="30" hidden="1" customHeight="1">
      <c r="A397" s="13751"/>
      <c r="B397" s="14016"/>
      <c r="C397" s="13592"/>
      <c r="D397" s="12043" t="s">
        <v>10185</v>
      </c>
      <c r="E397" s="12044"/>
      <c r="F397" s="12044" t="s">
        <v>1323</v>
      </c>
      <c r="G397" s="14014"/>
      <c r="H397" s="13498"/>
      <c r="I397" s="14054"/>
      <c r="K397" s="9345"/>
      <c r="L397" s="9346"/>
      <c r="M397" s="9346"/>
      <c r="N397" s="9347"/>
      <c r="O397" s="9347"/>
      <c r="P397" s="9348"/>
      <c r="Q397" s="9349"/>
      <c r="R397" s="9350"/>
      <c r="S397" s="9351"/>
      <c r="T397" s="9352"/>
      <c r="U397" s="9349"/>
      <c r="V397" s="9350"/>
      <c r="W397" s="9352"/>
      <c r="X397" s="9350"/>
      <c r="Y397" s="9352"/>
      <c r="Z397" s="9350"/>
      <c r="AA397" s="9351"/>
      <c r="AB397" s="9351"/>
      <c r="AC397" s="9351"/>
      <c r="AD397" s="9351"/>
      <c r="AE397" s="9351"/>
      <c r="AF397" s="9352"/>
      <c r="AG397" s="9350"/>
      <c r="AH397" s="9351"/>
      <c r="AI397" s="9351"/>
      <c r="AJ397" s="9351"/>
      <c r="AK397" s="9351"/>
      <c r="AL397" s="9351"/>
      <c r="AM397" s="9351"/>
      <c r="AN397" s="9352"/>
      <c r="AO397" s="9350"/>
      <c r="AP397" s="9351"/>
      <c r="AQ397" s="9351"/>
      <c r="AR397" s="9351"/>
      <c r="AS397" s="9351"/>
      <c r="AT397" s="9352"/>
      <c r="AU397" s="9353"/>
      <c r="AV397" s="9353"/>
      <c r="AW397" s="9353"/>
      <c r="AX397" s="9345"/>
      <c r="AY397" s="9348"/>
      <c r="AZ397" s="9353"/>
      <c r="BA397" s="9345"/>
      <c r="BB397" s="9347"/>
      <c r="BC397" s="9348"/>
      <c r="BD397" s="9354"/>
      <c r="BF397" s="14470"/>
      <c r="BG397" s="14470"/>
      <c r="BH397" s="14470"/>
      <c r="BI397" s="14470"/>
      <c r="BJ397" s="14470"/>
      <c r="BK397" s="9355"/>
      <c r="BL397" s="14470"/>
      <c r="BM397" s="14470"/>
      <c r="BN397" s="14470"/>
    </row>
    <row r="398" spans="1:66" ht="30" hidden="1" customHeight="1">
      <c r="A398" s="13752">
        <v>270</v>
      </c>
      <c r="B398" s="14015" t="s">
        <v>7846</v>
      </c>
      <c r="C398" s="13592"/>
      <c r="D398" s="12045" t="s">
        <v>4305</v>
      </c>
      <c r="E398" s="12046" t="s">
        <v>1322</v>
      </c>
      <c r="F398" s="12046"/>
      <c r="G398" s="14012" t="s">
        <v>1324</v>
      </c>
      <c r="H398" s="13497" t="s">
        <v>313</v>
      </c>
      <c r="I398" s="14052" t="s">
        <v>111</v>
      </c>
      <c r="K398" s="9345"/>
      <c r="L398" s="9346"/>
      <c r="M398" s="9346"/>
      <c r="N398" s="9347"/>
      <c r="O398" s="9347"/>
      <c r="P398" s="9348"/>
      <c r="Q398" s="9349"/>
      <c r="R398" s="9350"/>
      <c r="S398" s="9351"/>
      <c r="T398" s="9352"/>
      <c r="U398" s="9349"/>
      <c r="V398" s="9350"/>
      <c r="W398" s="9352"/>
      <c r="X398" s="9350"/>
      <c r="Y398" s="9352"/>
      <c r="Z398" s="9350"/>
      <c r="AA398" s="9351"/>
      <c r="AB398" s="9351"/>
      <c r="AC398" s="9351"/>
      <c r="AD398" s="9351"/>
      <c r="AE398" s="9351"/>
      <c r="AF398" s="9352"/>
      <c r="AG398" s="9350"/>
      <c r="AH398" s="9351"/>
      <c r="AI398" s="9351"/>
      <c r="AJ398" s="9351"/>
      <c r="AK398" s="9351"/>
      <c r="AL398" s="9351"/>
      <c r="AM398" s="9351"/>
      <c r="AN398" s="9352"/>
      <c r="AO398" s="9350"/>
      <c r="AP398" s="9351"/>
      <c r="AQ398" s="9351"/>
      <c r="AR398" s="9351"/>
      <c r="AS398" s="9351"/>
      <c r="AT398" s="9352"/>
      <c r="AU398" s="9353"/>
      <c r="AV398" s="9353"/>
      <c r="AW398" s="9353"/>
      <c r="AX398" s="9345"/>
      <c r="AY398" s="9348"/>
      <c r="AZ398" s="9353"/>
      <c r="BA398" s="9345"/>
      <c r="BB398" s="9347"/>
      <c r="BC398" s="9348"/>
      <c r="BD398" s="9354"/>
      <c r="BF398" s="14471"/>
      <c r="BG398" s="14471"/>
      <c r="BH398" s="14471"/>
      <c r="BI398" s="14471"/>
      <c r="BJ398" s="14471"/>
      <c r="BK398" s="9356"/>
      <c r="BL398" s="14471"/>
      <c r="BM398" s="14471"/>
      <c r="BN398" s="14471"/>
    </row>
    <row r="399" spans="1:66" ht="30" hidden="1" customHeight="1">
      <c r="A399" s="13751"/>
      <c r="B399" s="14016"/>
      <c r="C399" s="13592"/>
      <c r="D399" s="12045" t="s">
        <v>10063</v>
      </c>
      <c r="E399" s="12046"/>
      <c r="F399" s="12046" t="s">
        <v>316</v>
      </c>
      <c r="G399" s="14014"/>
      <c r="H399" s="13498"/>
      <c r="I399" s="14054"/>
      <c r="K399" s="9345"/>
      <c r="L399" s="9346"/>
      <c r="M399" s="9346"/>
      <c r="N399" s="9347"/>
      <c r="O399" s="9347"/>
      <c r="P399" s="9348"/>
      <c r="Q399" s="9349"/>
      <c r="R399" s="9350"/>
      <c r="S399" s="9351"/>
      <c r="T399" s="9352"/>
      <c r="U399" s="9349"/>
      <c r="V399" s="9350"/>
      <c r="W399" s="9352"/>
      <c r="X399" s="9350"/>
      <c r="Y399" s="9352"/>
      <c r="Z399" s="9350"/>
      <c r="AA399" s="9351"/>
      <c r="AB399" s="9351"/>
      <c r="AC399" s="9351"/>
      <c r="AD399" s="9351"/>
      <c r="AE399" s="9351"/>
      <c r="AF399" s="9352"/>
      <c r="AG399" s="9350"/>
      <c r="AH399" s="9351"/>
      <c r="AI399" s="9351"/>
      <c r="AJ399" s="9351"/>
      <c r="AK399" s="9351"/>
      <c r="AL399" s="9351"/>
      <c r="AM399" s="9351"/>
      <c r="AN399" s="9352"/>
      <c r="AO399" s="9350"/>
      <c r="AP399" s="9351"/>
      <c r="AQ399" s="9351"/>
      <c r="AR399" s="9351"/>
      <c r="AS399" s="9351"/>
      <c r="AT399" s="9352"/>
      <c r="AU399" s="9353"/>
      <c r="AV399" s="9353"/>
      <c r="AW399" s="9353"/>
      <c r="AX399" s="9345"/>
      <c r="AY399" s="9348"/>
      <c r="AZ399" s="9353"/>
      <c r="BA399" s="9345"/>
      <c r="BB399" s="9347"/>
      <c r="BC399" s="9348"/>
      <c r="BD399" s="9354"/>
      <c r="BF399" s="14470"/>
      <c r="BG399" s="14470"/>
      <c r="BH399" s="14470"/>
      <c r="BI399" s="14470"/>
      <c r="BJ399" s="14470"/>
      <c r="BK399" s="9355"/>
      <c r="BL399" s="14470"/>
      <c r="BM399" s="14470"/>
      <c r="BN399" s="14470"/>
    </row>
    <row r="400" spans="1:66" ht="15.75" hidden="1" customHeight="1">
      <c r="A400" s="13752">
        <v>271</v>
      </c>
      <c r="B400" s="14015" t="s">
        <v>7847</v>
      </c>
      <c r="C400" s="13592"/>
      <c r="D400" s="12045" t="s">
        <v>4305</v>
      </c>
      <c r="E400" s="12046" t="s">
        <v>1322</v>
      </c>
      <c r="F400" s="12046"/>
      <c r="G400" s="14012" t="s">
        <v>1325</v>
      </c>
      <c r="H400" s="13497" t="s">
        <v>318</v>
      </c>
      <c r="I400" s="14052">
        <v>2</v>
      </c>
      <c r="K400" s="9345"/>
      <c r="L400" s="9346"/>
      <c r="M400" s="9346"/>
      <c r="N400" s="9347"/>
      <c r="O400" s="9347"/>
      <c r="P400" s="9348"/>
      <c r="Q400" s="9349"/>
      <c r="R400" s="9350"/>
      <c r="S400" s="9351"/>
      <c r="T400" s="9352"/>
      <c r="U400" s="9349"/>
      <c r="V400" s="9350"/>
      <c r="W400" s="9352"/>
      <c r="X400" s="9350"/>
      <c r="Y400" s="9352"/>
      <c r="Z400" s="9350"/>
      <c r="AA400" s="9351"/>
      <c r="AB400" s="9351"/>
      <c r="AC400" s="9351"/>
      <c r="AD400" s="9351"/>
      <c r="AE400" s="9351"/>
      <c r="AF400" s="9352"/>
      <c r="AG400" s="9350"/>
      <c r="AH400" s="9351"/>
      <c r="AI400" s="9351"/>
      <c r="AJ400" s="9351"/>
      <c r="AK400" s="9351"/>
      <c r="AL400" s="9351"/>
      <c r="AM400" s="9351"/>
      <c r="AN400" s="9352"/>
      <c r="AO400" s="9350"/>
      <c r="AP400" s="9351"/>
      <c r="AQ400" s="9351"/>
      <c r="AR400" s="9351"/>
      <c r="AS400" s="9351"/>
      <c r="AT400" s="9352"/>
      <c r="AU400" s="9353"/>
      <c r="AV400" s="9353"/>
      <c r="AW400" s="9353"/>
      <c r="AX400" s="9345"/>
      <c r="AY400" s="9348"/>
      <c r="AZ400" s="9353"/>
      <c r="BA400" s="9345"/>
      <c r="BB400" s="9347"/>
      <c r="BC400" s="9348"/>
      <c r="BD400" s="9354"/>
      <c r="BF400" s="14471"/>
      <c r="BG400" s="14471"/>
      <c r="BH400" s="14471"/>
      <c r="BI400" s="14471"/>
      <c r="BJ400" s="14471"/>
      <c r="BK400" s="9356"/>
      <c r="BL400" s="14471"/>
      <c r="BM400" s="14471"/>
      <c r="BN400" s="14471"/>
    </row>
    <row r="401" spans="1:66" ht="15.75" hidden="1" customHeight="1">
      <c r="A401" s="13753"/>
      <c r="B401" s="14017"/>
      <c r="C401" s="13592"/>
      <c r="D401" s="12045" t="s">
        <v>329</v>
      </c>
      <c r="E401" s="12046"/>
      <c r="F401" s="12046" t="s">
        <v>329</v>
      </c>
      <c r="G401" s="14013"/>
      <c r="H401" s="13499"/>
      <c r="I401" s="14053"/>
      <c r="K401" s="9345"/>
      <c r="L401" s="9346"/>
      <c r="M401" s="9346"/>
      <c r="N401" s="9347"/>
      <c r="O401" s="9347"/>
      <c r="P401" s="9348"/>
      <c r="Q401" s="9349"/>
      <c r="R401" s="9350"/>
      <c r="S401" s="9351"/>
      <c r="T401" s="9352"/>
      <c r="U401" s="9349"/>
      <c r="V401" s="9350"/>
      <c r="W401" s="9352"/>
      <c r="X401" s="9350"/>
      <c r="Y401" s="9352"/>
      <c r="Z401" s="9350"/>
      <c r="AA401" s="9351"/>
      <c r="AB401" s="9351"/>
      <c r="AC401" s="9351"/>
      <c r="AD401" s="9351"/>
      <c r="AE401" s="9351"/>
      <c r="AF401" s="9352"/>
      <c r="AG401" s="9350"/>
      <c r="AH401" s="9351"/>
      <c r="AI401" s="9351"/>
      <c r="AJ401" s="9351"/>
      <c r="AK401" s="9351"/>
      <c r="AL401" s="9351"/>
      <c r="AM401" s="9351"/>
      <c r="AN401" s="9352"/>
      <c r="AO401" s="9350"/>
      <c r="AP401" s="9351"/>
      <c r="AQ401" s="9351"/>
      <c r="AR401" s="9351"/>
      <c r="AS401" s="9351"/>
      <c r="AT401" s="9352"/>
      <c r="AU401" s="9353"/>
      <c r="AV401" s="9353"/>
      <c r="AW401" s="9353"/>
      <c r="AX401" s="9345"/>
      <c r="AY401" s="9348"/>
      <c r="AZ401" s="9353"/>
      <c r="BA401" s="9345"/>
      <c r="BB401" s="9347"/>
      <c r="BC401" s="9348"/>
      <c r="BD401" s="9354"/>
      <c r="BF401" s="14472"/>
      <c r="BG401" s="14472"/>
      <c r="BH401" s="14472"/>
      <c r="BI401" s="14472"/>
      <c r="BJ401" s="14472"/>
      <c r="BK401" s="9357"/>
      <c r="BL401" s="14472"/>
      <c r="BM401" s="14472"/>
      <c r="BN401" s="14472"/>
    </row>
    <row r="402" spans="1:66" ht="48" hidden="1" customHeight="1">
      <c r="A402" s="13751"/>
      <c r="B402" s="14016"/>
      <c r="C402" s="13592"/>
      <c r="D402" s="12045" t="s">
        <v>10206</v>
      </c>
      <c r="E402" s="12046"/>
      <c r="F402" s="12046" t="s">
        <v>10207</v>
      </c>
      <c r="G402" s="14014"/>
      <c r="H402" s="13498"/>
      <c r="I402" s="14054"/>
      <c r="K402" s="9345"/>
      <c r="L402" s="9346"/>
      <c r="M402" s="9346"/>
      <c r="N402" s="9347"/>
      <c r="O402" s="9347"/>
      <c r="P402" s="9348"/>
      <c r="Q402" s="9349"/>
      <c r="R402" s="9350"/>
      <c r="S402" s="9351"/>
      <c r="T402" s="9352"/>
      <c r="U402" s="9349"/>
      <c r="V402" s="9350"/>
      <c r="W402" s="9352"/>
      <c r="X402" s="9350"/>
      <c r="Y402" s="9352"/>
      <c r="Z402" s="9350"/>
      <c r="AA402" s="9351"/>
      <c r="AB402" s="9351"/>
      <c r="AC402" s="9351"/>
      <c r="AD402" s="9351"/>
      <c r="AE402" s="9351"/>
      <c r="AF402" s="9352"/>
      <c r="AG402" s="9350"/>
      <c r="AH402" s="9351"/>
      <c r="AI402" s="9351"/>
      <c r="AJ402" s="9351"/>
      <c r="AK402" s="9351"/>
      <c r="AL402" s="9351"/>
      <c r="AM402" s="9351"/>
      <c r="AN402" s="9352"/>
      <c r="AO402" s="9350"/>
      <c r="AP402" s="9351"/>
      <c r="AQ402" s="9351"/>
      <c r="AR402" s="9351"/>
      <c r="AS402" s="9351"/>
      <c r="AT402" s="9352"/>
      <c r="AU402" s="9353"/>
      <c r="AV402" s="9353"/>
      <c r="AW402" s="9353"/>
      <c r="AX402" s="9345"/>
      <c r="AY402" s="9348"/>
      <c r="AZ402" s="9353"/>
      <c r="BA402" s="9345"/>
      <c r="BB402" s="9347"/>
      <c r="BC402" s="9348"/>
      <c r="BD402" s="9354"/>
      <c r="BF402" s="14470"/>
      <c r="BG402" s="14470"/>
      <c r="BH402" s="14470"/>
      <c r="BI402" s="14470"/>
      <c r="BJ402" s="14470"/>
      <c r="BK402" s="9355"/>
      <c r="BL402" s="14470"/>
      <c r="BM402" s="14470"/>
      <c r="BN402" s="14470"/>
    </row>
    <row r="403" spans="1:66" ht="15.75" hidden="1" customHeight="1">
      <c r="A403" s="13754">
        <v>272</v>
      </c>
      <c r="B403" s="14009" t="s">
        <v>7848</v>
      </c>
      <c r="C403" s="13592"/>
      <c r="D403" s="12045" t="s">
        <v>4305</v>
      </c>
      <c r="E403" s="12046" t="s">
        <v>1322</v>
      </c>
      <c r="F403" s="12046"/>
      <c r="G403" s="14012" t="s">
        <v>1326</v>
      </c>
      <c r="H403" s="13494" t="s">
        <v>772</v>
      </c>
      <c r="I403" s="14052">
        <v>300</v>
      </c>
      <c r="K403" s="9345"/>
      <c r="L403" s="9346"/>
      <c r="M403" s="9346"/>
      <c r="N403" s="9347"/>
      <c r="O403" s="9347"/>
      <c r="P403" s="9348"/>
      <c r="Q403" s="9349"/>
      <c r="R403" s="9350"/>
      <c r="S403" s="9351"/>
      <c r="T403" s="9352"/>
      <c r="U403" s="9349"/>
      <c r="V403" s="9350"/>
      <c r="W403" s="9352"/>
      <c r="X403" s="9350"/>
      <c r="Y403" s="9352"/>
      <c r="Z403" s="9350"/>
      <c r="AA403" s="9351"/>
      <c r="AB403" s="9351"/>
      <c r="AC403" s="9351"/>
      <c r="AD403" s="9351"/>
      <c r="AE403" s="9351"/>
      <c r="AF403" s="9352"/>
      <c r="AG403" s="9350"/>
      <c r="AH403" s="9351"/>
      <c r="AI403" s="9351"/>
      <c r="AJ403" s="9351"/>
      <c r="AK403" s="9351"/>
      <c r="AL403" s="9351"/>
      <c r="AM403" s="9351"/>
      <c r="AN403" s="9352"/>
      <c r="AO403" s="9350"/>
      <c r="AP403" s="9351"/>
      <c r="AQ403" s="9351"/>
      <c r="AR403" s="9351"/>
      <c r="AS403" s="9351"/>
      <c r="AT403" s="9352"/>
      <c r="AU403" s="9353"/>
      <c r="AV403" s="9353"/>
      <c r="AW403" s="9353"/>
      <c r="AX403" s="9345"/>
      <c r="AY403" s="9348"/>
      <c r="AZ403" s="9353"/>
      <c r="BA403" s="9345"/>
      <c r="BB403" s="9347"/>
      <c r="BC403" s="9348"/>
      <c r="BD403" s="9354"/>
      <c r="BF403" s="14471"/>
      <c r="BG403" s="14471"/>
      <c r="BH403" s="14471"/>
      <c r="BI403" s="14471"/>
      <c r="BJ403" s="14471"/>
      <c r="BK403" s="9356"/>
      <c r="BL403" s="14471"/>
      <c r="BM403" s="14471"/>
      <c r="BN403" s="14471"/>
    </row>
    <row r="404" spans="1:66" ht="15.75" hidden="1" customHeight="1">
      <c r="A404" s="13755"/>
      <c r="B404" s="14010"/>
      <c r="C404" s="13592"/>
      <c r="D404" s="12045" t="s">
        <v>329</v>
      </c>
      <c r="E404" s="12046"/>
      <c r="F404" s="12046" t="s">
        <v>329</v>
      </c>
      <c r="G404" s="14013"/>
      <c r="H404" s="13495"/>
      <c r="I404" s="14053"/>
      <c r="K404" s="9345"/>
      <c r="L404" s="9346"/>
      <c r="M404" s="9346"/>
      <c r="N404" s="9347"/>
      <c r="O404" s="9347"/>
      <c r="P404" s="9348"/>
      <c r="Q404" s="9349"/>
      <c r="R404" s="9350"/>
      <c r="S404" s="9351"/>
      <c r="T404" s="9352"/>
      <c r="U404" s="9349"/>
      <c r="V404" s="9350"/>
      <c r="W404" s="9352"/>
      <c r="X404" s="9350"/>
      <c r="Y404" s="9352"/>
      <c r="Z404" s="9350"/>
      <c r="AA404" s="9351"/>
      <c r="AB404" s="9351"/>
      <c r="AC404" s="9351"/>
      <c r="AD404" s="9351"/>
      <c r="AE404" s="9351"/>
      <c r="AF404" s="9352"/>
      <c r="AG404" s="9350"/>
      <c r="AH404" s="9351"/>
      <c r="AI404" s="9351"/>
      <c r="AJ404" s="9351"/>
      <c r="AK404" s="9351"/>
      <c r="AL404" s="9351"/>
      <c r="AM404" s="9351"/>
      <c r="AN404" s="9352"/>
      <c r="AO404" s="9350"/>
      <c r="AP404" s="9351"/>
      <c r="AQ404" s="9351"/>
      <c r="AR404" s="9351"/>
      <c r="AS404" s="9351"/>
      <c r="AT404" s="9352"/>
      <c r="AU404" s="9353"/>
      <c r="AV404" s="9353"/>
      <c r="AW404" s="9353"/>
      <c r="AX404" s="9345"/>
      <c r="AY404" s="9348"/>
      <c r="AZ404" s="9353"/>
      <c r="BA404" s="9345"/>
      <c r="BB404" s="9347"/>
      <c r="BC404" s="9348"/>
      <c r="BD404" s="9354"/>
      <c r="BF404" s="14472"/>
      <c r="BG404" s="14472"/>
      <c r="BH404" s="14472"/>
      <c r="BI404" s="14472"/>
      <c r="BJ404" s="14472"/>
      <c r="BK404" s="9357"/>
      <c r="BL404" s="14472"/>
      <c r="BM404" s="14472"/>
      <c r="BN404" s="14472"/>
    </row>
    <row r="405" spans="1:66" ht="15.75" hidden="1" customHeight="1">
      <c r="A405" s="13756"/>
      <c r="B405" s="14011"/>
      <c r="C405" s="13592"/>
      <c r="D405" s="12045" t="s">
        <v>10194</v>
      </c>
      <c r="E405" s="12046"/>
      <c r="F405" s="12046" t="s">
        <v>10208</v>
      </c>
      <c r="G405" s="14014"/>
      <c r="H405" s="13496"/>
      <c r="I405" s="14054"/>
      <c r="K405" s="9345"/>
      <c r="L405" s="9346"/>
      <c r="M405" s="9346"/>
      <c r="N405" s="9347"/>
      <c r="O405" s="9347"/>
      <c r="P405" s="9348"/>
      <c r="Q405" s="9349"/>
      <c r="R405" s="9350"/>
      <c r="S405" s="9351"/>
      <c r="T405" s="9352"/>
      <c r="U405" s="9349"/>
      <c r="V405" s="9350"/>
      <c r="W405" s="9352"/>
      <c r="X405" s="9350"/>
      <c r="Y405" s="9352"/>
      <c r="Z405" s="9350"/>
      <c r="AA405" s="9351"/>
      <c r="AB405" s="9351"/>
      <c r="AC405" s="9351"/>
      <c r="AD405" s="9351"/>
      <c r="AE405" s="9351"/>
      <c r="AF405" s="9352"/>
      <c r="AG405" s="9350"/>
      <c r="AH405" s="9351"/>
      <c r="AI405" s="9351"/>
      <c r="AJ405" s="9351"/>
      <c r="AK405" s="9351"/>
      <c r="AL405" s="9351"/>
      <c r="AM405" s="9351"/>
      <c r="AN405" s="9352"/>
      <c r="AO405" s="9350"/>
      <c r="AP405" s="9351"/>
      <c r="AQ405" s="9351"/>
      <c r="AR405" s="9351"/>
      <c r="AS405" s="9351"/>
      <c r="AT405" s="9352"/>
      <c r="AU405" s="9353"/>
      <c r="AV405" s="9353"/>
      <c r="AW405" s="9353"/>
      <c r="AX405" s="9345"/>
      <c r="AY405" s="9348"/>
      <c r="AZ405" s="9353"/>
      <c r="BA405" s="9345"/>
      <c r="BB405" s="9347"/>
      <c r="BC405" s="9348"/>
      <c r="BD405" s="9354"/>
      <c r="BF405" s="14470"/>
      <c r="BG405" s="14470"/>
      <c r="BH405" s="14470"/>
      <c r="BI405" s="14470"/>
      <c r="BJ405" s="14470"/>
      <c r="BK405" s="9355"/>
      <c r="BL405" s="14470"/>
      <c r="BM405" s="14470"/>
      <c r="BN405" s="14470"/>
    </row>
    <row r="406" spans="1:66" ht="15.75" hidden="1" customHeight="1">
      <c r="A406" s="13754">
        <v>273</v>
      </c>
      <c r="B406" s="14009" t="s">
        <v>7849</v>
      </c>
      <c r="C406" s="13592"/>
      <c r="D406" s="12045" t="s">
        <v>4305</v>
      </c>
      <c r="E406" s="12046" t="s">
        <v>1322</v>
      </c>
      <c r="F406" s="12046"/>
      <c r="G406" s="14012" t="s">
        <v>1328</v>
      </c>
      <c r="H406" s="13494" t="s">
        <v>341</v>
      </c>
      <c r="I406" s="14052">
        <v>1</v>
      </c>
      <c r="K406" s="9345"/>
      <c r="L406" s="9346"/>
      <c r="M406" s="9346"/>
      <c r="N406" s="9347"/>
      <c r="O406" s="9347"/>
      <c r="P406" s="9348"/>
      <c r="Q406" s="9349"/>
      <c r="R406" s="9350"/>
      <c r="S406" s="9351"/>
      <c r="T406" s="9352"/>
      <c r="U406" s="9349"/>
      <c r="V406" s="9350"/>
      <c r="W406" s="9352"/>
      <c r="X406" s="9350"/>
      <c r="Y406" s="9352"/>
      <c r="Z406" s="9350"/>
      <c r="AA406" s="9351"/>
      <c r="AB406" s="9351"/>
      <c r="AC406" s="9351"/>
      <c r="AD406" s="9351"/>
      <c r="AE406" s="9351"/>
      <c r="AF406" s="9352"/>
      <c r="AG406" s="9350"/>
      <c r="AH406" s="9351"/>
      <c r="AI406" s="9351"/>
      <c r="AJ406" s="9351"/>
      <c r="AK406" s="9351"/>
      <c r="AL406" s="9351"/>
      <c r="AM406" s="9351"/>
      <c r="AN406" s="9352"/>
      <c r="AO406" s="9350"/>
      <c r="AP406" s="9351"/>
      <c r="AQ406" s="9351"/>
      <c r="AR406" s="9351"/>
      <c r="AS406" s="9351"/>
      <c r="AT406" s="9352"/>
      <c r="AU406" s="9353"/>
      <c r="AV406" s="9353"/>
      <c r="AW406" s="9353"/>
      <c r="AX406" s="9345"/>
      <c r="AY406" s="9348"/>
      <c r="AZ406" s="9353"/>
      <c r="BA406" s="9345"/>
      <c r="BB406" s="9347"/>
      <c r="BC406" s="9348"/>
      <c r="BD406" s="9354"/>
      <c r="BF406" s="14471"/>
      <c r="BG406" s="14471"/>
      <c r="BH406" s="14471"/>
      <c r="BI406" s="14471"/>
      <c r="BJ406" s="14471"/>
      <c r="BK406" s="9356"/>
      <c r="BL406" s="14471"/>
      <c r="BM406" s="14471"/>
      <c r="BN406" s="14471"/>
    </row>
    <row r="407" spans="1:66" ht="15.75" hidden="1" customHeight="1">
      <c r="A407" s="13755"/>
      <c r="B407" s="14010"/>
      <c r="C407" s="13592"/>
      <c r="D407" s="12045" t="s">
        <v>329</v>
      </c>
      <c r="E407" s="12046"/>
      <c r="F407" s="12046" t="s">
        <v>329</v>
      </c>
      <c r="G407" s="14013"/>
      <c r="H407" s="13495"/>
      <c r="I407" s="14053"/>
      <c r="K407" s="9345"/>
      <c r="L407" s="9346"/>
      <c r="M407" s="9346"/>
      <c r="N407" s="9347"/>
      <c r="O407" s="9347"/>
      <c r="P407" s="9348"/>
      <c r="Q407" s="9349"/>
      <c r="R407" s="9350"/>
      <c r="S407" s="9351"/>
      <c r="T407" s="9352"/>
      <c r="U407" s="9349"/>
      <c r="V407" s="9350"/>
      <c r="W407" s="9352"/>
      <c r="X407" s="9350"/>
      <c r="Y407" s="9352"/>
      <c r="Z407" s="9350"/>
      <c r="AA407" s="9351"/>
      <c r="AB407" s="9351"/>
      <c r="AC407" s="9351"/>
      <c r="AD407" s="9351"/>
      <c r="AE407" s="9351"/>
      <c r="AF407" s="9352"/>
      <c r="AG407" s="9350"/>
      <c r="AH407" s="9351"/>
      <c r="AI407" s="9351"/>
      <c r="AJ407" s="9351"/>
      <c r="AK407" s="9351"/>
      <c r="AL407" s="9351"/>
      <c r="AM407" s="9351"/>
      <c r="AN407" s="9352"/>
      <c r="AO407" s="9350"/>
      <c r="AP407" s="9351"/>
      <c r="AQ407" s="9351"/>
      <c r="AR407" s="9351"/>
      <c r="AS407" s="9351"/>
      <c r="AT407" s="9352"/>
      <c r="AU407" s="9353"/>
      <c r="AV407" s="9353"/>
      <c r="AW407" s="9353"/>
      <c r="AX407" s="9345"/>
      <c r="AY407" s="9348"/>
      <c r="AZ407" s="9353"/>
      <c r="BA407" s="9345"/>
      <c r="BB407" s="9347"/>
      <c r="BC407" s="9348"/>
      <c r="BD407" s="9354"/>
      <c r="BF407" s="14472"/>
      <c r="BG407" s="14472"/>
      <c r="BH407" s="14472"/>
      <c r="BI407" s="14472"/>
      <c r="BJ407" s="14472"/>
      <c r="BK407" s="9357"/>
      <c r="BL407" s="14472"/>
      <c r="BM407" s="14472"/>
      <c r="BN407" s="14472"/>
    </row>
    <row r="408" spans="1:66" ht="15.75" hidden="1" customHeight="1">
      <c r="A408" s="13756"/>
      <c r="B408" s="14011"/>
      <c r="C408" s="13592"/>
      <c r="D408" s="12045" t="s">
        <v>10194</v>
      </c>
      <c r="E408" s="12046"/>
      <c r="F408" s="12046" t="s">
        <v>733</v>
      </c>
      <c r="G408" s="14014"/>
      <c r="H408" s="13496"/>
      <c r="I408" s="14054"/>
      <c r="K408" s="9345"/>
      <c r="L408" s="9346"/>
      <c r="M408" s="9346"/>
      <c r="N408" s="9347"/>
      <c r="O408" s="9347"/>
      <c r="P408" s="9348"/>
      <c r="Q408" s="9349"/>
      <c r="R408" s="9350"/>
      <c r="S408" s="9351"/>
      <c r="T408" s="9352"/>
      <c r="U408" s="9349"/>
      <c r="V408" s="9350"/>
      <c r="W408" s="9352"/>
      <c r="X408" s="9350"/>
      <c r="Y408" s="9352"/>
      <c r="Z408" s="9350"/>
      <c r="AA408" s="9351"/>
      <c r="AB408" s="9351"/>
      <c r="AC408" s="9351"/>
      <c r="AD408" s="9351"/>
      <c r="AE408" s="9351"/>
      <c r="AF408" s="9352"/>
      <c r="AG408" s="9350"/>
      <c r="AH408" s="9351"/>
      <c r="AI408" s="9351"/>
      <c r="AJ408" s="9351"/>
      <c r="AK408" s="9351"/>
      <c r="AL408" s="9351"/>
      <c r="AM408" s="9351"/>
      <c r="AN408" s="9352"/>
      <c r="AO408" s="9350"/>
      <c r="AP408" s="9351"/>
      <c r="AQ408" s="9351"/>
      <c r="AR408" s="9351"/>
      <c r="AS408" s="9351"/>
      <c r="AT408" s="9352"/>
      <c r="AU408" s="9353"/>
      <c r="AV408" s="9353"/>
      <c r="AW408" s="9353"/>
      <c r="AX408" s="9345"/>
      <c r="AY408" s="9348"/>
      <c r="AZ408" s="9353"/>
      <c r="BA408" s="9345"/>
      <c r="BB408" s="9347"/>
      <c r="BC408" s="9348"/>
      <c r="BD408" s="9354"/>
      <c r="BF408" s="14470"/>
      <c r="BG408" s="14470"/>
      <c r="BH408" s="14470"/>
      <c r="BI408" s="14470"/>
      <c r="BJ408" s="14470"/>
      <c r="BK408" s="9355"/>
      <c r="BL408" s="14470"/>
      <c r="BM408" s="14470"/>
      <c r="BN408" s="14470"/>
    </row>
    <row r="409" spans="1:66" ht="15.75" hidden="1" customHeight="1">
      <c r="A409" s="13752">
        <v>274</v>
      </c>
      <c r="B409" s="14015" t="s">
        <v>7850</v>
      </c>
      <c r="C409" s="13592"/>
      <c r="D409" s="12045" t="s">
        <v>4305</v>
      </c>
      <c r="E409" s="12046" t="s">
        <v>1322</v>
      </c>
      <c r="F409" s="12046"/>
      <c r="G409" s="14012" t="s">
        <v>1331</v>
      </c>
      <c r="H409" s="13497" t="s">
        <v>348</v>
      </c>
      <c r="I409" s="14052">
        <v>1</v>
      </c>
      <c r="K409" s="9345"/>
      <c r="L409" s="9346"/>
      <c r="M409" s="9346"/>
      <c r="N409" s="9347"/>
      <c r="O409" s="9347"/>
      <c r="P409" s="9348"/>
      <c r="Q409" s="9349"/>
      <c r="R409" s="9350"/>
      <c r="S409" s="9351"/>
      <c r="T409" s="9352"/>
      <c r="U409" s="9349"/>
      <c r="V409" s="9350"/>
      <c r="W409" s="9352"/>
      <c r="X409" s="9350"/>
      <c r="Y409" s="9352"/>
      <c r="Z409" s="9350"/>
      <c r="AA409" s="9351"/>
      <c r="AB409" s="9351"/>
      <c r="AC409" s="9351"/>
      <c r="AD409" s="9351"/>
      <c r="AE409" s="9351"/>
      <c r="AF409" s="9352"/>
      <c r="AG409" s="9350"/>
      <c r="AH409" s="9351"/>
      <c r="AI409" s="9351"/>
      <c r="AJ409" s="9351"/>
      <c r="AK409" s="9351"/>
      <c r="AL409" s="9351"/>
      <c r="AM409" s="9351"/>
      <c r="AN409" s="9352"/>
      <c r="AO409" s="9350"/>
      <c r="AP409" s="9351"/>
      <c r="AQ409" s="9351"/>
      <c r="AR409" s="9351"/>
      <c r="AS409" s="9351"/>
      <c r="AT409" s="9352"/>
      <c r="AU409" s="9353"/>
      <c r="AV409" s="9353"/>
      <c r="AW409" s="9353"/>
      <c r="AX409" s="9345"/>
      <c r="AY409" s="9348"/>
      <c r="AZ409" s="9353"/>
      <c r="BA409" s="9345"/>
      <c r="BB409" s="9347"/>
      <c r="BC409" s="9348"/>
      <c r="BD409" s="9354"/>
      <c r="BF409" s="14471"/>
      <c r="BG409" s="14471"/>
      <c r="BH409" s="14471"/>
      <c r="BI409" s="14471"/>
      <c r="BJ409" s="14471"/>
      <c r="BK409" s="9356"/>
      <c r="BL409" s="14471"/>
      <c r="BM409" s="14471"/>
      <c r="BN409" s="14471"/>
    </row>
    <row r="410" spans="1:66" ht="15.75" hidden="1" customHeight="1">
      <c r="A410" s="13751"/>
      <c r="B410" s="14016"/>
      <c r="C410" s="13592"/>
      <c r="D410" s="12045" t="s">
        <v>10063</v>
      </c>
      <c r="E410" s="12046"/>
      <c r="F410" s="12046" t="s">
        <v>316</v>
      </c>
      <c r="G410" s="14014"/>
      <c r="H410" s="13498"/>
      <c r="I410" s="14054"/>
      <c r="K410" s="9345"/>
      <c r="L410" s="9346"/>
      <c r="M410" s="9346"/>
      <c r="N410" s="9347"/>
      <c r="O410" s="9347"/>
      <c r="P410" s="9348"/>
      <c r="Q410" s="9349"/>
      <c r="R410" s="9350"/>
      <c r="S410" s="9351"/>
      <c r="T410" s="9352"/>
      <c r="U410" s="9349"/>
      <c r="V410" s="9350"/>
      <c r="W410" s="9352"/>
      <c r="X410" s="9350"/>
      <c r="Y410" s="9352"/>
      <c r="Z410" s="9350"/>
      <c r="AA410" s="9351"/>
      <c r="AB410" s="9351"/>
      <c r="AC410" s="9351"/>
      <c r="AD410" s="9351"/>
      <c r="AE410" s="9351"/>
      <c r="AF410" s="9352"/>
      <c r="AG410" s="9350"/>
      <c r="AH410" s="9351"/>
      <c r="AI410" s="9351"/>
      <c r="AJ410" s="9351"/>
      <c r="AK410" s="9351"/>
      <c r="AL410" s="9351"/>
      <c r="AM410" s="9351"/>
      <c r="AN410" s="9352"/>
      <c r="AO410" s="9350"/>
      <c r="AP410" s="9351"/>
      <c r="AQ410" s="9351"/>
      <c r="AR410" s="9351"/>
      <c r="AS410" s="9351"/>
      <c r="AT410" s="9352"/>
      <c r="AU410" s="9353"/>
      <c r="AV410" s="9353"/>
      <c r="AW410" s="9353"/>
      <c r="AX410" s="9345"/>
      <c r="AY410" s="9348"/>
      <c r="AZ410" s="9353"/>
      <c r="BA410" s="9345"/>
      <c r="BB410" s="9347"/>
      <c r="BC410" s="9348"/>
      <c r="BD410" s="9354"/>
      <c r="BF410" s="14470"/>
      <c r="BG410" s="14470"/>
      <c r="BH410" s="14470"/>
      <c r="BI410" s="14470"/>
      <c r="BJ410" s="14470"/>
      <c r="BK410" s="9355"/>
      <c r="BL410" s="14470"/>
      <c r="BM410" s="14470"/>
      <c r="BN410" s="14470"/>
    </row>
    <row r="411" spans="1:66" ht="15.75" hidden="1" customHeight="1">
      <c r="A411" s="13752">
        <v>275</v>
      </c>
      <c r="B411" s="14015" t="s">
        <v>7851</v>
      </c>
      <c r="C411" s="13592"/>
      <c r="D411" s="12045" t="s">
        <v>4305</v>
      </c>
      <c r="E411" s="12046" t="s">
        <v>1322</v>
      </c>
      <c r="F411" s="12046"/>
      <c r="G411" s="14012" t="s">
        <v>1332</v>
      </c>
      <c r="H411" s="13497" t="s">
        <v>1333</v>
      </c>
      <c r="I411" s="14052">
        <v>1</v>
      </c>
      <c r="K411" s="9345"/>
      <c r="L411" s="9346"/>
      <c r="M411" s="9346"/>
      <c r="N411" s="9347"/>
      <c r="O411" s="9347"/>
      <c r="P411" s="9348"/>
      <c r="Q411" s="9349"/>
      <c r="R411" s="9350"/>
      <c r="S411" s="9351"/>
      <c r="T411" s="9352"/>
      <c r="U411" s="9349"/>
      <c r="V411" s="9350"/>
      <c r="W411" s="9352"/>
      <c r="X411" s="9350"/>
      <c r="Y411" s="9352"/>
      <c r="Z411" s="9350"/>
      <c r="AA411" s="9351"/>
      <c r="AB411" s="9351"/>
      <c r="AC411" s="9351"/>
      <c r="AD411" s="9351"/>
      <c r="AE411" s="9351"/>
      <c r="AF411" s="9352"/>
      <c r="AG411" s="9350"/>
      <c r="AH411" s="9351"/>
      <c r="AI411" s="9351"/>
      <c r="AJ411" s="9351"/>
      <c r="AK411" s="9351"/>
      <c r="AL411" s="9351"/>
      <c r="AM411" s="9351"/>
      <c r="AN411" s="9352"/>
      <c r="AO411" s="9350"/>
      <c r="AP411" s="9351"/>
      <c r="AQ411" s="9351"/>
      <c r="AR411" s="9351"/>
      <c r="AS411" s="9351"/>
      <c r="AT411" s="9352"/>
      <c r="AU411" s="9353"/>
      <c r="AV411" s="9353"/>
      <c r="AW411" s="9353"/>
      <c r="AX411" s="9345"/>
      <c r="AY411" s="9348"/>
      <c r="AZ411" s="9353"/>
      <c r="BA411" s="9345"/>
      <c r="BB411" s="9347"/>
      <c r="BC411" s="9348"/>
      <c r="BD411" s="9354"/>
      <c r="BF411" s="14471"/>
      <c r="BG411" s="14471"/>
      <c r="BH411" s="14471"/>
      <c r="BI411" s="14471"/>
      <c r="BJ411" s="14471"/>
      <c r="BK411" s="9356"/>
      <c r="BL411" s="14471"/>
      <c r="BM411" s="14471"/>
      <c r="BN411" s="14471"/>
    </row>
    <row r="412" spans="1:66" ht="15.75" hidden="1" customHeight="1">
      <c r="A412" s="13751"/>
      <c r="B412" s="14016"/>
      <c r="C412" s="13592"/>
      <c r="D412" s="12047" t="s">
        <v>10063</v>
      </c>
      <c r="E412" s="12048"/>
      <c r="F412" s="12046" t="s">
        <v>316</v>
      </c>
      <c r="G412" s="14014"/>
      <c r="H412" s="13498"/>
      <c r="I412" s="14054"/>
      <c r="K412" s="9345"/>
      <c r="L412" s="9346"/>
      <c r="M412" s="9346"/>
      <c r="N412" s="9347"/>
      <c r="O412" s="9347"/>
      <c r="P412" s="9348"/>
      <c r="Q412" s="9349"/>
      <c r="R412" s="9350"/>
      <c r="S412" s="9351"/>
      <c r="T412" s="9352"/>
      <c r="U412" s="9349"/>
      <c r="V412" s="9350"/>
      <c r="W412" s="9352"/>
      <c r="X412" s="9350"/>
      <c r="Y412" s="9352"/>
      <c r="Z412" s="9350"/>
      <c r="AA412" s="9351"/>
      <c r="AB412" s="9351"/>
      <c r="AC412" s="9351"/>
      <c r="AD412" s="9351"/>
      <c r="AE412" s="9351"/>
      <c r="AF412" s="9352"/>
      <c r="AG412" s="9350"/>
      <c r="AH412" s="9351"/>
      <c r="AI412" s="9351"/>
      <c r="AJ412" s="9351"/>
      <c r="AK412" s="9351"/>
      <c r="AL412" s="9351"/>
      <c r="AM412" s="9351"/>
      <c r="AN412" s="9352"/>
      <c r="AO412" s="9350"/>
      <c r="AP412" s="9351"/>
      <c r="AQ412" s="9351"/>
      <c r="AR412" s="9351"/>
      <c r="AS412" s="9351"/>
      <c r="AT412" s="9352"/>
      <c r="AU412" s="9353"/>
      <c r="AV412" s="9353"/>
      <c r="AW412" s="9353"/>
      <c r="AX412" s="9345"/>
      <c r="AY412" s="9348"/>
      <c r="AZ412" s="9353"/>
      <c r="BA412" s="9345"/>
      <c r="BB412" s="9347"/>
      <c r="BC412" s="9348"/>
      <c r="BD412" s="9354"/>
      <c r="BF412" s="14470"/>
      <c r="BG412" s="14470"/>
      <c r="BH412" s="14470"/>
      <c r="BI412" s="14470"/>
      <c r="BJ412" s="14470"/>
      <c r="BK412" s="9355"/>
      <c r="BL412" s="14470"/>
      <c r="BM412" s="14470"/>
      <c r="BN412" s="14470"/>
    </row>
    <row r="413" spans="1:66" ht="15.75" hidden="1" customHeight="1">
      <c r="A413" s="13752">
        <v>276</v>
      </c>
      <c r="B413" s="14015" t="s">
        <v>7852</v>
      </c>
      <c r="C413" s="13592"/>
      <c r="D413" s="12047" t="s">
        <v>4305</v>
      </c>
      <c r="E413" s="12048" t="s">
        <v>1322</v>
      </c>
      <c r="F413" s="12048"/>
      <c r="G413" s="14012" t="s">
        <v>1334</v>
      </c>
      <c r="H413" s="13497" t="s">
        <v>1335</v>
      </c>
      <c r="I413" s="14055" t="s">
        <v>1336</v>
      </c>
      <c r="K413" s="9358"/>
      <c r="L413" s="9359"/>
      <c r="M413" s="9359"/>
      <c r="N413" s="9360"/>
      <c r="O413" s="9360"/>
      <c r="P413" s="9361"/>
      <c r="Q413" s="9362"/>
      <c r="R413" s="9363"/>
      <c r="S413" s="9364"/>
      <c r="T413" s="9365"/>
      <c r="U413" s="9362"/>
      <c r="V413" s="9363"/>
      <c r="W413" s="9365"/>
      <c r="X413" s="9363"/>
      <c r="Y413" s="9365"/>
      <c r="Z413" s="9363"/>
      <c r="AA413" s="9364"/>
      <c r="AB413" s="9364"/>
      <c r="AC413" s="9364"/>
      <c r="AD413" s="9364"/>
      <c r="AE413" s="9364"/>
      <c r="AF413" s="9365"/>
      <c r="AG413" s="9363"/>
      <c r="AH413" s="9364"/>
      <c r="AI413" s="9364"/>
      <c r="AJ413" s="9364"/>
      <c r="AK413" s="9364"/>
      <c r="AL413" s="9364"/>
      <c r="AM413" s="9364"/>
      <c r="AN413" s="9365"/>
      <c r="AO413" s="9363"/>
      <c r="AP413" s="9364"/>
      <c r="AQ413" s="9364"/>
      <c r="AR413" s="9364"/>
      <c r="AS413" s="9364"/>
      <c r="AT413" s="9365"/>
      <c r="AU413" s="9366"/>
      <c r="AV413" s="9366"/>
      <c r="AW413" s="9366"/>
      <c r="AX413" s="9358"/>
      <c r="AY413" s="9361"/>
      <c r="AZ413" s="9366"/>
      <c r="BA413" s="9358"/>
      <c r="BB413" s="9360"/>
      <c r="BC413" s="9361"/>
      <c r="BD413" s="9367"/>
      <c r="BF413" s="14471"/>
      <c r="BG413" s="14471"/>
      <c r="BH413" s="14471"/>
      <c r="BI413" s="14471"/>
      <c r="BJ413" s="14471"/>
      <c r="BK413" s="9356"/>
      <c r="BL413" s="14471"/>
      <c r="BM413" s="14471"/>
      <c r="BN413" s="14471"/>
    </row>
    <row r="414" spans="1:66" ht="15.75" hidden="1" customHeight="1">
      <c r="A414" s="13753"/>
      <c r="B414" s="14017"/>
      <c r="C414" s="13592"/>
      <c r="D414" s="12047" t="s">
        <v>10063</v>
      </c>
      <c r="E414" s="12048"/>
      <c r="F414" s="12048" t="s">
        <v>10209</v>
      </c>
      <c r="G414" s="14013"/>
      <c r="H414" s="13499"/>
      <c r="I414" s="14056"/>
      <c r="K414" s="9358"/>
      <c r="L414" s="9359"/>
      <c r="M414" s="9359"/>
      <c r="N414" s="9360"/>
      <c r="O414" s="9360"/>
      <c r="P414" s="9361"/>
      <c r="Q414" s="9362"/>
      <c r="R414" s="9363"/>
      <c r="S414" s="9364"/>
      <c r="T414" s="9365"/>
      <c r="U414" s="9362"/>
      <c r="V414" s="9363"/>
      <c r="W414" s="9365"/>
      <c r="X414" s="9363"/>
      <c r="Y414" s="9365"/>
      <c r="Z414" s="9363"/>
      <c r="AA414" s="9364"/>
      <c r="AB414" s="9364"/>
      <c r="AC414" s="9364"/>
      <c r="AD414" s="9364"/>
      <c r="AE414" s="9364"/>
      <c r="AF414" s="9365"/>
      <c r="AG414" s="9363"/>
      <c r="AH414" s="9364"/>
      <c r="AI414" s="9364"/>
      <c r="AJ414" s="9364"/>
      <c r="AK414" s="9364"/>
      <c r="AL414" s="9364"/>
      <c r="AM414" s="9364"/>
      <c r="AN414" s="9365"/>
      <c r="AO414" s="9363"/>
      <c r="AP414" s="9364"/>
      <c r="AQ414" s="9364"/>
      <c r="AR414" s="9364"/>
      <c r="AS414" s="9364"/>
      <c r="AT414" s="9365"/>
      <c r="AU414" s="9366"/>
      <c r="AV414" s="9366"/>
      <c r="AW414" s="9366"/>
      <c r="AX414" s="9358"/>
      <c r="AY414" s="9361"/>
      <c r="AZ414" s="9366"/>
      <c r="BA414" s="9358"/>
      <c r="BB414" s="9360"/>
      <c r="BC414" s="9361"/>
      <c r="BD414" s="9367"/>
      <c r="BF414" s="14472"/>
      <c r="BG414" s="14472"/>
      <c r="BH414" s="14472"/>
      <c r="BI414" s="14472"/>
      <c r="BJ414" s="14472"/>
      <c r="BK414" s="9357"/>
      <c r="BL414" s="14472"/>
      <c r="BM414" s="14472"/>
      <c r="BN414" s="14472"/>
    </row>
    <row r="415" spans="1:66" ht="15.75" hidden="1" customHeight="1">
      <c r="A415" s="13753"/>
      <c r="B415" s="14017"/>
      <c r="C415" s="13592"/>
      <c r="D415" s="12047" t="s">
        <v>10194</v>
      </c>
      <c r="E415" s="12048"/>
      <c r="F415" s="12048" t="s">
        <v>10194</v>
      </c>
      <c r="G415" s="14013"/>
      <c r="H415" s="13499"/>
      <c r="I415" s="14056"/>
      <c r="K415" s="9358"/>
      <c r="L415" s="9359"/>
      <c r="M415" s="9359"/>
      <c r="N415" s="9360"/>
      <c r="O415" s="9360"/>
      <c r="P415" s="9361"/>
      <c r="Q415" s="9362"/>
      <c r="R415" s="9363"/>
      <c r="S415" s="9364"/>
      <c r="T415" s="9365"/>
      <c r="U415" s="9362"/>
      <c r="V415" s="9363"/>
      <c r="W415" s="9365"/>
      <c r="X415" s="9363"/>
      <c r="Y415" s="9365"/>
      <c r="Z415" s="9363"/>
      <c r="AA415" s="9364"/>
      <c r="AB415" s="9364"/>
      <c r="AC415" s="9364"/>
      <c r="AD415" s="9364"/>
      <c r="AE415" s="9364"/>
      <c r="AF415" s="9365"/>
      <c r="AG415" s="9363"/>
      <c r="AH415" s="9364"/>
      <c r="AI415" s="9364"/>
      <c r="AJ415" s="9364"/>
      <c r="AK415" s="9364"/>
      <c r="AL415" s="9364"/>
      <c r="AM415" s="9364"/>
      <c r="AN415" s="9365"/>
      <c r="AO415" s="9363"/>
      <c r="AP415" s="9364"/>
      <c r="AQ415" s="9364"/>
      <c r="AR415" s="9364"/>
      <c r="AS415" s="9364"/>
      <c r="AT415" s="9365"/>
      <c r="AU415" s="9366"/>
      <c r="AV415" s="9366"/>
      <c r="AW415" s="9366"/>
      <c r="AX415" s="9358"/>
      <c r="AY415" s="9361"/>
      <c r="AZ415" s="9366"/>
      <c r="BA415" s="9358"/>
      <c r="BB415" s="9360"/>
      <c r="BC415" s="9361"/>
      <c r="BD415" s="9367"/>
      <c r="BF415" s="14472"/>
      <c r="BG415" s="14472"/>
      <c r="BH415" s="14472"/>
      <c r="BI415" s="14472"/>
      <c r="BJ415" s="14472"/>
      <c r="BK415" s="9357"/>
      <c r="BL415" s="14472"/>
      <c r="BM415" s="14472"/>
      <c r="BN415" s="14472"/>
    </row>
    <row r="416" spans="1:66" ht="15.75" hidden="1" customHeight="1" thickBot="1">
      <c r="A416" s="13757"/>
      <c r="B416" s="14026"/>
      <c r="C416" s="13592"/>
      <c r="D416" s="12049" t="s">
        <v>10185</v>
      </c>
      <c r="E416" s="12050"/>
      <c r="F416" s="12050" t="s">
        <v>1323</v>
      </c>
      <c r="G416" s="14027"/>
      <c r="H416" s="13500"/>
      <c r="I416" s="14057"/>
      <c r="K416" s="9368"/>
      <c r="L416" s="9369"/>
      <c r="M416" s="9369"/>
      <c r="N416" s="9370"/>
      <c r="O416" s="9370"/>
      <c r="P416" s="9371"/>
      <c r="Q416" s="9372"/>
      <c r="R416" s="9373"/>
      <c r="S416" s="9374"/>
      <c r="T416" s="9375"/>
      <c r="U416" s="9372"/>
      <c r="V416" s="9373"/>
      <c r="W416" s="9375"/>
      <c r="X416" s="9373"/>
      <c r="Y416" s="9375"/>
      <c r="Z416" s="9373"/>
      <c r="AA416" s="9374"/>
      <c r="AB416" s="9374"/>
      <c r="AC416" s="9374"/>
      <c r="AD416" s="9374"/>
      <c r="AE416" s="9374"/>
      <c r="AF416" s="9375"/>
      <c r="AG416" s="9373"/>
      <c r="AH416" s="9374"/>
      <c r="AI416" s="9374"/>
      <c r="AJ416" s="9374"/>
      <c r="AK416" s="9374"/>
      <c r="AL416" s="9374"/>
      <c r="AM416" s="9374"/>
      <c r="AN416" s="9375"/>
      <c r="AO416" s="9373"/>
      <c r="AP416" s="9374"/>
      <c r="AQ416" s="9374"/>
      <c r="AR416" s="9374"/>
      <c r="AS416" s="9374"/>
      <c r="AT416" s="9375"/>
      <c r="AU416" s="9376"/>
      <c r="AV416" s="9376"/>
      <c r="AW416" s="9376"/>
      <c r="AX416" s="9368"/>
      <c r="AY416" s="9371"/>
      <c r="AZ416" s="9376"/>
      <c r="BA416" s="9368"/>
      <c r="BB416" s="9370"/>
      <c r="BC416" s="9371"/>
      <c r="BD416" s="9377"/>
      <c r="BF416" s="14473"/>
      <c r="BG416" s="14473"/>
      <c r="BH416" s="14473"/>
      <c r="BI416" s="14473"/>
      <c r="BJ416" s="14473"/>
      <c r="BK416" s="9378"/>
      <c r="BL416" s="14473"/>
      <c r="BM416" s="14473"/>
      <c r="BN416" s="14473"/>
    </row>
    <row r="417" spans="1:66" ht="15.75" hidden="1" customHeight="1">
      <c r="A417" s="9379">
        <v>277</v>
      </c>
      <c r="B417" s="9380" t="s">
        <v>7853</v>
      </c>
      <c r="C417" s="13592"/>
      <c r="D417" s="12051" t="s">
        <v>10063</v>
      </c>
      <c r="E417" s="12052" t="s">
        <v>316</v>
      </c>
      <c r="F417" s="12052"/>
      <c r="G417" s="12053" t="s">
        <v>1340</v>
      </c>
      <c r="H417" s="12054" t="s">
        <v>1341</v>
      </c>
      <c r="I417" s="12055">
        <v>2</v>
      </c>
      <c r="K417" s="9382"/>
      <c r="L417" s="9383"/>
      <c r="M417" s="9383"/>
      <c r="N417" s="9384"/>
      <c r="O417" s="9384"/>
      <c r="P417" s="9385"/>
      <c r="Q417" s="9386"/>
      <c r="R417" s="9387"/>
      <c r="S417" s="9388"/>
      <c r="T417" s="9389"/>
      <c r="U417" s="9386"/>
      <c r="V417" s="9387"/>
      <c r="W417" s="9389"/>
      <c r="X417" s="9387"/>
      <c r="Y417" s="9389"/>
      <c r="Z417" s="9387"/>
      <c r="AA417" s="9388"/>
      <c r="AB417" s="9388"/>
      <c r="AC417" s="9388"/>
      <c r="AD417" s="9388"/>
      <c r="AE417" s="9388"/>
      <c r="AF417" s="9389"/>
      <c r="AG417" s="9387"/>
      <c r="AH417" s="9388"/>
      <c r="AI417" s="9388"/>
      <c r="AJ417" s="9388"/>
      <c r="AK417" s="9388"/>
      <c r="AL417" s="9388"/>
      <c r="AM417" s="9388"/>
      <c r="AN417" s="9389"/>
      <c r="AO417" s="9387"/>
      <c r="AP417" s="9388"/>
      <c r="AQ417" s="9388"/>
      <c r="AR417" s="9388"/>
      <c r="AS417" s="9388"/>
      <c r="AT417" s="9389"/>
      <c r="AU417" s="9390"/>
      <c r="AV417" s="9390"/>
      <c r="AW417" s="9390"/>
      <c r="AX417" s="9382"/>
      <c r="AY417" s="9385"/>
      <c r="AZ417" s="9390"/>
      <c r="BA417" s="9382"/>
      <c r="BB417" s="9384"/>
      <c r="BC417" s="9385"/>
      <c r="BD417" s="9391"/>
      <c r="BF417" s="9381"/>
      <c r="BG417" s="9381"/>
      <c r="BH417" s="9381"/>
      <c r="BI417" s="9381"/>
      <c r="BJ417" s="9381"/>
      <c r="BK417" s="9381"/>
      <c r="BL417" s="9381"/>
      <c r="BM417" s="9381"/>
      <c r="BN417" s="9381"/>
    </row>
    <row r="418" spans="1:66" ht="15.75" hidden="1" customHeight="1">
      <c r="A418" s="13737">
        <v>278</v>
      </c>
      <c r="B418" s="14020" t="s">
        <v>7854</v>
      </c>
      <c r="C418" s="13592"/>
      <c r="D418" s="12056" t="s">
        <v>10063</v>
      </c>
      <c r="E418" s="12057" t="s">
        <v>316</v>
      </c>
      <c r="F418" s="12057"/>
      <c r="G418" s="14022" t="s">
        <v>1344</v>
      </c>
      <c r="H418" s="13501" t="s">
        <v>1345</v>
      </c>
      <c r="I418" s="14048">
        <v>2</v>
      </c>
      <c r="K418" s="9392"/>
      <c r="L418" s="8019"/>
      <c r="M418" s="8019"/>
      <c r="N418" s="9393"/>
      <c r="O418" s="9393"/>
      <c r="P418" s="9394"/>
      <c r="Q418" s="8022"/>
      <c r="R418" s="8023"/>
      <c r="S418" s="8024"/>
      <c r="T418" s="8025"/>
      <c r="U418" s="8022"/>
      <c r="V418" s="8023"/>
      <c r="W418" s="8025"/>
      <c r="X418" s="8023"/>
      <c r="Y418" s="8025"/>
      <c r="Z418" s="8023"/>
      <c r="AA418" s="8024"/>
      <c r="AB418" s="8024"/>
      <c r="AC418" s="8024"/>
      <c r="AD418" s="8024"/>
      <c r="AE418" s="8024"/>
      <c r="AF418" s="8025"/>
      <c r="AG418" s="8023"/>
      <c r="AH418" s="8024"/>
      <c r="AI418" s="8024"/>
      <c r="AJ418" s="8024"/>
      <c r="AK418" s="8024"/>
      <c r="AL418" s="8024"/>
      <c r="AM418" s="8024"/>
      <c r="AN418" s="8025"/>
      <c r="AO418" s="8023"/>
      <c r="AP418" s="8024"/>
      <c r="AQ418" s="8024"/>
      <c r="AR418" s="8024"/>
      <c r="AS418" s="8024"/>
      <c r="AT418" s="8025"/>
      <c r="AU418" s="9395"/>
      <c r="AV418" s="9395"/>
      <c r="AW418" s="9395"/>
      <c r="AX418" s="9392"/>
      <c r="AY418" s="9394"/>
      <c r="AZ418" s="9395"/>
      <c r="BA418" s="9392"/>
      <c r="BB418" s="9393"/>
      <c r="BC418" s="9394"/>
      <c r="BD418" s="9396"/>
      <c r="BF418" s="14474"/>
      <c r="BG418" s="14474"/>
      <c r="BH418" s="14474"/>
      <c r="BI418" s="14474"/>
      <c r="BJ418" s="14474"/>
      <c r="BK418" s="9397"/>
      <c r="BL418" s="14474"/>
      <c r="BM418" s="14474"/>
      <c r="BN418" s="14474"/>
    </row>
    <row r="419" spans="1:66" ht="15.75" hidden="1" customHeight="1">
      <c r="A419" s="13738"/>
      <c r="B419" s="14024"/>
      <c r="C419" s="13592"/>
      <c r="D419" s="12056" t="s">
        <v>329</v>
      </c>
      <c r="E419" s="12057"/>
      <c r="F419" s="12057" t="s">
        <v>329</v>
      </c>
      <c r="G419" s="14025"/>
      <c r="H419" s="13502"/>
      <c r="I419" s="14050"/>
      <c r="K419" s="9392"/>
      <c r="L419" s="8019"/>
      <c r="M419" s="8019"/>
      <c r="N419" s="9393"/>
      <c r="O419" s="9393"/>
      <c r="P419" s="9394"/>
      <c r="Q419" s="8022"/>
      <c r="R419" s="8023"/>
      <c r="S419" s="8024"/>
      <c r="T419" s="8025"/>
      <c r="U419" s="8022"/>
      <c r="V419" s="8023"/>
      <c r="W419" s="8025"/>
      <c r="X419" s="8023"/>
      <c r="Y419" s="8025"/>
      <c r="Z419" s="8023"/>
      <c r="AA419" s="8024"/>
      <c r="AB419" s="8024"/>
      <c r="AC419" s="8024"/>
      <c r="AD419" s="8024"/>
      <c r="AE419" s="8024"/>
      <c r="AF419" s="8025"/>
      <c r="AG419" s="8023"/>
      <c r="AH419" s="8024"/>
      <c r="AI419" s="8024"/>
      <c r="AJ419" s="8024"/>
      <c r="AK419" s="8024"/>
      <c r="AL419" s="8024"/>
      <c r="AM419" s="8024"/>
      <c r="AN419" s="8025"/>
      <c r="AO419" s="8023"/>
      <c r="AP419" s="8024"/>
      <c r="AQ419" s="8024"/>
      <c r="AR419" s="8024"/>
      <c r="AS419" s="8024"/>
      <c r="AT419" s="8025"/>
      <c r="AU419" s="9395"/>
      <c r="AV419" s="9395"/>
      <c r="AW419" s="9395"/>
      <c r="AX419" s="9392"/>
      <c r="AY419" s="9394"/>
      <c r="AZ419" s="9395"/>
      <c r="BA419" s="9392"/>
      <c r="BB419" s="9393"/>
      <c r="BC419" s="9394"/>
      <c r="BD419" s="9396"/>
      <c r="BF419" s="14475"/>
      <c r="BG419" s="14475"/>
      <c r="BH419" s="14475"/>
      <c r="BI419" s="14475"/>
      <c r="BJ419" s="14475"/>
      <c r="BK419" s="9398"/>
      <c r="BL419" s="14475"/>
      <c r="BM419" s="14475"/>
      <c r="BN419" s="14475"/>
    </row>
    <row r="420" spans="1:66" ht="15.75" hidden="1" customHeight="1">
      <c r="A420" s="13739"/>
      <c r="B420" s="14021"/>
      <c r="C420" s="13592"/>
      <c r="D420" s="12056" t="s">
        <v>10194</v>
      </c>
      <c r="E420" s="12057"/>
      <c r="F420" s="12057" t="s">
        <v>10210</v>
      </c>
      <c r="G420" s="14023"/>
      <c r="H420" s="13503"/>
      <c r="I420" s="14049"/>
      <c r="K420" s="9392"/>
      <c r="L420" s="8019"/>
      <c r="M420" s="8019"/>
      <c r="N420" s="9393"/>
      <c r="O420" s="9393"/>
      <c r="P420" s="9394"/>
      <c r="Q420" s="8022"/>
      <c r="R420" s="8023"/>
      <c r="S420" s="8024"/>
      <c r="T420" s="8025"/>
      <c r="U420" s="8022"/>
      <c r="V420" s="8023"/>
      <c r="W420" s="8025"/>
      <c r="X420" s="8023"/>
      <c r="Y420" s="8025"/>
      <c r="Z420" s="8023"/>
      <c r="AA420" s="8024"/>
      <c r="AB420" s="8024"/>
      <c r="AC420" s="8024"/>
      <c r="AD420" s="8024"/>
      <c r="AE420" s="8024"/>
      <c r="AF420" s="8025"/>
      <c r="AG420" s="8023"/>
      <c r="AH420" s="8024"/>
      <c r="AI420" s="8024"/>
      <c r="AJ420" s="8024"/>
      <c r="AK420" s="8024"/>
      <c r="AL420" s="8024"/>
      <c r="AM420" s="8024"/>
      <c r="AN420" s="8025"/>
      <c r="AO420" s="8023"/>
      <c r="AP420" s="8024"/>
      <c r="AQ420" s="8024"/>
      <c r="AR420" s="8024"/>
      <c r="AS420" s="8024"/>
      <c r="AT420" s="8025"/>
      <c r="AU420" s="9395"/>
      <c r="AV420" s="9395"/>
      <c r="AW420" s="9395"/>
      <c r="AX420" s="9392"/>
      <c r="AY420" s="9394"/>
      <c r="AZ420" s="9395"/>
      <c r="BA420" s="9392"/>
      <c r="BB420" s="9393"/>
      <c r="BC420" s="9394"/>
      <c r="BD420" s="9396"/>
      <c r="BF420" s="14476"/>
      <c r="BG420" s="14476"/>
      <c r="BH420" s="14476"/>
      <c r="BI420" s="14476"/>
      <c r="BJ420" s="14476"/>
      <c r="BK420" s="9381"/>
      <c r="BL420" s="14476"/>
      <c r="BM420" s="14476"/>
      <c r="BN420" s="14476"/>
    </row>
    <row r="421" spans="1:66" ht="15.75" hidden="1" customHeight="1">
      <c r="A421" s="13737">
        <v>279</v>
      </c>
      <c r="B421" s="14020" t="s">
        <v>7855</v>
      </c>
      <c r="C421" s="13592"/>
      <c r="D421" s="12056" t="s">
        <v>10063</v>
      </c>
      <c r="E421" s="12057" t="s">
        <v>316</v>
      </c>
      <c r="F421" s="12057"/>
      <c r="G421" s="14022" t="s">
        <v>1347</v>
      </c>
      <c r="H421" s="13501" t="s">
        <v>1348</v>
      </c>
      <c r="I421" s="14048">
        <v>2</v>
      </c>
      <c r="K421" s="9392"/>
      <c r="L421" s="8019"/>
      <c r="M421" s="8019"/>
      <c r="N421" s="9393"/>
      <c r="O421" s="9393"/>
      <c r="P421" s="9394"/>
      <c r="Q421" s="8022"/>
      <c r="R421" s="8023"/>
      <c r="S421" s="8024"/>
      <c r="T421" s="8025"/>
      <c r="U421" s="8022"/>
      <c r="V421" s="8023"/>
      <c r="W421" s="8025"/>
      <c r="X421" s="8023"/>
      <c r="Y421" s="8025"/>
      <c r="Z421" s="8023"/>
      <c r="AA421" s="8024"/>
      <c r="AB421" s="8024"/>
      <c r="AC421" s="8024"/>
      <c r="AD421" s="8024"/>
      <c r="AE421" s="8024"/>
      <c r="AF421" s="8025"/>
      <c r="AG421" s="8023"/>
      <c r="AH421" s="8024"/>
      <c r="AI421" s="8024"/>
      <c r="AJ421" s="8024"/>
      <c r="AK421" s="8024"/>
      <c r="AL421" s="8024"/>
      <c r="AM421" s="8024"/>
      <c r="AN421" s="8025"/>
      <c r="AO421" s="8023"/>
      <c r="AP421" s="8024"/>
      <c r="AQ421" s="8024"/>
      <c r="AR421" s="8024"/>
      <c r="AS421" s="8024"/>
      <c r="AT421" s="8025"/>
      <c r="AU421" s="9395"/>
      <c r="AV421" s="9395"/>
      <c r="AW421" s="9395"/>
      <c r="AX421" s="9392"/>
      <c r="AY421" s="9394"/>
      <c r="AZ421" s="9395"/>
      <c r="BA421" s="9392"/>
      <c r="BB421" s="9393"/>
      <c r="BC421" s="9394"/>
      <c r="BD421" s="9396"/>
      <c r="BF421" s="14474"/>
      <c r="BG421" s="14474"/>
      <c r="BH421" s="14474"/>
      <c r="BI421" s="14474"/>
      <c r="BJ421" s="14474"/>
      <c r="BK421" s="9397"/>
      <c r="BL421" s="14474"/>
      <c r="BM421" s="14474"/>
      <c r="BN421" s="14474"/>
    </row>
    <row r="422" spans="1:66" ht="15.75" hidden="1" customHeight="1">
      <c r="A422" s="13739"/>
      <c r="B422" s="14021"/>
      <c r="C422" s="13592"/>
      <c r="D422" s="12056" t="s">
        <v>295</v>
      </c>
      <c r="E422" s="12057"/>
      <c r="F422" s="12057" t="s">
        <v>295</v>
      </c>
      <c r="G422" s="14023"/>
      <c r="H422" s="13503"/>
      <c r="I422" s="14049"/>
      <c r="K422" s="9392"/>
      <c r="L422" s="8019"/>
      <c r="M422" s="8019"/>
      <c r="N422" s="9393"/>
      <c r="O422" s="9393"/>
      <c r="P422" s="9394"/>
      <c r="Q422" s="8022"/>
      <c r="R422" s="8023"/>
      <c r="S422" s="8024"/>
      <c r="T422" s="8025"/>
      <c r="U422" s="8022"/>
      <c r="V422" s="8023"/>
      <c r="W422" s="8025"/>
      <c r="X422" s="8023"/>
      <c r="Y422" s="8025"/>
      <c r="Z422" s="8023"/>
      <c r="AA422" s="8024"/>
      <c r="AB422" s="8024"/>
      <c r="AC422" s="8024"/>
      <c r="AD422" s="8024"/>
      <c r="AE422" s="8024"/>
      <c r="AF422" s="8025"/>
      <c r="AG422" s="8023"/>
      <c r="AH422" s="8024"/>
      <c r="AI422" s="8024"/>
      <c r="AJ422" s="8024"/>
      <c r="AK422" s="8024"/>
      <c r="AL422" s="8024"/>
      <c r="AM422" s="8024"/>
      <c r="AN422" s="8025"/>
      <c r="AO422" s="8023"/>
      <c r="AP422" s="8024"/>
      <c r="AQ422" s="8024"/>
      <c r="AR422" s="8024"/>
      <c r="AS422" s="8024"/>
      <c r="AT422" s="8025"/>
      <c r="AU422" s="9395"/>
      <c r="AV422" s="9395"/>
      <c r="AW422" s="9395"/>
      <c r="AX422" s="9392"/>
      <c r="AY422" s="9394"/>
      <c r="AZ422" s="9395"/>
      <c r="BA422" s="9392"/>
      <c r="BB422" s="9393"/>
      <c r="BC422" s="9394"/>
      <c r="BD422" s="9396"/>
      <c r="BF422" s="14476"/>
      <c r="BG422" s="14476"/>
      <c r="BH422" s="14476"/>
      <c r="BI422" s="14476"/>
      <c r="BJ422" s="14476"/>
      <c r="BK422" s="9381"/>
      <c r="BL422" s="14476"/>
      <c r="BM422" s="14476"/>
      <c r="BN422" s="14476"/>
    </row>
    <row r="423" spans="1:66" ht="15.75" hidden="1" customHeight="1">
      <c r="A423" s="13737">
        <v>280</v>
      </c>
      <c r="B423" s="14020" t="s">
        <v>7856</v>
      </c>
      <c r="C423" s="13592"/>
      <c r="D423" s="12056" t="s">
        <v>10063</v>
      </c>
      <c r="E423" s="12057" t="s">
        <v>316</v>
      </c>
      <c r="F423" s="12057"/>
      <c r="G423" s="14022" t="s">
        <v>1349</v>
      </c>
      <c r="H423" s="13501" t="s">
        <v>1345</v>
      </c>
      <c r="I423" s="14048">
        <v>2</v>
      </c>
      <c r="K423" s="9392"/>
      <c r="L423" s="8019"/>
      <c r="M423" s="8019"/>
      <c r="N423" s="9393"/>
      <c r="O423" s="9393"/>
      <c r="P423" s="9394"/>
      <c r="Q423" s="8022"/>
      <c r="R423" s="8023"/>
      <c r="S423" s="8024"/>
      <c r="T423" s="8025"/>
      <c r="U423" s="8022"/>
      <c r="V423" s="8023"/>
      <c r="W423" s="8025"/>
      <c r="X423" s="8023"/>
      <c r="Y423" s="8025"/>
      <c r="Z423" s="8023"/>
      <c r="AA423" s="8024"/>
      <c r="AB423" s="8024"/>
      <c r="AC423" s="8024"/>
      <c r="AD423" s="8024"/>
      <c r="AE423" s="8024"/>
      <c r="AF423" s="8025"/>
      <c r="AG423" s="8023"/>
      <c r="AH423" s="8024"/>
      <c r="AI423" s="8024"/>
      <c r="AJ423" s="8024"/>
      <c r="AK423" s="8024"/>
      <c r="AL423" s="8024"/>
      <c r="AM423" s="8024"/>
      <c r="AN423" s="8025"/>
      <c r="AO423" s="8023"/>
      <c r="AP423" s="8024"/>
      <c r="AQ423" s="8024"/>
      <c r="AR423" s="8024"/>
      <c r="AS423" s="8024"/>
      <c r="AT423" s="8025"/>
      <c r="AU423" s="9395"/>
      <c r="AV423" s="9395"/>
      <c r="AW423" s="9395"/>
      <c r="AX423" s="9392"/>
      <c r="AY423" s="9394"/>
      <c r="AZ423" s="9395"/>
      <c r="BA423" s="9392"/>
      <c r="BB423" s="9393"/>
      <c r="BC423" s="9394"/>
      <c r="BD423" s="9396"/>
      <c r="BF423" s="14474"/>
      <c r="BG423" s="14474"/>
      <c r="BH423" s="14474"/>
      <c r="BI423" s="14474"/>
      <c r="BJ423" s="14474"/>
      <c r="BK423" s="9397"/>
      <c r="BL423" s="14474"/>
      <c r="BM423" s="14474"/>
      <c r="BN423" s="14474"/>
    </row>
    <row r="424" spans="1:66" ht="15.75" hidden="1" customHeight="1">
      <c r="A424" s="13738"/>
      <c r="B424" s="14024"/>
      <c r="C424" s="13592"/>
      <c r="D424" s="12056" t="s">
        <v>10066</v>
      </c>
      <c r="E424" s="12057"/>
      <c r="F424" s="12057" t="s">
        <v>10211</v>
      </c>
      <c r="G424" s="14025"/>
      <c r="H424" s="13502"/>
      <c r="I424" s="14050"/>
      <c r="K424" s="9392"/>
      <c r="L424" s="8019"/>
      <c r="M424" s="8019"/>
      <c r="N424" s="9393"/>
      <c r="O424" s="9393"/>
      <c r="P424" s="9394"/>
      <c r="Q424" s="8022"/>
      <c r="R424" s="8023"/>
      <c r="S424" s="8024"/>
      <c r="T424" s="8025"/>
      <c r="U424" s="8022"/>
      <c r="V424" s="8023"/>
      <c r="W424" s="8025"/>
      <c r="X424" s="8023"/>
      <c r="Y424" s="8025"/>
      <c r="Z424" s="8023"/>
      <c r="AA424" s="8024"/>
      <c r="AB424" s="8024"/>
      <c r="AC424" s="8024"/>
      <c r="AD424" s="8024"/>
      <c r="AE424" s="8024"/>
      <c r="AF424" s="8025"/>
      <c r="AG424" s="8023"/>
      <c r="AH424" s="8024"/>
      <c r="AI424" s="8024"/>
      <c r="AJ424" s="8024"/>
      <c r="AK424" s="8024"/>
      <c r="AL424" s="8024"/>
      <c r="AM424" s="8024"/>
      <c r="AN424" s="8025"/>
      <c r="AO424" s="8023"/>
      <c r="AP424" s="8024"/>
      <c r="AQ424" s="8024"/>
      <c r="AR424" s="8024"/>
      <c r="AS424" s="8024"/>
      <c r="AT424" s="8025"/>
      <c r="AU424" s="9395"/>
      <c r="AV424" s="9395"/>
      <c r="AW424" s="9395"/>
      <c r="AX424" s="9392"/>
      <c r="AY424" s="9394"/>
      <c r="AZ424" s="9395"/>
      <c r="BA424" s="9392"/>
      <c r="BB424" s="9393"/>
      <c r="BC424" s="9394"/>
      <c r="BD424" s="9396"/>
      <c r="BF424" s="14475"/>
      <c r="BG424" s="14475"/>
      <c r="BH424" s="14475"/>
      <c r="BI424" s="14475"/>
      <c r="BJ424" s="14475"/>
      <c r="BK424" s="9398"/>
      <c r="BL424" s="14475"/>
      <c r="BM424" s="14475"/>
      <c r="BN424" s="14475"/>
    </row>
    <row r="425" spans="1:66" ht="15.75" hidden="1" customHeight="1">
      <c r="A425" s="13738"/>
      <c r="B425" s="14024"/>
      <c r="C425" s="13592"/>
      <c r="D425" s="12056" t="s">
        <v>295</v>
      </c>
      <c r="E425" s="12057"/>
      <c r="F425" s="12057" t="s">
        <v>295</v>
      </c>
      <c r="G425" s="14025"/>
      <c r="H425" s="13502"/>
      <c r="I425" s="14050"/>
      <c r="K425" s="9392"/>
      <c r="L425" s="8019"/>
      <c r="M425" s="8019"/>
      <c r="N425" s="9393"/>
      <c r="O425" s="9393"/>
      <c r="P425" s="9394"/>
      <c r="Q425" s="8022"/>
      <c r="R425" s="8023"/>
      <c r="S425" s="8024"/>
      <c r="T425" s="8025"/>
      <c r="U425" s="8022"/>
      <c r="V425" s="8023"/>
      <c r="W425" s="8025"/>
      <c r="X425" s="8023"/>
      <c r="Y425" s="8025"/>
      <c r="Z425" s="8023"/>
      <c r="AA425" s="8024"/>
      <c r="AB425" s="8024"/>
      <c r="AC425" s="8024"/>
      <c r="AD425" s="8024"/>
      <c r="AE425" s="8024"/>
      <c r="AF425" s="8025"/>
      <c r="AG425" s="8023"/>
      <c r="AH425" s="8024"/>
      <c r="AI425" s="8024"/>
      <c r="AJ425" s="8024"/>
      <c r="AK425" s="8024"/>
      <c r="AL425" s="8024"/>
      <c r="AM425" s="8024"/>
      <c r="AN425" s="8025"/>
      <c r="AO425" s="8023"/>
      <c r="AP425" s="8024"/>
      <c r="AQ425" s="8024"/>
      <c r="AR425" s="8024"/>
      <c r="AS425" s="8024"/>
      <c r="AT425" s="8025"/>
      <c r="AU425" s="9395"/>
      <c r="AV425" s="9395"/>
      <c r="AW425" s="9395"/>
      <c r="AX425" s="9392"/>
      <c r="AY425" s="9394"/>
      <c r="AZ425" s="9395"/>
      <c r="BA425" s="9392"/>
      <c r="BB425" s="9393"/>
      <c r="BC425" s="9394"/>
      <c r="BD425" s="9396"/>
      <c r="BF425" s="14475"/>
      <c r="BG425" s="14475"/>
      <c r="BH425" s="14475"/>
      <c r="BI425" s="14475"/>
      <c r="BJ425" s="14475"/>
      <c r="BK425" s="9398"/>
      <c r="BL425" s="14475"/>
      <c r="BM425" s="14475"/>
      <c r="BN425" s="14475"/>
    </row>
    <row r="426" spans="1:66" ht="15.75" hidden="1" customHeight="1">
      <c r="A426" s="13738"/>
      <c r="B426" s="14024"/>
      <c r="C426" s="13592"/>
      <c r="D426" s="12056" t="s">
        <v>10213</v>
      </c>
      <c r="E426" s="12057"/>
      <c r="F426" s="12057" t="s">
        <v>10212</v>
      </c>
      <c r="G426" s="14025"/>
      <c r="H426" s="13502"/>
      <c r="I426" s="14050"/>
      <c r="K426" s="9392"/>
      <c r="L426" s="8019"/>
      <c r="M426" s="8019"/>
      <c r="N426" s="9393"/>
      <c r="O426" s="9393"/>
      <c r="P426" s="9394"/>
      <c r="Q426" s="8022"/>
      <c r="R426" s="8023"/>
      <c r="S426" s="8024"/>
      <c r="T426" s="8025"/>
      <c r="U426" s="8022"/>
      <c r="V426" s="8023"/>
      <c r="W426" s="8025"/>
      <c r="X426" s="8023"/>
      <c r="Y426" s="8025"/>
      <c r="Z426" s="8023"/>
      <c r="AA426" s="8024"/>
      <c r="AB426" s="8024"/>
      <c r="AC426" s="8024"/>
      <c r="AD426" s="8024"/>
      <c r="AE426" s="8024"/>
      <c r="AF426" s="8025"/>
      <c r="AG426" s="8023"/>
      <c r="AH426" s="8024"/>
      <c r="AI426" s="8024"/>
      <c r="AJ426" s="8024"/>
      <c r="AK426" s="8024"/>
      <c r="AL426" s="8024"/>
      <c r="AM426" s="8024"/>
      <c r="AN426" s="8025"/>
      <c r="AO426" s="8023"/>
      <c r="AP426" s="8024"/>
      <c r="AQ426" s="8024"/>
      <c r="AR426" s="8024"/>
      <c r="AS426" s="8024"/>
      <c r="AT426" s="8025"/>
      <c r="AU426" s="9395"/>
      <c r="AV426" s="9395"/>
      <c r="AW426" s="9395"/>
      <c r="AX426" s="9392"/>
      <c r="AY426" s="9394"/>
      <c r="AZ426" s="9395"/>
      <c r="BA426" s="9392"/>
      <c r="BB426" s="9393"/>
      <c r="BC426" s="9394"/>
      <c r="BD426" s="9396"/>
      <c r="BF426" s="14475"/>
      <c r="BG426" s="14475"/>
      <c r="BH426" s="14475"/>
      <c r="BI426" s="14475"/>
      <c r="BJ426" s="14475"/>
      <c r="BK426" s="9398"/>
      <c r="BL426" s="14475"/>
      <c r="BM426" s="14475"/>
      <c r="BN426" s="14475"/>
    </row>
    <row r="427" spans="1:66" ht="15.75" hidden="1" customHeight="1">
      <c r="A427" s="13739"/>
      <c r="B427" s="14021"/>
      <c r="C427" s="13592"/>
      <c r="D427" s="12056" t="s">
        <v>10199</v>
      </c>
      <c r="E427" s="12057"/>
      <c r="F427" s="12057" t="s">
        <v>507</v>
      </c>
      <c r="G427" s="14023"/>
      <c r="H427" s="13503"/>
      <c r="I427" s="14049"/>
      <c r="K427" s="9392"/>
      <c r="L427" s="8019"/>
      <c r="M427" s="8019"/>
      <c r="N427" s="9393"/>
      <c r="O427" s="9393"/>
      <c r="P427" s="9394"/>
      <c r="Q427" s="8022"/>
      <c r="R427" s="8023"/>
      <c r="S427" s="8024"/>
      <c r="T427" s="8025"/>
      <c r="U427" s="8022"/>
      <c r="V427" s="8023"/>
      <c r="W427" s="8025"/>
      <c r="X427" s="8023"/>
      <c r="Y427" s="8025"/>
      <c r="Z427" s="8023"/>
      <c r="AA427" s="8024"/>
      <c r="AB427" s="8024"/>
      <c r="AC427" s="8024"/>
      <c r="AD427" s="8024"/>
      <c r="AE427" s="8024"/>
      <c r="AF427" s="8025"/>
      <c r="AG427" s="8023"/>
      <c r="AH427" s="8024"/>
      <c r="AI427" s="8024"/>
      <c r="AJ427" s="8024"/>
      <c r="AK427" s="8024"/>
      <c r="AL427" s="8024"/>
      <c r="AM427" s="8024"/>
      <c r="AN427" s="8025"/>
      <c r="AO427" s="8023"/>
      <c r="AP427" s="8024"/>
      <c r="AQ427" s="8024"/>
      <c r="AR427" s="8024"/>
      <c r="AS427" s="8024"/>
      <c r="AT427" s="8025"/>
      <c r="AU427" s="9395"/>
      <c r="AV427" s="9395"/>
      <c r="AW427" s="9395"/>
      <c r="AX427" s="9392"/>
      <c r="AY427" s="9394"/>
      <c r="AZ427" s="9395"/>
      <c r="BA427" s="9392"/>
      <c r="BB427" s="9393"/>
      <c r="BC427" s="9394"/>
      <c r="BD427" s="9396"/>
      <c r="BF427" s="14476"/>
      <c r="BG427" s="14476"/>
      <c r="BH427" s="14476"/>
      <c r="BI427" s="14476"/>
      <c r="BJ427" s="14476"/>
      <c r="BK427" s="9381"/>
      <c r="BL427" s="14476"/>
      <c r="BM427" s="14476"/>
      <c r="BN427" s="14476"/>
    </row>
    <row r="428" spans="1:66" ht="15.75" hidden="1" customHeight="1">
      <c r="A428" s="13737">
        <v>281</v>
      </c>
      <c r="B428" s="14020" t="s">
        <v>7857</v>
      </c>
      <c r="C428" s="13592"/>
      <c r="D428" s="12056" t="s">
        <v>10063</v>
      </c>
      <c r="E428" s="12057" t="s">
        <v>316</v>
      </c>
      <c r="F428" s="12057"/>
      <c r="G428" s="14022" t="s">
        <v>1350</v>
      </c>
      <c r="H428" s="13501" t="s">
        <v>1351</v>
      </c>
      <c r="I428" s="14048">
        <v>1</v>
      </c>
      <c r="K428" s="9392"/>
      <c r="L428" s="8019"/>
      <c r="M428" s="8019"/>
      <c r="N428" s="9393"/>
      <c r="O428" s="9393"/>
      <c r="P428" s="9394"/>
      <c r="Q428" s="8022"/>
      <c r="R428" s="8023"/>
      <c r="S428" s="8024"/>
      <c r="T428" s="8025"/>
      <c r="U428" s="8022"/>
      <c r="V428" s="8023"/>
      <c r="W428" s="8025"/>
      <c r="X428" s="8023"/>
      <c r="Y428" s="8025"/>
      <c r="Z428" s="8023"/>
      <c r="AA428" s="8024"/>
      <c r="AB428" s="8024"/>
      <c r="AC428" s="8024"/>
      <c r="AD428" s="8024"/>
      <c r="AE428" s="8024"/>
      <c r="AF428" s="8025"/>
      <c r="AG428" s="8023"/>
      <c r="AH428" s="8024"/>
      <c r="AI428" s="8024"/>
      <c r="AJ428" s="8024"/>
      <c r="AK428" s="8024"/>
      <c r="AL428" s="8024"/>
      <c r="AM428" s="8024"/>
      <c r="AN428" s="8025"/>
      <c r="AO428" s="8023"/>
      <c r="AP428" s="8024"/>
      <c r="AQ428" s="8024"/>
      <c r="AR428" s="8024"/>
      <c r="AS428" s="8024"/>
      <c r="AT428" s="8025"/>
      <c r="AU428" s="9395"/>
      <c r="AV428" s="9395"/>
      <c r="AW428" s="9395"/>
      <c r="AX428" s="9392"/>
      <c r="AY428" s="9394"/>
      <c r="AZ428" s="9395"/>
      <c r="BA428" s="9392"/>
      <c r="BB428" s="9393"/>
      <c r="BC428" s="9394"/>
      <c r="BD428" s="9396"/>
      <c r="BF428" s="14474"/>
      <c r="BG428" s="14474"/>
      <c r="BH428" s="14474"/>
      <c r="BI428" s="14474"/>
      <c r="BJ428" s="14474"/>
      <c r="BK428" s="9397"/>
      <c r="BL428" s="14474"/>
      <c r="BM428" s="14474"/>
      <c r="BN428" s="14474"/>
    </row>
    <row r="429" spans="1:66" ht="15.75" hidden="1" customHeight="1">
      <c r="A429" s="13739"/>
      <c r="B429" s="14021"/>
      <c r="C429" s="13592"/>
      <c r="D429" s="12056" t="s">
        <v>10066</v>
      </c>
      <c r="E429" s="12057"/>
      <c r="F429" s="12057" t="s">
        <v>1353</v>
      </c>
      <c r="G429" s="14023"/>
      <c r="H429" s="13503"/>
      <c r="I429" s="14049"/>
      <c r="K429" s="9392"/>
      <c r="L429" s="8019"/>
      <c r="M429" s="8019"/>
      <c r="N429" s="9393"/>
      <c r="O429" s="9393"/>
      <c r="P429" s="9394"/>
      <c r="Q429" s="8022"/>
      <c r="R429" s="8023"/>
      <c r="S429" s="8024"/>
      <c r="T429" s="8025"/>
      <c r="U429" s="8022"/>
      <c r="V429" s="8023"/>
      <c r="W429" s="8025"/>
      <c r="X429" s="8023"/>
      <c r="Y429" s="8025"/>
      <c r="Z429" s="8023"/>
      <c r="AA429" s="8024"/>
      <c r="AB429" s="8024"/>
      <c r="AC429" s="8024"/>
      <c r="AD429" s="8024"/>
      <c r="AE429" s="8024"/>
      <c r="AF429" s="8025"/>
      <c r="AG429" s="8023"/>
      <c r="AH429" s="8024"/>
      <c r="AI429" s="8024"/>
      <c r="AJ429" s="8024"/>
      <c r="AK429" s="8024"/>
      <c r="AL429" s="8024"/>
      <c r="AM429" s="8024"/>
      <c r="AN429" s="8025"/>
      <c r="AO429" s="8023"/>
      <c r="AP429" s="8024"/>
      <c r="AQ429" s="8024"/>
      <c r="AR429" s="8024"/>
      <c r="AS429" s="8024"/>
      <c r="AT429" s="8025"/>
      <c r="AU429" s="9395"/>
      <c r="AV429" s="9395"/>
      <c r="AW429" s="9395"/>
      <c r="AX429" s="9392"/>
      <c r="AY429" s="9394"/>
      <c r="AZ429" s="9395"/>
      <c r="BA429" s="9392"/>
      <c r="BB429" s="9393"/>
      <c r="BC429" s="9394"/>
      <c r="BD429" s="9396"/>
      <c r="BF429" s="14476"/>
      <c r="BG429" s="14476"/>
      <c r="BH429" s="14476"/>
      <c r="BI429" s="14476"/>
      <c r="BJ429" s="14476"/>
      <c r="BK429" s="9381"/>
      <c r="BL429" s="14476"/>
      <c r="BM429" s="14476"/>
      <c r="BN429" s="14476"/>
    </row>
    <row r="430" spans="1:66" ht="15.75" hidden="1" customHeight="1">
      <c r="A430" s="9399">
        <v>282</v>
      </c>
      <c r="B430" s="9400" t="s">
        <v>7858</v>
      </c>
      <c r="C430" s="13592"/>
      <c r="D430" s="12056" t="s">
        <v>10063</v>
      </c>
      <c r="E430" s="12057" t="s">
        <v>316</v>
      </c>
      <c r="F430" s="12058" t="s">
        <v>1357</v>
      </c>
      <c r="G430" s="12059" t="s">
        <v>1354</v>
      </c>
      <c r="H430" s="12060" t="s">
        <v>1355</v>
      </c>
      <c r="I430" s="12061">
        <v>0</v>
      </c>
      <c r="K430" s="9402"/>
      <c r="L430" s="8009"/>
      <c r="M430" s="8009"/>
      <c r="N430" s="9403"/>
      <c r="O430" s="9403"/>
      <c r="P430" s="9404"/>
      <c r="Q430" s="8012"/>
      <c r="R430" s="8013"/>
      <c r="S430" s="8014"/>
      <c r="T430" s="8015"/>
      <c r="U430" s="8012"/>
      <c r="V430" s="8013"/>
      <c r="W430" s="8015"/>
      <c r="X430" s="8013"/>
      <c r="Y430" s="8015"/>
      <c r="Z430" s="8013"/>
      <c r="AA430" s="8014"/>
      <c r="AB430" s="8014"/>
      <c r="AC430" s="8014"/>
      <c r="AD430" s="8014"/>
      <c r="AE430" s="8014"/>
      <c r="AF430" s="8015"/>
      <c r="AG430" s="8013"/>
      <c r="AH430" s="8014"/>
      <c r="AI430" s="8014"/>
      <c r="AJ430" s="8014"/>
      <c r="AK430" s="8014"/>
      <c r="AL430" s="8014"/>
      <c r="AM430" s="8014"/>
      <c r="AN430" s="8015"/>
      <c r="AO430" s="8013"/>
      <c r="AP430" s="8014"/>
      <c r="AQ430" s="8014"/>
      <c r="AR430" s="8014"/>
      <c r="AS430" s="8014"/>
      <c r="AT430" s="8015"/>
      <c r="AU430" s="9405"/>
      <c r="AV430" s="9405"/>
      <c r="AW430" s="9405"/>
      <c r="AX430" s="9402"/>
      <c r="AY430" s="9404"/>
      <c r="AZ430" s="9405"/>
      <c r="BA430" s="9402"/>
      <c r="BB430" s="9403"/>
      <c r="BC430" s="9404"/>
      <c r="BD430" s="9406"/>
      <c r="BF430" s="9401"/>
      <c r="BG430" s="9401"/>
      <c r="BH430" s="9401"/>
      <c r="BI430" s="9401"/>
      <c r="BJ430" s="9401"/>
      <c r="BK430" s="9401"/>
      <c r="BL430" s="9401"/>
      <c r="BM430" s="9401"/>
      <c r="BN430" s="9401"/>
    </row>
    <row r="431" spans="1:66" ht="15.75" hidden="1" customHeight="1">
      <c r="A431" s="13737">
        <v>283</v>
      </c>
      <c r="B431" s="14020" t="s">
        <v>7859</v>
      </c>
      <c r="C431" s="13592"/>
      <c r="D431" s="12056" t="s">
        <v>10063</v>
      </c>
      <c r="E431" s="12057" t="s">
        <v>316</v>
      </c>
      <c r="F431" s="12057"/>
      <c r="G431" s="14022" t="s">
        <v>1358</v>
      </c>
      <c r="H431" s="13501" t="s">
        <v>1359</v>
      </c>
      <c r="I431" s="14048">
        <v>2</v>
      </c>
      <c r="K431" s="9392"/>
      <c r="L431" s="8019"/>
      <c r="M431" s="8019"/>
      <c r="N431" s="9393"/>
      <c r="O431" s="9393"/>
      <c r="P431" s="9394"/>
      <c r="Q431" s="8022"/>
      <c r="R431" s="8023"/>
      <c r="S431" s="8024"/>
      <c r="T431" s="8025"/>
      <c r="U431" s="8022"/>
      <c r="V431" s="8023"/>
      <c r="W431" s="8025"/>
      <c r="X431" s="8023"/>
      <c r="Y431" s="8025"/>
      <c r="Z431" s="8023"/>
      <c r="AA431" s="8024"/>
      <c r="AB431" s="8024"/>
      <c r="AC431" s="8024"/>
      <c r="AD431" s="8024"/>
      <c r="AE431" s="8024"/>
      <c r="AF431" s="8025"/>
      <c r="AG431" s="8023"/>
      <c r="AH431" s="8024"/>
      <c r="AI431" s="8024"/>
      <c r="AJ431" s="8024"/>
      <c r="AK431" s="8024"/>
      <c r="AL431" s="8024"/>
      <c r="AM431" s="8024"/>
      <c r="AN431" s="8025"/>
      <c r="AO431" s="8023"/>
      <c r="AP431" s="8024"/>
      <c r="AQ431" s="8024"/>
      <c r="AR431" s="8024"/>
      <c r="AS431" s="8024"/>
      <c r="AT431" s="8025"/>
      <c r="AU431" s="9395"/>
      <c r="AV431" s="9395"/>
      <c r="AW431" s="9395"/>
      <c r="AX431" s="9392"/>
      <c r="AY431" s="9394"/>
      <c r="AZ431" s="9395"/>
      <c r="BA431" s="9392"/>
      <c r="BB431" s="9393"/>
      <c r="BC431" s="9394"/>
      <c r="BD431" s="9396"/>
      <c r="BF431" s="14474"/>
      <c r="BG431" s="14474"/>
      <c r="BH431" s="14474"/>
      <c r="BI431" s="14474"/>
      <c r="BJ431" s="14474"/>
      <c r="BK431" s="9397"/>
      <c r="BL431" s="14474"/>
      <c r="BM431" s="14474"/>
      <c r="BN431" s="14474"/>
    </row>
    <row r="432" spans="1:66" ht="15.75" hidden="1" customHeight="1">
      <c r="A432" s="13738"/>
      <c r="B432" s="14024"/>
      <c r="C432" s="13592"/>
      <c r="D432" s="12056" t="s">
        <v>295</v>
      </c>
      <c r="E432" s="12057"/>
      <c r="F432" s="12057" t="s">
        <v>295</v>
      </c>
      <c r="G432" s="14025"/>
      <c r="H432" s="13502"/>
      <c r="I432" s="14050"/>
      <c r="K432" s="9392"/>
      <c r="L432" s="8019"/>
      <c r="M432" s="8019"/>
      <c r="N432" s="9393"/>
      <c r="O432" s="9393"/>
      <c r="P432" s="9394"/>
      <c r="Q432" s="8022"/>
      <c r="R432" s="8023"/>
      <c r="S432" s="8024"/>
      <c r="T432" s="8025"/>
      <c r="U432" s="8022"/>
      <c r="V432" s="8023"/>
      <c r="W432" s="8025"/>
      <c r="X432" s="8023"/>
      <c r="Y432" s="8025"/>
      <c r="Z432" s="8023"/>
      <c r="AA432" s="8024"/>
      <c r="AB432" s="8024"/>
      <c r="AC432" s="8024"/>
      <c r="AD432" s="8024"/>
      <c r="AE432" s="8024"/>
      <c r="AF432" s="8025"/>
      <c r="AG432" s="8023"/>
      <c r="AH432" s="8024"/>
      <c r="AI432" s="8024"/>
      <c r="AJ432" s="8024"/>
      <c r="AK432" s="8024"/>
      <c r="AL432" s="8024"/>
      <c r="AM432" s="8024"/>
      <c r="AN432" s="8025"/>
      <c r="AO432" s="8023"/>
      <c r="AP432" s="8024"/>
      <c r="AQ432" s="8024"/>
      <c r="AR432" s="8024"/>
      <c r="AS432" s="8024"/>
      <c r="AT432" s="8025"/>
      <c r="AU432" s="9395"/>
      <c r="AV432" s="9395"/>
      <c r="AW432" s="9395"/>
      <c r="AX432" s="9392"/>
      <c r="AY432" s="9394"/>
      <c r="AZ432" s="9395"/>
      <c r="BA432" s="9392"/>
      <c r="BB432" s="9393"/>
      <c r="BC432" s="9394"/>
      <c r="BD432" s="9396"/>
      <c r="BF432" s="14475"/>
      <c r="BG432" s="14475"/>
      <c r="BH432" s="14475"/>
      <c r="BI432" s="14475"/>
      <c r="BJ432" s="14475"/>
      <c r="BK432" s="9398"/>
      <c r="BL432" s="14475"/>
      <c r="BM432" s="14475"/>
      <c r="BN432" s="14475"/>
    </row>
    <row r="433" spans="1:66" ht="15.75" hidden="1" customHeight="1">
      <c r="A433" s="13739"/>
      <c r="B433" s="14021"/>
      <c r="C433" s="13592"/>
      <c r="D433" s="12056" t="s">
        <v>10194</v>
      </c>
      <c r="E433" s="12057"/>
      <c r="F433" s="12057" t="s">
        <v>10194</v>
      </c>
      <c r="G433" s="14023"/>
      <c r="H433" s="13503"/>
      <c r="I433" s="14049"/>
      <c r="K433" s="9392"/>
      <c r="L433" s="8019"/>
      <c r="M433" s="8019"/>
      <c r="N433" s="9393"/>
      <c r="O433" s="9393"/>
      <c r="P433" s="9394"/>
      <c r="Q433" s="8022"/>
      <c r="R433" s="8023"/>
      <c r="S433" s="8024"/>
      <c r="T433" s="8025"/>
      <c r="U433" s="8022"/>
      <c r="V433" s="8023"/>
      <c r="W433" s="8025"/>
      <c r="X433" s="8023"/>
      <c r="Y433" s="8025"/>
      <c r="Z433" s="8023"/>
      <c r="AA433" s="8024"/>
      <c r="AB433" s="8024"/>
      <c r="AC433" s="8024"/>
      <c r="AD433" s="8024"/>
      <c r="AE433" s="8024"/>
      <c r="AF433" s="8025"/>
      <c r="AG433" s="8023"/>
      <c r="AH433" s="8024"/>
      <c r="AI433" s="8024"/>
      <c r="AJ433" s="8024"/>
      <c r="AK433" s="8024"/>
      <c r="AL433" s="8024"/>
      <c r="AM433" s="8024"/>
      <c r="AN433" s="8025"/>
      <c r="AO433" s="8023"/>
      <c r="AP433" s="8024"/>
      <c r="AQ433" s="8024"/>
      <c r="AR433" s="8024"/>
      <c r="AS433" s="8024"/>
      <c r="AT433" s="8025"/>
      <c r="AU433" s="9395"/>
      <c r="AV433" s="9395"/>
      <c r="AW433" s="9395"/>
      <c r="AX433" s="9392"/>
      <c r="AY433" s="9394"/>
      <c r="AZ433" s="9395"/>
      <c r="BA433" s="9392"/>
      <c r="BB433" s="9393"/>
      <c r="BC433" s="9394"/>
      <c r="BD433" s="9396"/>
      <c r="BF433" s="14476"/>
      <c r="BG433" s="14476"/>
      <c r="BH433" s="14476"/>
      <c r="BI433" s="14476"/>
      <c r="BJ433" s="14476"/>
      <c r="BK433" s="9381"/>
      <c r="BL433" s="14476"/>
      <c r="BM433" s="14476"/>
      <c r="BN433" s="14476"/>
    </row>
    <row r="434" spans="1:66" ht="15.75" hidden="1" customHeight="1">
      <c r="A434" s="13737">
        <v>284</v>
      </c>
      <c r="B434" s="14020" t="s">
        <v>7860</v>
      </c>
      <c r="C434" s="13592"/>
      <c r="D434" s="12056" t="s">
        <v>10063</v>
      </c>
      <c r="E434" s="12057" t="s">
        <v>316</v>
      </c>
      <c r="F434" s="12057"/>
      <c r="G434" s="14022" t="s">
        <v>1361</v>
      </c>
      <c r="H434" s="13501" t="s">
        <v>1362</v>
      </c>
      <c r="I434" s="14048">
        <v>1</v>
      </c>
      <c r="K434" s="9392"/>
      <c r="L434" s="8019"/>
      <c r="M434" s="8019"/>
      <c r="N434" s="9393"/>
      <c r="O434" s="9393"/>
      <c r="P434" s="9394"/>
      <c r="Q434" s="8022"/>
      <c r="R434" s="8023"/>
      <c r="S434" s="8024"/>
      <c r="T434" s="8025"/>
      <c r="U434" s="8022"/>
      <c r="V434" s="8023"/>
      <c r="W434" s="8025"/>
      <c r="X434" s="8023"/>
      <c r="Y434" s="8025"/>
      <c r="Z434" s="8023"/>
      <c r="AA434" s="8024"/>
      <c r="AB434" s="8024"/>
      <c r="AC434" s="8024"/>
      <c r="AD434" s="8024"/>
      <c r="AE434" s="8024"/>
      <c r="AF434" s="8025"/>
      <c r="AG434" s="8023"/>
      <c r="AH434" s="8024"/>
      <c r="AI434" s="8024"/>
      <c r="AJ434" s="8024"/>
      <c r="AK434" s="8024"/>
      <c r="AL434" s="8024"/>
      <c r="AM434" s="8024"/>
      <c r="AN434" s="8025"/>
      <c r="AO434" s="8023"/>
      <c r="AP434" s="8024"/>
      <c r="AQ434" s="8024"/>
      <c r="AR434" s="8024"/>
      <c r="AS434" s="8024"/>
      <c r="AT434" s="8025"/>
      <c r="AU434" s="9395"/>
      <c r="AV434" s="9395"/>
      <c r="AW434" s="9395"/>
      <c r="AX434" s="9392"/>
      <c r="AY434" s="9394"/>
      <c r="AZ434" s="9395"/>
      <c r="BA434" s="9392"/>
      <c r="BB434" s="9393"/>
      <c r="BC434" s="9394"/>
      <c r="BD434" s="9396"/>
      <c r="BF434" s="14474"/>
      <c r="BG434" s="14474"/>
      <c r="BH434" s="14474"/>
      <c r="BI434" s="14474"/>
      <c r="BJ434" s="14474"/>
      <c r="BK434" s="9397"/>
      <c r="BL434" s="14474"/>
      <c r="BM434" s="14474"/>
      <c r="BN434" s="14474"/>
    </row>
    <row r="435" spans="1:66" ht="15.75" hidden="1" customHeight="1">
      <c r="A435" s="13738"/>
      <c r="B435" s="14024"/>
      <c r="C435" s="13592"/>
      <c r="D435" s="12056" t="s">
        <v>10194</v>
      </c>
      <c r="E435" s="12057"/>
      <c r="F435" s="12057" t="s">
        <v>295</v>
      </c>
      <c r="G435" s="14025"/>
      <c r="H435" s="13502"/>
      <c r="I435" s="14050"/>
      <c r="K435" s="9392"/>
      <c r="L435" s="8019"/>
      <c r="M435" s="8019"/>
      <c r="N435" s="9393"/>
      <c r="O435" s="9393"/>
      <c r="P435" s="9394"/>
      <c r="Q435" s="8022"/>
      <c r="R435" s="8023"/>
      <c r="S435" s="8024"/>
      <c r="T435" s="8025"/>
      <c r="U435" s="8022"/>
      <c r="V435" s="8023"/>
      <c r="W435" s="8025"/>
      <c r="X435" s="8023"/>
      <c r="Y435" s="8025"/>
      <c r="Z435" s="8023"/>
      <c r="AA435" s="8024"/>
      <c r="AB435" s="8024"/>
      <c r="AC435" s="8024"/>
      <c r="AD435" s="8024"/>
      <c r="AE435" s="8024"/>
      <c r="AF435" s="8025"/>
      <c r="AG435" s="8023"/>
      <c r="AH435" s="8024"/>
      <c r="AI435" s="8024"/>
      <c r="AJ435" s="8024"/>
      <c r="AK435" s="8024"/>
      <c r="AL435" s="8024"/>
      <c r="AM435" s="8024"/>
      <c r="AN435" s="8025"/>
      <c r="AO435" s="8023"/>
      <c r="AP435" s="8024"/>
      <c r="AQ435" s="8024"/>
      <c r="AR435" s="8024"/>
      <c r="AS435" s="8024"/>
      <c r="AT435" s="8025"/>
      <c r="AU435" s="9395"/>
      <c r="AV435" s="9395"/>
      <c r="AW435" s="9395"/>
      <c r="AX435" s="9392"/>
      <c r="AY435" s="9394"/>
      <c r="AZ435" s="9395"/>
      <c r="BA435" s="9392"/>
      <c r="BB435" s="9393"/>
      <c r="BC435" s="9394"/>
      <c r="BD435" s="9396"/>
      <c r="BF435" s="14475"/>
      <c r="BG435" s="14475"/>
      <c r="BH435" s="14475"/>
      <c r="BI435" s="14475"/>
      <c r="BJ435" s="14475"/>
      <c r="BK435" s="9398"/>
      <c r="BL435" s="14475"/>
      <c r="BM435" s="14475"/>
      <c r="BN435" s="14475"/>
    </row>
    <row r="436" spans="1:66" ht="15.75" hidden="1" customHeight="1">
      <c r="A436" s="13738"/>
      <c r="B436" s="14024"/>
      <c r="C436" s="13592"/>
      <c r="D436" s="12056" t="s">
        <v>10199</v>
      </c>
      <c r="E436" s="12057"/>
      <c r="F436" s="12057" t="s">
        <v>10214</v>
      </c>
      <c r="G436" s="14025"/>
      <c r="H436" s="13502"/>
      <c r="I436" s="14050"/>
      <c r="K436" s="9392"/>
      <c r="L436" s="8019"/>
      <c r="M436" s="8019"/>
      <c r="N436" s="9393"/>
      <c r="O436" s="9393"/>
      <c r="P436" s="9394"/>
      <c r="Q436" s="8022"/>
      <c r="R436" s="8023"/>
      <c r="S436" s="8024"/>
      <c r="T436" s="8025"/>
      <c r="U436" s="8022"/>
      <c r="V436" s="8023"/>
      <c r="W436" s="8025"/>
      <c r="X436" s="8023"/>
      <c r="Y436" s="8025"/>
      <c r="Z436" s="8023"/>
      <c r="AA436" s="8024"/>
      <c r="AB436" s="8024"/>
      <c r="AC436" s="8024"/>
      <c r="AD436" s="8024"/>
      <c r="AE436" s="8024"/>
      <c r="AF436" s="8025"/>
      <c r="AG436" s="8023"/>
      <c r="AH436" s="8024"/>
      <c r="AI436" s="8024"/>
      <c r="AJ436" s="8024"/>
      <c r="AK436" s="8024"/>
      <c r="AL436" s="8024"/>
      <c r="AM436" s="8024"/>
      <c r="AN436" s="8025"/>
      <c r="AO436" s="8023"/>
      <c r="AP436" s="8024"/>
      <c r="AQ436" s="8024"/>
      <c r="AR436" s="8024"/>
      <c r="AS436" s="8024"/>
      <c r="AT436" s="8025"/>
      <c r="AU436" s="9395"/>
      <c r="AV436" s="9395"/>
      <c r="AW436" s="9395"/>
      <c r="AX436" s="9392"/>
      <c r="AY436" s="9394"/>
      <c r="AZ436" s="9395"/>
      <c r="BA436" s="9392"/>
      <c r="BB436" s="9393"/>
      <c r="BC436" s="9394"/>
      <c r="BD436" s="9396"/>
      <c r="BF436" s="14475"/>
      <c r="BG436" s="14475"/>
      <c r="BH436" s="14475"/>
      <c r="BI436" s="14475"/>
      <c r="BJ436" s="14475"/>
      <c r="BK436" s="9398"/>
      <c r="BL436" s="14475"/>
      <c r="BM436" s="14475"/>
      <c r="BN436" s="14475"/>
    </row>
    <row r="437" spans="1:66" ht="15.75" hidden="1" customHeight="1">
      <c r="A437" s="13739"/>
      <c r="B437" s="14021"/>
      <c r="C437" s="13592"/>
      <c r="D437" s="12056" t="s">
        <v>10216</v>
      </c>
      <c r="E437" s="12057"/>
      <c r="F437" s="12057" t="s">
        <v>10215</v>
      </c>
      <c r="G437" s="14023"/>
      <c r="H437" s="13503"/>
      <c r="I437" s="14049"/>
      <c r="K437" s="9392"/>
      <c r="L437" s="8019"/>
      <c r="M437" s="8019"/>
      <c r="N437" s="9393"/>
      <c r="O437" s="9393"/>
      <c r="P437" s="9394"/>
      <c r="Q437" s="8022"/>
      <c r="R437" s="8023"/>
      <c r="S437" s="8024"/>
      <c r="T437" s="8025"/>
      <c r="U437" s="8022"/>
      <c r="V437" s="8023"/>
      <c r="W437" s="8025"/>
      <c r="X437" s="8023"/>
      <c r="Y437" s="8025"/>
      <c r="Z437" s="8023"/>
      <c r="AA437" s="8024"/>
      <c r="AB437" s="8024"/>
      <c r="AC437" s="8024"/>
      <c r="AD437" s="8024"/>
      <c r="AE437" s="8024"/>
      <c r="AF437" s="8025"/>
      <c r="AG437" s="8023"/>
      <c r="AH437" s="8024"/>
      <c r="AI437" s="8024"/>
      <c r="AJ437" s="8024"/>
      <c r="AK437" s="8024"/>
      <c r="AL437" s="8024"/>
      <c r="AM437" s="8024"/>
      <c r="AN437" s="8025"/>
      <c r="AO437" s="8023"/>
      <c r="AP437" s="8024"/>
      <c r="AQ437" s="8024"/>
      <c r="AR437" s="8024"/>
      <c r="AS437" s="8024"/>
      <c r="AT437" s="8025"/>
      <c r="AU437" s="9395"/>
      <c r="AV437" s="9395"/>
      <c r="AW437" s="9395"/>
      <c r="AX437" s="9392"/>
      <c r="AY437" s="9394"/>
      <c r="AZ437" s="9395"/>
      <c r="BA437" s="9392"/>
      <c r="BB437" s="9393"/>
      <c r="BC437" s="9394"/>
      <c r="BD437" s="9396"/>
      <c r="BF437" s="14476"/>
      <c r="BG437" s="14476"/>
      <c r="BH437" s="14476"/>
      <c r="BI437" s="14476"/>
      <c r="BJ437" s="14476"/>
      <c r="BK437" s="9381"/>
      <c r="BL437" s="14476"/>
      <c r="BM437" s="14476"/>
      <c r="BN437" s="14476"/>
    </row>
    <row r="438" spans="1:66" ht="15.75" hidden="1" customHeight="1">
      <c r="A438" s="13737">
        <v>285</v>
      </c>
      <c r="B438" s="14020" t="s">
        <v>7861</v>
      </c>
      <c r="C438" s="13592"/>
      <c r="D438" s="12056" t="s">
        <v>10063</v>
      </c>
      <c r="E438" s="12057" t="s">
        <v>316</v>
      </c>
      <c r="F438" s="12057"/>
      <c r="G438" s="14022" t="s">
        <v>1364</v>
      </c>
      <c r="H438" s="13501" t="s">
        <v>1362</v>
      </c>
      <c r="I438" s="14048">
        <v>1</v>
      </c>
      <c r="K438" s="9392"/>
      <c r="L438" s="8019"/>
      <c r="M438" s="8019"/>
      <c r="N438" s="9393"/>
      <c r="O438" s="9393"/>
      <c r="P438" s="9394"/>
      <c r="Q438" s="8022"/>
      <c r="R438" s="8023"/>
      <c r="S438" s="8024"/>
      <c r="T438" s="8025"/>
      <c r="U438" s="8022"/>
      <c r="V438" s="8023"/>
      <c r="W438" s="8025"/>
      <c r="X438" s="8023"/>
      <c r="Y438" s="8025"/>
      <c r="Z438" s="8023"/>
      <c r="AA438" s="8024"/>
      <c r="AB438" s="8024"/>
      <c r="AC438" s="8024"/>
      <c r="AD438" s="8024"/>
      <c r="AE438" s="8024"/>
      <c r="AF438" s="8025"/>
      <c r="AG438" s="8023"/>
      <c r="AH438" s="8024"/>
      <c r="AI438" s="8024"/>
      <c r="AJ438" s="8024"/>
      <c r="AK438" s="8024"/>
      <c r="AL438" s="8024"/>
      <c r="AM438" s="8024"/>
      <c r="AN438" s="8025"/>
      <c r="AO438" s="8023"/>
      <c r="AP438" s="8024"/>
      <c r="AQ438" s="8024"/>
      <c r="AR438" s="8024"/>
      <c r="AS438" s="8024"/>
      <c r="AT438" s="8025"/>
      <c r="AU438" s="9395"/>
      <c r="AV438" s="9395"/>
      <c r="AW438" s="9395"/>
      <c r="AX438" s="9392"/>
      <c r="AY438" s="9394"/>
      <c r="AZ438" s="9395"/>
      <c r="BA438" s="9392"/>
      <c r="BB438" s="9393"/>
      <c r="BC438" s="9394"/>
      <c r="BD438" s="9396"/>
      <c r="BF438" s="14474"/>
      <c r="BG438" s="14474"/>
      <c r="BH438" s="14474"/>
      <c r="BI438" s="14474"/>
      <c r="BJ438" s="14474"/>
      <c r="BK438" s="9397"/>
      <c r="BL438" s="14474"/>
      <c r="BM438" s="14474"/>
      <c r="BN438" s="14474"/>
    </row>
    <row r="439" spans="1:66" ht="15.75" hidden="1" customHeight="1">
      <c r="A439" s="13738"/>
      <c r="B439" s="14024"/>
      <c r="C439" s="13592"/>
      <c r="D439" s="12062" t="s">
        <v>295</v>
      </c>
      <c r="E439" s="12063"/>
      <c r="F439" s="12057" t="s">
        <v>295</v>
      </c>
      <c r="G439" s="14025"/>
      <c r="H439" s="13502"/>
      <c r="I439" s="14050"/>
      <c r="K439" s="9392"/>
      <c r="L439" s="8019"/>
      <c r="M439" s="8019"/>
      <c r="N439" s="9393"/>
      <c r="O439" s="9393"/>
      <c r="P439" s="9394"/>
      <c r="Q439" s="8022"/>
      <c r="R439" s="8023"/>
      <c r="S439" s="8024"/>
      <c r="T439" s="8025"/>
      <c r="U439" s="8022"/>
      <c r="V439" s="8023"/>
      <c r="W439" s="8025"/>
      <c r="X439" s="8023"/>
      <c r="Y439" s="8025"/>
      <c r="Z439" s="8023"/>
      <c r="AA439" s="8024"/>
      <c r="AB439" s="8024"/>
      <c r="AC439" s="8024"/>
      <c r="AD439" s="8024"/>
      <c r="AE439" s="8024"/>
      <c r="AF439" s="8025"/>
      <c r="AG439" s="8023"/>
      <c r="AH439" s="8024"/>
      <c r="AI439" s="8024"/>
      <c r="AJ439" s="8024"/>
      <c r="AK439" s="8024"/>
      <c r="AL439" s="8024"/>
      <c r="AM439" s="8024"/>
      <c r="AN439" s="8025"/>
      <c r="AO439" s="8023"/>
      <c r="AP439" s="8024"/>
      <c r="AQ439" s="8024"/>
      <c r="AR439" s="8024"/>
      <c r="AS439" s="8024"/>
      <c r="AT439" s="8025"/>
      <c r="AU439" s="9395"/>
      <c r="AV439" s="9395"/>
      <c r="AW439" s="9395"/>
      <c r="AX439" s="9392"/>
      <c r="AY439" s="9394"/>
      <c r="AZ439" s="9395"/>
      <c r="BA439" s="9392"/>
      <c r="BB439" s="9393"/>
      <c r="BC439" s="9394"/>
      <c r="BD439" s="9396"/>
      <c r="BF439" s="14475"/>
      <c r="BG439" s="14475"/>
      <c r="BH439" s="14475"/>
      <c r="BI439" s="14475"/>
      <c r="BJ439" s="14475"/>
      <c r="BK439" s="9398"/>
      <c r="BL439" s="14475"/>
      <c r="BM439" s="14475"/>
      <c r="BN439" s="14475"/>
    </row>
    <row r="440" spans="1:66" ht="15.75" hidden="1" customHeight="1">
      <c r="A440" s="13738"/>
      <c r="B440" s="14024"/>
      <c r="C440" s="13592"/>
      <c r="D440" s="12062" t="s">
        <v>10194</v>
      </c>
      <c r="E440" s="12063"/>
      <c r="F440" s="12063" t="s">
        <v>10217</v>
      </c>
      <c r="G440" s="14025"/>
      <c r="H440" s="13502"/>
      <c r="I440" s="14050"/>
      <c r="K440" s="9392"/>
      <c r="L440" s="8019"/>
      <c r="M440" s="8019"/>
      <c r="N440" s="9393"/>
      <c r="O440" s="9393"/>
      <c r="P440" s="9394"/>
      <c r="Q440" s="8022"/>
      <c r="R440" s="8023"/>
      <c r="S440" s="8024"/>
      <c r="T440" s="8025"/>
      <c r="U440" s="8022"/>
      <c r="V440" s="8023"/>
      <c r="W440" s="8025"/>
      <c r="X440" s="8023"/>
      <c r="Y440" s="8025"/>
      <c r="Z440" s="8023"/>
      <c r="AA440" s="8024"/>
      <c r="AB440" s="8024"/>
      <c r="AC440" s="8024"/>
      <c r="AD440" s="8024"/>
      <c r="AE440" s="8024"/>
      <c r="AF440" s="8025"/>
      <c r="AG440" s="8023"/>
      <c r="AH440" s="8024"/>
      <c r="AI440" s="8024"/>
      <c r="AJ440" s="8024"/>
      <c r="AK440" s="8024"/>
      <c r="AL440" s="8024"/>
      <c r="AM440" s="8024"/>
      <c r="AN440" s="8025"/>
      <c r="AO440" s="8023"/>
      <c r="AP440" s="8024"/>
      <c r="AQ440" s="8024"/>
      <c r="AR440" s="8024"/>
      <c r="AS440" s="8024"/>
      <c r="AT440" s="8025"/>
      <c r="AU440" s="9395"/>
      <c r="AV440" s="9395"/>
      <c r="AW440" s="9395"/>
      <c r="AX440" s="9392"/>
      <c r="AY440" s="9394"/>
      <c r="AZ440" s="9395"/>
      <c r="BA440" s="9392"/>
      <c r="BB440" s="9393"/>
      <c r="BC440" s="9394"/>
      <c r="BD440" s="9396"/>
      <c r="BF440" s="14475"/>
      <c r="BG440" s="14475"/>
      <c r="BH440" s="14475"/>
      <c r="BI440" s="14475"/>
      <c r="BJ440" s="14475"/>
      <c r="BK440" s="9398"/>
      <c r="BL440" s="14475"/>
      <c r="BM440" s="14475"/>
      <c r="BN440" s="14475"/>
    </row>
    <row r="441" spans="1:66" ht="15.75" hidden="1" customHeight="1">
      <c r="A441" s="13738"/>
      <c r="B441" s="14024"/>
      <c r="C441" s="13592"/>
      <c r="D441" s="12062" t="s">
        <v>10199</v>
      </c>
      <c r="E441" s="12063"/>
      <c r="F441" s="12063" t="s">
        <v>10218</v>
      </c>
      <c r="G441" s="14025"/>
      <c r="H441" s="13502"/>
      <c r="I441" s="14050"/>
      <c r="K441" s="9392"/>
      <c r="L441" s="8019"/>
      <c r="M441" s="8019"/>
      <c r="N441" s="9393"/>
      <c r="O441" s="9393"/>
      <c r="P441" s="9394"/>
      <c r="Q441" s="8022"/>
      <c r="R441" s="8023"/>
      <c r="S441" s="8024"/>
      <c r="T441" s="8025"/>
      <c r="U441" s="8022"/>
      <c r="V441" s="8023"/>
      <c r="W441" s="8025"/>
      <c r="X441" s="8023"/>
      <c r="Y441" s="8025"/>
      <c r="Z441" s="8023"/>
      <c r="AA441" s="8024"/>
      <c r="AB441" s="8024"/>
      <c r="AC441" s="8024"/>
      <c r="AD441" s="8024"/>
      <c r="AE441" s="8024"/>
      <c r="AF441" s="8025"/>
      <c r="AG441" s="8023"/>
      <c r="AH441" s="8024"/>
      <c r="AI441" s="8024"/>
      <c r="AJ441" s="8024"/>
      <c r="AK441" s="8024"/>
      <c r="AL441" s="8024"/>
      <c r="AM441" s="8024"/>
      <c r="AN441" s="8025"/>
      <c r="AO441" s="8023"/>
      <c r="AP441" s="8024"/>
      <c r="AQ441" s="8024"/>
      <c r="AR441" s="8024"/>
      <c r="AS441" s="8024"/>
      <c r="AT441" s="8025"/>
      <c r="AU441" s="9395"/>
      <c r="AV441" s="9395"/>
      <c r="AW441" s="9395"/>
      <c r="AX441" s="9392"/>
      <c r="AY441" s="9394"/>
      <c r="AZ441" s="9395"/>
      <c r="BA441" s="9392"/>
      <c r="BB441" s="9393"/>
      <c r="BC441" s="9394"/>
      <c r="BD441" s="9396"/>
      <c r="BF441" s="14475"/>
      <c r="BG441" s="14475"/>
      <c r="BH441" s="14475"/>
      <c r="BI441" s="14475"/>
      <c r="BJ441" s="14475"/>
      <c r="BK441" s="9398"/>
      <c r="BL441" s="14475"/>
      <c r="BM441" s="14475"/>
      <c r="BN441" s="14475"/>
    </row>
    <row r="442" spans="1:66" ht="15.75" hidden="1" customHeight="1">
      <c r="A442" s="13739"/>
      <c r="B442" s="14021"/>
      <c r="C442" s="13592"/>
      <c r="D442" s="12062" t="s">
        <v>10216</v>
      </c>
      <c r="E442" s="12063"/>
      <c r="F442" s="12063" t="s">
        <v>10215</v>
      </c>
      <c r="G442" s="14023"/>
      <c r="H442" s="13503"/>
      <c r="I442" s="14049"/>
      <c r="K442" s="9392"/>
      <c r="L442" s="8019"/>
      <c r="M442" s="8019"/>
      <c r="N442" s="9393"/>
      <c r="O442" s="9393"/>
      <c r="P442" s="9394"/>
      <c r="Q442" s="8022"/>
      <c r="R442" s="8023"/>
      <c r="S442" s="8024"/>
      <c r="T442" s="8025"/>
      <c r="U442" s="8022"/>
      <c r="V442" s="8023"/>
      <c r="W442" s="8025"/>
      <c r="X442" s="8023"/>
      <c r="Y442" s="8025"/>
      <c r="Z442" s="8023"/>
      <c r="AA442" s="8024"/>
      <c r="AB442" s="8024"/>
      <c r="AC442" s="8024"/>
      <c r="AD442" s="8024"/>
      <c r="AE442" s="8024"/>
      <c r="AF442" s="8025"/>
      <c r="AG442" s="8023"/>
      <c r="AH442" s="8024"/>
      <c r="AI442" s="8024"/>
      <c r="AJ442" s="8024"/>
      <c r="AK442" s="8024"/>
      <c r="AL442" s="8024"/>
      <c r="AM442" s="8024"/>
      <c r="AN442" s="8025"/>
      <c r="AO442" s="8023"/>
      <c r="AP442" s="8024"/>
      <c r="AQ442" s="8024"/>
      <c r="AR442" s="8024"/>
      <c r="AS442" s="8024"/>
      <c r="AT442" s="8025"/>
      <c r="AU442" s="9395"/>
      <c r="AV442" s="9395"/>
      <c r="AW442" s="9395"/>
      <c r="AX442" s="9392"/>
      <c r="AY442" s="9394"/>
      <c r="AZ442" s="9395"/>
      <c r="BA442" s="9392"/>
      <c r="BB442" s="9393"/>
      <c r="BC442" s="9394"/>
      <c r="BD442" s="9396"/>
      <c r="BF442" s="14476"/>
      <c r="BG442" s="14476"/>
      <c r="BH442" s="14476"/>
      <c r="BI442" s="14476"/>
      <c r="BJ442" s="14476"/>
      <c r="BK442" s="9381"/>
      <c r="BL442" s="14476"/>
      <c r="BM442" s="14476"/>
      <c r="BN442" s="14476"/>
    </row>
    <row r="443" spans="1:66" ht="15.75" hidden="1" customHeight="1">
      <c r="A443" s="13737">
        <v>286</v>
      </c>
      <c r="B443" s="14020" t="s">
        <v>7862</v>
      </c>
      <c r="C443" s="13592"/>
      <c r="D443" s="12062" t="s">
        <v>10063</v>
      </c>
      <c r="E443" s="12063" t="s">
        <v>316</v>
      </c>
      <c r="F443" s="12063"/>
      <c r="G443" s="14022" t="s">
        <v>1365</v>
      </c>
      <c r="H443" s="13501" t="s">
        <v>1366</v>
      </c>
      <c r="I443" s="14048">
        <v>1</v>
      </c>
      <c r="K443" s="9392"/>
      <c r="L443" s="8019"/>
      <c r="M443" s="8019"/>
      <c r="N443" s="9393"/>
      <c r="O443" s="9393"/>
      <c r="P443" s="9394"/>
      <c r="Q443" s="8022"/>
      <c r="R443" s="8023"/>
      <c r="S443" s="8024"/>
      <c r="T443" s="8025"/>
      <c r="U443" s="8022"/>
      <c r="V443" s="8023"/>
      <c r="W443" s="8025"/>
      <c r="X443" s="8023"/>
      <c r="Y443" s="8025"/>
      <c r="Z443" s="8023"/>
      <c r="AA443" s="8024"/>
      <c r="AB443" s="8024"/>
      <c r="AC443" s="8024"/>
      <c r="AD443" s="8024"/>
      <c r="AE443" s="8024"/>
      <c r="AF443" s="8025"/>
      <c r="AG443" s="8023"/>
      <c r="AH443" s="8024"/>
      <c r="AI443" s="8024"/>
      <c r="AJ443" s="8024"/>
      <c r="AK443" s="8024"/>
      <c r="AL443" s="8024"/>
      <c r="AM443" s="8024"/>
      <c r="AN443" s="8025"/>
      <c r="AO443" s="8023"/>
      <c r="AP443" s="8024"/>
      <c r="AQ443" s="8024"/>
      <c r="AR443" s="8024"/>
      <c r="AS443" s="8024"/>
      <c r="AT443" s="8025"/>
      <c r="AU443" s="9395"/>
      <c r="AV443" s="9395"/>
      <c r="AW443" s="9395"/>
      <c r="AX443" s="9392"/>
      <c r="AY443" s="9394"/>
      <c r="AZ443" s="9395"/>
      <c r="BA443" s="9392"/>
      <c r="BB443" s="9393"/>
      <c r="BC443" s="9394"/>
      <c r="BD443" s="9396"/>
      <c r="BF443" s="14474"/>
      <c r="BG443" s="14474"/>
      <c r="BH443" s="14474"/>
      <c r="BI443" s="14474"/>
      <c r="BJ443" s="14474"/>
      <c r="BK443" s="9397"/>
      <c r="BL443" s="14474"/>
      <c r="BM443" s="14474"/>
      <c r="BN443" s="14474"/>
    </row>
    <row r="444" spans="1:66" ht="15.75" hidden="1" customHeight="1">
      <c r="A444" s="13738"/>
      <c r="B444" s="14024"/>
      <c r="C444" s="13592"/>
      <c r="D444" s="12062" t="s">
        <v>10194</v>
      </c>
      <c r="E444" s="12063"/>
      <c r="F444" s="12063" t="s">
        <v>733</v>
      </c>
      <c r="G444" s="14025"/>
      <c r="H444" s="13502"/>
      <c r="I444" s="14050"/>
      <c r="K444" s="9392"/>
      <c r="L444" s="8019"/>
      <c r="M444" s="8019"/>
      <c r="N444" s="9393"/>
      <c r="O444" s="9393"/>
      <c r="P444" s="9394"/>
      <c r="Q444" s="8022"/>
      <c r="R444" s="8023"/>
      <c r="S444" s="8024"/>
      <c r="T444" s="8025"/>
      <c r="U444" s="8022"/>
      <c r="V444" s="8023"/>
      <c r="W444" s="8025"/>
      <c r="X444" s="8023"/>
      <c r="Y444" s="8025"/>
      <c r="Z444" s="8023"/>
      <c r="AA444" s="8024"/>
      <c r="AB444" s="8024"/>
      <c r="AC444" s="8024"/>
      <c r="AD444" s="8024"/>
      <c r="AE444" s="8024"/>
      <c r="AF444" s="8025"/>
      <c r="AG444" s="8023"/>
      <c r="AH444" s="8024"/>
      <c r="AI444" s="8024"/>
      <c r="AJ444" s="8024"/>
      <c r="AK444" s="8024"/>
      <c r="AL444" s="8024"/>
      <c r="AM444" s="8024"/>
      <c r="AN444" s="8025"/>
      <c r="AO444" s="8023"/>
      <c r="AP444" s="8024"/>
      <c r="AQ444" s="8024"/>
      <c r="AR444" s="8024"/>
      <c r="AS444" s="8024"/>
      <c r="AT444" s="8025"/>
      <c r="AU444" s="9395"/>
      <c r="AV444" s="9395"/>
      <c r="AW444" s="9395"/>
      <c r="AX444" s="9392"/>
      <c r="AY444" s="9394"/>
      <c r="AZ444" s="9395"/>
      <c r="BA444" s="9392"/>
      <c r="BB444" s="9393"/>
      <c r="BC444" s="9394"/>
      <c r="BD444" s="9396"/>
      <c r="BF444" s="14475"/>
      <c r="BG444" s="14475"/>
      <c r="BH444" s="14475"/>
      <c r="BI444" s="14475"/>
      <c r="BJ444" s="14475"/>
      <c r="BK444" s="9398"/>
      <c r="BL444" s="14475"/>
      <c r="BM444" s="14475"/>
      <c r="BN444" s="14475"/>
    </row>
    <row r="445" spans="1:66" ht="15.75" hidden="1" customHeight="1" thickBot="1">
      <c r="A445" s="13740"/>
      <c r="B445" s="14028"/>
      <c r="C445" s="13592"/>
      <c r="D445" s="12064" t="s">
        <v>10220</v>
      </c>
      <c r="E445" s="12065"/>
      <c r="F445" s="12065" t="s">
        <v>10219</v>
      </c>
      <c r="G445" s="14029"/>
      <c r="H445" s="13504"/>
      <c r="I445" s="14065"/>
      <c r="K445" s="9407"/>
      <c r="L445" s="9408"/>
      <c r="M445" s="9408"/>
      <c r="N445" s="9409"/>
      <c r="O445" s="9409"/>
      <c r="P445" s="9410"/>
      <c r="Q445" s="9411"/>
      <c r="R445" s="9412"/>
      <c r="S445" s="9413"/>
      <c r="T445" s="9414"/>
      <c r="U445" s="9411"/>
      <c r="V445" s="9412"/>
      <c r="W445" s="9414"/>
      <c r="X445" s="9412"/>
      <c r="Y445" s="9414"/>
      <c r="Z445" s="9412"/>
      <c r="AA445" s="9413"/>
      <c r="AB445" s="9413"/>
      <c r="AC445" s="9413"/>
      <c r="AD445" s="9413"/>
      <c r="AE445" s="9413"/>
      <c r="AF445" s="9414"/>
      <c r="AG445" s="9412"/>
      <c r="AH445" s="9413"/>
      <c r="AI445" s="9413"/>
      <c r="AJ445" s="9413"/>
      <c r="AK445" s="9413"/>
      <c r="AL445" s="9413"/>
      <c r="AM445" s="9413"/>
      <c r="AN445" s="9414"/>
      <c r="AO445" s="9412"/>
      <c r="AP445" s="9413"/>
      <c r="AQ445" s="9413"/>
      <c r="AR445" s="9413"/>
      <c r="AS445" s="9413"/>
      <c r="AT445" s="9414"/>
      <c r="AU445" s="9415"/>
      <c r="AV445" s="9415"/>
      <c r="AW445" s="9415"/>
      <c r="AX445" s="9407"/>
      <c r="AY445" s="9410"/>
      <c r="AZ445" s="9415"/>
      <c r="BA445" s="9407"/>
      <c r="BB445" s="9409"/>
      <c r="BC445" s="9410"/>
      <c r="BD445" s="9416"/>
      <c r="BF445" s="14477"/>
      <c r="BG445" s="14477"/>
      <c r="BH445" s="14477"/>
      <c r="BI445" s="14477"/>
      <c r="BJ445" s="14477"/>
      <c r="BK445" s="9417"/>
      <c r="BL445" s="14477"/>
      <c r="BM445" s="14477"/>
      <c r="BN445" s="14477"/>
    </row>
    <row r="446" spans="1:66" ht="29.25" hidden="1" customHeight="1">
      <c r="A446" s="13741">
        <v>287</v>
      </c>
      <c r="B446" s="14030" t="s">
        <v>7863</v>
      </c>
      <c r="C446" s="13592"/>
      <c r="D446" s="12066" t="s">
        <v>2896</v>
      </c>
      <c r="E446" s="12067" t="s">
        <v>163</v>
      </c>
      <c r="F446" s="12067"/>
      <c r="G446" s="14032" t="s">
        <v>1369</v>
      </c>
      <c r="H446" s="13505" t="s">
        <v>1370</v>
      </c>
      <c r="I446" s="14066">
        <v>6</v>
      </c>
      <c r="K446" s="9418"/>
      <c r="L446" s="9419"/>
      <c r="M446" s="9419"/>
      <c r="N446" s="9420"/>
      <c r="O446" s="9420"/>
      <c r="P446" s="9421"/>
      <c r="Q446" s="9422"/>
      <c r="R446" s="9423"/>
      <c r="S446" s="9424"/>
      <c r="T446" s="9425"/>
      <c r="U446" s="9422"/>
      <c r="V446" s="9423"/>
      <c r="W446" s="9425"/>
      <c r="X446" s="9423"/>
      <c r="Y446" s="9425"/>
      <c r="Z446" s="9423"/>
      <c r="AA446" s="9424"/>
      <c r="AB446" s="9424"/>
      <c r="AC446" s="9424"/>
      <c r="AD446" s="9424"/>
      <c r="AE446" s="9424"/>
      <c r="AF446" s="9425"/>
      <c r="AG446" s="9423"/>
      <c r="AH446" s="9424"/>
      <c r="AI446" s="9424"/>
      <c r="AJ446" s="9424"/>
      <c r="AK446" s="9424"/>
      <c r="AL446" s="9424"/>
      <c r="AM446" s="9424"/>
      <c r="AN446" s="9425"/>
      <c r="AO446" s="9423"/>
      <c r="AP446" s="9424"/>
      <c r="AQ446" s="9424"/>
      <c r="AR446" s="9424"/>
      <c r="AS446" s="9424"/>
      <c r="AT446" s="9425"/>
      <c r="AU446" s="9426"/>
      <c r="AV446" s="9426"/>
      <c r="AW446" s="9426"/>
      <c r="AX446" s="9418"/>
      <c r="AY446" s="9421"/>
      <c r="AZ446" s="9426"/>
      <c r="BA446" s="9418"/>
      <c r="BB446" s="9420"/>
      <c r="BC446" s="9421"/>
      <c r="BD446" s="9427"/>
      <c r="BF446" s="14478"/>
      <c r="BG446" s="14478"/>
      <c r="BH446" s="14478"/>
      <c r="BI446" s="14478"/>
      <c r="BJ446" s="14478"/>
      <c r="BK446" s="9428"/>
      <c r="BL446" s="14478"/>
      <c r="BM446" s="14478"/>
      <c r="BN446" s="14478"/>
    </row>
    <row r="447" spans="1:66" ht="29.25" hidden="1" customHeight="1">
      <c r="A447" s="13742"/>
      <c r="B447" s="14031"/>
      <c r="C447" s="13592"/>
      <c r="D447" s="12068" t="s">
        <v>208</v>
      </c>
      <c r="E447" s="12069"/>
      <c r="F447" s="12069" t="s">
        <v>208</v>
      </c>
      <c r="G447" s="14033"/>
      <c r="H447" s="13506"/>
      <c r="I447" s="14067"/>
      <c r="K447" s="9429"/>
      <c r="L447" s="9430"/>
      <c r="M447" s="9430"/>
      <c r="N447" s="9431"/>
      <c r="O447" s="9431"/>
      <c r="P447" s="9432"/>
      <c r="Q447" s="9433"/>
      <c r="R447" s="9434"/>
      <c r="S447" s="9435"/>
      <c r="T447" s="9436"/>
      <c r="U447" s="9433"/>
      <c r="V447" s="9434"/>
      <c r="W447" s="9436"/>
      <c r="X447" s="9434"/>
      <c r="Y447" s="9436"/>
      <c r="Z447" s="9434"/>
      <c r="AA447" s="9435"/>
      <c r="AB447" s="9435"/>
      <c r="AC447" s="9435"/>
      <c r="AD447" s="9435"/>
      <c r="AE447" s="9435"/>
      <c r="AF447" s="9436"/>
      <c r="AG447" s="9434"/>
      <c r="AH447" s="9435"/>
      <c r="AI447" s="9435"/>
      <c r="AJ447" s="9435"/>
      <c r="AK447" s="9435"/>
      <c r="AL447" s="9435"/>
      <c r="AM447" s="9435"/>
      <c r="AN447" s="9436"/>
      <c r="AO447" s="9434"/>
      <c r="AP447" s="9435"/>
      <c r="AQ447" s="9435"/>
      <c r="AR447" s="9435"/>
      <c r="AS447" s="9435"/>
      <c r="AT447" s="9436"/>
      <c r="AU447" s="9437"/>
      <c r="AV447" s="9437"/>
      <c r="AW447" s="9437"/>
      <c r="AX447" s="9429"/>
      <c r="AY447" s="9432"/>
      <c r="AZ447" s="9437"/>
      <c r="BA447" s="9429"/>
      <c r="BB447" s="9431"/>
      <c r="BC447" s="9432"/>
      <c r="BD447" s="9438"/>
      <c r="BF447" s="14479"/>
      <c r="BG447" s="14479"/>
      <c r="BH447" s="14479"/>
      <c r="BI447" s="14479"/>
      <c r="BJ447" s="14479"/>
      <c r="BK447" s="9439"/>
      <c r="BL447" s="14479"/>
      <c r="BM447" s="14479"/>
      <c r="BN447" s="14479"/>
    </row>
    <row r="448" spans="1:66" ht="29.25" hidden="1" customHeight="1">
      <c r="A448" s="13743">
        <v>288</v>
      </c>
      <c r="B448" s="14038" t="s">
        <v>7864</v>
      </c>
      <c r="C448" s="13592"/>
      <c r="D448" s="12070" t="s">
        <v>2896</v>
      </c>
      <c r="E448" s="12071" t="s">
        <v>163</v>
      </c>
      <c r="F448" s="12071"/>
      <c r="G448" s="14039" t="s">
        <v>1373</v>
      </c>
      <c r="H448" s="13507" t="s">
        <v>1374</v>
      </c>
      <c r="I448" s="14068">
        <v>1</v>
      </c>
      <c r="K448" s="9429"/>
      <c r="L448" s="9430"/>
      <c r="M448" s="9430"/>
      <c r="N448" s="9431"/>
      <c r="O448" s="9431"/>
      <c r="P448" s="9432"/>
      <c r="Q448" s="9433"/>
      <c r="R448" s="9434"/>
      <c r="S448" s="9435"/>
      <c r="T448" s="9436"/>
      <c r="U448" s="9433"/>
      <c r="V448" s="9434"/>
      <c r="W448" s="9436"/>
      <c r="X448" s="9434"/>
      <c r="Y448" s="9436"/>
      <c r="Z448" s="9434"/>
      <c r="AA448" s="9435"/>
      <c r="AB448" s="9435"/>
      <c r="AC448" s="9435"/>
      <c r="AD448" s="9435"/>
      <c r="AE448" s="9435"/>
      <c r="AF448" s="9436"/>
      <c r="AG448" s="9434"/>
      <c r="AH448" s="9435"/>
      <c r="AI448" s="9435"/>
      <c r="AJ448" s="9435"/>
      <c r="AK448" s="9435"/>
      <c r="AL448" s="9435"/>
      <c r="AM448" s="9435"/>
      <c r="AN448" s="9436"/>
      <c r="AO448" s="9434"/>
      <c r="AP448" s="9435"/>
      <c r="AQ448" s="9435"/>
      <c r="AR448" s="9435"/>
      <c r="AS448" s="9435"/>
      <c r="AT448" s="9436"/>
      <c r="AU448" s="9437"/>
      <c r="AV448" s="9437"/>
      <c r="AW448" s="9437"/>
      <c r="AX448" s="9429"/>
      <c r="AY448" s="9432"/>
      <c r="AZ448" s="9437"/>
      <c r="BA448" s="9429"/>
      <c r="BB448" s="9431"/>
      <c r="BC448" s="9432"/>
      <c r="BD448" s="9438"/>
      <c r="BF448" s="14480"/>
      <c r="BG448" s="14480"/>
      <c r="BH448" s="14480"/>
      <c r="BI448" s="14480"/>
      <c r="BJ448" s="14480"/>
      <c r="BK448" s="9442"/>
      <c r="BL448" s="14480"/>
      <c r="BM448" s="14480"/>
      <c r="BN448" s="14480"/>
    </row>
    <row r="449" spans="1:66" ht="29.25" hidden="1" customHeight="1">
      <c r="A449" s="13742"/>
      <c r="B449" s="14031"/>
      <c r="C449" s="13592"/>
      <c r="D449" s="12070" t="s">
        <v>10092</v>
      </c>
      <c r="E449" s="12071"/>
      <c r="F449" s="12071" t="s">
        <v>890</v>
      </c>
      <c r="G449" s="14033"/>
      <c r="H449" s="13506"/>
      <c r="I449" s="14067"/>
      <c r="K449" s="9429"/>
      <c r="L449" s="9430"/>
      <c r="M449" s="9430"/>
      <c r="N449" s="9431"/>
      <c r="O449" s="9431"/>
      <c r="P449" s="9432"/>
      <c r="Q449" s="9433"/>
      <c r="R449" s="9434"/>
      <c r="S449" s="9435"/>
      <c r="T449" s="9436"/>
      <c r="U449" s="9433"/>
      <c r="V449" s="9434"/>
      <c r="W449" s="9436"/>
      <c r="X449" s="9434"/>
      <c r="Y449" s="9436"/>
      <c r="Z449" s="9434"/>
      <c r="AA449" s="9435"/>
      <c r="AB449" s="9435"/>
      <c r="AC449" s="9435"/>
      <c r="AD449" s="9435"/>
      <c r="AE449" s="9435"/>
      <c r="AF449" s="9436"/>
      <c r="AG449" s="9434"/>
      <c r="AH449" s="9435"/>
      <c r="AI449" s="9435"/>
      <c r="AJ449" s="9435"/>
      <c r="AK449" s="9435"/>
      <c r="AL449" s="9435"/>
      <c r="AM449" s="9435"/>
      <c r="AN449" s="9436"/>
      <c r="AO449" s="9434"/>
      <c r="AP449" s="9435"/>
      <c r="AQ449" s="9435"/>
      <c r="AR449" s="9435"/>
      <c r="AS449" s="9435"/>
      <c r="AT449" s="9436"/>
      <c r="AU449" s="9437"/>
      <c r="AV449" s="9437"/>
      <c r="AW449" s="9437"/>
      <c r="AX449" s="9429"/>
      <c r="AY449" s="9432"/>
      <c r="AZ449" s="9437"/>
      <c r="BA449" s="9429"/>
      <c r="BB449" s="9431"/>
      <c r="BC449" s="9432"/>
      <c r="BD449" s="9438"/>
      <c r="BF449" s="14479"/>
      <c r="BG449" s="14479"/>
      <c r="BH449" s="14479"/>
      <c r="BI449" s="14479"/>
      <c r="BJ449" s="14479"/>
      <c r="BK449" s="9439"/>
      <c r="BL449" s="14479"/>
      <c r="BM449" s="14479"/>
      <c r="BN449" s="14479"/>
    </row>
    <row r="450" spans="1:66" ht="29.25" hidden="1" customHeight="1">
      <c r="A450" s="9443">
        <v>289</v>
      </c>
      <c r="B450" s="9444" t="s">
        <v>7865</v>
      </c>
      <c r="C450" s="13592"/>
      <c r="D450" s="12070" t="s">
        <v>2896</v>
      </c>
      <c r="E450" s="12071" t="s">
        <v>163</v>
      </c>
      <c r="F450" s="12071"/>
      <c r="G450" s="12072" t="s">
        <v>1376</v>
      </c>
      <c r="H450" s="12073" t="s">
        <v>1377</v>
      </c>
      <c r="I450" s="12074">
        <v>1</v>
      </c>
      <c r="K450" s="9446"/>
      <c r="L450" s="9447"/>
      <c r="M450" s="9447"/>
      <c r="N450" s="9448"/>
      <c r="O450" s="9448"/>
      <c r="P450" s="9449"/>
      <c r="Q450" s="9450"/>
      <c r="R450" s="9451"/>
      <c r="S450" s="9452"/>
      <c r="T450" s="9453"/>
      <c r="U450" s="9450"/>
      <c r="V450" s="9451"/>
      <c r="W450" s="9453"/>
      <c r="X450" s="9451"/>
      <c r="Y450" s="9453"/>
      <c r="Z450" s="9451"/>
      <c r="AA450" s="9452"/>
      <c r="AB450" s="9452"/>
      <c r="AC450" s="9452"/>
      <c r="AD450" s="9452"/>
      <c r="AE450" s="9452"/>
      <c r="AF450" s="9453"/>
      <c r="AG450" s="9451"/>
      <c r="AH450" s="9452"/>
      <c r="AI450" s="9452"/>
      <c r="AJ450" s="9452"/>
      <c r="AK450" s="9452"/>
      <c r="AL450" s="9452"/>
      <c r="AM450" s="9452"/>
      <c r="AN450" s="9453"/>
      <c r="AO450" s="9451"/>
      <c r="AP450" s="9452"/>
      <c r="AQ450" s="9452"/>
      <c r="AR450" s="9452"/>
      <c r="AS450" s="9452"/>
      <c r="AT450" s="9453"/>
      <c r="AU450" s="9454"/>
      <c r="AV450" s="9454"/>
      <c r="AW450" s="9454"/>
      <c r="AX450" s="9446"/>
      <c r="AY450" s="9449"/>
      <c r="AZ450" s="9454"/>
      <c r="BA450" s="9446"/>
      <c r="BB450" s="9448"/>
      <c r="BC450" s="9449"/>
      <c r="BD450" s="9455"/>
      <c r="BF450" s="9445"/>
      <c r="BG450" s="9445"/>
      <c r="BH450" s="9445"/>
      <c r="BI450" s="9445"/>
      <c r="BJ450" s="9445"/>
      <c r="BK450" s="9445"/>
      <c r="BL450" s="9445"/>
      <c r="BM450" s="9445"/>
      <c r="BN450" s="9445"/>
    </row>
    <row r="451" spans="1:66" ht="29.25" hidden="1" customHeight="1">
      <c r="A451" s="9443">
        <v>290</v>
      </c>
      <c r="B451" s="9444" t="s">
        <v>7866</v>
      </c>
      <c r="C451" s="13592"/>
      <c r="D451" s="12070" t="s">
        <v>2896</v>
      </c>
      <c r="E451" s="12071" t="s">
        <v>163</v>
      </c>
      <c r="F451" s="12071"/>
      <c r="G451" s="12072" t="s">
        <v>1380</v>
      </c>
      <c r="H451" s="12073" t="s">
        <v>1381</v>
      </c>
      <c r="I451" s="12075" t="s">
        <v>1384</v>
      </c>
      <c r="K451" s="9456"/>
      <c r="L451" s="8858"/>
      <c r="M451" s="8858"/>
      <c r="N451" s="9441"/>
      <c r="O451" s="9441"/>
      <c r="P451" s="9457"/>
      <c r="Q451" s="9458"/>
      <c r="R451" s="9459"/>
      <c r="S451" s="9460"/>
      <c r="T451" s="9461"/>
      <c r="U451" s="9458"/>
      <c r="V451" s="9459"/>
      <c r="W451" s="9461"/>
      <c r="X451" s="9459"/>
      <c r="Y451" s="9461"/>
      <c r="Z451" s="9459"/>
      <c r="AA451" s="9460"/>
      <c r="AB451" s="9460"/>
      <c r="AC451" s="9460"/>
      <c r="AD451" s="9460"/>
      <c r="AE451" s="9460"/>
      <c r="AF451" s="9461"/>
      <c r="AG451" s="9459"/>
      <c r="AH451" s="9460"/>
      <c r="AI451" s="9460"/>
      <c r="AJ451" s="9460"/>
      <c r="AK451" s="9460"/>
      <c r="AL451" s="9460"/>
      <c r="AM451" s="9460"/>
      <c r="AN451" s="9461"/>
      <c r="AO451" s="9459"/>
      <c r="AP451" s="9460"/>
      <c r="AQ451" s="9460"/>
      <c r="AR451" s="9460"/>
      <c r="AS451" s="9460"/>
      <c r="AT451" s="9461"/>
      <c r="AU451" s="9462"/>
      <c r="AV451" s="9462"/>
      <c r="AW451" s="9462"/>
      <c r="AX451" s="9456"/>
      <c r="AY451" s="9457"/>
      <c r="AZ451" s="9462"/>
      <c r="BA451" s="9456"/>
      <c r="BB451" s="9441"/>
      <c r="BC451" s="9457"/>
      <c r="BD451" s="9463"/>
      <c r="BF451" s="9445"/>
      <c r="BG451" s="9445"/>
      <c r="BH451" s="9445"/>
      <c r="BI451" s="9445"/>
      <c r="BJ451" s="9445"/>
      <c r="BK451" s="9445"/>
      <c r="BL451" s="9445"/>
      <c r="BM451" s="9445"/>
      <c r="BN451" s="9445"/>
    </row>
    <row r="452" spans="1:66" ht="29.25" hidden="1" customHeight="1">
      <c r="A452" s="13743">
        <v>291</v>
      </c>
      <c r="B452" s="14038" t="s">
        <v>7867</v>
      </c>
      <c r="C452" s="13592"/>
      <c r="D452" s="12070" t="s">
        <v>2896</v>
      </c>
      <c r="E452" s="12071" t="s">
        <v>163</v>
      </c>
      <c r="F452" s="12071"/>
      <c r="G452" s="14039" t="s">
        <v>1385</v>
      </c>
      <c r="H452" s="13507" t="s">
        <v>1386</v>
      </c>
      <c r="I452" s="14069">
        <v>4</v>
      </c>
      <c r="K452" s="9464"/>
      <c r="L452" s="9465"/>
      <c r="M452" s="9465"/>
      <c r="N452" s="9466"/>
      <c r="O452" s="9466"/>
      <c r="P452" s="9467"/>
      <c r="Q452" s="9468"/>
      <c r="R452" s="9469"/>
      <c r="S452" s="9470"/>
      <c r="T452" s="9471"/>
      <c r="U452" s="9468"/>
      <c r="V452" s="9469"/>
      <c r="W452" s="9471"/>
      <c r="X452" s="9469"/>
      <c r="Y452" s="9471"/>
      <c r="Z452" s="9469"/>
      <c r="AA452" s="9470"/>
      <c r="AB452" s="9470"/>
      <c r="AC452" s="9470"/>
      <c r="AD452" s="9470"/>
      <c r="AE452" s="9470"/>
      <c r="AF452" s="9471"/>
      <c r="AG452" s="9469"/>
      <c r="AH452" s="9470"/>
      <c r="AI452" s="9470"/>
      <c r="AJ452" s="9470"/>
      <c r="AK452" s="9470"/>
      <c r="AL452" s="9470"/>
      <c r="AM452" s="9470"/>
      <c r="AN452" s="9471"/>
      <c r="AO452" s="9469"/>
      <c r="AP452" s="9470"/>
      <c r="AQ452" s="9470"/>
      <c r="AR452" s="9470"/>
      <c r="AS452" s="9470"/>
      <c r="AT452" s="9471"/>
      <c r="AU452" s="9472"/>
      <c r="AV452" s="9472"/>
      <c r="AW452" s="9472"/>
      <c r="AX452" s="9464"/>
      <c r="AY452" s="9467"/>
      <c r="AZ452" s="9472"/>
      <c r="BA452" s="9464"/>
      <c r="BB452" s="9466"/>
      <c r="BC452" s="9467"/>
      <c r="BD452" s="9473"/>
      <c r="BF452" s="14480"/>
      <c r="BG452" s="14480"/>
      <c r="BH452" s="14480"/>
      <c r="BI452" s="14480"/>
      <c r="BJ452" s="14480"/>
      <c r="BK452" s="9442"/>
      <c r="BL452" s="14480"/>
      <c r="BM452" s="14480"/>
      <c r="BN452" s="14480"/>
    </row>
    <row r="453" spans="1:66" ht="29.25" hidden="1" customHeight="1">
      <c r="A453" s="13744"/>
      <c r="B453" s="14040"/>
      <c r="C453" s="13592"/>
      <c r="D453" s="12070" t="s">
        <v>10194</v>
      </c>
      <c r="E453" s="12071"/>
      <c r="F453" s="12071" t="s">
        <v>733</v>
      </c>
      <c r="G453" s="14041"/>
      <c r="H453" s="13508"/>
      <c r="I453" s="14070"/>
      <c r="K453" s="9464"/>
      <c r="L453" s="9465"/>
      <c r="M453" s="9465"/>
      <c r="N453" s="9466"/>
      <c r="O453" s="9466"/>
      <c r="P453" s="9467"/>
      <c r="Q453" s="9468"/>
      <c r="R453" s="9469"/>
      <c r="S453" s="9470"/>
      <c r="T453" s="9471"/>
      <c r="U453" s="9468"/>
      <c r="V453" s="9469"/>
      <c r="W453" s="9471"/>
      <c r="X453" s="9469"/>
      <c r="Y453" s="9471"/>
      <c r="Z453" s="9469"/>
      <c r="AA453" s="9470"/>
      <c r="AB453" s="9470"/>
      <c r="AC453" s="9470"/>
      <c r="AD453" s="9470"/>
      <c r="AE453" s="9470"/>
      <c r="AF453" s="9471"/>
      <c r="AG453" s="9469"/>
      <c r="AH453" s="9470"/>
      <c r="AI453" s="9470"/>
      <c r="AJ453" s="9470"/>
      <c r="AK453" s="9470"/>
      <c r="AL453" s="9470"/>
      <c r="AM453" s="9470"/>
      <c r="AN453" s="9471"/>
      <c r="AO453" s="9469"/>
      <c r="AP453" s="9470"/>
      <c r="AQ453" s="9470"/>
      <c r="AR453" s="9470"/>
      <c r="AS453" s="9470"/>
      <c r="AT453" s="9471"/>
      <c r="AU453" s="9472"/>
      <c r="AV453" s="9472"/>
      <c r="AW453" s="9472"/>
      <c r="AX453" s="9464"/>
      <c r="AY453" s="9467"/>
      <c r="AZ453" s="9472"/>
      <c r="BA453" s="9464"/>
      <c r="BB453" s="9466"/>
      <c r="BC453" s="9467"/>
      <c r="BD453" s="9473"/>
      <c r="BF453" s="14481"/>
      <c r="BG453" s="14481"/>
      <c r="BH453" s="14481"/>
      <c r="BI453" s="14481"/>
      <c r="BJ453" s="14481"/>
      <c r="BK453" s="9474"/>
      <c r="BL453" s="14481"/>
      <c r="BM453" s="14481"/>
      <c r="BN453" s="14481"/>
    </row>
    <row r="454" spans="1:66" ht="29.25" hidden="1" customHeight="1">
      <c r="A454" s="13742"/>
      <c r="B454" s="14031"/>
      <c r="C454" s="13592"/>
      <c r="D454" s="12070" t="s">
        <v>329</v>
      </c>
      <c r="E454" s="12071"/>
      <c r="F454" s="12071" t="s">
        <v>329</v>
      </c>
      <c r="G454" s="14033"/>
      <c r="H454" s="13506"/>
      <c r="I454" s="14071"/>
      <c r="K454" s="9464"/>
      <c r="L454" s="9465"/>
      <c r="M454" s="9465"/>
      <c r="N454" s="9466"/>
      <c r="O454" s="9466"/>
      <c r="P454" s="9467"/>
      <c r="Q454" s="9468"/>
      <c r="R454" s="9469"/>
      <c r="S454" s="9470"/>
      <c r="T454" s="9471"/>
      <c r="U454" s="9468"/>
      <c r="V454" s="9469"/>
      <c r="W454" s="9471"/>
      <c r="X454" s="9469"/>
      <c r="Y454" s="9471"/>
      <c r="Z454" s="9469"/>
      <c r="AA454" s="9470"/>
      <c r="AB454" s="9470"/>
      <c r="AC454" s="9470"/>
      <c r="AD454" s="9470"/>
      <c r="AE454" s="9470"/>
      <c r="AF454" s="9471"/>
      <c r="AG454" s="9469"/>
      <c r="AH454" s="9470"/>
      <c r="AI454" s="9470"/>
      <c r="AJ454" s="9470"/>
      <c r="AK454" s="9470"/>
      <c r="AL454" s="9470"/>
      <c r="AM454" s="9470"/>
      <c r="AN454" s="9471"/>
      <c r="AO454" s="9469"/>
      <c r="AP454" s="9470"/>
      <c r="AQ454" s="9470"/>
      <c r="AR454" s="9470"/>
      <c r="AS454" s="9470"/>
      <c r="AT454" s="9471"/>
      <c r="AU454" s="9472"/>
      <c r="AV454" s="9472"/>
      <c r="AW454" s="9472"/>
      <c r="AX454" s="9464"/>
      <c r="AY454" s="9467"/>
      <c r="AZ454" s="9472"/>
      <c r="BA454" s="9464"/>
      <c r="BB454" s="9466"/>
      <c r="BC454" s="9467"/>
      <c r="BD454" s="9473"/>
      <c r="BF454" s="14479"/>
      <c r="BG454" s="14479"/>
      <c r="BH454" s="14479"/>
      <c r="BI454" s="14479"/>
      <c r="BJ454" s="14479"/>
      <c r="BK454" s="9439"/>
      <c r="BL454" s="14479"/>
      <c r="BM454" s="14479"/>
      <c r="BN454" s="14479"/>
    </row>
    <row r="455" spans="1:66" ht="29.25" hidden="1" customHeight="1">
      <c r="A455" s="9443">
        <v>292</v>
      </c>
      <c r="B455" s="9444" t="s">
        <v>7868</v>
      </c>
      <c r="C455" s="13592"/>
      <c r="D455" s="12070" t="s">
        <v>2896</v>
      </c>
      <c r="E455" s="12071" t="s">
        <v>163</v>
      </c>
      <c r="F455" s="12071"/>
      <c r="G455" s="12072" t="s">
        <v>1388</v>
      </c>
      <c r="H455" s="12073" t="s">
        <v>1389</v>
      </c>
      <c r="I455" s="12076">
        <v>20</v>
      </c>
      <c r="K455" s="9475"/>
      <c r="L455" s="9476"/>
      <c r="M455" s="9476"/>
      <c r="N455" s="9477"/>
      <c r="O455" s="9477"/>
      <c r="P455" s="9478"/>
      <c r="Q455" s="9479"/>
      <c r="R455" s="9480"/>
      <c r="S455" s="9481"/>
      <c r="T455" s="9482"/>
      <c r="U455" s="9479"/>
      <c r="V455" s="9480"/>
      <c r="W455" s="9482"/>
      <c r="X455" s="9480"/>
      <c r="Y455" s="9482"/>
      <c r="Z455" s="9480"/>
      <c r="AA455" s="9481"/>
      <c r="AB455" s="9481"/>
      <c r="AC455" s="9481"/>
      <c r="AD455" s="9481"/>
      <c r="AE455" s="9481"/>
      <c r="AF455" s="9482"/>
      <c r="AG455" s="9480"/>
      <c r="AH455" s="9481"/>
      <c r="AI455" s="9481"/>
      <c r="AJ455" s="9481"/>
      <c r="AK455" s="9481"/>
      <c r="AL455" s="9481"/>
      <c r="AM455" s="9481"/>
      <c r="AN455" s="9482"/>
      <c r="AO455" s="9480"/>
      <c r="AP455" s="9481"/>
      <c r="AQ455" s="9481"/>
      <c r="AR455" s="9481"/>
      <c r="AS455" s="9481"/>
      <c r="AT455" s="9482"/>
      <c r="AU455" s="9483"/>
      <c r="AV455" s="9483"/>
      <c r="AW455" s="9483"/>
      <c r="AX455" s="9475"/>
      <c r="AY455" s="9478"/>
      <c r="AZ455" s="9483"/>
      <c r="BA455" s="9475"/>
      <c r="BB455" s="9477"/>
      <c r="BC455" s="9478"/>
      <c r="BD455" s="9484"/>
      <c r="BF455" s="9445"/>
      <c r="BG455" s="9445"/>
      <c r="BH455" s="9445"/>
      <c r="BI455" s="9445"/>
      <c r="BJ455" s="9445"/>
      <c r="BK455" s="9445"/>
      <c r="BL455" s="9445"/>
      <c r="BM455" s="9445"/>
      <c r="BN455" s="9445"/>
    </row>
    <row r="456" spans="1:66" ht="29.25" hidden="1" customHeight="1">
      <c r="A456" s="9443">
        <v>293</v>
      </c>
      <c r="B456" s="9444" t="s">
        <v>7869</v>
      </c>
      <c r="C456" s="13592"/>
      <c r="D456" s="12070" t="s">
        <v>2896</v>
      </c>
      <c r="E456" s="12071" t="s">
        <v>163</v>
      </c>
      <c r="F456" s="12071"/>
      <c r="G456" s="12072" t="s">
        <v>1390</v>
      </c>
      <c r="H456" s="12073" t="s">
        <v>1391</v>
      </c>
      <c r="I456" s="12076">
        <v>400</v>
      </c>
      <c r="K456" s="9475"/>
      <c r="L456" s="9476"/>
      <c r="M456" s="9476"/>
      <c r="N456" s="9477"/>
      <c r="O456" s="9477"/>
      <c r="P456" s="9478"/>
      <c r="Q456" s="9479"/>
      <c r="R456" s="9480"/>
      <c r="S456" s="9481"/>
      <c r="T456" s="9482"/>
      <c r="U456" s="9479"/>
      <c r="V456" s="9480"/>
      <c r="W456" s="9482"/>
      <c r="X456" s="9480"/>
      <c r="Y456" s="9482"/>
      <c r="Z456" s="9480"/>
      <c r="AA456" s="9481"/>
      <c r="AB456" s="9481"/>
      <c r="AC456" s="9481"/>
      <c r="AD456" s="9481"/>
      <c r="AE456" s="9481"/>
      <c r="AF456" s="9482"/>
      <c r="AG456" s="9480"/>
      <c r="AH456" s="9481"/>
      <c r="AI456" s="9481"/>
      <c r="AJ456" s="9481"/>
      <c r="AK456" s="9481"/>
      <c r="AL456" s="9481"/>
      <c r="AM456" s="9481"/>
      <c r="AN456" s="9482"/>
      <c r="AO456" s="9480"/>
      <c r="AP456" s="9481"/>
      <c r="AQ456" s="9481"/>
      <c r="AR456" s="9481"/>
      <c r="AS456" s="9481"/>
      <c r="AT456" s="9482"/>
      <c r="AU456" s="9483"/>
      <c r="AV456" s="9483"/>
      <c r="AW456" s="9483"/>
      <c r="AX456" s="9475"/>
      <c r="AY456" s="9478"/>
      <c r="AZ456" s="9483"/>
      <c r="BA456" s="9475"/>
      <c r="BB456" s="9477"/>
      <c r="BC456" s="9478"/>
      <c r="BD456" s="9484"/>
      <c r="BF456" s="9445"/>
      <c r="BG456" s="9445"/>
      <c r="BH456" s="9445"/>
      <c r="BI456" s="9445"/>
      <c r="BJ456" s="9445"/>
      <c r="BK456" s="9445"/>
      <c r="BL456" s="9445"/>
      <c r="BM456" s="9445"/>
      <c r="BN456" s="9445"/>
    </row>
    <row r="457" spans="1:66" ht="29.25" hidden="1" customHeight="1">
      <c r="A457" s="9443">
        <v>294</v>
      </c>
      <c r="B457" s="9444" t="s">
        <v>7870</v>
      </c>
      <c r="C457" s="13592"/>
      <c r="D457" s="12070" t="s">
        <v>2896</v>
      </c>
      <c r="E457" s="12071" t="s">
        <v>163</v>
      </c>
      <c r="F457" s="12071"/>
      <c r="G457" s="12072" t="s">
        <v>1393</v>
      </c>
      <c r="H457" s="12073" t="s">
        <v>1394</v>
      </c>
      <c r="I457" s="12075" t="s">
        <v>182</v>
      </c>
      <c r="K457" s="9440"/>
      <c r="L457" s="9485"/>
      <c r="M457" s="9485"/>
      <c r="N457" s="9486"/>
      <c r="O457" s="9486"/>
      <c r="P457" s="9487"/>
      <c r="Q457" s="9488"/>
      <c r="R457" s="9489"/>
      <c r="S457" s="9490"/>
      <c r="T457" s="9491"/>
      <c r="U457" s="9488"/>
      <c r="V457" s="9489"/>
      <c r="W457" s="9491"/>
      <c r="X457" s="9489"/>
      <c r="Y457" s="9491"/>
      <c r="Z457" s="9489"/>
      <c r="AA457" s="9490"/>
      <c r="AB457" s="9490"/>
      <c r="AC457" s="9490"/>
      <c r="AD457" s="9490"/>
      <c r="AE457" s="9490"/>
      <c r="AF457" s="9491"/>
      <c r="AG457" s="9489"/>
      <c r="AH457" s="9490"/>
      <c r="AI457" s="9490"/>
      <c r="AJ457" s="9490"/>
      <c r="AK457" s="9490"/>
      <c r="AL457" s="9490"/>
      <c r="AM457" s="9490"/>
      <c r="AN457" s="9491"/>
      <c r="AO457" s="9489"/>
      <c r="AP457" s="9490"/>
      <c r="AQ457" s="9490"/>
      <c r="AR457" s="9490"/>
      <c r="AS457" s="9490"/>
      <c r="AT457" s="9491"/>
      <c r="AU457" s="9492"/>
      <c r="AV457" s="9492"/>
      <c r="AW457" s="9492"/>
      <c r="AX457" s="9440"/>
      <c r="AY457" s="9487"/>
      <c r="AZ457" s="9492"/>
      <c r="BA457" s="9440"/>
      <c r="BB457" s="9486"/>
      <c r="BC457" s="9487"/>
      <c r="BD457" s="9493"/>
      <c r="BF457" s="9445"/>
      <c r="BG457" s="9445"/>
      <c r="BH457" s="9445"/>
      <c r="BI457" s="9445"/>
      <c r="BJ457" s="9445"/>
      <c r="BK457" s="9445"/>
      <c r="BL457" s="9445"/>
      <c r="BM457" s="9445"/>
      <c r="BN457" s="9445"/>
    </row>
    <row r="458" spans="1:66" ht="29.25" hidden="1" customHeight="1">
      <c r="A458" s="9494">
        <v>295</v>
      </c>
      <c r="B458" s="9495" t="s">
        <v>7871</v>
      </c>
      <c r="C458" s="13592"/>
      <c r="D458" s="12070" t="s">
        <v>2896</v>
      </c>
      <c r="E458" s="12071" t="s">
        <v>163</v>
      </c>
      <c r="F458" s="12077" t="s">
        <v>1397</v>
      </c>
      <c r="G458" s="12078" t="s">
        <v>1396</v>
      </c>
      <c r="H458" s="12079" t="s">
        <v>198</v>
      </c>
      <c r="I458" s="12080" t="s">
        <v>201</v>
      </c>
      <c r="K458" s="9440"/>
      <c r="L458" s="9485"/>
      <c r="M458" s="9485"/>
      <c r="N458" s="9486"/>
      <c r="O458" s="9486"/>
      <c r="P458" s="9487"/>
      <c r="Q458" s="9488"/>
      <c r="R458" s="9489"/>
      <c r="S458" s="9490"/>
      <c r="T458" s="9491"/>
      <c r="U458" s="9488"/>
      <c r="V458" s="9489"/>
      <c r="W458" s="9491"/>
      <c r="X458" s="9489"/>
      <c r="Y458" s="9491"/>
      <c r="Z458" s="9489"/>
      <c r="AA458" s="9490"/>
      <c r="AB458" s="9490"/>
      <c r="AC458" s="9490"/>
      <c r="AD458" s="9490"/>
      <c r="AE458" s="9490"/>
      <c r="AF458" s="9491"/>
      <c r="AG458" s="9489"/>
      <c r="AH458" s="9490"/>
      <c r="AI458" s="9490"/>
      <c r="AJ458" s="9490"/>
      <c r="AK458" s="9490"/>
      <c r="AL458" s="9490"/>
      <c r="AM458" s="9490"/>
      <c r="AN458" s="9491"/>
      <c r="AO458" s="9489"/>
      <c r="AP458" s="9490"/>
      <c r="AQ458" s="9490"/>
      <c r="AR458" s="9490"/>
      <c r="AS458" s="9490"/>
      <c r="AT458" s="9491"/>
      <c r="AU458" s="9492"/>
      <c r="AV458" s="9492"/>
      <c r="AW458" s="9492"/>
      <c r="AX458" s="9440"/>
      <c r="AY458" s="9487"/>
      <c r="AZ458" s="9492"/>
      <c r="BA458" s="9440"/>
      <c r="BB458" s="9486"/>
      <c r="BC458" s="9487"/>
      <c r="BD458" s="9493"/>
      <c r="BF458" s="9442"/>
      <c r="BG458" s="9442"/>
      <c r="BH458" s="9442"/>
      <c r="BI458" s="9442"/>
      <c r="BJ458" s="9442"/>
      <c r="BK458" s="9442"/>
      <c r="BL458" s="9442"/>
      <c r="BM458" s="9442"/>
      <c r="BN458" s="9442"/>
    </row>
    <row r="459" spans="1:66" ht="29.25" hidden="1" customHeight="1" thickBot="1">
      <c r="A459" s="9496">
        <v>296</v>
      </c>
      <c r="B459" s="9497" t="s">
        <v>7872</v>
      </c>
      <c r="C459" s="13592"/>
      <c r="D459" s="12081" t="s">
        <v>2896</v>
      </c>
      <c r="E459" s="12082" t="s">
        <v>163</v>
      </c>
      <c r="F459" s="12083" t="s">
        <v>1397</v>
      </c>
      <c r="G459" s="12084" t="s">
        <v>1399</v>
      </c>
      <c r="H459" s="12085" t="s">
        <v>1400</v>
      </c>
      <c r="I459" s="12086">
        <v>3</v>
      </c>
      <c r="K459" s="9498"/>
      <c r="L459" s="9500"/>
      <c r="M459" s="9500"/>
      <c r="N459" s="9501"/>
      <c r="O459" s="9501"/>
      <c r="P459" s="9502"/>
      <c r="Q459" s="9503"/>
      <c r="R459" s="9504"/>
      <c r="S459" s="9505"/>
      <c r="T459" s="9506"/>
      <c r="U459" s="9503"/>
      <c r="V459" s="9504"/>
      <c r="W459" s="9506"/>
      <c r="X459" s="9504"/>
      <c r="Y459" s="9506"/>
      <c r="Z459" s="9504"/>
      <c r="AA459" s="9505"/>
      <c r="AB459" s="9505"/>
      <c r="AC459" s="9505"/>
      <c r="AD459" s="9505"/>
      <c r="AE459" s="9505"/>
      <c r="AF459" s="9506"/>
      <c r="AG459" s="9504"/>
      <c r="AH459" s="9505"/>
      <c r="AI459" s="9505"/>
      <c r="AJ459" s="9505"/>
      <c r="AK459" s="9505"/>
      <c r="AL459" s="9505"/>
      <c r="AM459" s="9505"/>
      <c r="AN459" s="9506"/>
      <c r="AO459" s="9504"/>
      <c r="AP459" s="9505"/>
      <c r="AQ459" s="9505"/>
      <c r="AR459" s="9505"/>
      <c r="AS459" s="9505"/>
      <c r="AT459" s="9506"/>
      <c r="AU459" s="9507"/>
      <c r="AV459" s="9507"/>
      <c r="AW459" s="9507"/>
      <c r="AX459" s="9498"/>
      <c r="AY459" s="9502"/>
      <c r="AZ459" s="9507"/>
      <c r="BA459" s="9498"/>
      <c r="BB459" s="9501"/>
      <c r="BC459" s="9502"/>
      <c r="BD459" s="9508"/>
      <c r="BF459" s="9499"/>
      <c r="BG459" s="9499"/>
      <c r="BH459" s="9499"/>
      <c r="BI459" s="9499"/>
      <c r="BJ459" s="9499"/>
      <c r="BK459" s="9499"/>
      <c r="BL459" s="9499"/>
      <c r="BM459" s="9499"/>
      <c r="BN459" s="9499"/>
    </row>
    <row r="460" spans="1:66" ht="29.25" hidden="1" customHeight="1">
      <c r="A460" s="9509">
        <v>297</v>
      </c>
      <c r="B460" s="9510" t="s">
        <v>7873</v>
      </c>
      <c r="C460" s="13592"/>
      <c r="D460" s="12087" t="s">
        <v>65</v>
      </c>
      <c r="E460" s="12088" t="s">
        <v>74</v>
      </c>
      <c r="F460" s="12088"/>
      <c r="G460" s="12089" t="s">
        <v>1405</v>
      </c>
      <c r="H460" s="12090" t="s">
        <v>1406</v>
      </c>
      <c r="I460" s="12091" t="s">
        <v>72</v>
      </c>
      <c r="K460" s="9511"/>
      <c r="L460" s="9513"/>
      <c r="M460" s="9513"/>
      <c r="N460" s="9514"/>
      <c r="O460" s="9514"/>
      <c r="P460" s="9515"/>
      <c r="Q460" s="9516"/>
      <c r="R460" s="9517"/>
      <c r="S460" s="9518"/>
      <c r="T460" s="9519"/>
      <c r="U460" s="9516"/>
      <c r="V460" s="9517"/>
      <c r="W460" s="9519"/>
      <c r="X460" s="9517"/>
      <c r="Y460" s="9519"/>
      <c r="Z460" s="9517"/>
      <c r="AA460" s="9518"/>
      <c r="AB460" s="9518"/>
      <c r="AC460" s="9518"/>
      <c r="AD460" s="9518"/>
      <c r="AE460" s="9518"/>
      <c r="AF460" s="9519"/>
      <c r="AG460" s="9517"/>
      <c r="AH460" s="9518"/>
      <c r="AI460" s="9518"/>
      <c r="AJ460" s="9518"/>
      <c r="AK460" s="9518"/>
      <c r="AL460" s="9518"/>
      <c r="AM460" s="9518"/>
      <c r="AN460" s="9519"/>
      <c r="AO460" s="9517"/>
      <c r="AP460" s="9518"/>
      <c r="AQ460" s="9518"/>
      <c r="AR460" s="9518"/>
      <c r="AS460" s="9518"/>
      <c r="AT460" s="9519"/>
      <c r="AU460" s="9520"/>
      <c r="AV460" s="9520"/>
      <c r="AW460" s="9520"/>
      <c r="AX460" s="9511"/>
      <c r="AY460" s="9515"/>
      <c r="AZ460" s="9520"/>
      <c r="BA460" s="9511"/>
      <c r="BB460" s="9514"/>
      <c r="BC460" s="9515"/>
      <c r="BD460" s="9521"/>
      <c r="BF460" s="9512"/>
      <c r="BG460" s="9512"/>
      <c r="BH460" s="9512"/>
      <c r="BI460" s="9512"/>
      <c r="BJ460" s="9512"/>
      <c r="BK460" s="9512"/>
      <c r="BL460" s="9512"/>
      <c r="BM460" s="9512"/>
      <c r="BN460" s="9512"/>
    </row>
    <row r="461" spans="1:66" ht="29.25" hidden="1" customHeight="1">
      <c r="A461" s="13745">
        <v>298</v>
      </c>
      <c r="B461" s="14034" t="s">
        <v>7874</v>
      </c>
      <c r="C461" s="13592"/>
      <c r="D461" s="12092" t="s">
        <v>65</v>
      </c>
      <c r="E461" s="12093" t="s">
        <v>74</v>
      </c>
      <c r="F461" s="12093"/>
      <c r="G461" s="14036" t="s">
        <v>1407</v>
      </c>
      <c r="H461" s="13509" t="s">
        <v>76</v>
      </c>
      <c r="I461" s="14072" t="s">
        <v>77</v>
      </c>
      <c r="K461" s="9523"/>
      <c r="L461" s="7965"/>
      <c r="M461" s="7965"/>
      <c r="N461" s="9524"/>
      <c r="O461" s="9524"/>
      <c r="P461" s="9525"/>
      <c r="Q461" s="7967"/>
      <c r="R461" s="7968"/>
      <c r="S461" s="7969"/>
      <c r="T461" s="7970"/>
      <c r="U461" s="7967"/>
      <c r="V461" s="7968"/>
      <c r="W461" s="7970"/>
      <c r="X461" s="7968"/>
      <c r="Y461" s="7970"/>
      <c r="Z461" s="7968"/>
      <c r="AA461" s="7969"/>
      <c r="AB461" s="7969"/>
      <c r="AC461" s="7969"/>
      <c r="AD461" s="7969"/>
      <c r="AE461" s="7969"/>
      <c r="AF461" s="7970"/>
      <c r="AG461" s="7968"/>
      <c r="AH461" s="7969"/>
      <c r="AI461" s="7969"/>
      <c r="AJ461" s="7969"/>
      <c r="AK461" s="7969"/>
      <c r="AL461" s="7969"/>
      <c r="AM461" s="7969"/>
      <c r="AN461" s="7970"/>
      <c r="AO461" s="7968"/>
      <c r="AP461" s="7969"/>
      <c r="AQ461" s="7969"/>
      <c r="AR461" s="7969"/>
      <c r="AS461" s="7969"/>
      <c r="AT461" s="7970"/>
      <c r="AU461" s="9526"/>
      <c r="AV461" s="9526"/>
      <c r="AW461" s="9526"/>
      <c r="AX461" s="9523"/>
      <c r="AY461" s="9525"/>
      <c r="AZ461" s="9526"/>
      <c r="BA461" s="9523"/>
      <c r="BB461" s="9524"/>
      <c r="BC461" s="9525"/>
      <c r="BD461" s="9527"/>
      <c r="BF461" s="14482"/>
      <c r="BG461" s="14482"/>
      <c r="BH461" s="14482"/>
      <c r="BI461" s="14482"/>
      <c r="BJ461" s="14482"/>
      <c r="BK461" s="9528"/>
      <c r="BL461" s="14482"/>
      <c r="BM461" s="14482"/>
      <c r="BN461" s="14482"/>
    </row>
    <row r="462" spans="1:66" ht="29.25" hidden="1" customHeight="1">
      <c r="A462" s="13746"/>
      <c r="B462" s="14035"/>
      <c r="C462" s="13592"/>
      <c r="D462" s="12092" t="s">
        <v>10063</v>
      </c>
      <c r="E462" s="12093"/>
      <c r="F462" s="12093" t="s">
        <v>1408</v>
      </c>
      <c r="G462" s="14037"/>
      <c r="H462" s="13510"/>
      <c r="I462" s="14073"/>
      <c r="K462" s="9523"/>
      <c r="L462" s="7965"/>
      <c r="M462" s="7965"/>
      <c r="N462" s="9524"/>
      <c r="O462" s="9524"/>
      <c r="P462" s="9525"/>
      <c r="Q462" s="7967"/>
      <c r="R462" s="7968"/>
      <c r="S462" s="7969"/>
      <c r="T462" s="7970"/>
      <c r="U462" s="7967"/>
      <c r="V462" s="7968"/>
      <c r="W462" s="7970"/>
      <c r="X462" s="7968"/>
      <c r="Y462" s="7970"/>
      <c r="Z462" s="7968"/>
      <c r="AA462" s="7969"/>
      <c r="AB462" s="7969"/>
      <c r="AC462" s="7969"/>
      <c r="AD462" s="7969"/>
      <c r="AE462" s="7969"/>
      <c r="AF462" s="7970"/>
      <c r="AG462" s="7968"/>
      <c r="AH462" s="7969"/>
      <c r="AI462" s="7969"/>
      <c r="AJ462" s="7969"/>
      <c r="AK462" s="7969"/>
      <c r="AL462" s="7969"/>
      <c r="AM462" s="7969"/>
      <c r="AN462" s="7970"/>
      <c r="AO462" s="7968"/>
      <c r="AP462" s="7969"/>
      <c r="AQ462" s="7969"/>
      <c r="AR462" s="7969"/>
      <c r="AS462" s="7969"/>
      <c r="AT462" s="7970"/>
      <c r="AU462" s="9526"/>
      <c r="AV462" s="9526"/>
      <c r="AW462" s="9526"/>
      <c r="AX462" s="9523"/>
      <c r="AY462" s="9525"/>
      <c r="AZ462" s="9526"/>
      <c r="BA462" s="9523"/>
      <c r="BB462" s="9524"/>
      <c r="BC462" s="9525"/>
      <c r="BD462" s="9527"/>
      <c r="BF462" s="14483"/>
      <c r="BG462" s="14483"/>
      <c r="BH462" s="14483"/>
      <c r="BI462" s="14483"/>
      <c r="BJ462" s="14483"/>
      <c r="BK462" s="9512"/>
      <c r="BL462" s="14483"/>
      <c r="BM462" s="14483"/>
      <c r="BN462" s="14483"/>
    </row>
    <row r="463" spans="1:66" ht="29.25" hidden="1" customHeight="1">
      <c r="A463" s="9529">
        <v>299</v>
      </c>
      <c r="B463" s="9530" t="s">
        <v>7875</v>
      </c>
      <c r="C463" s="13592"/>
      <c r="D463" s="12092" t="s">
        <v>65</v>
      </c>
      <c r="E463" s="12093" t="s">
        <v>74</v>
      </c>
      <c r="F463" s="12093"/>
      <c r="G463" s="12094" t="s">
        <v>1409</v>
      </c>
      <c r="H463" s="12095" t="s">
        <v>82</v>
      </c>
      <c r="I463" s="12096" t="s">
        <v>1412</v>
      </c>
      <c r="K463" s="9522"/>
      <c r="L463" s="8443"/>
      <c r="M463" s="8443"/>
      <c r="N463" s="9532"/>
      <c r="O463" s="9532"/>
      <c r="P463" s="9533"/>
      <c r="Q463" s="8446"/>
      <c r="R463" s="8447"/>
      <c r="S463" s="8448"/>
      <c r="T463" s="8449"/>
      <c r="U463" s="8446"/>
      <c r="V463" s="8447"/>
      <c r="W463" s="8449"/>
      <c r="X463" s="8447"/>
      <c r="Y463" s="8449"/>
      <c r="Z463" s="8447"/>
      <c r="AA463" s="8448"/>
      <c r="AB463" s="8448"/>
      <c r="AC463" s="8448"/>
      <c r="AD463" s="8448"/>
      <c r="AE463" s="8448"/>
      <c r="AF463" s="8449"/>
      <c r="AG463" s="8447"/>
      <c r="AH463" s="8448"/>
      <c r="AI463" s="8448"/>
      <c r="AJ463" s="8448"/>
      <c r="AK463" s="8448"/>
      <c r="AL463" s="8448"/>
      <c r="AM463" s="8448"/>
      <c r="AN463" s="8449"/>
      <c r="AO463" s="8447"/>
      <c r="AP463" s="8448"/>
      <c r="AQ463" s="8448"/>
      <c r="AR463" s="8448"/>
      <c r="AS463" s="8448"/>
      <c r="AT463" s="8449"/>
      <c r="AU463" s="9534"/>
      <c r="AV463" s="9534"/>
      <c r="AW463" s="9534"/>
      <c r="AX463" s="9522"/>
      <c r="AY463" s="9533"/>
      <c r="AZ463" s="9534"/>
      <c r="BA463" s="9522"/>
      <c r="BB463" s="9532"/>
      <c r="BC463" s="9533"/>
      <c r="BD463" s="9535"/>
      <c r="BF463" s="9531"/>
      <c r="BG463" s="9531"/>
      <c r="BH463" s="9531"/>
      <c r="BI463" s="9531"/>
      <c r="BJ463" s="9531"/>
      <c r="BK463" s="9531"/>
      <c r="BL463" s="9531"/>
      <c r="BM463" s="9531"/>
      <c r="BN463" s="9531"/>
    </row>
    <row r="464" spans="1:66" ht="29.25" hidden="1" customHeight="1" thickBot="1">
      <c r="A464" s="9536">
        <v>300</v>
      </c>
      <c r="B464" s="9537" t="s">
        <v>7876</v>
      </c>
      <c r="C464" s="13592"/>
      <c r="D464" s="12097" t="s">
        <v>65</v>
      </c>
      <c r="E464" s="12098" t="s">
        <v>74</v>
      </c>
      <c r="F464" s="12098"/>
      <c r="G464" s="12099" t="s">
        <v>1413</v>
      </c>
      <c r="H464" s="12100" t="s">
        <v>1414</v>
      </c>
      <c r="I464" s="12101">
        <v>30</v>
      </c>
      <c r="K464" s="9538"/>
      <c r="L464" s="8464"/>
      <c r="M464" s="8464"/>
      <c r="N464" s="9540"/>
      <c r="O464" s="9540"/>
      <c r="P464" s="9541"/>
      <c r="Q464" s="8467"/>
      <c r="R464" s="8468"/>
      <c r="S464" s="8469"/>
      <c r="T464" s="8470"/>
      <c r="U464" s="8467"/>
      <c r="V464" s="8468"/>
      <c r="W464" s="8470"/>
      <c r="X464" s="8468"/>
      <c r="Y464" s="8470"/>
      <c r="Z464" s="8468"/>
      <c r="AA464" s="8469"/>
      <c r="AB464" s="8469"/>
      <c r="AC464" s="8469"/>
      <c r="AD464" s="8469"/>
      <c r="AE464" s="8469"/>
      <c r="AF464" s="8470"/>
      <c r="AG464" s="8468"/>
      <c r="AH464" s="8469"/>
      <c r="AI464" s="8469"/>
      <c r="AJ464" s="8469"/>
      <c r="AK464" s="8469"/>
      <c r="AL464" s="8469"/>
      <c r="AM464" s="8469"/>
      <c r="AN464" s="8470"/>
      <c r="AO464" s="8468"/>
      <c r="AP464" s="8469"/>
      <c r="AQ464" s="8469"/>
      <c r="AR464" s="8469"/>
      <c r="AS464" s="8469"/>
      <c r="AT464" s="8470"/>
      <c r="AU464" s="9542"/>
      <c r="AV464" s="9542"/>
      <c r="AW464" s="9542"/>
      <c r="AX464" s="9538"/>
      <c r="AY464" s="9541"/>
      <c r="AZ464" s="9542"/>
      <c r="BA464" s="9538"/>
      <c r="BB464" s="9540"/>
      <c r="BC464" s="9541"/>
      <c r="BD464" s="9543"/>
      <c r="BF464" s="9539"/>
      <c r="BG464" s="9539"/>
      <c r="BH464" s="9539"/>
      <c r="BI464" s="9539"/>
      <c r="BJ464" s="9539"/>
      <c r="BK464" s="9539"/>
      <c r="BL464" s="9539"/>
      <c r="BM464" s="9539"/>
      <c r="BN464" s="9539"/>
    </row>
    <row r="465" spans="1:66" ht="29.25" hidden="1" customHeight="1">
      <c r="A465" s="13747">
        <v>301</v>
      </c>
      <c r="B465" s="13991" t="s">
        <v>7877</v>
      </c>
      <c r="C465" s="13592"/>
      <c r="D465" s="12013" t="s">
        <v>86</v>
      </c>
      <c r="E465" s="12014" t="s">
        <v>422</v>
      </c>
      <c r="F465" s="12014"/>
      <c r="G465" s="13994" t="s">
        <v>1418</v>
      </c>
      <c r="H465" s="13490" t="s">
        <v>1419</v>
      </c>
      <c r="I465" s="14064">
        <v>2</v>
      </c>
      <c r="K465" s="13144" t="s">
        <v>1732</v>
      </c>
      <c r="L465" s="12816"/>
      <c r="M465" s="12816"/>
      <c r="N465" s="13145"/>
      <c r="O465" s="13145"/>
      <c r="P465" s="13146" t="s">
        <v>10396</v>
      </c>
      <c r="Q465" s="13146"/>
      <c r="R465" s="13146"/>
      <c r="S465" s="13146"/>
      <c r="T465" s="13147"/>
      <c r="U465" s="13146"/>
      <c r="V465" s="13146"/>
      <c r="W465" s="13146"/>
      <c r="X465" s="13146"/>
      <c r="Y465" s="13146"/>
      <c r="Z465" s="13146"/>
      <c r="AA465" s="13146"/>
      <c r="AB465" s="13146"/>
      <c r="AC465" s="13146"/>
      <c r="AD465" s="13146"/>
      <c r="AE465" s="13146"/>
      <c r="AF465" s="13146"/>
      <c r="AG465" s="13146"/>
      <c r="AH465" s="13146"/>
      <c r="AI465" s="13146"/>
      <c r="AJ465" s="13146"/>
      <c r="AK465" s="13146"/>
      <c r="AL465" s="13146"/>
      <c r="AM465" s="13146"/>
      <c r="AN465" s="13146"/>
      <c r="AO465" s="13146"/>
      <c r="AP465" s="13146"/>
      <c r="AQ465" s="13146"/>
      <c r="AR465" s="13146"/>
      <c r="AS465" s="13146"/>
      <c r="AT465" s="13145"/>
      <c r="AU465" s="13145"/>
      <c r="AV465" s="13145"/>
      <c r="AW465" s="13145"/>
      <c r="AX465" s="13145"/>
      <c r="AY465" s="13145"/>
      <c r="AZ465" s="13145"/>
      <c r="BA465" s="13145"/>
      <c r="BB465" s="13145"/>
      <c r="BC465" s="13145"/>
      <c r="BD465" s="9544"/>
      <c r="BF465" s="14463"/>
      <c r="BG465" s="14463"/>
      <c r="BH465" s="14463"/>
      <c r="BI465" s="14463"/>
      <c r="BJ465" s="14463"/>
      <c r="BK465" s="13062"/>
      <c r="BL465" s="14463"/>
      <c r="BM465" s="14463"/>
      <c r="BN465" s="14463"/>
    </row>
    <row r="466" spans="1:66" ht="29.25" hidden="1" customHeight="1">
      <c r="A466" s="13726"/>
      <c r="B466" s="13992"/>
      <c r="C466" s="13592"/>
      <c r="D466" s="12013" t="s">
        <v>10204</v>
      </c>
      <c r="E466" s="12014"/>
      <c r="F466" s="12014" t="s">
        <v>1421</v>
      </c>
      <c r="G466" s="13995"/>
      <c r="H466" s="13491"/>
      <c r="I466" s="14063"/>
      <c r="K466" s="12815"/>
      <c r="L466" s="12817"/>
      <c r="M466" s="12821" t="s">
        <v>10397</v>
      </c>
      <c r="N466" s="12822"/>
      <c r="O466" s="12822"/>
      <c r="P466" s="12823"/>
      <c r="Q466" s="12823"/>
      <c r="R466" s="12823"/>
      <c r="S466" s="12823"/>
      <c r="T466" s="12824"/>
      <c r="U466" s="12823"/>
      <c r="V466" s="12823"/>
      <c r="W466" s="12823"/>
      <c r="X466" s="12823"/>
      <c r="Y466" s="12823"/>
      <c r="Z466" s="12823"/>
      <c r="AA466" s="12823"/>
      <c r="AB466" s="12823"/>
      <c r="AC466" s="12823"/>
      <c r="AD466" s="12823"/>
      <c r="AE466" s="12823"/>
      <c r="AF466" s="12823"/>
      <c r="AG466" s="12823"/>
      <c r="AH466" s="12823"/>
      <c r="AI466" s="12823"/>
      <c r="AJ466" s="12823"/>
      <c r="AK466" s="12823"/>
      <c r="AL466" s="12823"/>
      <c r="AM466" s="12823"/>
      <c r="AN466" s="12823"/>
      <c r="AO466" s="12823"/>
      <c r="AP466" s="12823"/>
      <c r="AQ466" s="12823"/>
      <c r="AR466" s="12823"/>
      <c r="AS466" s="12823"/>
      <c r="AT466" s="12822"/>
      <c r="AU466" s="12822"/>
      <c r="AV466" s="12822"/>
      <c r="AW466" s="12822"/>
      <c r="AX466" s="12822"/>
      <c r="AY466" s="12822"/>
      <c r="AZ466" s="12822"/>
      <c r="BA466" s="12822"/>
      <c r="BB466" s="12822"/>
      <c r="BC466" s="12822"/>
      <c r="BD466" s="9545"/>
      <c r="BF466" s="14464"/>
      <c r="BG466" s="14464"/>
      <c r="BH466" s="14464"/>
      <c r="BI466" s="14464"/>
      <c r="BJ466" s="14464"/>
      <c r="BK466" s="9291"/>
      <c r="BL466" s="14464"/>
      <c r="BM466" s="14464"/>
      <c r="BN466" s="14464"/>
    </row>
    <row r="467" spans="1:66" ht="29.25" hidden="1" customHeight="1">
      <c r="A467" s="13725">
        <v>302</v>
      </c>
      <c r="B467" s="13979" t="s">
        <v>7878</v>
      </c>
      <c r="C467" s="13592"/>
      <c r="D467" s="12102" t="s">
        <v>26</v>
      </c>
      <c r="E467" s="12015" t="s">
        <v>390</v>
      </c>
      <c r="F467" s="12015"/>
      <c r="G467" s="13981" t="s">
        <v>1422</v>
      </c>
      <c r="H467" s="13492" t="s">
        <v>1423</v>
      </c>
      <c r="I467" s="14062">
        <v>3</v>
      </c>
      <c r="K467" s="12814" t="s">
        <v>2951</v>
      </c>
      <c r="L467" s="12816" t="s">
        <v>2951</v>
      </c>
      <c r="M467" s="12816" t="s">
        <v>2951</v>
      </c>
      <c r="N467" s="12818" t="s">
        <v>10396</v>
      </c>
      <c r="O467" s="12816" t="s">
        <v>2951</v>
      </c>
      <c r="P467" s="12819" t="s">
        <v>2951</v>
      </c>
      <c r="Q467" s="12819" t="s">
        <v>2951</v>
      </c>
      <c r="R467" s="12819" t="s">
        <v>2951</v>
      </c>
      <c r="S467" s="12819" t="s">
        <v>2951</v>
      </c>
      <c r="T467" s="12820" t="s">
        <v>2951</v>
      </c>
      <c r="U467" s="12819" t="s">
        <v>2951</v>
      </c>
      <c r="V467" s="12819" t="s">
        <v>2951</v>
      </c>
      <c r="W467" s="12819" t="s">
        <v>2951</v>
      </c>
      <c r="X467" s="12819" t="s">
        <v>2951</v>
      </c>
      <c r="Y467" s="12819" t="s">
        <v>2951</v>
      </c>
      <c r="Z467" s="12819" t="s">
        <v>2951</v>
      </c>
      <c r="AA467" s="12819" t="s">
        <v>2951</v>
      </c>
      <c r="AB467" s="12819" t="s">
        <v>2951</v>
      </c>
      <c r="AC467" s="12819" t="s">
        <v>2951</v>
      </c>
      <c r="AD467" s="12819" t="s">
        <v>2951</v>
      </c>
      <c r="AE467" s="12819" t="s">
        <v>2951</v>
      </c>
      <c r="AF467" s="12819" t="s">
        <v>2951</v>
      </c>
      <c r="AG467" s="12819" t="s">
        <v>2951</v>
      </c>
      <c r="AH467" s="12819" t="s">
        <v>2951</v>
      </c>
      <c r="AI467" s="12819" t="s">
        <v>2951</v>
      </c>
      <c r="AJ467" s="12819" t="s">
        <v>2951</v>
      </c>
      <c r="AK467" s="12819" t="s">
        <v>2951</v>
      </c>
      <c r="AL467" s="12819" t="s">
        <v>2951</v>
      </c>
      <c r="AM467" s="12819" t="s">
        <v>2951</v>
      </c>
      <c r="AN467" s="12819" t="s">
        <v>2951</v>
      </c>
      <c r="AO467" s="12819" t="s">
        <v>2951</v>
      </c>
      <c r="AP467" s="12819" t="s">
        <v>2951</v>
      </c>
      <c r="AQ467" s="12819" t="s">
        <v>2951</v>
      </c>
      <c r="AR467" s="12819" t="s">
        <v>2951</v>
      </c>
      <c r="AS467" s="12819" t="s">
        <v>2951</v>
      </c>
      <c r="AT467" s="12816" t="s">
        <v>2951</v>
      </c>
      <c r="AU467" s="12816" t="s">
        <v>2951</v>
      </c>
      <c r="AV467" s="12816" t="s">
        <v>2951</v>
      </c>
      <c r="AW467" s="12816" t="s">
        <v>2951</v>
      </c>
      <c r="AX467" s="12816" t="s">
        <v>2951</v>
      </c>
      <c r="AY467" s="12816" t="s">
        <v>2951</v>
      </c>
      <c r="AZ467" s="12816" t="s">
        <v>2951</v>
      </c>
      <c r="BA467" s="12816" t="s">
        <v>2951</v>
      </c>
      <c r="BB467" s="12816" t="s">
        <v>2951</v>
      </c>
      <c r="BC467" s="12816" t="s">
        <v>2951</v>
      </c>
      <c r="BD467" s="9545"/>
      <c r="BF467" s="14465"/>
      <c r="BG467" s="14465"/>
      <c r="BH467" s="14465"/>
      <c r="BI467" s="14465"/>
      <c r="BJ467" s="14465"/>
      <c r="BK467" s="9292"/>
      <c r="BL467" s="14465"/>
      <c r="BM467" s="14465"/>
      <c r="BN467" s="14465"/>
    </row>
    <row r="468" spans="1:66" ht="29.25" hidden="1" customHeight="1">
      <c r="A468" s="13727"/>
      <c r="B468" s="13991"/>
      <c r="C468" s="13592"/>
      <c r="D468" s="12102" t="s">
        <v>477</v>
      </c>
      <c r="E468" s="12015"/>
      <c r="F468" s="12015" t="s">
        <v>10221</v>
      </c>
      <c r="G468" s="13994"/>
      <c r="H468" s="13490"/>
      <c r="I468" s="14064"/>
      <c r="K468" s="12814" t="s">
        <v>10388</v>
      </c>
      <c r="L468" s="12816">
        <v>0</v>
      </c>
      <c r="M468" s="12816">
        <v>3</v>
      </c>
      <c r="N468" s="12825" t="s">
        <v>10398</v>
      </c>
      <c r="O468" s="12816" t="s">
        <v>3585</v>
      </c>
      <c r="P468" s="12826">
        <v>946500</v>
      </c>
      <c r="Q468" s="12826">
        <v>946500</v>
      </c>
      <c r="R468" s="12827"/>
      <c r="S468" s="12819"/>
      <c r="T468" s="12820"/>
      <c r="U468" s="12819">
        <v>10</v>
      </c>
      <c r="V468" s="12819">
        <v>2</v>
      </c>
      <c r="W468" s="12819">
        <v>8</v>
      </c>
      <c r="X468" s="12819">
        <v>10</v>
      </c>
      <c r="Y468" s="12819">
        <v>0</v>
      </c>
      <c r="Z468" s="12819">
        <v>0</v>
      </c>
      <c r="AA468" s="12819">
        <v>0</v>
      </c>
      <c r="AB468" s="12819">
        <v>0</v>
      </c>
      <c r="AC468" s="12819">
        <v>5</v>
      </c>
      <c r="AD468" s="12819">
        <v>5</v>
      </c>
      <c r="AE468" s="12819">
        <v>0</v>
      </c>
      <c r="AF468" s="12819">
        <v>0</v>
      </c>
      <c r="AG468" s="12819">
        <v>0</v>
      </c>
      <c r="AH468" s="12819">
        <v>0</v>
      </c>
      <c r="AI468" s="12819">
        <v>10</v>
      </c>
      <c r="AJ468" s="12819">
        <v>0</v>
      </c>
      <c r="AK468" s="12819">
        <v>0</v>
      </c>
      <c r="AL468" s="12819">
        <v>0</v>
      </c>
      <c r="AM468" s="12819">
        <v>0</v>
      </c>
      <c r="AN468" s="12819">
        <v>0</v>
      </c>
      <c r="AO468" s="12819">
        <v>0</v>
      </c>
      <c r="AP468" s="12819">
        <v>0</v>
      </c>
      <c r="AQ468" s="12819">
        <v>10</v>
      </c>
      <c r="AR468" s="12819">
        <v>0</v>
      </c>
      <c r="AS468" s="12819">
        <v>0</v>
      </c>
      <c r="AT468" s="12816">
        <v>0</v>
      </c>
      <c r="AU468" s="12816"/>
      <c r="AV468" s="12816"/>
      <c r="AW468" s="12816"/>
      <c r="AX468" s="12816"/>
      <c r="AY468" s="12816"/>
      <c r="AZ468" s="12816"/>
      <c r="BA468" s="12816"/>
      <c r="BB468" s="12816"/>
      <c r="BC468" s="12816"/>
      <c r="BD468" s="9545"/>
      <c r="BF468" s="14463"/>
      <c r="BG468" s="14463"/>
      <c r="BH468" s="14463"/>
      <c r="BI468" s="14463"/>
      <c r="BJ468" s="14463"/>
      <c r="BK468" s="9290"/>
      <c r="BL468" s="14463"/>
      <c r="BM468" s="14463"/>
      <c r="BN468" s="14463"/>
    </row>
    <row r="469" spans="1:66" ht="29.25" hidden="1" customHeight="1">
      <c r="A469" s="13726"/>
      <c r="B469" s="13992"/>
      <c r="C469" s="13592"/>
      <c r="D469" s="12102" t="s">
        <v>10204</v>
      </c>
      <c r="E469" s="12015"/>
      <c r="F469" s="12015" t="s">
        <v>10222</v>
      </c>
      <c r="G469" s="13995"/>
      <c r="H469" s="13491"/>
      <c r="I469" s="14063"/>
      <c r="K469" s="12814" t="s">
        <v>10394</v>
      </c>
      <c r="L469" s="12828">
        <v>0.5</v>
      </c>
      <c r="M469" s="12816" t="s">
        <v>10399</v>
      </c>
      <c r="N469" s="12816" t="s">
        <v>10400</v>
      </c>
      <c r="O469" s="12816"/>
      <c r="P469" s="12819"/>
      <c r="Q469" s="12819"/>
      <c r="R469" s="12819"/>
      <c r="S469" s="12819"/>
      <c r="T469" s="12820"/>
      <c r="U469" s="12819"/>
      <c r="V469" s="12819"/>
      <c r="W469" s="12819"/>
      <c r="X469" s="12819"/>
      <c r="Y469" s="12819"/>
      <c r="Z469" s="12819"/>
      <c r="AA469" s="12819"/>
      <c r="AB469" s="12819"/>
      <c r="AC469" s="12819"/>
      <c r="AD469" s="12819"/>
      <c r="AE469" s="12819"/>
      <c r="AF469" s="12819"/>
      <c r="AG469" s="12819"/>
      <c r="AH469" s="12819"/>
      <c r="AI469" s="12819"/>
      <c r="AJ469" s="12819"/>
      <c r="AK469" s="12819"/>
      <c r="AL469" s="12819"/>
      <c r="AM469" s="12819"/>
      <c r="AN469" s="12819"/>
      <c r="AO469" s="12819"/>
      <c r="AP469" s="12819"/>
      <c r="AQ469" s="12819" t="s">
        <v>2951</v>
      </c>
      <c r="AR469" s="12819" t="s">
        <v>2951</v>
      </c>
      <c r="AS469" s="12819" t="s">
        <v>2951</v>
      </c>
      <c r="AT469" s="12816" t="s">
        <v>2951</v>
      </c>
      <c r="AU469" s="12816" t="s">
        <v>2951</v>
      </c>
      <c r="AV469" s="12816" t="s">
        <v>2951</v>
      </c>
      <c r="AW469" s="12816" t="s">
        <v>2951</v>
      </c>
      <c r="AX469" s="12816" t="s">
        <v>2951</v>
      </c>
      <c r="AY469" s="12816" t="s">
        <v>2951</v>
      </c>
      <c r="AZ469" s="12816" t="s">
        <v>2951</v>
      </c>
      <c r="BA469" s="12816" t="s">
        <v>2951</v>
      </c>
      <c r="BB469" s="12816" t="s">
        <v>2951</v>
      </c>
      <c r="BC469" s="12816" t="s">
        <v>2951</v>
      </c>
      <c r="BD469" s="9545"/>
      <c r="BF469" s="14464"/>
      <c r="BG469" s="14464"/>
      <c r="BH469" s="14464"/>
      <c r="BI469" s="14464"/>
      <c r="BJ469" s="14464"/>
      <c r="BK469" s="9291"/>
      <c r="BL469" s="14464"/>
      <c r="BM469" s="14464"/>
      <c r="BN469" s="14464"/>
    </row>
    <row r="470" spans="1:66" ht="29.25" hidden="1" customHeight="1">
      <c r="A470" s="13725">
        <v>303</v>
      </c>
      <c r="B470" s="13979" t="s">
        <v>7879</v>
      </c>
      <c r="C470" s="13592"/>
      <c r="D470" s="12102" t="s">
        <v>86</v>
      </c>
      <c r="E470" s="12015" t="s">
        <v>422</v>
      </c>
      <c r="F470" s="12015"/>
      <c r="G470" s="13981" t="s">
        <v>1426</v>
      </c>
      <c r="H470" s="13492" t="s">
        <v>1427</v>
      </c>
      <c r="I470" s="14062">
        <v>6</v>
      </c>
      <c r="K470" s="13144" t="s">
        <v>1732</v>
      </c>
      <c r="L470" s="12816"/>
      <c r="M470" s="12816"/>
      <c r="N470" s="13145"/>
      <c r="O470" s="13145"/>
      <c r="P470" s="13146" t="s">
        <v>10396</v>
      </c>
      <c r="Q470" s="13146"/>
      <c r="R470" s="13146"/>
      <c r="S470" s="13146"/>
      <c r="T470" s="13147"/>
      <c r="U470" s="13146"/>
      <c r="V470" s="13146"/>
      <c r="W470" s="13146"/>
      <c r="X470" s="13146"/>
      <c r="Y470" s="13146"/>
      <c r="Z470" s="13146"/>
      <c r="AA470" s="13146"/>
      <c r="AB470" s="13146"/>
      <c r="AC470" s="13146"/>
      <c r="AD470" s="13146"/>
      <c r="AE470" s="13146"/>
      <c r="AF470" s="13146"/>
      <c r="AG470" s="13146"/>
      <c r="AH470" s="13146"/>
      <c r="AI470" s="13146"/>
      <c r="AJ470" s="13146"/>
      <c r="AK470" s="13146"/>
      <c r="AL470" s="13146"/>
      <c r="AM470" s="13146"/>
      <c r="AN470" s="13146"/>
      <c r="AO470" s="13146"/>
      <c r="AP470" s="13146"/>
      <c r="AQ470" s="13146"/>
      <c r="AR470" s="13146"/>
      <c r="AS470" s="13146"/>
      <c r="AT470" s="13145"/>
      <c r="AU470" s="13145"/>
      <c r="AV470" s="13145"/>
      <c r="AW470" s="13145"/>
      <c r="AX470" s="13145"/>
      <c r="AY470" s="13145"/>
      <c r="AZ470" s="13145"/>
      <c r="BA470" s="13145"/>
      <c r="BB470" s="13145"/>
      <c r="BC470" s="13145"/>
      <c r="BD470" s="9545"/>
      <c r="BF470" s="14465"/>
      <c r="BG470" s="14465"/>
      <c r="BH470" s="14465"/>
      <c r="BI470" s="14465"/>
      <c r="BJ470" s="14465"/>
      <c r="BK470" s="13063"/>
      <c r="BL470" s="14465"/>
      <c r="BM470" s="14465"/>
      <c r="BN470" s="14465"/>
    </row>
    <row r="471" spans="1:66" ht="29.25" hidden="1" customHeight="1">
      <c r="A471" s="13727"/>
      <c r="B471" s="13991"/>
      <c r="C471" s="13592"/>
      <c r="D471" s="12102" t="s">
        <v>10072</v>
      </c>
      <c r="E471" s="12015"/>
      <c r="F471" s="12015" t="s">
        <v>93</v>
      </c>
      <c r="G471" s="13994"/>
      <c r="H471" s="13490"/>
      <c r="I471" s="14064"/>
      <c r="K471" s="12814" t="s">
        <v>2951</v>
      </c>
      <c r="L471" s="12816" t="s">
        <v>2951</v>
      </c>
      <c r="M471" s="12816" t="s">
        <v>2951</v>
      </c>
      <c r="N471" s="12816" t="s">
        <v>10396</v>
      </c>
      <c r="O471" s="12816" t="s">
        <v>2951</v>
      </c>
      <c r="P471" s="12819" t="s">
        <v>2951</v>
      </c>
      <c r="Q471" s="12819" t="s">
        <v>2951</v>
      </c>
      <c r="R471" s="12819" t="s">
        <v>2951</v>
      </c>
      <c r="S471" s="12819" t="s">
        <v>2951</v>
      </c>
      <c r="T471" s="12820" t="s">
        <v>2951</v>
      </c>
      <c r="U471" s="12819" t="s">
        <v>2951</v>
      </c>
      <c r="V471" s="12819" t="s">
        <v>2951</v>
      </c>
      <c r="W471" s="12819" t="s">
        <v>2951</v>
      </c>
      <c r="X471" s="12819" t="s">
        <v>2951</v>
      </c>
      <c r="Y471" s="12819" t="s">
        <v>2951</v>
      </c>
      <c r="Z471" s="12819" t="s">
        <v>2951</v>
      </c>
      <c r="AA471" s="12819" t="s">
        <v>2951</v>
      </c>
      <c r="AB471" s="12819" t="s">
        <v>2951</v>
      </c>
      <c r="AC471" s="12819" t="s">
        <v>2951</v>
      </c>
      <c r="AD471" s="12819" t="s">
        <v>2951</v>
      </c>
      <c r="AE471" s="12819" t="s">
        <v>2951</v>
      </c>
      <c r="AF471" s="12819" t="s">
        <v>2951</v>
      </c>
      <c r="AG471" s="12819" t="s">
        <v>2951</v>
      </c>
      <c r="AH471" s="12819" t="s">
        <v>2951</v>
      </c>
      <c r="AI471" s="12819" t="s">
        <v>2951</v>
      </c>
      <c r="AJ471" s="12819" t="s">
        <v>2951</v>
      </c>
      <c r="AK471" s="12819" t="s">
        <v>2951</v>
      </c>
      <c r="AL471" s="12819" t="s">
        <v>2951</v>
      </c>
      <c r="AM471" s="12819" t="s">
        <v>2951</v>
      </c>
      <c r="AN471" s="12819" t="s">
        <v>2951</v>
      </c>
      <c r="AO471" s="12819" t="s">
        <v>2951</v>
      </c>
      <c r="AP471" s="12819" t="s">
        <v>2951</v>
      </c>
      <c r="AQ471" s="12819" t="s">
        <v>2951</v>
      </c>
      <c r="AR471" s="12819" t="s">
        <v>2951</v>
      </c>
      <c r="AS471" s="12819" t="s">
        <v>2951</v>
      </c>
      <c r="AT471" s="12816" t="s">
        <v>2951</v>
      </c>
      <c r="AU471" s="12816" t="s">
        <v>2951</v>
      </c>
      <c r="AV471" s="12816" t="s">
        <v>2951</v>
      </c>
      <c r="AW471" s="12816" t="s">
        <v>2951</v>
      </c>
      <c r="AX471" s="12816" t="s">
        <v>2951</v>
      </c>
      <c r="AY471" s="12816" t="s">
        <v>2951</v>
      </c>
      <c r="AZ471" s="12816" t="s">
        <v>2951</v>
      </c>
      <c r="BA471" s="12816" t="s">
        <v>2951</v>
      </c>
      <c r="BB471" s="12816" t="s">
        <v>2951</v>
      </c>
      <c r="BC471" s="12816" t="s">
        <v>2951</v>
      </c>
      <c r="BD471" s="9545"/>
      <c r="BF471" s="14463"/>
      <c r="BG471" s="14463"/>
      <c r="BH471" s="14463"/>
      <c r="BI471" s="14463"/>
      <c r="BJ471" s="14463"/>
      <c r="BK471" s="9290"/>
      <c r="BL471" s="14463"/>
      <c r="BM471" s="14463"/>
      <c r="BN471" s="14463"/>
    </row>
    <row r="472" spans="1:66" ht="29.25" hidden="1" customHeight="1">
      <c r="A472" s="13726"/>
      <c r="B472" s="13992"/>
      <c r="C472" s="13592"/>
      <c r="D472" s="12102" t="s">
        <v>10063</v>
      </c>
      <c r="E472" s="12015"/>
      <c r="F472" s="12015" t="s">
        <v>724</v>
      </c>
      <c r="G472" s="13995"/>
      <c r="H472" s="13491"/>
      <c r="I472" s="14063"/>
      <c r="K472" s="12814" t="s">
        <v>2951</v>
      </c>
      <c r="L472" s="12816" t="s">
        <v>2951</v>
      </c>
      <c r="M472" s="12816" t="s">
        <v>2951</v>
      </c>
      <c r="N472" s="12816" t="s">
        <v>10396</v>
      </c>
      <c r="O472" s="12816" t="s">
        <v>2951</v>
      </c>
      <c r="P472" s="12819" t="s">
        <v>2951</v>
      </c>
      <c r="Q472" s="12819" t="s">
        <v>2951</v>
      </c>
      <c r="R472" s="12819" t="s">
        <v>2951</v>
      </c>
      <c r="S472" s="12819" t="s">
        <v>2951</v>
      </c>
      <c r="T472" s="12820" t="s">
        <v>2951</v>
      </c>
      <c r="U472" s="12819" t="s">
        <v>2951</v>
      </c>
      <c r="V472" s="12819" t="s">
        <v>2951</v>
      </c>
      <c r="W472" s="12819" t="s">
        <v>2951</v>
      </c>
      <c r="X472" s="12819" t="s">
        <v>2951</v>
      </c>
      <c r="Y472" s="12819" t="s">
        <v>2951</v>
      </c>
      <c r="Z472" s="12819" t="s">
        <v>2951</v>
      </c>
      <c r="AA472" s="12819" t="s">
        <v>2951</v>
      </c>
      <c r="AB472" s="12819" t="s">
        <v>2951</v>
      </c>
      <c r="AC472" s="12819" t="s">
        <v>2951</v>
      </c>
      <c r="AD472" s="12819" t="s">
        <v>2951</v>
      </c>
      <c r="AE472" s="12819" t="s">
        <v>2951</v>
      </c>
      <c r="AF472" s="12819" t="s">
        <v>2951</v>
      </c>
      <c r="AG472" s="12819" t="s">
        <v>2951</v>
      </c>
      <c r="AH472" s="12819" t="s">
        <v>2951</v>
      </c>
      <c r="AI472" s="12819" t="s">
        <v>2951</v>
      </c>
      <c r="AJ472" s="12819" t="s">
        <v>2951</v>
      </c>
      <c r="AK472" s="12819" t="s">
        <v>2951</v>
      </c>
      <c r="AL472" s="12819" t="s">
        <v>2951</v>
      </c>
      <c r="AM472" s="12819" t="s">
        <v>2951</v>
      </c>
      <c r="AN472" s="12819" t="s">
        <v>2951</v>
      </c>
      <c r="AO472" s="12819" t="s">
        <v>2951</v>
      </c>
      <c r="AP472" s="12819" t="s">
        <v>2951</v>
      </c>
      <c r="AQ472" s="12819" t="s">
        <v>2951</v>
      </c>
      <c r="AR472" s="12819" t="s">
        <v>2951</v>
      </c>
      <c r="AS472" s="12819" t="s">
        <v>2951</v>
      </c>
      <c r="AT472" s="12816" t="s">
        <v>2951</v>
      </c>
      <c r="AU472" s="12816" t="s">
        <v>2951</v>
      </c>
      <c r="AV472" s="12816" t="s">
        <v>2951</v>
      </c>
      <c r="AW472" s="12816" t="s">
        <v>2951</v>
      </c>
      <c r="AX472" s="12816" t="s">
        <v>2951</v>
      </c>
      <c r="AY472" s="12816" t="s">
        <v>2951</v>
      </c>
      <c r="AZ472" s="12816" t="s">
        <v>2951</v>
      </c>
      <c r="BA472" s="12816" t="s">
        <v>2951</v>
      </c>
      <c r="BB472" s="12816" t="s">
        <v>2951</v>
      </c>
      <c r="BC472" s="12816" t="s">
        <v>2951</v>
      </c>
      <c r="BD472" s="9545"/>
      <c r="BF472" s="14464"/>
      <c r="BG472" s="14464"/>
      <c r="BH472" s="14464"/>
      <c r="BI472" s="14464"/>
      <c r="BJ472" s="14464"/>
      <c r="BK472" s="9291"/>
      <c r="BL472" s="14464"/>
      <c r="BM472" s="14464"/>
      <c r="BN472" s="14464"/>
    </row>
    <row r="473" spans="1:66" ht="29.25" hidden="1" customHeight="1">
      <c r="A473" s="13725">
        <v>304</v>
      </c>
      <c r="B473" s="13979" t="s">
        <v>7880</v>
      </c>
      <c r="C473" s="13592"/>
      <c r="D473" s="12102" t="s">
        <v>86</v>
      </c>
      <c r="E473" s="12015" t="s">
        <v>422</v>
      </c>
      <c r="F473" s="12015"/>
      <c r="G473" s="13981" t="s">
        <v>1428</v>
      </c>
      <c r="H473" s="13492" t="s">
        <v>1429</v>
      </c>
      <c r="I473" s="14062">
        <v>10</v>
      </c>
      <c r="K473" s="13144" t="s">
        <v>1732</v>
      </c>
      <c r="L473" s="12816"/>
      <c r="M473" s="12816"/>
      <c r="N473" s="13145"/>
      <c r="O473" s="13145"/>
      <c r="P473" s="13146" t="s">
        <v>10396</v>
      </c>
      <c r="Q473" s="13146"/>
      <c r="R473" s="13146"/>
      <c r="S473" s="13146"/>
      <c r="T473" s="13147"/>
      <c r="U473" s="13146"/>
      <c r="V473" s="13146"/>
      <c r="W473" s="13146"/>
      <c r="X473" s="13146"/>
      <c r="Y473" s="13146"/>
      <c r="Z473" s="13146"/>
      <c r="AA473" s="13146"/>
      <c r="AB473" s="13146"/>
      <c r="AC473" s="13146"/>
      <c r="AD473" s="13146"/>
      <c r="AE473" s="13146"/>
      <c r="AF473" s="13146"/>
      <c r="AG473" s="13146"/>
      <c r="AH473" s="13146"/>
      <c r="AI473" s="13146"/>
      <c r="AJ473" s="13146"/>
      <c r="AK473" s="13146"/>
      <c r="AL473" s="13146"/>
      <c r="AM473" s="13146"/>
      <c r="AN473" s="13146"/>
      <c r="AO473" s="13146"/>
      <c r="AP473" s="13146"/>
      <c r="AQ473" s="13146"/>
      <c r="AR473" s="13146"/>
      <c r="AS473" s="13146"/>
      <c r="AT473" s="13145"/>
      <c r="AU473" s="13145"/>
      <c r="AV473" s="13145"/>
      <c r="AW473" s="13145"/>
      <c r="AX473" s="13145"/>
      <c r="AY473" s="13145"/>
      <c r="AZ473" s="13145"/>
      <c r="BA473" s="13145"/>
      <c r="BB473" s="13145"/>
      <c r="BC473" s="13145"/>
      <c r="BD473" s="9545"/>
      <c r="BF473" s="14465"/>
      <c r="BG473" s="14465"/>
      <c r="BH473" s="14465"/>
      <c r="BI473" s="14465"/>
      <c r="BJ473" s="14465"/>
      <c r="BK473" s="13063"/>
      <c r="BL473" s="14465"/>
      <c r="BM473" s="14465"/>
      <c r="BN473" s="14465"/>
    </row>
    <row r="474" spans="1:66" ht="29.25" hidden="1" customHeight="1">
      <c r="A474" s="13727"/>
      <c r="B474" s="13991"/>
      <c r="C474" s="13592"/>
      <c r="D474" s="12102" t="s">
        <v>329</v>
      </c>
      <c r="E474" s="12015"/>
      <c r="F474" s="12015" t="s">
        <v>329</v>
      </c>
      <c r="G474" s="13994"/>
      <c r="H474" s="13490"/>
      <c r="I474" s="14064"/>
      <c r="K474" s="12814" t="s">
        <v>2951</v>
      </c>
      <c r="L474" s="12816" t="s">
        <v>2951</v>
      </c>
      <c r="M474" s="12816" t="s">
        <v>2951</v>
      </c>
      <c r="N474" s="12816" t="s">
        <v>10396</v>
      </c>
      <c r="O474" s="12816" t="s">
        <v>2951</v>
      </c>
      <c r="P474" s="12819" t="s">
        <v>2951</v>
      </c>
      <c r="Q474" s="12819" t="s">
        <v>2951</v>
      </c>
      <c r="R474" s="12819" t="s">
        <v>2951</v>
      </c>
      <c r="S474" s="12819" t="s">
        <v>2951</v>
      </c>
      <c r="T474" s="12820" t="s">
        <v>2951</v>
      </c>
      <c r="U474" s="12819" t="s">
        <v>2951</v>
      </c>
      <c r="V474" s="12819" t="s">
        <v>2951</v>
      </c>
      <c r="W474" s="12819" t="s">
        <v>2951</v>
      </c>
      <c r="X474" s="12819" t="s">
        <v>2951</v>
      </c>
      <c r="Y474" s="12819" t="s">
        <v>2951</v>
      </c>
      <c r="Z474" s="12819" t="s">
        <v>2951</v>
      </c>
      <c r="AA474" s="12819" t="s">
        <v>2951</v>
      </c>
      <c r="AB474" s="12819" t="s">
        <v>2951</v>
      </c>
      <c r="AC474" s="12819" t="s">
        <v>2951</v>
      </c>
      <c r="AD474" s="12819" t="s">
        <v>2951</v>
      </c>
      <c r="AE474" s="12819" t="s">
        <v>2951</v>
      </c>
      <c r="AF474" s="12819" t="s">
        <v>2951</v>
      </c>
      <c r="AG474" s="12819" t="s">
        <v>2951</v>
      </c>
      <c r="AH474" s="12819" t="s">
        <v>2951</v>
      </c>
      <c r="AI474" s="12819" t="s">
        <v>2951</v>
      </c>
      <c r="AJ474" s="12819" t="s">
        <v>2951</v>
      </c>
      <c r="AK474" s="12819" t="s">
        <v>2951</v>
      </c>
      <c r="AL474" s="12819" t="s">
        <v>2951</v>
      </c>
      <c r="AM474" s="12819" t="s">
        <v>2951</v>
      </c>
      <c r="AN474" s="12819" t="s">
        <v>2951</v>
      </c>
      <c r="AO474" s="12819" t="s">
        <v>2951</v>
      </c>
      <c r="AP474" s="12819" t="s">
        <v>2951</v>
      </c>
      <c r="AQ474" s="12819" t="s">
        <v>2951</v>
      </c>
      <c r="AR474" s="12819" t="s">
        <v>2951</v>
      </c>
      <c r="AS474" s="12819" t="s">
        <v>2951</v>
      </c>
      <c r="AT474" s="12816" t="s">
        <v>2951</v>
      </c>
      <c r="AU474" s="12816" t="s">
        <v>2951</v>
      </c>
      <c r="AV474" s="12816" t="s">
        <v>2951</v>
      </c>
      <c r="AW474" s="12816" t="s">
        <v>2951</v>
      </c>
      <c r="AX474" s="12816" t="s">
        <v>2951</v>
      </c>
      <c r="AY474" s="12816" t="s">
        <v>2951</v>
      </c>
      <c r="AZ474" s="12816" t="s">
        <v>2951</v>
      </c>
      <c r="BA474" s="12816" t="s">
        <v>2951</v>
      </c>
      <c r="BB474" s="12816" t="s">
        <v>2951</v>
      </c>
      <c r="BC474" s="12816" t="s">
        <v>2951</v>
      </c>
      <c r="BD474" s="9545"/>
      <c r="BF474" s="14463"/>
      <c r="BG474" s="14463"/>
      <c r="BH474" s="14463"/>
      <c r="BI474" s="14463"/>
      <c r="BJ474" s="14463"/>
      <c r="BK474" s="9290"/>
      <c r="BL474" s="14463"/>
      <c r="BM474" s="14463"/>
      <c r="BN474" s="14463"/>
    </row>
    <row r="475" spans="1:66" ht="29.25" hidden="1" customHeight="1">
      <c r="A475" s="13726"/>
      <c r="B475" s="13992"/>
      <c r="C475" s="13592"/>
      <c r="D475" s="12102" t="s">
        <v>10194</v>
      </c>
      <c r="E475" s="12015"/>
      <c r="F475" s="12015" t="s">
        <v>733</v>
      </c>
      <c r="G475" s="13995"/>
      <c r="H475" s="13491"/>
      <c r="I475" s="14063"/>
      <c r="K475" s="12814" t="s">
        <v>2951</v>
      </c>
      <c r="L475" s="12816" t="s">
        <v>2951</v>
      </c>
      <c r="M475" s="12816" t="s">
        <v>2951</v>
      </c>
      <c r="N475" s="12816" t="s">
        <v>10401</v>
      </c>
      <c r="O475" s="12816" t="s">
        <v>2951</v>
      </c>
      <c r="P475" s="12819" t="s">
        <v>2951</v>
      </c>
      <c r="Q475" s="12819" t="s">
        <v>2951</v>
      </c>
      <c r="R475" s="12819" t="s">
        <v>2951</v>
      </c>
      <c r="S475" s="12819" t="s">
        <v>2951</v>
      </c>
      <c r="T475" s="12820" t="s">
        <v>2951</v>
      </c>
      <c r="U475" s="12819" t="s">
        <v>2951</v>
      </c>
      <c r="V475" s="12819" t="s">
        <v>2951</v>
      </c>
      <c r="W475" s="12819" t="s">
        <v>2951</v>
      </c>
      <c r="X475" s="12819" t="s">
        <v>2951</v>
      </c>
      <c r="Y475" s="12819" t="s">
        <v>2951</v>
      </c>
      <c r="Z475" s="12819" t="s">
        <v>2951</v>
      </c>
      <c r="AA475" s="12819" t="s">
        <v>2951</v>
      </c>
      <c r="AB475" s="12819" t="s">
        <v>2951</v>
      </c>
      <c r="AC475" s="12819" t="s">
        <v>2951</v>
      </c>
      <c r="AD475" s="12819" t="s">
        <v>2951</v>
      </c>
      <c r="AE475" s="12819" t="s">
        <v>2951</v>
      </c>
      <c r="AF475" s="12819" t="s">
        <v>2951</v>
      </c>
      <c r="AG475" s="12819" t="s">
        <v>2951</v>
      </c>
      <c r="AH475" s="12819" t="s">
        <v>2951</v>
      </c>
      <c r="AI475" s="12819" t="s">
        <v>2951</v>
      </c>
      <c r="AJ475" s="12819" t="s">
        <v>2951</v>
      </c>
      <c r="AK475" s="12819" t="s">
        <v>2951</v>
      </c>
      <c r="AL475" s="12819" t="s">
        <v>2951</v>
      </c>
      <c r="AM475" s="12819" t="s">
        <v>2951</v>
      </c>
      <c r="AN475" s="12819" t="s">
        <v>2951</v>
      </c>
      <c r="AO475" s="12819" t="s">
        <v>2951</v>
      </c>
      <c r="AP475" s="12819" t="s">
        <v>2951</v>
      </c>
      <c r="AQ475" s="12819" t="s">
        <v>2951</v>
      </c>
      <c r="AR475" s="12819" t="s">
        <v>2951</v>
      </c>
      <c r="AS475" s="12819" t="s">
        <v>2951</v>
      </c>
      <c r="AT475" s="12816" t="s">
        <v>2951</v>
      </c>
      <c r="AU475" s="12816" t="s">
        <v>2951</v>
      </c>
      <c r="AV475" s="12816" t="s">
        <v>2951</v>
      </c>
      <c r="AW475" s="12816" t="s">
        <v>2951</v>
      </c>
      <c r="AX475" s="12816" t="s">
        <v>2951</v>
      </c>
      <c r="AY475" s="12816" t="s">
        <v>2951</v>
      </c>
      <c r="AZ475" s="12816" t="s">
        <v>2951</v>
      </c>
      <c r="BA475" s="12816" t="s">
        <v>2951</v>
      </c>
      <c r="BB475" s="12816" t="s">
        <v>2951</v>
      </c>
      <c r="BC475" s="12816" t="s">
        <v>2951</v>
      </c>
      <c r="BD475" s="9545"/>
      <c r="BF475" s="14464"/>
      <c r="BG475" s="14464"/>
      <c r="BH475" s="14464"/>
      <c r="BI475" s="14464"/>
      <c r="BJ475" s="14464"/>
      <c r="BK475" s="9291"/>
      <c r="BL475" s="14464"/>
      <c r="BM475" s="14464"/>
      <c r="BN475" s="14464"/>
    </row>
    <row r="476" spans="1:66" ht="29.25" hidden="1" customHeight="1">
      <c r="A476" s="9546">
        <v>305</v>
      </c>
      <c r="B476" s="9547" t="s">
        <v>7881</v>
      </c>
      <c r="C476" s="13592"/>
      <c r="D476" s="12102" t="s">
        <v>86</v>
      </c>
      <c r="E476" s="12015" t="s">
        <v>422</v>
      </c>
      <c r="F476" s="12015"/>
      <c r="G476" s="12103" t="s">
        <v>1431</v>
      </c>
      <c r="H476" s="12104" t="s">
        <v>95</v>
      </c>
      <c r="I476" s="12105">
        <v>2</v>
      </c>
      <c r="K476" s="13144" t="s">
        <v>10388</v>
      </c>
      <c r="L476" s="12816"/>
      <c r="M476" s="12816"/>
      <c r="N476" s="13145" t="s">
        <v>10398</v>
      </c>
      <c r="O476" s="13145" t="s">
        <v>3537</v>
      </c>
      <c r="P476" s="13146"/>
      <c r="Q476" s="13146"/>
      <c r="R476" s="13146"/>
      <c r="S476" s="13146"/>
      <c r="T476" s="13147"/>
      <c r="U476" s="13146"/>
      <c r="V476" s="13146"/>
      <c r="W476" s="13146"/>
      <c r="X476" s="13146"/>
      <c r="Y476" s="13146"/>
      <c r="Z476" s="13146"/>
      <c r="AA476" s="13146"/>
      <c r="AB476" s="13146"/>
      <c r="AC476" s="13146"/>
      <c r="AD476" s="13146"/>
      <c r="AE476" s="13146"/>
      <c r="AF476" s="13146"/>
      <c r="AG476" s="13146"/>
      <c r="AH476" s="13146"/>
      <c r="AI476" s="13146"/>
      <c r="AJ476" s="13146"/>
      <c r="AK476" s="13146"/>
      <c r="AL476" s="13146"/>
      <c r="AM476" s="13146"/>
      <c r="AN476" s="13146"/>
      <c r="AO476" s="13146"/>
      <c r="AP476" s="13146"/>
      <c r="AQ476" s="13146"/>
      <c r="AR476" s="13146"/>
      <c r="AS476" s="13146"/>
      <c r="AT476" s="13145"/>
      <c r="AU476" s="13145"/>
      <c r="AV476" s="13145"/>
      <c r="AW476" s="13145"/>
      <c r="AX476" s="13145"/>
      <c r="AY476" s="13145"/>
      <c r="AZ476" s="13145"/>
      <c r="BA476" s="13145"/>
      <c r="BB476" s="13145"/>
      <c r="BC476" s="13145"/>
      <c r="BD476" s="9549"/>
      <c r="BF476" s="9548"/>
      <c r="BG476" s="9548"/>
      <c r="BH476" s="9548"/>
      <c r="BI476" s="9548"/>
      <c r="BJ476" s="9548"/>
      <c r="BK476" s="9548"/>
      <c r="BL476" s="9548"/>
      <c r="BM476" s="9548"/>
      <c r="BN476" s="9548"/>
    </row>
    <row r="477" spans="1:66" ht="29.25" hidden="1" customHeight="1">
      <c r="A477" s="13725">
        <v>306</v>
      </c>
      <c r="B477" s="13979" t="s">
        <v>7882</v>
      </c>
      <c r="C477" s="13592"/>
      <c r="D477" s="12102" t="s">
        <v>86</v>
      </c>
      <c r="E477" s="12015" t="s">
        <v>422</v>
      </c>
      <c r="F477" s="12015"/>
      <c r="G477" s="14051" t="s">
        <v>4919</v>
      </c>
      <c r="H477" s="13492" t="s">
        <v>1433</v>
      </c>
      <c r="I477" s="14062">
        <v>1</v>
      </c>
      <c r="K477" s="13148" t="s">
        <v>10502</v>
      </c>
      <c r="L477" s="12817"/>
      <c r="M477" s="12822"/>
      <c r="N477" s="12822" t="s">
        <v>10399</v>
      </c>
      <c r="O477" s="12822" t="s">
        <v>10588</v>
      </c>
      <c r="P477" s="13149"/>
      <c r="Q477" s="13150"/>
      <c r="R477" s="12823"/>
      <c r="S477" s="12823"/>
      <c r="T477" s="13151"/>
      <c r="U477" s="12823"/>
      <c r="V477" s="12823"/>
      <c r="W477" s="12823"/>
      <c r="X477" s="12823"/>
      <c r="Y477" s="12823"/>
      <c r="Z477" s="12823"/>
      <c r="AA477" s="12823"/>
      <c r="AB477" s="12823"/>
      <c r="AC477" s="12823"/>
      <c r="AD477" s="12823"/>
      <c r="AE477" s="12823"/>
      <c r="AF477" s="12823"/>
      <c r="AG477" s="12823"/>
      <c r="AH477" s="12823"/>
      <c r="AI477" s="12823"/>
      <c r="AJ477" s="12823"/>
      <c r="AK477" s="12823"/>
      <c r="AL477" s="12823"/>
      <c r="AM477" s="12823"/>
      <c r="AN477" s="12823"/>
      <c r="AO477" s="12823"/>
      <c r="AP477" s="12823"/>
      <c r="AQ477" s="12823"/>
      <c r="AR477" s="12823"/>
      <c r="AS477" s="12823"/>
      <c r="AT477" s="12822"/>
      <c r="AU477" s="12822"/>
      <c r="AV477" s="12822"/>
      <c r="AW477" s="12822"/>
      <c r="AX477" s="12822"/>
      <c r="AY477" s="12822"/>
      <c r="AZ477" s="12822"/>
      <c r="BA477" s="12822"/>
      <c r="BB477" s="12822"/>
      <c r="BC477" s="12822"/>
      <c r="BD477" s="9545"/>
      <c r="BF477" s="14484"/>
      <c r="BG477" s="14484"/>
      <c r="BH477" s="14484"/>
      <c r="BI477" s="14484"/>
      <c r="BJ477" s="14484"/>
      <c r="BK477" s="13064"/>
      <c r="BL477" s="14484"/>
      <c r="BM477" s="14484"/>
      <c r="BN477" s="14484"/>
    </row>
    <row r="478" spans="1:66" ht="29.25" hidden="1" customHeight="1">
      <c r="A478" s="13726"/>
      <c r="B478" s="13992"/>
      <c r="C478" s="13592"/>
      <c r="D478" s="12102" t="s">
        <v>10204</v>
      </c>
      <c r="E478" s="12015"/>
      <c r="F478" s="12015" t="s">
        <v>1434</v>
      </c>
      <c r="G478" s="13928"/>
      <c r="H478" s="13491"/>
      <c r="I478" s="14063"/>
      <c r="K478" s="12814" t="s">
        <v>2951</v>
      </c>
      <c r="L478" s="12816" t="s">
        <v>2951</v>
      </c>
      <c r="M478" s="12816" t="s">
        <v>2951</v>
      </c>
      <c r="N478" s="12816" t="s">
        <v>10396</v>
      </c>
      <c r="O478" s="12816" t="s">
        <v>2951</v>
      </c>
      <c r="P478" s="12819" t="s">
        <v>2951</v>
      </c>
      <c r="Q478" s="12819" t="s">
        <v>2951</v>
      </c>
      <c r="R478" s="12819" t="s">
        <v>2951</v>
      </c>
      <c r="S478" s="12819" t="s">
        <v>2951</v>
      </c>
      <c r="T478" s="12820" t="s">
        <v>2951</v>
      </c>
      <c r="U478" s="12819" t="s">
        <v>2951</v>
      </c>
      <c r="V478" s="12819" t="s">
        <v>2951</v>
      </c>
      <c r="W478" s="12819" t="s">
        <v>2951</v>
      </c>
      <c r="X478" s="12819" t="s">
        <v>2951</v>
      </c>
      <c r="Y478" s="12819" t="s">
        <v>2951</v>
      </c>
      <c r="Z478" s="12819" t="s">
        <v>2951</v>
      </c>
      <c r="AA478" s="12819" t="s">
        <v>2951</v>
      </c>
      <c r="AB478" s="12819" t="s">
        <v>2951</v>
      </c>
      <c r="AC478" s="12819" t="s">
        <v>2951</v>
      </c>
      <c r="AD478" s="12819" t="s">
        <v>2951</v>
      </c>
      <c r="AE478" s="12819" t="s">
        <v>2951</v>
      </c>
      <c r="AF478" s="12819" t="s">
        <v>2951</v>
      </c>
      <c r="AG478" s="12819" t="s">
        <v>2951</v>
      </c>
      <c r="AH478" s="12819" t="s">
        <v>2951</v>
      </c>
      <c r="AI478" s="12819" t="s">
        <v>2951</v>
      </c>
      <c r="AJ478" s="12819" t="s">
        <v>2951</v>
      </c>
      <c r="AK478" s="12819" t="s">
        <v>2951</v>
      </c>
      <c r="AL478" s="12819" t="s">
        <v>2951</v>
      </c>
      <c r="AM478" s="12819" t="s">
        <v>2951</v>
      </c>
      <c r="AN478" s="12819" t="s">
        <v>2951</v>
      </c>
      <c r="AO478" s="12819" t="s">
        <v>2951</v>
      </c>
      <c r="AP478" s="12819" t="s">
        <v>2951</v>
      </c>
      <c r="AQ478" s="12819" t="s">
        <v>2951</v>
      </c>
      <c r="AR478" s="12819" t="s">
        <v>2951</v>
      </c>
      <c r="AS478" s="12819" t="s">
        <v>2951</v>
      </c>
      <c r="AT478" s="12816" t="s">
        <v>2951</v>
      </c>
      <c r="AU478" s="12816" t="s">
        <v>2951</v>
      </c>
      <c r="AV478" s="12816" t="s">
        <v>2951</v>
      </c>
      <c r="AW478" s="12816" t="s">
        <v>2951</v>
      </c>
      <c r="AX478" s="12816" t="s">
        <v>2951</v>
      </c>
      <c r="AY478" s="12816" t="s">
        <v>2951</v>
      </c>
      <c r="AZ478" s="12816" t="s">
        <v>2951</v>
      </c>
      <c r="BA478" s="12816" t="s">
        <v>2951</v>
      </c>
      <c r="BB478" s="12816" t="s">
        <v>2951</v>
      </c>
      <c r="BC478" s="12816" t="s">
        <v>2951</v>
      </c>
      <c r="BD478" s="9545"/>
      <c r="BF478" s="14438"/>
      <c r="BG478" s="14438"/>
      <c r="BH478" s="14438"/>
      <c r="BI478" s="14438"/>
      <c r="BJ478" s="14438"/>
      <c r="BK478" s="8929"/>
      <c r="BL478" s="14438"/>
      <c r="BM478" s="14438"/>
      <c r="BN478" s="14438"/>
    </row>
    <row r="479" spans="1:66" ht="29.25" hidden="1" customHeight="1">
      <c r="A479" s="13725">
        <v>307</v>
      </c>
      <c r="B479" s="13979" t="s">
        <v>7883</v>
      </c>
      <c r="C479" s="13592"/>
      <c r="D479" s="12102" t="s">
        <v>86</v>
      </c>
      <c r="E479" s="12015" t="s">
        <v>422</v>
      </c>
      <c r="F479" s="12015"/>
      <c r="G479" s="13981" t="s">
        <v>4920</v>
      </c>
      <c r="H479" s="13492" t="s">
        <v>1435</v>
      </c>
      <c r="I479" s="14062">
        <v>7</v>
      </c>
      <c r="K479" s="13144" t="s">
        <v>1732</v>
      </c>
      <c r="L479" s="12816"/>
      <c r="M479" s="12829"/>
      <c r="N479" s="13152"/>
      <c r="O479" s="13153"/>
      <c r="P479" s="13146" t="s">
        <v>10396</v>
      </c>
      <c r="Q479" s="13150"/>
      <c r="R479" s="13146"/>
      <c r="S479" s="13146"/>
      <c r="T479" s="13147"/>
      <c r="U479" s="13146"/>
      <c r="V479" s="13146"/>
      <c r="W479" s="13146"/>
      <c r="X479" s="13146"/>
      <c r="Y479" s="13146"/>
      <c r="Z479" s="13146"/>
      <c r="AA479" s="13146"/>
      <c r="AB479" s="13146"/>
      <c r="AC479" s="13146"/>
      <c r="AD479" s="13146"/>
      <c r="AE479" s="13146"/>
      <c r="AF479" s="13146"/>
      <c r="AG479" s="13146"/>
      <c r="AH479" s="13146"/>
      <c r="AI479" s="13146"/>
      <c r="AJ479" s="13146"/>
      <c r="AK479" s="13146"/>
      <c r="AL479" s="13146"/>
      <c r="AM479" s="13146"/>
      <c r="AN479" s="13146"/>
      <c r="AO479" s="13146"/>
      <c r="AP479" s="13146"/>
      <c r="AQ479" s="13146"/>
      <c r="AR479" s="13146"/>
      <c r="AS479" s="13146"/>
      <c r="AT479" s="13145"/>
      <c r="AU479" s="13154"/>
      <c r="AV479" s="13155"/>
      <c r="AW479" s="13145"/>
      <c r="AX479" s="13145"/>
      <c r="AY479" s="13145"/>
      <c r="AZ479" s="13145"/>
      <c r="BA479" s="13145"/>
      <c r="BB479" s="13145"/>
      <c r="BC479" s="13153"/>
      <c r="BD479" s="9545"/>
      <c r="BF479" s="14465"/>
      <c r="BG479" s="14465"/>
      <c r="BH479" s="14465"/>
      <c r="BI479" s="14465"/>
      <c r="BJ479" s="14465"/>
      <c r="BK479" s="13063"/>
      <c r="BL479" s="14465"/>
      <c r="BM479" s="14465"/>
      <c r="BN479" s="14465"/>
    </row>
    <row r="480" spans="1:66" ht="29.25" hidden="1" customHeight="1">
      <c r="A480" s="13727"/>
      <c r="B480" s="13991"/>
      <c r="C480" s="13592"/>
      <c r="D480" s="12102" t="s">
        <v>10199</v>
      </c>
      <c r="E480" s="12015"/>
      <c r="F480" s="12015" t="s">
        <v>10223</v>
      </c>
      <c r="G480" s="13994"/>
      <c r="H480" s="13490"/>
      <c r="I480" s="14064"/>
      <c r="K480" s="12814" t="s">
        <v>2951</v>
      </c>
      <c r="L480" s="12816" t="s">
        <v>2951</v>
      </c>
      <c r="M480" s="12816" t="s">
        <v>2951</v>
      </c>
      <c r="N480" s="12816" t="s">
        <v>10409</v>
      </c>
      <c r="O480" s="12816" t="s">
        <v>2951</v>
      </c>
      <c r="P480" s="12819" t="s">
        <v>2951</v>
      </c>
      <c r="Q480" s="12819" t="s">
        <v>2951</v>
      </c>
      <c r="R480" s="12819" t="s">
        <v>2951</v>
      </c>
      <c r="S480" s="12819" t="s">
        <v>2951</v>
      </c>
      <c r="T480" s="12820" t="s">
        <v>2951</v>
      </c>
      <c r="U480" s="12819" t="s">
        <v>2951</v>
      </c>
      <c r="V480" s="12819" t="s">
        <v>2951</v>
      </c>
      <c r="W480" s="12819" t="s">
        <v>2951</v>
      </c>
      <c r="X480" s="12819" t="s">
        <v>2951</v>
      </c>
      <c r="Y480" s="12819" t="s">
        <v>2951</v>
      </c>
      <c r="Z480" s="12819" t="s">
        <v>2951</v>
      </c>
      <c r="AA480" s="12819" t="s">
        <v>2951</v>
      </c>
      <c r="AB480" s="12819" t="s">
        <v>2951</v>
      </c>
      <c r="AC480" s="12819" t="s">
        <v>2951</v>
      </c>
      <c r="AD480" s="12819" t="s">
        <v>2951</v>
      </c>
      <c r="AE480" s="12819" t="s">
        <v>2951</v>
      </c>
      <c r="AF480" s="12819" t="s">
        <v>2951</v>
      </c>
      <c r="AG480" s="12819" t="s">
        <v>2951</v>
      </c>
      <c r="AH480" s="12819" t="s">
        <v>2951</v>
      </c>
      <c r="AI480" s="12819" t="s">
        <v>2951</v>
      </c>
      <c r="AJ480" s="12819" t="s">
        <v>2951</v>
      </c>
      <c r="AK480" s="12819" t="s">
        <v>2951</v>
      </c>
      <c r="AL480" s="12819" t="s">
        <v>2951</v>
      </c>
      <c r="AM480" s="12819" t="s">
        <v>2951</v>
      </c>
      <c r="AN480" s="12819" t="s">
        <v>2951</v>
      </c>
      <c r="AO480" s="12819" t="s">
        <v>2951</v>
      </c>
      <c r="AP480" s="12819" t="s">
        <v>2951</v>
      </c>
      <c r="AQ480" s="12819" t="s">
        <v>2951</v>
      </c>
      <c r="AR480" s="12819" t="s">
        <v>2951</v>
      </c>
      <c r="AS480" s="12819" t="s">
        <v>2951</v>
      </c>
      <c r="AT480" s="12816" t="s">
        <v>2951</v>
      </c>
      <c r="AU480" s="12816" t="s">
        <v>2951</v>
      </c>
      <c r="AV480" s="12816" t="s">
        <v>2951</v>
      </c>
      <c r="AW480" s="12816" t="s">
        <v>2951</v>
      </c>
      <c r="AX480" s="12816" t="s">
        <v>2951</v>
      </c>
      <c r="AY480" s="12816" t="s">
        <v>2951</v>
      </c>
      <c r="AZ480" s="12816" t="s">
        <v>2951</v>
      </c>
      <c r="BA480" s="12816" t="s">
        <v>2951</v>
      </c>
      <c r="BB480" s="12816" t="s">
        <v>2951</v>
      </c>
      <c r="BC480" s="12816" t="s">
        <v>2951</v>
      </c>
      <c r="BD480" s="9545"/>
      <c r="BF480" s="14463"/>
      <c r="BG480" s="14463"/>
      <c r="BH480" s="14463"/>
      <c r="BI480" s="14463"/>
      <c r="BJ480" s="14463"/>
      <c r="BK480" s="9290"/>
      <c r="BL480" s="14463"/>
      <c r="BM480" s="14463"/>
      <c r="BN480" s="14463"/>
    </row>
    <row r="481" spans="1:66" ht="29.25" hidden="1" customHeight="1">
      <c r="A481" s="13726"/>
      <c r="B481" s="13992"/>
      <c r="C481" s="13592"/>
      <c r="D481" s="12102" t="s">
        <v>10204</v>
      </c>
      <c r="E481" s="12015"/>
      <c r="F481" s="12015" t="s">
        <v>10224</v>
      </c>
      <c r="G481" s="13995"/>
      <c r="H481" s="13491"/>
      <c r="I481" s="14063"/>
      <c r="K481" s="12814" t="s">
        <v>2951</v>
      </c>
      <c r="L481" s="12816" t="s">
        <v>2951</v>
      </c>
      <c r="M481" s="12816" t="s">
        <v>2951</v>
      </c>
      <c r="N481" s="12816" t="s">
        <v>10410</v>
      </c>
      <c r="O481" s="12816" t="s">
        <v>2951</v>
      </c>
      <c r="P481" s="12819" t="s">
        <v>2951</v>
      </c>
      <c r="Q481" s="12819" t="s">
        <v>2951</v>
      </c>
      <c r="R481" s="12819" t="s">
        <v>2951</v>
      </c>
      <c r="S481" s="12819" t="s">
        <v>2951</v>
      </c>
      <c r="T481" s="12820" t="s">
        <v>2951</v>
      </c>
      <c r="U481" s="12819" t="s">
        <v>2951</v>
      </c>
      <c r="V481" s="12819" t="s">
        <v>2951</v>
      </c>
      <c r="W481" s="12819" t="s">
        <v>2951</v>
      </c>
      <c r="X481" s="12819" t="s">
        <v>2951</v>
      </c>
      <c r="Y481" s="12819" t="s">
        <v>2951</v>
      </c>
      <c r="Z481" s="12819" t="s">
        <v>2951</v>
      </c>
      <c r="AA481" s="12819" t="s">
        <v>2951</v>
      </c>
      <c r="AB481" s="12819" t="s">
        <v>2951</v>
      </c>
      <c r="AC481" s="12819" t="s">
        <v>2951</v>
      </c>
      <c r="AD481" s="12819" t="s">
        <v>2951</v>
      </c>
      <c r="AE481" s="12819" t="s">
        <v>2951</v>
      </c>
      <c r="AF481" s="12819" t="s">
        <v>2951</v>
      </c>
      <c r="AG481" s="12819" t="s">
        <v>2951</v>
      </c>
      <c r="AH481" s="12819" t="s">
        <v>2951</v>
      </c>
      <c r="AI481" s="12819" t="s">
        <v>2951</v>
      </c>
      <c r="AJ481" s="12819" t="s">
        <v>2951</v>
      </c>
      <c r="AK481" s="12819" t="s">
        <v>2951</v>
      </c>
      <c r="AL481" s="12819" t="s">
        <v>2951</v>
      </c>
      <c r="AM481" s="12819" t="s">
        <v>2951</v>
      </c>
      <c r="AN481" s="12819" t="s">
        <v>2951</v>
      </c>
      <c r="AO481" s="12819" t="s">
        <v>2951</v>
      </c>
      <c r="AP481" s="12819" t="s">
        <v>2951</v>
      </c>
      <c r="AQ481" s="12819" t="s">
        <v>2951</v>
      </c>
      <c r="AR481" s="12819" t="s">
        <v>2951</v>
      </c>
      <c r="AS481" s="12819" t="s">
        <v>2951</v>
      </c>
      <c r="AT481" s="12816" t="s">
        <v>2951</v>
      </c>
      <c r="AU481" s="12816" t="s">
        <v>2951</v>
      </c>
      <c r="AV481" s="12816" t="s">
        <v>2951</v>
      </c>
      <c r="AW481" s="12816" t="s">
        <v>2951</v>
      </c>
      <c r="AX481" s="12816" t="s">
        <v>2951</v>
      </c>
      <c r="AY481" s="12816" t="s">
        <v>2951</v>
      </c>
      <c r="AZ481" s="12816" t="s">
        <v>2951</v>
      </c>
      <c r="BA481" s="12816" t="s">
        <v>2951</v>
      </c>
      <c r="BB481" s="12816" t="s">
        <v>2951</v>
      </c>
      <c r="BC481" s="12816" t="s">
        <v>2951</v>
      </c>
      <c r="BD481" s="9545"/>
      <c r="BF481" s="14464"/>
      <c r="BG481" s="14464"/>
      <c r="BH481" s="14464"/>
      <c r="BI481" s="14464"/>
      <c r="BJ481" s="14464"/>
      <c r="BK481" s="9291"/>
      <c r="BL481" s="14464"/>
      <c r="BM481" s="14464"/>
      <c r="BN481" s="14464"/>
    </row>
    <row r="482" spans="1:66" ht="29.25" hidden="1" customHeight="1">
      <c r="A482" s="13725">
        <v>308</v>
      </c>
      <c r="B482" s="13979" t="s">
        <v>7884</v>
      </c>
      <c r="C482" s="13592"/>
      <c r="D482" s="12102" t="s">
        <v>86</v>
      </c>
      <c r="E482" s="12015" t="s">
        <v>422</v>
      </c>
      <c r="F482" s="12015"/>
      <c r="G482" s="13981" t="s">
        <v>4933</v>
      </c>
      <c r="H482" s="13492" t="s">
        <v>1436</v>
      </c>
      <c r="I482" s="13999" t="s">
        <v>1438</v>
      </c>
      <c r="K482" s="13144" t="s">
        <v>1732</v>
      </c>
      <c r="L482" s="12816"/>
      <c r="M482" s="12816"/>
      <c r="N482" s="13145"/>
      <c r="O482" s="13145"/>
      <c r="P482" s="13146" t="s">
        <v>10396</v>
      </c>
      <c r="Q482" s="13146"/>
      <c r="R482" s="13146"/>
      <c r="S482" s="13146"/>
      <c r="T482" s="13147"/>
      <c r="U482" s="13146"/>
      <c r="V482" s="13146"/>
      <c r="W482" s="13146"/>
      <c r="X482" s="13146"/>
      <c r="Y482" s="13146"/>
      <c r="Z482" s="13146"/>
      <c r="AA482" s="13146"/>
      <c r="AB482" s="13146"/>
      <c r="AC482" s="13146"/>
      <c r="AD482" s="13146"/>
      <c r="AE482" s="13146"/>
      <c r="AF482" s="13146"/>
      <c r="AG482" s="13146"/>
      <c r="AH482" s="13146"/>
      <c r="AI482" s="13146"/>
      <c r="AJ482" s="13146"/>
      <c r="AK482" s="13146"/>
      <c r="AL482" s="13146"/>
      <c r="AM482" s="13146"/>
      <c r="AN482" s="13146"/>
      <c r="AO482" s="13146"/>
      <c r="AP482" s="13146"/>
      <c r="AQ482" s="13146"/>
      <c r="AR482" s="13146"/>
      <c r="AS482" s="13146"/>
      <c r="AT482" s="13145"/>
      <c r="AU482" s="13145"/>
      <c r="AV482" s="13145"/>
      <c r="AW482" s="13145"/>
      <c r="AX482" s="13145"/>
      <c r="AY482" s="13145"/>
      <c r="AZ482" s="13145"/>
      <c r="BA482" s="13145"/>
      <c r="BB482" s="13145"/>
      <c r="BC482" s="13145"/>
      <c r="BD482" s="7693"/>
      <c r="BF482" s="14465"/>
      <c r="BG482" s="14465"/>
      <c r="BH482" s="14465"/>
      <c r="BI482" s="14465"/>
      <c r="BJ482" s="14465"/>
      <c r="BK482" s="13063"/>
      <c r="BL482" s="14465"/>
      <c r="BM482" s="14465"/>
      <c r="BN482" s="14465"/>
    </row>
    <row r="483" spans="1:66" ht="29.25" hidden="1" customHeight="1">
      <c r="A483" s="13727"/>
      <c r="B483" s="13991"/>
      <c r="C483" s="13592"/>
      <c r="D483" s="12102" t="s">
        <v>10199</v>
      </c>
      <c r="E483" s="12015"/>
      <c r="F483" s="12015" t="s">
        <v>10225</v>
      </c>
      <c r="G483" s="13994"/>
      <c r="H483" s="13490"/>
      <c r="I483" s="13997"/>
      <c r="K483" s="12815"/>
      <c r="L483" s="12817"/>
      <c r="M483" s="12821" t="s">
        <v>10397</v>
      </c>
      <c r="N483" s="12822"/>
      <c r="O483" s="12822"/>
      <c r="P483" s="12823"/>
      <c r="Q483" s="12823"/>
      <c r="R483" s="12823"/>
      <c r="S483" s="12823"/>
      <c r="T483" s="12824"/>
      <c r="U483" s="12823"/>
      <c r="V483" s="12823"/>
      <c r="W483" s="12823"/>
      <c r="X483" s="12823"/>
      <c r="Y483" s="12823"/>
      <c r="Z483" s="12823"/>
      <c r="AA483" s="12823"/>
      <c r="AB483" s="12823"/>
      <c r="AC483" s="12823"/>
      <c r="AD483" s="12823"/>
      <c r="AE483" s="12823"/>
      <c r="AF483" s="12823"/>
      <c r="AG483" s="12823"/>
      <c r="AH483" s="12823"/>
      <c r="AI483" s="12823"/>
      <c r="AJ483" s="12823"/>
      <c r="AK483" s="12823"/>
      <c r="AL483" s="12823"/>
      <c r="AM483" s="12823"/>
      <c r="AN483" s="12823"/>
      <c r="AO483" s="12823"/>
      <c r="AP483" s="12823"/>
      <c r="AQ483" s="12823"/>
      <c r="AR483" s="12823"/>
      <c r="AS483" s="12823"/>
      <c r="AT483" s="12822"/>
      <c r="AU483" s="12822"/>
      <c r="AV483" s="12822"/>
      <c r="AW483" s="12822"/>
      <c r="AX483" s="12822"/>
      <c r="AY483" s="12822"/>
      <c r="AZ483" s="12822"/>
      <c r="BA483" s="12822"/>
      <c r="BB483" s="12822"/>
      <c r="BC483" s="12822"/>
      <c r="BD483" s="7693"/>
      <c r="BF483" s="14463"/>
      <c r="BG483" s="14463"/>
      <c r="BH483" s="14463"/>
      <c r="BI483" s="14463"/>
      <c r="BJ483" s="14463"/>
      <c r="BK483" s="9290"/>
      <c r="BL483" s="14463"/>
      <c r="BM483" s="14463"/>
      <c r="BN483" s="14463"/>
    </row>
    <row r="484" spans="1:66" ht="29.25" hidden="1" customHeight="1">
      <c r="A484" s="13726"/>
      <c r="B484" s="13992"/>
      <c r="C484" s="13592"/>
      <c r="D484" s="12102" t="s">
        <v>10204</v>
      </c>
      <c r="E484" s="12015"/>
      <c r="F484" s="12015" t="s">
        <v>10226</v>
      </c>
      <c r="G484" s="13995"/>
      <c r="H484" s="13491"/>
      <c r="I484" s="13998"/>
      <c r="K484" s="7681"/>
      <c r="L484" s="7679"/>
      <c r="M484" s="7679"/>
      <c r="N484" s="7678"/>
      <c r="O484" s="7678"/>
      <c r="P484" s="7683"/>
      <c r="Q484" s="7687"/>
      <c r="R484" s="7686"/>
      <c r="S484" s="7680"/>
      <c r="T484" s="7688"/>
      <c r="U484" s="7687"/>
      <c r="V484" s="7686"/>
      <c r="W484" s="7688"/>
      <c r="X484" s="7686"/>
      <c r="Y484" s="7688"/>
      <c r="Z484" s="7686"/>
      <c r="AA484" s="7680"/>
      <c r="AB484" s="7680"/>
      <c r="AC484" s="7680"/>
      <c r="AD484" s="7680"/>
      <c r="AE484" s="7680"/>
      <c r="AF484" s="7688"/>
      <c r="AG484" s="7686"/>
      <c r="AH484" s="7680"/>
      <c r="AI484" s="7680"/>
      <c r="AJ484" s="7680"/>
      <c r="AK484" s="7680"/>
      <c r="AL484" s="7680"/>
      <c r="AM484" s="7680"/>
      <c r="AN484" s="7688"/>
      <c r="AO484" s="7686"/>
      <c r="AP484" s="7680"/>
      <c r="AQ484" s="7680"/>
      <c r="AR484" s="7680"/>
      <c r="AS484" s="7680"/>
      <c r="AT484" s="7688"/>
      <c r="AU484" s="7692"/>
      <c r="AV484" s="7692"/>
      <c r="AW484" s="7692"/>
      <c r="AX484" s="7681"/>
      <c r="AY484" s="7683"/>
      <c r="AZ484" s="7692"/>
      <c r="BA484" s="7681"/>
      <c r="BB484" s="7678"/>
      <c r="BC484" s="7683"/>
      <c r="BD484" s="7693"/>
      <c r="BF484" s="14464"/>
      <c r="BG484" s="14464"/>
      <c r="BH484" s="14464"/>
      <c r="BI484" s="14464"/>
      <c r="BJ484" s="14464"/>
      <c r="BK484" s="9291"/>
      <c r="BL484" s="14464"/>
      <c r="BM484" s="14464"/>
      <c r="BN484" s="14464"/>
    </row>
    <row r="485" spans="1:66" ht="29.25" hidden="1" customHeight="1">
      <c r="A485" s="13725">
        <v>309</v>
      </c>
      <c r="B485" s="13979" t="s">
        <v>7885</v>
      </c>
      <c r="C485" s="13592"/>
      <c r="D485" s="12102" t="s">
        <v>86</v>
      </c>
      <c r="E485" s="12015" t="s">
        <v>422</v>
      </c>
      <c r="F485" s="12015"/>
      <c r="G485" s="13981" t="s">
        <v>4921</v>
      </c>
      <c r="H485" s="13492" t="s">
        <v>155</v>
      </c>
      <c r="I485" s="14062">
        <v>1</v>
      </c>
      <c r="K485" s="13144" t="s">
        <v>1732</v>
      </c>
      <c r="L485" s="12816"/>
      <c r="M485" s="12816"/>
      <c r="N485" s="13145"/>
      <c r="O485" s="13145"/>
      <c r="P485" s="13146" t="s">
        <v>10396</v>
      </c>
      <c r="Q485" s="13146"/>
      <c r="R485" s="13146"/>
      <c r="S485" s="13146"/>
      <c r="T485" s="13147"/>
      <c r="U485" s="13146"/>
      <c r="V485" s="13146"/>
      <c r="W485" s="13146"/>
      <c r="X485" s="13146"/>
      <c r="Y485" s="13146"/>
      <c r="Z485" s="13146"/>
      <c r="AA485" s="13146"/>
      <c r="AB485" s="13146"/>
      <c r="AC485" s="13146"/>
      <c r="AD485" s="13146"/>
      <c r="AE485" s="13146"/>
      <c r="AF485" s="13146"/>
      <c r="AG485" s="13146"/>
      <c r="AH485" s="13146"/>
      <c r="AI485" s="13146"/>
      <c r="AJ485" s="13146"/>
      <c r="AK485" s="13146"/>
      <c r="AL485" s="13146"/>
      <c r="AM485" s="13146"/>
      <c r="AN485" s="13146"/>
      <c r="AO485" s="13146"/>
      <c r="AP485" s="13146"/>
      <c r="AQ485" s="13146"/>
      <c r="AR485" s="13146"/>
      <c r="AS485" s="13146"/>
      <c r="AT485" s="13145"/>
      <c r="AU485" s="13145"/>
      <c r="AV485" s="13145"/>
      <c r="AW485" s="13145"/>
      <c r="AX485" s="13145"/>
      <c r="AY485" s="13145"/>
      <c r="AZ485" s="13145"/>
      <c r="BA485" s="13145"/>
      <c r="BB485" s="13145"/>
      <c r="BC485" s="13145"/>
      <c r="BD485" s="9545"/>
      <c r="BF485" s="14465"/>
      <c r="BG485" s="14465"/>
      <c r="BH485" s="14465"/>
      <c r="BI485" s="14465"/>
      <c r="BJ485" s="14465"/>
      <c r="BK485" s="13063"/>
      <c r="BL485" s="14465"/>
      <c r="BM485" s="14465"/>
      <c r="BN485" s="14465"/>
    </row>
    <row r="486" spans="1:66" ht="29.25" hidden="1" customHeight="1">
      <c r="A486" s="13726"/>
      <c r="B486" s="13992"/>
      <c r="C486" s="13592"/>
      <c r="D486" s="12102" t="s">
        <v>10204</v>
      </c>
      <c r="E486" s="12015"/>
      <c r="F486" s="12015" t="s">
        <v>1440</v>
      </c>
      <c r="G486" s="13995"/>
      <c r="H486" s="13491"/>
      <c r="I486" s="14063"/>
      <c r="K486" s="12814" t="s">
        <v>2951</v>
      </c>
      <c r="L486" s="12816" t="s">
        <v>2951</v>
      </c>
      <c r="M486" s="12816" t="s">
        <v>2951</v>
      </c>
      <c r="N486" s="12816" t="s">
        <v>10396</v>
      </c>
      <c r="O486" s="12816" t="s">
        <v>2951</v>
      </c>
      <c r="P486" s="12819" t="s">
        <v>2951</v>
      </c>
      <c r="Q486" s="12819" t="s">
        <v>2951</v>
      </c>
      <c r="R486" s="12819" t="s">
        <v>2951</v>
      </c>
      <c r="S486" s="12819" t="s">
        <v>2951</v>
      </c>
      <c r="T486" s="12820" t="s">
        <v>2951</v>
      </c>
      <c r="U486" s="12819" t="s">
        <v>2951</v>
      </c>
      <c r="V486" s="12819" t="s">
        <v>2951</v>
      </c>
      <c r="W486" s="12819" t="s">
        <v>2951</v>
      </c>
      <c r="X486" s="12819" t="s">
        <v>2951</v>
      </c>
      <c r="Y486" s="12819" t="s">
        <v>2951</v>
      </c>
      <c r="Z486" s="12819" t="s">
        <v>2951</v>
      </c>
      <c r="AA486" s="12819" t="s">
        <v>2951</v>
      </c>
      <c r="AB486" s="12819" t="s">
        <v>2951</v>
      </c>
      <c r="AC486" s="12819" t="s">
        <v>2951</v>
      </c>
      <c r="AD486" s="12819" t="s">
        <v>2951</v>
      </c>
      <c r="AE486" s="12819" t="s">
        <v>2951</v>
      </c>
      <c r="AF486" s="12819" t="s">
        <v>2951</v>
      </c>
      <c r="AG486" s="12819" t="s">
        <v>2951</v>
      </c>
      <c r="AH486" s="12819" t="s">
        <v>2951</v>
      </c>
      <c r="AI486" s="12819" t="s">
        <v>2951</v>
      </c>
      <c r="AJ486" s="12819" t="s">
        <v>2951</v>
      </c>
      <c r="AK486" s="12819" t="s">
        <v>2951</v>
      </c>
      <c r="AL486" s="12819" t="s">
        <v>2951</v>
      </c>
      <c r="AM486" s="12819" t="s">
        <v>2951</v>
      </c>
      <c r="AN486" s="12819" t="s">
        <v>2951</v>
      </c>
      <c r="AO486" s="12819" t="s">
        <v>2951</v>
      </c>
      <c r="AP486" s="12819" t="s">
        <v>2951</v>
      </c>
      <c r="AQ486" s="12819" t="s">
        <v>2951</v>
      </c>
      <c r="AR486" s="12819" t="s">
        <v>2951</v>
      </c>
      <c r="AS486" s="12819" t="s">
        <v>2951</v>
      </c>
      <c r="AT486" s="12816" t="s">
        <v>2951</v>
      </c>
      <c r="AU486" s="12816" t="s">
        <v>2951</v>
      </c>
      <c r="AV486" s="12816" t="s">
        <v>2951</v>
      </c>
      <c r="AW486" s="12816" t="s">
        <v>2951</v>
      </c>
      <c r="AX486" s="12816" t="s">
        <v>2951</v>
      </c>
      <c r="AY486" s="12816" t="s">
        <v>2951</v>
      </c>
      <c r="AZ486" s="12816" t="s">
        <v>2951</v>
      </c>
      <c r="BA486" s="12816" t="s">
        <v>2951</v>
      </c>
      <c r="BB486" s="12816" t="s">
        <v>2951</v>
      </c>
      <c r="BC486" s="12816" t="s">
        <v>2951</v>
      </c>
      <c r="BD486" s="9545"/>
      <c r="BF486" s="14464"/>
      <c r="BG486" s="14464"/>
      <c r="BH486" s="14464"/>
      <c r="BI486" s="14464"/>
      <c r="BJ486" s="14464"/>
      <c r="BK486" s="9291"/>
      <c r="BL486" s="14464"/>
      <c r="BM486" s="14464"/>
      <c r="BN486" s="14464"/>
    </row>
    <row r="487" spans="1:66" ht="29.25" hidden="1" customHeight="1">
      <c r="A487" s="13725">
        <v>310</v>
      </c>
      <c r="B487" s="13979" t="s">
        <v>7886</v>
      </c>
      <c r="C487" s="13592"/>
      <c r="D487" s="12102" t="s">
        <v>86</v>
      </c>
      <c r="E487" s="12015" t="s">
        <v>422</v>
      </c>
      <c r="F487" s="12015"/>
      <c r="G487" s="13981" t="s">
        <v>4922</v>
      </c>
      <c r="H487" s="13492" t="s">
        <v>1441</v>
      </c>
      <c r="I487" s="14062">
        <v>1</v>
      </c>
      <c r="K487" s="13144" t="s">
        <v>1732</v>
      </c>
      <c r="L487" s="12816"/>
      <c r="M487" s="12816"/>
      <c r="N487" s="13145"/>
      <c r="O487" s="13145"/>
      <c r="P487" s="13146" t="s">
        <v>10396</v>
      </c>
      <c r="Q487" s="13146"/>
      <c r="R487" s="13146"/>
      <c r="S487" s="13146"/>
      <c r="T487" s="13147"/>
      <c r="U487" s="13146"/>
      <c r="V487" s="13146"/>
      <c r="W487" s="13146"/>
      <c r="X487" s="13146"/>
      <c r="Y487" s="13146"/>
      <c r="Z487" s="13146"/>
      <c r="AA487" s="13146"/>
      <c r="AB487" s="13146"/>
      <c r="AC487" s="13146"/>
      <c r="AD487" s="13146"/>
      <c r="AE487" s="13146"/>
      <c r="AF487" s="13146"/>
      <c r="AG487" s="13146"/>
      <c r="AH487" s="13146"/>
      <c r="AI487" s="13146"/>
      <c r="AJ487" s="13146"/>
      <c r="AK487" s="13146"/>
      <c r="AL487" s="13146"/>
      <c r="AM487" s="13146"/>
      <c r="AN487" s="13146"/>
      <c r="AO487" s="13146"/>
      <c r="AP487" s="13146"/>
      <c r="AQ487" s="13146"/>
      <c r="AR487" s="13146"/>
      <c r="AS487" s="13146"/>
      <c r="AT487" s="13145"/>
      <c r="AU487" s="13145"/>
      <c r="AV487" s="13145"/>
      <c r="AW487" s="13145"/>
      <c r="AX487" s="13145"/>
      <c r="AY487" s="13145"/>
      <c r="AZ487" s="13145"/>
      <c r="BA487" s="13145"/>
      <c r="BB487" s="13145"/>
      <c r="BC487" s="13145"/>
      <c r="BD487" s="9545"/>
      <c r="BF487" s="14465"/>
      <c r="BG487" s="14465"/>
      <c r="BH487" s="14465"/>
      <c r="BI487" s="14465"/>
      <c r="BJ487" s="14465"/>
      <c r="BK487" s="13063"/>
      <c r="BL487" s="14465"/>
      <c r="BM487" s="14465"/>
      <c r="BN487" s="14465"/>
    </row>
    <row r="488" spans="1:66" ht="29.25" hidden="1" customHeight="1">
      <c r="A488" s="13726"/>
      <c r="B488" s="13992"/>
      <c r="C488" s="13592"/>
      <c r="D488" s="12102" t="s">
        <v>10204</v>
      </c>
      <c r="E488" s="12015"/>
      <c r="F488" s="12015" t="s">
        <v>1440</v>
      </c>
      <c r="G488" s="13995"/>
      <c r="H488" s="13491"/>
      <c r="I488" s="14063"/>
      <c r="K488" s="12814" t="s">
        <v>2951</v>
      </c>
      <c r="L488" s="12816" t="s">
        <v>2951</v>
      </c>
      <c r="M488" s="12816" t="s">
        <v>2951</v>
      </c>
      <c r="N488" s="12816" t="s">
        <v>10401</v>
      </c>
      <c r="O488" s="12816" t="s">
        <v>2951</v>
      </c>
      <c r="P488" s="12819" t="s">
        <v>2951</v>
      </c>
      <c r="Q488" s="12819" t="s">
        <v>2951</v>
      </c>
      <c r="R488" s="12819" t="s">
        <v>2951</v>
      </c>
      <c r="S488" s="12819" t="s">
        <v>2951</v>
      </c>
      <c r="T488" s="12820" t="s">
        <v>2951</v>
      </c>
      <c r="U488" s="12819" t="s">
        <v>2951</v>
      </c>
      <c r="V488" s="12819" t="s">
        <v>2951</v>
      </c>
      <c r="W488" s="12819" t="s">
        <v>2951</v>
      </c>
      <c r="X488" s="12819" t="s">
        <v>2951</v>
      </c>
      <c r="Y488" s="12819" t="s">
        <v>2951</v>
      </c>
      <c r="Z488" s="12819" t="s">
        <v>2951</v>
      </c>
      <c r="AA488" s="12819" t="s">
        <v>2951</v>
      </c>
      <c r="AB488" s="12819" t="s">
        <v>2951</v>
      </c>
      <c r="AC488" s="12819" t="s">
        <v>2951</v>
      </c>
      <c r="AD488" s="12819" t="s">
        <v>2951</v>
      </c>
      <c r="AE488" s="12819" t="s">
        <v>2951</v>
      </c>
      <c r="AF488" s="12819" t="s">
        <v>2951</v>
      </c>
      <c r="AG488" s="12819" t="s">
        <v>2951</v>
      </c>
      <c r="AH488" s="12819" t="s">
        <v>2951</v>
      </c>
      <c r="AI488" s="12819" t="s">
        <v>2951</v>
      </c>
      <c r="AJ488" s="12819" t="s">
        <v>2951</v>
      </c>
      <c r="AK488" s="12819" t="s">
        <v>2951</v>
      </c>
      <c r="AL488" s="12819" t="s">
        <v>2951</v>
      </c>
      <c r="AM488" s="12819" t="s">
        <v>2951</v>
      </c>
      <c r="AN488" s="12819" t="s">
        <v>2951</v>
      </c>
      <c r="AO488" s="12819" t="s">
        <v>2951</v>
      </c>
      <c r="AP488" s="12819" t="s">
        <v>2951</v>
      </c>
      <c r="AQ488" s="12819" t="s">
        <v>2951</v>
      </c>
      <c r="AR488" s="12819" t="s">
        <v>2951</v>
      </c>
      <c r="AS488" s="12819" t="s">
        <v>2951</v>
      </c>
      <c r="AT488" s="12816" t="s">
        <v>2951</v>
      </c>
      <c r="AU488" s="12816" t="s">
        <v>2951</v>
      </c>
      <c r="AV488" s="12816" t="s">
        <v>2951</v>
      </c>
      <c r="AW488" s="12816" t="s">
        <v>2951</v>
      </c>
      <c r="AX488" s="12816" t="s">
        <v>2951</v>
      </c>
      <c r="AY488" s="12816" t="s">
        <v>2951</v>
      </c>
      <c r="AZ488" s="12816" t="s">
        <v>2951</v>
      </c>
      <c r="BA488" s="12816" t="s">
        <v>2951</v>
      </c>
      <c r="BB488" s="12816" t="s">
        <v>2951</v>
      </c>
      <c r="BC488" s="12816" t="s">
        <v>2951</v>
      </c>
      <c r="BD488" s="9545"/>
      <c r="BF488" s="14464"/>
      <c r="BG488" s="14464"/>
      <c r="BH488" s="14464"/>
      <c r="BI488" s="14464"/>
      <c r="BJ488" s="14464"/>
      <c r="BK488" s="9291"/>
      <c r="BL488" s="14464"/>
      <c r="BM488" s="14464"/>
      <c r="BN488" s="14464"/>
    </row>
    <row r="489" spans="1:66" ht="29.25" hidden="1" customHeight="1">
      <c r="A489" s="9546">
        <v>311</v>
      </c>
      <c r="B489" s="9547" t="s">
        <v>7887</v>
      </c>
      <c r="C489" s="13592"/>
      <c r="D489" s="12102" t="s">
        <v>86</v>
      </c>
      <c r="E489" s="12015" t="s">
        <v>422</v>
      </c>
      <c r="F489" s="12015"/>
      <c r="G489" s="12103" t="s">
        <v>4923</v>
      </c>
      <c r="H489" s="12104" t="s">
        <v>1442</v>
      </c>
      <c r="I489" s="12105">
        <v>1</v>
      </c>
      <c r="K489" s="13144" t="s">
        <v>1732</v>
      </c>
      <c r="L489" s="12816"/>
      <c r="M489" s="12816"/>
      <c r="N489" s="13145"/>
      <c r="O489" s="13145"/>
      <c r="P489" s="13146" t="s">
        <v>10396</v>
      </c>
      <c r="Q489" s="13146"/>
      <c r="R489" s="13146"/>
      <c r="S489" s="13146"/>
      <c r="T489" s="13147"/>
      <c r="U489" s="13146"/>
      <c r="V489" s="13146"/>
      <c r="W489" s="13146"/>
      <c r="X489" s="13146"/>
      <c r="Y489" s="13146"/>
      <c r="Z489" s="13146"/>
      <c r="AA489" s="13146"/>
      <c r="AB489" s="13146"/>
      <c r="AC489" s="13146"/>
      <c r="AD489" s="13146"/>
      <c r="AE489" s="13146"/>
      <c r="AF489" s="13146"/>
      <c r="AG489" s="13146"/>
      <c r="AH489" s="13146"/>
      <c r="AI489" s="13146"/>
      <c r="AJ489" s="13146"/>
      <c r="AK489" s="13146"/>
      <c r="AL489" s="13146"/>
      <c r="AM489" s="13146"/>
      <c r="AN489" s="13146"/>
      <c r="AO489" s="13146"/>
      <c r="AP489" s="13146"/>
      <c r="AQ489" s="13146"/>
      <c r="AR489" s="13146"/>
      <c r="AS489" s="13146"/>
      <c r="AT489" s="13145"/>
      <c r="AU489" s="13145"/>
      <c r="AV489" s="13145"/>
      <c r="AW489" s="13145"/>
      <c r="AX489" s="13145"/>
      <c r="AY489" s="13145"/>
      <c r="AZ489" s="13145"/>
      <c r="BA489" s="13145"/>
      <c r="BB489" s="13145"/>
      <c r="BC489" s="13145"/>
      <c r="BD489" s="9549"/>
      <c r="BF489" s="9548"/>
      <c r="BG489" s="9548"/>
      <c r="BH489" s="9548"/>
      <c r="BI489" s="9548"/>
      <c r="BJ489" s="9548"/>
      <c r="BK489" s="9548"/>
      <c r="BL489" s="9548"/>
      <c r="BM489" s="9548"/>
      <c r="BN489" s="9548"/>
    </row>
    <row r="490" spans="1:66" ht="29.25" hidden="1" customHeight="1">
      <c r="A490" s="9546">
        <v>312</v>
      </c>
      <c r="B490" s="9547" t="s">
        <v>7888</v>
      </c>
      <c r="C490" s="13592"/>
      <c r="D490" s="12102" t="s">
        <v>86</v>
      </c>
      <c r="E490" s="12015" t="s">
        <v>422</v>
      </c>
      <c r="F490" s="12015"/>
      <c r="G490" s="12103" t="s">
        <v>4924</v>
      </c>
      <c r="H490" s="12104" t="s">
        <v>95</v>
      </c>
      <c r="I490" s="12105">
        <v>2</v>
      </c>
      <c r="K490" s="13148" t="s">
        <v>1732</v>
      </c>
      <c r="L490" s="12817"/>
      <c r="M490" s="12822"/>
      <c r="N490" s="12822"/>
      <c r="O490" s="12822"/>
      <c r="P490" s="13150"/>
      <c r="Q490" s="13150"/>
      <c r="R490" s="12823"/>
      <c r="S490" s="12823"/>
      <c r="T490" s="13151"/>
      <c r="U490" s="12823"/>
      <c r="V490" s="12823"/>
      <c r="W490" s="12823"/>
      <c r="X490" s="12823"/>
      <c r="Y490" s="12823"/>
      <c r="Z490" s="12823"/>
      <c r="AA490" s="12823"/>
      <c r="AB490" s="12823"/>
      <c r="AC490" s="12823"/>
      <c r="AD490" s="12823"/>
      <c r="AE490" s="12823"/>
      <c r="AF490" s="12823"/>
      <c r="AG490" s="12823"/>
      <c r="AH490" s="12823"/>
      <c r="AI490" s="12823"/>
      <c r="AJ490" s="12823"/>
      <c r="AK490" s="12823"/>
      <c r="AL490" s="12823"/>
      <c r="AM490" s="12823"/>
      <c r="AN490" s="12823"/>
      <c r="AO490" s="12823"/>
      <c r="AP490" s="12823"/>
      <c r="AQ490" s="12823"/>
      <c r="AR490" s="12823"/>
      <c r="AS490" s="12823"/>
      <c r="AT490" s="12822"/>
      <c r="AU490" s="12822"/>
      <c r="AV490" s="12822"/>
      <c r="AW490" s="12822"/>
      <c r="AX490" s="12822"/>
      <c r="AY490" s="12822"/>
      <c r="AZ490" s="12822"/>
      <c r="BA490" s="12822"/>
      <c r="BB490" s="12822"/>
      <c r="BC490" s="12822"/>
      <c r="BD490" s="9549"/>
      <c r="BF490" s="9548"/>
      <c r="BG490" s="9548"/>
      <c r="BH490" s="9548"/>
      <c r="BI490" s="9548"/>
      <c r="BJ490" s="9548"/>
      <c r="BK490" s="9548"/>
      <c r="BL490" s="9548"/>
      <c r="BM490" s="9548"/>
      <c r="BN490" s="9548"/>
    </row>
    <row r="491" spans="1:66" ht="29.25" hidden="1" customHeight="1">
      <c r="A491" s="13725">
        <v>313</v>
      </c>
      <c r="B491" s="13979" t="s">
        <v>7889</v>
      </c>
      <c r="C491" s="13592"/>
      <c r="D491" s="12102" t="s">
        <v>86</v>
      </c>
      <c r="E491" s="12015" t="s">
        <v>422</v>
      </c>
      <c r="F491" s="12015" t="s">
        <v>1446</v>
      </c>
      <c r="G491" s="13981" t="s">
        <v>4925</v>
      </c>
      <c r="H491" s="13492" t="s">
        <v>95</v>
      </c>
      <c r="I491" s="13999">
        <v>2</v>
      </c>
      <c r="K491" s="13144" t="s">
        <v>1732</v>
      </c>
      <c r="L491" s="12816"/>
      <c r="M491" s="12816"/>
      <c r="N491" s="13145"/>
      <c r="O491" s="13145"/>
      <c r="P491" s="13146"/>
      <c r="Q491" s="13146"/>
      <c r="R491" s="13146"/>
      <c r="S491" s="13146"/>
      <c r="T491" s="13147"/>
      <c r="U491" s="13146"/>
      <c r="V491" s="13146"/>
      <c r="W491" s="13146"/>
      <c r="X491" s="13146"/>
      <c r="Y491" s="13146"/>
      <c r="Z491" s="13146"/>
      <c r="AA491" s="13146"/>
      <c r="AB491" s="13146"/>
      <c r="AC491" s="13146"/>
      <c r="AD491" s="13146"/>
      <c r="AE491" s="13146"/>
      <c r="AF491" s="13146"/>
      <c r="AG491" s="13146"/>
      <c r="AH491" s="13146"/>
      <c r="AI491" s="13146"/>
      <c r="AJ491" s="13146"/>
      <c r="AK491" s="13146"/>
      <c r="AL491" s="13146"/>
      <c r="AM491" s="13146"/>
      <c r="AN491" s="13146"/>
      <c r="AO491" s="13146"/>
      <c r="AP491" s="13146"/>
      <c r="AQ491" s="13146"/>
      <c r="AR491" s="13146"/>
      <c r="AS491" s="13146"/>
      <c r="AT491" s="13145"/>
      <c r="AU491" s="13145"/>
      <c r="AV491" s="13145"/>
      <c r="AW491" s="13145"/>
      <c r="AX491" s="13145"/>
      <c r="AY491" s="13145"/>
      <c r="AZ491" s="13145"/>
      <c r="BA491" s="13145"/>
      <c r="BB491" s="13145"/>
      <c r="BC491" s="13145"/>
      <c r="BD491" s="7693"/>
      <c r="BF491" s="14465"/>
      <c r="BG491" s="14465"/>
      <c r="BH491" s="14465"/>
      <c r="BI491" s="14465"/>
      <c r="BJ491" s="14465"/>
      <c r="BK491" s="13063"/>
      <c r="BL491" s="14465"/>
      <c r="BM491" s="14465"/>
      <c r="BN491" s="14465"/>
    </row>
    <row r="492" spans="1:66" ht="29.25" hidden="1" customHeight="1">
      <c r="A492" s="13726"/>
      <c r="B492" s="13992"/>
      <c r="C492" s="13592"/>
      <c r="D492" s="12102" t="s">
        <v>8644</v>
      </c>
      <c r="E492" s="12015"/>
      <c r="F492" s="12015" t="s">
        <v>1446</v>
      </c>
      <c r="G492" s="13995"/>
      <c r="H492" s="13491"/>
      <c r="I492" s="13998"/>
      <c r="K492" s="12814" t="s">
        <v>10395</v>
      </c>
      <c r="L492" s="12816">
        <v>638</v>
      </c>
      <c r="M492" s="12829" t="s">
        <v>10404</v>
      </c>
      <c r="N492" s="12830" t="s">
        <v>10405</v>
      </c>
      <c r="O492" s="12831" t="s">
        <v>10406</v>
      </c>
      <c r="P492" s="12819"/>
      <c r="Q492" s="12819"/>
      <c r="R492" s="12819"/>
      <c r="S492" s="12819"/>
      <c r="T492" s="12820">
        <v>638</v>
      </c>
      <c r="U492" s="12819"/>
      <c r="V492" s="12819"/>
      <c r="W492" s="12819"/>
      <c r="X492" s="12819"/>
      <c r="Y492" s="12819">
        <v>530</v>
      </c>
      <c r="Z492" s="12819">
        <v>6</v>
      </c>
      <c r="AA492" s="12819">
        <v>5</v>
      </c>
      <c r="AB492" s="12819">
        <v>30</v>
      </c>
      <c r="AC492" s="12819">
        <v>28</v>
      </c>
      <c r="AD492" s="12819">
        <v>13</v>
      </c>
      <c r="AE492" s="12819">
        <v>26</v>
      </c>
      <c r="AF492" s="12819"/>
      <c r="AG492" s="12819"/>
      <c r="AH492" s="12819"/>
      <c r="AI492" s="12819"/>
      <c r="AJ492" s="12819"/>
      <c r="AK492" s="12819"/>
      <c r="AL492" s="12819"/>
      <c r="AM492" s="12819"/>
      <c r="AN492" s="12819"/>
      <c r="AO492" s="12819"/>
      <c r="AP492" s="12819">
        <v>638</v>
      </c>
      <c r="AQ492" s="12819"/>
      <c r="AR492" s="12819"/>
      <c r="AS492" s="12819"/>
      <c r="AT492" s="12816" t="s">
        <v>3510</v>
      </c>
      <c r="AU492" s="12832" t="s">
        <v>10407</v>
      </c>
      <c r="AV492" s="12833">
        <v>638</v>
      </c>
      <c r="AW492" s="12816"/>
      <c r="AX492" s="12816"/>
      <c r="AY492" s="12816"/>
      <c r="AZ492" s="12816"/>
      <c r="BA492" s="12816"/>
      <c r="BB492" s="12816"/>
      <c r="BC492" s="12831" t="s">
        <v>10408</v>
      </c>
      <c r="BD492" s="7693"/>
      <c r="BF492" s="14464"/>
      <c r="BG492" s="14464"/>
      <c r="BH492" s="14464"/>
      <c r="BI492" s="14464"/>
      <c r="BJ492" s="14464"/>
      <c r="BK492" s="9291"/>
      <c r="BL492" s="14464"/>
      <c r="BM492" s="14464"/>
      <c r="BN492" s="14464"/>
    </row>
    <row r="493" spans="1:66" ht="29.25" hidden="1" customHeight="1">
      <c r="A493" s="13725">
        <v>314</v>
      </c>
      <c r="B493" s="13979" t="s">
        <v>7890</v>
      </c>
      <c r="C493" s="13592"/>
      <c r="D493" s="12102" t="s">
        <v>86</v>
      </c>
      <c r="E493" s="12015" t="s">
        <v>422</v>
      </c>
      <c r="F493" s="12015"/>
      <c r="G493" s="13981" t="s">
        <v>4926</v>
      </c>
      <c r="H493" s="13492" t="s">
        <v>134</v>
      </c>
      <c r="I493" s="13999" t="s">
        <v>1447</v>
      </c>
      <c r="K493" s="12967">
        <v>7</v>
      </c>
      <c r="L493" s="7679"/>
      <c r="M493" s="7679"/>
      <c r="N493" s="7678" t="s">
        <v>10402</v>
      </c>
      <c r="O493" s="7678" t="s">
        <v>10403</v>
      </c>
      <c r="P493" s="7683"/>
      <c r="Q493" s="7687"/>
      <c r="R493" s="7686"/>
      <c r="S493" s="7680"/>
      <c r="T493" s="7688"/>
      <c r="U493" s="8571">
        <v>117</v>
      </c>
      <c r="V493" s="7686">
        <v>38</v>
      </c>
      <c r="W493" s="7688">
        <v>79</v>
      </c>
      <c r="X493" s="7686">
        <v>117</v>
      </c>
      <c r="Y493" s="7688"/>
      <c r="Z493" s="7686">
        <v>1</v>
      </c>
      <c r="AA493" s="7680">
        <v>8</v>
      </c>
      <c r="AB493" s="7680">
        <v>4</v>
      </c>
      <c r="AC493" s="7680">
        <v>14</v>
      </c>
      <c r="AD493" s="7680">
        <v>37</v>
      </c>
      <c r="AE493" s="7680">
        <v>36</v>
      </c>
      <c r="AF493" s="7688">
        <v>17</v>
      </c>
      <c r="AG493" s="7686">
        <v>89</v>
      </c>
      <c r="AH493" s="7680">
        <v>1</v>
      </c>
      <c r="AI493" s="7680">
        <v>10</v>
      </c>
      <c r="AJ493" s="7680">
        <v>1</v>
      </c>
      <c r="AK493" s="7680">
        <v>14</v>
      </c>
      <c r="AL493" s="7680"/>
      <c r="AM493" s="7680"/>
      <c r="AN493" s="7688">
        <v>2</v>
      </c>
      <c r="AO493" s="7686">
        <v>108</v>
      </c>
      <c r="AP493" s="7680">
        <v>3</v>
      </c>
      <c r="AQ493" s="7680">
        <v>6</v>
      </c>
      <c r="AR493" s="7680"/>
      <c r="AS493" s="7680"/>
      <c r="AT493" s="7688"/>
      <c r="AU493" s="7692"/>
      <c r="AV493" s="7692"/>
      <c r="AW493" s="7692"/>
      <c r="AX493" s="7681"/>
      <c r="AY493" s="7683"/>
      <c r="AZ493" s="7692"/>
      <c r="BA493" s="7681"/>
      <c r="BB493" s="7678"/>
      <c r="BC493" s="7683"/>
      <c r="BD493" s="7693"/>
      <c r="BF493" s="14465"/>
      <c r="BG493" s="14465"/>
      <c r="BH493" s="14465"/>
      <c r="BI493" s="14465"/>
      <c r="BJ493" s="14465"/>
      <c r="BK493" s="13063"/>
      <c r="BL493" s="14465"/>
      <c r="BM493" s="14465"/>
      <c r="BN493" s="14465"/>
    </row>
    <row r="494" spans="1:66" ht="29.25" hidden="1" customHeight="1">
      <c r="A494" s="13726"/>
      <c r="B494" s="13992"/>
      <c r="C494" s="13592"/>
      <c r="D494" s="12102" t="s">
        <v>8644</v>
      </c>
      <c r="E494" s="12015"/>
      <c r="F494" s="12015" t="s">
        <v>139</v>
      </c>
      <c r="G494" s="13995"/>
      <c r="H494" s="13491"/>
      <c r="I494" s="13998"/>
      <c r="K494" s="12814" t="s">
        <v>2951</v>
      </c>
      <c r="L494" s="12816" t="s">
        <v>2951</v>
      </c>
      <c r="M494" s="12816" t="s">
        <v>2951</v>
      </c>
      <c r="N494" s="12816" t="s">
        <v>10410</v>
      </c>
      <c r="O494" s="12816" t="s">
        <v>2951</v>
      </c>
      <c r="P494" s="12819" t="s">
        <v>2951</v>
      </c>
      <c r="Q494" s="12819" t="s">
        <v>2951</v>
      </c>
      <c r="R494" s="12819" t="s">
        <v>2951</v>
      </c>
      <c r="S494" s="12819" t="s">
        <v>2951</v>
      </c>
      <c r="T494" s="12820" t="s">
        <v>2951</v>
      </c>
      <c r="U494" s="12819" t="s">
        <v>2951</v>
      </c>
      <c r="V494" s="12819" t="s">
        <v>2951</v>
      </c>
      <c r="W494" s="12819" t="s">
        <v>2951</v>
      </c>
      <c r="X494" s="12819" t="s">
        <v>2951</v>
      </c>
      <c r="Y494" s="12819" t="s">
        <v>2951</v>
      </c>
      <c r="Z494" s="12819" t="s">
        <v>2951</v>
      </c>
      <c r="AA494" s="12819" t="s">
        <v>2951</v>
      </c>
      <c r="AB494" s="12819" t="s">
        <v>2951</v>
      </c>
      <c r="AC494" s="12819" t="s">
        <v>2951</v>
      </c>
      <c r="AD494" s="12819" t="s">
        <v>2951</v>
      </c>
      <c r="AE494" s="12819" t="s">
        <v>2951</v>
      </c>
      <c r="AF494" s="12819" t="s">
        <v>2951</v>
      </c>
      <c r="AG494" s="12819" t="s">
        <v>2951</v>
      </c>
      <c r="AH494" s="12819" t="s">
        <v>2951</v>
      </c>
      <c r="AI494" s="12819" t="s">
        <v>2951</v>
      </c>
      <c r="AJ494" s="12819" t="s">
        <v>2951</v>
      </c>
      <c r="AK494" s="12819" t="s">
        <v>2951</v>
      </c>
      <c r="AL494" s="12819" t="s">
        <v>2951</v>
      </c>
      <c r="AM494" s="12819" t="s">
        <v>2951</v>
      </c>
      <c r="AN494" s="12819" t="s">
        <v>2951</v>
      </c>
      <c r="AO494" s="12819" t="s">
        <v>2951</v>
      </c>
      <c r="AP494" s="12819" t="s">
        <v>2951</v>
      </c>
      <c r="AQ494" s="12819" t="s">
        <v>2951</v>
      </c>
      <c r="AR494" s="12819" t="s">
        <v>2951</v>
      </c>
      <c r="AS494" s="12819" t="s">
        <v>2951</v>
      </c>
      <c r="AT494" s="12816" t="s">
        <v>2951</v>
      </c>
      <c r="AU494" s="12816" t="s">
        <v>2951</v>
      </c>
      <c r="AV494" s="12816" t="s">
        <v>2951</v>
      </c>
      <c r="AW494" s="12816" t="s">
        <v>2951</v>
      </c>
      <c r="AX494" s="12816" t="s">
        <v>2951</v>
      </c>
      <c r="AY494" s="12816" t="s">
        <v>2951</v>
      </c>
      <c r="AZ494" s="12816" t="s">
        <v>2951</v>
      </c>
      <c r="BA494" s="12816" t="s">
        <v>2951</v>
      </c>
      <c r="BB494" s="12816" t="s">
        <v>2951</v>
      </c>
      <c r="BC494" s="12816" t="s">
        <v>2951</v>
      </c>
      <c r="BD494" s="7693"/>
      <c r="BF494" s="14464"/>
      <c r="BG494" s="14464"/>
      <c r="BH494" s="14464"/>
      <c r="BI494" s="14464"/>
      <c r="BJ494" s="14464"/>
      <c r="BK494" s="9291"/>
      <c r="BL494" s="14464"/>
      <c r="BM494" s="14464"/>
      <c r="BN494" s="14464"/>
    </row>
    <row r="495" spans="1:66" ht="29.25" hidden="1" customHeight="1">
      <c r="A495" s="13725">
        <v>315</v>
      </c>
      <c r="B495" s="13979" t="s">
        <v>7891</v>
      </c>
      <c r="C495" s="13592"/>
      <c r="D495" s="12102" t="s">
        <v>86</v>
      </c>
      <c r="E495" s="12015" t="s">
        <v>422</v>
      </c>
      <c r="F495" s="12015"/>
      <c r="G495" s="13981" t="s">
        <v>4927</v>
      </c>
      <c r="H495" s="13492" t="s">
        <v>1448</v>
      </c>
      <c r="I495" s="13999">
        <v>1</v>
      </c>
      <c r="K495" s="13144" t="s">
        <v>1732</v>
      </c>
      <c r="L495" s="12816"/>
      <c r="M495" s="12816"/>
      <c r="N495" s="13145"/>
      <c r="O495" s="13145"/>
      <c r="P495" s="13146" t="s">
        <v>10396</v>
      </c>
      <c r="Q495" s="13146"/>
      <c r="R495" s="13146"/>
      <c r="S495" s="13146"/>
      <c r="T495" s="13147"/>
      <c r="U495" s="13146"/>
      <c r="V495" s="13146"/>
      <c r="W495" s="13146"/>
      <c r="X495" s="13146"/>
      <c r="Y495" s="13146"/>
      <c r="Z495" s="13146"/>
      <c r="AA495" s="13146"/>
      <c r="AB495" s="13146"/>
      <c r="AC495" s="13146"/>
      <c r="AD495" s="13146"/>
      <c r="AE495" s="13146"/>
      <c r="AF495" s="13146"/>
      <c r="AG495" s="13146"/>
      <c r="AH495" s="13146"/>
      <c r="AI495" s="13146"/>
      <c r="AJ495" s="13146"/>
      <c r="AK495" s="13146"/>
      <c r="AL495" s="13146"/>
      <c r="AM495" s="13146"/>
      <c r="AN495" s="13146"/>
      <c r="AO495" s="13146"/>
      <c r="AP495" s="13146"/>
      <c r="AQ495" s="13146"/>
      <c r="AR495" s="13146"/>
      <c r="AS495" s="13146"/>
      <c r="AT495" s="13145"/>
      <c r="AU495" s="13145"/>
      <c r="AV495" s="13145"/>
      <c r="AW495" s="13145"/>
      <c r="AX495" s="13145"/>
      <c r="AY495" s="13145"/>
      <c r="AZ495" s="13145"/>
      <c r="BA495" s="13145"/>
      <c r="BB495" s="13145"/>
      <c r="BC495" s="13145"/>
      <c r="BD495" s="7693"/>
      <c r="BF495" s="14465"/>
      <c r="BG495" s="14465"/>
      <c r="BH495" s="14465"/>
      <c r="BI495" s="14465"/>
      <c r="BJ495" s="14465"/>
      <c r="BK495" s="13063"/>
      <c r="BL495" s="14465"/>
      <c r="BM495" s="14465"/>
      <c r="BN495" s="14465"/>
    </row>
    <row r="496" spans="1:66" ht="29.25" hidden="1" customHeight="1">
      <c r="A496" s="13726"/>
      <c r="B496" s="13992"/>
      <c r="C496" s="13592"/>
      <c r="D496" s="12102" t="s">
        <v>8644</v>
      </c>
      <c r="E496" s="12015"/>
      <c r="F496" s="12015" t="s">
        <v>1450</v>
      </c>
      <c r="G496" s="13995"/>
      <c r="H496" s="13491"/>
      <c r="I496" s="13998"/>
      <c r="K496" s="12815"/>
      <c r="L496" s="12817"/>
      <c r="M496" s="12821" t="s">
        <v>10397</v>
      </c>
      <c r="N496" s="12822"/>
      <c r="O496" s="12822"/>
      <c r="P496" s="12823"/>
      <c r="Q496" s="12823"/>
      <c r="R496" s="12823"/>
      <c r="S496" s="12823"/>
      <c r="T496" s="12824"/>
      <c r="U496" s="12823"/>
      <c r="V496" s="12823"/>
      <c r="W496" s="12823"/>
      <c r="X496" s="12823"/>
      <c r="Y496" s="12823"/>
      <c r="Z496" s="12823"/>
      <c r="AA496" s="12823"/>
      <c r="AB496" s="12823"/>
      <c r="AC496" s="12823"/>
      <c r="AD496" s="12823"/>
      <c r="AE496" s="12823"/>
      <c r="AF496" s="12823"/>
      <c r="AG496" s="12823"/>
      <c r="AH496" s="12823"/>
      <c r="AI496" s="12823"/>
      <c r="AJ496" s="12823"/>
      <c r="AK496" s="12823"/>
      <c r="AL496" s="12823"/>
      <c r="AM496" s="12823"/>
      <c r="AN496" s="12823"/>
      <c r="AO496" s="12823"/>
      <c r="AP496" s="12823"/>
      <c r="AQ496" s="12823"/>
      <c r="AR496" s="12823"/>
      <c r="AS496" s="12823"/>
      <c r="AT496" s="12822"/>
      <c r="AU496" s="12822"/>
      <c r="AV496" s="12822"/>
      <c r="AW496" s="12822"/>
      <c r="AX496" s="12822"/>
      <c r="AY496" s="12822"/>
      <c r="AZ496" s="12822"/>
      <c r="BA496" s="12822"/>
      <c r="BB496" s="12822"/>
      <c r="BC496" s="12822"/>
      <c r="BD496" s="7693"/>
      <c r="BF496" s="14464"/>
      <c r="BG496" s="14464"/>
      <c r="BH496" s="14464"/>
      <c r="BI496" s="14464"/>
      <c r="BJ496" s="14464"/>
      <c r="BK496" s="9291"/>
      <c r="BL496" s="14464"/>
      <c r="BM496" s="14464"/>
      <c r="BN496" s="14464"/>
    </row>
    <row r="497" spans="1:66" ht="29.25" hidden="1" customHeight="1">
      <c r="A497" s="13725">
        <v>316</v>
      </c>
      <c r="B497" s="13979" t="s">
        <v>7892</v>
      </c>
      <c r="C497" s="13592"/>
      <c r="D497" s="12102" t="s">
        <v>86</v>
      </c>
      <c r="E497" s="12015" t="s">
        <v>422</v>
      </c>
      <c r="F497" s="12015"/>
      <c r="G497" s="13981" t="s">
        <v>4928</v>
      </c>
      <c r="H497" s="13492" t="s">
        <v>1451</v>
      </c>
      <c r="I497" s="13999" t="s">
        <v>1453</v>
      </c>
      <c r="K497" s="13144" t="s">
        <v>10589</v>
      </c>
      <c r="L497" s="12816"/>
      <c r="M497" s="12829"/>
      <c r="N497" s="13152" t="s">
        <v>10590</v>
      </c>
      <c r="O497" s="13153" t="s">
        <v>10591</v>
      </c>
      <c r="P497" s="13146"/>
      <c r="Q497" s="13146"/>
      <c r="R497" s="13146"/>
      <c r="S497" s="13146"/>
      <c r="T497" s="13147">
        <v>638</v>
      </c>
      <c r="U497" s="13146"/>
      <c r="V497" s="13146"/>
      <c r="W497" s="13146"/>
      <c r="X497" s="13146"/>
      <c r="Y497" s="13146">
        <v>530</v>
      </c>
      <c r="Z497" s="13146">
        <v>6</v>
      </c>
      <c r="AA497" s="13146">
        <v>5</v>
      </c>
      <c r="AB497" s="13146">
        <v>30</v>
      </c>
      <c r="AC497" s="13146">
        <v>28</v>
      </c>
      <c r="AD497" s="13146">
        <v>13</v>
      </c>
      <c r="AE497" s="13146">
        <v>26</v>
      </c>
      <c r="AF497" s="13146"/>
      <c r="AG497" s="13146"/>
      <c r="AH497" s="13146"/>
      <c r="AI497" s="13146"/>
      <c r="AJ497" s="13146"/>
      <c r="AK497" s="13146"/>
      <c r="AL497" s="13146"/>
      <c r="AM497" s="13146"/>
      <c r="AN497" s="13146"/>
      <c r="AO497" s="13146"/>
      <c r="AP497" s="13146">
        <v>638</v>
      </c>
      <c r="AQ497" s="13146"/>
      <c r="AR497" s="13146"/>
      <c r="AS497" s="13146"/>
      <c r="AT497" s="13145" t="s">
        <v>3510</v>
      </c>
      <c r="AU497" s="13154" t="s">
        <v>10407</v>
      </c>
      <c r="AV497" s="13155">
        <v>638</v>
      </c>
      <c r="AW497" s="13145"/>
      <c r="AX497" s="13145"/>
      <c r="AY497" s="13145"/>
      <c r="AZ497" s="13145"/>
      <c r="BA497" s="13145"/>
      <c r="BB497" s="13145"/>
      <c r="BC497" s="13153" t="s">
        <v>10408</v>
      </c>
      <c r="BD497" s="7693"/>
      <c r="BF497" s="14465"/>
      <c r="BG497" s="14465"/>
      <c r="BH497" s="14465"/>
      <c r="BI497" s="14465"/>
      <c r="BJ497" s="14465"/>
      <c r="BK497" s="13063"/>
      <c r="BL497" s="14465"/>
      <c r="BM497" s="14465"/>
      <c r="BN497" s="14465"/>
    </row>
    <row r="498" spans="1:66" ht="29.25" hidden="1" customHeight="1">
      <c r="A498" s="13726"/>
      <c r="B498" s="13992"/>
      <c r="C498" s="13592"/>
      <c r="D498" s="12102" t="s">
        <v>8644</v>
      </c>
      <c r="E498" s="12015"/>
      <c r="F498" s="12015" t="s">
        <v>1446</v>
      </c>
      <c r="G498" s="13995"/>
      <c r="H498" s="13491"/>
      <c r="I498" s="13998"/>
      <c r="K498" s="12814" t="s">
        <v>2951</v>
      </c>
      <c r="L498" s="12816" t="s">
        <v>2951</v>
      </c>
      <c r="M498" s="12816" t="s">
        <v>2951</v>
      </c>
      <c r="N498" s="12816" t="s">
        <v>10409</v>
      </c>
      <c r="O498" s="12816" t="s">
        <v>2951</v>
      </c>
      <c r="P498" s="12819" t="s">
        <v>2951</v>
      </c>
      <c r="Q498" s="12819" t="s">
        <v>2951</v>
      </c>
      <c r="R498" s="12819" t="s">
        <v>2951</v>
      </c>
      <c r="S498" s="12819" t="s">
        <v>2951</v>
      </c>
      <c r="T498" s="12820" t="s">
        <v>2951</v>
      </c>
      <c r="U498" s="12819" t="s">
        <v>2951</v>
      </c>
      <c r="V498" s="12819" t="s">
        <v>2951</v>
      </c>
      <c r="W498" s="12819" t="s">
        <v>2951</v>
      </c>
      <c r="X498" s="12819" t="s">
        <v>2951</v>
      </c>
      <c r="Y498" s="12819" t="s">
        <v>2951</v>
      </c>
      <c r="Z498" s="12819" t="s">
        <v>2951</v>
      </c>
      <c r="AA498" s="12819" t="s">
        <v>2951</v>
      </c>
      <c r="AB498" s="12819" t="s">
        <v>2951</v>
      </c>
      <c r="AC498" s="12819" t="s">
        <v>2951</v>
      </c>
      <c r="AD498" s="12819" t="s">
        <v>2951</v>
      </c>
      <c r="AE498" s="12819" t="s">
        <v>2951</v>
      </c>
      <c r="AF498" s="12819" t="s">
        <v>2951</v>
      </c>
      <c r="AG498" s="12819" t="s">
        <v>2951</v>
      </c>
      <c r="AH498" s="12819" t="s">
        <v>2951</v>
      </c>
      <c r="AI498" s="12819" t="s">
        <v>2951</v>
      </c>
      <c r="AJ498" s="12819" t="s">
        <v>2951</v>
      </c>
      <c r="AK498" s="12819" t="s">
        <v>2951</v>
      </c>
      <c r="AL498" s="12819" t="s">
        <v>2951</v>
      </c>
      <c r="AM498" s="12819" t="s">
        <v>2951</v>
      </c>
      <c r="AN498" s="12819" t="s">
        <v>2951</v>
      </c>
      <c r="AO498" s="12819" t="s">
        <v>2951</v>
      </c>
      <c r="AP498" s="12819" t="s">
        <v>2951</v>
      </c>
      <c r="AQ498" s="12819" t="s">
        <v>2951</v>
      </c>
      <c r="AR498" s="12819" t="s">
        <v>2951</v>
      </c>
      <c r="AS498" s="12819" t="s">
        <v>2951</v>
      </c>
      <c r="AT498" s="12816" t="s">
        <v>2951</v>
      </c>
      <c r="AU498" s="12816" t="s">
        <v>2951</v>
      </c>
      <c r="AV498" s="12816" t="s">
        <v>2951</v>
      </c>
      <c r="AW498" s="12816" t="s">
        <v>2951</v>
      </c>
      <c r="AX498" s="12816" t="s">
        <v>2951</v>
      </c>
      <c r="AY498" s="12816" t="s">
        <v>2951</v>
      </c>
      <c r="AZ498" s="12816" t="s">
        <v>2951</v>
      </c>
      <c r="BA498" s="12816" t="s">
        <v>2951</v>
      </c>
      <c r="BB498" s="12816" t="s">
        <v>2951</v>
      </c>
      <c r="BC498" s="12816" t="s">
        <v>2951</v>
      </c>
      <c r="BD498" s="7693"/>
      <c r="BF498" s="14464"/>
      <c r="BG498" s="14464"/>
      <c r="BH498" s="14464"/>
      <c r="BI498" s="14464"/>
      <c r="BJ498" s="14464"/>
      <c r="BK498" s="9291"/>
      <c r="BL498" s="14464"/>
      <c r="BM498" s="14464"/>
      <c r="BN498" s="14464"/>
    </row>
    <row r="499" spans="1:66" ht="29.25" hidden="1" customHeight="1">
      <c r="A499" s="13725">
        <v>317</v>
      </c>
      <c r="B499" s="13979" t="s">
        <v>7893</v>
      </c>
      <c r="C499" s="13592"/>
      <c r="D499" s="12102" t="s">
        <v>86</v>
      </c>
      <c r="E499" s="12015" t="s">
        <v>422</v>
      </c>
      <c r="F499" s="12015"/>
      <c r="G499" s="13981" t="s">
        <v>4929</v>
      </c>
      <c r="H499" s="13492" t="s">
        <v>1454</v>
      </c>
      <c r="I499" s="13999" t="s">
        <v>1455</v>
      </c>
      <c r="K499" s="13144" t="s">
        <v>1732</v>
      </c>
      <c r="L499" s="12816"/>
      <c r="M499" s="12816"/>
      <c r="N499" s="13145"/>
      <c r="O499" s="13145"/>
      <c r="P499" s="13145" t="s">
        <v>10410</v>
      </c>
      <c r="Q499" s="13146"/>
      <c r="R499" s="13146"/>
      <c r="S499" s="13146"/>
      <c r="T499" s="13147"/>
      <c r="U499" s="13146"/>
      <c r="V499" s="13146"/>
      <c r="W499" s="13146"/>
      <c r="X499" s="13146"/>
      <c r="Y499" s="13146"/>
      <c r="Z499" s="13146"/>
      <c r="AA499" s="13146"/>
      <c r="AB499" s="13146"/>
      <c r="AC499" s="13146"/>
      <c r="AD499" s="13146"/>
      <c r="AE499" s="13146"/>
      <c r="AF499" s="13146"/>
      <c r="AG499" s="13146"/>
      <c r="AH499" s="13146"/>
      <c r="AI499" s="13146"/>
      <c r="AJ499" s="13146"/>
      <c r="AK499" s="13146"/>
      <c r="AL499" s="13146"/>
      <c r="AM499" s="13146"/>
      <c r="AN499" s="13146"/>
      <c r="AO499" s="13146"/>
      <c r="AP499" s="13146"/>
      <c r="AQ499" s="13146"/>
      <c r="AR499" s="13146"/>
      <c r="AS499" s="13146"/>
      <c r="AT499" s="13145"/>
      <c r="AU499" s="13145"/>
      <c r="AV499" s="13145"/>
      <c r="AW499" s="13145"/>
      <c r="AX499" s="13145"/>
      <c r="AY499" s="13145"/>
      <c r="AZ499" s="13145"/>
      <c r="BA499" s="13145"/>
      <c r="BB499" s="13145"/>
      <c r="BC499" s="13145"/>
      <c r="BD499" s="7693"/>
      <c r="BF499" s="14465"/>
      <c r="BG499" s="14465"/>
      <c r="BH499" s="14465"/>
      <c r="BI499" s="14465"/>
      <c r="BJ499" s="14465"/>
      <c r="BK499" s="13063"/>
      <c r="BL499" s="14465"/>
      <c r="BM499" s="14465"/>
      <c r="BN499" s="14465"/>
    </row>
    <row r="500" spans="1:66" ht="29.25" hidden="1" customHeight="1">
      <c r="A500" s="13726"/>
      <c r="B500" s="13992"/>
      <c r="C500" s="13592"/>
      <c r="D500" s="12102" t="s">
        <v>8644</v>
      </c>
      <c r="E500" s="12015"/>
      <c r="F500" s="12015" t="s">
        <v>1446</v>
      </c>
      <c r="G500" s="13995"/>
      <c r="H500" s="13491"/>
      <c r="I500" s="13998"/>
      <c r="K500" s="12814" t="s">
        <v>2951</v>
      </c>
      <c r="L500" s="12816" t="s">
        <v>2951</v>
      </c>
      <c r="M500" s="12816" t="s">
        <v>2951</v>
      </c>
      <c r="O500" s="12816" t="s">
        <v>2951</v>
      </c>
      <c r="P500" s="12816" t="s">
        <v>10409</v>
      </c>
      <c r="Q500" s="12819" t="s">
        <v>2951</v>
      </c>
      <c r="R500" s="12819" t="s">
        <v>2951</v>
      </c>
      <c r="S500" s="12819" t="s">
        <v>2951</v>
      </c>
      <c r="T500" s="12820" t="s">
        <v>2951</v>
      </c>
      <c r="U500" s="12819" t="s">
        <v>2951</v>
      </c>
      <c r="V500" s="12819" t="s">
        <v>2951</v>
      </c>
      <c r="W500" s="12819" t="s">
        <v>2951</v>
      </c>
      <c r="X500" s="12819" t="s">
        <v>2951</v>
      </c>
      <c r="Y500" s="12819" t="s">
        <v>2951</v>
      </c>
      <c r="Z500" s="12819" t="s">
        <v>2951</v>
      </c>
      <c r="AA500" s="12819" t="s">
        <v>2951</v>
      </c>
      <c r="AB500" s="12819" t="s">
        <v>2951</v>
      </c>
      <c r="AC500" s="12819" t="s">
        <v>2951</v>
      </c>
      <c r="AD500" s="12819" t="s">
        <v>2951</v>
      </c>
      <c r="AE500" s="12819" t="s">
        <v>2951</v>
      </c>
      <c r="AF500" s="12819" t="s">
        <v>2951</v>
      </c>
      <c r="AG500" s="12819" t="s">
        <v>2951</v>
      </c>
      <c r="AH500" s="12819" t="s">
        <v>2951</v>
      </c>
      <c r="AI500" s="12819" t="s">
        <v>2951</v>
      </c>
      <c r="AJ500" s="12819" t="s">
        <v>2951</v>
      </c>
      <c r="AK500" s="12819" t="s">
        <v>2951</v>
      </c>
      <c r="AL500" s="12819" t="s">
        <v>2951</v>
      </c>
      <c r="AM500" s="12819" t="s">
        <v>2951</v>
      </c>
      <c r="AN500" s="12819" t="s">
        <v>2951</v>
      </c>
      <c r="AO500" s="12819" t="s">
        <v>2951</v>
      </c>
      <c r="AP500" s="12819" t="s">
        <v>2951</v>
      </c>
      <c r="AQ500" s="12819" t="s">
        <v>2951</v>
      </c>
      <c r="AR500" s="12819" t="s">
        <v>2951</v>
      </c>
      <c r="AS500" s="12819" t="s">
        <v>2951</v>
      </c>
      <c r="AT500" s="12816" t="s">
        <v>2951</v>
      </c>
      <c r="AU500" s="12816" t="s">
        <v>2951</v>
      </c>
      <c r="AV500" s="12816" t="s">
        <v>2951</v>
      </c>
      <c r="AW500" s="12816" t="s">
        <v>2951</v>
      </c>
      <c r="AX500" s="12816" t="s">
        <v>2951</v>
      </c>
      <c r="AY500" s="12816" t="s">
        <v>2951</v>
      </c>
      <c r="AZ500" s="12816" t="s">
        <v>2951</v>
      </c>
      <c r="BA500" s="12816" t="s">
        <v>2951</v>
      </c>
      <c r="BB500" s="12816" t="s">
        <v>2951</v>
      </c>
      <c r="BC500" s="12816" t="s">
        <v>2951</v>
      </c>
      <c r="BD500" s="7693"/>
      <c r="BF500" s="14464"/>
      <c r="BG500" s="14464"/>
      <c r="BH500" s="14464"/>
      <c r="BI500" s="14464"/>
      <c r="BJ500" s="14464"/>
      <c r="BK500" s="9291"/>
      <c r="BL500" s="14464"/>
      <c r="BM500" s="14464"/>
      <c r="BN500" s="14464"/>
    </row>
    <row r="501" spans="1:66" ht="29.25" hidden="1" customHeight="1">
      <c r="A501" s="13725">
        <v>318</v>
      </c>
      <c r="B501" s="13979" t="s">
        <v>7894</v>
      </c>
      <c r="C501" s="13592"/>
      <c r="D501" s="12102" t="s">
        <v>86</v>
      </c>
      <c r="E501" s="12015" t="s">
        <v>422</v>
      </c>
      <c r="F501" s="12015"/>
      <c r="G501" s="13981" t="s">
        <v>4930</v>
      </c>
      <c r="H501" s="13492" t="s">
        <v>1456</v>
      </c>
      <c r="I501" s="13999">
        <v>1</v>
      </c>
      <c r="K501" s="12815" t="s">
        <v>1732</v>
      </c>
      <c r="L501" s="12817"/>
      <c r="M501" s="12821"/>
      <c r="N501" s="13145"/>
      <c r="O501" s="12822"/>
      <c r="P501" s="12822" t="s">
        <v>10578</v>
      </c>
      <c r="Q501" s="12823"/>
      <c r="R501" s="12823"/>
      <c r="S501" s="12823"/>
      <c r="T501" s="13151"/>
      <c r="U501" s="12823"/>
      <c r="V501" s="12823"/>
      <c r="W501" s="12823"/>
      <c r="X501" s="12823"/>
      <c r="Y501" s="12823"/>
      <c r="Z501" s="12823"/>
      <c r="AA501" s="12823"/>
      <c r="AB501" s="12823"/>
      <c r="AC501" s="12823"/>
      <c r="AD501" s="12823"/>
      <c r="AE501" s="12823"/>
      <c r="AF501" s="12823"/>
      <c r="AG501" s="12823"/>
      <c r="AH501" s="12823"/>
      <c r="AI501" s="12823"/>
      <c r="AJ501" s="12823"/>
      <c r="AK501" s="12823"/>
      <c r="AL501" s="12823"/>
      <c r="AM501" s="12823"/>
      <c r="AN501" s="12823"/>
      <c r="AO501" s="12823"/>
      <c r="AP501" s="12823"/>
      <c r="AQ501" s="12823"/>
      <c r="AR501" s="12823"/>
      <c r="AS501" s="12823"/>
      <c r="AT501" s="12822"/>
      <c r="AU501" s="12822"/>
      <c r="AV501" s="12822"/>
      <c r="AW501" s="12822"/>
      <c r="AX501" s="12822"/>
      <c r="AY501" s="12822"/>
      <c r="AZ501" s="12822"/>
      <c r="BA501" s="12822"/>
      <c r="BB501" s="12822"/>
      <c r="BC501" s="12822"/>
      <c r="BD501" s="7693"/>
      <c r="BF501" s="14465"/>
      <c r="BG501" s="14465"/>
      <c r="BH501" s="14465"/>
      <c r="BI501" s="14465"/>
      <c r="BJ501" s="14465"/>
      <c r="BK501" s="13063"/>
      <c r="BL501" s="14465"/>
      <c r="BM501" s="14465"/>
      <c r="BN501" s="14465"/>
    </row>
    <row r="502" spans="1:66" ht="29.25" hidden="1" customHeight="1">
      <c r="A502" s="13726"/>
      <c r="B502" s="13992"/>
      <c r="C502" s="13592"/>
      <c r="D502" s="12102" t="s">
        <v>8644</v>
      </c>
      <c r="E502" s="12015"/>
      <c r="F502" s="12015" t="s">
        <v>1446</v>
      </c>
      <c r="G502" s="13995"/>
      <c r="H502" s="13491"/>
      <c r="I502" s="13998"/>
      <c r="K502" s="7681"/>
      <c r="L502" s="7679"/>
      <c r="M502" s="7679"/>
      <c r="N502" s="7678"/>
      <c r="O502" s="7678"/>
      <c r="P502" s="7683"/>
      <c r="Q502" s="7687"/>
      <c r="R502" s="7686"/>
      <c r="S502" s="7680"/>
      <c r="T502" s="7688"/>
      <c r="U502" s="7687"/>
      <c r="V502" s="7686"/>
      <c r="W502" s="7688"/>
      <c r="X502" s="7686"/>
      <c r="Y502" s="7688"/>
      <c r="Z502" s="7686"/>
      <c r="AA502" s="7680"/>
      <c r="AB502" s="7680"/>
      <c r="AC502" s="7680"/>
      <c r="AD502" s="7680"/>
      <c r="AE502" s="7680"/>
      <c r="AF502" s="7688"/>
      <c r="AG502" s="7686"/>
      <c r="AH502" s="7680"/>
      <c r="AI502" s="7680"/>
      <c r="AJ502" s="7680"/>
      <c r="AK502" s="7680"/>
      <c r="AL502" s="7680"/>
      <c r="AM502" s="7680"/>
      <c r="AN502" s="7688"/>
      <c r="AO502" s="7686"/>
      <c r="AP502" s="7680"/>
      <c r="AQ502" s="7680"/>
      <c r="AR502" s="7680"/>
      <c r="AS502" s="7680"/>
      <c r="AT502" s="7688"/>
      <c r="AU502" s="7692"/>
      <c r="AV502" s="7692"/>
      <c r="AW502" s="7692"/>
      <c r="AX502" s="7681"/>
      <c r="AY502" s="7683"/>
      <c r="AZ502" s="7692"/>
      <c r="BA502" s="7681"/>
      <c r="BB502" s="7678"/>
      <c r="BC502" s="7683"/>
      <c r="BD502" s="7693"/>
      <c r="BF502" s="14464"/>
      <c r="BG502" s="14464"/>
      <c r="BH502" s="14464"/>
      <c r="BI502" s="14464"/>
      <c r="BJ502" s="14464"/>
      <c r="BK502" s="9291"/>
      <c r="BL502" s="14464"/>
      <c r="BM502" s="14464"/>
      <c r="BN502" s="14464"/>
    </row>
    <row r="503" spans="1:66" ht="29.25" hidden="1" customHeight="1">
      <c r="A503" s="13725">
        <v>319</v>
      </c>
      <c r="B503" s="13979" t="s">
        <v>7895</v>
      </c>
      <c r="C503" s="13592"/>
      <c r="D503" s="12102" t="s">
        <v>86</v>
      </c>
      <c r="E503" s="12015" t="s">
        <v>422</v>
      </c>
      <c r="F503" s="12015"/>
      <c r="G503" s="13981" t="s">
        <v>4931</v>
      </c>
      <c r="H503" s="13492" t="s">
        <v>1456</v>
      </c>
      <c r="I503" s="13999">
        <v>1</v>
      </c>
      <c r="K503" s="13144" t="s">
        <v>1732</v>
      </c>
      <c r="L503" s="12816"/>
      <c r="M503" s="12816"/>
      <c r="N503" s="13145"/>
      <c r="O503" s="13145"/>
      <c r="P503" s="13146" t="s">
        <v>10592</v>
      </c>
      <c r="Q503" s="13146"/>
      <c r="R503" s="13146"/>
      <c r="S503" s="13146"/>
      <c r="T503" s="13147"/>
      <c r="U503" s="13146"/>
      <c r="V503" s="13146"/>
      <c r="W503" s="13146"/>
      <c r="X503" s="13146"/>
      <c r="Y503" s="13146"/>
      <c r="Z503" s="13146"/>
      <c r="AA503" s="13146"/>
      <c r="AB503" s="13146"/>
      <c r="AC503" s="13146"/>
      <c r="AD503" s="13146"/>
      <c r="AE503" s="13146"/>
      <c r="AF503" s="13146"/>
      <c r="AG503" s="13146"/>
      <c r="AH503" s="13146"/>
      <c r="AI503" s="13146"/>
      <c r="AJ503" s="13146"/>
      <c r="AK503" s="13146"/>
      <c r="AL503" s="13146"/>
      <c r="AM503" s="13146"/>
      <c r="AN503" s="13146"/>
      <c r="AO503" s="13146"/>
      <c r="AP503" s="13146"/>
      <c r="AQ503" s="13146"/>
      <c r="AR503" s="13146"/>
      <c r="AS503" s="13146"/>
      <c r="AT503" s="13145"/>
      <c r="AU503" s="13145"/>
      <c r="AV503" s="13145"/>
      <c r="AW503" s="13145"/>
      <c r="AX503" s="13145"/>
      <c r="AY503" s="13145"/>
      <c r="AZ503" s="13145"/>
      <c r="BA503" s="13145"/>
      <c r="BB503" s="13145"/>
      <c r="BC503" s="13145"/>
      <c r="BD503" s="7693"/>
      <c r="BF503" s="14465"/>
      <c r="BG503" s="14465"/>
      <c r="BH503" s="14465"/>
      <c r="BI503" s="14465"/>
      <c r="BJ503" s="14465"/>
      <c r="BK503" s="13063"/>
      <c r="BL503" s="14465"/>
      <c r="BM503" s="14465"/>
      <c r="BN503" s="14465"/>
    </row>
    <row r="504" spans="1:66" ht="29.25" hidden="1" customHeight="1">
      <c r="A504" s="13726"/>
      <c r="B504" s="13992"/>
      <c r="C504" s="13592"/>
      <c r="D504" s="12017" t="s">
        <v>10063</v>
      </c>
      <c r="E504" s="12016"/>
      <c r="F504" s="12015" t="s">
        <v>144</v>
      </c>
      <c r="G504" s="13995"/>
      <c r="H504" s="13491"/>
      <c r="I504" s="13998"/>
      <c r="K504" s="12815"/>
      <c r="L504" s="12817"/>
      <c r="M504" s="12821" t="s">
        <v>10397</v>
      </c>
      <c r="N504" s="12822"/>
      <c r="O504" s="12822"/>
      <c r="P504" s="12823"/>
      <c r="Q504" s="12823"/>
      <c r="R504" s="12823"/>
      <c r="S504" s="12823"/>
      <c r="T504" s="12824"/>
      <c r="U504" s="12823"/>
      <c r="V504" s="12823"/>
      <c r="W504" s="12823"/>
      <c r="X504" s="12823"/>
      <c r="Y504" s="12823"/>
      <c r="Z504" s="12823"/>
      <c r="AA504" s="12823"/>
      <c r="AB504" s="12823"/>
      <c r="AC504" s="12823"/>
      <c r="AD504" s="12823"/>
      <c r="AE504" s="12823"/>
      <c r="AF504" s="12823"/>
      <c r="AG504" s="12823"/>
      <c r="AH504" s="12823"/>
      <c r="AI504" s="12823"/>
      <c r="AJ504" s="12823"/>
      <c r="AK504" s="12823"/>
      <c r="AL504" s="12823"/>
      <c r="AM504" s="12823"/>
      <c r="AN504" s="12823"/>
      <c r="AO504" s="12823"/>
      <c r="AP504" s="12823"/>
      <c r="AQ504" s="12823"/>
      <c r="AR504" s="12823"/>
      <c r="AS504" s="12823"/>
      <c r="AT504" s="12822"/>
      <c r="AU504" s="12822"/>
      <c r="AV504" s="12822"/>
      <c r="AW504" s="12822"/>
      <c r="AX504" s="12822"/>
      <c r="AY504" s="12822"/>
      <c r="AZ504" s="12822"/>
      <c r="BA504" s="12822"/>
      <c r="BB504" s="12822"/>
      <c r="BC504" s="12822"/>
      <c r="BD504" s="7693"/>
      <c r="BF504" s="14464"/>
      <c r="BG504" s="14464"/>
      <c r="BH504" s="14464"/>
      <c r="BI504" s="14464"/>
      <c r="BJ504" s="14464"/>
      <c r="BK504" s="9291"/>
      <c r="BL504" s="14464"/>
      <c r="BM504" s="14464"/>
      <c r="BN504" s="14464"/>
    </row>
    <row r="505" spans="1:66" ht="26.25" hidden="1" customHeight="1">
      <c r="A505" s="13725">
        <v>320</v>
      </c>
      <c r="B505" s="13979" t="s">
        <v>7896</v>
      </c>
      <c r="C505" s="13592"/>
      <c r="D505" s="12017" t="s">
        <v>86</v>
      </c>
      <c r="E505" s="12016" t="s">
        <v>422</v>
      </c>
      <c r="F505" s="12016"/>
      <c r="G505" s="13981" t="s">
        <v>4932</v>
      </c>
      <c r="H505" s="13492" t="s">
        <v>95</v>
      </c>
      <c r="I505" s="13999" t="s">
        <v>207</v>
      </c>
      <c r="K505" s="12967">
        <v>6</v>
      </c>
      <c r="L505" s="7679"/>
      <c r="M505" s="7679"/>
      <c r="N505" s="7678" t="s">
        <v>10619</v>
      </c>
      <c r="O505" s="7678" t="s">
        <v>10620</v>
      </c>
      <c r="P505" s="7683"/>
      <c r="Q505" s="7687"/>
      <c r="R505" s="7686"/>
      <c r="S505" s="7680"/>
      <c r="T505" s="7688"/>
      <c r="U505" s="7687">
        <v>6</v>
      </c>
      <c r="V505" s="7686">
        <v>5</v>
      </c>
      <c r="W505" s="7688">
        <v>1</v>
      </c>
      <c r="X505" s="7686">
        <v>0</v>
      </c>
      <c r="Y505" s="7688">
        <v>6</v>
      </c>
      <c r="Z505" s="7686">
        <v>6</v>
      </c>
      <c r="AA505" s="7680"/>
      <c r="AB505" s="7680"/>
      <c r="AC505" s="7680"/>
      <c r="AD505" s="7680"/>
      <c r="AE505" s="7680"/>
      <c r="AF505" s="7688"/>
      <c r="AG505" s="7686">
        <v>0</v>
      </c>
      <c r="AH505" s="7680">
        <v>0</v>
      </c>
      <c r="AI505" s="7680">
        <v>0</v>
      </c>
      <c r="AJ505" s="7680"/>
      <c r="AK505" s="7680">
        <v>0</v>
      </c>
      <c r="AL505" s="7680">
        <v>0</v>
      </c>
      <c r="AM505" s="7680">
        <v>0</v>
      </c>
      <c r="AN505" s="7688">
        <v>0</v>
      </c>
      <c r="AO505" s="7686">
        <v>0</v>
      </c>
      <c r="AP505" s="7680">
        <v>0</v>
      </c>
      <c r="AQ505" s="7680">
        <v>6</v>
      </c>
      <c r="AR505" s="7680">
        <v>0</v>
      </c>
      <c r="AS505" s="7680">
        <v>0</v>
      </c>
      <c r="AT505" s="7688">
        <v>0</v>
      </c>
      <c r="AU505" s="7692"/>
      <c r="AV505" s="7692"/>
      <c r="AW505" s="7692"/>
      <c r="AX505" s="7681"/>
      <c r="AY505" s="7683"/>
      <c r="AZ505" s="7692"/>
      <c r="BA505" s="7681"/>
      <c r="BB505" s="7678"/>
      <c r="BC505" s="7683"/>
      <c r="BD505" s="7693"/>
      <c r="BF505" s="14465"/>
      <c r="BG505" s="14465"/>
      <c r="BH505" s="14465"/>
      <c r="BI505" s="14465"/>
      <c r="BJ505" s="14465"/>
      <c r="BK505" s="13063"/>
      <c r="BL505" s="14465"/>
      <c r="BM505" s="14465"/>
      <c r="BN505" s="14465"/>
    </row>
    <row r="506" spans="1:66" ht="29.25" hidden="1" customHeight="1">
      <c r="A506" s="13727"/>
      <c r="B506" s="13991"/>
      <c r="C506" s="13592"/>
      <c r="D506" s="12017" t="s">
        <v>2896</v>
      </c>
      <c r="E506" s="12016"/>
      <c r="F506" s="12016" t="s">
        <v>163</v>
      </c>
      <c r="G506" s="13994"/>
      <c r="H506" s="13490"/>
      <c r="I506" s="13997"/>
      <c r="K506" s="7681"/>
      <c r="L506" s="7679"/>
      <c r="M506" s="7679"/>
      <c r="N506" s="7678"/>
      <c r="O506" s="7678"/>
      <c r="P506" s="7683"/>
      <c r="Q506" s="7687"/>
      <c r="R506" s="7686"/>
      <c r="S506" s="7680"/>
      <c r="T506" s="7688"/>
      <c r="U506" s="7687"/>
      <c r="V506" s="7686"/>
      <c r="W506" s="7688"/>
      <c r="X506" s="7686"/>
      <c r="Y506" s="7688"/>
      <c r="Z506" s="7686"/>
      <c r="AA506" s="7680"/>
      <c r="AB506" s="7680"/>
      <c r="AC506" s="7680"/>
      <c r="AD506" s="7680"/>
      <c r="AE506" s="7680"/>
      <c r="AF506" s="7688"/>
      <c r="AG506" s="7686"/>
      <c r="AH506" s="7680"/>
      <c r="AI506" s="7680"/>
      <c r="AJ506" s="7680"/>
      <c r="AK506" s="7680"/>
      <c r="AL506" s="7680"/>
      <c r="AM506" s="7680"/>
      <c r="AN506" s="7688"/>
      <c r="AO506" s="7686"/>
      <c r="AP506" s="7680"/>
      <c r="AQ506" s="7680"/>
      <c r="AR506" s="7680"/>
      <c r="AS506" s="7680"/>
      <c r="AT506" s="7688"/>
      <c r="AU506" s="7692"/>
      <c r="AV506" s="7692"/>
      <c r="AW506" s="7692"/>
      <c r="AX506" s="7681"/>
      <c r="AY506" s="7683"/>
      <c r="AZ506" s="7692"/>
      <c r="BA506" s="7681"/>
      <c r="BB506" s="7678"/>
      <c r="BC506" s="7683"/>
      <c r="BD506" s="7693"/>
      <c r="BF506" s="14463"/>
      <c r="BG506" s="14463"/>
      <c r="BH506" s="14463"/>
      <c r="BI506" s="14463"/>
      <c r="BJ506" s="14463"/>
      <c r="BK506" s="9290"/>
      <c r="BL506" s="14463"/>
      <c r="BM506" s="14463"/>
      <c r="BN506" s="14463"/>
    </row>
    <row r="507" spans="1:66" ht="29.25" hidden="1" customHeight="1" thickBot="1">
      <c r="A507" s="13728"/>
      <c r="B507" s="13980"/>
      <c r="C507" s="13592"/>
      <c r="D507" s="12106" t="s">
        <v>208</v>
      </c>
      <c r="E507" s="12020"/>
      <c r="F507" s="12020" t="s">
        <v>208</v>
      </c>
      <c r="G507" s="13982"/>
      <c r="H507" s="13493"/>
      <c r="I507" s="14058"/>
      <c r="K507" s="7700"/>
      <c r="L507" s="7701"/>
      <c r="M507" s="7701"/>
      <c r="N507" s="7702"/>
      <c r="O507" s="7702"/>
      <c r="P507" s="7703"/>
      <c r="Q507" s="7704"/>
      <c r="R507" s="7705"/>
      <c r="S507" s="7706"/>
      <c r="T507" s="7707"/>
      <c r="U507" s="7704"/>
      <c r="V507" s="7705"/>
      <c r="W507" s="7707"/>
      <c r="X507" s="7705"/>
      <c r="Y507" s="7707"/>
      <c r="Z507" s="7705"/>
      <c r="AA507" s="7706"/>
      <c r="AB507" s="7706"/>
      <c r="AC507" s="7706"/>
      <c r="AD507" s="7706"/>
      <c r="AE507" s="7706"/>
      <c r="AF507" s="7707"/>
      <c r="AG507" s="7705"/>
      <c r="AH507" s="7706"/>
      <c r="AI507" s="7706"/>
      <c r="AJ507" s="7706"/>
      <c r="AK507" s="7706"/>
      <c r="AL507" s="7706"/>
      <c r="AM507" s="7706"/>
      <c r="AN507" s="7707"/>
      <c r="AO507" s="7705"/>
      <c r="AP507" s="7706"/>
      <c r="AQ507" s="7706"/>
      <c r="AR507" s="7706"/>
      <c r="AS507" s="7706"/>
      <c r="AT507" s="7707"/>
      <c r="AU507" s="7708"/>
      <c r="AV507" s="7708"/>
      <c r="AW507" s="7708"/>
      <c r="AX507" s="7700"/>
      <c r="AY507" s="7703"/>
      <c r="AZ507" s="7708"/>
      <c r="BA507" s="7700"/>
      <c r="BB507" s="7702"/>
      <c r="BC507" s="7703"/>
      <c r="BD507" s="7709"/>
      <c r="BF507" s="14466"/>
      <c r="BG507" s="14466"/>
      <c r="BH507" s="14466"/>
      <c r="BI507" s="14466"/>
      <c r="BJ507" s="14466"/>
      <c r="BK507" s="9293"/>
      <c r="BL507" s="14466"/>
      <c r="BM507" s="14466"/>
      <c r="BN507" s="14466"/>
    </row>
    <row r="508" spans="1:66" ht="29.25" hidden="1" customHeight="1">
      <c r="A508" s="13729">
        <v>321</v>
      </c>
      <c r="B508" s="14044" t="s">
        <v>7897</v>
      </c>
      <c r="C508" s="13592"/>
      <c r="D508" s="12107" t="s">
        <v>10066</v>
      </c>
      <c r="E508" s="12108" t="s">
        <v>298</v>
      </c>
      <c r="F508" s="12108"/>
      <c r="G508" s="14046" t="s">
        <v>1462</v>
      </c>
      <c r="H508" s="13481" t="s">
        <v>497</v>
      </c>
      <c r="I508" s="14083">
        <v>1</v>
      </c>
      <c r="K508" s="9551"/>
      <c r="L508" s="9552"/>
      <c r="M508" s="9552"/>
      <c r="N508" s="9553"/>
      <c r="O508" s="9553"/>
      <c r="P508" s="9554"/>
      <c r="Q508" s="9555"/>
      <c r="R508" s="9556"/>
      <c r="S508" s="9557"/>
      <c r="T508" s="9558"/>
      <c r="U508" s="9555"/>
      <c r="V508" s="9556"/>
      <c r="W508" s="9558"/>
      <c r="X508" s="9556"/>
      <c r="Y508" s="9558"/>
      <c r="Z508" s="9556"/>
      <c r="AA508" s="9557"/>
      <c r="AB508" s="9557"/>
      <c r="AC508" s="9557"/>
      <c r="AD508" s="9557"/>
      <c r="AE508" s="9557"/>
      <c r="AF508" s="9558"/>
      <c r="AG508" s="9556"/>
      <c r="AH508" s="9557"/>
      <c r="AI508" s="9557"/>
      <c r="AJ508" s="9557"/>
      <c r="AK508" s="9557"/>
      <c r="AL508" s="9557"/>
      <c r="AM508" s="9557"/>
      <c r="AN508" s="9558"/>
      <c r="AO508" s="9556"/>
      <c r="AP508" s="9557"/>
      <c r="AQ508" s="9557"/>
      <c r="AR508" s="9557"/>
      <c r="AS508" s="9557"/>
      <c r="AT508" s="9558"/>
      <c r="AU508" s="9559"/>
      <c r="AV508" s="9559"/>
      <c r="AW508" s="9559"/>
      <c r="AX508" s="9551"/>
      <c r="AY508" s="9554"/>
      <c r="AZ508" s="9559"/>
      <c r="BA508" s="9551"/>
      <c r="BB508" s="9553"/>
      <c r="BC508" s="9554"/>
      <c r="BD508" s="9560"/>
      <c r="BF508" s="14485"/>
      <c r="BG508" s="14485"/>
      <c r="BH508" s="14485"/>
      <c r="BI508" s="14485"/>
      <c r="BJ508" s="14485"/>
      <c r="BK508" s="9561"/>
      <c r="BL508" s="14485"/>
      <c r="BM508" s="14485"/>
      <c r="BN508" s="14485"/>
    </row>
    <row r="509" spans="1:66" ht="29.25" hidden="1" customHeight="1">
      <c r="A509" s="13730"/>
      <c r="B509" s="14045"/>
      <c r="C509" s="13592"/>
      <c r="D509" s="12109" t="s">
        <v>10063</v>
      </c>
      <c r="E509" s="12110"/>
      <c r="F509" s="12110" t="s">
        <v>316</v>
      </c>
      <c r="G509" s="14043"/>
      <c r="H509" s="13482"/>
      <c r="I509" s="14081"/>
      <c r="K509" s="9562"/>
      <c r="L509" s="8138"/>
      <c r="M509" s="8138"/>
      <c r="N509" s="9563"/>
      <c r="O509" s="9563"/>
      <c r="P509" s="9564"/>
      <c r="Q509" s="8141"/>
      <c r="R509" s="8142"/>
      <c r="S509" s="8143"/>
      <c r="T509" s="8144"/>
      <c r="U509" s="8141"/>
      <c r="V509" s="8142"/>
      <c r="W509" s="8144"/>
      <c r="X509" s="8142"/>
      <c r="Y509" s="8144"/>
      <c r="Z509" s="8142"/>
      <c r="AA509" s="8143"/>
      <c r="AB509" s="8143"/>
      <c r="AC509" s="8143"/>
      <c r="AD509" s="8143"/>
      <c r="AE509" s="8143"/>
      <c r="AF509" s="8144"/>
      <c r="AG509" s="8142"/>
      <c r="AH509" s="8143"/>
      <c r="AI509" s="8143"/>
      <c r="AJ509" s="8143"/>
      <c r="AK509" s="8143"/>
      <c r="AL509" s="8143"/>
      <c r="AM509" s="8143"/>
      <c r="AN509" s="8144"/>
      <c r="AO509" s="8142"/>
      <c r="AP509" s="8143"/>
      <c r="AQ509" s="8143"/>
      <c r="AR509" s="8143"/>
      <c r="AS509" s="8143"/>
      <c r="AT509" s="8144"/>
      <c r="AU509" s="9565"/>
      <c r="AV509" s="9565"/>
      <c r="AW509" s="9565"/>
      <c r="AX509" s="9562"/>
      <c r="AY509" s="9564"/>
      <c r="AZ509" s="9565"/>
      <c r="BA509" s="9562"/>
      <c r="BB509" s="9563"/>
      <c r="BC509" s="9564"/>
      <c r="BD509" s="9566"/>
      <c r="BF509" s="14486"/>
      <c r="BG509" s="14486"/>
      <c r="BH509" s="14486"/>
      <c r="BI509" s="14486"/>
      <c r="BJ509" s="14486"/>
      <c r="BK509" s="9567"/>
      <c r="BL509" s="14486"/>
      <c r="BM509" s="14486"/>
      <c r="BN509" s="14486"/>
    </row>
    <row r="510" spans="1:66" ht="29.25" hidden="1" customHeight="1">
      <c r="A510" s="13731">
        <v>322</v>
      </c>
      <c r="B510" s="14047" t="s">
        <v>7898</v>
      </c>
      <c r="C510" s="13592"/>
      <c r="D510" s="12111" t="s">
        <v>10066</v>
      </c>
      <c r="E510" s="12112" t="s">
        <v>298</v>
      </c>
      <c r="F510" s="12112"/>
      <c r="G510" s="14042" t="s">
        <v>1465</v>
      </c>
      <c r="H510" s="13483" t="s">
        <v>1466</v>
      </c>
      <c r="I510" s="14079" t="s">
        <v>1468</v>
      </c>
      <c r="K510" s="9562"/>
      <c r="L510" s="8138"/>
      <c r="M510" s="8138"/>
      <c r="N510" s="9563"/>
      <c r="O510" s="9563"/>
      <c r="P510" s="9564"/>
      <c r="Q510" s="8141"/>
      <c r="R510" s="8142"/>
      <c r="S510" s="8143"/>
      <c r="T510" s="8144"/>
      <c r="U510" s="8141"/>
      <c r="V510" s="8142"/>
      <c r="W510" s="8144"/>
      <c r="X510" s="8142"/>
      <c r="Y510" s="8144"/>
      <c r="Z510" s="8142"/>
      <c r="AA510" s="8143"/>
      <c r="AB510" s="8143"/>
      <c r="AC510" s="8143"/>
      <c r="AD510" s="8143"/>
      <c r="AE510" s="8143"/>
      <c r="AF510" s="8144"/>
      <c r="AG510" s="8142"/>
      <c r="AH510" s="8143"/>
      <c r="AI510" s="8143"/>
      <c r="AJ510" s="8143"/>
      <c r="AK510" s="8143"/>
      <c r="AL510" s="8143"/>
      <c r="AM510" s="8143"/>
      <c r="AN510" s="8144"/>
      <c r="AO510" s="8142"/>
      <c r="AP510" s="8143"/>
      <c r="AQ510" s="8143"/>
      <c r="AR510" s="8143"/>
      <c r="AS510" s="8143"/>
      <c r="AT510" s="8144"/>
      <c r="AU510" s="9565"/>
      <c r="AV510" s="9565"/>
      <c r="AW510" s="9565"/>
      <c r="AX510" s="9562"/>
      <c r="AY510" s="9564"/>
      <c r="AZ510" s="9565"/>
      <c r="BA510" s="9562"/>
      <c r="BB510" s="9563"/>
      <c r="BC510" s="9564"/>
      <c r="BD510" s="9566"/>
      <c r="BF510" s="14487"/>
      <c r="BG510" s="14487"/>
      <c r="BH510" s="14487"/>
      <c r="BI510" s="14487"/>
      <c r="BJ510" s="14487"/>
      <c r="BK510" s="9568"/>
      <c r="BL510" s="14487"/>
      <c r="BM510" s="14487"/>
      <c r="BN510" s="14487"/>
    </row>
    <row r="511" spans="1:66" ht="29.25" hidden="1" customHeight="1">
      <c r="A511" s="13730"/>
      <c r="B511" s="14045"/>
      <c r="C511" s="13592"/>
      <c r="D511" s="12111" t="s">
        <v>10063</v>
      </c>
      <c r="E511" s="12112"/>
      <c r="F511" s="12112" t="s">
        <v>316</v>
      </c>
      <c r="G511" s="14043"/>
      <c r="H511" s="13482"/>
      <c r="I511" s="14081"/>
      <c r="K511" s="9562"/>
      <c r="L511" s="8138"/>
      <c r="M511" s="8138"/>
      <c r="N511" s="9563"/>
      <c r="O511" s="9563"/>
      <c r="P511" s="9564"/>
      <c r="Q511" s="8141"/>
      <c r="R511" s="8142"/>
      <c r="S511" s="8143"/>
      <c r="T511" s="8144"/>
      <c r="U511" s="8141"/>
      <c r="V511" s="8142"/>
      <c r="W511" s="8144"/>
      <c r="X511" s="8142"/>
      <c r="Y511" s="8144"/>
      <c r="Z511" s="8142"/>
      <c r="AA511" s="8143"/>
      <c r="AB511" s="8143"/>
      <c r="AC511" s="8143"/>
      <c r="AD511" s="8143"/>
      <c r="AE511" s="8143"/>
      <c r="AF511" s="8144"/>
      <c r="AG511" s="8142"/>
      <c r="AH511" s="8143"/>
      <c r="AI511" s="8143"/>
      <c r="AJ511" s="8143"/>
      <c r="AK511" s="8143"/>
      <c r="AL511" s="8143"/>
      <c r="AM511" s="8143"/>
      <c r="AN511" s="8144"/>
      <c r="AO511" s="8142"/>
      <c r="AP511" s="8143"/>
      <c r="AQ511" s="8143"/>
      <c r="AR511" s="8143"/>
      <c r="AS511" s="8143"/>
      <c r="AT511" s="8144"/>
      <c r="AU511" s="9565"/>
      <c r="AV511" s="9565"/>
      <c r="AW511" s="9565"/>
      <c r="AX511" s="9562"/>
      <c r="AY511" s="9564"/>
      <c r="AZ511" s="9565"/>
      <c r="BA511" s="9562"/>
      <c r="BB511" s="9563"/>
      <c r="BC511" s="9564"/>
      <c r="BD511" s="9566"/>
      <c r="BF511" s="14486"/>
      <c r="BG511" s="14486"/>
      <c r="BH511" s="14486"/>
      <c r="BI511" s="14486"/>
      <c r="BJ511" s="14486"/>
      <c r="BK511" s="9567"/>
      <c r="BL511" s="14486"/>
      <c r="BM511" s="14486"/>
      <c r="BN511" s="14486"/>
    </row>
    <row r="512" spans="1:66" ht="29.25" hidden="1" customHeight="1">
      <c r="A512" s="13731">
        <v>323</v>
      </c>
      <c r="B512" s="14047" t="s">
        <v>7899</v>
      </c>
      <c r="C512" s="13592"/>
      <c r="D512" s="12113" t="s">
        <v>10063</v>
      </c>
      <c r="E512" s="12112" t="s">
        <v>316</v>
      </c>
      <c r="F512" s="12112"/>
      <c r="G512" s="14042" t="s">
        <v>1470</v>
      </c>
      <c r="H512" s="13483" t="s">
        <v>1471</v>
      </c>
      <c r="I512" s="14079">
        <v>0</v>
      </c>
      <c r="K512" s="9562"/>
      <c r="L512" s="8138"/>
      <c r="M512" s="8138"/>
      <c r="N512" s="9563"/>
      <c r="O512" s="9563"/>
      <c r="P512" s="9564"/>
      <c r="Q512" s="8141"/>
      <c r="R512" s="8142"/>
      <c r="S512" s="8143"/>
      <c r="T512" s="8144"/>
      <c r="U512" s="8141"/>
      <c r="V512" s="8142"/>
      <c r="W512" s="8144"/>
      <c r="X512" s="8142"/>
      <c r="Y512" s="8144"/>
      <c r="Z512" s="8142"/>
      <c r="AA512" s="8143"/>
      <c r="AB512" s="8143"/>
      <c r="AC512" s="8143"/>
      <c r="AD512" s="8143"/>
      <c r="AE512" s="8143"/>
      <c r="AF512" s="8144"/>
      <c r="AG512" s="8142"/>
      <c r="AH512" s="8143"/>
      <c r="AI512" s="8143"/>
      <c r="AJ512" s="8143"/>
      <c r="AK512" s="8143"/>
      <c r="AL512" s="8143"/>
      <c r="AM512" s="8143"/>
      <c r="AN512" s="8144"/>
      <c r="AO512" s="8142"/>
      <c r="AP512" s="8143"/>
      <c r="AQ512" s="8143"/>
      <c r="AR512" s="8143"/>
      <c r="AS512" s="8143"/>
      <c r="AT512" s="8144"/>
      <c r="AU512" s="9565"/>
      <c r="AV512" s="9565"/>
      <c r="AW512" s="9565"/>
      <c r="AX512" s="9562"/>
      <c r="AY512" s="9564"/>
      <c r="AZ512" s="9565"/>
      <c r="BA512" s="9562"/>
      <c r="BB512" s="9563"/>
      <c r="BC512" s="9564"/>
      <c r="BD512" s="9566"/>
      <c r="BF512" s="14487"/>
      <c r="BG512" s="14487"/>
      <c r="BH512" s="14487"/>
      <c r="BI512" s="14487"/>
      <c r="BJ512" s="14487"/>
      <c r="BK512" s="9568"/>
      <c r="BL512" s="14487"/>
      <c r="BM512" s="14487"/>
      <c r="BN512" s="14487"/>
    </row>
    <row r="513" spans="1:66" ht="29.25" hidden="1" customHeight="1">
      <c r="A513" s="13732"/>
      <c r="B513" s="14092"/>
      <c r="C513" s="13592"/>
      <c r="D513" s="12113" t="s">
        <v>10092</v>
      </c>
      <c r="E513" s="12112"/>
      <c r="F513" s="12112" t="s">
        <v>890</v>
      </c>
      <c r="G513" s="14093"/>
      <c r="H513" s="13484"/>
      <c r="I513" s="14080"/>
      <c r="K513" s="9562"/>
      <c r="L513" s="8138"/>
      <c r="M513" s="8138"/>
      <c r="N513" s="9563"/>
      <c r="O513" s="9563"/>
      <c r="P513" s="9564"/>
      <c r="Q513" s="8141"/>
      <c r="R513" s="8142"/>
      <c r="S513" s="8143"/>
      <c r="T513" s="8144"/>
      <c r="U513" s="8141"/>
      <c r="V513" s="8142"/>
      <c r="W513" s="8144"/>
      <c r="X513" s="8142"/>
      <c r="Y513" s="8144"/>
      <c r="Z513" s="8142"/>
      <c r="AA513" s="8143"/>
      <c r="AB513" s="8143"/>
      <c r="AC513" s="8143"/>
      <c r="AD513" s="8143"/>
      <c r="AE513" s="8143"/>
      <c r="AF513" s="8144"/>
      <c r="AG513" s="8142"/>
      <c r="AH513" s="8143"/>
      <c r="AI513" s="8143"/>
      <c r="AJ513" s="8143"/>
      <c r="AK513" s="8143"/>
      <c r="AL513" s="8143"/>
      <c r="AM513" s="8143"/>
      <c r="AN513" s="8144"/>
      <c r="AO513" s="8142"/>
      <c r="AP513" s="8143"/>
      <c r="AQ513" s="8143"/>
      <c r="AR513" s="8143"/>
      <c r="AS513" s="8143"/>
      <c r="AT513" s="8144"/>
      <c r="AU513" s="9565"/>
      <c r="AV513" s="9565"/>
      <c r="AW513" s="9565"/>
      <c r="AX513" s="9562"/>
      <c r="AY513" s="9564"/>
      <c r="AZ513" s="9565"/>
      <c r="BA513" s="9562"/>
      <c r="BB513" s="9563"/>
      <c r="BC513" s="9564"/>
      <c r="BD513" s="9566"/>
      <c r="BF513" s="14488"/>
      <c r="BG513" s="14488"/>
      <c r="BH513" s="14488"/>
      <c r="BI513" s="14488"/>
      <c r="BJ513" s="14488"/>
      <c r="BK513" s="9569"/>
      <c r="BL513" s="14488"/>
      <c r="BM513" s="14488"/>
      <c r="BN513" s="14488"/>
    </row>
    <row r="514" spans="1:66" ht="29.25" hidden="1" customHeight="1">
      <c r="A514" s="13730"/>
      <c r="B514" s="14045"/>
      <c r="C514" s="13592"/>
      <c r="D514" s="12113" t="s">
        <v>65</v>
      </c>
      <c r="E514" s="12112"/>
      <c r="F514" s="12112" t="s">
        <v>10227</v>
      </c>
      <c r="G514" s="14043"/>
      <c r="H514" s="13482"/>
      <c r="I514" s="14081"/>
      <c r="K514" s="9562"/>
      <c r="L514" s="8138"/>
      <c r="M514" s="8138"/>
      <c r="N514" s="9563"/>
      <c r="O514" s="9563"/>
      <c r="P514" s="9564"/>
      <c r="Q514" s="8141"/>
      <c r="R514" s="8142"/>
      <c r="S514" s="8143"/>
      <c r="T514" s="8144"/>
      <c r="U514" s="8141"/>
      <c r="V514" s="8142"/>
      <c r="W514" s="8144"/>
      <c r="X514" s="8142"/>
      <c r="Y514" s="8144"/>
      <c r="Z514" s="8142"/>
      <c r="AA514" s="8143"/>
      <c r="AB514" s="8143"/>
      <c r="AC514" s="8143"/>
      <c r="AD514" s="8143"/>
      <c r="AE514" s="8143"/>
      <c r="AF514" s="8144"/>
      <c r="AG514" s="8142"/>
      <c r="AH514" s="8143"/>
      <c r="AI514" s="8143"/>
      <c r="AJ514" s="8143"/>
      <c r="AK514" s="8143"/>
      <c r="AL514" s="8143"/>
      <c r="AM514" s="8143"/>
      <c r="AN514" s="8144"/>
      <c r="AO514" s="8142"/>
      <c r="AP514" s="8143"/>
      <c r="AQ514" s="8143"/>
      <c r="AR514" s="8143"/>
      <c r="AS514" s="8143"/>
      <c r="AT514" s="8144"/>
      <c r="AU514" s="9565"/>
      <c r="AV514" s="9565"/>
      <c r="AW514" s="9565"/>
      <c r="AX514" s="9562"/>
      <c r="AY514" s="9564"/>
      <c r="AZ514" s="9565"/>
      <c r="BA514" s="9562"/>
      <c r="BB514" s="9563"/>
      <c r="BC514" s="9564"/>
      <c r="BD514" s="9566"/>
      <c r="BF514" s="14486"/>
      <c r="BG514" s="14486"/>
      <c r="BH514" s="14486"/>
      <c r="BI514" s="14486"/>
      <c r="BJ514" s="14486"/>
      <c r="BK514" s="9567"/>
      <c r="BL514" s="14486"/>
      <c r="BM514" s="14486"/>
      <c r="BN514" s="14486"/>
    </row>
    <row r="515" spans="1:66" ht="29.25" hidden="1" customHeight="1">
      <c r="A515" s="13731">
        <v>324</v>
      </c>
      <c r="B515" s="14047" t="s">
        <v>7900</v>
      </c>
      <c r="C515" s="13592"/>
      <c r="D515" s="12113" t="s">
        <v>10066</v>
      </c>
      <c r="E515" s="12114" t="s">
        <v>298</v>
      </c>
      <c r="F515" s="12112"/>
      <c r="G515" s="14042" t="s">
        <v>1473</v>
      </c>
      <c r="H515" s="13483" t="s">
        <v>1474</v>
      </c>
      <c r="I515" s="14079">
        <v>1</v>
      </c>
      <c r="K515" s="9562"/>
      <c r="L515" s="8138"/>
      <c r="M515" s="8138"/>
      <c r="N515" s="9563"/>
      <c r="O515" s="9563"/>
      <c r="P515" s="9564"/>
      <c r="Q515" s="8141"/>
      <c r="R515" s="8142"/>
      <c r="S515" s="8143"/>
      <c r="T515" s="8144"/>
      <c r="U515" s="8141"/>
      <c r="V515" s="8142"/>
      <c r="W515" s="8144"/>
      <c r="X515" s="8142"/>
      <c r="Y515" s="8144"/>
      <c r="Z515" s="8142"/>
      <c r="AA515" s="8143"/>
      <c r="AB515" s="8143"/>
      <c r="AC515" s="8143"/>
      <c r="AD515" s="8143"/>
      <c r="AE515" s="8143"/>
      <c r="AF515" s="8144"/>
      <c r="AG515" s="8142"/>
      <c r="AH515" s="8143"/>
      <c r="AI515" s="8143"/>
      <c r="AJ515" s="8143"/>
      <c r="AK515" s="8143"/>
      <c r="AL515" s="8143"/>
      <c r="AM515" s="8143"/>
      <c r="AN515" s="8144"/>
      <c r="AO515" s="8142"/>
      <c r="AP515" s="8143"/>
      <c r="AQ515" s="8143"/>
      <c r="AR515" s="8143"/>
      <c r="AS515" s="8143"/>
      <c r="AT515" s="8144"/>
      <c r="AU515" s="9565"/>
      <c r="AV515" s="9565"/>
      <c r="AW515" s="9565"/>
      <c r="AX515" s="9562"/>
      <c r="AY515" s="9564"/>
      <c r="AZ515" s="9565"/>
      <c r="BA515" s="9562"/>
      <c r="BB515" s="9563"/>
      <c r="BC515" s="9564"/>
      <c r="BD515" s="9566"/>
      <c r="BF515" s="14487"/>
      <c r="BG515" s="14487"/>
      <c r="BH515" s="14487"/>
      <c r="BI515" s="14487"/>
      <c r="BJ515" s="14487"/>
      <c r="BK515" s="9568"/>
      <c r="BL515" s="14487"/>
      <c r="BM515" s="14487"/>
      <c r="BN515" s="14487"/>
    </row>
    <row r="516" spans="1:66" ht="29.25" hidden="1" customHeight="1">
      <c r="A516" s="13730"/>
      <c r="B516" s="14045"/>
      <c r="C516" s="13592"/>
      <c r="D516" s="12113" t="s">
        <v>10063</v>
      </c>
      <c r="E516" s="12114"/>
      <c r="F516" s="12112" t="s">
        <v>1476</v>
      </c>
      <c r="G516" s="14043"/>
      <c r="H516" s="13482"/>
      <c r="I516" s="14081"/>
      <c r="K516" s="9562"/>
      <c r="L516" s="8138"/>
      <c r="M516" s="8138"/>
      <c r="N516" s="9563"/>
      <c r="O516" s="9563"/>
      <c r="P516" s="9564"/>
      <c r="Q516" s="8141"/>
      <c r="R516" s="8142"/>
      <c r="S516" s="8143"/>
      <c r="T516" s="8144"/>
      <c r="U516" s="8141"/>
      <c r="V516" s="8142"/>
      <c r="W516" s="8144"/>
      <c r="X516" s="8142"/>
      <c r="Y516" s="8144"/>
      <c r="Z516" s="8142"/>
      <c r="AA516" s="8143"/>
      <c r="AB516" s="8143"/>
      <c r="AC516" s="8143"/>
      <c r="AD516" s="8143"/>
      <c r="AE516" s="8143"/>
      <c r="AF516" s="8144"/>
      <c r="AG516" s="8142"/>
      <c r="AH516" s="8143"/>
      <c r="AI516" s="8143"/>
      <c r="AJ516" s="8143"/>
      <c r="AK516" s="8143"/>
      <c r="AL516" s="8143"/>
      <c r="AM516" s="8143"/>
      <c r="AN516" s="8144"/>
      <c r="AO516" s="8142"/>
      <c r="AP516" s="8143"/>
      <c r="AQ516" s="8143"/>
      <c r="AR516" s="8143"/>
      <c r="AS516" s="8143"/>
      <c r="AT516" s="8144"/>
      <c r="AU516" s="9565"/>
      <c r="AV516" s="9565"/>
      <c r="AW516" s="9565"/>
      <c r="AX516" s="9562"/>
      <c r="AY516" s="9564"/>
      <c r="AZ516" s="9565"/>
      <c r="BA516" s="9562"/>
      <c r="BB516" s="9563"/>
      <c r="BC516" s="9564"/>
      <c r="BD516" s="9566"/>
      <c r="BF516" s="14486"/>
      <c r="BG516" s="14486"/>
      <c r="BH516" s="14486"/>
      <c r="BI516" s="14486"/>
      <c r="BJ516" s="14486"/>
      <c r="BK516" s="9567"/>
      <c r="BL516" s="14486"/>
      <c r="BM516" s="14486"/>
      <c r="BN516" s="14486"/>
    </row>
    <row r="517" spans="1:66" ht="29.25" hidden="1" customHeight="1">
      <c r="A517" s="13731">
        <v>325</v>
      </c>
      <c r="B517" s="14047" t="s">
        <v>7901</v>
      </c>
      <c r="C517" s="13592"/>
      <c r="D517" s="12113" t="s">
        <v>10066</v>
      </c>
      <c r="E517" s="12114" t="s">
        <v>298</v>
      </c>
      <c r="F517" s="12112"/>
      <c r="G517" s="14042" t="s">
        <v>1477</v>
      </c>
      <c r="H517" s="13483" t="s">
        <v>1474</v>
      </c>
      <c r="I517" s="14079">
        <v>1</v>
      </c>
      <c r="K517" s="9562"/>
      <c r="L517" s="8138"/>
      <c r="M517" s="8138"/>
      <c r="N517" s="9563"/>
      <c r="O517" s="9563"/>
      <c r="P517" s="9564"/>
      <c r="Q517" s="8141"/>
      <c r="R517" s="8142"/>
      <c r="S517" s="8143"/>
      <c r="T517" s="8144"/>
      <c r="U517" s="8141"/>
      <c r="V517" s="8142"/>
      <c r="W517" s="8144"/>
      <c r="X517" s="8142"/>
      <c r="Y517" s="8144"/>
      <c r="Z517" s="8142"/>
      <c r="AA517" s="8143"/>
      <c r="AB517" s="8143"/>
      <c r="AC517" s="8143"/>
      <c r="AD517" s="8143"/>
      <c r="AE517" s="8143"/>
      <c r="AF517" s="8144"/>
      <c r="AG517" s="8142"/>
      <c r="AH517" s="8143"/>
      <c r="AI517" s="8143"/>
      <c r="AJ517" s="8143"/>
      <c r="AK517" s="8143"/>
      <c r="AL517" s="8143"/>
      <c r="AM517" s="8143"/>
      <c r="AN517" s="8144"/>
      <c r="AO517" s="8142"/>
      <c r="AP517" s="8143"/>
      <c r="AQ517" s="8143"/>
      <c r="AR517" s="8143"/>
      <c r="AS517" s="8143"/>
      <c r="AT517" s="8144"/>
      <c r="AU517" s="9565"/>
      <c r="AV517" s="9565"/>
      <c r="AW517" s="9565"/>
      <c r="AX517" s="9562"/>
      <c r="AY517" s="9564"/>
      <c r="AZ517" s="9565"/>
      <c r="BA517" s="9562"/>
      <c r="BB517" s="9563"/>
      <c r="BC517" s="9564"/>
      <c r="BD517" s="9566"/>
      <c r="BF517" s="14487"/>
      <c r="BG517" s="14487"/>
      <c r="BH517" s="14487"/>
      <c r="BI517" s="14487"/>
      <c r="BJ517" s="14487"/>
      <c r="BK517" s="9568"/>
      <c r="BL517" s="14487"/>
      <c r="BM517" s="14487"/>
      <c r="BN517" s="14487"/>
    </row>
    <row r="518" spans="1:66" ht="29.25" hidden="1" customHeight="1">
      <c r="A518" s="13730"/>
      <c r="B518" s="14045"/>
      <c r="C518" s="13592"/>
      <c r="D518" s="12113" t="s">
        <v>10063</v>
      </c>
      <c r="E518" s="12114"/>
      <c r="F518" s="12112" t="s">
        <v>1476</v>
      </c>
      <c r="G518" s="14043"/>
      <c r="H518" s="13482"/>
      <c r="I518" s="14081"/>
      <c r="K518" s="9562"/>
      <c r="L518" s="8138"/>
      <c r="M518" s="8138"/>
      <c r="N518" s="9563"/>
      <c r="O518" s="9563"/>
      <c r="P518" s="9564"/>
      <c r="Q518" s="8141"/>
      <c r="R518" s="8142"/>
      <c r="S518" s="8143"/>
      <c r="T518" s="8144"/>
      <c r="U518" s="8141"/>
      <c r="V518" s="8142"/>
      <c r="W518" s="8144"/>
      <c r="X518" s="8142"/>
      <c r="Y518" s="8144"/>
      <c r="Z518" s="8142"/>
      <c r="AA518" s="8143"/>
      <c r="AB518" s="8143"/>
      <c r="AC518" s="8143"/>
      <c r="AD518" s="8143"/>
      <c r="AE518" s="8143"/>
      <c r="AF518" s="8144"/>
      <c r="AG518" s="8142"/>
      <c r="AH518" s="8143"/>
      <c r="AI518" s="8143"/>
      <c r="AJ518" s="8143"/>
      <c r="AK518" s="8143"/>
      <c r="AL518" s="8143"/>
      <c r="AM518" s="8143"/>
      <c r="AN518" s="8144"/>
      <c r="AO518" s="8142"/>
      <c r="AP518" s="8143"/>
      <c r="AQ518" s="8143"/>
      <c r="AR518" s="8143"/>
      <c r="AS518" s="8143"/>
      <c r="AT518" s="8144"/>
      <c r="AU518" s="9565"/>
      <c r="AV518" s="9565"/>
      <c r="AW518" s="9565"/>
      <c r="AX518" s="9562"/>
      <c r="AY518" s="9564"/>
      <c r="AZ518" s="9565"/>
      <c r="BA518" s="9562"/>
      <c r="BB518" s="9563"/>
      <c r="BC518" s="9564"/>
      <c r="BD518" s="9566"/>
      <c r="BF518" s="14486"/>
      <c r="BG518" s="14486"/>
      <c r="BH518" s="14486"/>
      <c r="BI518" s="14486"/>
      <c r="BJ518" s="14486"/>
      <c r="BK518" s="9567"/>
      <c r="BL518" s="14486"/>
      <c r="BM518" s="14486"/>
      <c r="BN518" s="14486"/>
    </row>
    <row r="519" spans="1:66" ht="29.25" hidden="1" customHeight="1">
      <c r="A519" s="13731">
        <v>326</v>
      </c>
      <c r="B519" s="14047" t="s">
        <v>7902</v>
      </c>
      <c r="C519" s="13592"/>
      <c r="D519" s="12113" t="s">
        <v>10066</v>
      </c>
      <c r="E519" s="12114" t="s">
        <v>298</v>
      </c>
      <c r="F519" s="12112"/>
      <c r="G519" s="14042" t="s">
        <v>1479</v>
      </c>
      <c r="H519" s="13483" t="s">
        <v>1480</v>
      </c>
      <c r="I519" s="14079">
        <v>1</v>
      </c>
      <c r="K519" s="9562"/>
      <c r="L519" s="8138"/>
      <c r="M519" s="8138"/>
      <c r="N519" s="9563"/>
      <c r="O519" s="9563"/>
      <c r="P519" s="9564"/>
      <c r="Q519" s="8141"/>
      <c r="R519" s="8142"/>
      <c r="S519" s="8143"/>
      <c r="T519" s="8144"/>
      <c r="U519" s="8141"/>
      <c r="V519" s="8142"/>
      <c r="W519" s="8144"/>
      <c r="X519" s="8142"/>
      <c r="Y519" s="8144"/>
      <c r="Z519" s="8142"/>
      <c r="AA519" s="8143"/>
      <c r="AB519" s="8143"/>
      <c r="AC519" s="8143"/>
      <c r="AD519" s="8143"/>
      <c r="AE519" s="8143"/>
      <c r="AF519" s="8144"/>
      <c r="AG519" s="8142"/>
      <c r="AH519" s="8143"/>
      <c r="AI519" s="8143"/>
      <c r="AJ519" s="8143"/>
      <c r="AK519" s="8143"/>
      <c r="AL519" s="8143"/>
      <c r="AM519" s="8143"/>
      <c r="AN519" s="8144"/>
      <c r="AO519" s="8142"/>
      <c r="AP519" s="8143"/>
      <c r="AQ519" s="8143"/>
      <c r="AR519" s="8143"/>
      <c r="AS519" s="8143"/>
      <c r="AT519" s="8144"/>
      <c r="AU519" s="9565"/>
      <c r="AV519" s="9565"/>
      <c r="AW519" s="9565"/>
      <c r="AX519" s="9562"/>
      <c r="AY519" s="9564"/>
      <c r="AZ519" s="9565"/>
      <c r="BA519" s="9562"/>
      <c r="BB519" s="9563"/>
      <c r="BC519" s="9564"/>
      <c r="BD519" s="9566"/>
      <c r="BF519" s="14487"/>
      <c r="BG519" s="14487"/>
      <c r="BH519" s="14487"/>
      <c r="BI519" s="14487"/>
      <c r="BJ519" s="14487"/>
      <c r="BK519" s="9568"/>
      <c r="BL519" s="14487"/>
      <c r="BM519" s="14487"/>
      <c r="BN519" s="14487"/>
    </row>
    <row r="520" spans="1:66" ht="29.25" hidden="1" customHeight="1">
      <c r="A520" s="13730"/>
      <c r="B520" s="14045"/>
      <c r="C520" s="13592"/>
      <c r="D520" s="12113" t="s">
        <v>10199</v>
      </c>
      <c r="E520" s="12114"/>
      <c r="F520" s="12112" t="s">
        <v>1481</v>
      </c>
      <c r="G520" s="14043"/>
      <c r="H520" s="13482"/>
      <c r="I520" s="14081"/>
      <c r="K520" s="9562"/>
      <c r="L520" s="8138"/>
      <c r="M520" s="8138"/>
      <c r="N520" s="9563"/>
      <c r="O520" s="9563"/>
      <c r="P520" s="9564"/>
      <c r="Q520" s="8141"/>
      <c r="R520" s="8142"/>
      <c r="S520" s="8143"/>
      <c r="T520" s="8144"/>
      <c r="U520" s="8141"/>
      <c r="V520" s="8142"/>
      <c r="W520" s="8144"/>
      <c r="X520" s="8142"/>
      <c r="Y520" s="8144"/>
      <c r="Z520" s="8142"/>
      <c r="AA520" s="8143"/>
      <c r="AB520" s="8143"/>
      <c r="AC520" s="8143"/>
      <c r="AD520" s="8143"/>
      <c r="AE520" s="8143"/>
      <c r="AF520" s="8144"/>
      <c r="AG520" s="8142"/>
      <c r="AH520" s="8143"/>
      <c r="AI520" s="8143"/>
      <c r="AJ520" s="8143"/>
      <c r="AK520" s="8143"/>
      <c r="AL520" s="8143"/>
      <c r="AM520" s="8143"/>
      <c r="AN520" s="8144"/>
      <c r="AO520" s="8142"/>
      <c r="AP520" s="8143"/>
      <c r="AQ520" s="8143"/>
      <c r="AR520" s="8143"/>
      <c r="AS520" s="8143"/>
      <c r="AT520" s="8144"/>
      <c r="AU520" s="9565"/>
      <c r="AV520" s="9565"/>
      <c r="AW520" s="9565"/>
      <c r="AX520" s="9562"/>
      <c r="AY520" s="9564"/>
      <c r="AZ520" s="9565"/>
      <c r="BA520" s="9562"/>
      <c r="BB520" s="9563"/>
      <c r="BC520" s="9564"/>
      <c r="BD520" s="9566"/>
      <c r="BF520" s="14486"/>
      <c r="BG520" s="14486"/>
      <c r="BH520" s="14486"/>
      <c r="BI520" s="14486"/>
      <c r="BJ520" s="14486"/>
      <c r="BK520" s="9567"/>
      <c r="BL520" s="14486"/>
      <c r="BM520" s="14486"/>
      <c r="BN520" s="14486"/>
    </row>
    <row r="521" spans="1:66" ht="29.25" hidden="1" customHeight="1">
      <c r="A521" s="13731">
        <v>327</v>
      </c>
      <c r="B521" s="14047" t="s">
        <v>7903</v>
      </c>
      <c r="C521" s="13592"/>
      <c r="D521" s="12113" t="s">
        <v>10066</v>
      </c>
      <c r="E521" s="12114" t="s">
        <v>298</v>
      </c>
      <c r="F521" s="12112"/>
      <c r="G521" s="14042" t="s">
        <v>1482</v>
      </c>
      <c r="H521" s="13483" t="s">
        <v>1483</v>
      </c>
      <c r="I521" s="14079">
        <v>1</v>
      </c>
      <c r="K521" s="9562"/>
      <c r="L521" s="8138"/>
      <c r="M521" s="8138"/>
      <c r="N521" s="9563"/>
      <c r="O521" s="9563"/>
      <c r="P521" s="9564"/>
      <c r="Q521" s="8141"/>
      <c r="R521" s="8142"/>
      <c r="S521" s="8143"/>
      <c r="T521" s="8144"/>
      <c r="U521" s="8141"/>
      <c r="V521" s="8142"/>
      <c r="W521" s="8144"/>
      <c r="X521" s="8142"/>
      <c r="Y521" s="8144"/>
      <c r="Z521" s="8142"/>
      <c r="AA521" s="8143"/>
      <c r="AB521" s="8143"/>
      <c r="AC521" s="8143"/>
      <c r="AD521" s="8143"/>
      <c r="AE521" s="8143"/>
      <c r="AF521" s="8144"/>
      <c r="AG521" s="8142"/>
      <c r="AH521" s="8143"/>
      <c r="AI521" s="8143"/>
      <c r="AJ521" s="8143"/>
      <c r="AK521" s="8143"/>
      <c r="AL521" s="8143"/>
      <c r="AM521" s="8143"/>
      <c r="AN521" s="8144"/>
      <c r="AO521" s="8142"/>
      <c r="AP521" s="8143"/>
      <c r="AQ521" s="8143"/>
      <c r="AR521" s="8143"/>
      <c r="AS521" s="8143"/>
      <c r="AT521" s="8144"/>
      <c r="AU521" s="9565"/>
      <c r="AV521" s="9565"/>
      <c r="AW521" s="9565"/>
      <c r="AX521" s="9562"/>
      <c r="AY521" s="9564"/>
      <c r="AZ521" s="9565"/>
      <c r="BA521" s="9562"/>
      <c r="BB521" s="9563"/>
      <c r="BC521" s="9564"/>
      <c r="BD521" s="9566"/>
      <c r="BF521" s="14487"/>
      <c r="BG521" s="14487"/>
      <c r="BH521" s="14487"/>
      <c r="BI521" s="14487"/>
      <c r="BJ521" s="14487"/>
      <c r="BK521" s="9568"/>
      <c r="BL521" s="14487"/>
      <c r="BM521" s="14487"/>
      <c r="BN521" s="14487"/>
    </row>
    <row r="522" spans="1:66" ht="29.25" hidden="1" customHeight="1">
      <c r="A522" s="13730"/>
      <c r="B522" s="14045"/>
      <c r="C522" s="13592"/>
      <c r="D522" s="12115" t="s">
        <v>10199</v>
      </c>
      <c r="E522" s="12116"/>
      <c r="F522" s="12112" t="s">
        <v>1481</v>
      </c>
      <c r="G522" s="14043"/>
      <c r="H522" s="13482"/>
      <c r="I522" s="14081"/>
      <c r="K522" s="9562"/>
      <c r="L522" s="8138"/>
      <c r="M522" s="8138"/>
      <c r="N522" s="9563"/>
      <c r="O522" s="9563"/>
      <c r="P522" s="9564"/>
      <c r="Q522" s="8141"/>
      <c r="R522" s="8142"/>
      <c r="S522" s="8143"/>
      <c r="T522" s="8144"/>
      <c r="U522" s="8141"/>
      <c r="V522" s="8142"/>
      <c r="W522" s="8144"/>
      <c r="X522" s="8142"/>
      <c r="Y522" s="8144"/>
      <c r="Z522" s="8142"/>
      <c r="AA522" s="8143"/>
      <c r="AB522" s="8143"/>
      <c r="AC522" s="8143"/>
      <c r="AD522" s="8143"/>
      <c r="AE522" s="8143"/>
      <c r="AF522" s="8144"/>
      <c r="AG522" s="8142"/>
      <c r="AH522" s="8143"/>
      <c r="AI522" s="8143"/>
      <c r="AJ522" s="8143"/>
      <c r="AK522" s="8143"/>
      <c r="AL522" s="8143"/>
      <c r="AM522" s="8143"/>
      <c r="AN522" s="8144"/>
      <c r="AO522" s="8142"/>
      <c r="AP522" s="8143"/>
      <c r="AQ522" s="8143"/>
      <c r="AR522" s="8143"/>
      <c r="AS522" s="8143"/>
      <c r="AT522" s="8144"/>
      <c r="AU522" s="9565"/>
      <c r="AV522" s="9565"/>
      <c r="AW522" s="9565"/>
      <c r="AX522" s="9562"/>
      <c r="AY522" s="9564"/>
      <c r="AZ522" s="9565"/>
      <c r="BA522" s="9562"/>
      <c r="BB522" s="9563"/>
      <c r="BC522" s="9564"/>
      <c r="BD522" s="9566"/>
      <c r="BF522" s="14486"/>
      <c r="BG522" s="14486"/>
      <c r="BH522" s="14486"/>
      <c r="BI522" s="14486"/>
      <c r="BJ522" s="14486"/>
      <c r="BK522" s="9567"/>
      <c r="BL522" s="14486"/>
      <c r="BM522" s="14486"/>
      <c r="BN522" s="14486"/>
    </row>
    <row r="523" spans="1:66" ht="29.25" hidden="1" customHeight="1">
      <c r="A523" s="13731">
        <v>328</v>
      </c>
      <c r="B523" s="14047" t="s">
        <v>7904</v>
      </c>
      <c r="C523" s="13592"/>
      <c r="D523" s="12115" t="s">
        <v>10066</v>
      </c>
      <c r="E523" s="12116" t="s">
        <v>1488</v>
      </c>
      <c r="F523" s="12117"/>
      <c r="G523" s="14042" t="s">
        <v>1485</v>
      </c>
      <c r="H523" s="13483" t="s">
        <v>1486</v>
      </c>
      <c r="I523" s="14079">
        <v>0</v>
      </c>
      <c r="K523" s="9562"/>
      <c r="L523" s="8138"/>
      <c r="M523" s="8138"/>
      <c r="N523" s="9563"/>
      <c r="O523" s="9563"/>
      <c r="P523" s="9564"/>
      <c r="Q523" s="8141"/>
      <c r="R523" s="8142"/>
      <c r="S523" s="8143"/>
      <c r="T523" s="8144"/>
      <c r="U523" s="8141"/>
      <c r="V523" s="8142"/>
      <c r="W523" s="8144"/>
      <c r="X523" s="8142"/>
      <c r="Y523" s="8144"/>
      <c r="Z523" s="8142"/>
      <c r="AA523" s="8143"/>
      <c r="AB523" s="8143"/>
      <c r="AC523" s="8143"/>
      <c r="AD523" s="8143"/>
      <c r="AE523" s="8143"/>
      <c r="AF523" s="8144"/>
      <c r="AG523" s="8142"/>
      <c r="AH523" s="8143"/>
      <c r="AI523" s="8143"/>
      <c r="AJ523" s="8143"/>
      <c r="AK523" s="8143"/>
      <c r="AL523" s="8143"/>
      <c r="AM523" s="8143"/>
      <c r="AN523" s="8144"/>
      <c r="AO523" s="8142"/>
      <c r="AP523" s="8143"/>
      <c r="AQ523" s="8143"/>
      <c r="AR523" s="8143"/>
      <c r="AS523" s="8143"/>
      <c r="AT523" s="8144"/>
      <c r="AU523" s="9565"/>
      <c r="AV523" s="9565"/>
      <c r="AW523" s="9565"/>
      <c r="AX523" s="9562"/>
      <c r="AY523" s="9564"/>
      <c r="AZ523" s="9565"/>
      <c r="BA523" s="9562"/>
      <c r="BB523" s="9563"/>
      <c r="BC523" s="9564"/>
      <c r="BD523" s="9566"/>
      <c r="BF523" s="14487"/>
      <c r="BG523" s="14487"/>
      <c r="BH523" s="14487"/>
      <c r="BI523" s="14487"/>
      <c r="BJ523" s="14487"/>
      <c r="BK523" s="9568"/>
      <c r="BL523" s="14487"/>
      <c r="BM523" s="14487"/>
      <c r="BN523" s="14487"/>
    </row>
    <row r="524" spans="1:66" ht="29.25" hidden="1" customHeight="1" thickBot="1">
      <c r="A524" s="13733"/>
      <c r="B524" s="14090"/>
      <c r="C524" s="13592"/>
      <c r="D524" s="12118" t="s">
        <v>10199</v>
      </c>
      <c r="E524" s="12119"/>
      <c r="F524" s="12120" t="s">
        <v>1489</v>
      </c>
      <c r="G524" s="14091"/>
      <c r="H524" s="13485"/>
      <c r="I524" s="14082"/>
      <c r="K524" s="9570"/>
      <c r="L524" s="9571"/>
      <c r="M524" s="9571"/>
      <c r="N524" s="9572"/>
      <c r="O524" s="9572"/>
      <c r="P524" s="9573"/>
      <c r="Q524" s="9574"/>
      <c r="R524" s="9575"/>
      <c r="S524" s="9576"/>
      <c r="T524" s="9577"/>
      <c r="U524" s="9574"/>
      <c r="V524" s="9575"/>
      <c r="W524" s="9577"/>
      <c r="X524" s="9575"/>
      <c r="Y524" s="9577"/>
      <c r="Z524" s="9575"/>
      <c r="AA524" s="9576"/>
      <c r="AB524" s="9576"/>
      <c r="AC524" s="9576"/>
      <c r="AD524" s="9576"/>
      <c r="AE524" s="9576"/>
      <c r="AF524" s="9577"/>
      <c r="AG524" s="9575"/>
      <c r="AH524" s="9576"/>
      <c r="AI524" s="9576"/>
      <c r="AJ524" s="9576"/>
      <c r="AK524" s="9576"/>
      <c r="AL524" s="9576"/>
      <c r="AM524" s="9576"/>
      <c r="AN524" s="9577"/>
      <c r="AO524" s="9575"/>
      <c r="AP524" s="9576"/>
      <c r="AQ524" s="9576"/>
      <c r="AR524" s="9576"/>
      <c r="AS524" s="9576"/>
      <c r="AT524" s="9577"/>
      <c r="AU524" s="9578"/>
      <c r="AV524" s="9578"/>
      <c r="AW524" s="9578"/>
      <c r="AX524" s="9570"/>
      <c r="AY524" s="9573"/>
      <c r="AZ524" s="9578"/>
      <c r="BA524" s="9570"/>
      <c r="BB524" s="9572"/>
      <c r="BC524" s="9573"/>
      <c r="BD524" s="9579"/>
      <c r="BF524" s="14489"/>
      <c r="BG524" s="14489"/>
      <c r="BH524" s="14489"/>
      <c r="BI524" s="14489"/>
      <c r="BJ524" s="14489"/>
      <c r="BK524" s="9580"/>
      <c r="BL524" s="14489"/>
      <c r="BM524" s="14489"/>
      <c r="BN524" s="14489"/>
    </row>
    <row r="525" spans="1:66" ht="29.25" hidden="1" customHeight="1">
      <c r="A525" s="13734">
        <v>329</v>
      </c>
      <c r="B525" s="14084" t="s">
        <v>7905</v>
      </c>
      <c r="C525" s="13592"/>
      <c r="D525" s="12121" t="s">
        <v>10063</v>
      </c>
      <c r="E525" s="12122" t="s">
        <v>316</v>
      </c>
      <c r="F525" s="12122"/>
      <c r="G525" s="14086" t="s">
        <v>1493</v>
      </c>
      <c r="H525" s="13486" t="s">
        <v>313</v>
      </c>
      <c r="I525" s="14074">
        <v>0</v>
      </c>
      <c r="K525" s="9581"/>
      <c r="L525" s="9582"/>
      <c r="M525" s="9582"/>
      <c r="N525" s="9583"/>
      <c r="O525" s="9583"/>
      <c r="P525" s="9584"/>
      <c r="Q525" s="9585"/>
      <c r="R525" s="9586"/>
      <c r="S525" s="9587"/>
      <c r="T525" s="9588"/>
      <c r="U525" s="9585"/>
      <c r="V525" s="9586"/>
      <c r="W525" s="9588"/>
      <c r="X525" s="9586"/>
      <c r="Y525" s="9588"/>
      <c r="Z525" s="9586"/>
      <c r="AA525" s="9587"/>
      <c r="AB525" s="9587"/>
      <c r="AC525" s="9587"/>
      <c r="AD525" s="9587"/>
      <c r="AE525" s="9587"/>
      <c r="AF525" s="9588"/>
      <c r="AG525" s="9586"/>
      <c r="AH525" s="9587"/>
      <c r="AI525" s="9587"/>
      <c r="AJ525" s="9587"/>
      <c r="AK525" s="9587"/>
      <c r="AL525" s="9587"/>
      <c r="AM525" s="9587"/>
      <c r="AN525" s="9588"/>
      <c r="AO525" s="9586"/>
      <c r="AP525" s="9587"/>
      <c r="AQ525" s="9587"/>
      <c r="AR525" s="9587"/>
      <c r="AS525" s="9587"/>
      <c r="AT525" s="9588"/>
      <c r="AU525" s="9589"/>
      <c r="AV525" s="9589"/>
      <c r="AW525" s="9589"/>
      <c r="AX525" s="9581"/>
      <c r="AY525" s="9584"/>
      <c r="AZ525" s="9589"/>
      <c r="BA525" s="9581"/>
      <c r="BB525" s="9583"/>
      <c r="BC525" s="9584"/>
      <c r="BD525" s="9590"/>
      <c r="BF525" s="14490"/>
      <c r="BG525" s="14490"/>
      <c r="BH525" s="14490"/>
      <c r="BI525" s="14490"/>
      <c r="BJ525" s="14490"/>
      <c r="BK525" s="9591"/>
      <c r="BL525" s="14490"/>
      <c r="BM525" s="14490"/>
      <c r="BN525" s="14490"/>
    </row>
    <row r="526" spans="1:66" ht="29.25" hidden="1" customHeight="1">
      <c r="A526" s="13735"/>
      <c r="B526" s="14085"/>
      <c r="C526" s="13592"/>
      <c r="D526" s="12123" t="s">
        <v>10220</v>
      </c>
      <c r="E526" s="12124"/>
      <c r="F526" s="12124" t="s">
        <v>1495</v>
      </c>
      <c r="G526" s="14087"/>
      <c r="H526" s="13487"/>
      <c r="I526" s="14075"/>
      <c r="K526" s="9592"/>
      <c r="L526" s="9593"/>
      <c r="M526" s="9593"/>
      <c r="N526" s="9594"/>
      <c r="O526" s="9594"/>
      <c r="P526" s="9595"/>
      <c r="Q526" s="9596"/>
      <c r="R526" s="9597"/>
      <c r="S526" s="9598"/>
      <c r="T526" s="9599"/>
      <c r="U526" s="9596"/>
      <c r="V526" s="9597"/>
      <c r="W526" s="9599"/>
      <c r="X526" s="9597"/>
      <c r="Y526" s="9599"/>
      <c r="Z526" s="9597"/>
      <c r="AA526" s="9598"/>
      <c r="AB526" s="9598"/>
      <c r="AC526" s="9598"/>
      <c r="AD526" s="9598"/>
      <c r="AE526" s="9598"/>
      <c r="AF526" s="9599"/>
      <c r="AG526" s="9597"/>
      <c r="AH526" s="9598"/>
      <c r="AI526" s="9598"/>
      <c r="AJ526" s="9598"/>
      <c r="AK526" s="9598"/>
      <c r="AL526" s="9598"/>
      <c r="AM526" s="9598"/>
      <c r="AN526" s="9599"/>
      <c r="AO526" s="9597"/>
      <c r="AP526" s="9598"/>
      <c r="AQ526" s="9598"/>
      <c r="AR526" s="9598"/>
      <c r="AS526" s="9598"/>
      <c r="AT526" s="9599"/>
      <c r="AU526" s="9600"/>
      <c r="AV526" s="9600"/>
      <c r="AW526" s="9600"/>
      <c r="AX526" s="9592"/>
      <c r="AY526" s="9595"/>
      <c r="AZ526" s="9600"/>
      <c r="BA526" s="9592"/>
      <c r="BB526" s="9594"/>
      <c r="BC526" s="9595"/>
      <c r="BD526" s="9601"/>
      <c r="BF526" s="14491"/>
      <c r="BG526" s="14491"/>
      <c r="BH526" s="14491"/>
      <c r="BI526" s="14491"/>
      <c r="BJ526" s="14491"/>
      <c r="BK526" s="9602"/>
      <c r="BL526" s="14491"/>
      <c r="BM526" s="14491"/>
      <c r="BN526" s="14491"/>
    </row>
    <row r="527" spans="1:66" ht="29.25" hidden="1" customHeight="1">
      <c r="A527" s="13735">
        <v>330</v>
      </c>
      <c r="B527" s="14085" t="s">
        <v>7906</v>
      </c>
      <c r="C527" s="13592"/>
      <c r="D527" s="12123" t="s">
        <v>10063</v>
      </c>
      <c r="E527" s="12124" t="s">
        <v>316</v>
      </c>
      <c r="F527" s="12124"/>
      <c r="G527" s="14087" t="s">
        <v>1497</v>
      </c>
      <c r="H527" s="13487" t="s">
        <v>1498</v>
      </c>
      <c r="I527" s="14075"/>
      <c r="K527" s="9592"/>
      <c r="L527" s="9593"/>
      <c r="M527" s="9593"/>
      <c r="N527" s="9594"/>
      <c r="O527" s="9594"/>
      <c r="P527" s="9595"/>
      <c r="Q527" s="9596"/>
      <c r="R527" s="9597"/>
      <c r="S527" s="9598"/>
      <c r="T527" s="9599"/>
      <c r="U527" s="9596"/>
      <c r="V527" s="9597"/>
      <c r="W527" s="9599"/>
      <c r="X527" s="9597"/>
      <c r="Y527" s="9599"/>
      <c r="Z527" s="9597"/>
      <c r="AA527" s="9598"/>
      <c r="AB527" s="9598"/>
      <c r="AC527" s="9598"/>
      <c r="AD527" s="9598"/>
      <c r="AE527" s="9598"/>
      <c r="AF527" s="9599"/>
      <c r="AG527" s="9597"/>
      <c r="AH527" s="9598"/>
      <c r="AI527" s="9598"/>
      <c r="AJ527" s="9598"/>
      <c r="AK527" s="9598"/>
      <c r="AL527" s="9598"/>
      <c r="AM527" s="9598"/>
      <c r="AN527" s="9599"/>
      <c r="AO527" s="9597"/>
      <c r="AP527" s="9598"/>
      <c r="AQ527" s="9598"/>
      <c r="AR527" s="9598"/>
      <c r="AS527" s="9598"/>
      <c r="AT527" s="9599"/>
      <c r="AU527" s="9600"/>
      <c r="AV527" s="9600"/>
      <c r="AW527" s="9600"/>
      <c r="AX527" s="9592"/>
      <c r="AY527" s="9595"/>
      <c r="AZ527" s="9600"/>
      <c r="BA527" s="9592"/>
      <c r="BB527" s="9594"/>
      <c r="BC527" s="9595"/>
      <c r="BD527" s="9601"/>
      <c r="BF527" s="14491"/>
      <c r="BG527" s="14491"/>
      <c r="BH527" s="14491"/>
      <c r="BI527" s="14491"/>
      <c r="BJ527" s="14491"/>
      <c r="BK527" s="9602"/>
      <c r="BL527" s="14491"/>
      <c r="BM527" s="14491"/>
      <c r="BN527" s="14491"/>
    </row>
    <row r="528" spans="1:66" ht="29.25" hidden="1" customHeight="1" thickBot="1">
      <c r="A528" s="13736"/>
      <c r="B528" s="14088"/>
      <c r="C528" s="13593"/>
      <c r="D528" s="12125" t="s">
        <v>10220</v>
      </c>
      <c r="E528" s="12126"/>
      <c r="F528" s="12126" t="s">
        <v>1495</v>
      </c>
      <c r="G528" s="14089"/>
      <c r="H528" s="13488"/>
      <c r="I528" s="14076"/>
      <c r="K528" s="9603"/>
      <c r="L528" s="9604"/>
      <c r="M528" s="9604"/>
      <c r="N528" s="9605"/>
      <c r="O528" s="9605"/>
      <c r="P528" s="9606"/>
      <c r="Q528" s="9607"/>
      <c r="R528" s="9608"/>
      <c r="S528" s="9609"/>
      <c r="T528" s="9610"/>
      <c r="U528" s="9607"/>
      <c r="V528" s="9608"/>
      <c r="W528" s="9610"/>
      <c r="X528" s="9608"/>
      <c r="Y528" s="9610"/>
      <c r="Z528" s="9608"/>
      <c r="AA528" s="9609"/>
      <c r="AB528" s="9609"/>
      <c r="AC528" s="9609"/>
      <c r="AD528" s="9609"/>
      <c r="AE528" s="9609"/>
      <c r="AF528" s="9610"/>
      <c r="AG528" s="9608"/>
      <c r="AH528" s="9609"/>
      <c r="AI528" s="9609"/>
      <c r="AJ528" s="9609"/>
      <c r="AK528" s="9609"/>
      <c r="AL528" s="9609"/>
      <c r="AM528" s="9609"/>
      <c r="AN528" s="9610"/>
      <c r="AO528" s="9608"/>
      <c r="AP528" s="9609"/>
      <c r="AQ528" s="9609"/>
      <c r="AR528" s="9609"/>
      <c r="AS528" s="9609"/>
      <c r="AT528" s="9610"/>
      <c r="AU528" s="9611"/>
      <c r="AV528" s="9611"/>
      <c r="AW528" s="9611"/>
      <c r="AX528" s="9603"/>
      <c r="AY528" s="9606"/>
      <c r="AZ528" s="9611"/>
      <c r="BA528" s="9603"/>
      <c r="BB528" s="9605"/>
      <c r="BC528" s="9606"/>
      <c r="BD528" s="9612"/>
      <c r="BF528" s="14492"/>
      <c r="BG528" s="14492"/>
      <c r="BH528" s="14492"/>
      <c r="BI528" s="14492"/>
      <c r="BJ528" s="14492"/>
      <c r="BK528" s="9613"/>
      <c r="BL528" s="14492"/>
      <c r="BM528" s="14492"/>
      <c r="BN528" s="14492"/>
    </row>
    <row r="529" spans="1:66" ht="29.25" hidden="1" customHeight="1">
      <c r="A529" s="9614">
        <v>331</v>
      </c>
      <c r="B529" s="9615" t="s">
        <v>7907</v>
      </c>
      <c r="C529" s="13594" t="s">
        <v>35</v>
      </c>
      <c r="D529" s="12127" t="s">
        <v>2896</v>
      </c>
      <c r="E529" s="12128" t="s">
        <v>167</v>
      </c>
      <c r="F529" s="12128"/>
      <c r="G529" s="11724" t="s">
        <v>4934</v>
      </c>
      <c r="H529" s="11725" t="s">
        <v>647</v>
      </c>
      <c r="I529" s="12129">
        <v>1</v>
      </c>
      <c r="K529" s="9616"/>
      <c r="L529" s="9617"/>
      <c r="M529" s="9617"/>
      <c r="N529" s="9618"/>
      <c r="O529" s="9618"/>
      <c r="P529" s="9619"/>
      <c r="Q529" s="9620"/>
      <c r="R529" s="9621"/>
      <c r="S529" s="9622"/>
      <c r="T529" s="9623"/>
      <c r="U529" s="9620"/>
      <c r="V529" s="9621"/>
      <c r="W529" s="9623"/>
      <c r="X529" s="9621"/>
      <c r="Y529" s="9623"/>
      <c r="Z529" s="9621"/>
      <c r="AA529" s="9622"/>
      <c r="AB529" s="9622"/>
      <c r="AC529" s="9622"/>
      <c r="AD529" s="9622"/>
      <c r="AE529" s="9622"/>
      <c r="AF529" s="9623"/>
      <c r="AG529" s="9621"/>
      <c r="AH529" s="9622"/>
      <c r="AI529" s="9622"/>
      <c r="AJ529" s="9622"/>
      <c r="AK529" s="9622"/>
      <c r="AL529" s="9622"/>
      <c r="AM529" s="9622"/>
      <c r="AN529" s="9623"/>
      <c r="AO529" s="9621"/>
      <c r="AP529" s="9622"/>
      <c r="AQ529" s="9622"/>
      <c r="AR529" s="9622"/>
      <c r="AS529" s="9622"/>
      <c r="AT529" s="9623"/>
      <c r="AU529" s="9624"/>
      <c r="AV529" s="9624"/>
      <c r="AW529" s="9624"/>
      <c r="AX529" s="9616"/>
      <c r="AY529" s="9619"/>
      <c r="AZ529" s="9624"/>
      <c r="BA529" s="9616"/>
      <c r="BB529" s="9618"/>
      <c r="BC529" s="9619"/>
      <c r="BD529" s="9625"/>
      <c r="BF529" s="7870"/>
      <c r="BG529" s="7870"/>
      <c r="BH529" s="7870"/>
      <c r="BI529" s="7870"/>
      <c r="BJ529" s="7870"/>
      <c r="BK529" s="7870"/>
      <c r="BL529" s="7870"/>
      <c r="BM529" s="7870"/>
      <c r="BN529" s="7870"/>
    </row>
    <row r="530" spans="1:66" ht="29.25" hidden="1" customHeight="1">
      <c r="A530" s="8975">
        <v>332</v>
      </c>
      <c r="B530" s="8976" t="s">
        <v>7908</v>
      </c>
      <c r="C530" s="13595"/>
      <c r="D530" s="11924" t="s">
        <v>2896</v>
      </c>
      <c r="E530" s="7846" t="s">
        <v>167</v>
      </c>
      <c r="F530" s="7846"/>
      <c r="G530" s="11925" t="s">
        <v>4935</v>
      </c>
      <c r="H530" s="11926" t="s">
        <v>649</v>
      </c>
      <c r="I530" s="11927">
        <v>1</v>
      </c>
      <c r="K530" s="8977"/>
      <c r="L530" s="8978"/>
      <c r="M530" s="8978"/>
      <c r="N530" s="8979"/>
      <c r="O530" s="8979"/>
      <c r="P530" s="8980"/>
      <c r="Q530" s="8981"/>
      <c r="R530" s="8982"/>
      <c r="S530" s="8983"/>
      <c r="T530" s="8984"/>
      <c r="U530" s="8981"/>
      <c r="V530" s="8982"/>
      <c r="W530" s="8984"/>
      <c r="X530" s="8982"/>
      <c r="Y530" s="8984"/>
      <c r="Z530" s="8982"/>
      <c r="AA530" s="8983"/>
      <c r="AB530" s="8983"/>
      <c r="AC530" s="8983"/>
      <c r="AD530" s="8983"/>
      <c r="AE530" s="8983"/>
      <c r="AF530" s="8984"/>
      <c r="AG530" s="8982"/>
      <c r="AH530" s="8983"/>
      <c r="AI530" s="8983"/>
      <c r="AJ530" s="8983"/>
      <c r="AK530" s="8983"/>
      <c r="AL530" s="8983"/>
      <c r="AM530" s="8983"/>
      <c r="AN530" s="8984"/>
      <c r="AO530" s="8982"/>
      <c r="AP530" s="8983"/>
      <c r="AQ530" s="8983"/>
      <c r="AR530" s="8983"/>
      <c r="AS530" s="8983"/>
      <c r="AT530" s="8984"/>
      <c r="AU530" s="8985"/>
      <c r="AV530" s="8985"/>
      <c r="AW530" s="8985"/>
      <c r="AX530" s="8977"/>
      <c r="AY530" s="8980"/>
      <c r="AZ530" s="8985"/>
      <c r="BA530" s="8977"/>
      <c r="BB530" s="8979"/>
      <c r="BC530" s="8980"/>
      <c r="BD530" s="8986"/>
      <c r="BF530" s="8974"/>
      <c r="BG530" s="8974"/>
      <c r="BH530" s="8974"/>
      <c r="BI530" s="8974"/>
      <c r="BJ530" s="8974"/>
      <c r="BK530" s="8974"/>
      <c r="BL530" s="8974"/>
      <c r="BM530" s="8974"/>
      <c r="BN530" s="8974"/>
    </row>
    <row r="531" spans="1:66" ht="29.25" hidden="1" customHeight="1">
      <c r="A531" s="8975">
        <v>333</v>
      </c>
      <c r="B531" s="8976" t="s">
        <v>7909</v>
      </c>
      <c r="C531" s="13595"/>
      <c r="D531" s="11924" t="s">
        <v>2896</v>
      </c>
      <c r="E531" s="7846" t="s">
        <v>167</v>
      </c>
      <c r="F531" s="7846"/>
      <c r="G531" s="11925" t="s">
        <v>4936</v>
      </c>
      <c r="H531" s="11926" t="s">
        <v>652</v>
      </c>
      <c r="I531" s="12130">
        <v>10</v>
      </c>
      <c r="K531" s="8963"/>
      <c r="L531" s="8978"/>
      <c r="M531" s="8978"/>
      <c r="N531" s="9626"/>
      <c r="O531" s="9626"/>
      <c r="P531" s="9627"/>
      <c r="Q531" s="8981"/>
      <c r="R531" s="8982"/>
      <c r="S531" s="8983"/>
      <c r="T531" s="8984"/>
      <c r="U531" s="8981"/>
      <c r="V531" s="8982"/>
      <c r="W531" s="8984"/>
      <c r="X531" s="8982"/>
      <c r="Y531" s="8984"/>
      <c r="Z531" s="8982"/>
      <c r="AA531" s="8983"/>
      <c r="AB531" s="8983"/>
      <c r="AC531" s="8983"/>
      <c r="AD531" s="8983"/>
      <c r="AE531" s="8983"/>
      <c r="AF531" s="8984"/>
      <c r="AG531" s="8982"/>
      <c r="AH531" s="8983"/>
      <c r="AI531" s="8983"/>
      <c r="AJ531" s="8983"/>
      <c r="AK531" s="8983"/>
      <c r="AL531" s="8983"/>
      <c r="AM531" s="8983"/>
      <c r="AN531" s="8984"/>
      <c r="AO531" s="8982"/>
      <c r="AP531" s="8983"/>
      <c r="AQ531" s="8983"/>
      <c r="AR531" s="8983"/>
      <c r="AS531" s="8983"/>
      <c r="AT531" s="8984"/>
      <c r="AU531" s="9628"/>
      <c r="AV531" s="9628"/>
      <c r="AW531" s="9628"/>
      <c r="AX531" s="8963"/>
      <c r="AY531" s="9627"/>
      <c r="AZ531" s="9628"/>
      <c r="BA531" s="8963"/>
      <c r="BB531" s="9626"/>
      <c r="BC531" s="9627"/>
      <c r="BD531" s="8975"/>
      <c r="BF531" s="8974"/>
      <c r="BG531" s="8974"/>
      <c r="BH531" s="8974"/>
      <c r="BI531" s="8974"/>
      <c r="BJ531" s="8974"/>
      <c r="BK531" s="8974"/>
      <c r="BL531" s="8974"/>
      <c r="BM531" s="8974"/>
      <c r="BN531" s="8974"/>
    </row>
    <row r="532" spans="1:66" ht="29.25" hidden="1" customHeight="1">
      <c r="A532" s="8975">
        <v>334</v>
      </c>
      <c r="B532" s="8976" t="s">
        <v>7910</v>
      </c>
      <c r="C532" s="13595"/>
      <c r="D532" s="11924" t="s">
        <v>2896</v>
      </c>
      <c r="E532" s="7846" t="s">
        <v>167</v>
      </c>
      <c r="F532" s="7846"/>
      <c r="G532" s="11925" t="s">
        <v>4937</v>
      </c>
      <c r="H532" s="11926" t="s">
        <v>655</v>
      </c>
      <c r="I532" s="12130">
        <v>10</v>
      </c>
      <c r="K532" s="8963"/>
      <c r="L532" s="8978"/>
      <c r="M532" s="8978"/>
      <c r="N532" s="9626"/>
      <c r="O532" s="9626"/>
      <c r="P532" s="9627"/>
      <c r="Q532" s="8981"/>
      <c r="R532" s="8982"/>
      <c r="S532" s="8983"/>
      <c r="T532" s="8984"/>
      <c r="U532" s="8981"/>
      <c r="V532" s="8982"/>
      <c r="W532" s="8984"/>
      <c r="X532" s="8982"/>
      <c r="Y532" s="8984"/>
      <c r="Z532" s="8982"/>
      <c r="AA532" s="8983"/>
      <c r="AB532" s="8983"/>
      <c r="AC532" s="8983"/>
      <c r="AD532" s="8983"/>
      <c r="AE532" s="8983"/>
      <c r="AF532" s="8984"/>
      <c r="AG532" s="8982"/>
      <c r="AH532" s="8983"/>
      <c r="AI532" s="8983"/>
      <c r="AJ532" s="8983"/>
      <c r="AK532" s="8983"/>
      <c r="AL532" s="8983"/>
      <c r="AM532" s="8983"/>
      <c r="AN532" s="8984"/>
      <c r="AO532" s="8982"/>
      <c r="AP532" s="8983"/>
      <c r="AQ532" s="8983"/>
      <c r="AR532" s="8983"/>
      <c r="AS532" s="8983"/>
      <c r="AT532" s="8984"/>
      <c r="AU532" s="9628"/>
      <c r="AV532" s="9628"/>
      <c r="AW532" s="9628"/>
      <c r="AX532" s="8963"/>
      <c r="AY532" s="9627"/>
      <c r="AZ532" s="9628"/>
      <c r="BA532" s="8963"/>
      <c r="BB532" s="9626"/>
      <c r="BC532" s="9627"/>
      <c r="BD532" s="8975"/>
      <c r="BF532" s="8974"/>
      <c r="BG532" s="8974"/>
      <c r="BH532" s="8974"/>
      <c r="BI532" s="8974"/>
      <c r="BJ532" s="8974"/>
      <c r="BK532" s="8974"/>
      <c r="BL532" s="8974"/>
      <c r="BM532" s="8974"/>
      <c r="BN532" s="8974"/>
    </row>
    <row r="533" spans="1:66" ht="29.25" hidden="1" customHeight="1">
      <c r="A533" s="8975">
        <v>335</v>
      </c>
      <c r="B533" s="8976" t="s">
        <v>7911</v>
      </c>
      <c r="C533" s="13595"/>
      <c r="D533" s="11924" t="s">
        <v>2896</v>
      </c>
      <c r="E533" s="7846" t="s">
        <v>167</v>
      </c>
      <c r="F533" s="7846"/>
      <c r="G533" s="11925" t="s">
        <v>4938</v>
      </c>
      <c r="H533" s="11926" t="s">
        <v>658</v>
      </c>
      <c r="I533" s="11927">
        <v>0.8</v>
      </c>
      <c r="K533" s="8977"/>
      <c r="L533" s="8978"/>
      <c r="M533" s="8978"/>
      <c r="N533" s="8979"/>
      <c r="O533" s="8979"/>
      <c r="P533" s="8980"/>
      <c r="Q533" s="8981"/>
      <c r="R533" s="8982"/>
      <c r="S533" s="8983"/>
      <c r="T533" s="8984"/>
      <c r="U533" s="8981"/>
      <c r="V533" s="8982"/>
      <c r="W533" s="8984"/>
      <c r="X533" s="8982"/>
      <c r="Y533" s="8984"/>
      <c r="Z533" s="8982"/>
      <c r="AA533" s="8983"/>
      <c r="AB533" s="8983"/>
      <c r="AC533" s="8983"/>
      <c r="AD533" s="8983"/>
      <c r="AE533" s="8983"/>
      <c r="AF533" s="8984"/>
      <c r="AG533" s="8982"/>
      <c r="AH533" s="8983"/>
      <c r="AI533" s="8983"/>
      <c r="AJ533" s="8983"/>
      <c r="AK533" s="8983"/>
      <c r="AL533" s="8983"/>
      <c r="AM533" s="8983"/>
      <c r="AN533" s="8984"/>
      <c r="AO533" s="8982"/>
      <c r="AP533" s="8983"/>
      <c r="AQ533" s="8983"/>
      <c r="AR533" s="8983"/>
      <c r="AS533" s="8983"/>
      <c r="AT533" s="8984"/>
      <c r="AU533" s="8985"/>
      <c r="AV533" s="8985"/>
      <c r="AW533" s="8985"/>
      <c r="AX533" s="8977"/>
      <c r="AY533" s="8980"/>
      <c r="AZ533" s="8985"/>
      <c r="BA533" s="8977"/>
      <c r="BB533" s="8979"/>
      <c r="BC533" s="8980"/>
      <c r="BD533" s="8986"/>
      <c r="BF533" s="8974"/>
      <c r="BG533" s="8974"/>
      <c r="BH533" s="8974"/>
      <c r="BI533" s="8974"/>
      <c r="BJ533" s="8974"/>
      <c r="BK533" s="8974"/>
      <c r="BL533" s="8974"/>
      <c r="BM533" s="8974"/>
      <c r="BN533" s="8974"/>
    </row>
    <row r="534" spans="1:66" ht="29.25" hidden="1" customHeight="1">
      <c r="A534" s="13659">
        <v>336</v>
      </c>
      <c r="B534" s="13887" t="s">
        <v>7912</v>
      </c>
      <c r="C534" s="13595"/>
      <c r="D534" s="11924" t="s">
        <v>2896</v>
      </c>
      <c r="E534" s="7846" t="s">
        <v>167</v>
      </c>
      <c r="F534" s="7846"/>
      <c r="G534" s="14077" t="s">
        <v>4939</v>
      </c>
      <c r="H534" s="13408" t="s">
        <v>661</v>
      </c>
      <c r="I534" s="14078">
        <v>1</v>
      </c>
      <c r="K534" s="8964"/>
      <c r="L534" s="8965"/>
      <c r="M534" s="8965"/>
      <c r="N534" s="8966"/>
      <c r="O534" s="8966"/>
      <c r="P534" s="8967"/>
      <c r="Q534" s="8968"/>
      <c r="R534" s="8969"/>
      <c r="S534" s="8970"/>
      <c r="T534" s="8971"/>
      <c r="U534" s="8968"/>
      <c r="V534" s="8969"/>
      <c r="W534" s="8971"/>
      <c r="X534" s="8969"/>
      <c r="Y534" s="8971"/>
      <c r="Z534" s="8969"/>
      <c r="AA534" s="8970"/>
      <c r="AB534" s="8970"/>
      <c r="AC534" s="8970"/>
      <c r="AD534" s="8970"/>
      <c r="AE534" s="8970"/>
      <c r="AF534" s="8971"/>
      <c r="AG534" s="8969"/>
      <c r="AH534" s="8970"/>
      <c r="AI534" s="8970"/>
      <c r="AJ534" s="8970"/>
      <c r="AK534" s="8970"/>
      <c r="AL534" s="8970"/>
      <c r="AM534" s="8970"/>
      <c r="AN534" s="8971"/>
      <c r="AO534" s="8969"/>
      <c r="AP534" s="8970"/>
      <c r="AQ534" s="8970"/>
      <c r="AR534" s="8970"/>
      <c r="AS534" s="8970"/>
      <c r="AT534" s="8971"/>
      <c r="AU534" s="8972"/>
      <c r="AV534" s="8972"/>
      <c r="AW534" s="8972"/>
      <c r="AX534" s="8964"/>
      <c r="AY534" s="8967"/>
      <c r="AZ534" s="8972"/>
      <c r="BA534" s="8964"/>
      <c r="BB534" s="8966"/>
      <c r="BC534" s="8967"/>
      <c r="BD534" s="8973"/>
      <c r="BF534" s="14442"/>
      <c r="BG534" s="14442"/>
      <c r="BH534" s="14442"/>
      <c r="BI534" s="14442"/>
      <c r="BJ534" s="14442"/>
      <c r="BK534" s="8974"/>
      <c r="BL534" s="14442"/>
      <c r="BM534" s="14442"/>
      <c r="BN534" s="14442"/>
    </row>
    <row r="535" spans="1:66" ht="29.25" hidden="1" customHeight="1">
      <c r="A535" s="13659"/>
      <c r="B535" s="13887"/>
      <c r="C535" s="13595"/>
      <c r="D535" s="11924" t="s">
        <v>86</v>
      </c>
      <c r="E535" s="7846"/>
      <c r="F535" s="7846" t="s">
        <v>663</v>
      </c>
      <c r="G535" s="14077"/>
      <c r="H535" s="13408"/>
      <c r="I535" s="14078"/>
      <c r="K535" s="8977"/>
      <c r="L535" s="8965"/>
      <c r="M535" s="8965"/>
      <c r="N535" s="8966"/>
      <c r="O535" s="8966"/>
      <c r="P535" s="8967"/>
      <c r="Q535" s="8968"/>
      <c r="R535" s="8969"/>
      <c r="S535" s="8970"/>
      <c r="T535" s="8971"/>
      <c r="U535" s="8968"/>
      <c r="V535" s="8969"/>
      <c r="W535" s="8971"/>
      <c r="X535" s="8969"/>
      <c r="Y535" s="8971"/>
      <c r="Z535" s="8969"/>
      <c r="AA535" s="8970"/>
      <c r="AB535" s="8970"/>
      <c r="AC535" s="8970"/>
      <c r="AD535" s="8970"/>
      <c r="AE535" s="8970"/>
      <c r="AF535" s="8971"/>
      <c r="AG535" s="8969"/>
      <c r="AH535" s="8970"/>
      <c r="AI535" s="8970"/>
      <c r="AJ535" s="8970"/>
      <c r="AK535" s="8970"/>
      <c r="AL535" s="8970"/>
      <c r="AM535" s="8970"/>
      <c r="AN535" s="8971"/>
      <c r="AO535" s="8969"/>
      <c r="AP535" s="8970"/>
      <c r="AQ535" s="8970"/>
      <c r="AR535" s="8970"/>
      <c r="AS535" s="8970"/>
      <c r="AT535" s="8971"/>
      <c r="AU535" s="8972"/>
      <c r="AV535" s="8972"/>
      <c r="AW535" s="8972"/>
      <c r="AX535" s="8964"/>
      <c r="AY535" s="8967"/>
      <c r="AZ535" s="8972"/>
      <c r="BA535" s="8964"/>
      <c r="BB535" s="8966"/>
      <c r="BC535" s="8967"/>
      <c r="BD535" s="8973"/>
      <c r="BF535" s="14442"/>
      <c r="BG535" s="14442"/>
      <c r="BH535" s="14442"/>
      <c r="BI535" s="14442"/>
      <c r="BJ535" s="14442"/>
      <c r="BK535" s="13059"/>
      <c r="BL535" s="14442"/>
      <c r="BM535" s="14442"/>
      <c r="BN535" s="14442"/>
    </row>
    <row r="536" spans="1:66" ht="29.25" hidden="1" customHeight="1">
      <c r="A536" s="13659">
        <v>337</v>
      </c>
      <c r="B536" s="13887" t="s">
        <v>7913</v>
      </c>
      <c r="C536" s="13595"/>
      <c r="D536" s="11924" t="s">
        <v>2896</v>
      </c>
      <c r="E536" s="7846" t="s">
        <v>167</v>
      </c>
      <c r="F536" s="7846"/>
      <c r="G536" s="14077" t="s">
        <v>4940</v>
      </c>
      <c r="H536" s="13408" t="s">
        <v>664</v>
      </c>
      <c r="I536" s="14109">
        <v>10</v>
      </c>
      <c r="K536" s="9629"/>
      <c r="L536" s="8965"/>
      <c r="M536" s="8965"/>
      <c r="N536" s="9630"/>
      <c r="O536" s="9630"/>
      <c r="P536" s="9631"/>
      <c r="Q536" s="8968"/>
      <c r="R536" s="8969"/>
      <c r="S536" s="8970"/>
      <c r="T536" s="8971"/>
      <c r="U536" s="8968"/>
      <c r="V536" s="8969"/>
      <c r="W536" s="8971"/>
      <c r="X536" s="8969"/>
      <c r="Y536" s="8971"/>
      <c r="Z536" s="8969"/>
      <c r="AA536" s="8970"/>
      <c r="AB536" s="8970"/>
      <c r="AC536" s="8970"/>
      <c r="AD536" s="8970"/>
      <c r="AE536" s="8970"/>
      <c r="AF536" s="8971"/>
      <c r="AG536" s="8969"/>
      <c r="AH536" s="8970"/>
      <c r="AI536" s="8970"/>
      <c r="AJ536" s="8970"/>
      <c r="AK536" s="8970"/>
      <c r="AL536" s="8970"/>
      <c r="AM536" s="8970"/>
      <c r="AN536" s="8971"/>
      <c r="AO536" s="8969"/>
      <c r="AP536" s="8970"/>
      <c r="AQ536" s="8970"/>
      <c r="AR536" s="8970"/>
      <c r="AS536" s="8970"/>
      <c r="AT536" s="8971"/>
      <c r="AU536" s="9632"/>
      <c r="AV536" s="9632"/>
      <c r="AW536" s="9632"/>
      <c r="AX536" s="9629"/>
      <c r="AY536" s="9631"/>
      <c r="AZ536" s="9632"/>
      <c r="BA536" s="9629"/>
      <c r="BB536" s="9630"/>
      <c r="BC536" s="9631"/>
      <c r="BD536" s="9633"/>
      <c r="BF536" s="14442"/>
      <c r="BG536" s="14442"/>
      <c r="BH536" s="14442"/>
      <c r="BI536" s="14442"/>
      <c r="BJ536" s="14442"/>
      <c r="BK536" s="8974"/>
      <c r="BL536" s="14442"/>
      <c r="BM536" s="14442"/>
      <c r="BN536" s="14442"/>
    </row>
    <row r="537" spans="1:66" ht="29.25" hidden="1" customHeight="1">
      <c r="A537" s="13659"/>
      <c r="B537" s="13887"/>
      <c r="C537" s="13595"/>
      <c r="D537" s="11924" t="s">
        <v>10063</v>
      </c>
      <c r="E537" s="7846"/>
      <c r="F537" s="7846" t="s">
        <v>10228</v>
      </c>
      <c r="G537" s="14077"/>
      <c r="H537" s="13408"/>
      <c r="I537" s="14109"/>
      <c r="K537" s="9629"/>
      <c r="L537" s="8965"/>
      <c r="M537" s="8965"/>
      <c r="N537" s="9630"/>
      <c r="O537" s="9630"/>
      <c r="P537" s="9631"/>
      <c r="Q537" s="8968"/>
      <c r="R537" s="8969"/>
      <c r="S537" s="8970"/>
      <c r="T537" s="8971"/>
      <c r="U537" s="8968"/>
      <c r="V537" s="8969"/>
      <c r="W537" s="8971"/>
      <c r="X537" s="8969"/>
      <c r="Y537" s="8971"/>
      <c r="Z537" s="8969"/>
      <c r="AA537" s="8970"/>
      <c r="AB537" s="8970"/>
      <c r="AC537" s="8970"/>
      <c r="AD537" s="8970"/>
      <c r="AE537" s="8970"/>
      <c r="AF537" s="8971"/>
      <c r="AG537" s="8969"/>
      <c r="AH537" s="8970"/>
      <c r="AI537" s="8970"/>
      <c r="AJ537" s="8970"/>
      <c r="AK537" s="8970"/>
      <c r="AL537" s="8970"/>
      <c r="AM537" s="8970"/>
      <c r="AN537" s="8971"/>
      <c r="AO537" s="8969"/>
      <c r="AP537" s="8970"/>
      <c r="AQ537" s="8970"/>
      <c r="AR537" s="8970"/>
      <c r="AS537" s="8970"/>
      <c r="AT537" s="8971"/>
      <c r="AU537" s="9632"/>
      <c r="AV537" s="9632"/>
      <c r="AW537" s="9632"/>
      <c r="AX537" s="9629"/>
      <c r="AY537" s="9631"/>
      <c r="AZ537" s="9632"/>
      <c r="BA537" s="9629"/>
      <c r="BB537" s="9630"/>
      <c r="BC537" s="9631"/>
      <c r="BD537" s="9633"/>
      <c r="BF537" s="14442"/>
      <c r="BG537" s="14442"/>
      <c r="BH537" s="14442"/>
      <c r="BI537" s="14442"/>
      <c r="BJ537" s="14442"/>
      <c r="BK537" s="8974"/>
      <c r="BL537" s="14442"/>
      <c r="BM537" s="14442"/>
      <c r="BN537" s="14442"/>
    </row>
    <row r="538" spans="1:66" ht="29.25" hidden="1" customHeight="1">
      <c r="A538" s="13659"/>
      <c r="B538" s="13887"/>
      <c r="C538" s="13595"/>
      <c r="D538" s="11924" t="s">
        <v>10199</v>
      </c>
      <c r="E538" s="7846"/>
      <c r="F538" s="7846" t="s">
        <v>1489</v>
      </c>
      <c r="G538" s="14077"/>
      <c r="H538" s="13408"/>
      <c r="I538" s="14109"/>
      <c r="K538" s="9629"/>
      <c r="L538" s="8965"/>
      <c r="M538" s="8965"/>
      <c r="N538" s="9630"/>
      <c r="O538" s="9630"/>
      <c r="P538" s="9631"/>
      <c r="Q538" s="8968"/>
      <c r="R538" s="8969"/>
      <c r="S538" s="8970"/>
      <c r="T538" s="8971"/>
      <c r="U538" s="8968"/>
      <c r="V538" s="8969"/>
      <c r="W538" s="8971"/>
      <c r="X538" s="8969"/>
      <c r="Y538" s="8971"/>
      <c r="Z538" s="8969"/>
      <c r="AA538" s="8970"/>
      <c r="AB538" s="8970"/>
      <c r="AC538" s="8970"/>
      <c r="AD538" s="8970"/>
      <c r="AE538" s="8970"/>
      <c r="AF538" s="8971"/>
      <c r="AG538" s="8969"/>
      <c r="AH538" s="8970"/>
      <c r="AI538" s="8970"/>
      <c r="AJ538" s="8970"/>
      <c r="AK538" s="8970"/>
      <c r="AL538" s="8970"/>
      <c r="AM538" s="8970"/>
      <c r="AN538" s="8971"/>
      <c r="AO538" s="8969"/>
      <c r="AP538" s="8970"/>
      <c r="AQ538" s="8970"/>
      <c r="AR538" s="8970"/>
      <c r="AS538" s="8970"/>
      <c r="AT538" s="8971"/>
      <c r="AU538" s="9632"/>
      <c r="AV538" s="9632"/>
      <c r="AW538" s="9632"/>
      <c r="AX538" s="9629"/>
      <c r="AY538" s="9631"/>
      <c r="AZ538" s="9632"/>
      <c r="BA538" s="9629"/>
      <c r="BB538" s="9630"/>
      <c r="BC538" s="9631"/>
      <c r="BD538" s="9633"/>
      <c r="BF538" s="14442"/>
      <c r="BG538" s="14442"/>
      <c r="BH538" s="14442"/>
      <c r="BI538" s="14442"/>
      <c r="BJ538" s="14442"/>
      <c r="BK538" s="8974"/>
      <c r="BL538" s="14442"/>
      <c r="BM538" s="14442"/>
      <c r="BN538" s="14442"/>
    </row>
    <row r="539" spans="1:66" ht="29.25" hidden="1" customHeight="1">
      <c r="A539" s="13659">
        <v>338</v>
      </c>
      <c r="B539" s="13887" t="s">
        <v>7914</v>
      </c>
      <c r="C539" s="13595"/>
      <c r="D539" s="11924" t="s">
        <v>2896</v>
      </c>
      <c r="E539" s="7846" t="s">
        <v>167</v>
      </c>
      <c r="F539" s="7846" t="s">
        <v>669</v>
      </c>
      <c r="G539" s="14077" t="s">
        <v>4941</v>
      </c>
      <c r="H539" s="13408" t="s">
        <v>666</v>
      </c>
      <c r="I539" s="12130" t="s">
        <v>667</v>
      </c>
      <c r="K539" s="8963"/>
      <c r="L539" s="8978"/>
      <c r="M539" s="8978"/>
      <c r="N539" s="9626"/>
      <c r="O539" s="9626"/>
      <c r="P539" s="9627"/>
      <c r="Q539" s="8981"/>
      <c r="R539" s="8982"/>
      <c r="S539" s="8983"/>
      <c r="T539" s="8984"/>
      <c r="U539" s="8981"/>
      <c r="V539" s="8982"/>
      <c r="W539" s="8984"/>
      <c r="X539" s="8982"/>
      <c r="Y539" s="8984"/>
      <c r="Z539" s="8982"/>
      <c r="AA539" s="8983"/>
      <c r="AB539" s="8983"/>
      <c r="AC539" s="8983"/>
      <c r="AD539" s="8983"/>
      <c r="AE539" s="8983"/>
      <c r="AF539" s="8984"/>
      <c r="AG539" s="8982"/>
      <c r="AH539" s="8983"/>
      <c r="AI539" s="8983"/>
      <c r="AJ539" s="8983"/>
      <c r="AK539" s="8983"/>
      <c r="AL539" s="8983"/>
      <c r="AM539" s="8983"/>
      <c r="AN539" s="8984"/>
      <c r="AO539" s="8982"/>
      <c r="AP539" s="8983"/>
      <c r="AQ539" s="8983"/>
      <c r="AR539" s="8983"/>
      <c r="AS539" s="8983"/>
      <c r="AT539" s="8984"/>
      <c r="AU539" s="9628"/>
      <c r="AV539" s="9628"/>
      <c r="AW539" s="9628"/>
      <c r="AX539" s="8963"/>
      <c r="AY539" s="9627"/>
      <c r="AZ539" s="9628"/>
      <c r="BA539" s="8963"/>
      <c r="BB539" s="9626"/>
      <c r="BC539" s="9627"/>
      <c r="BD539" s="8975"/>
      <c r="BF539" s="14442"/>
      <c r="BG539" s="14442"/>
      <c r="BH539" s="14442"/>
      <c r="BI539" s="14442"/>
      <c r="BJ539" s="14442"/>
      <c r="BK539" s="8974"/>
      <c r="BL539" s="14442"/>
      <c r="BM539" s="14442"/>
      <c r="BN539" s="14442"/>
    </row>
    <row r="540" spans="1:66" ht="29.25" hidden="1" customHeight="1">
      <c r="A540" s="13659"/>
      <c r="B540" s="13887"/>
      <c r="C540" s="13595"/>
      <c r="D540" s="11924" t="s">
        <v>2896</v>
      </c>
      <c r="E540" s="7846" t="s">
        <v>167</v>
      </c>
      <c r="F540" s="7846" t="s">
        <v>669</v>
      </c>
      <c r="G540" s="14077"/>
      <c r="H540" s="13408"/>
      <c r="I540" s="12130" t="s">
        <v>672</v>
      </c>
      <c r="K540" s="8963"/>
      <c r="L540" s="8978"/>
      <c r="M540" s="8978"/>
      <c r="N540" s="9626"/>
      <c r="O540" s="9626"/>
      <c r="P540" s="9627"/>
      <c r="Q540" s="8981"/>
      <c r="R540" s="8982"/>
      <c r="S540" s="8983"/>
      <c r="T540" s="8984"/>
      <c r="U540" s="8981"/>
      <c r="V540" s="8982"/>
      <c r="W540" s="8984"/>
      <c r="X540" s="8982"/>
      <c r="Y540" s="8984"/>
      <c r="Z540" s="8982"/>
      <c r="AA540" s="8983"/>
      <c r="AB540" s="8983"/>
      <c r="AC540" s="8983"/>
      <c r="AD540" s="8983"/>
      <c r="AE540" s="8983"/>
      <c r="AF540" s="8984"/>
      <c r="AG540" s="8982"/>
      <c r="AH540" s="8983"/>
      <c r="AI540" s="8983"/>
      <c r="AJ540" s="8983"/>
      <c r="AK540" s="8983"/>
      <c r="AL540" s="8983"/>
      <c r="AM540" s="8983"/>
      <c r="AN540" s="8984"/>
      <c r="AO540" s="8982"/>
      <c r="AP540" s="8983"/>
      <c r="AQ540" s="8983"/>
      <c r="AR540" s="8983"/>
      <c r="AS540" s="8983"/>
      <c r="AT540" s="8984"/>
      <c r="AU540" s="9628"/>
      <c r="AV540" s="9628"/>
      <c r="AW540" s="9628"/>
      <c r="AX540" s="8963"/>
      <c r="AY540" s="9627"/>
      <c r="AZ540" s="9628"/>
      <c r="BA540" s="8963"/>
      <c r="BB540" s="9626"/>
      <c r="BC540" s="9627"/>
      <c r="BD540" s="8975"/>
      <c r="BF540" s="14442"/>
      <c r="BG540" s="14442"/>
      <c r="BH540" s="14442"/>
      <c r="BI540" s="14442"/>
      <c r="BJ540" s="14442"/>
      <c r="BK540" s="8974"/>
      <c r="BL540" s="14442"/>
      <c r="BM540" s="14442"/>
      <c r="BN540" s="14442"/>
    </row>
    <row r="541" spans="1:66" ht="29.25" hidden="1" customHeight="1">
      <c r="A541" s="13659"/>
      <c r="B541" s="13887"/>
      <c r="C541" s="13595"/>
      <c r="D541" s="11924" t="s">
        <v>2896</v>
      </c>
      <c r="E541" s="7846" t="s">
        <v>167</v>
      </c>
      <c r="F541" s="7846" t="s">
        <v>669</v>
      </c>
      <c r="G541" s="14077"/>
      <c r="H541" s="13408"/>
      <c r="I541" s="12130" t="s">
        <v>675</v>
      </c>
      <c r="K541" s="8963"/>
      <c r="L541" s="8978"/>
      <c r="M541" s="8978"/>
      <c r="N541" s="9626"/>
      <c r="O541" s="9626"/>
      <c r="P541" s="9627"/>
      <c r="Q541" s="8981"/>
      <c r="R541" s="8982"/>
      <c r="S541" s="8983"/>
      <c r="T541" s="8984"/>
      <c r="U541" s="8981"/>
      <c r="V541" s="8982"/>
      <c r="W541" s="8984"/>
      <c r="X541" s="8982"/>
      <c r="Y541" s="8984"/>
      <c r="Z541" s="8982"/>
      <c r="AA541" s="8983"/>
      <c r="AB541" s="8983"/>
      <c r="AC541" s="8983"/>
      <c r="AD541" s="8983"/>
      <c r="AE541" s="8983"/>
      <c r="AF541" s="8984"/>
      <c r="AG541" s="8982"/>
      <c r="AH541" s="8983"/>
      <c r="AI541" s="8983"/>
      <c r="AJ541" s="8983"/>
      <c r="AK541" s="8983"/>
      <c r="AL541" s="8983"/>
      <c r="AM541" s="8983"/>
      <c r="AN541" s="8984"/>
      <c r="AO541" s="8982"/>
      <c r="AP541" s="8983"/>
      <c r="AQ541" s="8983"/>
      <c r="AR541" s="8983"/>
      <c r="AS541" s="8983"/>
      <c r="AT541" s="8984"/>
      <c r="AU541" s="9628"/>
      <c r="AV541" s="9628"/>
      <c r="AW541" s="9628"/>
      <c r="AX541" s="8963"/>
      <c r="AY541" s="9627"/>
      <c r="AZ541" s="9628"/>
      <c r="BA541" s="8963"/>
      <c r="BB541" s="9626"/>
      <c r="BC541" s="9627"/>
      <c r="BD541" s="8975"/>
      <c r="BF541" s="14442"/>
      <c r="BG541" s="14442"/>
      <c r="BH541" s="14442"/>
      <c r="BI541" s="14442"/>
      <c r="BJ541" s="14442"/>
      <c r="BK541" s="8974"/>
      <c r="BL541" s="14442"/>
      <c r="BM541" s="14442"/>
      <c r="BN541" s="14442"/>
    </row>
    <row r="542" spans="1:66" ht="29.25" hidden="1" customHeight="1">
      <c r="A542" s="13659"/>
      <c r="B542" s="13887"/>
      <c r="C542" s="13595"/>
      <c r="D542" s="11924" t="s">
        <v>2896</v>
      </c>
      <c r="E542" s="7846" t="s">
        <v>167</v>
      </c>
      <c r="F542" s="7846" t="s">
        <v>669</v>
      </c>
      <c r="G542" s="14077"/>
      <c r="H542" s="13408"/>
      <c r="I542" s="14109" t="s">
        <v>678</v>
      </c>
      <c r="K542" s="9629"/>
      <c r="L542" s="8965"/>
      <c r="M542" s="8965"/>
      <c r="N542" s="9630"/>
      <c r="O542" s="9630"/>
      <c r="P542" s="9631"/>
      <c r="Q542" s="8968"/>
      <c r="R542" s="8969"/>
      <c r="S542" s="8970"/>
      <c r="T542" s="8971"/>
      <c r="U542" s="8968"/>
      <c r="V542" s="8969"/>
      <c r="W542" s="8971"/>
      <c r="X542" s="8969"/>
      <c r="Y542" s="8971"/>
      <c r="Z542" s="8969"/>
      <c r="AA542" s="8970"/>
      <c r="AB542" s="8970"/>
      <c r="AC542" s="8970"/>
      <c r="AD542" s="8970"/>
      <c r="AE542" s="8970"/>
      <c r="AF542" s="8971"/>
      <c r="AG542" s="8969"/>
      <c r="AH542" s="8970"/>
      <c r="AI542" s="8970"/>
      <c r="AJ542" s="8970"/>
      <c r="AK542" s="8970"/>
      <c r="AL542" s="8970"/>
      <c r="AM542" s="8970"/>
      <c r="AN542" s="8971"/>
      <c r="AO542" s="8969"/>
      <c r="AP542" s="8970"/>
      <c r="AQ542" s="8970"/>
      <c r="AR542" s="8970"/>
      <c r="AS542" s="8970"/>
      <c r="AT542" s="8971"/>
      <c r="AU542" s="9632"/>
      <c r="AV542" s="9632"/>
      <c r="AW542" s="9632"/>
      <c r="AX542" s="9629"/>
      <c r="AY542" s="9631"/>
      <c r="AZ542" s="9632"/>
      <c r="BA542" s="9629"/>
      <c r="BB542" s="9630"/>
      <c r="BC542" s="9631"/>
      <c r="BD542" s="9633"/>
      <c r="BF542" s="14442"/>
      <c r="BG542" s="14442"/>
      <c r="BH542" s="14442"/>
      <c r="BI542" s="14442"/>
      <c r="BJ542" s="14442"/>
      <c r="BK542" s="8974"/>
      <c r="BL542" s="14442"/>
      <c r="BM542" s="14442"/>
      <c r="BN542" s="14442"/>
    </row>
    <row r="543" spans="1:66" ht="29.25" hidden="1" customHeight="1">
      <c r="A543" s="13659"/>
      <c r="B543" s="13887"/>
      <c r="C543" s="13595"/>
      <c r="D543" s="11924" t="s">
        <v>10194</v>
      </c>
      <c r="E543" s="7846"/>
      <c r="F543" s="7846"/>
      <c r="G543" s="14077"/>
      <c r="H543" s="13408"/>
      <c r="I543" s="14109"/>
      <c r="K543" s="9629"/>
      <c r="L543" s="8965"/>
      <c r="M543" s="8965"/>
      <c r="N543" s="9630"/>
      <c r="O543" s="9630"/>
      <c r="P543" s="9631"/>
      <c r="Q543" s="8968"/>
      <c r="R543" s="8969"/>
      <c r="S543" s="8970"/>
      <c r="T543" s="8971"/>
      <c r="U543" s="8968"/>
      <c r="V543" s="8969"/>
      <c r="W543" s="8971"/>
      <c r="X543" s="8969"/>
      <c r="Y543" s="8971"/>
      <c r="Z543" s="8969"/>
      <c r="AA543" s="8970"/>
      <c r="AB543" s="8970"/>
      <c r="AC543" s="8970"/>
      <c r="AD543" s="8970"/>
      <c r="AE543" s="8970"/>
      <c r="AF543" s="8971"/>
      <c r="AG543" s="8969"/>
      <c r="AH543" s="8970"/>
      <c r="AI543" s="8970"/>
      <c r="AJ543" s="8970"/>
      <c r="AK543" s="8970"/>
      <c r="AL543" s="8970"/>
      <c r="AM543" s="8970"/>
      <c r="AN543" s="8971"/>
      <c r="AO543" s="8969"/>
      <c r="AP543" s="8970"/>
      <c r="AQ543" s="8970"/>
      <c r="AR543" s="8970"/>
      <c r="AS543" s="8970"/>
      <c r="AT543" s="8971"/>
      <c r="AU543" s="9632"/>
      <c r="AV543" s="9632"/>
      <c r="AW543" s="9632"/>
      <c r="AX543" s="9629"/>
      <c r="AY543" s="9631"/>
      <c r="AZ543" s="9632"/>
      <c r="BA543" s="9629"/>
      <c r="BB543" s="9630"/>
      <c r="BC543" s="9631"/>
      <c r="BD543" s="9633"/>
      <c r="BF543" s="14442"/>
      <c r="BG543" s="14442"/>
      <c r="BH543" s="14442"/>
      <c r="BI543" s="14442"/>
      <c r="BJ543" s="14442"/>
      <c r="BK543" s="8974"/>
      <c r="BL543" s="14442"/>
      <c r="BM543" s="14442"/>
      <c r="BN543" s="14442"/>
    </row>
    <row r="544" spans="1:66" ht="29.25" hidden="1" customHeight="1">
      <c r="A544" s="13659"/>
      <c r="B544" s="13887"/>
      <c r="C544" s="13595"/>
      <c r="D544" s="11924" t="s">
        <v>2896</v>
      </c>
      <c r="E544" s="7846" t="s">
        <v>167</v>
      </c>
      <c r="F544" s="7846" t="s">
        <v>669</v>
      </c>
      <c r="G544" s="14077"/>
      <c r="H544" s="13408"/>
      <c r="I544" s="14109" t="s">
        <v>681</v>
      </c>
      <c r="K544" s="9629"/>
      <c r="L544" s="8965"/>
      <c r="M544" s="8965"/>
      <c r="N544" s="9630"/>
      <c r="O544" s="9630"/>
      <c r="P544" s="9631"/>
      <c r="Q544" s="8968"/>
      <c r="R544" s="8969"/>
      <c r="S544" s="8970"/>
      <c r="T544" s="8971"/>
      <c r="U544" s="8968"/>
      <c r="V544" s="8969"/>
      <c r="W544" s="8971"/>
      <c r="X544" s="8969"/>
      <c r="Y544" s="8971"/>
      <c r="Z544" s="8969"/>
      <c r="AA544" s="8970"/>
      <c r="AB544" s="8970"/>
      <c r="AC544" s="8970"/>
      <c r="AD544" s="8970"/>
      <c r="AE544" s="8970"/>
      <c r="AF544" s="8971"/>
      <c r="AG544" s="8969"/>
      <c r="AH544" s="8970"/>
      <c r="AI544" s="8970"/>
      <c r="AJ544" s="8970"/>
      <c r="AK544" s="8970"/>
      <c r="AL544" s="8970"/>
      <c r="AM544" s="8970"/>
      <c r="AN544" s="8971"/>
      <c r="AO544" s="8969"/>
      <c r="AP544" s="8970"/>
      <c r="AQ544" s="8970"/>
      <c r="AR544" s="8970"/>
      <c r="AS544" s="8970"/>
      <c r="AT544" s="8971"/>
      <c r="AU544" s="9632"/>
      <c r="AV544" s="9632"/>
      <c r="AW544" s="9632"/>
      <c r="AX544" s="9629"/>
      <c r="AY544" s="9631"/>
      <c r="AZ544" s="9632"/>
      <c r="BA544" s="9629"/>
      <c r="BB544" s="9630"/>
      <c r="BC544" s="9631"/>
      <c r="BD544" s="9633"/>
      <c r="BF544" s="14442"/>
      <c r="BG544" s="14442"/>
      <c r="BH544" s="14442"/>
      <c r="BI544" s="14442"/>
      <c r="BJ544" s="14442"/>
      <c r="BK544" s="8974"/>
      <c r="BL544" s="14442"/>
      <c r="BM544" s="14442"/>
      <c r="BN544" s="14442"/>
    </row>
    <row r="545" spans="1:66" ht="29.25" hidden="1" customHeight="1">
      <c r="A545" s="13659"/>
      <c r="B545" s="13887"/>
      <c r="C545" s="13595"/>
      <c r="D545" s="11924" t="s">
        <v>10194</v>
      </c>
      <c r="E545" s="7846"/>
      <c r="F545" s="7846"/>
      <c r="G545" s="14077"/>
      <c r="H545" s="13408"/>
      <c r="I545" s="14109"/>
      <c r="K545" s="9629"/>
      <c r="L545" s="8965"/>
      <c r="M545" s="8965"/>
      <c r="N545" s="9630"/>
      <c r="O545" s="9630"/>
      <c r="P545" s="9631"/>
      <c r="Q545" s="8968"/>
      <c r="R545" s="8969"/>
      <c r="S545" s="8970"/>
      <c r="T545" s="8971"/>
      <c r="U545" s="8968"/>
      <c r="V545" s="8969"/>
      <c r="W545" s="8971"/>
      <c r="X545" s="8969"/>
      <c r="Y545" s="8971"/>
      <c r="Z545" s="8969"/>
      <c r="AA545" s="8970"/>
      <c r="AB545" s="8970"/>
      <c r="AC545" s="8970"/>
      <c r="AD545" s="8970"/>
      <c r="AE545" s="8970"/>
      <c r="AF545" s="8971"/>
      <c r="AG545" s="8969"/>
      <c r="AH545" s="8970"/>
      <c r="AI545" s="8970"/>
      <c r="AJ545" s="8970"/>
      <c r="AK545" s="8970"/>
      <c r="AL545" s="8970"/>
      <c r="AM545" s="8970"/>
      <c r="AN545" s="8971"/>
      <c r="AO545" s="8969"/>
      <c r="AP545" s="8970"/>
      <c r="AQ545" s="8970"/>
      <c r="AR545" s="8970"/>
      <c r="AS545" s="8970"/>
      <c r="AT545" s="8971"/>
      <c r="AU545" s="9632"/>
      <c r="AV545" s="9632"/>
      <c r="AW545" s="9632"/>
      <c r="AX545" s="9629"/>
      <c r="AY545" s="9631"/>
      <c r="AZ545" s="9632"/>
      <c r="BA545" s="9629"/>
      <c r="BB545" s="9630"/>
      <c r="BC545" s="9631"/>
      <c r="BD545" s="9633"/>
      <c r="BF545" s="14442"/>
      <c r="BG545" s="14442"/>
      <c r="BH545" s="14442"/>
      <c r="BI545" s="14442"/>
      <c r="BJ545" s="14442"/>
      <c r="BK545" s="8974"/>
      <c r="BL545" s="14442"/>
      <c r="BM545" s="14442"/>
      <c r="BN545" s="14442"/>
    </row>
    <row r="546" spans="1:66" ht="29.25" hidden="1" customHeight="1">
      <c r="A546" s="8975">
        <v>339</v>
      </c>
      <c r="B546" s="8976" t="s">
        <v>7915</v>
      </c>
      <c r="C546" s="13595"/>
      <c r="D546" s="11924" t="s">
        <v>2896</v>
      </c>
      <c r="E546" s="7846" t="s">
        <v>684</v>
      </c>
      <c r="F546" s="7846"/>
      <c r="G546" s="11925" t="s">
        <v>4942</v>
      </c>
      <c r="H546" s="11926" t="s">
        <v>682</v>
      </c>
      <c r="I546" s="12130">
        <v>5</v>
      </c>
      <c r="K546" s="8963"/>
      <c r="L546" s="8978"/>
      <c r="M546" s="8978"/>
      <c r="N546" s="9626"/>
      <c r="O546" s="9626"/>
      <c r="P546" s="9627"/>
      <c r="Q546" s="8981"/>
      <c r="R546" s="8982"/>
      <c r="S546" s="8983"/>
      <c r="T546" s="8984"/>
      <c r="U546" s="8981"/>
      <c r="V546" s="8982"/>
      <c r="W546" s="8984"/>
      <c r="X546" s="8982"/>
      <c r="Y546" s="8984"/>
      <c r="Z546" s="8982"/>
      <c r="AA546" s="8983"/>
      <c r="AB546" s="8983"/>
      <c r="AC546" s="8983"/>
      <c r="AD546" s="8983"/>
      <c r="AE546" s="8983"/>
      <c r="AF546" s="8984"/>
      <c r="AG546" s="8982"/>
      <c r="AH546" s="8983"/>
      <c r="AI546" s="8983"/>
      <c r="AJ546" s="8983"/>
      <c r="AK546" s="8983"/>
      <c r="AL546" s="8983"/>
      <c r="AM546" s="8983"/>
      <c r="AN546" s="8984"/>
      <c r="AO546" s="8982"/>
      <c r="AP546" s="8983"/>
      <c r="AQ546" s="8983"/>
      <c r="AR546" s="8983"/>
      <c r="AS546" s="8983"/>
      <c r="AT546" s="8984"/>
      <c r="AU546" s="9628"/>
      <c r="AV546" s="9628"/>
      <c r="AW546" s="9628"/>
      <c r="AX546" s="8963"/>
      <c r="AY546" s="9627"/>
      <c r="AZ546" s="9628"/>
      <c r="BA546" s="8963"/>
      <c r="BB546" s="9626"/>
      <c r="BC546" s="9627"/>
      <c r="BD546" s="8975"/>
      <c r="BF546" s="8974"/>
      <c r="BG546" s="8974"/>
      <c r="BH546" s="8974"/>
      <c r="BI546" s="8974"/>
      <c r="BJ546" s="8974"/>
      <c r="BK546" s="8974"/>
      <c r="BL546" s="8974"/>
      <c r="BM546" s="8974"/>
      <c r="BN546" s="8974"/>
    </row>
    <row r="547" spans="1:66" ht="29.25" hidden="1" customHeight="1">
      <c r="A547" s="8975">
        <v>340</v>
      </c>
      <c r="B547" s="8976" t="s">
        <v>7916</v>
      </c>
      <c r="C547" s="13595"/>
      <c r="D547" s="11924" t="s">
        <v>2896</v>
      </c>
      <c r="E547" s="7846" t="s">
        <v>167</v>
      </c>
      <c r="F547" s="7846"/>
      <c r="G547" s="11925" t="s">
        <v>4943</v>
      </c>
      <c r="H547" s="11926" t="s">
        <v>685</v>
      </c>
      <c r="I547" s="12130">
        <v>1</v>
      </c>
      <c r="K547" s="8963"/>
      <c r="L547" s="8978"/>
      <c r="M547" s="8978"/>
      <c r="N547" s="9626"/>
      <c r="O547" s="9626"/>
      <c r="P547" s="9627"/>
      <c r="Q547" s="8981"/>
      <c r="R547" s="8982"/>
      <c r="S547" s="8983"/>
      <c r="T547" s="8984"/>
      <c r="U547" s="8981"/>
      <c r="V547" s="8982"/>
      <c r="W547" s="8984"/>
      <c r="X547" s="8982"/>
      <c r="Y547" s="8984"/>
      <c r="Z547" s="8982"/>
      <c r="AA547" s="8983"/>
      <c r="AB547" s="8983"/>
      <c r="AC547" s="8983"/>
      <c r="AD547" s="8983"/>
      <c r="AE547" s="8983"/>
      <c r="AF547" s="8984"/>
      <c r="AG547" s="8982"/>
      <c r="AH547" s="8983"/>
      <c r="AI547" s="8983"/>
      <c r="AJ547" s="8983"/>
      <c r="AK547" s="8983"/>
      <c r="AL547" s="8983"/>
      <c r="AM547" s="8983"/>
      <c r="AN547" s="8984"/>
      <c r="AO547" s="8982"/>
      <c r="AP547" s="8983"/>
      <c r="AQ547" s="8983"/>
      <c r="AR547" s="8983"/>
      <c r="AS547" s="8983"/>
      <c r="AT547" s="8984"/>
      <c r="AU547" s="9628"/>
      <c r="AV547" s="9628"/>
      <c r="AW547" s="9628"/>
      <c r="AX547" s="8963"/>
      <c r="AY547" s="9627"/>
      <c r="AZ547" s="9628"/>
      <c r="BA547" s="8963"/>
      <c r="BB547" s="9626"/>
      <c r="BC547" s="9627"/>
      <c r="BD547" s="8975"/>
      <c r="BF547" s="8974"/>
      <c r="BG547" s="8974"/>
      <c r="BH547" s="8974"/>
      <c r="BI547" s="8974"/>
      <c r="BJ547" s="8974"/>
      <c r="BK547" s="8974"/>
      <c r="BL547" s="8974"/>
      <c r="BM547" s="8974"/>
      <c r="BN547" s="8974"/>
    </row>
    <row r="548" spans="1:66" ht="29.25" hidden="1" customHeight="1">
      <c r="A548" s="8975">
        <v>341</v>
      </c>
      <c r="B548" s="8976" t="s">
        <v>7917</v>
      </c>
      <c r="C548" s="13595"/>
      <c r="D548" s="11924" t="s">
        <v>2896</v>
      </c>
      <c r="E548" s="7846" t="s">
        <v>167</v>
      </c>
      <c r="F548" s="7846"/>
      <c r="G548" s="11925" t="s">
        <v>4944</v>
      </c>
      <c r="H548" s="11926" t="s">
        <v>688</v>
      </c>
      <c r="I548" s="11927">
        <v>1</v>
      </c>
      <c r="K548" s="8977"/>
      <c r="L548" s="8978"/>
      <c r="M548" s="8978"/>
      <c r="N548" s="8979"/>
      <c r="O548" s="8979"/>
      <c r="P548" s="8980"/>
      <c r="Q548" s="8981"/>
      <c r="R548" s="8982"/>
      <c r="S548" s="8983"/>
      <c r="T548" s="8984"/>
      <c r="U548" s="8981"/>
      <c r="V548" s="8982"/>
      <c r="W548" s="8984"/>
      <c r="X548" s="8982"/>
      <c r="Y548" s="8984"/>
      <c r="Z548" s="8982"/>
      <c r="AA548" s="8983"/>
      <c r="AB548" s="8983"/>
      <c r="AC548" s="8983"/>
      <c r="AD548" s="8983"/>
      <c r="AE548" s="8983"/>
      <c r="AF548" s="8984"/>
      <c r="AG548" s="8982"/>
      <c r="AH548" s="8983"/>
      <c r="AI548" s="8983"/>
      <c r="AJ548" s="8983"/>
      <c r="AK548" s="8983"/>
      <c r="AL548" s="8983"/>
      <c r="AM548" s="8983"/>
      <c r="AN548" s="8984"/>
      <c r="AO548" s="8982"/>
      <c r="AP548" s="8983"/>
      <c r="AQ548" s="8983"/>
      <c r="AR548" s="8983"/>
      <c r="AS548" s="8983"/>
      <c r="AT548" s="8984"/>
      <c r="AU548" s="8985"/>
      <c r="AV548" s="8985"/>
      <c r="AW548" s="8985"/>
      <c r="AX548" s="8977"/>
      <c r="AY548" s="8980"/>
      <c r="AZ548" s="8985"/>
      <c r="BA548" s="8977"/>
      <c r="BB548" s="8979"/>
      <c r="BC548" s="8980"/>
      <c r="BD548" s="8986"/>
      <c r="BF548" s="8974"/>
      <c r="BG548" s="8974"/>
      <c r="BH548" s="8974"/>
      <c r="BI548" s="8974"/>
      <c r="BJ548" s="8974"/>
      <c r="BK548" s="8974"/>
      <c r="BL548" s="8974"/>
      <c r="BM548" s="8974"/>
      <c r="BN548" s="8974"/>
    </row>
    <row r="549" spans="1:66" ht="29.25" hidden="1" customHeight="1">
      <c r="A549" s="8975">
        <v>342</v>
      </c>
      <c r="B549" s="8976" t="s">
        <v>7918</v>
      </c>
      <c r="C549" s="13595"/>
      <c r="D549" s="11924" t="s">
        <v>2896</v>
      </c>
      <c r="E549" s="7846" t="s">
        <v>167</v>
      </c>
      <c r="F549" s="7846"/>
      <c r="G549" s="11925" t="s">
        <v>4945</v>
      </c>
      <c r="H549" s="11926" t="s">
        <v>682</v>
      </c>
      <c r="I549" s="12130">
        <v>10</v>
      </c>
      <c r="K549" s="8963"/>
      <c r="L549" s="8978"/>
      <c r="M549" s="8978"/>
      <c r="N549" s="9626"/>
      <c r="O549" s="9626"/>
      <c r="P549" s="9627"/>
      <c r="Q549" s="8981"/>
      <c r="R549" s="8982"/>
      <c r="S549" s="8983"/>
      <c r="T549" s="8984"/>
      <c r="U549" s="8981"/>
      <c r="V549" s="8982"/>
      <c r="W549" s="8984"/>
      <c r="X549" s="8982"/>
      <c r="Y549" s="8984"/>
      <c r="Z549" s="8982"/>
      <c r="AA549" s="8983"/>
      <c r="AB549" s="8983"/>
      <c r="AC549" s="8983"/>
      <c r="AD549" s="8983"/>
      <c r="AE549" s="8983"/>
      <c r="AF549" s="8984"/>
      <c r="AG549" s="8982"/>
      <c r="AH549" s="8983"/>
      <c r="AI549" s="8983"/>
      <c r="AJ549" s="8983"/>
      <c r="AK549" s="8983"/>
      <c r="AL549" s="8983"/>
      <c r="AM549" s="8983"/>
      <c r="AN549" s="8984"/>
      <c r="AO549" s="8982"/>
      <c r="AP549" s="8983"/>
      <c r="AQ549" s="8983"/>
      <c r="AR549" s="8983"/>
      <c r="AS549" s="8983"/>
      <c r="AT549" s="8984"/>
      <c r="AU549" s="9628"/>
      <c r="AV549" s="9628"/>
      <c r="AW549" s="9628"/>
      <c r="AX549" s="8963"/>
      <c r="AY549" s="9627"/>
      <c r="AZ549" s="9628"/>
      <c r="BA549" s="8963"/>
      <c r="BB549" s="9626"/>
      <c r="BC549" s="9627"/>
      <c r="BD549" s="8975"/>
      <c r="BF549" s="8974"/>
      <c r="BG549" s="8974"/>
      <c r="BH549" s="8974"/>
      <c r="BI549" s="8974"/>
      <c r="BJ549" s="8974"/>
      <c r="BK549" s="8974"/>
      <c r="BL549" s="8974"/>
      <c r="BM549" s="8974"/>
      <c r="BN549" s="8974"/>
    </row>
    <row r="550" spans="1:66" ht="29.25" hidden="1" customHeight="1">
      <c r="A550" s="13659">
        <v>243</v>
      </c>
      <c r="B550" s="13887" t="s">
        <v>7919</v>
      </c>
      <c r="C550" s="13595"/>
      <c r="D550" s="11924" t="s">
        <v>2896</v>
      </c>
      <c r="E550" s="7846" t="s">
        <v>167</v>
      </c>
      <c r="F550" s="7846"/>
      <c r="G550" s="14077" t="s">
        <v>4946</v>
      </c>
      <c r="H550" s="13408" t="s">
        <v>693</v>
      </c>
      <c r="I550" s="14078">
        <v>0.5</v>
      </c>
      <c r="K550" s="8964"/>
      <c r="L550" s="8965"/>
      <c r="M550" s="8965"/>
      <c r="N550" s="8966"/>
      <c r="O550" s="8966"/>
      <c r="P550" s="8967"/>
      <c r="Q550" s="8968"/>
      <c r="R550" s="8969"/>
      <c r="S550" s="8970"/>
      <c r="T550" s="8971"/>
      <c r="U550" s="8968"/>
      <c r="V550" s="8969"/>
      <c r="W550" s="8971"/>
      <c r="X550" s="8969"/>
      <c r="Y550" s="8971"/>
      <c r="Z550" s="8969"/>
      <c r="AA550" s="8970"/>
      <c r="AB550" s="8970"/>
      <c r="AC550" s="8970"/>
      <c r="AD550" s="8970"/>
      <c r="AE550" s="8970"/>
      <c r="AF550" s="8971"/>
      <c r="AG550" s="8969"/>
      <c r="AH550" s="8970"/>
      <c r="AI550" s="8970"/>
      <c r="AJ550" s="8970"/>
      <c r="AK550" s="8970"/>
      <c r="AL550" s="8970"/>
      <c r="AM550" s="8970"/>
      <c r="AN550" s="8971"/>
      <c r="AO550" s="8969"/>
      <c r="AP550" s="8970"/>
      <c r="AQ550" s="8970"/>
      <c r="AR550" s="8970"/>
      <c r="AS550" s="8970"/>
      <c r="AT550" s="8971"/>
      <c r="AU550" s="8972"/>
      <c r="AV550" s="8972"/>
      <c r="AW550" s="8972"/>
      <c r="AX550" s="8964"/>
      <c r="AY550" s="8967"/>
      <c r="AZ550" s="8972"/>
      <c r="BA550" s="8964"/>
      <c r="BB550" s="8966"/>
      <c r="BC550" s="8967"/>
      <c r="BD550" s="8973"/>
      <c r="BF550" s="14442"/>
      <c r="BG550" s="14442"/>
      <c r="BH550" s="14442"/>
      <c r="BI550" s="14442"/>
      <c r="BJ550" s="14442"/>
      <c r="BK550" s="8974"/>
      <c r="BL550" s="14442"/>
      <c r="BM550" s="14442"/>
      <c r="BN550" s="14442"/>
    </row>
    <row r="551" spans="1:66" ht="29.25" hidden="1" customHeight="1">
      <c r="A551" s="13659"/>
      <c r="B551" s="13887"/>
      <c r="C551" s="13595"/>
      <c r="D551" s="11924" t="s">
        <v>10194</v>
      </c>
      <c r="E551" s="7846"/>
      <c r="F551" s="7846" t="s">
        <v>695</v>
      </c>
      <c r="G551" s="14077"/>
      <c r="H551" s="13408"/>
      <c r="I551" s="14078"/>
      <c r="K551" s="8964"/>
      <c r="L551" s="8965"/>
      <c r="M551" s="8965"/>
      <c r="N551" s="8966"/>
      <c r="O551" s="8966"/>
      <c r="P551" s="8967"/>
      <c r="Q551" s="8968"/>
      <c r="R551" s="8969"/>
      <c r="S551" s="8970"/>
      <c r="T551" s="8971"/>
      <c r="U551" s="8968"/>
      <c r="V551" s="8969"/>
      <c r="W551" s="8971"/>
      <c r="X551" s="8969"/>
      <c r="Y551" s="8971"/>
      <c r="Z551" s="8969"/>
      <c r="AA551" s="8970"/>
      <c r="AB551" s="8970"/>
      <c r="AC551" s="8970"/>
      <c r="AD551" s="8970"/>
      <c r="AE551" s="8970"/>
      <c r="AF551" s="8971"/>
      <c r="AG551" s="8969"/>
      <c r="AH551" s="8970"/>
      <c r="AI551" s="8970"/>
      <c r="AJ551" s="8970"/>
      <c r="AK551" s="8970"/>
      <c r="AL551" s="8970"/>
      <c r="AM551" s="8970"/>
      <c r="AN551" s="8971"/>
      <c r="AO551" s="8969"/>
      <c r="AP551" s="8970"/>
      <c r="AQ551" s="8970"/>
      <c r="AR551" s="8970"/>
      <c r="AS551" s="8970"/>
      <c r="AT551" s="8971"/>
      <c r="AU551" s="8972"/>
      <c r="AV551" s="8972"/>
      <c r="AW551" s="8972"/>
      <c r="AX551" s="8964"/>
      <c r="AY551" s="8967"/>
      <c r="AZ551" s="8972"/>
      <c r="BA551" s="8964"/>
      <c r="BB551" s="8966"/>
      <c r="BC551" s="8967"/>
      <c r="BD551" s="8973"/>
      <c r="BF551" s="14442"/>
      <c r="BG551" s="14442"/>
      <c r="BH551" s="14442"/>
      <c r="BI551" s="14442"/>
      <c r="BJ551" s="14442"/>
      <c r="BK551" s="8974"/>
      <c r="BL551" s="14442"/>
      <c r="BM551" s="14442"/>
      <c r="BN551" s="14442"/>
    </row>
    <row r="552" spans="1:66" ht="29.25" hidden="1" customHeight="1">
      <c r="A552" s="8975">
        <v>344</v>
      </c>
      <c r="B552" s="8976" t="s">
        <v>7920</v>
      </c>
      <c r="C552" s="13595"/>
      <c r="D552" s="11924" t="s">
        <v>2896</v>
      </c>
      <c r="E552" s="7846" t="s">
        <v>167</v>
      </c>
      <c r="F552" s="7846"/>
      <c r="G552" s="11925" t="s">
        <v>4947</v>
      </c>
      <c r="H552" s="11926" t="s">
        <v>696</v>
      </c>
      <c r="I552" s="12130">
        <v>80</v>
      </c>
      <c r="K552" s="8963"/>
      <c r="L552" s="8978"/>
      <c r="M552" s="8978"/>
      <c r="N552" s="9626"/>
      <c r="O552" s="9626"/>
      <c r="P552" s="9627"/>
      <c r="Q552" s="8981"/>
      <c r="R552" s="8982"/>
      <c r="S552" s="8983"/>
      <c r="T552" s="8984"/>
      <c r="U552" s="8981"/>
      <c r="V552" s="8982"/>
      <c r="W552" s="8984"/>
      <c r="X552" s="8982"/>
      <c r="Y552" s="8984"/>
      <c r="Z552" s="8982"/>
      <c r="AA552" s="8983"/>
      <c r="AB552" s="8983"/>
      <c r="AC552" s="8983"/>
      <c r="AD552" s="8983"/>
      <c r="AE552" s="8983"/>
      <c r="AF552" s="8984"/>
      <c r="AG552" s="8982"/>
      <c r="AH552" s="8983"/>
      <c r="AI552" s="8983"/>
      <c r="AJ552" s="8983"/>
      <c r="AK552" s="8983"/>
      <c r="AL552" s="8983"/>
      <c r="AM552" s="8983"/>
      <c r="AN552" s="8984"/>
      <c r="AO552" s="8982"/>
      <c r="AP552" s="8983"/>
      <c r="AQ552" s="8983"/>
      <c r="AR552" s="8983"/>
      <c r="AS552" s="8983"/>
      <c r="AT552" s="8984"/>
      <c r="AU552" s="9628"/>
      <c r="AV552" s="9628"/>
      <c r="AW552" s="9628"/>
      <c r="AX552" s="8963"/>
      <c r="AY552" s="9627"/>
      <c r="AZ552" s="9628"/>
      <c r="BA552" s="8963"/>
      <c r="BB552" s="9626"/>
      <c r="BC552" s="9627"/>
      <c r="BD552" s="8975"/>
      <c r="BF552" s="8974"/>
      <c r="BG552" s="8974"/>
      <c r="BH552" s="8974"/>
      <c r="BI552" s="8974"/>
      <c r="BJ552" s="8974"/>
      <c r="BK552" s="8974"/>
      <c r="BL552" s="8974"/>
      <c r="BM552" s="8974"/>
      <c r="BN552" s="8974"/>
    </row>
    <row r="553" spans="1:66" ht="29.25" hidden="1" customHeight="1">
      <c r="A553" s="8975">
        <v>345</v>
      </c>
      <c r="B553" s="8976" t="s">
        <v>7921</v>
      </c>
      <c r="C553" s="13595"/>
      <c r="D553" s="11924" t="s">
        <v>2896</v>
      </c>
      <c r="E553" s="7846" t="s">
        <v>167</v>
      </c>
      <c r="F553" s="7846"/>
      <c r="G553" s="11925" t="s">
        <v>4948</v>
      </c>
      <c r="H553" s="11926" t="s">
        <v>699</v>
      </c>
      <c r="I553" s="11927">
        <v>0.8</v>
      </c>
      <c r="K553" s="8977"/>
      <c r="L553" s="8978"/>
      <c r="M553" s="8978"/>
      <c r="N553" s="8979"/>
      <c r="O553" s="8979"/>
      <c r="P553" s="8980"/>
      <c r="Q553" s="8981"/>
      <c r="R553" s="8982"/>
      <c r="S553" s="8983"/>
      <c r="T553" s="8984"/>
      <c r="U553" s="8981"/>
      <c r="V553" s="8982"/>
      <c r="W553" s="8984"/>
      <c r="X553" s="8982"/>
      <c r="Y553" s="8984"/>
      <c r="Z553" s="8982"/>
      <c r="AA553" s="8983"/>
      <c r="AB553" s="8983"/>
      <c r="AC553" s="8983"/>
      <c r="AD553" s="8983"/>
      <c r="AE553" s="8983"/>
      <c r="AF553" s="8984"/>
      <c r="AG553" s="8982"/>
      <c r="AH553" s="8983"/>
      <c r="AI553" s="8983"/>
      <c r="AJ553" s="8983"/>
      <c r="AK553" s="8983"/>
      <c r="AL553" s="8983"/>
      <c r="AM553" s="8983"/>
      <c r="AN553" s="8984"/>
      <c r="AO553" s="8982"/>
      <c r="AP553" s="8983"/>
      <c r="AQ553" s="8983"/>
      <c r="AR553" s="8983"/>
      <c r="AS553" s="8983"/>
      <c r="AT553" s="8984"/>
      <c r="AU553" s="8985"/>
      <c r="AV553" s="8985"/>
      <c r="AW553" s="8985"/>
      <c r="AX553" s="8977"/>
      <c r="AY553" s="8980"/>
      <c r="AZ553" s="8985"/>
      <c r="BA553" s="8977"/>
      <c r="BB553" s="8979"/>
      <c r="BC553" s="8980"/>
      <c r="BD553" s="8986"/>
      <c r="BF553" s="8974"/>
      <c r="BG553" s="8974"/>
      <c r="BH553" s="8974"/>
      <c r="BI553" s="8974"/>
      <c r="BJ553" s="8974"/>
      <c r="BK553" s="8974"/>
      <c r="BL553" s="8974"/>
      <c r="BM553" s="8974"/>
      <c r="BN553" s="8974"/>
    </row>
    <row r="554" spans="1:66" ht="29.25" hidden="1" customHeight="1">
      <c r="A554" s="13659">
        <v>346</v>
      </c>
      <c r="B554" s="13887" t="s">
        <v>7922</v>
      </c>
      <c r="C554" s="13595"/>
      <c r="D554" s="11924" t="s">
        <v>10070</v>
      </c>
      <c r="E554" s="7846" t="s">
        <v>512</v>
      </c>
      <c r="F554" s="7846"/>
      <c r="G554" s="14077" t="s">
        <v>4949</v>
      </c>
      <c r="H554" s="13408" t="s">
        <v>701</v>
      </c>
      <c r="I554" s="14078">
        <v>0.6</v>
      </c>
      <c r="K554" s="8964"/>
      <c r="L554" s="8965"/>
      <c r="M554" s="8965"/>
      <c r="N554" s="8966"/>
      <c r="O554" s="8966"/>
      <c r="P554" s="8967"/>
      <c r="Q554" s="8968"/>
      <c r="R554" s="8969"/>
      <c r="S554" s="8970"/>
      <c r="T554" s="8971"/>
      <c r="U554" s="8968"/>
      <c r="V554" s="8969"/>
      <c r="W554" s="8971"/>
      <c r="X554" s="8969"/>
      <c r="Y554" s="8971"/>
      <c r="Z554" s="8969"/>
      <c r="AA554" s="8970"/>
      <c r="AB554" s="8970"/>
      <c r="AC554" s="8970"/>
      <c r="AD554" s="8970"/>
      <c r="AE554" s="8970"/>
      <c r="AF554" s="8971"/>
      <c r="AG554" s="8969"/>
      <c r="AH554" s="8970"/>
      <c r="AI554" s="8970"/>
      <c r="AJ554" s="8970"/>
      <c r="AK554" s="8970"/>
      <c r="AL554" s="8970"/>
      <c r="AM554" s="8970"/>
      <c r="AN554" s="8971"/>
      <c r="AO554" s="8969"/>
      <c r="AP554" s="8970"/>
      <c r="AQ554" s="8970"/>
      <c r="AR554" s="8970"/>
      <c r="AS554" s="8970"/>
      <c r="AT554" s="8971"/>
      <c r="AU554" s="8972"/>
      <c r="AV554" s="8972"/>
      <c r="AW554" s="8972"/>
      <c r="AX554" s="8964"/>
      <c r="AY554" s="8967"/>
      <c r="AZ554" s="8972"/>
      <c r="BA554" s="8964"/>
      <c r="BB554" s="8966"/>
      <c r="BC554" s="8967"/>
      <c r="BD554" s="8973"/>
      <c r="BF554" s="14442"/>
      <c r="BG554" s="14442"/>
      <c r="BH554" s="14442"/>
      <c r="BI554" s="14442"/>
      <c r="BJ554" s="14442"/>
      <c r="BK554" s="8974"/>
      <c r="BL554" s="14442"/>
      <c r="BM554" s="14442"/>
      <c r="BN554" s="14442"/>
    </row>
    <row r="555" spans="1:66" ht="29.25" hidden="1" customHeight="1">
      <c r="A555" s="13659"/>
      <c r="B555" s="13887"/>
      <c r="C555" s="13595"/>
      <c r="D555" s="11924" t="s">
        <v>2896</v>
      </c>
      <c r="E555" s="7846"/>
      <c r="F555" s="7846" t="s">
        <v>10229</v>
      </c>
      <c r="G555" s="14077"/>
      <c r="H555" s="13408"/>
      <c r="I555" s="14078"/>
      <c r="K555" s="8964"/>
      <c r="L555" s="8965"/>
      <c r="M555" s="8965"/>
      <c r="N555" s="8966"/>
      <c r="O555" s="8966"/>
      <c r="P555" s="8967"/>
      <c r="Q555" s="8968"/>
      <c r="R555" s="8969"/>
      <c r="S555" s="8970"/>
      <c r="T555" s="8971"/>
      <c r="U555" s="8968"/>
      <c r="V555" s="8969"/>
      <c r="W555" s="8971"/>
      <c r="X555" s="8969"/>
      <c r="Y555" s="8971"/>
      <c r="Z555" s="8969"/>
      <c r="AA555" s="8970"/>
      <c r="AB555" s="8970"/>
      <c r="AC555" s="8970"/>
      <c r="AD555" s="8970"/>
      <c r="AE555" s="8970"/>
      <c r="AF555" s="8971"/>
      <c r="AG555" s="8969"/>
      <c r="AH555" s="8970"/>
      <c r="AI555" s="8970"/>
      <c r="AJ555" s="8970"/>
      <c r="AK555" s="8970"/>
      <c r="AL555" s="8970"/>
      <c r="AM555" s="8970"/>
      <c r="AN555" s="8971"/>
      <c r="AO555" s="8969"/>
      <c r="AP555" s="8970"/>
      <c r="AQ555" s="8970"/>
      <c r="AR555" s="8970"/>
      <c r="AS555" s="8970"/>
      <c r="AT555" s="8971"/>
      <c r="AU555" s="8972"/>
      <c r="AV555" s="8972"/>
      <c r="AW555" s="8972"/>
      <c r="AX555" s="8964"/>
      <c r="AY555" s="8967"/>
      <c r="AZ555" s="8972"/>
      <c r="BA555" s="8964"/>
      <c r="BB555" s="8966"/>
      <c r="BC555" s="8967"/>
      <c r="BD555" s="8973"/>
      <c r="BF555" s="14442"/>
      <c r="BG555" s="14442"/>
      <c r="BH555" s="14442"/>
      <c r="BI555" s="14442"/>
      <c r="BJ555" s="14442"/>
      <c r="BK555" s="8974"/>
      <c r="BL555" s="14442"/>
      <c r="BM555" s="14442"/>
      <c r="BN555" s="14442"/>
    </row>
    <row r="556" spans="1:66" ht="29.25" hidden="1" customHeight="1">
      <c r="A556" s="13659"/>
      <c r="B556" s="13887"/>
      <c r="C556" s="13595"/>
      <c r="D556" s="11924" t="s">
        <v>8575</v>
      </c>
      <c r="E556" s="7846"/>
      <c r="F556" s="7846" t="s">
        <v>10230</v>
      </c>
      <c r="G556" s="14077"/>
      <c r="H556" s="13408"/>
      <c r="I556" s="14078"/>
      <c r="K556" s="8964"/>
      <c r="L556" s="8965"/>
      <c r="M556" s="8965"/>
      <c r="N556" s="8966"/>
      <c r="O556" s="8966"/>
      <c r="P556" s="8967"/>
      <c r="Q556" s="8968"/>
      <c r="R556" s="8969"/>
      <c r="S556" s="8970"/>
      <c r="T556" s="8971"/>
      <c r="U556" s="8968"/>
      <c r="V556" s="8969"/>
      <c r="W556" s="8971"/>
      <c r="X556" s="8969"/>
      <c r="Y556" s="8971"/>
      <c r="Z556" s="8969"/>
      <c r="AA556" s="8970"/>
      <c r="AB556" s="8970"/>
      <c r="AC556" s="8970"/>
      <c r="AD556" s="8970"/>
      <c r="AE556" s="8970"/>
      <c r="AF556" s="8971"/>
      <c r="AG556" s="8969"/>
      <c r="AH556" s="8970"/>
      <c r="AI556" s="8970"/>
      <c r="AJ556" s="8970"/>
      <c r="AK556" s="8970"/>
      <c r="AL556" s="8970"/>
      <c r="AM556" s="8970"/>
      <c r="AN556" s="8971"/>
      <c r="AO556" s="8969"/>
      <c r="AP556" s="8970"/>
      <c r="AQ556" s="8970"/>
      <c r="AR556" s="8970"/>
      <c r="AS556" s="8970"/>
      <c r="AT556" s="8971"/>
      <c r="AU556" s="8972"/>
      <c r="AV556" s="8972"/>
      <c r="AW556" s="8972"/>
      <c r="AX556" s="8964"/>
      <c r="AY556" s="8967"/>
      <c r="AZ556" s="8972"/>
      <c r="BA556" s="8964"/>
      <c r="BB556" s="8966"/>
      <c r="BC556" s="8967"/>
      <c r="BD556" s="8973"/>
      <c r="BF556" s="14442"/>
      <c r="BG556" s="14442"/>
      <c r="BH556" s="14442"/>
      <c r="BI556" s="14442"/>
      <c r="BJ556" s="14442"/>
      <c r="BK556" s="8974"/>
      <c r="BL556" s="14442"/>
      <c r="BM556" s="14442"/>
      <c r="BN556" s="14442"/>
    </row>
    <row r="557" spans="1:66" ht="29.25" hidden="1" customHeight="1">
      <c r="A557" s="13659">
        <v>347</v>
      </c>
      <c r="B557" s="13887" t="s">
        <v>7923</v>
      </c>
      <c r="C557" s="13595"/>
      <c r="D557" s="11924" t="s">
        <v>2896</v>
      </c>
      <c r="E557" s="7846" t="s">
        <v>167</v>
      </c>
      <c r="F557" s="7846"/>
      <c r="G557" s="14077" t="s">
        <v>4950</v>
      </c>
      <c r="H557" s="13408" t="s">
        <v>703</v>
      </c>
      <c r="I557" s="14109">
        <v>1</v>
      </c>
      <c r="K557" s="9629"/>
      <c r="L557" s="8965"/>
      <c r="M557" s="8965"/>
      <c r="N557" s="9630"/>
      <c r="O557" s="9630"/>
      <c r="P557" s="9631"/>
      <c r="Q557" s="8968"/>
      <c r="R557" s="8969"/>
      <c r="S557" s="8970"/>
      <c r="T557" s="8971"/>
      <c r="U557" s="8968"/>
      <c r="V557" s="8969"/>
      <c r="W557" s="8971"/>
      <c r="X557" s="8969"/>
      <c r="Y557" s="8971"/>
      <c r="Z557" s="8969"/>
      <c r="AA557" s="8970"/>
      <c r="AB557" s="8970"/>
      <c r="AC557" s="8970"/>
      <c r="AD557" s="8970"/>
      <c r="AE557" s="8970"/>
      <c r="AF557" s="8971"/>
      <c r="AG557" s="8969"/>
      <c r="AH557" s="8970"/>
      <c r="AI557" s="8970"/>
      <c r="AJ557" s="8970"/>
      <c r="AK557" s="8970"/>
      <c r="AL557" s="8970"/>
      <c r="AM557" s="8970"/>
      <c r="AN557" s="8971"/>
      <c r="AO557" s="8969"/>
      <c r="AP557" s="8970"/>
      <c r="AQ557" s="8970"/>
      <c r="AR557" s="8970"/>
      <c r="AS557" s="8970"/>
      <c r="AT557" s="8971"/>
      <c r="AU557" s="9632"/>
      <c r="AV557" s="9632"/>
      <c r="AW557" s="9632"/>
      <c r="AX557" s="9629"/>
      <c r="AY557" s="9631"/>
      <c r="AZ557" s="9632"/>
      <c r="BA557" s="9629"/>
      <c r="BB557" s="9630"/>
      <c r="BC557" s="9631"/>
      <c r="BD557" s="9633"/>
      <c r="BF557" s="14442"/>
      <c r="BG557" s="14442"/>
      <c r="BH557" s="14442"/>
      <c r="BI557" s="14442"/>
      <c r="BJ557" s="14442"/>
      <c r="BK557" s="8974"/>
      <c r="BL557" s="14442"/>
      <c r="BM557" s="14442"/>
      <c r="BN557" s="14442"/>
    </row>
    <row r="558" spans="1:66" ht="29.25" hidden="1" customHeight="1">
      <c r="A558" s="13659"/>
      <c r="B558" s="13887"/>
      <c r="C558" s="13595"/>
      <c r="D558" s="11924" t="s">
        <v>10070</v>
      </c>
      <c r="E558" s="7846"/>
      <c r="F558" s="7846" t="s">
        <v>512</v>
      </c>
      <c r="G558" s="14077"/>
      <c r="H558" s="13408"/>
      <c r="I558" s="14109"/>
      <c r="K558" s="9629"/>
      <c r="L558" s="8965"/>
      <c r="M558" s="8965"/>
      <c r="N558" s="9630"/>
      <c r="O558" s="9630"/>
      <c r="P558" s="9631"/>
      <c r="Q558" s="8968"/>
      <c r="R558" s="8969"/>
      <c r="S558" s="8970"/>
      <c r="T558" s="8971"/>
      <c r="U558" s="8968"/>
      <c r="V558" s="8969"/>
      <c r="W558" s="8971"/>
      <c r="X558" s="8969"/>
      <c r="Y558" s="8971"/>
      <c r="Z558" s="8969"/>
      <c r="AA558" s="8970"/>
      <c r="AB558" s="8970"/>
      <c r="AC558" s="8970"/>
      <c r="AD558" s="8970"/>
      <c r="AE558" s="8970"/>
      <c r="AF558" s="8971"/>
      <c r="AG558" s="8969"/>
      <c r="AH558" s="8970"/>
      <c r="AI558" s="8970"/>
      <c r="AJ558" s="8970"/>
      <c r="AK558" s="8970"/>
      <c r="AL558" s="8970"/>
      <c r="AM558" s="8970"/>
      <c r="AN558" s="8971"/>
      <c r="AO558" s="8969"/>
      <c r="AP558" s="8970"/>
      <c r="AQ558" s="8970"/>
      <c r="AR558" s="8970"/>
      <c r="AS558" s="8970"/>
      <c r="AT558" s="8971"/>
      <c r="AU558" s="9632"/>
      <c r="AV558" s="9632"/>
      <c r="AW558" s="9632"/>
      <c r="AX558" s="9629"/>
      <c r="AY558" s="9631"/>
      <c r="AZ558" s="9632"/>
      <c r="BA558" s="9629"/>
      <c r="BB558" s="9630"/>
      <c r="BC558" s="9631"/>
      <c r="BD558" s="9633"/>
      <c r="BF558" s="14442"/>
      <c r="BG558" s="14442"/>
      <c r="BH558" s="14442"/>
      <c r="BI558" s="14442"/>
      <c r="BJ558" s="14442"/>
      <c r="BK558" s="8974"/>
      <c r="BL558" s="14442"/>
      <c r="BM558" s="14442"/>
      <c r="BN558" s="14442"/>
    </row>
    <row r="559" spans="1:66" ht="29.25" hidden="1" customHeight="1" thickBot="1">
      <c r="A559" s="13724"/>
      <c r="B559" s="14094"/>
      <c r="C559" s="13595"/>
      <c r="D559" s="12131" t="s">
        <v>10092</v>
      </c>
      <c r="E559" s="12132"/>
      <c r="F559" s="12132" t="s">
        <v>890</v>
      </c>
      <c r="G559" s="14095"/>
      <c r="H559" s="13489"/>
      <c r="I559" s="14110"/>
      <c r="K559" s="9635"/>
      <c r="L559" s="9636"/>
      <c r="M559" s="9636"/>
      <c r="N559" s="9637"/>
      <c r="O559" s="9637"/>
      <c r="P559" s="9638"/>
      <c r="Q559" s="9639"/>
      <c r="R559" s="9640"/>
      <c r="S559" s="9641"/>
      <c r="T559" s="9642"/>
      <c r="U559" s="9639"/>
      <c r="V559" s="9640"/>
      <c r="W559" s="9642"/>
      <c r="X559" s="9640"/>
      <c r="Y559" s="9642"/>
      <c r="Z559" s="9640"/>
      <c r="AA559" s="9641"/>
      <c r="AB559" s="9641"/>
      <c r="AC559" s="9641"/>
      <c r="AD559" s="9641"/>
      <c r="AE559" s="9641"/>
      <c r="AF559" s="9642"/>
      <c r="AG559" s="9640"/>
      <c r="AH559" s="9641"/>
      <c r="AI559" s="9641"/>
      <c r="AJ559" s="9641"/>
      <c r="AK559" s="9641"/>
      <c r="AL559" s="9641"/>
      <c r="AM559" s="9641"/>
      <c r="AN559" s="9642"/>
      <c r="AO559" s="9640"/>
      <c r="AP559" s="9641"/>
      <c r="AQ559" s="9641"/>
      <c r="AR559" s="9641"/>
      <c r="AS559" s="9641"/>
      <c r="AT559" s="9642"/>
      <c r="AU559" s="9643"/>
      <c r="AV559" s="9643"/>
      <c r="AW559" s="9643"/>
      <c r="AX559" s="9635"/>
      <c r="AY559" s="9638"/>
      <c r="AZ559" s="9643"/>
      <c r="BA559" s="9635"/>
      <c r="BB559" s="9637"/>
      <c r="BC559" s="9638"/>
      <c r="BD559" s="9644"/>
      <c r="BF559" s="14493"/>
      <c r="BG559" s="14493"/>
      <c r="BH559" s="14493"/>
      <c r="BI559" s="14493"/>
      <c r="BJ559" s="14493"/>
      <c r="BK559" s="7871"/>
      <c r="BL559" s="14493"/>
      <c r="BM559" s="14493"/>
      <c r="BN559" s="14493"/>
    </row>
    <row r="560" spans="1:66" ht="29.25" hidden="1" customHeight="1">
      <c r="A560" s="8639">
        <v>348</v>
      </c>
      <c r="B560" s="8640" t="s">
        <v>7924</v>
      </c>
      <c r="C560" s="13595"/>
      <c r="D560" s="11731" t="s">
        <v>86</v>
      </c>
      <c r="E560" s="11732" t="s">
        <v>708</v>
      </c>
      <c r="F560" s="11732"/>
      <c r="G560" s="13041" t="s">
        <v>4951</v>
      </c>
      <c r="H560" s="12981" t="s">
        <v>95</v>
      </c>
      <c r="I560" s="13030">
        <v>1</v>
      </c>
      <c r="K560" s="8227">
        <v>18</v>
      </c>
      <c r="L560" s="8229"/>
      <c r="M560" s="8229"/>
      <c r="N560" s="9646"/>
      <c r="O560" s="9646"/>
      <c r="P560" s="9647"/>
      <c r="Q560" s="8232"/>
      <c r="R560" s="8233"/>
      <c r="S560" s="8234"/>
      <c r="T560" s="8235"/>
      <c r="U560" s="8232"/>
      <c r="V560" s="8233"/>
      <c r="W560" s="8235"/>
      <c r="X560" s="8233"/>
      <c r="Y560" s="8235"/>
      <c r="Z560" s="8233"/>
      <c r="AA560" s="8234"/>
      <c r="AB560" s="8234"/>
      <c r="AC560" s="8234"/>
      <c r="AD560" s="8234"/>
      <c r="AE560" s="8234"/>
      <c r="AF560" s="8235"/>
      <c r="AG560" s="8233"/>
      <c r="AH560" s="8234"/>
      <c r="AI560" s="8234"/>
      <c r="AJ560" s="8234"/>
      <c r="AK560" s="8234"/>
      <c r="AL560" s="8234"/>
      <c r="AM560" s="8234"/>
      <c r="AN560" s="8235"/>
      <c r="AO560" s="8233"/>
      <c r="AP560" s="8234"/>
      <c r="AQ560" s="8234"/>
      <c r="AR560" s="8234"/>
      <c r="AS560" s="8234"/>
      <c r="AT560" s="8235"/>
      <c r="AU560" s="9648"/>
      <c r="AV560" s="9648"/>
      <c r="AW560" s="9648"/>
      <c r="AX560" s="8227"/>
      <c r="AY560" s="9647"/>
      <c r="AZ560" s="9648"/>
      <c r="BA560" s="8227"/>
      <c r="BB560" s="9646"/>
      <c r="BC560" s="9647"/>
      <c r="BD560" s="13000"/>
      <c r="BF560" s="9645"/>
      <c r="BG560" s="9645"/>
      <c r="BH560" s="9645"/>
      <c r="BI560" s="9645"/>
      <c r="BJ560" s="9645"/>
      <c r="BK560" s="13091"/>
      <c r="BL560" s="13091"/>
      <c r="BM560" s="9645"/>
      <c r="BN560" s="9645"/>
    </row>
    <row r="561" spans="1:66" ht="29.25" hidden="1" customHeight="1">
      <c r="A561" s="8652">
        <v>349</v>
      </c>
      <c r="B561" s="8653" t="s">
        <v>7925</v>
      </c>
      <c r="C561" s="13595"/>
      <c r="D561" s="11736" t="s">
        <v>86</v>
      </c>
      <c r="E561" s="7841" t="s">
        <v>708</v>
      </c>
      <c r="F561" s="7841"/>
      <c r="G561" s="13018" t="s">
        <v>4952</v>
      </c>
      <c r="H561" s="12978" t="s">
        <v>709</v>
      </c>
      <c r="I561" s="13021">
        <v>10</v>
      </c>
      <c r="K561" s="8238"/>
      <c r="L561" s="8240"/>
      <c r="M561" s="8240"/>
      <c r="N561" s="9649"/>
      <c r="O561" s="9649"/>
      <c r="P561" s="9650"/>
      <c r="Q561" s="8243"/>
      <c r="R561" s="8244"/>
      <c r="S561" s="8245"/>
      <c r="T561" s="8246"/>
      <c r="U561" s="8243"/>
      <c r="V561" s="8244"/>
      <c r="W561" s="8246"/>
      <c r="X561" s="8244"/>
      <c r="Y561" s="8246"/>
      <c r="Z561" s="8244"/>
      <c r="AA561" s="8245"/>
      <c r="AB561" s="8245"/>
      <c r="AC561" s="8245"/>
      <c r="AD561" s="8245"/>
      <c r="AE561" s="8245"/>
      <c r="AF561" s="8246"/>
      <c r="AG561" s="8244"/>
      <c r="AH561" s="8245"/>
      <c r="AI561" s="8245"/>
      <c r="AJ561" s="8245"/>
      <c r="AK561" s="8245"/>
      <c r="AL561" s="8245"/>
      <c r="AM561" s="8245"/>
      <c r="AN561" s="8246"/>
      <c r="AO561" s="8244"/>
      <c r="AP561" s="8245"/>
      <c r="AQ561" s="8245"/>
      <c r="AR561" s="8245"/>
      <c r="AS561" s="8245"/>
      <c r="AT561" s="8246"/>
      <c r="AU561" s="9651"/>
      <c r="AV561" s="9651"/>
      <c r="AW561" s="9651"/>
      <c r="AX561" s="8238"/>
      <c r="AY561" s="9650"/>
      <c r="AZ561" s="9651"/>
      <c r="BA561" s="8238"/>
      <c r="BB561" s="9649"/>
      <c r="BC561" s="9650"/>
      <c r="BD561" s="12995"/>
      <c r="BF561" s="8654"/>
      <c r="BG561" s="8654"/>
      <c r="BH561" s="8654"/>
      <c r="BI561" s="8654"/>
      <c r="BJ561" s="8654"/>
      <c r="BK561" s="13065"/>
      <c r="BL561" s="13065"/>
      <c r="BM561" s="8654"/>
      <c r="BN561" s="8654"/>
    </row>
    <row r="562" spans="1:66" ht="29.25" hidden="1" customHeight="1">
      <c r="A562" s="8652">
        <v>350</v>
      </c>
      <c r="B562" s="8653" t="s">
        <v>7926</v>
      </c>
      <c r="C562" s="13595"/>
      <c r="D562" s="11736" t="s">
        <v>86</v>
      </c>
      <c r="E562" s="7841" t="s">
        <v>708</v>
      </c>
      <c r="F562" s="7841"/>
      <c r="G562" s="13018" t="s">
        <v>4953</v>
      </c>
      <c r="H562" s="12978" t="s">
        <v>95</v>
      </c>
      <c r="I562" s="13021">
        <v>2</v>
      </c>
      <c r="K562" s="8238"/>
      <c r="L562" s="8240"/>
      <c r="M562" s="8240"/>
      <c r="N562" s="9649"/>
      <c r="O562" s="9649"/>
      <c r="P562" s="9650"/>
      <c r="Q562" s="8243"/>
      <c r="R562" s="8244"/>
      <c r="S562" s="8245"/>
      <c r="T562" s="8246"/>
      <c r="U562" s="8243"/>
      <c r="V562" s="8244"/>
      <c r="W562" s="8246"/>
      <c r="X562" s="8244"/>
      <c r="Y562" s="8246"/>
      <c r="Z562" s="8244"/>
      <c r="AA562" s="8245"/>
      <c r="AB562" s="8245"/>
      <c r="AC562" s="8245"/>
      <c r="AD562" s="8245"/>
      <c r="AE562" s="8245"/>
      <c r="AF562" s="8246"/>
      <c r="AG562" s="8244"/>
      <c r="AH562" s="8245"/>
      <c r="AI562" s="8245"/>
      <c r="AJ562" s="8245"/>
      <c r="AK562" s="8245"/>
      <c r="AL562" s="8245"/>
      <c r="AM562" s="8245"/>
      <c r="AN562" s="8246"/>
      <c r="AO562" s="8244"/>
      <c r="AP562" s="8245"/>
      <c r="AQ562" s="8245"/>
      <c r="AR562" s="8245"/>
      <c r="AS562" s="8245"/>
      <c r="AT562" s="8246"/>
      <c r="AU562" s="9651"/>
      <c r="AV562" s="9651"/>
      <c r="AW562" s="9651"/>
      <c r="AX562" s="8238"/>
      <c r="AY562" s="9650"/>
      <c r="AZ562" s="9651"/>
      <c r="BA562" s="8238"/>
      <c r="BB562" s="9649"/>
      <c r="BC562" s="9650"/>
      <c r="BD562" s="12995"/>
      <c r="BF562" s="8654"/>
      <c r="BG562" s="8654"/>
      <c r="BH562" s="8654"/>
      <c r="BI562" s="8654"/>
      <c r="BJ562" s="8654"/>
      <c r="BK562" s="13065"/>
      <c r="BL562" s="13065"/>
      <c r="BM562" s="8654"/>
      <c r="BN562" s="8654"/>
    </row>
    <row r="563" spans="1:66" ht="29.25" hidden="1" customHeight="1">
      <c r="A563" s="8652">
        <v>351</v>
      </c>
      <c r="B563" s="8653" t="s">
        <v>7927</v>
      </c>
      <c r="C563" s="13595"/>
      <c r="D563" s="11736" t="s">
        <v>86</v>
      </c>
      <c r="E563" s="7841" t="s">
        <v>708</v>
      </c>
      <c r="F563" s="7841"/>
      <c r="G563" s="13018" t="s">
        <v>4954</v>
      </c>
      <c r="H563" s="12978" t="s">
        <v>95</v>
      </c>
      <c r="I563" s="13021">
        <v>1</v>
      </c>
      <c r="K563" s="8238"/>
      <c r="L563" s="8240"/>
      <c r="M563" s="8240"/>
      <c r="N563" s="9649"/>
      <c r="O563" s="9649"/>
      <c r="P563" s="9650"/>
      <c r="Q563" s="8243"/>
      <c r="R563" s="8244"/>
      <c r="S563" s="8245"/>
      <c r="T563" s="8246"/>
      <c r="U563" s="8243"/>
      <c r="V563" s="8244"/>
      <c r="W563" s="8246"/>
      <c r="X563" s="8244"/>
      <c r="Y563" s="8246"/>
      <c r="Z563" s="8244"/>
      <c r="AA563" s="8245"/>
      <c r="AB563" s="8245"/>
      <c r="AC563" s="8245"/>
      <c r="AD563" s="8245"/>
      <c r="AE563" s="8245"/>
      <c r="AF563" s="8246"/>
      <c r="AG563" s="8244"/>
      <c r="AH563" s="8245"/>
      <c r="AI563" s="8245"/>
      <c r="AJ563" s="8245"/>
      <c r="AK563" s="8245"/>
      <c r="AL563" s="8245"/>
      <c r="AM563" s="8245"/>
      <c r="AN563" s="8246"/>
      <c r="AO563" s="8244"/>
      <c r="AP563" s="8245"/>
      <c r="AQ563" s="8245"/>
      <c r="AR563" s="8245"/>
      <c r="AS563" s="8245"/>
      <c r="AT563" s="8246"/>
      <c r="AU563" s="9651"/>
      <c r="AV563" s="9651"/>
      <c r="AW563" s="9651"/>
      <c r="AX563" s="8238"/>
      <c r="AY563" s="9650"/>
      <c r="AZ563" s="9651"/>
      <c r="BA563" s="8238"/>
      <c r="BB563" s="9649"/>
      <c r="BC563" s="9650"/>
      <c r="BD563" s="12995"/>
      <c r="BF563" s="8654"/>
      <c r="BG563" s="8654"/>
      <c r="BH563" s="8654"/>
      <c r="BI563" s="8654"/>
      <c r="BJ563" s="8654"/>
      <c r="BK563" s="13065"/>
      <c r="BL563" s="13065"/>
      <c r="BM563" s="8654"/>
      <c r="BN563" s="8654"/>
    </row>
    <row r="564" spans="1:66" ht="29.25" hidden="1" customHeight="1">
      <c r="A564" s="8652">
        <v>352</v>
      </c>
      <c r="B564" s="8653" t="s">
        <v>7928</v>
      </c>
      <c r="C564" s="13595"/>
      <c r="D564" s="11736" t="s">
        <v>86</v>
      </c>
      <c r="E564" s="7841" t="s">
        <v>708</v>
      </c>
      <c r="F564" s="7841"/>
      <c r="G564" s="13018" t="s">
        <v>4955</v>
      </c>
      <c r="H564" s="12978" t="s">
        <v>95</v>
      </c>
      <c r="I564" s="13021">
        <v>3</v>
      </c>
      <c r="K564" s="8238"/>
      <c r="L564" s="8240"/>
      <c r="M564" s="8240"/>
      <c r="N564" s="9649"/>
      <c r="O564" s="9649"/>
      <c r="P564" s="9650"/>
      <c r="Q564" s="8243"/>
      <c r="R564" s="8244"/>
      <c r="S564" s="8245"/>
      <c r="T564" s="8246"/>
      <c r="U564" s="8243"/>
      <c r="V564" s="8244"/>
      <c r="W564" s="8246"/>
      <c r="X564" s="8244"/>
      <c r="Y564" s="8246"/>
      <c r="Z564" s="8244"/>
      <c r="AA564" s="8245"/>
      <c r="AB564" s="8245"/>
      <c r="AC564" s="8245"/>
      <c r="AD564" s="8245"/>
      <c r="AE564" s="8245"/>
      <c r="AF564" s="8246"/>
      <c r="AG564" s="8244"/>
      <c r="AH564" s="8245"/>
      <c r="AI564" s="8245"/>
      <c r="AJ564" s="8245"/>
      <c r="AK564" s="8245"/>
      <c r="AL564" s="8245"/>
      <c r="AM564" s="8245"/>
      <c r="AN564" s="8246"/>
      <c r="AO564" s="8244"/>
      <c r="AP564" s="8245"/>
      <c r="AQ564" s="8245"/>
      <c r="AR564" s="8245"/>
      <c r="AS564" s="8245"/>
      <c r="AT564" s="8246"/>
      <c r="AU564" s="9651"/>
      <c r="AV564" s="9651"/>
      <c r="AW564" s="9651"/>
      <c r="AX564" s="8238"/>
      <c r="AY564" s="9650"/>
      <c r="AZ564" s="9651"/>
      <c r="BA564" s="8238"/>
      <c r="BB564" s="9649"/>
      <c r="BC564" s="9650"/>
      <c r="BD564" s="12995"/>
      <c r="BF564" s="8654"/>
      <c r="BG564" s="8654"/>
      <c r="BH564" s="8654"/>
      <c r="BI564" s="8654"/>
      <c r="BJ564" s="8654"/>
      <c r="BK564" s="13065"/>
      <c r="BL564" s="13065"/>
      <c r="BM564" s="8654"/>
      <c r="BN564" s="8654"/>
    </row>
    <row r="565" spans="1:66" ht="29.25" hidden="1" customHeight="1">
      <c r="A565" s="8652">
        <v>353</v>
      </c>
      <c r="B565" s="8653" t="s">
        <v>7929</v>
      </c>
      <c r="C565" s="13595"/>
      <c r="D565" s="11736" t="s">
        <v>86</v>
      </c>
      <c r="E565" s="7841" t="s">
        <v>708</v>
      </c>
      <c r="F565" s="7841"/>
      <c r="G565" s="13018" t="s">
        <v>4956</v>
      </c>
      <c r="H565" s="12978" t="s">
        <v>718</v>
      </c>
      <c r="I565" s="13020">
        <v>1</v>
      </c>
      <c r="K565" s="8239"/>
      <c r="L565" s="8240"/>
      <c r="M565" s="8240"/>
      <c r="N565" s="8241"/>
      <c r="O565" s="8241"/>
      <c r="P565" s="8242"/>
      <c r="Q565" s="8243"/>
      <c r="R565" s="8244"/>
      <c r="S565" s="8245"/>
      <c r="T565" s="8246"/>
      <c r="U565" s="8243"/>
      <c r="V565" s="8244"/>
      <c r="W565" s="8246"/>
      <c r="X565" s="8244"/>
      <c r="Y565" s="8246"/>
      <c r="Z565" s="8244"/>
      <c r="AA565" s="8245"/>
      <c r="AB565" s="8245"/>
      <c r="AC565" s="8245"/>
      <c r="AD565" s="8245"/>
      <c r="AE565" s="8245"/>
      <c r="AF565" s="8246"/>
      <c r="AG565" s="8244"/>
      <c r="AH565" s="8245"/>
      <c r="AI565" s="8245"/>
      <c r="AJ565" s="8245"/>
      <c r="AK565" s="8245"/>
      <c r="AL565" s="8245"/>
      <c r="AM565" s="8245"/>
      <c r="AN565" s="8246"/>
      <c r="AO565" s="8244"/>
      <c r="AP565" s="8245"/>
      <c r="AQ565" s="8245"/>
      <c r="AR565" s="8245"/>
      <c r="AS565" s="8245"/>
      <c r="AT565" s="8246"/>
      <c r="AU565" s="8247"/>
      <c r="AV565" s="8247"/>
      <c r="AW565" s="8247"/>
      <c r="AX565" s="8239"/>
      <c r="AY565" s="8242"/>
      <c r="AZ565" s="8247"/>
      <c r="BA565" s="8239"/>
      <c r="BB565" s="8241"/>
      <c r="BC565" s="8242"/>
      <c r="BD565" s="8248"/>
      <c r="BF565" s="8654"/>
      <c r="BG565" s="8654"/>
      <c r="BH565" s="8654"/>
      <c r="BI565" s="8654"/>
      <c r="BJ565" s="8654"/>
      <c r="BK565" s="13065"/>
      <c r="BL565" s="13065"/>
      <c r="BM565" s="8654"/>
      <c r="BN565" s="8654"/>
    </row>
    <row r="566" spans="1:66" ht="29.25" hidden="1" customHeight="1">
      <c r="A566" s="8652">
        <v>354</v>
      </c>
      <c r="B566" s="8653" t="s">
        <v>7930</v>
      </c>
      <c r="C566" s="13595"/>
      <c r="D566" s="11736" t="s">
        <v>10063</v>
      </c>
      <c r="E566" s="7841" t="s">
        <v>724</v>
      </c>
      <c r="F566" s="7841"/>
      <c r="G566" s="11842" t="s">
        <v>4957</v>
      </c>
      <c r="H566" s="12135" t="s">
        <v>722</v>
      </c>
      <c r="I566" s="11739">
        <v>1</v>
      </c>
      <c r="K566" s="8239"/>
      <c r="L566" s="8240"/>
      <c r="M566" s="8240"/>
      <c r="N566" s="8241"/>
      <c r="O566" s="8241"/>
      <c r="P566" s="8242"/>
      <c r="Q566" s="8243"/>
      <c r="R566" s="8244"/>
      <c r="S566" s="8245"/>
      <c r="T566" s="8246"/>
      <c r="U566" s="8243"/>
      <c r="V566" s="8244"/>
      <c r="W566" s="8246"/>
      <c r="X566" s="8244"/>
      <c r="Y566" s="8246"/>
      <c r="Z566" s="8244"/>
      <c r="AA566" s="8245"/>
      <c r="AB566" s="8245"/>
      <c r="AC566" s="8245"/>
      <c r="AD566" s="8245"/>
      <c r="AE566" s="8245"/>
      <c r="AF566" s="8246"/>
      <c r="AG566" s="8244"/>
      <c r="AH566" s="8245"/>
      <c r="AI566" s="8245"/>
      <c r="AJ566" s="8245"/>
      <c r="AK566" s="8245"/>
      <c r="AL566" s="8245"/>
      <c r="AM566" s="8245"/>
      <c r="AN566" s="8246"/>
      <c r="AO566" s="8244"/>
      <c r="AP566" s="8245"/>
      <c r="AQ566" s="8245"/>
      <c r="AR566" s="8245"/>
      <c r="AS566" s="8245"/>
      <c r="AT566" s="8246"/>
      <c r="AU566" s="8247"/>
      <c r="AV566" s="8247"/>
      <c r="AW566" s="8247"/>
      <c r="AX566" s="8239"/>
      <c r="AY566" s="8242"/>
      <c r="AZ566" s="8247"/>
      <c r="BA566" s="8239"/>
      <c r="BB566" s="8241"/>
      <c r="BC566" s="8242"/>
      <c r="BD566" s="8248"/>
      <c r="BF566" s="8654"/>
      <c r="BG566" s="8654"/>
      <c r="BH566" s="8654"/>
      <c r="BI566" s="8654"/>
      <c r="BJ566" s="8654"/>
      <c r="BK566" s="8654"/>
      <c r="BL566" s="8654"/>
      <c r="BM566" s="8654"/>
      <c r="BN566" s="8654"/>
    </row>
    <row r="567" spans="1:66" ht="29.25" hidden="1" customHeight="1">
      <c r="A567" s="13540">
        <v>355</v>
      </c>
      <c r="B567" s="14096" t="s">
        <v>7931</v>
      </c>
      <c r="C567" s="13595"/>
      <c r="D567" s="11736" t="s">
        <v>86</v>
      </c>
      <c r="E567" s="7841" t="s">
        <v>708</v>
      </c>
      <c r="F567" s="7841"/>
      <c r="G567" s="14097" t="s">
        <v>4958</v>
      </c>
      <c r="H567" s="13410" t="s">
        <v>726</v>
      </c>
      <c r="I567" s="14111">
        <v>1</v>
      </c>
      <c r="K567" s="8239"/>
      <c r="L567" s="9653"/>
      <c r="M567" s="9653"/>
      <c r="N567" s="9654"/>
      <c r="O567" s="9654"/>
      <c r="P567" s="9655"/>
      <c r="Q567" s="9656"/>
      <c r="R567" s="9657"/>
      <c r="S567" s="9658"/>
      <c r="T567" s="9659"/>
      <c r="U567" s="9656"/>
      <c r="V567" s="9657"/>
      <c r="W567" s="9659"/>
      <c r="X567" s="9657"/>
      <c r="Y567" s="9659"/>
      <c r="Z567" s="9657"/>
      <c r="AA567" s="9658"/>
      <c r="AB567" s="9658"/>
      <c r="AC567" s="9658"/>
      <c r="AD567" s="9658"/>
      <c r="AE567" s="9658"/>
      <c r="AF567" s="9659"/>
      <c r="AG567" s="9657"/>
      <c r="AH567" s="9658"/>
      <c r="AI567" s="9658"/>
      <c r="AJ567" s="9658"/>
      <c r="AK567" s="9658"/>
      <c r="AL567" s="9658"/>
      <c r="AM567" s="9658"/>
      <c r="AN567" s="9659"/>
      <c r="AO567" s="9657"/>
      <c r="AP567" s="9658"/>
      <c r="AQ567" s="9658"/>
      <c r="AR567" s="9658"/>
      <c r="AS567" s="9658"/>
      <c r="AT567" s="9659"/>
      <c r="AU567" s="9660"/>
      <c r="AV567" s="9660"/>
      <c r="AW567" s="9660"/>
      <c r="AX567" s="9652"/>
      <c r="AY567" s="9655"/>
      <c r="AZ567" s="9660"/>
      <c r="BA567" s="9652"/>
      <c r="BB567" s="9654"/>
      <c r="BC567" s="9655"/>
      <c r="BD567" s="9661"/>
      <c r="BF567" s="14494"/>
      <c r="BG567" s="14494"/>
      <c r="BH567" s="14494"/>
      <c r="BI567" s="14494"/>
      <c r="BJ567" s="14494"/>
      <c r="BK567" s="13065"/>
      <c r="BL567" s="14494"/>
      <c r="BM567" s="14494"/>
      <c r="BN567" s="14494"/>
    </row>
    <row r="568" spans="1:66" ht="29.25" hidden="1" customHeight="1">
      <c r="A568" s="13540"/>
      <c r="B568" s="14096"/>
      <c r="C568" s="13595"/>
      <c r="D568" s="11736" t="s">
        <v>8644</v>
      </c>
      <c r="E568" s="7841"/>
      <c r="F568" s="7841" t="s">
        <v>10231</v>
      </c>
      <c r="G568" s="14097"/>
      <c r="H568" s="13410"/>
      <c r="I568" s="14111"/>
      <c r="K568" s="9652"/>
      <c r="L568" s="9653"/>
      <c r="M568" s="9653"/>
      <c r="N568" s="9654"/>
      <c r="O568" s="9654"/>
      <c r="P568" s="9655"/>
      <c r="Q568" s="9656"/>
      <c r="R568" s="9657"/>
      <c r="S568" s="9658"/>
      <c r="T568" s="9659"/>
      <c r="U568" s="9656"/>
      <c r="V568" s="9657"/>
      <c r="W568" s="9659"/>
      <c r="X568" s="9657"/>
      <c r="Y568" s="9659"/>
      <c r="Z568" s="9657"/>
      <c r="AA568" s="9658"/>
      <c r="AB568" s="9658"/>
      <c r="AC568" s="9658"/>
      <c r="AD568" s="9658"/>
      <c r="AE568" s="9658"/>
      <c r="AF568" s="9659"/>
      <c r="AG568" s="9657"/>
      <c r="AH568" s="9658"/>
      <c r="AI568" s="9658"/>
      <c r="AJ568" s="9658"/>
      <c r="AK568" s="9658"/>
      <c r="AL568" s="9658"/>
      <c r="AM568" s="9658"/>
      <c r="AN568" s="9659"/>
      <c r="AO568" s="9657"/>
      <c r="AP568" s="9658"/>
      <c r="AQ568" s="9658"/>
      <c r="AR568" s="9658"/>
      <c r="AS568" s="9658"/>
      <c r="AT568" s="9659"/>
      <c r="AU568" s="9660"/>
      <c r="AV568" s="9660"/>
      <c r="AW568" s="9660"/>
      <c r="AX568" s="9652"/>
      <c r="AY568" s="9655"/>
      <c r="AZ568" s="9660"/>
      <c r="BA568" s="9652"/>
      <c r="BB568" s="9654"/>
      <c r="BC568" s="9655"/>
      <c r="BD568" s="9661"/>
      <c r="BF568" s="14494"/>
      <c r="BG568" s="14494"/>
      <c r="BH568" s="14494"/>
      <c r="BI568" s="14494"/>
      <c r="BJ568" s="14494"/>
      <c r="BK568" s="8654"/>
      <c r="BL568" s="14494"/>
      <c r="BM568" s="14494"/>
      <c r="BN568" s="14494"/>
    </row>
    <row r="569" spans="1:66" ht="29.25" hidden="1" customHeight="1">
      <c r="A569" s="13540"/>
      <c r="B569" s="14096"/>
      <c r="C569" s="13595"/>
      <c r="D569" s="11736" t="s">
        <v>10194</v>
      </c>
      <c r="E569" s="7841"/>
      <c r="F569" s="7841" t="s">
        <v>733</v>
      </c>
      <c r="G569" s="14097"/>
      <c r="H569" s="13410"/>
      <c r="I569" s="14111"/>
      <c r="K569" s="9652"/>
      <c r="L569" s="9653"/>
      <c r="M569" s="9653"/>
      <c r="N569" s="9654"/>
      <c r="O569" s="9654"/>
      <c r="P569" s="9655"/>
      <c r="Q569" s="9656"/>
      <c r="R569" s="9657"/>
      <c r="S569" s="9658"/>
      <c r="T569" s="9659"/>
      <c r="U569" s="9656"/>
      <c r="V569" s="9657"/>
      <c r="W569" s="9659"/>
      <c r="X569" s="9657"/>
      <c r="Y569" s="9659"/>
      <c r="Z569" s="9657"/>
      <c r="AA569" s="9658"/>
      <c r="AB569" s="9658"/>
      <c r="AC569" s="9658"/>
      <c r="AD569" s="9658"/>
      <c r="AE569" s="9658"/>
      <c r="AF569" s="9659"/>
      <c r="AG569" s="9657"/>
      <c r="AH569" s="9658"/>
      <c r="AI569" s="9658"/>
      <c r="AJ569" s="9658"/>
      <c r="AK569" s="9658"/>
      <c r="AL569" s="9658"/>
      <c r="AM569" s="9658"/>
      <c r="AN569" s="9659"/>
      <c r="AO569" s="9657"/>
      <c r="AP569" s="9658"/>
      <c r="AQ569" s="9658"/>
      <c r="AR569" s="9658"/>
      <c r="AS569" s="9658"/>
      <c r="AT569" s="9659"/>
      <c r="AU569" s="9660"/>
      <c r="AV569" s="9660"/>
      <c r="AW569" s="9660"/>
      <c r="AX569" s="9652"/>
      <c r="AY569" s="9655"/>
      <c r="AZ569" s="9660"/>
      <c r="BA569" s="9652"/>
      <c r="BB569" s="9654"/>
      <c r="BC569" s="9655"/>
      <c r="BD569" s="9661"/>
      <c r="BF569" s="14494"/>
      <c r="BG569" s="14494"/>
      <c r="BH569" s="14494"/>
      <c r="BI569" s="14494"/>
      <c r="BJ569" s="14494"/>
      <c r="BK569" s="8654"/>
      <c r="BL569" s="14494"/>
      <c r="BM569" s="14494"/>
      <c r="BN569" s="14494"/>
    </row>
    <row r="570" spans="1:66" ht="29.25" hidden="1" customHeight="1">
      <c r="A570" s="13540">
        <v>356</v>
      </c>
      <c r="B570" s="14096" t="s">
        <v>7932</v>
      </c>
      <c r="C570" s="13595"/>
      <c r="D570" s="11736" t="s">
        <v>86</v>
      </c>
      <c r="E570" s="7841" t="s">
        <v>708</v>
      </c>
      <c r="F570" s="7841"/>
      <c r="G570" s="14097" t="s">
        <v>4959</v>
      </c>
      <c r="H570" s="13410" t="s">
        <v>729</v>
      </c>
      <c r="I570" s="14111">
        <v>1</v>
      </c>
      <c r="K570" s="8239"/>
      <c r="L570" s="9653"/>
      <c r="M570" s="9653"/>
      <c r="N570" s="9654"/>
      <c r="O570" s="9654"/>
      <c r="P570" s="9655"/>
      <c r="Q570" s="9656"/>
      <c r="R570" s="9657"/>
      <c r="S570" s="9658"/>
      <c r="T570" s="9659"/>
      <c r="U570" s="9656"/>
      <c r="V570" s="9657"/>
      <c r="W570" s="9659"/>
      <c r="X570" s="9657"/>
      <c r="Y570" s="9659"/>
      <c r="Z570" s="9657"/>
      <c r="AA570" s="9658"/>
      <c r="AB570" s="9658"/>
      <c r="AC570" s="9658"/>
      <c r="AD570" s="9658"/>
      <c r="AE570" s="9658"/>
      <c r="AF570" s="9659"/>
      <c r="AG570" s="9657"/>
      <c r="AH570" s="9658"/>
      <c r="AI570" s="9658"/>
      <c r="AJ570" s="9658"/>
      <c r="AK570" s="9658"/>
      <c r="AL570" s="9658"/>
      <c r="AM570" s="9658"/>
      <c r="AN570" s="9659"/>
      <c r="AO570" s="9657"/>
      <c r="AP570" s="9658"/>
      <c r="AQ570" s="9658"/>
      <c r="AR570" s="9658"/>
      <c r="AS570" s="9658"/>
      <c r="AT570" s="9659"/>
      <c r="AU570" s="9660"/>
      <c r="AV570" s="9660"/>
      <c r="AW570" s="9660"/>
      <c r="AX570" s="9652"/>
      <c r="AY570" s="9655"/>
      <c r="AZ570" s="9660"/>
      <c r="BA570" s="9652"/>
      <c r="BB570" s="9654"/>
      <c r="BC570" s="9655"/>
      <c r="BD570" s="9661"/>
      <c r="BF570" s="14494"/>
      <c r="BG570" s="14494"/>
      <c r="BH570" s="14494"/>
      <c r="BI570" s="14494"/>
      <c r="BJ570" s="14494"/>
      <c r="BK570" s="13065"/>
      <c r="BL570" s="14494"/>
      <c r="BM570" s="14494"/>
      <c r="BN570" s="14494"/>
    </row>
    <row r="571" spans="1:66" ht="29.25" hidden="1" customHeight="1">
      <c r="A571" s="13540"/>
      <c r="B571" s="14096"/>
      <c r="C571" s="13595"/>
      <c r="D571" s="11736" t="s">
        <v>4337</v>
      </c>
      <c r="E571" s="7841"/>
      <c r="F571" s="7841" t="s">
        <v>731</v>
      </c>
      <c r="G571" s="14097"/>
      <c r="H571" s="13410"/>
      <c r="I571" s="14111"/>
      <c r="K571" s="9652"/>
      <c r="L571" s="9653"/>
      <c r="M571" s="9653"/>
      <c r="N571" s="9654"/>
      <c r="O571" s="9654"/>
      <c r="P571" s="9655"/>
      <c r="Q571" s="9656"/>
      <c r="R571" s="9657"/>
      <c r="S571" s="9658"/>
      <c r="T571" s="9659"/>
      <c r="U571" s="9656"/>
      <c r="V571" s="9657"/>
      <c r="W571" s="9659"/>
      <c r="X571" s="9657"/>
      <c r="Y571" s="9659"/>
      <c r="Z571" s="9657"/>
      <c r="AA571" s="9658"/>
      <c r="AB571" s="9658"/>
      <c r="AC571" s="9658"/>
      <c r="AD571" s="9658"/>
      <c r="AE571" s="9658"/>
      <c r="AF571" s="9659"/>
      <c r="AG571" s="9657"/>
      <c r="AH571" s="9658"/>
      <c r="AI571" s="9658"/>
      <c r="AJ571" s="9658"/>
      <c r="AK571" s="9658"/>
      <c r="AL571" s="9658"/>
      <c r="AM571" s="9658"/>
      <c r="AN571" s="9659"/>
      <c r="AO571" s="9657"/>
      <c r="AP571" s="9658"/>
      <c r="AQ571" s="9658"/>
      <c r="AR571" s="9658"/>
      <c r="AS571" s="9658"/>
      <c r="AT571" s="9659"/>
      <c r="AU571" s="9660"/>
      <c r="AV571" s="9660"/>
      <c r="AW571" s="9660"/>
      <c r="AX571" s="9652"/>
      <c r="AY571" s="9655"/>
      <c r="AZ571" s="9660"/>
      <c r="BA571" s="9652"/>
      <c r="BB571" s="9654"/>
      <c r="BC571" s="9655"/>
      <c r="BD571" s="9661"/>
      <c r="BF571" s="14494"/>
      <c r="BG571" s="14494"/>
      <c r="BH571" s="14494"/>
      <c r="BI571" s="14494"/>
      <c r="BJ571" s="14494"/>
      <c r="BK571" s="8654"/>
      <c r="BL571" s="14494"/>
      <c r="BM571" s="14494"/>
      <c r="BN571" s="14494"/>
    </row>
    <row r="572" spans="1:66" ht="29.25" hidden="1" customHeight="1">
      <c r="A572" s="13540">
        <v>357</v>
      </c>
      <c r="B572" s="14096" t="s">
        <v>7933</v>
      </c>
      <c r="C572" s="13595"/>
      <c r="D572" s="11736" t="s">
        <v>86</v>
      </c>
      <c r="E572" s="7841" t="s">
        <v>708</v>
      </c>
      <c r="F572" s="7841"/>
      <c r="G572" s="14097" t="s">
        <v>4960</v>
      </c>
      <c r="H572" s="13410" t="s">
        <v>732</v>
      </c>
      <c r="I572" s="14111">
        <v>1</v>
      </c>
      <c r="K572" s="8239"/>
      <c r="L572" s="9653"/>
      <c r="M572" s="9653"/>
      <c r="N572" s="9654"/>
      <c r="O572" s="9654"/>
      <c r="P572" s="9655"/>
      <c r="Q572" s="9656"/>
      <c r="R572" s="9657"/>
      <c r="S572" s="9658"/>
      <c r="T572" s="9659"/>
      <c r="U572" s="9656"/>
      <c r="V572" s="9657"/>
      <c r="W572" s="9659"/>
      <c r="X572" s="9657"/>
      <c r="Y572" s="9659"/>
      <c r="Z572" s="9657"/>
      <c r="AA572" s="9658"/>
      <c r="AB572" s="9658"/>
      <c r="AC572" s="9658"/>
      <c r="AD572" s="9658"/>
      <c r="AE572" s="9658"/>
      <c r="AF572" s="9659"/>
      <c r="AG572" s="9657"/>
      <c r="AH572" s="9658"/>
      <c r="AI572" s="9658"/>
      <c r="AJ572" s="9658"/>
      <c r="AK572" s="9658"/>
      <c r="AL572" s="9658"/>
      <c r="AM572" s="9658"/>
      <c r="AN572" s="9659"/>
      <c r="AO572" s="9657"/>
      <c r="AP572" s="9658"/>
      <c r="AQ572" s="9658"/>
      <c r="AR572" s="9658"/>
      <c r="AS572" s="9658"/>
      <c r="AT572" s="9659"/>
      <c r="AU572" s="9660"/>
      <c r="AV572" s="9660"/>
      <c r="AW572" s="9660"/>
      <c r="AX572" s="9652"/>
      <c r="AY572" s="9655"/>
      <c r="AZ572" s="9660"/>
      <c r="BA572" s="9652"/>
      <c r="BB572" s="9654"/>
      <c r="BC572" s="9655"/>
      <c r="BD572" s="9661"/>
      <c r="BF572" s="14494"/>
      <c r="BG572" s="14494"/>
      <c r="BH572" s="14494"/>
      <c r="BI572" s="14494"/>
      <c r="BJ572" s="14494"/>
      <c r="BK572" s="13065"/>
      <c r="BL572" s="14494"/>
      <c r="BM572" s="14494"/>
      <c r="BN572" s="14494"/>
    </row>
    <row r="573" spans="1:66" ht="29.25" hidden="1" customHeight="1">
      <c r="A573" s="13540"/>
      <c r="B573" s="14096"/>
      <c r="C573" s="13595"/>
      <c r="D573" s="11736" t="s">
        <v>10194</v>
      </c>
      <c r="E573" s="7841"/>
      <c r="F573" s="7841" t="s">
        <v>733</v>
      </c>
      <c r="G573" s="14097"/>
      <c r="H573" s="13410"/>
      <c r="I573" s="14111"/>
      <c r="K573" s="9652"/>
      <c r="L573" s="9653"/>
      <c r="M573" s="9653"/>
      <c r="N573" s="9654"/>
      <c r="O573" s="9654"/>
      <c r="P573" s="9655"/>
      <c r="Q573" s="9656"/>
      <c r="R573" s="9657"/>
      <c r="S573" s="9658"/>
      <c r="T573" s="9659"/>
      <c r="U573" s="9656"/>
      <c r="V573" s="9657"/>
      <c r="W573" s="9659"/>
      <c r="X573" s="9657"/>
      <c r="Y573" s="9659"/>
      <c r="Z573" s="9657"/>
      <c r="AA573" s="9658"/>
      <c r="AB573" s="9658"/>
      <c r="AC573" s="9658"/>
      <c r="AD573" s="9658"/>
      <c r="AE573" s="9658"/>
      <c r="AF573" s="9659"/>
      <c r="AG573" s="9657"/>
      <c r="AH573" s="9658"/>
      <c r="AI573" s="9658"/>
      <c r="AJ573" s="9658"/>
      <c r="AK573" s="9658"/>
      <c r="AL573" s="9658"/>
      <c r="AM573" s="9658"/>
      <c r="AN573" s="9659"/>
      <c r="AO573" s="9657"/>
      <c r="AP573" s="9658"/>
      <c r="AQ573" s="9658"/>
      <c r="AR573" s="9658"/>
      <c r="AS573" s="9658"/>
      <c r="AT573" s="9659"/>
      <c r="AU573" s="9660"/>
      <c r="AV573" s="9660"/>
      <c r="AW573" s="9660"/>
      <c r="AX573" s="9652"/>
      <c r="AY573" s="9655"/>
      <c r="AZ573" s="9660"/>
      <c r="BA573" s="9652"/>
      <c r="BB573" s="9654"/>
      <c r="BC573" s="9655"/>
      <c r="BD573" s="9661"/>
      <c r="BF573" s="14494"/>
      <c r="BG573" s="14494"/>
      <c r="BH573" s="14494"/>
      <c r="BI573" s="14494"/>
      <c r="BJ573" s="14494"/>
      <c r="BK573" s="8654"/>
      <c r="BL573" s="14494"/>
      <c r="BM573" s="14494"/>
      <c r="BN573" s="14494"/>
    </row>
    <row r="574" spans="1:66" ht="29.25" hidden="1" customHeight="1">
      <c r="A574" s="8652">
        <v>358</v>
      </c>
      <c r="B574" s="8653" t="s">
        <v>7934</v>
      </c>
      <c r="C574" s="13595"/>
      <c r="D574" s="11736" t="s">
        <v>86</v>
      </c>
      <c r="E574" s="7841" t="s">
        <v>708</v>
      </c>
      <c r="F574" s="7842" t="s">
        <v>736</v>
      </c>
      <c r="G574" s="13018" t="s">
        <v>4961</v>
      </c>
      <c r="H574" s="12978" t="s">
        <v>734</v>
      </c>
      <c r="I574" s="13020">
        <v>1</v>
      </c>
      <c r="K574" s="8239"/>
      <c r="L574" s="8240"/>
      <c r="M574" s="8240"/>
      <c r="N574" s="8241"/>
      <c r="O574" s="8241"/>
      <c r="P574" s="8242"/>
      <c r="Q574" s="8243"/>
      <c r="R574" s="8244"/>
      <c r="S574" s="8245"/>
      <c r="T574" s="8246"/>
      <c r="U574" s="8243"/>
      <c r="V574" s="8244"/>
      <c r="W574" s="8246"/>
      <c r="X574" s="8244"/>
      <c r="Y574" s="8246"/>
      <c r="Z574" s="8244"/>
      <c r="AA574" s="8245"/>
      <c r="AB574" s="8245"/>
      <c r="AC574" s="8245"/>
      <c r="AD574" s="8245"/>
      <c r="AE574" s="8245"/>
      <c r="AF574" s="8246"/>
      <c r="AG574" s="8244"/>
      <c r="AH574" s="8245"/>
      <c r="AI574" s="8245"/>
      <c r="AJ574" s="8245"/>
      <c r="AK574" s="8245"/>
      <c r="AL574" s="8245"/>
      <c r="AM574" s="8245"/>
      <c r="AN574" s="8246"/>
      <c r="AO574" s="8244"/>
      <c r="AP574" s="8245"/>
      <c r="AQ574" s="8245"/>
      <c r="AR574" s="8245"/>
      <c r="AS574" s="8245"/>
      <c r="AT574" s="8246"/>
      <c r="AU574" s="8247"/>
      <c r="AV574" s="8247"/>
      <c r="AW574" s="8247"/>
      <c r="AX574" s="8239"/>
      <c r="AY574" s="8242"/>
      <c r="AZ574" s="8247"/>
      <c r="BA574" s="8239"/>
      <c r="BB574" s="8241"/>
      <c r="BC574" s="8242"/>
      <c r="BD574" s="8248"/>
      <c r="BF574" s="8654"/>
      <c r="BG574" s="8654"/>
      <c r="BH574" s="8654"/>
      <c r="BI574" s="8654"/>
      <c r="BJ574" s="8654"/>
      <c r="BK574" s="13065"/>
      <c r="BL574" s="13065"/>
      <c r="BM574" s="8654"/>
      <c r="BN574" s="8654"/>
    </row>
    <row r="575" spans="1:66" ht="29.25" hidden="1" customHeight="1">
      <c r="A575" s="8652">
        <v>359</v>
      </c>
      <c r="B575" s="8653" t="s">
        <v>7935</v>
      </c>
      <c r="C575" s="13595"/>
      <c r="D575" s="11736" t="s">
        <v>86</v>
      </c>
      <c r="E575" s="7841" t="s">
        <v>708</v>
      </c>
      <c r="F575" s="7842" t="s">
        <v>736</v>
      </c>
      <c r="G575" s="13018" t="s">
        <v>4962</v>
      </c>
      <c r="H575" s="12978" t="s">
        <v>738</v>
      </c>
      <c r="I575" s="13020">
        <v>1</v>
      </c>
      <c r="K575" s="8239"/>
      <c r="L575" s="8240"/>
      <c r="M575" s="8240"/>
      <c r="N575" s="8241"/>
      <c r="O575" s="8241"/>
      <c r="P575" s="8242"/>
      <c r="Q575" s="8243"/>
      <c r="R575" s="8244"/>
      <c r="S575" s="8245"/>
      <c r="T575" s="8246"/>
      <c r="U575" s="8243"/>
      <c r="V575" s="8244"/>
      <c r="W575" s="8246"/>
      <c r="X575" s="8244"/>
      <c r="Y575" s="8246"/>
      <c r="Z575" s="8244"/>
      <c r="AA575" s="8245"/>
      <c r="AB575" s="8245"/>
      <c r="AC575" s="8245"/>
      <c r="AD575" s="8245"/>
      <c r="AE575" s="8245"/>
      <c r="AF575" s="8246"/>
      <c r="AG575" s="8244"/>
      <c r="AH575" s="8245"/>
      <c r="AI575" s="8245"/>
      <c r="AJ575" s="8245"/>
      <c r="AK575" s="8245"/>
      <c r="AL575" s="8245"/>
      <c r="AM575" s="8245"/>
      <c r="AN575" s="8246"/>
      <c r="AO575" s="8244"/>
      <c r="AP575" s="8245"/>
      <c r="AQ575" s="8245"/>
      <c r="AR575" s="8245"/>
      <c r="AS575" s="8245"/>
      <c r="AT575" s="8246"/>
      <c r="AU575" s="8247"/>
      <c r="AV575" s="8247"/>
      <c r="AW575" s="8247"/>
      <c r="AX575" s="8239"/>
      <c r="AY575" s="8242"/>
      <c r="AZ575" s="8247"/>
      <c r="BA575" s="8239"/>
      <c r="BB575" s="8241"/>
      <c r="BC575" s="8242"/>
      <c r="BD575" s="8248"/>
      <c r="BF575" s="8654"/>
      <c r="BG575" s="8654"/>
      <c r="BH575" s="8654"/>
      <c r="BI575" s="8654"/>
      <c r="BJ575" s="8654"/>
      <c r="BK575" s="13065"/>
      <c r="BL575" s="13065"/>
      <c r="BM575" s="8654"/>
      <c r="BN575" s="8654"/>
    </row>
    <row r="576" spans="1:66" ht="29.25" hidden="1" customHeight="1">
      <c r="A576" s="13540">
        <v>360</v>
      </c>
      <c r="B576" s="14096" t="s">
        <v>7936</v>
      </c>
      <c r="C576" s="13595"/>
      <c r="D576" s="11736" t="s">
        <v>86</v>
      </c>
      <c r="E576" s="7841" t="s">
        <v>740</v>
      </c>
      <c r="F576" s="7841"/>
      <c r="G576" s="14097" t="s">
        <v>4963</v>
      </c>
      <c r="H576" s="13410" t="s">
        <v>739</v>
      </c>
      <c r="I576" s="14111">
        <v>1</v>
      </c>
      <c r="K576" s="8239"/>
      <c r="L576" s="9653"/>
      <c r="M576" s="9653"/>
      <c r="N576" s="9654"/>
      <c r="O576" s="9654"/>
      <c r="P576" s="9655"/>
      <c r="Q576" s="9656"/>
      <c r="R576" s="9657"/>
      <c r="S576" s="9658"/>
      <c r="T576" s="9659"/>
      <c r="U576" s="9656"/>
      <c r="V576" s="9657"/>
      <c r="W576" s="9659"/>
      <c r="X576" s="9657"/>
      <c r="Y576" s="9659"/>
      <c r="Z576" s="9657"/>
      <c r="AA576" s="9658"/>
      <c r="AB576" s="9658"/>
      <c r="AC576" s="9658"/>
      <c r="AD576" s="9658"/>
      <c r="AE576" s="9658"/>
      <c r="AF576" s="9659"/>
      <c r="AG576" s="9657"/>
      <c r="AH576" s="9658"/>
      <c r="AI576" s="9658"/>
      <c r="AJ576" s="9658"/>
      <c r="AK576" s="9658"/>
      <c r="AL576" s="9658"/>
      <c r="AM576" s="9658"/>
      <c r="AN576" s="9659"/>
      <c r="AO576" s="9657"/>
      <c r="AP576" s="9658"/>
      <c r="AQ576" s="9658"/>
      <c r="AR576" s="9658"/>
      <c r="AS576" s="9658"/>
      <c r="AT576" s="9659"/>
      <c r="AU576" s="9660"/>
      <c r="AV576" s="9660"/>
      <c r="AW576" s="9660"/>
      <c r="AX576" s="9652"/>
      <c r="AY576" s="9655"/>
      <c r="AZ576" s="9660"/>
      <c r="BA576" s="9652"/>
      <c r="BB576" s="9654"/>
      <c r="BC576" s="9655"/>
      <c r="BD576" s="9661"/>
      <c r="BF576" s="14494"/>
      <c r="BG576" s="14494"/>
      <c r="BH576" s="14494"/>
      <c r="BI576" s="14494"/>
      <c r="BJ576" s="14494"/>
      <c r="BK576" s="13065"/>
      <c r="BL576" s="14494"/>
      <c r="BM576" s="14494"/>
      <c r="BN576" s="14494"/>
    </row>
    <row r="577" spans="1:66" ht="29.25" hidden="1" customHeight="1">
      <c r="A577" s="13540"/>
      <c r="B577" s="14096"/>
      <c r="C577" s="13595"/>
      <c r="D577" s="11736" t="s">
        <v>8644</v>
      </c>
      <c r="E577" s="7841"/>
      <c r="F577" s="7841" t="s">
        <v>741</v>
      </c>
      <c r="G577" s="14097"/>
      <c r="H577" s="13410"/>
      <c r="I577" s="14111"/>
      <c r="K577" s="9652"/>
      <c r="L577" s="9653"/>
      <c r="M577" s="9653"/>
      <c r="N577" s="9654"/>
      <c r="O577" s="9654"/>
      <c r="P577" s="9655"/>
      <c r="Q577" s="9656"/>
      <c r="R577" s="9657"/>
      <c r="S577" s="9658"/>
      <c r="T577" s="9659"/>
      <c r="U577" s="9656"/>
      <c r="V577" s="9657"/>
      <c r="W577" s="9659"/>
      <c r="X577" s="9657"/>
      <c r="Y577" s="9659"/>
      <c r="Z577" s="9657"/>
      <c r="AA577" s="9658"/>
      <c r="AB577" s="9658"/>
      <c r="AC577" s="9658"/>
      <c r="AD577" s="9658"/>
      <c r="AE577" s="9658"/>
      <c r="AF577" s="9659"/>
      <c r="AG577" s="9657"/>
      <c r="AH577" s="9658"/>
      <c r="AI577" s="9658"/>
      <c r="AJ577" s="9658"/>
      <c r="AK577" s="9658"/>
      <c r="AL577" s="9658"/>
      <c r="AM577" s="9658"/>
      <c r="AN577" s="9659"/>
      <c r="AO577" s="9657"/>
      <c r="AP577" s="9658"/>
      <c r="AQ577" s="9658"/>
      <c r="AR577" s="9658"/>
      <c r="AS577" s="9658"/>
      <c r="AT577" s="9659"/>
      <c r="AU577" s="9660"/>
      <c r="AV577" s="9660"/>
      <c r="AW577" s="9660"/>
      <c r="AX577" s="9652"/>
      <c r="AY577" s="9655"/>
      <c r="AZ577" s="9660"/>
      <c r="BA577" s="9652"/>
      <c r="BB577" s="9654"/>
      <c r="BC577" s="9655"/>
      <c r="BD577" s="9661"/>
      <c r="BF577" s="14494"/>
      <c r="BG577" s="14494"/>
      <c r="BH577" s="14494"/>
      <c r="BI577" s="14494"/>
      <c r="BJ577" s="14494"/>
      <c r="BK577" s="8654"/>
      <c r="BL577" s="14494"/>
      <c r="BM577" s="14494"/>
      <c r="BN577" s="14494"/>
    </row>
    <row r="578" spans="1:66" ht="29.25" hidden="1" customHeight="1">
      <c r="A578" s="13540">
        <v>361</v>
      </c>
      <c r="B578" s="14096" t="s">
        <v>7937</v>
      </c>
      <c r="C578" s="13595"/>
      <c r="D578" s="11736" t="s">
        <v>86</v>
      </c>
      <c r="E578" s="7841" t="s">
        <v>740</v>
      </c>
      <c r="F578" s="7841"/>
      <c r="G578" s="14097" t="s">
        <v>4964</v>
      </c>
      <c r="H578" s="13410" t="s">
        <v>742</v>
      </c>
      <c r="I578" s="14115">
        <v>500</v>
      </c>
      <c r="K578" s="8238"/>
      <c r="L578" s="9653"/>
      <c r="M578" s="9653"/>
      <c r="N578" s="9663"/>
      <c r="O578" s="9663"/>
      <c r="P578" s="9664"/>
      <c r="Q578" s="9656"/>
      <c r="R578" s="9657"/>
      <c r="S578" s="9658"/>
      <c r="T578" s="9659"/>
      <c r="U578" s="9656"/>
      <c r="V578" s="9657"/>
      <c r="W578" s="9659"/>
      <c r="X578" s="9657"/>
      <c r="Y578" s="9659"/>
      <c r="Z578" s="9657"/>
      <c r="AA578" s="9658"/>
      <c r="AB578" s="9658"/>
      <c r="AC578" s="9658"/>
      <c r="AD578" s="9658"/>
      <c r="AE578" s="9658"/>
      <c r="AF578" s="9659"/>
      <c r="AG578" s="9657"/>
      <c r="AH578" s="9658"/>
      <c r="AI578" s="9658"/>
      <c r="AJ578" s="9658"/>
      <c r="AK578" s="9658"/>
      <c r="AL578" s="9658"/>
      <c r="AM578" s="9658"/>
      <c r="AN578" s="9659"/>
      <c r="AO578" s="9657"/>
      <c r="AP578" s="9658"/>
      <c r="AQ578" s="9658"/>
      <c r="AR578" s="9658"/>
      <c r="AS578" s="9658"/>
      <c r="AT578" s="9659"/>
      <c r="AU578" s="9665"/>
      <c r="AV578" s="9665"/>
      <c r="AW578" s="9665"/>
      <c r="AX578" s="9662"/>
      <c r="AY578" s="9664"/>
      <c r="AZ578" s="9665"/>
      <c r="BA578" s="9662"/>
      <c r="BB578" s="9663"/>
      <c r="BC578" s="9664"/>
      <c r="BD578" s="9666"/>
      <c r="BF578" s="14494"/>
      <c r="BG578" s="14494"/>
      <c r="BH578" s="14494"/>
      <c r="BI578" s="14494"/>
      <c r="BJ578" s="14494"/>
      <c r="BK578" s="13065"/>
      <c r="BL578" s="14494"/>
      <c r="BM578" s="14494"/>
      <c r="BN578" s="14494"/>
    </row>
    <row r="579" spans="1:66" ht="29.25" hidden="1" customHeight="1">
      <c r="A579" s="13540"/>
      <c r="B579" s="14096"/>
      <c r="C579" s="13595"/>
      <c r="D579" s="11736" t="s">
        <v>10063</v>
      </c>
      <c r="E579" s="7841"/>
      <c r="F579" s="7841" t="s">
        <v>144</v>
      </c>
      <c r="G579" s="14097"/>
      <c r="H579" s="13410"/>
      <c r="I579" s="14115"/>
      <c r="K579" s="9662"/>
      <c r="L579" s="9653"/>
      <c r="M579" s="9653"/>
      <c r="N579" s="9663"/>
      <c r="O579" s="9663"/>
      <c r="P579" s="9664"/>
      <c r="Q579" s="9656"/>
      <c r="R579" s="9657"/>
      <c r="S579" s="9658"/>
      <c r="T579" s="9659"/>
      <c r="U579" s="9656"/>
      <c r="V579" s="9657"/>
      <c r="W579" s="9659"/>
      <c r="X579" s="9657"/>
      <c r="Y579" s="9659"/>
      <c r="Z579" s="9657"/>
      <c r="AA579" s="9658"/>
      <c r="AB579" s="9658"/>
      <c r="AC579" s="9658"/>
      <c r="AD579" s="9658"/>
      <c r="AE579" s="9658"/>
      <c r="AF579" s="9659"/>
      <c r="AG579" s="9657"/>
      <c r="AH579" s="9658"/>
      <c r="AI579" s="9658"/>
      <c r="AJ579" s="9658"/>
      <c r="AK579" s="9658"/>
      <c r="AL579" s="9658"/>
      <c r="AM579" s="9658"/>
      <c r="AN579" s="9659"/>
      <c r="AO579" s="9657"/>
      <c r="AP579" s="9658"/>
      <c r="AQ579" s="9658"/>
      <c r="AR579" s="9658"/>
      <c r="AS579" s="9658"/>
      <c r="AT579" s="9659"/>
      <c r="AU579" s="9665"/>
      <c r="AV579" s="9665"/>
      <c r="AW579" s="9665"/>
      <c r="AX579" s="9662"/>
      <c r="AY579" s="9664"/>
      <c r="AZ579" s="9665"/>
      <c r="BA579" s="9662"/>
      <c r="BB579" s="9663"/>
      <c r="BC579" s="9664"/>
      <c r="BD579" s="9666"/>
      <c r="BF579" s="14494"/>
      <c r="BG579" s="14494"/>
      <c r="BH579" s="14494"/>
      <c r="BI579" s="14494"/>
      <c r="BJ579" s="14494"/>
      <c r="BK579" s="8654"/>
      <c r="BL579" s="14494"/>
      <c r="BM579" s="14494"/>
      <c r="BN579" s="14494"/>
    </row>
    <row r="580" spans="1:66" ht="29.25" hidden="1" customHeight="1">
      <c r="A580" s="13540">
        <v>362</v>
      </c>
      <c r="B580" s="14096" t="s">
        <v>7938</v>
      </c>
      <c r="C580" s="13595"/>
      <c r="D580" s="11736" t="s">
        <v>86</v>
      </c>
      <c r="E580" s="7841" t="s">
        <v>740</v>
      </c>
      <c r="F580" s="7841"/>
      <c r="G580" s="14097" t="s">
        <v>4965</v>
      </c>
      <c r="H580" s="13410" t="s">
        <v>682</v>
      </c>
      <c r="I580" s="14115">
        <v>1</v>
      </c>
      <c r="K580" s="8238"/>
      <c r="L580" s="9653"/>
      <c r="M580" s="9653"/>
      <c r="N580" s="9663"/>
      <c r="O580" s="9663"/>
      <c r="P580" s="9664"/>
      <c r="Q580" s="9656"/>
      <c r="R580" s="9657"/>
      <c r="S580" s="9658"/>
      <c r="T580" s="9659"/>
      <c r="U580" s="9656"/>
      <c r="V580" s="9657"/>
      <c r="W580" s="9659"/>
      <c r="X580" s="9657"/>
      <c r="Y580" s="9659"/>
      <c r="Z580" s="9657"/>
      <c r="AA580" s="9658"/>
      <c r="AB580" s="9658"/>
      <c r="AC580" s="9658"/>
      <c r="AD580" s="9658"/>
      <c r="AE580" s="9658"/>
      <c r="AF580" s="9659"/>
      <c r="AG580" s="9657"/>
      <c r="AH580" s="9658"/>
      <c r="AI580" s="9658"/>
      <c r="AJ580" s="9658"/>
      <c r="AK580" s="9658"/>
      <c r="AL580" s="9658"/>
      <c r="AM580" s="9658"/>
      <c r="AN580" s="9659"/>
      <c r="AO580" s="9657"/>
      <c r="AP580" s="9658"/>
      <c r="AQ580" s="9658"/>
      <c r="AR580" s="9658"/>
      <c r="AS580" s="9658"/>
      <c r="AT580" s="9659"/>
      <c r="AU580" s="9665"/>
      <c r="AV580" s="9665"/>
      <c r="AW580" s="9665"/>
      <c r="AX580" s="9662"/>
      <c r="AY580" s="9664"/>
      <c r="AZ580" s="9665"/>
      <c r="BA580" s="9662"/>
      <c r="BB580" s="9663"/>
      <c r="BC580" s="9664"/>
      <c r="BD580" s="9666"/>
      <c r="BF580" s="14494"/>
      <c r="BG580" s="14494"/>
      <c r="BH580" s="14494"/>
      <c r="BI580" s="14494"/>
      <c r="BJ580" s="14494"/>
      <c r="BK580" s="13065"/>
      <c r="BL580" s="14494"/>
      <c r="BM580" s="14494"/>
      <c r="BN580" s="14494"/>
    </row>
    <row r="581" spans="1:66" ht="29.25" hidden="1" customHeight="1">
      <c r="A581" s="13540"/>
      <c r="B581" s="14096"/>
      <c r="C581" s="13595"/>
      <c r="D581" s="11736" t="s">
        <v>10063</v>
      </c>
      <c r="E581" s="7841"/>
      <c r="F581" s="7841" t="s">
        <v>144</v>
      </c>
      <c r="G581" s="14097"/>
      <c r="H581" s="13410"/>
      <c r="I581" s="14115"/>
      <c r="K581" s="9662"/>
      <c r="L581" s="9653"/>
      <c r="M581" s="9653"/>
      <c r="N581" s="9663"/>
      <c r="O581" s="9663"/>
      <c r="P581" s="9664"/>
      <c r="Q581" s="9656"/>
      <c r="R581" s="9657"/>
      <c r="S581" s="9658"/>
      <c r="T581" s="9659"/>
      <c r="U581" s="9656"/>
      <c r="V581" s="9657"/>
      <c r="W581" s="9659"/>
      <c r="X581" s="9657"/>
      <c r="Y581" s="9659"/>
      <c r="Z581" s="9657"/>
      <c r="AA581" s="9658"/>
      <c r="AB581" s="9658"/>
      <c r="AC581" s="9658"/>
      <c r="AD581" s="9658"/>
      <c r="AE581" s="9658"/>
      <c r="AF581" s="9659"/>
      <c r="AG581" s="9657"/>
      <c r="AH581" s="9658"/>
      <c r="AI581" s="9658"/>
      <c r="AJ581" s="9658"/>
      <c r="AK581" s="9658"/>
      <c r="AL581" s="9658"/>
      <c r="AM581" s="9658"/>
      <c r="AN581" s="9659"/>
      <c r="AO581" s="9657"/>
      <c r="AP581" s="9658"/>
      <c r="AQ581" s="9658"/>
      <c r="AR581" s="9658"/>
      <c r="AS581" s="9658"/>
      <c r="AT581" s="9659"/>
      <c r="AU581" s="9665"/>
      <c r="AV581" s="9665"/>
      <c r="AW581" s="9665"/>
      <c r="AX581" s="9662"/>
      <c r="AY581" s="9664"/>
      <c r="AZ581" s="9665"/>
      <c r="BA581" s="9662"/>
      <c r="BB581" s="9663"/>
      <c r="BC581" s="9664"/>
      <c r="BD581" s="9666"/>
      <c r="BF581" s="14494"/>
      <c r="BG581" s="14494"/>
      <c r="BH581" s="14494"/>
      <c r="BI581" s="14494"/>
      <c r="BJ581" s="14494"/>
      <c r="BK581" s="8654"/>
      <c r="BL581" s="14494"/>
      <c r="BM581" s="14494"/>
      <c r="BN581" s="14494"/>
    </row>
    <row r="582" spans="1:66" ht="29.25" hidden="1" customHeight="1">
      <c r="A582" s="13540">
        <v>363</v>
      </c>
      <c r="B582" s="14096" t="s">
        <v>7939</v>
      </c>
      <c r="C582" s="13595"/>
      <c r="D582" s="11736" t="s">
        <v>86</v>
      </c>
      <c r="E582" s="7841" t="s">
        <v>740</v>
      </c>
      <c r="F582" s="7841"/>
      <c r="G582" s="14097" t="s">
        <v>4966</v>
      </c>
      <c r="H582" s="13410" t="s">
        <v>745</v>
      </c>
      <c r="I582" s="14111">
        <v>1</v>
      </c>
      <c r="K582" s="8239"/>
      <c r="L582" s="9653"/>
      <c r="M582" s="9653"/>
      <c r="N582" s="9654"/>
      <c r="O582" s="9654"/>
      <c r="P582" s="9655"/>
      <c r="Q582" s="9656"/>
      <c r="R582" s="9657"/>
      <c r="S582" s="9658"/>
      <c r="T582" s="9659"/>
      <c r="U582" s="9656"/>
      <c r="V582" s="9657"/>
      <c r="W582" s="9659"/>
      <c r="X582" s="9657"/>
      <c r="Y582" s="9659"/>
      <c r="Z582" s="9657"/>
      <c r="AA582" s="9658"/>
      <c r="AB582" s="9658"/>
      <c r="AC582" s="9658"/>
      <c r="AD582" s="9658"/>
      <c r="AE582" s="9658"/>
      <c r="AF582" s="9659"/>
      <c r="AG582" s="9657"/>
      <c r="AH582" s="9658"/>
      <c r="AI582" s="9658"/>
      <c r="AJ582" s="9658"/>
      <c r="AK582" s="9658"/>
      <c r="AL582" s="9658"/>
      <c r="AM582" s="9658"/>
      <c r="AN582" s="9659"/>
      <c r="AO582" s="9657"/>
      <c r="AP582" s="9658"/>
      <c r="AQ582" s="9658"/>
      <c r="AR582" s="9658"/>
      <c r="AS582" s="9658"/>
      <c r="AT582" s="9659"/>
      <c r="AU582" s="9660"/>
      <c r="AV582" s="9660"/>
      <c r="AW582" s="9660"/>
      <c r="AX582" s="9652"/>
      <c r="AY582" s="9655"/>
      <c r="AZ582" s="9660"/>
      <c r="BA582" s="9652"/>
      <c r="BB582" s="9654"/>
      <c r="BC582" s="9655"/>
      <c r="BD582" s="9661"/>
      <c r="BF582" s="14494"/>
      <c r="BG582" s="14494"/>
      <c r="BH582" s="14494"/>
      <c r="BI582" s="14494"/>
      <c r="BJ582" s="14494"/>
      <c r="BK582" s="13065"/>
      <c r="BL582" s="14494"/>
      <c r="BM582" s="14494"/>
      <c r="BN582" s="14494"/>
    </row>
    <row r="583" spans="1:66" ht="29.25" hidden="1" customHeight="1">
      <c r="A583" s="13540"/>
      <c r="B583" s="14096"/>
      <c r="C583" s="13595"/>
      <c r="D583" s="11736" t="s">
        <v>10063</v>
      </c>
      <c r="E583" s="7841"/>
      <c r="F583" s="7841" t="s">
        <v>144</v>
      </c>
      <c r="G583" s="14097"/>
      <c r="H583" s="13410"/>
      <c r="I583" s="14111"/>
      <c r="K583" s="9652"/>
      <c r="L583" s="9653"/>
      <c r="M583" s="9653"/>
      <c r="N583" s="9654"/>
      <c r="O583" s="9654"/>
      <c r="P583" s="9655"/>
      <c r="Q583" s="9656"/>
      <c r="R583" s="9657"/>
      <c r="S583" s="9658"/>
      <c r="T583" s="9659"/>
      <c r="U583" s="9656"/>
      <c r="V583" s="9657"/>
      <c r="W583" s="9659"/>
      <c r="X583" s="9657"/>
      <c r="Y583" s="9659"/>
      <c r="Z583" s="9657"/>
      <c r="AA583" s="9658"/>
      <c r="AB583" s="9658"/>
      <c r="AC583" s="9658"/>
      <c r="AD583" s="9658"/>
      <c r="AE583" s="9658"/>
      <c r="AF583" s="9659"/>
      <c r="AG583" s="9657"/>
      <c r="AH583" s="9658"/>
      <c r="AI583" s="9658"/>
      <c r="AJ583" s="9658"/>
      <c r="AK583" s="9658"/>
      <c r="AL583" s="9658"/>
      <c r="AM583" s="9658"/>
      <c r="AN583" s="9659"/>
      <c r="AO583" s="9657"/>
      <c r="AP583" s="9658"/>
      <c r="AQ583" s="9658"/>
      <c r="AR583" s="9658"/>
      <c r="AS583" s="9658"/>
      <c r="AT583" s="9659"/>
      <c r="AU583" s="9660"/>
      <c r="AV583" s="9660"/>
      <c r="AW583" s="9660"/>
      <c r="AX583" s="9652"/>
      <c r="AY583" s="9655"/>
      <c r="AZ583" s="9660"/>
      <c r="BA583" s="9652"/>
      <c r="BB583" s="9654"/>
      <c r="BC583" s="9655"/>
      <c r="BD583" s="9661"/>
      <c r="BF583" s="14494"/>
      <c r="BG583" s="14494"/>
      <c r="BH583" s="14494"/>
      <c r="BI583" s="14494"/>
      <c r="BJ583" s="14494"/>
      <c r="BK583" s="8654"/>
      <c r="BL583" s="14494"/>
      <c r="BM583" s="14494"/>
      <c r="BN583" s="14494"/>
    </row>
    <row r="584" spans="1:66" ht="29.25" hidden="1" customHeight="1">
      <c r="A584" s="8652">
        <v>364</v>
      </c>
      <c r="B584" s="8653" t="s">
        <v>7940</v>
      </c>
      <c r="C584" s="13595"/>
      <c r="D584" s="11736" t="s">
        <v>86</v>
      </c>
      <c r="E584" s="7841" t="s">
        <v>708</v>
      </c>
      <c r="F584" s="7841"/>
      <c r="G584" s="13018" t="s">
        <v>4967</v>
      </c>
      <c r="H584" s="12978" t="s">
        <v>682</v>
      </c>
      <c r="I584" s="13021">
        <v>1</v>
      </c>
      <c r="K584" s="8238"/>
      <c r="L584" s="8240"/>
      <c r="M584" s="8240"/>
      <c r="N584" s="9649"/>
      <c r="O584" s="9649"/>
      <c r="P584" s="9650"/>
      <c r="Q584" s="8243"/>
      <c r="R584" s="8244"/>
      <c r="S584" s="8245"/>
      <c r="T584" s="8246"/>
      <c r="U584" s="8243"/>
      <c r="V584" s="8244"/>
      <c r="W584" s="8246"/>
      <c r="X584" s="8244"/>
      <c r="Y584" s="8246"/>
      <c r="Z584" s="8244"/>
      <c r="AA584" s="8245"/>
      <c r="AB584" s="8245"/>
      <c r="AC584" s="8245"/>
      <c r="AD584" s="8245"/>
      <c r="AE584" s="8245"/>
      <c r="AF584" s="8246"/>
      <c r="AG584" s="8244"/>
      <c r="AH584" s="8245"/>
      <c r="AI584" s="8245"/>
      <c r="AJ584" s="8245"/>
      <c r="AK584" s="8245"/>
      <c r="AL584" s="8245"/>
      <c r="AM584" s="8245"/>
      <c r="AN584" s="8246"/>
      <c r="AO584" s="8244"/>
      <c r="AP584" s="8245"/>
      <c r="AQ584" s="8245"/>
      <c r="AR584" s="8245"/>
      <c r="AS584" s="8245"/>
      <c r="AT584" s="8246"/>
      <c r="AU584" s="9651"/>
      <c r="AV584" s="9651"/>
      <c r="AW584" s="9651"/>
      <c r="AX584" s="8238"/>
      <c r="AY584" s="9650"/>
      <c r="AZ584" s="9651"/>
      <c r="BA584" s="8238"/>
      <c r="BB584" s="9649"/>
      <c r="BC584" s="9650"/>
      <c r="BD584" s="12995"/>
      <c r="BF584" s="8654"/>
      <c r="BG584" s="8654"/>
      <c r="BH584" s="8654"/>
      <c r="BI584" s="8654"/>
      <c r="BJ584" s="8654"/>
      <c r="BK584" s="13065"/>
      <c r="BL584" s="13065"/>
      <c r="BM584" s="8654"/>
      <c r="BN584" s="8654"/>
    </row>
    <row r="585" spans="1:66" ht="29.25" hidden="1" customHeight="1">
      <c r="A585" s="13656">
        <v>365</v>
      </c>
      <c r="B585" s="14098" t="s">
        <v>7941</v>
      </c>
      <c r="C585" s="13595"/>
      <c r="D585" s="11736" t="s">
        <v>86</v>
      </c>
      <c r="E585" s="7841" t="s">
        <v>740</v>
      </c>
      <c r="F585" s="7841"/>
      <c r="G585" s="13935" t="s">
        <v>4968</v>
      </c>
      <c r="H585" s="13407" t="s">
        <v>749</v>
      </c>
      <c r="I585" s="14115">
        <v>1</v>
      </c>
      <c r="K585" s="8238"/>
      <c r="L585" s="9653"/>
      <c r="M585" s="9653"/>
      <c r="N585" s="9663"/>
      <c r="O585" s="9663"/>
      <c r="P585" s="9664"/>
      <c r="Q585" s="9656"/>
      <c r="R585" s="9657"/>
      <c r="S585" s="9658"/>
      <c r="T585" s="9659"/>
      <c r="U585" s="9656"/>
      <c r="V585" s="9657"/>
      <c r="W585" s="9659"/>
      <c r="X585" s="9657"/>
      <c r="Y585" s="9659"/>
      <c r="Z585" s="9657"/>
      <c r="AA585" s="9658"/>
      <c r="AB585" s="9658"/>
      <c r="AC585" s="9658"/>
      <c r="AD585" s="9658"/>
      <c r="AE585" s="9658"/>
      <c r="AF585" s="9659"/>
      <c r="AG585" s="9657"/>
      <c r="AH585" s="9658"/>
      <c r="AI585" s="9658"/>
      <c r="AJ585" s="9658"/>
      <c r="AK585" s="9658"/>
      <c r="AL585" s="9658"/>
      <c r="AM585" s="9658"/>
      <c r="AN585" s="9659"/>
      <c r="AO585" s="9657"/>
      <c r="AP585" s="9658"/>
      <c r="AQ585" s="9658"/>
      <c r="AR585" s="9658"/>
      <c r="AS585" s="9658"/>
      <c r="AT585" s="9659"/>
      <c r="AU585" s="9665"/>
      <c r="AV585" s="9665"/>
      <c r="AW585" s="9665"/>
      <c r="AX585" s="9662"/>
      <c r="AY585" s="9664"/>
      <c r="AZ585" s="9665"/>
      <c r="BA585" s="9662"/>
      <c r="BB585" s="9663"/>
      <c r="BC585" s="9664"/>
      <c r="BD585" s="9666"/>
      <c r="BF585" s="14443"/>
      <c r="BG585" s="14443"/>
      <c r="BH585" s="14443"/>
      <c r="BI585" s="14443"/>
      <c r="BJ585" s="14443"/>
      <c r="BK585" s="13060"/>
      <c r="BL585" s="14443"/>
      <c r="BM585" s="14443"/>
      <c r="BN585" s="14443"/>
    </row>
    <row r="586" spans="1:66" ht="29.25" hidden="1" customHeight="1">
      <c r="A586" s="13656"/>
      <c r="B586" s="14098"/>
      <c r="C586" s="13595"/>
      <c r="D586" s="11736" t="s">
        <v>10063</v>
      </c>
      <c r="E586" s="7841"/>
      <c r="F586" s="7841" t="s">
        <v>144</v>
      </c>
      <c r="G586" s="13935"/>
      <c r="H586" s="13407"/>
      <c r="I586" s="14115"/>
      <c r="K586" s="9662"/>
      <c r="L586" s="9653"/>
      <c r="M586" s="9653"/>
      <c r="N586" s="9663"/>
      <c r="O586" s="9663"/>
      <c r="P586" s="9664"/>
      <c r="Q586" s="9656"/>
      <c r="R586" s="9657"/>
      <c r="S586" s="9658"/>
      <c r="T586" s="9659"/>
      <c r="U586" s="9656"/>
      <c r="V586" s="9657"/>
      <c r="W586" s="9659"/>
      <c r="X586" s="9657"/>
      <c r="Y586" s="9659"/>
      <c r="Z586" s="9657"/>
      <c r="AA586" s="9658"/>
      <c r="AB586" s="9658"/>
      <c r="AC586" s="9658"/>
      <c r="AD586" s="9658"/>
      <c r="AE586" s="9658"/>
      <c r="AF586" s="9659"/>
      <c r="AG586" s="9657"/>
      <c r="AH586" s="9658"/>
      <c r="AI586" s="9658"/>
      <c r="AJ586" s="9658"/>
      <c r="AK586" s="9658"/>
      <c r="AL586" s="9658"/>
      <c r="AM586" s="9658"/>
      <c r="AN586" s="9659"/>
      <c r="AO586" s="9657"/>
      <c r="AP586" s="9658"/>
      <c r="AQ586" s="9658"/>
      <c r="AR586" s="9658"/>
      <c r="AS586" s="9658"/>
      <c r="AT586" s="9659"/>
      <c r="AU586" s="9665"/>
      <c r="AV586" s="9665"/>
      <c r="AW586" s="9665"/>
      <c r="AX586" s="9662"/>
      <c r="AY586" s="9664"/>
      <c r="AZ586" s="9665"/>
      <c r="BA586" s="9662"/>
      <c r="BB586" s="9663"/>
      <c r="BC586" s="9664"/>
      <c r="BD586" s="9666"/>
      <c r="BF586" s="14443"/>
      <c r="BG586" s="14443"/>
      <c r="BH586" s="14443"/>
      <c r="BI586" s="14443"/>
      <c r="BJ586" s="14443"/>
      <c r="BK586" s="7873"/>
      <c r="BL586" s="14443"/>
      <c r="BM586" s="14443"/>
      <c r="BN586" s="14443"/>
    </row>
    <row r="587" spans="1:66" ht="29.25" hidden="1" customHeight="1">
      <c r="A587" s="13656">
        <v>366</v>
      </c>
      <c r="B587" s="14098" t="s">
        <v>7942</v>
      </c>
      <c r="C587" s="13595"/>
      <c r="D587" s="11736" t="s">
        <v>86</v>
      </c>
      <c r="E587" s="7841" t="s">
        <v>740</v>
      </c>
      <c r="F587" s="7841"/>
      <c r="G587" s="13935" t="s">
        <v>4969</v>
      </c>
      <c r="H587" s="13407" t="s">
        <v>752</v>
      </c>
      <c r="I587" s="14111">
        <v>1</v>
      </c>
      <c r="K587" s="8239"/>
      <c r="L587" s="9653"/>
      <c r="M587" s="9653"/>
      <c r="N587" s="9654"/>
      <c r="O587" s="9654"/>
      <c r="P587" s="9655"/>
      <c r="Q587" s="9656"/>
      <c r="R587" s="9657"/>
      <c r="S587" s="9658"/>
      <c r="T587" s="9659"/>
      <c r="U587" s="9656"/>
      <c r="V587" s="9657"/>
      <c r="W587" s="9659"/>
      <c r="X587" s="9657"/>
      <c r="Y587" s="9659"/>
      <c r="Z587" s="9657"/>
      <c r="AA587" s="9658"/>
      <c r="AB587" s="9658"/>
      <c r="AC587" s="9658"/>
      <c r="AD587" s="9658"/>
      <c r="AE587" s="9658"/>
      <c r="AF587" s="9659"/>
      <c r="AG587" s="9657"/>
      <c r="AH587" s="9658"/>
      <c r="AI587" s="9658"/>
      <c r="AJ587" s="9658"/>
      <c r="AK587" s="9658"/>
      <c r="AL587" s="9658"/>
      <c r="AM587" s="9658"/>
      <c r="AN587" s="9659"/>
      <c r="AO587" s="9657"/>
      <c r="AP587" s="9658"/>
      <c r="AQ587" s="9658"/>
      <c r="AR587" s="9658"/>
      <c r="AS587" s="9658"/>
      <c r="AT587" s="9659"/>
      <c r="AU587" s="9660"/>
      <c r="AV587" s="9660"/>
      <c r="AW587" s="9660"/>
      <c r="AX587" s="9652"/>
      <c r="AY587" s="9655"/>
      <c r="AZ587" s="9660"/>
      <c r="BA587" s="9652"/>
      <c r="BB587" s="9654"/>
      <c r="BC587" s="9655"/>
      <c r="BD587" s="9661"/>
      <c r="BF587" s="14443"/>
      <c r="BG587" s="14443"/>
      <c r="BH587" s="14443"/>
      <c r="BI587" s="14443"/>
      <c r="BJ587" s="14443"/>
      <c r="BK587" s="13060"/>
      <c r="BL587" s="14443"/>
      <c r="BM587" s="14443"/>
      <c r="BN587" s="14443"/>
    </row>
    <row r="588" spans="1:66" ht="29.25" hidden="1" customHeight="1">
      <c r="A588" s="13656"/>
      <c r="B588" s="14098"/>
      <c r="C588" s="13595"/>
      <c r="D588" s="11736" t="s">
        <v>10063</v>
      </c>
      <c r="E588" s="7841"/>
      <c r="F588" s="7841" t="s">
        <v>144</v>
      </c>
      <c r="G588" s="13935"/>
      <c r="H588" s="13407"/>
      <c r="I588" s="14111"/>
      <c r="K588" s="9652"/>
      <c r="L588" s="9653"/>
      <c r="M588" s="9653"/>
      <c r="N588" s="9654"/>
      <c r="O588" s="9654"/>
      <c r="P588" s="9655"/>
      <c r="Q588" s="9656"/>
      <c r="R588" s="9657"/>
      <c r="S588" s="9658"/>
      <c r="T588" s="9659"/>
      <c r="U588" s="9656"/>
      <c r="V588" s="9657"/>
      <c r="W588" s="9659"/>
      <c r="X588" s="9657"/>
      <c r="Y588" s="9659"/>
      <c r="Z588" s="9657"/>
      <c r="AA588" s="9658"/>
      <c r="AB588" s="9658"/>
      <c r="AC588" s="9658"/>
      <c r="AD588" s="9658"/>
      <c r="AE588" s="9658"/>
      <c r="AF588" s="9659"/>
      <c r="AG588" s="9657"/>
      <c r="AH588" s="9658"/>
      <c r="AI588" s="9658"/>
      <c r="AJ588" s="9658"/>
      <c r="AK588" s="9658"/>
      <c r="AL588" s="9658"/>
      <c r="AM588" s="9658"/>
      <c r="AN588" s="9659"/>
      <c r="AO588" s="9657"/>
      <c r="AP588" s="9658"/>
      <c r="AQ588" s="9658"/>
      <c r="AR588" s="9658"/>
      <c r="AS588" s="9658"/>
      <c r="AT588" s="9659"/>
      <c r="AU588" s="9660"/>
      <c r="AV588" s="9660"/>
      <c r="AW588" s="9660"/>
      <c r="AX588" s="9652"/>
      <c r="AY588" s="9655"/>
      <c r="AZ588" s="9660"/>
      <c r="BA588" s="9652"/>
      <c r="BB588" s="9654"/>
      <c r="BC588" s="9655"/>
      <c r="BD588" s="9661"/>
      <c r="BF588" s="14443"/>
      <c r="BG588" s="14443"/>
      <c r="BH588" s="14443"/>
      <c r="BI588" s="14443"/>
      <c r="BJ588" s="14443"/>
      <c r="BK588" s="7873"/>
      <c r="BL588" s="14443"/>
      <c r="BM588" s="14443"/>
      <c r="BN588" s="14443"/>
    </row>
    <row r="589" spans="1:66" ht="29.25" hidden="1" customHeight="1">
      <c r="A589" s="13656">
        <v>367</v>
      </c>
      <c r="B589" s="14098" t="s">
        <v>7943</v>
      </c>
      <c r="C589" s="13595"/>
      <c r="D589" s="11736" t="s">
        <v>86</v>
      </c>
      <c r="E589" s="7841" t="s">
        <v>740</v>
      </c>
      <c r="F589" s="7841"/>
      <c r="G589" s="13935" t="s">
        <v>4970</v>
      </c>
      <c r="H589" s="13407" t="s">
        <v>755</v>
      </c>
      <c r="I589" s="14115">
        <v>1</v>
      </c>
      <c r="K589" s="8238"/>
      <c r="L589" s="9653"/>
      <c r="M589" s="9653"/>
      <c r="N589" s="9663"/>
      <c r="O589" s="9663"/>
      <c r="P589" s="9664"/>
      <c r="Q589" s="9656"/>
      <c r="R589" s="9657"/>
      <c r="S589" s="9658"/>
      <c r="T589" s="9659"/>
      <c r="U589" s="9656"/>
      <c r="V589" s="9657"/>
      <c r="W589" s="9659"/>
      <c r="X589" s="9657"/>
      <c r="Y589" s="9659"/>
      <c r="Z589" s="9657"/>
      <c r="AA589" s="9658"/>
      <c r="AB589" s="9658"/>
      <c r="AC589" s="9658"/>
      <c r="AD589" s="9658"/>
      <c r="AE589" s="9658"/>
      <c r="AF589" s="9659"/>
      <c r="AG589" s="9657"/>
      <c r="AH589" s="9658"/>
      <c r="AI589" s="9658"/>
      <c r="AJ589" s="9658"/>
      <c r="AK589" s="9658"/>
      <c r="AL589" s="9658"/>
      <c r="AM589" s="9658"/>
      <c r="AN589" s="9659"/>
      <c r="AO589" s="9657"/>
      <c r="AP589" s="9658"/>
      <c r="AQ589" s="9658"/>
      <c r="AR589" s="9658"/>
      <c r="AS589" s="9658"/>
      <c r="AT589" s="9659"/>
      <c r="AU589" s="9665"/>
      <c r="AV589" s="9665"/>
      <c r="AW589" s="9665"/>
      <c r="AX589" s="9662"/>
      <c r="AY589" s="9664"/>
      <c r="AZ589" s="9665"/>
      <c r="BA589" s="9662"/>
      <c r="BB589" s="9663"/>
      <c r="BC589" s="9664"/>
      <c r="BD589" s="9666"/>
      <c r="BF589" s="14443"/>
      <c r="BG589" s="14443"/>
      <c r="BH589" s="14443"/>
      <c r="BI589" s="14443"/>
      <c r="BJ589" s="14443"/>
      <c r="BK589" s="13060"/>
      <c r="BL589" s="14443"/>
      <c r="BM589" s="14443"/>
      <c r="BN589" s="14443"/>
    </row>
    <row r="590" spans="1:66" ht="29.25" hidden="1" customHeight="1">
      <c r="A590" s="13656"/>
      <c r="B590" s="14098"/>
      <c r="C590" s="13595"/>
      <c r="D590" s="11736" t="s">
        <v>10063</v>
      </c>
      <c r="E590" s="7841"/>
      <c r="F590" s="7841" t="s">
        <v>144</v>
      </c>
      <c r="G590" s="13935"/>
      <c r="H590" s="13407"/>
      <c r="I590" s="14115"/>
      <c r="K590" s="9662"/>
      <c r="L590" s="9653"/>
      <c r="M590" s="9653"/>
      <c r="N590" s="9663"/>
      <c r="O590" s="9663"/>
      <c r="P590" s="9664"/>
      <c r="Q590" s="9656"/>
      <c r="R590" s="9657"/>
      <c r="S590" s="9658"/>
      <c r="T590" s="9659"/>
      <c r="U590" s="9656"/>
      <c r="V590" s="9657"/>
      <c r="W590" s="9659"/>
      <c r="X590" s="9657"/>
      <c r="Y590" s="9659"/>
      <c r="Z590" s="9657"/>
      <c r="AA590" s="9658"/>
      <c r="AB590" s="9658"/>
      <c r="AC590" s="9658"/>
      <c r="AD590" s="9658"/>
      <c r="AE590" s="9658"/>
      <c r="AF590" s="9659"/>
      <c r="AG590" s="9657"/>
      <c r="AH590" s="9658"/>
      <c r="AI590" s="9658"/>
      <c r="AJ590" s="9658"/>
      <c r="AK590" s="9658"/>
      <c r="AL590" s="9658"/>
      <c r="AM590" s="9658"/>
      <c r="AN590" s="9659"/>
      <c r="AO590" s="9657"/>
      <c r="AP590" s="9658"/>
      <c r="AQ590" s="9658"/>
      <c r="AR590" s="9658"/>
      <c r="AS590" s="9658"/>
      <c r="AT590" s="9659"/>
      <c r="AU590" s="9665"/>
      <c r="AV590" s="9665"/>
      <c r="AW590" s="9665"/>
      <c r="AX590" s="9662"/>
      <c r="AY590" s="9664"/>
      <c r="AZ590" s="9665"/>
      <c r="BA590" s="9662"/>
      <c r="BB590" s="9663"/>
      <c r="BC590" s="9664"/>
      <c r="BD590" s="9666"/>
      <c r="BF590" s="14443"/>
      <c r="BG590" s="14443"/>
      <c r="BH590" s="14443"/>
      <c r="BI590" s="14443"/>
      <c r="BJ590" s="14443"/>
      <c r="BK590" s="7873"/>
      <c r="BL590" s="14443"/>
      <c r="BM590" s="14443"/>
      <c r="BN590" s="14443"/>
    </row>
    <row r="591" spans="1:66" ht="29.25" hidden="1" customHeight="1">
      <c r="A591" s="13656">
        <v>368</v>
      </c>
      <c r="B591" s="14098" t="s">
        <v>7944</v>
      </c>
      <c r="C591" s="13595"/>
      <c r="D591" s="11736" t="s">
        <v>86</v>
      </c>
      <c r="E591" s="7841" t="s">
        <v>740</v>
      </c>
      <c r="F591" s="7841"/>
      <c r="G591" s="13935" t="s">
        <v>4971</v>
      </c>
      <c r="H591" s="13407" t="s">
        <v>757</v>
      </c>
      <c r="I591" s="14115">
        <v>1</v>
      </c>
      <c r="K591" s="8238"/>
      <c r="L591" s="9653"/>
      <c r="M591" s="9653"/>
      <c r="N591" s="9663"/>
      <c r="O591" s="9663"/>
      <c r="P591" s="9664"/>
      <c r="Q591" s="9656"/>
      <c r="R591" s="9657"/>
      <c r="S591" s="9658"/>
      <c r="T591" s="9659"/>
      <c r="U591" s="9656"/>
      <c r="V591" s="9657"/>
      <c r="W591" s="9659"/>
      <c r="X591" s="9657"/>
      <c r="Y591" s="9659"/>
      <c r="Z591" s="9657"/>
      <c r="AA591" s="9658"/>
      <c r="AB591" s="9658"/>
      <c r="AC591" s="9658"/>
      <c r="AD591" s="9658"/>
      <c r="AE591" s="9658"/>
      <c r="AF591" s="9659"/>
      <c r="AG591" s="9657"/>
      <c r="AH591" s="9658"/>
      <c r="AI591" s="9658"/>
      <c r="AJ591" s="9658"/>
      <c r="AK591" s="9658"/>
      <c r="AL591" s="9658"/>
      <c r="AM591" s="9658"/>
      <c r="AN591" s="9659"/>
      <c r="AO591" s="9657"/>
      <c r="AP591" s="9658"/>
      <c r="AQ591" s="9658"/>
      <c r="AR591" s="9658"/>
      <c r="AS591" s="9658"/>
      <c r="AT591" s="9659"/>
      <c r="AU591" s="9665"/>
      <c r="AV591" s="9665"/>
      <c r="AW591" s="9665"/>
      <c r="AX591" s="9662"/>
      <c r="AY591" s="9664"/>
      <c r="AZ591" s="9665"/>
      <c r="BA591" s="9662"/>
      <c r="BB591" s="9663"/>
      <c r="BC591" s="9664"/>
      <c r="BD591" s="9666"/>
      <c r="BF591" s="14443"/>
      <c r="BG591" s="14443"/>
      <c r="BH591" s="14443"/>
      <c r="BI591" s="14443"/>
      <c r="BJ591" s="14443"/>
      <c r="BK591" s="13060"/>
      <c r="BL591" s="14443"/>
      <c r="BM591" s="14443"/>
      <c r="BN591" s="14443"/>
    </row>
    <row r="592" spans="1:66" ht="29.25" hidden="1" customHeight="1">
      <c r="A592" s="13656"/>
      <c r="B592" s="14098"/>
      <c r="C592" s="13595"/>
      <c r="D592" s="11736" t="s">
        <v>10063</v>
      </c>
      <c r="E592" s="7841"/>
      <c r="F592" s="7841" t="s">
        <v>144</v>
      </c>
      <c r="G592" s="13935"/>
      <c r="H592" s="13407"/>
      <c r="I592" s="14115"/>
      <c r="K592" s="9662"/>
      <c r="L592" s="9653"/>
      <c r="M592" s="9653"/>
      <c r="N592" s="9663"/>
      <c r="O592" s="9663"/>
      <c r="P592" s="9664"/>
      <c r="Q592" s="9656"/>
      <c r="R592" s="9657"/>
      <c r="S592" s="9658"/>
      <c r="T592" s="9659"/>
      <c r="U592" s="9656"/>
      <c r="V592" s="9657"/>
      <c r="W592" s="9659"/>
      <c r="X592" s="9657"/>
      <c r="Y592" s="9659"/>
      <c r="Z592" s="9657"/>
      <c r="AA592" s="9658"/>
      <c r="AB592" s="9658"/>
      <c r="AC592" s="9658"/>
      <c r="AD592" s="9658"/>
      <c r="AE592" s="9658"/>
      <c r="AF592" s="9659"/>
      <c r="AG592" s="9657"/>
      <c r="AH592" s="9658"/>
      <c r="AI592" s="9658"/>
      <c r="AJ592" s="9658"/>
      <c r="AK592" s="9658"/>
      <c r="AL592" s="9658"/>
      <c r="AM592" s="9658"/>
      <c r="AN592" s="9659"/>
      <c r="AO592" s="9657"/>
      <c r="AP592" s="9658"/>
      <c r="AQ592" s="9658"/>
      <c r="AR592" s="9658"/>
      <c r="AS592" s="9658"/>
      <c r="AT592" s="9659"/>
      <c r="AU592" s="9665"/>
      <c r="AV592" s="9665"/>
      <c r="AW592" s="9665"/>
      <c r="AX592" s="9662"/>
      <c r="AY592" s="9664"/>
      <c r="AZ592" s="9665"/>
      <c r="BA592" s="9662"/>
      <c r="BB592" s="9663"/>
      <c r="BC592" s="9664"/>
      <c r="BD592" s="9666"/>
      <c r="BF592" s="14443"/>
      <c r="BG592" s="14443"/>
      <c r="BH592" s="14443"/>
      <c r="BI592" s="14443"/>
      <c r="BJ592" s="14443"/>
      <c r="BK592" s="7873"/>
      <c r="BL592" s="14443"/>
      <c r="BM592" s="14443"/>
      <c r="BN592" s="14443"/>
    </row>
    <row r="593" spans="1:66" ht="29.25" hidden="1" customHeight="1">
      <c r="A593" s="13656">
        <v>369</v>
      </c>
      <c r="B593" s="14098" t="s">
        <v>7945</v>
      </c>
      <c r="C593" s="13595"/>
      <c r="D593" s="11736" t="s">
        <v>86</v>
      </c>
      <c r="E593" s="7841" t="s">
        <v>740</v>
      </c>
      <c r="F593" s="7841"/>
      <c r="G593" s="13935" t="s">
        <v>4972</v>
      </c>
      <c r="H593" s="13407" t="s">
        <v>759</v>
      </c>
      <c r="I593" s="14111">
        <v>1</v>
      </c>
      <c r="K593" s="8239"/>
      <c r="L593" s="9653"/>
      <c r="M593" s="9653"/>
      <c r="N593" s="9654"/>
      <c r="O593" s="9654"/>
      <c r="P593" s="9655"/>
      <c r="Q593" s="9656"/>
      <c r="R593" s="9657"/>
      <c r="S593" s="9658"/>
      <c r="T593" s="9659"/>
      <c r="U593" s="9656"/>
      <c r="V593" s="9657"/>
      <c r="W593" s="9659"/>
      <c r="X593" s="9657"/>
      <c r="Y593" s="9659"/>
      <c r="Z593" s="9657"/>
      <c r="AA593" s="9658"/>
      <c r="AB593" s="9658"/>
      <c r="AC593" s="9658"/>
      <c r="AD593" s="9658"/>
      <c r="AE593" s="9658"/>
      <c r="AF593" s="9659"/>
      <c r="AG593" s="9657"/>
      <c r="AH593" s="9658"/>
      <c r="AI593" s="9658"/>
      <c r="AJ593" s="9658"/>
      <c r="AK593" s="9658"/>
      <c r="AL593" s="9658"/>
      <c r="AM593" s="9658"/>
      <c r="AN593" s="9659"/>
      <c r="AO593" s="9657"/>
      <c r="AP593" s="9658"/>
      <c r="AQ593" s="9658"/>
      <c r="AR593" s="9658"/>
      <c r="AS593" s="9658"/>
      <c r="AT593" s="9659"/>
      <c r="AU593" s="9660"/>
      <c r="AV593" s="9660"/>
      <c r="AW593" s="9660"/>
      <c r="AX593" s="9652"/>
      <c r="AY593" s="9655"/>
      <c r="AZ593" s="9660"/>
      <c r="BA593" s="9652"/>
      <c r="BB593" s="9654"/>
      <c r="BC593" s="9655"/>
      <c r="BD593" s="9661"/>
      <c r="BF593" s="14443"/>
      <c r="BG593" s="14443"/>
      <c r="BH593" s="14443"/>
      <c r="BI593" s="14443"/>
      <c r="BJ593" s="14443"/>
      <c r="BK593" s="13060"/>
      <c r="BL593" s="14443"/>
      <c r="BM593" s="14443"/>
      <c r="BN593" s="14443"/>
    </row>
    <row r="594" spans="1:66" ht="29.25" hidden="1" customHeight="1">
      <c r="A594" s="13656"/>
      <c r="B594" s="14098"/>
      <c r="C594" s="13595"/>
      <c r="D594" s="11736" t="s">
        <v>10063</v>
      </c>
      <c r="E594" s="7841"/>
      <c r="F594" s="7841" t="s">
        <v>144</v>
      </c>
      <c r="G594" s="13935"/>
      <c r="H594" s="13407"/>
      <c r="I594" s="14111"/>
      <c r="K594" s="9652"/>
      <c r="L594" s="9653"/>
      <c r="M594" s="9653"/>
      <c r="N594" s="9654"/>
      <c r="O594" s="9654"/>
      <c r="P594" s="9655"/>
      <c r="Q594" s="9656"/>
      <c r="R594" s="9657"/>
      <c r="S594" s="9658"/>
      <c r="T594" s="9659"/>
      <c r="U594" s="9656"/>
      <c r="V594" s="9657"/>
      <c r="W594" s="9659"/>
      <c r="X594" s="9657"/>
      <c r="Y594" s="9659"/>
      <c r="Z594" s="9657"/>
      <c r="AA594" s="9658"/>
      <c r="AB594" s="9658"/>
      <c r="AC594" s="9658"/>
      <c r="AD594" s="9658"/>
      <c r="AE594" s="9658"/>
      <c r="AF594" s="9659"/>
      <c r="AG594" s="9657"/>
      <c r="AH594" s="9658"/>
      <c r="AI594" s="9658"/>
      <c r="AJ594" s="9658"/>
      <c r="AK594" s="9658"/>
      <c r="AL594" s="9658"/>
      <c r="AM594" s="9658"/>
      <c r="AN594" s="9659"/>
      <c r="AO594" s="9657"/>
      <c r="AP594" s="9658"/>
      <c r="AQ594" s="9658"/>
      <c r="AR594" s="9658"/>
      <c r="AS594" s="9658"/>
      <c r="AT594" s="9659"/>
      <c r="AU594" s="9660"/>
      <c r="AV594" s="9660"/>
      <c r="AW594" s="9660"/>
      <c r="AX594" s="9652"/>
      <c r="AY594" s="9655"/>
      <c r="AZ594" s="9660"/>
      <c r="BA594" s="9652"/>
      <c r="BB594" s="9654"/>
      <c r="BC594" s="9655"/>
      <c r="BD594" s="9661"/>
      <c r="BF594" s="14443"/>
      <c r="BG594" s="14443"/>
      <c r="BH594" s="14443"/>
      <c r="BI594" s="14443"/>
      <c r="BJ594" s="14443"/>
      <c r="BK594" s="7873"/>
      <c r="BL594" s="14443"/>
      <c r="BM594" s="14443"/>
      <c r="BN594" s="14443"/>
    </row>
    <row r="595" spans="1:66" ht="29.25" hidden="1" customHeight="1">
      <c r="A595" s="13656">
        <v>370</v>
      </c>
      <c r="B595" s="14098" t="s">
        <v>7946</v>
      </c>
      <c r="C595" s="13595"/>
      <c r="D595" s="11736" t="s">
        <v>86</v>
      </c>
      <c r="E595" s="7841" t="s">
        <v>740</v>
      </c>
      <c r="F595" s="7841"/>
      <c r="G595" s="13935" t="s">
        <v>4973</v>
      </c>
      <c r="H595" s="13407" t="s">
        <v>761</v>
      </c>
      <c r="I595" s="14111">
        <v>1</v>
      </c>
      <c r="K595" s="8239"/>
      <c r="L595" s="9653"/>
      <c r="M595" s="9653"/>
      <c r="N595" s="9654"/>
      <c r="O595" s="9654"/>
      <c r="P595" s="9655"/>
      <c r="Q595" s="9656"/>
      <c r="R595" s="9657"/>
      <c r="S595" s="9658"/>
      <c r="T595" s="9659"/>
      <c r="U595" s="9656"/>
      <c r="V595" s="9657"/>
      <c r="W595" s="9659"/>
      <c r="X595" s="9657"/>
      <c r="Y595" s="9659"/>
      <c r="Z595" s="9657"/>
      <c r="AA595" s="9658"/>
      <c r="AB595" s="9658"/>
      <c r="AC595" s="9658"/>
      <c r="AD595" s="9658"/>
      <c r="AE595" s="9658"/>
      <c r="AF595" s="9659"/>
      <c r="AG595" s="9657"/>
      <c r="AH595" s="9658"/>
      <c r="AI595" s="9658"/>
      <c r="AJ595" s="9658"/>
      <c r="AK595" s="9658"/>
      <c r="AL595" s="9658"/>
      <c r="AM595" s="9658"/>
      <c r="AN595" s="9659"/>
      <c r="AO595" s="9657"/>
      <c r="AP595" s="9658"/>
      <c r="AQ595" s="9658"/>
      <c r="AR595" s="9658"/>
      <c r="AS595" s="9658"/>
      <c r="AT595" s="9659"/>
      <c r="AU595" s="9660"/>
      <c r="AV595" s="9660"/>
      <c r="AW595" s="9660"/>
      <c r="AX595" s="9652"/>
      <c r="AY595" s="9655"/>
      <c r="AZ595" s="9660"/>
      <c r="BA595" s="9652"/>
      <c r="BB595" s="9654"/>
      <c r="BC595" s="9655"/>
      <c r="BD595" s="9661"/>
      <c r="BF595" s="14443"/>
      <c r="BG595" s="14443"/>
      <c r="BH595" s="14443"/>
      <c r="BI595" s="14443"/>
      <c r="BJ595" s="14443"/>
      <c r="BK595" s="13060"/>
      <c r="BL595" s="14443"/>
      <c r="BM595" s="14443"/>
      <c r="BN595" s="14443"/>
    </row>
    <row r="596" spans="1:66" ht="29.25" hidden="1" customHeight="1">
      <c r="A596" s="13656"/>
      <c r="B596" s="14098"/>
      <c r="C596" s="13595"/>
      <c r="D596" s="11736" t="s">
        <v>10063</v>
      </c>
      <c r="E596" s="7841"/>
      <c r="F596" s="7841" t="s">
        <v>144</v>
      </c>
      <c r="G596" s="13935"/>
      <c r="H596" s="13407"/>
      <c r="I596" s="14111"/>
      <c r="K596" s="9652"/>
      <c r="L596" s="9653"/>
      <c r="M596" s="9653"/>
      <c r="N596" s="9654"/>
      <c r="O596" s="9654"/>
      <c r="P596" s="9655"/>
      <c r="Q596" s="9656"/>
      <c r="R596" s="9657"/>
      <c r="S596" s="9658"/>
      <c r="T596" s="9659"/>
      <c r="U596" s="9656"/>
      <c r="V596" s="9657"/>
      <c r="W596" s="9659"/>
      <c r="X596" s="9657"/>
      <c r="Y596" s="9659"/>
      <c r="Z596" s="9657"/>
      <c r="AA596" s="9658"/>
      <c r="AB596" s="9658"/>
      <c r="AC596" s="9658"/>
      <c r="AD596" s="9658"/>
      <c r="AE596" s="9658"/>
      <c r="AF596" s="9659"/>
      <c r="AG596" s="9657"/>
      <c r="AH596" s="9658"/>
      <c r="AI596" s="9658"/>
      <c r="AJ596" s="9658"/>
      <c r="AK596" s="9658"/>
      <c r="AL596" s="9658"/>
      <c r="AM596" s="9658"/>
      <c r="AN596" s="9659"/>
      <c r="AO596" s="9657"/>
      <c r="AP596" s="9658"/>
      <c r="AQ596" s="9658"/>
      <c r="AR596" s="9658"/>
      <c r="AS596" s="9658"/>
      <c r="AT596" s="9659"/>
      <c r="AU596" s="9660"/>
      <c r="AV596" s="9660"/>
      <c r="AW596" s="9660"/>
      <c r="AX596" s="9652"/>
      <c r="AY596" s="9655"/>
      <c r="AZ596" s="9660"/>
      <c r="BA596" s="9652"/>
      <c r="BB596" s="9654"/>
      <c r="BC596" s="9655"/>
      <c r="BD596" s="9661"/>
      <c r="BF596" s="14443"/>
      <c r="BG596" s="14443"/>
      <c r="BH596" s="14443"/>
      <c r="BI596" s="14443"/>
      <c r="BJ596" s="14443"/>
      <c r="BK596" s="7873"/>
      <c r="BL596" s="14443"/>
      <c r="BM596" s="14443"/>
      <c r="BN596" s="14443"/>
    </row>
    <row r="597" spans="1:66" ht="29.25" hidden="1" customHeight="1">
      <c r="A597" s="13656">
        <v>371</v>
      </c>
      <c r="B597" s="14098" t="s">
        <v>7947</v>
      </c>
      <c r="C597" s="13595"/>
      <c r="D597" s="11736" t="s">
        <v>86</v>
      </c>
      <c r="E597" s="7841" t="s">
        <v>740</v>
      </c>
      <c r="F597" s="7841" t="s">
        <v>144</v>
      </c>
      <c r="G597" s="13935" t="s">
        <v>4974</v>
      </c>
      <c r="H597" s="13407" t="s">
        <v>762</v>
      </c>
      <c r="I597" s="14111">
        <v>1</v>
      </c>
      <c r="K597" s="8239"/>
      <c r="L597" s="9653"/>
      <c r="M597" s="9653"/>
      <c r="N597" s="9654"/>
      <c r="O597" s="9654"/>
      <c r="P597" s="9655"/>
      <c r="Q597" s="9656"/>
      <c r="R597" s="9657"/>
      <c r="S597" s="9658"/>
      <c r="T597" s="9659"/>
      <c r="U597" s="9656"/>
      <c r="V597" s="9657"/>
      <c r="W597" s="9659"/>
      <c r="X597" s="9657"/>
      <c r="Y597" s="9659"/>
      <c r="Z597" s="9657"/>
      <c r="AA597" s="9658"/>
      <c r="AB597" s="9658"/>
      <c r="AC597" s="9658"/>
      <c r="AD597" s="9658"/>
      <c r="AE597" s="9658"/>
      <c r="AF597" s="9659"/>
      <c r="AG597" s="9657"/>
      <c r="AH597" s="9658"/>
      <c r="AI597" s="9658"/>
      <c r="AJ597" s="9658"/>
      <c r="AK597" s="9658"/>
      <c r="AL597" s="9658"/>
      <c r="AM597" s="9658"/>
      <c r="AN597" s="9659"/>
      <c r="AO597" s="9657"/>
      <c r="AP597" s="9658"/>
      <c r="AQ597" s="9658"/>
      <c r="AR597" s="9658"/>
      <c r="AS597" s="9658"/>
      <c r="AT597" s="9659"/>
      <c r="AU597" s="9660"/>
      <c r="AV597" s="9660"/>
      <c r="AW597" s="9660"/>
      <c r="AX597" s="9652"/>
      <c r="AY597" s="9655"/>
      <c r="AZ597" s="9660"/>
      <c r="BA597" s="9652"/>
      <c r="BB597" s="9654"/>
      <c r="BC597" s="9655"/>
      <c r="BD597" s="9661"/>
      <c r="BF597" s="14443"/>
      <c r="BG597" s="14443"/>
      <c r="BH597" s="14443"/>
      <c r="BI597" s="14443"/>
      <c r="BJ597" s="14443"/>
      <c r="BK597" s="13060"/>
      <c r="BL597" s="14443"/>
      <c r="BM597" s="14443"/>
      <c r="BN597" s="14443"/>
    </row>
    <row r="598" spans="1:66" ht="29.25" hidden="1" customHeight="1" thickBot="1">
      <c r="A598" s="13718"/>
      <c r="B598" s="14103"/>
      <c r="C598" s="13595"/>
      <c r="D598" s="11742" t="s">
        <v>10063</v>
      </c>
      <c r="E598" s="7843"/>
      <c r="F598" s="7843"/>
      <c r="G598" s="13936"/>
      <c r="H598" s="13480"/>
      <c r="I598" s="14112"/>
      <c r="K598" s="9667"/>
      <c r="L598" s="9668"/>
      <c r="M598" s="9668"/>
      <c r="N598" s="9669"/>
      <c r="O598" s="9669"/>
      <c r="P598" s="9670"/>
      <c r="Q598" s="9671"/>
      <c r="R598" s="9672"/>
      <c r="S598" s="9673"/>
      <c r="T598" s="9674"/>
      <c r="U598" s="9671"/>
      <c r="V598" s="9672"/>
      <c r="W598" s="9674"/>
      <c r="X598" s="9672"/>
      <c r="Y598" s="9674"/>
      <c r="Z598" s="9672"/>
      <c r="AA598" s="9673"/>
      <c r="AB598" s="9673"/>
      <c r="AC598" s="9673"/>
      <c r="AD598" s="9673"/>
      <c r="AE598" s="9673"/>
      <c r="AF598" s="9674"/>
      <c r="AG598" s="9672"/>
      <c r="AH598" s="9673"/>
      <c r="AI598" s="9673"/>
      <c r="AJ598" s="9673"/>
      <c r="AK598" s="9673"/>
      <c r="AL598" s="9673"/>
      <c r="AM598" s="9673"/>
      <c r="AN598" s="9674"/>
      <c r="AO598" s="9672"/>
      <c r="AP598" s="9673"/>
      <c r="AQ598" s="9673"/>
      <c r="AR598" s="9673"/>
      <c r="AS598" s="9673"/>
      <c r="AT598" s="9674"/>
      <c r="AU598" s="9675"/>
      <c r="AV598" s="9675"/>
      <c r="AW598" s="9675"/>
      <c r="AX598" s="9667"/>
      <c r="AY598" s="9670"/>
      <c r="AZ598" s="9675"/>
      <c r="BA598" s="9667"/>
      <c r="BB598" s="9669"/>
      <c r="BC598" s="9670"/>
      <c r="BD598" s="9676"/>
      <c r="BF598" s="14444"/>
      <c r="BG598" s="14444"/>
      <c r="BH598" s="14444"/>
      <c r="BI598" s="14444"/>
      <c r="BJ598" s="14444"/>
      <c r="BK598" s="9027"/>
      <c r="BL598" s="14444"/>
      <c r="BM598" s="14444"/>
      <c r="BN598" s="14444"/>
    </row>
    <row r="599" spans="1:66" ht="29.25" hidden="1" customHeight="1">
      <c r="A599" s="9677">
        <v>372</v>
      </c>
      <c r="B599" s="9678" t="s">
        <v>7948</v>
      </c>
      <c r="C599" s="13595"/>
      <c r="D599" s="12137" t="s">
        <v>218</v>
      </c>
      <c r="E599" s="12138" t="s">
        <v>768</v>
      </c>
      <c r="F599" s="12138"/>
      <c r="G599" s="12139" t="s">
        <v>4975</v>
      </c>
      <c r="H599" s="12140" t="s">
        <v>766</v>
      </c>
      <c r="I599" s="12141">
        <v>0.25</v>
      </c>
      <c r="K599" s="9679"/>
      <c r="L599" s="9680"/>
      <c r="M599" s="9680"/>
      <c r="N599" s="9681"/>
      <c r="O599" s="9681"/>
      <c r="P599" s="9682"/>
      <c r="Q599" s="9683"/>
      <c r="R599" s="9684"/>
      <c r="S599" s="9685"/>
      <c r="T599" s="9686"/>
      <c r="U599" s="9683"/>
      <c r="V599" s="9684"/>
      <c r="W599" s="9686"/>
      <c r="X599" s="9684"/>
      <c r="Y599" s="9686"/>
      <c r="Z599" s="9684"/>
      <c r="AA599" s="9685"/>
      <c r="AB599" s="9685"/>
      <c r="AC599" s="9685"/>
      <c r="AD599" s="9685"/>
      <c r="AE599" s="9685"/>
      <c r="AF599" s="9686"/>
      <c r="AG599" s="9684"/>
      <c r="AH599" s="9685"/>
      <c r="AI599" s="9685"/>
      <c r="AJ599" s="9685"/>
      <c r="AK599" s="9685"/>
      <c r="AL599" s="9685"/>
      <c r="AM599" s="9685"/>
      <c r="AN599" s="9686"/>
      <c r="AO599" s="9684"/>
      <c r="AP599" s="9685"/>
      <c r="AQ599" s="9685"/>
      <c r="AR599" s="9685"/>
      <c r="AS599" s="9685"/>
      <c r="AT599" s="9686"/>
      <c r="AU599" s="9687"/>
      <c r="AV599" s="9687"/>
      <c r="AW599" s="9687"/>
      <c r="AX599" s="9679"/>
      <c r="AY599" s="9682"/>
      <c r="AZ599" s="9687"/>
      <c r="BA599" s="9679"/>
      <c r="BB599" s="9681"/>
      <c r="BC599" s="9682"/>
      <c r="BD599" s="9688"/>
      <c r="BF599" s="9220"/>
      <c r="BG599" s="9220"/>
      <c r="BH599" s="9220"/>
      <c r="BI599" s="9220"/>
      <c r="BJ599" s="9220"/>
      <c r="BK599" s="9220"/>
      <c r="BL599" s="9220"/>
      <c r="BM599" s="9220"/>
      <c r="BN599" s="9220"/>
    </row>
    <row r="600" spans="1:66" ht="29.25" hidden="1" customHeight="1">
      <c r="A600" s="9221">
        <v>373</v>
      </c>
      <c r="B600" s="9222" t="s">
        <v>7949</v>
      </c>
      <c r="C600" s="13595"/>
      <c r="D600" s="11993" t="s">
        <v>218</v>
      </c>
      <c r="E600" s="11994" t="s">
        <v>768</v>
      </c>
      <c r="F600" s="11994"/>
      <c r="G600" s="11995" t="s">
        <v>4976</v>
      </c>
      <c r="H600" s="11996" t="s">
        <v>769</v>
      </c>
      <c r="I600" s="12142">
        <v>20</v>
      </c>
      <c r="K600" s="9689"/>
      <c r="L600" s="9690"/>
      <c r="M600" s="9690"/>
      <c r="N600" s="9691"/>
      <c r="O600" s="9691"/>
      <c r="P600" s="9692"/>
      <c r="Q600" s="9693"/>
      <c r="R600" s="9694"/>
      <c r="S600" s="9695"/>
      <c r="T600" s="9696"/>
      <c r="U600" s="9693"/>
      <c r="V600" s="9694"/>
      <c r="W600" s="9696"/>
      <c r="X600" s="9694"/>
      <c r="Y600" s="9696"/>
      <c r="Z600" s="9694"/>
      <c r="AA600" s="9695"/>
      <c r="AB600" s="9695"/>
      <c r="AC600" s="9695"/>
      <c r="AD600" s="9695"/>
      <c r="AE600" s="9695"/>
      <c r="AF600" s="9696"/>
      <c r="AG600" s="9694"/>
      <c r="AH600" s="9695"/>
      <c r="AI600" s="9695"/>
      <c r="AJ600" s="9695"/>
      <c r="AK600" s="9695"/>
      <c r="AL600" s="9695"/>
      <c r="AM600" s="9695"/>
      <c r="AN600" s="9696"/>
      <c r="AO600" s="9694"/>
      <c r="AP600" s="9695"/>
      <c r="AQ600" s="9695"/>
      <c r="AR600" s="9695"/>
      <c r="AS600" s="9695"/>
      <c r="AT600" s="9696"/>
      <c r="AU600" s="9697"/>
      <c r="AV600" s="9697"/>
      <c r="AW600" s="9697"/>
      <c r="AX600" s="9689"/>
      <c r="AY600" s="9692"/>
      <c r="AZ600" s="9697"/>
      <c r="BA600" s="9689"/>
      <c r="BB600" s="9691"/>
      <c r="BC600" s="9692"/>
      <c r="BD600" s="9698"/>
      <c r="BF600" s="9223"/>
      <c r="BG600" s="9223"/>
      <c r="BH600" s="9223"/>
      <c r="BI600" s="9223"/>
      <c r="BJ600" s="9223"/>
      <c r="BK600" s="9223"/>
      <c r="BL600" s="9223"/>
      <c r="BM600" s="9223"/>
      <c r="BN600" s="9223"/>
    </row>
    <row r="601" spans="1:66" ht="29.25" hidden="1" customHeight="1">
      <c r="A601" s="9221">
        <v>374</v>
      </c>
      <c r="B601" s="9222" t="s">
        <v>7950</v>
      </c>
      <c r="C601" s="13595"/>
      <c r="D601" s="11993" t="s">
        <v>218</v>
      </c>
      <c r="E601" s="11994" t="s">
        <v>768</v>
      </c>
      <c r="F601" s="11994"/>
      <c r="G601" s="11995" t="s">
        <v>4977</v>
      </c>
      <c r="H601" s="11996" t="s">
        <v>772</v>
      </c>
      <c r="I601" s="12142">
        <v>200</v>
      </c>
      <c r="K601" s="9689"/>
      <c r="L601" s="9690"/>
      <c r="M601" s="9690"/>
      <c r="N601" s="9691"/>
      <c r="O601" s="9691"/>
      <c r="P601" s="9692"/>
      <c r="Q601" s="9693"/>
      <c r="R601" s="9694"/>
      <c r="S601" s="9695"/>
      <c r="T601" s="9696"/>
      <c r="U601" s="9693"/>
      <c r="V601" s="9694"/>
      <c r="W601" s="9696"/>
      <c r="X601" s="9694"/>
      <c r="Y601" s="9696"/>
      <c r="Z601" s="9694"/>
      <c r="AA601" s="9695"/>
      <c r="AB601" s="9695"/>
      <c r="AC601" s="9695"/>
      <c r="AD601" s="9695"/>
      <c r="AE601" s="9695"/>
      <c r="AF601" s="9696"/>
      <c r="AG601" s="9694"/>
      <c r="AH601" s="9695"/>
      <c r="AI601" s="9695"/>
      <c r="AJ601" s="9695"/>
      <c r="AK601" s="9695"/>
      <c r="AL601" s="9695"/>
      <c r="AM601" s="9695"/>
      <c r="AN601" s="9696"/>
      <c r="AO601" s="9694"/>
      <c r="AP601" s="9695"/>
      <c r="AQ601" s="9695"/>
      <c r="AR601" s="9695"/>
      <c r="AS601" s="9695"/>
      <c r="AT601" s="9696"/>
      <c r="AU601" s="9697"/>
      <c r="AV601" s="9697"/>
      <c r="AW601" s="9697"/>
      <c r="AX601" s="9689"/>
      <c r="AY601" s="9692"/>
      <c r="AZ601" s="9697"/>
      <c r="BA601" s="9689"/>
      <c r="BB601" s="9691"/>
      <c r="BC601" s="9692"/>
      <c r="BD601" s="9698"/>
      <c r="BF601" s="9223"/>
      <c r="BG601" s="9223"/>
      <c r="BH601" s="9223"/>
      <c r="BI601" s="9223"/>
      <c r="BJ601" s="9223"/>
      <c r="BK601" s="9223"/>
      <c r="BL601" s="9223"/>
      <c r="BM601" s="9223"/>
      <c r="BN601" s="9223"/>
    </row>
    <row r="602" spans="1:66" ht="29.25" hidden="1" customHeight="1">
      <c r="A602" s="13719">
        <v>375</v>
      </c>
      <c r="B602" s="14099" t="s">
        <v>7951</v>
      </c>
      <c r="C602" s="13595"/>
      <c r="D602" s="11993" t="s">
        <v>218</v>
      </c>
      <c r="E602" s="11994" t="s">
        <v>768</v>
      </c>
      <c r="F602" s="12143"/>
      <c r="G602" s="14100" t="s">
        <v>4978</v>
      </c>
      <c r="H602" s="13474" t="s">
        <v>774</v>
      </c>
      <c r="I602" s="14113">
        <v>4</v>
      </c>
      <c r="K602" s="9699"/>
      <c r="L602" s="9700"/>
      <c r="M602" s="9700"/>
      <c r="N602" s="9701"/>
      <c r="O602" s="9701"/>
      <c r="P602" s="9702"/>
      <c r="Q602" s="9703"/>
      <c r="R602" s="9704"/>
      <c r="S602" s="9705"/>
      <c r="T602" s="9706"/>
      <c r="U602" s="9703"/>
      <c r="V602" s="9704"/>
      <c r="W602" s="9706"/>
      <c r="X602" s="9704"/>
      <c r="Y602" s="9706"/>
      <c r="Z602" s="9704"/>
      <c r="AA602" s="9705"/>
      <c r="AB602" s="9705"/>
      <c r="AC602" s="9705"/>
      <c r="AD602" s="9705"/>
      <c r="AE602" s="9705"/>
      <c r="AF602" s="9706"/>
      <c r="AG602" s="9704"/>
      <c r="AH602" s="9705"/>
      <c r="AI602" s="9705"/>
      <c r="AJ602" s="9705"/>
      <c r="AK602" s="9705"/>
      <c r="AL602" s="9705"/>
      <c r="AM602" s="9705"/>
      <c r="AN602" s="9706"/>
      <c r="AO602" s="9704"/>
      <c r="AP602" s="9705"/>
      <c r="AQ602" s="9705"/>
      <c r="AR602" s="9705"/>
      <c r="AS602" s="9705"/>
      <c r="AT602" s="9706"/>
      <c r="AU602" s="9707"/>
      <c r="AV602" s="9707"/>
      <c r="AW602" s="9707"/>
      <c r="AX602" s="9699"/>
      <c r="AY602" s="9702"/>
      <c r="AZ602" s="9707"/>
      <c r="BA602" s="9699"/>
      <c r="BB602" s="9701"/>
      <c r="BC602" s="9702"/>
      <c r="BD602" s="9708"/>
      <c r="BF602" s="14495"/>
      <c r="BG602" s="14495"/>
      <c r="BH602" s="14495"/>
      <c r="BI602" s="14495"/>
      <c r="BJ602" s="14495"/>
      <c r="BK602" s="9223"/>
      <c r="BL602" s="14495"/>
      <c r="BM602" s="14495"/>
      <c r="BN602" s="14495"/>
    </row>
    <row r="603" spans="1:66" ht="29.25" hidden="1" customHeight="1">
      <c r="A603" s="13719"/>
      <c r="B603" s="14099"/>
      <c r="C603" s="13595"/>
      <c r="D603" s="11993" t="s">
        <v>10063</v>
      </c>
      <c r="E603" s="11994"/>
      <c r="F603" s="12143" t="s">
        <v>144</v>
      </c>
      <c r="G603" s="14100"/>
      <c r="H603" s="13474"/>
      <c r="I603" s="14113"/>
      <c r="K603" s="9699"/>
      <c r="L603" s="9700"/>
      <c r="M603" s="9700"/>
      <c r="N603" s="9701"/>
      <c r="O603" s="9701"/>
      <c r="P603" s="9702"/>
      <c r="Q603" s="9703"/>
      <c r="R603" s="9704"/>
      <c r="S603" s="9705"/>
      <c r="T603" s="9706"/>
      <c r="U603" s="9703"/>
      <c r="V603" s="9704"/>
      <c r="W603" s="9706"/>
      <c r="X603" s="9704"/>
      <c r="Y603" s="9706"/>
      <c r="Z603" s="9704"/>
      <c r="AA603" s="9705"/>
      <c r="AB603" s="9705"/>
      <c r="AC603" s="9705"/>
      <c r="AD603" s="9705"/>
      <c r="AE603" s="9705"/>
      <c r="AF603" s="9706"/>
      <c r="AG603" s="9704"/>
      <c r="AH603" s="9705"/>
      <c r="AI603" s="9705"/>
      <c r="AJ603" s="9705"/>
      <c r="AK603" s="9705"/>
      <c r="AL603" s="9705"/>
      <c r="AM603" s="9705"/>
      <c r="AN603" s="9706"/>
      <c r="AO603" s="9704"/>
      <c r="AP603" s="9705"/>
      <c r="AQ603" s="9705"/>
      <c r="AR603" s="9705"/>
      <c r="AS603" s="9705"/>
      <c r="AT603" s="9706"/>
      <c r="AU603" s="9707"/>
      <c r="AV603" s="9707"/>
      <c r="AW603" s="9707"/>
      <c r="AX603" s="9699"/>
      <c r="AY603" s="9702"/>
      <c r="AZ603" s="9707"/>
      <c r="BA603" s="9699"/>
      <c r="BB603" s="9701"/>
      <c r="BC603" s="9702"/>
      <c r="BD603" s="9708"/>
      <c r="BF603" s="14495"/>
      <c r="BG603" s="14495"/>
      <c r="BH603" s="14495"/>
      <c r="BI603" s="14495"/>
      <c r="BJ603" s="14495"/>
      <c r="BK603" s="9223"/>
      <c r="BL603" s="14495"/>
      <c r="BM603" s="14495"/>
      <c r="BN603" s="14495"/>
    </row>
    <row r="604" spans="1:66" ht="29.25" hidden="1" customHeight="1">
      <c r="A604" s="9221">
        <v>376</v>
      </c>
      <c r="B604" s="9222" t="s">
        <v>7952</v>
      </c>
      <c r="C604" s="13595"/>
      <c r="D604" s="11993" t="s">
        <v>218</v>
      </c>
      <c r="E604" s="11994" t="s">
        <v>768</v>
      </c>
      <c r="F604" s="11994"/>
      <c r="G604" s="11995" t="s">
        <v>4979</v>
      </c>
      <c r="H604" s="11996" t="s">
        <v>132</v>
      </c>
      <c r="I604" s="12142">
        <v>50</v>
      </c>
      <c r="K604" s="9689"/>
      <c r="L604" s="9690"/>
      <c r="M604" s="9690"/>
      <c r="N604" s="9691"/>
      <c r="O604" s="9691"/>
      <c r="P604" s="9692"/>
      <c r="Q604" s="9693"/>
      <c r="R604" s="9694"/>
      <c r="S604" s="9695"/>
      <c r="T604" s="9696"/>
      <c r="U604" s="9693"/>
      <c r="V604" s="9694"/>
      <c r="W604" s="9696"/>
      <c r="X604" s="9694"/>
      <c r="Y604" s="9696"/>
      <c r="Z604" s="9694"/>
      <c r="AA604" s="9695"/>
      <c r="AB604" s="9695"/>
      <c r="AC604" s="9695"/>
      <c r="AD604" s="9695"/>
      <c r="AE604" s="9695"/>
      <c r="AF604" s="9696"/>
      <c r="AG604" s="9694"/>
      <c r="AH604" s="9695"/>
      <c r="AI604" s="9695"/>
      <c r="AJ604" s="9695"/>
      <c r="AK604" s="9695"/>
      <c r="AL604" s="9695"/>
      <c r="AM604" s="9695"/>
      <c r="AN604" s="9696"/>
      <c r="AO604" s="9694"/>
      <c r="AP604" s="9695"/>
      <c r="AQ604" s="9695"/>
      <c r="AR604" s="9695"/>
      <c r="AS604" s="9695"/>
      <c r="AT604" s="9696"/>
      <c r="AU604" s="9697"/>
      <c r="AV604" s="9697"/>
      <c r="AW604" s="9697"/>
      <c r="AX604" s="9689"/>
      <c r="AY604" s="9692"/>
      <c r="AZ604" s="9697"/>
      <c r="BA604" s="9689"/>
      <c r="BB604" s="9691"/>
      <c r="BC604" s="9692"/>
      <c r="BD604" s="9698"/>
      <c r="BF604" s="9223"/>
      <c r="BG604" s="9223"/>
      <c r="BH604" s="9223"/>
      <c r="BI604" s="9223"/>
      <c r="BJ604" s="9223"/>
      <c r="BK604" s="9223"/>
      <c r="BL604" s="9223"/>
      <c r="BM604" s="9223"/>
      <c r="BN604" s="9223"/>
    </row>
    <row r="605" spans="1:66" ht="29.25" hidden="1" customHeight="1">
      <c r="A605" s="9221">
        <v>377</v>
      </c>
      <c r="B605" s="9222" t="s">
        <v>7953</v>
      </c>
      <c r="C605" s="13595"/>
      <c r="D605" s="11993" t="s">
        <v>218</v>
      </c>
      <c r="E605" s="11994" t="s">
        <v>768</v>
      </c>
      <c r="F605" s="11994"/>
      <c r="G605" s="11995" t="s">
        <v>4980</v>
      </c>
      <c r="H605" s="11996" t="s">
        <v>757</v>
      </c>
      <c r="I605" s="12142">
        <v>6</v>
      </c>
      <c r="K605" s="9689"/>
      <c r="L605" s="9690"/>
      <c r="M605" s="9690"/>
      <c r="N605" s="9691"/>
      <c r="O605" s="9691"/>
      <c r="P605" s="9692"/>
      <c r="Q605" s="9693"/>
      <c r="R605" s="9694"/>
      <c r="S605" s="9695"/>
      <c r="T605" s="9696"/>
      <c r="U605" s="9693"/>
      <c r="V605" s="9694"/>
      <c r="W605" s="9696"/>
      <c r="X605" s="9694"/>
      <c r="Y605" s="9696"/>
      <c r="Z605" s="9694"/>
      <c r="AA605" s="9695"/>
      <c r="AB605" s="9695"/>
      <c r="AC605" s="9695"/>
      <c r="AD605" s="9695"/>
      <c r="AE605" s="9695"/>
      <c r="AF605" s="9696"/>
      <c r="AG605" s="9694"/>
      <c r="AH605" s="9695"/>
      <c r="AI605" s="9695"/>
      <c r="AJ605" s="9695"/>
      <c r="AK605" s="9695"/>
      <c r="AL605" s="9695"/>
      <c r="AM605" s="9695"/>
      <c r="AN605" s="9696"/>
      <c r="AO605" s="9694"/>
      <c r="AP605" s="9695"/>
      <c r="AQ605" s="9695"/>
      <c r="AR605" s="9695"/>
      <c r="AS605" s="9695"/>
      <c r="AT605" s="9696"/>
      <c r="AU605" s="9697"/>
      <c r="AV605" s="9697"/>
      <c r="AW605" s="9697"/>
      <c r="AX605" s="9689"/>
      <c r="AY605" s="9692"/>
      <c r="AZ605" s="9697"/>
      <c r="BA605" s="9689"/>
      <c r="BB605" s="9691"/>
      <c r="BC605" s="9692"/>
      <c r="BD605" s="9698"/>
      <c r="BF605" s="9223"/>
      <c r="BG605" s="9223"/>
      <c r="BH605" s="9223"/>
      <c r="BI605" s="9223"/>
      <c r="BJ605" s="9223"/>
      <c r="BK605" s="9223"/>
      <c r="BL605" s="9223"/>
      <c r="BM605" s="9223"/>
      <c r="BN605" s="9223"/>
    </row>
    <row r="606" spans="1:66" ht="29.25" hidden="1" customHeight="1">
      <c r="A606" s="9221">
        <v>378</v>
      </c>
      <c r="B606" s="9222" t="s">
        <v>7954</v>
      </c>
      <c r="C606" s="13595"/>
      <c r="D606" s="11993" t="s">
        <v>218</v>
      </c>
      <c r="E606" s="11994" t="s">
        <v>768</v>
      </c>
      <c r="F606" s="11994"/>
      <c r="G606" s="11995" t="s">
        <v>4981</v>
      </c>
      <c r="H606" s="11996" t="s">
        <v>778</v>
      </c>
      <c r="I606" s="12142">
        <v>20</v>
      </c>
      <c r="K606" s="9689"/>
      <c r="L606" s="9690"/>
      <c r="M606" s="9690"/>
      <c r="N606" s="9691"/>
      <c r="O606" s="9691"/>
      <c r="P606" s="9692"/>
      <c r="Q606" s="9693"/>
      <c r="R606" s="9694"/>
      <c r="S606" s="9695"/>
      <c r="T606" s="9696"/>
      <c r="U606" s="9693"/>
      <c r="V606" s="9694"/>
      <c r="W606" s="9696"/>
      <c r="X606" s="9694"/>
      <c r="Y606" s="9696"/>
      <c r="Z606" s="9694"/>
      <c r="AA606" s="9695"/>
      <c r="AB606" s="9695"/>
      <c r="AC606" s="9695"/>
      <c r="AD606" s="9695"/>
      <c r="AE606" s="9695"/>
      <c r="AF606" s="9696"/>
      <c r="AG606" s="9694"/>
      <c r="AH606" s="9695"/>
      <c r="AI606" s="9695"/>
      <c r="AJ606" s="9695"/>
      <c r="AK606" s="9695"/>
      <c r="AL606" s="9695"/>
      <c r="AM606" s="9695"/>
      <c r="AN606" s="9696"/>
      <c r="AO606" s="9694"/>
      <c r="AP606" s="9695"/>
      <c r="AQ606" s="9695"/>
      <c r="AR606" s="9695"/>
      <c r="AS606" s="9695"/>
      <c r="AT606" s="9696"/>
      <c r="AU606" s="9697"/>
      <c r="AV606" s="9697"/>
      <c r="AW606" s="9697"/>
      <c r="AX606" s="9689"/>
      <c r="AY606" s="9692"/>
      <c r="AZ606" s="9697"/>
      <c r="BA606" s="9689"/>
      <c r="BB606" s="9691"/>
      <c r="BC606" s="9692"/>
      <c r="BD606" s="9698"/>
      <c r="BF606" s="9223"/>
      <c r="BG606" s="9223"/>
      <c r="BH606" s="9223"/>
      <c r="BI606" s="9223"/>
      <c r="BJ606" s="9223"/>
      <c r="BK606" s="9223"/>
      <c r="BL606" s="9223"/>
      <c r="BM606" s="9223"/>
      <c r="BN606" s="9223"/>
    </row>
    <row r="607" spans="1:66" ht="29.25" hidden="1" customHeight="1">
      <c r="A607" s="9221">
        <v>379</v>
      </c>
      <c r="B607" s="9222" t="s">
        <v>7955</v>
      </c>
      <c r="C607" s="13595"/>
      <c r="D607" s="11993" t="s">
        <v>218</v>
      </c>
      <c r="E607" s="11994" t="s">
        <v>768</v>
      </c>
      <c r="F607" s="11994"/>
      <c r="G607" s="11995" t="s">
        <v>4982</v>
      </c>
      <c r="H607" s="11996" t="s">
        <v>780</v>
      </c>
      <c r="I607" s="12142">
        <v>1</v>
      </c>
      <c r="K607" s="9689"/>
      <c r="L607" s="9690"/>
      <c r="M607" s="9690"/>
      <c r="N607" s="9691"/>
      <c r="O607" s="9691"/>
      <c r="P607" s="9692"/>
      <c r="Q607" s="9693"/>
      <c r="R607" s="9694"/>
      <c r="S607" s="9695"/>
      <c r="T607" s="9696"/>
      <c r="U607" s="9693"/>
      <c r="V607" s="9694"/>
      <c r="W607" s="9696"/>
      <c r="X607" s="9694"/>
      <c r="Y607" s="9696"/>
      <c r="Z607" s="9694"/>
      <c r="AA607" s="9695"/>
      <c r="AB607" s="9695"/>
      <c r="AC607" s="9695"/>
      <c r="AD607" s="9695"/>
      <c r="AE607" s="9695"/>
      <c r="AF607" s="9696"/>
      <c r="AG607" s="9694"/>
      <c r="AH607" s="9695"/>
      <c r="AI607" s="9695"/>
      <c r="AJ607" s="9695"/>
      <c r="AK607" s="9695"/>
      <c r="AL607" s="9695"/>
      <c r="AM607" s="9695"/>
      <c r="AN607" s="9696"/>
      <c r="AO607" s="9694"/>
      <c r="AP607" s="9695"/>
      <c r="AQ607" s="9695"/>
      <c r="AR607" s="9695"/>
      <c r="AS607" s="9695"/>
      <c r="AT607" s="9696"/>
      <c r="AU607" s="9697"/>
      <c r="AV607" s="9697"/>
      <c r="AW607" s="9697"/>
      <c r="AX607" s="9689"/>
      <c r="AY607" s="9692"/>
      <c r="AZ607" s="9697"/>
      <c r="BA607" s="9689"/>
      <c r="BB607" s="9691"/>
      <c r="BC607" s="9692"/>
      <c r="BD607" s="9698"/>
      <c r="BF607" s="9223"/>
      <c r="BG607" s="9223"/>
      <c r="BH607" s="9223"/>
      <c r="BI607" s="9223"/>
      <c r="BJ607" s="9223"/>
      <c r="BK607" s="9223"/>
      <c r="BL607" s="9223"/>
      <c r="BM607" s="9223"/>
      <c r="BN607" s="9223"/>
    </row>
    <row r="608" spans="1:66" ht="29.25" hidden="1" customHeight="1">
      <c r="A608" s="9221">
        <v>380</v>
      </c>
      <c r="B608" s="9222" t="s">
        <v>7956</v>
      </c>
      <c r="C608" s="13595"/>
      <c r="D608" s="11993" t="s">
        <v>218</v>
      </c>
      <c r="E608" s="11994" t="s">
        <v>768</v>
      </c>
      <c r="F608" s="11994"/>
      <c r="G608" s="11995" t="s">
        <v>4983</v>
      </c>
      <c r="H608" s="11996" t="s">
        <v>783</v>
      </c>
      <c r="I608" s="12142">
        <v>1</v>
      </c>
      <c r="K608" s="9689"/>
      <c r="L608" s="9690"/>
      <c r="M608" s="9690"/>
      <c r="N608" s="9691"/>
      <c r="O608" s="9691"/>
      <c r="P608" s="9692"/>
      <c r="Q608" s="9693"/>
      <c r="R608" s="9694"/>
      <c r="S608" s="9695"/>
      <c r="T608" s="9696"/>
      <c r="U608" s="9693"/>
      <c r="V608" s="9694"/>
      <c r="W608" s="9696"/>
      <c r="X608" s="9694"/>
      <c r="Y608" s="9696"/>
      <c r="Z608" s="9694"/>
      <c r="AA608" s="9695"/>
      <c r="AB608" s="9695"/>
      <c r="AC608" s="9695"/>
      <c r="AD608" s="9695"/>
      <c r="AE608" s="9695"/>
      <c r="AF608" s="9696"/>
      <c r="AG608" s="9694"/>
      <c r="AH608" s="9695"/>
      <c r="AI608" s="9695"/>
      <c r="AJ608" s="9695"/>
      <c r="AK608" s="9695"/>
      <c r="AL608" s="9695"/>
      <c r="AM608" s="9695"/>
      <c r="AN608" s="9696"/>
      <c r="AO608" s="9694"/>
      <c r="AP608" s="9695"/>
      <c r="AQ608" s="9695"/>
      <c r="AR608" s="9695"/>
      <c r="AS608" s="9695"/>
      <c r="AT608" s="9696"/>
      <c r="AU608" s="9697"/>
      <c r="AV608" s="9697"/>
      <c r="AW608" s="9697"/>
      <c r="AX608" s="9689"/>
      <c r="AY608" s="9692"/>
      <c r="AZ608" s="9697"/>
      <c r="BA608" s="9689"/>
      <c r="BB608" s="9691"/>
      <c r="BC608" s="9692"/>
      <c r="BD608" s="9698"/>
      <c r="BF608" s="9223"/>
      <c r="BG608" s="9223"/>
      <c r="BH608" s="9223"/>
      <c r="BI608" s="9223"/>
      <c r="BJ608" s="9223"/>
      <c r="BK608" s="9223"/>
      <c r="BL608" s="9223"/>
      <c r="BM608" s="9223"/>
      <c r="BN608" s="9223"/>
    </row>
    <row r="609" spans="1:66" ht="29.25" hidden="1" customHeight="1">
      <c r="A609" s="13719">
        <v>381</v>
      </c>
      <c r="B609" s="14099" t="s">
        <v>7957</v>
      </c>
      <c r="C609" s="13595"/>
      <c r="D609" s="11993" t="s">
        <v>218</v>
      </c>
      <c r="E609" s="11994" t="s">
        <v>768</v>
      </c>
      <c r="F609" s="11994"/>
      <c r="G609" s="14100" t="s">
        <v>4984</v>
      </c>
      <c r="H609" s="13474" t="s">
        <v>785</v>
      </c>
      <c r="I609" s="14114">
        <v>0.3</v>
      </c>
      <c r="K609" s="9709"/>
      <c r="L609" s="9700"/>
      <c r="M609" s="9700"/>
      <c r="N609" s="9710"/>
      <c r="O609" s="9710"/>
      <c r="P609" s="9711"/>
      <c r="Q609" s="9703"/>
      <c r="R609" s="9704"/>
      <c r="S609" s="9705"/>
      <c r="T609" s="9706"/>
      <c r="U609" s="9703"/>
      <c r="V609" s="9704"/>
      <c r="W609" s="9706"/>
      <c r="X609" s="9704"/>
      <c r="Y609" s="9706"/>
      <c r="Z609" s="9704"/>
      <c r="AA609" s="9705"/>
      <c r="AB609" s="9705"/>
      <c r="AC609" s="9705"/>
      <c r="AD609" s="9705"/>
      <c r="AE609" s="9705"/>
      <c r="AF609" s="9706"/>
      <c r="AG609" s="9704"/>
      <c r="AH609" s="9705"/>
      <c r="AI609" s="9705"/>
      <c r="AJ609" s="9705"/>
      <c r="AK609" s="9705"/>
      <c r="AL609" s="9705"/>
      <c r="AM609" s="9705"/>
      <c r="AN609" s="9706"/>
      <c r="AO609" s="9704"/>
      <c r="AP609" s="9705"/>
      <c r="AQ609" s="9705"/>
      <c r="AR609" s="9705"/>
      <c r="AS609" s="9705"/>
      <c r="AT609" s="9706"/>
      <c r="AU609" s="9712"/>
      <c r="AV609" s="9712"/>
      <c r="AW609" s="9712"/>
      <c r="AX609" s="9709"/>
      <c r="AY609" s="9711"/>
      <c r="AZ609" s="9712"/>
      <c r="BA609" s="9709"/>
      <c r="BB609" s="9710"/>
      <c r="BC609" s="9711"/>
      <c r="BD609" s="9713"/>
      <c r="BF609" s="14495"/>
      <c r="BG609" s="14495"/>
      <c r="BH609" s="14495"/>
      <c r="BI609" s="14495"/>
      <c r="BJ609" s="14495"/>
      <c r="BK609" s="9223"/>
      <c r="BL609" s="14495"/>
      <c r="BM609" s="14495"/>
      <c r="BN609" s="14495"/>
    </row>
    <row r="610" spans="1:66" ht="29.25" hidden="1" customHeight="1">
      <c r="A610" s="13719"/>
      <c r="B610" s="14099"/>
      <c r="C610" s="13595"/>
      <c r="D610" s="11993" t="s">
        <v>10092</v>
      </c>
      <c r="E610" s="11994"/>
      <c r="F610" s="11994" t="s">
        <v>787</v>
      </c>
      <c r="G610" s="14100"/>
      <c r="H610" s="13474"/>
      <c r="I610" s="14114"/>
      <c r="K610" s="9709"/>
      <c r="L610" s="9700"/>
      <c r="M610" s="9700"/>
      <c r="N610" s="9710"/>
      <c r="O610" s="9710"/>
      <c r="P610" s="9711"/>
      <c r="Q610" s="9703"/>
      <c r="R610" s="9704"/>
      <c r="S610" s="9705"/>
      <c r="T610" s="9706"/>
      <c r="U610" s="9703"/>
      <c r="V610" s="9704"/>
      <c r="W610" s="9706"/>
      <c r="X610" s="9704"/>
      <c r="Y610" s="9706"/>
      <c r="Z610" s="9704"/>
      <c r="AA610" s="9705"/>
      <c r="AB610" s="9705"/>
      <c r="AC610" s="9705"/>
      <c r="AD610" s="9705"/>
      <c r="AE610" s="9705"/>
      <c r="AF610" s="9706"/>
      <c r="AG610" s="9704"/>
      <c r="AH610" s="9705"/>
      <c r="AI610" s="9705"/>
      <c r="AJ610" s="9705"/>
      <c r="AK610" s="9705"/>
      <c r="AL610" s="9705"/>
      <c r="AM610" s="9705"/>
      <c r="AN610" s="9706"/>
      <c r="AO610" s="9704"/>
      <c r="AP610" s="9705"/>
      <c r="AQ610" s="9705"/>
      <c r="AR610" s="9705"/>
      <c r="AS610" s="9705"/>
      <c r="AT610" s="9706"/>
      <c r="AU610" s="9712"/>
      <c r="AV610" s="9712"/>
      <c r="AW610" s="9712"/>
      <c r="AX610" s="9709"/>
      <c r="AY610" s="9711"/>
      <c r="AZ610" s="9712"/>
      <c r="BA610" s="9709"/>
      <c r="BB610" s="9710"/>
      <c r="BC610" s="9711"/>
      <c r="BD610" s="9713"/>
      <c r="BF610" s="14495"/>
      <c r="BG610" s="14495"/>
      <c r="BH610" s="14495"/>
      <c r="BI610" s="14495"/>
      <c r="BJ610" s="14495"/>
      <c r="BK610" s="9223"/>
      <c r="BL610" s="14495"/>
      <c r="BM610" s="14495"/>
      <c r="BN610" s="14495"/>
    </row>
    <row r="611" spans="1:66" ht="29.25" hidden="1" customHeight="1">
      <c r="A611" s="9221">
        <v>382</v>
      </c>
      <c r="B611" s="9222" t="s">
        <v>7958</v>
      </c>
      <c r="C611" s="13595"/>
      <c r="D611" s="11993" t="s">
        <v>218</v>
      </c>
      <c r="E611" s="11994" t="s">
        <v>768</v>
      </c>
      <c r="F611" s="11994"/>
      <c r="G611" s="11995" t="s">
        <v>4985</v>
      </c>
      <c r="H611" s="11996" t="s">
        <v>789</v>
      </c>
      <c r="I611" s="12142">
        <v>1</v>
      </c>
      <c r="K611" s="9689"/>
      <c r="L611" s="9690"/>
      <c r="M611" s="9690"/>
      <c r="N611" s="9691"/>
      <c r="O611" s="9691"/>
      <c r="P611" s="9692"/>
      <c r="Q611" s="9693"/>
      <c r="R611" s="9694"/>
      <c r="S611" s="9695"/>
      <c r="T611" s="9696"/>
      <c r="U611" s="9693"/>
      <c r="V611" s="9694"/>
      <c r="W611" s="9696"/>
      <c r="X611" s="9694"/>
      <c r="Y611" s="9696"/>
      <c r="Z611" s="9694"/>
      <c r="AA611" s="9695"/>
      <c r="AB611" s="9695"/>
      <c r="AC611" s="9695"/>
      <c r="AD611" s="9695"/>
      <c r="AE611" s="9695"/>
      <c r="AF611" s="9696"/>
      <c r="AG611" s="9694"/>
      <c r="AH611" s="9695"/>
      <c r="AI611" s="9695"/>
      <c r="AJ611" s="9695"/>
      <c r="AK611" s="9695"/>
      <c r="AL611" s="9695"/>
      <c r="AM611" s="9695"/>
      <c r="AN611" s="9696"/>
      <c r="AO611" s="9694"/>
      <c r="AP611" s="9695"/>
      <c r="AQ611" s="9695"/>
      <c r="AR611" s="9695"/>
      <c r="AS611" s="9695"/>
      <c r="AT611" s="9696"/>
      <c r="AU611" s="9697"/>
      <c r="AV611" s="9697"/>
      <c r="AW611" s="9697"/>
      <c r="AX611" s="9689"/>
      <c r="AY611" s="9692"/>
      <c r="AZ611" s="9697"/>
      <c r="BA611" s="9689"/>
      <c r="BB611" s="9691"/>
      <c r="BC611" s="9692"/>
      <c r="BD611" s="9698"/>
      <c r="BF611" s="9223"/>
      <c r="BG611" s="9223"/>
      <c r="BH611" s="9223"/>
      <c r="BI611" s="9223"/>
      <c r="BJ611" s="9223"/>
      <c r="BK611" s="9223"/>
      <c r="BL611" s="9223"/>
      <c r="BM611" s="9223"/>
      <c r="BN611" s="9223"/>
    </row>
    <row r="612" spans="1:66" ht="29.25" hidden="1" customHeight="1">
      <c r="A612" s="13719">
        <v>383</v>
      </c>
      <c r="B612" s="14099" t="s">
        <v>7959</v>
      </c>
      <c r="C612" s="13595"/>
      <c r="D612" s="11993" t="s">
        <v>218</v>
      </c>
      <c r="E612" s="11994" t="s">
        <v>768</v>
      </c>
      <c r="F612" s="11994"/>
      <c r="G612" s="14100" t="s">
        <v>4986</v>
      </c>
      <c r="H612" s="13474" t="s">
        <v>791</v>
      </c>
      <c r="I612" s="14114">
        <v>1</v>
      </c>
      <c r="K612" s="9709"/>
      <c r="L612" s="9700"/>
      <c r="M612" s="9700"/>
      <c r="N612" s="9710"/>
      <c r="O612" s="9710"/>
      <c r="P612" s="9711"/>
      <c r="Q612" s="9703"/>
      <c r="R612" s="9704"/>
      <c r="S612" s="9705"/>
      <c r="T612" s="9706"/>
      <c r="U612" s="9703"/>
      <c r="V612" s="9704"/>
      <c r="W612" s="9706"/>
      <c r="X612" s="9704"/>
      <c r="Y612" s="9706"/>
      <c r="Z612" s="9704"/>
      <c r="AA612" s="9705"/>
      <c r="AB612" s="9705"/>
      <c r="AC612" s="9705"/>
      <c r="AD612" s="9705"/>
      <c r="AE612" s="9705"/>
      <c r="AF612" s="9706"/>
      <c r="AG612" s="9704"/>
      <c r="AH612" s="9705"/>
      <c r="AI612" s="9705"/>
      <c r="AJ612" s="9705"/>
      <c r="AK612" s="9705"/>
      <c r="AL612" s="9705"/>
      <c r="AM612" s="9705"/>
      <c r="AN612" s="9706"/>
      <c r="AO612" s="9704"/>
      <c r="AP612" s="9705"/>
      <c r="AQ612" s="9705"/>
      <c r="AR612" s="9705"/>
      <c r="AS612" s="9705"/>
      <c r="AT612" s="9706"/>
      <c r="AU612" s="9712"/>
      <c r="AV612" s="9712"/>
      <c r="AW612" s="9712"/>
      <c r="AX612" s="9709"/>
      <c r="AY612" s="9711"/>
      <c r="AZ612" s="9712"/>
      <c r="BA612" s="9709"/>
      <c r="BB612" s="9710"/>
      <c r="BC612" s="9711"/>
      <c r="BD612" s="9713"/>
      <c r="BF612" s="14495"/>
      <c r="BG612" s="14495"/>
      <c r="BH612" s="14495"/>
      <c r="BI612" s="14495"/>
      <c r="BJ612" s="14495"/>
      <c r="BK612" s="9223"/>
      <c r="BL612" s="14495"/>
      <c r="BM612" s="14495"/>
      <c r="BN612" s="14495"/>
    </row>
    <row r="613" spans="1:66" ht="29.25" hidden="1" customHeight="1">
      <c r="A613" s="13719"/>
      <c r="B613" s="14099"/>
      <c r="C613" s="13595"/>
      <c r="D613" s="11993" t="s">
        <v>10092</v>
      </c>
      <c r="E613" s="11994"/>
      <c r="F613" s="11994" t="s">
        <v>787</v>
      </c>
      <c r="G613" s="14100"/>
      <c r="H613" s="13474"/>
      <c r="I613" s="14114"/>
      <c r="K613" s="9709"/>
      <c r="L613" s="9700"/>
      <c r="M613" s="9700"/>
      <c r="N613" s="9710"/>
      <c r="O613" s="9710"/>
      <c r="P613" s="9711"/>
      <c r="Q613" s="9703"/>
      <c r="R613" s="9704"/>
      <c r="S613" s="9705"/>
      <c r="T613" s="9706"/>
      <c r="U613" s="9703"/>
      <c r="V613" s="9704"/>
      <c r="W613" s="9706"/>
      <c r="X613" s="9704"/>
      <c r="Y613" s="9706"/>
      <c r="Z613" s="9704"/>
      <c r="AA613" s="9705"/>
      <c r="AB613" s="9705"/>
      <c r="AC613" s="9705"/>
      <c r="AD613" s="9705"/>
      <c r="AE613" s="9705"/>
      <c r="AF613" s="9706"/>
      <c r="AG613" s="9704"/>
      <c r="AH613" s="9705"/>
      <c r="AI613" s="9705"/>
      <c r="AJ613" s="9705"/>
      <c r="AK613" s="9705"/>
      <c r="AL613" s="9705"/>
      <c r="AM613" s="9705"/>
      <c r="AN613" s="9706"/>
      <c r="AO613" s="9704"/>
      <c r="AP613" s="9705"/>
      <c r="AQ613" s="9705"/>
      <c r="AR613" s="9705"/>
      <c r="AS613" s="9705"/>
      <c r="AT613" s="9706"/>
      <c r="AU613" s="9712"/>
      <c r="AV613" s="9712"/>
      <c r="AW613" s="9712"/>
      <c r="AX613" s="9709"/>
      <c r="AY613" s="9711"/>
      <c r="AZ613" s="9712"/>
      <c r="BA613" s="9709"/>
      <c r="BB613" s="9710"/>
      <c r="BC613" s="9711"/>
      <c r="BD613" s="9713"/>
      <c r="BF613" s="14495"/>
      <c r="BG613" s="14495"/>
      <c r="BH613" s="14495"/>
      <c r="BI613" s="14495"/>
      <c r="BJ613" s="14495"/>
      <c r="BK613" s="9223"/>
      <c r="BL613" s="14495"/>
      <c r="BM613" s="14495"/>
      <c r="BN613" s="14495"/>
    </row>
    <row r="614" spans="1:66" ht="29.25" hidden="1" customHeight="1">
      <c r="A614" s="9221">
        <v>384</v>
      </c>
      <c r="B614" s="9222" t="s">
        <v>7960</v>
      </c>
      <c r="C614" s="13595"/>
      <c r="D614" s="11993" t="s">
        <v>218</v>
      </c>
      <c r="E614" s="11994" t="s">
        <v>768</v>
      </c>
      <c r="F614" s="11994"/>
      <c r="G614" s="11995" t="s">
        <v>4987</v>
      </c>
      <c r="H614" s="11996" t="s">
        <v>794</v>
      </c>
      <c r="I614" s="12142">
        <v>30</v>
      </c>
      <c r="K614" s="9689"/>
      <c r="L614" s="9690"/>
      <c r="M614" s="9690"/>
      <c r="N614" s="9691"/>
      <c r="O614" s="9691"/>
      <c r="P614" s="9692"/>
      <c r="Q614" s="9693"/>
      <c r="R614" s="9694"/>
      <c r="S614" s="9695"/>
      <c r="T614" s="9696"/>
      <c r="U614" s="9693"/>
      <c r="V614" s="9694"/>
      <c r="W614" s="9696"/>
      <c r="X614" s="9694"/>
      <c r="Y614" s="9696"/>
      <c r="Z614" s="9694"/>
      <c r="AA614" s="9695"/>
      <c r="AB614" s="9695"/>
      <c r="AC614" s="9695"/>
      <c r="AD614" s="9695"/>
      <c r="AE614" s="9695"/>
      <c r="AF614" s="9696"/>
      <c r="AG614" s="9694"/>
      <c r="AH614" s="9695"/>
      <c r="AI614" s="9695"/>
      <c r="AJ614" s="9695"/>
      <c r="AK614" s="9695"/>
      <c r="AL614" s="9695"/>
      <c r="AM614" s="9695"/>
      <c r="AN614" s="9696"/>
      <c r="AO614" s="9694"/>
      <c r="AP614" s="9695"/>
      <c r="AQ614" s="9695"/>
      <c r="AR614" s="9695"/>
      <c r="AS614" s="9695"/>
      <c r="AT614" s="9696"/>
      <c r="AU614" s="9697"/>
      <c r="AV614" s="9697"/>
      <c r="AW614" s="9697"/>
      <c r="AX614" s="9689"/>
      <c r="AY614" s="9692"/>
      <c r="AZ614" s="9697"/>
      <c r="BA614" s="9689"/>
      <c r="BB614" s="9691"/>
      <c r="BC614" s="9692"/>
      <c r="BD614" s="9698"/>
      <c r="BF614" s="9223"/>
      <c r="BG614" s="9223"/>
      <c r="BH614" s="9223"/>
      <c r="BI614" s="9223"/>
      <c r="BJ614" s="9223"/>
      <c r="BK614" s="9223"/>
      <c r="BL614" s="9223"/>
      <c r="BM614" s="9223"/>
      <c r="BN614" s="9223"/>
    </row>
    <row r="615" spans="1:66" ht="29.25" hidden="1" customHeight="1">
      <c r="A615" s="9221">
        <v>385</v>
      </c>
      <c r="B615" s="9222" t="s">
        <v>7961</v>
      </c>
      <c r="C615" s="13595"/>
      <c r="D615" s="11993" t="s">
        <v>218</v>
      </c>
      <c r="E615" s="11994" t="s">
        <v>768</v>
      </c>
      <c r="F615" s="11994"/>
      <c r="G615" s="11995" t="s">
        <v>4988</v>
      </c>
      <c r="H615" s="11996" t="s">
        <v>796</v>
      </c>
      <c r="I615" s="12142">
        <v>3</v>
      </c>
      <c r="K615" s="9689"/>
      <c r="L615" s="9690"/>
      <c r="M615" s="9690"/>
      <c r="N615" s="9691"/>
      <c r="O615" s="9691"/>
      <c r="P615" s="9692"/>
      <c r="Q615" s="9693"/>
      <c r="R615" s="9694"/>
      <c r="S615" s="9695"/>
      <c r="T615" s="9696"/>
      <c r="U615" s="9693"/>
      <c r="V615" s="9694"/>
      <c r="W615" s="9696"/>
      <c r="X615" s="9694"/>
      <c r="Y615" s="9696"/>
      <c r="Z615" s="9694"/>
      <c r="AA615" s="9695"/>
      <c r="AB615" s="9695"/>
      <c r="AC615" s="9695"/>
      <c r="AD615" s="9695"/>
      <c r="AE615" s="9695"/>
      <c r="AF615" s="9696"/>
      <c r="AG615" s="9694"/>
      <c r="AH615" s="9695"/>
      <c r="AI615" s="9695"/>
      <c r="AJ615" s="9695"/>
      <c r="AK615" s="9695"/>
      <c r="AL615" s="9695"/>
      <c r="AM615" s="9695"/>
      <c r="AN615" s="9696"/>
      <c r="AO615" s="9694"/>
      <c r="AP615" s="9695"/>
      <c r="AQ615" s="9695"/>
      <c r="AR615" s="9695"/>
      <c r="AS615" s="9695"/>
      <c r="AT615" s="9696"/>
      <c r="AU615" s="9697"/>
      <c r="AV615" s="9697"/>
      <c r="AW615" s="9697"/>
      <c r="AX615" s="9689"/>
      <c r="AY615" s="9692"/>
      <c r="AZ615" s="9697"/>
      <c r="BA615" s="9689"/>
      <c r="BB615" s="9691"/>
      <c r="BC615" s="9692"/>
      <c r="BD615" s="9698"/>
      <c r="BF615" s="9223"/>
      <c r="BG615" s="9223"/>
      <c r="BH615" s="9223"/>
      <c r="BI615" s="9223"/>
      <c r="BJ615" s="9223"/>
      <c r="BK615" s="9223"/>
      <c r="BL615" s="9223"/>
      <c r="BM615" s="9223"/>
      <c r="BN615" s="9223"/>
    </row>
    <row r="616" spans="1:66" ht="29.25" hidden="1" customHeight="1">
      <c r="A616" s="9221">
        <v>386</v>
      </c>
      <c r="B616" s="9222" t="s">
        <v>7962</v>
      </c>
      <c r="C616" s="13595"/>
      <c r="D616" s="11993" t="s">
        <v>218</v>
      </c>
      <c r="E616" s="11994" t="s">
        <v>768</v>
      </c>
      <c r="F616" s="11994"/>
      <c r="G616" s="11995" t="s">
        <v>4989</v>
      </c>
      <c r="H616" s="11996" t="s">
        <v>799</v>
      </c>
      <c r="I616" s="12142">
        <v>1</v>
      </c>
      <c r="K616" s="9689"/>
      <c r="L616" s="9690"/>
      <c r="M616" s="9690"/>
      <c r="N616" s="9691"/>
      <c r="O616" s="9691"/>
      <c r="P616" s="9692"/>
      <c r="Q616" s="9693"/>
      <c r="R616" s="9694"/>
      <c r="S616" s="9695"/>
      <c r="T616" s="9696"/>
      <c r="U616" s="9693"/>
      <c r="V616" s="9694"/>
      <c r="W616" s="9696"/>
      <c r="X616" s="9694"/>
      <c r="Y616" s="9696"/>
      <c r="Z616" s="9694"/>
      <c r="AA616" s="9695"/>
      <c r="AB616" s="9695"/>
      <c r="AC616" s="9695"/>
      <c r="AD616" s="9695"/>
      <c r="AE616" s="9695"/>
      <c r="AF616" s="9696"/>
      <c r="AG616" s="9694"/>
      <c r="AH616" s="9695"/>
      <c r="AI616" s="9695"/>
      <c r="AJ616" s="9695"/>
      <c r="AK616" s="9695"/>
      <c r="AL616" s="9695"/>
      <c r="AM616" s="9695"/>
      <c r="AN616" s="9696"/>
      <c r="AO616" s="9694"/>
      <c r="AP616" s="9695"/>
      <c r="AQ616" s="9695"/>
      <c r="AR616" s="9695"/>
      <c r="AS616" s="9695"/>
      <c r="AT616" s="9696"/>
      <c r="AU616" s="9697"/>
      <c r="AV616" s="9697"/>
      <c r="AW616" s="9697"/>
      <c r="AX616" s="9689"/>
      <c r="AY616" s="9692"/>
      <c r="AZ616" s="9697"/>
      <c r="BA616" s="9689"/>
      <c r="BB616" s="9691"/>
      <c r="BC616" s="9692"/>
      <c r="BD616" s="9698"/>
      <c r="BF616" s="9223"/>
      <c r="BG616" s="9223"/>
      <c r="BH616" s="9223"/>
      <c r="BI616" s="9223"/>
      <c r="BJ616" s="9223"/>
      <c r="BK616" s="9223"/>
      <c r="BL616" s="9223"/>
      <c r="BM616" s="9223"/>
      <c r="BN616" s="9223"/>
    </row>
    <row r="617" spans="1:66" ht="29.25" hidden="1" customHeight="1">
      <c r="A617" s="13719">
        <v>387</v>
      </c>
      <c r="B617" s="14099" t="s">
        <v>7963</v>
      </c>
      <c r="C617" s="13595"/>
      <c r="D617" s="11993" t="s">
        <v>218</v>
      </c>
      <c r="E617" s="11994" t="s">
        <v>768</v>
      </c>
      <c r="F617" s="12143"/>
      <c r="G617" s="14100" t="s">
        <v>4990</v>
      </c>
      <c r="H617" s="13474" t="s">
        <v>800</v>
      </c>
      <c r="I617" s="14113">
        <v>1</v>
      </c>
      <c r="K617" s="9699"/>
      <c r="L617" s="9700"/>
      <c r="M617" s="9700"/>
      <c r="N617" s="9701"/>
      <c r="O617" s="9701"/>
      <c r="P617" s="9702"/>
      <c r="Q617" s="9703"/>
      <c r="R617" s="9704"/>
      <c r="S617" s="9705"/>
      <c r="T617" s="9706"/>
      <c r="U617" s="9703"/>
      <c r="V617" s="9704"/>
      <c r="W617" s="9706"/>
      <c r="X617" s="9704"/>
      <c r="Y617" s="9706"/>
      <c r="Z617" s="9704"/>
      <c r="AA617" s="9705"/>
      <c r="AB617" s="9705"/>
      <c r="AC617" s="9705"/>
      <c r="AD617" s="9705"/>
      <c r="AE617" s="9705"/>
      <c r="AF617" s="9706"/>
      <c r="AG617" s="9704"/>
      <c r="AH617" s="9705"/>
      <c r="AI617" s="9705"/>
      <c r="AJ617" s="9705"/>
      <c r="AK617" s="9705"/>
      <c r="AL617" s="9705"/>
      <c r="AM617" s="9705"/>
      <c r="AN617" s="9706"/>
      <c r="AO617" s="9704"/>
      <c r="AP617" s="9705"/>
      <c r="AQ617" s="9705"/>
      <c r="AR617" s="9705"/>
      <c r="AS617" s="9705"/>
      <c r="AT617" s="9706"/>
      <c r="AU617" s="9707"/>
      <c r="AV617" s="9707"/>
      <c r="AW617" s="9707"/>
      <c r="AX617" s="9699"/>
      <c r="AY617" s="9702"/>
      <c r="AZ617" s="9707"/>
      <c r="BA617" s="9699"/>
      <c r="BB617" s="9701"/>
      <c r="BC617" s="9702"/>
      <c r="BD617" s="9708"/>
      <c r="BF617" s="14495"/>
      <c r="BG617" s="14495"/>
      <c r="BH617" s="14495"/>
      <c r="BI617" s="14495"/>
      <c r="BJ617" s="14495"/>
      <c r="BK617" s="9223"/>
      <c r="BL617" s="14495"/>
      <c r="BM617" s="14495"/>
      <c r="BN617" s="14495"/>
    </row>
    <row r="618" spans="1:66" ht="29.25" hidden="1" customHeight="1">
      <c r="A618" s="13719"/>
      <c r="B618" s="14099"/>
      <c r="C618" s="13595"/>
      <c r="D618" s="11993" t="s">
        <v>10063</v>
      </c>
      <c r="E618" s="11994"/>
      <c r="F618" s="12143" t="s">
        <v>144</v>
      </c>
      <c r="G618" s="14100"/>
      <c r="H618" s="13474"/>
      <c r="I618" s="14113"/>
      <c r="K618" s="9699"/>
      <c r="L618" s="9700"/>
      <c r="M618" s="9700"/>
      <c r="N618" s="9701"/>
      <c r="O618" s="9701"/>
      <c r="P618" s="9702"/>
      <c r="Q618" s="9703"/>
      <c r="R618" s="9704"/>
      <c r="S618" s="9705"/>
      <c r="T618" s="9706"/>
      <c r="U618" s="9703"/>
      <c r="V618" s="9704"/>
      <c r="W618" s="9706"/>
      <c r="X618" s="9704"/>
      <c r="Y618" s="9706"/>
      <c r="Z618" s="9704"/>
      <c r="AA618" s="9705"/>
      <c r="AB618" s="9705"/>
      <c r="AC618" s="9705"/>
      <c r="AD618" s="9705"/>
      <c r="AE618" s="9705"/>
      <c r="AF618" s="9706"/>
      <c r="AG618" s="9704"/>
      <c r="AH618" s="9705"/>
      <c r="AI618" s="9705"/>
      <c r="AJ618" s="9705"/>
      <c r="AK618" s="9705"/>
      <c r="AL618" s="9705"/>
      <c r="AM618" s="9705"/>
      <c r="AN618" s="9706"/>
      <c r="AO618" s="9704"/>
      <c r="AP618" s="9705"/>
      <c r="AQ618" s="9705"/>
      <c r="AR618" s="9705"/>
      <c r="AS618" s="9705"/>
      <c r="AT618" s="9706"/>
      <c r="AU618" s="9707"/>
      <c r="AV618" s="9707"/>
      <c r="AW618" s="9707"/>
      <c r="AX618" s="9699"/>
      <c r="AY618" s="9702"/>
      <c r="AZ618" s="9707"/>
      <c r="BA618" s="9699"/>
      <c r="BB618" s="9701"/>
      <c r="BC618" s="9702"/>
      <c r="BD618" s="9708"/>
      <c r="BF618" s="14495"/>
      <c r="BG618" s="14495"/>
      <c r="BH618" s="14495"/>
      <c r="BI618" s="14495"/>
      <c r="BJ618" s="14495"/>
      <c r="BK618" s="9223"/>
      <c r="BL618" s="14495"/>
      <c r="BM618" s="14495"/>
      <c r="BN618" s="14495"/>
    </row>
    <row r="619" spans="1:66" ht="29.25" hidden="1" customHeight="1">
      <c r="A619" s="13719">
        <v>388</v>
      </c>
      <c r="B619" s="14099" t="s">
        <v>7964</v>
      </c>
      <c r="C619" s="13595"/>
      <c r="D619" s="11993" t="s">
        <v>218</v>
      </c>
      <c r="E619" s="11994" t="s">
        <v>768</v>
      </c>
      <c r="F619" s="12143"/>
      <c r="G619" s="14100" t="s">
        <v>4991</v>
      </c>
      <c r="H619" s="13474" t="s">
        <v>802</v>
      </c>
      <c r="I619" s="14113">
        <v>10</v>
      </c>
      <c r="K619" s="9699"/>
      <c r="L619" s="9700"/>
      <c r="M619" s="9700"/>
      <c r="N619" s="9701"/>
      <c r="O619" s="9701"/>
      <c r="P619" s="9702"/>
      <c r="Q619" s="9703"/>
      <c r="R619" s="9704"/>
      <c r="S619" s="9705"/>
      <c r="T619" s="9706"/>
      <c r="U619" s="9703"/>
      <c r="V619" s="9704"/>
      <c r="W619" s="9706"/>
      <c r="X619" s="9704"/>
      <c r="Y619" s="9706"/>
      <c r="Z619" s="9704"/>
      <c r="AA619" s="9705"/>
      <c r="AB619" s="9705"/>
      <c r="AC619" s="9705"/>
      <c r="AD619" s="9705"/>
      <c r="AE619" s="9705"/>
      <c r="AF619" s="9706"/>
      <c r="AG619" s="9704"/>
      <c r="AH619" s="9705"/>
      <c r="AI619" s="9705"/>
      <c r="AJ619" s="9705"/>
      <c r="AK619" s="9705"/>
      <c r="AL619" s="9705"/>
      <c r="AM619" s="9705"/>
      <c r="AN619" s="9706"/>
      <c r="AO619" s="9704"/>
      <c r="AP619" s="9705"/>
      <c r="AQ619" s="9705"/>
      <c r="AR619" s="9705"/>
      <c r="AS619" s="9705"/>
      <c r="AT619" s="9706"/>
      <c r="AU619" s="9707"/>
      <c r="AV619" s="9707"/>
      <c r="AW619" s="9707"/>
      <c r="AX619" s="9699"/>
      <c r="AY619" s="9702"/>
      <c r="AZ619" s="9707"/>
      <c r="BA619" s="9699"/>
      <c r="BB619" s="9701"/>
      <c r="BC619" s="9702"/>
      <c r="BD619" s="9708"/>
      <c r="BF619" s="14495"/>
      <c r="BG619" s="14495"/>
      <c r="BH619" s="14495"/>
      <c r="BI619" s="14495"/>
      <c r="BJ619" s="14495"/>
      <c r="BK619" s="9223"/>
      <c r="BL619" s="14495"/>
      <c r="BM619" s="14495"/>
      <c r="BN619" s="14495"/>
    </row>
    <row r="620" spans="1:66" ht="29.25" hidden="1" customHeight="1" thickBot="1">
      <c r="A620" s="13720"/>
      <c r="B620" s="14101"/>
      <c r="C620" s="13595"/>
      <c r="D620" s="11999" t="s">
        <v>10194</v>
      </c>
      <c r="E620" s="12000"/>
      <c r="F620" s="12000" t="s">
        <v>804</v>
      </c>
      <c r="G620" s="14102"/>
      <c r="H620" s="13475"/>
      <c r="I620" s="14125"/>
      <c r="K620" s="9714"/>
      <c r="L620" s="9715"/>
      <c r="M620" s="9715"/>
      <c r="N620" s="9716"/>
      <c r="O620" s="9716"/>
      <c r="P620" s="9717"/>
      <c r="Q620" s="9718"/>
      <c r="R620" s="9719"/>
      <c r="S620" s="9720"/>
      <c r="T620" s="9721"/>
      <c r="U620" s="9718"/>
      <c r="V620" s="9719"/>
      <c r="W620" s="9721"/>
      <c r="X620" s="9719"/>
      <c r="Y620" s="9721"/>
      <c r="Z620" s="9719"/>
      <c r="AA620" s="9720"/>
      <c r="AB620" s="9720"/>
      <c r="AC620" s="9720"/>
      <c r="AD620" s="9720"/>
      <c r="AE620" s="9720"/>
      <c r="AF620" s="9721"/>
      <c r="AG620" s="9719"/>
      <c r="AH620" s="9720"/>
      <c r="AI620" s="9720"/>
      <c r="AJ620" s="9720"/>
      <c r="AK620" s="9720"/>
      <c r="AL620" s="9720"/>
      <c r="AM620" s="9720"/>
      <c r="AN620" s="9721"/>
      <c r="AO620" s="9719"/>
      <c r="AP620" s="9720"/>
      <c r="AQ620" s="9720"/>
      <c r="AR620" s="9720"/>
      <c r="AS620" s="9720"/>
      <c r="AT620" s="9721"/>
      <c r="AU620" s="9722"/>
      <c r="AV620" s="9722"/>
      <c r="AW620" s="9722"/>
      <c r="AX620" s="9714"/>
      <c r="AY620" s="9717"/>
      <c r="AZ620" s="9722"/>
      <c r="BA620" s="9714"/>
      <c r="BB620" s="9716"/>
      <c r="BC620" s="9717"/>
      <c r="BD620" s="9723"/>
      <c r="BF620" s="14496"/>
      <c r="BG620" s="14496"/>
      <c r="BH620" s="14496"/>
      <c r="BI620" s="14496"/>
      <c r="BJ620" s="14496"/>
      <c r="BK620" s="9240"/>
      <c r="BL620" s="14496"/>
      <c r="BM620" s="14496"/>
      <c r="BN620" s="14496"/>
    </row>
    <row r="621" spans="1:66" ht="29.25" hidden="1" customHeight="1">
      <c r="A621" s="7785">
        <v>389</v>
      </c>
      <c r="B621" s="7795" t="s">
        <v>7965</v>
      </c>
      <c r="C621" s="13595"/>
      <c r="D621" s="11982" t="s">
        <v>10070</v>
      </c>
      <c r="E621" s="7830" t="s">
        <v>810</v>
      </c>
      <c r="F621" s="7830"/>
      <c r="G621" s="11983" t="s">
        <v>4992</v>
      </c>
      <c r="H621" s="11984" t="s">
        <v>808</v>
      </c>
      <c r="I621" s="12144">
        <v>1</v>
      </c>
      <c r="K621" s="9724"/>
      <c r="L621" s="9725"/>
      <c r="M621" s="9725"/>
      <c r="N621" s="9726"/>
      <c r="O621" s="9726"/>
      <c r="P621" s="9727"/>
      <c r="Q621" s="9728"/>
      <c r="R621" s="9729"/>
      <c r="S621" s="9730"/>
      <c r="T621" s="9731"/>
      <c r="U621" s="9728"/>
      <c r="V621" s="9729"/>
      <c r="W621" s="9731"/>
      <c r="X621" s="9729"/>
      <c r="Y621" s="9731"/>
      <c r="Z621" s="9729"/>
      <c r="AA621" s="9730"/>
      <c r="AB621" s="9730"/>
      <c r="AC621" s="9730"/>
      <c r="AD621" s="9730"/>
      <c r="AE621" s="9730"/>
      <c r="AF621" s="9731"/>
      <c r="AG621" s="9729"/>
      <c r="AH621" s="9730"/>
      <c r="AI621" s="9730"/>
      <c r="AJ621" s="9730"/>
      <c r="AK621" s="9730"/>
      <c r="AL621" s="9730"/>
      <c r="AM621" s="9730"/>
      <c r="AN621" s="9731"/>
      <c r="AO621" s="9729"/>
      <c r="AP621" s="9730"/>
      <c r="AQ621" s="9730"/>
      <c r="AR621" s="9730"/>
      <c r="AS621" s="9730"/>
      <c r="AT621" s="9731"/>
      <c r="AU621" s="9732"/>
      <c r="AV621" s="9732"/>
      <c r="AW621" s="9732"/>
      <c r="AX621" s="9724"/>
      <c r="AY621" s="9727"/>
      <c r="AZ621" s="9732"/>
      <c r="BA621" s="9724"/>
      <c r="BB621" s="9726"/>
      <c r="BC621" s="9727"/>
      <c r="BD621" s="9733"/>
      <c r="BF621" s="7887"/>
      <c r="BG621" s="7887"/>
      <c r="BH621" s="7887"/>
      <c r="BI621" s="7887"/>
      <c r="BJ621" s="7887"/>
      <c r="BK621" s="7887"/>
      <c r="BL621" s="7887"/>
      <c r="BM621" s="7887"/>
      <c r="BN621" s="7887"/>
    </row>
    <row r="622" spans="1:66" ht="29.25" hidden="1" customHeight="1">
      <c r="A622" s="7901">
        <v>390</v>
      </c>
      <c r="B622" s="7910" t="s">
        <v>7966</v>
      </c>
      <c r="C622" s="13595"/>
      <c r="D622" s="11986" t="s">
        <v>10063</v>
      </c>
      <c r="E622" s="7833" t="s">
        <v>724</v>
      </c>
      <c r="F622" s="7852"/>
      <c r="G622" s="11909" t="s">
        <v>4993</v>
      </c>
      <c r="H622" s="11910" t="s">
        <v>811</v>
      </c>
      <c r="I622" s="12145">
        <v>1</v>
      </c>
      <c r="K622" s="9734"/>
      <c r="L622" s="9735"/>
      <c r="M622" s="9735"/>
      <c r="N622" s="9736"/>
      <c r="O622" s="9736"/>
      <c r="P622" s="9737"/>
      <c r="Q622" s="9738"/>
      <c r="R622" s="9739"/>
      <c r="S622" s="9740"/>
      <c r="T622" s="9741"/>
      <c r="U622" s="9738"/>
      <c r="V622" s="9739"/>
      <c r="W622" s="9741"/>
      <c r="X622" s="9739"/>
      <c r="Y622" s="9741"/>
      <c r="Z622" s="9739"/>
      <c r="AA622" s="9740"/>
      <c r="AB622" s="9740"/>
      <c r="AC622" s="9740"/>
      <c r="AD622" s="9740"/>
      <c r="AE622" s="9740"/>
      <c r="AF622" s="9741"/>
      <c r="AG622" s="9739"/>
      <c r="AH622" s="9740"/>
      <c r="AI622" s="9740"/>
      <c r="AJ622" s="9740"/>
      <c r="AK622" s="9740"/>
      <c r="AL622" s="9740"/>
      <c r="AM622" s="9740"/>
      <c r="AN622" s="9741"/>
      <c r="AO622" s="9739"/>
      <c r="AP622" s="9740"/>
      <c r="AQ622" s="9740"/>
      <c r="AR622" s="9740"/>
      <c r="AS622" s="9740"/>
      <c r="AT622" s="9741"/>
      <c r="AU622" s="9742"/>
      <c r="AV622" s="9742"/>
      <c r="AW622" s="9742"/>
      <c r="AX622" s="9734"/>
      <c r="AY622" s="9737"/>
      <c r="AZ622" s="9742"/>
      <c r="BA622" s="9734"/>
      <c r="BB622" s="9736"/>
      <c r="BC622" s="9737"/>
      <c r="BD622" s="9743"/>
      <c r="BF622" s="7911"/>
      <c r="BG622" s="7911"/>
      <c r="BH622" s="7911"/>
      <c r="BI622" s="7911"/>
      <c r="BJ622" s="7911"/>
      <c r="BK622" s="7911"/>
      <c r="BL622" s="7911"/>
      <c r="BM622" s="7911"/>
      <c r="BN622" s="7911"/>
    </row>
    <row r="623" spans="1:66" ht="29.25" hidden="1" customHeight="1">
      <c r="A623" s="7901">
        <v>391</v>
      </c>
      <c r="B623" s="7910" t="s">
        <v>7967</v>
      </c>
      <c r="C623" s="13595"/>
      <c r="D623" s="11986" t="s">
        <v>10066</v>
      </c>
      <c r="E623" s="7852" t="s">
        <v>298</v>
      </c>
      <c r="F623" s="7832" t="s">
        <v>815</v>
      </c>
      <c r="G623" s="11909" t="s">
        <v>4994</v>
      </c>
      <c r="H623" s="11910" t="s">
        <v>813</v>
      </c>
      <c r="I623" s="11911">
        <v>200</v>
      </c>
      <c r="K623" s="7657"/>
      <c r="L623" s="7658"/>
      <c r="M623" s="7658"/>
      <c r="N623" s="7659"/>
      <c r="O623" s="7659"/>
      <c r="P623" s="7685"/>
      <c r="Q623" s="7675"/>
      <c r="R623" s="7670"/>
      <c r="S623" s="7660"/>
      <c r="T623" s="7690"/>
      <c r="U623" s="7675"/>
      <c r="V623" s="7670"/>
      <c r="W623" s="7690"/>
      <c r="X623" s="7670"/>
      <c r="Y623" s="7690"/>
      <c r="Z623" s="7670"/>
      <c r="AA623" s="7660"/>
      <c r="AB623" s="7660"/>
      <c r="AC623" s="7660"/>
      <c r="AD623" s="7660"/>
      <c r="AE623" s="7660"/>
      <c r="AF623" s="7690"/>
      <c r="AG623" s="7670"/>
      <c r="AH623" s="7660"/>
      <c r="AI623" s="7660"/>
      <c r="AJ623" s="7660"/>
      <c r="AK623" s="7660"/>
      <c r="AL623" s="7660"/>
      <c r="AM623" s="7660"/>
      <c r="AN623" s="7690"/>
      <c r="AO623" s="7670"/>
      <c r="AP623" s="7660"/>
      <c r="AQ623" s="7660"/>
      <c r="AR623" s="7660"/>
      <c r="AS623" s="7660"/>
      <c r="AT623" s="7690"/>
      <c r="AU623" s="7666"/>
      <c r="AV623" s="7666"/>
      <c r="AW623" s="7666"/>
      <c r="AX623" s="7657"/>
      <c r="AY623" s="7685"/>
      <c r="AZ623" s="7666"/>
      <c r="BA623" s="7657"/>
      <c r="BB623" s="7659"/>
      <c r="BC623" s="7685"/>
      <c r="BD623" s="7901"/>
      <c r="BF623" s="7911"/>
      <c r="BG623" s="7911"/>
      <c r="BH623" s="7911"/>
      <c r="BI623" s="7911"/>
      <c r="BJ623" s="7911"/>
      <c r="BK623" s="7911"/>
      <c r="BL623" s="7911"/>
      <c r="BM623" s="7911"/>
      <c r="BN623" s="7911"/>
    </row>
    <row r="624" spans="1:66" ht="29.25" hidden="1" customHeight="1">
      <c r="A624" s="7901">
        <v>392</v>
      </c>
      <c r="B624" s="7910" t="s">
        <v>7968</v>
      </c>
      <c r="C624" s="13595"/>
      <c r="D624" s="11986" t="s">
        <v>10063</v>
      </c>
      <c r="E624" s="7833" t="s">
        <v>724</v>
      </c>
      <c r="F624" s="7832" t="s">
        <v>818</v>
      </c>
      <c r="G624" s="11909" t="s">
        <v>4995</v>
      </c>
      <c r="H624" s="11910" t="s">
        <v>817</v>
      </c>
      <c r="I624" s="11911">
        <v>1</v>
      </c>
      <c r="K624" s="7657"/>
      <c r="L624" s="7658"/>
      <c r="M624" s="7658"/>
      <c r="N624" s="7659"/>
      <c r="O624" s="7659"/>
      <c r="P624" s="7685"/>
      <c r="Q624" s="7675"/>
      <c r="R624" s="7670"/>
      <c r="S624" s="7660"/>
      <c r="T624" s="7690"/>
      <c r="U624" s="7675"/>
      <c r="V624" s="7670"/>
      <c r="W624" s="7690"/>
      <c r="X624" s="7670"/>
      <c r="Y624" s="7690"/>
      <c r="Z624" s="7670"/>
      <c r="AA624" s="7660"/>
      <c r="AB624" s="7660"/>
      <c r="AC624" s="7660"/>
      <c r="AD624" s="7660"/>
      <c r="AE624" s="7660"/>
      <c r="AF624" s="7690"/>
      <c r="AG624" s="7670"/>
      <c r="AH624" s="7660"/>
      <c r="AI624" s="7660"/>
      <c r="AJ624" s="7660"/>
      <c r="AK624" s="7660"/>
      <c r="AL624" s="7660"/>
      <c r="AM624" s="7660"/>
      <c r="AN624" s="7690"/>
      <c r="AO624" s="7670"/>
      <c r="AP624" s="7660"/>
      <c r="AQ624" s="7660"/>
      <c r="AR624" s="7660"/>
      <c r="AS624" s="7660"/>
      <c r="AT624" s="7690"/>
      <c r="AU624" s="7666"/>
      <c r="AV624" s="7666"/>
      <c r="AW624" s="7666"/>
      <c r="AX624" s="7657"/>
      <c r="AY624" s="7685"/>
      <c r="AZ624" s="7666"/>
      <c r="BA624" s="7657"/>
      <c r="BB624" s="7659"/>
      <c r="BC624" s="7685"/>
      <c r="BD624" s="7901"/>
      <c r="BF624" s="7911"/>
      <c r="BG624" s="7911"/>
      <c r="BH624" s="7911"/>
      <c r="BI624" s="7911"/>
      <c r="BJ624" s="7911"/>
      <c r="BK624" s="7911"/>
      <c r="BL624" s="7911"/>
      <c r="BM624" s="7911"/>
      <c r="BN624" s="7911"/>
    </row>
    <row r="625" spans="1:66" ht="29.25" hidden="1" customHeight="1">
      <c r="A625" s="7901">
        <v>393</v>
      </c>
      <c r="B625" s="7910" t="s">
        <v>7969</v>
      </c>
      <c r="C625" s="13595"/>
      <c r="D625" s="11986" t="s">
        <v>10063</v>
      </c>
      <c r="E625" s="7833" t="s">
        <v>724</v>
      </c>
      <c r="F625" s="7832" t="s">
        <v>818</v>
      </c>
      <c r="G625" s="11909" t="s">
        <v>4996</v>
      </c>
      <c r="H625" s="11910" t="s">
        <v>819</v>
      </c>
      <c r="I625" s="11987">
        <v>0.5</v>
      </c>
      <c r="K625" s="9193"/>
      <c r="L625" s="7658"/>
      <c r="M625" s="7658"/>
      <c r="N625" s="9194"/>
      <c r="O625" s="9194"/>
      <c r="P625" s="9195"/>
      <c r="Q625" s="7675"/>
      <c r="R625" s="7670"/>
      <c r="S625" s="7660"/>
      <c r="T625" s="7690"/>
      <c r="U625" s="7675"/>
      <c r="V625" s="7670"/>
      <c r="W625" s="7690"/>
      <c r="X625" s="7670"/>
      <c r="Y625" s="7690"/>
      <c r="Z625" s="7670"/>
      <c r="AA625" s="7660"/>
      <c r="AB625" s="7660"/>
      <c r="AC625" s="7660"/>
      <c r="AD625" s="7660"/>
      <c r="AE625" s="7660"/>
      <c r="AF625" s="7690"/>
      <c r="AG625" s="7670"/>
      <c r="AH625" s="7660"/>
      <c r="AI625" s="7660"/>
      <c r="AJ625" s="7660"/>
      <c r="AK625" s="7660"/>
      <c r="AL625" s="7660"/>
      <c r="AM625" s="7660"/>
      <c r="AN625" s="7690"/>
      <c r="AO625" s="7670"/>
      <c r="AP625" s="7660"/>
      <c r="AQ625" s="7660"/>
      <c r="AR625" s="7660"/>
      <c r="AS625" s="7660"/>
      <c r="AT625" s="7690"/>
      <c r="AU625" s="9196"/>
      <c r="AV625" s="9196"/>
      <c r="AW625" s="9196"/>
      <c r="AX625" s="9193"/>
      <c r="AY625" s="9195"/>
      <c r="AZ625" s="9196"/>
      <c r="BA625" s="9193"/>
      <c r="BB625" s="9194"/>
      <c r="BC625" s="9195"/>
      <c r="BD625" s="9197"/>
      <c r="BF625" s="7911"/>
      <c r="BG625" s="7911"/>
      <c r="BH625" s="7911"/>
      <c r="BI625" s="7911"/>
      <c r="BJ625" s="7911"/>
      <c r="BK625" s="7911"/>
      <c r="BL625" s="7911"/>
      <c r="BM625" s="7911"/>
      <c r="BN625" s="7911"/>
    </row>
    <row r="626" spans="1:66" ht="29.25" hidden="1" customHeight="1">
      <c r="A626" s="13526">
        <v>394</v>
      </c>
      <c r="B626" s="13893" t="s">
        <v>7970</v>
      </c>
      <c r="C626" s="13595"/>
      <c r="D626" s="11986" t="s">
        <v>10066</v>
      </c>
      <c r="E626" s="7852" t="s">
        <v>298</v>
      </c>
      <c r="F626" s="7852"/>
      <c r="G626" s="13919" t="s">
        <v>4997</v>
      </c>
      <c r="H626" s="13403" t="s">
        <v>822</v>
      </c>
      <c r="I626" s="13966">
        <v>1</v>
      </c>
      <c r="K626" s="7653"/>
      <c r="L626" s="7654"/>
      <c r="M626" s="7654"/>
      <c r="N626" s="7655"/>
      <c r="O626" s="7655"/>
      <c r="P626" s="7684"/>
      <c r="Q626" s="7674"/>
      <c r="R626" s="7669"/>
      <c r="S626" s="7656"/>
      <c r="T626" s="7689"/>
      <c r="U626" s="7674"/>
      <c r="V626" s="7669"/>
      <c r="W626" s="7689"/>
      <c r="X626" s="7669"/>
      <c r="Y626" s="7689"/>
      <c r="Z626" s="7669"/>
      <c r="AA626" s="7656"/>
      <c r="AB626" s="7656"/>
      <c r="AC626" s="7656"/>
      <c r="AD626" s="7656"/>
      <c r="AE626" s="7656"/>
      <c r="AF626" s="7689"/>
      <c r="AG626" s="7669"/>
      <c r="AH626" s="7656"/>
      <c r="AI626" s="7656"/>
      <c r="AJ626" s="7656"/>
      <c r="AK626" s="7656"/>
      <c r="AL626" s="7656"/>
      <c r="AM626" s="7656"/>
      <c r="AN626" s="7689"/>
      <c r="AO626" s="7669"/>
      <c r="AP626" s="7656"/>
      <c r="AQ626" s="7656"/>
      <c r="AR626" s="7656"/>
      <c r="AS626" s="7656"/>
      <c r="AT626" s="7689"/>
      <c r="AU626" s="7665"/>
      <c r="AV626" s="7665"/>
      <c r="AW626" s="7665"/>
      <c r="AX626" s="7653"/>
      <c r="AY626" s="7684"/>
      <c r="AZ626" s="7665"/>
      <c r="BA626" s="7653"/>
      <c r="BB626" s="7655"/>
      <c r="BC626" s="7684"/>
      <c r="BD626" s="7694"/>
      <c r="BF626" s="14435"/>
      <c r="BG626" s="14435"/>
      <c r="BH626" s="14435"/>
      <c r="BI626" s="14435"/>
      <c r="BJ626" s="14435"/>
      <c r="BK626" s="7911"/>
      <c r="BL626" s="14435"/>
      <c r="BM626" s="14435"/>
      <c r="BN626" s="14435"/>
    </row>
    <row r="627" spans="1:66" ht="29.25" hidden="1" customHeight="1">
      <c r="A627" s="13526"/>
      <c r="B627" s="13893"/>
      <c r="C627" s="13595"/>
      <c r="D627" s="11986" t="s">
        <v>10063</v>
      </c>
      <c r="E627" s="7852"/>
      <c r="F627" s="7852" t="s">
        <v>107</v>
      </c>
      <c r="G627" s="13919"/>
      <c r="H627" s="13403"/>
      <c r="I627" s="13966"/>
      <c r="K627" s="7653"/>
      <c r="L627" s="7654"/>
      <c r="M627" s="7654"/>
      <c r="N627" s="7655"/>
      <c r="O627" s="7655"/>
      <c r="P627" s="7684"/>
      <c r="Q627" s="7674"/>
      <c r="R627" s="7669"/>
      <c r="S627" s="7656"/>
      <c r="T627" s="7689"/>
      <c r="U627" s="7674"/>
      <c r="V627" s="7669"/>
      <c r="W627" s="7689"/>
      <c r="X627" s="7669"/>
      <c r="Y627" s="7689"/>
      <c r="Z627" s="7669"/>
      <c r="AA627" s="7656"/>
      <c r="AB627" s="7656"/>
      <c r="AC627" s="7656"/>
      <c r="AD627" s="7656"/>
      <c r="AE627" s="7656"/>
      <c r="AF627" s="7689"/>
      <c r="AG627" s="7669"/>
      <c r="AH627" s="7656"/>
      <c r="AI627" s="7656"/>
      <c r="AJ627" s="7656"/>
      <c r="AK627" s="7656"/>
      <c r="AL627" s="7656"/>
      <c r="AM627" s="7656"/>
      <c r="AN627" s="7689"/>
      <c r="AO627" s="7669"/>
      <c r="AP627" s="7656"/>
      <c r="AQ627" s="7656"/>
      <c r="AR627" s="7656"/>
      <c r="AS627" s="7656"/>
      <c r="AT627" s="7689"/>
      <c r="AU627" s="7665"/>
      <c r="AV627" s="7665"/>
      <c r="AW627" s="7665"/>
      <c r="AX627" s="7653"/>
      <c r="AY627" s="7684"/>
      <c r="AZ627" s="7665"/>
      <c r="BA627" s="7653"/>
      <c r="BB627" s="7655"/>
      <c r="BC627" s="7684"/>
      <c r="BD627" s="7694"/>
      <c r="BF627" s="14435"/>
      <c r="BG627" s="14435"/>
      <c r="BH627" s="14435"/>
      <c r="BI627" s="14435"/>
      <c r="BJ627" s="14435"/>
      <c r="BK627" s="7911"/>
      <c r="BL627" s="14435"/>
      <c r="BM627" s="14435"/>
      <c r="BN627" s="14435"/>
    </row>
    <row r="628" spans="1:66" ht="29.25" hidden="1" customHeight="1">
      <c r="A628" s="7901">
        <v>395</v>
      </c>
      <c r="B628" s="7910" t="s">
        <v>7971</v>
      </c>
      <c r="C628" s="13595"/>
      <c r="D628" s="11986" t="s">
        <v>10063</v>
      </c>
      <c r="E628" s="7833" t="s">
        <v>724</v>
      </c>
      <c r="F628" s="7852"/>
      <c r="G628" s="11909" t="s">
        <v>4998</v>
      </c>
      <c r="H628" s="11910" t="s">
        <v>822</v>
      </c>
      <c r="I628" s="11911">
        <v>1</v>
      </c>
      <c r="K628" s="7657"/>
      <c r="L628" s="7658"/>
      <c r="M628" s="7658"/>
      <c r="N628" s="7659"/>
      <c r="O628" s="7659"/>
      <c r="P628" s="7685"/>
      <c r="Q628" s="7675"/>
      <c r="R628" s="7670"/>
      <c r="S628" s="7660"/>
      <c r="T628" s="7690"/>
      <c r="U628" s="7675"/>
      <c r="V628" s="7670"/>
      <c r="W628" s="7690"/>
      <c r="X628" s="7670"/>
      <c r="Y628" s="7690"/>
      <c r="Z628" s="7670"/>
      <c r="AA628" s="7660"/>
      <c r="AB628" s="7660"/>
      <c r="AC628" s="7660"/>
      <c r="AD628" s="7660"/>
      <c r="AE628" s="7660"/>
      <c r="AF628" s="7690"/>
      <c r="AG628" s="7670"/>
      <c r="AH628" s="7660"/>
      <c r="AI628" s="7660"/>
      <c r="AJ628" s="7660"/>
      <c r="AK628" s="7660"/>
      <c r="AL628" s="7660"/>
      <c r="AM628" s="7660"/>
      <c r="AN628" s="7690"/>
      <c r="AO628" s="7670"/>
      <c r="AP628" s="7660"/>
      <c r="AQ628" s="7660"/>
      <c r="AR628" s="7660"/>
      <c r="AS628" s="7660"/>
      <c r="AT628" s="7690"/>
      <c r="AU628" s="7666"/>
      <c r="AV628" s="7666"/>
      <c r="AW628" s="7666"/>
      <c r="AX628" s="7657"/>
      <c r="AY628" s="7685"/>
      <c r="AZ628" s="7666"/>
      <c r="BA628" s="7657"/>
      <c r="BB628" s="7659"/>
      <c r="BC628" s="7685"/>
      <c r="BD628" s="7901"/>
      <c r="BF628" s="7911"/>
      <c r="BG628" s="7911"/>
      <c r="BH628" s="7911"/>
      <c r="BI628" s="7911"/>
      <c r="BJ628" s="7911"/>
      <c r="BK628" s="7911"/>
      <c r="BL628" s="7911"/>
      <c r="BM628" s="7911"/>
      <c r="BN628" s="7911"/>
    </row>
    <row r="629" spans="1:66" ht="29.25" hidden="1" customHeight="1">
      <c r="A629" s="7901">
        <v>396</v>
      </c>
      <c r="B629" s="7910" t="s">
        <v>7972</v>
      </c>
      <c r="C629" s="13595"/>
      <c r="D629" s="11986" t="s">
        <v>10063</v>
      </c>
      <c r="E629" s="7833" t="s">
        <v>724</v>
      </c>
      <c r="F629" s="7852"/>
      <c r="G629" s="11909" t="s">
        <v>4999</v>
      </c>
      <c r="H629" s="11910" t="s">
        <v>823</v>
      </c>
      <c r="I629" s="11987">
        <v>0.8</v>
      </c>
      <c r="K629" s="9193"/>
      <c r="L629" s="7658"/>
      <c r="M629" s="7658"/>
      <c r="N629" s="9194"/>
      <c r="O629" s="9194"/>
      <c r="P629" s="9195"/>
      <c r="Q629" s="7675"/>
      <c r="R629" s="7670"/>
      <c r="S629" s="7660"/>
      <c r="T629" s="7690"/>
      <c r="U629" s="7675"/>
      <c r="V629" s="7670"/>
      <c r="W629" s="7690"/>
      <c r="X629" s="7670"/>
      <c r="Y629" s="7690"/>
      <c r="Z629" s="7670"/>
      <c r="AA629" s="7660"/>
      <c r="AB629" s="7660"/>
      <c r="AC629" s="7660"/>
      <c r="AD629" s="7660"/>
      <c r="AE629" s="7660"/>
      <c r="AF629" s="7690"/>
      <c r="AG629" s="7670"/>
      <c r="AH629" s="7660"/>
      <c r="AI629" s="7660"/>
      <c r="AJ629" s="7660"/>
      <c r="AK629" s="7660"/>
      <c r="AL629" s="7660"/>
      <c r="AM629" s="7660"/>
      <c r="AN629" s="7690"/>
      <c r="AO629" s="7670"/>
      <c r="AP629" s="7660"/>
      <c r="AQ629" s="7660"/>
      <c r="AR629" s="7660"/>
      <c r="AS629" s="7660"/>
      <c r="AT629" s="7690"/>
      <c r="AU629" s="9196"/>
      <c r="AV629" s="9196"/>
      <c r="AW629" s="9196"/>
      <c r="AX629" s="9193"/>
      <c r="AY629" s="9195"/>
      <c r="AZ629" s="9196"/>
      <c r="BA629" s="9193"/>
      <c r="BB629" s="9194"/>
      <c r="BC629" s="9195"/>
      <c r="BD629" s="9197"/>
      <c r="BF629" s="7911"/>
      <c r="BG629" s="7911"/>
      <c r="BH629" s="7911"/>
      <c r="BI629" s="7911"/>
      <c r="BJ629" s="7911"/>
      <c r="BK629" s="7911"/>
      <c r="BL629" s="7911"/>
      <c r="BM629" s="7911"/>
      <c r="BN629" s="7911"/>
    </row>
    <row r="630" spans="1:66" ht="29.25" hidden="1" customHeight="1">
      <c r="A630" s="13526">
        <v>397</v>
      </c>
      <c r="B630" s="13893" t="s">
        <v>7973</v>
      </c>
      <c r="C630" s="13595"/>
      <c r="D630" s="11986" t="s">
        <v>10066</v>
      </c>
      <c r="E630" s="7833" t="s">
        <v>298</v>
      </c>
      <c r="F630" s="7852"/>
      <c r="G630" s="13919" t="s">
        <v>5000</v>
      </c>
      <c r="H630" s="13403" t="s">
        <v>826</v>
      </c>
      <c r="I630" s="13967">
        <v>0.7</v>
      </c>
      <c r="K630" s="8894"/>
      <c r="L630" s="7654"/>
      <c r="M630" s="7654"/>
      <c r="N630" s="8895"/>
      <c r="O630" s="8895"/>
      <c r="P630" s="8896"/>
      <c r="Q630" s="7674"/>
      <c r="R630" s="7669"/>
      <c r="S630" s="7656"/>
      <c r="T630" s="7689"/>
      <c r="U630" s="7674"/>
      <c r="V630" s="7669"/>
      <c r="W630" s="7689"/>
      <c r="X630" s="7669"/>
      <c r="Y630" s="7689"/>
      <c r="Z630" s="7669"/>
      <c r="AA630" s="7656"/>
      <c r="AB630" s="7656"/>
      <c r="AC630" s="7656"/>
      <c r="AD630" s="7656"/>
      <c r="AE630" s="7656"/>
      <c r="AF630" s="7689"/>
      <c r="AG630" s="7669"/>
      <c r="AH630" s="7656"/>
      <c r="AI630" s="7656"/>
      <c r="AJ630" s="7656"/>
      <c r="AK630" s="7656"/>
      <c r="AL630" s="7656"/>
      <c r="AM630" s="7656"/>
      <c r="AN630" s="7689"/>
      <c r="AO630" s="7669"/>
      <c r="AP630" s="7656"/>
      <c r="AQ630" s="7656"/>
      <c r="AR630" s="7656"/>
      <c r="AS630" s="7656"/>
      <c r="AT630" s="7689"/>
      <c r="AU630" s="8897"/>
      <c r="AV630" s="8897"/>
      <c r="AW630" s="8897"/>
      <c r="AX630" s="8894"/>
      <c r="AY630" s="8896"/>
      <c r="AZ630" s="8897"/>
      <c r="BA630" s="8894"/>
      <c r="BB630" s="8895"/>
      <c r="BC630" s="8896"/>
      <c r="BD630" s="8898"/>
      <c r="BF630" s="14435"/>
      <c r="BG630" s="14435"/>
      <c r="BH630" s="14435"/>
      <c r="BI630" s="14435"/>
      <c r="BJ630" s="14435"/>
      <c r="BK630" s="7911"/>
      <c r="BL630" s="14435"/>
      <c r="BM630" s="14435"/>
      <c r="BN630" s="14435"/>
    </row>
    <row r="631" spans="1:66" ht="29.25" hidden="1" customHeight="1">
      <c r="A631" s="13526"/>
      <c r="B631" s="13893"/>
      <c r="C631" s="13595"/>
      <c r="D631" s="11986" t="s">
        <v>10063</v>
      </c>
      <c r="E631" s="7833"/>
      <c r="F631" s="7852" t="s">
        <v>10232</v>
      </c>
      <c r="G631" s="13919"/>
      <c r="H631" s="13403"/>
      <c r="I631" s="13967"/>
      <c r="K631" s="8894"/>
      <c r="L631" s="7654"/>
      <c r="M631" s="7654"/>
      <c r="N631" s="8895"/>
      <c r="O631" s="8895"/>
      <c r="P631" s="8896"/>
      <c r="Q631" s="7674"/>
      <c r="R631" s="7669"/>
      <c r="S631" s="7656"/>
      <c r="T631" s="7689"/>
      <c r="U631" s="7674"/>
      <c r="V631" s="7669"/>
      <c r="W631" s="7689"/>
      <c r="X631" s="7669"/>
      <c r="Y631" s="7689"/>
      <c r="Z631" s="7669"/>
      <c r="AA631" s="7656"/>
      <c r="AB631" s="7656"/>
      <c r="AC631" s="7656"/>
      <c r="AD631" s="7656"/>
      <c r="AE631" s="7656"/>
      <c r="AF631" s="7689"/>
      <c r="AG631" s="7669"/>
      <c r="AH631" s="7656"/>
      <c r="AI631" s="7656"/>
      <c r="AJ631" s="7656"/>
      <c r="AK631" s="7656"/>
      <c r="AL631" s="7656"/>
      <c r="AM631" s="7656"/>
      <c r="AN631" s="7689"/>
      <c r="AO631" s="7669"/>
      <c r="AP631" s="7656"/>
      <c r="AQ631" s="7656"/>
      <c r="AR631" s="7656"/>
      <c r="AS631" s="7656"/>
      <c r="AT631" s="7689"/>
      <c r="AU631" s="8897"/>
      <c r="AV631" s="8897"/>
      <c r="AW631" s="8897"/>
      <c r="AX631" s="8894"/>
      <c r="AY631" s="8896"/>
      <c r="AZ631" s="8897"/>
      <c r="BA631" s="8894"/>
      <c r="BB631" s="8895"/>
      <c r="BC631" s="8896"/>
      <c r="BD631" s="8898"/>
      <c r="BF631" s="14435"/>
      <c r="BG631" s="14435"/>
      <c r="BH631" s="14435"/>
      <c r="BI631" s="14435"/>
      <c r="BJ631" s="14435"/>
      <c r="BK631" s="7911"/>
      <c r="BL631" s="14435"/>
      <c r="BM631" s="14435"/>
      <c r="BN631" s="14435"/>
    </row>
    <row r="632" spans="1:66" ht="29.25" hidden="1" customHeight="1" thickBot="1">
      <c r="A632" s="13652"/>
      <c r="B632" s="13895"/>
      <c r="C632" s="13595"/>
      <c r="D632" s="12146" t="s">
        <v>10200</v>
      </c>
      <c r="E632" s="11913"/>
      <c r="F632" s="11913" t="s">
        <v>10233</v>
      </c>
      <c r="G632" s="13920"/>
      <c r="H632" s="13476"/>
      <c r="I632" s="13968"/>
      <c r="K632" s="8899"/>
      <c r="L632" s="7628"/>
      <c r="M632" s="7628"/>
      <c r="N632" s="8900"/>
      <c r="O632" s="8900"/>
      <c r="P632" s="8901"/>
      <c r="Q632" s="7676"/>
      <c r="R632" s="7671"/>
      <c r="S632" s="7627"/>
      <c r="T632" s="7698"/>
      <c r="U632" s="7676"/>
      <c r="V632" s="7671"/>
      <c r="W632" s="7698"/>
      <c r="X632" s="7671"/>
      <c r="Y632" s="7698"/>
      <c r="Z632" s="7671"/>
      <c r="AA632" s="7627"/>
      <c r="AB632" s="7627"/>
      <c r="AC632" s="7627"/>
      <c r="AD632" s="7627"/>
      <c r="AE632" s="7627"/>
      <c r="AF632" s="7698"/>
      <c r="AG632" s="7671"/>
      <c r="AH632" s="7627"/>
      <c r="AI632" s="7627"/>
      <c r="AJ632" s="7627"/>
      <c r="AK632" s="7627"/>
      <c r="AL632" s="7627"/>
      <c r="AM632" s="7627"/>
      <c r="AN632" s="7698"/>
      <c r="AO632" s="7671"/>
      <c r="AP632" s="7627"/>
      <c r="AQ632" s="7627"/>
      <c r="AR632" s="7627"/>
      <c r="AS632" s="7627"/>
      <c r="AT632" s="7698"/>
      <c r="AU632" s="8902"/>
      <c r="AV632" s="8902"/>
      <c r="AW632" s="8902"/>
      <c r="AX632" s="8899"/>
      <c r="AY632" s="8901"/>
      <c r="AZ632" s="8902"/>
      <c r="BA632" s="8899"/>
      <c r="BB632" s="8900"/>
      <c r="BC632" s="8901"/>
      <c r="BD632" s="8903"/>
      <c r="BF632" s="14436"/>
      <c r="BG632" s="14436"/>
      <c r="BH632" s="14436"/>
      <c r="BI632" s="14436"/>
      <c r="BJ632" s="14436"/>
      <c r="BK632" s="7912"/>
      <c r="BL632" s="14436"/>
      <c r="BM632" s="14436"/>
      <c r="BN632" s="14436"/>
    </row>
    <row r="633" spans="1:66" ht="29.25" hidden="1" customHeight="1">
      <c r="A633" s="13721">
        <v>398</v>
      </c>
      <c r="B633" s="14116" t="s">
        <v>7974</v>
      </c>
      <c r="C633" s="13595"/>
      <c r="D633" s="12147" t="s">
        <v>10066</v>
      </c>
      <c r="E633" s="12148" t="s">
        <v>298</v>
      </c>
      <c r="F633" s="12148"/>
      <c r="G633" s="14117" t="s">
        <v>5001</v>
      </c>
      <c r="H633" s="13477" t="s">
        <v>831</v>
      </c>
      <c r="I633" s="14126">
        <v>1</v>
      </c>
      <c r="K633" s="9745"/>
      <c r="L633" s="9746"/>
      <c r="M633" s="9746"/>
      <c r="N633" s="9747"/>
      <c r="O633" s="9747"/>
      <c r="P633" s="9748"/>
      <c r="Q633" s="9749"/>
      <c r="R633" s="9750"/>
      <c r="S633" s="9751"/>
      <c r="T633" s="9752"/>
      <c r="U633" s="9749"/>
      <c r="V633" s="9750"/>
      <c r="W633" s="9752"/>
      <c r="X633" s="9750"/>
      <c r="Y633" s="9752"/>
      <c r="Z633" s="9750"/>
      <c r="AA633" s="9751"/>
      <c r="AB633" s="9751"/>
      <c r="AC633" s="9751"/>
      <c r="AD633" s="9751"/>
      <c r="AE633" s="9751"/>
      <c r="AF633" s="9752"/>
      <c r="AG633" s="9750"/>
      <c r="AH633" s="9751"/>
      <c r="AI633" s="9751"/>
      <c r="AJ633" s="9751"/>
      <c r="AK633" s="9751"/>
      <c r="AL633" s="9751"/>
      <c r="AM633" s="9751"/>
      <c r="AN633" s="9752"/>
      <c r="AO633" s="9750"/>
      <c r="AP633" s="9751"/>
      <c r="AQ633" s="9751"/>
      <c r="AR633" s="9751"/>
      <c r="AS633" s="9751"/>
      <c r="AT633" s="9752"/>
      <c r="AU633" s="9753"/>
      <c r="AV633" s="9753"/>
      <c r="AW633" s="9753"/>
      <c r="AX633" s="9745"/>
      <c r="AY633" s="9748"/>
      <c r="AZ633" s="9753"/>
      <c r="BA633" s="9745"/>
      <c r="BB633" s="9747"/>
      <c r="BC633" s="9748"/>
      <c r="BD633" s="9754"/>
      <c r="BF633" s="14497"/>
      <c r="BG633" s="14497"/>
      <c r="BH633" s="14497"/>
      <c r="BI633" s="14497"/>
      <c r="BJ633" s="14497"/>
      <c r="BK633" s="9755"/>
      <c r="BL633" s="14497"/>
      <c r="BM633" s="14497"/>
      <c r="BN633" s="14497"/>
    </row>
    <row r="634" spans="1:66" ht="29.25" hidden="1" customHeight="1">
      <c r="A634" s="13722"/>
      <c r="B634" s="14107"/>
      <c r="C634" s="13595"/>
      <c r="D634" s="12149"/>
      <c r="E634" s="12150"/>
      <c r="F634" s="12150" t="s">
        <v>507</v>
      </c>
      <c r="G634" s="13839"/>
      <c r="H634" s="13478"/>
      <c r="I634" s="14122"/>
      <c r="K634" s="9756"/>
      <c r="L634" s="8149"/>
      <c r="M634" s="8149"/>
      <c r="N634" s="9757"/>
      <c r="O634" s="9757"/>
      <c r="P634" s="9758"/>
      <c r="Q634" s="8152"/>
      <c r="R634" s="8153"/>
      <c r="S634" s="8154"/>
      <c r="T634" s="8155"/>
      <c r="U634" s="8152"/>
      <c r="V634" s="8153"/>
      <c r="W634" s="8155"/>
      <c r="X634" s="8153"/>
      <c r="Y634" s="8155"/>
      <c r="Z634" s="8153"/>
      <c r="AA634" s="8154"/>
      <c r="AB634" s="8154"/>
      <c r="AC634" s="8154"/>
      <c r="AD634" s="8154"/>
      <c r="AE634" s="8154"/>
      <c r="AF634" s="8155"/>
      <c r="AG634" s="8153"/>
      <c r="AH634" s="8154"/>
      <c r="AI634" s="8154"/>
      <c r="AJ634" s="8154"/>
      <c r="AK634" s="8154"/>
      <c r="AL634" s="8154"/>
      <c r="AM634" s="8154"/>
      <c r="AN634" s="8155"/>
      <c r="AO634" s="8153"/>
      <c r="AP634" s="8154"/>
      <c r="AQ634" s="8154"/>
      <c r="AR634" s="8154"/>
      <c r="AS634" s="8154"/>
      <c r="AT634" s="8155"/>
      <c r="AU634" s="9759"/>
      <c r="AV634" s="9759"/>
      <c r="AW634" s="9759"/>
      <c r="AX634" s="9756"/>
      <c r="AY634" s="9758"/>
      <c r="AZ634" s="9759"/>
      <c r="BA634" s="9756"/>
      <c r="BB634" s="9757"/>
      <c r="BC634" s="9758"/>
      <c r="BD634" s="9760"/>
      <c r="BF634" s="14417"/>
      <c r="BG634" s="14417"/>
      <c r="BH634" s="14417"/>
      <c r="BI634" s="14417"/>
      <c r="BJ634" s="14417"/>
      <c r="BK634" s="7907"/>
      <c r="BL634" s="14417"/>
      <c r="BM634" s="14417"/>
      <c r="BN634" s="14417"/>
    </row>
    <row r="635" spans="1:66" ht="29.25" hidden="1" customHeight="1">
      <c r="A635" s="13722">
        <v>399</v>
      </c>
      <c r="B635" s="14107" t="s">
        <v>7975</v>
      </c>
      <c r="C635" s="13595"/>
      <c r="D635" s="12149" t="s">
        <v>10066</v>
      </c>
      <c r="E635" s="12150" t="s">
        <v>298</v>
      </c>
      <c r="F635" s="12150"/>
      <c r="G635" s="13839" t="s">
        <v>5002</v>
      </c>
      <c r="H635" s="13478" t="s">
        <v>831</v>
      </c>
      <c r="I635" s="14122">
        <v>1</v>
      </c>
      <c r="K635" s="9756"/>
      <c r="L635" s="8149"/>
      <c r="M635" s="8149"/>
      <c r="N635" s="9757"/>
      <c r="O635" s="9757"/>
      <c r="P635" s="9758"/>
      <c r="Q635" s="8152"/>
      <c r="R635" s="8153"/>
      <c r="S635" s="8154"/>
      <c r="T635" s="8155"/>
      <c r="U635" s="8152"/>
      <c r="V635" s="8153"/>
      <c r="W635" s="8155"/>
      <c r="X635" s="8153"/>
      <c r="Y635" s="8155"/>
      <c r="Z635" s="8153"/>
      <c r="AA635" s="8154"/>
      <c r="AB635" s="8154"/>
      <c r="AC635" s="8154"/>
      <c r="AD635" s="8154"/>
      <c r="AE635" s="8154"/>
      <c r="AF635" s="8155"/>
      <c r="AG635" s="8153"/>
      <c r="AH635" s="8154"/>
      <c r="AI635" s="8154"/>
      <c r="AJ635" s="8154"/>
      <c r="AK635" s="8154"/>
      <c r="AL635" s="8154"/>
      <c r="AM635" s="8154"/>
      <c r="AN635" s="8155"/>
      <c r="AO635" s="8153"/>
      <c r="AP635" s="8154"/>
      <c r="AQ635" s="8154"/>
      <c r="AR635" s="8154"/>
      <c r="AS635" s="8154"/>
      <c r="AT635" s="8155"/>
      <c r="AU635" s="9759"/>
      <c r="AV635" s="9759"/>
      <c r="AW635" s="9759"/>
      <c r="AX635" s="9756"/>
      <c r="AY635" s="9758"/>
      <c r="AZ635" s="9759"/>
      <c r="BA635" s="9756"/>
      <c r="BB635" s="9757"/>
      <c r="BC635" s="9758"/>
      <c r="BD635" s="9760"/>
      <c r="BF635" s="14417"/>
      <c r="BG635" s="14417"/>
      <c r="BH635" s="14417"/>
      <c r="BI635" s="14417"/>
      <c r="BJ635" s="14417"/>
      <c r="BK635" s="7907"/>
      <c r="BL635" s="14417"/>
      <c r="BM635" s="14417"/>
      <c r="BN635" s="14417"/>
    </row>
    <row r="636" spans="1:66" ht="29.25" hidden="1" customHeight="1">
      <c r="A636" s="13722"/>
      <c r="B636" s="14107"/>
      <c r="C636" s="13595"/>
      <c r="D636" s="12149"/>
      <c r="E636" s="12150"/>
      <c r="F636" s="12150" t="s">
        <v>507</v>
      </c>
      <c r="G636" s="13839"/>
      <c r="H636" s="13478"/>
      <c r="I636" s="14122"/>
      <c r="K636" s="9756"/>
      <c r="L636" s="8149"/>
      <c r="M636" s="8149"/>
      <c r="N636" s="9757"/>
      <c r="O636" s="9757"/>
      <c r="P636" s="9758"/>
      <c r="Q636" s="8152"/>
      <c r="R636" s="8153"/>
      <c r="S636" s="8154"/>
      <c r="T636" s="8155"/>
      <c r="U636" s="8152"/>
      <c r="V636" s="8153"/>
      <c r="W636" s="8155"/>
      <c r="X636" s="8153"/>
      <c r="Y636" s="8155"/>
      <c r="Z636" s="8153"/>
      <c r="AA636" s="8154"/>
      <c r="AB636" s="8154"/>
      <c r="AC636" s="8154"/>
      <c r="AD636" s="8154"/>
      <c r="AE636" s="8154"/>
      <c r="AF636" s="8155"/>
      <c r="AG636" s="8153"/>
      <c r="AH636" s="8154"/>
      <c r="AI636" s="8154"/>
      <c r="AJ636" s="8154"/>
      <c r="AK636" s="8154"/>
      <c r="AL636" s="8154"/>
      <c r="AM636" s="8154"/>
      <c r="AN636" s="8155"/>
      <c r="AO636" s="8153"/>
      <c r="AP636" s="8154"/>
      <c r="AQ636" s="8154"/>
      <c r="AR636" s="8154"/>
      <c r="AS636" s="8154"/>
      <c r="AT636" s="8155"/>
      <c r="AU636" s="9759"/>
      <c r="AV636" s="9759"/>
      <c r="AW636" s="9759"/>
      <c r="AX636" s="9756"/>
      <c r="AY636" s="9758"/>
      <c r="AZ636" s="9759"/>
      <c r="BA636" s="9756"/>
      <c r="BB636" s="9757"/>
      <c r="BC636" s="9758"/>
      <c r="BD636" s="9760"/>
      <c r="BF636" s="14417"/>
      <c r="BG636" s="14417"/>
      <c r="BH636" s="14417"/>
      <c r="BI636" s="14417"/>
      <c r="BJ636" s="14417"/>
      <c r="BK636" s="7907"/>
      <c r="BL636" s="14417"/>
      <c r="BM636" s="14417"/>
      <c r="BN636" s="14417"/>
    </row>
    <row r="637" spans="1:66" ht="29.25" hidden="1" customHeight="1">
      <c r="A637" s="13722">
        <v>400</v>
      </c>
      <c r="B637" s="14107" t="s">
        <v>7976</v>
      </c>
      <c r="C637" s="13595"/>
      <c r="D637" s="12149" t="s">
        <v>10066</v>
      </c>
      <c r="E637" s="12150" t="s">
        <v>298</v>
      </c>
      <c r="F637" s="12150"/>
      <c r="G637" s="13839" t="s">
        <v>5003</v>
      </c>
      <c r="H637" s="13478" t="s">
        <v>833</v>
      </c>
      <c r="I637" s="14122">
        <v>1</v>
      </c>
      <c r="K637" s="9756"/>
      <c r="L637" s="8149"/>
      <c r="M637" s="8149"/>
      <c r="N637" s="9757"/>
      <c r="O637" s="9757"/>
      <c r="P637" s="9758"/>
      <c r="Q637" s="8152"/>
      <c r="R637" s="8153"/>
      <c r="S637" s="8154"/>
      <c r="T637" s="8155"/>
      <c r="U637" s="8152"/>
      <c r="V637" s="8153"/>
      <c r="W637" s="8155"/>
      <c r="X637" s="8153"/>
      <c r="Y637" s="8155"/>
      <c r="Z637" s="8153"/>
      <c r="AA637" s="8154"/>
      <c r="AB637" s="8154"/>
      <c r="AC637" s="8154"/>
      <c r="AD637" s="8154"/>
      <c r="AE637" s="8154"/>
      <c r="AF637" s="8155"/>
      <c r="AG637" s="8153"/>
      <c r="AH637" s="8154"/>
      <c r="AI637" s="8154"/>
      <c r="AJ637" s="8154"/>
      <c r="AK637" s="8154"/>
      <c r="AL637" s="8154"/>
      <c r="AM637" s="8154"/>
      <c r="AN637" s="8155"/>
      <c r="AO637" s="8153"/>
      <c r="AP637" s="8154"/>
      <c r="AQ637" s="8154"/>
      <c r="AR637" s="8154"/>
      <c r="AS637" s="8154"/>
      <c r="AT637" s="8155"/>
      <c r="AU637" s="9759"/>
      <c r="AV637" s="9759"/>
      <c r="AW637" s="9759"/>
      <c r="AX637" s="9756"/>
      <c r="AY637" s="9758"/>
      <c r="AZ637" s="9759"/>
      <c r="BA637" s="9756"/>
      <c r="BB637" s="9757"/>
      <c r="BC637" s="9758"/>
      <c r="BD637" s="9760"/>
      <c r="BF637" s="14417"/>
      <c r="BG637" s="14417"/>
      <c r="BH637" s="14417"/>
      <c r="BI637" s="14417"/>
      <c r="BJ637" s="14417"/>
      <c r="BK637" s="7907"/>
      <c r="BL637" s="14417"/>
      <c r="BM637" s="14417"/>
      <c r="BN637" s="14417"/>
    </row>
    <row r="638" spans="1:66" ht="29.25" hidden="1" customHeight="1">
      <c r="A638" s="13722"/>
      <c r="B638" s="14107"/>
      <c r="C638" s="13595"/>
      <c r="D638" s="12149"/>
      <c r="E638" s="12150"/>
      <c r="F638" s="12150" t="s">
        <v>507</v>
      </c>
      <c r="G638" s="13839"/>
      <c r="H638" s="13478"/>
      <c r="I638" s="14122"/>
      <c r="K638" s="9756"/>
      <c r="L638" s="8149"/>
      <c r="M638" s="8149"/>
      <c r="N638" s="9757"/>
      <c r="O638" s="9757"/>
      <c r="P638" s="9758"/>
      <c r="Q638" s="8152"/>
      <c r="R638" s="8153"/>
      <c r="S638" s="8154"/>
      <c r="T638" s="8155"/>
      <c r="U638" s="8152"/>
      <c r="V638" s="8153"/>
      <c r="W638" s="8155"/>
      <c r="X638" s="8153"/>
      <c r="Y638" s="8155"/>
      <c r="Z638" s="8153"/>
      <c r="AA638" s="8154"/>
      <c r="AB638" s="8154"/>
      <c r="AC638" s="8154"/>
      <c r="AD638" s="8154"/>
      <c r="AE638" s="8154"/>
      <c r="AF638" s="8155"/>
      <c r="AG638" s="8153"/>
      <c r="AH638" s="8154"/>
      <c r="AI638" s="8154"/>
      <c r="AJ638" s="8154"/>
      <c r="AK638" s="8154"/>
      <c r="AL638" s="8154"/>
      <c r="AM638" s="8154"/>
      <c r="AN638" s="8155"/>
      <c r="AO638" s="8153"/>
      <c r="AP638" s="8154"/>
      <c r="AQ638" s="8154"/>
      <c r="AR638" s="8154"/>
      <c r="AS638" s="8154"/>
      <c r="AT638" s="8155"/>
      <c r="AU638" s="9759"/>
      <c r="AV638" s="9759"/>
      <c r="AW638" s="9759"/>
      <c r="AX638" s="9756"/>
      <c r="AY638" s="9758"/>
      <c r="AZ638" s="9759"/>
      <c r="BA638" s="9756"/>
      <c r="BB638" s="9757"/>
      <c r="BC638" s="9758"/>
      <c r="BD638" s="9760"/>
      <c r="BF638" s="14417"/>
      <c r="BG638" s="14417"/>
      <c r="BH638" s="14417"/>
      <c r="BI638" s="14417"/>
      <c r="BJ638" s="14417"/>
      <c r="BK638" s="7907"/>
      <c r="BL638" s="14417"/>
      <c r="BM638" s="14417"/>
      <c r="BN638" s="14417"/>
    </row>
    <row r="639" spans="1:66" ht="29.25" hidden="1" customHeight="1">
      <c r="A639" s="13722">
        <v>401</v>
      </c>
      <c r="B639" s="14107" t="s">
        <v>7977</v>
      </c>
      <c r="C639" s="13595"/>
      <c r="D639" s="12149" t="s">
        <v>10066</v>
      </c>
      <c r="E639" s="12150" t="s">
        <v>298</v>
      </c>
      <c r="F639" s="12150"/>
      <c r="G639" s="13839" t="s">
        <v>5004</v>
      </c>
      <c r="H639" s="13478" t="s">
        <v>837</v>
      </c>
      <c r="I639" s="14122">
        <v>10</v>
      </c>
      <c r="K639" s="9756"/>
      <c r="L639" s="8149"/>
      <c r="M639" s="8149"/>
      <c r="N639" s="9757"/>
      <c r="O639" s="9757"/>
      <c r="P639" s="9758"/>
      <c r="Q639" s="8152"/>
      <c r="R639" s="8153"/>
      <c r="S639" s="8154"/>
      <c r="T639" s="8155"/>
      <c r="U639" s="8152"/>
      <c r="V639" s="8153"/>
      <c r="W639" s="8155"/>
      <c r="X639" s="8153"/>
      <c r="Y639" s="8155"/>
      <c r="Z639" s="8153"/>
      <c r="AA639" s="8154"/>
      <c r="AB639" s="8154"/>
      <c r="AC639" s="8154"/>
      <c r="AD639" s="8154"/>
      <c r="AE639" s="8154"/>
      <c r="AF639" s="8155"/>
      <c r="AG639" s="8153"/>
      <c r="AH639" s="8154"/>
      <c r="AI639" s="8154"/>
      <c r="AJ639" s="8154"/>
      <c r="AK639" s="8154"/>
      <c r="AL639" s="8154"/>
      <c r="AM639" s="8154"/>
      <c r="AN639" s="8155"/>
      <c r="AO639" s="8153"/>
      <c r="AP639" s="8154"/>
      <c r="AQ639" s="8154"/>
      <c r="AR639" s="8154"/>
      <c r="AS639" s="8154"/>
      <c r="AT639" s="8155"/>
      <c r="AU639" s="9759"/>
      <c r="AV639" s="9759"/>
      <c r="AW639" s="9759"/>
      <c r="AX639" s="9756"/>
      <c r="AY639" s="9758"/>
      <c r="AZ639" s="9759"/>
      <c r="BA639" s="9756"/>
      <c r="BB639" s="9757"/>
      <c r="BC639" s="9758"/>
      <c r="BD639" s="9760"/>
      <c r="BF639" s="14417"/>
      <c r="BG639" s="14417"/>
      <c r="BH639" s="14417"/>
      <c r="BI639" s="14417"/>
      <c r="BJ639" s="14417"/>
      <c r="BK639" s="7907"/>
      <c r="BL639" s="14417"/>
      <c r="BM639" s="14417"/>
      <c r="BN639" s="14417"/>
    </row>
    <row r="640" spans="1:66" ht="29.25" hidden="1" customHeight="1">
      <c r="A640" s="13722"/>
      <c r="B640" s="14107"/>
      <c r="C640" s="13595"/>
      <c r="D640" s="12149"/>
      <c r="E640" s="12150"/>
      <c r="F640" s="12150" t="s">
        <v>507</v>
      </c>
      <c r="G640" s="13839"/>
      <c r="H640" s="13478"/>
      <c r="I640" s="14122"/>
      <c r="K640" s="9756"/>
      <c r="L640" s="8149"/>
      <c r="M640" s="8149"/>
      <c r="N640" s="9757"/>
      <c r="O640" s="9757"/>
      <c r="P640" s="9758"/>
      <c r="Q640" s="8152"/>
      <c r="R640" s="8153"/>
      <c r="S640" s="8154"/>
      <c r="T640" s="8155"/>
      <c r="U640" s="8152"/>
      <c r="V640" s="8153"/>
      <c r="W640" s="8155"/>
      <c r="X640" s="8153"/>
      <c r="Y640" s="8155"/>
      <c r="Z640" s="8153"/>
      <c r="AA640" s="8154"/>
      <c r="AB640" s="8154"/>
      <c r="AC640" s="8154"/>
      <c r="AD640" s="8154"/>
      <c r="AE640" s="8154"/>
      <c r="AF640" s="8155"/>
      <c r="AG640" s="8153"/>
      <c r="AH640" s="8154"/>
      <c r="AI640" s="8154"/>
      <c r="AJ640" s="8154"/>
      <c r="AK640" s="8154"/>
      <c r="AL640" s="8154"/>
      <c r="AM640" s="8154"/>
      <c r="AN640" s="8155"/>
      <c r="AO640" s="8153"/>
      <c r="AP640" s="8154"/>
      <c r="AQ640" s="8154"/>
      <c r="AR640" s="8154"/>
      <c r="AS640" s="8154"/>
      <c r="AT640" s="8155"/>
      <c r="AU640" s="9759"/>
      <c r="AV640" s="9759"/>
      <c r="AW640" s="9759"/>
      <c r="AX640" s="9756"/>
      <c r="AY640" s="9758"/>
      <c r="AZ640" s="9759"/>
      <c r="BA640" s="9756"/>
      <c r="BB640" s="9757"/>
      <c r="BC640" s="9758"/>
      <c r="BD640" s="9760"/>
      <c r="BF640" s="14417"/>
      <c r="BG640" s="14417"/>
      <c r="BH640" s="14417"/>
      <c r="BI640" s="14417"/>
      <c r="BJ640" s="14417"/>
      <c r="BK640" s="7907"/>
      <c r="BL640" s="14417"/>
      <c r="BM640" s="14417"/>
      <c r="BN640" s="14417"/>
    </row>
    <row r="641" spans="1:66" ht="29.25" hidden="1" customHeight="1">
      <c r="A641" s="13722">
        <v>402</v>
      </c>
      <c r="B641" s="14107" t="s">
        <v>7978</v>
      </c>
      <c r="C641" s="13595"/>
      <c r="D641" s="12149" t="s">
        <v>10066</v>
      </c>
      <c r="E641" s="12150" t="s">
        <v>298</v>
      </c>
      <c r="F641" s="12150"/>
      <c r="G641" s="13839" t="s">
        <v>5005</v>
      </c>
      <c r="H641" s="13478" t="s">
        <v>838</v>
      </c>
      <c r="I641" s="14122">
        <v>1</v>
      </c>
      <c r="K641" s="9756"/>
      <c r="L641" s="8149"/>
      <c r="M641" s="8149"/>
      <c r="N641" s="9757"/>
      <c r="O641" s="9757"/>
      <c r="P641" s="9758"/>
      <c r="Q641" s="8152"/>
      <c r="R641" s="8153"/>
      <c r="S641" s="8154"/>
      <c r="T641" s="8155"/>
      <c r="U641" s="8152"/>
      <c r="V641" s="8153"/>
      <c r="W641" s="8155"/>
      <c r="X641" s="8153"/>
      <c r="Y641" s="8155"/>
      <c r="Z641" s="8153"/>
      <c r="AA641" s="8154"/>
      <c r="AB641" s="8154"/>
      <c r="AC641" s="8154"/>
      <c r="AD641" s="8154"/>
      <c r="AE641" s="8154"/>
      <c r="AF641" s="8155"/>
      <c r="AG641" s="8153"/>
      <c r="AH641" s="8154"/>
      <c r="AI641" s="8154"/>
      <c r="AJ641" s="8154"/>
      <c r="AK641" s="8154"/>
      <c r="AL641" s="8154"/>
      <c r="AM641" s="8154"/>
      <c r="AN641" s="8155"/>
      <c r="AO641" s="8153"/>
      <c r="AP641" s="8154"/>
      <c r="AQ641" s="8154"/>
      <c r="AR641" s="8154"/>
      <c r="AS641" s="8154"/>
      <c r="AT641" s="8155"/>
      <c r="AU641" s="9759"/>
      <c r="AV641" s="9759"/>
      <c r="AW641" s="9759"/>
      <c r="AX641" s="9756"/>
      <c r="AY641" s="9758"/>
      <c r="AZ641" s="9759"/>
      <c r="BA641" s="9756"/>
      <c r="BB641" s="9757"/>
      <c r="BC641" s="9758"/>
      <c r="BD641" s="9760"/>
      <c r="BF641" s="14417"/>
      <c r="BG641" s="14417"/>
      <c r="BH641" s="14417"/>
      <c r="BI641" s="14417"/>
      <c r="BJ641" s="14417"/>
      <c r="BK641" s="7907"/>
      <c r="BL641" s="14417"/>
      <c r="BM641" s="14417"/>
      <c r="BN641" s="14417"/>
    </row>
    <row r="642" spans="1:66" ht="29.25" hidden="1" customHeight="1">
      <c r="A642" s="13722"/>
      <c r="B642" s="14107"/>
      <c r="C642" s="13595"/>
      <c r="D642" s="12149" t="s">
        <v>10063</v>
      </c>
      <c r="E642" s="12150"/>
      <c r="F642" s="12150" t="s">
        <v>107</v>
      </c>
      <c r="G642" s="13839"/>
      <c r="H642" s="13478"/>
      <c r="I642" s="14122"/>
      <c r="K642" s="9756"/>
      <c r="L642" s="8149"/>
      <c r="M642" s="8149"/>
      <c r="N642" s="9757"/>
      <c r="O642" s="9757"/>
      <c r="P642" s="9758"/>
      <c r="Q642" s="8152"/>
      <c r="R642" s="8153"/>
      <c r="S642" s="8154"/>
      <c r="T642" s="8155"/>
      <c r="U642" s="8152"/>
      <c r="V642" s="8153"/>
      <c r="W642" s="8155"/>
      <c r="X642" s="8153"/>
      <c r="Y642" s="8155"/>
      <c r="Z642" s="8153"/>
      <c r="AA642" s="8154"/>
      <c r="AB642" s="8154"/>
      <c r="AC642" s="8154"/>
      <c r="AD642" s="8154"/>
      <c r="AE642" s="8154"/>
      <c r="AF642" s="8155"/>
      <c r="AG642" s="8153"/>
      <c r="AH642" s="8154"/>
      <c r="AI642" s="8154"/>
      <c r="AJ642" s="8154"/>
      <c r="AK642" s="8154"/>
      <c r="AL642" s="8154"/>
      <c r="AM642" s="8154"/>
      <c r="AN642" s="8155"/>
      <c r="AO642" s="8153"/>
      <c r="AP642" s="8154"/>
      <c r="AQ642" s="8154"/>
      <c r="AR642" s="8154"/>
      <c r="AS642" s="8154"/>
      <c r="AT642" s="8155"/>
      <c r="AU642" s="9759"/>
      <c r="AV642" s="9759"/>
      <c r="AW642" s="9759"/>
      <c r="AX642" s="9756"/>
      <c r="AY642" s="9758"/>
      <c r="AZ642" s="9759"/>
      <c r="BA642" s="9756"/>
      <c r="BB642" s="9757"/>
      <c r="BC642" s="9758"/>
      <c r="BD642" s="9760"/>
      <c r="BF642" s="14417"/>
      <c r="BG642" s="14417"/>
      <c r="BH642" s="14417"/>
      <c r="BI642" s="14417"/>
      <c r="BJ642" s="14417"/>
      <c r="BK642" s="7907"/>
      <c r="BL642" s="14417"/>
      <c r="BM642" s="14417"/>
      <c r="BN642" s="14417"/>
    </row>
    <row r="643" spans="1:66" ht="29.25" hidden="1" customHeight="1" thickBot="1">
      <c r="A643" s="13723"/>
      <c r="B643" s="14108"/>
      <c r="C643" s="13595"/>
      <c r="D643" s="12151" t="s">
        <v>10199</v>
      </c>
      <c r="E643" s="12152"/>
      <c r="F643" s="12152" t="s">
        <v>507</v>
      </c>
      <c r="G643" s="13840"/>
      <c r="H643" s="13479"/>
      <c r="I643" s="14123"/>
      <c r="K643" s="9761"/>
      <c r="L643" s="9762"/>
      <c r="M643" s="9762"/>
      <c r="N643" s="9763"/>
      <c r="O643" s="9763"/>
      <c r="P643" s="9764"/>
      <c r="Q643" s="9765"/>
      <c r="R643" s="9766"/>
      <c r="S643" s="9767"/>
      <c r="T643" s="9768"/>
      <c r="U643" s="9765"/>
      <c r="V643" s="9766"/>
      <c r="W643" s="9768"/>
      <c r="X643" s="9766"/>
      <c r="Y643" s="9768"/>
      <c r="Z643" s="9766"/>
      <c r="AA643" s="9767"/>
      <c r="AB643" s="9767"/>
      <c r="AC643" s="9767"/>
      <c r="AD643" s="9767"/>
      <c r="AE643" s="9767"/>
      <c r="AF643" s="9768"/>
      <c r="AG643" s="9766"/>
      <c r="AH643" s="9767"/>
      <c r="AI643" s="9767"/>
      <c r="AJ643" s="9767"/>
      <c r="AK643" s="9767"/>
      <c r="AL643" s="9767"/>
      <c r="AM643" s="9767"/>
      <c r="AN643" s="9768"/>
      <c r="AO643" s="9766"/>
      <c r="AP643" s="9767"/>
      <c r="AQ643" s="9767"/>
      <c r="AR643" s="9767"/>
      <c r="AS643" s="9767"/>
      <c r="AT643" s="9768"/>
      <c r="AU643" s="9769"/>
      <c r="AV643" s="9769"/>
      <c r="AW643" s="9769"/>
      <c r="AX643" s="9761"/>
      <c r="AY643" s="9764"/>
      <c r="AZ643" s="9769"/>
      <c r="BA643" s="9761"/>
      <c r="BB643" s="9763"/>
      <c r="BC643" s="9764"/>
      <c r="BD643" s="9770"/>
      <c r="BF643" s="14418"/>
      <c r="BG643" s="14418"/>
      <c r="BH643" s="14418"/>
      <c r="BI643" s="14418"/>
      <c r="BJ643" s="14418"/>
      <c r="BK643" s="7908"/>
      <c r="BL643" s="14418"/>
      <c r="BM643" s="14418"/>
      <c r="BN643" s="14418"/>
    </row>
    <row r="644" spans="1:66" ht="29.25" hidden="1" customHeight="1">
      <c r="A644" s="9771">
        <v>403</v>
      </c>
      <c r="B644" s="9772" t="s">
        <v>7979</v>
      </c>
      <c r="C644" s="13595"/>
      <c r="D644" s="11914" t="s">
        <v>10072</v>
      </c>
      <c r="E644" s="7820" t="s">
        <v>844</v>
      </c>
      <c r="F644" s="7820"/>
      <c r="G644" s="12153" t="s">
        <v>5006</v>
      </c>
      <c r="H644" s="12154" t="s">
        <v>843</v>
      </c>
      <c r="I644" s="12155">
        <v>200</v>
      </c>
      <c r="K644" s="8904"/>
      <c r="L644" s="9773"/>
      <c r="M644" s="9773"/>
      <c r="N644" s="3923"/>
      <c r="O644" s="3923"/>
      <c r="P644" s="9774"/>
      <c r="Q644" s="9775"/>
      <c r="R644" s="9776"/>
      <c r="S644" s="9777"/>
      <c r="T644" s="9778"/>
      <c r="U644" s="9775"/>
      <c r="V644" s="9776"/>
      <c r="W644" s="9778"/>
      <c r="X644" s="9776"/>
      <c r="Y644" s="9778"/>
      <c r="Z644" s="9776"/>
      <c r="AA644" s="9777"/>
      <c r="AB644" s="9777"/>
      <c r="AC644" s="9777"/>
      <c r="AD644" s="9777"/>
      <c r="AE644" s="9777"/>
      <c r="AF644" s="9778"/>
      <c r="AG644" s="9776"/>
      <c r="AH644" s="9777"/>
      <c r="AI644" s="9777"/>
      <c r="AJ644" s="9777"/>
      <c r="AK644" s="9777"/>
      <c r="AL644" s="9777"/>
      <c r="AM644" s="9777"/>
      <c r="AN644" s="9778"/>
      <c r="AO644" s="9776"/>
      <c r="AP644" s="9777"/>
      <c r="AQ644" s="9777"/>
      <c r="AR644" s="9777"/>
      <c r="AS644" s="9777"/>
      <c r="AT644" s="9778"/>
      <c r="AU644" s="9779"/>
      <c r="AV644" s="9779"/>
      <c r="AW644" s="9779"/>
      <c r="AX644" s="8904"/>
      <c r="AY644" s="9774"/>
      <c r="AZ644" s="9779"/>
      <c r="BA644" s="8904"/>
      <c r="BB644" s="3923"/>
      <c r="BC644" s="9774"/>
      <c r="BD644" s="9771"/>
      <c r="BF644" s="8929"/>
      <c r="BG644" s="8929"/>
      <c r="BH644" s="8929"/>
      <c r="BI644" s="8929"/>
      <c r="BJ644" s="8929"/>
      <c r="BK644" s="8929"/>
      <c r="BL644" s="8929"/>
      <c r="BM644" s="8929"/>
      <c r="BN644" s="8929"/>
    </row>
    <row r="645" spans="1:66" ht="29.25" hidden="1" customHeight="1">
      <c r="A645" s="8930">
        <v>404</v>
      </c>
      <c r="B645" s="8931" t="s">
        <v>7980</v>
      </c>
      <c r="C645" s="13595"/>
      <c r="D645" s="11915" t="s">
        <v>10072</v>
      </c>
      <c r="E645" s="7822" t="s">
        <v>844</v>
      </c>
      <c r="F645" s="7822"/>
      <c r="G645" s="11917" t="s">
        <v>5007</v>
      </c>
      <c r="H645" s="11918" t="s">
        <v>845</v>
      </c>
      <c r="I645" s="11921">
        <v>1</v>
      </c>
      <c r="K645" s="8946"/>
      <c r="L645" s="8933"/>
      <c r="M645" s="8933"/>
      <c r="N645" s="8947"/>
      <c r="O645" s="8947"/>
      <c r="P645" s="8948"/>
      <c r="Q645" s="8936"/>
      <c r="R645" s="8937"/>
      <c r="S645" s="8938"/>
      <c r="T645" s="8939"/>
      <c r="U645" s="8936"/>
      <c r="V645" s="8937"/>
      <c r="W645" s="8939"/>
      <c r="X645" s="8937"/>
      <c r="Y645" s="8939"/>
      <c r="Z645" s="8937"/>
      <c r="AA645" s="8938"/>
      <c r="AB645" s="8938"/>
      <c r="AC645" s="8938"/>
      <c r="AD645" s="8938"/>
      <c r="AE645" s="8938"/>
      <c r="AF645" s="8939"/>
      <c r="AG645" s="8937"/>
      <c r="AH645" s="8938"/>
      <c r="AI645" s="8938"/>
      <c r="AJ645" s="8938"/>
      <c r="AK645" s="8938"/>
      <c r="AL645" s="8938"/>
      <c r="AM645" s="8938"/>
      <c r="AN645" s="8939"/>
      <c r="AO645" s="8937"/>
      <c r="AP645" s="8938"/>
      <c r="AQ645" s="8938"/>
      <c r="AR645" s="8938"/>
      <c r="AS645" s="8938"/>
      <c r="AT645" s="8939"/>
      <c r="AU645" s="8949"/>
      <c r="AV645" s="8949"/>
      <c r="AW645" s="8949"/>
      <c r="AX645" s="8946"/>
      <c r="AY645" s="8948"/>
      <c r="AZ645" s="8949"/>
      <c r="BA645" s="8946"/>
      <c r="BB645" s="8947"/>
      <c r="BC645" s="8948"/>
      <c r="BD645" s="8950"/>
      <c r="BF645" s="8932"/>
      <c r="BG645" s="8932"/>
      <c r="BH645" s="8932"/>
      <c r="BI645" s="8932"/>
      <c r="BJ645" s="8932"/>
      <c r="BK645" s="8932"/>
      <c r="BL645" s="8932"/>
      <c r="BM645" s="8932"/>
      <c r="BN645" s="8932"/>
    </row>
    <row r="646" spans="1:66" ht="29.25" hidden="1" customHeight="1">
      <c r="A646" s="8930">
        <v>405</v>
      </c>
      <c r="B646" s="8931" t="s">
        <v>7981</v>
      </c>
      <c r="C646" s="13595"/>
      <c r="D646" s="11915" t="s">
        <v>10072</v>
      </c>
      <c r="E646" s="7822" t="s">
        <v>844</v>
      </c>
      <c r="F646" s="7822"/>
      <c r="G646" s="11917" t="s">
        <v>5008</v>
      </c>
      <c r="H646" s="11918" t="s">
        <v>772</v>
      </c>
      <c r="I646" s="12156">
        <v>20</v>
      </c>
      <c r="K646" s="8917"/>
      <c r="L646" s="8933"/>
      <c r="M646" s="8933"/>
      <c r="N646" s="8934"/>
      <c r="O646" s="8934"/>
      <c r="P646" s="8935"/>
      <c r="Q646" s="8936"/>
      <c r="R646" s="8937"/>
      <c r="S646" s="8938"/>
      <c r="T646" s="8939"/>
      <c r="U646" s="8936"/>
      <c r="V646" s="8937"/>
      <c r="W646" s="8939"/>
      <c r="X646" s="8937"/>
      <c r="Y646" s="8939"/>
      <c r="Z646" s="8937"/>
      <c r="AA646" s="8938"/>
      <c r="AB646" s="8938"/>
      <c r="AC646" s="8938"/>
      <c r="AD646" s="8938"/>
      <c r="AE646" s="8938"/>
      <c r="AF646" s="8939"/>
      <c r="AG646" s="8937"/>
      <c r="AH646" s="8938"/>
      <c r="AI646" s="8938"/>
      <c r="AJ646" s="8938"/>
      <c r="AK646" s="8938"/>
      <c r="AL646" s="8938"/>
      <c r="AM646" s="8938"/>
      <c r="AN646" s="8939"/>
      <c r="AO646" s="8937"/>
      <c r="AP646" s="8938"/>
      <c r="AQ646" s="8938"/>
      <c r="AR646" s="8938"/>
      <c r="AS646" s="8938"/>
      <c r="AT646" s="8939"/>
      <c r="AU646" s="8940"/>
      <c r="AV646" s="8940"/>
      <c r="AW646" s="8940"/>
      <c r="AX646" s="8917"/>
      <c r="AY646" s="8935"/>
      <c r="AZ646" s="8940"/>
      <c r="BA646" s="8917"/>
      <c r="BB646" s="8934"/>
      <c r="BC646" s="8935"/>
      <c r="BD646" s="8930"/>
      <c r="BF646" s="8932"/>
      <c r="BG646" s="8932"/>
      <c r="BH646" s="8932"/>
      <c r="BI646" s="8932"/>
      <c r="BJ646" s="8932"/>
      <c r="BK646" s="8932"/>
      <c r="BL646" s="8932"/>
      <c r="BM646" s="8932"/>
      <c r="BN646" s="8932"/>
    </row>
    <row r="647" spans="1:66" ht="29.25" hidden="1" customHeight="1">
      <c r="A647" s="8930">
        <v>406</v>
      </c>
      <c r="B647" s="8931" t="s">
        <v>7982</v>
      </c>
      <c r="C647" s="13595"/>
      <c r="D647" s="11915" t="s">
        <v>10072</v>
      </c>
      <c r="E647" s="7822" t="s">
        <v>844</v>
      </c>
      <c r="F647" s="7822"/>
      <c r="G647" s="11917" t="s">
        <v>5009</v>
      </c>
      <c r="H647" s="11918" t="s">
        <v>847</v>
      </c>
      <c r="I647" s="12156">
        <v>30</v>
      </c>
      <c r="K647" s="8917"/>
      <c r="L647" s="8933"/>
      <c r="M647" s="8933"/>
      <c r="N647" s="8934"/>
      <c r="O647" s="8934"/>
      <c r="P647" s="8935"/>
      <c r="Q647" s="8936"/>
      <c r="R647" s="8937"/>
      <c r="S647" s="8938"/>
      <c r="T647" s="8939"/>
      <c r="U647" s="8936"/>
      <c r="V647" s="8937"/>
      <c r="W647" s="8939"/>
      <c r="X647" s="8937"/>
      <c r="Y647" s="8939"/>
      <c r="Z647" s="8937"/>
      <c r="AA647" s="8938"/>
      <c r="AB647" s="8938"/>
      <c r="AC647" s="8938"/>
      <c r="AD647" s="8938"/>
      <c r="AE647" s="8938"/>
      <c r="AF647" s="8939"/>
      <c r="AG647" s="8937"/>
      <c r="AH647" s="8938"/>
      <c r="AI647" s="8938"/>
      <c r="AJ647" s="8938"/>
      <c r="AK647" s="8938"/>
      <c r="AL647" s="8938"/>
      <c r="AM647" s="8938"/>
      <c r="AN647" s="8939"/>
      <c r="AO647" s="8937"/>
      <c r="AP647" s="8938"/>
      <c r="AQ647" s="8938"/>
      <c r="AR647" s="8938"/>
      <c r="AS647" s="8938"/>
      <c r="AT647" s="8939"/>
      <c r="AU647" s="8940"/>
      <c r="AV647" s="8940"/>
      <c r="AW647" s="8940"/>
      <c r="AX647" s="8917"/>
      <c r="AY647" s="8935"/>
      <c r="AZ647" s="8940"/>
      <c r="BA647" s="8917"/>
      <c r="BB647" s="8934"/>
      <c r="BC647" s="8935"/>
      <c r="BD647" s="8930"/>
      <c r="BF647" s="8932"/>
      <c r="BG647" s="8932"/>
      <c r="BH647" s="8932"/>
      <c r="BI647" s="8932"/>
      <c r="BJ647" s="8932"/>
      <c r="BK647" s="8932"/>
      <c r="BL647" s="8932"/>
      <c r="BM647" s="8932"/>
      <c r="BN647" s="8932"/>
    </row>
    <row r="648" spans="1:66" ht="29.25" hidden="1" customHeight="1">
      <c r="A648" s="13648">
        <v>407</v>
      </c>
      <c r="B648" s="13884" t="s">
        <v>7983</v>
      </c>
      <c r="C648" s="13595"/>
      <c r="D648" s="11915" t="s">
        <v>10072</v>
      </c>
      <c r="E648" s="7822" t="s">
        <v>844</v>
      </c>
      <c r="F648" s="7822"/>
      <c r="G648" s="13930" t="s">
        <v>5010</v>
      </c>
      <c r="H648" s="13395" t="s">
        <v>850</v>
      </c>
      <c r="I648" s="13975">
        <v>1</v>
      </c>
      <c r="K648" s="8919"/>
      <c r="L648" s="8920"/>
      <c r="M648" s="8920"/>
      <c r="N648" s="8921"/>
      <c r="O648" s="8921"/>
      <c r="P648" s="8922"/>
      <c r="Q648" s="8923"/>
      <c r="R648" s="8924"/>
      <c r="S648" s="8925"/>
      <c r="T648" s="8926"/>
      <c r="U648" s="8923"/>
      <c r="V648" s="8924"/>
      <c r="W648" s="8926"/>
      <c r="X648" s="8924"/>
      <c r="Y648" s="8926"/>
      <c r="Z648" s="8924"/>
      <c r="AA648" s="8925"/>
      <c r="AB648" s="8925"/>
      <c r="AC648" s="8925"/>
      <c r="AD648" s="8925"/>
      <c r="AE648" s="8925"/>
      <c r="AF648" s="8926"/>
      <c r="AG648" s="8924"/>
      <c r="AH648" s="8925"/>
      <c r="AI648" s="8925"/>
      <c r="AJ648" s="8925"/>
      <c r="AK648" s="8925"/>
      <c r="AL648" s="8925"/>
      <c r="AM648" s="8925"/>
      <c r="AN648" s="8926"/>
      <c r="AO648" s="8924"/>
      <c r="AP648" s="8925"/>
      <c r="AQ648" s="8925"/>
      <c r="AR648" s="8925"/>
      <c r="AS648" s="8925"/>
      <c r="AT648" s="8926"/>
      <c r="AU648" s="8927"/>
      <c r="AV648" s="8927"/>
      <c r="AW648" s="8927"/>
      <c r="AX648" s="8919"/>
      <c r="AY648" s="8922"/>
      <c r="AZ648" s="8927"/>
      <c r="BA648" s="8919"/>
      <c r="BB648" s="8921"/>
      <c r="BC648" s="8922"/>
      <c r="BD648" s="8928"/>
      <c r="BF648" s="14439"/>
      <c r="BG648" s="14439"/>
      <c r="BH648" s="14439"/>
      <c r="BI648" s="14439"/>
      <c r="BJ648" s="14439"/>
      <c r="BK648" s="8932"/>
      <c r="BL648" s="14439"/>
      <c r="BM648" s="14439"/>
      <c r="BN648" s="14439"/>
    </row>
    <row r="649" spans="1:66" ht="29.25" hidden="1" customHeight="1">
      <c r="A649" s="13648"/>
      <c r="B649" s="13884"/>
      <c r="C649" s="13595"/>
      <c r="D649" s="11915" t="s">
        <v>2896</v>
      </c>
      <c r="E649" s="7822"/>
      <c r="F649" s="7822" t="s">
        <v>852</v>
      </c>
      <c r="G649" s="13930"/>
      <c r="H649" s="13395"/>
      <c r="I649" s="13975"/>
      <c r="K649" s="8919"/>
      <c r="L649" s="8920"/>
      <c r="M649" s="8920"/>
      <c r="N649" s="8921"/>
      <c r="O649" s="8921"/>
      <c r="P649" s="8922"/>
      <c r="Q649" s="8923"/>
      <c r="R649" s="8924"/>
      <c r="S649" s="8925"/>
      <c r="T649" s="8926"/>
      <c r="U649" s="8923"/>
      <c r="V649" s="8924"/>
      <c r="W649" s="8926"/>
      <c r="X649" s="8924"/>
      <c r="Y649" s="8926"/>
      <c r="Z649" s="8924"/>
      <c r="AA649" s="8925"/>
      <c r="AB649" s="8925"/>
      <c r="AC649" s="8925"/>
      <c r="AD649" s="8925"/>
      <c r="AE649" s="8925"/>
      <c r="AF649" s="8926"/>
      <c r="AG649" s="8924"/>
      <c r="AH649" s="8925"/>
      <c r="AI649" s="8925"/>
      <c r="AJ649" s="8925"/>
      <c r="AK649" s="8925"/>
      <c r="AL649" s="8925"/>
      <c r="AM649" s="8925"/>
      <c r="AN649" s="8926"/>
      <c r="AO649" s="8924"/>
      <c r="AP649" s="8925"/>
      <c r="AQ649" s="8925"/>
      <c r="AR649" s="8925"/>
      <c r="AS649" s="8925"/>
      <c r="AT649" s="8926"/>
      <c r="AU649" s="8927"/>
      <c r="AV649" s="8927"/>
      <c r="AW649" s="8927"/>
      <c r="AX649" s="8919"/>
      <c r="AY649" s="8922"/>
      <c r="AZ649" s="8927"/>
      <c r="BA649" s="8919"/>
      <c r="BB649" s="8921"/>
      <c r="BC649" s="8922"/>
      <c r="BD649" s="8928"/>
      <c r="BF649" s="14439"/>
      <c r="BG649" s="14439"/>
      <c r="BH649" s="14439"/>
      <c r="BI649" s="14439"/>
      <c r="BJ649" s="14439"/>
      <c r="BK649" s="8932"/>
      <c r="BL649" s="14439"/>
      <c r="BM649" s="14439"/>
      <c r="BN649" s="14439"/>
    </row>
    <row r="650" spans="1:66" ht="29.25" hidden="1" customHeight="1">
      <c r="A650" s="8930">
        <v>408</v>
      </c>
      <c r="B650" s="8931" t="s">
        <v>7984</v>
      </c>
      <c r="C650" s="13595"/>
      <c r="D650" s="11915" t="s">
        <v>10072</v>
      </c>
      <c r="E650" s="7822" t="s">
        <v>844</v>
      </c>
      <c r="F650" s="7822"/>
      <c r="G650" s="11917" t="s">
        <v>5011</v>
      </c>
      <c r="H650" s="11918" t="s">
        <v>854</v>
      </c>
      <c r="I650" s="11921">
        <v>1</v>
      </c>
      <c r="K650" s="8946"/>
      <c r="L650" s="8933"/>
      <c r="M650" s="8933"/>
      <c r="N650" s="8947"/>
      <c r="O650" s="8947"/>
      <c r="P650" s="8948"/>
      <c r="Q650" s="8936"/>
      <c r="R650" s="8937"/>
      <c r="S650" s="8938"/>
      <c r="T650" s="8939"/>
      <c r="U650" s="8936"/>
      <c r="V650" s="8937"/>
      <c r="W650" s="8939"/>
      <c r="X650" s="8937"/>
      <c r="Y650" s="8939"/>
      <c r="Z650" s="8937"/>
      <c r="AA650" s="8938"/>
      <c r="AB650" s="8938"/>
      <c r="AC650" s="8938"/>
      <c r="AD650" s="8938"/>
      <c r="AE650" s="8938"/>
      <c r="AF650" s="8939"/>
      <c r="AG650" s="8937"/>
      <c r="AH650" s="8938"/>
      <c r="AI650" s="8938"/>
      <c r="AJ650" s="8938"/>
      <c r="AK650" s="8938"/>
      <c r="AL650" s="8938"/>
      <c r="AM650" s="8938"/>
      <c r="AN650" s="8939"/>
      <c r="AO650" s="8937"/>
      <c r="AP650" s="8938"/>
      <c r="AQ650" s="8938"/>
      <c r="AR650" s="8938"/>
      <c r="AS650" s="8938"/>
      <c r="AT650" s="8939"/>
      <c r="AU650" s="8949"/>
      <c r="AV650" s="8949"/>
      <c r="AW650" s="8949"/>
      <c r="AX650" s="8946"/>
      <c r="AY650" s="8948"/>
      <c r="AZ650" s="8949"/>
      <c r="BA650" s="8946"/>
      <c r="BB650" s="8947"/>
      <c r="BC650" s="8948"/>
      <c r="BD650" s="8950"/>
      <c r="BF650" s="8932"/>
      <c r="BG650" s="8932"/>
      <c r="BH650" s="8932"/>
      <c r="BI650" s="8932"/>
      <c r="BJ650" s="8932"/>
      <c r="BK650" s="8932"/>
      <c r="BL650" s="8932"/>
      <c r="BM650" s="8932"/>
      <c r="BN650" s="8932"/>
    </row>
    <row r="651" spans="1:66" ht="29.25" hidden="1" customHeight="1">
      <c r="A651" s="8930">
        <v>409</v>
      </c>
      <c r="B651" s="8931" t="s">
        <v>7985</v>
      </c>
      <c r="C651" s="13595"/>
      <c r="D651" s="11915" t="s">
        <v>10072</v>
      </c>
      <c r="E651" s="7822" t="s">
        <v>844</v>
      </c>
      <c r="F651" s="7822" t="s">
        <v>857</v>
      </c>
      <c r="G651" s="11917" t="s">
        <v>5012</v>
      </c>
      <c r="H651" s="11918" t="s">
        <v>855</v>
      </c>
      <c r="I651" s="12156">
        <v>30</v>
      </c>
      <c r="K651" s="8917"/>
      <c r="L651" s="8933"/>
      <c r="M651" s="8933"/>
      <c r="N651" s="8934"/>
      <c r="O651" s="8934"/>
      <c r="P651" s="8935"/>
      <c r="Q651" s="8936"/>
      <c r="R651" s="8937"/>
      <c r="S651" s="8938"/>
      <c r="T651" s="8939"/>
      <c r="U651" s="8936"/>
      <c r="V651" s="8937"/>
      <c r="W651" s="8939"/>
      <c r="X651" s="8937"/>
      <c r="Y651" s="8939"/>
      <c r="Z651" s="8937"/>
      <c r="AA651" s="8938"/>
      <c r="AB651" s="8938"/>
      <c r="AC651" s="8938"/>
      <c r="AD651" s="8938"/>
      <c r="AE651" s="8938"/>
      <c r="AF651" s="8939"/>
      <c r="AG651" s="8937"/>
      <c r="AH651" s="8938"/>
      <c r="AI651" s="8938"/>
      <c r="AJ651" s="8938"/>
      <c r="AK651" s="8938"/>
      <c r="AL651" s="8938"/>
      <c r="AM651" s="8938"/>
      <c r="AN651" s="8939"/>
      <c r="AO651" s="8937"/>
      <c r="AP651" s="8938"/>
      <c r="AQ651" s="8938"/>
      <c r="AR651" s="8938"/>
      <c r="AS651" s="8938"/>
      <c r="AT651" s="8939"/>
      <c r="AU651" s="8940"/>
      <c r="AV651" s="8940"/>
      <c r="AW651" s="8940"/>
      <c r="AX651" s="8917"/>
      <c r="AY651" s="8935"/>
      <c r="AZ651" s="8940"/>
      <c r="BA651" s="8917"/>
      <c r="BB651" s="8934"/>
      <c r="BC651" s="8935"/>
      <c r="BD651" s="8930"/>
      <c r="BF651" s="8932"/>
      <c r="BG651" s="8932"/>
      <c r="BH651" s="8932"/>
      <c r="BI651" s="8932"/>
      <c r="BJ651" s="8932"/>
      <c r="BK651" s="8932"/>
      <c r="BL651" s="8932"/>
      <c r="BM651" s="8932"/>
      <c r="BN651" s="8932"/>
    </row>
    <row r="652" spans="1:66" ht="29.25" hidden="1" customHeight="1">
      <c r="A652" s="8930">
        <v>410</v>
      </c>
      <c r="B652" s="8931" t="s">
        <v>7986</v>
      </c>
      <c r="C652" s="13595"/>
      <c r="D652" s="11915" t="s">
        <v>10072</v>
      </c>
      <c r="E652" s="7822" t="s">
        <v>844</v>
      </c>
      <c r="F652" s="7822"/>
      <c r="G652" s="11917" t="s">
        <v>5013</v>
      </c>
      <c r="H652" s="11918" t="s">
        <v>859</v>
      </c>
      <c r="I652" s="12156">
        <v>20</v>
      </c>
      <c r="K652" s="8917"/>
      <c r="L652" s="8933"/>
      <c r="M652" s="8933"/>
      <c r="N652" s="8934"/>
      <c r="O652" s="8934"/>
      <c r="P652" s="8935"/>
      <c r="Q652" s="8936"/>
      <c r="R652" s="8937"/>
      <c r="S652" s="8938"/>
      <c r="T652" s="8939"/>
      <c r="U652" s="8936"/>
      <c r="V652" s="8937"/>
      <c r="W652" s="8939"/>
      <c r="X652" s="8937"/>
      <c r="Y652" s="8939"/>
      <c r="Z652" s="8937"/>
      <c r="AA652" s="8938"/>
      <c r="AB652" s="8938"/>
      <c r="AC652" s="8938"/>
      <c r="AD652" s="8938"/>
      <c r="AE652" s="8938"/>
      <c r="AF652" s="8939"/>
      <c r="AG652" s="8937"/>
      <c r="AH652" s="8938"/>
      <c r="AI652" s="8938"/>
      <c r="AJ652" s="8938"/>
      <c r="AK652" s="8938"/>
      <c r="AL652" s="8938"/>
      <c r="AM652" s="8938"/>
      <c r="AN652" s="8939"/>
      <c r="AO652" s="8937"/>
      <c r="AP652" s="8938"/>
      <c r="AQ652" s="8938"/>
      <c r="AR652" s="8938"/>
      <c r="AS652" s="8938"/>
      <c r="AT652" s="8939"/>
      <c r="AU652" s="8940"/>
      <c r="AV652" s="8940"/>
      <c r="AW652" s="8940"/>
      <c r="AX652" s="8917"/>
      <c r="AY652" s="8935"/>
      <c r="AZ652" s="8940"/>
      <c r="BA652" s="8917"/>
      <c r="BB652" s="8934"/>
      <c r="BC652" s="8935"/>
      <c r="BD652" s="8930"/>
      <c r="BF652" s="8932"/>
      <c r="BG652" s="8932"/>
      <c r="BH652" s="8932"/>
      <c r="BI652" s="8932"/>
      <c r="BJ652" s="8932"/>
      <c r="BK652" s="8932"/>
      <c r="BL652" s="8932"/>
      <c r="BM652" s="8932"/>
      <c r="BN652" s="8932"/>
    </row>
    <row r="653" spans="1:66" ht="29.25" hidden="1" customHeight="1">
      <c r="A653" s="8930">
        <v>411</v>
      </c>
      <c r="B653" s="8931" t="s">
        <v>7987</v>
      </c>
      <c r="C653" s="13595"/>
      <c r="D653" s="11915" t="s">
        <v>10072</v>
      </c>
      <c r="E653" s="7822" t="s">
        <v>844</v>
      </c>
      <c r="F653" s="7822" t="s">
        <v>861</v>
      </c>
      <c r="G653" s="11917" t="s">
        <v>5014</v>
      </c>
      <c r="H653" s="11918" t="s">
        <v>860</v>
      </c>
      <c r="I653" s="12156">
        <v>10</v>
      </c>
      <c r="K653" s="8917"/>
      <c r="L653" s="8933"/>
      <c r="M653" s="8933"/>
      <c r="N653" s="8934"/>
      <c r="O653" s="8934"/>
      <c r="P653" s="8935"/>
      <c r="Q653" s="8936"/>
      <c r="R653" s="8937"/>
      <c r="S653" s="8938"/>
      <c r="T653" s="8939"/>
      <c r="U653" s="8936"/>
      <c r="V653" s="8937"/>
      <c r="W653" s="8939"/>
      <c r="X653" s="8937"/>
      <c r="Y653" s="8939"/>
      <c r="Z653" s="8937"/>
      <c r="AA653" s="8938"/>
      <c r="AB653" s="8938"/>
      <c r="AC653" s="8938"/>
      <c r="AD653" s="8938"/>
      <c r="AE653" s="8938"/>
      <c r="AF653" s="8939"/>
      <c r="AG653" s="8937"/>
      <c r="AH653" s="8938"/>
      <c r="AI653" s="8938"/>
      <c r="AJ653" s="8938"/>
      <c r="AK653" s="8938"/>
      <c r="AL653" s="8938"/>
      <c r="AM653" s="8938"/>
      <c r="AN653" s="8939"/>
      <c r="AO653" s="8937"/>
      <c r="AP653" s="8938"/>
      <c r="AQ653" s="8938"/>
      <c r="AR653" s="8938"/>
      <c r="AS653" s="8938"/>
      <c r="AT653" s="8939"/>
      <c r="AU653" s="8940"/>
      <c r="AV653" s="8940"/>
      <c r="AW653" s="8940"/>
      <c r="AX653" s="8917"/>
      <c r="AY653" s="8935"/>
      <c r="AZ653" s="8940"/>
      <c r="BA653" s="8917"/>
      <c r="BB653" s="8934"/>
      <c r="BC653" s="8935"/>
      <c r="BD653" s="8930"/>
      <c r="BF653" s="8932"/>
      <c r="BG653" s="8932"/>
      <c r="BH653" s="8932"/>
      <c r="BI653" s="8932"/>
      <c r="BJ653" s="8932"/>
      <c r="BK653" s="8932"/>
      <c r="BL653" s="8932"/>
      <c r="BM653" s="8932"/>
      <c r="BN653" s="8932"/>
    </row>
    <row r="654" spans="1:66" ht="29.25" hidden="1" customHeight="1">
      <c r="A654" s="13648">
        <v>412</v>
      </c>
      <c r="B654" s="13884" t="s">
        <v>7988</v>
      </c>
      <c r="C654" s="13595"/>
      <c r="D654" s="11915" t="s">
        <v>10072</v>
      </c>
      <c r="E654" s="7822" t="s">
        <v>844</v>
      </c>
      <c r="F654" s="7822"/>
      <c r="G654" s="13930" t="s">
        <v>5015</v>
      </c>
      <c r="H654" s="13395" t="s">
        <v>862</v>
      </c>
      <c r="I654" s="13971">
        <v>0</v>
      </c>
      <c r="K654" s="8941"/>
      <c r="L654" s="8920"/>
      <c r="M654" s="8920"/>
      <c r="N654" s="8942"/>
      <c r="O654" s="8942"/>
      <c r="P654" s="8943"/>
      <c r="Q654" s="8923"/>
      <c r="R654" s="8924"/>
      <c r="S654" s="8925"/>
      <c r="T654" s="8926"/>
      <c r="U654" s="8923"/>
      <c r="V654" s="8924"/>
      <c r="W654" s="8926"/>
      <c r="X654" s="8924"/>
      <c r="Y654" s="8926"/>
      <c r="Z654" s="8924"/>
      <c r="AA654" s="8925"/>
      <c r="AB654" s="8925"/>
      <c r="AC654" s="8925"/>
      <c r="AD654" s="8925"/>
      <c r="AE654" s="8925"/>
      <c r="AF654" s="8926"/>
      <c r="AG654" s="8924"/>
      <c r="AH654" s="8925"/>
      <c r="AI654" s="8925"/>
      <c r="AJ654" s="8925"/>
      <c r="AK654" s="8925"/>
      <c r="AL654" s="8925"/>
      <c r="AM654" s="8925"/>
      <c r="AN654" s="8926"/>
      <c r="AO654" s="8924"/>
      <c r="AP654" s="8925"/>
      <c r="AQ654" s="8925"/>
      <c r="AR654" s="8925"/>
      <c r="AS654" s="8925"/>
      <c r="AT654" s="8926"/>
      <c r="AU654" s="8944"/>
      <c r="AV654" s="8944"/>
      <c r="AW654" s="8944"/>
      <c r="AX654" s="8941"/>
      <c r="AY654" s="8943"/>
      <c r="AZ654" s="8944"/>
      <c r="BA654" s="8941"/>
      <c r="BB654" s="8942"/>
      <c r="BC654" s="8943"/>
      <c r="BD654" s="8945"/>
      <c r="BF654" s="14439"/>
      <c r="BG654" s="14439"/>
      <c r="BH654" s="14439"/>
      <c r="BI654" s="14439"/>
      <c r="BJ654" s="14439"/>
      <c r="BK654" s="8932"/>
      <c r="BL654" s="14439"/>
      <c r="BM654" s="14439"/>
      <c r="BN654" s="14439"/>
    </row>
    <row r="655" spans="1:66" ht="29.25" hidden="1" customHeight="1">
      <c r="A655" s="13648"/>
      <c r="B655" s="13884"/>
      <c r="C655" s="13595"/>
      <c r="D655" s="11915" t="s">
        <v>10092</v>
      </c>
      <c r="E655" s="7822"/>
      <c r="F655" s="7822" t="s">
        <v>864</v>
      </c>
      <c r="G655" s="13930"/>
      <c r="H655" s="13395"/>
      <c r="I655" s="13971"/>
      <c r="K655" s="8941"/>
      <c r="L655" s="8920"/>
      <c r="M655" s="8920"/>
      <c r="N655" s="8942"/>
      <c r="O655" s="8942"/>
      <c r="P655" s="8943"/>
      <c r="Q655" s="8923"/>
      <c r="R655" s="8924"/>
      <c r="S655" s="8925"/>
      <c r="T655" s="8926"/>
      <c r="U655" s="8923"/>
      <c r="V655" s="8924"/>
      <c r="W655" s="8926"/>
      <c r="X655" s="8924"/>
      <c r="Y655" s="8926"/>
      <c r="Z655" s="8924"/>
      <c r="AA655" s="8925"/>
      <c r="AB655" s="8925"/>
      <c r="AC655" s="8925"/>
      <c r="AD655" s="8925"/>
      <c r="AE655" s="8925"/>
      <c r="AF655" s="8926"/>
      <c r="AG655" s="8924"/>
      <c r="AH655" s="8925"/>
      <c r="AI655" s="8925"/>
      <c r="AJ655" s="8925"/>
      <c r="AK655" s="8925"/>
      <c r="AL655" s="8925"/>
      <c r="AM655" s="8925"/>
      <c r="AN655" s="8926"/>
      <c r="AO655" s="8924"/>
      <c r="AP655" s="8925"/>
      <c r="AQ655" s="8925"/>
      <c r="AR655" s="8925"/>
      <c r="AS655" s="8925"/>
      <c r="AT655" s="8926"/>
      <c r="AU655" s="8944"/>
      <c r="AV655" s="8944"/>
      <c r="AW655" s="8944"/>
      <c r="AX655" s="8941"/>
      <c r="AY655" s="8943"/>
      <c r="AZ655" s="8944"/>
      <c r="BA655" s="8941"/>
      <c r="BB655" s="8942"/>
      <c r="BC655" s="8943"/>
      <c r="BD655" s="8945"/>
      <c r="BF655" s="14439"/>
      <c r="BG655" s="14439"/>
      <c r="BH655" s="14439"/>
      <c r="BI655" s="14439"/>
      <c r="BJ655" s="14439"/>
      <c r="BK655" s="8932"/>
      <c r="BL655" s="14439"/>
      <c r="BM655" s="14439"/>
      <c r="BN655" s="14439"/>
    </row>
    <row r="656" spans="1:66" ht="29.25" hidden="1" customHeight="1">
      <c r="A656" s="8930">
        <v>413</v>
      </c>
      <c r="B656" s="8931" t="s">
        <v>7989</v>
      </c>
      <c r="C656" s="13595"/>
      <c r="D656" s="11915" t="s">
        <v>10072</v>
      </c>
      <c r="E656" s="7822" t="s">
        <v>844</v>
      </c>
      <c r="F656" s="7822" t="s">
        <v>868</v>
      </c>
      <c r="G656" s="11917" t="s">
        <v>5016</v>
      </c>
      <c r="H656" s="11918" t="s">
        <v>865</v>
      </c>
      <c r="I656" s="12156">
        <v>1</v>
      </c>
      <c r="K656" s="8917"/>
      <c r="L656" s="8933"/>
      <c r="M656" s="8933"/>
      <c r="N656" s="8934"/>
      <c r="O656" s="8934"/>
      <c r="P656" s="8935"/>
      <c r="Q656" s="8936"/>
      <c r="R656" s="8937"/>
      <c r="S656" s="8938"/>
      <c r="T656" s="8939"/>
      <c r="U656" s="8936"/>
      <c r="V656" s="8937"/>
      <c r="W656" s="8939"/>
      <c r="X656" s="8937"/>
      <c r="Y656" s="8939"/>
      <c r="Z656" s="8937"/>
      <c r="AA656" s="8938"/>
      <c r="AB656" s="8938"/>
      <c r="AC656" s="8938"/>
      <c r="AD656" s="8938"/>
      <c r="AE656" s="8938"/>
      <c r="AF656" s="8939"/>
      <c r="AG656" s="8937"/>
      <c r="AH656" s="8938"/>
      <c r="AI656" s="8938"/>
      <c r="AJ656" s="8938"/>
      <c r="AK656" s="8938"/>
      <c r="AL656" s="8938"/>
      <c r="AM656" s="8938"/>
      <c r="AN656" s="8939"/>
      <c r="AO656" s="8937"/>
      <c r="AP656" s="8938"/>
      <c r="AQ656" s="8938"/>
      <c r="AR656" s="8938"/>
      <c r="AS656" s="8938"/>
      <c r="AT656" s="8939"/>
      <c r="AU656" s="8940"/>
      <c r="AV656" s="8940"/>
      <c r="AW656" s="8940"/>
      <c r="AX656" s="8917"/>
      <c r="AY656" s="8935"/>
      <c r="AZ656" s="8940"/>
      <c r="BA656" s="8917"/>
      <c r="BB656" s="8934"/>
      <c r="BC656" s="8935"/>
      <c r="BD656" s="8930"/>
      <c r="BF656" s="8932"/>
      <c r="BG656" s="8932"/>
      <c r="BH656" s="8932"/>
      <c r="BI656" s="8932"/>
      <c r="BJ656" s="8932"/>
      <c r="BK656" s="8932"/>
      <c r="BL656" s="8932"/>
      <c r="BM656" s="8932"/>
      <c r="BN656" s="8932"/>
    </row>
    <row r="657" spans="1:66" ht="29.25" hidden="1" customHeight="1">
      <c r="A657" s="8930">
        <v>414</v>
      </c>
      <c r="B657" s="8931" t="s">
        <v>7990</v>
      </c>
      <c r="C657" s="13595"/>
      <c r="D657" s="11915" t="s">
        <v>10072</v>
      </c>
      <c r="E657" s="7822" t="s">
        <v>844</v>
      </c>
      <c r="F657" s="7822"/>
      <c r="G657" s="11917" t="s">
        <v>5017</v>
      </c>
      <c r="H657" s="11918" t="s">
        <v>869</v>
      </c>
      <c r="I657" s="11921">
        <v>0.5</v>
      </c>
      <c r="K657" s="8946"/>
      <c r="L657" s="8933"/>
      <c r="M657" s="8933"/>
      <c r="N657" s="8947"/>
      <c r="O657" s="8947"/>
      <c r="P657" s="8948"/>
      <c r="Q657" s="8936"/>
      <c r="R657" s="8937"/>
      <c r="S657" s="8938"/>
      <c r="T657" s="8939"/>
      <c r="U657" s="8936"/>
      <c r="V657" s="8937"/>
      <c r="W657" s="8939"/>
      <c r="X657" s="8937"/>
      <c r="Y657" s="8939"/>
      <c r="Z657" s="8937"/>
      <c r="AA657" s="8938"/>
      <c r="AB657" s="8938"/>
      <c r="AC657" s="8938"/>
      <c r="AD657" s="8938"/>
      <c r="AE657" s="8938"/>
      <c r="AF657" s="8939"/>
      <c r="AG657" s="8937"/>
      <c r="AH657" s="8938"/>
      <c r="AI657" s="8938"/>
      <c r="AJ657" s="8938"/>
      <c r="AK657" s="8938"/>
      <c r="AL657" s="8938"/>
      <c r="AM657" s="8938"/>
      <c r="AN657" s="8939"/>
      <c r="AO657" s="8937"/>
      <c r="AP657" s="8938"/>
      <c r="AQ657" s="8938"/>
      <c r="AR657" s="8938"/>
      <c r="AS657" s="8938"/>
      <c r="AT657" s="8939"/>
      <c r="AU657" s="8949"/>
      <c r="AV657" s="8949"/>
      <c r="AW657" s="8949"/>
      <c r="AX657" s="8946"/>
      <c r="AY657" s="8948"/>
      <c r="AZ657" s="8949"/>
      <c r="BA657" s="8946"/>
      <c r="BB657" s="8947"/>
      <c r="BC657" s="8948"/>
      <c r="BD657" s="8950"/>
      <c r="BF657" s="8932"/>
      <c r="BG657" s="8932"/>
      <c r="BH657" s="8932"/>
      <c r="BI657" s="8932"/>
      <c r="BJ657" s="8932"/>
      <c r="BK657" s="8932"/>
      <c r="BL657" s="8932"/>
      <c r="BM657" s="8932"/>
      <c r="BN657" s="8932"/>
    </row>
    <row r="658" spans="1:66" ht="29.25" hidden="1" customHeight="1">
      <c r="A658" s="8930">
        <v>415</v>
      </c>
      <c r="B658" s="8931" t="s">
        <v>7991</v>
      </c>
      <c r="C658" s="13595"/>
      <c r="D658" s="11915" t="s">
        <v>10072</v>
      </c>
      <c r="E658" s="7822" t="s">
        <v>844</v>
      </c>
      <c r="F658" s="7822"/>
      <c r="G658" s="11917" t="s">
        <v>5018</v>
      </c>
      <c r="H658" s="11918" t="s">
        <v>872</v>
      </c>
      <c r="I658" s="11921">
        <v>0.4</v>
      </c>
      <c r="K658" s="8946"/>
      <c r="L658" s="8933"/>
      <c r="M658" s="8933"/>
      <c r="N658" s="8947"/>
      <c r="O658" s="8947"/>
      <c r="P658" s="8948"/>
      <c r="Q658" s="8936"/>
      <c r="R658" s="8937"/>
      <c r="S658" s="8938"/>
      <c r="T658" s="8939"/>
      <c r="U658" s="8936"/>
      <c r="V658" s="8937"/>
      <c r="W658" s="8939"/>
      <c r="X658" s="8937"/>
      <c r="Y658" s="8939"/>
      <c r="Z658" s="8937"/>
      <c r="AA658" s="8938"/>
      <c r="AB658" s="8938"/>
      <c r="AC658" s="8938"/>
      <c r="AD658" s="8938"/>
      <c r="AE658" s="8938"/>
      <c r="AF658" s="8939"/>
      <c r="AG658" s="8937"/>
      <c r="AH658" s="8938"/>
      <c r="AI658" s="8938"/>
      <c r="AJ658" s="8938"/>
      <c r="AK658" s="8938"/>
      <c r="AL658" s="8938"/>
      <c r="AM658" s="8938"/>
      <c r="AN658" s="8939"/>
      <c r="AO658" s="8937"/>
      <c r="AP658" s="8938"/>
      <c r="AQ658" s="8938"/>
      <c r="AR658" s="8938"/>
      <c r="AS658" s="8938"/>
      <c r="AT658" s="8939"/>
      <c r="AU658" s="8949"/>
      <c r="AV658" s="8949"/>
      <c r="AW658" s="8949"/>
      <c r="AX658" s="8946"/>
      <c r="AY658" s="8948"/>
      <c r="AZ658" s="8949"/>
      <c r="BA658" s="8946"/>
      <c r="BB658" s="8947"/>
      <c r="BC658" s="8948"/>
      <c r="BD658" s="8950"/>
      <c r="BF658" s="8932"/>
      <c r="BG658" s="8932"/>
      <c r="BH658" s="8932"/>
      <c r="BI658" s="8932"/>
      <c r="BJ658" s="8932"/>
      <c r="BK658" s="8932"/>
      <c r="BL658" s="8932"/>
      <c r="BM658" s="8932"/>
      <c r="BN658" s="8932"/>
    </row>
    <row r="659" spans="1:66" ht="29.25" hidden="1" customHeight="1">
      <c r="A659" s="13648">
        <v>416</v>
      </c>
      <c r="B659" s="13884" t="s">
        <v>7992</v>
      </c>
      <c r="C659" s="13595"/>
      <c r="D659" s="11915" t="s">
        <v>10072</v>
      </c>
      <c r="E659" s="7822" t="s">
        <v>844</v>
      </c>
      <c r="F659" s="7822"/>
      <c r="G659" s="13930" t="s">
        <v>5019</v>
      </c>
      <c r="H659" s="13395" t="s">
        <v>874</v>
      </c>
      <c r="I659" s="13975">
        <v>15</v>
      </c>
      <c r="K659" s="8919"/>
      <c r="L659" s="8920"/>
      <c r="M659" s="8920"/>
      <c r="N659" s="8921"/>
      <c r="O659" s="8921"/>
      <c r="P659" s="8922"/>
      <c r="Q659" s="8923"/>
      <c r="R659" s="8924"/>
      <c r="S659" s="8925"/>
      <c r="T659" s="8926"/>
      <c r="U659" s="8923"/>
      <c r="V659" s="8924"/>
      <c r="W659" s="8926"/>
      <c r="X659" s="8924"/>
      <c r="Y659" s="8926"/>
      <c r="Z659" s="8924"/>
      <c r="AA659" s="8925"/>
      <c r="AB659" s="8925"/>
      <c r="AC659" s="8925"/>
      <c r="AD659" s="8925"/>
      <c r="AE659" s="8925"/>
      <c r="AF659" s="8926"/>
      <c r="AG659" s="8924"/>
      <c r="AH659" s="8925"/>
      <c r="AI659" s="8925"/>
      <c r="AJ659" s="8925"/>
      <c r="AK659" s="8925"/>
      <c r="AL659" s="8925"/>
      <c r="AM659" s="8925"/>
      <c r="AN659" s="8926"/>
      <c r="AO659" s="8924"/>
      <c r="AP659" s="8925"/>
      <c r="AQ659" s="8925"/>
      <c r="AR659" s="8925"/>
      <c r="AS659" s="8925"/>
      <c r="AT659" s="8926"/>
      <c r="AU659" s="8927"/>
      <c r="AV659" s="8927"/>
      <c r="AW659" s="8927"/>
      <c r="AX659" s="8919"/>
      <c r="AY659" s="8922"/>
      <c r="AZ659" s="8927"/>
      <c r="BA659" s="8919"/>
      <c r="BB659" s="8921"/>
      <c r="BC659" s="8922"/>
      <c r="BD659" s="8928"/>
      <c r="BF659" s="14439"/>
      <c r="BG659" s="14439"/>
      <c r="BH659" s="14439"/>
      <c r="BI659" s="14439"/>
      <c r="BJ659" s="14439"/>
      <c r="BK659" s="8932"/>
      <c r="BL659" s="14439"/>
      <c r="BM659" s="14439"/>
      <c r="BN659" s="14439"/>
    </row>
    <row r="660" spans="1:66" ht="29.25" hidden="1" customHeight="1">
      <c r="A660" s="13648"/>
      <c r="B660" s="13884"/>
      <c r="C660" s="13595"/>
      <c r="D660" s="11915" t="s">
        <v>2896</v>
      </c>
      <c r="E660" s="7822"/>
      <c r="F660" s="7822" t="s">
        <v>163</v>
      </c>
      <c r="G660" s="13930"/>
      <c r="H660" s="13395"/>
      <c r="I660" s="13975"/>
      <c r="K660" s="8919"/>
      <c r="L660" s="8920"/>
      <c r="M660" s="8920"/>
      <c r="N660" s="8921"/>
      <c r="O660" s="8921"/>
      <c r="P660" s="8922"/>
      <c r="Q660" s="8923"/>
      <c r="R660" s="8924"/>
      <c r="S660" s="8925"/>
      <c r="T660" s="8926"/>
      <c r="U660" s="8923"/>
      <c r="V660" s="8924"/>
      <c r="W660" s="8926"/>
      <c r="X660" s="8924"/>
      <c r="Y660" s="8926"/>
      <c r="Z660" s="8924"/>
      <c r="AA660" s="8925"/>
      <c r="AB660" s="8925"/>
      <c r="AC660" s="8925"/>
      <c r="AD660" s="8925"/>
      <c r="AE660" s="8925"/>
      <c r="AF660" s="8926"/>
      <c r="AG660" s="8924"/>
      <c r="AH660" s="8925"/>
      <c r="AI660" s="8925"/>
      <c r="AJ660" s="8925"/>
      <c r="AK660" s="8925"/>
      <c r="AL660" s="8925"/>
      <c r="AM660" s="8925"/>
      <c r="AN660" s="8926"/>
      <c r="AO660" s="8924"/>
      <c r="AP660" s="8925"/>
      <c r="AQ660" s="8925"/>
      <c r="AR660" s="8925"/>
      <c r="AS660" s="8925"/>
      <c r="AT660" s="8926"/>
      <c r="AU660" s="8927"/>
      <c r="AV660" s="8927"/>
      <c r="AW660" s="8927"/>
      <c r="AX660" s="8919"/>
      <c r="AY660" s="8922"/>
      <c r="AZ660" s="8927"/>
      <c r="BA660" s="8919"/>
      <c r="BB660" s="8921"/>
      <c r="BC660" s="8922"/>
      <c r="BD660" s="8928"/>
      <c r="BF660" s="14439"/>
      <c r="BG660" s="14439"/>
      <c r="BH660" s="14439"/>
      <c r="BI660" s="14439"/>
      <c r="BJ660" s="14439"/>
      <c r="BK660" s="8932"/>
      <c r="BL660" s="14439"/>
      <c r="BM660" s="14439"/>
      <c r="BN660" s="14439"/>
    </row>
    <row r="661" spans="1:66" ht="29.25" hidden="1" customHeight="1">
      <c r="A661" s="13648">
        <v>417</v>
      </c>
      <c r="B661" s="13884" t="s">
        <v>7993</v>
      </c>
      <c r="C661" s="13595"/>
      <c r="D661" s="11915" t="s">
        <v>10072</v>
      </c>
      <c r="E661" s="7822" t="s">
        <v>844</v>
      </c>
      <c r="F661" s="7822"/>
      <c r="G661" s="13930" t="s">
        <v>5020</v>
      </c>
      <c r="H661" s="13395" t="s">
        <v>850</v>
      </c>
      <c r="I661" s="13975">
        <v>18</v>
      </c>
      <c r="K661" s="8919"/>
      <c r="L661" s="8920"/>
      <c r="M661" s="8920"/>
      <c r="N661" s="8921"/>
      <c r="O661" s="8921"/>
      <c r="P661" s="8922"/>
      <c r="Q661" s="8923"/>
      <c r="R661" s="8924"/>
      <c r="S661" s="8925"/>
      <c r="T661" s="8926"/>
      <c r="U661" s="8923"/>
      <c r="V661" s="8924"/>
      <c r="W661" s="8926"/>
      <c r="X661" s="8924"/>
      <c r="Y661" s="8926"/>
      <c r="Z661" s="8924"/>
      <c r="AA661" s="8925"/>
      <c r="AB661" s="8925"/>
      <c r="AC661" s="8925"/>
      <c r="AD661" s="8925"/>
      <c r="AE661" s="8925"/>
      <c r="AF661" s="8926"/>
      <c r="AG661" s="8924"/>
      <c r="AH661" s="8925"/>
      <c r="AI661" s="8925"/>
      <c r="AJ661" s="8925"/>
      <c r="AK661" s="8925"/>
      <c r="AL661" s="8925"/>
      <c r="AM661" s="8925"/>
      <c r="AN661" s="8926"/>
      <c r="AO661" s="8924"/>
      <c r="AP661" s="8925"/>
      <c r="AQ661" s="8925"/>
      <c r="AR661" s="8925"/>
      <c r="AS661" s="8925"/>
      <c r="AT661" s="8926"/>
      <c r="AU661" s="8927"/>
      <c r="AV661" s="8927"/>
      <c r="AW661" s="8927"/>
      <c r="AX661" s="8919"/>
      <c r="AY661" s="8922"/>
      <c r="AZ661" s="8927"/>
      <c r="BA661" s="8919"/>
      <c r="BB661" s="8921"/>
      <c r="BC661" s="8922"/>
      <c r="BD661" s="8928"/>
      <c r="BF661" s="14439"/>
      <c r="BG661" s="14439"/>
      <c r="BH661" s="14439"/>
      <c r="BI661" s="14439"/>
      <c r="BJ661" s="14439"/>
      <c r="BK661" s="8932"/>
      <c r="BL661" s="14439"/>
      <c r="BM661" s="14439"/>
      <c r="BN661" s="14439"/>
    </row>
    <row r="662" spans="1:66" ht="29.25" hidden="1" customHeight="1" thickBot="1">
      <c r="A662" s="13686"/>
      <c r="B662" s="13885"/>
      <c r="C662" s="13595"/>
      <c r="D662" s="12157" t="s">
        <v>10063</v>
      </c>
      <c r="E662" s="7815"/>
      <c r="F662" s="7815" t="s">
        <v>79</v>
      </c>
      <c r="G662" s="14104"/>
      <c r="H662" s="13443"/>
      <c r="I662" s="14124"/>
      <c r="K662" s="9780"/>
      <c r="L662" s="8952"/>
      <c r="M662" s="8952"/>
      <c r="N662" s="9781"/>
      <c r="O662" s="9781"/>
      <c r="P662" s="9782"/>
      <c r="Q662" s="8955"/>
      <c r="R662" s="8956"/>
      <c r="S662" s="8957"/>
      <c r="T662" s="8958"/>
      <c r="U662" s="8955"/>
      <c r="V662" s="8956"/>
      <c r="W662" s="8958"/>
      <c r="X662" s="8956"/>
      <c r="Y662" s="8958"/>
      <c r="Z662" s="8956"/>
      <c r="AA662" s="8957"/>
      <c r="AB662" s="8957"/>
      <c r="AC662" s="8957"/>
      <c r="AD662" s="8957"/>
      <c r="AE662" s="8957"/>
      <c r="AF662" s="8958"/>
      <c r="AG662" s="8956"/>
      <c r="AH662" s="8957"/>
      <c r="AI662" s="8957"/>
      <c r="AJ662" s="8957"/>
      <c r="AK662" s="8957"/>
      <c r="AL662" s="8957"/>
      <c r="AM662" s="8957"/>
      <c r="AN662" s="8958"/>
      <c r="AO662" s="8956"/>
      <c r="AP662" s="8957"/>
      <c r="AQ662" s="8957"/>
      <c r="AR662" s="8957"/>
      <c r="AS662" s="8957"/>
      <c r="AT662" s="8958"/>
      <c r="AU662" s="9783"/>
      <c r="AV662" s="9783"/>
      <c r="AW662" s="9783"/>
      <c r="AX662" s="9780"/>
      <c r="AY662" s="9782"/>
      <c r="AZ662" s="9783"/>
      <c r="BA662" s="9780"/>
      <c r="BB662" s="9781"/>
      <c r="BC662" s="9782"/>
      <c r="BD662" s="9784"/>
      <c r="BF662" s="14440"/>
      <c r="BG662" s="14440"/>
      <c r="BH662" s="14440"/>
      <c r="BI662" s="14440"/>
      <c r="BJ662" s="14440"/>
      <c r="BK662" s="8961"/>
      <c r="BL662" s="14440"/>
      <c r="BM662" s="14440"/>
      <c r="BN662" s="14440"/>
    </row>
    <row r="663" spans="1:66" ht="29.25" hidden="1" customHeight="1">
      <c r="A663" s="8732">
        <v>418</v>
      </c>
      <c r="B663" s="8733" t="s">
        <v>7994</v>
      </c>
      <c r="C663" s="13595"/>
      <c r="D663" s="12158" t="s">
        <v>86</v>
      </c>
      <c r="E663" s="12159" t="s">
        <v>708</v>
      </c>
      <c r="F663" s="12159"/>
      <c r="G663" s="11865" t="s">
        <v>5021</v>
      </c>
      <c r="H663" s="12160" t="s">
        <v>879</v>
      </c>
      <c r="I663" s="12161">
        <v>100</v>
      </c>
      <c r="K663" s="9785"/>
      <c r="L663" s="9786"/>
      <c r="M663" s="9786"/>
      <c r="N663" s="9787"/>
      <c r="O663" s="9787"/>
      <c r="P663" s="9788"/>
      <c r="Q663" s="9789"/>
      <c r="R663" s="9790"/>
      <c r="S663" s="9791"/>
      <c r="T663" s="9792"/>
      <c r="U663" s="9789"/>
      <c r="V663" s="9790"/>
      <c r="W663" s="9792"/>
      <c r="X663" s="9790"/>
      <c r="Y663" s="9792"/>
      <c r="Z663" s="9790"/>
      <c r="AA663" s="9791"/>
      <c r="AB663" s="9791"/>
      <c r="AC663" s="9791"/>
      <c r="AD663" s="9791"/>
      <c r="AE663" s="9791"/>
      <c r="AF663" s="9792"/>
      <c r="AG663" s="9790"/>
      <c r="AH663" s="9791"/>
      <c r="AI663" s="9791"/>
      <c r="AJ663" s="9791"/>
      <c r="AK663" s="9791"/>
      <c r="AL663" s="9791"/>
      <c r="AM663" s="9791"/>
      <c r="AN663" s="9792"/>
      <c r="AO663" s="9790"/>
      <c r="AP663" s="9791"/>
      <c r="AQ663" s="9791"/>
      <c r="AR663" s="9791"/>
      <c r="AS663" s="9791"/>
      <c r="AT663" s="9792"/>
      <c r="AU663" s="9793"/>
      <c r="AV663" s="9793"/>
      <c r="AW663" s="9793"/>
      <c r="AX663" s="9785"/>
      <c r="AY663" s="9788"/>
      <c r="AZ663" s="9793"/>
      <c r="BA663" s="9785"/>
      <c r="BB663" s="9787"/>
      <c r="BC663" s="9788"/>
      <c r="BD663" s="8732"/>
      <c r="BF663" s="8734"/>
      <c r="BG663" s="8734"/>
      <c r="BH663" s="8734"/>
      <c r="BI663" s="8734"/>
      <c r="BJ663" s="8734"/>
      <c r="BK663" s="8734"/>
      <c r="BL663" s="8734"/>
      <c r="BM663" s="8734"/>
      <c r="BN663" s="8734"/>
    </row>
    <row r="664" spans="1:66" ht="29.25" hidden="1" customHeight="1">
      <c r="A664" s="8745">
        <v>419</v>
      </c>
      <c r="B664" s="8746" t="s">
        <v>7995</v>
      </c>
      <c r="C664" s="13595"/>
      <c r="D664" s="12162" t="s">
        <v>10070</v>
      </c>
      <c r="E664" s="12163" t="s">
        <v>512</v>
      </c>
      <c r="F664" s="12163"/>
      <c r="G664" s="11870" t="s">
        <v>5022</v>
      </c>
      <c r="H664" s="12164" t="s">
        <v>881</v>
      </c>
      <c r="I664" s="12165">
        <v>1</v>
      </c>
      <c r="K664" s="9794"/>
      <c r="L664" s="9795"/>
      <c r="M664" s="9795"/>
      <c r="N664" s="9796"/>
      <c r="O664" s="9796"/>
      <c r="P664" s="9797"/>
      <c r="Q664" s="9798"/>
      <c r="R664" s="9799"/>
      <c r="S664" s="9800"/>
      <c r="T664" s="9801"/>
      <c r="U664" s="9798"/>
      <c r="V664" s="9799"/>
      <c r="W664" s="9801"/>
      <c r="X664" s="9799"/>
      <c r="Y664" s="9801"/>
      <c r="Z664" s="9799"/>
      <c r="AA664" s="9800"/>
      <c r="AB664" s="9800"/>
      <c r="AC664" s="9800"/>
      <c r="AD664" s="9800"/>
      <c r="AE664" s="9800"/>
      <c r="AF664" s="9801"/>
      <c r="AG664" s="9799"/>
      <c r="AH664" s="9800"/>
      <c r="AI664" s="9800"/>
      <c r="AJ664" s="9800"/>
      <c r="AK664" s="9800"/>
      <c r="AL664" s="9800"/>
      <c r="AM664" s="9800"/>
      <c r="AN664" s="9801"/>
      <c r="AO664" s="9799"/>
      <c r="AP664" s="9800"/>
      <c r="AQ664" s="9800"/>
      <c r="AR664" s="9800"/>
      <c r="AS664" s="9800"/>
      <c r="AT664" s="9801"/>
      <c r="AU664" s="9802"/>
      <c r="AV664" s="9802"/>
      <c r="AW664" s="9802"/>
      <c r="AX664" s="9794"/>
      <c r="AY664" s="9797"/>
      <c r="AZ664" s="9802"/>
      <c r="BA664" s="9794"/>
      <c r="BB664" s="9796"/>
      <c r="BC664" s="9797"/>
      <c r="BD664" s="8745"/>
      <c r="BF664" s="8747"/>
      <c r="BG664" s="8747"/>
      <c r="BH664" s="8747"/>
      <c r="BI664" s="8747"/>
      <c r="BJ664" s="8747"/>
      <c r="BK664" s="8747"/>
      <c r="BL664" s="8747"/>
      <c r="BM664" s="8747"/>
      <c r="BN664" s="8747"/>
    </row>
    <row r="665" spans="1:66" ht="29.25" hidden="1" customHeight="1">
      <c r="A665" s="8745">
        <v>420</v>
      </c>
      <c r="B665" s="8746" t="s">
        <v>7996</v>
      </c>
      <c r="C665" s="13595"/>
      <c r="D665" s="12162" t="s">
        <v>4305</v>
      </c>
      <c r="E665" s="12163" t="s">
        <v>885</v>
      </c>
      <c r="F665" s="12163" t="s">
        <v>886</v>
      </c>
      <c r="G665" s="11870" t="s">
        <v>5023</v>
      </c>
      <c r="H665" s="12164" t="s">
        <v>95</v>
      </c>
      <c r="I665" s="12165">
        <v>1</v>
      </c>
      <c r="K665" s="9794"/>
      <c r="L665" s="9795"/>
      <c r="M665" s="9795"/>
      <c r="N665" s="9796"/>
      <c r="O665" s="9796"/>
      <c r="P665" s="9797"/>
      <c r="Q665" s="9798"/>
      <c r="R665" s="9799"/>
      <c r="S665" s="9800"/>
      <c r="T665" s="9801"/>
      <c r="U665" s="9798"/>
      <c r="V665" s="9799"/>
      <c r="W665" s="9801"/>
      <c r="X665" s="9799"/>
      <c r="Y665" s="9801"/>
      <c r="Z665" s="9799"/>
      <c r="AA665" s="9800"/>
      <c r="AB665" s="9800"/>
      <c r="AC665" s="9800"/>
      <c r="AD665" s="9800"/>
      <c r="AE665" s="9800"/>
      <c r="AF665" s="9801"/>
      <c r="AG665" s="9799"/>
      <c r="AH665" s="9800"/>
      <c r="AI665" s="9800"/>
      <c r="AJ665" s="9800"/>
      <c r="AK665" s="9800"/>
      <c r="AL665" s="9800"/>
      <c r="AM665" s="9800"/>
      <c r="AN665" s="9801"/>
      <c r="AO665" s="9799"/>
      <c r="AP665" s="9800"/>
      <c r="AQ665" s="9800"/>
      <c r="AR665" s="9800"/>
      <c r="AS665" s="9800"/>
      <c r="AT665" s="9801"/>
      <c r="AU665" s="9802"/>
      <c r="AV665" s="9802"/>
      <c r="AW665" s="9802"/>
      <c r="AX665" s="9794"/>
      <c r="AY665" s="9797"/>
      <c r="AZ665" s="9802"/>
      <c r="BA665" s="9794"/>
      <c r="BB665" s="9796"/>
      <c r="BC665" s="9797"/>
      <c r="BD665" s="8745"/>
      <c r="BF665" s="8747"/>
      <c r="BG665" s="8747"/>
      <c r="BH665" s="8747"/>
      <c r="BI665" s="8747"/>
      <c r="BJ665" s="8747"/>
      <c r="BK665" s="8747"/>
      <c r="BL665" s="8747"/>
      <c r="BM665" s="8747"/>
      <c r="BN665" s="8747"/>
    </row>
    <row r="666" spans="1:66" ht="29.25" hidden="1" customHeight="1">
      <c r="A666" s="13680">
        <v>421</v>
      </c>
      <c r="B666" s="14105" t="s">
        <v>7997</v>
      </c>
      <c r="C666" s="13595"/>
      <c r="D666" s="12162" t="s">
        <v>10092</v>
      </c>
      <c r="E666" s="12163" t="s">
        <v>890</v>
      </c>
      <c r="F666" s="12163"/>
      <c r="G666" s="14106" t="s">
        <v>5024</v>
      </c>
      <c r="H666" s="13435" t="s">
        <v>888</v>
      </c>
      <c r="I666" s="14120">
        <v>1</v>
      </c>
      <c r="K666" s="9803"/>
      <c r="L666" s="9804"/>
      <c r="M666" s="9804"/>
      <c r="N666" s="9805"/>
      <c r="O666" s="9805"/>
      <c r="P666" s="9806"/>
      <c r="Q666" s="9807"/>
      <c r="R666" s="9808"/>
      <c r="S666" s="9809"/>
      <c r="T666" s="9810"/>
      <c r="U666" s="9807"/>
      <c r="V666" s="9808"/>
      <c r="W666" s="9810"/>
      <c r="X666" s="9808"/>
      <c r="Y666" s="9810"/>
      <c r="Z666" s="9808"/>
      <c r="AA666" s="9809"/>
      <c r="AB666" s="9809"/>
      <c r="AC666" s="9809"/>
      <c r="AD666" s="9809"/>
      <c r="AE666" s="9809"/>
      <c r="AF666" s="9810"/>
      <c r="AG666" s="9808"/>
      <c r="AH666" s="9809"/>
      <c r="AI666" s="9809"/>
      <c r="AJ666" s="9809"/>
      <c r="AK666" s="9809"/>
      <c r="AL666" s="9809"/>
      <c r="AM666" s="9809"/>
      <c r="AN666" s="9810"/>
      <c r="AO666" s="9808"/>
      <c r="AP666" s="9809"/>
      <c r="AQ666" s="9809"/>
      <c r="AR666" s="9809"/>
      <c r="AS666" s="9809"/>
      <c r="AT666" s="9810"/>
      <c r="AU666" s="9811"/>
      <c r="AV666" s="9811"/>
      <c r="AW666" s="9811"/>
      <c r="AX666" s="9803"/>
      <c r="AY666" s="9806"/>
      <c r="AZ666" s="9811"/>
      <c r="BA666" s="9803"/>
      <c r="BB666" s="9805"/>
      <c r="BC666" s="9806"/>
      <c r="BD666" s="9812"/>
      <c r="BF666" s="14498"/>
      <c r="BG666" s="14498"/>
      <c r="BH666" s="14498"/>
      <c r="BI666" s="14498"/>
      <c r="BJ666" s="14498"/>
      <c r="BK666" s="8747"/>
      <c r="BL666" s="14498"/>
      <c r="BM666" s="14498"/>
      <c r="BN666" s="14498"/>
    </row>
    <row r="667" spans="1:66" ht="29.25" hidden="1" customHeight="1">
      <c r="A667" s="13680"/>
      <c r="B667" s="14105"/>
      <c r="C667" s="13595"/>
      <c r="D667" s="12162" t="s">
        <v>10063</v>
      </c>
      <c r="E667" s="12163"/>
      <c r="F667" s="12163" t="s">
        <v>891</v>
      </c>
      <c r="G667" s="14106"/>
      <c r="H667" s="13435"/>
      <c r="I667" s="14120"/>
      <c r="K667" s="9803"/>
      <c r="L667" s="9804"/>
      <c r="M667" s="9804"/>
      <c r="N667" s="9805"/>
      <c r="O667" s="9805"/>
      <c r="P667" s="9806"/>
      <c r="Q667" s="9807"/>
      <c r="R667" s="9808"/>
      <c r="S667" s="9809"/>
      <c r="T667" s="9810"/>
      <c r="U667" s="9807"/>
      <c r="V667" s="9808"/>
      <c r="W667" s="9810"/>
      <c r="X667" s="9808"/>
      <c r="Y667" s="9810"/>
      <c r="Z667" s="9808"/>
      <c r="AA667" s="9809"/>
      <c r="AB667" s="9809"/>
      <c r="AC667" s="9809"/>
      <c r="AD667" s="9809"/>
      <c r="AE667" s="9809"/>
      <c r="AF667" s="9810"/>
      <c r="AG667" s="9808"/>
      <c r="AH667" s="9809"/>
      <c r="AI667" s="9809"/>
      <c r="AJ667" s="9809"/>
      <c r="AK667" s="9809"/>
      <c r="AL667" s="9809"/>
      <c r="AM667" s="9809"/>
      <c r="AN667" s="9810"/>
      <c r="AO667" s="9808"/>
      <c r="AP667" s="9809"/>
      <c r="AQ667" s="9809"/>
      <c r="AR667" s="9809"/>
      <c r="AS667" s="9809"/>
      <c r="AT667" s="9810"/>
      <c r="AU667" s="9811"/>
      <c r="AV667" s="9811"/>
      <c r="AW667" s="9811"/>
      <c r="AX667" s="9803"/>
      <c r="AY667" s="9806"/>
      <c r="AZ667" s="9811"/>
      <c r="BA667" s="9803"/>
      <c r="BB667" s="9805"/>
      <c r="BC667" s="9806"/>
      <c r="BD667" s="9812"/>
      <c r="BF667" s="14498"/>
      <c r="BG667" s="14498"/>
      <c r="BH667" s="14498"/>
      <c r="BI667" s="14498"/>
      <c r="BJ667" s="14498"/>
      <c r="BK667" s="8747"/>
      <c r="BL667" s="14498"/>
      <c r="BM667" s="14498"/>
      <c r="BN667" s="14498"/>
    </row>
    <row r="668" spans="1:66" ht="29.25" hidden="1" customHeight="1">
      <c r="A668" s="13680">
        <v>422</v>
      </c>
      <c r="B668" s="14105" t="s">
        <v>7998</v>
      </c>
      <c r="C668" s="13595"/>
      <c r="D668" s="12162" t="s">
        <v>10063</v>
      </c>
      <c r="E668" s="12163" t="s">
        <v>724</v>
      </c>
      <c r="F668" s="12163"/>
      <c r="G668" s="14106" t="s">
        <v>5025</v>
      </c>
      <c r="H668" s="13435" t="s">
        <v>893</v>
      </c>
      <c r="I668" s="14121">
        <v>0.8</v>
      </c>
      <c r="K668" s="9813"/>
      <c r="L668" s="9804"/>
      <c r="M668" s="9804"/>
      <c r="N668" s="9814"/>
      <c r="O668" s="9814"/>
      <c r="P668" s="9815"/>
      <c r="Q668" s="9807"/>
      <c r="R668" s="9808"/>
      <c r="S668" s="9809"/>
      <c r="T668" s="9810"/>
      <c r="U668" s="9807"/>
      <c r="V668" s="9808"/>
      <c r="W668" s="9810"/>
      <c r="X668" s="9808"/>
      <c r="Y668" s="9810"/>
      <c r="Z668" s="9808"/>
      <c r="AA668" s="9809"/>
      <c r="AB668" s="9809"/>
      <c r="AC668" s="9809"/>
      <c r="AD668" s="9809"/>
      <c r="AE668" s="9809"/>
      <c r="AF668" s="9810"/>
      <c r="AG668" s="9808"/>
      <c r="AH668" s="9809"/>
      <c r="AI668" s="9809"/>
      <c r="AJ668" s="9809"/>
      <c r="AK668" s="9809"/>
      <c r="AL668" s="9809"/>
      <c r="AM668" s="9809"/>
      <c r="AN668" s="9810"/>
      <c r="AO668" s="9808"/>
      <c r="AP668" s="9809"/>
      <c r="AQ668" s="9809"/>
      <c r="AR668" s="9809"/>
      <c r="AS668" s="9809"/>
      <c r="AT668" s="9810"/>
      <c r="AU668" s="9816"/>
      <c r="AV668" s="9816"/>
      <c r="AW668" s="9816"/>
      <c r="AX668" s="9813"/>
      <c r="AY668" s="9815"/>
      <c r="AZ668" s="9816"/>
      <c r="BA668" s="9813"/>
      <c r="BB668" s="9814"/>
      <c r="BC668" s="9815"/>
      <c r="BD668" s="9817"/>
      <c r="BF668" s="14498"/>
      <c r="BG668" s="14498"/>
      <c r="BH668" s="14498"/>
      <c r="BI668" s="14498"/>
      <c r="BJ668" s="14498"/>
      <c r="BK668" s="8747"/>
      <c r="BL668" s="14498"/>
      <c r="BM668" s="14498"/>
      <c r="BN668" s="14498"/>
    </row>
    <row r="669" spans="1:66" ht="29.25" hidden="1" customHeight="1">
      <c r="A669" s="13680"/>
      <c r="B669" s="14105"/>
      <c r="C669" s="13595"/>
      <c r="D669" s="12162" t="s">
        <v>2859</v>
      </c>
      <c r="E669" s="12163"/>
      <c r="F669" s="12163" t="s">
        <v>10234</v>
      </c>
      <c r="G669" s="14106"/>
      <c r="H669" s="13435"/>
      <c r="I669" s="14121"/>
      <c r="K669" s="9813"/>
      <c r="L669" s="9804"/>
      <c r="M669" s="9804"/>
      <c r="N669" s="9814"/>
      <c r="O669" s="9814"/>
      <c r="P669" s="9815"/>
      <c r="Q669" s="9807"/>
      <c r="R669" s="9808"/>
      <c r="S669" s="9809"/>
      <c r="T669" s="9810"/>
      <c r="U669" s="9807"/>
      <c r="V669" s="9808"/>
      <c r="W669" s="9810"/>
      <c r="X669" s="9808"/>
      <c r="Y669" s="9810"/>
      <c r="Z669" s="9808"/>
      <c r="AA669" s="9809"/>
      <c r="AB669" s="9809"/>
      <c r="AC669" s="9809"/>
      <c r="AD669" s="9809"/>
      <c r="AE669" s="9809"/>
      <c r="AF669" s="9810"/>
      <c r="AG669" s="9808"/>
      <c r="AH669" s="9809"/>
      <c r="AI669" s="9809"/>
      <c r="AJ669" s="9809"/>
      <c r="AK669" s="9809"/>
      <c r="AL669" s="9809"/>
      <c r="AM669" s="9809"/>
      <c r="AN669" s="9810"/>
      <c r="AO669" s="9808"/>
      <c r="AP669" s="9809"/>
      <c r="AQ669" s="9809"/>
      <c r="AR669" s="9809"/>
      <c r="AS669" s="9809"/>
      <c r="AT669" s="9810"/>
      <c r="AU669" s="9816"/>
      <c r="AV669" s="9816"/>
      <c r="AW669" s="9816"/>
      <c r="AX669" s="9813"/>
      <c r="AY669" s="9815"/>
      <c r="AZ669" s="9816"/>
      <c r="BA669" s="9813"/>
      <c r="BB669" s="9814"/>
      <c r="BC669" s="9815"/>
      <c r="BD669" s="9817"/>
      <c r="BF669" s="14498"/>
      <c r="BG669" s="14498"/>
      <c r="BH669" s="14498"/>
      <c r="BI669" s="14498"/>
      <c r="BJ669" s="14498"/>
      <c r="BK669" s="8747"/>
      <c r="BL669" s="14498"/>
      <c r="BM669" s="14498"/>
      <c r="BN669" s="14498"/>
    </row>
    <row r="670" spans="1:66" ht="29.25" hidden="1" customHeight="1">
      <c r="A670" s="13680"/>
      <c r="B670" s="14105"/>
      <c r="C670" s="13595"/>
      <c r="D670" s="12162" t="s">
        <v>10187</v>
      </c>
      <c r="E670" s="12163"/>
      <c r="F670" s="12163" t="s">
        <v>10235</v>
      </c>
      <c r="G670" s="14106"/>
      <c r="H670" s="13435"/>
      <c r="I670" s="14121"/>
      <c r="K670" s="9813"/>
      <c r="L670" s="9804"/>
      <c r="M670" s="9804"/>
      <c r="N670" s="9814"/>
      <c r="O670" s="9814"/>
      <c r="P670" s="9815"/>
      <c r="Q670" s="9807"/>
      <c r="R670" s="9808"/>
      <c r="S670" s="9809"/>
      <c r="T670" s="9810"/>
      <c r="U670" s="9807"/>
      <c r="V670" s="9808"/>
      <c r="W670" s="9810"/>
      <c r="X670" s="9808"/>
      <c r="Y670" s="9810"/>
      <c r="Z670" s="9808"/>
      <c r="AA670" s="9809"/>
      <c r="AB670" s="9809"/>
      <c r="AC670" s="9809"/>
      <c r="AD670" s="9809"/>
      <c r="AE670" s="9809"/>
      <c r="AF670" s="9810"/>
      <c r="AG670" s="9808"/>
      <c r="AH670" s="9809"/>
      <c r="AI670" s="9809"/>
      <c r="AJ670" s="9809"/>
      <c r="AK670" s="9809"/>
      <c r="AL670" s="9809"/>
      <c r="AM670" s="9809"/>
      <c r="AN670" s="9810"/>
      <c r="AO670" s="9808"/>
      <c r="AP670" s="9809"/>
      <c r="AQ670" s="9809"/>
      <c r="AR670" s="9809"/>
      <c r="AS670" s="9809"/>
      <c r="AT670" s="9810"/>
      <c r="AU670" s="9816"/>
      <c r="AV670" s="9816"/>
      <c r="AW670" s="9816"/>
      <c r="AX670" s="9813"/>
      <c r="AY670" s="9815"/>
      <c r="AZ670" s="9816"/>
      <c r="BA670" s="9813"/>
      <c r="BB670" s="9814"/>
      <c r="BC670" s="9815"/>
      <c r="BD670" s="9817"/>
      <c r="BF670" s="14498"/>
      <c r="BG670" s="14498"/>
      <c r="BH670" s="14498"/>
      <c r="BI670" s="14498"/>
      <c r="BJ670" s="14498"/>
      <c r="BK670" s="8747"/>
      <c r="BL670" s="14498"/>
      <c r="BM670" s="14498"/>
      <c r="BN670" s="14498"/>
    </row>
    <row r="671" spans="1:66" ht="29.25" hidden="1" customHeight="1">
      <c r="A671" s="13680">
        <v>423</v>
      </c>
      <c r="B671" s="14105" t="s">
        <v>7999</v>
      </c>
      <c r="C671" s="13595"/>
      <c r="D671" s="12162" t="s">
        <v>10063</v>
      </c>
      <c r="E671" s="12163" t="s">
        <v>724</v>
      </c>
      <c r="F671" s="12163"/>
      <c r="G671" s="14106" t="s">
        <v>5026</v>
      </c>
      <c r="H671" s="13435" t="s">
        <v>894</v>
      </c>
      <c r="I671" s="14120">
        <v>1</v>
      </c>
      <c r="K671" s="9803"/>
      <c r="L671" s="9804"/>
      <c r="M671" s="9804"/>
      <c r="N671" s="9805"/>
      <c r="O671" s="9805"/>
      <c r="P671" s="9806"/>
      <c r="Q671" s="9807"/>
      <c r="R671" s="9808"/>
      <c r="S671" s="9809"/>
      <c r="T671" s="9810"/>
      <c r="U671" s="9807"/>
      <c r="V671" s="9808"/>
      <c r="W671" s="9810"/>
      <c r="X671" s="9808"/>
      <c r="Y671" s="9810"/>
      <c r="Z671" s="9808"/>
      <c r="AA671" s="9809"/>
      <c r="AB671" s="9809"/>
      <c r="AC671" s="9809"/>
      <c r="AD671" s="9809"/>
      <c r="AE671" s="9809"/>
      <c r="AF671" s="9810"/>
      <c r="AG671" s="9808"/>
      <c r="AH671" s="9809"/>
      <c r="AI671" s="9809"/>
      <c r="AJ671" s="9809"/>
      <c r="AK671" s="9809"/>
      <c r="AL671" s="9809"/>
      <c r="AM671" s="9809"/>
      <c r="AN671" s="9810"/>
      <c r="AO671" s="9808"/>
      <c r="AP671" s="9809"/>
      <c r="AQ671" s="9809"/>
      <c r="AR671" s="9809"/>
      <c r="AS671" s="9809"/>
      <c r="AT671" s="9810"/>
      <c r="AU671" s="9811"/>
      <c r="AV671" s="9811"/>
      <c r="AW671" s="9811"/>
      <c r="AX671" s="9803"/>
      <c r="AY671" s="9806"/>
      <c r="AZ671" s="9811"/>
      <c r="BA671" s="9803"/>
      <c r="BB671" s="9805"/>
      <c r="BC671" s="9806"/>
      <c r="BD671" s="9812"/>
      <c r="BF671" s="14498"/>
      <c r="BG671" s="14498"/>
      <c r="BH671" s="14498"/>
      <c r="BI671" s="14498"/>
      <c r="BJ671" s="14498"/>
      <c r="BK671" s="8747"/>
      <c r="BL671" s="14498"/>
      <c r="BM671" s="14498"/>
      <c r="BN671" s="14498"/>
    </row>
    <row r="672" spans="1:66" ht="29.25" hidden="1" customHeight="1">
      <c r="A672" s="13680"/>
      <c r="B672" s="14105"/>
      <c r="C672" s="13595"/>
      <c r="D672" s="12162" t="s">
        <v>10066</v>
      </c>
      <c r="E672" s="12163"/>
      <c r="F672" s="12163" t="s">
        <v>298</v>
      </c>
      <c r="G672" s="14106"/>
      <c r="H672" s="13435"/>
      <c r="I672" s="14120"/>
      <c r="K672" s="9803"/>
      <c r="L672" s="9804"/>
      <c r="M672" s="9804"/>
      <c r="N672" s="9805"/>
      <c r="O672" s="9805"/>
      <c r="P672" s="9806"/>
      <c r="Q672" s="9807"/>
      <c r="R672" s="9808"/>
      <c r="S672" s="9809"/>
      <c r="T672" s="9810"/>
      <c r="U672" s="9807"/>
      <c r="V672" s="9808"/>
      <c r="W672" s="9810"/>
      <c r="X672" s="9808"/>
      <c r="Y672" s="9810"/>
      <c r="Z672" s="9808"/>
      <c r="AA672" s="9809"/>
      <c r="AB672" s="9809"/>
      <c r="AC672" s="9809"/>
      <c r="AD672" s="9809"/>
      <c r="AE672" s="9809"/>
      <c r="AF672" s="9810"/>
      <c r="AG672" s="9808"/>
      <c r="AH672" s="9809"/>
      <c r="AI672" s="9809"/>
      <c r="AJ672" s="9809"/>
      <c r="AK672" s="9809"/>
      <c r="AL672" s="9809"/>
      <c r="AM672" s="9809"/>
      <c r="AN672" s="9810"/>
      <c r="AO672" s="9808"/>
      <c r="AP672" s="9809"/>
      <c r="AQ672" s="9809"/>
      <c r="AR672" s="9809"/>
      <c r="AS672" s="9809"/>
      <c r="AT672" s="9810"/>
      <c r="AU672" s="9811"/>
      <c r="AV672" s="9811"/>
      <c r="AW672" s="9811"/>
      <c r="AX672" s="9803"/>
      <c r="AY672" s="9806"/>
      <c r="AZ672" s="9811"/>
      <c r="BA672" s="9803"/>
      <c r="BB672" s="9805"/>
      <c r="BC672" s="9806"/>
      <c r="BD672" s="9812"/>
      <c r="BF672" s="14498"/>
      <c r="BG672" s="14498"/>
      <c r="BH672" s="14498"/>
      <c r="BI672" s="14498"/>
      <c r="BJ672" s="14498"/>
      <c r="BK672" s="8747"/>
      <c r="BL672" s="14498"/>
      <c r="BM672" s="14498"/>
      <c r="BN672" s="14498"/>
    </row>
    <row r="673" spans="1:66" ht="29.25" hidden="1" customHeight="1">
      <c r="A673" s="13680">
        <v>424</v>
      </c>
      <c r="B673" s="14105" t="s">
        <v>8000</v>
      </c>
      <c r="C673" s="13595"/>
      <c r="D673" s="12162" t="s">
        <v>2859</v>
      </c>
      <c r="E673" s="12163" t="s">
        <v>898</v>
      </c>
      <c r="F673" s="12163"/>
      <c r="G673" s="14106" t="s">
        <v>5027</v>
      </c>
      <c r="H673" s="13435" t="s">
        <v>896</v>
      </c>
      <c r="I673" s="14121">
        <v>1</v>
      </c>
      <c r="K673" s="9813"/>
      <c r="L673" s="9804"/>
      <c r="M673" s="9804"/>
      <c r="N673" s="9814"/>
      <c r="O673" s="9814"/>
      <c r="P673" s="9815"/>
      <c r="Q673" s="9807"/>
      <c r="R673" s="9808"/>
      <c r="S673" s="9809"/>
      <c r="T673" s="9810"/>
      <c r="U673" s="9807"/>
      <c r="V673" s="9808"/>
      <c r="W673" s="9810"/>
      <c r="X673" s="9808"/>
      <c r="Y673" s="9810"/>
      <c r="Z673" s="9808"/>
      <c r="AA673" s="9809"/>
      <c r="AB673" s="9809"/>
      <c r="AC673" s="9809"/>
      <c r="AD673" s="9809"/>
      <c r="AE673" s="9809"/>
      <c r="AF673" s="9810"/>
      <c r="AG673" s="9808"/>
      <c r="AH673" s="9809"/>
      <c r="AI673" s="9809"/>
      <c r="AJ673" s="9809"/>
      <c r="AK673" s="9809"/>
      <c r="AL673" s="9809"/>
      <c r="AM673" s="9809"/>
      <c r="AN673" s="9810"/>
      <c r="AO673" s="9808"/>
      <c r="AP673" s="9809"/>
      <c r="AQ673" s="9809"/>
      <c r="AR673" s="9809"/>
      <c r="AS673" s="9809"/>
      <c r="AT673" s="9810"/>
      <c r="AU673" s="9816"/>
      <c r="AV673" s="9816"/>
      <c r="AW673" s="9816"/>
      <c r="AX673" s="9813"/>
      <c r="AY673" s="9815"/>
      <c r="AZ673" s="9816"/>
      <c r="BA673" s="9813"/>
      <c r="BB673" s="9814"/>
      <c r="BC673" s="9815"/>
      <c r="BD673" s="9817"/>
      <c r="BF673" s="14498"/>
      <c r="BG673" s="14498"/>
      <c r="BH673" s="14498"/>
      <c r="BI673" s="14498"/>
      <c r="BJ673" s="14498"/>
      <c r="BK673" s="8747"/>
      <c r="BL673" s="14498"/>
      <c r="BM673" s="14498"/>
      <c r="BN673" s="14498"/>
    </row>
    <row r="674" spans="1:66" ht="29.25" hidden="1" customHeight="1">
      <c r="A674" s="13680"/>
      <c r="B674" s="14105"/>
      <c r="C674" s="13595"/>
      <c r="D674" s="12162" t="s">
        <v>10072</v>
      </c>
      <c r="E674" s="12163"/>
      <c r="F674" s="12163" t="s">
        <v>10236</v>
      </c>
      <c r="G674" s="14106"/>
      <c r="H674" s="13435"/>
      <c r="I674" s="14121"/>
      <c r="K674" s="9813"/>
      <c r="L674" s="9804"/>
      <c r="M674" s="9804"/>
      <c r="N674" s="9814"/>
      <c r="O674" s="9814"/>
      <c r="P674" s="9815"/>
      <c r="Q674" s="9807"/>
      <c r="R674" s="9808"/>
      <c r="S674" s="9809"/>
      <c r="T674" s="9810"/>
      <c r="U674" s="9807"/>
      <c r="V674" s="9808"/>
      <c r="W674" s="9810"/>
      <c r="X674" s="9808"/>
      <c r="Y674" s="9810"/>
      <c r="Z674" s="9808"/>
      <c r="AA674" s="9809"/>
      <c r="AB674" s="9809"/>
      <c r="AC674" s="9809"/>
      <c r="AD674" s="9809"/>
      <c r="AE674" s="9809"/>
      <c r="AF674" s="9810"/>
      <c r="AG674" s="9808"/>
      <c r="AH674" s="9809"/>
      <c r="AI674" s="9809"/>
      <c r="AJ674" s="9809"/>
      <c r="AK674" s="9809"/>
      <c r="AL674" s="9809"/>
      <c r="AM674" s="9809"/>
      <c r="AN674" s="9810"/>
      <c r="AO674" s="9808"/>
      <c r="AP674" s="9809"/>
      <c r="AQ674" s="9809"/>
      <c r="AR674" s="9809"/>
      <c r="AS674" s="9809"/>
      <c r="AT674" s="9810"/>
      <c r="AU674" s="9816"/>
      <c r="AV674" s="9816"/>
      <c r="AW674" s="9816"/>
      <c r="AX674" s="9813"/>
      <c r="AY674" s="9815"/>
      <c r="AZ674" s="9816"/>
      <c r="BA674" s="9813"/>
      <c r="BB674" s="9814"/>
      <c r="BC674" s="9815"/>
      <c r="BD674" s="9817"/>
      <c r="BF674" s="14498"/>
      <c r="BG674" s="14498"/>
      <c r="BH674" s="14498"/>
      <c r="BI674" s="14498"/>
      <c r="BJ674" s="14498"/>
      <c r="BK674" s="8747"/>
      <c r="BL674" s="14498"/>
      <c r="BM674" s="14498"/>
      <c r="BN674" s="14498"/>
    </row>
    <row r="675" spans="1:66" ht="29.25" hidden="1" customHeight="1">
      <c r="A675" s="13680"/>
      <c r="B675" s="14105"/>
      <c r="C675" s="13595"/>
      <c r="D675" s="12162" t="s">
        <v>10092</v>
      </c>
      <c r="E675" s="12163"/>
      <c r="F675" s="12163" t="s">
        <v>10237</v>
      </c>
      <c r="G675" s="14106"/>
      <c r="H675" s="13435"/>
      <c r="I675" s="14121"/>
      <c r="K675" s="9813"/>
      <c r="L675" s="9804"/>
      <c r="M675" s="9804"/>
      <c r="N675" s="9814"/>
      <c r="O675" s="9814"/>
      <c r="P675" s="9815"/>
      <c r="Q675" s="9807"/>
      <c r="R675" s="9808"/>
      <c r="S675" s="9809"/>
      <c r="T675" s="9810"/>
      <c r="U675" s="9807"/>
      <c r="V675" s="9808"/>
      <c r="W675" s="9810"/>
      <c r="X675" s="9808"/>
      <c r="Y675" s="9810"/>
      <c r="Z675" s="9808"/>
      <c r="AA675" s="9809"/>
      <c r="AB675" s="9809"/>
      <c r="AC675" s="9809"/>
      <c r="AD675" s="9809"/>
      <c r="AE675" s="9809"/>
      <c r="AF675" s="9810"/>
      <c r="AG675" s="9808"/>
      <c r="AH675" s="9809"/>
      <c r="AI675" s="9809"/>
      <c r="AJ675" s="9809"/>
      <c r="AK675" s="9809"/>
      <c r="AL675" s="9809"/>
      <c r="AM675" s="9809"/>
      <c r="AN675" s="9810"/>
      <c r="AO675" s="9808"/>
      <c r="AP675" s="9809"/>
      <c r="AQ675" s="9809"/>
      <c r="AR675" s="9809"/>
      <c r="AS675" s="9809"/>
      <c r="AT675" s="9810"/>
      <c r="AU675" s="9816"/>
      <c r="AV675" s="9816"/>
      <c r="AW675" s="9816"/>
      <c r="AX675" s="9813"/>
      <c r="AY675" s="9815"/>
      <c r="AZ675" s="9816"/>
      <c r="BA675" s="9813"/>
      <c r="BB675" s="9814"/>
      <c r="BC675" s="9815"/>
      <c r="BD675" s="9817"/>
      <c r="BF675" s="14498"/>
      <c r="BG675" s="14498"/>
      <c r="BH675" s="14498"/>
      <c r="BI675" s="14498"/>
      <c r="BJ675" s="14498"/>
      <c r="BK675" s="8747"/>
      <c r="BL675" s="14498"/>
      <c r="BM675" s="14498"/>
      <c r="BN675" s="14498"/>
    </row>
    <row r="676" spans="1:66" ht="29.25" hidden="1" customHeight="1">
      <c r="A676" s="8745">
        <v>425</v>
      </c>
      <c r="B676" s="8746" t="s">
        <v>8001</v>
      </c>
      <c r="C676" s="13595"/>
      <c r="D676" s="12162" t="s">
        <v>2859</v>
      </c>
      <c r="E676" s="12163" t="s">
        <v>898</v>
      </c>
      <c r="F676" s="12163"/>
      <c r="G676" s="11870" t="s">
        <v>5028</v>
      </c>
      <c r="H676" s="12164" t="s">
        <v>900</v>
      </c>
      <c r="I676" s="12165">
        <v>1</v>
      </c>
      <c r="K676" s="9794"/>
      <c r="L676" s="9795"/>
      <c r="M676" s="9795"/>
      <c r="N676" s="9796"/>
      <c r="O676" s="9796"/>
      <c r="P676" s="9797"/>
      <c r="Q676" s="9798"/>
      <c r="R676" s="9799"/>
      <c r="S676" s="9800"/>
      <c r="T676" s="9801"/>
      <c r="U676" s="9798"/>
      <c r="V676" s="9799"/>
      <c r="W676" s="9801"/>
      <c r="X676" s="9799"/>
      <c r="Y676" s="9801"/>
      <c r="Z676" s="9799"/>
      <c r="AA676" s="9800"/>
      <c r="AB676" s="9800"/>
      <c r="AC676" s="9800"/>
      <c r="AD676" s="9800"/>
      <c r="AE676" s="9800"/>
      <c r="AF676" s="9801"/>
      <c r="AG676" s="9799"/>
      <c r="AH676" s="9800"/>
      <c r="AI676" s="9800"/>
      <c r="AJ676" s="9800"/>
      <c r="AK676" s="9800"/>
      <c r="AL676" s="9800"/>
      <c r="AM676" s="9800"/>
      <c r="AN676" s="9801"/>
      <c r="AO676" s="9799"/>
      <c r="AP676" s="9800"/>
      <c r="AQ676" s="9800"/>
      <c r="AR676" s="9800"/>
      <c r="AS676" s="9800"/>
      <c r="AT676" s="9801"/>
      <c r="AU676" s="9802"/>
      <c r="AV676" s="9802"/>
      <c r="AW676" s="9802"/>
      <c r="AX676" s="9794"/>
      <c r="AY676" s="9797"/>
      <c r="AZ676" s="9802"/>
      <c r="BA676" s="9794"/>
      <c r="BB676" s="9796"/>
      <c r="BC676" s="9797"/>
      <c r="BD676" s="8745"/>
      <c r="BF676" s="8747"/>
      <c r="BG676" s="8747"/>
      <c r="BH676" s="8747"/>
      <c r="BI676" s="8747"/>
      <c r="BJ676" s="8747"/>
      <c r="BK676" s="8747"/>
      <c r="BL676" s="8747"/>
      <c r="BM676" s="8747"/>
      <c r="BN676" s="8747"/>
    </row>
    <row r="677" spans="1:66" ht="29.25" hidden="1" customHeight="1">
      <c r="A677" s="8745">
        <v>426</v>
      </c>
      <c r="B677" s="8746" t="s">
        <v>8002</v>
      </c>
      <c r="C677" s="13595"/>
      <c r="D677" s="12162" t="s">
        <v>65</v>
      </c>
      <c r="E677" s="12163" t="s">
        <v>906</v>
      </c>
      <c r="F677" s="12163"/>
      <c r="G677" s="11870" t="s">
        <v>5029</v>
      </c>
      <c r="H677" s="12164" t="s">
        <v>904</v>
      </c>
      <c r="I677" s="12166">
        <v>0.1</v>
      </c>
      <c r="K677" s="9818"/>
      <c r="L677" s="9795"/>
      <c r="M677" s="9795"/>
      <c r="N677" s="9819"/>
      <c r="O677" s="9819"/>
      <c r="P677" s="9820"/>
      <c r="Q677" s="9798"/>
      <c r="R677" s="9799"/>
      <c r="S677" s="9800"/>
      <c r="T677" s="9801"/>
      <c r="U677" s="9798"/>
      <c r="V677" s="9799"/>
      <c r="W677" s="9801"/>
      <c r="X677" s="9799"/>
      <c r="Y677" s="9801"/>
      <c r="Z677" s="9799"/>
      <c r="AA677" s="9800"/>
      <c r="AB677" s="9800"/>
      <c r="AC677" s="9800"/>
      <c r="AD677" s="9800"/>
      <c r="AE677" s="9800"/>
      <c r="AF677" s="9801"/>
      <c r="AG677" s="9799"/>
      <c r="AH677" s="9800"/>
      <c r="AI677" s="9800"/>
      <c r="AJ677" s="9800"/>
      <c r="AK677" s="9800"/>
      <c r="AL677" s="9800"/>
      <c r="AM677" s="9800"/>
      <c r="AN677" s="9801"/>
      <c r="AO677" s="9799"/>
      <c r="AP677" s="9800"/>
      <c r="AQ677" s="9800"/>
      <c r="AR677" s="9800"/>
      <c r="AS677" s="9800"/>
      <c r="AT677" s="9801"/>
      <c r="AU677" s="9821"/>
      <c r="AV677" s="9821"/>
      <c r="AW677" s="9821"/>
      <c r="AX677" s="9818"/>
      <c r="AY677" s="9820"/>
      <c r="AZ677" s="9821"/>
      <c r="BA677" s="9818"/>
      <c r="BB677" s="9819"/>
      <c r="BC677" s="9820"/>
      <c r="BD677" s="9822"/>
      <c r="BF677" s="8747"/>
      <c r="BG677" s="8747"/>
      <c r="BH677" s="8747"/>
      <c r="BI677" s="8747"/>
      <c r="BJ677" s="8747"/>
      <c r="BK677" s="8747"/>
      <c r="BL677" s="8747"/>
      <c r="BM677" s="8747"/>
      <c r="BN677" s="8747"/>
    </row>
    <row r="678" spans="1:66" ht="29.25" hidden="1" customHeight="1">
      <c r="A678" s="13680">
        <v>427</v>
      </c>
      <c r="B678" s="14105" t="s">
        <v>8003</v>
      </c>
      <c r="C678" s="13595"/>
      <c r="D678" s="12162" t="s">
        <v>65</v>
      </c>
      <c r="E678" s="12163" t="s">
        <v>906</v>
      </c>
      <c r="F678" s="12167"/>
      <c r="G678" s="14106" t="s">
        <v>5030</v>
      </c>
      <c r="H678" s="13435" t="s">
        <v>908</v>
      </c>
      <c r="I678" s="14121">
        <v>1</v>
      </c>
      <c r="K678" s="9813"/>
      <c r="L678" s="9804"/>
      <c r="M678" s="9804"/>
      <c r="N678" s="9814"/>
      <c r="O678" s="9814"/>
      <c r="P678" s="9815"/>
      <c r="Q678" s="9807"/>
      <c r="R678" s="9808"/>
      <c r="S678" s="9809"/>
      <c r="T678" s="9810"/>
      <c r="U678" s="9807"/>
      <c r="V678" s="9808"/>
      <c r="W678" s="9810"/>
      <c r="X678" s="9808"/>
      <c r="Y678" s="9810"/>
      <c r="Z678" s="9808"/>
      <c r="AA678" s="9809"/>
      <c r="AB678" s="9809"/>
      <c r="AC678" s="9809"/>
      <c r="AD678" s="9809"/>
      <c r="AE678" s="9809"/>
      <c r="AF678" s="9810"/>
      <c r="AG678" s="9808"/>
      <c r="AH678" s="9809"/>
      <c r="AI678" s="9809"/>
      <c r="AJ678" s="9809"/>
      <c r="AK678" s="9809"/>
      <c r="AL678" s="9809"/>
      <c r="AM678" s="9809"/>
      <c r="AN678" s="9810"/>
      <c r="AO678" s="9808"/>
      <c r="AP678" s="9809"/>
      <c r="AQ678" s="9809"/>
      <c r="AR678" s="9809"/>
      <c r="AS678" s="9809"/>
      <c r="AT678" s="9810"/>
      <c r="AU678" s="9816"/>
      <c r="AV678" s="9816"/>
      <c r="AW678" s="9816"/>
      <c r="AX678" s="9813"/>
      <c r="AY678" s="9815"/>
      <c r="AZ678" s="9816"/>
      <c r="BA678" s="9813"/>
      <c r="BB678" s="9814"/>
      <c r="BC678" s="9815"/>
      <c r="BD678" s="9817"/>
      <c r="BF678" s="14498"/>
      <c r="BG678" s="14498"/>
      <c r="BH678" s="14498"/>
      <c r="BI678" s="14498"/>
      <c r="BJ678" s="14498"/>
      <c r="BK678" s="8747"/>
      <c r="BL678" s="14498"/>
      <c r="BM678" s="14498"/>
      <c r="BN678" s="14498"/>
    </row>
    <row r="679" spans="1:66" ht="29.25" hidden="1" customHeight="1">
      <c r="A679" s="13680"/>
      <c r="B679" s="14105"/>
      <c r="C679" s="13595"/>
      <c r="D679" s="12162" t="s">
        <v>10063</v>
      </c>
      <c r="E679" s="12163"/>
      <c r="F679" s="12167" t="s">
        <v>79</v>
      </c>
      <c r="G679" s="14106"/>
      <c r="H679" s="13435"/>
      <c r="I679" s="14121"/>
      <c r="K679" s="9813"/>
      <c r="L679" s="9804"/>
      <c r="M679" s="9804"/>
      <c r="N679" s="9814"/>
      <c r="O679" s="9814"/>
      <c r="P679" s="9815"/>
      <c r="Q679" s="9807"/>
      <c r="R679" s="9808"/>
      <c r="S679" s="9809"/>
      <c r="T679" s="9810"/>
      <c r="U679" s="9807"/>
      <c r="V679" s="9808"/>
      <c r="W679" s="9810"/>
      <c r="X679" s="9808"/>
      <c r="Y679" s="9810"/>
      <c r="Z679" s="9808"/>
      <c r="AA679" s="9809"/>
      <c r="AB679" s="9809"/>
      <c r="AC679" s="9809"/>
      <c r="AD679" s="9809"/>
      <c r="AE679" s="9809"/>
      <c r="AF679" s="9810"/>
      <c r="AG679" s="9808"/>
      <c r="AH679" s="9809"/>
      <c r="AI679" s="9809"/>
      <c r="AJ679" s="9809"/>
      <c r="AK679" s="9809"/>
      <c r="AL679" s="9809"/>
      <c r="AM679" s="9809"/>
      <c r="AN679" s="9810"/>
      <c r="AO679" s="9808"/>
      <c r="AP679" s="9809"/>
      <c r="AQ679" s="9809"/>
      <c r="AR679" s="9809"/>
      <c r="AS679" s="9809"/>
      <c r="AT679" s="9810"/>
      <c r="AU679" s="9816"/>
      <c r="AV679" s="9816"/>
      <c r="AW679" s="9816"/>
      <c r="AX679" s="9813"/>
      <c r="AY679" s="9815"/>
      <c r="AZ679" s="9816"/>
      <c r="BA679" s="9813"/>
      <c r="BB679" s="9814"/>
      <c r="BC679" s="9815"/>
      <c r="BD679" s="9817"/>
      <c r="BF679" s="14498"/>
      <c r="BG679" s="14498"/>
      <c r="BH679" s="14498"/>
      <c r="BI679" s="14498"/>
      <c r="BJ679" s="14498"/>
      <c r="BK679" s="8747"/>
      <c r="BL679" s="14498"/>
      <c r="BM679" s="14498"/>
      <c r="BN679" s="14498"/>
    </row>
    <row r="680" spans="1:66" ht="29.25" hidden="1" customHeight="1">
      <c r="A680" s="13680">
        <v>428</v>
      </c>
      <c r="B680" s="14105" t="s">
        <v>8004</v>
      </c>
      <c r="C680" s="13595"/>
      <c r="D680" s="12162" t="s">
        <v>10070</v>
      </c>
      <c r="E680" s="12163" t="s">
        <v>512</v>
      </c>
      <c r="F680" s="12167"/>
      <c r="G680" s="14106" t="s">
        <v>5031</v>
      </c>
      <c r="H680" s="13435" t="s">
        <v>911</v>
      </c>
      <c r="I680" s="14120">
        <v>1</v>
      </c>
      <c r="K680" s="9803"/>
      <c r="L680" s="9804"/>
      <c r="M680" s="9804"/>
      <c r="N680" s="9805"/>
      <c r="O680" s="9805"/>
      <c r="P680" s="9806"/>
      <c r="Q680" s="9807"/>
      <c r="R680" s="9808"/>
      <c r="S680" s="9809"/>
      <c r="T680" s="9810"/>
      <c r="U680" s="9807"/>
      <c r="V680" s="9808"/>
      <c r="W680" s="9810"/>
      <c r="X680" s="9808"/>
      <c r="Y680" s="9810"/>
      <c r="Z680" s="9808"/>
      <c r="AA680" s="9809"/>
      <c r="AB680" s="9809"/>
      <c r="AC680" s="9809"/>
      <c r="AD680" s="9809"/>
      <c r="AE680" s="9809"/>
      <c r="AF680" s="9810"/>
      <c r="AG680" s="9808"/>
      <c r="AH680" s="9809"/>
      <c r="AI680" s="9809"/>
      <c r="AJ680" s="9809"/>
      <c r="AK680" s="9809"/>
      <c r="AL680" s="9809"/>
      <c r="AM680" s="9809"/>
      <c r="AN680" s="9810"/>
      <c r="AO680" s="9808"/>
      <c r="AP680" s="9809"/>
      <c r="AQ680" s="9809"/>
      <c r="AR680" s="9809"/>
      <c r="AS680" s="9809"/>
      <c r="AT680" s="9810"/>
      <c r="AU680" s="9811"/>
      <c r="AV680" s="9811"/>
      <c r="AW680" s="9811"/>
      <c r="AX680" s="9803"/>
      <c r="AY680" s="9806"/>
      <c r="AZ680" s="9811"/>
      <c r="BA680" s="9803"/>
      <c r="BB680" s="9805"/>
      <c r="BC680" s="9806"/>
      <c r="BD680" s="9812"/>
      <c r="BF680" s="14498"/>
      <c r="BG680" s="14498"/>
      <c r="BH680" s="14498"/>
      <c r="BI680" s="14498"/>
      <c r="BJ680" s="14498"/>
      <c r="BK680" s="8747"/>
      <c r="BL680" s="14498"/>
      <c r="BM680" s="14498"/>
      <c r="BN680" s="14498"/>
    </row>
    <row r="681" spans="1:66" ht="29.25" hidden="1" customHeight="1">
      <c r="A681" s="13680"/>
      <c r="B681" s="14105"/>
      <c r="C681" s="13595"/>
      <c r="D681" s="12162" t="s">
        <v>2859</v>
      </c>
      <c r="E681" s="12163"/>
      <c r="F681" s="12163" t="s">
        <v>898</v>
      </c>
      <c r="G681" s="14106"/>
      <c r="H681" s="13435"/>
      <c r="I681" s="14120"/>
      <c r="K681" s="9803"/>
      <c r="L681" s="9804"/>
      <c r="M681" s="9804"/>
      <c r="N681" s="9805"/>
      <c r="O681" s="9805"/>
      <c r="P681" s="9806"/>
      <c r="Q681" s="9807"/>
      <c r="R681" s="9808"/>
      <c r="S681" s="9809"/>
      <c r="T681" s="9810"/>
      <c r="U681" s="9807"/>
      <c r="V681" s="9808"/>
      <c r="W681" s="9810"/>
      <c r="X681" s="9808"/>
      <c r="Y681" s="9810"/>
      <c r="Z681" s="9808"/>
      <c r="AA681" s="9809"/>
      <c r="AB681" s="9809"/>
      <c r="AC681" s="9809"/>
      <c r="AD681" s="9809"/>
      <c r="AE681" s="9809"/>
      <c r="AF681" s="9810"/>
      <c r="AG681" s="9808"/>
      <c r="AH681" s="9809"/>
      <c r="AI681" s="9809"/>
      <c r="AJ681" s="9809"/>
      <c r="AK681" s="9809"/>
      <c r="AL681" s="9809"/>
      <c r="AM681" s="9809"/>
      <c r="AN681" s="9810"/>
      <c r="AO681" s="9808"/>
      <c r="AP681" s="9809"/>
      <c r="AQ681" s="9809"/>
      <c r="AR681" s="9809"/>
      <c r="AS681" s="9809"/>
      <c r="AT681" s="9810"/>
      <c r="AU681" s="9811"/>
      <c r="AV681" s="9811"/>
      <c r="AW681" s="9811"/>
      <c r="AX681" s="9803"/>
      <c r="AY681" s="9806"/>
      <c r="AZ681" s="9811"/>
      <c r="BA681" s="9803"/>
      <c r="BB681" s="9805"/>
      <c r="BC681" s="9806"/>
      <c r="BD681" s="9812"/>
      <c r="BF681" s="14498"/>
      <c r="BG681" s="14498"/>
      <c r="BH681" s="14498"/>
      <c r="BI681" s="14498"/>
      <c r="BJ681" s="14498"/>
      <c r="BK681" s="8747"/>
      <c r="BL681" s="14498"/>
      <c r="BM681" s="14498"/>
      <c r="BN681" s="14498"/>
    </row>
    <row r="682" spans="1:66" ht="29.25" hidden="1" customHeight="1">
      <c r="A682" s="8745">
        <v>429</v>
      </c>
      <c r="B682" s="8746" t="s">
        <v>8005</v>
      </c>
      <c r="C682" s="13595"/>
      <c r="D682" s="12162" t="s">
        <v>10070</v>
      </c>
      <c r="E682" s="12163" t="s">
        <v>512</v>
      </c>
      <c r="F682" s="12163"/>
      <c r="G682" s="11870" t="s">
        <v>5032</v>
      </c>
      <c r="H682" s="12164" t="s">
        <v>913</v>
      </c>
      <c r="I682" s="12165">
        <v>1</v>
      </c>
      <c r="K682" s="9794"/>
      <c r="L682" s="9795"/>
      <c r="M682" s="9795"/>
      <c r="N682" s="9796"/>
      <c r="O682" s="9796"/>
      <c r="P682" s="9797"/>
      <c r="Q682" s="9798"/>
      <c r="R682" s="9799"/>
      <c r="S682" s="9800"/>
      <c r="T682" s="9801"/>
      <c r="U682" s="9798"/>
      <c r="V682" s="9799"/>
      <c r="W682" s="9801"/>
      <c r="X682" s="9799"/>
      <c r="Y682" s="9801"/>
      <c r="Z682" s="9799"/>
      <c r="AA682" s="9800"/>
      <c r="AB682" s="9800"/>
      <c r="AC682" s="9800"/>
      <c r="AD682" s="9800"/>
      <c r="AE682" s="9800"/>
      <c r="AF682" s="9801"/>
      <c r="AG682" s="9799"/>
      <c r="AH682" s="9800"/>
      <c r="AI682" s="9800"/>
      <c r="AJ682" s="9800"/>
      <c r="AK682" s="9800"/>
      <c r="AL682" s="9800"/>
      <c r="AM682" s="9800"/>
      <c r="AN682" s="9801"/>
      <c r="AO682" s="9799"/>
      <c r="AP682" s="9800"/>
      <c r="AQ682" s="9800"/>
      <c r="AR682" s="9800"/>
      <c r="AS682" s="9800"/>
      <c r="AT682" s="9801"/>
      <c r="AU682" s="9802"/>
      <c r="AV682" s="9802"/>
      <c r="AW682" s="9802"/>
      <c r="AX682" s="9794"/>
      <c r="AY682" s="9797"/>
      <c r="AZ682" s="9802"/>
      <c r="BA682" s="9794"/>
      <c r="BB682" s="9796"/>
      <c r="BC682" s="9797"/>
      <c r="BD682" s="8745"/>
      <c r="BF682" s="8747"/>
      <c r="BG682" s="8747"/>
      <c r="BH682" s="8747"/>
      <c r="BI682" s="8747"/>
      <c r="BJ682" s="8747"/>
      <c r="BK682" s="8747"/>
      <c r="BL682" s="8747"/>
      <c r="BM682" s="8747"/>
      <c r="BN682" s="8747"/>
    </row>
    <row r="683" spans="1:66" ht="29.25" hidden="1" customHeight="1">
      <c r="A683" s="8745">
        <v>430</v>
      </c>
      <c r="B683" s="8746" t="s">
        <v>8006</v>
      </c>
      <c r="C683" s="13595"/>
      <c r="D683" s="12162" t="s">
        <v>10070</v>
      </c>
      <c r="E683" s="12163" t="s">
        <v>512</v>
      </c>
      <c r="F683" s="12163"/>
      <c r="G683" s="11870" t="s">
        <v>5033</v>
      </c>
      <c r="H683" s="12164" t="s">
        <v>914</v>
      </c>
      <c r="I683" s="12165">
        <v>5</v>
      </c>
      <c r="K683" s="9794"/>
      <c r="L683" s="9795"/>
      <c r="M683" s="9795"/>
      <c r="N683" s="9796"/>
      <c r="O683" s="9796"/>
      <c r="P683" s="9797"/>
      <c r="Q683" s="9798"/>
      <c r="R683" s="9799"/>
      <c r="S683" s="9800"/>
      <c r="T683" s="9801"/>
      <c r="U683" s="9798"/>
      <c r="V683" s="9799"/>
      <c r="W683" s="9801"/>
      <c r="X683" s="9799"/>
      <c r="Y683" s="9801"/>
      <c r="Z683" s="9799"/>
      <c r="AA683" s="9800"/>
      <c r="AB683" s="9800"/>
      <c r="AC683" s="9800"/>
      <c r="AD683" s="9800"/>
      <c r="AE683" s="9800"/>
      <c r="AF683" s="9801"/>
      <c r="AG683" s="9799"/>
      <c r="AH683" s="9800"/>
      <c r="AI683" s="9800"/>
      <c r="AJ683" s="9800"/>
      <c r="AK683" s="9800"/>
      <c r="AL683" s="9800"/>
      <c r="AM683" s="9800"/>
      <c r="AN683" s="9801"/>
      <c r="AO683" s="9799"/>
      <c r="AP683" s="9800"/>
      <c r="AQ683" s="9800"/>
      <c r="AR683" s="9800"/>
      <c r="AS683" s="9800"/>
      <c r="AT683" s="9801"/>
      <c r="AU683" s="9802"/>
      <c r="AV683" s="9802"/>
      <c r="AW683" s="9802"/>
      <c r="AX683" s="9794"/>
      <c r="AY683" s="9797"/>
      <c r="AZ683" s="9802"/>
      <c r="BA683" s="9794"/>
      <c r="BB683" s="9796"/>
      <c r="BC683" s="9797"/>
      <c r="BD683" s="8745"/>
      <c r="BF683" s="8747"/>
      <c r="BG683" s="8747"/>
      <c r="BH683" s="8747"/>
      <c r="BI683" s="8747"/>
      <c r="BJ683" s="8747"/>
      <c r="BK683" s="8747"/>
      <c r="BL683" s="8747"/>
      <c r="BM683" s="8747"/>
      <c r="BN683" s="8747"/>
    </row>
    <row r="684" spans="1:66" ht="29.25" hidden="1" customHeight="1">
      <c r="A684" s="8745">
        <v>431</v>
      </c>
      <c r="B684" s="8746" t="s">
        <v>8007</v>
      </c>
      <c r="C684" s="13595"/>
      <c r="D684" s="12162" t="s">
        <v>4337</v>
      </c>
      <c r="E684" s="12163" t="s">
        <v>918</v>
      </c>
      <c r="F684" s="12163"/>
      <c r="G684" s="11870" t="s">
        <v>5034</v>
      </c>
      <c r="H684" s="12164" t="s">
        <v>916</v>
      </c>
      <c r="I684" s="12166">
        <v>1</v>
      </c>
      <c r="K684" s="9818"/>
      <c r="L684" s="9795"/>
      <c r="M684" s="9795"/>
      <c r="N684" s="9819"/>
      <c r="O684" s="9819"/>
      <c r="P684" s="9820"/>
      <c r="Q684" s="9798"/>
      <c r="R684" s="9799"/>
      <c r="S684" s="9800"/>
      <c r="T684" s="9801"/>
      <c r="U684" s="9798"/>
      <c r="V684" s="9799"/>
      <c r="W684" s="9801"/>
      <c r="X684" s="9799"/>
      <c r="Y684" s="9801"/>
      <c r="Z684" s="9799"/>
      <c r="AA684" s="9800"/>
      <c r="AB684" s="9800"/>
      <c r="AC684" s="9800"/>
      <c r="AD684" s="9800"/>
      <c r="AE684" s="9800"/>
      <c r="AF684" s="9801"/>
      <c r="AG684" s="9799"/>
      <c r="AH684" s="9800"/>
      <c r="AI684" s="9800"/>
      <c r="AJ684" s="9800"/>
      <c r="AK684" s="9800"/>
      <c r="AL684" s="9800"/>
      <c r="AM684" s="9800"/>
      <c r="AN684" s="9801"/>
      <c r="AO684" s="9799"/>
      <c r="AP684" s="9800"/>
      <c r="AQ684" s="9800"/>
      <c r="AR684" s="9800"/>
      <c r="AS684" s="9800"/>
      <c r="AT684" s="9801"/>
      <c r="AU684" s="9821"/>
      <c r="AV684" s="9821"/>
      <c r="AW684" s="9821"/>
      <c r="AX684" s="9818"/>
      <c r="AY684" s="9820"/>
      <c r="AZ684" s="9821"/>
      <c r="BA684" s="9818"/>
      <c r="BB684" s="9819"/>
      <c r="BC684" s="9820"/>
      <c r="BD684" s="9822"/>
      <c r="BF684" s="8747"/>
      <c r="BG684" s="8747"/>
      <c r="BH684" s="8747"/>
      <c r="BI684" s="8747"/>
      <c r="BJ684" s="8747"/>
      <c r="BK684" s="8747"/>
      <c r="BL684" s="8747"/>
      <c r="BM684" s="8747"/>
      <c r="BN684" s="8747"/>
    </row>
    <row r="685" spans="1:66" ht="29.25" hidden="1" customHeight="1">
      <c r="A685" s="8745">
        <v>432</v>
      </c>
      <c r="B685" s="8746" t="s">
        <v>8008</v>
      </c>
      <c r="C685" s="13595"/>
      <c r="D685" s="12162" t="s">
        <v>10057</v>
      </c>
      <c r="E685" s="12163" t="s">
        <v>920</v>
      </c>
      <c r="F685" s="12163"/>
      <c r="G685" s="11870" t="s">
        <v>5035</v>
      </c>
      <c r="H685" s="12164" t="s">
        <v>682</v>
      </c>
      <c r="I685" s="12165">
        <v>10</v>
      </c>
      <c r="K685" s="9794"/>
      <c r="L685" s="9795"/>
      <c r="M685" s="9795"/>
      <c r="N685" s="9796"/>
      <c r="O685" s="9796"/>
      <c r="P685" s="9797"/>
      <c r="Q685" s="9798"/>
      <c r="R685" s="9799"/>
      <c r="S685" s="9800"/>
      <c r="T685" s="9801"/>
      <c r="U685" s="9798"/>
      <c r="V685" s="9799"/>
      <c r="W685" s="9801"/>
      <c r="X685" s="9799"/>
      <c r="Y685" s="9801"/>
      <c r="Z685" s="9799"/>
      <c r="AA685" s="9800"/>
      <c r="AB685" s="9800"/>
      <c r="AC685" s="9800"/>
      <c r="AD685" s="9800"/>
      <c r="AE685" s="9800"/>
      <c r="AF685" s="9801"/>
      <c r="AG685" s="9799"/>
      <c r="AH685" s="9800"/>
      <c r="AI685" s="9800"/>
      <c r="AJ685" s="9800"/>
      <c r="AK685" s="9800"/>
      <c r="AL685" s="9800"/>
      <c r="AM685" s="9800"/>
      <c r="AN685" s="9801"/>
      <c r="AO685" s="9799"/>
      <c r="AP685" s="9800"/>
      <c r="AQ685" s="9800"/>
      <c r="AR685" s="9800"/>
      <c r="AS685" s="9800"/>
      <c r="AT685" s="9801"/>
      <c r="AU685" s="9802"/>
      <c r="AV685" s="9802"/>
      <c r="AW685" s="9802"/>
      <c r="AX685" s="9794"/>
      <c r="AY685" s="9797"/>
      <c r="AZ685" s="9802"/>
      <c r="BA685" s="9794"/>
      <c r="BB685" s="9796"/>
      <c r="BC685" s="9797"/>
      <c r="BD685" s="8745"/>
      <c r="BF685" s="8747"/>
      <c r="BG685" s="8747"/>
      <c r="BH685" s="8747"/>
      <c r="BI685" s="8747"/>
      <c r="BJ685" s="8747"/>
      <c r="BK685" s="8747"/>
      <c r="BL685" s="8747"/>
      <c r="BM685" s="8747"/>
      <c r="BN685" s="8747"/>
    </row>
    <row r="686" spans="1:66" ht="29.25" hidden="1" customHeight="1">
      <c r="A686" s="8745">
        <v>433</v>
      </c>
      <c r="B686" s="8746" t="s">
        <v>8009</v>
      </c>
      <c r="C686" s="13595"/>
      <c r="D686" s="12162" t="s">
        <v>4337</v>
      </c>
      <c r="E686" s="12163" t="s">
        <v>918</v>
      </c>
      <c r="F686" s="12163"/>
      <c r="G686" s="11870" t="s">
        <v>5036</v>
      </c>
      <c r="H686" s="12164" t="s">
        <v>921</v>
      </c>
      <c r="I686" s="12165">
        <v>1</v>
      </c>
      <c r="K686" s="9794"/>
      <c r="L686" s="9795"/>
      <c r="M686" s="9795"/>
      <c r="N686" s="9796"/>
      <c r="O686" s="9796"/>
      <c r="P686" s="9797"/>
      <c r="Q686" s="9798"/>
      <c r="R686" s="9799"/>
      <c r="S686" s="9800"/>
      <c r="T686" s="9801"/>
      <c r="U686" s="9798"/>
      <c r="V686" s="9799"/>
      <c r="W686" s="9801"/>
      <c r="X686" s="9799"/>
      <c r="Y686" s="9801"/>
      <c r="Z686" s="9799"/>
      <c r="AA686" s="9800"/>
      <c r="AB686" s="9800"/>
      <c r="AC686" s="9800"/>
      <c r="AD686" s="9800"/>
      <c r="AE686" s="9800"/>
      <c r="AF686" s="9801"/>
      <c r="AG686" s="9799"/>
      <c r="AH686" s="9800"/>
      <c r="AI686" s="9800"/>
      <c r="AJ686" s="9800"/>
      <c r="AK686" s="9800"/>
      <c r="AL686" s="9800"/>
      <c r="AM686" s="9800"/>
      <c r="AN686" s="9801"/>
      <c r="AO686" s="9799"/>
      <c r="AP686" s="9800"/>
      <c r="AQ686" s="9800"/>
      <c r="AR686" s="9800"/>
      <c r="AS686" s="9800"/>
      <c r="AT686" s="9801"/>
      <c r="AU686" s="9802"/>
      <c r="AV686" s="9802"/>
      <c r="AW686" s="9802"/>
      <c r="AX686" s="9794"/>
      <c r="AY686" s="9797"/>
      <c r="AZ686" s="9802"/>
      <c r="BA686" s="9794"/>
      <c r="BB686" s="9796"/>
      <c r="BC686" s="9797"/>
      <c r="BD686" s="8745"/>
      <c r="BF686" s="8747"/>
      <c r="BG686" s="8747"/>
      <c r="BH686" s="8747"/>
      <c r="BI686" s="8747"/>
      <c r="BJ686" s="8747"/>
      <c r="BK686" s="8747"/>
      <c r="BL686" s="8747"/>
      <c r="BM686" s="8747"/>
      <c r="BN686" s="8747"/>
    </row>
    <row r="687" spans="1:66" ht="29.25" hidden="1" customHeight="1">
      <c r="A687" s="13680">
        <v>434</v>
      </c>
      <c r="B687" s="14105" t="s">
        <v>8010</v>
      </c>
      <c r="C687" s="13595"/>
      <c r="D687" s="12162" t="s">
        <v>2896</v>
      </c>
      <c r="E687" s="12163" t="s">
        <v>167</v>
      </c>
      <c r="F687" s="12163"/>
      <c r="G687" s="14106" t="s">
        <v>5037</v>
      </c>
      <c r="H687" s="13435" t="s">
        <v>923</v>
      </c>
      <c r="I687" s="14120">
        <v>20</v>
      </c>
      <c r="K687" s="9803"/>
      <c r="L687" s="9804"/>
      <c r="M687" s="9804"/>
      <c r="N687" s="9805"/>
      <c r="O687" s="9805"/>
      <c r="P687" s="9806"/>
      <c r="Q687" s="9807"/>
      <c r="R687" s="9808"/>
      <c r="S687" s="9809"/>
      <c r="T687" s="9810"/>
      <c r="U687" s="9807"/>
      <c r="V687" s="9808"/>
      <c r="W687" s="9810"/>
      <c r="X687" s="9808"/>
      <c r="Y687" s="9810"/>
      <c r="Z687" s="9808"/>
      <c r="AA687" s="9809"/>
      <c r="AB687" s="9809"/>
      <c r="AC687" s="9809"/>
      <c r="AD687" s="9809"/>
      <c r="AE687" s="9809"/>
      <c r="AF687" s="9810"/>
      <c r="AG687" s="9808"/>
      <c r="AH687" s="9809"/>
      <c r="AI687" s="9809"/>
      <c r="AJ687" s="9809"/>
      <c r="AK687" s="9809"/>
      <c r="AL687" s="9809"/>
      <c r="AM687" s="9809"/>
      <c r="AN687" s="9810"/>
      <c r="AO687" s="9808"/>
      <c r="AP687" s="9809"/>
      <c r="AQ687" s="9809"/>
      <c r="AR687" s="9809"/>
      <c r="AS687" s="9809"/>
      <c r="AT687" s="9810"/>
      <c r="AU687" s="9811"/>
      <c r="AV687" s="9811"/>
      <c r="AW687" s="9811"/>
      <c r="AX687" s="9803"/>
      <c r="AY687" s="9806"/>
      <c r="AZ687" s="9811"/>
      <c r="BA687" s="9803"/>
      <c r="BB687" s="9805"/>
      <c r="BC687" s="9806"/>
      <c r="BD687" s="9812"/>
      <c r="BF687" s="14498"/>
      <c r="BG687" s="14498"/>
      <c r="BH687" s="14498"/>
      <c r="BI687" s="14498"/>
      <c r="BJ687" s="14498"/>
      <c r="BK687" s="8747"/>
      <c r="BL687" s="14498"/>
      <c r="BM687" s="14498"/>
      <c r="BN687" s="14498"/>
    </row>
    <row r="688" spans="1:66" ht="29.25" hidden="1" customHeight="1" thickBot="1">
      <c r="A688" s="13717"/>
      <c r="B688" s="14118"/>
      <c r="C688" s="13595"/>
      <c r="D688" s="12168" t="s">
        <v>10194</v>
      </c>
      <c r="E688" s="12169"/>
      <c r="F688" s="12170" t="s">
        <v>733</v>
      </c>
      <c r="G688" s="14119"/>
      <c r="H688" s="13471"/>
      <c r="I688" s="14139"/>
      <c r="K688" s="9823"/>
      <c r="L688" s="9824"/>
      <c r="M688" s="9824"/>
      <c r="N688" s="9825"/>
      <c r="O688" s="9825"/>
      <c r="P688" s="9826"/>
      <c r="Q688" s="9827"/>
      <c r="R688" s="9828"/>
      <c r="S688" s="9829"/>
      <c r="T688" s="9830"/>
      <c r="U688" s="9827"/>
      <c r="V688" s="9828"/>
      <c r="W688" s="9830"/>
      <c r="X688" s="9828"/>
      <c r="Y688" s="9830"/>
      <c r="Z688" s="9828"/>
      <c r="AA688" s="9829"/>
      <c r="AB688" s="9829"/>
      <c r="AC688" s="9829"/>
      <c r="AD688" s="9829"/>
      <c r="AE688" s="9829"/>
      <c r="AF688" s="9830"/>
      <c r="AG688" s="9828"/>
      <c r="AH688" s="9829"/>
      <c r="AI688" s="9829"/>
      <c r="AJ688" s="9829"/>
      <c r="AK688" s="9829"/>
      <c r="AL688" s="9829"/>
      <c r="AM688" s="9829"/>
      <c r="AN688" s="9830"/>
      <c r="AO688" s="9828"/>
      <c r="AP688" s="9829"/>
      <c r="AQ688" s="9829"/>
      <c r="AR688" s="9829"/>
      <c r="AS688" s="9829"/>
      <c r="AT688" s="9830"/>
      <c r="AU688" s="9831"/>
      <c r="AV688" s="9831"/>
      <c r="AW688" s="9831"/>
      <c r="AX688" s="9823"/>
      <c r="AY688" s="9826"/>
      <c r="AZ688" s="9831"/>
      <c r="BA688" s="9823"/>
      <c r="BB688" s="9825"/>
      <c r="BC688" s="9826"/>
      <c r="BD688" s="9832"/>
      <c r="BF688" s="14499"/>
      <c r="BG688" s="14499"/>
      <c r="BH688" s="14499"/>
      <c r="BI688" s="14499"/>
      <c r="BJ688" s="14499"/>
      <c r="BK688" s="8760"/>
      <c r="BL688" s="14499"/>
      <c r="BM688" s="14499"/>
      <c r="BN688" s="14499"/>
    </row>
    <row r="689" spans="1:66" ht="29.25" hidden="1" customHeight="1">
      <c r="A689" s="9771">
        <v>435</v>
      </c>
      <c r="B689" s="9772" t="s">
        <v>8011</v>
      </c>
      <c r="C689" s="13595"/>
      <c r="D689" s="11914" t="s">
        <v>10063</v>
      </c>
      <c r="E689" s="12171" t="s">
        <v>724</v>
      </c>
      <c r="F689" s="7820" t="s">
        <v>10077</v>
      </c>
      <c r="G689" s="12153" t="s">
        <v>5038</v>
      </c>
      <c r="H689" s="12154" t="s">
        <v>928</v>
      </c>
      <c r="I689" s="12172">
        <v>1</v>
      </c>
      <c r="K689" s="9833"/>
      <c r="L689" s="9834"/>
      <c r="M689" s="9834"/>
      <c r="N689" s="9835"/>
      <c r="O689" s="9835"/>
      <c r="P689" s="9836"/>
      <c r="Q689" s="9837"/>
      <c r="R689" s="9838"/>
      <c r="S689" s="9839"/>
      <c r="T689" s="9840"/>
      <c r="U689" s="9837"/>
      <c r="V689" s="9838"/>
      <c r="W689" s="9840"/>
      <c r="X689" s="9838"/>
      <c r="Y689" s="9840"/>
      <c r="Z689" s="9838"/>
      <c r="AA689" s="9839"/>
      <c r="AB689" s="9839"/>
      <c r="AC689" s="9839"/>
      <c r="AD689" s="9839"/>
      <c r="AE689" s="9839"/>
      <c r="AF689" s="9840"/>
      <c r="AG689" s="9838"/>
      <c r="AH689" s="9839"/>
      <c r="AI689" s="9839"/>
      <c r="AJ689" s="9839"/>
      <c r="AK689" s="9839"/>
      <c r="AL689" s="9839"/>
      <c r="AM689" s="9839"/>
      <c r="AN689" s="9840"/>
      <c r="AO689" s="9838"/>
      <c r="AP689" s="9839"/>
      <c r="AQ689" s="9839"/>
      <c r="AR689" s="9839"/>
      <c r="AS689" s="9839"/>
      <c r="AT689" s="9840"/>
      <c r="AU689" s="9841"/>
      <c r="AV689" s="9841"/>
      <c r="AW689" s="9841"/>
      <c r="AX689" s="9833"/>
      <c r="AY689" s="9836"/>
      <c r="AZ689" s="9841"/>
      <c r="BA689" s="9833"/>
      <c r="BB689" s="9835"/>
      <c r="BC689" s="9836"/>
      <c r="BD689" s="9842"/>
      <c r="BF689" s="8929"/>
      <c r="BG689" s="8929"/>
      <c r="BH689" s="8929"/>
      <c r="BI689" s="8929"/>
      <c r="BJ689" s="8929"/>
      <c r="BK689" s="8929"/>
      <c r="BL689" s="8929"/>
      <c r="BM689" s="8929"/>
      <c r="BN689" s="8929"/>
    </row>
    <row r="690" spans="1:66" ht="29.25" hidden="1" customHeight="1">
      <c r="A690" s="13648">
        <v>436</v>
      </c>
      <c r="B690" s="13884" t="s">
        <v>8012</v>
      </c>
      <c r="C690" s="13595"/>
      <c r="D690" s="11915" t="s">
        <v>4305</v>
      </c>
      <c r="E690" s="11814" t="s">
        <v>885</v>
      </c>
      <c r="F690" s="7822"/>
      <c r="G690" s="13930" t="s">
        <v>5039</v>
      </c>
      <c r="H690" s="13395" t="s">
        <v>930</v>
      </c>
      <c r="I690" s="14140">
        <v>0.3</v>
      </c>
      <c r="K690" s="9843"/>
      <c r="L690" s="9844"/>
      <c r="M690" s="9844"/>
      <c r="N690" s="9845"/>
      <c r="O690" s="9845"/>
      <c r="P690" s="9846"/>
      <c r="Q690" s="9847"/>
      <c r="R690" s="9848"/>
      <c r="S690" s="9849"/>
      <c r="T690" s="9850"/>
      <c r="U690" s="9847"/>
      <c r="V690" s="9848"/>
      <c r="W690" s="9850"/>
      <c r="X690" s="9848"/>
      <c r="Y690" s="9850"/>
      <c r="Z690" s="9848"/>
      <c r="AA690" s="9849"/>
      <c r="AB690" s="9849"/>
      <c r="AC690" s="9849"/>
      <c r="AD690" s="9849"/>
      <c r="AE690" s="9849"/>
      <c r="AF690" s="9850"/>
      <c r="AG690" s="9848"/>
      <c r="AH690" s="9849"/>
      <c r="AI690" s="9849"/>
      <c r="AJ690" s="9849"/>
      <c r="AK690" s="9849"/>
      <c r="AL690" s="9849"/>
      <c r="AM690" s="9849"/>
      <c r="AN690" s="9850"/>
      <c r="AO690" s="9848"/>
      <c r="AP690" s="9849"/>
      <c r="AQ690" s="9849"/>
      <c r="AR690" s="9849"/>
      <c r="AS690" s="9849"/>
      <c r="AT690" s="9850"/>
      <c r="AU690" s="9851"/>
      <c r="AV690" s="9851"/>
      <c r="AW690" s="9851"/>
      <c r="AX690" s="9843"/>
      <c r="AY690" s="9846"/>
      <c r="AZ690" s="9851"/>
      <c r="BA690" s="9843"/>
      <c r="BB690" s="9845"/>
      <c r="BC690" s="9846"/>
      <c r="BD690" s="9852"/>
      <c r="BF690" s="14439"/>
      <c r="BG690" s="14439"/>
      <c r="BH690" s="14439"/>
      <c r="BI690" s="14439"/>
      <c r="BJ690" s="14439"/>
      <c r="BK690" s="8932"/>
      <c r="BL690" s="14439"/>
      <c r="BM690" s="14439"/>
      <c r="BN690" s="14439"/>
    </row>
    <row r="691" spans="1:66" ht="29.25" hidden="1" customHeight="1">
      <c r="A691" s="13648"/>
      <c r="B691" s="13884"/>
      <c r="C691" s="13595"/>
      <c r="D691" s="11915" t="s">
        <v>10063</v>
      </c>
      <c r="E691" s="11814"/>
      <c r="F691" s="7822" t="s">
        <v>931</v>
      </c>
      <c r="G691" s="13930"/>
      <c r="H691" s="13395"/>
      <c r="I691" s="14140"/>
      <c r="K691" s="9843"/>
      <c r="L691" s="9844"/>
      <c r="M691" s="9844"/>
      <c r="N691" s="9845"/>
      <c r="O691" s="9845"/>
      <c r="P691" s="9846"/>
      <c r="Q691" s="9847"/>
      <c r="R691" s="9848"/>
      <c r="S691" s="9849"/>
      <c r="T691" s="9850"/>
      <c r="U691" s="9847"/>
      <c r="V691" s="9848"/>
      <c r="W691" s="9850"/>
      <c r="X691" s="9848"/>
      <c r="Y691" s="9850"/>
      <c r="Z691" s="9848"/>
      <c r="AA691" s="9849"/>
      <c r="AB691" s="9849"/>
      <c r="AC691" s="9849"/>
      <c r="AD691" s="9849"/>
      <c r="AE691" s="9849"/>
      <c r="AF691" s="9850"/>
      <c r="AG691" s="9848"/>
      <c r="AH691" s="9849"/>
      <c r="AI691" s="9849"/>
      <c r="AJ691" s="9849"/>
      <c r="AK691" s="9849"/>
      <c r="AL691" s="9849"/>
      <c r="AM691" s="9849"/>
      <c r="AN691" s="9850"/>
      <c r="AO691" s="9848"/>
      <c r="AP691" s="9849"/>
      <c r="AQ691" s="9849"/>
      <c r="AR691" s="9849"/>
      <c r="AS691" s="9849"/>
      <c r="AT691" s="9850"/>
      <c r="AU691" s="9851"/>
      <c r="AV691" s="9851"/>
      <c r="AW691" s="9851"/>
      <c r="AX691" s="9843"/>
      <c r="AY691" s="9846"/>
      <c r="AZ691" s="9851"/>
      <c r="BA691" s="9843"/>
      <c r="BB691" s="9845"/>
      <c r="BC691" s="9846"/>
      <c r="BD691" s="9852"/>
      <c r="BF691" s="14439"/>
      <c r="BG691" s="14439"/>
      <c r="BH691" s="14439"/>
      <c r="BI691" s="14439"/>
      <c r="BJ691" s="14439"/>
      <c r="BK691" s="8932"/>
      <c r="BL691" s="14439"/>
      <c r="BM691" s="14439"/>
      <c r="BN691" s="14439"/>
    </row>
    <row r="692" spans="1:66" ht="29.25" hidden="1" customHeight="1">
      <c r="A692" s="13648">
        <v>437</v>
      </c>
      <c r="B692" s="13884" t="s">
        <v>8013</v>
      </c>
      <c r="C692" s="13595"/>
      <c r="D692" s="11915" t="s">
        <v>10238</v>
      </c>
      <c r="E692" s="7822" t="s">
        <v>637</v>
      </c>
      <c r="F692" s="7822"/>
      <c r="G692" s="13930" t="s">
        <v>5040</v>
      </c>
      <c r="H692" s="13395" t="s">
        <v>932</v>
      </c>
      <c r="I692" s="13971">
        <v>0.08</v>
      </c>
      <c r="K692" s="8941"/>
      <c r="L692" s="8920"/>
      <c r="M692" s="8920"/>
      <c r="N692" s="8942"/>
      <c r="O692" s="8942"/>
      <c r="P692" s="8943"/>
      <c r="Q692" s="8923"/>
      <c r="R692" s="8924"/>
      <c r="S692" s="8925"/>
      <c r="T692" s="8926"/>
      <c r="U692" s="8923"/>
      <c r="V692" s="8924"/>
      <c r="W692" s="8926"/>
      <c r="X692" s="8924"/>
      <c r="Y692" s="8926"/>
      <c r="Z692" s="8924"/>
      <c r="AA692" s="8925"/>
      <c r="AB692" s="8925"/>
      <c r="AC692" s="8925"/>
      <c r="AD692" s="8925"/>
      <c r="AE692" s="8925"/>
      <c r="AF692" s="8926"/>
      <c r="AG692" s="8924"/>
      <c r="AH692" s="8925"/>
      <c r="AI692" s="8925"/>
      <c r="AJ692" s="8925"/>
      <c r="AK692" s="8925"/>
      <c r="AL692" s="8925"/>
      <c r="AM692" s="8925"/>
      <c r="AN692" s="8926"/>
      <c r="AO692" s="8924"/>
      <c r="AP692" s="8925"/>
      <c r="AQ692" s="8925"/>
      <c r="AR692" s="8925"/>
      <c r="AS692" s="8925"/>
      <c r="AT692" s="8926"/>
      <c r="AU692" s="8944"/>
      <c r="AV692" s="8944"/>
      <c r="AW692" s="8944"/>
      <c r="AX692" s="8941"/>
      <c r="AY692" s="8943"/>
      <c r="AZ692" s="8944"/>
      <c r="BA692" s="8941"/>
      <c r="BB692" s="8942"/>
      <c r="BC692" s="8943"/>
      <c r="BD692" s="8945"/>
      <c r="BF692" s="14439"/>
      <c r="BG692" s="14439"/>
      <c r="BH692" s="14439"/>
      <c r="BI692" s="14439"/>
      <c r="BJ692" s="14439"/>
      <c r="BK692" s="8932"/>
      <c r="BL692" s="14439"/>
      <c r="BM692" s="14439"/>
      <c r="BN692" s="14439"/>
    </row>
    <row r="693" spans="1:66" ht="29.25" hidden="1" customHeight="1">
      <c r="A693" s="13648"/>
      <c r="B693" s="13884"/>
      <c r="C693" s="13595"/>
      <c r="D693" s="11915" t="s">
        <v>10183</v>
      </c>
      <c r="E693" s="7822"/>
      <c r="F693" s="7822" t="s">
        <v>934</v>
      </c>
      <c r="G693" s="13930"/>
      <c r="H693" s="13395"/>
      <c r="I693" s="13971"/>
      <c r="K693" s="8941"/>
      <c r="L693" s="8920"/>
      <c r="M693" s="8920"/>
      <c r="N693" s="8942"/>
      <c r="O693" s="8942"/>
      <c r="P693" s="8943"/>
      <c r="Q693" s="8923"/>
      <c r="R693" s="8924"/>
      <c r="S693" s="8925"/>
      <c r="T693" s="8926"/>
      <c r="U693" s="8923"/>
      <c r="V693" s="8924"/>
      <c r="W693" s="8926"/>
      <c r="X693" s="8924"/>
      <c r="Y693" s="8926"/>
      <c r="Z693" s="8924"/>
      <c r="AA693" s="8925"/>
      <c r="AB693" s="8925"/>
      <c r="AC693" s="8925"/>
      <c r="AD693" s="8925"/>
      <c r="AE693" s="8925"/>
      <c r="AF693" s="8926"/>
      <c r="AG693" s="8924"/>
      <c r="AH693" s="8925"/>
      <c r="AI693" s="8925"/>
      <c r="AJ693" s="8925"/>
      <c r="AK693" s="8925"/>
      <c r="AL693" s="8925"/>
      <c r="AM693" s="8925"/>
      <c r="AN693" s="8926"/>
      <c r="AO693" s="8924"/>
      <c r="AP693" s="8925"/>
      <c r="AQ693" s="8925"/>
      <c r="AR693" s="8925"/>
      <c r="AS693" s="8925"/>
      <c r="AT693" s="8926"/>
      <c r="AU693" s="8944"/>
      <c r="AV693" s="8944"/>
      <c r="AW693" s="8944"/>
      <c r="AX693" s="8941"/>
      <c r="AY693" s="8943"/>
      <c r="AZ693" s="8944"/>
      <c r="BA693" s="8941"/>
      <c r="BB693" s="8942"/>
      <c r="BC693" s="8943"/>
      <c r="BD693" s="8945"/>
      <c r="BF693" s="14439"/>
      <c r="BG693" s="14439"/>
      <c r="BH693" s="14439"/>
      <c r="BI693" s="14439"/>
      <c r="BJ693" s="14439"/>
      <c r="BK693" s="8932"/>
      <c r="BL693" s="14439"/>
      <c r="BM693" s="14439"/>
      <c r="BN693" s="14439"/>
    </row>
    <row r="694" spans="1:66" ht="29.25" hidden="1" customHeight="1">
      <c r="A694" s="13648">
        <v>438</v>
      </c>
      <c r="B694" s="13884" t="s">
        <v>8014</v>
      </c>
      <c r="C694" s="13595"/>
      <c r="D694" s="11915" t="s">
        <v>4305</v>
      </c>
      <c r="E694" s="11814" t="s">
        <v>885</v>
      </c>
      <c r="F694" s="7822"/>
      <c r="G694" s="13930" t="s">
        <v>5041</v>
      </c>
      <c r="H694" s="13395" t="s">
        <v>936</v>
      </c>
      <c r="I694" s="13975">
        <v>5</v>
      </c>
      <c r="K694" s="8919"/>
      <c r="L694" s="8920"/>
      <c r="M694" s="8920"/>
      <c r="N694" s="8921"/>
      <c r="O694" s="8921"/>
      <c r="P694" s="8922"/>
      <c r="Q694" s="8923"/>
      <c r="R694" s="8924"/>
      <c r="S694" s="8925"/>
      <c r="T694" s="8926"/>
      <c r="U694" s="8923"/>
      <c r="V694" s="8924"/>
      <c r="W694" s="8926"/>
      <c r="X694" s="8924"/>
      <c r="Y694" s="8926"/>
      <c r="Z694" s="8924"/>
      <c r="AA694" s="8925"/>
      <c r="AB694" s="8925"/>
      <c r="AC694" s="8925"/>
      <c r="AD694" s="8925"/>
      <c r="AE694" s="8925"/>
      <c r="AF694" s="8926"/>
      <c r="AG694" s="8924"/>
      <c r="AH694" s="8925"/>
      <c r="AI694" s="8925"/>
      <c r="AJ694" s="8925"/>
      <c r="AK694" s="8925"/>
      <c r="AL694" s="8925"/>
      <c r="AM694" s="8925"/>
      <c r="AN694" s="8926"/>
      <c r="AO694" s="8924"/>
      <c r="AP694" s="8925"/>
      <c r="AQ694" s="8925"/>
      <c r="AR694" s="8925"/>
      <c r="AS694" s="8925"/>
      <c r="AT694" s="8926"/>
      <c r="AU694" s="8927"/>
      <c r="AV694" s="8927"/>
      <c r="AW694" s="8927"/>
      <c r="AX694" s="8919"/>
      <c r="AY694" s="8922"/>
      <c r="AZ694" s="8927"/>
      <c r="BA694" s="8919"/>
      <c r="BB694" s="8921"/>
      <c r="BC694" s="8922"/>
      <c r="BD694" s="8928"/>
      <c r="BF694" s="14439"/>
      <c r="BG694" s="14439"/>
      <c r="BH694" s="14439"/>
      <c r="BI694" s="14439"/>
      <c r="BJ694" s="14439"/>
      <c r="BK694" s="8932"/>
      <c r="BL694" s="14439"/>
      <c r="BM694" s="14439"/>
      <c r="BN694" s="14439"/>
    </row>
    <row r="695" spans="1:66" ht="29.25" hidden="1" customHeight="1">
      <c r="A695" s="13648"/>
      <c r="B695" s="13884"/>
      <c r="C695" s="13595"/>
      <c r="D695" s="11915" t="s">
        <v>2896</v>
      </c>
      <c r="E695" s="11814"/>
      <c r="F695" s="7822" t="s">
        <v>684</v>
      </c>
      <c r="G695" s="13930"/>
      <c r="H695" s="13395"/>
      <c r="I695" s="13975"/>
      <c r="K695" s="8919"/>
      <c r="L695" s="8920"/>
      <c r="M695" s="8920"/>
      <c r="N695" s="8921"/>
      <c r="O695" s="8921"/>
      <c r="P695" s="8922"/>
      <c r="Q695" s="8923"/>
      <c r="R695" s="8924"/>
      <c r="S695" s="8925"/>
      <c r="T695" s="8926"/>
      <c r="U695" s="8923"/>
      <c r="V695" s="8924"/>
      <c r="W695" s="8926"/>
      <c r="X695" s="8924"/>
      <c r="Y695" s="8926"/>
      <c r="Z695" s="8924"/>
      <c r="AA695" s="8925"/>
      <c r="AB695" s="8925"/>
      <c r="AC695" s="8925"/>
      <c r="AD695" s="8925"/>
      <c r="AE695" s="8925"/>
      <c r="AF695" s="8926"/>
      <c r="AG695" s="8924"/>
      <c r="AH695" s="8925"/>
      <c r="AI695" s="8925"/>
      <c r="AJ695" s="8925"/>
      <c r="AK695" s="8925"/>
      <c r="AL695" s="8925"/>
      <c r="AM695" s="8925"/>
      <c r="AN695" s="8926"/>
      <c r="AO695" s="8924"/>
      <c r="AP695" s="8925"/>
      <c r="AQ695" s="8925"/>
      <c r="AR695" s="8925"/>
      <c r="AS695" s="8925"/>
      <c r="AT695" s="8926"/>
      <c r="AU695" s="8927"/>
      <c r="AV695" s="8927"/>
      <c r="AW695" s="8927"/>
      <c r="AX695" s="8919"/>
      <c r="AY695" s="8922"/>
      <c r="AZ695" s="8927"/>
      <c r="BA695" s="8919"/>
      <c r="BB695" s="8921"/>
      <c r="BC695" s="8922"/>
      <c r="BD695" s="8928"/>
      <c r="BF695" s="14439"/>
      <c r="BG695" s="14439"/>
      <c r="BH695" s="14439"/>
      <c r="BI695" s="14439"/>
      <c r="BJ695" s="14439"/>
      <c r="BK695" s="8932"/>
      <c r="BL695" s="14439"/>
      <c r="BM695" s="14439"/>
      <c r="BN695" s="14439"/>
    </row>
    <row r="696" spans="1:66" ht="29.25" hidden="1" customHeight="1">
      <c r="A696" s="13648"/>
      <c r="B696" s="13884"/>
      <c r="C696" s="13595"/>
      <c r="D696" s="11915" t="s">
        <v>10063</v>
      </c>
      <c r="E696" s="11814"/>
      <c r="F696" s="7822" t="s">
        <v>10239</v>
      </c>
      <c r="G696" s="13930"/>
      <c r="H696" s="13395"/>
      <c r="I696" s="13975"/>
      <c r="K696" s="8919"/>
      <c r="L696" s="8920"/>
      <c r="M696" s="8920"/>
      <c r="N696" s="8921"/>
      <c r="O696" s="8921"/>
      <c r="P696" s="8922"/>
      <c r="Q696" s="8923"/>
      <c r="R696" s="8924"/>
      <c r="S696" s="8925"/>
      <c r="T696" s="8926"/>
      <c r="U696" s="8923"/>
      <c r="V696" s="8924"/>
      <c r="W696" s="8926"/>
      <c r="X696" s="8924"/>
      <c r="Y696" s="8926"/>
      <c r="Z696" s="8924"/>
      <c r="AA696" s="8925"/>
      <c r="AB696" s="8925"/>
      <c r="AC696" s="8925"/>
      <c r="AD696" s="8925"/>
      <c r="AE696" s="8925"/>
      <c r="AF696" s="8926"/>
      <c r="AG696" s="8924"/>
      <c r="AH696" s="8925"/>
      <c r="AI696" s="8925"/>
      <c r="AJ696" s="8925"/>
      <c r="AK696" s="8925"/>
      <c r="AL696" s="8925"/>
      <c r="AM696" s="8925"/>
      <c r="AN696" s="8926"/>
      <c r="AO696" s="8924"/>
      <c r="AP696" s="8925"/>
      <c r="AQ696" s="8925"/>
      <c r="AR696" s="8925"/>
      <c r="AS696" s="8925"/>
      <c r="AT696" s="8926"/>
      <c r="AU696" s="8927"/>
      <c r="AV696" s="8927"/>
      <c r="AW696" s="8927"/>
      <c r="AX696" s="8919"/>
      <c r="AY696" s="8922"/>
      <c r="AZ696" s="8927"/>
      <c r="BA696" s="8919"/>
      <c r="BB696" s="8921"/>
      <c r="BC696" s="8922"/>
      <c r="BD696" s="8928"/>
      <c r="BF696" s="14439"/>
      <c r="BG696" s="14439"/>
      <c r="BH696" s="14439"/>
      <c r="BI696" s="14439"/>
      <c r="BJ696" s="14439"/>
      <c r="BK696" s="8932"/>
      <c r="BL696" s="14439"/>
      <c r="BM696" s="14439"/>
      <c r="BN696" s="14439"/>
    </row>
    <row r="697" spans="1:66" ht="29.25" hidden="1" customHeight="1">
      <c r="A697" s="13648"/>
      <c r="B697" s="13884"/>
      <c r="C697" s="13595"/>
      <c r="D697" s="11915" t="s">
        <v>329</v>
      </c>
      <c r="E697" s="11814"/>
      <c r="F697" s="7822" t="s">
        <v>329</v>
      </c>
      <c r="G697" s="13930"/>
      <c r="H697" s="13395"/>
      <c r="I697" s="13975"/>
      <c r="K697" s="8919"/>
      <c r="L697" s="8920"/>
      <c r="M697" s="8920"/>
      <c r="N697" s="8921"/>
      <c r="O697" s="8921"/>
      <c r="P697" s="8922"/>
      <c r="Q697" s="8923"/>
      <c r="R697" s="8924"/>
      <c r="S697" s="8925"/>
      <c r="T697" s="8926"/>
      <c r="U697" s="8923"/>
      <c r="V697" s="8924"/>
      <c r="W697" s="8926"/>
      <c r="X697" s="8924"/>
      <c r="Y697" s="8926"/>
      <c r="Z697" s="8924"/>
      <c r="AA697" s="8925"/>
      <c r="AB697" s="8925"/>
      <c r="AC697" s="8925"/>
      <c r="AD697" s="8925"/>
      <c r="AE697" s="8925"/>
      <c r="AF697" s="8926"/>
      <c r="AG697" s="8924"/>
      <c r="AH697" s="8925"/>
      <c r="AI697" s="8925"/>
      <c r="AJ697" s="8925"/>
      <c r="AK697" s="8925"/>
      <c r="AL697" s="8925"/>
      <c r="AM697" s="8925"/>
      <c r="AN697" s="8926"/>
      <c r="AO697" s="8924"/>
      <c r="AP697" s="8925"/>
      <c r="AQ697" s="8925"/>
      <c r="AR697" s="8925"/>
      <c r="AS697" s="8925"/>
      <c r="AT697" s="8926"/>
      <c r="AU697" s="8927"/>
      <c r="AV697" s="8927"/>
      <c r="AW697" s="8927"/>
      <c r="AX697" s="8919"/>
      <c r="AY697" s="8922"/>
      <c r="AZ697" s="8927"/>
      <c r="BA697" s="8919"/>
      <c r="BB697" s="8921"/>
      <c r="BC697" s="8922"/>
      <c r="BD697" s="8928"/>
      <c r="BF697" s="14439"/>
      <c r="BG697" s="14439"/>
      <c r="BH697" s="14439"/>
      <c r="BI697" s="14439"/>
      <c r="BJ697" s="14439"/>
      <c r="BK697" s="8932"/>
      <c r="BL697" s="14439"/>
      <c r="BM697" s="14439"/>
      <c r="BN697" s="14439"/>
    </row>
    <row r="698" spans="1:66" ht="29.25" hidden="1" customHeight="1">
      <c r="A698" s="13648">
        <v>439</v>
      </c>
      <c r="B698" s="13884" t="s">
        <v>8015</v>
      </c>
      <c r="C698" s="13595"/>
      <c r="D698" s="11915" t="s">
        <v>4305</v>
      </c>
      <c r="E698" s="11814" t="s">
        <v>885</v>
      </c>
      <c r="F698" s="7822"/>
      <c r="G698" s="13930" t="s">
        <v>5042</v>
      </c>
      <c r="H698" s="13395" t="s">
        <v>938</v>
      </c>
      <c r="I698" s="13975">
        <v>5</v>
      </c>
      <c r="K698" s="8919"/>
      <c r="L698" s="8920"/>
      <c r="M698" s="8920"/>
      <c r="N698" s="8921"/>
      <c r="O698" s="8921"/>
      <c r="P698" s="8922"/>
      <c r="Q698" s="8923"/>
      <c r="R698" s="8924"/>
      <c r="S698" s="8925"/>
      <c r="T698" s="8926"/>
      <c r="U698" s="8923"/>
      <c r="V698" s="8924"/>
      <c r="W698" s="8926"/>
      <c r="X698" s="8924"/>
      <c r="Y698" s="8926"/>
      <c r="Z698" s="8924"/>
      <c r="AA698" s="8925"/>
      <c r="AB698" s="8925"/>
      <c r="AC698" s="8925"/>
      <c r="AD698" s="8925"/>
      <c r="AE698" s="8925"/>
      <c r="AF698" s="8926"/>
      <c r="AG698" s="8924"/>
      <c r="AH698" s="8925"/>
      <c r="AI698" s="8925"/>
      <c r="AJ698" s="8925"/>
      <c r="AK698" s="8925"/>
      <c r="AL698" s="8925"/>
      <c r="AM698" s="8925"/>
      <c r="AN698" s="8926"/>
      <c r="AO698" s="8924"/>
      <c r="AP698" s="8925"/>
      <c r="AQ698" s="8925"/>
      <c r="AR698" s="8925"/>
      <c r="AS698" s="8925"/>
      <c r="AT698" s="8926"/>
      <c r="AU698" s="8927"/>
      <c r="AV698" s="8927"/>
      <c r="AW698" s="8927"/>
      <c r="AX698" s="8919"/>
      <c r="AY698" s="8922"/>
      <c r="AZ698" s="8927"/>
      <c r="BA698" s="8919"/>
      <c r="BB698" s="8921"/>
      <c r="BC698" s="8922"/>
      <c r="BD698" s="8928"/>
      <c r="BF698" s="14439"/>
      <c r="BG698" s="14439"/>
      <c r="BH698" s="14439"/>
      <c r="BI698" s="14439"/>
      <c r="BJ698" s="14439"/>
      <c r="BK698" s="8932"/>
      <c r="BL698" s="14439"/>
      <c r="BM698" s="14439"/>
      <c r="BN698" s="14439"/>
    </row>
    <row r="699" spans="1:66" ht="29.25" hidden="1" customHeight="1">
      <c r="A699" s="13648"/>
      <c r="B699" s="13884"/>
      <c r="C699" s="13595"/>
      <c r="D699" s="11915" t="s">
        <v>8575</v>
      </c>
      <c r="E699" s="11814"/>
      <c r="F699" s="7822" t="s">
        <v>940</v>
      </c>
      <c r="G699" s="13930"/>
      <c r="H699" s="13395"/>
      <c r="I699" s="13975"/>
      <c r="K699" s="8919"/>
      <c r="L699" s="8920"/>
      <c r="M699" s="8920"/>
      <c r="N699" s="8921"/>
      <c r="O699" s="8921"/>
      <c r="P699" s="8922"/>
      <c r="Q699" s="8923"/>
      <c r="R699" s="8924"/>
      <c r="S699" s="8925"/>
      <c r="T699" s="8926"/>
      <c r="U699" s="8923"/>
      <c r="V699" s="8924"/>
      <c r="W699" s="8926"/>
      <c r="X699" s="8924"/>
      <c r="Y699" s="8926"/>
      <c r="Z699" s="8924"/>
      <c r="AA699" s="8925"/>
      <c r="AB699" s="8925"/>
      <c r="AC699" s="8925"/>
      <c r="AD699" s="8925"/>
      <c r="AE699" s="8925"/>
      <c r="AF699" s="8926"/>
      <c r="AG699" s="8924"/>
      <c r="AH699" s="8925"/>
      <c r="AI699" s="8925"/>
      <c r="AJ699" s="8925"/>
      <c r="AK699" s="8925"/>
      <c r="AL699" s="8925"/>
      <c r="AM699" s="8925"/>
      <c r="AN699" s="8926"/>
      <c r="AO699" s="8924"/>
      <c r="AP699" s="8925"/>
      <c r="AQ699" s="8925"/>
      <c r="AR699" s="8925"/>
      <c r="AS699" s="8925"/>
      <c r="AT699" s="8926"/>
      <c r="AU699" s="8927"/>
      <c r="AV699" s="8927"/>
      <c r="AW699" s="8927"/>
      <c r="AX699" s="8919"/>
      <c r="AY699" s="8922"/>
      <c r="AZ699" s="8927"/>
      <c r="BA699" s="8919"/>
      <c r="BB699" s="8921"/>
      <c r="BC699" s="8922"/>
      <c r="BD699" s="8928"/>
      <c r="BF699" s="14439"/>
      <c r="BG699" s="14439"/>
      <c r="BH699" s="14439"/>
      <c r="BI699" s="14439"/>
      <c r="BJ699" s="14439"/>
      <c r="BK699" s="8932"/>
      <c r="BL699" s="14439"/>
      <c r="BM699" s="14439"/>
      <c r="BN699" s="14439"/>
    </row>
    <row r="700" spans="1:66" ht="29.25" hidden="1" customHeight="1">
      <c r="A700" s="13648">
        <v>440</v>
      </c>
      <c r="B700" s="13884" t="s">
        <v>8016</v>
      </c>
      <c r="C700" s="13595"/>
      <c r="D700" s="11915" t="s">
        <v>4305</v>
      </c>
      <c r="E700" s="11814" t="s">
        <v>885</v>
      </c>
      <c r="F700" s="7822"/>
      <c r="G700" s="13930" t="s">
        <v>5043</v>
      </c>
      <c r="H700" s="13395" t="s">
        <v>941</v>
      </c>
      <c r="I700" s="13975">
        <v>1</v>
      </c>
      <c r="K700" s="8919"/>
      <c r="L700" s="8920"/>
      <c r="M700" s="8920"/>
      <c r="N700" s="8921"/>
      <c r="O700" s="8921"/>
      <c r="P700" s="8922"/>
      <c r="Q700" s="8923"/>
      <c r="R700" s="8924"/>
      <c r="S700" s="8925"/>
      <c r="T700" s="8926"/>
      <c r="U700" s="8923"/>
      <c r="V700" s="8924"/>
      <c r="W700" s="8926"/>
      <c r="X700" s="8924"/>
      <c r="Y700" s="8926"/>
      <c r="Z700" s="8924"/>
      <c r="AA700" s="8925"/>
      <c r="AB700" s="8925"/>
      <c r="AC700" s="8925"/>
      <c r="AD700" s="8925"/>
      <c r="AE700" s="8925"/>
      <c r="AF700" s="8926"/>
      <c r="AG700" s="8924"/>
      <c r="AH700" s="8925"/>
      <c r="AI700" s="8925"/>
      <c r="AJ700" s="8925"/>
      <c r="AK700" s="8925"/>
      <c r="AL700" s="8925"/>
      <c r="AM700" s="8925"/>
      <c r="AN700" s="8926"/>
      <c r="AO700" s="8924"/>
      <c r="AP700" s="8925"/>
      <c r="AQ700" s="8925"/>
      <c r="AR700" s="8925"/>
      <c r="AS700" s="8925"/>
      <c r="AT700" s="8926"/>
      <c r="AU700" s="8927"/>
      <c r="AV700" s="8927"/>
      <c r="AW700" s="8927"/>
      <c r="AX700" s="8919"/>
      <c r="AY700" s="8922"/>
      <c r="AZ700" s="8927"/>
      <c r="BA700" s="8919"/>
      <c r="BB700" s="8921"/>
      <c r="BC700" s="8922"/>
      <c r="BD700" s="8928"/>
      <c r="BF700" s="14439"/>
      <c r="BG700" s="14439"/>
      <c r="BH700" s="14439"/>
      <c r="BI700" s="14439"/>
      <c r="BJ700" s="14439"/>
      <c r="BK700" s="8932"/>
      <c r="BL700" s="14439"/>
      <c r="BM700" s="14439"/>
      <c r="BN700" s="14439"/>
    </row>
    <row r="701" spans="1:66" ht="29.25" hidden="1" customHeight="1">
      <c r="A701" s="13648"/>
      <c r="B701" s="13884"/>
      <c r="C701" s="13595"/>
      <c r="D701" s="11915" t="s">
        <v>10063</v>
      </c>
      <c r="E701" s="11814"/>
      <c r="F701" s="7822" t="s">
        <v>942</v>
      </c>
      <c r="G701" s="13930"/>
      <c r="H701" s="13395"/>
      <c r="I701" s="13975"/>
      <c r="K701" s="8919"/>
      <c r="L701" s="8920"/>
      <c r="M701" s="8920"/>
      <c r="N701" s="8921"/>
      <c r="O701" s="8921"/>
      <c r="P701" s="8922"/>
      <c r="Q701" s="8923"/>
      <c r="R701" s="8924"/>
      <c r="S701" s="8925"/>
      <c r="T701" s="8926"/>
      <c r="U701" s="8923"/>
      <c r="V701" s="8924"/>
      <c r="W701" s="8926"/>
      <c r="X701" s="8924"/>
      <c r="Y701" s="8926"/>
      <c r="Z701" s="8924"/>
      <c r="AA701" s="8925"/>
      <c r="AB701" s="8925"/>
      <c r="AC701" s="8925"/>
      <c r="AD701" s="8925"/>
      <c r="AE701" s="8925"/>
      <c r="AF701" s="8926"/>
      <c r="AG701" s="8924"/>
      <c r="AH701" s="8925"/>
      <c r="AI701" s="8925"/>
      <c r="AJ701" s="8925"/>
      <c r="AK701" s="8925"/>
      <c r="AL701" s="8925"/>
      <c r="AM701" s="8925"/>
      <c r="AN701" s="8926"/>
      <c r="AO701" s="8924"/>
      <c r="AP701" s="8925"/>
      <c r="AQ701" s="8925"/>
      <c r="AR701" s="8925"/>
      <c r="AS701" s="8925"/>
      <c r="AT701" s="8926"/>
      <c r="AU701" s="8927"/>
      <c r="AV701" s="8927"/>
      <c r="AW701" s="8927"/>
      <c r="AX701" s="8919"/>
      <c r="AY701" s="8922"/>
      <c r="AZ701" s="8927"/>
      <c r="BA701" s="8919"/>
      <c r="BB701" s="8921"/>
      <c r="BC701" s="8922"/>
      <c r="BD701" s="8928"/>
      <c r="BF701" s="14439"/>
      <c r="BG701" s="14439"/>
      <c r="BH701" s="14439"/>
      <c r="BI701" s="14439"/>
      <c r="BJ701" s="14439"/>
      <c r="BK701" s="8932"/>
      <c r="BL701" s="14439"/>
      <c r="BM701" s="14439"/>
      <c r="BN701" s="14439"/>
    </row>
    <row r="702" spans="1:66" ht="29.25" hidden="1" customHeight="1">
      <c r="A702" s="13648">
        <v>441</v>
      </c>
      <c r="B702" s="13884" t="s">
        <v>8017</v>
      </c>
      <c r="C702" s="13595"/>
      <c r="D702" s="11915" t="s">
        <v>4305</v>
      </c>
      <c r="E702" s="11814" t="s">
        <v>885</v>
      </c>
      <c r="F702" s="7822"/>
      <c r="G702" s="13930" t="s">
        <v>5044</v>
      </c>
      <c r="H702" s="13395" t="s">
        <v>944</v>
      </c>
      <c r="I702" s="13975">
        <v>2</v>
      </c>
      <c r="K702" s="8919"/>
      <c r="L702" s="8920"/>
      <c r="M702" s="8920"/>
      <c r="N702" s="8921"/>
      <c r="O702" s="8921"/>
      <c r="P702" s="8922"/>
      <c r="Q702" s="8923"/>
      <c r="R702" s="8924"/>
      <c r="S702" s="8925"/>
      <c r="T702" s="8926"/>
      <c r="U702" s="8923"/>
      <c r="V702" s="8924"/>
      <c r="W702" s="8926"/>
      <c r="X702" s="8924"/>
      <c r="Y702" s="8926"/>
      <c r="Z702" s="8924"/>
      <c r="AA702" s="8925"/>
      <c r="AB702" s="8925"/>
      <c r="AC702" s="8925"/>
      <c r="AD702" s="8925"/>
      <c r="AE702" s="8925"/>
      <c r="AF702" s="8926"/>
      <c r="AG702" s="8924"/>
      <c r="AH702" s="8925"/>
      <c r="AI702" s="8925"/>
      <c r="AJ702" s="8925"/>
      <c r="AK702" s="8925"/>
      <c r="AL702" s="8925"/>
      <c r="AM702" s="8925"/>
      <c r="AN702" s="8926"/>
      <c r="AO702" s="8924"/>
      <c r="AP702" s="8925"/>
      <c r="AQ702" s="8925"/>
      <c r="AR702" s="8925"/>
      <c r="AS702" s="8925"/>
      <c r="AT702" s="8926"/>
      <c r="AU702" s="8927"/>
      <c r="AV702" s="8927"/>
      <c r="AW702" s="8927"/>
      <c r="AX702" s="8919"/>
      <c r="AY702" s="8922"/>
      <c r="AZ702" s="8927"/>
      <c r="BA702" s="8919"/>
      <c r="BB702" s="8921"/>
      <c r="BC702" s="8922"/>
      <c r="BD702" s="8928"/>
      <c r="BF702" s="14439"/>
      <c r="BG702" s="14439"/>
      <c r="BH702" s="14439"/>
      <c r="BI702" s="14439"/>
      <c r="BJ702" s="14439"/>
      <c r="BK702" s="8932"/>
      <c r="BL702" s="14439"/>
      <c r="BM702" s="14439"/>
      <c r="BN702" s="14439"/>
    </row>
    <row r="703" spans="1:66" ht="29.25" hidden="1" customHeight="1">
      <c r="A703" s="13648"/>
      <c r="B703" s="13884"/>
      <c r="C703" s="13595"/>
      <c r="D703" s="11915" t="s">
        <v>10063</v>
      </c>
      <c r="E703" s="11814"/>
      <c r="F703" s="7822" t="s">
        <v>10240</v>
      </c>
      <c r="G703" s="13930"/>
      <c r="H703" s="13395"/>
      <c r="I703" s="13975"/>
      <c r="K703" s="8919"/>
      <c r="L703" s="8920"/>
      <c r="M703" s="8920"/>
      <c r="N703" s="8921"/>
      <c r="O703" s="8921"/>
      <c r="P703" s="8922"/>
      <c r="Q703" s="8923"/>
      <c r="R703" s="8924"/>
      <c r="S703" s="8925"/>
      <c r="T703" s="8926"/>
      <c r="U703" s="8923"/>
      <c r="V703" s="8924"/>
      <c r="W703" s="8926"/>
      <c r="X703" s="8924"/>
      <c r="Y703" s="8926"/>
      <c r="Z703" s="8924"/>
      <c r="AA703" s="8925"/>
      <c r="AB703" s="8925"/>
      <c r="AC703" s="8925"/>
      <c r="AD703" s="8925"/>
      <c r="AE703" s="8925"/>
      <c r="AF703" s="8926"/>
      <c r="AG703" s="8924"/>
      <c r="AH703" s="8925"/>
      <c r="AI703" s="8925"/>
      <c r="AJ703" s="8925"/>
      <c r="AK703" s="8925"/>
      <c r="AL703" s="8925"/>
      <c r="AM703" s="8925"/>
      <c r="AN703" s="8926"/>
      <c r="AO703" s="8924"/>
      <c r="AP703" s="8925"/>
      <c r="AQ703" s="8925"/>
      <c r="AR703" s="8925"/>
      <c r="AS703" s="8925"/>
      <c r="AT703" s="8926"/>
      <c r="AU703" s="8927"/>
      <c r="AV703" s="8927"/>
      <c r="AW703" s="8927"/>
      <c r="AX703" s="8919"/>
      <c r="AY703" s="8922"/>
      <c r="AZ703" s="8927"/>
      <c r="BA703" s="8919"/>
      <c r="BB703" s="8921"/>
      <c r="BC703" s="8922"/>
      <c r="BD703" s="8928"/>
      <c r="BF703" s="14439"/>
      <c r="BG703" s="14439"/>
      <c r="BH703" s="14439"/>
      <c r="BI703" s="14439"/>
      <c r="BJ703" s="14439"/>
      <c r="BK703" s="8932"/>
      <c r="BL703" s="14439"/>
      <c r="BM703" s="14439"/>
      <c r="BN703" s="14439"/>
    </row>
    <row r="704" spans="1:66" ht="29.25" hidden="1" customHeight="1">
      <c r="A704" s="13648"/>
      <c r="B704" s="13884"/>
      <c r="C704" s="13595"/>
      <c r="D704" s="11915" t="s">
        <v>329</v>
      </c>
      <c r="E704" s="11814"/>
      <c r="F704" s="7822" t="s">
        <v>350</v>
      </c>
      <c r="G704" s="13930"/>
      <c r="H704" s="13395"/>
      <c r="I704" s="13975"/>
      <c r="K704" s="8919"/>
      <c r="L704" s="8920"/>
      <c r="M704" s="8920"/>
      <c r="N704" s="8921"/>
      <c r="O704" s="8921"/>
      <c r="P704" s="8922"/>
      <c r="Q704" s="8923"/>
      <c r="R704" s="8924"/>
      <c r="S704" s="8925"/>
      <c r="T704" s="8926"/>
      <c r="U704" s="8923"/>
      <c r="V704" s="8924"/>
      <c r="W704" s="8926"/>
      <c r="X704" s="8924"/>
      <c r="Y704" s="8926"/>
      <c r="Z704" s="8924"/>
      <c r="AA704" s="8925"/>
      <c r="AB704" s="8925"/>
      <c r="AC704" s="8925"/>
      <c r="AD704" s="8925"/>
      <c r="AE704" s="8925"/>
      <c r="AF704" s="8926"/>
      <c r="AG704" s="8924"/>
      <c r="AH704" s="8925"/>
      <c r="AI704" s="8925"/>
      <c r="AJ704" s="8925"/>
      <c r="AK704" s="8925"/>
      <c r="AL704" s="8925"/>
      <c r="AM704" s="8925"/>
      <c r="AN704" s="8926"/>
      <c r="AO704" s="8924"/>
      <c r="AP704" s="8925"/>
      <c r="AQ704" s="8925"/>
      <c r="AR704" s="8925"/>
      <c r="AS704" s="8925"/>
      <c r="AT704" s="8926"/>
      <c r="AU704" s="8927"/>
      <c r="AV704" s="8927"/>
      <c r="AW704" s="8927"/>
      <c r="AX704" s="8919"/>
      <c r="AY704" s="8922"/>
      <c r="AZ704" s="8927"/>
      <c r="BA704" s="8919"/>
      <c r="BB704" s="8921"/>
      <c r="BC704" s="8922"/>
      <c r="BD704" s="8928"/>
      <c r="BF704" s="14439"/>
      <c r="BG704" s="14439"/>
      <c r="BH704" s="14439"/>
      <c r="BI704" s="14439"/>
      <c r="BJ704" s="14439"/>
      <c r="BK704" s="8932"/>
      <c r="BL704" s="14439"/>
      <c r="BM704" s="14439"/>
      <c r="BN704" s="14439"/>
    </row>
    <row r="705" spans="1:66" ht="29.25" hidden="1" customHeight="1">
      <c r="A705" s="13648">
        <v>442</v>
      </c>
      <c r="B705" s="13884" t="s">
        <v>8018</v>
      </c>
      <c r="C705" s="13595"/>
      <c r="D705" s="11915" t="s">
        <v>4305</v>
      </c>
      <c r="E705" s="11814" t="s">
        <v>885</v>
      </c>
      <c r="F705" s="7822"/>
      <c r="G705" s="13930" t="s">
        <v>5045</v>
      </c>
      <c r="H705" s="13395" t="s">
        <v>945</v>
      </c>
      <c r="I705" s="13975">
        <v>1</v>
      </c>
      <c r="K705" s="8919"/>
      <c r="L705" s="8920"/>
      <c r="M705" s="8920"/>
      <c r="N705" s="8921"/>
      <c r="O705" s="8921"/>
      <c r="P705" s="8922"/>
      <c r="Q705" s="8923"/>
      <c r="R705" s="8924"/>
      <c r="S705" s="8925"/>
      <c r="T705" s="8926"/>
      <c r="U705" s="8923"/>
      <c r="V705" s="8924"/>
      <c r="W705" s="8926"/>
      <c r="X705" s="8924"/>
      <c r="Y705" s="8926"/>
      <c r="Z705" s="8924"/>
      <c r="AA705" s="8925"/>
      <c r="AB705" s="8925"/>
      <c r="AC705" s="8925"/>
      <c r="AD705" s="8925"/>
      <c r="AE705" s="8925"/>
      <c r="AF705" s="8926"/>
      <c r="AG705" s="8924"/>
      <c r="AH705" s="8925"/>
      <c r="AI705" s="8925"/>
      <c r="AJ705" s="8925"/>
      <c r="AK705" s="8925"/>
      <c r="AL705" s="8925"/>
      <c r="AM705" s="8925"/>
      <c r="AN705" s="8926"/>
      <c r="AO705" s="8924"/>
      <c r="AP705" s="8925"/>
      <c r="AQ705" s="8925"/>
      <c r="AR705" s="8925"/>
      <c r="AS705" s="8925"/>
      <c r="AT705" s="8926"/>
      <c r="AU705" s="8927"/>
      <c r="AV705" s="8927"/>
      <c r="AW705" s="8927"/>
      <c r="AX705" s="8919"/>
      <c r="AY705" s="8922"/>
      <c r="AZ705" s="8927"/>
      <c r="BA705" s="8919"/>
      <c r="BB705" s="8921"/>
      <c r="BC705" s="8922"/>
      <c r="BD705" s="8928"/>
      <c r="BF705" s="14439"/>
      <c r="BG705" s="14439"/>
      <c r="BH705" s="14439"/>
      <c r="BI705" s="14439"/>
      <c r="BJ705" s="14439"/>
      <c r="BK705" s="8932"/>
      <c r="BL705" s="14439"/>
      <c r="BM705" s="14439"/>
      <c r="BN705" s="14439"/>
    </row>
    <row r="706" spans="1:66" ht="29.25" hidden="1" customHeight="1">
      <c r="A706" s="13648"/>
      <c r="B706" s="13884"/>
      <c r="C706" s="13595"/>
      <c r="D706" s="11915" t="s">
        <v>10063</v>
      </c>
      <c r="E706" s="11814"/>
      <c r="F706" s="7822" t="s">
        <v>10240</v>
      </c>
      <c r="G706" s="13930"/>
      <c r="H706" s="13395"/>
      <c r="I706" s="13975"/>
      <c r="K706" s="8919"/>
      <c r="L706" s="8920"/>
      <c r="M706" s="8920"/>
      <c r="N706" s="8921"/>
      <c r="O706" s="8921"/>
      <c r="P706" s="8922"/>
      <c r="Q706" s="8923"/>
      <c r="R706" s="8924"/>
      <c r="S706" s="8925"/>
      <c r="T706" s="8926"/>
      <c r="U706" s="8923"/>
      <c r="V706" s="8924"/>
      <c r="W706" s="8926"/>
      <c r="X706" s="8924"/>
      <c r="Y706" s="8926"/>
      <c r="Z706" s="8924"/>
      <c r="AA706" s="8925"/>
      <c r="AB706" s="8925"/>
      <c r="AC706" s="8925"/>
      <c r="AD706" s="8925"/>
      <c r="AE706" s="8925"/>
      <c r="AF706" s="8926"/>
      <c r="AG706" s="8924"/>
      <c r="AH706" s="8925"/>
      <c r="AI706" s="8925"/>
      <c r="AJ706" s="8925"/>
      <c r="AK706" s="8925"/>
      <c r="AL706" s="8925"/>
      <c r="AM706" s="8925"/>
      <c r="AN706" s="8926"/>
      <c r="AO706" s="8924"/>
      <c r="AP706" s="8925"/>
      <c r="AQ706" s="8925"/>
      <c r="AR706" s="8925"/>
      <c r="AS706" s="8925"/>
      <c r="AT706" s="8926"/>
      <c r="AU706" s="8927"/>
      <c r="AV706" s="8927"/>
      <c r="AW706" s="8927"/>
      <c r="AX706" s="8919"/>
      <c r="AY706" s="8922"/>
      <c r="AZ706" s="8927"/>
      <c r="BA706" s="8919"/>
      <c r="BB706" s="8921"/>
      <c r="BC706" s="8922"/>
      <c r="BD706" s="8928"/>
      <c r="BF706" s="14439"/>
      <c r="BG706" s="14439"/>
      <c r="BH706" s="14439"/>
      <c r="BI706" s="14439"/>
      <c r="BJ706" s="14439"/>
      <c r="BK706" s="8932"/>
      <c r="BL706" s="14439"/>
      <c r="BM706" s="14439"/>
      <c r="BN706" s="14439"/>
    </row>
    <row r="707" spans="1:66" ht="29.25" hidden="1" customHeight="1">
      <c r="A707" s="13648"/>
      <c r="B707" s="13884"/>
      <c r="C707" s="13595"/>
      <c r="D707" s="11915" t="s">
        <v>329</v>
      </c>
      <c r="E707" s="11814"/>
      <c r="F707" s="7822" t="s">
        <v>329</v>
      </c>
      <c r="G707" s="13930"/>
      <c r="H707" s="13395"/>
      <c r="I707" s="13975"/>
      <c r="K707" s="8919"/>
      <c r="L707" s="8920"/>
      <c r="M707" s="8920"/>
      <c r="N707" s="8921"/>
      <c r="O707" s="8921"/>
      <c r="P707" s="8922"/>
      <c r="Q707" s="8923"/>
      <c r="R707" s="8924"/>
      <c r="S707" s="8925"/>
      <c r="T707" s="8926"/>
      <c r="U707" s="8923"/>
      <c r="V707" s="8924"/>
      <c r="W707" s="8926"/>
      <c r="X707" s="8924"/>
      <c r="Y707" s="8926"/>
      <c r="Z707" s="8924"/>
      <c r="AA707" s="8925"/>
      <c r="AB707" s="8925"/>
      <c r="AC707" s="8925"/>
      <c r="AD707" s="8925"/>
      <c r="AE707" s="8925"/>
      <c r="AF707" s="8926"/>
      <c r="AG707" s="8924"/>
      <c r="AH707" s="8925"/>
      <c r="AI707" s="8925"/>
      <c r="AJ707" s="8925"/>
      <c r="AK707" s="8925"/>
      <c r="AL707" s="8925"/>
      <c r="AM707" s="8925"/>
      <c r="AN707" s="8926"/>
      <c r="AO707" s="8924"/>
      <c r="AP707" s="8925"/>
      <c r="AQ707" s="8925"/>
      <c r="AR707" s="8925"/>
      <c r="AS707" s="8925"/>
      <c r="AT707" s="8926"/>
      <c r="AU707" s="8927"/>
      <c r="AV707" s="8927"/>
      <c r="AW707" s="8927"/>
      <c r="AX707" s="8919"/>
      <c r="AY707" s="8922"/>
      <c r="AZ707" s="8927"/>
      <c r="BA707" s="8919"/>
      <c r="BB707" s="8921"/>
      <c r="BC707" s="8922"/>
      <c r="BD707" s="8928"/>
      <c r="BF707" s="14439"/>
      <c r="BG707" s="14439"/>
      <c r="BH707" s="14439"/>
      <c r="BI707" s="14439"/>
      <c r="BJ707" s="14439"/>
      <c r="BK707" s="8932"/>
      <c r="BL707" s="14439"/>
      <c r="BM707" s="14439"/>
      <c r="BN707" s="14439"/>
    </row>
    <row r="708" spans="1:66" ht="29.25" hidden="1" customHeight="1">
      <c r="A708" s="13648">
        <v>443</v>
      </c>
      <c r="B708" s="13884" t="s">
        <v>8019</v>
      </c>
      <c r="C708" s="13595"/>
      <c r="D708" s="11915" t="s">
        <v>4305</v>
      </c>
      <c r="E708" s="11814" t="s">
        <v>885</v>
      </c>
      <c r="F708" s="7822"/>
      <c r="G708" s="13930" t="s">
        <v>5046</v>
      </c>
      <c r="H708" s="13395" t="s">
        <v>946</v>
      </c>
      <c r="I708" s="13975">
        <v>50</v>
      </c>
      <c r="K708" s="8919"/>
      <c r="L708" s="8920"/>
      <c r="M708" s="8920"/>
      <c r="N708" s="8921"/>
      <c r="O708" s="8921"/>
      <c r="P708" s="8922"/>
      <c r="Q708" s="8923"/>
      <c r="R708" s="8924"/>
      <c r="S708" s="8925"/>
      <c r="T708" s="8926"/>
      <c r="U708" s="8923"/>
      <c r="V708" s="8924"/>
      <c r="W708" s="8926"/>
      <c r="X708" s="8924"/>
      <c r="Y708" s="8926"/>
      <c r="Z708" s="8924"/>
      <c r="AA708" s="8925"/>
      <c r="AB708" s="8925"/>
      <c r="AC708" s="8925"/>
      <c r="AD708" s="8925"/>
      <c r="AE708" s="8925"/>
      <c r="AF708" s="8926"/>
      <c r="AG708" s="8924"/>
      <c r="AH708" s="8925"/>
      <c r="AI708" s="8925"/>
      <c r="AJ708" s="8925"/>
      <c r="AK708" s="8925"/>
      <c r="AL708" s="8925"/>
      <c r="AM708" s="8925"/>
      <c r="AN708" s="8926"/>
      <c r="AO708" s="8924"/>
      <c r="AP708" s="8925"/>
      <c r="AQ708" s="8925"/>
      <c r="AR708" s="8925"/>
      <c r="AS708" s="8925"/>
      <c r="AT708" s="8926"/>
      <c r="AU708" s="8927"/>
      <c r="AV708" s="8927"/>
      <c r="AW708" s="8927"/>
      <c r="AX708" s="8919"/>
      <c r="AY708" s="8922"/>
      <c r="AZ708" s="8927"/>
      <c r="BA708" s="8919"/>
      <c r="BB708" s="8921"/>
      <c r="BC708" s="8922"/>
      <c r="BD708" s="8928"/>
      <c r="BF708" s="14439"/>
      <c r="BG708" s="14439"/>
      <c r="BH708" s="14439"/>
      <c r="BI708" s="14439"/>
      <c r="BJ708" s="14439"/>
      <c r="BK708" s="8932"/>
      <c r="BL708" s="14439"/>
      <c r="BM708" s="14439"/>
      <c r="BN708" s="14439"/>
    </row>
    <row r="709" spans="1:66" ht="29.25" hidden="1" customHeight="1">
      <c r="A709" s="13648"/>
      <c r="B709" s="13884"/>
      <c r="C709" s="13595"/>
      <c r="D709" s="11915" t="s">
        <v>10063</v>
      </c>
      <c r="E709" s="11814"/>
      <c r="F709" s="7822" t="s">
        <v>10228</v>
      </c>
      <c r="G709" s="13930"/>
      <c r="H709" s="13395"/>
      <c r="I709" s="13975"/>
      <c r="K709" s="8919"/>
      <c r="L709" s="8920"/>
      <c r="M709" s="8920"/>
      <c r="N709" s="8921"/>
      <c r="O709" s="8921"/>
      <c r="P709" s="8922"/>
      <c r="Q709" s="8923"/>
      <c r="R709" s="8924"/>
      <c r="S709" s="8925"/>
      <c r="T709" s="8926"/>
      <c r="U709" s="8923"/>
      <c r="V709" s="8924"/>
      <c r="W709" s="8926"/>
      <c r="X709" s="8924"/>
      <c r="Y709" s="8926"/>
      <c r="Z709" s="8924"/>
      <c r="AA709" s="8925"/>
      <c r="AB709" s="8925"/>
      <c r="AC709" s="8925"/>
      <c r="AD709" s="8925"/>
      <c r="AE709" s="8925"/>
      <c r="AF709" s="8926"/>
      <c r="AG709" s="8924"/>
      <c r="AH709" s="8925"/>
      <c r="AI709" s="8925"/>
      <c r="AJ709" s="8925"/>
      <c r="AK709" s="8925"/>
      <c r="AL709" s="8925"/>
      <c r="AM709" s="8925"/>
      <c r="AN709" s="8926"/>
      <c r="AO709" s="8924"/>
      <c r="AP709" s="8925"/>
      <c r="AQ709" s="8925"/>
      <c r="AR709" s="8925"/>
      <c r="AS709" s="8925"/>
      <c r="AT709" s="8926"/>
      <c r="AU709" s="8927"/>
      <c r="AV709" s="8927"/>
      <c r="AW709" s="8927"/>
      <c r="AX709" s="8919"/>
      <c r="AY709" s="8922"/>
      <c r="AZ709" s="8927"/>
      <c r="BA709" s="8919"/>
      <c r="BB709" s="8921"/>
      <c r="BC709" s="8922"/>
      <c r="BD709" s="8928"/>
      <c r="BF709" s="14439"/>
      <c r="BG709" s="14439"/>
      <c r="BH709" s="14439"/>
      <c r="BI709" s="14439"/>
      <c r="BJ709" s="14439"/>
      <c r="BK709" s="8932"/>
      <c r="BL709" s="14439"/>
      <c r="BM709" s="14439"/>
      <c r="BN709" s="14439"/>
    </row>
    <row r="710" spans="1:66" ht="29.25" hidden="1" customHeight="1">
      <c r="A710" s="13648"/>
      <c r="B710" s="13884"/>
      <c r="C710" s="13595"/>
      <c r="D710" s="11915" t="s">
        <v>10185</v>
      </c>
      <c r="E710" s="11814"/>
      <c r="F710" s="7822" t="s">
        <v>10241</v>
      </c>
      <c r="G710" s="13930"/>
      <c r="H710" s="13395"/>
      <c r="I710" s="13975"/>
      <c r="K710" s="8919"/>
      <c r="L710" s="8920"/>
      <c r="M710" s="8920"/>
      <c r="N710" s="8921"/>
      <c r="O710" s="8921"/>
      <c r="P710" s="8922"/>
      <c r="Q710" s="8923"/>
      <c r="R710" s="8924"/>
      <c r="S710" s="8925"/>
      <c r="T710" s="8926"/>
      <c r="U710" s="8923"/>
      <c r="V710" s="8924"/>
      <c r="W710" s="8926"/>
      <c r="X710" s="8924"/>
      <c r="Y710" s="8926"/>
      <c r="Z710" s="8924"/>
      <c r="AA710" s="8925"/>
      <c r="AB710" s="8925"/>
      <c r="AC710" s="8925"/>
      <c r="AD710" s="8925"/>
      <c r="AE710" s="8925"/>
      <c r="AF710" s="8926"/>
      <c r="AG710" s="8924"/>
      <c r="AH710" s="8925"/>
      <c r="AI710" s="8925"/>
      <c r="AJ710" s="8925"/>
      <c r="AK710" s="8925"/>
      <c r="AL710" s="8925"/>
      <c r="AM710" s="8925"/>
      <c r="AN710" s="8926"/>
      <c r="AO710" s="8924"/>
      <c r="AP710" s="8925"/>
      <c r="AQ710" s="8925"/>
      <c r="AR710" s="8925"/>
      <c r="AS710" s="8925"/>
      <c r="AT710" s="8926"/>
      <c r="AU710" s="8927"/>
      <c r="AV710" s="8927"/>
      <c r="AW710" s="8927"/>
      <c r="AX710" s="8919"/>
      <c r="AY710" s="8922"/>
      <c r="AZ710" s="8927"/>
      <c r="BA710" s="8919"/>
      <c r="BB710" s="8921"/>
      <c r="BC710" s="8922"/>
      <c r="BD710" s="8928"/>
      <c r="BF710" s="14439"/>
      <c r="BG710" s="14439"/>
      <c r="BH710" s="14439"/>
      <c r="BI710" s="14439"/>
      <c r="BJ710" s="14439"/>
      <c r="BK710" s="8932"/>
      <c r="BL710" s="14439"/>
      <c r="BM710" s="14439"/>
      <c r="BN710" s="14439"/>
    </row>
    <row r="711" spans="1:66" ht="29.25" hidden="1" customHeight="1">
      <c r="A711" s="13648"/>
      <c r="B711" s="13884"/>
      <c r="C711" s="13595"/>
      <c r="D711" s="11915" t="s">
        <v>329</v>
      </c>
      <c r="E711" s="11814"/>
      <c r="F711" s="7822" t="s">
        <v>329</v>
      </c>
      <c r="G711" s="13930"/>
      <c r="H711" s="13395"/>
      <c r="I711" s="13975"/>
      <c r="K711" s="8919"/>
      <c r="L711" s="8920"/>
      <c r="M711" s="8920"/>
      <c r="N711" s="8921"/>
      <c r="O711" s="8921"/>
      <c r="P711" s="8922"/>
      <c r="Q711" s="8923"/>
      <c r="R711" s="8924"/>
      <c r="S711" s="8925"/>
      <c r="T711" s="8926"/>
      <c r="U711" s="8923"/>
      <c r="V711" s="8924"/>
      <c r="W711" s="8926"/>
      <c r="X711" s="8924"/>
      <c r="Y711" s="8926"/>
      <c r="Z711" s="8924"/>
      <c r="AA711" s="8925"/>
      <c r="AB711" s="8925"/>
      <c r="AC711" s="8925"/>
      <c r="AD711" s="8925"/>
      <c r="AE711" s="8925"/>
      <c r="AF711" s="8926"/>
      <c r="AG711" s="8924"/>
      <c r="AH711" s="8925"/>
      <c r="AI711" s="8925"/>
      <c r="AJ711" s="8925"/>
      <c r="AK711" s="8925"/>
      <c r="AL711" s="8925"/>
      <c r="AM711" s="8925"/>
      <c r="AN711" s="8926"/>
      <c r="AO711" s="8924"/>
      <c r="AP711" s="8925"/>
      <c r="AQ711" s="8925"/>
      <c r="AR711" s="8925"/>
      <c r="AS711" s="8925"/>
      <c r="AT711" s="8926"/>
      <c r="AU711" s="8927"/>
      <c r="AV711" s="8927"/>
      <c r="AW711" s="8927"/>
      <c r="AX711" s="8919"/>
      <c r="AY711" s="8922"/>
      <c r="AZ711" s="8927"/>
      <c r="BA711" s="8919"/>
      <c r="BB711" s="8921"/>
      <c r="BC711" s="8922"/>
      <c r="BD711" s="8928"/>
      <c r="BF711" s="14439"/>
      <c r="BG711" s="14439"/>
      <c r="BH711" s="14439"/>
      <c r="BI711" s="14439"/>
      <c r="BJ711" s="14439"/>
      <c r="BK711" s="8932"/>
      <c r="BL711" s="14439"/>
      <c r="BM711" s="14439"/>
      <c r="BN711" s="14439"/>
    </row>
    <row r="712" spans="1:66" ht="29.25" hidden="1" customHeight="1">
      <c r="A712" s="8930">
        <v>444</v>
      </c>
      <c r="B712" s="8931" t="s">
        <v>8020</v>
      </c>
      <c r="C712" s="13595"/>
      <c r="D712" s="11915" t="s">
        <v>4305</v>
      </c>
      <c r="E712" s="11814" t="s">
        <v>885</v>
      </c>
      <c r="F712" s="7822"/>
      <c r="G712" s="11917" t="s">
        <v>5047</v>
      </c>
      <c r="H712" s="11918" t="s">
        <v>947</v>
      </c>
      <c r="I712" s="12156">
        <v>50</v>
      </c>
      <c r="K712" s="8917"/>
      <c r="L712" s="8933"/>
      <c r="M712" s="8933"/>
      <c r="N712" s="8934"/>
      <c r="O712" s="8934"/>
      <c r="P712" s="8935"/>
      <c r="Q712" s="8936"/>
      <c r="R712" s="8937"/>
      <c r="S712" s="8938"/>
      <c r="T712" s="8939"/>
      <c r="U712" s="8936"/>
      <c r="V712" s="8937"/>
      <c r="W712" s="8939"/>
      <c r="X712" s="8937"/>
      <c r="Y712" s="8939"/>
      <c r="Z712" s="8937"/>
      <c r="AA712" s="8938"/>
      <c r="AB712" s="8938"/>
      <c r="AC712" s="8938"/>
      <c r="AD712" s="8938"/>
      <c r="AE712" s="8938"/>
      <c r="AF712" s="8939"/>
      <c r="AG712" s="8937"/>
      <c r="AH712" s="8938"/>
      <c r="AI712" s="8938"/>
      <c r="AJ712" s="8938"/>
      <c r="AK712" s="8938"/>
      <c r="AL712" s="8938"/>
      <c r="AM712" s="8938"/>
      <c r="AN712" s="8939"/>
      <c r="AO712" s="8937"/>
      <c r="AP712" s="8938"/>
      <c r="AQ712" s="8938"/>
      <c r="AR712" s="8938"/>
      <c r="AS712" s="8938"/>
      <c r="AT712" s="8939"/>
      <c r="AU712" s="8940"/>
      <c r="AV712" s="8940"/>
      <c r="AW712" s="8940"/>
      <c r="AX712" s="8917"/>
      <c r="AY712" s="8935"/>
      <c r="AZ712" s="8940"/>
      <c r="BA712" s="8917"/>
      <c r="BB712" s="8934"/>
      <c r="BC712" s="8935"/>
      <c r="BD712" s="8930"/>
      <c r="BF712" s="8932"/>
      <c r="BG712" s="8932"/>
      <c r="BH712" s="8932"/>
      <c r="BI712" s="8932"/>
      <c r="BJ712" s="8932"/>
      <c r="BK712" s="8932"/>
      <c r="BL712" s="8932"/>
      <c r="BM712" s="8932"/>
      <c r="BN712" s="8932"/>
    </row>
    <row r="713" spans="1:66" ht="29.25" hidden="1" customHeight="1">
      <c r="A713" s="13648">
        <v>445</v>
      </c>
      <c r="B713" s="13884" t="s">
        <v>8021</v>
      </c>
      <c r="C713" s="13595"/>
      <c r="D713" s="11915" t="s">
        <v>4305</v>
      </c>
      <c r="E713" s="11814" t="s">
        <v>885</v>
      </c>
      <c r="F713" s="7822"/>
      <c r="G713" s="13930" t="s">
        <v>5048</v>
      </c>
      <c r="H713" s="13395" t="s">
        <v>888</v>
      </c>
      <c r="I713" s="13975">
        <v>1</v>
      </c>
      <c r="K713" s="8919"/>
      <c r="L713" s="8920"/>
      <c r="M713" s="8920"/>
      <c r="N713" s="8921"/>
      <c r="O713" s="8921"/>
      <c r="P713" s="8922"/>
      <c r="Q713" s="8923"/>
      <c r="R713" s="8924"/>
      <c r="S713" s="8925"/>
      <c r="T713" s="8926"/>
      <c r="U713" s="8923"/>
      <c r="V713" s="8924"/>
      <c r="W713" s="8926"/>
      <c r="X713" s="8924"/>
      <c r="Y713" s="8926"/>
      <c r="Z713" s="8924"/>
      <c r="AA713" s="8925"/>
      <c r="AB713" s="8925"/>
      <c r="AC713" s="8925"/>
      <c r="AD713" s="8925"/>
      <c r="AE713" s="8925"/>
      <c r="AF713" s="8926"/>
      <c r="AG713" s="8924"/>
      <c r="AH713" s="8925"/>
      <c r="AI713" s="8925"/>
      <c r="AJ713" s="8925"/>
      <c r="AK713" s="8925"/>
      <c r="AL713" s="8925"/>
      <c r="AM713" s="8925"/>
      <c r="AN713" s="8926"/>
      <c r="AO713" s="8924"/>
      <c r="AP713" s="8925"/>
      <c r="AQ713" s="8925"/>
      <c r="AR713" s="8925"/>
      <c r="AS713" s="8925"/>
      <c r="AT713" s="8926"/>
      <c r="AU713" s="8927"/>
      <c r="AV713" s="8927"/>
      <c r="AW713" s="8927"/>
      <c r="AX713" s="8919"/>
      <c r="AY713" s="8922"/>
      <c r="AZ713" s="8927"/>
      <c r="BA713" s="8919"/>
      <c r="BB713" s="8921"/>
      <c r="BC713" s="8922"/>
      <c r="BD713" s="8928"/>
      <c r="BF713" s="14439"/>
      <c r="BG713" s="14439"/>
      <c r="BH713" s="14439"/>
      <c r="BI713" s="14439"/>
      <c r="BJ713" s="14439"/>
      <c r="BK713" s="8932"/>
      <c r="BL713" s="14439"/>
      <c r="BM713" s="14439"/>
      <c r="BN713" s="14439"/>
    </row>
    <row r="714" spans="1:66" ht="29.25" hidden="1" customHeight="1">
      <c r="A714" s="13648"/>
      <c r="B714" s="13884"/>
      <c r="C714" s="13595"/>
      <c r="D714" s="11915" t="s">
        <v>10063</v>
      </c>
      <c r="E714" s="11814"/>
      <c r="F714" s="7822" t="s">
        <v>948</v>
      </c>
      <c r="G714" s="13930"/>
      <c r="H714" s="13395"/>
      <c r="I714" s="13975"/>
      <c r="K714" s="8919"/>
      <c r="L714" s="8920"/>
      <c r="M714" s="8920"/>
      <c r="N714" s="8921"/>
      <c r="O714" s="8921"/>
      <c r="P714" s="8922"/>
      <c r="Q714" s="8923"/>
      <c r="R714" s="8924"/>
      <c r="S714" s="8925"/>
      <c r="T714" s="8926"/>
      <c r="U714" s="8923"/>
      <c r="V714" s="8924"/>
      <c r="W714" s="8926"/>
      <c r="X714" s="8924"/>
      <c r="Y714" s="8926"/>
      <c r="Z714" s="8924"/>
      <c r="AA714" s="8925"/>
      <c r="AB714" s="8925"/>
      <c r="AC714" s="8925"/>
      <c r="AD714" s="8925"/>
      <c r="AE714" s="8925"/>
      <c r="AF714" s="8926"/>
      <c r="AG714" s="8924"/>
      <c r="AH714" s="8925"/>
      <c r="AI714" s="8925"/>
      <c r="AJ714" s="8925"/>
      <c r="AK714" s="8925"/>
      <c r="AL714" s="8925"/>
      <c r="AM714" s="8925"/>
      <c r="AN714" s="8926"/>
      <c r="AO714" s="8924"/>
      <c r="AP714" s="8925"/>
      <c r="AQ714" s="8925"/>
      <c r="AR714" s="8925"/>
      <c r="AS714" s="8925"/>
      <c r="AT714" s="8926"/>
      <c r="AU714" s="8927"/>
      <c r="AV714" s="8927"/>
      <c r="AW714" s="8927"/>
      <c r="AX714" s="8919"/>
      <c r="AY714" s="8922"/>
      <c r="AZ714" s="8927"/>
      <c r="BA714" s="8919"/>
      <c r="BB714" s="8921"/>
      <c r="BC714" s="8922"/>
      <c r="BD714" s="8928"/>
      <c r="BF714" s="14439"/>
      <c r="BG714" s="14439"/>
      <c r="BH714" s="14439"/>
      <c r="BI714" s="14439"/>
      <c r="BJ714" s="14439"/>
      <c r="BK714" s="8932"/>
      <c r="BL714" s="14439"/>
      <c r="BM714" s="14439"/>
      <c r="BN714" s="14439"/>
    </row>
    <row r="715" spans="1:66" ht="29.25" hidden="1" customHeight="1" thickBot="1">
      <c r="A715" s="9853">
        <v>446</v>
      </c>
      <c r="B715" s="9854" t="s">
        <v>8022</v>
      </c>
      <c r="C715" s="13596"/>
      <c r="D715" s="11920" t="s">
        <v>4305</v>
      </c>
      <c r="E715" s="12173" t="s">
        <v>885</v>
      </c>
      <c r="F715" s="12174"/>
      <c r="G715" s="12175" t="s">
        <v>5049</v>
      </c>
      <c r="H715" s="12176" t="s">
        <v>949</v>
      </c>
      <c r="I715" s="12177">
        <v>50</v>
      </c>
      <c r="K715" s="9855"/>
      <c r="L715" s="9856"/>
      <c r="M715" s="9856"/>
      <c r="N715" s="9857"/>
      <c r="O715" s="9857"/>
      <c r="P715" s="9858"/>
      <c r="Q715" s="9859"/>
      <c r="R715" s="9860"/>
      <c r="S715" s="9861"/>
      <c r="T715" s="9862"/>
      <c r="U715" s="9859"/>
      <c r="V715" s="9860"/>
      <c r="W715" s="9862"/>
      <c r="X715" s="9860"/>
      <c r="Y715" s="9862"/>
      <c r="Z715" s="9860"/>
      <c r="AA715" s="9861"/>
      <c r="AB715" s="9861"/>
      <c r="AC715" s="9861"/>
      <c r="AD715" s="9861"/>
      <c r="AE715" s="9861"/>
      <c r="AF715" s="9862"/>
      <c r="AG715" s="9860"/>
      <c r="AH715" s="9861"/>
      <c r="AI715" s="9861"/>
      <c r="AJ715" s="9861"/>
      <c r="AK715" s="9861"/>
      <c r="AL715" s="9861"/>
      <c r="AM715" s="9861"/>
      <c r="AN715" s="9862"/>
      <c r="AO715" s="9860"/>
      <c r="AP715" s="9861"/>
      <c r="AQ715" s="9861"/>
      <c r="AR715" s="9861"/>
      <c r="AS715" s="9861"/>
      <c r="AT715" s="9862"/>
      <c r="AU715" s="9863"/>
      <c r="AV715" s="9863"/>
      <c r="AW715" s="9863"/>
      <c r="AX715" s="9855"/>
      <c r="AY715" s="9858"/>
      <c r="AZ715" s="9863"/>
      <c r="BA715" s="9855"/>
      <c r="BB715" s="9857"/>
      <c r="BC715" s="9858"/>
      <c r="BD715" s="9864"/>
      <c r="BF715" s="9550"/>
      <c r="BG715" s="9550"/>
      <c r="BH715" s="9550"/>
      <c r="BI715" s="9550"/>
      <c r="BJ715" s="9550"/>
      <c r="BK715" s="9550"/>
      <c r="BL715" s="9550"/>
      <c r="BM715" s="9550"/>
      <c r="BN715" s="9550"/>
    </row>
    <row r="716" spans="1:66" ht="29.25" hidden="1" customHeight="1">
      <c r="A716" s="13707">
        <v>447</v>
      </c>
      <c r="B716" s="14135" t="s">
        <v>8023</v>
      </c>
      <c r="C716" s="13597" t="s">
        <v>4313</v>
      </c>
      <c r="D716" s="12178" t="s">
        <v>10072</v>
      </c>
      <c r="E716" s="12179" t="s">
        <v>968</v>
      </c>
      <c r="F716" s="11992"/>
      <c r="G716" s="14137" t="s">
        <v>956</v>
      </c>
      <c r="H716" s="13472" t="s">
        <v>957</v>
      </c>
      <c r="I716" s="14185">
        <v>6</v>
      </c>
      <c r="K716" s="9865"/>
      <c r="L716" s="9866"/>
      <c r="M716" s="9866"/>
      <c r="N716" s="9867"/>
      <c r="O716" s="9867"/>
      <c r="P716" s="9868"/>
      <c r="Q716" s="9869"/>
      <c r="R716" s="9870"/>
      <c r="S716" s="9871"/>
      <c r="T716" s="9872"/>
      <c r="U716" s="9869"/>
      <c r="V716" s="9870"/>
      <c r="W716" s="9872"/>
      <c r="X716" s="9870"/>
      <c r="Y716" s="9872"/>
      <c r="Z716" s="9870"/>
      <c r="AA716" s="9871"/>
      <c r="AB716" s="9871"/>
      <c r="AC716" s="9871"/>
      <c r="AD716" s="9871"/>
      <c r="AE716" s="9871"/>
      <c r="AF716" s="9872"/>
      <c r="AG716" s="9870"/>
      <c r="AH716" s="9871"/>
      <c r="AI716" s="9871"/>
      <c r="AJ716" s="9871"/>
      <c r="AK716" s="9871"/>
      <c r="AL716" s="9871"/>
      <c r="AM716" s="9871"/>
      <c r="AN716" s="9872"/>
      <c r="AO716" s="9870"/>
      <c r="AP716" s="9871"/>
      <c r="AQ716" s="9871"/>
      <c r="AR716" s="9871"/>
      <c r="AS716" s="9871"/>
      <c r="AT716" s="9872"/>
      <c r="AU716" s="9873"/>
      <c r="AV716" s="9873"/>
      <c r="AW716" s="9873"/>
      <c r="AX716" s="9865"/>
      <c r="AY716" s="9868"/>
      <c r="AZ716" s="9873"/>
      <c r="BA716" s="9865"/>
      <c r="BB716" s="9867"/>
      <c r="BC716" s="9868"/>
      <c r="BD716" s="9874"/>
      <c r="BF716" s="14500"/>
      <c r="BG716" s="14500"/>
      <c r="BH716" s="14500"/>
      <c r="BI716" s="14500"/>
      <c r="BJ716" s="14500"/>
      <c r="BK716" s="9875"/>
      <c r="BL716" s="14500"/>
      <c r="BM716" s="14500"/>
      <c r="BN716" s="14500"/>
    </row>
    <row r="717" spans="1:66" ht="29.25" customHeight="1">
      <c r="A717" s="13708"/>
      <c r="B717" s="14136"/>
      <c r="C717" s="13598"/>
      <c r="D717" s="12180" t="s">
        <v>86</v>
      </c>
      <c r="E717" s="12143"/>
      <c r="F717" s="11994" t="s">
        <v>10242</v>
      </c>
      <c r="G717" s="14138"/>
      <c r="H717" s="13473"/>
      <c r="I717" s="14179"/>
      <c r="K717" s="12897">
        <v>2</v>
      </c>
      <c r="L717" s="12898"/>
      <c r="M717" s="12898"/>
      <c r="N717" s="12899" t="s">
        <v>10485</v>
      </c>
      <c r="O717" s="12899" t="s">
        <v>10486</v>
      </c>
      <c r="P717" s="13156"/>
      <c r="Q717" s="9879"/>
      <c r="R717" s="9880"/>
      <c r="S717" s="9881"/>
      <c r="T717" s="9882"/>
      <c r="U717" s="9879"/>
      <c r="V717" s="9880"/>
      <c r="W717" s="9882"/>
      <c r="X717" s="9880"/>
      <c r="Y717" s="9882"/>
      <c r="Z717" s="9880"/>
      <c r="AA717" s="9881"/>
      <c r="AB717" s="9881"/>
      <c r="AC717" s="9881"/>
      <c r="AD717" s="9881"/>
      <c r="AE717" s="9881"/>
      <c r="AF717" s="9882"/>
      <c r="AG717" s="9880"/>
      <c r="AH717" s="9881"/>
      <c r="AI717" s="9881"/>
      <c r="AJ717" s="9881"/>
      <c r="AK717" s="9881"/>
      <c r="AL717" s="9881"/>
      <c r="AM717" s="9881"/>
      <c r="AN717" s="9882"/>
      <c r="AO717" s="9880"/>
      <c r="AP717" s="9881"/>
      <c r="AQ717" s="9881"/>
      <c r="AR717" s="9881"/>
      <c r="AS717" s="9881"/>
      <c r="AT717" s="9882"/>
      <c r="AU717" s="9883"/>
      <c r="AV717" s="9883"/>
      <c r="AW717" s="9883"/>
      <c r="AX717" s="9876"/>
      <c r="AY717" s="9878"/>
      <c r="AZ717" s="9883"/>
      <c r="BA717" s="9876"/>
      <c r="BB717" s="9877"/>
      <c r="BC717" s="9878"/>
      <c r="BD717" s="9884"/>
      <c r="BF717" s="14501"/>
      <c r="BG717" s="14501"/>
      <c r="BH717" s="14501"/>
      <c r="BI717" s="14501"/>
      <c r="BJ717" s="14501"/>
      <c r="BK717" s="13068"/>
      <c r="BL717" s="14501"/>
      <c r="BM717" s="14501"/>
      <c r="BN717" s="14501"/>
    </row>
    <row r="718" spans="1:66" ht="29.25" hidden="1" customHeight="1">
      <c r="A718" s="13708"/>
      <c r="B718" s="14136"/>
      <c r="C718" s="13598"/>
      <c r="D718" s="12180" t="s">
        <v>2896</v>
      </c>
      <c r="E718" s="12143"/>
      <c r="F718" s="11994" t="s">
        <v>10243</v>
      </c>
      <c r="G718" s="14138"/>
      <c r="H718" s="13473"/>
      <c r="I718" s="14179"/>
      <c r="K718" s="9957"/>
      <c r="L718" s="8483"/>
      <c r="M718" s="8483"/>
      <c r="N718" s="9966"/>
      <c r="O718" s="9966"/>
      <c r="P718" s="12900"/>
      <c r="Q718" s="8507"/>
      <c r="R718" s="8508"/>
      <c r="S718" s="8509"/>
      <c r="T718" s="8510"/>
      <c r="U718" s="8507"/>
      <c r="V718" s="8508"/>
      <c r="W718" s="8510"/>
      <c r="X718" s="8508"/>
      <c r="Y718" s="8510"/>
      <c r="Z718" s="8508"/>
      <c r="AA718" s="8509"/>
      <c r="AB718" s="8509"/>
      <c r="AC718" s="8509"/>
      <c r="AD718" s="8509"/>
      <c r="AE718" s="8509"/>
      <c r="AF718" s="8510"/>
      <c r="AG718" s="8508"/>
      <c r="AH718" s="8509"/>
      <c r="AI718" s="8509"/>
      <c r="AJ718" s="8509"/>
      <c r="AK718" s="8509"/>
      <c r="AL718" s="8509"/>
      <c r="AM718" s="8509"/>
      <c r="AN718" s="8510"/>
      <c r="AO718" s="8508"/>
      <c r="AP718" s="8509"/>
      <c r="AQ718" s="8509"/>
      <c r="AR718" s="8509"/>
      <c r="AS718" s="8509"/>
      <c r="AT718" s="8510"/>
      <c r="AU718" s="9961"/>
      <c r="AV718" s="9961"/>
      <c r="AW718" s="9961"/>
      <c r="AX718" s="9958"/>
      <c r="AY718" s="9960"/>
      <c r="AZ718" s="9961"/>
      <c r="BA718" s="9958"/>
      <c r="BB718" s="9959"/>
      <c r="BC718" s="9960"/>
      <c r="BD718" s="9962"/>
      <c r="BF718" s="14501"/>
      <c r="BG718" s="14501"/>
      <c r="BH718" s="14501"/>
      <c r="BI718" s="14501"/>
      <c r="BJ718" s="14501"/>
      <c r="BK718" s="9885"/>
      <c r="BL718" s="14501"/>
      <c r="BM718" s="14501"/>
      <c r="BN718" s="14501"/>
    </row>
    <row r="719" spans="1:66" ht="29.25" hidden="1" customHeight="1">
      <c r="A719" s="13708"/>
      <c r="B719" s="14136"/>
      <c r="C719" s="13598"/>
      <c r="D719" s="12180" t="s">
        <v>10063</v>
      </c>
      <c r="E719" s="12143"/>
      <c r="F719" s="11994" t="s">
        <v>10244</v>
      </c>
      <c r="G719" s="14138"/>
      <c r="H719" s="13473"/>
      <c r="I719" s="14179"/>
      <c r="K719" s="12890"/>
      <c r="L719" s="12891"/>
      <c r="M719" s="12891"/>
      <c r="N719" s="12892"/>
      <c r="O719" s="12892"/>
      <c r="P719" s="12901" t="s">
        <v>2861</v>
      </c>
      <c r="Q719" s="9468"/>
      <c r="R719" s="9469"/>
      <c r="S719" s="9470"/>
      <c r="T719" s="9471"/>
      <c r="U719" s="9468"/>
      <c r="V719" s="9469"/>
      <c r="W719" s="9471"/>
      <c r="X719" s="9469"/>
      <c r="Y719" s="9471"/>
      <c r="Z719" s="9469"/>
      <c r="AA719" s="9470"/>
      <c r="AB719" s="9470"/>
      <c r="AC719" s="9470"/>
      <c r="AD719" s="9470"/>
      <c r="AE719" s="9470"/>
      <c r="AF719" s="9471"/>
      <c r="AG719" s="9469"/>
      <c r="AH719" s="9470"/>
      <c r="AI719" s="9470"/>
      <c r="AJ719" s="9470"/>
      <c r="AK719" s="9470"/>
      <c r="AL719" s="9470"/>
      <c r="AM719" s="9470"/>
      <c r="AN719" s="9471"/>
      <c r="AO719" s="9469"/>
      <c r="AP719" s="9470"/>
      <c r="AQ719" s="9470"/>
      <c r="AR719" s="9470"/>
      <c r="AS719" s="9470"/>
      <c r="AT719" s="9471"/>
      <c r="AU719" s="10216"/>
      <c r="AV719" s="10216"/>
      <c r="AW719" s="10216"/>
      <c r="AX719" s="10213"/>
      <c r="AY719" s="10215"/>
      <c r="AZ719" s="10216"/>
      <c r="BA719" s="10213"/>
      <c r="BB719" s="10214"/>
      <c r="BC719" s="10215"/>
      <c r="BD719" s="10217"/>
      <c r="BF719" s="14501"/>
      <c r="BG719" s="14501"/>
      <c r="BH719" s="14501"/>
      <c r="BI719" s="14501"/>
      <c r="BJ719" s="14501"/>
      <c r="BK719" s="9885"/>
      <c r="BL719" s="14501"/>
      <c r="BM719" s="14501"/>
      <c r="BN719" s="14501"/>
    </row>
    <row r="720" spans="1:66" ht="29.25" hidden="1" customHeight="1">
      <c r="A720" s="13708"/>
      <c r="B720" s="14136"/>
      <c r="C720" s="13598"/>
      <c r="D720" s="12180" t="s">
        <v>10070</v>
      </c>
      <c r="E720" s="12143"/>
      <c r="F720" s="11994" t="s">
        <v>10245</v>
      </c>
      <c r="G720" s="14138"/>
      <c r="H720" s="13473"/>
      <c r="I720" s="14179"/>
      <c r="K720" s="10235"/>
      <c r="L720" s="8568"/>
      <c r="M720" s="8568"/>
      <c r="N720" s="10919" t="s">
        <v>10487</v>
      </c>
      <c r="O720" s="10919" t="s">
        <v>10488</v>
      </c>
      <c r="P720" s="12902"/>
      <c r="Q720" s="7687"/>
      <c r="R720" s="7686"/>
      <c r="S720" s="7680"/>
      <c r="T720" s="7688"/>
      <c r="U720" s="7687"/>
      <c r="V720" s="7686"/>
      <c r="W720" s="7688"/>
      <c r="X720" s="7686"/>
      <c r="Y720" s="7688"/>
      <c r="Z720" s="7686"/>
      <c r="AA720" s="7680"/>
      <c r="AB720" s="7680"/>
      <c r="AC720" s="7680"/>
      <c r="AD720" s="7680"/>
      <c r="AE720" s="7680"/>
      <c r="AF720" s="7688"/>
      <c r="AG720" s="7686"/>
      <c r="AH720" s="7680"/>
      <c r="AI720" s="7680"/>
      <c r="AJ720" s="7680"/>
      <c r="AK720" s="7680"/>
      <c r="AL720" s="7680"/>
      <c r="AM720" s="7680"/>
      <c r="AN720" s="7688"/>
      <c r="AO720" s="7686"/>
      <c r="AP720" s="7680"/>
      <c r="AQ720" s="7680"/>
      <c r="AR720" s="7680"/>
      <c r="AS720" s="7680"/>
      <c r="AT720" s="7688"/>
      <c r="AU720" s="10239"/>
      <c r="AV720" s="10239"/>
      <c r="AW720" s="10239"/>
      <c r="AX720" s="10236"/>
      <c r="AY720" s="10238"/>
      <c r="AZ720" s="10239"/>
      <c r="BA720" s="10236"/>
      <c r="BB720" s="10237"/>
      <c r="BC720" s="10238"/>
      <c r="BD720" s="10240"/>
      <c r="BF720" s="14501"/>
      <c r="BG720" s="14501"/>
      <c r="BH720" s="14501"/>
      <c r="BI720" s="14501"/>
      <c r="BJ720" s="14501"/>
      <c r="BK720" s="9885"/>
      <c r="BL720" s="14501"/>
      <c r="BM720" s="14501"/>
      <c r="BN720" s="14501"/>
    </row>
    <row r="721" spans="1:66" ht="29.25" hidden="1" customHeight="1">
      <c r="A721" s="13708"/>
      <c r="B721" s="14136"/>
      <c r="C721" s="13598"/>
      <c r="D721" s="12180" t="s">
        <v>10092</v>
      </c>
      <c r="E721" s="12143"/>
      <c r="F721" s="11994" t="s">
        <v>10246</v>
      </c>
      <c r="G721" s="14138"/>
      <c r="H721" s="13473"/>
      <c r="I721" s="14179"/>
      <c r="K721" s="12890"/>
      <c r="L721" s="12891"/>
      <c r="M721" s="12891"/>
      <c r="N721" s="12892"/>
      <c r="O721" s="12892"/>
      <c r="P721" s="12903" t="s">
        <v>2861</v>
      </c>
      <c r="Q721" s="7687"/>
      <c r="R721" s="7686"/>
      <c r="S721" s="7680"/>
      <c r="T721" s="7688"/>
      <c r="U721" s="7687"/>
      <c r="V721" s="7686"/>
      <c r="W721" s="7688"/>
      <c r="X721" s="7686"/>
      <c r="Y721" s="7688"/>
      <c r="Z721" s="7686"/>
      <c r="AA721" s="7680"/>
      <c r="AB721" s="7680"/>
      <c r="AC721" s="7680"/>
      <c r="AD721" s="7680"/>
      <c r="AE721" s="7680"/>
      <c r="AF721" s="7688"/>
      <c r="AG721" s="7686"/>
      <c r="AH721" s="7680"/>
      <c r="AI721" s="7680"/>
      <c r="AJ721" s="7680"/>
      <c r="AK721" s="7680"/>
      <c r="AL721" s="7680"/>
      <c r="AM721" s="7680"/>
      <c r="AN721" s="7688"/>
      <c r="AO721" s="7686"/>
      <c r="AP721" s="7680"/>
      <c r="AQ721" s="7680"/>
      <c r="AR721" s="7680"/>
      <c r="AS721" s="7680"/>
      <c r="AT721" s="7688"/>
      <c r="AU721" s="8564"/>
      <c r="AV721" s="8564"/>
      <c r="AW721" s="8564"/>
      <c r="AX721" s="8561"/>
      <c r="AY721" s="8563"/>
      <c r="AZ721" s="8564"/>
      <c r="BA721" s="8561"/>
      <c r="BB721" s="8562"/>
      <c r="BC721" s="8563"/>
      <c r="BD721" s="8565"/>
      <c r="BF721" s="14501"/>
      <c r="BG721" s="14501"/>
      <c r="BH721" s="14501"/>
      <c r="BI721" s="14501"/>
      <c r="BJ721" s="14501"/>
      <c r="BK721" s="9885"/>
      <c r="BL721" s="14501"/>
      <c r="BM721" s="14501"/>
      <c r="BN721" s="14501"/>
    </row>
    <row r="722" spans="1:66" ht="29.25" hidden="1" customHeight="1" thickBot="1">
      <c r="A722" s="9886">
        <v>448</v>
      </c>
      <c r="B722" s="9887" t="s">
        <v>8024</v>
      </c>
      <c r="C722" s="13598"/>
      <c r="D722" s="12181" t="s">
        <v>10072</v>
      </c>
      <c r="E722" s="12182" t="s">
        <v>968</v>
      </c>
      <c r="F722" s="12183"/>
      <c r="G722" s="12184" t="s">
        <v>959</v>
      </c>
      <c r="H722" s="12185" t="s">
        <v>960</v>
      </c>
      <c r="I722" s="12186">
        <v>5</v>
      </c>
      <c r="K722" s="8560"/>
      <c r="L722" s="8568"/>
      <c r="M722" s="8568"/>
      <c r="N722" s="8569" t="s">
        <v>10489</v>
      </c>
      <c r="O722" s="8569" t="s">
        <v>10490</v>
      </c>
      <c r="P722" s="12904"/>
      <c r="Q722" s="7687"/>
      <c r="R722" s="7686"/>
      <c r="S722" s="7680"/>
      <c r="T722" s="7688"/>
      <c r="U722" s="7687"/>
      <c r="V722" s="7686"/>
      <c r="W722" s="7688"/>
      <c r="X722" s="7686"/>
      <c r="Y722" s="7688"/>
      <c r="Z722" s="7686"/>
      <c r="AA722" s="7680"/>
      <c r="AB722" s="7680"/>
      <c r="AC722" s="7680"/>
      <c r="AD722" s="7680"/>
      <c r="AE722" s="7680"/>
      <c r="AF722" s="7688"/>
      <c r="AG722" s="7686"/>
      <c r="AH722" s="7680"/>
      <c r="AI722" s="7680"/>
      <c r="AJ722" s="7680"/>
      <c r="AK722" s="7680"/>
      <c r="AL722" s="7680"/>
      <c r="AM722" s="7680"/>
      <c r="AN722" s="7688"/>
      <c r="AO722" s="7686"/>
      <c r="AP722" s="7680"/>
      <c r="AQ722" s="7680"/>
      <c r="AR722" s="7680"/>
      <c r="AS722" s="7680"/>
      <c r="AT722" s="7688"/>
      <c r="AU722" s="8564"/>
      <c r="AV722" s="8564"/>
      <c r="AW722" s="8564"/>
      <c r="AX722" s="8561"/>
      <c r="AY722" s="8563"/>
      <c r="AZ722" s="8564"/>
      <c r="BA722" s="8561"/>
      <c r="BB722" s="8562"/>
      <c r="BC722" s="8563"/>
      <c r="BD722" s="8565"/>
      <c r="BF722" s="9888"/>
      <c r="BG722" s="9888"/>
      <c r="BH722" s="9888"/>
      <c r="BI722" s="9888"/>
      <c r="BJ722" s="9888"/>
      <c r="BK722" s="9888"/>
      <c r="BL722" s="9888"/>
      <c r="BM722" s="9888"/>
      <c r="BN722" s="9888"/>
    </row>
    <row r="723" spans="1:66" ht="29.25" hidden="1" customHeight="1">
      <c r="A723" s="9889">
        <v>449</v>
      </c>
      <c r="B723" s="9890" t="s">
        <v>8025</v>
      </c>
      <c r="C723" s="13598"/>
      <c r="D723" s="12187" t="s">
        <v>10072</v>
      </c>
      <c r="E723" s="11654" t="s">
        <v>968</v>
      </c>
      <c r="F723" s="11907"/>
      <c r="G723" s="12188" t="s">
        <v>963</v>
      </c>
      <c r="H723" s="12189" t="s">
        <v>964</v>
      </c>
      <c r="I723" s="12190" t="s">
        <v>967</v>
      </c>
      <c r="K723" s="12890"/>
      <c r="L723" s="12891"/>
      <c r="M723" s="12891"/>
      <c r="N723" s="12892"/>
      <c r="O723" s="12892"/>
      <c r="P723" s="12901" t="s">
        <v>10491</v>
      </c>
      <c r="Q723" s="7687"/>
      <c r="R723" s="7686"/>
      <c r="S723" s="7680"/>
      <c r="T723" s="7688"/>
      <c r="U723" s="7687"/>
      <c r="V723" s="7686"/>
      <c r="W723" s="7688"/>
      <c r="X723" s="7686"/>
      <c r="Y723" s="7688"/>
      <c r="Z723" s="7686"/>
      <c r="AA723" s="7680"/>
      <c r="AB723" s="7680"/>
      <c r="AC723" s="7680"/>
      <c r="AD723" s="7680"/>
      <c r="AE723" s="7680"/>
      <c r="AF723" s="7688"/>
      <c r="AG723" s="7686"/>
      <c r="AH723" s="7680"/>
      <c r="AI723" s="7680"/>
      <c r="AJ723" s="7680"/>
      <c r="AK723" s="7680"/>
      <c r="AL723" s="7680"/>
      <c r="AM723" s="7680"/>
      <c r="AN723" s="7688"/>
      <c r="AO723" s="7686"/>
      <c r="AP723" s="7680"/>
      <c r="AQ723" s="7680"/>
      <c r="AR723" s="7680"/>
      <c r="AS723" s="7680"/>
      <c r="AT723" s="7688"/>
      <c r="AU723" s="8564"/>
      <c r="AV723" s="8564"/>
      <c r="AW723" s="8564"/>
      <c r="AX723" s="8561"/>
      <c r="AY723" s="8563"/>
      <c r="AZ723" s="8564"/>
      <c r="BA723" s="8561"/>
      <c r="BB723" s="8562"/>
      <c r="BC723" s="8563"/>
      <c r="BD723" s="8565"/>
      <c r="BF723" s="9891"/>
      <c r="BG723" s="9891"/>
      <c r="BH723" s="9891"/>
      <c r="BI723" s="9891"/>
      <c r="BJ723" s="9891"/>
      <c r="BK723" s="9891"/>
      <c r="BL723" s="9891"/>
      <c r="BM723" s="9891"/>
      <c r="BN723" s="9891"/>
    </row>
    <row r="724" spans="1:66" ht="29.25" hidden="1" customHeight="1">
      <c r="A724" s="13527">
        <v>450</v>
      </c>
      <c r="B724" s="14127" t="s">
        <v>8026</v>
      </c>
      <c r="C724" s="13598"/>
      <c r="D724" s="12191" t="s">
        <v>10072</v>
      </c>
      <c r="E724" s="7833" t="s">
        <v>968</v>
      </c>
      <c r="F724" s="7852"/>
      <c r="G724" s="14129" t="s">
        <v>969</v>
      </c>
      <c r="H724" s="13399" t="s">
        <v>970</v>
      </c>
      <c r="I724" s="14186">
        <v>1</v>
      </c>
      <c r="K724" s="12890"/>
      <c r="L724" s="12891"/>
      <c r="M724" s="12891"/>
      <c r="N724" s="12892"/>
      <c r="O724" s="12892"/>
      <c r="P724" s="12905" t="s">
        <v>2861</v>
      </c>
      <c r="Q724" s="7967"/>
      <c r="R724" s="7968"/>
      <c r="S724" s="7969"/>
      <c r="T724" s="7970"/>
      <c r="U724" s="7967"/>
      <c r="V724" s="7968"/>
      <c r="W724" s="7970"/>
      <c r="X724" s="7968"/>
      <c r="Y724" s="7970"/>
      <c r="Z724" s="7968"/>
      <c r="AA724" s="7969"/>
      <c r="AB724" s="7969"/>
      <c r="AC724" s="7969"/>
      <c r="AD724" s="7969"/>
      <c r="AE724" s="7969"/>
      <c r="AF724" s="7970"/>
      <c r="AG724" s="7968"/>
      <c r="AH724" s="7969"/>
      <c r="AI724" s="7969"/>
      <c r="AJ724" s="7969"/>
      <c r="AK724" s="7969"/>
      <c r="AL724" s="7969"/>
      <c r="AM724" s="7969"/>
      <c r="AN724" s="7970"/>
      <c r="AO724" s="7968"/>
      <c r="AP724" s="7969"/>
      <c r="AQ724" s="7969"/>
      <c r="AR724" s="7969"/>
      <c r="AS724" s="7969"/>
      <c r="AT724" s="7970"/>
      <c r="AU724" s="8435"/>
      <c r="AV724" s="8435"/>
      <c r="AW724" s="8435"/>
      <c r="AX724" s="8432"/>
      <c r="AY724" s="8434"/>
      <c r="AZ724" s="8435"/>
      <c r="BA724" s="8432"/>
      <c r="BB724" s="8433"/>
      <c r="BC724" s="8434"/>
      <c r="BD724" s="8436"/>
      <c r="BF724" s="14502"/>
      <c r="BG724" s="14502"/>
      <c r="BH724" s="14502"/>
      <c r="BI724" s="14502"/>
      <c r="BJ724" s="14502"/>
      <c r="BK724" s="9895"/>
      <c r="BL724" s="14502"/>
      <c r="BM724" s="14502"/>
      <c r="BN724" s="14502"/>
    </row>
    <row r="725" spans="1:66" ht="29.25" hidden="1" customHeight="1">
      <c r="A725" s="13527"/>
      <c r="B725" s="14127"/>
      <c r="C725" s="13598"/>
      <c r="D725" s="12191" t="s">
        <v>10070</v>
      </c>
      <c r="E725" s="7833"/>
      <c r="F725" s="7852" t="s">
        <v>1098</v>
      </c>
      <c r="G725" s="14129"/>
      <c r="H725" s="13399"/>
      <c r="I725" s="14186"/>
      <c r="K725" s="12890"/>
      <c r="L725" s="12891"/>
      <c r="M725" s="12891"/>
      <c r="N725" s="12892"/>
      <c r="O725" s="12892"/>
      <c r="P725" s="12901" t="s">
        <v>2861</v>
      </c>
      <c r="Q725" s="8507"/>
      <c r="R725" s="8508"/>
      <c r="S725" s="8509"/>
      <c r="T725" s="8510"/>
      <c r="U725" s="8507"/>
      <c r="V725" s="8508"/>
      <c r="W725" s="8510"/>
      <c r="X725" s="8508"/>
      <c r="Y725" s="8510"/>
      <c r="Z725" s="8508"/>
      <c r="AA725" s="8509"/>
      <c r="AB725" s="8509"/>
      <c r="AC725" s="8509"/>
      <c r="AD725" s="8509"/>
      <c r="AE725" s="8509"/>
      <c r="AF725" s="8510"/>
      <c r="AG725" s="8508"/>
      <c r="AH725" s="8509"/>
      <c r="AI725" s="8509"/>
      <c r="AJ725" s="8509"/>
      <c r="AK725" s="8509"/>
      <c r="AL725" s="8509"/>
      <c r="AM725" s="8509"/>
      <c r="AN725" s="8510"/>
      <c r="AO725" s="8508"/>
      <c r="AP725" s="8509"/>
      <c r="AQ725" s="8509"/>
      <c r="AR725" s="8509"/>
      <c r="AS725" s="8509"/>
      <c r="AT725" s="8510"/>
      <c r="AU725" s="9961"/>
      <c r="AV725" s="9961"/>
      <c r="AW725" s="9961"/>
      <c r="AX725" s="9958"/>
      <c r="AY725" s="9960"/>
      <c r="AZ725" s="9961"/>
      <c r="BA725" s="9958"/>
      <c r="BB725" s="9959"/>
      <c r="BC725" s="9960"/>
      <c r="BD725" s="9962"/>
      <c r="BF725" s="14502"/>
      <c r="BG725" s="14502"/>
      <c r="BH725" s="14502"/>
      <c r="BI725" s="14502"/>
      <c r="BJ725" s="14502"/>
      <c r="BK725" s="9895"/>
      <c r="BL725" s="14502"/>
      <c r="BM725" s="14502"/>
      <c r="BN725" s="14502"/>
    </row>
    <row r="726" spans="1:66" ht="29.25" hidden="1" customHeight="1">
      <c r="A726" s="13527"/>
      <c r="B726" s="14127"/>
      <c r="C726" s="13598"/>
      <c r="D726" s="12191" t="s">
        <v>10063</v>
      </c>
      <c r="E726" s="7833"/>
      <c r="F726" s="7852" t="s">
        <v>973</v>
      </c>
      <c r="G726" s="14129"/>
      <c r="H726" s="13399"/>
      <c r="I726" s="14186"/>
      <c r="K726" s="12890"/>
      <c r="L726" s="12891"/>
      <c r="M726" s="12891"/>
      <c r="N726" s="12892"/>
      <c r="O726" s="12892"/>
      <c r="P726" s="12901" t="s">
        <v>2861</v>
      </c>
      <c r="Q726" s="8507"/>
      <c r="R726" s="8508"/>
      <c r="S726" s="8509"/>
      <c r="T726" s="8510"/>
      <c r="U726" s="8507"/>
      <c r="V726" s="8508"/>
      <c r="W726" s="8510"/>
      <c r="X726" s="8508"/>
      <c r="Y726" s="8510"/>
      <c r="Z726" s="8508"/>
      <c r="AA726" s="8509"/>
      <c r="AB726" s="8509"/>
      <c r="AC726" s="8509"/>
      <c r="AD726" s="8509"/>
      <c r="AE726" s="8509"/>
      <c r="AF726" s="8510"/>
      <c r="AG726" s="8508"/>
      <c r="AH726" s="8509"/>
      <c r="AI726" s="8509"/>
      <c r="AJ726" s="8509"/>
      <c r="AK726" s="8509"/>
      <c r="AL726" s="8509"/>
      <c r="AM726" s="8509"/>
      <c r="AN726" s="8510"/>
      <c r="AO726" s="8508"/>
      <c r="AP726" s="8509"/>
      <c r="AQ726" s="8509"/>
      <c r="AR726" s="8509"/>
      <c r="AS726" s="8509"/>
      <c r="AT726" s="8510"/>
      <c r="AU726" s="9961"/>
      <c r="AV726" s="9961"/>
      <c r="AW726" s="9961"/>
      <c r="AX726" s="9958"/>
      <c r="AY726" s="9960"/>
      <c r="AZ726" s="9961"/>
      <c r="BA726" s="9958"/>
      <c r="BB726" s="9959"/>
      <c r="BC726" s="9960"/>
      <c r="BD726" s="9962"/>
      <c r="BF726" s="14502"/>
      <c r="BG726" s="14502"/>
      <c r="BH726" s="14502"/>
      <c r="BI726" s="14502"/>
      <c r="BJ726" s="14502"/>
      <c r="BK726" s="9895"/>
      <c r="BL726" s="14502"/>
      <c r="BM726" s="14502"/>
      <c r="BN726" s="14502"/>
    </row>
    <row r="727" spans="1:66" ht="29.25" hidden="1" customHeight="1">
      <c r="A727" s="13527">
        <v>451</v>
      </c>
      <c r="B727" s="14127" t="s">
        <v>8027</v>
      </c>
      <c r="C727" s="13598"/>
      <c r="D727" s="11786" t="s">
        <v>10072</v>
      </c>
      <c r="E727" s="7833" t="s">
        <v>968</v>
      </c>
      <c r="F727" s="7852"/>
      <c r="G727" s="14129" t="s">
        <v>971</v>
      </c>
      <c r="H727" s="13399" t="s">
        <v>972</v>
      </c>
      <c r="I727" s="13866">
        <v>1</v>
      </c>
      <c r="K727" s="12890"/>
      <c r="L727" s="12891"/>
      <c r="M727" s="12891"/>
      <c r="N727" s="12892"/>
      <c r="O727" s="12892"/>
      <c r="P727" s="12901" t="s">
        <v>2861</v>
      </c>
      <c r="Q727" s="8507"/>
      <c r="R727" s="8508"/>
      <c r="S727" s="8509"/>
      <c r="T727" s="8510"/>
      <c r="U727" s="8507"/>
      <c r="V727" s="8508"/>
      <c r="W727" s="8510"/>
      <c r="X727" s="8508"/>
      <c r="Y727" s="8510"/>
      <c r="Z727" s="8508"/>
      <c r="AA727" s="8509"/>
      <c r="AB727" s="8509"/>
      <c r="AC727" s="8509"/>
      <c r="AD727" s="8509"/>
      <c r="AE727" s="8509"/>
      <c r="AF727" s="8510"/>
      <c r="AG727" s="8508"/>
      <c r="AH727" s="8509"/>
      <c r="AI727" s="8509"/>
      <c r="AJ727" s="8509"/>
      <c r="AK727" s="8509"/>
      <c r="AL727" s="8509"/>
      <c r="AM727" s="8509"/>
      <c r="AN727" s="8510"/>
      <c r="AO727" s="8508"/>
      <c r="AP727" s="8509"/>
      <c r="AQ727" s="8509"/>
      <c r="AR727" s="8509"/>
      <c r="AS727" s="8509"/>
      <c r="AT727" s="8510"/>
      <c r="AU727" s="9961"/>
      <c r="AV727" s="9961"/>
      <c r="AW727" s="9961"/>
      <c r="AX727" s="9958"/>
      <c r="AY727" s="9960"/>
      <c r="AZ727" s="9961"/>
      <c r="BA727" s="9958"/>
      <c r="BB727" s="9959"/>
      <c r="BC727" s="9960"/>
      <c r="BD727" s="9962"/>
      <c r="BF727" s="14502"/>
      <c r="BG727" s="14502"/>
      <c r="BH727" s="14502"/>
      <c r="BI727" s="14502"/>
      <c r="BJ727" s="14502"/>
      <c r="BK727" s="9895"/>
      <c r="BL727" s="14502"/>
      <c r="BM727" s="14502"/>
      <c r="BN727" s="14502"/>
    </row>
    <row r="728" spans="1:66" ht="29.25" hidden="1" customHeight="1">
      <c r="A728" s="13527"/>
      <c r="B728" s="14127"/>
      <c r="C728" s="13598"/>
      <c r="D728" s="11786" t="s">
        <v>10238</v>
      </c>
      <c r="E728" s="7833"/>
      <c r="F728" s="7852" t="s">
        <v>973</v>
      </c>
      <c r="G728" s="14129"/>
      <c r="H728" s="13399"/>
      <c r="I728" s="13866"/>
      <c r="K728" s="8432"/>
      <c r="L728" s="7965"/>
      <c r="M728" s="7965"/>
      <c r="N728" s="8433"/>
      <c r="O728" s="8433"/>
      <c r="P728" s="8434"/>
      <c r="Q728" s="7967"/>
      <c r="R728" s="7968"/>
      <c r="S728" s="7969"/>
      <c r="T728" s="7970"/>
      <c r="U728" s="7967"/>
      <c r="V728" s="7968"/>
      <c r="W728" s="7970"/>
      <c r="X728" s="7968"/>
      <c r="Y728" s="7970"/>
      <c r="Z728" s="7968"/>
      <c r="AA728" s="7969"/>
      <c r="AB728" s="7969"/>
      <c r="AC728" s="7969"/>
      <c r="AD728" s="7969"/>
      <c r="AE728" s="7969"/>
      <c r="AF728" s="7970"/>
      <c r="AG728" s="7968"/>
      <c r="AH728" s="7969"/>
      <c r="AI728" s="7969"/>
      <c r="AJ728" s="7969"/>
      <c r="AK728" s="7969"/>
      <c r="AL728" s="7969"/>
      <c r="AM728" s="7969"/>
      <c r="AN728" s="7970"/>
      <c r="AO728" s="7968"/>
      <c r="AP728" s="7969"/>
      <c r="AQ728" s="7969"/>
      <c r="AR728" s="7969"/>
      <c r="AS728" s="7969"/>
      <c r="AT728" s="7970"/>
      <c r="AU728" s="8435"/>
      <c r="AV728" s="8435"/>
      <c r="AW728" s="8435"/>
      <c r="AX728" s="8432"/>
      <c r="AY728" s="8434"/>
      <c r="AZ728" s="8435"/>
      <c r="BA728" s="8432"/>
      <c r="BB728" s="8433"/>
      <c r="BC728" s="8434"/>
      <c r="BD728" s="8436"/>
      <c r="BF728" s="14502"/>
      <c r="BG728" s="14502"/>
      <c r="BH728" s="14502"/>
      <c r="BI728" s="14502"/>
      <c r="BJ728" s="14502"/>
      <c r="BK728" s="9895"/>
      <c r="BL728" s="14502"/>
      <c r="BM728" s="14502"/>
      <c r="BN728" s="14502"/>
    </row>
    <row r="729" spans="1:66" ht="29.25" hidden="1" customHeight="1">
      <c r="A729" s="13527">
        <v>452</v>
      </c>
      <c r="B729" s="14127" t="s">
        <v>8028</v>
      </c>
      <c r="C729" s="13598"/>
      <c r="D729" s="11786" t="s">
        <v>10072</v>
      </c>
      <c r="E729" s="7833" t="s">
        <v>968</v>
      </c>
      <c r="F729" s="7852"/>
      <c r="G729" s="14129" t="s">
        <v>974</v>
      </c>
      <c r="H729" s="13399" t="s">
        <v>975</v>
      </c>
      <c r="I729" s="13866">
        <v>1</v>
      </c>
      <c r="K729" s="8432"/>
      <c r="L729" s="7965"/>
      <c r="M729" s="7965"/>
      <c r="N729" s="8433"/>
      <c r="O729" s="8433"/>
      <c r="P729" s="8434"/>
      <c r="Q729" s="7967"/>
      <c r="R729" s="7968"/>
      <c r="S729" s="7969"/>
      <c r="T729" s="7970"/>
      <c r="U729" s="7967"/>
      <c r="V729" s="7968"/>
      <c r="W729" s="7970"/>
      <c r="X729" s="7968"/>
      <c r="Y729" s="7970"/>
      <c r="Z729" s="7968"/>
      <c r="AA729" s="7969"/>
      <c r="AB729" s="7969"/>
      <c r="AC729" s="7969"/>
      <c r="AD729" s="7969"/>
      <c r="AE729" s="7969"/>
      <c r="AF729" s="7970"/>
      <c r="AG729" s="7968"/>
      <c r="AH729" s="7969"/>
      <c r="AI729" s="7969"/>
      <c r="AJ729" s="7969"/>
      <c r="AK729" s="7969"/>
      <c r="AL729" s="7969"/>
      <c r="AM729" s="7969"/>
      <c r="AN729" s="7970"/>
      <c r="AO729" s="7968"/>
      <c r="AP729" s="7969"/>
      <c r="AQ729" s="7969"/>
      <c r="AR729" s="7969"/>
      <c r="AS729" s="7969"/>
      <c r="AT729" s="7970"/>
      <c r="AU729" s="8435"/>
      <c r="AV729" s="8435"/>
      <c r="AW729" s="8435"/>
      <c r="AX729" s="8432"/>
      <c r="AY729" s="8434"/>
      <c r="AZ729" s="8435"/>
      <c r="BA729" s="8432"/>
      <c r="BB729" s="8433"/>
      <c r="BC729" s="8434"/>
      <c r="BD729" s="8436"/>
      <c r="BF729" s="14502"/>
      <c r="BG729" s="14502"/>
      <c r="BH729" s="14502"/>
      <c r="BI729" s="14502"/>
      <c r="BJ729" s="14502"/>
      <c r="BK729" s="9895"/>
      <c r="BL729" s="14502"/>
      <c r="BM729" s="14502"/>
      <c r="BN729" s="14502"/>
    </row>
    <row r="730" spans="1:66" ht="29.25" hidden="1" customHeight="1" thickBot="1">
      <c r="A730" s="13709"/>
      <c r="B730" s="14128"/>
      <c r="C730" s="13598"/>
      <c r="D730" s="11789" t="s">
        <v>10238</v>
      </c>
      <c r="E730" s="7834"/>
      <c r="F730" s="11913" t="s">
        <v>973</v>
      </c>
      <c r="G730" s="14130"/>
      <c r="H730" s="13467"/>
      <c r="I730" s="14187"/>
      <c r="K730" s="9896"/>
      <c r="L730" s="9897"/>
      <c r="M730" s="9897"/>
      <c r="N730" s="9898"/>
      <c r="O730" s="9898"/>
      <c r="P730" s="9899"/>
      <c r="Q730" s="9900"/>
      <c r="R730" s="9901"/>
      <c r="S730" s="9902"/>
      <c r="T730" s="9903"/>
      <c r="U730" s="9900"/>
      <c r="V730" s="9901"/>
      <c r="W730" s="9903"/>
      <c r="X730" s="9901"/>
      <c r="Y730" s="9903"/>
      <c r="Z730" s="9901"/>
      <c r="AA730" s="9902"/>
      <c r="AB730" s="9902"/>
      <c r="AC730" s="9902"/>
      <c r="AD730" s="9902"/>
      <c r="AE730" s="9902"/>
      <c r="AF730" s="9903"/>
      <c r="AG730" s="9901"/>
      <c r="AH730" s="9902"/>
      <c r="AI730" s="9902"/>
      <c r="AJ730" s="9902"/>
      <c r="AK730" s="9902"/>
      <c r="AL730" s="9902"/>
      <c r="AM730" s="9902"/>
      <c r="AN730" s="9903"/>
      <c r="AO730" s="9901"/>
      <c r="AP730" s="9902"/>
      <c r="AQ730" s="9902"/>
      <c r="AR730" s="9902"/>
      <c r="AS730" s="9902"/>
      <c r="AT730" s="9903"/>
      <c r="AU730" s="9904"/>
      <c r="AV730" s="9904"/>
      <c r="AW730" s="9904"/>
      <c r="AX730" s="9896"/>
      <c r="AY730" s="9899"/>
      <c r="AZ730" s="9904"/>
      <c r="BA730" s="9896"/>
      <c r="BB730" s="9898"/>
      <c r="BC730" s="9899"/>
      <c r="BD730" s="9905"/>
      <c r="BF730" s="14503"/>
      <c r="BG730" s="14503"/>
      <c r="BH730" s="14503"/>
      <c r="BI730" s="14503"/>
      <c r="BJ730" s="14503"/>
      <c r="BK730" s="9906"/>
      <c r="BL730" s="14503"/>
      <c r="BM730" s="14503"/>
      <c r="BN730" s="14503"/>
    </row>
    <row r="731" spans="1:66" ht="29.25" hidden="1" customHeight="1">
      <c r="A731" s="13715">
        <v>453</v>
      </c>
      <c r="B731" s="14141" t="s">
        <v>8029</v>
      </c>
      <c r="C731" s="13598"/>
      <c r="D731" s="12192" t="s">
        <v>10072</v>
      </c>
      <c r="E731" s="12193" t="s">
        <v>968</v>
      </c>
      <c r="F731" s="11960"/>
      <c r="G731" s="13521" t="s">
        <v>979</v>
      </c>
      <c r="H731" s="12194" t="s">
        <v>980</v>
      </c>
      <c r="I731" s="12195" t="s">
        <v>983</v>
      </c>
      <c r="K731" s="9907"/>
      <c r="L731" s="9908"/>
      <c r="M731" s="9908"/>
      <c r="N731" s="9909"/>
      <c r="O731" s="9909"/>
      <c r="P731" s="9910"/>
      <c r="Q731" s="9911"/>
      <c r="R731" s="9912"/>
      <c r="S731" s="9913"/>
      <c r="T731" s="9914"/>
      <c r="U731" s="9911"/>
      <c r="V731" s="9912"/>
      <c r="W731" s="9914"/>
      <c r="X731" s="9912"/>
      <c r="Y731" s="9914"/>
      <c r="Z731" s="9912"/>
      <c r="AA731" s="9913"/>
      <c r="AB731" s="9913"/>
      <c r="AC731" s="9913"/>
      <c r="AD731" s="9913"/>
      <c r="AE731" s="9913"/>
      <c r="AF731" s="9914"/>
      <c r="AG731" s="9912"/>
      <c r="AH731" s="9913"/>
      <c r="AI731" s="9913"/>
      <c r="AJ731" s="9913"/>
      <c r="AK731" s="9913"/>
      <c r="AL731" s="9913"/>
      <c r="AM731" s="9913"/>
      <c r="AN731" s="9914"/>
      <c r="AO731" s="9912"/>
      <c r="AP731" s="9913"/>
      <c r="AQ731" s="9913"/>
      <c r="AR731" s="9913"/>
      <c r="AS731" s="9913"/>
      <c r="AT731" s="9914"/>
      <c r="AU731" s="9915"/>
      <c r="AV731" s="9915"/>
      <c r="AW731" s="9915"/>
      <c r="AX731" s="9907"/>
      <c r="AY731" s="9910"/>
      <c r="AZ731" s="9915"/>
      <c r="BA731" s="9907"/>
      <c r="BB731" s="9909"/>
      <c r="BC731" s="9910"/>
      <c r="BD731" s="8688"/>
      <c r="BF731" s="14504"/>
      <c r="BG731" s="14504"/>
      <c r="BH731" s="14504"/>
      <c r="BI731" s="14504"/>
      <c r="BJ731" s="14504"/>
      <c r="BK731" s="9916"/>
      <c r="BL731" s="14504"/>
      <c r="BM731" s="14504"/>
      <c r="BN731" s="14504"/>
    </row>
    <row r="732" spans="1:66" ht="29.25" hidden="1" customHeight="1">
      <c r="A732" s="13716"/>
      <c r="B732" s="14142"/>
      <c r="C732" s="13598"/>
      <c r="D732" s="12196" t="s">
        <v>10072</v>
      </c>
      <c r="E732" s="12197" t="s">
        <v>968</v>
      </c>
      <c r="F732" s="11962"/>
      <c r="G732" s="13522"/>
      <c r="H732" s="12198" t="s">
        <v>984</v>
      </c>
      <c r="I732" s="12199">
        <v>1</v>
      </c>
      <c r="K732" s="9917"/>
      <c r="L732" s="9918"/>
      <c r="M732" s="9918"/>
      <c r="N732" s="9919"/>
      <c r="O732" s="9919"/>
      <c r="P732" s="9920"/>
      <c r="Q732" s="9921"/>
      <c r="R732" s="9922"/>
      <c r="S732" s="9923"/>
      <c r="T732" s="9924"/>
      <c r="U732" s="9921"/>
      <c r="V732" s="9922"/>
      <c r="W732" s="9924"/>
      <c r="X732" s="9922"/>
      <c r="Y732" s="9924"/>
      <c r="Z732" s="9922"/>
      <c r="AA732" s="9923"/>
      <c r="AB732" s="9923"/>
      <c r="AC732" s="9923"/>
      <c r="AD732" s="9923"/>
      <c r="AE732" s="9923"/>
      <c r="AF732" s="9924"/>
      <c r="AG732" s="9922"/>
      <c r="AH732" s="9923"/>
      <c r="AI732" s="9923"/>
      <c r="AJ732" s="9923"/>
      <c r="AK732" s="9923"/>
      <c r="AL732" s="9923"/>
      <c r="AM732" s="9923"/>
      <c r="AN732" s="9924"/>
      <c r="AO732" s="9922"/>
      <c r="AP732" s="9923"/>
      <c r="AQ732" s="9923"/>
      <c r="AR732" s="9923"/>
      <c r="AS732" s="9923"/>
      <c r="AT732" s="9924"/>
      <c r="AU732" s="9925"/>
      <c r="AV732" s="9925"/>
      <c r="AW732" s="9925"/>
      <c r="AX732" s="9917"/>
      <c r="AY732" s="9920"/>
      <c r="AZ732" s="9925"/>
      <c r="BA732" s="9917"/>
      <c r="BB732" s="9919"/>
      <c r="BC732" s="9920"/>
      <c r="BD732" s="9926"/>
      <c r="BF732" s="14505"/>
      <c r="BG732" s="14505"/>
      <c r="BH732" s="14505"/>
      <c r="BI732" s="14505"/>
      <c r="BJ732" s="14505"/>
      <c r="BK732" s="9927"/>
      <c r="BL732" s="14505"/>
      <c r="BM732" s="14505"/>
      <c r="BN732" s="14505"/>
    </row>
    <row r="733" spans="1:66" ht="29.25" hidden="1" customHeight="1">
      <c r="A733" s="9928">
        <v>454</v>
      </c>
      <c r="B733" s="9929" t="s">
        <v>8030</v>
      </c>
      <c r="C733" s="13598"/>
      <c r="D733" s="12200" t="s">
        <v>10072</v>
      </c>
      <c r="E733" s="12197" t="s">
        <v>988</v>
      </c>
      <c r="F733" s="11962"/>
      <c r="G733" s="12201" t="s">
        <v>986</v>
      </c>
      <c r="H733" s="12198" t="s">
        <v>987</v>
      </c>
      <c r="I733" s="12202">
        <v>2</v>
      </c>
      <c r="K733" s="9930"/>
      <c r="L733" s="9918"/>
      <c r="M733" s="9918"/>
      <c r="N733" s="9932"/>
      <c r="O733" s="9932"/>
      <c r="P733" s="9933"/>
      <c r="Q733" s="9921"/>
      <c r="R733" s="9922"/>
      <c r="S733" s="9923"/>
      <c r="T733" s="9924"/>
      <c r="U733" s="9921"/>
      <c r="V733" s="9922"/>
      <c r="W733" s="9924"/>
      <c r="X733" s="9922"/>
      <c r="Y733" s="9924"/>
      <c r="Z733" s="9922"/>
      <c r="AA733" s="9923"/>
      <c r="AB733" s="9923"/>
      <c r="AC733" s="9923"/>
      <c r="AD733" s="9923"/>
      <c r="AE733" s="9923"/>
      <c r="AF733" s="9924"/>
      <c r="AG733" s="9922"/>
      <c r="AH733" s="9923"/>
      <c r="AI733" s="9923"/>
      <c r="AJ733" s="9923"/>
      <c r="AK733" s="9923"/>
      <c r="AL733" s="9923"/>
      <c r="AM733" s="9923"/>
      <c r="AN733" s="9924"/>
      <c r="AO733" s="9922"/>
      <c r="AP733" s="9923"/>
      <c r="AQ733" s="9923"/>
      <c r="AR733" s="9923"/>
      <c r="AS733" s="9923"/>
      <c r="AT733" s="9924"/>
      <c r="AU733" s="9934"/>
      <c r="AV733" s="9934"/>
      <c r="AW733" s="9934"/>
      <c r="AX733" s="9930"/>
      <c r="AY733" s="9933"/>
      <c r="AZ733" s="9934"/>
      <c r="BA733" s="9930"/>
      <c r="BB733" s="9932"/>
      <c r="BC733" s="9933"/>
      <c r="BD733" s="8006"/>
      <c r="BF733" s="9931"/>
      <c r="BG733" s="9931"/>
      <c r="BH733" s="9931"/>
      <c r="BI733" s="9931"/>
      <c r="BJ733" s="9931"/>
      <c r="BK733" s="9931"/>
      <c r="BL733" s="9931"/>
      <c r="BM733" s="9931"/>
      <c r="BN733" s="9931"/>
    </row>
    <row r="734" spans="1:66" ht="29.25" hidden="1" customHeight="1" thickBot="1">
      <c r="A734" s="9935">
        <v>455</v>
      </c>
      <c r="B734" s="9936" t="s">
        <v>8031</v>
      </c>
      <c r="C734" s="13598"/>
      <c r="D734" s="12203" t="s">
        <v>10072</v>
      </c>
      <c r="E734" s="12204" t="s">
        <v>991</v>
      </c>
      <c r="F734" s="11970"/>
      <c r="G734" s="12205" t="s">
        <v>989</v>
      </c>
      <c r="H734" s="12206" t="s">
        <v>990</v>
      </c>
      <c r="I734" s="12207">
        <v>45</v>
      </c>
      <c r="K734" s="9937"/>
      <c r="L734" s="9939"/>
      <c r="M734" s="9939"/>
      <c r="N734" s="9940"/>
      <c r="O734" s="9940"/>
      <c r="P734" s="9941"/>
      <c r="Q734" s="9942"/>
      <c r="R734" s="9943"/>
      <c r="S734" s="9944"/>
      <c r="T734" s="9945"/>
      <c r="U734" s="9942"/>
      <c r="V734" s="9943"/>
      <c r="W734" s="9945"/>
      <c r="X734" s="9943"/>
      <c r="Y734" s="9945"/>
      <c r="Z734" s="9943"/>
      <c r="AA734" s="9944"/>
      <c r="AB734" s="9944"/>
      <c r="AC734" s="9944"/>
      <c r="AD734" s="9944"/>
      <c r="AE734" s="9944"/>
      <c r="AF734" s="9945"/>
      <c r="AG734" s="9943"/>
      <c r="AH734" s="9944"/>
      <c r="AI734" s="9944"/>
      <c r="AJ734" s="9944"/>
      <c r="AK734" s="9944"/>
      <c r="AL734" s="9944"/>
      <c r="AM734" s="9944"/>
      <c r="AN734" s="9945"/>
      <c r="AO734" s="9943"/>
      <c r="AP734" s="9944"/>
      <c r="AQ734" s="9944"/>
      <c r="AR734" s="9944"/>
      <c r="AS734" s="9944"/>
      <c r="AT734" s="9945"/>
      <c r="AU734" s="9946"/>
      <c r="AV734" s="9946"/>
      <c r="AW734" s="9946"/>
      <c r="AX734" s="9937"/>
      <c r="AY734" s="9941"/>
      <c r="AZ734" s="9946"/>
      <c r="BA734" s="9937"/>
      <c r="BB734" s="9940"/>
      <c r="BC734" s="9941"/>
      <c r="BD734" s="8028"/>
      <c r="BF734" s="9938"/>
      <c r="BG734" s="9938"/>
      <c r="BH734" s="9938"/>
      <c r="BI734" s="9938"/>
      <c r="BJ734" s="9938"/>
      <c r="BK734" s="9938"/>
      <c r="BL734" s="9938"/>
      <c r="BM734" s="9938"/>
      <c r="BN734" s="9938"/>
    </row>
    <row r="735" spans="1:66" ht="29.25" hidden="1" customHeight="1">
      <c r="A735" s="13696">
        <v>456</v>
      </c>
      <c r="B735" s="14131" t="s">
        <v>8033</v>
      </c>
      <c r="C735" s="13598"/>
      <c r="D735" s="12208" t="s">
        <v>10072</v>
      </c>
      <c r="E735" s="12209" t="s">
        <v>968</v>
      </c>
      <c r="F735" s="7844"/>
      <c r="G735" s="14133" t="s">
        <v>994</v>
      </c>
      <c r="H735" s="13453" t="s">
        <v>995</v>
      </c>
      <c r="I735" s="14181">
        <v>0</v>
      </c>
      <c r="K735" s="9947"/>
      <c r="L735" s="9948"/>
      <c r="M735" s="9948"/>
      <c r="N735" s="6206"/>
      <c r="O735" s="6206"/>
      <c r="P735" s="9949"/>
      <c r="Q735" s="9950"/>
      <c r="R735" s="9951"/>
      <c r="S735" s="9952"/>
      <c r="T735" s="9953"/>
      <c r="U735" s="9950"/>
      <c r="V735" s="9951"/>
      <c r="W735" s="9953"/>
      <c r="X735" s="9951"/>
      <c r="Y735" s="9953"/>
      <c r="Z735" s="9951"/>
      <c r="AA735" s="9952"/>
      <c r="AB735" s="9952"/>
      <c r="AC735" s="9952"/>
      <c r="AD735" s="9952"/>
      <c r="AE735" s="9952"/>
      <c r="AF735" s="9953"/>
      <c r="AG735" s="9951"/>
      <c r="AH735" s="9952"/>
      <c r="AI735" s="9952"/>
      <c r="AJ735" s="9952"/>
      <c r="AK735" s="9952"/>
      <c r="AL735" s="9952"/>
      <c r="AM735" s="9952"/>
      <c r="AN735" s="9953"/>
      <c r="AO735" s="9951"/>
      <c r="AP735" s="9952"/>
      <c r="AQ735" s="9952"/>
      <c r="AR735" s="9952"/>
      <c r="AS735" s="9952"/>
      <c r="AT735" s="9953"/>
      <c r="AU735" s="9954"/>
      <c r="AV735" s="9954"/>
      <c r="AW735" s="9954"/>
      <c r="AX735" s="9947"/>
      <c r="AY735" s="9949"/>
      <c r="AZ735" s="9954"/>
      <c r="BA735" s="9947"/>
      <c r="BB735" s="6206"/>
      <c r="BC735" s="9949"/>
      <c r="BD735" s="9955"/>
      <c r="BF735" s="14506"/>
      <c r="BG735" s="14506"/>
      <c r="BH735" s="14506"/>
      <c r="BI735" s="14506"/>
      <c r="BJ735" s="14506"/>
      <c r="BK735" s="9956"/>
      <c r="BL735" s="14506"/>
      <c r="BM735" s="14506"/>
      <c r="BN735" s="14506"/>
    </row>
    <row r="736" spans="1:66" ht="29.25" hidden="1" customHeight="1">
      <c r="A736" s="13697"/>
      <c r="B736" s="14132"/>
      <c r="C736" s="13598"/>
      <c r="D736" s="12210" t="s">
        <v>4332</v>
      </c>
      <c r="E736" s="12211"/>
      <c r="F736" s="7846" t="s">
        <v>10247</v>
      </c>
      <c r="G736" s="14134"/>
      <c r="H736" s="13454"/>
      <c r="I736" s="14182"/>
      <c r="K736" s="9958"/>
      <c r="L736" s="8504"/>
      <c r="M736" s="8504"/>
      <c r="N736" s="9959"/>
      <c r="O736" s="9959"/>
      <c r="P736" s="9960"/>
      <c r="Q736" s="8507"/>
      <c r="R736" s="8508"/>
      <c r="S736" s="8509"/>
      <c r="T736" s="8510"/>
      <c r="U736" s="8507"/>
      <c r="V736" s="8508"/>
      <c r="W736" s="8510"/>
      <c r="X736" s="8508"/>
      <c r="Y736" s="8510"/>
      <c r="Z736" s="8508"/>
      <c r="AA736" s="8509"/>
      <c r="AB736" s="8509"/>
      <c r="AC736" s="8509"/>
      <c r="AD736" s="8509"/>
      <c r="AE736" s="8509"/>
      <c r="AF736" s="8510"/>
      <c r="AG736" s="8508"/>
      <c r="AH736" s="8509"/>
      <c r="AI736" s="8509"/>
      <c r="AJ736" s="8509"/>
      <c r="AK736" s="8509"/>
      <c r="AL736" s="8509"/>
      <c r="AM736" s="8509"/>
      <c r="AN736" s="8510"/>
      <c r="AO736" s="8508"/>
      <c r="AP736" s="8509"/>
      <c r="AQ736" s="8509"/>
      <c r="AR736" s="8509"/>
      <c r="AS736" s="8509"/>
      <c r="AT736" s="8510"/>
      <c r="AU736" s="9961"/>
      <c r="AV736" s="9961"/>
      <c r="AW736" s="9961"/>
      <c r="AX736" s="9958"/>
      <c r="AY736" s="9960"/>
      <c r="AZ736" s="9961"/>
      <c r="BA736" s="9958"/>
      <c r="BB736" s="9959"/>
      <c r="BC736" s="9960"/>
      <c r="BD736" s="9962"/>
      <c r="BF736" s="14507"/>
      <c r="BG736" s="14507"/>
      <c r="BH736" s="14507"/>
      <c r="BI736" s="14507"/>
      <c r="BJ736" s="14507"/>
      <c r="BK736" s="9963"/>
      <c r="BL736" s="14507"/>
      <c r="BM736" s="14507"/>
      <c r="BN736" s="14507"/>
    </row>
    <row r="737" spans="1:66" ht="29.25" hidden="1" customHeight="1">
      <c r="A737" s="13697"/>
      <c r="B737" s="14132"/>
      <c r="C737" s="13598"/>
      <c r="D737" s="12210" t="s">
        <v>10238</v>
      </c>
      <c r="E737" s="12211"/>
      <c r="F737" s="7846" t="s">
        <v>973</v>
      </c>
      <c r="G737" s="14134"/>
      <c r="H737" s="13454"/>
      <c r="I737" s="14182"/>
      <c r="K737" s="9958"/>
      <c r="L737" s="8504"/>
      <c r="M737" s="8504"/>
      <c r="N737" s="9959"/>
      <c r="O737" s="9959"/>
      <c r="P737" s="9960"/>
      <c r="Q737" s="8507"/>
      <c r="R737" s="8508"/>
      <c r="S737" s="8509"/>
      <c r="T737" s="8510"/>
      <c r="U737" s="8507"/>
      <c r="V737" s="8508"/>
      <c r="W737" s="8510"/>
      <c r="X737" s="8508"/>
      <c r="Y737" s="8510"/>
      <c r="Z737" s="8508"/>
      <c r="AA737" s="8509"/>
      <c r="AB737" s="8509"/>
      <c r="AC737" s="8509"/>
      <c r="AD737" s="8509"/>
      <c r="AE737" s="8509"/>
      <c r="AF737" s="8510"/>
      <c r="AG737" s="8508"/>
      <c r="AH737" s="8509"/>
      <c r="AI737" s="8509"/>
      <c r="AJ737" s="8509"/>
      <c r="AK737" s="8509"/>
      <c r="AL737" s="8509"/>
      <c r="AM737" s="8509"/>
      <c r="AN737" s="8510"/>
      <c r="AO737" s="8508"/>
      <c r="AP737" s="8509"/>
      <c r="AQ737" s="8509"/>
      <c r="AR737" s="8509"/>
      <c r="AS737" s="8509"/>
      <c r="AT737" s="8510"/>
      <c r="AU737" s="9961"/>
      <c r="AV737" s="9961"/>
      <c r="AW737" s="9961"/>
      <c r="AX737" s="9958"/>
      <c r="AY737" s="9960"/>
      <c r="AZ737" s="9961"/>
      <c r="BA737" s="9958"/>
      <c r="BB737" s="9959"/>
      <c r="BC737" s="9960"/>
      <c r="BD737" s="9962"/>
      <c r="BF737" s="14507"/>
      <c r="BG737" s="14507"/>
      <c r="BH737" s="14507"/>
      <c r="BI737" s="14507"/>
      <c r="BJ737" s="14507"/>
      <c r="BK737" s="9963"/>
      <c r="BL737" s="14507"/>
      <c r="BM737" s="14507"/>
      <c r="BN737" s="14507"/>
    </row>
    <row r="738" spans="1:66" ht="29.25" hidden="1" customHeight="1">
      <c r="A738" s="9964">
        <v>457</v>
      </c>
      <c r="B738" s="9965" t="s">
        <v>8034</v>
      </c>
      <c r="C738" s="13598"/>
      <c r="D738" s="12210" t="s">
        <v>10072</v>
      </c>
      <c r="E738" s="12211" t="s">
        <v>998</v>
      </c>
      <c r="F738" s="7846"/>
      <c r="G738" s="12212" t="s">
        <v>996</v>
      </c>
      <c r="H738" s="12213" t="s">
        <v>997</v>
      </c>
      <c r="I738" s="12214">
        <v>1</v>
      </c>
      <c r="K738" s="9957"/>
      <c r="L738" s="8483"/>
      <c r="M738" s="8483"/>
      <c r="N738" s="9966"/>
      <c r="O738" s="9966"/>
      <c r="P738" s="9967"/>
      <c r="Q738" s="8486"/>
      <c r="R738" s="8487"/>
      <c r="S738" s="8488"/>
      <c r="T738" s="8489"/>
      <c r="U738" s="8486"/>
      <c r="V738" s="8487"/>
      <c r="W738" s="8489"/>
      <c r="X738" s="8487"/>
      <c r="Y738" s="8489"/>
      <c r="Z738" s="8487"/>
      <c r="AA738" s="8488"/>
      <c r="AB738" s="8488"/>
      <c r="AC738" s="8488"/>
      <c r="AD738" s="8488"/>
      <c r="AE738" s="8488"/>
      <c r="AF738" s="8489"/>
      <c r="AG738" s="8487"/>
      <c r="AH738" s="8488"/>
      <c r="AI738" s="8488"/>
      <c r="AJ738" s="8488"/>
      <c r="AK738" s="8488"/>
      <c r="AL738" s="8488"/>
      <c r="AM738" s="8488"/>
      <c r="AN738" s="8489"/>
      <c r="AO738" s="8487"/>
      <c r="AP738" s="8488"/>
      <c r="AQ738" s="8488"/>
      <c r="AR738" s="8488"/>
      <c r="AS738" s="8488"/>
      <c r="AT738" s="8489"/>
      <c r="AU738" s="9968"/>
      <c r="AV738" s="9968"/>
      <c r="AW738" s="9968"/>
      <c r="AX738" s="9957"/>
      <c r="AY738" s="9967"/>
      <c r="AZ738" s="9968"/>
      <c r="BA738" s="9957"/>
      <c r="BB738" s="9966"/>
      <c r="BC738" s="9967"/>
      <c r="BD738" s="8479"/>
      <c r="BF738" s="9963"/>
      <c r="BG738" s="9963"/>
      <c r="BH738" s="9963"/>
      <c r="BI738" s="9963"/>
      <c r="BJ738" s="9963"/>
      <c r="BK738" s="9963"/>
      <c r="BL738" s="9963"/>
      <c r="BM738" s="9963"/>
      <c r="BN738" s="9963"/>
    </row>
    <row r="739" spans="1:66" ht="29.25" hidden="1" customHeight="1">
      <c r="A739" s="9964">
        <v>458</v>
      </c>
      <c r="B739" s="9965" t="s">
        <v>8035</v>
      </c>
      <c r="C739" s="13598"/>
      <c r="D739" s="12210" t="s">
        <v>10072</v>
      </c>
      <c r="E739" s="12211" t="s">
        <v>10079</v>
      </c>
      <c r="F739" s="7846"/>
      <c r="G739" s="12212" t="s">
        <v>999</v>
      </c>
      <c r="H739" s="12213" t="s">
        <v>1000</v>
      </c>
      <c r="I739" s="12214">
        <v>0</v>
      </c>
      <c r="K739" s="9957"/>
      <c r="L739" s="8483"/>
      <c r="M739" s="8483"/>
      <c r="N739" s="9966"/>
      <c r="O739" s="9966"/>
      <c r="P739" s="9967"/>
      <c r="Q739" s="8486"/>
      <c r="R739" s="8487"/>
      <c r="S739" s="8488"/>
      <c r="T739" s="8489"/>
      <c r="U739" s="8486"/>
      <c r="V739" s="8487"/>
      <c r="W739" s="8489"/>
      <c r="X739" s="8487"/>
      <c r="Y739" s="8489"/>
      <c r="Z739" s="8487"/>
      <c r="AA739" s="8488"/>
      <c r="AB739" s="8488"/>
      <c r="AC739" s="8488"/>
      <c r="AD739" s="8488"/>
      <c r="AE739" s="8488"/>
      <c r="AF739" s="8489"/>
      <c r="AG739" s="8487"/>
      <c r="AH739" s="8488"/>
      <c r="AI739" s="8488"/>
      <c r="AJ739" s="8488"/>
      <c r="AK739" s="8488"/>
      <c r="AL739" s="8488"/>
      <c r="AM739" s="8488"/>
      <c r="AN739" s="8489"/>
      <c r="AO739" s="8487"/>
      <c r="AP739" s="8488"/>
      <c r="AQ739" s="8488"/>
      <c r="AR739" s="8488"/>
      <c r="AS739" s="8488"/>
      <c r="AT739" s="8489"/>
      <c r="AU739" s="9968"/>
      <c r="AV739" s="9968"/>
      <c r="AW739" s="9968"/>
      <c r="AX739" s="9957"/>
      <c r="AY739" s="9967"/>
      <c r="AZ739" s="9968"/>
      <c r="BA739" s="9957"/>
      <c r="BB739" s="9966"/>
      <c r="BC739" s="9967"/>
      <c r="BD739" s="8479"/>
      <c r="BF739" s="9963"/>
      <c r="BG739" s="9963"/>
      <c r="BH739" s="9963"/>
      <c r="BI739" s="9963"/>
      <c r="BJ739" s="9963"/>
      <c r="BK739" s="9963"/>
      <c r="BL739" s="9963"/>
      <c r="BM739" s="9963"/>
      <c r="BN739" s="9963"/>
    </row>
    <row r="740" spans="1:66" ht="29.25" hidden="1" customHeight="1">
      <c r="A740" s="9964">
        <v>459</v>
      </c>
      <c r="B740" s="9965" t="s">
        <v>8036</v>
      </c>
      <c r="C740" s="13598"/>
      <c r="D740" s="12210" t="s">
        <v>10072</v>
      </c>
      <c r="E740" s="12211" t="s">
        <v>10080</v>
      </c>
      <c r="F740" s="7846"/>
      <c r="G740" s="12212" t="s">
        <v>1001</v>
      </c>
      <c r="H740" s="12213" t="s">
        <v>1002</v>
      </c>
      <c r="I740" s="12214">
        <v>3</v>
      </c>
      <c r="K740" s="9957"/>
      <c r="L740" s="8483"/>
      <c r="M740" s="8483"/>
      <c r="N740" s="9966"/>
      <c r="O740" s="9966"/>
      <c r="P740" s="9967"/>
      <c r="Q740" s="8486"/>
      <c r="R740" s="8487"/>
      <c r="S740" s="8488"/>
      <c r="T740" s="8489"/>
      <c r="U740" s="8486"/>
      <c r="V740" s="8487"/>
      <c r="W740" s="8489"/>
      <c r="X740" s="8487"/>
      <c r="Y740" s="8489"/>
      <c r="Z740" s="8487"/>
      <c r="AA740" s="8488"/>
      <c r="AB740" s="8488"/>
      <c r="AC740" s="8488"/>
      <c r="AD740" s="8488"/>
      <c r="AE740" s="8488"/>
      <c r="AF740" s="8489"/>
      <c r="AG740" s="8487"/>
      <c r="AH740" s="8488"/>
      <c r="AI740" s="8488"/>
      <c r="AJ740" s="8488"/>
      <c r="AK740" s="8488"/>
      <c r="AL740" s="8488"/>
      <c r="AM740" s="8488"/>
      <c r="AN740" s="8489"/>
      <c r="AO740" s="8487"/>
      <c r="AP740" s="8488"/>
      <c r="AQ740" s="8488"/>
      <c r="AR740" s="8488"/>
      <c r="AS740" s="8488"/>
      <c r="AT740" s="8489"/>
      <c r="AU740" s="9968"/>
      <c r="AV740" s="9968"/>
      <c r="AW740" s="9968"/>
      <c r="AX740" s="9957"/>
      <c r="AY740" s="9967"/>
      <c r="AZ740" s="9968"/>
      <c r="BA740" s="9957"/>
      <c r="BB740" s="9966"/>
      <c r="BC740" s="9967"/>
      <c r="BD740" s="8479"/>
      <c r="BF740" s="9963"/>
      <c r="BG740" s="9963"/>
      <c r="BH740" s="9963"/>
      <c r="BI740" s="9963"/>
      <c r="BJ740" s="9963"/>
      <c r="BK740" s="9963"/>
      <c r="BL740" s="9963"/>
      <c r="BM740" s="9963"/>
      <c r="BN740" s="9963"/>
    </row>
    <row r="741" spans="1:66" ht="29.25" hidden="1" customHeight="1" thickBot="1">
      <c r="A741" s="9969">
        <v>460</v>
      </c>
      <c r="B741" s="9970" t="s">
        <v>8037</v>
      </c>
      <c r="C741" s="13598"/>
      <c r="D741" s="11727" t="s">
        <v>10072</v>
      </c>
      <c r="E741" s="12215" t="s">
        <v>10081</v>
      </c>
      <c r="F741" s="12132"/>
      <c r="G741" s="12216" t="s">
        <v>1003</v>
      </c>
      <c r="H741" s="12217" t="s">
        <v>1004</v>
      </c>
      <c r="I741" s="12218">
        <v>1</v>
      </c>
      <c r="K741" s="8216"/>
      <c r="L741" s="8218"/>
      <c r="M741" s="8218"/>
      <c r="N741" s="9972"/>
      <c r="O741" s="9972"/>
      <c r="P741" s="9973"/>
      <c r="Q741" s="8221"/>
      <c r="R741" s="8222"/>
      <c r="S741" s="8223"/>
      <c r="T741" s="8224"/>
      <c r="U741" s="8221"/>
      <c r="V741" s="8222"/>
      <c r="W741" s="8224"/>
      <c r="X741" s="8222"/>
      <c r="Y741" s="8224"/>
      <c r="Z741" s="8222"/>
      <c r="AA741" s="8223"/>
      <c r="AB741" s="8223"/>
      <c r="AC741" s="8223"/>
      <c r="AD741" s="8223"/>
      <c r="AE741" s="8223"/>
      <c r="AF741" s="8224"/>
      <c r="AG741" s="8222"/>
      <c r="AH741" s="8223"/>
      <c r="AI741" s="8223"/>
      <c r="AJ741" s="8223"/>
      <c r="AK741" s="8223"/>
      <c r="AL741" s="8223"/>
      <c r="AM741" s="8223"/>
      <c r="AN741" s="8224"/>
      <c r="AO741" s="8222"/>
      <c r="AP741" s="8223"/>
      <c r="AQ741" s="8223"/>
      <c r="AR741" s="8223"/>
      <c r="AS741" s="8223"/>
      <c r="AT741" s="8224"/>
      <c r="AU741" s="9974"/>
      <c r="AV741" s="9974"/>
      <c r="AW741" s="9974"/>
      <c r="AX741" s="8216"/>
      <c r="AY741" s="9973"/>
      <c r="AZ741" s="9974"/>
      <c r="BA741" s="8216"/>
      <c r="BB741" s="9972"/>
      <c r="BC741" s="9973"/>
      <c r="BD741" s="9975"/>
      <c r="BF741" s="9971"/>
      <c r="BG741" s="9971"/>
      <c r="BH741" s="9971"/>
      <c r="BI741" s="9971"/>
      <c r="BJ741" s="9971"/>
      <c r="BK741" s="9971"/>
      <c r="BL741" s="9971"/>
      <c r="BM741" s="9971"/>
      <c r="BN741" s="9971"/>
    </row>
    <row r="742" spans="1:66" ht="29.25" hidden="1" customHeight="1">
      <c r="A742" s="9976">
        <v>461</v>
      </c>
      <c r="B742" s="9977" t="s">
        <v>8038</v>
      </c>
      <c r="C742" s="13598"/>
      <c r="D742" s="11731" t="s">
        <v>10072</v>
      </c>
      <c r="E742" s="12219" t="s">
        <v>968</v>
      </c>
      <c r="F742" s="12220"/>
      <c r="G742" s="12221" t="s">
        <v>1007</v>
      </c>
      <c r="H742" s="12222" t="s">
        <v>1008</v>
      </c>
      <c r="I742" s="12134">
        <v>7</v>
      </c>
      <c r="K742" s="8227"/>
      <c r="L742" s="8229"/>
      <c r="M742" s="8229"/>
      <c r="N742" s="9646"/>
      <c r="O742" s="9646"/>
      <c r="P742" s="9647"/>
      <c r="Q742" s="8232"/>
      <c r="R742" s="8233"/>
      <c r="S742" s="8234"/>
      <c r="T742" s="8235"/>
      <c r="U742" s="8232"/>
      <c r="V742" s="8233"/>
      <c r="W742" s="8235"/>
      <c r="X742" s="8233"/>
      <c r="Y742" s="8235"/>
      <c r="Z742" s="8233"/>
      <c r="AA742" s="8234"/>
      <c r="AB742" s="8234"/>
      <c r="AC742" s="8234"/>
      <c r="AD742" s="8234"/>
      <c r="AE742" s="8234"/>
      <c r="AF742" s="8235"/>
      <c r="AG742" s="8233"/>
      <c r="AH742" s="8234"/>
      <c r="AI742" s="8234"/>
      <c r="AJ742" s="8234"/>
      <c r="AK742" s="8234"/>
      <c r="AL742" s="8234"/>
      <c r="AM742" s="8234"/>
      <c r="AN742" s="8235"/>
      <c r="AO742" s="8233"/>
      <c r="AP742" s="8234"/>
      <c r="AQ742" s="8234"/>
      <c r="AR742" s="8234"/>
      <c r="AS742" s="8234"/>
      <c r="AT742" s="8235"/>
      <c r="AU742" s="9648"/>
      <c r="AV742" s="9648"/>
      <c r="AW742" s="9648"/>
      <c r="AX742" s="8227"/>
      <c r="AY742" s="9647"/>
      <c r="AZ742" s="9648"/>
      <c r="BA742" s="8227"/>
      <c r="BB742" s="9646"/>
      <c r="BC742" s="9647"/>
      <c r="BD742" s="8639"/>
      <c r="BF742" s="9978"/>
      <c r="BG742" s="9978"/>
      <c r="BH742" s="9978"/>
      <c r="BI742" s="9978"/>
      <c r="BJ742" s="9978"/>
      <c r="BK742" s="9978"/>
      <c r="BL742" s="9978"/>
      <c r="BM742" s="9978"/>
      <c r="BN742" s="9978"/>
    </row>
    <row r="743" spans="1:66" ht="29.25" hidden="1" customHeight="1" thickBot="1">
      <c r="A743" s="9979">
        <v>462</v>
      </c>
      <c r="B743" s="9980" t="s">
        <v>8039</v>
      </c>
      <c r="C743" s="13598"/>
      <c r="D743" s="11742" t="s">
        <v>10072</v>
      </c>
      <c r="E743" s="12223" t="s">
        <v>1011</v>
      </c>
      <c r="F743" s="11942"/>
      <c r="G743" s="12224" t="s">
        <v>1009</v>
      </c>
      <c r="H743" s="12225" t="s">
        <v>1010</v>
      </c>
      <c r="I743" s="12226">
        <v>0</v>
      </c>
      <c r="K743" s="8259"/>
      <c r="L743" s="8261"/>
      <c r="M743" s="8261"/>
      <c r="N743" s="9982"/>
      <c r="O743" s="9982"/>
      <c r="P743" s="9983"/>
      <c r="Q743" s="8264"/>
      <c r="R743" s="8265"/>
      <c r="S743" s="8266"/>
      <c r="T743" s="8267"/>
      <c r="U743" s="8264"/>
      <c r="V743" s="8265"/>
      <c r="W743" s="8267"/>
      <c r="X743" s="8265"/>
      <c r="Y743" s="8267"/>
      <c r="Z743" s="8265"/>
      <c r="AA743" s="8266"/>
      <c r="AB743" s="8266"/>
      <c r="AC743" s="8266"/>
      <c r="AD743" s="8266"/>
      <c r="AE743" s="8266"/>
      <c r="AF743" s="8267"/>
      <c r="AG743" s="8265"/>
      <c r="AH743" s="8266"/>
      <c r="AI743" s="8266"/>
      <c r="AJ743" s="8266"/>
      <c r="AK743" s="8266"/>
      <c r="AL743" s="8266"/>
      <c r="AM743" s="8266"/>
      <c r="AN743" s="8267"/>
      <c r="AO743" s="8265"/>
      <c r="AP743" s="8266"/>
      <c r="AQ743" s="8266"/>
      <c r="AR743" s="8266"/>
      <c r="AS743" s="8266"/>
      <c r="AT743" s="8267"/>
      <c r="AU743" s="9984"/>
      <c r="AV743" s="9984"/>
      <c r="AW743" s="9984"/>
      <c r="AX743" s="8259"/>
      <c r="AY743" s="9983"/>
      <c r="AZ743" s="9984"/>
      <c r="BA743" s="8259"/>
      <c r="BB743" s="9982"/>
      <c r="BC743" s="9983"/>
      <c r="BD743" s="8675"/>
      <c r="BF743" s="9981"/>
      <c r="BG743" s="9981"/>
      <c r="BH743" s="9981"/>
      <c r="BI743" s="9981"/>
      <c r="BJ743" s="9981"/>
      <c r="BK743" s="9981"/>
      <c r="BL743" s="9981"/>
      <c r="BM743" s="9981"/>
      <c r="BN743" s="9981"/>
    </row>
    <row r="744" spans="1:66" ht="29.25" hidden="1" customHeight="1">
      <c r="A744" s="9889">
        <v>463</v>
      </c>
      <c r="B744" s="9890" t="s">
        <v>8040</v>
      </c>
      <c r="C744" s="13598"/>
      <c r="D744" s="12187" t="s">
        <v>10072</v>
      </c>
      <c r="E744" s="12227" t="s">
        <v>968</v>
      </c>
      <c r="F744" s="11907"/>
      <c r="G744" s="12188" t="s">
        <v>1014</v>
      </c>
      <c r="H744" s="12189" t="s">
        <v>1015</v>
      </c>
      <c r="I744" s="12190">
        <v>1</v>
      </c>
      <c r="K744" s="8419"/>
      <c r="L744" s="9513"/>
      <c r="M744" s="9513"/>
      <c r="N744" s="7916"/>
      <c r="O744" s="7916"/>
      <c r="P744" s="9892"/>
      <c r="Q744" s="9516"/>
      <c r="R744" s="9517"/>
      <c r="S744" s="9518"/>
      <c r="T744" s="9519"/>
      <c r="U744" s="9516"/>
      <c r="V744" s="9517"/>
      <c r="W744" s="9519"/>
      <c r="X744" s="9517"/>
      <c r="Y744" s="9519"/>
      <c r="Z744" s="9517"/>
      <c r="AA744" s="9518"/>
      <c r="AB744" s="9518"/>
      <c r="AC744" s="9518"/>
      <c r="AD744" s="9518"/>
      <c r="AE744" s="9518"/>
      <c r="AF744" s="9519"/>
      <c r="AG744" s="9517"/>
      <c r="AH744" s="9518"/>
      <c r="AI744" s="9518"/>
      <c r="AJ744" s="9518"/>
      <c r="AK744" s="9518"/>
      <c r="AL744" s="9518"/>
      <c r="AM744" s="9518"/>
      <c r="AN744" s="9519"/>
      <c r="AO744" s="9517"/>
      <c r="AP744" s="9518"/>
      <c r="AQ744" s="9518"/>
      <c r="AR744" s="9518"/>
      <c r="AS744" s="9518"/>
      <c r="AT744" s="9519"/>
      <c r="AU744" s="9893"/>
      <c r="AV744" s="9893"/>
      <c r="AW744" s="9893"/>
      <c r="AX744" s="8419"/>
      <c r="AY744" s="9892"/>
      <c r="AZ744" s="9893"/>
      <c r="BA744" s="8419"/>
      <c r="BB744" s="7916"/>
      <c r="BC744" s="9892"/>
      <c r="BD744" s="8771"/>
      <c r="BF744" s="9891"/>
      <c r="BG744" s="9891"/>
      <c r="BH744" s="9891"/>
      <c r="BI744" s="9891"/>
      <c r="BJ744" s="9891"/>
      <c r="BK744" s="9891"/>
      <c r="BL744" s="9891"/>
      <c r="BM744" s="9891"/>
      <c r="BN744" s="9891"/>
    </row>
    <row r="745" spans="1:66" ht="29.25" hidden="1" customHeight="1">
      <c r="A745" s="9985">
        <v>464</v>
      </c>
      <c r="B745" s="9986" t="s">
        <v>8041</v>
      </c>
      <c r="C745" s="13598"/>
      <c r="D745" s="11786" t="s">
        <v>10072</v>
      </c>
      <c r="E745" s="12228" t="s">
        <v>1020</v>
      </c>
      <c r="F745" s="7852"/>
      <c r="G745" s="12229" t="s">
        <v>1017</v>
      </c>
      <c r="H745" s="12230" t="s">
        <v>1018</v>
      </c>
      <c r="I745" s="11787">
        <v>0</v>
      </c>
      <c r="K745" s="8431"/>
      <c r="L745" s="8443"/>
      <c r="M745" s="8443"/>
      <c r="N745" s="8444"/>
      <c r="O745" s="8444"/>
      <c r="P745" s="8445"/>
      <c r="Q745" s="8446"/>
      <c r="R745" s="8447"/>
      <c r="S745" s="8448"/>
      <c r="T745" s="8449"/>
      <c r="U745" s="8446"/>
      <c r="V745" s="8447"/>
      <c r="W745" s="8449"/>
      <c r="X745" s="8447"/>
      <c r="Y745" s="8449"/>
      <c r="Z745" s="8447"/>
      <c r="AA745" s="8448"/>
      <c r="AB745" s="8448"/>
      <c r="AC745" s="8448"/>
      <c r="AD745" s="8448"/>
      <c r="AE745" s="8448"/>
      <c r="AF745" s="8449"/>
      <c r="AG745" s="8447"/>
      <c r="AH745" s="8448"/>
      <c r="AI745" s="8448"/>
      <c r="AJ745" s="8448"/>
      <c r="AK745" s="8448"/>
      <c r="AL745" s="8448"/>
      <c r="AM745" s="8448"/>
      <c r="AN745" s="8449"/>
      <c r="AO745" s="8447"/>
      <c r="AP745" s="8448"/>
      <c r="AQ745" s="8448"/>
      <c r="AR745" s="8448"/>
      <c r="AS745" s="8448"/>
      <c r="AT745" s="8449"/>
      <c r="AU745" s="8450"/>
      <c r="AV745" s="8450"/>
      <c r="AW745" s="8450"/>
      <c r="AX745" s="8431"/>
      <c r="AY745" s="8445"/>
      <c r="AZ745" s="8450"/>
      <c r="BA745" s="8431"/>
      <c r="BB745" s="8444"/>
      <c r="BC745" s="8445"/>
      <c r="BD745" s="7952"/>
      <c r="BF745" s="9895"/>
      <c r="BG745" s="9895"/>
      <c r="BH745" s="9895"/>
      <c r="BI745" s="9895"/>
      <c r="BJ745" s="9895"/>
      <c r="BK745" s="9895"/>
      <c r="BL745" s="9895"/>
      <c r="BM745" s="9895"/>
      <c r="BN745" s="9895"/>
    </row>
    <row r="746" spans="1:66" ht="29.25" hidden="1" customHeight="1">
      <c r="A746" s="13527">
        <v>465</v>
      </c>
      <c r="B746" s="14127" t="s">
        <v>8042</v>
      </c>
      <c r="C746" s="13598"/>
      <c r="D746" s="11786" t="s">
        <v>10072</v>
      </c>
      <c r="E746" s="12228" t="s">
        <v>968</v>
      </c>
      <c r="F746" s="7852"/>
      <c r="G746" s="14129" t="s">
        <v>1021</v>
      </c>
      <c r="H746" s="13399" t="s">
        <v>1022</v>
      </c>
      <c r="I746" s="13866">
        <v>1</v>
      </c>
      <c r="K746" s="8432"/>
      <c r="L746" s="7965"/>
      <c r="M746" s="7965"/>
      <c r="N746" s="8433"/>
      <c r="O746" s="8433"/>
      <c r="P746" s="8434"/>
      <c r="Q746" s="7967"/>
      <c r="R746" s="7968"/>
      <c r="S746" s="7969"/>
      <c r="T746" s="7970"/>
      <c r="U746" s="7967"/>
      <c r="V746" s="7968"/>
      <c r="W746" s="7970"/>
      <c r="X746" s="7968"/>
      <c r="Y746" s="7970"/>
      <c r="Z746" s="7968"/>
      <c r="AA746" s="7969"/>
      <c r="AB746" s="7969"/>
      <c r="AC746" s="7969"/>
      <c r="AD746" s="7969"/>
      <c r="AE746" s="7969"/>
      <c r="AF746" s="7970"/>
      <c r="AG746" s="7968"/>
      <c r="AH746" s="7969"/>
      <c r="AI746" s="7969"/>
      <c r="AJ746" s="7969"/>
      <c r="AK746" s="7969"/>
      <c r="AL746" s="7969"/>
      <c r="AM746" s="7969"/>
      <c r="AN746" s="7970"/>
      <c r="AO746" s="7968"/>
      <c r="AP746" s="7969"/>
      <c r="AQ746" s="7969"/>
      <c r="AR746" s="7969"/>
      <c r="AS746" s="7969"/>
      <c r="AT746" s="7970"/>
      <c r="AU746" s="8435"/>
      <c r="AV746" s="8435"/>
      <c r="AW746" s="8435"/>
      <c r="AX746" s="8432"/>
      <c r="AY746" s="8434"/>
      <c r="AZ746" s="8435"/>
      <c r="BA746" s="8432"/>
      <c r="BB746" s="8433"/>
      <c r="BC746" s="8434"/>
      <c r="BD746" s="8436"/>
      <c r="BF746" s="14502"/>
      <c r="BG746" s="14502"/>
      <c r="BH746" s="14502"/>
      <c r="BI746" s="14502"/>
      <c r="BJ746" s="14502"/>
      <c r="BK746" s="9895"/>
      <c r="BL746" s="14502"/>
      <c r="BM746" s="14502"/>
      <c r="BN746" s="14502"/>
    </row>
    <row r="747" spans="1:66" ht="29.25" hidden="1" customHeight="1" thickBot="1">
      <c r="A747" s="13709"/>
      <c r="B747" s="14128"/>
      <c r="C747" s="13598"/>
      <c r="D747" s="11789" t="s">
        <v>10063</v>
      </c>
      <c r="E747" s="12231"/>
      <c r="F747" s="11913" t="s">
        <v>9566</v>
      </c>
      <c r="G747" s="14130"/>
      <c r="H747" s="13467"/>
      <c r="I747" s="14187"/>
      <c r="K747" s="9896"/>
      <c r="L747" s="9897"/>
      <c r="M747" s="9897"/>
      <c r="N747" s="9898"/>
      <c r="O747" s="9898"/>
      <c r="P747" s="9899"/>
      <c r="Q747" s="9900"/>
      <c r="R747" s="9901"/>
      <c r="S747" s="9902"/>
      <c r="T747" s="9903"/>
      <c r="U747" s="9900"/>
      <c r="V747" s="9901"/>
      <c r="W747" s="9903"/>
      <c r="X747" s="9901"/>
      <c r="Y747" s="9903"/>
      <c r="Z747" s="9901"/>
      <c r="AA747" s="9902"/>
      <c r="AB747" s="9902"/>
      <c r="AC747" s="9902"/>
      <c r="AD747" s="9902"/>
      <c r="AE747" s="9902"/>
      <c r="AF747" s="9903"/>
      <c r="AG747" s="9901"/>
      <c r="AH747" s="9902"/>
      <c r="AI747" s="9902"/>
      <c r="AJ747" s="9902"/>
      <c r="AK747" s="9902"/>
      <c r="AL747" s="9902"/>
      <c r="AM747" s="9902"/>
      <c r="AN747" s="9903"/>
      <c r="AO747" s="9901"/>
      <c r="AP747" s="9902"/>
      <c r="AQ747" s="9902"/>
      <c r="AR747" s="9902"/>
      <c r="AS747" s="9902"/>
      <c r="AT747" s="9903"/>
      <c r="AU747" s="9904"/>
      <c r="AV747" s="9904"/>
      <c r="AW747" s="9904"/>
      <c r="AX747" s="9896"/>
      <c r="AY747" s="9899"/>
      <c r="AZ747" s="9904"/>
      <c r="BA747" s="9896"/>
      <c r="BB747" s="9898"/>
      <c r="BC747" s="9899"/>
      <c r="BD747" s="9905"/>
      <c r="BF747" s="14503"/>
      <c r="BG747" s="14503"/>
      <c r="BH747" s="14503"/>
      <c r="BI747" s="14503"/>
      <c r="BJ747" s="14503"/>
      <c r="BK747" s="9906"/>
      <c r="BL747" s="14503"/>
      <c r="BM747" s="14503"/>
      <c r="BN747" s="14503"/>
    </row>
    <row r="748" spans="1:66" ht="29.25" hidden="1" customHeight="1">
      <c r="A748" s="9987">
        <v>466</v>
      </c>
      <c r="B748" s="9988" t="s">
        <v>8043</v>
      </c>
      <c r="C748" s="13598"/>
      <c r="D748" s="12232" t="s">
        <v>10072</v>
      </c>
      <c r="E748" s="12233" t="s">
        <v>968</v>
      </c>
      <c r="F748" s="12138"/>
      <c r="G748" s="12234" t="s">
        <v>1025</v>
      </c>
      <c r="H748" s="12235" t="s">
        <v>1026</v>
      </c>
      <c r="I748" s="12236">
        <v>10</v>
      </c>
      <c r="K748" s="9989"/>
      <c r="L748" s="9991"/>
      <c r="M748" s="9991"/>
      <c r="N748" s="9992"/>
      <c r="O748" s="9992"/>
      <c r="P748" s="9993"/>
      <c r="Q748" s="9994"/>
      <c r="R748" s="9995"/>
      <c r="S748" s="9996"/>
      <c r="T748" s="9997"/>
      <c r="U748" s="9994"/>
      <c r="V748" s="9995"/>
      <c r="W748" s="9997"/>
      <c r="X748" s="9995"/>
      <c r="Y748" s="9997"/>
      <c r="Z748" s="9995"/>
      <c r="AA748" s="9996"/>
      <c r="AB748" s="9996"/>
      <c r="AC748" s="9996"/>
      <c r="AD748" s="9996"/>
      <c r="AE748" s="9996"/>
      <c r="AF748" s="9997"/>
      <c r="AG748" s="9995"/>
      <c r="AH748" s="9996"/>
      <c r="AI748" s="9996"/>
      <c r="AJ748" s="9996"/>
      <c r="AK748" s="9996"/>
      <c r="AL748" s="9996"/>
      <c r="AM748" s="9996"/>
      <c r="AN748" s="9997"/>
      <c r="AO748" s="9995"/>
      <c r="AP748" s="9996"/>
      <c r="AQ748" s="9996"/>
      <c r="AR748" s="9996"/>
      <c r="AS748" s="9996"/>
      <c r="AT748" s="9997"/>
      <c r="AU748" s="9998"/>
      <c r="AV748" s="9998"/>
      <c r="AW748" s="9998"/>
      <c r="AX748" s="9989"/>
      <c r="AY748" s="9993"/>
      <c r="AZ748" s="9998"/>
      <c r="BA748" s="9989"/>
      <c r="BB748" s="9992"/>
      <c r="BC748" s="9993"/>
      <c r="BD748" s="9999"/>
      <c r="BF748" s="9990"/>
      <c r="BG748" s="9990"/>
      <c r="BH748" s="9990"/>
      <c r="BI748" s="9990"/>
      <c r="BJ748" s="9990"/>
      <c r="BK748" s="9990"/>
      <c r="BL748" s="9990"/>
      <c r="BM748" s="9990"/>
      <c r="BN748" s="9990"/>
    </row>
    <row r="749" spans="1:66" ht="29.25" hidden="1" customHeight="1">
      <c r="A749" s="13710">
        <v>467</v>
      </c>
      <c r="B749" s="14153" t="s">
        <v>8044</v>
      </c>
      <c r="C749" s="13598"/>
      <c r="D749" s="12180" t="s">
        <v>10072</v>
      </c>
      <c r="E749" s="12237" t="s">
        <v>1029</v>
      </c>
      <c r="F749" s="12143"/>
      <c r="G749" s="14138" t="s">
        <v>1027</v>
      </c>
      <c r="H749" s="13463" t="s">
        <v>1028</v>
      </c>
      <c r="I749" s="14179">
        <v>1</v>
      </c>
      <c r="K749" s="10000"/>
      <c r="L749" s="10001"/>
      <c r="M749" s="10001"/>
      <c r="N749" s="10002"/>
      <c r="O749" s="10002"/>
      <c r="P749" s="10003"/>
      <c r="Q749" s="10004"/>
      <c r="R749" s="10005"/>
      <c r="S749" s="10006"/>
      <c r="T749" s="10007"/>
      <c r="U749" s="10004"/>
      <c r="V749" s="10005"/>
      <c r="W749" s="10007"/>
      <c r="X749" s="10005"/>
      <c r="Y749" s="10007"/>
      <c r="Z749" s="10005"/>
      <c r="AA749" s="10006"/>
      <c r="AB749" s="10006"/>
      <c r="AC749" s="10006"/>
      <c r="AD749" s="10006"/>
      <c r="AE749" s="10006"/>
      <c r="AF749" s="10007"/>
      <c r="AG749" s="10005"/>
      <c r="AH749" s="10006"/>
      <c r="AI749" s="10006"/>
      <c r="AJ749" s="10006"/>
      <c r="AK749" s="10006"/>
      <c r="AL749" s="10006"/>
      <c r="AM749" s="10006"/>
      <c r="AN749" s="10007"/>
      <c r="AO749" s="10005"/>
      <c r="AP749" s="10006"/>
      <c r="AQ749" s="10006"/>
      <c r="AR749" s="10006"/>
      <c r="AS749" s="10006"/>
      <c r="AT749" s="10007"/>
      <c r="AU749" s="10008"/>
      <c r="AV749" s="10008"/>
      <c r="AW749" s="10008"/>
      <c r="AX749" s="10000"/>
      <c r="AY749" s="10003"/>
      <c r="AZ749" s="10008"/>
      <c r="BA749" s="10000"/>
      <c r="BB749" s="10002"/>
      <c r="BC749" s="10003"/>
      <c r="BD749" s="10009"/>
      <c r="BF749" s="14501"/>
      <c r="BG749" s="14501"/>
      <c r="BH749" s="14501"/>
      <c r="BI749" s="14501"/>
      <c r="BJ749" s="14501"/>
      <c r="BK749" s="9885"/>
      <c r="BL749" s="14501"/>
      <c r="BM749" s="14501"/>
      <c r="BN749" s="14501"/>
    </row>
    <row r="750" spans="1:66" ht="29.25" hidden="1" customHeight="1">
      <c r="A750" s="13710"/>
      <c r="B750" s="14153"/>
      <c r="C750" s="13598"/>
      <c r="D750" s="12180" t="s">
        <v>10238</v>
      </c>
      <c r="E750" s="12237"/>
      <c r="F750" s="12143" t="s">
        <v>973</v>
      </c>
      <c r="G750" s="14138"/>
      <c r="H750" s="13463"/>
      <c r="I750" s="14179"/>
      <c r="K750" s="10000"/>
      <c r="L750" s="10001"/>
      <c r="M750" s="10001"/>
      <c r="N750" s="10002"/>
      <c r="O750" s="10002"/>
      <c r="P750" s="10003"/>
      <c r="Q750" s="10004"/>
      <c r="R750" s="10005"/>
      <c r="S750" s="10006"/>
      <c r="T750" s="10007"/>
      <c r="U750" s="10004"/>
      <c r="V750" s="10005"/>
      <c r="W750" s="10007"/>
      <c r="X750" s="10005"/>
      <c r="Y750" s="10007"/>
      <c r="Z750" s="10005"/>
      <c r="AA750" s="10006"/>
      <c r="AB750" s="10006"/>
      <c r="AC750" s="10006"/>
      <c r="AD750" s="10006"/>
      <c r="AE750" s="10006"/>
      <c r="AF750" s="10007"/>
      <c r="AG750" s="10005"/>
      <c r="AH750" s="10006"/>
      <c r="AI750" s="10006"/>
      <c r="AJ750" s="10006"/>
      <c r="AK750" s="10006"/>
      <c r="AL750" s="10006"/>
      <c r="AM750" s="10006"/>
      <c r="AN750" s="10007"/>
      <c r="AO750" s="10005"/>
      <c r="AP750" s="10006"/>
      <c r="AQ750" s="10006"/>
      <c r="AR750" s="10006"/>
      <c r="AS750" s="10006"/>
      <c r="AT750" s="10007"/>
      <c r="AU750" s="10008"/>
      <c r="AV750" s="10008"/>
      <c r="AW750" s="10008"/>
      <c r="AX750" s="10000"/>
      <c r="AY750" s="10003"/>
      <c r="AZ750" s="10008"/>
      <c r="BA750" s="10000"/>
      <c r="BB750" s="10002"/>
      <c r="BC750" s="10003"/>
      <c r="BD750" s="10009"/>
      <c r="BF750" s="14501"/>
      <c r="BG750" s="14501"/>
      <c r="BH750" s="14501"/>
      <c r="BI750" s="14501"/>
      <c r="BJ750" s="14501"/>
      <c r="BK750" s="9885"/>
      <c r="BL750" s="14501"/>
      <c r="BM750" s="14501"/>
      <c r="BN750" s="14501"/>
    </row>
    <row r="751" spans="1:66" ht="29.25" hidden="1" customHeight="1">
      <c r="A751" s="13710">
        <v>468</v>
      </c>
      <c r="B751" s="14153" t="s">
        <v>8045</v>
      </c>
      <c r="C751" s="13598"/>
      <c r="D751" s="12180" t="s">
        <v>10072</v>
      </c>
      <c r="E751" s="12237" t="s">
        <v>1032</v>
      </c>
      <c r="F751" s="12143"/>
      <c r="G751" s="14138" t="s">
        <v>1030</v>
      </c>
      <c r="H751" s="13463" t="s">
        <v>1031</v>
      </c>
      <c r="I751" s="14179">
        <v>5</v>
      </c>
      <c r="K751" s="10000"/>
      <c r="L751" s="10001"/>
      <c r="M751" s="10001"/>
      <c r="N751" s="10002"/>
      <c r="O751" s="10002"/>
      <c r="P751" s="10003"/>
      <c r="Q751" s="10004"/>
      <c r="R751" s="10005"/>
      <c r="S751" s="10006"/>
      <c r="T751" s="10007"/>
      <c r="U751" s="10004"/>
      <c r="V751" s="10005"/>
      <c r="W751" s="10007"/>
      <c r="X751" s="10005"/>
      <c r="Y751" s="10007"/>
      <c r="Z751" s="10005"/>
      <c r="AA751" s="10006"/>
      <c r="AB751" s="10006"/>
      <c r="AC751" s="10006"/>
      <c r="AD751" s="10006"/>
      <c r="AE751" s="10006"/>
      <c r="AF751" s="10007"/>
      <c r="AG751" s="10005"/>
      <c r="AH751" s="10006"/>
      <c r="AI751" s="10006"/>
      <c r="AJ751" s="10006"/>
      <c r="AK751" s="10006"/>
      <c r="AL751" s="10006"/>
      <c r="AM751" s="10006"/>
      <c r="AN751" s="10007"/>
      <c r="AO751" s="10005"/>
      <c r="AP751" s="10006"/>
      <c r="AQ751" s="10006"/>
      <c r="AR751" s="10006"/>
      <c r="AS751" s="10006"/>
      <c r="AT751" s="10007"/>
      <c r="AU751" s="10008"/>
      <c r="AV751" s="10008"/>
      <c r="AW751" s="10008"/>
      <c r="AX751" s="10000"/>
      <c r="AY751" s="10003"/>
      <c r="AZ751" s="10008"/>
      <c r="BA751" s="10000"/>
      <c r="BB751" s="10002"/>
      <c r="BC751" s="10003"/>
      <c r="BD751" s="10009"/>
      <c r="BF751" s="14501"/>
      <c r="BG751" s="14501"/>
      <c r="BH751" s="14501"/>
      <c r="BI751" s="14501"/>
      <c r="BJ751" s="14501"/>
      <c r="BK751" s="9885"/>
      <c r="BL751" s="14501"/>
      <c r="BM751" s="14501"/>
      <c r="BN751" s="14501"/>
    </row>
    <row r="752" spans="1:66" ht="29.25" hidden="1" customHeight="1" thickBot="1">
      <c r="A752" s="13711"/>
      <c r="B752" s="14154"/>
      <c r="C752" s="13598"/>
      <c r="D752" s="12238" t="s">
        <v>218</v>
      </c>
      <c r="E752" s="12239"/>
      <c r="F752" s="12240" t="s">
        <v>7130</v>
      </c>
      <c r="G752" s="14155"/>
      <c r="H752" s="13464"/>
      <c r="I752" s="14180"/>
      <c r="K752" s="10010"/>
      <c r="L752" s="10011"/>
      <c r="M752" s="10011"/>
      <c r="N752" s="10012"/>
      <c r="O752" s="10012"/>
      <c r="P752" s="10013"/>
      <c r="Q752" s="10014"/>
      <c r="R752" s="10015"/>
      <c r="S752" s="10016"/>
      <c r="T752" s="10017"/>
      <c r="U752" s="10014"/>
      <c r="V752" s="10015"/>
      <c r="W752" s="10017"/>
      <c r="X752" s="10015"/>
      <c r="Y752" s="10017"/>
      <c r="Z752" s="10015"/>
      <c r="AA752" s="10016"/>
      <c r="AB752" s="10016"/>
      <c r="AC752" s="10016"/>
      <c r="AD752" s="10016"/>
      <c r="AE752" s="10016"/>
      <c r="AF752" s="10017"/>
      <c r="AG752" s="10015"/>
      <c r="AH752" s="10016"/>
      <c r="AI752" s="10016"/>
      <c r="AJ752" s="10016"/>
      <c r="AK752" s="10016"/>
      <c r="AL752" s="10016"/>
      <c r="AM752" s="10016"/>
      <c r="AN752" s="10017"/>
      <c r="AO752" s="10015"/>
      <c r="AP752" s="10016"/>
      <c r="AQ752" s="10016"/>
      <c r="AR752" s="10016"/>
      <c r="AS752" s="10016"/>
      <c r="AT752" s="10017"/>
      <c r="AU752" s="10018"/>
      <c r="AV752" s="10018"/>
      <c r="AW752" s="10018"/>
      <c r="AX752" s="10010"/>
      <c r="AY752" s="10013"/>
      <c r="AZ752" s="10018"/>
      <c r="BA752" s="10010"/>
      <c r="BB752" s="10012"/>
      <c r="BC752" s="10013"/>
      <c r="BD752" s="10019"/>
      <c r="BF752" s="14508"/>
      <c r="BG752" s="14508"/>
      <c r="BH752" s="14508"/>
      <c r="BI752" s="14508"/>
      <c r="BJ752" s="14508"/>
      <c r="BK752" s="10020"/>
      <c r="BL752" s="14508"/>
      <c r="BM752" s="14508"/>
      <c r="BN752" s="14508"/>
    </row>
    <row r="753" spans="1:66" ht="29.25" hidden="1" customHeight="1">
      <c r="A753" s="13696">
        <v>469</v>
      </c>
      <c r="B753" s="14131" t="s">
        <v>8046</v>
      </c>
      <c r="C753" s="13598"/>
      <c r="D753" s="12208" t="s">
        <v>10072</v>
      </c>
      <c r="E753" s="12209" t="s">
        <v>968</v>
      </c>
      <c r="F753" s="11793"/>
      <c r="G753" s="14133" t="s">
        <v>1035</v>
      </c>
      <c r="H753" s="13453" t="s">
        <v>1036</v>
      </c>
      <c r="I753" s="14181">
        <v>1</v>
      </c>
      <c r="K753" s="9947"/>
      <c r="L753" s="9948"/>
      <c r="M753" s="9948"/>
      <c r="N753" s="6206"/>
      <c r="O753" s="6206"/>
      <c r="P753" s="9949"/>
      <c r="Q753" s="9950"/>
      <c r="R753" s="9951"/>
      <c r="S753" s="9952"/>
      <c r="T753" s="9953"/>
      <c r="U753" s="9950"/>
      <c r="V753" s="9951"/>
      <c r="W753" s="9953"/>
      <c r="X753" s="9951"/>
      <c r="Y753" s="9953"/>
      <c r="Z753" s="9951"/>
      <c r="AA753" s="9952"/>
      <c r="AB753" s="9952"/>
      <c r="AC753" s="9952"/>
      <c r="AD753" s="9952"/>
      <c r="AE753" s="9952"/>
      <c r="AF753" s="9953"/>
      <c r="AG753" s="9951"/>
      <c r="AH753" s="9952"/>
      <c r="AI753" s="9952"/>
      <c r="AJ753" s="9952"/>
      <c r="AK753" s="9952"/>
      <c r="AL753" s="9952"/>
      <c r="AM753" s="9952"/>
      <c r="AN753" s="9953"/>
      <c r="AO753" s="9951"/>
      <c r="AP753" s="9952"/>
      <c r="AQ753" s="9952"/>
      <c r="AR753" s="9952"/>
      <c r="AS753" s="9952"/>
      <c r="AT753" s="9953"/>
      <c r="AU753" s="9954"/>
      <c r="AV753" s="9954"/>
      <c r="AW753" s="9954"/>
      <c r="AX753" s="9947"/>
      <c r="AY753" s="9949"/>
      <c r="AZ753" s="9954"/>
      <c r="BA753" s="9947"/>
      <c r="BB753" s="6206"/>
      <c r="BC753" s="9949"/>
      <c r="BD753" s="9955"/>
      <c r="BF753" s="14506"/>
      <c r="BG753" s="14506"/>
      <c r="BH753" s="14506"/>
      <c r="BI753" s="14506"/>
      <c r="BJ753" s="14506"/>
      <c r="BK753" s="9956"/>
      <c r="BL753" s="14506"/>
      <c r="BM753" s="14506"/>
      <c r="BN753" s="14506"/>
    </row>
    <row r="754" spans="1:66" ht="29.25" customHeight="1">
      <c r="A754" s="13697"/>
      <c r="B754" s="14132"/>
      <c r="C754" s="13598"/>
      <c r="D754" s="12210" t="s">
        <v>86</v>
      </c>
      <c r="E754" s="12211"/>
      <c r="F754" s="7848" t="s">
        <v>1037</v>
      </c>
      <c r="G754" s="14134"/>
      <c r="H754" s="13454"/>
      <c r="I754" s="14182"/>
      <c r="K754" s="9957"/>
      <c r="L754" s="8504"/>
      <c r="M754" s="8504"/>
      <c r="N754" s="9959"/>
      <c r="O754" s="9959"/>
      <c r="P754" s="9960"/>
      <c r="Q754" s="8507"/>
      <c r="R754" s="8508"/>
      <c r="S754" s="8509"/>
      <c r="T754" s="8510"/>
      <c r="U754" s="8507"/>
      <c r="V754" s="8508"/>
      <c r="W754" s="8510"/>
      <c r="X754" s="8508"/>
      <c r="Y754" s="8510"/>
      <c r="Z754" s="8508"/>
      <c r="AA754" s="8509"/>
      <c r="AB754" s="8509"/>
      <c r="AC754" s="8509"/>
      <c r="AD754" s="8509"/>
      <c r="AE754" s="8509"/>
      <c r="AF754" s="8510"/>
      <c r="AG754" s="8508"/>
      <c r="AH754" s="8509"/>
      <c r="AI754" s="8509"/>
      <c r="AJ754" s="8509"/>
      <c r="AK754" s="8509"/>
      <c r="AL754" s="8509"/>
      <c r="AM754" s="8509"/>
      <c r="AN754" s="8510"/>
      <c r="AO754" s="8508"/>
      <c r="AP754" s="8509"/>
      <c r="AQ754" s="8509"/>
      <c r="AR754" s="8509"/>
      <c r="AS754" s="8509"/>
      <c r="AT754" s="8510"/>
      <c r="AU754" s="9961"/>
      <c r="AV754" s="9961"/>
      <c r="AW754" s="9961"/>
      <c r="AX754" s="9958"/>
      <c r="AY754" s="9960"/>
      <c r="AZ754" s="9961"/>
      <c r="BA754" s="9958"/>
      <c r="BB754" s="9959"/>
      <c r="BC754" s="9960"/>
      <c r="BD754" s="9962"/>
      <c r="BF754" s="14507"/>
      <c r="BG754" s="14507"/>
      <c r="BH754" s="14507"/>
      <c r="BI754" s="14507"/>
      <c r="BJ754" s="14507"/>
      <c r="BK754" s="13071"/>
      <c r="BL754" s="14507"/>
      <c r="BM754" s="14507"/>
      <c r="BN754" s="14507"/>
    </row>
    <row r="755" spans="1:66" ht="29.25" hidden="1" customHeight="1">
      <c r="A755" s="10021">
        <v>470</v>
      </c>
      <c r="B755" s="10022" t="s">
        <v>8047</v>
      </c>
      <c r="C755" s="13598"/>
      <c r="D755" s="12210" t="s">
        <v>10072</v>
      </c>
      <c r="E755" s="12211" t="s">
        <v>968</v>
      </c>
      <c r="F755" s="7848"/>
      <c r="G755" s="12241" t="s">
        <v>1038</v>
      </c>
      <c r="H755" s="12213"/>
      <c r="I755" s="12214"/>
      <c r="K755" s="9957"/>
      <c r="L755" s="8483"/>
      <c r="M755" s="8483"/>
      <c r="N755" s="9966"/>
      <c r="O755" s="9966"/>
      <c r="P755" s="9967"/>
      <c r="Q755" s="8486"/>
      <c r="R755" s="8487"/>
      <c r="S755" s="8488"/>
      <c r="T755" s="8489"/>
      <c r="U755" s="8486"/>
      <c r="V755" s="8487"/>
      <c r="W755" s="8489"/>
      <c r="X755" s="8487"/>
      <c r="Y755" s="8489"/>
      <c r="Z755" s="8487"/>
      <c r="AA755" s="8488"/>
      <c r="AB755" s="8488"/>
      <c r="AC755" s="8488"/>
      <c r="AD755" s="8488"/>
      <c r="AE755" s="8488"/>
      <c r="AF755" s="8489"/>
      <c r="AG755" s="8487"/>
      <c r="AH755" s="8488"/>
      <c r="AI755" s="8488"/>
      <c r="AJ755" s="8488"/>
      <c r="AK755" s="8488"/>
      <c r="AL755" s="8488"/>
      <c r="AM755" s="8488"/>
      <c r="AN755" s="8489"/>
      <c r="AO755" s="8487"/>
      <c r="AP755" s="8488"/>
      <c r="AQ755" s="8488"/>
      <c r="AR755" s="8488"/>
      <c r="AS755" s="8488"/>
      <c r="AT755" s="8489"/>
      <c r="AU755" s="9968"/>
      <c r="AV755" s="9968"/>
      <c r="AW755" s="9968"/>
      <c r="AX755" s="9957"/>
      <c r="AY755" s="9967"/>
      <c r="AZ755" s="9968"/>
      <c r="BA755" s="9957"/>
      <c r="BB755" s="9966"/>
      <c r="BC755" s="9967"/>
      <c r="BD755" s="8479"/>
      <c r="BF755" s="10023"/>
      <c r="BG755" s="10023"/>
      <c r="BH755" s="10023"/>
      <c r="BI755" s="10023"/>
      <c r="BJ755" s="10023"/>
      <c r="BK755" s="10023"/>
      <c r="BL755" s="10023"/>
      <c r="BM755" s="10023"/>
      <c r="BN755" s="10023"/>
    </row>
    <row r="756" spans="1:66" ht="29.25" hidden="1" customHeight="1">
      <c r="A756" s="13697">
        <v>471</v>
      </c>
      <c r="B756" s="14132" t="s">
        <v>8048</v>
      </c>
      <c r="C756" s="13598"/>
      <c r="D756" s="12210" t="s">
        <v>10072</v>
      </c>
      <c r="E756" s="12211" t="s">
        <v>968</v>
      </c>
      <c r="F756" s="7848"/>
      <c r="G756" s="14134" t="s">
        <v>1040</v>
      </c>
      <c r="H756" s="13454" t="s">
        <v>1041</v>
      </c>
      <c r="I756" s="14182">
        <v>2</v>
      </c>
      <c r="K756" s="9958"/>
      <c r="L756" s="8504"/>
      <c r="M756" s="8504"/>
      <c r="N756" s="9959"/>
      <c r="O756" s="9959"/>
      <c r="P756" s="9960"/>
      <c r="Q756" s="8507"/>
      <c r="R756" s="8508"/>
      <c r="S756" s="8509"/>
      <c r="T756" s="8510"/>
      <c r="U756" s="8507"/>
      <c r="V756" s="8508"/>
      <c r="W756" s="8510"/>
      <c r="X756" s="8508"/>
      <c r="Y756" s="8510"/>
      <c r="Z756" s="8508"/>
      <c r="AA756" s="8509"/>
      <c r="AB756" s="8509"/>
      <c r="AC756" s="8509"/>
      <c r="AD756" s="8509"/>
      <c r="AE756" s="8509"/>
      <c r="AF756" s="8510"/>
      <c r="AG756" s="8508"/>
      <c r="AH756" s="8509"/>
      <c r="AI756" s="8509"/>
      <c r="AJ756" s="8509"/>
      <c r="AK756" s="8509"/>
      <c r="AL756" s="8509"/>
      <c r="AM756" s="8509"/>
      <c r="AN756" s="8510"/>
      <c r="AO756" s="8508"/>
      <c r="AP756" s="8509"/>
      <c r="AQ756" s="8509"/>
      <c r="AR756" s="8509"/>
      <c r="AS756" s="8509"/>
      <c r="AT756" s="8510"/>
      <c r="AU756" s="9961"/>
      <c r="AV756" s="9961"/>
      <c r="AW756" s="9961"/>
      <c r="AX756" s="9958"/>
      <c r="AY756" s="9960"/>
      <c r="AZ756" s="9961"/>
      <c r="BA756" s="9958"/>
      <c r="BB756" s="9959"/>
      <c r="BC756" s="9960"/>
      <c r="BD756" s="9962"/>
      <c r="BF756" s="14507"/>
      <c r="BG756" s="14507"/>
      <c r="BH756" s="14507"/>
      <c r="BI756" s="14507"/>
      <c r="BJ756" s="14507"/>
      <c r="BK756" s="9963"/>
      <c r="BL756" s="14507"/>
      <c r="BM756" s="14507"/>
      <c r="BN756" s="14507"/>
    </row>
    <row r="757" spans="1:66" ht="29.25" hidden="1" customHeight="1" thickBot="1">
      <c r="A757" s="13712"/>
      <c r="B757" s="14147"/>
      <c r="C757" s="13598"/>
      <c r="D757" s="11727" t="s">
        <v>10238</v>
      </c>
      <c r="E757" s="12215"/>
      <c r="F757" s="7850" t="s">
        <v>973</v>
      </c>
      <c r="G757" s="14148"/>
      <c r="H757" s="13465"/>
      <c r="I757" s="14183"/>
      <c r="K757" s="10024"/>
      <c r="L757" s="10025"/>
      <c r="M757" s="10025"/>
      <c r="N757" s="6189"/>
      <c r="O757" s="6189"/>
      <c r="P757" s="10026"/>
      <c r="Q757" s="10027"/>
      <c r="R757" s="10028"/>
      <c r="S757" s="10029"/>
      <c r="T757" s="10030"/>
      <c r="U757" s="10027"/>
      <c r="V757" s="10028"/>
      <c r="W757" s="10030"/>
      <c r="X757" s="10028"/>
      <c r="Y757" s="10030"/>
      <c r="Z757" s="10028"/>
      <c r="AA757" s="10029"/>
      <c r="AB757" s="10029"/>
      <c r="AC757" s="10029"/>
      <c r="AD757" s="10029"/>
      <c r="AE757" s="10029"/>
      <c r="AF757" s="10030"/>
      <c r="AG757" s="10028"/>
      <c r="AH757" s="10029"/>
      <c r="AI757" s="10029"/>
      <c r="AJ757" s="10029"/>
      <c r="AK757" s="10029"/>
      <c r="AL757" s="10029"/>
      <c r="AM757" s="10029"/>
      <c r="AN757" s="10030"/>
      <c r="AO757" s="10028"/>
      <c r="AP757" s="10029"/>
      <c r="AQ757" s="10029"/>
      <c r="AR757" s="10029"/>
      <c r="AS757" s="10029"/>
      <c r="AT757" s="10030"/>
      <c r="AU757" s="10031"/>
      <c r="AV757" s="10031"/>
      <c r="AW757" s="10031"/>
      <c r="AX757" s="10024"/>
      <c r="AY757" s="10026"/>
      <c r="AZ757" s="10031"/>
      <c r="BA757" s="10024"/>
      <c r="BB757" s="6189"/>
      <c r="BC757" s="10026"/>
      <c r="BD757" s="10032"/>
      <c r="BF757" s="14509"/>
      <c r="BG757" s="14509"/>
      <c r="BH757" s="14509"/>
      <c r="BI757" s="14509"/>
      <c r="BJ757" s="14509"/>
      <c r="BK757" s="9971"/>
      <c r="BL757" s="14509"/>
      <c r="BM757" s="14509"/>
      <c r="BN757" s="14509"/>
    </row>
    <row r="758" spans="1:66" ht="29.25" hidden="1" customHeight="1">
      <c r="A758" s="10033">
        <v>472</v>
      </c>
      <c r="B758" s="10034" t="s">
        <v>8049</v>
      </c>
      <c r="C758" s="13598"/>
      <c r="D758" s="11731" t="s">
        <v>10072</v>
      </c>
      <c r="E758" s="12219" t="s">
        <v>968</v>
      </c>
      <c r="F758" s="11732"/>
      <c r="G758" s="12242" t="s">
        <v>1042</v>
      </c>
      <c r="H758" s="12222"/>
      <c r="I758" s="12134"/>
      <c r="K758" s="8227"/>
      <c r="L758" s="8229"/>
      <c r="M758" s="8229"/>
      <c r="N758" s="9646"/>
      <c r="O758" s="9646"/>
      <c r="P758" s="9647"/>
      <c r="Q758" s="8232"/>
      <c r="R758" s="8233"/>
      <c r="S758" s="8234"/>
      <c r="T758" s="8235"/>
      <c r="U758" s="8232"/>
      <c r="V758" s="8233"/>
      <c r="W758" s="8235"/>
      <c r="X758" s="8233"/>
      <c r="Y758" s="8235"/>
      <c r="Z758" s="8233"/>
      <c r="AA758" s="8234"/>
      <c r="AB758" s="8234"/>
      <c r="AC758" s="8234"/>
      <c r="AD758" s="8234"/>
      <c r="AE758" s="8234"/>
      <c r="AF758" s="8235"/>
      <c r="AG758" s="8233"/>
      <c r="AH758" s="8234"/>
      <c r="AI758" s="8234"/>
      <c r="AJ758" s="8234"/>
      <c r="AK758" s="8234"/>
      <c r="AL758" s="8234"/>
      <c r="AM758" s="8234"/>
      <c r="AN758" s="8235"/>
      <c r="AO758" s="8233"/>
      <c r="AP758" s="8234"/>
      <c r="AQ758" s="8234"/>
      <c r="AR758" s="8234"/>
      <c r="AS758" s="8234"/>
      <c r="AT758" s="8235"/>
      <c r="AU758" s="9648"/>
      <c r="AV758" s="9648"/>
      <c r="AW758" s="9648"/>
      <c r="AX758" s="8227"/>
      <c r="AY758" s="9647"/>
      <c r="AZ758" s="9648"/>
      <c r="BA758" s="8227"/>
      <c r="BB758" s="9646"/>
      <c r="BC758" s="9647"/>
      <c r="BD758" s="8639"/>
      <c r="BF758" s="10035"/>
      <c r="BG758" s="10035"/>
      <c r="BH758" s="10035"/>
      <c r="BI758" s="10035"/>
      <c r="BJ758" s="10035"/>
      <c r="BK758" s="10035"/>
      <c r="BL758" s="10035"/>
      <c r="BM758" s="10035"/>
      <c r="BN758" s="10035"/>
    </row>
    <row r="759" spans="1:66" ht="29.25" hidden="1" customHeight="1">
      <c r="A759" s="7741">
        <v>473</v>
      </c>
      <c r="B759" s="7792" t="s">
        <v>8050</v>
      </c>
      <c r="C759" s="13598"/>
      <c r="D759" s="11736" t="s">
        <v>10072</v>
      </c>
      <c r="E759" s="12243" t="s">
        <v>1047</v>
      </c>
      <c r="F759" s="7841"/>
      <c r="G759" s="12244" t="s">
        <v>1044</v>
      </c>
      <c r="H759" s="11738" t="s">
        <v>1045</v>
      </c>
      <c r="I759" s="12136">
        <v>0</v>
      </c>
      <c r="K759" s="8238"/>
      <c r="L759" s="8240"/>
      <c r="M759" s="8240"/>
      <c r="N759" s="9649"/>
      <c r="O759" s="9649"/>
      <c r="P759" s="9650"/>
      <c r="Q759" s="8243"/>
      <c r="R759" s="8244"/>
      <c r="S759" s="8245"/>
      <c r="T759" s="8246"/>
      <c r="U759" s="8243"/>
      <c r="V759" s="8244"/>
      <c r="W759" s="8246"/>
      <c r="X759" s="8244"/>
      <c r="Y759" s="8246"/>
      <c r="Z759" s="8244"/>
      <c r="AA759" s="8245"/>
      <c r="AB759" s="8245"/>
      <c r="AC759" s="8245"/>
      <c r="AD759" s="8245"/>
      <c r="AE759" s="8245"/>
      <c r="AF759" s="8246"/>
      <c r="AG759" s="8244"/>
      <c r="AH759" s="8245"/>
      <c r="AI759" s="8245"/>
      <c r="AJ759" s="8245"/>
      <c r="AK759" s="8245"/>
      <c r="AL759" s="8245"/>
      <c r="AM759" s="8245"/>
      <c r="AN759" s="8246"/>
      <c r="AO759" s="8244"/>
      <c r="AP759" s="8245"/>
      <c r="AQ759" s="8245"/>
      <c r="AR759" s="8245"/>
      <c r="AS759" s="8245"/>
      <c r="AT759" s="8246"/>
      <c r="AU759" s="9651"/>
      <c r="AV759" s="9651"/>
      <c r="AW759" s="9651"/>
      <c r="AX759" s="8238"/>
      <c r="AY759" s="9650"/>
      <c r="AZ759" s="9651"/>
      <c r="BA759" s="8238"/>
      <c r="BB759" s="9649"/>
      <c r="BC759" s="9650"/>
      <c r="BD759" s="8652"/>
      <c r="BF759" s="10036"/>
      <c r="BG759" s="10036"/>
      <c r="BH759" s="10036"/>
      <c r="BI759" s="10036"/>
      <c r="BJ759" s="10036"/>
      <c r="BK759" s="10036"/>
      <c r="BL759" s="10036"/>
      <c r="BM759" s="10036"/>
      <c r="BN759" s="10036"/>
    </row>
    <row r="760" spans="1:66" ht="29.25" hidden="1" customHeight="1">
      <c r="A760" s="7741">
        <v>474</v>
      </c>
      <c r="B760" s="7792" t="s">
        <v>8051</v>
      </c>
      <c r="C760" s="13598"/>
      <c r="D760" s="11736" t="s">
        <v>10072</v>
      </c>
      <c r="E760" s="12243" t="s">
        <v>1050</v>
      </c>
      <c r="F760" s="7841"/>
      <c r="G760" s="12244" t="s">
        <v>1048</v>
      </c>
      <c r="H760" s="11738" t="s">
        <v>1049</v>
      </c>
      <c r="I760" s="12136">
        <v>6</v>
      </c>
      <c r="K760" s="8238"/>
      <c r="L760" s="8240"/>
      <c r="M760" s="8240"/>
      <c r="N760" s="9649"/>
      <c r="O760" s="9649"/>
      <c r="P760" s="9650"/>
      <c r="Q760" s="8243"/>
      <c r="R760" s="8244"/>
      <c r="S760" s="8245"/>
      <c r="T760" s="8246"/>
      <c r="U760" s="8243"/>
      <c r="V760" s="8244"/>
      <c r="W760" s="8246"/>
      <c r="X760" s="8244"/>
      <c r="Y760" s="8246"/>
      <c r="Z760" s="8244"/>
      <c r="AA760" s="8245"/>
      <c r="AB760" s="8245"/>
      <c r="AC760" s="8245"/>
      <c r="AD760" s="8245"/>
      <c r="AE760" s="8245"/>
      <c r="AF760" s="8246"/>
      <c r="AG760" s="8244"/>
      <c r="AH760" s="8245"/>
      <c r="AI760" s="8245"/>
      <c r="AJ760" s="8245"/>
      <c r="AK760" s="8245"/>
      <c r="AL760" s="8245"/>
      <c r="AM760" s="8245"/>
      <c r="AN760" s="8246"/>
      <c r="AO760" s="8244"/>
      <c r="AP760" s="8245"/>
      <c r="AQ760" s="8245"/>
      <c r="AR760" s="8245"/>
      <c r="AS760" s="8245"/>
      <c r="AT760" s="8246"/>
      <c r="AU760" s="9651"/>
      <c r="AV760" s="9651"/>
      <c r="AW760" s="9651"/>
      <c r="AX760" s="8238"/>
      <c r="AY760" s="9650"/>
      <c r="AZ760" s="9651"/>
      <c r="BA760" s="8238"/>
      <c r="BB760" s="9649"/>
      <c r="BC760" s="9650"/>
      <c r="BD760" s="8652"/>
      <c r="BF760" s="10036"/>
      <c r="BG760" s="10036"/>
      <c r="BH760" s="10036"/>
      <c r="BI760" s="10036"/>
      <c r="BJ760" s="10036"/>
      <c r="BK760" s="10036"/>
      <c r="BL760" s="10036"/>
      <c r="BM760" s="10036"/>
      <c r="BN760" s="10036"/>
    </row>
    <row r="761" spans="1:66" ht="29.25" hidden="1" customHeight="1">
      <c r="A761" s="7741">
        <v>475</v>
      </c>
      <c r="B761" s="7792" t="s">
        <v>8052</v>
      </c>
      <c r="C761" s="13598"/>
      <c r="D761" s="11736" t="s">
        <v>10072</v>
      </c>
      <c r="E761" s="12243" t="s">
        <v>1053</v>
      </c>
      <c r="F761" s="7841"/>
      <c r="G761" s="12244" t="s">
        <v>1051</v>
      </c>
      <c r="H761" s="11738" t="s">
        <v>1052</v>
      </c>
      <c r="I761" s="12136">
        <v>0</v>
      </c>
      <c r="K761" s="8238"/>
      <c r="L761" s="8240"/>
      <c r="M761" s="8240"/>
      <c r="N761" s="9649"/>
      <c r="O761" s="9649"/>
      <c r="P761" s="9650"/>
      <c r="Q761" s="8243"/>
      <c r="R761" s="8244"/>
      <c r="S761" s="8245"/>
      <c r="T761" s="8246"/>
      <c r="U761" s="8243"/>
      <c r="V761" s="8244"/>
      <c r="W761" s="8246"/>
      <c r="X761" s="8244"/>
      <c r="Y761" s="8246"/>
      <c r="Z761" s="8244"/>
      <c r="AA761" s="8245"/>
      <c r="AB761" s="8245"/>
      <c r="AC761" s="8245"/>
      <c r="AD761" s="8245"/>
      <c r="AE761" s="8245"/>
      <c r="AF761" s="8246"/>
      <c r="AG761" s="8244"/>
      <c r="AH761" s="8245"/>
      <c r="AI761" s="8245"/>
      <c r="AJ761" s="8245"/>
      <c r="AK761" s="8245"/>
      <c r="AL761" s="8245"/>
      <c r="AM761" s="8245"/>
      <c r="AN761" s="8246"/>
      <c r="AO761" s="8244"/>
      <c r="AP761" s="8245"/>
      <c r="AQ761" s="8245"/>
      <c r="AR761" s="8245"/>
      <c r="AS761" s="8245"/>
      <c r="AT761" s="8246"/>
      <c r="AU761" s="9651"/>
      <c r="AV761" s="9651"/>
      <c r="AW761" s="9651"/>
      <c r="AX761" s="8238"/>
      <c r="AY761" s="9650"/>
      <c r="AZ761" s="9651"/>
      <c r="BA761" s="8238"/>
      <c r="BB761" s="9649"/>
      <c r="BC761" s="9650"/>
      <c r="BD761" s="8652"/>
      <c r="BF761" s="10036"/>
      <c r="BG761" s="10036"/>
      <c r="BH761" s="10036"/>
      <c r="BI761" s="10036"/>
      <c r="BJ761" s="10036"/>
      <c r="BK761" s="10036"/>
      <c r="BL761" s="10036"/>
      <c r="BM761" s="10036"/>
      <c r="BN761" s="10036"/>
    </row>
    <row r="762" spans="1:66" ht="29.25" hidden="1" customHeight="1">
      <c r="A762" s="7741">
        <v>476</v>
      </c>
      <c r="B762" s="7792" t="s">
        <v>8053</v>
      </c>
      <c r="C762" s="13598"/>
      <c r="D762" s="11736" t="s">
        <v>10072</v>
      </c>
      <c r="E762" s="12243" t="s">
        <v>1053</v>
      </c>
      <c r="F762" s="7841"/>
      <c r="G762" s="12244" t="s">
        <v>1054</v>
      </c>
      <c r="H762" s="11738" t="s">
        <v>1055</v>
      </c>
      <c r="I762" s="12136">
        <v>0</v>
      </c>
      <c r="K762" s="8238"/>
      <c r="L762" s="8240"/>
      <c r="M762" s="8240"/>
      <c r="N762" s="9649"/>
      <c r="O762" s="9649"/>
      <c r="P762" s="9650"/>
      <c r="Q762" s="8243"/>
      <c r="R762" s="8244"/>
      <c r="S762" s="8245"/>
      <c r="T762" s="8246"/>
      <c r="U762" s="8243"/>
      <c r="V762" s="8244"/>
      <c r="W762" s="8246"/>
      <c r="X762" s="8244"/>
      <c r="Y762" s="8246"/>
      <c r="Z762" s="8244"/>
      <c r="AA762" s="8245"/>
      <c r="AB762" s="8245"/>
      <c r="AC762" s="8245"/>
      <c r="AD762" s="8245"/>
      <c r="AE762" s="8245"/>
      <c r="AF762" s="8246"/>
      <c r="AG762" s="8244"/>
      <c r="AH762" s="8245"/>
      <c r="AI762" s="8245"/>
      <c r="AJ762" s="8245"/>
      <c r="AK762" s="8245"/>
      <c r="AL762" s="8245"/>
      <c r="AM762" s="8245"/>
      <c r="AN762" s="8246"/>
      <c r="AO762" s="8244"/>
      <c r="AP762" s="8245"/>
      <c r="AQ762" s="8245"/>
      <c r="AR762" s="8245"/>
      <c r="AS762" s="8245"/>
      <c r="AT762" s="8246"/>
      <c r="AU762" s="9651"/>
      <c r="AV762" s="9651"/>
      <c r="AW762" s="9651"/>
      <c r="AX762" s="8238"/>
      <c r="AY762" s="9650"/>
      <c r="AZ762" s="9651"/>
      <c r="BA762" s="8238"/>
      <c r="BB762" s="9649"/>
      <c r="BC762" s="9650"/>
      <c r="BD762" s="8652"/>
      <c r="BF762" s="10036"/>
      <c r="BG762" s="10036"/>
      <c r="BH762" s="10036"/>
      <c r="BI762" s="10036"/>
      <c r="BJ762" s="10036"/>
      <c r="BK762" s="10036"/>
      <c r="BL762" s="10036"/>
      <c r="BM762" s="10036"/>
      <c r="BN762" s="10036"/>
    </row>
    <row r="763" spans="1:66" ht="29.25" hidden="1" customHeight="1">
      <c r="A763" s="7741">
        <v>477</v>
      </c>
      <c r="B763" s="7792" t="s">
        <v>8054</v>
      </c>
      <c r="C763" s="13598"/>
      <c r="D763" s="11736" t="s">
        <v>10072</v>
      </c>
      <c r="E763" s="12243" t="s">
        <v>1053</v>
      </c>
      <c r="F763" s="7841"/>
      <c r="G763" s="12244" t="s">
        <v>1057</v>
      </c>
      <c r="H763" s="11738" t="s">
        <v>1058</v>
      </c>
      <c r="I763" s="12136">
        <v>1</v>
      </c>
      <c r="K763" s="8238"/>
      <c r="L763" s="8240"/>
      <c r="M763" s="8240"/>
      <c r="N763" s="9649"/>
      <c r="O763" s="9649"/>
      <c r="P763" s="9650"/>
      <c r="Q763" s="8243"/>
      <c r="R763" s="8244"/>
      <c r="S763" s="8245"/>
      <c r="T763" s="8246"/>
      <c r="U763" s="8243"/>
      <c r="V763" s="8244"/>
      <c r="W763" s="8246"/>
      <c r="X763" s="8244"/>
      <c r="Y763" s="8246"/>
      <c r="Z763" s="8244"/>
      <c r="AA763" s="8245"/>
      <c r="AB763" s="8245"/>
      <c r="AC763" s="8245"/>
      <c r="AD763" s="8245"/>
      <c r="AE763" s="8245"/>
      <c r="AF763" s="8246"/>
      <c r="AG763" s="8244"/>
      <c r="AH763" s="8245"/>
      <c r="AI763" s="8245"/>
      <c r="AJ763" s="8245"/>
      <c r="AK763" s="8245"/>
      <c r="AL763" s="8245"/>
      <c r="AM763" s="8245"/>
      <c r="AN763" s="8246"/>
      <c r="AO763" s="8244"/>
      <c r="AP763" s="8245"/>
      <c r="AQ763" s="8245"/>
      <c r="AR763" s="8245"/>
      <c r="AS763" s="8245"/>
      <c r="AT763" s="8246"/>
      <c r="AU763" s="9651"/>
      <c r="AV763" s="9651"/>
      <c r="AW763" s="9651"/>
      <c r="AX763" s="8238"/>
      <c r="AY763" s="9650"/>
      <c r="AZ763" s="9651"/>
      <c r="BA763" s="8238"/>
      <c r="BB763" s="9649"/>
      <c r="BC763" s="9650"/>
      <c r="BD763" s="8652"/>
      <c r="BF763" s="10036"/>
      <c r="BG763" s="10036"/>
      <c r="BH763" s="10036"/>
      <c r="BI763" s="10036"/>
      <c r="BJ763" s="10036"/>
      <c r="BK763" s="10036"/>
      <c r="BL763" s="10036"/>
      <c r="BM763" s="10036"/>
      <c r="BN763" s="10036"/>
    </row>
    <row r="764" spans="1:66" ht="29.25" hidden="1" customHeight="1">
      <c r="A764" s="7741">
        <v>478</v>
      </c>
      <c r="B764" s="7792" t="s">
        <v>8055</v>
      </c>
      <c r="C764" s="13598"/>
      <c r="D764" s="11736" t="s">
        <v>10072</v>
      </c>
      <c r="E764" s="12243" t="s">
        <v>1053</v>
      </c>
      <c r="F764" s="7841"/>
      <c r="G764" s="12244" t="s">
        <v>1059</v>
      </c>
      <c r="H764" s="11738" t="s">
        <v>1060</v>
      </c>
      <c r="I764" s="12136">
        <v>2</v>
      </c>
      <c r="K764" s="8238"/>
      <c r="L764" s="8240"/>
      <c r="M764" s="8240"/>
      <c r="N764" s="9649"/>
      <c r="O764" s="9649"/>
      <c r="P764" s="9650"/>
      <c r="Q764" s="8243"/>
      <c r="R764" s="8244"/>
      <c r="S764" s="8245"/>
      <c r="T764" s="8246"/>
      <c r="U764" s="8243"/>
      <c r="V764" s="8244"/>
      <c r="W764" s="8246"/>
      <c r="X764" s="8244"/>
      <c r="Y764" s="8246"/>
      <c r="Z764" s="8244"/>
      <c r="AA764" s="8245"/>
      <c r="AB764" s="8245"/>
      <c r="AC764" s="8245"/>
      <c r="AD764" s="8245"/>
      <c r="AE764" s="8245"/>
      <c r="AF764" s="8246"/>
      <c r="AG764" s="8244"/>
      <c r="AH764" s="8245"/>
      <c r="AI764" s="8245"/>
      <c r="AJ764" s="8245"/>
      <c r="AK764" s="8245"/>
      <c r="AL764" s="8245"/>
      <c r="AM764" s="8245"/>
      <c r="AN764" s="8246"/>
      <c r="AO764" s="8244"/>
      <c r="AP764" s="8245"/>
      <c r="AQ764" s="8245"/>
      <c r="AR764" s="8245"/>
      <c r="AS764" s="8245"/>
      <c r="AT764" s="8246"/>
      <c r="AU764" s="9651"/>
      <c r="AV764" s="9651"/>
      <c r="AW764" s="9651"/>
      <c r="AX764" s="8238"/>
      <c r="AY764" s="9650"/>
      <c r="AZ764" s="9651"/>
      <c r="BA764" s="8238"/>
      <c r="BB764" s="9649"/>
      <c r="BC764" s="9650"/>
      <c r="BD764" s="8652"/>
      <c r="BF764" s="10036"/>
      <c r="BG764" s="10036"/>
      <c r="BH764" s="10036"/>
      <c r="BI764" s="10036"/>
      <c r="BJ764" s="10036"/>
      <c r="BK764" s="10036"/>
      <c r="BL764" s="10036"/>
      <c r="BM764" s="10036"/>
      <c r="BN764" s="10036"/>
    </row>
    <row r="765" spans="1:66" ht="29.25" hidden="1" customHeight="1">
      <c r="A765" s="7741">
        <v>479</v>
      </c>
      <c r="B765" s="7792" t="s">
        <v>8056</v>
      </c>
      <c r="C765" s="13598"/>
      <c r="D765" s="11736" t="s">
        <v>10072</v>
      </c>
      <c r="E765" s="12243" t="s">
        <v>1053</v>
      </c>
      <c r="F765" s="7841"/>
      <c r="G765" s="12244" t="s">
        <v>1061</v>
      </c>
      <c r="H765" s="11738" t="s">
        <v>1062</v>
      </c>
      <c r="I765" s="12136">
        <v>4</v>
      </c>
      <c r="K765" s="8238"/>
      <c r="L765" s="8240"/>
      <c r="M765" s="8240"/>
      <c r="N765" s="9649"/>
      <c r="O765" s="9649"/>
      <c r="P765" s="9650"/>
      <c r="Q765" s="8243"/>
      <c r="R765" s="8244"/>
      <c r="S765" s="8245"/>
      <c r="T765" s="8246"/>
      <c r="U765" s="8243"/>
      <c r="V765" s="8244"/>
      <c r="W765" s="8246"/>
      <c r="X765" s="8244"/>
      <c r="Y765" s="8246"/>
      <c r="Z765" s="8244"/>
      <c r="AA765" s="8245"/>
      <c r="AB765" s="8245"/>
      <c r="AC765" s="8245"/>
      <c r="AD765" s="8245"/>
      <c r="AE765" s="8245"/>
      <c r="AF765" s="8246"/>
      <c r="AG765" s="8244"/>
      <c r="AH765" s="8245"/>
      <c r="AI765" s="8245"/>
      <c r="AJ765" s="8245"/>
      <c r="AK765" s="8245"/>
      <c r="AL765" s="8245"/>
      <c r="AM765" s="8245"/>
      <c r="AN765" s="8246"/>
      <c r="AO765" s="8244"/>
      <c r="AP765" s="8245"/>
      <c r="AQ765" s="8245"/>
      <c r="AR765" s="8245"/>
      <c r="AS765" s="8245"/>
      <c r="AT765" s="8246"/>
      <c r="AU765" s="9651"/>
      <c r="AV765" s="9651"/>
      <c r="AW765" s="9651"/>
      <c r="AX765" s="8238"/>
      <c r="AY765" s="9650"/>
      <c r="AZ765" s="9651"/>
      <c r="BA765" s="8238"/>
      <c r="BB765" s="9649"/>
      <c r="BC765" s="9650"/>
      <c r="BD765" s="8652"/>
      <c r="BF765" s="10036"/>
      <c r="BG765" s="10036"/>
      <c r="BH765" s="10036"/>
      <c r="BI765" s="10036"/>
      <c r="BJ765" s="10036"/>
      <c r="BK765" s="10036"/>
      <c r="BL765" s="10036"/>
      <c r="BM765" s="10036"/>
      <c r="BN765" s="10036"/>
    </row>
    <row r="766" spans="1:66" ht="29.25" hidden="1" customHeight="1">
      <c r="A766" s="13530">
        <v>480</v>
      </c>
      <c r="B766" s="14149" t="s">
        <v>8057</v>
      </c>
      <c r="C766" s="13598"/>
      <c r="D766" s="11736" t="s">
        <v>10072</v>
      </c>
      <c r="E766" s="12243" t="s">
        <v>1065</v>
      </c>
      <c r="F766" s="7841"/>
      <c r="G766" s="14150" t="s">
        <v>1063</v>
      </c>
      <c r="H766" s="13401" t="s">
        <v>1064</v>
      </c>
      <c r="I766" s="14115">
        <v>1</v>
      </c>
      <c r="K766" s="9662"/>
      <c r="L766" s="9653"/>
      <c r="M766" s="9653"/>
      <c r="N766" s="9663"/>
      <c r="O766" s="9663"/>
      <c r="P766" s="9664"/>
      <c r="Q766" s="9656"/>
      <c r="R766" s="9657"/>
      <c r="S766" s="9658"/>
      <c r="T766" s="9659"/>
      <c r="U766" s="9656"/>
      <c r="V766" s="9657"/>
      <c r="W766" s="9659"/>
      <c r="X766" s="9657"/>
      <c r="Y766" s="9659"/>
      <c r="Z766" s="9657"/>
      <c r="AA766" s="9658"/>
      <c r="AB766" s="9658"/>
      <c r="AC766" s="9658"/>
      <c r="AD766" s="9658"/>
      <c r="AE766" s="9658"/>
      <c r="AF766" s="9659"/>
      <c r="AG766" s="9657"/>
      <c r="AH766" s="9658"/>
      <c r="AI766" s="9658"/>
      <c r="AJ766" s="9658"/>
      <c r="AK766" s="9658"/>
      <c r="AL766" s="9658"/>
      <c r="AM766" s="9658"/>
      <c r="AN766" s="9659"/>
      <c r="AO766" s="9657"/>
      <c r="AP766" s="9658"/>
      <c r="AQ766" s="9658"/>
      <c r="AR766" s="9658"/>
      <c r="AS766" s="9658"/>
      <c r="AT766" s="9659"/>
      <c r="AU766" s="9665"/>
      <c r="AV766" s="9665"/>
      <c r="AW766" s="9665"/>
      <c r="AX766" s="9662"/>
      <c r="AY766" s="9664"/>
      <c r="AZ766" s="9665"/>
      <c r="BA766" s="9662"/>
      <c r="BB766" s="9663"/>
      <c r="BC766" s="9664"/>
      <c r="BD766" s="9666"/>
      <c r="BF766" s="14510"/>
      <c r="BG766" s="14510"/>
      <c r="BH766" s="14510"/>
      <c r="BI766" s="14510"/>
      <c r="BJ766" s="14510"/>
      <c r="BK766" s="10036"/>
      <c r="BL766" s="14510"/>
      <c r="BM766" s="14510"/>
      <c r="BN766" s="14510"/>
    </row>
    <row r="767" spans="1:66" ht="29.25" hidden="1" customHeight="1">
      <c r="A767" s="13530"/>
      <c r="B767" s="14149"/>
      <c r="C767" s="13598"/>
      <c r="D767" s="11736" t="s">
        <v>10063</v>
      </c>
      <c r="E767" s="12243"/>
      <c r="F767" s="7841" t="s">
        <v>9799</v>
      </c>
      <c r="G767" s="14150"/>
      <c r="H767" s="13401"/>
      <c r="I767" s="14115"/>
      <c r="K767" s="9662"/>
      <c r="L767" s="9653"/>
      <c r="M767" s="9653"/>
      <c r="N767" s="9663"/>
      <c r="O767" s="9663"/>
      <c r="P767" s="9664"/>
      <c r="Q767" s="9656"/>
      <c r="R767" s="9657"/>
      <c r="S767" s="9658"/>
      <c r="T767" s="9659"/>
      <c r="U767" s="9656"/>
      <c r="V767" s="9657"/>
      <c r="W767" s="9659"/>
      <c r="X767" s="9657"/>
      <c r="Y767" s="9659"/>
      <c r="Z767" s="9657"/>
      <c r="AA767" s="9658"/>
      <c r="AB767" s="9658"/>
      <c r="AC767" s="9658"/>
      <c r="AD767" s="9658"/>
      <c r="AE767" s="9658"/>
      <c r="AF767" s="9659"/>
      <c r="AG767" s="9657"/>
      <c r="AH767" s="9658"/>
      <c r="AI767" s="9658"/>
      <c r="AJ767" s="9658"/>
      <c r="AK767" s="9658"/>
      <c r="AL767" s="9658"/>
      <c r="AM767" s="9658"/>
      <c r="AN767" s="9659"/>
      <c r="AO767" s="9657"/>
      <c r="AP767" s="9658"/>
      <c r="AQ767" s="9658"/>
      <c r="AR767" s="9658"/>
      <c r="AS767" s="9658"/>
      <c r="AT767" s="9659"/>
      <c r="AU767" s="9665"/>
      <c r="AV767" s="9665"/>
      <c r="AW767" s="9665"/>
      <c r="AX767" s="9662"/>
      <c r="AY767" s="9664"/>
      <c r="AZ767" s="9665"/>
      <c r="BA767" s="9662"/>
      <c r="BB767" s="9663"/>
      <c r="BC767" s="9664"/>
      <c r="BD767" s="9666"/>
      <c r="BF767" s="14510"/>
      <c r="BG767" s="14510"/>
      <c r="BH767" s="14510"/>
      <c r="BI767" s="14510"/>
      <c r="BJ767" s="14510"/>
      <c r="BK767" s="10036"/>
      <c r="BL767" s="14510"/>
      <c r="BM767" s="14510"/>
      <c r="BN767" s="14510"/>
    </row>
    <row r="768" spans="1:66" ht="29.25" hidden="1" customHeight="1">
      <c r="A768" s="13530">
        <v>481</v>
      </c>
      <c r="B768" s="14149" t="s">
        <v>8058</v>
      </c>
      <c r="C768" s="13598"/>
      <c r="D768" s="11736" t="s">
        <v>10072</v>
      </c>
      <c r="E768" s="12243" t="s">
        <v>976</v>
      </c>
      <c r="F768" s="7841"/>
      <c r="G768" s="14150" t="s">
        <v>1067</v>
      </c>
      <c r="H768" s="13401" t="s">
        <v>1068</v>
      </c>
      <c r="I768" s="14115">
        <v>15</v>
      </c>
      <c r="K768" s="9662"/>
      <c r="L768" s="9653"/>
      <c r="M768" s="9653"/>
      <c r="N768" s="9663"/>
      <c r="O768" s="9663"/>
      <c r="P768" s="9664"/>
      <c r="Q768" s="9656"/>
      <c r="R768" s="9657"/>
      <c r="S768" s="9658"/>
      <c r="T768" s="9659"/>
      <c r="U768" s="9656"/>
      <c r="V768" s="9657"/>
      <c r="W768" s="9659"/>
      <c r="X768" s="9657"/>
      <c r="Y768" s="9659"/>
      <c r="Z768" s="9657"/>
      <c r="AA768" s="9658"/>
      <c r="AB768" s="9658"/>
      <c r="AC768" s="9658"/>
      <c r="AD768" s="9658"/>
      <c r="AE768" s="9658"/>
      <c r="AF768" s="9659"/>
      <c r="AG768" s="9657"/>
      <c r="AH768" s="9658"/>
      <c r="AI768" s="9658"/>
      <c r="AJ768" s="9658"/>
      <c r="AK768" s="9658"/>
      <c r="AL768" s="9658"/>
      <c r="AM768" s="9658"/>
      <c r="AN768" s="9659"/>
      <c r="AO768" s="9657"/>
      <c r="AP768" s="9658"/>
      <c r="AQ768" s="9658"/>
      <c r="AR768" s="9658"/>
      <c r="AS768" s="9658"/>
      <c r="AT768" s="9659"/>
      <c r="AU768" s="9665"/>
      <c r="AV768" s="9665"/>
      <c r="AW768" s="9665"/>
      <c r="AX768" s="9662"/>
      <c r="AY768" s="9664"/>
      <c r="AZ768" s="9665"/>
      <c r="BA768" s="9662"/>
      <c r="BB768" s="9663"/>
      <c r="BC768" s="9664"/>
      <c r="BD768" s="9666"/>
      <c r="BF768" s="14510"/>
      <c r="BG768" s="14510"/>
      <c r="BH768" s="14510"/>
      <c r="BI768" s="14510"/>
      <c r="BJ768" s="14510"/>
      <c r="BK768" s="10036"/>
      <c r="BL768" s="14510"/>
      <c r="BM768" s="14510"/>
      <c r="BN768" s="14510"/>
    </row>
    <row r="769" spans="1:66" ht="29.25" hidden="1" customHeight="1" thickBot="1">
      <c r="A769" s="13651"/>
      <c r="B769" s="14151"/>
      <c r="C769" s="13598"/>
      <c r="D769" s="11742" t="s">
        <v>2896</v>
      </c>
      <c r="E769" s="12223"/>
      <c r="F769" s="7843" t="s">
        <v>1066</v>
      </c>
      <c r="G769" s="14152"/>
      <c r="H769" s="13402"/>
      <c r="I769" s="14184"/>
      <c r="K769" s="10037"/>
      <c r="L769" s="9668"/>
      <c r="M769" s="9668"/>
      <c r="N769" s="10038"/>
      <c r="O769" s="10038"/>
      <c r="P769" s="10039"/>
      <c r="Q769" s="9671"/>
      <c r="R769" s="9672"/>
      <c r="S769" s="9673"/>
      <c r="T769" s="9674"/>
      <c r="U769" s="9671"/>
      <c r="V769" s="9672"/>
      <c r="W769" s="9674"/>
      <c r="X769" s="9672"/>
      <c r="Y769" s="9674"/>
      <c r="Z769" s="9672"/>
      <c r="AA769" s="9673"/>
      <c r="AB769" s="9673"/>
      <c r="AC769" s="9673"/>
      <c r="AD769" s="9673"/>
      <c r="AE769" s="9673"/>
      <c r="AF769" s="9674"/>
      <c r="AG769" s="9672"/>
      <c r="AH769" s="9673"/>
      <c r="AI769" s="9673"/>
      <c r="AJ769" s="9673"/>
      <c r="AK769" s="9673"/>
      <c r="AL769" s="9673"/>
      <c r="AM769" s="9673"/>
      <c r="AN769" s="9674"/>
      <c r="AO769" s="9672"/>
      <c r="AP769" s="9673"/>
      <c r="AQ769" s="9673"/>
      <c r="AR769" s="9673"/>
      <c r="AS769" s="9673"/>
      <c r="AT769" s="9674"/>
      <c r="AU769" s="10040"/>
      <c r="AV769" s="10040"/>
      <c r="AW769" s="10040"/>
      <c r="AX769" s="10037"/>
      <c r="AY769" s="10039"/>
      <c r="AZ769" s="10040"/>
      <c r="BA769" s="10037"/>
      <c r="BB769" s="10038"/>
      <c r="BC769" s="10039"/>
      <c r="BD769" s="10041"/>
      <c r="BF769" s="14511"/>
      <c r="BG769" s="14511"/>
      <c r="BH769" s="14511"/>
      <c r="BI769" s="14511"/>
      <c r="BJ769" s="14511"/>
      <c r="BK769" s="9981"/>
      <c r="BL769" s="14511"/>
      <c r="BM769" s="14511"/>
      <c r="BN769" s="14511"/>
    </row>
    <row r="770" spans="1:66" ht="29.25" hidden="1" customHeight="1">
      <c r="A770" s="13713">
        <v>482</v>
      </c>
      <c r="B770" s="14143" t="s">
        <v>8059</v>
      </c>
      <c r="C770" s="13598"/>
      <c r="D770" s="12245" t="s">
        <v>10072</v>
      </c>
      <c r="E770" s="12246" t="s">
        <v>968</v>
      </c>
      <c r="F770" s="12247"/>
      <c r="G770" s="14145" t="s">
        <v>1071</v>
      </c>
      <c r="H770" s="13466" t="s">
        <v>1072</v>
      </c>
      <c r="I770" s="12248">
        <v>4</v>
      </c>
      <c r="K770" s="10042"/>
      <c r="L770" s="10043"/>
      <c r="M770" s="10043"/>
      <c r="N770" s="10044"/>
      <c r="O770" s="10044"/>
      <c r="P770" s="10045"/>
      <c r="Q770" s="10046"/>
      <c r="R770" s="10047"/>
      <c r="S770" s="10048"/>
      <c r="T770" s="10049"/>
      <c r="U770" s="10046"/>
      <c r="V770" s="10047"/>
      <c r="W770" s="10049"/>
      <c r="X770" s="10047"/>
      <c r="Y770" s="10049"/>
      <c r="Z770" s="10047"/>
      <c r="AA770" s="10048"/>
      <c r="AB770" s="10048"/>
      <c r="AC770" s="10048"/>
      <c r="AD770" s="10048"/>
      <c r="AE770" s="10048"/>
      <c r="AF770" s="10049"/>
      <c r="AG770" s="10047"/>
      <c r="AH770" s="10048"/>
      <c r="AI770" s="10048"/>
      <c r="AJ770" s="10048"/>
      <c r="AK770" s="10048"/>
      <c r="AL770" s="10048"/>
      <c r="AM770" s="10048"/>
      <c r="AN770" s="10049"/>
      <c r="AO770" s="10047"/>
      <c r="AP770" s="10048"/>
      <c r="AQ770" s="10048"/>
      <c r="AR770" s="10048"/>
      <c r="AS770" s="10048"/>
      <c r="AT770" s="10049"/>
      <c r="AU770" s="10050"/>
      <c r="AV770" s="10050"/>
      <c r="AW770" s="10050"/>
      <c r="AX770" s="10042"/>
      <c r="AY770" s="10045"/>
      <c r="AZ770" s="10050"/>
      <c r="BA770" s="10042"/>
      <c r="BB770" s="10044"/>
      <c r="BC770" s="10045"/>
      <c r="BD770" s="10051"/>
      <c r="BF770" s="14512"/>
      <c r="BG770" s="14512"/>
      <c r="BH770" s="14512"/>
      <c r="BI770" s="14512"/>
      <c r="BJ770" s="14512"/>
      <c r="BK770" s="10052"/>
      <c r="BL770" s="14512"/>
      <c r="BM770" s="14512"/>
      <c r="BN770" s="14512"/>
    </row>
    <row r="771" spans="1:66" ht="29.25" hidden="1" customHeight="1">
      <c r="A771" s="13714"/>
      <c r="B771" s="14144"/>
      <c r="C771" s="13598"/>
      <c r="D771" s="12249" t="s">
        <v>2896</v>
      </c>
      <c r="E771" s="12250"/>
      <c r="F771" s="12251" t="s">
        <v>1066</v>
      </c>
      <c r="G771" s="14146"/>
      <c r="H771" s="13466"/>
      <c r="I771" s="12252"/>
      <c r="K771" s="10053"/>
      <c r="L771" s="10054"/>
      <c r="M771" s="10054"/>
      <c r="N771" s="10055"/>
      <c r="O771" s="10055"/>
      <c r="P771" s="10056"/>
      <c r="Q771" s="10057"/>
      <c r="R771" s="10058"/>
      <c r="S771" s="10059"/>
      <c r="T771" s="10060"/>
      <c r="U771" s="10057"/>
      <c r="V771" s="10058"/>
      <c r="W771" s="10060"/>
      <c r="X771" s="10058"/>
      <c r="Y771" s="10060"/>
      <c r="Z771" s="10058"/>
      <c r="AA771" s="10059"/>
      <c r="AB771" s="10059"/>
      <c r="AC771" s="10059"/>
      <c r="AD771" s="10059"/>
      <c r="AE771" s="10059"/>
      <c r="AF771" s="10060"/>
      <c r="AG771" s="10058"/>
      <c r="AH771" s="10059"/>
      <c r="AI771" s="10059"/>
      <c r="AJ771" s="10059"/>
      <c r="AK771" s="10059"/>
      <c r="AL771" s="10059"/>
      <c r="AM771" s="10059"/>
      <c r="AN771" s="10060"/>
      <c r="AO771" s="10058"/>
      <c r="AP771" s="10059"/>
      <c r="AQ771" s="10059"/>
      <c r="AR771" s="10059"/>
      <c r="AS771" s="10059"/>
      <c r="AT771" s="10060"/>
      <c r="AU771" s="10061"/>
      <c r="AV771" s="10061"/>
      <c r="AW771" s="10061"/>
      <c r="AX771" s="10053"/>
      <c r="AY771" s="10056"/>
      <c r="AZ771" s="10061"/>
      <c r="BA771" s="10053"/>
      <c r="BB771" s="10055"/>
      <c r="BC771" s="10056"/>
      <c r="BD771" s="10062"/>
      <c r="BF771" s="14513"/>
      <c r="BG771" s="14513"/>
      <c r="BH771" s="14513"/>
      <c r="BI771" s="14513"/>
      <c r="BJ771" s="14513"/>
      <c r="BK771" s="10063"/>
      <c r="BL771" s="14513"/>
      <c r="BM771" s="14513"/>
      <c r="BN771" s="14513"/>
    </row>
    <row r="772" spans="1:66" ht="29.25" hidden="1" customHeight="1">
      <c r="A772" s="10064">
        <v>483</v>
      </c>
      <c r="B772" s="10065" t="s">
        <v>8060</v>
      </c>
      <c r="C772" s="13598"/>
      <c r="D772" s="12249" t="s">
        <v>10072</v>
      </c>
      <c r="E772" s="12250" t="s">
        <v>968</v>
      </c>
      <c r="F772" s="12251"/>
      <c r="G772" s="12253" t="s">
        <v>1074</v>
      </c>
      <c r="H772" s="12254"/>
      <c r="I772" s="12252"/>
      <c r="K772" s="10053"/>
      <c r="L772" s="10054"/>
      <c r="M772" s="10054"/>
      <c r="N772" s="10055"/>
      <c r="O772" s="10055"/>
      <c r="P772" s="10056"/>
      <c r="Q772" s="10057"/>
      <c r="R772" s="10058"/>
      <c r="S772" s="10059"/>
      <c r="T772" s="10060"/>
      <c r="U772" s="10057"/>
      <c r="V772" s="10058"/>
      <c r="W772" s="10060"/>
      <c r="X772" s="10058"/>
      <c r="Y772" s="10060"/>
      <c r="Z772" s="10058"/>
      <c r="AA772" s="10059"/>
      <c r="AB772" s="10059"/>
      <c r="AC772" s="10059"/>
      <c r="AD772" s="10059"/>
      <c r="AE772" s="10059"/>
      <c r="AF772" s="10060"/>
      <c r="AG772" s="10058"/>
      <c r="AH772" s="10059"/>
      <c r="AI772" s="10059"/>
      <c r="AJ772" s="10059"/>
      <c r="AK772" s="10059"/>
      <c r="AL772" s="10059"/>
      <c r="AM772" s="10059"/>
      <c r="AN772" s="10060"/>
      <c r="AO772" s="10058"/>
      <c r="AP772" s="10059"/>
      <c r="AQ772" s="10059"/>
      <c r="AR772" s="10059"/>
      <c r="AS772" s="10059"/>
      <c r="AT772" s="10060"/>
      <c r="AU772" s="10061"/>
      <c r="AV772" s="10061"/>
      <c r="AW772" s="10061"/>
      <c r="AX772" s="10053"/>
      <c r="AY772" s="10056"/>
      <c r="AZ772" s="10061"/>
      <c r="BA772" s="10053"/>
      <c r="BB772" s="10055"/>
      <c r="BC772" s="10056"/>
      <c r="BD772" s="10062"/>
      <c r="BF772" s="10063"/>
      <c r="BG772" s="10063"/>
      <c r="BH772" s="10063"/>
      <c r="BI772" s="10063"/>
      <c r="BJ772" s="10063"/>
      <c r="BK772" s="10063"/>
      <c r="BL772" s="10063"/>
      <c r="BM772" s="10063"/>
      <c r="BN772" s="10063"/>
    </row>
    <row r="773" spans="1:66" ht="29.25" hidden="1" customHeight="1" thickBot="1">
      <c r="A773" s="10066">
        <v>484</v>
      </c>
      <c r="B773" s="10067" t="s">
        <v>8061</v>
      </c>
      <c r="C773" s="13598"/>
      <c r="D773" s="12255" t="s">
        <v>10072</v>
      </c>
      <c r="E773" s="12256" t="s">
        <v>968</v>
      </c>
      <c r="F773" s="12257"/>
      <c r="G773" s="12258" t="s">
        <v>1075</v>
      </c>
      <c r="H773" s="12259" t="s">
        <v>1076</v>
      </c>
      <c r="I773" s="12260">
        <v>31</v>
      </c>
      <c r="K773" s="10068"/>
      <c r="L773" s="10070"/>
      <c r="M773" s="10070"/>
      <c r="N773" s="10071"/>
      <c r="O773" s="10071"/>
      <c r="P773" s="10072"/>
      <c r="Q773" s="10073"/>
      <c r="R773" s="10074"/>
      <c r="S773" s="10075"/>
      <c r="T773" s="10076"/>
      <c r="U773" s="10073"/>
      <c r="V773" s="10074"/>
      <c r="W773" s="10076"/>
      <c r="X773" s="10074"/>
      <c r="Y773" s="10076"/>
      <c r="Z773" s="10074"/>
      <c r="AA773" s="10075"/>
      <c r="AB773" s="10075"/>
      <c r="AC773" s="10075"/>
      <c r="AD773" s="10075"/>
      <c r="AE773" s="10075"/>
      <c r="AF773" s="10076"/>
      <c r="AG773" s="10074"/>
      <c r="AH773" s="10075"/>
      <c r="AI773" s="10075"/>
      <c r="AJ773" s="10075"/>
      <c r="AK773" s="10075"/>
      <c r="AL773" s="10075"/>
      <c r="AM773" s="10075"/>
      <c r="AN773" s="10076"/>
      <c r="AO773" s="10074"/>
      <c r="AP773" s="10075"/>
      <c r="AQ773" s="10075"/>
      <c r="AR773" s="10075"/>
      <c r="AS773" s="10075"/>
      <c r="AT773" s="10076"/>
      <c r="AU773" s="10077"/>
      <c r="AV773" s="10077"/>
      <c r="AW773" s="10077"/>
      <c r="AX773" s="10068"/>
      <c r="AY773" s="10072"/>
      <c r="AZ773" s="10077"/>
      <c r="BA773" s="10068"/>
      <c r="BB773" s="10071"/>
      <c r="BC773" s="10072"/>
      <c r="BD773" s="10078"/>
      <c r="BF773" s="10069"/>
      <c r="BG773" s="10069"/>
      <c r="BH773" s="10069"/>
      <c r="BI773" s="10069"/>
      <c r="BJ773" s="10069"/>
      <c r="BK773" s="10069"/>
      <c r="BL773" s="10069"/>
      <c r="BM773" s="10069"/>
      <c r="BN773" s="10069"/>
    </row>
    <row r="774" spans="1:66" ht="29.25" hidden="1" customHeight="1">
      <c r="A774" s="9889">
        <v>485</v>
      </c>
      <c r="B774" s="9890" t="s">
        <v>8062</v>
      </c>
      <c r="C774" s="13598"/>
      <c r="D774" s="11783" t="s">
        <v>10072</v>
      </c>
      <c r="E774" s="12261" t="s">
        <v>968</v>
      </c>
      <c r="F774" s="11784"/>
      <c r="G774" s="12262" t="s">
        <v>1079</v>
      </c>
      <c r="H774" s="12189" t="s">
        <v>1080</v>
      </c>
      <c r="I774" s="12263">
        <v>1</v>
      </c>
      <c r="K774" s="8419"/>
      <c r="L774" s="9513"/>
      <c r="M774" s="9513"/>
      <c r="N774" s="7916"/>
      <c r="O774" s="7916"/>
      <c r="P774" s="9892"/>
      <c r="Q774" s="9516"/>
      <c r="R774" s="9517"/>
      <c r="S774" s="9518"/>
      <c r="T774" s="9519"/>
      <c r="U774" s="9516"/>
      <c r="V774" s="9517"/>
      <c r="W774" s="9519"/>
      <c r="X774" s="9517"/>
      <c r="Y774" s="9519"/>
      <c r="Z774" s="9517"/>
      <c r="AA774" s="9518"/>
      <c r="AB774" s="9518"/>
      <c r="AC774" s="9518"/>
      <c r="AD774" s="9518"/>
      <c r="AE774" s="9518"/>
      <c r="AF774" s="9519"/>
      <c r="AG774" s="9517"/>
      <c r="AH774" s="9518"/>
      <c r="AI774" s="9518"/>
      <c r="AJ774" s="9518"/>
      <c r="AK774" s="9518"/>
      <c r="AL774" s="9518"/>
      <c r="AM774" s="9518"/>
      <c r="AN774" s="9519"/>
      <c r="AO774" s="9517"/>
      <c r="AP774" s="9518"/>
      <c r="AQ774" s="9518"/>
      <c r="AR774" s="9518"/>
      <c r="AS774" s="9518"/>
      <c r="AT774" s="9519"/>
      <c r="AU774" s="9893"/>
      <c r="AV774" s="9893"/>
      <c r="AW774" s="9893"/>
      <c r="AX774" s="8419"/>
      <c r="AY774" s="9892"/>
      <c r="AZ774" s="9893"/>
      <c r="BA774" s="8419"/>
      <c r="BB774" s="7916"/>
      <c r="BC774" s="9892"/>
      <c r="BD774" s="8771"/>
      <c r="BF774" s="10079"/>
      <c r="BG774" s="10079"/>
      <c r="BH774" s="10079"/>
      <c r="BI774" s="10079"/>
      <c r="BJ774" s="10079"/>
      <c r="BK774" s="10079"/>
      <c r="BL774" s="10079"/>
      <c r="BM774" s="10079"/>
      <c r="BN774" s="10079"/>
    </row>
    <row r="775" spans="1:66" ht="29.25" hidden="1" customHeight="1">
      <c r="A775" s="9985">
        <v>486</v>
      </c>
      <c r="B775" s="9986" t="s">
        <v>8063</v>
      </c>
      <c r="C775" s="13598"/>
      <c r="D775" s="11786" t="s">
        <v>10072</v>
      </c>
      <c r="E775" s="12228" t="s">
        <v>10082</v>
      </c>
      <c r="F775" s="7833"/>
      <c r="G775" s="12229" t="s">
        <v>1082</v>
      </c>
      <c r="H775" s="12230" t="s">
        <v>1083</v>
      </c>
      <c r="I775" s="11787">
        <v>25</v>
      </c>
      <c r="K775" s="8431"/>
      <c r="L775" s="8443"/>
      <c r="M775" s="8443"/>
      <c r="N775" s="8444"/>
      <c r="O775" s="8444"/>
      <c r="P775" s="8445"/>
      <c r="Q775" s="8446"/>
      <c r="R775" s="8447"/>
      <c r="S775" s="8448"/>
      <c r="T775" s="8449"/>
      <c r="U775" s="8446"/>
      <c r="V775" s="8447"/>
      <c r="W775" s="8449"/>
      <c r="X775" s="8447"/>
      <c r="Y775" s="8449"/>
      <c r="Z775" s="8447"/>
      <c r="AA775" s="8448"/>
      <c r="AB775" s="8448"/>
      <c r="AC775" s="8448"/>
      <c r="AD775" s="8448"/>
      <c r="AE775" s="8448"/>
      <c r="AF775" s="8449"/>
      <c r="AG775" s="8447"/>
      <c r="AH775" s="8448"/>
      <c r="AI775" s="8448"/>
      <c r="AJ775" s="8448"/>
      <c r="AK775" s="8448"/>
      <c r="AL775" s="8448"/>
      <c r="AM775" s="8448"/>
      <c r="AN775" s="8449"/>
      <c r="AO775" s="8447"/>
      <c r="AP775" s="8448"/>
      <c r="AQ775" s="8448"/>
      <c r="AR775" s="8448"/>
      <c r="AS775" s="8448"/>
      <c r="AT775" s="8449"/>
      <c r="AU775" s="8450"/>
      <c r="AV775" s="8450"/>
      <c r="AW775" s="8450"/>
      <c r="AX775" s="8431"/>
      <c r="AY775" s="8445"/>
      <c r="AZ775" s="8450"/>
      <c r="BA775" s="8431"/>
      <c r="BB775" s="8444"/>
      <c r="BC775" s="8445"/>
      <c r="BD775" s="7952"/>
      <c r="BF775" s="9895"/>
      <c r="BG775" s="9895"/>
      <c r="BH775" s="9895"/>
      <c r="BI775" s="9895"/>
      <c r="BJ775" s="9895"/>
      <c r="BK775" s="9895"/>
      <c r="BL775" s="9895"/>
      <c r="BM775" s="9895"/>
      <c r="BN775" s="9895"/>
    </row>
    <row r="776" spans="1:66" ht="29.25" hidden="1" customHeight="1">
      <c r="A776" s="13527">
        <v>487</v>
      </c>
      <c r="B776" s="14127" t="s">
        <v>8064</v>
      </c>
      <c r="C776" s="13598"/>
      <c r="D776" s="11786" t="s">
        <v>10072</v>
      </c>
      <c r="E776" s="12228" t="s">
        <v>1109</v>
      </c>
      <c r="F776" s="7833"/>
      <c r="G776" s="14129" t="s">
        <v>1085</v>
      </c>
      <c r="H776" s="13399" t="s">
        <v>1086</v>
      </c>
      <c r="I776" s="13866">
        <v>1</v>
      </c>
      <c r="K776" s="8432"/>
      <c r="L776" s="7965"/>
      <c r="M776" s="7965"/>
      <c r="N776" s="8433"/>
      <c r="O776" s="8433"/>
      <c r="P776" s="8434"/>
      <c r="Q776" s="7967"/>
      <c r="R776" s="7968"/>
      <c r="S776" s="7969"/>
      <c r="T776" s="7970"/>
      <c r="U776" s="7967"/>
      <c r="V776" s="7968"/>
      <c r="W776" s="7970"/>
      <c r="X776" s="7968"/>
      <c r="Y776" s="7970"/>
      <c r="Z776" s="7968"/>
      <c r="AA776" s="7969"/>
      <c r="AB776" s="7969"/>
      <c r="AC776" s="7969"/>
      <c r="AD776" s="7969"/>
      <c r="AE776" s="7969"/>
      <c r="AF776" s="7970"/>
      <c r="AG776" s="7968"/>
      <c r="AH776" s="7969"/>
      <c r="AI776" s="7969"/>
      <c r="AJ776" s="7969"/>
      <c r="AK776" s="7969"/>
      <c r="AL776" s="7969"/>
      <c r="AM776" s="7969"/>
      <c r="AN776" s="7970"/>
      <c r="AO776" s="7968"/>
      <c r="AP776" s="7969"/>
      <c r="AQ776" s="7969"/>
      <c r="AR776" s="7969"/>
      <c r="AS776" s="7969"/>
      <c r="AT776" s="7970"/>
      <c r="AU776" s="8435"/>
      <c r="AV776" s="8435"/>
      <c r="AW776" s="8435"/>
      <c r="AX776" s="8432"/>
      <c r="AY776" s="8434"/>
      <c r="AZ776" s="8435"/>
      <c r="BA776" s="8432"/>
      <c r="BB776" s="8433"/>
      <c r="BC776" s="8434"/>
      <c r="BD776" s="8436"/>
      <c r="BF776" s="14502"/>
      <c r="BG776" s="14502"/>
      <c r="BH776" s="14502"/>
      <c r="BI776" s="14502"/>
      <c r="BJ776" s="14502"/>
      <c r="BK776" s="9895"/>
      <c r="BL776" s="14502"/>
      <c r="BM776" s="14502"/>
      <c r="BN776" s="14502"/>
    </row>
    <row r="777" spans="1:66" ht="29.25" hidden="1" customHeight="1">
      <c r="A777" s="13527"/>
      <c r="B777" s="14127"/>
      <c r="C777" s="13598"/>
      <c r="D777" s="11786" t="s">
        <v>10070</v>
      </c>
      <c r="E777" s="12228"/>
      <c r="F777" s="7833" t="s">
        <v>1098</v>
      </c>
      <c r="G777" s="14129"/>
      <c r="H777" s="13399"/>
      <c r="I777" s="13866"/>
      <c r="K777" s="8432"/>
      <c r="L777" s="7965"/>
      <c r="M777" s="7965"/>
      <c r="N777" s="8433"/>
      <c r="O777" s="8433"/>
      <c r="P777" s="8434"/>
      <c r="Q777" s="7967"/>
      <c r="R777" s="7968"/>
      <c r="S777" s="7969"/>
      <c r="T777" s="7970"/>
      <c r="U777" s="7967"/>
      <c r="V777" s="7968"/>
      <c r="W777" s="7970"/>
      <c r="X777" s="7968"/>
      <c r="Y777" s="7970"/>
      <c r="Z777" s="7968"/>
      <c r="AA777" s="7969"/>
      <c r="AB777" s="7969"/>
      <c r="AC777" s="7969"/>
      <c r="AD777" s="7969"/>
      <c r="AE777" s="7969"/>
      <c r="AF777" s="7970"/>
      <c r="AG777" s="7968"/>
      <c r="AH777" s="7969"/>
      <c r="AI777" s="7969"/>
      <c r="AJ777" s="7969"/>
      <c r="AK777" s="7969"/>
      <c r="AL777" s="7969"/>
      <c r="AM777" s="7969"/>
      <c r="AN777" s="7970"/>
      <c r="AO777" s="7968"/>
      <c r="AP777" s="7969"/>
      <c r="AQ777" s="7969"/>
      <c r="AR777" s="7969"/>
      <c r="AS777" s="7969"/>
      <c r="AT777" s="7970"/>
      <c r="AU777" s="8435"/>
      <c r="AV777" s="8435"/>
      <c r="AW777" s="8435"/>
      <c r="AX777" s="8432"/>
      <c r="AY777" s="8434"/>
      <c r="AZ777" s="8435"/>
      <c r="BA777" s="8432"/>
      <c r="BB777" s="8433"/>
      <c r="BC777" s="8434"/>
      <c r="BD777" s="8436"/>
      <c r="BF777" s="14502"/>
      <c r="BG777" s="14502"/>
      <c r="BH777" s="14502"/>
      <c r="BI777" s="14502"/>
      <c r="BJ777" s="14502"/>
      <c r="BK777" s="9895"/>
      <c r="BL777" s="14502"/>
      <c r="BM777" s="14502"/>
      <c r="BN777" s="14502"/>
    </row>
    <row r="778" spans="1:66" ht="29.25" hidden="1" customHeight="1">
      <c r="A778" s="13527"/>
      <c r="B778" s="14127"/>
      <c r="C778" s="13598"/>
      <c r="D778" s="11786" t="s">
        <v>10092</v>
      </c>
      <c r="E778" s="12228"/>
      <c r="F778" s="7833" t="s">
        <v>10248</v>
      </c>
      <c r="G778" s="14129"/>
      <c r="H778" s="13399"/>
      <c r="I778" s="13866"/>
      <c r="K778" s="8432"/>
      <c r="L778" s="7965"/>
      <c r="M778" s="7965"/>
      <c r="N778" s="8433"/>
      <c r="O778" s="8433"/>
      <c r="P778" s="8434"/>
      <c r="Q778" s="7967"/>
      <c r="R778" s="7968"/>
      <c r="S778" s="7969"/>
      <c r="T778" s="7970"/>
      <c r="U778" s="7967"/>
      <c r="V778" s="7968"/>
      <c r="W778" s="7970"/>
      <c r="X778" s="7968"/>
      <c r="Y778" s="7970"/>
      <c r="Z778" s="7968"/>
      <c r="AA778" s="7969"/>
      <c r="AB778" s="7969"/>
      <c r="AC778" s="7969"/>
      <c r="AD778" s="7969"/>
      <c r="AE778" s="7969"/>
      <c r="AF778" s="7970"/>
      <c r="AG778" s="7968"/>
      <c r="AH778" s="7969"/>
      <c r="AI778" s="7969"/>
      <c r="AJ778" s="7969"/>
      <c r="AK778" s="7969"/>
      <c r="AL778" s="7969"/>
      <c r="AM778" s="7969"/>
      <c r="AN778" s="7970"/>
      <c r="AO778" s="7968"/>
      <c r="AP778" s="7969"/>
      <c r="AQ778" s="7969"/>
      <c r="AR778" s="7969"/>
      <c r="AS778" s="7969"/>
      <c r="AT778" s="7970"/>
      <c r="AU778" s="8435"/>
      <c r="AV778" s="8435"/>
      <c r="AW778" s="8435"/>
      <c r="AX778" s="8432"/>
      <c r="AY778" s="8434"/>
      <c r="AZ778" s="8435"/>
      <c r="BA778" s="8432"/>
      <c r="BB778" s="8433"/>
      <c r="BC778" s="8434"/>
      <c r="BD778" s="8436"/>
      <c r="BF778" s="14502"/>
      <c r="BG778" s="14502"/>
      <c r="BH778" s="14502"/>
      <c r="BI778" s="14502"/>
      <c r="BJ778" s="14502"/>
      <c r="BK778" s="9895"/>
      <c r="BL778" s="14502"/>
      <c r="BM778" s="14502"/>
      <c r="BN778" s="14502"/>
    </row>
    <row r="779" spans="1:66" ht="29.25" hidden="1" customHeight="1">
      <c r="A779" s="13527">
        <v>488</v>
      </c>
      <c r="B779" s="14127" t="s">
        <v>8065</v>
      </c>
      <c r="C779" s="13598"/>
      <c r="D779" s="11786" t="s">
        <v>10072</v>
      </c>
      <c r="E779" s="12228" t="s">
        <v>1109</v>
      </c>
      <c r="F779" s="7833"/>
      <c r="G779" s="14129" t="s">
        <v>10358</v>
      </c>
      <c r="H779" s="13399" t="s">
        <v>1089</v>
      </c>
      <c r="I779" s="13866">
        <v>1</v>
      </c>
      <c r="K779" s="8432"/>
      <c r="L779" s="7965"/>
      <c r="M779" s="7965"/>
      <c r="N779" s="8433"/>
      <c r="O779" s="8433"/>
      <c r="P779" s="8434"/>
      <c r="Q779" s="7967"/>
      <c r="R779" s="7968"/>
      <c r="S779" s="7969"/>
      <c r="T779" s="7970"/>
      <c r="U779" s="7967"/>
      <c r="V779" s="7968"/>
      <c r="W779" s="7970"/>
      <c r="X779" s="7968"/>
      <c r="Y779" s="7970"/>
      <c r="Z779" s="7968"/>
      <c r="AA779" s="7969"/>
      <c r="AB779" s="7969"/>
      <c r="AC779" s="7969"/>
      <c r="AD779" s="7969"/>
      <c r="AE779" s="7969"/>
      <c r="AF779" s="7970"/>
      <c r="AG779" s="7968"/>
      <c r="AH779" s="7969"/>
      <c r="AI779" s="7969"/>
      <c r="AJ779" s="7969"/>
      <c r="AK779" s="7969"/>
      <c r="AL779" s="7969"/>
      <c r="AM779" s="7969"/>
      <c r="AN779" s="7970"/>
      <c r="AO779" s="7968"/>
      <c r="AP779" s="7969"/>
      <c r="AQ779" s="7969"/>
      <c r="AR779" s="7969"/>
      <c r="AS779" s="7969"/>
      <c r="AT779" s="7970"/>
      <c r="AU779" s="8435"/>
      <c r="AV779" s="8435"/>
      <c r="AW779" s="8435"/>
      <c r="AX779" s="8432"/>
      <c r="AY779" s="8434"/>
      <c r="AZ779" s="8435"/>
      <c r="BA779" s="8432"/>
      <c r="BB779" s="8433"/>
      <c r="BC779" s="8434"/>
      <c r="BD779" s="8436"/>
      <c r="BF779" s="14502"/>
      <c r="BG779" s="14502"/>
      <c r="BH779" s="14502"/>
      <c r="BI779" s="14502"/>
      <c r="BJ779" s="14502"/>
      <c r="BK779" s="9895"/>
      <c r="BL779" s="14502"/>
      <c r="BM779" s="14502"/>
      <c r="BN779" s="14502"/>
    </row>
    <row r="780" spans="1:66" ht="29.25" hidden="1" customHeight="1">
      <c r="A780" s="13527"/>
      <c r="B780" s="14127"/>
      <c r="C780" s="13598"/>
      <c r="D780" s="11786" t="s">
        <v>10070</v>
      </c>
      <c r="E780" s="12228"/>
      <c r="F780" s="7833" t="s">
        <v>1098</v>
      </c>
      <c r="G780" s="14129"/>
      <c r="H780" s="13399"/>
      <c r="I780" s="13866"/>
      <c r="K780" s="8432"/>
      <c r="L780" s="7965"/>
      <c r="M780" s="7965"/>
      <c r="N780" s="8433"/>
      <c r="O780" s="8433"/>
      <c r="P780" s="8434"/>
      <c r="Q780" s="7967"/>
      <c r="R780" s="7968"/>
      <c r="S780" s="7969"/>
      <c r="T780" s="7970"/>
      <c r="U780" s="7967"/>
      <c r="V780" s="7968"/>
      <c r="W780" s="7970"/>
      <c r="X780" s="7968"/>
      <c r="Y780" s="7970"/>
      <c r="Z780" s="7968"/>
      <c r="AA780" s="7969"/>
      <c r="AB780" s="7969"/>
      <c r="AC780" s="7969"/>
      <c r="AD780" s="7969"/>
      <c r="AE780" s="7969"/>
      <c r="AF780" s="7970"/>
      <c r="AG780" s="7968"/>
      <c r="AH780" s="7969"/>
      <c r="AI780" s="7969"/>
      <c r="AJ780" s="7969"/>
      <c r="AK780" s="7969"/>
      <c r="AL780" s="7969"/>
      <c r="AM780" s="7969"/>
      <c r="AN780" s="7970"/>
      <c r="AO780" s="7968"/>
      <c r="AP780" s="7969"/>
      <c r="AQ780" s="7969"/>
      <c r="AR780" s="7969"/>
      <c r="AS780" s="7969"/>
      <c r="AT780" s="7970"/>
      <c r="AU780" s="8435"/>
      <c r="AV780" s="8435"/>
      <c r="AW780" s="8435"/>
      <c r="AX780" s="8432"/>
      <c r="AY780" s="8434"/>
      <c r="AZ780" s="8435"/>
      <c r="BA780" s="8432"/>
      <c r="BB780" s="8433"/>
      <c r="BC780" s="8434"/>
      <c r="BD780" s="8436"/>
      <c r="BF780" s="14502"/>
      <c r="BG780" s="14502"/>
      <c r="BH780" s="14502"/>
      <c r="BI780" s="14502"/>
      <c r="BJ780" s="14502"/>
      <c r="BK780" s="9895"/>
      <c r="BL780" s="14502"/>
      <c r="BM780" s="14502"/>
      <c r="BN780" s="14502"/>
    </row>
    <row r="781" spans="1:66" ht="29.25" hidden="1" customHeight="1">
      <c r="A781" s="13527"/>
      <c r="B781" s="14127"/>
      <c r="C781" s="13598"/>
      <c r="D781" s="11786" t="s">
        <v>10092</v>
      </c>
      <c r="E781" s="12228"/>
      <c r="F781" s="7833" t="s">
        <v>10248</v>
      </c>
      <c r="G781" s="14129"/>
      <c r="H781" s="13399"/>
      <c r="I781" s="13866"/>
      <c r="K781" s="8432"/>
      <c r="L781" s="7965"/>
      <c r="M781" s="7965"/>
      <c r="N781" s="8433"/>
      <c r="O781" s="8433"/>
      <c r="P781" s="8434"/>
      <c r="Q781" s="7967"/>
      <c r="R781" s="7968"/>
      <c r="S781" s="7969"/>
      <c r="T781" s="7970"/>
      <c r="U781" s="7967"/>
      <c r="V781" s="7968"/>
      <c r="W781" s="7970"/>
      <c r="X781" s="7968"/>
      <c r="Y781" s="7970"/>
      <c r="Z781" s="7968"/>
      <c r="AA781" s="7969"/>
      <c r="AB781" s="7969"/>
      <c r="AC781" s="7969"/>
      <c r="AD781" s="7969"/>
      <c r="AE781" s="7969"/>
      <c r="AF781" s="7970"/>
      <c r="AG781" s="7968"/>
      <c r="AH781" s="7969"/>
      <c r="AI781" s="7969"/>
      <c r="AJ781" s="7969"/>
      <c r="AK781" s="7969"/>
      <c r="AL781" s="7969"/>
      <c r="AM781" s="7969"/>
      <c r="AN781" s="7970"/>
      <c r="AO781" s="7968"/>
      <c r="AP781" s="7969"/>
      <c r="AQ781" s="7969"/>
      <c r="AR781" s="7969"/>
      <c r="AS781" s="7969"/>
      <c r="AT781" s="7970"/>
      <c r="AU781" s="8435"/>
      <c r="AV781" s="8435"/>
      <c r="AW781" s="8435"/>
      <c r="AX781" s="8432"/>
      <c r="AY781" s="8434"/>
      <c r="AZ781" s="8435"/>
      <c r="BA781" s="8432"/>
      <c r="BB781" s="8433"/>
      <c r="BC781" s="8434"/>
      <c r="BD781" s="8436"/>
      <c r="BF781" s="14502"/>
      <c r="BG781" s="14502"/>
      <c r="BH781" s="14502"/>
      <c r="BI781" s="14502"/>
      <c r="BJ781" s="14502"/>
      <c r="BK781" s="9895"/>
      <c r="BL781" s="14502"/>
      <c r="BM781" s="14502"/>
      <c r="BN781" s="14502"/>
    </row>
    <row r="782" spans="1:66" ht="29.25" hidden="1" customHeight="1">
      <c r="A782" s="13527">
        <v>489</v>
      </c>
      <c r="B782" s="14127" t="s">
        <v>8066</v>
      </c>
      <c r="C782" s="13598"/>
      <c r="D782" s="11786" t="s">
        <v>10072</v>
      </c>
      <c r="E782" s="12228" t="s">
        <v>968</v>
      </c>
      <c r="F782" s="7833"/>
      <c r="G782" s="14129" t="s">
        <v>1091</v>
      </c>
      <c r="H782" s="13399" t="s">
        <v>1092</v>
      </c>
      <c r="I782" s="13866">
        <v>1</v>
      </c>
      <c r="K782" s="8432"/>
      <c r="L782" s="7965"/>
      <c r="M782" s="7965"/>
      <c r="N782" s="8433"/>
      <c r="O782" s="8433"/>
      <c r="P782" s="8434"/>
      <c r="Q782" s="7967"/>
      <c r="R782" s="7968"/>
      <c r="S782" s="7969"/>
      <c r="T782" s="7970"/>
      <c r="U782" s="7967"/>
      <c r="V782" s="7968"/>
      <c r="W782" s="7970"/>
      <c r="X782" s="7968"/>
      <c r="Y782" s="7970"/>
      <c r="Z782" s="7968"/>
      <c r="AA782" s="7969"/>
      <c r="AB782" s="7969"/>
      <c r="AC782" s="7969"/>
      <c r="AD782" s="7969"/>
      <c r="AE782" s="7969"/>
      <c r="AF782" s="7970"/>
      <c r="AG782" s="7968"/>
      <c r="AH782" s="7969"/>
      <c r="AI782" s="7969"/>
      <c r="AJ782" s="7969"/>
      <c r="AK782" s="7969"/>
      <c r="AL782" s="7969"/>
      <c r="AM782" s="7969"/>
      <c r="AN782" s="7970"/>
      <c r="AO782" s="7968"/>
      <c r="AP782" s="7969"/>
      <c r="AQ782" s="7969"/>
      <c r="AR782" s="7969"/>
      <c r="AS782" s="7969"/>
      <c r="AT782" s="7970"/>
      <c r="AU782" s="8435"/>
      <c r="AV782" s="8435"/>
      <c r="AW782" s="8435"/>
      <c r="AX782" s="8432"/>
      <c r="AY782" s="8434"/>
      <c r="AZ782" s="8435"/>
      <c r="BA782" s="8432"/>
      <c r="BB782" s="8433"/>
      <c r="BC782" s="8434"/>
      <c r="BD782" s="8436"/>
      <c r="BF782" s="14502"/>
      <c r="BG782" s="14502"/>
      <c r="BH782" s="14502"/>
      <c r="BI782" s="14502"/>
      <c r="BJ782" s="14502"/>
      <c r="BK782" s="9895"/>
      <c r="BL782" s="14502"/>
      <c r="BM782" s="14502"/>
      <c r="BN782" s="14502"/>
    </row>
    <row r="783" spans="1:66" ht="29.25" hidden="1" customHeight="1">
      <c r="A783" s="13527"/>
      <c r="B783" s="14127"/>
      <c r="C783" s="13598"/>
      <c r="D783" s="11786" t="s">
        <v>10092</v>
      </c>
      <c r="E783" s="12228"/>
      <c r="F783" s="7833" t="s">
        <v>1093</v>
      </c>
      <c r="G783" s="14129"/>
      <c r="H783" s="13399"/>
      <c r="I783" s="13866"/>
      <c r="K783" s="8432"/>
      <c r="L783" s="7965"/>
      <c r="M783" s="7965"/>
      <c r="N783" s="8433"/>
      <c r="O783" s="8433"/>
      <c r="P783" s="8434"/>
      <c r="Q783" s="7967"/>
      <c r="R783" s="7968"/>
      <c r="S783" s="7969"/>
      <c r="T783" s="7970"/>
      <c r="U783" s="7967"/>
      <c r="V783" s="7968"/>
      <c r="W783" s="7970"/>
      <c r="X783" s="7968"/>
      <c r="Y783" s="7970"/>
      <c r="Z783" s="7968"/>
      <c r="AA783" s="7969"/>
      <c r="AB783" s="7969"/>
      <c r="AC783" s="7969"/>
      <c r="AD783" s="7969"/>
      <c r="AE783" s="7969"/>
      <c r="AF783" s="7970"/>
      <c r="AG783" s="7968"/>
      <c r="AH783" s="7969"/>
      <c r="AI783" s="7969"/>
      <c r="AJ783" s="7969"/>
      <c r="AK783" s="7969"/>
      <c r="AL783" s="7969"/>
      <c r="AM783" s="7969"/>
      <c r="AN783" s="7970"/>
      <c r="AO783" s="7968"/>
      <c r="AP783" s="7969"/>
      <c r="AQ783" s="7969"/>
      <c r="AR783" s="7969"/>
      <c r="AS783" s="7969"/>
      <c r="AT783" s="7970"/>
      <c r="AU783" s="8435"/>
      <c r="AV783" s="8435"/>
      <c r="AW783" s="8435"/>
      <c r="AX783" s="8432"/>
      <c r="AY783" s="8434"/>
      <c r="AZ783" s="8435"/>
      <c r="BA783" s="8432"/>
      <c r="BB783" s="8433"/>
      <c r="BC783" s="8434"/>
      <c r="BD783" s="8436"/>
      <c r="BF783" s="14502"/>
      <c r="BG783" s="14502"/>
      <c r="BH783" s="14502"/>
      <c r="BI783" s="14502"/>
      <c r="BJ783" s="14502"/>
      <c r="BK783" s="9895"/>
      <c r="BL783" s="14502"/>
      <c r="BM783" s="14502"/>
      <c r="BN783" s="14502"/>
    </row>
    <row r="784" spans="1:66" ht="29.25" hidden="1" customHeight="1">
      <c r="A784" s="13527">
        <v>490</v>
      </c>
      <c r="B784" s="14127" t="s">
        <v>8067</v>
      </c>
      <c r="C784" s="13598"/>
      <c r="D784" s="11786" t="s">
        <v>10072</v>
      </c>
      <c r="E784" s="12228" t="s">
        <v>1097</v>
      </c>
      <c r="F784" s="7833"/>
      <c r="G784" s="14129" t="s">
        <v>1095</v>
      </c>
      <c r="H784" s="13399" t="s">
        <v>1096</v>
      </c>
      <c r="I784" s="13866">
        <v>1</v>
      </c>
      <c r="K784" s="8432"/>
      <c r="L784" s="7965"/>
      <c r="M784" s="7965"/>
      <c r="N784" s="8433"/>
      <c r="O784" s="8433"/>
      <c r="P784" s="8434"/>
      <c r="Q784" s="7967"/>
      <c r="R784" s="7968"/>
      <c r="S784" s="7969"/>
      <c r="T784" s="7970"/>
      <c r="U784" s="7967"/>
      <c r="V784" s="7968"/>
      <c r="W784" s="7970"/>
      <c r="X784" s="7968"/>
      <c r="Y784" s="7970"/>
      <c r="Z784" s="7968"/>
      <c r="AA784" s="7969"/>
      <c r="AB784" s="7969"/>
      <c r="AC784" s="7969"/>
      <c r="AD784" s="7969"/>
      <c r="AE784" s="7969"/>
      <c r="AF784" s="7970"/>
      <c r="AG784" s="7968"/>
      <c r="AH784" s="7969"/>
      <c r="AI784" s="7969"/>
      <c r="AJ784" s="7969"/>
      <c r="AK784" s="7969"/>
      <c r="AL784" s="7969"/>
      <c r="AM784" s="7969"/>
      <c r="AN784" s="7970"/>
      <c r="AO784" s="7968"/>
      <c r="AP784" s="7969"/>
      <c r="AQ784" s="7969"/>
      <c r="AR784" s="7969"/>
      <c r="AS784" s="7969"/>
      <c r="AT784" s="7970"/>
      <c r="AU784" s="8435"/>
      <c r="AV784" s="8435"/>
      <c r="AW784" s="8435"/>
      <c r="AX784" s="8432"/>
      <c r="AY784" s="8434"/>
      <c r="AZ784" s="8435"/>
      <c r="BA784" s="8432"/>
      <c r="BB784" s="8433"/>
      <c r="BC784" s="8434"/>
      <c r="BD784" s="8436"/>
      <c r="BF784" s="14502"/>
      <c r="BG784" s="14502"/>
      <c r="BH784" s="14502"/>
      <c r="BI784" s="14502"/>
      <c r="BJ784" s="14502"/>
      <c r="BK784" s="9895"/>
      <c r="BL784" s="14502"/>
      <c r="BM784" s="14502"/>
      <c r="BN784" s="14502"/>
    </row>
    <row r="785" spans="1:66" ht="29.25" hidden="1" customHeight="1" thickBot="1">
      <c r="A785" s="13709"/>
      <c r="B785" s="14128"/>
      <c r="C785" s="13598"/>
      <c r="D785" s="11789" t="s">
        <v>10070</v>
      </c>
      <c r="E785" s="12231"/>
      <c r="F785" s="7834" t="s">
        <v>1098</v>
      </c>
      <c r="G785" s="14130"/>
      <c r="H785" s="13467"/>
      <c r="I785" s="14187"/>
      <c r="K785" s="9896"/>
      <c r="L785" s="9897"/>
      <c r="M785" s="9897"/>
      <c r="N785" s="9898"/>
      <c r="O785" s="9898"/>
      <c r="P785" s="9899"/>
      <c r="Q785" s="9900"/>
      <c r="R785" s="9901"/>
      <c r="S785" s="9902"/>
      <c r="T785" s="9903"/>
      <c r="U785" s="9900"/>
      <c r="V785" s="9901"/>
      <c r="W785" s="9903"/>
      <c r="X785" s="9901"/>
      <c r="Y785" s="9903"/>
      <c r="Z785" s="9901"/>
      <c r="AA785" s="9902"/>
      <c r="AB785" s="9902"/>
      <c r="AC785" s="9902"/>
      <c r="AD785" s="9902"/>
      <c r="AE785" s="9902"/>
      <c r="AF785" s="9903"/>
      <c r="AG785" s="9901"/>
      <c r="AH785" s="9902"/>
      <c r="AI785" s="9902"/>
      <c r="AJ785" s="9902"/>
      <c r="AK785" s="9902"/>
      <c r="AL785" s="9902"/>
      <c r="AM785" s="9902"/>
      <c r="AN785" s="9903"/>
      <c r="AO785" s="9901"/>
      <c r="AP785" s="9902"/>
      <c r="AQ785" s="9902"/>
      <c r="AR785" s="9902"/>
      <c r="AS785" s="9902"/>
      <c r="AT785" s="9903"/>
      <c r="AU785" s="9904"/>
      <c r="AV785" s="9904"/>
      <c r="AW785" s="9904"/>
      <c r="AX785" s="9896"/>
      <c r="AY785" s="9899"/>
      <c r="AZ785" s="9904"/>
      <c r="BA785" s="9896"/>
      <c r="BB785" s="9898"/>
      <c r="BC785" s="9899"/>
      <c r="BD785" s="9905"/>
      <c r="BF785" s="14503"/>
      <c r="BG785" s="14503"/>
      <c r="BH785" s="14503"/>
      <c r="BI785" s="14503"/>
      <c r="BJ785" s="14503"/>
      <c r="BK785" s="9906"/>
      <c r="BL785" s="14503"/>
      <c r="BM785" s="14503"/>
      <c r="BN785" s="14503"/>
    </row>
    <row r="786" spans="1:66" ht="29.25" hidden="1" customHeight="1">
      <c r="A786" s="10080">
        <v>491</v>
      </c>
      <c r="B786" s="10081" t="s">
        <v>8068</v>
      </c>
      <c r="C786" s="13598"/>
      <c r="D786" s="12264" t="s">
        <v>10072</v>
      </c>
      <c r="E786" s="12265" t="s">
        <v>1029</v>
      </c>
      <c r="F786" s="12266" t="s">
        <v>10083</v>
      </c>
      <c r="G786" s="12267" t="s">
        <v>1101</v>
      </c>
      <c r="H786" s="12268" t="s">
        <v>1043</v>
      </c>
      <c r="I786" s="12269">
        <v>5</v>
      </c>
      <c r="K786" s="10082"/>
      <c r="L786" s="10084"/>
      <c r="M786" s="10084"/>
      <c r="N786" s="10085"/>
      <c r="O786" s="10085"/>
      <c r="P786" s="10086"/>
      <c r="Q786" s="10087"/>
      <c r="R786" s="10088"/>
      <c r="S786" s="10089"/>
      <c r="T786" s="10090"/>
      <c r="U786" s="10087"/>
      <c r="V786" s="10088"/>
      <c r="W786" s="10090"/>
      <c r="X786" s="10088"/>
      <c r="Y786" s="10090"/>
      <c r="Z786" s="10088"/>
      <c r="AA786" s="10089"/>
      <c r="AB786" s="10089"/>
      <c r="AC786" s="10089"/>
      <c r="AD786" s="10089"/>
      <c r="AE786" s="10089"/>
      <c r="AF786" s="10090"/>
      <c r="AG786" s="10088"/>
      <c r="AH786" s="10089"/>
      <c r="AI786" s="10089"/>
      <c r="AJ786" s="10089"/>
      <c r="AK786" s="10089"/>
      <c r="AL786" s="10089"/>
      <c r="AM786" s="10089"/>
      <c r="AN786" s="10090"/>
      <c r="AO786" s="10088"/>
      <c r="AP786" s="10089"/>
      <c r="AQ786" s="10089"/>
      <c r="AR786" s="10089"/>
      <c r="AS786" s="10089"/>
      <c r="AT786" s="10090"/>
      <c r="AU786" s="10091"/>
      <c r="AV786" s="10091"/>
      <c r="AW786" s="10091"/>
      <c r="AX786" s="10082"/>
      <c r="AY786" s="10086"/>
      <c r="AZ786" s="10091"/>
      <c r="BA786" s="10082"/>
      <c r="BB786" s="10085"/>
      <c r="BC786" s="10086"/>
      <c r="BD786" s="10092"/>
      <c r="BF786" s="10083"/>
      <c r="BG786" s="10083"/>
      <c r="BH786" s="10083"/>
      <c r="BI786" s="10083"/>
      <c r="BJ786" s="10083"/>
      <c r="BK786" s="10083"/>
      <c r="BL786" s="10083"/>
      <c r="BM786" s="10083"/>
      <c r="BN786" s="10083"/>
    </row>
    <row r="787" spans="1:66" ht="29.25" hidden="1" customHeight="1">
      <c r="A787" s="10093">
        <v>492</v>
      </c>
      <c r="B787" s="10094" t="s">
        <v>8069</v>
      </c>
      <c r="C787" s="13598"/>
      <c r="D787" s="11813" t="s">
        <v>10072</v>
      </c>
      <c r="E787" s="12270" t="s">
        <v>1029</v>
      </c>
      <c r="F787" s="12271" t="s">
        <v>10084</v>
      </c>
      <c r="G787" s="12272" t="s">
        <v>1102</v>
      </c>
      <c r="H787" s="12273" t="s">
        <v>1103</v>
      </c>
      <c r="I787" s="11816">
        <v>1</v>
      </c>
      <c r="K787" s="8560"/>
      <c r="L787" s="8568"/>
      <c r="M787" s="8568"/>
      <c r="N787" s="8569"/>
      <c r="O787" s="8569"/>
      <c r="P787" s="8570"/>
      <c r="Q787" s="8571"/>
      <c r="R787" s="8572"/>
      <c r="S787" s="8573"/>
      <c r="T787" s="8574"/>
      <c r="U787" s="8571"/>
      <c r="V787" s="8572"/>
      <c r="W787" s="8574"/>
      <c r="X787" s="8572"/>
      <c r="Y787" s="8574"/>
      <c r="Z787" s="8572"/>
      <c r="AA787" s="8573"/>
      <c r="AB787" s="8573"/>
      <c r="AC787" s="8573"/>
      <c r="AD787" s="8573"/>
      <c r="AE787" s="8573"/>
      <c r="AF787" s="8574"/>
      <c r="AG787" s="8572"/>
      <c r="AH787" s="8573"/>
      <c r="AI787" s="8573"/>
      <c r="AJ787" s="8573"/>
      <c r="AK787" s="8573"/>
      <c r="AL787" s="8573"/>
      <c r="AM787" s="8573"/>
      <c r="AN787" s="8574"/>
      <c r="AO787" s="8572"/>
      <c r="AP787" s="8573"/>
      <c r="AQ787" s="8573"/>
      <c r="AR787" s="8573"/>
      <c r="AS787" s="8573"/>
      <c r="AT787" s="8574"/>
      <c r="AU787" s="8575"/>
      <c r="AV787" s="8575"/>
      <c r="AW787" s="8575"/>
      <c r="AX787" s="8560"/>
      <c r="AY787" s="8570"/>
      <c r="AZ787" s="8575"/>
      <c r="BA787" s="8560"/>
      <c r="BB787" s="8569"/>
      <c r="BC787" s="8570"/>
      <c r="BD787" s="8566"/>
      <c r="BF787" s="10095"/>
      <c r="BG787" s="10095"/>
      <c r="BH787" s="10095"/>
      <c r="BI787" s="10095"/>
      <c r="BJ787" s="10095"/>
      <c r="BK787" s="10095"/>
      <c r="BL787" s="10095"/>
      <c r="BM787" s="10095"/>
      <c r="BN787" s="10095"/>
    </row>
    <row r="788" spans="1:66" ht="29.25" hidden="1" customHeight="1">
      <c r="A788" s="13667">
        <v>493</v>
      </c>
      <c r="B788" s="14167" t="s">
        <v>8070</v>
      </c>
      <c r="C788" s="13598"/>
      <c r="D788" s="11813" t="s">
        <v>10072</v>
      </c>
      <c r="E788" s="12270" t="s">
        <v>1029</v>
      </c>
      <c r="F788" s="12271"/>
      <c r="G788" s="14169" t="s">
        <v>1104</v>
      </c>
      <c r="H788" s="13420"/>
      <c r="I788" s="14196"/>
      <c r="K788" s="10096"/>
      <c r="L788" s="10097"/>
      <c r="M788" s="10097"/>
      <c r="N788" s="10098"/>
      <c r="O788" s="10098"/>
      <c r="P788" s="10099"/>
      <c r="Q788" s="10100"/>
      <c r="R788" s="10101"/>
      <c r="S788" s="10102"/>
      <c r="T788" s="10103"/>
      <c r="U788" s="10100"/>
      <c r="V788" s="10101"/>
      <c r="W788" s="10103"/>
      <c r="X788" s="10101"/>
      <c r="Y788" s="10103"/>
      <c r="Z788" s="10101"/>
      <c r="AA788" s="10102"/>
      <c r="AB788" s="10102"/>
      <c r="AC788" s="10102"/>
      <c r="AD788" s="10102"/>
      <c r="AE788" s="10102"/>
      <c r="AF788" s="10103"/>
      <c r="AG788" s="10101"/>
      <c r="AH788" s="10102"/>
      <c r="AI788" s="10102"/>
      <c r="AJ788" s="10102"/>
      <c r="AK788" s="10102"/>
      <c r="AL788" s="10102"/>
      <c r="AM788" s="10102"/>
      <c r="AN788" s="10103"/>
      <c r="AO788" s="10101"/>
      <c r="AP788" s="10102"/>
      <c r="AQ788" s="10102"/>
      <c r="AR788" s="10102"/>
      <c r="AS788" s="10102"/>
      <c r="AT788" s="10103"/>
      <c r="AU788" s="10104"/>
      <c r="AV788" s="10104"/>
      <c r="AW788" s="10104"/>
      <c r="AX788" s="10096"/>
      <c r="AY788" s="10099"/>
      <c r="AZ788" s="10104"/>
      <c r="BA788" s="10096"/>
      <c r="BB788" s="10098"/>
      <c r="BC788" s="10099"/>
      <c r="BD788" s="10105"/>
      <c r="BF788" s="14514"/>
      <c r="BG788" s="14514"/>
      <c r="BH788" s="14514"/>
      <c r="BI788" s="14514"/>
      <c r="BJ788" s="14514"/>
      <c r="BK788" s="10095"/>
      <c r="BL788" s="14514"/>
      <c r="BM788" s="14514"/>
      <c r="BN788" s="14514"/>
    </row>
    <row r="789" spans="1:66" ht="29.25" hidden="1" customHeight="1">
      <c r="A789" s="13667"/>
      <c r="B789" s="14167"/>
      <c r="C789" s="13598"/>
      <c r="D789" s="11813" t="s">
        <v>8575</v>
      </c>
      <c r="E789" s="12270"/>
      <c r="F789" s="12271" t="s">
        <v>1114</v>
      </c>
      <c r="G789" s="14169"/>
      <c r="H789" s="13420"/>
      <c r="I789" s="14196"/>
      <c r="K789" s="10096"/>
      <c r="L789" s="10097"/>
      <c r="M789" s="10097"/>
      <c r="N789" s="10098"/>
      <c r="O789" s="10098"/>
      <c r="P789" s="10099"/>
      <c r="Q789" s="10100"/>
      <c r="R789" s="10101"/>
      <c r="S789" s="10102"/>
      <c r="T789" s="10103"/>
      <c r="U789" s="10100"/>
      <c r="V789" s="10101"/>
      <c r="W789" s="10103"/>
      <c r="X789" s="10101"/>
      <c r="Y789" s="10103"/>
      <c r="Z789" s="10101"/>
      <c r="AA789" s="10102"/>
      <c r="AB789" s="10102"/>
      <c r="AC789" s="10102"/>
      <c r="AD789" s="10102"/>
      <c r="AE789" s="10102"/>
      <c r="AF789" s="10103"/>
      <c r="AG789" s="10101"/>
      <c r="AH789" s="10102"/>
      <c r="AI789" s="10102"/>
      <c r="AJ789" s="10102"/>
      <c r="AK789" s="10102"/>
      <c r="AL789" s="10102"/>
      <c r="AM789" s="10102"/>
      <c r="AN789" s="10103"/>
      <c r="AO789" s="10101"/>
      <c r="AP789" s="10102"/>
      <c r="AQ789" s="10102"/>
      <c r="AR789" s="10102"/>
      <c r="AS789" s="10102"/>
      <c r="AT789" s="10103"/>
      <c r="AU789" s="10104"/>
      <c r="AV789" s="10104"/>
      <c r="AW789" s="10104"/>
      <c r="AX789" s="10096"/>
      <c r="AY789" s="10099"/>
      <c r="AZ789" s="10104"/>
      <c r="BA789" s="10096"/>
      <c r="BB789" s="10098"/>
      <c r="BC789" s="10099"/>
      <c r="BD789" s="10105"/>
      <c r="BF789" s="14514"/>
      <c r="BG789" s="14514"/>
      <c r="BH789" s="14514"/>
      <c r="BI789" s="14514"/>
      <c r="BJ789" s="14514"/>
      <c r="BK789" s="10095"/>
      <c r="BL789" s="14514"/>
      <c r="BM789" s="14514"/>
      <c r="BN789" s="14514"/>
    </row>
    <row r="790" spans="1:66" ht="29.25" hidden="1" customHeight="1">
      <c r="A790" s="13667"/>
      <c r="B790" s="14167"/>
      <c r="C790" s="13598"/>
      <c r="D790" s="11813" t="s">
        <v>10194</v>
      </c>
      <c r="E790" s="12270"/>
      <c r="F790" s="12271" t="s">
        <v>10250</v>
      </c>
      <c r="G790" s="14169"/>
      <c r="H790" s="13420"/>
      <c r="I790" s="14196"/>
      <c r="K790" s="10096"/>
      <c r="L790" s="10097"/>
      <c r="M790" s="10097"/>
      <c r="N790" s="10098"/>
      <c r="O790" s="10098"/>
      <c r="P790" s="10099"/>
      <c r="Q790" s="10100"/>
      <c r="R790" s="10101"/>
      <c r="S790" s="10102"/>
      <c r="T790" s="10103"/>
      <c r="U790" s="10100"/>
      <c r="V790" s="10101"/>
      <c r="W790" s="10103"/>
      <c r="X790" s="10101"/>
      <c r="Y790" s="10103"/>
      <c r="Z790" s="10101"/>
      <c r="AA790" s="10102"/>
      <c r="AB790" s="10102"/>
      <c r="AC790" s="10102"/>
      <c r="AD790" s="10102"/>
      <c r="AE790" s="10102"/>
      <c r="AF790" s="10103"/>
      <c r="AG790" s="10101"/>
      <c r="AH790" s="10102"/>
      <c r="AI790" s="10102"/>
      <c r="AJ790" s="10102"/>
      <c r="AK790" s="10102"/>
      <c r="AL790" s="10102"/>
      <c r="AM790" s="10102"/>
      <c r="AN790" s="10103"/>
      <c r="AO790" s="10101"/>
      <c r="AP790" s="10102"/>
      <c r="AQ790" s="10102"/>
      <c r="AR790" s="10102"/>
      <c r="AS790" s="10102"/>
      <c r="AT790" s="10103"/>
      <c r="AU790" s="10104"/>
      <c r="AV790" s="10104"/>
      <c r="AW790" s="10104"/>
      <c r="AX790" s="10096"/>
      <c r="AY790" s="10099"/>
      <c r="AZ790" s="10104"/>
      <c r="BA790" s="10096"/>
      <c r="BB790" s="10098"/>
      <c r="BC790" s="10099"/>
      <c r="BD790" s="10105"/>
      <c r="BF790" s="14514"/>
      <c r="BG790" s="14514"/>
      <c r="BH790" s="14514"/>
      <c r="BI790" s="14514"/>
      <c r="BJ790" s="14514"/>
      <c r="BK790" s="10095"/>
      <c r="BL790" s="14514"/>
      <c r="BM790" s="14514"/>
      <c r="BN790" s="14514"/>
    </row>
    <row r="791" spans="1:66" ht="29.25" hidden="1" customHeight="1" thickBot="1">
      <c r="A791" s="13695"/>
      <c r="B791" s="14168"/>
      <c r="C791" s="13598"/>
      <c r="D791" s="12274" t="s">
        <v>10251</v>
      </c>
      <c r="E791" s="12275"/>
      <c r="F791" s="7815" t="s">
        <v>10249</v>
      </c>
      <c r="G791" s="14170"/>
      <c r="H791" s="13452"/>
      <c r="I791" s="14197"/>
      <c r="K791" s="10106"/>
      <c r="L791" s="10107"/>
      <c r="M791" s="10107"/>
      <c r="N791" s="10108"/>
      <c r="O791" s="10108"/>
      <c r="P791" s="10109"/>
      <c r="Q791" s="10110"/>
      <c r="R791" s="10111"/>
      <c r="S791" s="10112"/>
      <c r="T791" s="10113"/>
      <c r="U791" s="10110"/>
      <c r="V791" s="10111"/>
      <c r="W791" s="10113"/>
      <c r="X791" s="10111"/>
      <c r="Y791" s="10113"/>
      <c r="Z791" s="10111"/>
      <c r="AA791" s="10112"/>
      <c r="AB791" s="10112"/>
      <c r="AC791" s="10112"/>
      <c r="AD791" s="10112"/>
      <c r="AE791" s="10112"/>
      <c r="AF791" s="10113"/>
      <c r="AG791" s="10111"/>
      <c r="AH791" s="10112"/>
      <c r="AI791" s="10112"/>
      <c r="AJ791" s="10112"/>
      <c r="AK791" s="10112"/>
      <c r="AL791" s="10112"/>
      <c r="AM791" s="10112"/>
      <c r="AN791" s="10113"/>
      <c r="AO791" s="10111"/>
      <c r="AP791" s="10112"/>
      <c r="AQ791" s="10112"/>
      <c r="AR791" s="10112"/>
      <c r="AS791" s="10112"/>
      <c r="AT791" s="10113"/>
      <c r="AU791" s="10114"/>
      <c r="AV791" s="10114"/>
      <c r="AW791" s="10114"/>
      <c r="AX791" s="10106"/>
      <c r="AY791" s="10109"/>
      <c r="AZ791" s="10114"/>
      <c r="BA791" s="10106"/>
      <c r="BB791" s="10108"/>
      <c r="BC791" s="10109"/>
      <c r="BD791" s="10115"/>
      <c r="BF791" s="14515"/>
      <c r="BG791" s="14515"/>
      <c r="BH791" s="14515"/>
      <c r="BI791" s="14515"/>
      <c r="BJ791" s="14515"/>
      <c r="BK791" s="10116"/>
      <c r="BL791" s="14515"/>
      <c r="BM791" s="14515"/>
      <c r="BN791" s="14515"/>
    </row>
    <row r="792" spans="1:66" ht="29.25" hidden="1" customHeight="1">
      <c r="A792" s="13699">
        <v>494</v>
      </c>
      <c r="B792" s="14158" t="s">
        <v>8071</v>
      </c>
      <c r="C792" s="13598"/>
      <c r="D792" s="12276" t="s">
        <v>10072</v>
      </c>
      <c r="E792" s="12277" t="s">
        <v>1109</v>
      </c>
      <c r="F792" s="12278"/>
      <c r="G792" s="14161" t="s">
        <v>1107</v>
      </c>
      <c r="H792" s="13468" t="s">
        <v>1108</v>
      </c>
      <c r="I792" s="14198">
        <v>0</v>
      </c>
      <c r="K792" s="10117"/>
      <c r="L792" s="10118"/>
      <c r="M792" s="10118"/>
      <c r="N792" s="6369"/>
      <c r="O792" s="6369"/>
      <c r="P792" s="10119"/>
      <c r="Q792" s="10120"/>
      <c r="R792" s="10121"/>
      <c r="S792" s="10122"/>
      <c r="T792" s="10123"/>
      <c r="U792" s="10120"/>
      <c r="V792" s="10121"/>
      <c r="W792" s="10123"/>
      <c r="X792" s="10121"/>
      <c r="Y792" s="10123"/>
      <c r="Z792" s="10121"/>
      <c r="AA792" s="10122"/>
      <c r="AB792" s="10122"/>
      <c r="AC792" s="10122"/>
      <c r="AD792" s="10122"/>
      <c r="AE792" s="10122"/>
      <c r="AF792" s="10123"/>
      <c r="AG792" s="10121"/>
      <c r="AH792" s="10122"/>
      <c r="AI792" s="10122"/>
      <c r="AJ792" s="10122"/>
      <c r="AK792" s="10122"/>
      <c r="AL792" s="10122"/>
      <c r="AM792" s="10122"/>
      <c r="AN792" s="10123"/>
      <c r="AO792" s="10121"/>
      <c r="AP792" s="10122"/>
      <c r="AQ792" s="10122"/>
      <c r="AR792" s="10122"/>
      <c r="AS792" s="10122"/>
      <c r="AT792" s="10123"/>
      <c r="AU792" s="10124"/>
      <c r="AV792" s="10124"/>
      <c r="AW792" s="10124"/>
      <c r="AX792" s="10117"/>
      <c r="AY792" s="10119"/>
      <c r="AZ792" s="10124"/>
      <c r="BA792" s="10117"/>
      <c r="BB792" s="6369"/>
      <c r="BC792" s="10119"/>
      <c r="BD792" s="10125"/>
      <c r="BF792" s="14516"/>
      <c r="BG792" s="14516"/>
      <c r="BH792" s="14516"/>
      <c r="BI792" s="14516"/>
      <c r="BJ792" s="14516"/>
      <c r="BK792" s="10126"/>
      <c r="BL792" s="14516"/>
      <c r="BM792" s="14516"/>
      <c r="BN792" s="14516"/>
    </row>
    <row r="793" spans="1:66" ht="29.25" hidden="1" customHeight="1">
      <c r="A793" s="13700"/>
      <c r="B793" s="14159"/>
      <c r="C793" s="13598"/>
      <c r="D793" s="12279" t="s">
        <v>8575</v>
      </c>
      <c r="E793" s="12280"/>
      <c r="F793" s="12281" t="s">
        <v>1114</v>
      </c>
      <c r="G793" s="14162"/>
      <c r="H793" s="13469"/>
      <c r="I793" s="14199"/>
      <c r="K793" s="10127"/>
      <c r="L793" s="10128"/>
      <c r="M793" s="10128"/>
      <c r="N793" s="10129"/>
      <c r="O793" s="10129"/>
      <c r="P793" s="10130"/>
      <c r="Q793" s="10131"/>
      <c r="R793" s="10132"/>
      <c r="S793" s="10133"/>
      <c r="T793" s="10134"/>
      <c r="U793" s="10131"/>
      <c r="V793" s="10132"/>
      <c r="W793" s="10134"/>
      <c r="X793" s="10132"/>
      <c r="Y793" s="10134"/>
      <c r="Z793" s="10132"/>
      <c r="AA793" s="10133"/>
      <c r="AB793" s="10133"/>
      <c r="AC793" s="10133"/>
      <c r="AD793" s="10133"/>
      <c r="AE793" s="10133"/>
      <c r="AF793" s="10134"/>
      <c r="AG793" s="10132"/>
      <c r="AH793" s="10133"/>
      <c r="AI793" s="10133"/>
      <c r="AJ793" s="10133"/>
      <c r="AK793" s="10133"/>
      <c r="AL793" s="10133"/>
      <c r="AM793" s="10133"/>
      <c r="AN793" s="10134"/>
      <c r="AO793" s="10132"/>
      <c r="AP793" s="10133"/>
      <c r="AQ793" s="10133"/>
      <c r="AR793" s="10133"/>
      <c r="AS793" s="10133"/>
      <c r="AT793" s="10134"/>
      <c r="AU793" s="10135"/>
      <c r="AV793" s="10135"/>
      <c r="AW793" s="10135"/>
      <c r="AX793" s="10127"/>
      <c r="AY793" s="10130"/>
      <c r="AZ793" s="10135"/>
      <c r="BA793" s="10127"/>
      <c r="BB793" s="10129"/>
      <c r="BC793" s="10130"/>
      <c r="BD793" s="10136"/>
      <c r="BF793" s="14517"/>
      <c r="BG793" s="14517"/>
      <c r="BH793" s="14517"/>
      <c r="BI793" s="14517"/>
      <c r="BJ793" s="14517"/>
      <c r="BK793" s="10137"/>
      <c r="BL793" s="14517"/>
      <c r="BM793" s="14517"/>
      <c r="BN793" s="14517"/>
    </row>
    <row r="794" spans="1:66" ht="29.25" hidden="1" customHeight="1">
      <c r="A794" s="13700"/>
      <c r="B794" s="14159"/>
      <c r="C794" s="13598"/>
      <c r="D794" s="12279" t="s">
        <v>10194</v>
      </c>
      <c r="E794" s="12280"/>
      <c r="F794" s="12281" t="s">
        <v>10253</v>
      </c>
      <c r="G794" s="14162"/>
      <c r="H794" s="13469"/>
      <c r="I794" s="14199"/>
      <c r="K794" s="10127"/>
      <c r="L794" s="10128"/>
      <c r="M794" s="10128"/>
      <c r="N794" s="10129"/>
      <c r="O794" s="10129"/>
      <c r="P794" s="10130"/>
      <c r="Q794" s="10131"/>
      <c r="R794" s="10132"/>
      <c r="S794" s="10133"/>
      <c r="T794" s="10134"/>
      <c r="U794" s="10131"/>
      <c r="V794" s="10132"/>
      <c r="W794" s="10134"/>
      <c r="X794" s="10132"/>
      <c r="Y794" s="10134"/>
      <c r="Z794" s="10132"/>
      <c r="AA794" s="10133"/>
      <c r="AB794" s="10133"/>
      <c r="AC794" s="10133"/>
      <c r="AD794" s="10133"/>
      <c r="AE794" s="10133"/>
      <c r="AF794" s="10134"/>
      <c r="AG794" s="10132"/>
      <c r="AH794" s="10133"/>
      <c r="AI794" s="10133"/>
      <c r="AJ794" s="10133"/>
      <c r="AK794" s="10133"/>
      <c r="AL794" s="10133"/>
      <c r="AM794" s="10133"/>
      <c r="AN794" s="10134"/>
      <c r="AO794" s="10132"/>
      <c r="AP794" s="10133"/>
      <c r="AQ794" s="10133"/>
      <c r="AR794" s="10133"/>
      <c r="AS794" s="10133"/>
      <c r="AT794" s="10134"/>
      <c r="AU794" s="10135"/>
      <c r="AV794" s="10135"/>
      <c r="AW794" s="10135"/>
      <c r="AX794" s="10127"/>
      <c r="AY794" s="10130"/>
      <c r="AZ794" s="10135"/>
      <c r="BA794" s="10127"/>
      <c r="BB794" s="10129"/>
      <c r="BC794" s="10130"/>
      <c r="BD794" s="10136"/>
      <c r="BF794" s="14517"/>
      <c r="BG794" s="14517"/>
      <c r="BH794" s="14517"/>
      <c r="BI794" s="14517"/>
      <c r="BJ794" s="14517"/>
      <c r="BK794" s="10137"/>
      <c r="BL794" s="14517"/>
      <c r="BM794" s="14517"/>
      <c r="BN794" s="14517"/>
    </row>
    <row r="795" spans="1:66" ht="29.25" hidden="1" customHeight="1" thickBot="1">
      <c r="A795" s="13701"/>
      <c r="B795" s="14160"/>
      <c r="C795" s="13598"/>
      <c r="D795" s="12282" t="s">
        <v>10251</v>
      </c>
      <c r="E795" s="12283"/>
      <c r="F795" s="12284" t="s">
        <v>10252</v>
      </c>
      <c r="G795" s="14163"/>
      <c r="H795" s="13469"/>
      <c r="I795" s="14200"/>
      <c r="K795" s="10138"/>
      <c r="L795" s="10139"/>
      <c r="M795" s="10139"/>
      <c r="N795" s="6422"/>
      <c r="O795" s="6422"/>
      <c r="P795" s="10140"/>
      <c r="Q795" s="10141"/>
      <c r="R795" s="10142"/>
      <c r="S795" s="10143"/>
      <c r="T795" s="10144"/>
      <c r="U795" s="10141"/>
      <c r="V795" s="10142"/>
      <c r="W795" s="10144"/>
      <c r="X795" s="10142"/>
      <c r="Y795" s="10144"/>
      <c r="Z795" s="10142"/>
      <c r="AA795" s="10143"/>
      <c r="AB795" s="10143"/>
      <c r="AC795" s="10143"/>
      <c r="AD795" s="10143"/>
      <c r="AE795" s="10143"/>
      <c r="AF795" s="10144"/>
      <c r="AG795" s="10142"/>
      <c r="AH795" s="10143"/>
      <c r="AI795" s="10143"/>
      <c r="AJ795" s="10143"/>
      <c r="AK795" s="10143"/>
      <c r="AL795" s="10143"/>
      <c r="AM795" s="10143"/>
      <c r="AN795" s="10144"/>
      <c r="AO795" s="10142"/>
      <c r="AP795" s="10143"/>
      <c r="AQ795" s="10143"/>
      <c r="AR795" s="10143"/>
      <c r="AS795" s="10143"/>
      <c r="AT795" s="10144"/>
      <c r="AU795" s="10145"/>
      <c r="AV795" s="10145"/>
      <c r="AW795" s="10145"/>
      <c r="AX795" s="10138"/>
      <c r="AY795" s="10140"/>
      <c r="AZ795" s="10145"/>
      <c r="BA795" s="10138"/>
      <c r="BB795" s="6422"/>
      <c r="BC795" s="10140"/>
      <c r="BD795" s="10146"/>
      <c r="BF795" s="14518"/>
      <c r="BG795" s="14518"/>
      <c r="BH795" s="14518"/>
      <c r="BI795" s="14518"/>
      <c r="BJ795" s="14518"/>
      <c r="BK795" s="10147"/>
      <c r="BL795" s="14518"/>
      <c r="BM795" s="14518"/>
      <c r="BN795" s="14518"/>
    </row>
    <row r="796" spans="1:66" ht="29.25" hidden="1" customHeight="1">
      <c r="A796" s="13702">
        <v>495</v>
      </c>
      <c r="B796" s="14164" t="s">
        <v>8072</v>
      </c>
      <c r="C796" s="13598"/>
      <c r="D796" s="12192" t="s">
        <v>10072</v>
      </c>
      <c r="E796" s="12193" t="s">
        <v>968</v>
      </c>
      <c r="F796" s="11960"/>
      <c r="G796" s="13522" t="s">
        <v>1112</v>
      </c>
      <c r="H796" s="13470" t="s">
        <v>1113</v>
      </c>
      <c r="I796" s="13829">
        <v>0</v>
      </c>
      <c r="K796" s="7984"/>
      <c r="L796" s="7985"/>
      <c r="M796" s="7985"/>
      <c r="N796" s="7986"/>
      <c r="O796" s="7986"/>
      <c r="P796" s="7987"/>
      <c r="Q796" s="7988"/>
      <c r="R796" s="7989"/>
      <c r="S796" s="7990"/>
      <c r="T796" s="7991"/>
      <c r="U796" s="7988"/>
      <c r="V796" s="7989"/>
      <c r="W796" s="7991"/>
      <c r="X796" s="7989"/>
      <c r="Y796" s="7991"/>
      <c r="Z796" s="7989"/>
      <c r="AA796" s="7990"/>
      <c r="AB796" s="7990"/>
      <c r="AC796" s="7990"/>
      <c r="AD796" s="7990"/>
      <c r="AE796" s="7990"/>
      <c r="AF796" s="7991"/>
      <c r="AG796" s="7989"/>
      <c r="AH796" s="7990"/>
      <c r="AI796" s="7990"/>
      <c r="AJ796" s="7990"/>
      <c r="AK796" s="7990"/>
      <c r="AL796" s="7990"/>
      <c r="AM796" s="7990"/>
      <c r="AN796" s="7991"/>
      <c r="AO796" s="7989"/>
      <c r="AP796" s="7990"/>
      <c r="AQ796" s="7990"/>
      <c r="AR796" s="7990"/>
      <c r="AS796" s="7990"/>
      <c r="AT796" s="7991"/>
      <c r="AU796" s="7992"/>
      <c r="AV796" s="7992"/>
      <c r="AW796" s="7992"/>
      <c r="AX796" s="7984"/>
      <c r="AY796" s="7987"/>
      <c r="AZ796" s="7992"/>
      <c r="BA796" s="7984"/>
      <c r="BB796" s="7986"/>
      <c r="BC796" s="7987"/>
      <c r="BD796" s="7993"/>
      <c r="BF796" s="14505"/>
      <c r="BG796" s="14505"/>
      <c r="BH796" s="14505"/>
      <c r="BI796" s="14505"/>
      <c r="BJ796" s="14505"/>
      <c r="BK796" s="9927"/>
      <c r="BL796" s="14505"/>
      <c r="BM796" s="14505"/>
      <c r="BN796" s="14505"/>
    </row>
    <row r="797" spans="1:66" ht="29.25" hidden="1" customHeight="1">
      <c r="A797" s="13703"/>
      <c r="B797" s="14165"/>
      <c r="C797" s="13598"/>
      <c r="D797" s="12200" t="s">
        <v>8575</v>
      </c>
      <c r="E797" s="12197"/>
      <c r="F797" s="11962" t="s">
        <v>1114</v>
      </c>
      <c r="G797" s="14166"/>
      <c r="H797" s="13470"/>
      <c r="I797" s="13818"/>
      <c r="K797" s="7995"/>
      <c r="L797" s="7996"/>
      <c r="M797" s="7996"/>
      <c r="N797" s="7997"/>
      <c r="O797" s="7997"/>
      <c r="P797" s="7998"/>
      <c r="Q797" s="7999"/>
      <c r="R797" s="8000"/>
      <c r="S797" s="8001"/>
      <c r="T797" s="8002"/>
      <c r="U797" s="7999"/>
      <c r="V797" s="8000"/>
      <c r="W797" s="8002"/>
      <c r="X797" s="8000"/>
      <c r="Y797" s="8002"/>
      <c r="Z797" s="8000"/>
      <c r="AA797" s="8001"/>
      <c r="AB797" s="8001"/>
      <c r="AC797" s="8001"/>
      <c r="AD797" s="8001"/>
      <c r="AE797" s="8001"/>
      <c r="AF797" s="8002"/>
      <c r="AG797" s="8000"/>
      <c r="AH797" s="8001"/>
      <c r="AI797" s="8001"/>
      <c r="AJ797" s="8001"/>
      <c r="AK797" s="8001"/>
      <c r="AL797" s="8001"/>
      <c r="AM797" s="8001"/>
      <c r="AN797" s="8002"/>
      <c r="AO797" s="8000"/>
      <c r="AP797" s="8001"/>
      <c r="AQ797" s="8001"/>
      <c r="AR797" s="8001"/>
      <c r="AS797" s="8001"/>
      <c r="AT797" s="8002"/>
      <c r="AU797" s="8003"/>
      <c r="AV797" s="8003"/>
      <c r="AW797" s="8003"/>
      <c r="AX797" s="7995"/>
      <c r="AY797" s="7998"/>
      <c r="AZ797" s="8003"/>
      <c r="BA797" s="7995"/>
      <c r="BB797" s="7997"/>
      <c r="BC797" s="7998"/>
      <c r="BD797" s="8004"/>
      <c r="BF797" s="14519"/>
      <c r="BG797" s="14519"/>
      <c r="BH797" s="14519"/>
      <c r="BI797" s="14519"/>
      <c r="BJ797" s="14519"/>
      <c r="BK797" s="9931"/>
      <c r="BL797" s="14519"/>
      <c r="BM797" s="14519"/>
      <c r="BN797" s="14519"/>
    </row>
    <row r="798" spans="1:66" ht="29.25" hidden="1" customHeight="1">
      <c r="A798" s="13703">
        <v>496</v>
      </c>
      <c r="B798" s="14165" t="s">
        <v>8073</v>
      </c>
      <c r="C798" s="13598"/>
      <c r="D798" s="12200" t="s">
        <v>10072</v>
      </c>
      <c r="E798" s="12197" t="s">
        <v>1117</v>
      </c>
      <c r="F798" s="11962"/>
      <c r="G798" s="14166" t="s">
        <v>1115</v>
      </c>
      <c r="H798" s="13470" t="s">
        <v>1116</v>
      </c>
      <c r="I798" s="13818">
        <v>1</v>
      </c>
      <c r="K798" s="7995"/>
      <c r="L798" s="7996"/>
      <c r="M798" s="7996"/>
      <c r="N798" s="7997"/>
      <c r="O798" s="7997"/>
      <c r="P798" s="7998"/>
      <c r="Q798" s="7999"/>
      <c r="R798" s="8000"/>
      <c r="S798" s="8001"/>
      <c r="T798" s="8002"/>
      <c r="U798" s="7999"/>
      <c r="V798" s="8000"/>
      <c r="W798" s="8002"/>
      <c r="X798" s="8000"/>
      <c r="Y798" s="8002"/>
      <c r="Z798" s="8000"/>
      <c r="AA798" s="8001"/>
      <c r="AB798" s="8001"/>
      <c r="AC798" s="8001"/>
      <c r="AD798" s="8001"/>
      <c r="AE798" s="8001"/>
      <c r="AF798" s="8002"/>
      <c r="AG798" s="8000"/>
      <c r="AH798" s="8001"/>
      <c r="AI798" s="8001"/>
      <c r="AJ798" s="8001"/>
      <c r="AK798" s="8001"/>
      <c r="AL798" s="8001"/>
      <c r="AM798" s="8001"/>
      <c r="AN798" s="8002"/>
      <c r="AO798" s="8000"/>
      <c r="AP798" s="8001"/>
      <c r="AQ798" s="8001"/>
      <c r="AR798" s="8001"/>
      <c r="AS798" s="8001"/>
      <c r="AT798" s="8002"/>
      <c r="AU798" s="8003"/>
      <c r="AV798" s="8003"/>
      <c r="AW798" s="8003"/>
      <c r="AX798" s="7995"/>
      <c r="AY798" s="7998"/>
      <c r="AZ798" s="8003"/>
      <c r="BA798" s="7995"/>
      <c r="BB798" s="7997"/>
      <c r="BC798" s="7998"/>
      <c r="BD798" s="8004"/>
      <c r="BF798" s="14519"/>
      <c r="BG798" s="14519"/>
      <c r="BH798" s="14519"/>
      <c r="BI798" s="14519"/>
      <c r="BJ798" s="14519"/>
      <c r="BK798" s="9931"/>
      <c r="BL798" s="14519"/>
      <c r="BM798" s="14519"/>
      <c r="BN798" s="14519"/>
    </row>
    <row r="799" spans="1:66" ht="29.25" hidden="1" customHeight="1">
      <c r="A799" s="13703"/>
      <c r="B799" s="14165"/>
      <c r="C799" s="13598"/>
      <c r="D799" s="12200" t="s">
        <v>8575</v>
      </c>
      <c r="E799" s="12197"/>
      <c r="F799" s="11962" t="s">
        <v>10254</v>
      </c>
      <c r="G799" s="14166"/>
      <c r="H799" s="13470"/>
      <c r="I799" s="13818"/>
      <c r="K799" s="7995"/>
      <c r="L799" s="7996"/>
      <c r="M799" s="7996"/>
      <c r="N799" s="7997"/>
      <c r="O799" s="7997"/>
      <c r="P799" s="7998"/>
      <c r="Q799" s="7999"/>
      <c r="R799" s="8000"/>
      <c r="S799" s="8001"/>
      <c r="T799" s="8002"/>
      <c r="U799" s="7999"/>
      <c r="V799" s="8000"/>
      <c r="W799" s="8002"/>
      <c r="X799" s="8000"/>
      <c r="Y799" s="8002"/>
      <c r="Z799" s="8000"/>
      <c r="AA799" s="8001"/>
      <c r="AB799" s="8001"/>
      <c r="AC799" s="8001"/>
      <c r="AD799" s="8001"/>
      <c r="AE799" s="8001"/>
      <c r="AF799" s="8002"/>
      <c r="AG799" s="8000"/>
      <c r="AH799" s="8001"/>
      <c r="AI799" s="8001"/>
      <c r="AJ799" s="8001"/>
      <c r="AK799" s="8001"/>
      <c r="AL799" s="8001"/>
      <c r="AM799" s="8001"/>
      <c r="AN799" s="8002"/>
      <c r="AO799" s="8000"/>
      <c r="AP799" s="8001"/>
      <c r="AQ799" s="8001"/>
      <c r="AR799" s="8001"/>
      <c r="AS799" s="8001"/>
      <c r="AT799" s="8002"/>
      <c r="AU799" s="8003"/>
      <c r="AV799" s="8003"/>
      <c r="AW799" s="8003"/>
      <c r="AX799" s="7995"/>
      <c r="AY799" s="7998"/>
      <c r="AZ799" s="8003"/>
      <c r="BA799" s="7995"/>
      <c r="BB799" s="7997"/>
      <c r="BC799" s="7998"/>
      <c r="BD799" s="8004"/>
      <c r="BF799" s="14519"/>
      <c r="BG799" s="14519"/>
      <c r="BH799" s="14519"/>
      <c r="BI799" s="14519"/>
      <c r="BJ799" s="14519"/>
      <c r="BK799" s="9931"/>
      <c r="BL799" s="14519"/>
      <c r="BM799" s="14519"/>
      <c r="BN799" s="14519"/>
    </row>
    <row r="800" spans="1:66" ht="29.25" hidden="1" customHeight="1">
      <c r="A800" s="13703"/>
      <c r="B800" s="14165"/>
      <c r="C800" s="13598"/>
      <c r="D800" s="12200" t="s">
        <v>2896</v>
      </c>
      <c r="E800" s="12197"/>
      <c r="F800" s="11962" t="s">
        <v>10255</v>
      </c>
      <c r="G800" s="14166"/>
      <c r="H800" s="13470"/>
      <c r="I800" s="13818"/>
      <c r="K800" s="7995"/>
      <c r="L800" s="7996"/>
      <c r="M800" s="7996"/>
      <c r="N800" s="7997"/>
      <c r="O800" s="7997"/>
      <c r="P800" s="7998"/>
      <c r="Q800" s="7999"/>
      <c r="R800" s="8000"/>
      <c r="S800" s="8001"/>
      <c r="T800" s="8002"/>
      <c r="U800" s="7999"/>
      <c r="V800" s="8000"/>
      <c r="W800" s="8002"/>
      <c r="X800" s="8000"/>
      <c r="Y800" s="8002"/>
      <c r="Z800" s="8000"/>
      <c r="AA800" s="8001"/>
      <c r="AB800" s="8001"/>
      <c r="AC800" s="8001"/>
      <c r="AD800" s="8001"/>
      <c r="AE800" s="8001"/>
      <c r="AF800" s="8002"/>
      <c r="AG800" s="8000"/>
      <c r="AH800" s="8001"/>
      <c r="AI800" s="8001"/>
      <c r="AJ800" s="8001"/>
      <c r="AK800" s="8001"/>
      <c r="AL800" s="8001"/>
      <c r="AM800" s="8001"/>
      <c r="AN800" s="8002"/>
      <c r="AO800" s="8000"/>
      <c r="AP800" s="8001"/>
      <c r="AQ800" s="8001"/>
      <c r="AR800" s="8001"/>
      <c r="AS800" s="8001"/>
      <c r="AT800" s="8002"/>
      <c r="AU800" s="8003"/>
      <c r="AV800" s="8003"/>
      <c r="AW800" s="8003"/>
      <c r="AX800" s="7995"/>
      <c r="AY800" s="7998"/>
      <c r="AZ800" s="8003"/>
      <c r="BA800" s="7995"/>
      <c r="BB800" s="7997"/>
      <c r="BC800" s="7998"/>
      <c r="BD800" s="8004"/>
      <c r="BF800" s="14519"/>
      <c r="BG800" s="14519"/>
      <c r="BH800" s="14519"/>
      <c r="BI800" s="14519"/>
      <c r="BJ800" s="14519"/>
      <c r="BK800" s="9931"/>
      <c r="BL800" s="14519"/>
      <c r="BM800" s="14519"/>
      <c r="BN800" s="14519"/>
    </row>
    <row r="801" spans="1:66" ht="29.25" hidden="1" customHeight="1">
      <c r="A801" s="13703"/>
      <c r="B801" s="14165"/>
      <c r="C801" s="13598"/>
      <c r="D801" s="12200" t="s">
        <v>10251</v>
      </c>
      <c r="E801" s="12197"/>
      <c r="F801" s="11962" t="s">
        <v>10252</v>
      </c>
      <c r="G801" s="14166"/>
      <c r="H801" s="13470"/>
      <c r="I801" s="13818"/>
      <c r="K801" s="7995"/>
      <c r="L801" s="7996"/>
      <c r="M801" s="7996"/>
      <c r="N801" s="7997"/>
      <c r="O801" s="7997"/>
      <c r="P801" s="7998"/>
      <c r="Q801" s="7999"/>
      <c r="R801" s="8000"/>
      <c r="S801" s="8001"/>
      <c r="T801" s="8002"/>
      <c r="U801" s="7999"/>
      <c r="V801" s="8000"/>
      <c r="W801" s="8002"/>
      <c r="X801" s="8000"/>
      <c r="Y801" s="8002"/>
      <c r="Z801" s="8000"/>
      <c r="AA801" s="8001"/>
      <c r="AB801" s="8001"/>
      <c r="AC801" s="8001"/>
      <c r="AD801" s="8001"/>
      <c r="AE801" s="8001"/>
      <c r="AF801" s="8002"/>
      <c r="AG801" s="8000"/>
      <c r="AH801" s="8001"/>
      <c r="AI801" s="8001"/>
      <c r="AJ801" s="8001"/>
      <c r="AK801" s="8001"/>
      <c r="AL801" s="8001"/>
      <c r="AM801" s="8001"/>
      <c r="AN801" s="8002"/>
      <c r="AO801" s="8000"/>
      <c r="AP801" s="8001"/>
      <c r="AQ801" s="8001"/>
      <c r="AR801" s="8001"/>
      <c r="AS801" s="8001"/>
      <c r="AT801" s="8002"/>
      <c r="AU801" s="8003"/>
      <c r="AV801" s="8003"/>
      <c r="AW801" s="8003"/>
      <c r="AX801" s="7995"/>
      <c r="AY801" s="7998"/>
      <c r="AZ801" s="8003"/>
      <c r="BA801" s="7995"/>
      <c r="BB801" s="7997"/>
      <c r="BC801" s="7998"/>
      <c r="BD801" s="8004"/>
      <c r="BF801" s="14519"/>
      <c r="BG801" s="14519"/>
      <c r="BH801" s="14519"/>
      <c r="BI801" s="14519"/>
      <c r="BJ801" s="14519"/>
      <c r="BK801" s="9931"/>
      <c r="BL801" s="14519"/>
      <c r="BM801" s="14519"/>
      <c r="BN801" s="14519"/>
    </row>
    <row r="802" spans="1:66" ht="29.25" hidden="1" customHeight="1">
      <c r="A802" s="9928">
        <v>497</v>
      </c>
      <c r="B802" s="9929" t="s">
        <v>8074</v>
      </c>
      <c r="C802" s="13598"/>
      <c r="D802" s="12200" t="s">
        <v>10072</v>
      </c>
      <c r="E802" s="12197" t="s">
        <v>1120</v>
      </c>
      <c r="F802" s="11962"/>
      <c r="G802" s="12201" t="s">
        <v>1118</v>
      </c>
      <c r="H802" s="12198" t="s">
        <v>1119</v>
      </c>
      <c r="I802" s="12202">
        <v>2</v>
      </c>
      <c r="K802" s="9930"/>
      <c r="L802" s="9918"/>
      <c r="M802" s="9918"/>
      <c r="N802" s="9932"/>
      <c r="O802" s="9932"/>
      <c r="P802" s="9933"/>
      <c r="Q802" s="9921"/>
      <c r="R802" s="9922"/>
      <c r="S802" s="9923"/>
      <c r="T802" s="9924"/>
      <c r="U802" s="9921"/>
      <c r="V802" s="9922"/>
      <c r="W802" s="9924"/>
      <c r="X802" s="9922"/>
      <c r="Y802" s="9924"/>
      <c r="Z802" s="9922"/>
      <c r="AA802" s="9923"/>
      <c r="AB802" s="9923"/>
      <c r="AC802" s="9923"/>
      <c r="AD802" s="9923"/>
      <c r="AE802" s="9923"/>
      <c r="AF802" s="9924"/>
      <c r="AG802" s="9922"/>
      <c r="AH802" s="9923"/>
      <c r="AI802" s="9923"/>
      <c r="AJ802" s="9923"/>
      <c r="AK802" s="9923"/>
      <c r="AL802" s="9923"/>
      <c r="AM802" s="9923"/>
      <c r="AN802" s="9924"/>
      <c r="AO802" s="9922"/>
      <c r="AP802" s="9923"/>
      <c r="AQ802" s="9923"/>
      <c r="AR802" s="9923"/>
      <c r="AS802" s="9923"/>
      <c r="AT802" s="9924"/>
      <c r="AU802" s="9934"/>
      <c r="AV802" s="9934"/>
      <c r="AW802" s="9934"/>
      <c r="AX802" s="9930"/>
      <c r="AY802" s="9933"/>
      <c r="AZ802" s="9934"/>
      <c r="BA802" s="9930"/>
      <c r="BB802" s="9932"/>
      <c r="BC802" s="9933"/>
      <c r="BD802" s="8006"/>
      <c r="BF802" s="9931"/>
      <c r="BG802" s="9931"/>
      <c r="BH802" s="9931"/>
      <c r="BI802" s="9931"/>
      <c r="BJ802" s="9931"/>
      <c r="BK802" s="9931"/>
      <c r="BL802" s="9931"/>
      <c r="BM802" s="9931"/>
      <c r="BN802" s="9931"/>
    </row>
    <row r="803" spans="1:66" ht="29.25" hidden="1" customHeight="1">
      <c r="A803" s="9928">
        <v>498</v>
      </c>
      <c r="B803" s="9929" t="s">
        <v>8075</v>
      </c>
      <c r="C803" s="13598"/>
      <c r="D803" s="12200" t="s">
        <v>10072</v>
      </c>
      <c r="E803" s="12197" t="s">
        <v>1123</v>
      </c>
      <c r="F803" s="11962"/>
      <c r="G803" s="12201" t="s">
        <v>1121</v>
      </c>
      <c r="H803" s="12198" t="s">
        <v>1122</v>
      </c>
      <c r="I803" s="12202">
        <v>1</v>
      </c>
      <c r="K803" s="9930"/>
      <c r="L803" s="9918"/>
      <c r="M803" s="9918"/>
      <c r="N803" s="9932"/>
      <c r="O803" s="9932"/>
      <c r="P803" s="9933"/>
      <c r="Q803" s="9921"/>
      <c r="R803" s="9922"/>
      <c r="S803" s="9923"/>
      <c r="T803" s="9924"/>
      <c r="U803" s="9921"/>
      <c r="V803" s="9922"/>
      <c r="W803" s="9924"/>
      <c r="X803" s="9922"/>
      <c r="Y803" s="9924"/>
      <c r="Z803" s="9922"/>
      <c r="AA803" s="9923"/>
      <c r="AB803" s="9923"/>
      <c r="AC803" s="9923"/>
      <c r="AD803" s="9923"/>
      <c r="AE803" s="9923"/>
      <c r="AF803" s="9924"/>
      <c r="AG803" s="9922"/>
      <c r="AH803" s="9923"/>
      <c r="AI803" s="9923"/>
      <c r="AJ803" s="9923"/>
      <c r="AK803" s="9923"/>
      <c r="AL803" s="9923"/>
      <c r="AM803" s="9923"/>
      <c r="AN803" s="9924"/>
      <c r="AO803" s="9922"/>
      <c r="AP803" s="9923"/>
      <c r="AQ803" s="9923"/>
      <c r="AR803" s="9923"/>
      <c r="AS803" s="9923"/>
      <c r="AT803" s="9924"/>
      <c r="AU803" s="9934"/>
      <c r="AV803" s="9934"/>
      <c r="AW803" s="9934"/>
      <c r="AX803" s="9930"/>
      <c r="AY803" s="9933"/>
      <c r="AZ803" s="9934"/>
      <c r="BA803" s="9930"/>
      <c r="BB803" s="9932"/>
      <c r="BC803" s="9933"/>
      <c r="BD803" s="8006"/>
      <c r="BF803" s="9931"/>
      <c r="BG803" s="9931"/>
      <c r="BH803" s="9931"/>
      <c r="BI803" s="9931"/>
      <c r="BJ803" s="9931"/>
      <c r="BK803" s="9931"/>
      <c r="BL803" s="9931"/>
      <c r="BM803" s="9931"/>
      <c r="BN803" s="9931"/>
    </row>
    <row r="804" spans="1:66" ht="29.25" hidden="1" customHeight="1">
      <c r="A804" s="9928">
        <v>499</v>
      </c>
      <c r="B804" s="9929" t="s">
        <v>8076</v>
      </c>
      <c r="C804" s="13598"/>
      <c r="D804" s="12200" t="s">
        <v>10072</v>
      </c>
      <c r="E804" s="12197" t="s">
        <v>968</v>
      </c>
      <c r="F804" s="12285" t="s">
        <v>10085</v>
      </c>
      <c r="G804" s="12201" t="s">
        <v>1124</v>
      </c>
      <c r="H804" s="12198"/>
      <c r="I804" s="12202"/>
      <c r="K804" s="9930"/>
      <c r="L804" s="9918"/>
      <c r="M804" s="9918"/>
      <c r="N804" s="9932"/>
      <c r="O804" s="9932"/>
      <c r="P804" s="9933"/>
      <c r="Q804" s="9921"/>
      <c r="R804" s="9922"/>
      <c r="S804" s="9923"/>
      <c r="T804" s="9924"/>
      <c r="U804" s="9921"/>
      <c r="V804" s="9922"/>
      <c r="W804" s="9924"/>
      <c r="X804" s="9922"/>
      <c r="Y804" s="9924"/>
      <c r="Z804" s="9922"/>
      <c r="AA804" s="9923"/>
      <c r="AB804" s="9923"/>
      <c r="AC804" s="9923"/>
      <c r="AD804" s="9923"/>
      <c r="AE804" s="9923"/>
      <c r="AF804" s="9924"/>
      <c r="AG804" s="9922"/>
      <c r="AH804" s="9923"/>
      <c r="AI804" s="9923"/>
      <c r="AJ804" s="9923"/>
      <c r="AK804" s="9923"/>
      <c r="AL804" s="9923"/>
      <c r="AM804" s="9923"/>
      <c r="AN804" s="9924"/>
      <c r="AO804" s="9922"/>
      <c r="AP804" s="9923"/>
      <c r="AQ804" s="9923"/>
      <c r="AR804" s="9923"/>
      <c r="AS804" s="9923"/>
      <c r="AT804" s="9924"/>
      <c r="AU804" s="9934"/>
      <c r="AV804" s="9934"/>
      <c r="AW804" s="9934"/>
      <c r="AX804" s="9930"/>
      <c r="AY804" s="9933"/>
      <c r="AZ804" s="9934"/>
      <c r="BA804" s="9930"/>
      <c r="BB804" s="9932"/>
      <c r="BC804" s="9933"/>
      <c r="BD804" s="8006"/>
      <c r="BF804" s="9931"/>
      <c r="BG804" s="9931"/>
      <c r="BH804" s="9931"/>
      <c r="BI804" s="9931"/>
      <c r="BJ804" s="9931"/>
      <c r="BK804" s="9931"/>
      <c r="BL804" s="9931"/>
      <c r="BM804" s="9931"/>
      <c r="BN804" s="9931"/>
    </row>
    <row r="805" spans="1:66" ht="29.25" hidden="1" customHeight="1">
      <c r="A805" s="9928">
        <v>500</v>
      </c>
      <c r="B805" s="9929" t="s">
        <v>8077</v>
      </c>
      <c r="C805" s="13598"/>
      <c r="D805" s="12200" t="s">
        <v>10072</v>
      </c>
      <c r="E805" s="12197" t="s">
        <v>10086</v>
      </c>
      <c r="F805" s="12285" t="s">
        <v>10087</v>
      </c>
      <c r="G805" s="12201" t="s">
        <v>1125</v>
      </c>
      <c r="H805" s="12198"/>
      <c r="I805" s="12202"/>
      <c r="K805" s="9930"/>
      <c r="L805" s="9918"/>
      <c r="M805" s="9918"/>
      <c r="N805" s="9932"/>
      <c r="O805" s="9932"/>
      <c r="P805" s="9933"/>
      <c r="Q805" s="9921"/>
      <c r="R805" s="9922"/>
      <c r="S805" s="9923"/>
      <c r="T805" s="9924"/>
      <c r="U805" s="9921"/>
      <c r="V805" s="9922"/>
      <c r="W805" s="9924"/>
      <c r="X805" s="9922"/>
      <c r="Y805" s="9924"/>
      <c r="Z805" s="9922"/>
      <c r="AA805" s="9923"/>
      <c r="AB805" s="9923"/>
      <c r="AC805" s="9923"/>
      <c r="AD805" s="9923"/>
      <c r="AE805" s="9923"/>
      <c r="AF805" s="9924"/>
      <c r="AG805" s="9922"/>
      <c r="AH805" s="9923"/>
      <c r="AI805" s="9923"/>
      <c r="AJ805" s="9923"/>
      <c r="AK805" s="9923"/>
      <c r="AL805" s="9923"/>
      <c r="AM805" s="9923"/>
      <c r="AN805" s="9924"/>
      <c r="AO805" s="9922"/>
      <c r="AP805" s="9923"/>
      <c r="AQ805" s="9923"/>
      <c r="AR805" s="9923"/>
      <c r="AS805" s="9923"/>
      <c r="AT805" s="9924"/>
      <c r="AU805" s="9934"/>
      <c r="AV805" s="9934"/>
      <c r="AW805" s="9934"/>
      <c r="AX805" s="9930"/>
      <c r="AY805" s="9933"/>
      <c r="AZ805" s="9934"/>
      <c r="BA805" s="9930"/>
      <c r="BB805" s="9932"/>
      <c r="BC805" s="9933"/>
      <c r="BD805" s="8006"/>
      <c r="BF805" s="9931"/>
      <c r="BG805" s="9931"/>
      <c r="BH805" s="9931"/>
      <c r="BI805" s="9931"/>
      <c r="BJ805" s="9931"/>
      <c r="BK805" s="9931"/>
      <c r="BL805" s="9931"/>
      <c r="BM805" s="9931"/>
      <c r="BN805" s="9931"/>
    </row>
    <row r="806" spans="1:66" ht="29.25" hidden="1" customHeight="1" thickBot="1">
      <c r="A806" s="9935">
        <v>501</v>
      </c>
      <c r="B806" s="9936" t="s">
        <v>8078</v>
      </c>
      <c r="C806" s="13598"/>
      <c r="D806" s="12203" t="s">
        <v>10072</v>
      </c>
      <c r="E806" s="12204" t="s">
        <v>976</v>
      </c>
      <c r="F806" s="12286" t="s">
        <v>1128</v>
      </c>
      <c r="G806" s="12205" t="s">
        <v>1126</v>
      </c>
      <c r="H806" s="12206" t="s">
        <v>1127</v>
      </c>
      <c r="I806" s="12207">
        <v>6</v>
      </c>
      <c r="K806" s="9937"/>
      <c r="L806" s="9939"/>
      <c r="M806" s="9939"/>
      <c r="N806" s="9940"/>
      <c r="O806" s="9940"/>
      <c r="P806" s="9941"/>
      <c r="Q806" s="9942"/>
      <c r="R806" s="9943"/>
      <c r="S806" s="9944"/>
      <c r="T806" s="9945"/>
      <c r="U806" s="9942"/>
      <c r="V806" s="9943"/>
      <c r="W806" s="9945"/>
      <c r="X806" s="9943"/>
      <c r="Y806" s="9945"/>
      <c r="Z806" s="9943"/>
      <c r="AA806" s="9944"/>
      <c r="AB806" s="9944"/>
      <c r="AC806" s="9944"/>
      <c r="AD806" s="9944"/>
      <c r="AE806" s="9944"/>
      <c r="AF806" s="9945"/>
      <c r="AG806" s="9943"/>
      <c r="AH806" s="9944"/>
      <c r="AI806" s="9944"/>
      <c r="AJ806" s="9944"/>
      <c r="AK806" s="9944"/>
      <c r="AL806" s="9944"/>
      <c r="AM806" s="9944"/>
      <c r="AN806" s="9945"/>
      <c r="AO806" s="9943"/>
      <c r="AP806" s="9944"/>
      <c r="AQ806" s="9944"/>
      <c r="AR806" s="9944"/>
      <c r="AS806" s="9944"/>
      <c r="AT806" s="9945"/>
      <c r="AU806" s="9946"/>
      <c r="AV806" s="9946"/>
      <c r="AW806" s="9946"/>
      <c r="AX806" s="9937"/>
      <c r="AY806" s="9941"/>
      <c r="AZ806" s="9946"/>
      <c r="BA806" s="9937"/>
      <c r="BB806" s="9940"/>
      <c r="BC806" s="9941"/>
      <c r="BD806" s="8028"/>
      <c r="BF806" s="9938"/>
      <c r="BG806" s="9938"/>
      <c r="BH806" s="9938"/>
      <c r="BI806" s="9938"/>
      <c r="BJ806" s="9938"/>
      <c r="BK806" s="9938"/>
      <c r="BL806" s="9938"/>
      <c r="BM806" s="9938"/>
      <c r="BN806" s="9938"/>
    </row>
    <row r="807" spans="1:66" ht="29.25" hidden="1" customHeight="1">
      <c r="A807" s="10148">
        <v>502</v>
      </c>
      <c r="B807" s="10149" t="s">
        <v>8079</v>
      </c>
      <c r="C807" s="13598"/>
      <c r="D807" s="11683" t="s">
        <v>10072</v>
      </c>
      <c r="E807" s="12287" t="s">
        <v>1133</v>
      </c>
      <c r="F807" s="12288"/>
      <c r="G807" s="12289" t="s">
        <v>1131</v>
      </c>
      <c r="H807" s="12290" t="s">
        <v>1132</v>
      </c>
      <c r="I807" s="11687">
        <v>6</v>
      </c>
      <c r="K807" s="10151"/>
      <c r="L807" s="8117"/>
      <c r="M807" s="8117"/>
      <c r="N807" s="10152"/>
      <c r="O807" s="10152"/>
      <c r="P807" s="10153"/>
      <c r="Q807" s="8120"/>
      <c r="R807" s="8121"/>
      <c r="S807" s="8122"/>
      <c r="T807" s="8123"/>
      <c r="U807" s="8120"/>
      <c r="V807" s="8121"/>
      <c r="W807" s="8123"/>
      <c r="X807" s="8121"/>
      <c r="Y807" s="8123"/>
      <c r="Z807" s="8121"/>
      <c r="AA807" s="8122"/>
      <c r="AB807" s="8122"/>
      <c r="AC807" s="8122"/>
      <c r="AD807" s="8122"/>
      <c r="AE807" s="8122"/>
      <c r="AF807" s="8123"/>
      <c r="AG807" s="8121"/>
      <c r="AH807" s="8122"/>
      <c r="AI807" s="8122"/>
      <c r="AJ807" s="8122"/>
      <c r="AK807" s="8122"/>
      <c r="AL807" s="8122"/>
      <c r="AM807" s="8122"/>
      <c r="AN807" s="8123"/>
      <c r="AO807" s="8121"/>
      <c r="AP807" s="8122"/>
      <c r="AQ807" s="8122"/>
      <c r="AR807" s="8122"/>
      <c r="AS807" s="8122"/>
      <c r="AT807" s="8123"/>
      <c r="AU807" s="10154"/>
      <c r="AV807" s="10154"/>
      <c r="AW807" s="10154"/>
      <c r="AX807" s="10151"/>
      <c r="AY807" s="10153"/>
      <c r="AZ807" s="10154"/>
      <c r="BA807" s="10151"/>
      <c r="BB807" s="10152"/>
      <c r="BC807" s="10153"/>
      <c r="BD807" s="10155"/>
      <c r="BF807" s="10150"/>
      <c r="BG807" s="10150"/>
      <c r="BH807" s="10150"/>
      <c r="BI807" s="10150"/>
      <c r="BJ807" s="10150"/>
      <c r="BK807" s="10150"/>
      <c r="BL807" s="10150"/>
      <c r="BM807" s="10150"/>
      <c r="BN807" s="10150"/>
    </row>
    <row r="808" spans="1:66" ht="29.25" hidden="1" customHeight="1">
      <c r="A808" s="13704">
        <v>503</v>
      </c>
      <c r="B808" s="14156" t="s">
        <v>8080</v>
      </c>
      <c r="C808" s="13598"/>
      <c r="D808" s="11688" t="s">
        <v>10072</v>
      </c>
      <c r="E808" s="12291" t="s">
        <v>1137</v>
      </c>
      <c r="F808" s="12150"/>
      <c r="G808" s="14157" t="s">
        <v>1135</v>
      </c>
      <c r="H808" s="13459" t="s">
        <v>1136</v>
      </c>
      <c r="I808" s="13843">
        <v>1</v>
      </c>
      <c r="K808" s="8338"/>
      <c r="L808" s="8138"/>
      <c r="M808" s="8138"/>
      <c r="N808" s="8339"/>
      <c r="O808" s="8339"/>
      <c r="P808" s="8340"/>
      <c r="Q808" s="8141"/>
      <c r="R808" s="8142"/>
      <c r="S808" s="8143"/>
      <c r="T808" s="8144"/>
      <c r="U808" s="8141"/>
      <c r="V808" s="8142"/>
      <c r="W808" s="8144"/>
      <c r="X808" s="8142"/>
      <c r="Y808" s="8144"/>
      <c r="Z808" s="8142"/>
      <c r="AA808" s="8143"/>
      <c r="AB808" s="8143"/>
      <c r="AC808" s="8143"/>
      <c r="AD808" s="8143"/>
      <c r="AE808" s="8143"/>
      <c r="AF808" s="8144"/>
      <c r="AG808" s="8142"/>
      <c r="AH808" s="8143"/>
      <c r="AI808" s="8143"/>
      <c r="AJ808" s="8143"/>
      <c r="AK808" s="8143"/>
      <c r="AL808" s="8143"/>
      <c r="AM808" s="8143"/>
      <c r="AN808" s="8144"/>
      <c r="AO808" s="8142"/>
      <c r="AP808" s="8143"/>
      <c r="AQ808" s="8143"/>
      <c r="AR808" s="8143"/>
      <c r="AS808" s="8143"/>
      <c r="AT808" s="8144"/>
      <c r="AU808" s="8341"/>
      <c r="AV808" s="8341"/>
      <c r="AW808" s="8341"/>
      <c r="AX808" s="8338"/>
      <c r="AY808" s="8340"/>
      <c r="AZ808" s="8341"/>
      <c r="BA808" s="8338"/>
      <c r="BB808" s="8339"/>
      <c r="BC808" s="8340"/>
      <c r="BD808" s="8342"/>
      <c r="BF808" s="14520"/>
      <c r="BG808" s="14520"/>
      <c r="BH808" s="14520"/>
      <c r="BI808" s="14520"/>
      <c r="BJ808" s="14520"/>
      <c r="BK808" s="8147"/>
      <c r="BL808" s="14520"/>
      <c r="BM808" s="14520"/>
      <c r="BN808" s="14520"/>
    </row>
    <row r="809" spans="1:66" ht="29.25" hidden="1" customHeight="1">
      <c r="A809" s="13704"/>
      <c r="B809" s="14156"/>
      <c r="C809" s="13598"/>
      <c r="D809" s="11688" t="s">
        <v>10194</v>
      </c>
      <c r="E809" s="12291"/>
      <c r="F809" s="12150" t="s">
        <v>1138</v>
      </c>
      <c r="G809" s="14157"/>
      <c r="H809" s="13459"/>
      <c r="I809" s="13843"/>
      <c r="K809" s="8338"/>
      <c r="L809" s="8138"/>
      <c r="M809" s="8138"/>
      <c r="N809" s="8339"/>
      <c r="O809" s="8339"/>
      <c r="P809" s="8340"/>
      <c r="Q809" s="8141"/>
      <c r="R809" s="8142"/>
      <c r="S809" s="8143"/>
      <c r="T809" s="8144"/>
      <c r="U809" s="8141"/>
      <c r="V809" s="8142"/>
      <c r="W809" s="8144"/>
      <c r="X809" s="8142"/>
      <c r="Y809" s="8144"/>
      <c r="Z809" s="8142"/>
      <c r="AA809" s="8143"/>
      <c r="AB809" s="8143"/>
      <c r="AC809" s="8143"/>
      <c r="AD809" s="8143"/>
      <c r="AE809" s="8143"/>
      <c r="AF809" s="8144"/>
      <c r="AG809" s="8142"/>
      <c r="AH809" s="8143"/>
      <c r="AI809" s="8143"/>
      <c r="AJ809" s="8143"/>
      <c r="AK809" s="8143"/>
      <c r="AL809" s="8143"/>
      <c r="AM809" s="8143"/>
      <c r="AN809" s="8144"/>
      <c r="AO809" s="8142"/>
      <c r="AP809" s="8143"/>
      <c r="AQ809" s="8143"/>
      <c r="AR809" s="8143"/>
      <c r="AS809" s="8143"/>
      <c r="AT809" s="8144"/>
      <c r="AU809" s="8341"/>
      <c r="AV809" s="8341"/>
      <c r="AW809" s="8341"/>
      <c r="AX809" s="8338"/>
      <c r="AY809" s="8340"/>
      <c r="AZ809" s="8341"/>
      <c r="BA809" s="8338"/>
      <c r="BB809" s="8339"/>
      <c r="BC809" s="8340"/>
      <c r="BD809" s="8342"/>
      <c r="BF809" s="14520"/>
      <c r="BG809" s="14520"/>
      <c r="BH809" s="14520"/>
      <c r="BI809" s="14520"/>
      <c r="BJ809" s="14520"/>
      <c r="BK809" s="8147"/>
      <c r="BL809" s="14520"/>
      <c r="BM809" s="14520"/>
      <c r="BN809" s="14520"/>
    </row>
    <row r="810" spans="1:66" ht="29.25" hidden="1" customHeight="1">
      <c r="A810" s="13704">
        <v>504</v>
      </c>
      <c r="B810" s="14156" t="s">
        <v>8081</v>
      </c>
      <c r="C810" s="13598"/>
      <c r="D810" s="11688" t="s">
        <v>10072</v>
      </c>
      <c r="E810" s="12291" t="s">
        <v>1141</v>
      </c>
      <c r="F810" s="12150"/>
      <c r="G810" s="14157" t="s">
        <v>1139</v>
      </c>
      <c r="H810" s="13459" t="s">
        <v>1140</v>
      </c>
      <c r="I810" s="14194">
        <v>1</v>
      </c>
      <c r="K810" s="10156"/>
      <c r="L810" s="10157"/>
      <c r="M810" s="10157"/>
      <c r="N810" s="10158"/>
      <c r="O810" s="10158"/>
      <c r="P810" s="10159"/>
      <c r="Q810" s="10160"/>
      <c r="R810" s="10161"/>
      <c r="S810" s="10162"/>
      <c r="T810" s="10163"/>
      <c r="U810" s="10160"/>
      <c r="V810" s="10161"/>
      <c r="W810" s="10163"/>
      <c r="X810" s="10161"/>
      <c r="Y810" s="10163"/>
      <c r="Z810" s="10161"/>
      <c r="AA810" s="10162"/>
      <c r="AB810" s="10162"/>
      <c r="AC810" s="10162"/>
      <c r="AD810" s="10162"/>
      <c r="AE810" s="10162"/>
      <c r="AF810" s="10163"/>
      <c r="AG810" s="10161"/>
      <c r="AH810" s="10162"/>
      <c r="AI810" s="10162"/>
      <c r="AJ810" s="10162"/>
      <c r="AK810" s="10162"/>
      <c r="AL810" s="10162"/>
      <c r="AM810" s="10162"/>
      <c r="AN810" s="10163"/>
      <c r="AO810" s="10161"/>
      <c r="AP810" s="10162"/>
      <c r="AQ810" s="10162"/>
      <c r="AR810" s="10162"/>
      <c r="AS810" s="10162"/>
      <c r="AT810" s="10163"/>
      <c r="AU810" s="10164"/>
      <c r="AV810" s="10164"/>
      <c r="AW810" s="10164"/>
      <c r="AX810" s="10156"/>
      <c r="AY810" s="10159"/>
      <c r="AZ810" s="10164"/>
      <c r="BA810" s="10156"/>
      <c r="BB810" s="10158"/>
      <c r="BC810" s="10159"/>
      <c r="BD810" s="10165"/>
      <c r="BF810" s="14520"/>
      <c r="BG810" s="14520"/>
      <c r="BH810" s="14520"/>
      <c r="BI810" s="14520"/>
      <c r="BJ810" s="14520"/>
      <c r="BK810" s="8147"/>
      <c r="BL810" s="14520"/>
      <c r="BM810" s="14520"/>
      <c r="BN810" s="14520"/>
    </row>
    <row r="811" spans="1:66" ht="29.25" hidden="1" customHeight="1">
      <c r="A811" s="13704"/>
      <c r="B811" s="14156"/>
      <c r="C811" s="13598"/>
      <c r="D811" s="11688" t="s">
        <v>10092</v>
      </c>
      <c r="E811" s="12291"/>
      <c r="F811" s="12150" t="s">
        <v>10256</v>
      </c>
      <c r="G811" s="14157"/>
      <c r="H811" s="13459"/>
      <c r="I811" s="14194"/>
      <c r="K811" s="10156"/>
      <c r="L811" s="10157"/>
      <c r="M811" s="10157"/>
      <c r="N811" s="10158"/>
      <c r="O811" s="10158"/>
      <c r="P811" s="10159"/>
      <c r="Q811" s="10160"/>
      <c r="R811" s="10161"/>
      <c r="S811" s="10162"/>
      <c r="T811" s="10163"/>
      <c r="U811" s="10160"/>
      <c r="V811" s="10161"/>
      <c r="W811" s="10163"/>
      <c r="X811" s="10161"/>
      <c r="Y811" s="10163"/>
      <c r="Z811" s="10161"/>
      <c r="AA811" s="10162"/>
      <c r="AB811" s="10162"/>
      <c r="AC811" s="10162"/>
      <c r="AD811" s="10162"/>
      <c r="AE811" s="10162"/>
      <c r="AF811" s="10163"/>
      <c r="AG811" s="10161"/>
      <c r="AH811" s="10162"/>
      <c r="AI811" s="10162"/>
      <c r="AJ811" s="10162"/>
      <c r="AK811" s="10162"/>
      <c r="AL811" s="10162"/>
      <c r="AM811" s="10162"/>
      <c r="AN811" s="10163"/>
      <c r="AO811" s="10161"/>
      <c r="AP811" s="10162"/>
      <c r="AQ811" s="10162"/>
      <c r="AR811" s="10162"/>
      <c r="AS811" s="10162"/>
      <c r="AT811" s="10163"/>
      <c r="AU811" s="10164"/>
      <c r="AV811" s="10164"/>
      <c r="AW811" s="10164"/>
      <c r="AX811" s="10156"/>
      <c r="AY811" s="10159"/>
      <c r="AZ811" s="10164"/>
      <c r="BA811" s="10156"/>
      <c r="BB811" s="10158"/>
      <c r="BC811" s="10159"/>
      <c r="BD811" s="10165"/>
      <c r="BF811" s="14520"/>
      <c r="BG811" s="14520"/>
      <c r="BH811" s="14520"/>
      <c r="BI811" s="14520"/>
      <c r="BJ811" s="14520"/>
      <c r="BK811" s="8147"/>
      <c r="BL811" s="14520"/>
      <c r="BM811" s="14520"/>
      <c r="BN811" s="14520"/>
    </row>
    <row r="812" spans="1:66" ht="29.25" hidden="1" customHeight="1">
      <c r="A812" s="8304">
        <v>505</v>
      </c>
      <c r="B812" s="10166" t="s">
        <v>8082</v>
      </c>
      <c r="C812" s="13598"/>
      <c r="D812" s="11688" t="s">
        <v>10072</v>
      </c>
      <c r="E812" s="12291" t="s">
        <v>1145</v>
      </c>
      <c r="F812" s="12150"/>
      <c r="G812" s="11696" t="s">
        <v>1143</v>
      </c>
      <c r="H812" s="11691" t="s">
        <v>1144</v>
      </c>
      <c r="I812" s="12292">
        <v>0</v>
      </c>
      <c r="K812" s="10167"/>
      <c r="L812" s="10168"/>
      <c r="M812" s="10168"/>
      <c r="N812" s="10169"/>
      <c r="O812" s="10169"/>
      <c r="P812" s="10170"/>
      <c r="Q812" s="10171"/>
      <c r="R812" s="10172"/>
      <c r="S812" s="10173"/>
      <c r="T812" s="10174"/>
      <c r="U812" s="10171"/>
      <c r="V812" s="10172"/>
      <c r="W812" s="10174"/>
      <c r="X812" s="10172"/>
      <c r="Y812" s="10174"/>
      <c r="Z812" s="10172"/>
      <c r="AA812" s="10173"/>
      <c r="AB812" s="10173"/>
      <c r="AC812" s="10173"/>
      <c r="AD812" s="10173"/>
      <c r="AE812" s="10173"/>
      <c r="AF812" s="10174"/>
      <c r="AG812" s="10172"/>
      <c r="AH812" s="10173"/>
      <c r="AI812" s="10173"/>
      <c r="AJ812" s="10173"/>
      <c r="AK812" s="10173"/>
      <c r="AL812" s="10173"/>
      <c r="AM812" s="10173"/>
      <c r="AN812" s="10174"/>
      <c r="AO812" s="10172"/>
      <c r="AP812" s="10173"/>
      <c r="AQ812" s="10173"/>
      <c r="AR812" s="10173"/>
      <c r="AS812" s="10173"/>
      <c r="AT812" s="10174"/>
      <c r="AU812" s="10175"/>
      <c r="AV812" s="10175"/>
      <c r="AW812" s="10175"/>
      <c r="AX812" s="10167"/>
      <c r="AY812" s="10170"/>
      <c r="AZ812" s="10175"/>
      <c r="BA812" s="10167"/>
      <c r="BB812" s="10169"/>
      <c r="BC812" s="10170"/>
      <c r="BD812" s="10176"/>
      <c r="BF812" s="8147"/>
      <c r="BG812" s="8147"/>
      <c r="BH812" s="8147"/>
      <c r="BI812" s="8147"/>
      <c r="BJ812" s="8147"/>
      <c r="BK812" s="8147"/>
      <c r="BL812" s="8147"/>
      <c r="BM812" s="8147"/>
      <c r="BN812" s="8147"/>
    </row>
    <row r="813" spans="1:66" ht="29.25" hidden="1" customHeight="1">
      <c r="A813" s="8304">
        <v>506</v>
      </c>
      <c r="B813" s="10166" t="s">
        <v>8083</v>
      </c>
      <c r="C813" s="13598"/>
      <c r="D813" s="11688" t="s">
        <v>10072</v>
      </c>
      <c r="E813" s="12291" t="s">
        <v>1148</v>
      </c>
      <c r="F813" s="12150"/>
      <c r="G813" s="11696" t="s">
        <v>1146</v>
      </c>
      <c r="H813" s="11691" t="s">
        <v>1147</v>
      </c>
      <c r="I813" s="11694">
        <v>1</v>
      </c>
      <c r="K813" s="8126"/>
      <c r="L813" s="8128"/>
      <c r="M813" s="8128"/>
      <c r="N813" s="8343"/>
      <c r="O813" s="8343"/>
      <c r="P813" s="8344"/>
      <c r="Q813" s="8131"/>
      <c r="R813" s="8132"/>
      <c r="S813" s="8133"/>
      <c r="T813" s="8134"/>
      <c r="U813" s="8131"/>
      <c r="V813" s="8132"/>
      <c r="W813" s="8134"/>
      <c r="X813" s="8132"/>
      <c r="Y813" s="8134"/>
      <c r="Z813" s="8132"/>
      <c r="AA813" s="8133"/>
      <c r="AB813" s="8133"/>
      <c r="AC813" s="8133"/>
      <c r="AD813" s="8133"/>
      <c r="AE813" s="8133"/>
      <c r="AF813" s="8134"/>
      <c r="AG813" s="8132"/>
      <c r="AH813" s="8133"/>
      <c r="AI813" s="8133"/>
      <c r="AJ813" s="8133"/>
      <c r="AK813" s="8133"/>
      <c r="AL813" s="8133"/>
      <c r="AM813" s="8133"/>
      <c r="AN813" s="8134"/>
      <c r="AO813" s="8132"/>
      <c r="AP813" s="8133"/>
      <c r="AQ813" s="8133"/>
      <c r="AR813" s="8133"/>
      <c r="AS813" s="8133"/>
      <c r="AT813" s="8134"/>
      <c r="AU813" s="8345"/>
      <c r="AV813" s="8345"/>
      <c r="AW813" s="8345"/>
      <c r="AX813" s="8126"/>
      <c r="AY813" s="8344"/>
      <c r="AZ813" s="8345"/>
      <c r="BA813" s="8126"/>
      <c r="BB813" s="8343"/>
      <c r="BC813" s="8344"/>
      <c r="BD813" s="7903"/>
      <c r="BF813" s="8147"/>
      <c r="BG813" s="8147"/>
      <c r="BH813" s="8147"/>
      <c r="BI813" s="8147"/>
      <c r="BJ813" s="8147"/>
      <c r="BK813" s="8147"/>
      <c r="BL813" s="8147"/>
      <c r="BM813" s="8147"/>
      <c r="BN813" s="8147"/>
    </row>
    <row r="814" spans="1:66" ht="29.25" hidden="1" customHeight="1">
      <c r="A814" s="13704">
        <v>507</v>
      </c>
      <c r="B814" s="14156" t="s">
        <v>8084</v>
      </c>
      <c r="C814" s="13598"/>
      <c r="D814" s="11688" t="s">
        <v>10072</v>
      </c>
      <c r="E814" s="12291" t="s">
        <v>1152</v>
      </c>
      <c r="F814" s="12150"/>
      <c r="G814" s="14157" t="s">
        <v>1150</v>
      </c>
      <c r="H814" s="13459" t="s">
        <v>1151</v>
      </c>
      <c r="I814" s="13843">
        <v>60</v>
      </c>
      <c r="K814" s="8338"/>
      <c r="L814" s="8138"/>
      <c r="M814" s="8138"/>
      <c r="N814" s="8339"/>
      <c r="O814" s="8339"/>
      <c r="P814" s="8340"/>
      <c r="Q814" s="8141"/>
      <c r="R814" s="8142"/>
      <c r="S814" s="8143"/>
      <c r="T814" s="8144"/>
      <c r="U814" s="8141"/>
      <c r="V814" s="8142"/>
      <c r="W814" s="8144"/>
      <c r="X814" s="8142"/>
      <c r="Y814" s="8144"/>
      <c r="Z814" s="8142"/>
      <c r="AA814" s="8143"/>
      <c r="AB814" s="8143"/>
      <c r="AC814" s="8143"/>
      <c r="AD814" s="8143"/>
      <c r="AE814" s="8143"/>
      <c r="AF814" s="8144"/>
      <c r="AG814" s="8142"/>
      <c r="AH814" s="8143"/>
      <c r="AI814" s="8143"/>
      <c r="AJ814" s="8143"/>
      <c r="AK814" s="8143"/>
      <c r="AL814" s="8143"/>
      <c r="AM814" s="8143"/>
      <c r="AN814" s="8144"/>
      <c r="AO814" s="8142"/>
      <c r="AP814" s="8143"/>
      <c r="AQ814" s="8143"/>
      <c r="AR814" s="8143"/>
      <c r="AS814" s="8143"/>
      <c r="AT814" s="8144"/>
      <c r="AU814" s="8341"/>
      <c r="AV814" s="8341"/>
      <c r="AW814" s="8341"/>
      <c r="AX814" s="8338"/>
      <c r="AY814" s="8340"/>
      <c r="AZ814" s="8341"/>
      <c r="BA814" s="8338"/>
      <c r="BB814" s="8339"/>
      <c r="BC814" s="8340"/>
      <c r="BD814" s="8342"/>
      <c r="BF814" s="14520"/>
      <c r="BG814" s="14520"/>
      <c r="BH814" s="14520"/>
      <c r="BI814" s="14520"/>
      <c r="BJ814" s="14520"/>
      <c r="BK814" s="8147"/>
      <c r="BL814" s="14520"/>
      <c r="BM814" s="14520"/>
      <c r="BN814" s="14520"/>
    </row>
    <row r="815" spans="1:66" ht="29.25" hidden="1" customHeight="1">
      <c r="A815" s="13704"/>
      <c r="B815" s="14156"/>
      <c r="C815" s="13598"/>
      <c r="D815" s="11688" t="s">
        <v>10092</v>
      </c>
      <c r="E815" s="12291"/>
      <c r="F815" s="12150" t="s">
        <v>1153</v>
      </c>
      <c r="G815" s="14157"/>
      <c r="H815" s="13459"/>
      <c r="I815" s="13843"/>
      <c r="K815" s="8338"/>
      <c r="L815" s="8138"/>
      <c r="M815" s="8138"/>
      <c r="N815" s="8339"/>
      <c r="O815" s="8339"/>
      <c r="P815" s="8340"/>
      <c r="Q815" s="8141"/>
      <c r="R815" s="8142"/>
      <c r="S815" s="8143"/>
      <c r="T815" s="8144"/>
      <c r="U815" s="8141"/>
      <c r="V815" s="8142"/>
      <c r="W815" s="8144"/>
      <c r="X815" s="8142"/>
      <c r="Y815" s="8144"/>
      <c r="Z815" s="8142"/>
      <c r="AA815" s="8143"/>
      <c r="AB815" s="8143"/>
      <c r="AC815" s="8143"/>
      <c r="AD815" s="8143"/>
      <c r="AE815" s="8143"/>
      <c r="AF815" s="8144"/>
      <c r="AG815" s="8142"/>
      <c r="AH815" s="8143"/>
      <c r="AI815" s="8143"/>
      <c r="AJ815" s="8143"/>
      <c r="AK815" s="8143"/>
      <c r="AL815" s="8143"/>
      <c r="AM815" s="8143"/>
      <c r="AN815" s="8144"/>
      <c r="AO815" s="8142"/>
      <c r="AP815" s="8143"/>
      <c r="AQ815" s="8143"/>
      <c r="AR815" s="8143"/>
      <c r="AS815" s="8143"/>
      <c r="AT815" s="8144"/>
      <c r="AU815" s="8341"/>
      <c r="AV815" s="8341"/>
      <c r="AW815" s="8341"/>
      <c r="AX815" s="8338"/>
      <c r="AY815" s="8340"/>
      <c r="AZ815" s="8341"/>
      <c r="BA815" s="8338"/>
      <c r="BB815" s="8339"/>
      <c r="BC815" s="8340"/>
      <c r="BD815" s="8342"/>
      <c r="BF815" s="14520"/>
      <c r="BG815" s="14520"/>
      <c r="BH815" s="14520"/>
      <c r="BI815" s="14520"/>
      <c r="BJ815" s="14520"/>
      <c r="BK815" s="8147"/>
      <c r="BL815" s="14520"/>
      <c r="BM815" s="14520"/>
      <c r="BN815" s="14520"/>
    </row>
    <row r="816" spans="1:66" ht="29.25" hidden="1" customHeight="1">
      <c r="A816" s="13704">
        <v>508</v>
      </c>
      <c r="B816" s="14156" t="s">
        <v>8085</v>
      </c>
      <c r="C816" s="13598"/>
      <c r="D816" s="11688" t="s">
        <v>10072</v>
      </c>
      <c r="E816" s="12291" t="s">
        <v>1141</v>
      </c>
      <c r="F816" s="12150"/>
      <c r="G816" s="14157" t="s">
        <v>1155</v>
      </c>
      <c r="H816" s="13459" t="s">
        <v>1156</v>
      </c>
      <c r="I816" s="13843">
        <v>1</v>
      </c>
      <c r="K816" s="8338"/>
      <c r="L816" s="8138"/>
      <c r="M816" s="8138"/>
      <c r="N816" s="8339"/>
      <c r="O816" s="8339"/>
      <c r="P816" s="8340"/>
      <c r="Q816" s="8141"/>
      <c r="R816" s="8142"/>
      <c r="S816" s="8143"/>
      <c r="T816" s="8144"/>
      <c r="U816" s="8141"/>
      <c r="V816" s="8142"/>
      <c r="W816" s="8144"/>
      <c r="X816" s="8142"/>
      <c r="Y816" s="8144"/>
      <c r="Z816" s="8142"/>
      <c r="AA816" s="8143"/>
      <c r="AB816" s="8143"/>
      <c r="AC816" s="8143"/>
      <c r="AD816" s="8143"/>
      <c r="AE816" s="8143"/>
      <c r="AF816" s="8144"/>
      <c r="AG816" s="8142"/>
      <c r="AH816" s="8143"/>
      <c r="AI816" s="8143"/>
      <c r="AJ816" s="8143"/>
      <c r="AK816" s="8143"/>
      <c r="AL816" s="8143"/>
      <c r="AM816" s="8143"/>
      <c r="AN816" s="8144"/>
      <c r="AO816" s="8142"/>
      <c r="AP816" s="8143"/>
      <c r="AQ816" s="8143"/>
      <c r="AR816" s="8143"/>
      <c r="AS816" s="8143"/>
      <c r="AT816" s="8144"/>
      <c r="AU816" s="8341"/>
      <c r="AV816" s="8341"/>
      <c r="AW816" s="8341"/>
      <c r="AX816" s="8338"/>
      <c r="AY816" s="8340"/>
      <c r="AZ816" s="8341"/>
      <c r="BA816" s="8338"/>
      <c r="BB816" s="8339"/>
      <c r="BC816" s="8340"/>
      <c r="BD816" s="8342"/>
      <c r="BF816" s="14520"/>
      <c r="BG816" s="14520"/>
      <c r="BH816" s="14520"/>
      <c r="BI816" s="14520"/>
      <c r="BJ816" s="14520"/>
      <c r="BK816" s="8147"/>
      <c r="BL816" s="14520"/>
      <c r="BM816" s="14520"/>
      <c r="BN816" s="14520"/>
    </row>
    <row r="817" spans="1:66" ht="29.25" hidden="1" customHeight="1" thickBot="1">
      <c r="A817" s="13705"/>
      <c r="B817" s="14173"/>
      <c r="C817" s="13598"/>
      <c r="D817" s="11699" t="s">
        <v>10092</v>
      </c>
      <c r="E817" s="12293"/>
      <c r="F817" s="12152" t="s">
        <v>1157</v>
      </c>
      <c r="G817" s="14174"/>
      <c r="H817" s="13460"/>
      <c r="I817" s="14195"/>
      <c r="K817" s="10177"/>
      <c r="L817" s="10178"/>
      <c r="M817" s="10178"/>
      <c r="N817" s="10179"/>
      <c r="O817" s="10179"/>
      <c r="P817" s="10180"/>
      <c r="Q817" s="10181"/>
      <c r="R817" s="10182"/>
      <c r="S817" s="10183"/>
      <c r="T817" s="10184"/>
      <c r="U817" s="10181"/>
      <c r="V817" s="10182"/>
      <c r="W817" s="10184"/>
      <c r="X817" s="10182"/>
      <c r="Y817" s="10184"/>
      <c r="Z817" s="10182"/>
      <c r="AA817" s="10183"/>
      <c r="AB817" s="10183"/>
      <c r="AC817" s="10183"/>
      <c r="AD817" s="10183"/>
      <c r="AE817" s="10183"/>
      <c r="AF817" s="10184"/>
      <c r="AG817" s="10182"/>
      <c r="AH817" s="10183"/>
      <c r="AI817" s="10183"/>
      <c r="AJ817" s="10183"/>
      <c r="AK817" s="10183"/>
      <c r="AL817" s="10183"/>
      <c r="AM817" s="10183"/>
      <c r="AN817" s="10184"/>
      <c r="AO817" s="10182"/>
      <c r="AP817" s="10183"/>
      <c r="AQ817" s="10183"/>
      <c r="AR817" s="10183"/>
      <c r="AS817" s="10183"/>
      <c r="AT817" s="10184"/>
      <c r="AU817" s="10185"/>
      <c r="AV817" s="10185"/>
      <c r="AW817" s="10185"/>
      <c r="AX817" s="10177"/>
      <c r="AY817" s="10180"/>
      <c r="AZ817" s="10185"/>
      <c r="BA817" s="10177"/>
      <c r="BB817" s="10179"/>
      <c r="BC817" s="10180"/>
      <c r="BD817" s="10186"/>
      <c r="BF817" s="14521"/>
      <c r="BG817" s="14521"/>
      <c r="BH817" s="14521"/>
      <c r="BI817" s="14521"/>
      <c r="BJ817" s="14521"/>
      <c r="BK817" s="10187"/>
      <c r="BL817" s="14521"/>
      <c r="BM817" s="14521"/>
      <c r="BN817" s="14521"/>
    </row>
    <row r="818" spans="1:66" ht="29.25" hidden="1" customHeight="1">
      <c r="A818" s="13529">
        <v>509</v>
      </c>
      <c r="B818" s="14175" t="s">
        <v>8086</v>
      </c>
      <c r="C818" s="13598"/>
      <c r="D818" s="11731" t="s">
        <v>10072</v>
      </c>
      <c r="E818" s="12219" t="s">
        <v>1162</v>
      </c>
      <c r="F818" s="12220"/>
      <c r="G818" s="14176" t="s">
        <v>1160</v>
      </c>
      <c r="H818" s="13461" t="s">
        <v>1161</v>
      </c>
      <c r="I818" s="14190">
        <v>7</v>
      </c>
      <c r="K818" s="10188"/>
      <c r="L818" s="10189"/>
      <c r="M818" s="10189"/>
      <c r="N818" s="10190"/>
      <c r="O818" s="10190"/>
      <c r="P818" s="10191"/>
      <c r="Q818" s="10192"/>
      <c r="R818" s="10193"/>
      <c r="S818" s="10194"/>
      <c r="T818" s="10195"/>
      <c r="U818" s="10192"/>
      <c r="V818" s="10193"/>
      <c r="W818" s="10195"/>
      <c r="X818" s="10193"/>
      <c r="Y818" s="10195"/>
      <c r="Z818" s="10193"/>
      <c r="AA818" s="10194"/>
      <c r="AB818" s="10194"/>
      <c r="AC818" s="10194"/>
      <c r="AD818" s="10194"/>
      <c r="AE818" s="10194"/>
      <c r="AF818" s="10195"/>
      <c r="AG818" s="10193"/>
      <c r="AH818" s="10194"/>
      <c r="AI818" s="10194"/>
      <c r="AJ818" s="10194"/>
      <c r="AK818" s="10194"/>
      <c r="AL818" s="10194"/>
      <c r="AM818" s="10194"/>
      <c r="AN818" s="10195"/>
      <c r="AO818" s="10193"/>
      <c r="AP818" s="10194"/>
      <c r="AQ818" s="10194"/>
      <c r="AR818" s="10194"/>
      <c r="AS818" s="10194"/>
      <c r="AT818" s="10195"/>
      <c r="AU818" s="10196"/>
      <c r="AV818" s="10196"/>
      <c r="AW818" s="10196"/>
      <c r="AX818" s="10188"/>
      <c r="AY818" s="10191"/>
      <c r="AZ818" s="10196"/>
      <c r="BA818" s="10188"/>
      <c r="BB818" s="10190"/>
      <c r="BC818" s="10191"/>
      <c r="BD818" s="10197"/>
      <c r="BF818" s="14522"/>
      <c r="BG818" s="14522"/>
      <c r="BH818" s="14522"/>
      <c r="BI818" s="14522"/>
      <c r="BJ818" s="14522"/>
      <c r="BK818" s="9978"/>
      <c r="BL818" s="14522"/>
      <c r="BM818" s="14522"/>
      <c r="BN818" s="14522"/>
    </row>
    <row r="819" spans="1:66" ht="29.25" hidden="1" customHeight="1">
      <c r="A819" s="13530"/>
      <c r="B819" s="14149"/>
      <c r="C819" s="13598"/>
      <c r="D819" s="11736" t="s">
        <v>10092</v>
      </c>
      <c r="E819" s="12243"/>
      <c r="F819" s="11939" t="s">
        <v>10257</v>
      </c>
      <c r="G819" s="14150"/>
      <c r="H819" s="13401"/>
      <c r="I819" s="14115"/>
      <c r="K819" s="9662"/>
      <c r="L819" s="9653"/>
      <c r="M819" s="9653"/>
      <c r="N819" s="9663"/>
      <c r="O819" s="9663"/>
      <c r="P819" s="9664"/>
      <c r="Q819" s="9656"/>
      <c r="R819" s="9657"/>
      <c r="S819" s="9658"/>
      <c r="T819" s="9659"/>
      <c r="U819" s="9656"/>
      <c r="V819" s="9657"/>
      <c r="W819" s="9659"/>
      <c r="X819" s="9657"/>
      <c r="Y819" s="9659"/>
      <c r="Z819" s="9657"/>
      <c r="AA819" s="9658"/>
      <c r="AB819" s="9658"/>
      <c r="AC819" s="9658"/>
      <c r="AD819" s="9658"/>
      <c r="AE819" s="9658"/>
      <c r="AF819" s="9659"/>
      <c r="AG819" s="9657"/>
      <c r="AH819" s="9658"/>
      <c r="AI819" s="9658"/>
      <c r="AJ819" s="9658"/>
      <c r="AK819" s="9658"/>
      <c r="AL819" s="9658"/>
      <c r="AM819" s="9658"/>
      <c r="AN819" s="9659"/>
      <c r="AO819" s="9657"/>
      <c r="AP819" s="9658"/>
      <c r="AQ819" s="9658"/>
      <c r="AR819" s="9658"/>
      <c r="AS819" s="9658"/>
      <c r="AT819" s="9659"/>
      <c r="AU819" s="9665"/>
      <c r="AV819" s="9665"/>
      <c r="AW819" s="9665"/>
      <c r="AX819" s="9662"/>
      <c r="AY819" s="9664"/>
      <c r="AZ819" s="9665"/>
      <c r="BA819" s="9662"/>
      <c r="BB819" s="9663"/>
      <c r="BC819" s="9664"/>
      <c r="BD819" s="9666"/>
      <c r="BF819" s="14510"/>
      <c r="BG819" s="14510"/>
      <c r="BH819" s="14510"/>
      <c r="BI819" s="14510"/>
      <c r="BJ819" s="14510"/>
      <c r="BK819" s="10036"/>
      <c r="BL819" s="14510"/>
      <c r="BM819" s="14510"/>
      <c r="BN819" s="14510"/>
    </row>
    <row r="820" spans="1:66" ht="29.25" hidden="1" customHeight="1">
      <c r="A820" s="13530"/>
      <c r="B820" s="14149"/>
      <c r="C820" s="13598"/>
      <c r="D820" s="11736" t="s">
        <v>10070</v>
      </c>
      <c r="E820" s="12243"/>
      <c r="F820" s="11939" t="s">
        <v>10245</v>
      </c>
      <c r="G820" s="14150"/>
      <c r="H820" s="13401"/>
      <c r="I820" s="14115"/>
      <c r="K820" s="9662"/>
      <c r="L820" s="9653"/>
      <c r="M820" s="9653"/>
      <c r="N820" s="9663"/>
      <c r="O820" s="9663"/>
      <c r="P820" s="9664"/>
      <c r="Q820" s="9656"/>
      <c r="R820" s="9657"/>
      <c r="S820" s="9658"/>
      <c r="T820" s="9659"/>
      <c r="U820" s="9656"/>
      <c r="V820" s="9657"/>
      <c r="W820" s="9659"/>
      <c r="X820" s="9657"/>
      <c r="Y820" s="9659"/>
      <c r="Z820" s="9657"/>
      <c r="AA820" s="9658"/>
      <c r="AB820" s="9658"/>
      <c r="AC820" s="9658"/>
      <c r="AD820" s="9658"/>
      <c r="AE820" s="9658"/>
      <c r="AF820" s="9659"/>
      <c r="AG820" s="9657"/>
      <c r="AH820" s="9658"/>
      <c r="AI820" s="9658"/>
      <c r="AJ820" s="9658"/>
      <c r="AK820" s="9658"/>
      <c r="AL820" s="9658"/>
      <c r="AM820" s="9658"/>
      <c r="AN820" s="9659"/>
      <c r="AO820" s="9657"/>
      <c r="AP820" s="9658"/>
      <c r="AQ820" s="9658"/>
      <c r="AR820" s="9658"/>
      <c r="AS820" s="9658"/>
      <c r="AT820" s="9659"/>
      <c r="AU820" s="9665"/>
      <c r="AV820" s="9665"/>
      <c r="AW820" s="9665"/>
      <c r="AX820" s="9662"/>
      <c r="AY820" s="9664"/>
      <c r="AZ820" s="9665"/>
      <c r="BA820" s="9662"/>
      <c r="BB820" s="9663"/>
      <c r="BC820" s="9664"/>
      <c r="BD820" s="9666"/>
      <c r="BF820" s="14510"/>
      <c r="BG820" s="14510"/>
      <c r="BH820" s="14510"/>
      <c r="BI820" s="14510"/>
      <c r="BJ820" s="14510"/>
      <c r="BK820" s="10036"/>
      <c r="BL820" s="14510"/>
      <c r="BM820" s="14510"/>
      <c r="BN820" s="14510"/>
    </row>
    <row r="821" spans="1:66" ht="29.25" hidden="1" customHeight="1">
      <c r="A821" s="7741">
        <v>510</v>
      </c>
      <c r="B821" s="7792" t="s">
        <v>9797</v>
      </c>
      <c r="C821" s="13598"/>
      <c r="D821" s="12294" t="s">
        <v>10072</v>
      </c>
      <c r="E821" s="12243" t="s">
        <v>1164</v>
      </c>
      <c r="F821" s="7842" t="s">
        <v>1165</v>
      </c>
      <c r="G821" s="12244" t="s">
        <v>1163</v>
      </c>
      <c r="H821" s="12295">
        <v>1</v>
      </c>
      <c r="I821" s="11739">
        <v>0.75</v>
      </c>
      <c r="K821" s="8239"/>
      <c r="L821" s="8240"/>
      <c r="M821" s="8240"/>
      <c r="N821" s="8241"/>
      <c r="O821" s="8241"/>
      <c r="P821" s="8242"/>
      <c r="Q821" s="8243"/>
      <c r="R821" s="8244"/>
      <c r="S821" s="8245"/>
      <c r="T821" s="8246"/>
      <c r="U821" s="8243"/>
      <c r="V821" s="8244"/>
      <c r="W821" s="8246"/>
      <c r="X821" s="8244"/>
      <c r="Y821" s="8246"/>
      <c r="Z821" s="8244"/>
      <c r="AA821" s="8245"/>
      <c r="AB821" s="8245"/>
      <c r="AC821" s="8245"/>
      <c r="AD821" s="8245"/>
      <c r="AE821" s="8245"/>
      <c r="AF821" s="8246"/>
      <c r="AG821" s="8244"/>
      <c r="AH821" s="8245"/>
      <c r="AI821" s="8245"/>
      <c r="AJ821" s="8245"/>
      <c r="AK821" s="8245"/>
      <c r="AL821" s="8245"/>
      <c r="AM821" s="8245"/>
      <c r="AN821" s="8246"/>
      <c r="AO821" s="8244"/>
      <c r="AP821" s="8245"/>
      <c r="AQ821" s="8245"/>
      <c r="AR821" s="8245"/>
      <c r="AS821" s="8245"/>
      <c r="AT821" s="8246"/>
      <c r="AU821" s="8247"/>
      <c r="AV821" s="8247"/>
      <c r="AW821" s="8247"/>
      <c r="AX821" s="8239"/>
      <c r="AY821" s="8242"/>
      <c r="AZ821" s="8247"/>
      <c r="BA821" s="8239"/>
      <c r="BB821" s="8241"/>
      <c r="BC821" s="8242"/>
      <c r="BD821" s="8248"/>
      <c r="BF821" s="10036"/>
      <c r="BG821" s="10036"/>
      <c r="BH821" s="10036"/>
      <c r="BI821" s="10036"/>
      <c r="BJ821" s="10036"/>
      <c r="BK821" s="10036"/>
      <c r="BL821" s="10036"/>
      <c r="BM821" s="10036"/>
      <c r="BN821" s="10036"/>
    </row>
    <row r="822" spans="1:66" ht="29.25" hidden="1" customHeight="1" thickBot="1">
      <c r="A822" s="9979">
        <v>511</v>
      </c>
      <c r="B822" s="9980" t="s">
        <v>8088</v>
      </c>
      <c r="C822" s="13598"/>
      <c r="D822" s="11742" t="s">
        <v>10072</v>
      </c>
      <c r="E822" s="12223" t="s">
        <v>1164</v>
      </c>
      <c r="F822" s="11942"/>
      <c r="G822" s="12224" t="s">
        <v>1166</v>
      </c>
      <c r="H822" s="12296">
        <v>15</v>
      </c>
      <c r="I822" s="12226">
        <v>1</v>
      </c>
      <c r="K822" s="8259"/>
      <c r="L822" s="8261"/>
      <c r="M822" s="8261"/>
      <c r="N822" s="9982"/>
      <c r="O822" s="9982"/>
      <c r="P822" s="9983"/>
      <c r="Q822" s="8264"/>
      <c r="R822" s="8265"/>
      <c r="S822" s="8266"/>
      <c r="T822" s="8267"/>
      <c r="U822" s="8264"/>
      <c r="V822" s="8265"/>
      <c r="W822" s="8267"/>
      <c r="X822" s="8265"/>
      <c r="Y822" s="8267"/>
      <c r="Z822" s="8265"/>
      <c r="AA822" s="8266"/>
      <c r="AB822" s="8266"/>
      <c r="AC822" s="8266"/>
      <c r="AD822" s="8266"/>
      <c r="AE822" s="8266"/>
      <c r="AF822" s="8267"/>
      <c r="AG822" s="8265"/>
      <c r="AH822" s="8266"/>
      <c r="AI822" s="8266"/>
      <c r="AJ822" s="8266"/>
      <c r="AK822" s="8266"/>
      <c r="AL822" s="8266"/>
      <c r="AM822" s="8266"/>
      <c r="AN822" s="8267"/>
      <c r="AO822" s="8265"/>
      <c r="AP822" s="8266"/>
      <c r="AQ822" s="8266"/>
      <c r="AR822" s="8266"/>
      <c r="AS822" s="8266"/>
      <c r="AT822" s="8267"/>
      <c r="AU822" s="9984"/>
      <c r="AV822" s="9984"/>
      <c r="AW822" s="9984"/>
      <c r="AX822" s="8259"/>
      <c r="AY822" s="9983"/>
      <c r="AZ822" s="9984"/>
      <c r="BA822" s="8259"/>
      <c r="BB822" s="9982"/>
      <c r="BC822" s="9983"/>
      <c r="BD822" s="8675"/>
      <c r="BF822" s="9981"/>
      <c r="BG822" s="9981"/>
      <c r="BH822" s="9981"/>
      <c r="BI822" s="9981"/>
      <c r="BJ822" s="9981"/>
      <c r="BK822" s="9981"/>
      <c r="BL822" s="9981"/>
      <c r="BM822" s="9981"/>
      <c r="BN822" s="9981"/>
    </row>
    <row r="823" spans="1:66" ht="29.25" hidden="1" customHeight="1">
      <c r="A823" s="9889">
        <v>512</v>
      </c>
      <c r="B823" s="9890" t="s">
        <v>8089</v>
      </c>
      <c r="C823" s="13598"/>
      <c r="D823" s="12187" t="s">
        <v>10072</v>
      </c>
      <c r="E823" s="12227" t="s">
        <v>1164</v>
      </c>
      <c r="F823" s="11907"/>
      <c r="G823" s="12188" t="s">
        <v>1169</v>
      </c>
      <c r="H823" s="12189" t="s">
        <v>1170</v>
      </c>
      <c r="I823" s="12190">
        <v>20</v>
      </c>
      <c r="K823" s="8419"/>
      <c r="L823" s="9513"/>
      <c r="M823" s="9513"/>
      <c r="N823" s="7916"/>
      <c r="O823" s="7916"/>
      <c r="P823" s="9892"/>
      <c r="Q823" s="9516"/>
      <c r="R823" s="9517"/>
      <c r="S823" s="9518"/>
      <c r="T823" s="9519"/>
      <c r="U823" s="9516"/>
      <c r="V823" s="9517"/>
      <c r="W823" s="9519"/>
      <c r="X823" s="9517"/>
      <c r="Y823" s="9519"/>
      <c r="Z823" s="9517"/>
      <c r="AA823" s="9518"/>
      <c r="AB823" s="9518"/>
      <c r="AC823" s="9518"/>
      <c r="AD823" s="9518"/>
      <c r="AE823" s="9518"/>
      <c r="AF823" s="9519"/>
      <c r="AG823" s="9517"/>
      <c r="AH823" s="9518"/>
      <c r="AI823" s="9518"/>
      <c r="AJ823" s="9518"/>
      <c r="AK823" s="9518"/>
      <c r="AL823" s="9518"/>
      <c r="AM823" s="9518"/>
      <c r="AN823" s="9519"/>
      <c r="AO823" s="9517"/>
      <c r="AP823" s="9518"/>
      <c r="AQ823" s="9518"/>
      <c r="AR823" s="9518"/>
      <c r="AS823" s="9518"/>
      <c r="AT823" s="9519"/>
      <c r="AU823" s="9893"/>
      <c r="AV823" s="9893"/>
      <c r="AW823" s="9893"/>
      <c r="AX823" s="8419"/>
      <c r="AY823" s="9892"/>
      <c r="AZ823" s="9893"/>
      <c r="BA823" s="8419"/>
      <c r="BB823" s="7916"/>
      <c r="BC823" s="9892"/>
      <c r="BD823" s="8771"/>
      <c r="BF823" s="9891"/>
      <c r="BG823" s="9891"/>
      <c r="BH823" s="9891"/>
      <c r="BI823" s="9891"/>
      <c r="BJ823" s="9891"/>
      <c r="BK823" s="9891"/>
      <c r="BL823" s="9891"/>
      <c r="BM823" s="9891"/>
      <c r="BN823" s="9891"/>
    </row>
    <row r="824" spans="1:66" ht="29.25" hidden="1" customHeight="1">
      <c r="A824" s="9985">
        <v>513</v>
      </c>
      <c r="B824" s="9986" t="s">
        <v>8090</v>
      </c>
      <c r="C824" s="13598"/>
      <c r="D824" s="11786" t="s">
        <v>10072</v>
      </c>
      <c r="E824" s="12228" t="s">
        <v>1164</v>
      </c>
      <c r="F824" s="7852"/>
      <c r="G824" s="12229" t="s">
        <v>1171</v>
      </c>
      <c r="H824" s="12230" t="s">
        <v>1172</v>
      </c>
      <c r="I824" s="11787">
        <v>3</v>
      </c>
      <c r="K824" s="8431"/>
      <c r="L824" s="8443"/>
      <c r="M824" s="8443"/>
      <c r="N824" s="8444"/>
      <c r="O824" s="8444"/>
      <c r="P824" s="8445"/>
      <c r="Q824" s="8446"/>
      <c r="R824" s="8447"/>
      <c r="S824" s="8448"/>
      <c r="T824" s="8449"/>
      <c r="U824" s="8446"/>
      <c r="V824" s="8447"/>
      <c r="W824" s="8449"/>
      <c r="X824" s="8447"/>
      <c r="Y824" s="8449"/>
      <c r="Z824" s="8447"/>
      <c r="AA824" s="8448"/>
      <c r="AB824" s="8448"/>
      <c r="AC824" s="8448"/>
      <c r="AD824" s="8448"/>
      <c r="AE824" s="8448"/>
      <c r="AF824" s="8449"/>
      <c r="AG824" s="8447"/>
      <c r="AH824" s="8448"/>
      <c r="AI824" s="8448"/>
      <c r="AJ824" s="8448"/>
      <c r="AK824" s="8448"/>
      <c r="AL824" s="8448"/>
      <c r="AM824" s="8448"/>
      <c r="AN824" s="8449"/>
      <c r="AO824" s="8447"/>
      <c r="AP824" s="8448"/>
      <c r="AQ824" s="8448"/>
      <c r="AR824" s="8448"/>
      <c r="AS824" s="8448"/>
      <c r="AT824" s="8449"/>
      <c r="AU824" s="8450"/>
      <c r="AV824" s="8450"/>
      <c r="AW824" s="8450"/>
      <c r="AX824" s="8431"/>
      <c r="AY824" s="8445"/>
      <c r="AZ824" s="8450"/>
      <c r="BA824" s="8431"/>
      <c r="BB824" s="8444"/>
      <c r="BC824" s="8445"/>
      <c r="BD824" s="7952"/>
      <c r="BF824" s="9895"/>
      <c r="BG824" s="9895"/>
      <c r="BH824" s="9895"/>
      <c r="BI824" s="9895"/>
      <c r="BJ824" s="9895"/>
      <c r="BK824" s="9895"/>
      <c r="BL824" s="9895"/>
      <c r="BM824" s="9895"/>
      <c r="BN824" s="9895"/>
    </row>
    <row r="825" spans="1:66" ht="29.25" hidden="1" customHeight="1">
      <c r="A825" s="9985">
        <v>514</v>
      </c>
      <c r="B825" s="9986" t="s">
        <v>8091</v>
      </c>
      <c r="C825" s="13598"/>
      <c r="D825" s="11786" t="s">
        <v>10072</v>
      </c>
      <c r="E825" s="12228" t="s">
        <v>1164</v>
      </c>
      <c r="F825" s="7852"/>
      <c r="G825" s="12229" t="s">
        <v>1173</v>
      </c>
      <c r="H825" s="12230" t="s">
        <v>1174</v>
      </c>
      <c r="I825" s="11787">
        <v>15</v>
      </c>
      <c r="K825" s="8431"/>
      <c r="L825" s="8443"/>
      <c r="M825" s="8443"/>
      <c r="N825" s="8444"/>
      <c r="O825" s="8444"/>
      <c r="P825" s="8445"/>
      <c r="Q825" s="8446"/>
      <c r="R825" s="8447"/>
      <c r="S825" s="8448"/>
      <c r="T825" s="8449"/>
      <c r="U825" s="8446"/>
      <c r="V825" s="8447"/>
      <c r="W825" s="8449"/>
      <c r="X825" s="8447"/>
      <c r="Y825" s="8449"/>
      <c r="Z825" s="8447"/>
      <c r="AA825" s="8448"/>
      <c r="AB825" s="8448"/>
      <c r="AC825" s="8448"/>
      <c r="AD825" s="8448"/>
      <c r="AE825" s="8448"/>
      <c r="AF825" s="8449"/>
      <c r="AG825" s="8447"/>
      <c r="AH825" s="8448"/>
      <c r="AI825" s="8448"/>
      <c r="AJ825" s="8448"/>
      <c r="AK825" s="8448"/>
      <c r="AL825" s="8448"/>
      <c r="AM825" s="8448"/>
      <c r="AN825" s="8449"/>
      <c r="AO825" s="8447"/>
      <c r="AP825" s="8448"/>
      <c r="AQ825" s="8448"/>
      <c r="AR825" s="8448"/>
      <c r="AS825" s="8448"/>
      <c r="AT825" s="8449"/>
      <c r="AU825" s="8450"/>
      <c r="AV825" s="8450"/>
      <c r="AW825" s="8450"/>
      <c r="AX825" s="8431"/>
      <c r="AY825" s="8445"/>
      <c r="AZ825" s="8450"/>
      <c r="BA825" s="8431"/>
      <c r="BB825" s="8444"/>
      <c r="BC825" s="8445"/>
      <c r="BD825" s="7952"/>
      <c r="BF825" s="9895"/>
      <c r="BG825" s="9895"/>
      <c r="BH825" s="9895"/>
      <c r="BI825" s="9895"/>
      <c r="BJ825" s="9895"/>
      <c r="BK825" s="9895"/>
      <c r="BL825" s="9895"/>
      <c r="BM825" s="9895"/>
      <c r="BN825" s="9895"/>
    </row>
    <row r="826" spans="1:66" ht="29.25" hidden="1" customHeight="1">
      <c r="A826" s="9985">
        <v>515</v>
      </c>
      <c r="B826" s="9986" t="s">
        <v>8092</v>
      </c>
      <c r="C826" s="13598"/>
      <c r="D826" s="11786" t="s">
        <v>10072</v>
      </c>
      <c r="E826" s="12228" t="s">
        <v>1164</v>
      </c>
      <c r="F826" s="7852"/>
      <c r="G826" s="12229" t="s">
        <v>1175</v>
      </c>
      <c r="H826" s="12230" t="s">
        <v>1176</v>
      </c>
      <c r="I826" s="11787">
        <v>20</v>
      </c>
      <c r="K826" s="8431"/>
      <c r="L826" s="8443"/>
      <c r="M826" s="8443"/>
      <c r="N826" s="8444"/>
      <c r="O826" s="8444"/>
      <c r="P826" s="8445"/>
      <c r="Q826" s="8446"/>
      <c r="R826" s="8447"/>
      <c r="S826" s="8448"/>
      <c r="T826" s="8449"/>
      <c r="U826" s="8446"/>
      <c r="V826" s="8447"/>
      <c r="W826" s="8449"/>
      <c r="X826" s="8447"/>
      <c r="Y826" s="8449"/>
      <c r="Z826" s="8447"/>
      <c r="AA826" s="8448"/>
      <c r="AB826" s="8448"/>
      <c r="AC826" s="8448"/>
      <c r="AD826" s="8448"/>
      <c r="AE826" s="8448"/>
      <c r="AF826" s="8449"/>
      <c r="AG826" s="8447"/>
      <c r="AH826" s="8448"/>
      <c r="AI826" s="8448"/>
      <c r="AJ826" s="8448"/>
      <c r="AK826" s="8448"/>
      <c r="AL826" s="8448"/>
      <c r="AM826" s="8448"/>
      <c r="AN826" s="8449"/>
      <c r="AO826" s="8447"/>
      <c r="AP826" s="8448"/>
      <c r="AQ826" s="8448"/>
      <c r="AR826" s="8448"/>
      <c r="AS826" s="8448"/>
      <c r="AT826" s="8449"/>
      <c r="AU826" s="8450"/>
      <c r="AV826" s="8450"/>
      <c r="AW826" s="8450"/>
      <c r="AX826" s="8431"/>
      <c r="AY826" s="8445"/>
      <c r="AZ826" s="8450"/>
      <c r="BA826" s="8431"/>
      <c r="BB826" s="8444"/>
      <c r="BC826" s="8445"/>
      <c r="BD826" s="7952"/>
      <c r="BF826" s="9895"/>
      <c r="BG826" s="9895"/>
      <c r="BH826" s="9895"/>
      <c r="BI826" s="9895"/>
      <c r="BJ826" s="9895"/>
      <c r="BK826" s="9895"/>
      <c r="BL826" s="9895"/>
      <c r="BM826" s="9895"/>
      <c r="BN826" s="9895"/>
    </row>
    <row r="827" spans="1:66" ht="29.25" hidden="1" customHeight="1">
      <c r="A827" s="9985">
        <v>516</v>
      </c>
      <c r="B827" s="9986" t="s">
        <v>8093</v>
      </c>
      <c r="C827" s="13598"/>
      <c r="D827" s="11786" t="s">
        <v>10072</v>
      </c>
      <c r="E827" s="12228" t="s">
        <v>1164</v>
      </c>
      <c r="F827" s="7852"/>
      <c r="G827" s="12229" t="s">
        <v>1178</v>
      </c>
      <c r="H827" s="12230" t="s">
        <v>1179</v>
      </c>
      <c r="I827" s="11787">
        <v>1</v>
      </c>
      <c r="K827" s="8431"/>
      <c r="L827" s="8443"/>
      <c r="M827" s="8443"/>
      <c r="N827" s="8444"/>
      <c r="O827" s="8444"/>
      <c r="P827" s="8445"/>
      <c r="Q827" s="8446"/>
      <c r="R827" s="8447"/>
      <c r="S827" s="8448"/>
      <c r="T827" s="8449"/>
      <c r="U827" s="8446"/>
      <c r="V827" s="8447"/>
      <c r="W827" s="8449"/>
      <c r="X827" s="8447"/>
      <c r="Y827" s="8449"/>
      <c r="Z827" s="8447"/>
      <c r="AA827" s="8448"/>
      <c r="AB827" s="8448"/>
      <c r="AC827" s="8448"/>
      <c r="AD827" s="8448"/>
      <c r="AE827" s="8448"/>
      <c r="AF827" s="8449"/>
      <c r="AG827" s="8447"/>
      <c r="AH827" s="8448"/>
      <c r="AI827" s="8448"/>
      <c r="AJ827" s="8448"/>
      <c r="AK827" s="8448"/>
      <c r="AL827" s="8448"/>
      <c r="AM827" s="8448"/>
      <c r="AN827" s="8449"/>
      <c r="AO827" s="8447"/>
      <c r="AP827" s="8448"/>
      <c r="AQ827" s="8448"/>
      <c r="AR827" s="8448"/>
      <c r="AS827" s="8448"/>
      <c r="AT827" s="8449"/>
      <c r="AU827" s="8450"/>
      <c r="AV827" s="8450"/>
      <c r="AW827" s="8450"/>
      <c r="AX827" s="8431"/>
      <c r="AY827" s="8445"/>
      <c r="AZ827" s="8450"/>
      <c r="BA827" s="8431"/>
      <c r="BB827" s="8444"/>
      <c r="BC827" s="8445"/>
      <c r="BD827" s="7952"/>
      <c r="BF827" s="9895"/>
      <c r="BG827" s="9895"/>
      <c r="BH827" s="9895"/>
      <c r="BI827" s="9895"/>
      <c r="BJ827" s="9895"/>
      <c r="BK827" s="9895"/>
      <c r="BL827" s="9895"/>
      <c r="BM827" s="9895"/>
      <c r="BN827" s="9895"/>
    </row>
    <row r="828" spans="1:66" ht="29.25" hidden="1" customHeight="1">
      <c r="A828" s="9985">
        <v>517</v>
      </c>
      <c r="B828" s="9986" t="s">
        <v>8094</v>
      </c>
      <c r="C828" s="13598"/>
      <c r="D828" s="11786" t="s">
        <v>10072</v>
      </c>
      <c r="E828" s="12228" t="s">
        <v>1164</v>
      </c>
      <c r="F828" s="7852"/>
      <c r="G828" s="12229" t="s">
        <v>1180</v>
      </c>
      <c r="H828" s="12230" t="s">
        <v>1181</v>
      </c>
      <c r="I828" s="11787">
        <v>10</v>
      </c>
      <c r="K828" s="8431"/>
      <c r="L828" s="8443"/>
      <c r="M828" s="8443"/>
      <c r="N828" s="8444"/>
      <c r="O828" s="8444"/>
      <c r="P828" s="8445"/>
      <c r="Q828" s="8446"/>
      <c r="R828" s="8447"/>
      <c r="S828" s="8448"/>
      <c r="T828" s="8449"/>
      <c r="U828" s="8446"/>
      <c r="V828" s="8447"/>
      <c r="W828" s="8449"/>
      <c r="X828" s="8447"/>
      <c r="Y828" s="8449"/>
      <c r="Z828" s="8447"/>
      <c r="AA828" s="8448"/>
      <c r="AB828" s="8448"/>
      <c r="AC828" s="8448"/>
      <c r="AD828" s="8448"/>
      <c r="AE828" s="8448"/>
      <c r="AF828" s="8449"/>
      <c r="AG828" s="8447"/>
      <c r="AH828" s="8448"/>
      <c r="AI828" s="8448"/>
      <c r="AJ828" s="8448"/>
      <c r="AK828" s="8448"/>
      <c r="AL828" s="8448"/>
      <c r="AM828" s="8448"/>
      <c r="AN828" s="8449"/>
      <c r="AO828" s="8447"/>
      <c r="AP828" s="8448"/>
      <c r="AQ828" s="8448"/>
      <c r="AR828" s="8448"/>
      <c r="AS828" s="8448"/>
      <c r="AT828" s="8449"/>
      <c r="AU828" s="8450"/>
      <c r="AV828" s="8450"/>
      <c r="AW828" s="8450"/>
      <c r="AX828" s="8431"/>
      <c r="AY828" s="8445"/>
      <c r="AZ828" s="8450"/>
      <c r="BA828" s="8431"/>
      <c r="BB828" s="8444"/>
      <c r="BC828" s="8445"/>
      <c r="BD828" s="7952"/>
      <c r="BF828" s="9895"/>
      <c r="BG828" s="9895"/>
      <c r="BH828" s="9895"/>
      <c r="BI828" s="9895"/>
      <c r="BJ828" s="9895"/>
      <c r="BK828" s="9895"/>
      <c r="BL828" s="9895"/>
      <c r="BM828" s="9895"/>
      <c r="BN828" s="9895"/>
    </row>
    <row r="829" spans="1:66" ht="29.25" hidden="1" customHeight="1">
      <c r="A829" s="9985">
        <v>518</v>
      </c>
      <c r="B829" s="9986" t="s">
        <v>8095</v>
      </c>
      <c r="C829" s="13598"/>
      <c r="D829" s="11786" t="s">
        <v>10072</v>
      </c>
      <c r="E829" s="12228" t="s">
        <v>1164</v>
      </c>
      <c r="F829" s="7852"/>
      <c r="G829" s="12229" t="s">
        <v>1182</v>
      </c>
      <c r="H829" s="12230" t="s">
        <v>1183</v>
      </c>
      <c r="I829" s="11787">
        <v>5</v>
      </c>
      <c r="K829" s="8431"/>
      <c r="L829" s="8443"/>
      <c r="M829" s="8443"/>
      <c r="N829" s="8444"/>
      <c r="O829" s="8444"/>
      <c r="P829" s="8445"/>
      <c r="Q829" s="8446"/>
      <c r="R829" s="8447"/>
      <c r="S829" s="8448"/>
      <c r="T829" s="8449"/>
      <c r="U829" s="8446"/>
      <c r="V829" s="8447"/>
      <c r="W829" s="8449"/>
      <c r="X829" s="8447"/>
      <c r="Y829" s="8449"/>
      <c r="Z829" s="8447"/>
      <c r="AA829" s="8448"/>
      <c r="AB829" s="8448"/>
      <c r="AC829" s="8448"/>
      <c r="AD829" s="8448"/>
      <c r="AE829" s="8448"/>
      <c r="AF829" s="8449"/>
      <c r="AG829" s="8447"/>
      <c r="AH829" s="8448"/>
      <c r="AI829" s="8448"/>
      <c r="AJ829" s="8448"/>
      <c r="AK829" s="8448"/>
      <c r="AL829" s="8448"/>
      <c r="AM829" s="8448"/>
      <c r="AN829" s="8449"/>
      <c r="AO829" s="8447"/>
      <c r="AP829" s="8448"/>
      <c r="AQ829" s="8448"/>
      <c r="AR829" s="8448"/>
      <c r="AS829" s="8448"/>
      <c r="AT829" s="8449"/>
      <c r="AU829" s="8450"/>
      <c r="AV829" s="8450"/>
      <c r="AW829" s="8450"/>
      <c r="AX829" s="8431"/>
      <c r="AY829" s="8445"/>
      <c r="AZ829" s="8450"/>
      <c r="BA829" s="8431"/>
      <c r="BB829" s="8444"/>
      <c r="BC829" s="8445"/>
      <c r="BD829" s="7952"/>
      <c r="BF829" s="9895"/>
      <c r="BG829" s="9895"/>
      <c r="BH829" s="9895"/>
      <c r="BI829" s="9895"/>
      <c r="BJ829" s="9895"/>
      <c r="BK829" s="9895"/>
      <c r="BL829" s="9895"/>
      <c r="BM829" s="9895"/>
      <c r="BN829" s="9895"/>
    </row>
    <row r="830" spans="1:66" ht="29.25" hidden="1" customHeight="1" thickBot="1">
      <c r="A830" s="10198">
        <v>519</v>
      </c>
      <c r="B830" s="10199" t="s">
        <v>8096</v>
      </c>
      <c r="C830" s="13598"/>
      <c r="D830" s="11789" t="s">
        <v>10072</v>
      </c>
      <c r="E830" s="12231" t="s">
        <v>1164</v>
      </c>
      <c r="F830" s="11913"/>
      <c r="G830" s="12297" t="s">
        <v>1184</v>
      </c>
      <c r="H830" s="12298" t="s">
        <v>1185</v>
      </c>
      <c r="I830" s="11791">
        <v>10</v>
      </c>
      <c r="K830" s="8463"/>
      <c r="L830" s="8464"/>
      <c r="M830" s="8464"/>
      <c r="N830" s="8465"/>
      <c r="O830" s="8465"/>
      <c r="P830" s="8466"/>
      <c r="Q830" s="8467"/>
      <c r="R830" s="8468"/>
      <c r="S830" s="8469"/>
      <c r="T830" s="8470"/>
      <c r="U830" s="8467"/>
      <c r="V830" s="8468"/>
      <c r="W830" s="8470"/>
      <c r="X830" s="8468"/>
      <c r="Y830" s="8470"/>
      <c r="Z830" s="8468"/>
      <c r="AA830" s="8469"/>
      <c r="AB830" s="8469"/>
      <c r="AC830" s="8469"/>
      <c r="AD830" s="8469"/>
      <c r="AE830" s="8469"/>
      <c r="AF830" s="8470"/>
      <c r="AG830" s="8468"/>
      <c r="AH830" s="8469"/>
      <c r="AI830" s="8469"/>
      <c r="AJ830" s="8469"/>
      <c r="AK830" s="8469"/>
      <c r="AL830" s="8469"/>
      <c r="AM830" s="8469"/>
      <c r="AN830" s="8470"/>
      <c r="AO830" s="8468"/>
      <c r="AP830" s="8469"/>
      <c r="AQ830" s="8469"/>
      <c r="AR830" s="8469"/>
      <c r="AS830" s="8469"/>
      <c r="AT830" s="8470"/>
      <c r="AU830" s="8471"/>
      <c r="AV830" s="8471"/>
      <c r="AW830" s="8471"/>
      <c r="AX830" s="8463"/>
      <c r="AY830" s="8466"/>
      <c r="AZ830" s="8471"/>
      <c r="BA830" s="8463"/>
      <c r="BB830" s="8465"/>
      <c r="BC830" s="8466"/>
      <c r="BD830" s="8461"/>
      <c r="BF830" s="9906"/>
      <c r="BG830" s="9906"/>
      <c r="BH830" s="9906"/>
      <c r="BI830" s="9906"/>
      <c r="BJ830" s="9906"/>
      <c r="BK830" s="9906"/>
      <c r="BL830" s="9906"/>
      <c r="BM830" s="9906"/>
      <c r="BN830" s="9906"/>
    </row>
    <row r="831" spans="1:66" ht="29.25" hidden="1" customHeight="1">
      <c r="A831" s="13706">
        <v>520</v>
      </c>
      <c r="B831" s="14177" t="s">
        <v>8097</v>
      </c>
      <c r="C831" s="13598"/>
      <c r="D831" s="12299" t="s">
        <v>10072</v>
      </c>
      <c r="E831" s="12300" t="s">
        <v>1029</v>
      </c>
      <c r="F831" s="7824"/>
      <c r="G831" s="14178" t="s">
        <v>1188</v>
      </c>
      <c r="H831" s="13462" t="s">
        <v>1189</v>
      </c>
      <c r="I831" s="14191">
        <v>15</v>
      </c>
      <c r="K831" s="10201"/>
      <c r="L831" s="10202"/>
      <c r="M831" s="10202"/>
      <c r="N831" s="10203"/>
      <c r="O831" s="10203"/>
      <c r="P831" s="10204"/>
      <c r="Q831" s="10205"/>
      <c r="R831" s="10206"/>
      <c r="S831" s="10207"/>
      <c r="T831" s="10208"/>
      <c r="U831" s="10205"/>
      <c r="V831" s="10206"/>
      <c r="W831" s="10208"/>
      <c r="X831" s="10206"/>
      <c r="Y831" s="10208"/>
      <c r="Z831" s="10206"/>
      <c r="AA831" s="10207"/>
      <c r="AB831" s="10207"/>
      <c r="AC831" s="10207"/>
      <c r="AD831" s="10207"/>
      <c r="AE831" s="10207"/>
      <c r="AF831" s="10208"/>
      <c r="AG831" s="10206"/>
      <c r="AH831" s="10207"/>
      <c r="AI831" s="10207"/>
      <c r="AJ831" s="10207"/>
      <c r="AK831" s="10207"/>
      <c r="AL831" s="10207"/>
      <c r="AM831" s="10207"/>
      <c r="AN831" s="10208"/>
      <c r="AO831" s="10206"/>
      <c r="AP831" s="10207"/>
      <c r="AQ831" s="10207"/>
      <c r="AR831" s="10207"/>
      <c r="AS831" s="10207"/>
      <c r="AT831" s="10208"/>
      <c r="AU831" s="10209"/>
      <c r="AV831" s="10209"/>
      <c r="AW831" s="10209"/>
      <c r="AX831" s="10201"/>
      <c r="AY831" s="10204"/>
      <c r="AZ831" s="10209"/>
      <c r="BA831" s="10201"/>
      <c r="BB831" s="10203"/>
      <c r="BC831" s="10204"/>
      <c r="BD831" s="10210"/>
      <c r="BF831" s="14523"/>
      <c r="BG831" s="14523"/>
      <c r="BH831" s="14523"/>
      <c r="BI831" s="14523"/>
      <c r="BJ831" s="14523"/>
      <c r="BK831" s="10211"/>
      <c r="BL831" s="14523"/>
      <c r="BM831" s="14523"/>
      <c r="BN831" s="14523"/>
    </row>
    <row r="832" spans="1:66" ht="29.25" hidden="1" customHeight="1">
      <c r="A832" s="13662"/>
      <c r="B832" s="14171"/>
      <c r="C832" s="13598"/>
      <c r="D832" s="12301" t="s">
        <v>2896</v>
      </c>
      <c r="E832" s="12302"/>
      <c r="F832" s="7826" t="s">
        <v>1190</v>
      </c>
      <c r="G832" s="14172"/>
      <c r="H832" s="13415"/>
      <c r="I832" s="14192"/>
      <c r="K832" s="10213"/>
      <c r="L832" s="9465"/>
      <c r="M832" s="9465"/>
      <c r="N832" s="10214"/>
      <c r="O832" s="10214"/>
      <c r="P832" s="10215"/>
      <c r="Q832" s="9468"/>
      <c r="R832" s="9469"/>
      <c r="S832" s="9470"/>
      <c r="T832" s="9471"/>
      <c r="U832" s="9468"/>
      <c r="V832" s="9469"/>
      <c r="W832" s="9471"/>
      <c r="X832" s="9469"/>
      <c r="Y832" s="9471"/>
      <c r="Z832" s="9469"/>
      <c r="AA832" s="9470"/>
      <c r="AB832" s="9470"/>
      <c r="AC832" s="9470"/>
      <c r="AD832" s="9470"/>
      <c r="AE832" s="9470"/>
      <c r="AF832" s="9471"/>
      <c r="AG832" s="9469"/>
      <c r="AH832" s="9470"/>
      <c r="AI832" s="9470"/>
      <c r="AJ832" s="9470"/>
      <c r="AK832" s="9470"/>
      <c r="AL832" s="9470"/>
      <c r="AM832" s="9470"/>
      <c r="AN832" s="9471"/>
      <c r="AO832" s="9469"/>
      <c r="AP832" s="9470"/>
      <c r="AQ832" s="9470"/>
      <c r="AR832" s="9470"/>
      <c r="AS832" s="9470"/>
      <c r="AT832" s="9471"/>
      <c r="AU832" s="10216"/>
      <c r="AV832" s="10216"/>
      <c r="AW832" s="10216"/>
      <c r="AX832" s="10213"/>
      <c r="AY832" s="10215"/>
      <c r="AZ832" s="10216"/>
      <c r="BA832" s="10213"/>
      <c r="BB832" s="10214"/>
      <c r="BC832" s="10215"/>
      <c r="BD832" s="10217"/>
      <c r="BF832" s="14524"/>
      <c r="BG832" s="14524"/>
      <c r="BH832" s="14524"/>
      <c r="BI832" s="14524"/>
      <c r="BJ832" s="14524"/>
      <c r="BK832" s="10218"/>
      <c r="BL832" s="14524"/>
      <c r="BM832" s="14524"/>
      <c r="BN832" s="14524"/>
    </row>
    <row r="833" spans="1:66" ht="29.25" hidden="1" customHeight="1">
      <c r="A833" s="13662">
        <v>521</v>
      </c>
      <c r="B833" s="14171" t="s">
        <v>8098</v>
      </c>
      <c r="C833" s="13598"/>
      <c r="D833" s="12301" t="s">
        <v>10072</v>
      </c>
      <c r="E833" s="12302" t="s">
        <v>1029</v>
      </c>
      <c r="F833" s="7826"/>
      <c r="G833" s="14172" t="s">
        <v>1191</v>
      </c>
      <c r="H833" s="13415"/>
      <c r="I833" s="14192"/>
      <c r="K833" s="10213"/>
      <c r="L833" s="9465"/>
      <c r="M833" s="9465"/>
      <c r="N833" s="10214"/>
      <c r="O833" s="10214"/>
      <c r="P833" s="10215"/>
      <c r="Q833" s="9468"/>
      <c r="R833" s="9469"/>
      <c r="S833" s="9470"/>
      <c r="T833" s="9471"/>
      <c r="U833" s="9468"/>
      <c r="V833" s="9469"/>
      <c r="W833" s="9471"/>
      <c r="X833" s="9469"/>
      <c r="Y833" s="9471"/>
      <c r="Z833" s="9469"/>
      <c r="AA833" s="9470"/>
      <c r="AB833" s="9470"/>
      <c r="AC833" s="9470"/>
      <c r="AD833" s="9470"/>
      <c r="AE833" s="9470"/>
      <c r="AF833" s="9471"/>
      <c r="AG833" s="9469"/>
      <c r="AH833" s="9470"/>
      <c r="AI833" s="9470"/>
      <c r="AJ833" s="9470"/>
      <c r="AK833" s="9470"/>
      <c r="AL833" s="9470"/>
      <c r="AM833" s="9470"/>
      <c r="AN833" s="9471"/>
      <c r="AO833" s="9469"/>
      <c r="AP833" s="9470"/>
      <c r="AQ833" s="9470"/>
      <c r="AR833" s="9470"/>
      <c r="AS833" s="9470"/>
      <c r="AT833" s="9471"/>
      <c r="AU833" s="10216"/>
      <c r="AV833" s="10216"/>
      <c r="AW833" s="10216"/>
      <c r="AX833" s="10213"/>
      <c r="AY833" s="10215"/>
      <c r="AZ833" s="10216"/>
      <c r="BA833" s="10213"/>
      <c r="BB833" s="10214"/>
      <c r="BC833" s="10215"/>
      <c r="BD833" s="10217"/>
      <c r="BF833" s="14524"/>
      <c r="BG833" s="14524"/>
      <c r="BH833" s="14524"/>
      <c r="BI833" s="14524"/>
      <c r="BJ833" s="14524"/>
      <c r="BK833" s="10218"/>
      <c r="BL833" s="14524"/>
      <c r="BM833" s="14524"/>
      <c r="BN833" s="14524"/>
    </row>
    <row r="834" spans="1:66" ht="29.25" hidden="1" customHeight="1">
      <c r="A834" s="13662"/>
      <c r="B834" s="14171"/>
      <c r="C834" s="13598"/>
      <c r="D834" s="12301" t="s">
        <v>10063</v>
      </c>
      <c r="E834" s="12302"/>
      <c r="F834" s="12303" t="s">
        <v>9566</v>
      </c>
      <c r="G834" s="14172"/>
      <c r="H834" s="13415"/>
      <c r="I834" s="14192"/>
      <c r="K834" s="10213"/>
      <c r="L834" s="9465"/>
      <c r="M834" s="9465"/>
      <c r="N834" s="10214"/>
      <c r="O834" s="10214"/>
      <c r="P834" s="10215"/>
      <c r="Q834" s="9468"/>
      <c r="R834" s="9469"/>
      <c r="S834" s="9470"/>
      <c r="T834" s="9471"/>
      <c r="U834" s="9468"/>
      <c r="V834" s="9469"/>
      <c r="W834" s="9471"/>
      <c r="X834" s="9469"/>
      <c r="Y834" s="9471"/>
      <c r="Z834" s="9469"/>
      <c r="AA834" s="9470"/>
      <c r="AB834" s="9470"/>
      <c r="AC834" s="9470"/>
      <c r="AD834" s="9470"/>
      <c r="AE834" s="9470"/>
      <c r="AF834" s="9471"/>
      <c r="AG834" s="9469"/>
      <c r="AH834" s="9470"/>
      <c r="AI834" s="9470"/>
      <c r="AJ834" s="9470"/>
      <c r="AK834" s="9470"/>
      <c r="AL834" s="9470"/>
      <c r="AM834" s="9470"/>
      <c r="AN834" s="9471"/>
      <c r="AO834" s="9469"/>
      <c r="AP834" s="9470"/>
      <c r="AQ834" s="9470"/>
      <c r="AR834" s="9470"/>
      <c r="AS834" s="9470"/>
      <c r="AT834" s="9471"/>
      <c r="AU834" s="10216"/>
      <c r="AV834" s="10216"/>
      <c r="AW834" s="10216"/>
      <c r="AX834" s="10213"/>
      <c r="AY834" s="10215"/>
      <c r="AZ834" s="10216"/>
      <c r="BA834" s="10213"/>
      <c r="BB834" s="10214"/>
      <c r="BC834" s="10215"/>
      <c r="BD834" s="10217"/>
      <c r="BF834" s="14524"/>
      <c r="BG834" s="14524"/>
      <c r="BH834" s="14524"/>
      <c r="BI834" s="14524"/>
      <c r="BJ834" s="14524"/>
      <c r="BK834" s="10218"/>
      <c r="BL834" s="14524"/>
      <c r="BM834" s="14524"/>
      <c r="BN834" s="14524"/>
    </row>
    <row r="835" spans="1:66" ht="29.25" hidden="1" customHeight="1">
      <c r="A835" s="13662"/>
      <c r="B835" s="14171"/>
      <c r="C835" s="13598"/>
      <c r="D835" s="12301" t="s">
        <v>2896</v>
      </c>
      <c r="E835" s="12302"/>
      <c r="F835" s="7826" t="s">
        <v>1190</v>
      </c>
      <c r="G835" s="14172"/>
      <c r="H835" s="13415"/>
      <c r="I835" s="14192"/>
      <c r="K835" s="10213"/>
      <c r="L835" s="9465"/>
      <c r="M835" s="9465"/>
      <c r="N835" s="10214"/>
      <c r="O835" s="10214"/>
      <c r="P835" s="10215"/>
      <c r="Q835" s="9468"/>
      <c r="R835" s="9469"/>
      <c r="S835" s="9470"/>
      <c r="T835" s="9471"/>
      <c r="U835" s="9468"/>
      <c r="V835" s="9469"/>
      <c r="W835" s="9471"/>
      <c r="X835" s="9469"/>
      <c r="Y835" s="9471"/>
      <c r="Z835" s="9469"/>
      <c r="AA835" s="9470"/>
      <c r="AB835" s="9470"/>
      <c r="AC835" s="9470"/>
      <c r="AD835" s="9470"/>
      <c r="AE835" s="9470"/>
      <c r="AF835" s="9471"/>
      <c r="AG835" s="9469"/>
      <c r="AH835" s="9470"/>
      <c r="AI835" s="9470"/>
      <c r="AJ835" s="9470"/>
      <c r="AK835" s="9470"/>
      <c r="AL835" s="9470"/>
      <c r="AM835" s="9470"/>
      <c r="AN835" s="9471"/>
      <c r="AO835" s="9469"/>
      <c r="AP835" s="9470"/>
      <c r="AQ835" s="9470"/>
      <c r="AR835" s="9470"/>
      <c r="AS835" s="9470"/>
      <c r="AT835" s="9471"/>
      <c r="AU835" s="10216"/>
      <c r="AV835" s="10216"/>
      <c r="AW835" s="10216"/>
      <c r="AX835" s="10213"/>
      <c r="AY835" s="10215"/>
      <c r="AZ835" s="10216"/>
      <c r="BA835" s="10213"/>
      <c r="BB835" s="10214"/>
      <c r="BC835" s="10215"/>
      <c r="BD835" s="10217"/>
      <c r="BF835" s="14524"/>
      <c r="BG835" s="14524"/>
      <c r="BH835" s="14524"/>
      <c r="BI835" s="14524"/>
      <c r="BJ835" s="14524"/>
      <c r="BK835" s="10218"/>
      <c r="BL835" s="14524"/>
      <c r="BM835" s="14524"/>
      <c r="BN835" s="14524"/>
    </row>
    <row r="836" spans="1:66" ht="29.25" hidden="1" customHeight="1">
      <c r="A836" s="13662">
        <v>522</v>
      </c>
      <c r="B836" s="14171" t="s">
        <v>8100</v>
      </c>
      <c r="C836" s="13598"/>
      <c r="D836" s="12304" t="s">
        <v>10072</v>
      </c>
      <c r="E836" s="12302" t="s">
        <v>9567</v>
      </c>
      <c r="F836" s="12303"/>
      <c r="G836" s="14172" t="s">
        <v>1194</v>
      </c>
      <c r="H836" s="13415"/>
      <c r="I836" s="14193"/>
      <c r="K836" s="10220"/>
      <c r="L836" s="9465"/>
      <c r="M836" s="9465"/>
      <c r="N836" s="10221"/>
      <c r="O836" s="10221"/>
      <c r="P836" s="10222"/>
      <c r="Q836" s="9468"/>
      <c r="R836" s="9469"/>
      <c r="S836" s="9470"/>
      <c r="T836" s="9471"/>
      <c r="U836" s="9468"/>
      <c r="V836" s="9469"/>
      <c r="W836" s="9471"/>
      <c r="X836" s="9469"/>
      <c r="Y836" s="9471"/>
      <c r="Z836" s="9469"/>
      <c r="AA836" s="9470"/>
      <c r="AB836" s="9470"/>
      <c r="AC836" s="9470"/>
      <c r="AD836" s="9470"/>
      <c r="AE836" s="9470"/>
      <c r="AF836" s="9471"/>
      <c r="AG836" s="9469"/>
      <c r="AH836" s="9470"/>
      <c r="AI836" s="9470"/>
      <c r="AJ836" s="9470"/>
      <c r="AK836" s="9470"/>
      <c r="AL836" s="9470"/>
      <c r="AM836" s="9470"/>
      <c r="AN836" s="9471"/>
      <c r="AO836" s="9469"/>
      <c r="AP836" s="9470"/>
      <c r="AQ836" s="9470"/>
      <c r="AR836" s="9470"/>
      <c r="AS836" s="9470"/>
      <c r="AT836" s="9471"/>
      <c r="AU836" s="10223"/>
      <c r="AV836" s="10223"/>
      <c r="AW836" s="10223"/>
      <c r="AX836" s="10220"/>
      <c r="AY836" s="10222"/>
      <c r="AZ836" s="10223"/>
      <c r="BA836" s="10220"/>
      <c r="BB836" s="10221"/>
      <c r="BC836" s="10222"/>
      <c r="BD836" s="10224"/>
      <c r="BF836" s="14524"/>
      <c r="BG836" s="14524"/>
      <c r="BH836" s="14524"/>
      <c r="BI836" s="14524"/>
      <c r="BJ836" s="14524"/>
      <c r="BK836" s="10218"/>
      <c r="BL836" s="14524"/>
      <c r="BM836" s="14524"/>
      <c r="BN836" s="14524"/>
    </row>
    <row r="837" spans="1:66" ht="29.25" hidden="1" customHeight="1">
      <c r="A837" s="13662"/>
      <c r="B837" s="14171"/>
      <c r="C837" s="13598"/>
      <c r="D837" s="12304" t="s">
        <v>10063</v>
      </c>
      <c r="E837" s="12302"/>
      <c r="F837" s="12303" t="s">
        <v>9566</v>
      </c>
      <c r="G837" s="14172"/>
      <c r="H837" s="13415"/>
      <c r="I837" s="14193"/>
      <c r="K837" s="10220"/>
      <c r="L837" s="9465"/>
      <c r="M837" s="9465"/>
      <c r="N837" s="10221"/>
      <c r="O837" s="10221"/>
      <c r="P837" s="10222"/>
      <c r="Q837" s="9468"/>
      <c r="R837" s="9469"/>
      <c r="S837" s="9470"/>
      <c r="T837" s="9471"/>
      <c r="U837" s="9468"/>
      <c r="V837" s="9469"/>
      <c r="W837" s="9471"/>
      <c r="X837" s="9469"/>
      <c r="Y837" s="9471"/>
      <c r="Z837" s="9469"/>
      <c r="AA837" s="9470"/>
      <c r="AB837" s="9470"/>
      <c r="AC837" s="9470"/>
      <c r="AD837" s="9470"/>
      <c r="AE837" s="9470"/>
      <c r="AF837" s="9471"/>
      <c r="AG837" s="9469"/>
      <c r="AH837" s="9470"/>
      <c r="AI837" s="9470"/>
      <c r="AJ837" s="9470"/>
      <c r="AK837" s="9470"/>
      <c r="AL837" s="9470"/>
      <c r="AM837" s="9470"/>
      <c r="AN837" s="9471"/>
      <c r="AO837" s="9469"/>
      <c r="AP837" s="9470"/>
      <c r="AQ837" s="9470"/>
      <c r="AR837" s="9470"/>
      <c r="AS837" s="9470"/>
      <c r="AT837" s="9471"/>
      <c r="AU837" s="10223"/>
      <c r="AV837" s="10223"/>
      <c r="AW837" s="10223"/>
      <c r="AX837" s="10220"/>
      <c r="AY837" s="10222"/>
      <c r="AZ837" s="10223"/>
      <c r="BA837" s="10220"/>
      <c r="BB837" s="10221"/>
      <c r="BC837" s="10222"/>
      <c r="BD837" s="10224"/>
      <c r="BF837" s="14524"/>
      <c r="BG837" s="14524"/>
      <c r="BH837" s="14524"/>
      <c r="BI837" s="14524"/>
      <c r="BJ837" s="14524"/>
      <c r="BK837" s="10218"/>
      <c r="BL837" s="14524"/>
      <c r="BM837" s="14524"/>
      <c r="BN837" s="14524"/>
    </row>
    <row r="838" spans="1:66" ht="29.25" hidden="1" customHeight="1">
      <c r="A838" s="13662">
        <v>523</v>
      </c>
      <c r="B838" s="14171" t="s">
        <v>8099</v>
      </c>
      <c r="C838" s="13598"/>
      <c r="D838" s="12301" t="s">
        <v>10072</v>
      </c>
      <c r="E838" s="12302" t="s">
        <v>1029</v>
      </c>
      <c r="F838" s="7826"/>
      <c r="G838" s="14172" t="s">
        <v>1192</v>
      </c>
      <c r="H838" s="13415" t="s">
        <v>1193</v>
      </c>
      <c r="I838" s="14192">
        <v>3</v>
      </c>
      <c r="K838" s="10213"/>
      <c r="L838" s="9465"/>
      <c r="M838" s="9465"/>
      <c r="N838" s="10214"/>
      <c r="O838" s="10214"/>
      <c r="P838" s="10215"/>
      <c r="Q838" s="9468"/>
      <c r="R838" s="9469"/>
      <c r="S838" s="9470"/>
      <c r="T838" s="9471"/>
      <c r="U838" s="9468"/>
      <c r="V838" s="9469"/>
      <c r="W838" s="9471"/>
      <c r="X838" s="9469"/>
      <c r="Y838" s="9471"/>
      <c r="Z838" s="9469"/>
      <c r="AA838" s="9470"/>
      <c r="AB838" s="9470"/>
      <c r="AC838" s="9470"/>
      <c r="AD838" s="9470"/>
      <c r="AE838" s="9470"/>
      <c r="AF838" s="9471"/>
      <c r="AG838" s="9469"/>
      <c r="AH838" s="9470"/>
      <c r="AI838" s="9470"/>
      <c r="AJ838" s="9470"/>
      <c r="AK838" s="9470"/>
      <c r="AL838" s="9470"/>
      <c r="AM838" s="9470"/>
      <c r="AN838" s="9471"/>
      <c r="AO838" s="9469"/>
      <c r="AP838" s="9470"/>
      <c r="AQ838" s="9470"/>
      <c r="AR838" s="9470"/>
      <c r="AS838" s="9470"/>
      <c r="AT838" s="9471"/>
      <c r="AU838" s="10216"/>
      <c r="AV838" s="10216"/>
      <c r="AW838" s="10216"/>
      <c r="AX838" s="10213"/>
      <c r="AY838" s="10215"/>
      <c r="AZ838" s="10216"/>
      <c r="BA838" s="10213"/>
      <c r="BB838" s="10214"/>
      <c r="BC838" s="10215"/>
      <c r="BD838" s="10217"/>
      <c r="BF838" s="14524"/>
      <c r="BG838" s="14524"/>
      <c r="BH838" s="14524"/>
      <c r="BI838" s="14524"/>
      <c r="BJ838" s="14524"/>
      <c r="BK838" s="10218"/>
      <c r="BL838" s="14524"/>
      <c r="BM838" s="14524"/>
      <c r="BN838" s="14524"/>
    </row>
    <row r="839" spans="1:66" ht="29.25" hidden="1" customHeight="1">
      <c r="A839" s="13662"/>
      <c r="B839" s="14171"/>
      <c r="C839" s="13598"/>
      <c r="D839" s="12301" t="s">
        <v>2896</v>
      </c>
      <c r="E839" s="12302"/>
      <c r="F839" s="7826" t="s">
        <v>1190</v>
      </c>
      <c r="G839" s="14172"/>
      <c r="H839" s="13415"/>
      <c r="I839" s="14192"/>
      <c r="K839" s="10213"/>
      <c r="L839" s="9465"/>
      <c r="M839" s="9465"/>
      <c r="N839" s="10214"/>
      <c r="O839" s="10214"/>
      <c r="P839" s="10215"/>
      <c r="Q839" s="9468"/>
      <c r="R839" s="9469"/>
      <c r="S839" s="9470"/>
      <c r="T839" s="9471"/>
      <c r="U839" s="9468"/>
      <c r="V839" s="9469"/>
      <c r="W839" s="9471"/>
      <c r="X839" s="9469"/>
      <c r="Y839" s="9471"/>
      <c r="Z839" s="9469"/>
      <c r="AA839" s="9470"/>
      <c r="AB839" s="9470"/>
      <c r="AC839" s="9470"/>
      <c r="AD839" s="9470"/>
      <c r="AE839" s="9470"/>
      <c r="AF839" s="9471"/>
      <c r="AG839" s="9469"/>
      <c r="AH839" s="9470"/>
      <c r="AI839" s="9470"/>
      <c r="AJ839" s="9470"/>
      <c r="AK839" s="9470"/>
      <c r="AL839" s="9470"/>
      <c r="AM839" s="9470"/>
      <c r="AN839" s="9471"/>
      <c r="AO839" s="9469"/>
      <c r="AP839" s="9470"/>
      <c r="AQ839" s="9470"/>
      <c r="AR839" s="9470"/>
      <c r="AS839" s="9470"/>
      <c r="AT839" s="9471"/>
      <c r="AU839" s="10216"/>
      <c r="AV839" s="10216"/>
      <c r="AW839" s="10216"/>
      <c r="AX839" s="10213"/>
      <c r="AY839" s="10215"/>
      <c r="AZ839" s="10216"/>
      <c r="BA839" s="10213"/>
      <c r="BB839" s="10214"/>
      <c r="BC839" s="10215"/>
      <c r="BD839" s="10217"/>
      <c r="BF839" s="14524"/>
      <c r="BG839" s="14524"/>
      <c r="BH839" s="14524"/>
      <c r="BI839" s="14524"/>
      <c r="BJ839" s="14524"/>
      <c r="BK839" s="10218"/>
      <c r="BL839" s="14524"/>
      <c r="BM839" s="14524"/>
      <c r="BN839" s="14524"/>
    </row>
    <row r="840" spans="1:66" ht="29.25" hidden="1" customHeight="1">
      <c r="A840" s="13662"/>
      <c r="B840" s="14171"/>
      <c r="C840" s="13598"/>
      <c r="D840" s="12301" t="s">
        <v>218</v>
      </c>
      <c r="E840" s="12302"/>
      <c r="F840" s="7826" t="s">
        <v>7130</v>
      </c>
      <c r="G840" s="14172"/>
      <c r="H840" s="13415"/>
      <c r="I840" s="14192"/>
      <c r="K840" s="10213"/>
      <c r="L840" s="9465"/>
      <c r="M840" s="9465"/>
      <c r="N840" s="10214"/>
      <c r="O840" s="10214"/>
      <c r="P840" s="10215"/>
      <c r="Q840" s="9468"/>
      <c r="R840" s="9469"/>
      <c r="S840" s="9470"/>
      <c r="T840" s="9471"/>
      <c r="U840" s="9468"/>
      <c r="V840" s="9469"/>
      <c r="W840" s="9471"/>
      <c r="X840" s="9469"/>
      <c r="Y840" s="9471"/>
      <c r="Z840" s="9469"/>
      <c r="AA840" s="9470"/>
      <c r="AB840" s="9470"/>
      <c r="AC840" s="9470"/>
      <c r="AD840" s="9470"/>
      <c r="AE840" s="9470"/>
      <c r="AF840" s="9471"/>
      <c r="AG840" s="9469"/>
      <c r="AH840" s="9470"/>
      <c r="AI840" s="9470"/>
      <c r="AJ840" s="9470"/>
      <c r="AK840" s="9470"/>
      <c r="AL840" s="9470"/>
      <c r="AM840" s="9470"/>
      <c r="AN840" s="9471"/>
      <c r="AO840" s="9469"/>
      <c r="AP840" s="9470"/>
      <c r="AQ840" s="9470"/>
      <c r="AR840" s="9470"/>
      <c r="AS840" s="9470"/>
      <c r="AT840" s="9471"/>
      <c r="AU840" s="10216"/>
      <c r="AV840" s="10216"/>
      <c r="AW840" s="10216"/>
      <c r="AX840" s="10213"/>
      <c r="AY840" s="10215"/>
      <c r="AZ840" s="10216"/>
      <c r="BA840" s="10213"/>
      <c r="BB840" s="10214"/>
      <c r="BC840" s="10215"/>
      <c r="BD840" s="10217"/>
      <c r="BF840" s="14524"/>
      <c r="BG840" s="14524"/>
      <c r="BH840" s="14524"/>
      <c r="BI840" s="14524"/>
      <c r="BJ840" s="14524"/>
      <c r="BK840" s="10218"/>
      <c r="BL840" s="14524"/>
      <c r="BM840" s="14524"/>
      <c r="BN840" s="14524"/>
    </row>
    <row r="841" spans="1:66" ht="29.25" hidden="1" customHeight="1">
      <c r="A841" s="13662">
        <v>524</v>
      </c>
      <c r="B841" s="14171" t="s">
        <v>8100</v>
      </c>
      <c r="C841" s="13598"/>
      <c r="D841" s="12301" t="s">
        <v>10072</v>
      </c>
      <c r="E841" s="12302" t="s">
        <v>968</v>
      </c>
      <c r="F841" s="7826"/>
      <c r="G841" s="14172" t="s">
        <v>9798</v>
      </c>
      <c r="H841" s="13415" t="s">
        <v>1195</v>
      </c>
      <c r="I841" s="14192">
        <v>7</v>
      </c>
      <c r="K841" s="10213"/>
      <c r="L841" s="9465"/>
      <c r="M841" s="9465"/>
      <c r="N841" s="10214"/>
      <c r="O841" s="10214"/>
      <c r="P841" s="10215"/>
      <c r="Q841" s="9468"/>
      <c r="R841" s="9469"/>
      <c r="S841" s="9470"/>
      <c r="T841" s="9471"/>
      <c r="U841" s="9468"/>
      <c r="V841" s="9469"/>
      <c r="W841" s="9471"/>
      <c r="X841" s="9469"/>
      <c r="Y841" s="9471"/>
      <c r="Z841" s="9469"/>
      <c r="AA841" s="9470"/>
      <c r="AB841" s="9470"/>
      <c r="AC841" s="9470"/>
      <c r="AD841" s="9470"/>
      <c r="AE841" s="9470"/>
      <c r="AF841" s="9471"/>
      <c r="AG841" s="9469"/>
      <c r="AH841" s="9470"/>
      <c r="AI841" s="9470"/>
      <c r="AJ841" s="9470"/>
      <c r="AK841" s="9470"/>
      <c r="AL841" s="9470"/>
      <c r="AM841" s="9470"/>
      <c r="AN841" s="9471"/>
      <c r="AO841" s="9469"/>
      <c r="AP841" s="9470"/>
      <c r="AQ841" s="9470"/>
      <c r="AR841" s="9470"/>
      <c r="AS841" s="9470"/>
      <c r="AT841" s="9471"/>
      <c r="AU841" s="10216"/>
      <c r="AV841" s="10216"/>
      <c r="AW841" s="10216"/>
      <c r="AX841" s="10213"/>
      <c r="AY841" s="10215"/>
      <c r="AZ841" s="10216"/>
      <c r="BA841" s="10213"/>
      <c r="BB841" s="10214"/>
      <c r="BC841" s="10215"/>
      <c r="BD841" s="10217"/>
      <c r="BF841" s="14524"/>
      <c r="BG841" s="14524"/>
      <c r="BH841" s="14524"/>
      <c r="BI841" s="14524"/>
      <c r="BJ841" s="14524"/>
      <c r="BK841" s="10218"/>
      <c r="BL841" s="14524"/>
      <c r="BM841" s="14524"/>
      <c r="BN841" s="14524"/>
    </row>
    <row r="842" spans="1:66" ht="29.25" hidden="1" customHeight="1">
      <c r="A842" s="13662"/>
      <c r="B842" s="14171"/>
      <c r="C842" s="13598"/>
      <c r="D842" s="12301" t="s">
        <v>2896</v>
      </c>
      <c r="E842" s="12302"/>
      <c r="F842" s="7826" t="s">
        <v>1190</v>
      </c>
      <c r="G842" s="14172"/>
      <c r="H842" s="13415"/>
      <c r="I842" s="14192"/>
      <c r="K842" s="10213"/>
      <c r="L842" s="9465"/>
      <c r="M842" s="9465"/>
      <c r="N842" s="10214"/>
      <c r="O842" s="10214"/>
      <c r="P842" s="10215"/>
      <c r="Q842" s="9468"/>
      <c r="R842" s="9469"/>
      <c r="S842" s="9470"/>
      <c r="T842" s="9471"/>
      <c r="U842" s="9468"/>
      <c r="V842" s="9469"/>
      <c r="W842" s="9471"/>
      <c r="X842" s="9469"/>
      <c r="Y842" s="9471"/>
      <c r="Z842" s="9469"/>
      <c r="AA842" s="9470"/>
      <c r="AB842" s="9470"/>
      <c r="AC842" s="9470"/>
      <c r="AD842" s="9470"/>
      <c r="AE842" s="9470"/>
      <c r="AF842" s="9471"/>
      <c r="AG842" s="9469"/>
      <c r="AH842" s="9470"/>
      <c r="AI842" s="9470"/>
      <c r="AJ842" s="9470"/>
      <c r="AK842" s="9470"/>
      <c r="AL842" s="9470"/>
      <c r="AM842" s="9470"/>
      <c r="AN842" s="9471"/>
      <c r="AO842" s="9469"/>
      <c r="AP842" s="9470"/>
      <c r="AQ842" s="9470"/>
      <c r="AR842" s="9470"/>
      <c r="AS842" s="9470"/>
      <c r="AT842" s="9471"/>
      <c r="AU842" s="10216"/>
      <c r="AV842" s="10216"/>
      <c r="AW842" s="10216"/>
      <c r="AX842" s="10213"/>
      <c r="AY842" s="10215"/>
      <c r="AZ842" s="10216"/>
      <c r="BA842" s="10213"/>
      <c r="BB842" s="10214"/>
      <c r="BC842" s="10215"/>
      <c r="BD842" s="10217"/>
      <c r="BF842" s="14524"/>
      <c r="BG842" s="14524"/>
      <c r="BH842" s="14524"/>
      <c r="BI842" s="14524"/>
      <c r="BJ842" s="14524"/>
      <c r="BK842" s="10218"/>
      <c r="BL842" s="14524"/>
      <c r="BM842" s="14524"/>
      <c r="BN842" s="14524"/>
    </row>
    <row r="843" spans="1:66" ht="29.25" hidden="1" customHeight="1">
      <c r="A843" s="13662">
        <v>525</v>
      </c>
      <c r="B843" s="14171" t="s">
        <v>8101</v>
      </c>
      <c r="C843" s="13598"/>
      <c r="D843" s="12301" t="s">
        <v>10072</v>
      </c>
      <c r="E843" s="12302" t="s">
        <v>968</v>
      </c>
      <c r="F843" s="7826"/>
      <c r="G843" s="14172" t="s">
        <v>1197</v>
      </c>
      <c r="H843" s="13415" t="s">
        <v>1198</v>
      </c>
      <c r="I843" s="14192">
        <v>20</v>
      </c>
      <c r="K843" s="10213"/>
      <c r="L843" s="9465"/>
      <c r="M843" s="9465"/>
      <c r="N843" s="10214"/>
      <c r="O843" s="10214"/>
      <c r="P843" s="10215"/>
      <c r="Q843" s="9468"/>
      <c r="R843" s="9469"/>
      <c r="S843" s="9470"/>
      <c r="T843" s="9471"/>
      <c r="U843" s="9468"/>
      <c r="V843" s="9469"/>
      <c r="W843" s="9471"/>
      <c r="X843" s="9469"/>
      <c r="Y843" s="9471"/>
      <c r="Z843" s="9469"/>
      <c r="AA843" s="9470"/>
      <c r="AB843" s="9470"/>
      <c r="AC843" s="9470"/>
      <c r="AD843" s="9470"/>
      <c r="AE843" s="9470"/>
      <c r="AF843" s="9471"/>
      <c r="AG843" s="9469"/>
      <c r="AH843" s="9470"/>
      <c r="AI843" s="9470"/>
      <c r="AJ843" s="9470"/>
      <c r="AK843" s="9470"/>
      <c r="AL843" s="9470"/>
      <c r="AM843" s="9470"/>
      <c r="AN843" s="9471"/>
      <c r="AO843" s="9469"/>
      <c r="AP843" s="9470"/>
      <c r="AQ843" s="9470"/>
      <c r="AR843" s="9470"/>
      <c r="AS843" s="9470"/>
      <c r="AT843" s="9471"/>
      <c r="AU843" s="10216"/>
      <c r="AV843" s="10216"/>
      <c r="AW843" s="10216"/>
      <c r="AX843" s="10213"/>
      <c r="AY843" s="10215"/>
      <c r="AZ843" s="10216"/>
      <c r="BA843" s="10213"/>
      <c r="BB843" s="10214"/>
      <c r="BC843" s="10215"/>
      <c r="BD843" s="10217"/>
      <c r="BF843" s="14524"/>
      <c r="BG843" s="14524"/>
      <c r="BH843" s="14524"/>
      <c r="BI843" s="14524"/>
      <c r="BJ843" s="14524"/>
      <c r="BK843" s="10218"/>
      <c r="BL843" s="14524"/>
      <c r="BM843" s="14524"/>
      <c r="BN843" s="14524"/>
    </row>
    <row r="844" spans="1:66" ht="29.25" hidden="1" customHeight="1">
      <c r="A844" s="13662"/>
      <c r="B844" s="14171"/>
      <c r="C844" s="13598"/>
      <c r="D844" s="12301" t="s">
        <v>2896</v>
      </c>
      <c r="E844" s="12302"/>
      <c r="F844" s="7826" t="s">
        <v>1190</v>
      </c>
      <c r="G844" s="14172"/>
      <c r="H844" s="13415"/>
      <c r="I844" s="14192"/>
      <c r="K844" s="10213"/>
      <c r="L844" s="9465"/>
      <c r="M844" s="9465"/>
      <c r="N844" s="10214"/>
      <c r="O844" s="10214"/>
      <c r="P844" s="10215"/>
      <c r="Q844" s="9468"/>
      <c r="R844" s="9469"/>
      <c r="S844" s="9470"/>
      <c r="T844" s="9471"/>
      <c r="U844" s="9468"/>
      <c r="V844" s="9469"/>
      <c r="W844" s="9471"/>
      <c r="X844" s="9469"/>
      <c r="Y844" s="9471"/>
      <c r="Z844" s="9469"/>
      <c r="AA844" s="9470"/>
      <c r="AB844" s="9470"/>
      <c r="AC844" s="9470"/>
      <c r="AD844" s="9470"/>
      <c r="AE844" s="9470"/>
      <c r="AF844" s="9471"/>
      <c r="AG844" s="9469"/>
      <c r="AH844" s="9470"/>
      <c r="AI844" s="9470"/>
      <c r="AJ844" s="9470"/>
      <c r="AK844" s="9470"/>
      <c r="AL844" s="9470"/>
      <c r="AM844" s="9470"/>
      <c r="AN844" s="9471"/>
      <c r="AO844" s="9469"/>
      <c r="AP844" s="9470"/>
      <c r="AQ844" s="9470"/>
      <c r="AR844" s="9470"/>
      <c r="AS844" s="9470"/>
      <c r="AT844" s="9471"/>
      <c r="AU844" s="10216"/>
      <c r="AV844" s="10216"/>
      <c r="AW844" s="10216"/>
      <c r="AX844" s="10213"/>
      <c r="AY844" s="10215"/>
      <c r="AZ844" s="10216"/>
      <c r="BA844" s="10213"/>
      <c r="BB844" s="10214"/>
      <c r="BC844" s="10215"/>
      <c r="BD844" s="10217"/>
      <c r="BF844" s="14524"/>
      <c r="BG844" s="14524"/>
      <c r="BH844" s="14524"/>
      <c r="BI844" s="14524"/>
      <c r="BJ844" s="14524"/>
      <c r="BK844" s="10218"/>
      <c r="BL844" s="14524"/>
      <c r="BM844" s="14524"/>
      <c r="BN844" s="14524"/>
    </row>
    <row r="845" spans="1:66" ht="29.25" hidden="1" customHeight="1">
      <c r="A845" s="13662">
        <v>526</v>
      </c>
      <c r="B845" s="14171" t="s">
        <v>8102</v>
      </c>
      <c r="C845" s="13598"/>
      <c r="D845" s="12301" t="s">
        <v>10072</v>
      </c>
      <c r="E845" s="12302" t="s">
        <v>968</v>
      </c>
      <c r="F845" s="7826"/>
      <c r="G845" s="14172" t="s">
        <v>1199</v>
      </c>
      <c r="H845" s="13415" t="s">
        <v>1200</v>
      </c>
      <c r="I845" s="14193">
        <v>0.75</v>
      </c>
      <c r="K845" s="10220"/>
      <c r="L845" s="9465"/>
      <c r="M845" s="9465"/>
      <c r="N845" s="10221"/>
      <c r="O845" s="10221"/>
      <c r="P845" s="10222"/>
      <c r="Q845" s="9468"/>
      <c r="R845" s="9469"/>
      <c r="S845" s="9470"/>
      <c r="T845" s="9471"/>
      <c r="U845" s="9468"/>
      <c r="V845" s="9469"/>
      <c r="W845" s="9471"/>
      <c r="X845" s="9469"/>
      <c r="Y845" s="9471"/>
      <c r="Z845" s="9469"/>
      <c r="AA845" s="9470"/>
      <c r="AB845" s="9470"/>
      <c r="AC845" s="9470"/>
      <c r="AD845" s="9470"/>
      <c r="AE845" s="9470"/>
      <c r="AF845" s="9471"/>
      <c r="AG845" s="9469"/>
      <c r="AH845" s="9470"/>
      <c r="AI845" s="9470"/>
      <c r="AJ845" s="9470"/>
      <c r="AK845" s="9470"/>
      <c r="AL845" s="9470"/>
      <c r="AM845" s="9470"/>
      <c r="AN845" s="9471"/>
      <c r="AO845" s="9469"/>
      <c r="AP845" s="9470"/>
      <c r="AQ845" s="9470"/>
      <c r="AR845" s="9470"/>
      <c r="AS845" s="9470"/>
      <c r="AT845" s="9471"/>
      <c r="AU845" s="10223"/>
      <c r="AV845" s="10223"/>
      <c r="AW845" s="10223"/>
      <c r="AX845" s="10220"/>
      <c r="AY845" s="10222"/>
      <c r="AZ845" s="10223"/>
      <c r="BA845" s="10220"/>
      <c r="BB845" s="10221"/>
      <c r="BC845" s="10222"/>
      <c r="BD845" s="10224"/>
      <c r="BF845" s="14524"/>
      <c r="BG845" s="14524"/>
      <c r="BH845" s="14524"/>
      <c r="BI845" s="14524"/>
      <c r="BJ845" s="14524"/>
      <c r="BK845" s="10218"/>
      <c r="BL845" s="14524"/>
      <c r="BM845" s="14524"/>
      <c r="BN845" s="14524"/>
    </row>
    <row r="846" spans="1:66" ht="29.25" hidden="1" customHeight="1">
      <c r="A846" s="13662"/>
      <c r="B846" s="14171"/>
      <c r="C846" s="13598"/>
      <c r="D846" s="12301" t="s">
        <v>2896</v>
      </c>
      <c r="E846" s="12302"/>
      <c r="F846" s="7826" t="s">
        <v>1190</v>
      </c>
      <c r="G846" s="14172"/>
      <c r="H846" s="13415"/>
      <c r="I846" s="14193"/>
      <c r="K846" s="10220"/>
      <c r="L846" s="9465"/>
      <c r="M846" s="9465"/>
      <c r="N846" s="10221"/>
      <c r="O846" s="10221"/>
      <c r="P846" s="10222"/>
      <c r="Q846" s="9468"/>
      <c r="R846" s="9469"/>
      <c r="S846" s="9470"/>
      <c r="T846" s="9471"/>
      <c r="U846" s="9468"/>
      <c r="V846" s="9469"/>
      <c r="W846" s="9471"/>
      <c r="X846" s="9469"/>
      <c r="Y846" s="9471"/>
      <c r="Z846" s="9469"/>
      <c r="AA846" s="9470"/>
      <c r="AB846" s="9470"/>
      <c r="AC846" s="9470"/>
      <c r="AD846" s="9470"/>
      <c r="AE846" s="9470"/>
      <c r="AF846" s="9471"/>
      <c r="AG846" s="9469"/>
      <c r="AH846" s="9470"/>
      <c r="AI846" s="9470"/>
      <c r="AJ846" s="9470"/>
      <c r="AK846" s="9470"/>
      <c r="AL846" s="9470"/>
      <c r="AM846" s="9470"/>
      <c r="AN846" s="9471"/>
      <c r="AO846" s="9469"/>
      <c r="AP846" s="9470"/>
      <c r="AQ846" s="9470"/>
      <c r="AR846" s="9470"/>
      <c r="AS846" s="9470"/>
      <c r="AT846" s="9471"/>
      <c r="AU846" s="10223"/>
      <c r="AV846" s="10223"/>
      <c r="AW846" s="10223"/>
      <c r="AX846" s="10220"/>
      <c r="AY846" s="10222"/>
      <c r="AZ846" s="10223"/>
      <c r="BA846" s="10220"/>
      <c r="BB846" s="10221"/>
      <c r="BC846" s="10222"/>
      <c r="BD846" s="10224"/>
      <c r="BF846" s="14524"/>
      <c r="BG846" s="14524"/>
      <c r="BH846" s="14524"/>
      <c r="BI846" s="14524"/>
      <c r="BJ846" s="14524"/>
      <c r="BK846" s="10218"/>
      <c r="BL846" s="14524"/>
      <c r="BM846" s="14524"/>
      <c r="BN846" s="14524"/>
    </row>
    <row r="847" spans="1:66" ht="29.25" hidden="1" customHeight="1">
      <c r="A847" s="13662">
        <v>527</v>
      </c>
      <c r="B847" s="14171" t="s">
        <v>8103</v>
      </c>
      <c r="C847" s="13598"/>
      <c r="D847" s="12301" t="s">
        <v>10072</v>
      </c>
      <c r="E847" s="12302" t="s">
        <v>968</v>
      </c>
      <c r="F847" s="7826"/>
      <c r="G847" s="14172" t="s">
        <v>1201</v>
      </c>
      <c r="H847" s="13415" t="s">
        <v>1202</v>
      </c>
      <c r="I847" s="14192">
        <v>15</v>
      </c>
      <c r="K847" s="10213"/>
      <c r="L847" s="9465"/>
      <c r="M847" s="9465"/>
      <c r="N847" s="10214"/>
      <c r="O847" s="10214"/>
      <c r="P847" s="10215"/>
      <c r="Q847" s="9468"/>
      <c r="R847" s="9469"/>
      <c r="S847" s="9470"/>
      <c r="T847" s="9471"/>
      <c r="U847" s="9468"/>
      <c r="V847" s="9469"/>
      <c r="W847" s="9471"/>
      <c r="X847" s="9469"/>
      <c r="Y847" s="9471"/>
      <c r="Z847" s="9469"/>
      <c r="AA847" s="9470"/>
      <c r="AB847" s="9470"/>
      <c r="AC847" s="9470"/>
      <c r="AD847" s="9470"/>
      <c r="AE847" s="9470"/>
      <c r="AF847" s="9471"/>
      <c r="AG847" s="9469"/>
      <c r="AH847" s="9470"/>
      <c r="AI847" s="9470"/>
      <c r="AJ847" s="9470"/>
      <c r="AK847" s="9470"/>
      <c r="AL847" s="9470"/>
      <c r="AM847" s="9470"/>
      <c r="AN847" s="9471"/>
      <c r="AO847" s="9469"/>
      <c r="AP847" s="9470"/>
      <c r="AQ847" s="9470"/>
      <c r="AR847" s="9470"/>
      <c r="AS847" s="9470"/>
      <c r="AT847" s="9471"/>
      <c r="AU847" s="10216"/>
      <c r="AV847" s="10216"/>
      <c r="AW847" s="10216"/>
      <c r="AX847" s="10213"/>
      <c r="AY847" s="10215"/>
      <c r="AZ847" s="10216"/>
      <c r="BA847" s="10213"/>
      <c r="BB847" s="10214"/>
      <c r="BC847" s="10215"/>
      <c r="BD847" s="10217"/>
      <c r="BF847" s="14524"/>
      <c r="BG847" s="14524"/>
      <c r="BH847" s="14524"/>
      <c r="BI847" s="14524"/>
      <c r="BJ847" s="14524"/>
      <c r="BK847" s="10218"/>
      <c r="BL847" s="14524"/>
      <c r="BM847" s="14524"/>
      <c r="BN847" s="14524"/>
    </row>
    <row r="848" spans="1:66" ht="29.25" hidden="1" customHeight="1">
      <c r="A848" s="13662"/>
      <c r="B848" s="14171"/>
      <c r="C848" s="13598"/>
      <c r="D848" s="12301" t="s">
        <v>2896</v>
      </c>
      <c r="E848" s="12302"/>
      <c r="F848" s="7826" t="s">
        <v>1190</v>
      </c>
      <c r="G848" s="14172"/>
      <c r="H848" s="13415"/>
      <c r="I848" s="14192"/>
      <c r="K848" s="10213"/>
      <c r="L848" s="9465"/>
      <c r="M848" s="9465"/>
      <c r="N848" s="10214"/>
      <c r="O848" s="10214"/>
      <c r="P848" s="10215"/>
      <c r="Q848" s="9468"/>
      <c r="R848" s="9469"/>
      <c r="S848" s="9470"/>
      <c r="T848" s="9471"/>
      <c r="U848" s="9468"/>
      <c r="V848" s="9469"/>
      <c r="W848" s="9471"/>
      <c r="X848" s="9469"/>
      <c r="Y848" s="9471"/>
      <c r="Z848" s="9469"/>
      <c r="AA848" s="9470"/>
      <c r="AB848" s="9470"/>
      <c r="AC848" s="9470"/>
      <c r="AD848" s="9470"/>
      <c r="AE848" s="9470"/>
      <c r="AF848" s="9471"/>
      <c r="AG848" s="9469"/>
      <c r="AH848" s="9470"/>
      <c r="AI848" s="9470"/>
      <c r="AJ848" s="9470"/>
      <c r="AK848" s="9470"/>
      <c r="AL848" s="9470"/>
      <c r="AM848" s="9470"/>
      <c r="AN848" s="9471"/>
      <c r="AO848" s="9469"/>
      <c r="AP848" s="9470"/>
      <c r="AQ848" s="9470"/>
      <c r="AR848" s="9470"/>
      <c r="AS848" s="9470"/>
      <c r="AT848" s="9471"/>
      <c r="AU848" s="10216"/>
      <c r="AV848" s="10216"/>
      <c r="AW848" s="10216"/>
      <c r="AX848" s="10213"/>
      <c r="AY848" s="10215"/>
      <c r="AZ848" s="10216"/>
      <c r="BA848" s="10213"/>
      <c r="BB848" s="10214"/>
      <c r="BC848" s="10215"/>
      <c r="BD848" s="10217"/>
      <c r="BF848" s="14524"/>
      <c r="BG848" s="14524"/>
      <c r="BH848" s="14524"/>
      <c r="BI848" s="14524"/>
      <c r="BJ848" s="14524"/>
      <c r="BK848" s="10218"/>
      <c r="BL848" s="14524"/>
      <c r="BM848" s="14524"/>
      <c r="BN848" s="14524"/>
    </row>
    <row r="849" spans="1:66" ht="29.25" customHeight="1">
      <c r="A849" s="13662"/>
      <c r="B849" s="14171"/>
      <c r="C849" s="13598"/>
      <c r="D849" s="12301" t="s">
        <v>86</v>
      </c>
      <c r="E849" s="12302"/>
      <c r="F849" s="7826" t="s">
        <v>9568</v>
      </c>
      <c r="G849" s="14172"/>
      <c r="H849" s="13415"/>
      <c r="I849" s="14192"/>
      <c r="K849" s="10212"/>
      <c r="L849" s="9465"/>
      <c r="M849" s="9465"/>
      <c r="N849" s="10214"/>
      <c r="O849" s="10214"/>
      <c r="P849" s="10368" t="s">
        <v>2861</v>
      </c>
      <c r="Q849" s="9468"/>
      <c r="R849" s="9469"/>
      <c r="S849" s="9470"/>
      <c r="T849" s="9471"/>
      <c r="U849" s="9468"/>
      <c r="V849" s="9469"/>
      <c r="W849" s="9471"/>
      <c r="X849" s="9469"/>
      <c r="Y849" s="9471"/>
      <c r="Z849" s="9469"/>
      <c r="AA849" s="9470"/>
      <c r="AB849" s="9470"/>
      <c r="AC849" s="9470"/>
      <c r="AD849" s="9470"/>
      <c r="AE849" s="9470"/>
      <c r="AF849" s="9471"/>
      <c r="AG849" s="9469"/>
      <c r="AH849" s="9470"/>
      <c r="AI849" s="9470"/>
      <c r="AJ849" s="9470"/>
      <c r="AK849" s="9470"/>
      <c r="AL849" s="9470"/>
      <c r="AM849" s="9470"/>
      <c r="AN849" s="9471"/>
      <c r="AO849" s="9469"/>
      <c r="AP849" s="9470"/>
      <c r="AQ849" s="9470"/>
      <c r="AR849" s="9470"/>
      <c r="AS849" s="9470"/>
      <c r="AT849" s="9471"/>
      <c r="AU849" s="10216"/>
      <c r="AV849" s="10216"/>
      <c r="AW849" s="10216"/>
      <c r="AX849" s="10213"/>
      <c r="AY849" s="10215"/>
      <c r="AZ849" s="10216"/>
      <c r="BA849" s="10213"/>
      <c r="BB849" s="10214"/>
      <c r="BC849" s="10215"/>
      <c r="BD849" s="10217"/>
      <c r="BF849" s="14524"/>
      <c r="BG849" s="14524"/>
      <c r="BH849" s="14524"/>
      <c r="BI849" s="14524"/>
      <c r="BJ849" s="14524"/>
      <c r="BK849" s="13076"/>
      <c r="BL849" s="14524"/>
      <c r="BM849" s="14524"/>
      <c r="BN849" s="14524"/>
    </row>
    <row r="850" spans="1:66" ht="29.25" hidden="1" customHeight="1" thickBot="1">
      <c r="A850" s="10225">
        <v>528</v>
      </c>
      <c r="B850" s="10226" t="s">
        <v>8104</v>
      </c>
      <c r="C850" s="13598"/>
      <c r="D850" s="12305" t="s">
        <v>10072</v>
      </c>
      <c r="E850" s="12306" t="s">
        <v>968</v>
      </c>
      <c r="F850" s="11981"/>
      <c r="G850" s="12307" t="s">
        <v>1203</v>
      </c>
      <c r="H850" s="12308" t="s">
        <v>1204</v>
      </c>
      <c r="I850" s="12309">
        <v>8</v>
      </c>
      <c r="K850" s="10227"/>
      <c r="L850" s="9500"/>
      <c r="M850" s="9500"/>
      <c r="N850" s="6357"/>
      <c r="O850" s="6357"/>
      <c r="P850" s="10229"/>
      <c r="Q850" s="9503"/>
      <c r="R850" s="9504"/>
      <c r="S850" s="9505"/>
      <c r="T850" s="9506"/>
      <c r="U850" s="9503"/>
      <c r="V850" s="9504"/>
      <c r="W850" s="9506"/>
      <c r="X850" s="9504"/>
      <c r="Y850" s="9506"/>
      <c r="Z850" s="9504"/>
      <c r="AA850" s="9505"/>
      <c r="AB850" s="9505"/>
      <c r="AC850" s="9505"/>
      <c r="AD850" s="9505"/>
      <c r="AE850" s="9505"/>
      <c r="AF850" s="9506"/>
      <c r="AG850" s="9504"/>
      <c r="AH850" s="9505"/>
      <c r="AI850" s="9505"/>
      <c r="AJ850" s="9505"/>
      <c r="AK850" s="9505"/>
      <c r="AL850" s="9505"/>
      <c r="AM850" s="9505"/>
      <c r="AN850" s="9506"/>
      <c r="AO850" s="9504"/>
      <c r="AP850" s="9505"/>
      <c r="AQ850" s="9505"/>
      <c r="AR850" s="9505"/>
      <c r="AS850" s="9505"/>
      <c r="AT850" s="9506"/>
      <c r="AU850" s="10230"/>
      <c r="AV850" s="10230"/>
      <c r="AW850" s="10230"/>
      <c r="AX850" s="10227"/>
      <c r="AY850" s="10229"/>
      <c r="AZ850" s="10230"/>
      <c r="BA850" s="10227"/>
      <c r="BB850" s="6357"/>
      <c r="BC850" s="10229"/>
      <c r="BD850" s="10231"/>
      <c r="BF850" s="10228"/>
      <c r="BG850" s="10228"/>
      <c r="BH850" s="10228"/>
      <c r="BI850" s="10228"/>
      <c r="BJ850" s="10228"/>
      <c r="BK850" s="10228"/>
      <c r="BL850" s="10228"/>
      <c r="BM850" s="10228"/>
      <c r="BN850" s="10228"/>
    </row>
    <row r="851" spans="1:66" ht="29.25" hidden="1" customHeight="1">
      <c r="A851" s="10232">
        <v>529</v>
      </c>
      <c r="B851" s="10233" t="s">
        <v>8105</v>
      </c>
      <c r="C851" s="13598"/>
      <c r="D851" s="12310" t="s">
        <v>10072</v>
      </c>
      <c r="E851" s="12311"/>
      <c r="F851" s="12312"/>
      <c r="G851" s="12313" t="s">
        <v>1205</v>
      </c>
      <c r="H851" s="12314"/>
      <c r="I851" s="12315"/>
      <c r="K851" s="10082"/>
      <c r="L851" s="10084"/>
      <c r="M851" s="10084"/>
      <c r="N851" s="10085"/>
      <c r="O851" s="10085"/>
      <c r="P851" s="10086"/>
      <c r="Q851" s="10087"/>
      <c r="R851" s="10088"/>
      <c r="S851" s="10089"/>
      <c r="T851" s="10090"/>
      <c r="U851" s="10087"/>
      <c r="V851" s="10088"/>
      <c r="W851" s="10090"/>
      <c r="X851" s="10088"/>
      <c r="Y851" s="10090"/>
      <c r="Z851" s="10088"/>
      <c r="AA851" s="10089"/>
      <c r="AB851" s="10089"/>
      <c r="AC851" s="10089"/>
      <c r="AD851" s="10089"/>
      <c r="AE851" s="10089"/>
      <c r="AF851" s="10090"/>
      <c r="AG851" s="10088"/>
      <c r="AH851" s="10089"/>
      <c r="AI851" s="10089"/>
      <c r="AJ851" s="10089"/>
      <c r="AK851" s="10089"/>
      <c r="AL851" s="10089"/>
      <c r="AM851" s="10089"/>
      <c r="AN851" s="10090"/>
      <c r="AO851" s="10088"/>
      <c r="AP851" s="10089"/>
      <c r="AQ851" s="10089"/>
      <c r="AR851" s="10089"/>
      <c r="AS851" s="10089"/>
      <c r="AT851" s="10090"/>
      <c r="AU851" s="10091"/>
      <c r="AV851" s="10091"/>
      <c r="AW851" s="10091"/>
      <c r="AX851" s="10082"/>
      <c r="AY851" s="10086"/>
      <c r="AZ851" s="10091"/>
      <c r="BA851" s="10082"/>
      <c r="BB851" s="10085"/>
      <c r="BC851" s="10086"/>
      <c r="BD851" s="10092"/>
      <c r="BF851" s="10234"/>
      <c r="BG851" s="10234"/>
      <c r="BH851" s="10234"/>
      <c r="BI851" s="10234"/>
      <c r="BJ851" s="10234"/>
      <c r="BK851" s="10234"/>
      <c r="BL851" s="10234"/>
      <c r="BM851" s="10234"/>
      <c r="BN851" s="10234"/>
    </row>
    <row r="852" spans="1:66" ht="29.25" hidden="1" customHeight="1">
      <c r="A852" s="10093">
        <v>530</v>
      </c>
      <c r="B852" s="10094" t="s">
        <v>8106</v>
      </c>
      <c r="C852" s="13598"/>
      <c r="D852" s="11813" t="s">
        <v>10072</v>
      </c>
      <c r="E852" s="12270" t="s">
        <v>1164</v>
      </c>
      <c r="F852" s="7822"/>
      <c r="G852" s="12272" t="s">
        <v>1206</v>
      </c>
      <c r="H852" s="12273" t="s">
        <v>1189</v>
      </c>
      <c r="I852" s="11816">
        <v>7</v>
      </c>
      <c r="K852" s="8560"/>
      <c r="L852" s="8568"/>
      <c r="M852" s="8568"/>
      <c r="N852" s="8569"/>
      <c r="O852" s="8569"/>
      <c r="P852" s="8570"/>
      <c r="Q852" s="8571"/>
      <c r="R852" s="8572"/>
      <c r="S852" s="8573"/>
      <c r="T852" s="8574"/>
      <c r="U852" s="8571"/>
      <c r="V852" s="8572"/>
      <c r="W852" s="8574"/>
      <c r="X852" s="8572"/>
      <c r="Y852" s="8574"/>
      <c r="Z852" s="8572"/>
      <c r="AA852" s="8573"/>
      <c r="AB852" s="8573"/>
      <c r="AC852" s="8573"/>
      <c r="AD852" s="8573"/>
      <c r="AE852" s="8573"/>
      <c r="AF852" s="8574"/>
      <c r="AG852" s="8572"/>
      <c r="AH852" s="8573"/>
      <c r="AI852" s="8573"/>
      <c r="AJ852" s="8573"/>
      <c r="AK852" s="8573"/>
      <c r="AL852" s="8573"/>
      <c r="AM852" s="8573"/>
      <c r="AN852" s="8574"/>
      <c r="AO852" s="8572"/>
      <c r="AP852" s="8573"/>
      <c r="AQ852" s="8573"/>
      <c r="AR852" s="8573"/>
      <c r="AS852" s="8573"/>
      <c r="AT852" s="8574"/>
      <c r="AU852" s="8575"/>
      <c r="AV852" s="8575"/>
      <c r="AW852" s="8575"/>
      <c r="AX852" s="8560"/>
      <c r="AY852" s="8570"/>
      <c r="AZ852" s="8575"/>
      <c r="BA852" s="8560"/>
      <c r="BB852" s="8569"/>
      <c r="BC852" s="8570"/>
      <c r="BD852" s="8566"/>
      <c r="BF852" s="10095"/>
      <c r="BG852" s="10095"/>
      <c r="BH852" s="10095"/>
      <c r="BI852" s="10095"/>
      <c r="BJ852" s="10095"/>
      <c r="BK852" s="10095"/>
      <c r="BL852" s="10095"/>
      <c r="BM852" s="10095"/>
      <c r="BN852" s="10095"/>
    </row>
    <row r="853" spans="1:66" ht="29.25" hidden="1" customHeight="1">
      <c r="A853" s="13667">
        <v>531</v>
      </c>
      <c r="B853" s="14167" t="s">
        <v>8107</v>
      </c>
      <c r="C853" s="13598"/>
      <c r="D853" s="12316" t="s">
        <v>10072</v>
      </c>
      <c r="E853" s="12270" t="s">
        <v>1164</v>
      </c>
      <c r="F853" s="7822"/>
      <c r="G853" s="14169" t="s">
        <v>1207</v>
      </c>
      <c r="H853" s="13420" t="s">
        <v>1208</v>
      </c>
      <c r="I853" s="14206">
        <v>0.75</v>
      </c>
      <c r="K853" s="10236"/>
      <c r="L853" s="7679"/>
      <c r="M853" s="7679"/>
      <c r="N853" s="10237"/>
      <c r="O853" s="10237"/>
      <c r="P853" s="10238"/>
      <c r="Q853" s="7687"/>
      <c r="R853" s="7686"/>
      <c r="S853" s="7680"/>
      <c r="T853" s="7688"/>
      <c r="U853" s="7687"/>
      <c r="V853" s="7686"/>
      <c r="W853" s="7688"/>
      <c r="X853" s="7686"/>
      <c r="Y853" s="7688"/>
      <c r="Z853" s="7686"/>
      <c r="AA853" s="7680"/>
      <c r="AB853" s="7680"/>
      <c r="AC853" s="7680"/>
      <c r="AD853" s="7680"/>
      <c r="AE853" s="7680"/>
      <c r="AF853" s="7688"/>
      <c r="AG853" s="7686"/>
      <c r="AH853" s="7680"/>
      <c r="AI853" s="7680"/>
      <c r="AJ853" s="7680"/>
      <c r="AK853" s="7680"/>
      <c r="AL853" s="7680"/>
      <c r="AM853" s="7680"/>
      <c r="AN853" s="7688"/>
      <c r="AO853" s="7686"/>
      <c r="AP853" s="7680"/>
      <c r="AQ853" s="7680"/>
      <c r="AR853" s="7680"/>
      <c r="AS853" s="7680"/>
      <c r="AT853" s="7688"/>
      <c r="AU853" s="10239"/>
      <c r="AV853" s="10239"/>
      <c r="AW853" s="10239"/>
      <c r="AX853" s="10236"/>
      <c r="AY853" s="10238"/>
      <c r="AZ853" s="10239"/>
      <c r="BA853" s="10236"/>
      <c r="BB853" s="10237"/>
      <c r="BC853" s="10238"/>
      <c r="BD853" s="10240"/>
      <c r="BF853" s="14514"/>
      <c r="BG853" s="14514"/>
      <c r="BH853" s="14514"/>
      <c r="BI853" s="14514"/>
      <c r="BJ853" s="14514"/>
      <c r="BK853" s="10095"/>
      <c r="BL853" s="14514"/>
      <c r="BM853" s="14514"/>
      <c r="BN853" s="14514"/>
    </row>
    <row r="854" spans="1:66" ht="29.25" hidden="1" customHeight="1">
      <c r="A854" s="13667"/>
      <c r="B854" s="14167"/>
      <c r="C854" s="13598"/>
      <c r="D854" s="12316" t="s">
        <v>10063</v>
      </c>
      <c r="E854" s="12270"/>
      <c r="F854" s="7822" t="s">
        <v>9569</v>
      </c>
      <c r="G854" s="14169"/>
      <c r="H854" s="13420"/>
      <c r="I854" s="14206"/>
      <c r="K854" s="10236"/>
      <c r="L854" s="7679"/>
      <c r="M854" s="7679"/>
      <c r="N854" s="10237"/>
      <c r="O854" s="10237"/>
      <c r="P854" s="10238"/>
      <c r="Q854" s="7687"/>
      <c r="R854" s="7686"/>
      <c r="S854" s="7680"/>
      <c r="T854" s="7688"/>
      <c r="U854" s="7687"/>
      <c r="V854" s="7686"/>
      <c r="W854" s="7688"/>
      <c r="X854" s="7686"/>
      <c r="Y854" s="7688"/>
      <c r="Z854" s="7686"/>
      <c r="AA854" s="7680"/>
      <c r="AB854" s="7680"/>
      <c r="AC854" s="7680"/>
      <c r="AD854" s="7680"/>
      <c r="AE854" s="7680"/>
      <c r="AF854" s="7688"/>
      <c r="AG854" s="7686"/>
      <c r="AH854" s="7680"/>
      <c r="AI854" s="7680"/>
      <c r="AJ854" s="7680"/>
      <c r="AK854" s="7680"/>
      <c r="AL854" s="7680"/>
      <c r="AM854" s="7680"/>
      <c r="AN854" s="7688"/>
      <c r="AO854" s="7686"/>
      <c r="AP854" s="7680"/>
      <c r="AQ854" s="7680"/>
      <c r="AR854" s="7680"/>
      <c r="AS854" s="7680"/>
      <c r="AT854" s="7688"/>
      <c r="AU854" s="10239"/>
      <c r="AV854" s="10239"/>
      <c r="AW854" s="10239"/>
      <c r="AX854" s="10236"/>
      <c r="AY854" s="10238"/>
      <c r="AZ854" s="10239"/>
      <c r="BA854" s="10236"/>
      <c r="BB854" s="10237"/>
      <c r="BC854" s="10238"/>
      <c r="BD854" s="10240"/>
      <c r="BF854" s="14514"/>
      <c r="BG854" s="14514"/>
      <c r="BH854" s="14514"/>
      <c r="BI854" s="14514"/>
      <c r="BJ854" s="14514"/>
      <c r="BK854" s="10095"/>
      <c r="BL854" s="14514"/>
      <c r="BM854" s="14514"/>
      <c r="BN854" s="14514"/>
    </row>
    <row r="855" spans="1:66" ht="29.25" hidden="1" customHeight="1">
      <c r="A855" s="13667"/>
      <c r="B855" s="14167"/>
      <c r="C855" s="13598"/>
      <c r="D855" s="12316" t="s">
        <v>2896</v>
      </c>
      <c r="E855" s="12270"/>
      <c r="F855" s="7822" t="s">
        <v>1190</v>
      </c>
      <c r="G855" s="14169"/>
      <c r="H855" s="13420"/>
      <c r="I855" s="14206"/>
      <c r="K855" s="10236"/>
      <c r="L855" s="7679"/>
      <c r="M855" s="7679"/>
      <c r="N855" s="10237"/>
      <c r="O855" s="10237"/>
      <c r="P855" s="10238"/>
      <c r="Q855" s="7687"/>
      <c r="R855" s="7686"/>
      <c r="S855" s="7680"/>
      <c r="T855" s="7688"/>
      <c r="U855" s="7687"/>
      <c r="V855" s="7686"/>
      <c r="W855" s="7688"/>
      <c r="X855" s="7686"/>
      <c r="Y855" s="7688"/>
      <c r="Z855" s="7686"/>
      <c r="AA855" s="7680"/>
      <c r="AB855" s="7680"/>
      <c r="AC855" s="7680"/>
      <c r="AD855" s="7680"/>
      <c r="AE855" s="7680"/>
      <c r="AF855" s="7688"/>
      <c r="AG855" s="7686"/>
      <c r="AH855" s="7680"/>
      <c r="AI855" s="7680"/>
      <c r="AJ855" s="7680"/>
      <c r="AK855" s="7680"/>
      <c r="AL855" s="7680"/>
      <c r="AM855" s="7680"/>
      <c r="AN855" s="7688"/>
      <c r="AO855" s="7686"/>
      <c r="AP855" s="7680"/>
      <c r="AQ855" s="7680"/>
      <c r="AR855" s="7680"/>
      <c r="AS855" s="7680"/>
      <c r="AT855" s="7688"/>
      <c r="AU855" s="10239"/>
      <c r="AV855" s="10239"/>
      <c r="AW855" s="10239"/>
      <c r="AX855" s="10236"/>
      <c r="AY855" s="10238"/>
      <c r="AZ855" s="10239"/>
      <c r="BA855" s="10236"/>
      <c r="BB855" s="10237"/>
      <c r="BC855" s="10238"/>
      <c r="BD855" s="10240"/>
      <c r="BF855" s="14514"/>
      <c r="BG855" s="14514"/>
      <c r="BH855" s="14514"/>
      <c r="BI855" s="14514"/>
      <c r="BJ855" s="14514"/>
      <c r="BK855" s="10095"/>
      <c r="BL855" s="14514"/>
      <c r="BM855" s="14514"/>
      <c r="BN855" s="14514"/>
    </row>
    <row r="856" spans="1:66" ht="29.25" customHeight="1">
      <c r="A856" s="13667"/>
      <c r="B856" s="14167"/>
      <c r="C856" s="13598"/>
      <c r="D856" s="12316" t="s">
        <v>86</v>
      </c>
      <c r="E856" s="12270"/>
      <c r="F856" s="7822" t="s">
        <v>9568</v>
      </c>
      <c r="G856" s="14169"/>
      <c r="H856" s="13420"/>
      <c r="I856" s="14206"/>
      <c r="K856" s="10235"/>
      <c r="L856" s="7679"/>
      <c r="M856" s="7679"/>
      <c r="N856" s="10919" t="s">
        <v>10487</v>
      </c>
      <c r="O856" s="10919" t="s">
        <v>10488</v>
      </c>
      <c r="P856" s="10238"/>
      <c r="Q856" s="7687"/>
      <c r="R856" s="7686"/>
      <c r="S856" s="7680"/>
      <c r="T856" s="7688"/>
      <c r="U856" s="7687"/>
      <c r="V856" s="7686"/>
      <c r="W856" s="7688"/>
      <c r="X856" s="7686"/>
      <c r="Y856" s="7688"/>
      <c r="Z856" s="7686"/>
      <c r="AA856" s="7680"/>
      <c r="AB856" s="7680"/>
      <c r="AC856" s="7680"/>
      <c r="AD856" s="7680"/>
      <c r="AE856" s="7680"/>
      <c r="AF856" s="7688"/>
      <c r="AG856" s="7686"/>
      <c r="AH856" s="7680"/>
      <c r="AI856" s="7680"/>
      <c r="AJ856" s="7680"/>
      <c r="AK856" s="7680"/>
      <c r="AL856" s="7680"/>
      <c r="AM856" s="7680"/>
      <c r="AN856" s="7688"/>
      <c r="AO856" s="7686"/>
      <c r="AP856" s="7680"/>
      <c r="AQ856" s="7680"/>
      <c r="AR856" s="7680"/>
      <c r="AS856" s="7680"/>
      <c r="AT856" s="7688"/>
      <c r="AU856" s="10239"/>
      <c r="AV856" s="10239"/>
      <c r="AW856" s="10239"/>
      <c r="AX856" s="10236"/>
      <c r="AY856" s="10238"/>
      <c r="AZ856" s="10239"/>
      <c r="BA856" s="10236"/>
      <c r="BB856" s="10237"/>
      <c r="BC856" s="10238"/>
      <c r="BD856" s="10240"/>
      <c r="BF856" s="14514"/>
      <c r="BG856" s="14514"/>
      <c r="BH856" s="14514"/>
      <c r="BI856" s="14514"/>
      <c r="BJ856" s="14514"/>
      <c r="BK856" s="13074"/>
      <c r="BL856" s="14514"/>
      <c r="BM856" s="14514"/>
      <c r="BN856" s="14514"/>
    </row>
    <row r="857" spans="1:66" ht="29.25" hidden="1" customHeight="1">
      <c r="A857" s="10093">
        <v>532</v>
      </c>
      <c r="B857" s="10094" t="s">
        <v>8108</v>
      </c>
      <c r="C857" s="13598"/>
      <c r="D857" s="11813" t="s">
        <v>10072</v>
      </c>
      <c r="E857" s="12270" t="s">
        <v>1164</v>
      </c>
      <c r="F857" s="7822"/>
      <c r="G857" s="12272" t="s">
        <v>1209</v>
      </c>
      <c r="H857" s="12273" t="s">
        <v>1210</v>
      </c>
      <c r="I857" s="11816">
        <v>20</v>
      </c>
      <c r="K857" s="8560"/>
      <c r="L857" s="8568"/>
      <c r="M857" s="8568"/>
      <c r="N857" s="8569"/>
      <c r="O857" s="8569"/>
      <c r="P857" s="8570"/>
      <c r="Q857" s="8571"/>
      <c r="R857" s="8572"/>
      <c r="S857" s="8573"/>
      <c r="T857" s="8574"/>
      <c r="U857" s="8571"/>
      <c r="V857" s="8572"/>
      <c r="W857" s="8574"/>
      <c r="X857" s="8572"/>
      <c r="Y857" s="8574"/>
      <c r="Z857" s="8572"/>
      <c r="AA857" s="8573"/>
      <c r="AB857" s="8573"/>
      <c r="AC857" s="8573"/>
      <c r="AD857" s="8573"/>
      <c r="AE857" s="8573"/>
      <c r="AF857" s="8574"/>
      <c r="AG857" s="8572"/>
      <c r="AH857" s="8573"/>
      <c r="AI857" s="8573"/>
      <c r="AJ857" s="8573"/>
      <c r="AK857" s="8573"/>
      <c r="AL857" s="8573"/>
      <c r="AM857" s="8573"/>
      <c r="AN857" s="8574"/>
      <c r="AO857" s="8572"/>
      <c r="AP857" s="8573"/>
      <c r="AQ857" s="8573"/>
      <c r="AR857" s="8573"/>
      <c r="AS857" s="8573"/>
      <c r="AT857" s="8574"/>
      <c r="AU857" s="8575"/>
      <c r="AV857" s="8575"/>
      <c r="AW857" s="8575"/>
      <c r="AX857" s="8560"/>
      <c r="AY857" s="8570"/>
      <c r="AZ857" s="8575"/>
      <c r="BA857" s="8560"/>
      <c r="BB857" s="8569"/>
      <c r="BC857" s="8570"/>
      <c r="BD857" s="8566"/>
      <c r="BF857" s="10095"/>
      <c r="BG857" s="10095"/>
      <c r="BH857" s="10095"/>
      <c r="BI857" s="10095"/>
      <c r="BJ857" s="10095"/>
      <c r="BK857" s="10095"/>
      <c r="BL857" s="10095"/>
      <c r="BM857" s="10095"/>
      <c r="BN857" s="10095"/>
    </row>
    <row r="858" spans="1:66" ht="29.25" hidden="1" customHeight="1">
      <c r="A858" s="13667">
        <v>533</v>
      </c>
      <c r="B858" s="14167" t="s">
        <v>8109</v>
      </c>
      <c r="C858" s="13598"/>
      <c r="D858" s="11813" t="s">
        <v>10072</v>
      </c>
      <c r="E858" s="12270" t="s">
        <v>1164</v>
      </c>
      <c r="F858" s="7822"/>
      <c r="G858" s="14169" t="s">
        <v>1211</v>
      </c>
      <c r="H858" s="13420" t="s">
        <v>1212</v>
      </c>
      <c r="I858" s="13944">
        <v>15</v>
      </c>
      <c r="K858" s="8561"/>
      <c r="L858" s="7679"/>
      <c r="M858" s="7679"/>
      <c r="N858" s="8562"/>
      <c r="O858" s="8562"/>
      <c r="P858" s="8563"/>
      <c r="Q858" s="7687"/>
      <c r="R858" s="7686"/>
      <c r="S858" s="7680"/>
      <c r="T858" s="7688"/>
      <c r="U858" s="7687"/>
      <c r="V858" s="7686"/>
      <c r="W858" s="7688"/>
      <c r="X858" s="7686"/>
      <c r="Y858" s="7688"/>
      <c r="Z858" s="7686"/>
      <c r="AA858" s="7680"/>
      <c r="AB858" s="7680"/>
      <c r="AC858" s="7680"/>
      <c r="AD858" s="7680"/>
      <c r="AE858" s="7680"/>
      <c r="AF858" s="7688"/>
      <c r="AG858" s="7686"/>
      <c r="AH858" s="7680"/>
      <c r="AI858" s="7680"/>
      <c r="AJ858" s="7680"/>
      <c r="AK858" s="7680"/>
      <c r="AL858" s="7680"/>
      <c r="AM858" s="7680"/>
      <c r="AN858" s="7688"/>
      <c r="AO858" s="7686"/>
      <c r="AP858" s="7680"/>
      <c r="AQ858" s="7680"/>
      <c r="AR858" s="7680"/>
      <c r="AS858" s="7680"/>
      <c r="AT858" s="7688"/>
      <c r="AU858" s="8564"/>
      <c r="AV858" s="8564"/>
      <c r="AW858" s="8564"/>
      <c r="AX858" s="8561"/>
      <c r="AY858" s="8563"/>
      <c r="AZ858" s="8564"/>
      <c r="BA858" s="8561"/>
      <c r="BB858" s="8562"/>
      <c r="BC858" s="8563"/>
      <c r="BD858" s="8565"/>
      <c r="BF858" s="14514"/>
      <c r="BG858" s="14514"/>
      <c r="BH858" s="14514"/>
      <c r="BI858" s="14514"/>
      <c r="BJ858" s="14514"/>
      <c r="BK858" s="10095"/>
      <c r="BL858" s="14514"/>
      <c r="BM858" s="14514"/>
      <c r="BN858" s="14514"/>
    </row>
    <row r="859" spans="1:66" ht="29.25" hidden="1" customHeight="1">
      <c r="A859" s="13667"/>
      <c r="B859" s="14167"/>
      <c r="C859" s="13598"/>
      <c r="D859" s="11813" t="s">
        <v>2896</v>
      </c>
      <c r="E859" s="12270"/>
      <c r="F859" s="7822" t="s">
        <v>1213</v>
      </c>
      <c r="G859" s="14169"/>
      <c r="H859" s="13420"/>
      <c r="I859" s="13944"/>
      <c r="K859" s="8561"/>
      <c r="L859" s="7679"/>
      <c r="M859" s="7679"/>
      <c r="N859" s="8562"/>
      <c r="O859" s="8562"/>
      <c r="P859" s="8563"/>
      <c r="Q859" s="7687"/>
      <c r="R859" s="7686"/>
      <c r="S859" s="7680"/>
      <c r="T859" s="7688"/>
      <c r="U859" s="7687"/>
      <c r="V859" s="7686"/>
      <c r="W859" s="7688"/>
      <c r="X859" s="7686"/>
      <c r="Y859" s="7688"/>
      <c r="Z859" s="7686"/>
      <c r="AA859" s="7680"/>
      <c r="AB859" s="7680"/>
      <c r="AC859" s="7680"/>
      <c r="AD859" s="7680"/>
      <c r="AE859" s="7680"/>
      <c r="AF859" s="7688"/>
      <c r="AG859" s="7686"/>
      <c r="AH859" s="7680"/>
      <c r="AI859" s="7680"/>
      <c r="AJ859" s="7680"/>
      <c r="AK859" s="7680"/>
      <c r="AL859" s="7680"/>
      <c r="AM859" s="7680"/>
      <c r="AN859" s="7688"/>
      <c r="AO859" s="7686"/>
      <c r="AP859" s="7680"/>
      <c r="AQ859" s="7680"/>
      <c r="AR859" s="7680"/>
      <c r="AS859" s="7680"/>
      <c r="AT859" s="7688"/>
      <c r="AU859" s="8564"/>
      <c r="AV859" s="8564"/>
      <c r="AW859" s="8564"/>
      <c r="AX859" s="8561"/>
      <c r="AY859" s="8563"/>
      <c r="AZ859" s="8564"/>
      <c r="BA859" s="8561"/>
      <c r="BB859" s="8562"/>
      <c r="BC859" s="8563"/>
      <c r="BD859" s="8565"/>
      <c r="BF859" s="14514"/>
      <c r="BG859" s="14514"/>
      <c r="BH859" s="14514"/>
      <c r="BI859" s="14514"/>
      <c r="BJ859" s="14514"/>
      <c r="BK859" s="10095"/>
      <c r="BL859" s="14514"/>
      <c r="BM859" s="14514"/>
      <c r="BN859" s="14514"/>
    </row>
    <row r="860" spans="1:66" ht="29.25" hidden="1" customHeight="1">
      <c r="A860" s="13667">
        <v>534</v>
      </c>
      <c r="B860" s="14167" t="s">
        <v>8110</v>
      </c>
      <c r="C860" s="13598"/>
      <c r="D860" s="11813" t="s">
        <v>10072</v>
      </c>
      <c r="E860" s="12270" t="s">
        <v>1164</v>
      </c>
      <c r="F860" s="7822"/>
      <c r="G860" s="14169" t="s">
        <v>1214</v>
      </c>
      <c r="H860" s="13420" t="s">
        <v>1215</v>
      </c>
      <c r="I860" s="13944">
        <v>7</v>
      </c>
      <c r="K860" s="8561"/>
      <c r="L860" s="7679"/>
      <c r="M860" s="7679"/>
      <c r="N860" s="8562"/>
      <c r="O860" s="8562"/>
      <c r="P860" s="8563"/>
      <c r="Q860" s="7687"/>
      <c r="R860" s="7686"/>
      <c r="S860" s="7680"/>
      <c r="T860" s="7688"/>
      <c r="U860" s="7687"/>
      <c r="V860" s="7686"/>
      <c r="W860" s="7688"/>
      <c r="X860" s="7686"/>
      <c r="Y860" s="7688"/>
      <c r="Z860" s="7686"/>
      <c r="AA860" s="7680"/>
      <c r="AB860" s="7680"/>
      <c r="AC860" s="7680"/>
      <c r="AD860" s="7680"/>
      <c r="AE860" s="7680"/>
      <c r="AF860" s="7688"/>
      <c r="AG860" s="7686"/>
      <c r="AH860" s="7680"/>
      <c r="AI860" s="7680"/>
      <c r="AJ860" s="7680"/>
      <c r="AK860" s="7680"/>
      <c r="AL860" s="7680"/>
      <c r="AM860" s="7680"/>
      <c r="AN860" s="7688"/>
      <c r="AO860" s="7686"/>
      <c r="AP860" s="7680"/>
      <c r="AQ860" s="7680"/>
      <c r="AR860" s="7680"/>
      <c r="AS860" s="7680"/>
      <c r="AT860" s="7688"/>
      <c r="AU860" s="8564"/>
      <c r="AV860" s="8564"/>
      <c r="AW860" s="8564"/>
      <c r="AX860" s="8561"/>
      <c r="AY860" s="8563"/>
      <c r="AZ860" s="8564"/>
      <c r="BA860" s="8561"/>
      <c r="BB860" s="8562"/>
      <c r="BC860" s="8563"/>
      <c r="BD860" s="8565"/>
      <c r="BF860" s="14514"/>
      <c r="BG860" s="14514"/>
      <c r="BH860" s="14514"/>
      <c r="BI860" s="14514"/>
      <c r="BJ860" s="14514"/>
      <c r="BK860" s="10095"/>
      <c r="BL860" s="14514"/>
      <c r="BM860" s="14514"/>
      <c r="BN860" s="14514"/>
    </row>
    <row r="861" spans="1:66" ht="29.25" hidden="1" customHeight="1">
      <c r="A861" s="13667"/>
      <c r="B861" s="14167"/>
      <c r="C861" s="13598"/>
      <c r="D861" s="11813" t="s">
        <v>2896</v>
      </c>
      <c r="E861" s="12270"/>
      <c r="F861" s="7822" t="s">
        <v>1213</v>
      </c>
      <c r="G861" s="14169"/>
      <c r="H861" s="13420"/>
      <c r="I861" s="13944"/>
      <c r="K861" s="8561"/>
      <c r="L861" s="7679"/>
      <c r="M861" s="7679"/>
      <c r="N861" s="8562"/>
      <c r="O861" s="8562"/>
      <c r="P861" s="8563"/>
      <c r="Q861" s="7687"/>
      <c r="R861" s="7686"/>
      <c r="S861" s="7680"/>
      <c r="T861" s="7688"/>
      <c r="U861" s="7687"/>
      <c r="V861" s="7686"/>
      <c r="W861" s="7688"/>
      <c r="X861" s="7686"/>
      <c r="Y861" s="7688"/>
      <c r="Z861" s="7686"/>
      <c r="AA861" s="7680"/>
      <c r="AB861" s="7680"/>
      <c r="AC861" s="7680"/>
      <c r="AD861" s="7680"/>
      <c r="AE861" s="7680"/>
      <c r="AF861" s="7688"/>
      <c r="AG861" s="7686"/>
      <c r="AH861" s="7680"/>
      <c r="AI861" s="7680"/>
      <c r="AJ861" s="7680"/>
      <c r="AK861" s="7680"/>
      <c r="AL861" s="7680"/>
      <c r="AM861" s="7680"/>
      <c r="AN861" s="7688"/>
      <c r="AO861" s="7686"/>
      <c r="AP861" s="7680"/>
      <c r="AQ861" s="7680"/>
      <c r="AR861" s="7680"/>
      <c r="AS861" s="7680"/>
      <c r="AT861" s="7688"/>
      <c r="AU861" s="8564"/>
      <c r="AV861" s="8564"/>
      <c r="AW861" s="8564"/>
      <c r="AX861" s="8561"/>
      <c r="AY861" s="8563"/>
      <c r="AZ861" s="8564"/>
      <c r="BA861" s="8561"/>
      <c r="BB861" s="8562"/>
      <c r="BC861" s="8563"/>
      <c r="BD861" s="8565"/>
      <c r="BF861" s="14514"/>
      <c r="BG861" s="14514"/>
      <c r="BH861" s="14514"/>
      <c r="BI861" s="14514"/>
      <c r="BJ861" s="14514"/>
      <c r="BK861" s="10095"/>
      <c r="BL861" s="14514"/>
      <c r="BM861" s="14514"/>
      <c r="BN861" s="14514"/>
    </row>
    <row r="862" spans="1:66" ht="29.25" customHeight="1">
      <c r="A862" s="13667"/>
      <c r="B862" s="14167"/>
      <c r="C862" s="13598"/>
      <c r="D862" s="11813" t="s">
        <v>86</v>
      </c>
      <c r="E862" s="12270"/>
      <c r="F862" s="7822" t="s">
        <v>9568</v>
      </c>
      <c r="G862" s="14169"/>
      <c r="H862" s="13420"/>
      <c r="I862" s="13944"/>
      <c r="K862" s="8560"/>
      <c r="L862" s="7679"/>
      <c r="M862" s="7679"/>
      <c r="N862" s="8562"/>
      <c r="O862" s="8562"/>
      <c r="P862" s="8570" t="s">
        <v>2861</v>
      </c>
      <c r="Q862" s="7687"/>
      <c r="R862" s="7686"/>
      <c r="S862" s="7680"/>
      <c r="T862" s="7688"/>
      <c r="U862" s="7687"/>
      <c r="V862" s="7686"/>
      <c r="W862" s="7688"/>
      <c r="X862" s="7686"/>
      <c r="Y862" s="7688"/>
      <c r="Z862" s="7686"/>
      <c r="AA862" s="7680"/>
      <c r="AB862" s="7680"/>
      <c r="AC862" s="7680"/>
      <c r="AD862" s="7680"/>
      <c r="AE862" s="7680"/>
      <c r="AF862" s="7688"/>
      <c r="AG862" s="7686"/>
      <c r="AH862" s="7680"/>
      <c r="AI862" s="7680"/>
      <c r="AJ862" s="7680"/>
      <c r="AK862" s="7680"/>
      <c r="AL862" s="7680"/>
      <c r="AM862" s="7680"/>
      <c r="AN862" s="7688"/>
      <c r="AO862" s="7686"/>
      <c r="AP862" s="7680"/>
      <c r="AQ862" s="7680"/>
      <c r="AR862" s="7680"/>
      <c r="AS862" s="7680"/>
      <c r="AT862" s="7688"/>
      <c r="AU862" s="8564"/>
      <c r="AV862" s="8564"/>
      <c r="AW862" s="8564"/>
      <c r="AX862" s="8561"/>
      <c r="AY862" s="8563"/>
      <c r="AZ862" s="8564"/>
      <c r="BA862" s="8561"/>
      <c r="BB862" s="8562"/>
      <c r="BC862" s="8563"/>
      <c r="BD862" s="8565"/>
      <c r="BF862" s="14514"/>
      <c r="BG862" s="14514"/>
      <c r="BH862" s="14514"/>
      <c r="BI862" s="14514"/>
      <c r="BJ862" s="14514"/>
      <c r="BK862" s="13074"/>
      <c r="BL862" s="14514"/>
      <c r="BM862" s="14514"/>
      <c r="BN862" s="14514"/>
    </row>
    <row r="863" spans="1:66" ht="29.25" hidden="1" customHeight="1">
      <c r="A863" s="13667">
        <v>535</v>
      </c>
      <c r="B863" s="14167" t="s">
        <v>8111</v>
      </c>
      <c r="C863" s="13598"/>
      <c r="D863" s="11813" t="s">
        <v>10072</v>
      </c>
      <c r="E863" s="12270" t="s">
        <v>1218</v>
      </c>
      <c r="F863" s="7822"/>
      <c r="G863" s="14169" t="s">
        <v>1216</v>
      </c>
      <c r="H863" s="13420" t="s">
        <v>1217</v>
      </c>
      <c r="I863" s="13944">
        <v>12</v>
      </c>
      <c r="K863" s="8561"/>
      <c r="L863" s="7679"/>
      <c r="M863" s="7679"/>
      <c r="N863" s="8562"/>
      <c r="O863" s="8562"/>
      <c r="P863" s="8563"/>
      <c r="Q863" s="7687"/>
      <c r="R863" s="7686"/>
      <c r="S863" s="7680"/>
      <c r="T863" s="7688"/>
      <c r="U863" s="7687"/>
      <c r="V863" s="7686"/>
      <c r="W863" s="7688"/>
      <c r="X863" s="7686"/>
      <c r="Y863" s="7688"/>
      <c r="Z863" s="7686"/>
      <c r="AA863" s="7680"/>
      <c r="AB863" s="7680"/>
      <c r="AC863" s="7680"/>
      <c r="AD863" s="7680"/>
      <c r="AE863" s="7680"/>
      <c r="AF863" s="7688"/>
      <c r="AG863" s="7686"/>
      <c r="AH863" s="7680"/>
      <c r="AI863" s="7680"/>
      <c r="AJ863" s="7680"/>
      <c r="AK863" s="7680"/>
      <c r="AL863" s="7680"/>
      <c r="AM863" s="7680"/>
      <c r="AN863" s="7688"/>
      <c r="AO863" s="7686"/>
      <c r="AP863" s="7680"/>
      <c r="AQ863" s="7680"/>
      <c r="AR863" s="7680"/>
      <c r="AS863" s="7680"/>
      <c r="AT863" s="7688"/>
      <c r="AU863" s="8564"/>
      <c r="AV863" s="8564"/>
      <c r="AW863" s="8564"/>
      <c r="AX863" s="8561"/>
      <c r="AY863" s="8563"/>
      <c r="AZ863" s="8564"/>
      <c r="BA863" s="8561"/>
      <c r="BB863" s="8562"/>
      <c r="BC863" s="8563"/>
      <c r="BD863" s="8565"/>
      <c r="BF863" s="14514"/>
      <c r="BG863" s="14514"/>
      <c r="BH863" s="14514"/>
      <c r="BI863" s="14514"/>
      <c r="BJ863" s="14514"/>
      <c r="BK863" s="10095"/>
      <c r="BL863" s="14514"/>
      <c r="BM863" s="14514"/>
      <c r="BN863" s="14514"/>
    </row>
    <row r="864" spans="1:66" ht="29.25" customHeight="1">
      <c r="A864" s="13667"/>
      <c r="B864" s="14167"/>
      <c r="C864" s="13598"/>
      <c r="D864" s="11813" t="s">
        <v>86</v>
      </c>
      <c r="E864" s="12270"/>
      <c r="F864" s="7822" t="s">
        <v>9568</v>
      </c>
      <c r="G864" s="14169"/>
      <c r="H864" s="13420"/>
      <c r="I864" s="13944"/>
      <c r="K864" s="8560"/>
      <c r="L864" s="7679"/>
      <c r="M864" s="7679"/>
      <c r="N864" s="8569" t="s">
        <v>10489</v>
      </c>
      <c r="O864" s="8569" t="s">
        <v>10490</v>
      </c>
      <c r="P864" s="8563"/>
      <c r="Q864" s="7687"/>
      <c r="R864" s="7686"/>
      <c r="S864" s="7680"/>
      <c r="T864" s="7688"/>
      <c r="U864" s="7687"/>
      <c r="V864" s="7686"/>
      <c r="W864" s="7688"/>
      <c r="X864" s="7686"/>
      <c r="Y864" s="7688"/>
      <c r="Z864" s="7686"/>
      <c r="AA864" s="7680"/>
      <c r="AB864" s="7680"/>
      <c r="AC864" s="7680"/>
      <c r="AD864" s="7680"/>
      <c r="AE864" s="7680"/>
      <c r="AF864" s="7688"/>
      <c r="AG864" s="7686"/>
      <c r="AH864" s="7680"/>
      <c r="AI864" s="7680"/>
      <c r="AJ864" s="7680"/>
      <c r="AK864" s="7680"/>
      <c r="AL864" s="7680"/>
      <c r="AM864" s="7680"/>
      <c r="AN864" s="7688"/>
      <c r="AO864" s="7686"/>
      <c r="AP864" s="7680"/>
      <c r="AQ864" s="7680"/>
      <c r="AR864" s="7680"/>
      <c r="AS864" s="7680"/>
      <c r="AT864" s="7688"/>
      <c r="AU864" s="8564"/>
      <c r="AV864" s="8564"/>
      <c r="AW864" s="8564"/>
      <c r="AX864" s="8561"/>
      <c r="AY864" s="8563"/>
      <c r="AZ864" s="8564"/>
      <c r="BA864" s="8561"/>
      <c r="BB864" s="8562"/>
      <c r="BC864" s="8563"/>
      <c r="BD864" s="8565"/>
      <c r="BF864" s="14514"/>
      <c r="BG864" s="14514"/>
      <c r="BH864" s="14514"/>
      <c r="BI864" s="14514"/>
      <c r="BJ864" s="14514"/>
      <c r="BK864" s="13074"/>
      <c r="BL864" s="14514"/>
      <c r="BM864" s="14514"/>
      <c r="BN864" s="14514"/>
    </row>
    <row r="865" spans="1:66" ht="29.25" hidden="1" customHeight="1">
      <c r="A865" s="13667">
        <v>536</v>
      </c>
      <c r="B865" s="14167" t="s">
        <v>8112</v>
      </c>
      <c r="C865" s="13598"/>
      <c r="D865" s="11813" t="s">
        <v>10072</v>
      </c>
      <c r="E865" s="12270" t="s">
        <v>1218</v>
      </c>
      <c r="F865" s="7822"/>
      <c r="G865" s="14169" t="s">
        <v>1219</v>
      </c>
      <c r="H865" s="13420" t="s">
        <v>1220</v>
      </c>
      <c r="I865" s="13944">
        <v>6</v>
      </c>
      <c r="K865" s="8561"/>
      <c r="L865" s="7679"/>
      <c r="M865" s="7679"/>
      <c r="N865" s="8562"/>
      <c r="O865" s="8562"/>
      <c r="P865" s="8563"/>
      <c r="Q865" s="7687"/>
      <c r="R865" s="7686"/>
      <c r="S865" s="7680"/>
      <c r="T865" s="7688"/>
      <c r="U865" s="7687"/>
      <c r="V865" s="7686"/>
      <c r="W865" s="7688"/>
      <c r="X865" s="7686"/>
      <c r="Y865" s="7688"/>
      <c r="Z865" s="7686"/>
      <c r="AA865" s="7680"/>
      <c r="AB865" s="7680"/>
      <c r="AC865" s="7680"/>
      <c r="AD865" s="7680"/>
      <c r="AE865" s="7680"/>
      <c r="AF865" s="7688"/>
      <c r="AG865" s="7686"/>
      <c r="AH865" s="7680"/>
      <c r="AI865" s="7680"/>
      <c r="AJ865" s="7680"/>
      <c r="AK865" s="7680"/>
      <c r="AL865" s="7680"/>
      <c r="AM865" s="7680"/>
      <c r="AN865" s="7688"/>
      <c r="AO865" s="7686"/>
      <c r="AP865" s="7680"/>
      <c r="AQ865" s="7680"/>
      <c r="AR865" s="7680"/>
      <c r="AS865" s="7680"/>
      <c r="AT865" s="7688"/>
      <c r="AU865" s="8564"/>
      <c r="AV865" s="8564"/>
      <c r="AW865" s="8564"/>
      <c r="AX865" s="8561"/>
      <c r="AY865" s="8563"/>
      <c r="AZ865" s="8564"/>
      <c r="BA865" s="8561"/>
      <c r="BB865" s="8562"/>
      <c r="BC865" s="8563"/>
      <c r="BD865" s="8565"/>
      <c r="BF865" s="14514"/>
      <c r="BG865" s="14514"/>
      <c r="BH865" s="14514"/>
      <c r="BI865" s="14514"/>
      <c r="BJ865" s="14514"/>
      <c r="BK865" s="10095"/>
      <c r="BL865" s="14514"/>
      <c r="BM865" s="14514"/>
      <c r="BN865" s="14514"/>
    </row>
    <row r="866" spans="1:66" ht="29.25" customHeight="1">
      <c r="A866" s="13667"/>
      <c r="B866" s="14167"/>
      <c r="C866" s="13598"/>
      <c r="D866" s="11813" t="s">
        <v>86</v>
      </c>
      <c r="E866" s="12270"/>
      <c r="F866" s="7822" t="s">
        <v>9568</v>
      </c>
      <c r="G866" s="14169"/>
      <c r="H866" s="13420"/>
      <c r="I866" s="13944"/>
      <c r="K866" s="8560"/>
      <c r="L866" s="7679"/>
      <c r="M866" s="7679"/>
      <c r="N866" s="8562"/>
      <c r="O866" s="8562"/>
      <c r="P866" s="8570" t="s">
        <v>2861</v>
      </c>
      <c r="Q866" s="7687"/>
      <c r="R866" s="7686"/>
      <c r="S866" s="7680"/>
      <c r="T866" s="7688"/>
      <c r="U866" s="7687"/>
      <c r="V866" s="7686"/>
      <c r="W866" s="7688"/>
      <c r="X866" s="7686"/>
      <c r="Y866" s="7688"/>
      <c r="Z866" s="7686"/>
      <c r="AA866" s="7680"/>
      <c r="AB866" s="7680"/>
      <c r="AC866" s="7680"/>
      <c r="AD866" s="7680"/>
      <c r="AE866" s="7680"/>
      <c r="AF866" s="7688"/>
      <c r="AG866" s="7686"/>
      <c r="AH866" s="7680"/>
      <c r="AI866" s="7680"/>
      <c r="AJ866" s="7680"/>
      <c r="AK866" s="7680"/>
      <c r="AL866" s="7680"/>
      <c r="AM866" s="7680"/>
      <c r="AN866" s="7688"/>
      <c r="AO866" s="7686"/>
      <c r="AP866" s="7680"/>
      <c r="AQ866" s="7680"/>
      <c r="AR866" s="7680"/>
      <c r="AS866" s="7680"/>
      <c r="AT866" s="7688"/>
      <c r="AU866" s="8564"/>
      <c r="AV866" s="8564"/>
      <c r="AW866" s="8564"/>
      <c r="AX866" s="8561"/>
      <c r="AY866" s="8563"/>
      <c r="AZ866" s="8564"/>
      <c r="BA866" s="8561"/>
      <c r="BB866" s="8562"/>
      <c r="BC866" s="8563"/>
      <c r="BD866" s="8565"/>
      <c r="BF866" s="14514"/>
      <c r="BG866" s="14514"/>
      <c r="BH866" s="14514"/>
      <c r="BI866" s="14514"/>
      <c r="BJ866" s="14514"/>
      <c r="BK866" s="13074"/>
      <c r="BL866" s="14514"/>
      <c r="BM866" s="14514"/>
      <c r="BN866" s="14514"/>
    </row>
    <row r="867" spans="1:66" ht="29.25" hidden="1" customHeight="1">
      <c r="A867" s="13667">
        <v>537</v>
      </c>
      <c r="B867" s="14167" t="s">
        <v>8113</v>
      </c>
      <c r="C867" s="13598"/>
      <c r="D867" s="11813" t="s">
        <v>10072</v>
      </c>
      <c r="E867" s="12270" t="s">
        <v>1224</v>
      </c>
      <c r="F867" s="7822"/>
      <c r="G867" s="14169" t="s">
        <v>1222</v>
      </c>
      <c r="H867" s="13420" t="s">
        <v>1223</v>
      </c>
      <c r="I867" s="13944">
        <v>8</v>
      </c>
      <c r="K867" s="8561"/>
      <c r="L867" s="7679"/>
      <c r="M867" s="7679"/>
      <c r="N867" s="8562"/>
      <c r="O867" s="8562"/>
      <c r="P867" s="8563"/>
      <c r="Q867" s="7687"/>
      <c r="R867" s="7686"/>
      <c r="S867" s="7680"/>
      <c r="T867" s="7688"/>
      <c r="U867" s="7687"/>
      <c r="V867" s="7686"/>
      <c r="W867" s="7688"/>
      <c r="X867" s="7686"/>
      <c r="Y867" s="7688"/>
      <c r="Z867" s="7686"/>
      <c r="AA867" s="7680"/>
      <c r="AB867" s="7680"/>
      <c r="AC867" s="7680"/>
      <c r="AD867" s="7680"/>
      <c r="AE867" s="7680"/>
      <c r="AF867" s="7688"/>
      <c r="AG867" s="7686"/>
      <c r="AH867" s="7680"/>
      <c r="AI867" s="7680"/>
      <c r="AJ867" s="7680"/>
      <c r="AK867" s="7680"/>
      <c r="AL867" s="7680"/>
      <c r="AM867" s="7680"/>
      <c r="AN867" s="7688"/>
      <c r="AO867" s="7686"/>
      <c r="AP867" s="7680"/>
      <c r="AQ867" s="7680"/>
      <c r="AR867" s="7680"/>
      <c r="AS867" s="7680"/>
      <c r="AT867" s="7688"/>
      <c r="AU867" s="8564"/>
      <c r="AV867" s="8564"/>
      <c r="AW867" s="8564"/>
      <c r="AX867" s="8561"/>
      <c r="AY867" s="8563"/>
      <c r="AZ867" s="8564"/>
      <c r="BA867" s="8561"/>
      <c r="BB867" s="8562"/>
      <c r="BC867" s="8563"/>
      <c r="BD867" s="8565"/>
      <c r="BF867" s="14514"/>
      <c r="BG867" s="14514"/>
      <c r="BH867" s="14514"/>
      <c r="BI867" s="14514"/>
      <c r="BJ867" s="14514"/>
      <c r="BK867" s="10095"/>
      <c r="BL867" s="14514"/>
      <c r="BM867" s="14514"/>
      <c r="BN867" s="14514"/>
    </row>
    <row r="868" spans="1:66" ht="29.25" hidden="1" customHeight="1">
      <c r="A868" s="13667"/>
      <c r="B868" s="14167"/>
      <c r="C868" s="13598"/>
      <c r="D868" s="11813" t="s">
        <v>2896</v>
      </c>
      <c r="E868" s="12270"/>
      <c r="F868" s="7822" t="s">
        <v>1213</v>
      </c>
      <c r="G868" s="14169"/>
      <c r="H868" s="13420"/>
      <c r="I868" s="13944"/>
      <c r="K868" s="8561"/>
      <c r="L868" s="7679"/>
      <c r="M868" s="7679"/>
      <c r="N868" s="8562"/>
      <c r="O868" s="8562"/>
      <c r="P868" s="8563"/>
      <c r="Q868" s="7687"/>
      <c r="R868" s="7686"/>
      <c r="S868" s="7680"/>
      <c r="T868" s="7688"/>
      <c r="U868" s="7687"/>
      <c r="V868" s="7686"/>
      <c r="W868" s="7688"/>
      <c r="X868" s="7686"/>
      <c r="Y868" s="7688"/>
      <c r="Z868" s="7686"/>
      <c r="AA868" s="7680"/>
      <c r="AB868" s="7680"/>
      <c r="AC868" s="7680"/>
      <c r="AD868" s="7680"/>
      <c r="AE868" s="7680"/>
      <c r="AF868" s="7688"/>
      <c r="AG868" s="7686"/>
      <c r="AH868" s="7680"/>
      <c r="AI868" s="7680"/>
      <c r="AJ868" s="7680"/>
      <c r="AK868" s="7680"/>
      <c r="AL868" s="7680"/>
      <c r="AM868" s="7680"/>
      <c r="AN868" s="7688"/>
      <c r="AO868" s="7686"/>
      <c r="AP868" s="7680"/>
      <c r="AQ868" s="7680"/>
      <c r="AR868" s="7680"/>
      <c r="AS868" s="7680"/>
      <c r="AT868" s="7688"/>
      <c r="AU868" s="8564"/>
      <c r="AV868" s="8564"/>
      <c r="AW868" s="8564"/>
      <c r="AX868" s="8561"/>
      <c r="AY868" s="8563"/>
      <c r="AZ868" s="8564"/>
      <c r="BA868" s="8561"/>
      <c r="BB868" s="8562"/>
      <c r="BC868" s="8563"/>
      <c r="BD868" s="8565"/>
      <c r="BF868" s="14514"/>
      <c r="BG868" s="14514"/>
      <c r="BH868" s="14514"/>
      <c r="BI868" s="14514"/>
      <c r="BJ868" s="14514"/>
      <c r="BK868" s="10095"/>
      <c r="BL868" s="14514"/>
      <c r="BM868" s="14514"/>
      <c r="BN868" s="14514"/>
    </row>
    <row r="869" spans="1:66" ht="29.25" hidden="1" customHeight="1">
      <c r="A869" s="13667">
        <v>538</v>
      </c>
      <c r="B869" s="14167" t="s">
        <v>8114</v>
      </c>
      <c r="C869" s="13598"/>
      <c r="D869" s="11813" t="s">
        <v>10072</v>
      </c>
      <c r="E869" s="12270" t="s">
        <v>1227</v>
      </c>
      <c r="F869" s="7822"/>
      <c r="G869" s="14169" t="s">
        <v>1225</v>
      </c>
      <c r="H869" s="13420" t="s">
        <v>1226</v>
      </c>
      <c r="I869" s="13944">
        <v>3</v>
      </c>
      <c r="K869" s="8561"/>
      <c r="L869" s="7679"/>
      <c r="M869" s="7679"/>
      <c r="N869" s="8562"/>
      <c r="O869" s="8562"/>
      <c r="P869" s="8563"/>
      <c r="Q869" s="7687"/>
      <c r="R869" s="7686"/>
      <c r="S869" s="7680"/>
      <c r="T869" s="7688"/>
      <c r="U869" s="7687"/>
      <c r="V869" s="7686"/>
      <c r="W869" s="7688"/>
      <c r="X869" s="7686"/>
      <c r="Y869" s="7688"/>
      <c r="Z869" s="7686"/>
      <c r="AA869" s="7680"/>
      <c r="AB869" s="7680"/>
      <c r="AC869" s="7680"/>
      <c r="AD869" s="7680"/>
      <c r="AE869" s="7680"/>
      <c r="AF869" s="7688"/>
      <c r="AG869" s="7686"/>
      <c r="AH869" s="7680"/>
      <c r="AI869" s="7680"/>
      <c r="AJ869" s="7680"/>
      <c r="AK869" s="7680"/>
      <c r="AL869" s="7680"/>
      <c r="AM869" s="7680"/>
      <c r="AN869" s="7688"/>
      <c r="AO869" s="7686"/>
      <c r="AP869" s="7680"/>
      <c r="AQ869" s="7680"/>
      <c r="AR869" s="7680"/>
      <c r="AS869" s="7680"/>
      <c r="AT869" s="7688"/>
      <c r="AU869" s="8564"/>
      <c r="AV869" s="8564"/>
      <c r="AW869" s="8564"/>
      <c r="AX869" s="8561"/>
      <c r="AY869" s="8563"/>
      <c r="AZ869" s="8564"/>
      <c r="BA869" s="8561"/>
      <c r="BB869" s="8562"/>
      <c r="BC869" s="8563"/>
      <c r="BD869" s="8565"/>
      <c r="BF869" s="14514"/>
      <c r="BG869" s="14514"/>
      <c r="BH869" s="14514"/>
      <c r="BI869" s="14514"/>
      <c r="BJ869" s="14514"/>
      <c r="BK869" s="10095"/>
      <c r="BL869" s="14514"/>
      <c r="BM869" s="14514"/>
      <c r="BN869" s="14514"/>
    </row>
    <row r="870" spans="1:66" ht="29.25" hidden="1" customHeight="1">
      <c r="A870" s="13667"/>
      <c r="B870" s="14167"/>
      <c r="C870" s="13598"/>
      <c r="D870" s="11813" t="s">
        <v>2896</v>
      </c>
      <c r="E870" s="12270"/>
      <c r="F870" s="11814" t="s">
        <v>1228</v>
      </c>
      <c r="G870" s="14169"/>
      <c r="H870" s="13420"/>
      <c r="I870" s="13944"/>
      <c r="K870" s="8561"/>
      <c r="L870" s="7679"/>
      <c r="M870" s="7679"/>
      <c r="N870" s="8562"/>
      <c r="O870" s="8562"/>
      <c r="P870" s="8563"/>
      <c r="Q870" s="7687"/>
      <c r="R870" s="7686"/>
      <c r="S870" s="7680"/>
      <c r="T870" s="7688"/>
      <c r="U870" s="7687"/>
      <c r="V870" s="7686"/>
      <c r="W870" s="7688"/>
      <c r="X870" s="7686"/>
      <c r="Y870" s="7688"/>
      <c r="Z870" s="7686"/>
      <c r="AA870" s="7680"/>
      <c r="AB870" s="7680"/>
      <c r="AC870" s="7680"/>
      <c r="AD870" s="7680"/>
      <c r="AE870" s="7680"/>
      <c r="AF870" s="7688"/>
      <c r="AG870" s="7686"/>
      <c r="AH870" s="7680"/>
      <c r="AI870" s="7680"/>
      <c r="AJ870" s="7680"/>
      <c r="AK870" s="7680"/>
      <c r="AL870" s="7680"/>
      <c r="AM870" s="7680"/>
      <c r="AN870" s="7688"/>
      <c r="AO870" s="7686"/>
      <c r="AP870" s="7680"/>
      <c r="AQ870" s="7680"/>
      <c r="AR870" s="7680"/>
      <c r="AS870" s="7680"/>
      <c r="AT870" s="7688"/>
      <c r="AU870" s="8564"/>
      <c r="AV870" s="8564"/>
      <c r="AW870" s="8564"/>
      <c r="AX870" s="8561"/>
      <c r="AY870" s="8563"/>
      <c r="AZ870" s="8564"/>
      <c r="BA870" s="8561"/>
      <c r="BB870" s="8562"/>
      <c r="BC870" s="8563"/>
      <c r="BD870" s="8565"/>
      <c r="BF870" s="14514"/>
      <c r="BG870" s="14514"/>
      <c r="BH870" s="14514"/>
      <c r="BI870" s="14514"/>
      <c r="BJ870" s="14514"/>
      <c r="BK870" s="10095"/>
      <c r="BL870" s="14514"/>
      <c r="BM870" s="14514"/>
      <c r="BN870" s="14514"/>
    </row>
    <row r="871" spans="1:66" ht="29.25" hidden="1" customHeight="1">
      <c r="A871" s="10093">
        <v>539</v>
      </c>
      <c r="B871" s="10094" t="s">
        <v>8115</v>
      </c>
      <c r="C871" s="13598"/>
      <c r="D871" s="11813" t="s">
        <v>10072</v>
      </c>
      <c r="E871" s="12270" t="s">
        <v>1231</v>
      </c>
      <c r="F871" s="12271" t="s">
        <v>1232</v>
      </c>
      <c r="G871" s="12272" t="s">
        <v>1229</v>
      </c>
      <c r="H871" s="12273" t="s">
        <v>1230</v>
      </c>
      <c r="I871" s="11816">
        <v>2</v>
      </c>
      <c r="K871" s="8560"/>
      <c r="L871" s="8568"/>
      <c r="M871" s="8568"/>
      <c r="N871" s="8569"/>
      <c r="O871" s="8569"/>
      <c r="P871" s="8570"/>
      <c r="Q871" s="8571"/>
      <c r="R871" s="8572"/>
      <c r="S871" s="8573"/>
      <c r="T871" s="8574"/>
      <c r="U871" s="8571"/>
      <c r="V871" s="8572"/>
      <c r="W871" s="8574"/>
      <c r="X871" s="8572"/>
      <c r="Y871" s="8574"/>
      <c r="Z871" s="8572"/>
      <c r="AA871" s="8573"/>
      <c r="AB871" s="8573"/>
      <c r="AC871" s="8573"/>
      <c r="AD871" s="8573"/>
      <c r="AE871" s="8573"/>
      <c r="AF871" s="8574"/>
      <c r="AG871" s="8572"/>
      <c r="AH871" s="8573"/>
      <c r="AI871" s="8573"/>
      <c r="AJ871" s="8573"/>
      <c r="AK871" s="8573"/>
      <c r="AL871" s="8573"/>
      <c r="AM871" s="8573"/>
      <c r="AN871" s="8574"/>
      <c r="AO871" s="8572"/>
      <c r="AP871" s="8573"/>
      <c r="AQ871" s="8573"/>
      <c r="AR871" s="8573"/>
      <c r="AS871" s="8573"/>
      <c r="AT871" s="8574"/>
      <c r="AU871" s="8575"/>
      <c r="AV871" s="8575"/>
      <c r="AW871" s="8575"/>
      <c r="AX871" s="8560"/>
      <c r="AY871" s="8570"/>
      <c r="AZ871" s="8575"/>
      <c r="BA871" s="8560"/>
      <c r="BB871" s="8569"/>
      <c r="BC871" s="8570"/>
      <c r="BD871" s="8566"/>
      <c r="BF871" s="10095"/>
      <c r="BG871" s="10095"/>
      <c r="BH871" s="10095"/>
      <c r="BI871" s="10095"/>
      <c r="BJ871" s="10095"/>
      <c r="BK871" s="10095"/>
      <c r="BL871" s="10095"/>
      <c r="BM871" s="10095"/>
      <c r="BN871" s="10095"/>
    </row>
    <row r="872" spans="1:66" ht="29.25" hidden="1" customHeight="1">
      <c r="A872" s="13667">
        <v>540</v>
      </c>
      <c r="B872" s="14167" t="s">
        <v>8116</v>
      </c>
      <c r="C872" s="13598"/>
      <c r="D872" s="11813" t="s">
        <v>10072</v>
      </c>
      <c r="E872" s="12270" t="s">
        <v>1236</v>
      </c>
      <c r="F872" s="11814"/>
      <c r="G872" s="14169" t="s">
        <v>1234</v>
      </c>
      <c r="H872" s="13420" t="s">
        <v>1235</v>
      </c>
      <c r="I872" s="13944">
        <v>40</v>
      </c>
      <c r="K872" s="8561"/>
      <c r="L872" s="7679"/>
      <c r="M872" s="7679"/>
      <c r="N872" s="8562"/>
      <c r="O872" s="8562"/>
      <c r="P872" s="8563"/>
      <c r="Q872" s="7687"/>
      <c r="R872" s="7686"/>
      <c r="S872" s="7680"/>
      <c r="T872" s="7688"/>
      <c r="U872" s="7687"/>
      <c r="V872" s="7686"/>
      <c r="W872" s="7688"/>
      <c r="X872" s="7686"/>
      <c r="Y872" s="7688"/>
      <c r="Z872" s="7686"/>
      <c r="AA872" s="7680"/>
      <c r="AB872" s="7680"/>
      <c r="AC872" s="7680"/>
      <c r="AD872" s="7680"/>
      <c r="AE872" s="7680"/>
      <c r="AF872" s="7688"/>
      <c r="AG872" s="7686"/>
      <c r="AH872" s="7680"/>
      <c r="AI872" s="7680"/>
      <c r="AJ872" s="7680"/>
      <c r="AK872" s="7680"/>
      <c r="AL872" s="7680"/>
      <c r="AM872" s="7680"/>
      <c r="AN872" s="7688"/>
      <c r="AO872" s="7686"/>
      <c r="AP872" s="7680"/>
      <c r="AQ872" s="7680"/>
      <c r="AR872" s="7680"/>
      <c r="AS872" s="7680"/>
      <c r="AT872" s="7688"/>
      <c r="AU872" s="8564"/>
      <c r="AV872" s="8564"/>
      <c r="AW872" s="8564"/>
      <c r="AX872" s="8561"/>
      <c r="AY872" s="8563"/>
      <c r="AZ872" s="8564"/>
      <c r="BA872" s="8561"/>
      <c r="BB872" s="8562"/>
      <c r="BC872" s="8563"/>
      <c r="BD872" s="8565"/>
      <c r="BF872" s="14514"/>
      <c r="BG872" s="14514"/>
      <c r="BH872" s="14514"/>
      <c r="BI872" s="14514"/>
      <c r="BJ872" s="14514"/>
      <c r="BK872" s="10095"/>
      <c r="BL872" s="14514"/>
      <c r="BM872" s="14514"/>
      <c r="BN872" s="14514"/>
    </row>
    <row r="873" spans="1:66" ht="29.25" hidden="1" customHeight="1">
      <c r="A873" s="13667"/>
      <c r="B873" s="14167"/>
      <c r="C873" s="13598"/>
      <c r="D873" s="11813" t="s">
        <v>2896</v>
      </c>
      <c r="E873" s="12270"/>
      <c r="F873" s="11814" t="s">
        <v>10259</v>
      </c>
      <c r="G873" s="14169"/>
      <c r="H873" s="13420"/>
      <c r="I873" s="13944"/>
      <c r="K873" s="8561"/>
      <c r="L873" s="7679"/>
      <c r="M873" s="7679"/>
      <c r="N873" s="8562"/>
      <c r="O873" s="8562"/>
      <c r="P873" s="8563"/>
      <c r="Q873" s="7687"/>
      <c r="R873" s="7686"/>
      <c r="S873" s="7680"/>
      <c r="T873" s="7688"/>
      <c r="U873" s="7687"/>
      <c r="V873" s="7686"/>
      <c r="W873" s="7688"/>
      <c r="X873" s="7686"/>
      <c r="Y873" s="7688"/>
      <c r="Z873" s="7686"/>
      <c r="AA873" s="7680"/>
      <c r="AB873" s="7680"/>
      <c r="AC873" s="7680"/>
      <c r="AD873" s="7680"/>
      <c r="AE873" s="7680"/>
      <c r="AF873" s="7688"/>
      <c r="AG873" s="7686"/>
      <c r="AH873" s="7680"/>
      <c r="AI873" s="7680"/>
      <c r="AJ873" s="7680"/>
      <c r="AK873" s="7680"/>
      <c r="AL873" s="7680"/>
      <c r="AM873" s="7680"/>
      <c r="AN873" s="7688"/>
      <c r="AO873" s="7686"/>
      <c r="AP873" s="7680"/>
      <c r="AQ873" s="7680"/>
      <c r="AR873" s="7680"/>
      <c r="AS873" s="7680"/>
      <c r="AT873" s="7688"/>
      <c r="AU873" s="8564"/>
      <c r="AV873" s="8564"/>
      <c r="AW873" s="8564"/>
      <c r="AX873" s="8561"/>
      <c r="AY873" s="8563"/>
      <c r="AZ873" s="8564"/>
      <c r="BA873" s="8561"/>
      <c r="BB873" s="8562"/>
      <c r="BC873" s="8563"/>
      <c r="BD873" s="8565"/>
      <c r="BF873" s="14514"/>
      <c r="BG873" s="14514"/>
      <c r="BH873" s="14514"/>
      <c r="BI873" s="14514"/>
      <c r="BJ873" s="14514"/>
      <c r="BK873" s="10095"/>
      <c r="BL873" s="14514"/>
      <c r="BM873" s="14514"/>
      <c r="BN873" s="14514"/>
    </row>
    <row r="874" spans="1:66" ht="29.25" hidden="1" customHeight="1">
      <c r="A874" s="13667"/>
      <c r="B874" s="14167"/>
      <c r="C874" s="13598"/>
      <c r="D874" s="11813" t="s">
        <v>10063</v>
      </c>
      <c r="E874" s="12270"/>
      <c r="F874" s="11814" t="s">
        <v>10258</v>
      </c>
      <c r="G874" s="14169"/>
      <c r="H874" s="13420"/>
      <c r="I874" s="13944"/>
      <c r="K874" s="8561"/>
      <c r="L874" s="7679"/>
      <c r="M874" s="7679"/>
      <c r="N874" s="8562"/>
      <c r="O874" s="8562"/>
      <c r="P874" s="8563"/>
      <c r="Q874" s="7687"/>
      <c r="R874" s="7686"/>
      <c r="S874" s="7680"/>
      <c r="T874" s="7688"/>
      <c r="U874" s="7687"/>
      <c r="V874" s="7686"/>
      <c r="W874" s="7688"/>
      <c r="X874" s="7686"/>
      <c r="Y874" s="7688"/>
      <c r="Z874" s="7686"/>
      <c r="AA874" s="7680"/>
      <c r="AB874" s="7680"/>
      <c r="AC874" s="7680"/>
      <c r="AD874" s="7680"/>
      <c r="AE874" s="7680"/>
      <c r="AF874" s="7688"/>
      <c r="AG874" s="7686"/>
      <c r="AH874" s="7680"/>
      <c r="AI874" s="7680"/>
      <c r="AJ874" s="7680"/>
      <c r="AK874" s="7680"/>
      <c r="AL874" s="7680"/>
      <c r="AM874" s="7680"/>
      <c r="AN874" s="7688"/>
      <c r="AO874" s="7686"/>
      <c r="AP874" s="7680"/>
      <c r="AQ874" s="7680"/>
      <c r="AR874" s="7680"/>
      <c r="AS874" s="7680"/>
      <c r="AT874" s="7688"/>
      <c r="AU874" s="8564"/>
      <c r="AV874" s="8564"/>
      <c r="AW874" s="8564"/>
      <c r="AX874" s="8561"/>
      <c r="AY874" s="8563"/>
      <c r="AZ874" s="8564"/>
      <c r="BA874" s="8561"/>
      <c r="BB874" s="8562"/>
      <c r="BC874" s="8563"/>
      <c r="BD874" s="8565"/>
      <c r="BF874" s="14514"/>
      <c r="BG874" s="14514"/>
      <c r="BH874" s="14514"/>
      <c r="BI874" s="14514"/>
      <c r="BJ874" s="14514"/>
      <c r="BK874" s="10095"/>
      <c r="BL874" s="14514"/>
      <c r="BM874" s="14514"/>
      <c r="BN874" s="14514"/>
    </row>
    <row r="875" spans="1:66" ht="29.25" hidden="1" customHeight="1" thickBot="1">
      <c r="A875" s="13695"/>
      <c r="B875" s="14168"/>
      <c r="C875" s="13598"/>
      <c r="D875" s="12274" t="s">
        <v>10066</v>
      </c>
      <c r="E875" s="12275"/>
      <c r="F875" s="12317" t="s">
        <v>10260</v>
      </c>
      <c r="G875" s="14170"/>
      <c r="H875" s="13452"/>
      <c r="I875" s="14205"/>
      <c r="K875" s="8577"/>
      <c r="L875" s="7701"/>
      <c r="M875" s="7701"/>
      <c r="N875" s="8578"/>
      <c r="O875" s="8578"/>
      <c r="P875" s="8579"/>
      <c r="Q875" s="7704"/>
      <c r="R875" s="7705"/>
      <c r="S875" s="7706"/>
      <c r="T875" s="7707"/>
      <c r="U875" s="7704"/>
      <c r="V875" s="7705"/>
      <c r="W875" s="7707"/>
      <c r="X875" s="7705"/>
      <c r="Y875" s="7707"/>
      <c r="Z875" s="7705"/>
      <c r="AA875" s="7706"/>
      <c r="AB875" s="7706"/>
      <c r="AC875" s="7706"/>
      <c r="AD875" s="7706"/>
      <c r="AE875" s="7706"/>
      <c r="AF875" s="7707"/>
      <c r="AG875" s="7705"/>
      <c r="AH875" s="7706"/>
      <c r="AI875" s="7706"/>
      <c r="AJ875" s="7706"/>
      <c r="AK875" s="7706"/>
      <c r="AL875" s="7706"/>
      <c r="AM875" s="7706"/>
      <c r="AN875" s="7707"/>
      <c r="AO875" s="7705"/>
      <c r="AP875" s="7706"/>
      <c r="AQ875" s="7706"/>
      <c r="AR875" s="7706"/>
      <c r="AS875" s="7706"/>
      <c r="AT875" s="7707"/>
      <c r="AU875" s="8580"/>
      <c r="AV875" s="8580"/>
      <c r="AW875" s="8580"/>
      <c r="AX875" s="8577"/>
      <c r="AY875" s="8579"/>
      <c r="AZ875" s="8580"/>
      <c r="BA875" s="8577"/>
      <c r="BB875" s="8578"/>
      <c r="BC875" s="8579"/>
      <c r="BD875" s="8581"/>
      <c r="BF875" s="14515"/>
      <c r="BG875" s="14515"/>
      <c r="BH875" s="14515"/>
      <c r="BI875" s="14515"/>
      <c r="BJ875" s="14515"/>
      <c r="BK875" s="10116"/>
      <c r="BL875" s="14515"/>
      <c r="BM875" s="14515"/>
      <c r="BN875" s="14515"/>
    </row>
    <row r="876" spans="1:66" ht="29.25" hidden="1" customHeight="1">
      <c r="A876" s="13650">
        <v>541</v>
      </c>
      <c r="B876" s="14188" t="s">
        <v>8117</v>
      </c>
      <c r="C876" s="13598"/>
      <c r="D876" s="11783" t="s">
        <v>10072</v>
      </c>
      <c r="E876" s="12261" t="s">
        <v>1231</v>
      </c>
      <c r="F876" s="7851" t="s">
        <v>1232</v>
      </c>
      <c r="G876" s="14189" t="s">
        <v>1239</v>
      </c>
      <c r="H876" s="13412" t="s">
        <v>1240</v>
      </c>
      <c r="I876" s="12263">
        <v>0</v>
      </c>
      <c r="K876" s="8419"/>
      <c r="L876" s="9513"/>
      <c r="M876" s="9513"/>
      <c r="N876" s="7916"/>
      <c r="O876" s="7916"/>
      <c r="P876" s="9892"/>
      <c r="Q876" s="9516"/>
      <c r="R876" s="9517"/>
      <c r="S876" s="9518"/>
      <c r="T876" s="9519"/>
      <c r="U876" s="9516"/>
      <c r="V876" s="9517"/>
      <c r="W876" s="9519"/>
      <c r="X876" s="9517"/>
      <c r="Y876" s="9519"/>
      <c r="Z876" s="9517"/>
      <c r="AA876" s="9518"/>
      <c r="AB876" s="9518"/>
      <c r="AC876" s="9518"/>
      <c r="AD876" s="9518"/>
      <c r="AE876" s="9518"/>
      <c r="AF876" s="9519"/>
      <c r="AG876" s="9517"/>
      <c r="AH876" s="9518"/>
      <c r="AI876" s="9518"/>
      <c r="AJ876" s="9518"/>
      <c r="AK876" s="9518"/>
      <c r="AL876" s="9518"/>
      <c r="AM876" s="9518"/>
      <c r="AN876" s="9519"/>
      <c r="AO876" s="9517"/>
      <c r="AP876" s="9518"/>
      <c r="AQ876" s="9518"/>
      <c r="AR876" s="9518"/>
      <c r="AS876" s="9518"/>
      <c r="AT876" s="9519"/>
      <c r="AU876" s="9893"/>
      <c r="AV876" s="9893"/>
      <c r="AW876" s="9893"/>
      <c r="AX876" s="8419"/>
      <c r="AY876" s="9892"/>
      <c r="AZ876" s="9893"/>
      <c r="BA876" s="8419"/>
      <c r="BB876" s="7916"/>
      <c r="BC876" s="9892"/>
      <c r="BD876" s="8771"/>
      <c r="BF876" s="14525"/>
      <c r="BG876" s="14525"/>
      <c r="BH876" s="14525"/>
      <c r="BI876" s="14525"/>
      <c r="BJ876" s="14525"/>
      <c r="BK876" s="10079"/>
      <c r="BL876" s="14525"/>
      <c r="BM876" s="14525"/>
      <c r="BN876" s="14525"/>
    </row>
    <row r="877" spans="1:66" ht="29.25" hidden="1" customHeight="1">
      <c r="A877" s="13527"/>
      <c r="B877" s="14127"/>
      <c r="C877" s="13598"/>
      <c r="D877" s="11786" t="s">
        <v>2896</v>
      </c>
      <c r="E877" s="12228"/>
      <c r="F877" s="7833" t="s">
        <v>9570</v>
      </c>
      <c r="G877" s="14129"/>
      <c r="H877" s="13399"/>
      <c r="I877" s="11787"/>
      <c r="K877" s="8431"/>
      <c r="L877" s="8443"/>
      <c r="M877" s="8443"/>
      <c r="N877" s="8444"/>
      <c r="O877" s="8444"/>
      <c r="P877" s="8445"/>
      <c r="Q877" s="8446"/>
      <c r="R877" s="8447"/>
      <c r="S877" s="8448"/>
      <c r="T877" s="8449"/>
      <c r="U877" s="8446"/>
      <c r="V877" s="8447"/>
      <c r="W877" s="8449"/>
      <c r="X877" s="8447"/>
      <c r="Y877" s="8449"/>
      <c r="Z877" s="8447"/>
      <c r="AA877" s="8448"/>
      <c r="AB877" s="8448"/>
      <c r="AC877" s="8448"/>
      <c r="AD877" s="8448"/>
      <c r="AE877" s="8448"/>
      <c r="AF877" s="8449"/>
      <c r="AG877" s="8447"/>
      <c r="AH877" s="8448"/>
      <c r="AI877" s="8448"/>
      <c r="AJ877" s="8448"/>
      <c r="AK877" s="8448"/>
      <c r="AL877" s="8448"/>
      <c r="AM877" s="8448"/>
      <c r="AN877" s="8449"/>
      <c r="AO877" s="8447"/>
      <c r="AP877" s="8448"/>
      <c r="AQ877" s="8448"/>
      <c r="AR877" s="8448"/>
      <c r="AS877" s="8448"/>
      <c r="AT877" s="8449"/>
      <c r="AU877" s="8450"/>
      <c r="AV877" s="8450"/>
      <c r="AW877" s="8450"/>
      <c r="AX877" s="8431"/>
      <c r="AY877" s="8445"/>
      <c r="AZ877" s="8450"/>
      <c r="BA877" s="8431"/>
      <c r="BB877" s="8444"/>
      <c r="BC877" s="8445"/>
      <c r="BD877" s="7952"/>
      <c r="BF877" s="14502"/>
      <c r="BG877" s="14502"/>
      <c r="BH877" s="14502"/>
      <c r="BI877" s="14502"/>
      <c r="BJ877" s="14502"/>
      <c r="BK877" s="9895"/>
      <c r="BL877" s="14502"/>
      <c r="BM877" s="14502"/>
      <c r="BN877" s="14502"/>
    </row>
    <row r="878" spans="1:66" ht="29.25" hidden="1" customHeight="1">
      <c r="A878" s="9985">
        <v>542</v>
      </c>
      <c r="B878" s="9986" t="s">
        <v>8118</v>
      </c>
      <c r="C878" s="13598"/>
      <c r="D878" s="11786" t="s">
        <v>10072</v>
      </c>
      <c r="E878" s="12228" t="s">
        <v>1243</v>
      </c>
      <c r="F878" s="7833"/>
      <c r="G878" s="12229" t="s">
        <v>1241</v>
      </c>
      <c r="H878" s="12230" t="s">
        <v>1242</v>
      </c>
      <c r="I878" s="11787">
        <v>1</v>
      </c>
      <c r="K878" s="8431"/>
      <c r="L878" s="8443"/>
      <c r="M878" s="8443"/>
      <c r="N878" s="8444"/>
      <c r="O878" s="8444"/>
      <c r="P878" s="8445"/>
      <c r="Q878" s="8446"/>
      <c r="R878" s="8447"/>
      <c r="S878" s="8448"/>
      <c r="T878" s="8449"/>
      <c r="U878" s="8446"/>
      <c r="V878" s="8447"/>
      <c r="W878" s="8449"/>
      <c r="X878" s="8447"/>
      <c r="Y878" s="8449"/>
      <c r="Z878" s="8447"/>
      <c r="AA878" s="8448"/>
      <c r="AB878" s="8448"/>
      <c r="AC878" s="8448"/>
      <c r="AD878" s="8448"/>
      <c r="AE878" s="8448"/>
      <c r="AF878" s="8449"/>
      <c r="AG878" s="8447"/>
      <c r="AH878" s="8448"/>
      <c r="AI878" s="8448"/>
      <c r="AJ878" s="8448"/>
      <c r="AK878" s="8448"/>
      <c r="AL878" s="8448"/>
      <c r="AM878" s="8448"/>
      <c r="AN878" s="8449"/>
      <c r="AO878" s="8447"/>
      <c r="AP878" s="8448"/>
      <c r="AQ878" s="8448"/>
      <c r="AR878" s="8448"/>
      <c r="AS878" s="8448"/>
      <c r="AT878" s="8449"/>
      <c r="AU878" s="8450"/>
      <c r="AV878" s="8450"/>
      <c r="AW878" s="8450"/>
      <c r="AX878" s="8431"/>
      <c r="AY878" s="8445"/>
      <c r="AZ878" s="8450"/>
      <c r="BA878" s="8431"/>
      <c r="BB878" s="8444"/>
      <c r="BC878" s="8445"/>
      <c r="BD878" s="7952"/>
      <c r="BF878" s="9895"/>
      <c r="BG878" s="9895"/>
      <c r="BH878" s="9895"/>
      <c r="BI878" s="9895"/>
      <c r="BJ878" s="9895"/>
      <c r="BK878" s="9895"/>
      <c r="BL878" s="9895"/>
      <c r="BM878" s="9895"/>
      <c r="BN878" s="9895"/>
    </row>
    <row r="879" spans="1:66" ht="29.25" hidden="1" customHeight="1">
      <c r="A879" s="13527">
        <v>543</v>
      </c>
      <c r="B879" s="14127" t="s">
        <v>8119</v>
      </c>
      <c r="C879" s="13598"/>
      <c r="D879" s="11786" t="s">
        <v>10072</v>
      </c>
      <c r="E879" s="12228" t="s">
        <v>1246</v>
      </c>
      <c r="F879" s="7833"/>
      <c r="G879" s="14129" t="s">
        <v>1244</v>
      </c>
      <c r="H879" s="13399" t="s">
        <v>1245</v>
      </c>
      <c r="I879" s="13866">
        <v>40</v>
      </c>
      <c r="K879" s="8432"/>
      <c r="L879" s="7965"/>
      <c r="M879" s="7965"/>
      <c r="N879" s="8433"/>
      <c r="O879" s="8433"/>
      <c r="P879" s="8434"/>
      <c r="Q879" s="7967"/>
      <c r="R879" s="7968"/>
      <c r="S879" s="7969"/>
      <c r="T879" s="7970"/>
      <c r="U879" s="7967"/>
      <c r="V879" s="7968"/>
      <c r="W879" s="7970"/>
      <c r="X879" s="7968"/>
      <c r="Y879" s="7970"/>
      <c r="Z879" s="7968"/>
      <c r="AA879" s="7969"/>
      <c r="AB879" s="7969"/>
      <c r="AC879" s="7969"/>
      <c r="AD879" s="7969"/>
      <c r="AE879" s="7969"/>
      <c r="AF879" s="7970"/>
      <c r="AG879" s="7968"/>
      <c r="AH879" s="7969"/>
      <c r="AI879" s="7969"/>
      <c r="AJ879" s="7969"/>
      <c r="AK879" s="7969"/>
      <c r="AL879" s="7969"/>
      <c r="AM879" s="7969"/>
      <c r="AN879" s="7970"/>
      <c r="AO879" s="7968"/>
      <c r="AP879" s="7969"/>
      <c r="AQ879" s="7969"/>
      <c r="AR879" s="7969"/>
      <c r="AS879" s="7969"/>
      <c r="AT879" s="7970"/>
      <c r="AU879" s="8435"/>
      <c r="AV879" s="8435"/>
      <c r="AW879" s="8435"/>
      <c r="AX879" s="8432"/>
      <c r="AY879" s="8434"/>
      <c r="AZ879" s="8435"/>
      <c r="BA879" s="8432"/>
      <c r="BB879" s="8433"/>
      <c r="BC879" s="8434"/>
      <c r="BD879" s="8436"/>
      <c r="BF879" s="14502"/>
      <c r="BG879" s="14502"/>
      <c r="BH879" s="14502"/>
      <c r="BI879" s="14502"/>
      <c r="BJ879" s="14502"/>
      <c r="BK879" s="9895"/>
      <c r="BL879" s="14502"/>
      <c r="BM879" s="14502"/>
      <c r="BN879" s="14502"/>
    </row>
    <row r="880" spans="1:66" ht="29.25" customHeight="1">
      <c r="A880" s="13527"/>
      <c r="B880" s="14127"/>
      <c r="C880" s="13598"/>
      <c r="D880" s="11786" t="s">
        <v>86</v>
      </c>
      <c r="E880" s="12228"/>
      <c r="F880" s="7833" t="s">
        <v>1247</v>
      </c>
      <c r="G880" s="14129"/>
      <c r="H880" s="13399"/>
      <c r="I880" s="13866"/>
      <c r="K880" s="8431"/>
      <c r="L880" s="7965"/>
      <c r="M880" s="7965"/>
      <c r="N880" s="8433"/>
      <c r="O880" s="8433"/>
      <c r="P880" s="8445" t="s">
        <v>2861</v>
      </c>
      <c r="Q880" s="7967"/>
      <c r="R880" s="7968"/>
      <c r="S880" s="7969"/>
      <c r="T880" s="7970"/>
      <c r="U880" s="7967"/>
      <c r="V880" s="7968"/>
      <c r="W880" s="7970"/>
      <c r="X880" s="7968"/>
      <c r="Y880" s="7970"/>
      <c r="Z880" s="7968"/>
      <c r="AA880" s="7969"/>
      <c r="AB880" s="7969"/>
      <c r="AC880" s="7969"/>
      <c r="AD880" s="7969"/>
      <c r="AE880" s="7969"/>
      <c r="AF880" s="7970"/>
      <c r="AG880" s="7968"/>
      <c r="AH880" s="7969"/>
      <c r="AI880" s="7969"/>
      <c r="AJ880" s="7969"/>
      <c r="AK880" s="7969"/>
      <c r="AL880" s="7969"/>
      <c r="AM880" s="7969"/>
      <c r="AN880" s="7970"/>
      <c r="AO880" s="7968"/>
      <c r="AP880" s="7969"/>
      <c r="AQ880" s="7969"/>
      <c r="AR880" s="7969"/>
      <c r="AS880" s="7969"/>
      <c r="AT880" s="7970"/>
      <c r="AU880" s="8435"/>
      <c r="AV880" s="8435"/>
      <c r="AW880" s="8435"/>
      <c r="AX880" s="8432"/>
      <c r="AY880" s="8434"/>
      <c r="AZ880" s="8435"/>
      <c r="BA880" s="8432"/>
      <c r="BB880" s="8433"/>
      <c r="BC880" s="8434"/>
      <c r="BD880" s="8436"/>
      <c r="BF880" s="14502"/>
      <c r="BG880" s="14502"/>
      <c r="BH880" s="14502"/>
      <c r="BI880" s="14502"/>
      <c r="BJ880" s="14502"/>
      <c r="BK880" s="13069"/>
      <c r="BL880" s="14502"/>
      <c r="BM880" s="14502"/>
      <c r="BN880" s="14502"/>
    </row>
    <row r="881" spans="1:66" ht="29.25" hidden="1" customHeight="1">
      <c r="A881" s="9985">
        <v>544</v>
      </c>
      <c r="B881" s="9986" t="s">
        <v>8120</v>
      </c>
      <c r="C881" s="13598"/>
      <c r="D881" s="11786" t="s">
        <v>10072</v>
      </c>
      <c r="E881" s="7833" t="s">
        <v>1246</v>
      </c>
      <c r="F881" s="7832" t="s">
        <v>1232</v>
      </c>
      <c r="G881" s="12229" t="s">
        <v>1248</v>
      </c>
      <c r="H881" s="12230"/>
      <c r="I881" s="11787"/>
      <c r="K881" s="8431"/>
      <c r="L881" s="8443"/>
      <c r="M881" s="8443"/>
      <c r="N881" s="8444"/>
      <c r="O881" s="8444"/>
      <c r="P881" s="8445"/>
      <c r="Q881" s="8446"/>
      <c r="R881" s="8447"/>
      <c r="S881" s="8448"/>
      <c r="T881" s="8449"/>
      <c r="U881" s="8446"/>
      <c r="V881" s="8447"/>
      <c r="W881" s="8449"/>
      <c r="X881" s="8447"/>
      <c r="Y881" s="8449"/>
      <c r="Z881" s="8447"/>
      <c r="AA881" s="8448"/>
      <c r="AB881" s="8448"/>
      <c r="AC881" s="8448"/>
      <c r="AD881" s="8448"/>
      <c r="AE881" s="8448"/>
      <c r="AF881" s="8449"/>
      <c r="AG881" s="8447"/>
      <c r="AH881" s="8448"/>
      <c r="AI881" s="8448"/>
      <c r="AJ881" s="8448"/>
      <c r="AK881" s="8448"/>
      <c r="AL881" s="8448"/>
      <c r="AM881" s="8448"/>
      <c r="AN881" s="8449"/>
      <c r="AO881" s="8447"/>
      <c r="AP881" s="8448"/>
      <c r="AQ881" s="8448"/>
      <c r="AR881" s="8448"/>
      <c r="AS881" s="8448"/>
      <c r="AT881" s="8449"/>
      <c r="AU881" s="8450"/>
      <c r="AV881" s="8450"/>
      <c r="AW881" s="8450"/>
      <c r="AX881" s="8431"/>
      <c r="AY881" s="8445"/>
      <c r="AZ881" s="8450"/>
      <c r="BA881" s="8431"/>
      <c r="BB881" s="8444"/>
      <c r="BC881" s="8445"/>
      <c r="BD881" s="7952"/>
      <c r="BF881" s="9895"/>
      <c r="BG881" s="9895"/>
      <c r="BH881" s="9895"/>
      <c r="BI881" s="9895"/>
      <c r="BJ881" s="9895"/>
      <c r="BK881" s="9895"/>
      <c r="BL881" s="9895"/>
      <c r="BM881" s="9895"/>
      <c r="BN881" s="9895"/>
    </row>
    <row r="882" spans="1:66" ht="29.25" hidden="1" customHeight="1">
      <c r="A882" s="9985">
        <v>545</v>
      </c>
      <c r="B882" s="9986" t="s">
        <v>8121</v>
      </c>
      <c r="C882" s="13598"/>
      <c r="D882" s="11786" t="s">
        <v>10072</v>
      </c>
      <c r="E882" s="7833" t="s">
        <v>1231</v>
      </c>
      <c r="F882" s="7832" t="s">
        <v>1232</v>
      </c>
      <c r="G882" s="12229" t="s">
        <v>1249</v>
      </c>
      <c r="H882" s="12230"/>
      <c r="I882" s="11787"/>
      <c r="K882" s="8431"/>
      <c r="L882" s="8443"/>
      <c r="M882" s="8443"/>
      <c r="N882" s="8444"/>
      <c r="O882" s="8444"/>
      <c r="P882" s="8445"/>
      <c r="Q882" s="8446"/>
      <c r="R882" s="8447"/>
      <c r="S882" s="8448"/>
      <c r="T882" s="8449"/>
      <c r="U882" s="8446"/>
      <c r="V882" s="8447"/>
      <c r="W882" s="8449"/>
      <c r="X882" s="8447"/>
      <c r="Y882" s="8449"/>
      <c r="Z882" s="8447"/>
      <c r="AA882" s="8448"/>
      <c r="AB882" s="8448"/>
      <c r="AC882" s="8448"/>
      <c r="AD882" s="8448"/>
      <c r="AE882" s="8448"/>
      <c r="AF882" s="8449"/>
      <c r="AG882" s="8447"/>
      <c r="AH882" s="8448"/>
      <c r="AI882" s="8448"/>
      <c r="AJ882" s="8448"/>
      <c r="AK882" s="8448"/>
      <c r="AL882" s="8448"/>
      <c r="AM882" s="8448"/>
      <c r="AN882" s="8449"/>
      <c r="AO882" s="8447"/>
      <c r="AP882" s="8448"/>
      <c r="AQ882" s="8448"/>
      <c r="AR882" s="8448"/>
      <c r="AS882" s="8448"/>
      <c r="AT882" s="8449"/>
      <c r="AU882" s="8450"/>
      <c r="AV882" s="8450"/>
      <c r="AW882" s="8450"/>
      <c r="AX882" s="8431"/>
      <c r="AY882" s="8445"/>
      <c r="AZ882" s="8450"/>
      <c r="BA882" s="8431"/>
      <c r="BB882" s="8444"/>
      <c r="BC882" s="8445"/>
      <c r="BD882" s="7952"/>
      <c r="BF882" s="9895"/>
      <c r="BG882" s="9895"/>
      <c r="BH882" s="9895"/>
      <c r="BI882" s="9895"/>
      <c r="BJ882" s="9895"/>
      <c r="BK882" s="9895"/>
      <c r="BL882" s="9895"/>
      <c r="BM882" s="9895"/>
      <c r="BN882" s="9895"/>
    </row>
    <row r="883" spans="1:66" ht="29.25" hidden="1" customHeight="1" thickBot="1">
      <c r="A883" s="10198">
        <v>546</v>
      </c>
      <c r="B883" s="10199" t="s">
        <v>8122</v>
      </c>
      <c r="C883" s="13598"/>
      <c r="D883" s="11789" t="s">
        <v>10072</v>
      </c>
      <c r="E883" s="7834" t="s">
        <v>1246</v>
      </c>
      <c r="F883" s="12318" t="s">
        <v>1251</v>
      </c>
      <c r="G883" s="12297" t="s">
        <v>1250</v>
      </c>
      <c r="H883" s="12298"/>
      <c r="I883" s="11791"/>
      <c r="K883" s="8463"/>
      <c r="L883" s="8464"/>
      <c r="M883" s="8464"/>
      <c r="N883" s="8465"/>
      <c r="O883" s="8465"/>
      <c r="P883" s="8466"/>
      <c r="Q883" s="8467"/>
      <c r="R883" s="8468"/>
      <c r="S883" s="8469"/>
      <c r="T883" s="8470"/>
      <c r="U883" s="8467"/>
      <c r="V883" s="8468"/>
      <c r="W883" s="8470"/>
      <c r="X883" s="8468"/>
      <c r="Y883" s="8470"/>
      <c r="Z883" s="8468"/>
      <c r="AA883" s="8469"/>
      <c r="AB883" s="8469"/>
      <c r="AC883" s="8469"/>
      <c r="AD883" s="8469"/>
      <c r="AE883" s="8469"/>
      <c r="AF883" s="8470"/>
      <c r="AG883" s="8468"/>
      <c r="AH883" s="8469"/>
      <c r="AI883" s="8469"/>
      <c r="AJ883" s="8469"/>
      <c r="AK883" s="8469"/>
      <c r="AL883" s="8469"/>
      <c r="AM883" s="8469"/>
      <c r="AN883" s="8470"/>
      <c r="AO883" s="8468"/>
      <c r="AP883" s="8469"/>
      <c r="AQ883" s="8469"/>
      <c r="AR883" s="8469"/>
      <c r="AS883" s="8469"/>
      <c r="AT883" s="8470"/>
      <c r="AU883" s="8471"/>
      <c r="AV883" s="8471"/>
      <c r="AW883" s="8471"/>
      <c r="AX883" s="8463"/>
      <c r="AY883" s="8466"/>
      <c r="AZ883" s="8471"/>
      <c r="BA883" s="8463"/>
      <c r="BB883" s="8465"/>
      <c r="BC883" s="8466"/>
      <c r="BD883" s="8461"/>
      <c r="BF883" s="9906"/>
      <c r="BG883" s="9906"/>
      <c r="BH883" s="9906"/>
      <c r="BI883" s="9906"/>
      <c r="BJ883" s="9906"/>
      <c r="BK883" s="9906"/>
      <c r="BL883" s="9906"/>
      <c r="BM883" s="9906"/>
      <c r="BN883" s="9906"/>
    </row>
    <row r="884" spans="1:66" ht="29.25" hidden="1" customHeight="1">
      <c r="A884" s="13696">
        <v>547</v>
      </c>
      <c r="B884" s="14131" t="s">
        <v>8123</v>
      </c>
      <c r="C884" s="13598"/>
      <c r="D884" s="12208" t="s">
        <v>10072</v>
      </c>
      <c r="E884" s="12209" t="s">
        <v>1246</v>
      </c>
      <c r="F884" s="11793"/>
      <c r="G884" s="14133" t="s">
        <v>1254</v>
      </c>
      <c r="H884" s="13453" t="s">
        <v>1255</v>
      </c>
      <c r="I884" s="14181">
        <v>5</v>
      </c>
      <c r="K884" s="9947"/>
      <c r="L884" s="9948"/>
      <c r="M884" s="9948"/>
      <c r="N884" s="6206"/>
      <c r="O884" s="6206"/>
      <c r="P884" s="9949"/>
      <c r="Q884" s="9950"/>
      <c r="R884" s="9951"/>
      <c r="S884" s="9952"/>
      <c r="T884" s="9953"/>
      <c r="U884" s="9950"/>
      <c r="V884" s="9951"/>
      <c r="W884" s="9953"/>
      <c r="X884" s="9951"/>
      <c r="Y884" s="9953"/>
      <c r="Z884" s="9951"/>
      <c r="AA884" s="9952"/>
      <c r="AB884" s="9952"/>
      <c r="AC884" s="9952"/>
      <c r="AD884" s="9952"/>
      <c r="AE884" s="9952"/>
      <c r="AF884" s="9953"/>
      <c r="AG884" s="9951"/>
      <c r="AH884" s="9952"/>
      <c r="AI884" s="9952"/>
      <c r="AJ884" s="9952"/>
      <c r="AK884" s="9952"/>
      <c r="AL884" s="9952"/>
      <c r="AM884" s="9952"/>
      <c r="AN884" s="9953"/>
      <c r="AO884" s="9951"/>
      <c r="AP884" s="9952"/>
      <c r="AQ884" s="9952"/>
      <c r="AR884" s="9952"/>
      <c r="AS884" s="9952"/>
      <c r="AT884" s="9953"/>
      <c r="AU884" s="9954"/>
      <c r="AV884" s="9954"/>
      <c r="AW884" s="9954"/>
      <c r="AX884" s="9947"/>
      <c r="AY884" s="9949"/>
      <c r="AZ884" s="9954"/>
      <c r="BA884" s="9947"/>
      <c r="BB884" s="6206"/>
      <c r="BC884" s="9949"/>
      <c r="BD884" s="9955"/>
      <c r="BF884" s="14506"/>
      <c r="BG884" s="14506"/>
      <c r="BH884" s="14506"/>
      <c r="BI884" s="14506"/>
      <c r="BJ884" s="14506"/>
      <c r="BK884" s="9956"/>
      <c r="BL884" s="14506"/>
      <c r="BM884" s="14506"/>
      <c r="BN884" s="14506"/>
    </row>
    <row r="885" spans="1:66" ht="29.25" customHeight="1">
      <c r="A885" s="13697"/>
      <c r="B885" s="14132"/>
      <c r="C885" s="13598"/>
      <c r="D885" s="12210" t="s">
        <v>86</v>
      </c>
      <c r="E885" s="12211"/>
      <c r="F885" s="7848" t="s">
        <v>1256</v>
      </c>
      <c r="G885" s="14134"/>
      <c r="H885" s="13454"/>
      <c r="I885" s="14182"/>
      <c r="K885" s="9957"/>
      <c r="L885" s="8504"/>
      <c r="M885" s="8504"/>
      <c r="N885" s="9959"/>
      <c r="O885" s="9959"/>
      <c r="P885" s="9967" t="s">
        <v>2861</v>
      </c>
      <c r="Q885" s="8507"/>
      <c r="R885" s="8508"/>
      <c r="S885" s="8509"/>
      <c r="T885" s="8510"/>
      <c r="U885" s="8507"/>
      <c r="V885" s="8508"/>
      <c r="W885" s="8510"/>
      <c r="X885" s="8508"/>
      <c r="Y885" s="8510"/>
      <c r="Z885" s="8508"/>
      <c r="AA885" s="8509"/>
      <c r="AB885" s="8509"/>
      <c r="AC885" s="8509"/>
      <c r="AD885" s="8509"/>
      <c r="AE885" s="8509"/>
      <c r="AF885" s="8510"/>
      <c r="AG885" s="8508"/>
      <c r="AH885" s="8509"/>
      <c r="AI885" s="8509"/>
      <c r="AJ885" s="8509"/>
      <c r="AK885" s="8509"/>
      <c r="AL885" s="8509"/>
      <c r="AM885" s="8509"/>
      <c r="AN885" s="8510"/>
      <c r="AO885" s="8508"/>
      <c r="AP885" s="8509"/>
      <c r="AQ885" s="8509"/>
      <c r="AR885" s="8509"/>
      <c r="AS885" s="8509"/>
      <c r="AT885" s="8510"/>
      <c r="AU885" s="9961"/>
      <c r="AV885" s="9961"/>
      <c r="AW885" s="9961"/>
      <c r="AX885" s="9958"/>
      <c r="AY885" s="9960"/>
      <c r="AZ885" s="9961"/>
      <c r="BA885" s="9958"/>
      <c r="BB885" s="9959"/>
      <c r="BC885" s="9960"/>
      <c r="BD885" s="9962"/>
      <c r="BF885" s="14507"/>
      <c r="BG885" s="14507"/>
      <c r="BH885" s="14507"/>
      <c r="BI885" s="14507"/>
      <c r="BJ885" s="14507"/>
      <c r="BK885" s="13071"/>
      <c r="BL885" s="14507"/>
      <c r="BM885" s="14507"/>
      <c r="BN885" s="14507"/>
    </row>
    <row r="886" spans="1:66" ht="29.25" hidden="1" customHeight="1">
      <c r="A886" s="9964">
        <v>548</v>
      </c>
      <c r="B886" s="9965" t="s">
        <v>8124</v>
      </c>
      <c r="C886" s="13598"/>
      <c r="D886" s="12210" t="s">
        <v>10072</v>
      </c>
      <c r="E886" s="12211" t="s">
        <v>1246</v>
      </c>
      <c r="F886" s="12319" t="s">
        <v>1251</v>
      </c>
      <c r="G886" s="12212" t="s">
        <v>1257</v>
      </c>
      <c r="H886" s="12213" t="s">
        <v>1258</v>
      </c>
      <c r="I886" s="12214">
        <v>4</v>
      </c>
      <c r="K886" s="9957"/>
      <c r="L886" s="8483"/>
      <c r="M886" s="8483"/>
      <c r="N886" s="9966"/>
      <c r="O886" s="9966"/>
      <c r="P886" s="9967"/>
      <c r="Q886" s="8486"/>
      <c r="R886" s="8487"/>
      <c r="S886" s="8488"/>
      <c r="T886" s="8489"/>
      <c r="U886" s="8486"/>
      <c r="V886" s="8487"/>
      <c r="W886" s="8489"/>
      <c r="X886" s="8487"/>
      <c r="Y886" s="8489"/>
      <c r="Z886" s="8487"/>
      <c r="AA886" s="8488"/>
      <c r="AB886" s="8488"/>
      <c r="AC886" s="8488"/>
      <c r="AD886" s="8488"/>
      <c r="AE886" s="8488"/>
      <c r="AF886" s="8489"/>
      <c r="AG886" s="8487"/>
      <c r="AH886" s="8488"/>
      <c r="AI886" s="8488"/>
      <c r="AJ886" s="8488"/>
      <c r="AK886" s="8488"/>
      <c r="AL886" s="8488"/>
      <c r="AM886" s="8488"/>
      <c r="AN886" s="8489"/>
      <c r="AO886" s="8487"/>
      <c r="AP886" s="8488"/>
      <c r="AQ886" s="8488"/>
      <c r="AR886" s="8488"/>
      <c r="AS886" s="8488"/>
      <c r="AT886" s="8489"/>
      <c r="AU886" s="9968"/>
      <c r="AV886" s="9968"/>
      <c r="AW886" s="9968"/>
      <c r="AX886" s="9957"/>
      <c r="AY886" s="9967"/>
      <c r="AZ886" s="9968"/>
      <c r="BA886" s="9957"/>
      <c r="BB886" s="9966"/>
      <c r="BC886" s="9967"/>
      <c r="BD886" s="8479"/>
      <c r="BF886" s="9963"/>
      <c r="BG886" s="9963"/>
      <c r="BH886" s="9963"/>
      <c r="BI886" s="9963"/>
      <c r="BJ886" s="9963"/>
      <c r="BK886" s="9963"/>
      <c r="BL886" s="9963"/>
      <c r="BM886" s="9963"/>
      <c r="BN886" s="9963"/>
    </row>
    <row r="887" spans="1:66" ht="29.25" hidden="1" customHeight="1">
      <c r="A887" s="13697">
        <v>549</v>
      </c>
      <c r="B887" s="14132" t="s">
        <v>8125</v>
      </c>
      <c r="C887" s="13598"/>
      <c r="D887" s="12210" t="s">
        <v>10072</v>
      </c>
      <c r="E887" s="12211" t="s">
        <v>1246</v>
      </c>
      <c r="F887" s="7848"/>
      <c r="G887" s="14134" t="s">
        <v>1259</v>
      </c>
      <c r="H887" s="13454" t="s">
        <v>1260</v>
      </c>
      <c r="I887" s="14182">
        <v>1</v>
      </c>
      <c r="K887" s="9958"/>
      <c r="L887" s="8504"/>
      <c r="M887" s="8504"/>
      <c r="N887" s="9959"/>
      <c r="O887" s="9959"/>
      <c r="P887" s="9960"/>
      <c r="Q887" s="8507"/>
      <c r="R887" s="8508"/>
      <c r="S887" s="8509"/>
      <c r="T887" s="8510"/>
      <c r="U887" s="8507"/>
      <c r="V887" s="8508"/>
      <c r="W887" s="8510"/>
      <c r="X887" s="8508"/>
      <c r="Y887" s="8510"/>
      <c r="Z887" s="8508"/>
      <c r="AA887" s="8509"/>
      <c r="AB887" s="8509"/>
      <c r="AC887" s="8509"/>
      <c r="AD887" s="8509"/>
      <c r="AE887" s="8509"/>
      <c r="AF887" s="8510"/>
      <c r="AG887" s="8508"/>
      <c r="AH887" s="8509"/>
      <c r="AI887" s="8509"/>
      <c r="AJ887" s="8509"/>
      <c r="AK887" s="8509"/>
      <c r="AL887" s="8509"/>
      <c r="AM887" s="8509"/>
      <c r="AN887" s="8510"/>
      <c r="AO887" s="8508"/>
      <c r="AP887" s="8509"/>
      <c r="AQ887" s="8509"/>
      <c r="AR887" s="8509"/>
      <c r="AS887" s="8509"/>
      <c r="AT887" s="8510"/>
      <c r="AU887" s="9961"/>
      <c r="AV887" s="9961"/>
      <c r="AW887" s="9961"/>
      <c r="AX887" s="9958"/>
      <c r="AY887" s="9960"/>
      <c r="AZ887" s="9961"/>
      <c r="BA887" s="9958"/>
      <c r="BB887" s="9959"/>
      <c r="BC887" s="9960"/>
      <c r="BD887" s="9962"/>
      <c r="BF887" s="14507"/>
      <c r="BG887" s="14507"/>
      <c r="BH887" s="14507"/>
      <c r="BI887" s="14507"/>
      <c r="BJ887" s="14507"/>
      <c r="BK887" s="9963"/>
      <c r="BL887" s="14507"/>
      <c r="BM887" s="14507"/>
      <c r="BN887" s="14507"/>
    </row>
    <row r="888" spans="1:66" ht="29.25" hidden="1" customHeight="1">
      <c r="A888" s="13697"/>
      <c r="B888" s="14132"/>
      <c r="C888" s="13598"/>
      <c r="D888" s="12210" t="s">
        <v>2896</v>
      </c>
      <c r="E888" s="12211"/>
      <c r="F888" s="7848" t="s">
        <v>1261</v>
      </c>
      <c r="G888" s="14134"/>
      <c r="H888" s="13454"/>
      <c r="I888" s="14182"/>
      <c r="K888" s="9958"/>
      <c r="L888" s="8504"/>
      <c r="M888" s="8504"/>
      <c r="N888" s="9959"/>
      <c r="O888" s="9959"/>
      <c r="P888" s="9960"/>
      <c r="Q888" s="8507"/>
      <c r="R888" s="8508"/>
      <c r="S888" s="8509"/>
      <c r="T888" s="8510"/>
      <c r="U888" s="8507"/>
      <c r="V888" s="8508"/>
      <c r="W888" s="8510"/>
      <c r="X888" s="8508"/>
      <c r="Y888" s="8510"/>
      <c r="Z888" s="8508"/>
      <c r="AA888" s="8509"/>
      <c r="AB888" s="8509"/>
      <c r="AC888" s="8509"/>
      <c r="AD888" s="8509"/>
      <c r="AE888" s="8509"/>
      <c r="AF888" s="8510"/>
      <c r="AG888" s="8508"/>
      <c r="AH888" s="8509"/>
      <c r="AI888" s="8509"/>
      <c r="AJ888" s="8509"/>
      <c r="AK888" s="8509"/>
      <c r="AL888" s="8509"/>
      <c r="AM888" s="8509"/>
      <c r="AN888" s="8510"/>
      <c r="AO888" s="8508"/>
      <c r="AP888" s="8509"/>
      <c r="AQ888" s="8509"/>
      <c r="AR888" s="8509"/>
      <c r="AS888" s="8509"/>
      <c r="AT888" s="8510"/>
      <c r="AU888" s="9961"/>
      <c r="AV888" s="9961"/>
      <c r="AW888" s="9961"/>
      <c r="AX888" s="9958"/>
      <c r="AY888" s="9960"/>
      <c r="AZ888" s="9961"/>
      <c r="BA888" s="9958"/>
      <c r="BB888" s="9959"/>
      <c r="BC888" s="9960"/>
      <c r="BD888" s="9962"/>
      <c r="BF888" s="14507"/>
      <c r="BG888" s="14507"/>
      <c r="BH888" s="14507"/>
      <c r="BI888" s="14507"/>
      <c r="BJ888" s="14507"/>
      <c r="BK888" s="9963"/>
      <c r="BL888" s="14507"/>
      <c r="BM888" s="14507"/>
      <c r="BN888" s="14507"/>
    </row>
    <row r="889" spans="1:66" ht="29.25" hidden="1" customHeight="1">
      <c r="A889" s="13697">
        <v>550</v>
      </c>
      <c r="B889" s="14132" t="s">
        <v>8126</v>
      </c>
      <c r="C889" s="13598"/>
      <c r="D889" s="12210" t="s">
        <v>10072</v>
      </c>
      <c r="E889" s="12211" t="s">
        <v>1246</v>
      </c>
      <c r="F889" s="7848"/>
      <c r="G889" s="14134" t="s">
        <v>1262</v>
      </c>
      <c r="H889" s="13454" t="s">
        <v>1263</v>
      </c>
      <c r="I889" s="14182">
        <v>1</v>
      </c>
      <c r="K889" s="9958"/>
      <c r="L889" s="8504"/>
      <c r="M889" s="8504"/>
      <c r="N889" s="9959"/>
      <c r="O889" s="9959"/>
      <c r="P889" s="9960"/>
      <c r="Q889" s="8507"/>
      <c r="R889" s="8508"/>
      <c r="S889" s="8509"/>
      <c r="T889" s="8510"/>
      <c r="U889" s="8507"/>
      <c r="V889" s="8508"/>
      <c r="W889" s="8510"/>
      <c r="X889" s="8508"/>
      <c r="Y889" s="8510"/>
      <c r="Z889" s="8508"/>
      <c r="AA889" s="8509"/>
      <c r="AB889" s="8509"/>
      <c r="AC889" s="8509"/>
      <c r="AD889" s="8509"/>
      <c r="AE889" s="8509"/>
      <c r="AF889" s="8510"/>
      <c r="AG889" s="8508"/>
      <c r="AH889" s="8509"/>
      <c r="AI889" s="8509"/>
      <c r="AJ889" s="8509"/>
      <c r="AK889" s="8509"/>
      <c r="AL889" s="8509"/>
      <c r="AM889" s="8509"/>
      <c r="AN889" s="8510"/>
      <c r="AO889" s="8508"/>
      <c r="AP889" s="8509"/>
      <c r="AQ889" s="8509"/>
      <c r="AR889" s="8509"/>
      <c r="AS889" s="8509"/>
      <c r="AT889" s="8510"/>
      <c r="AU889" s="9961"/>
      <c r="AV889" s="9961"/>
      <c r="AW889" s="9961"/>
      <c r="AX889" s="9958"/>
      <c r="AY889" s="9960"/>
      <c r="AZ889" s="9961"/>
      <c r="BA889" s="9958"/>
      <c r="BB889" s="9959"/>
      <c r="BC889" s="9960"/>
      <c r="BD889" s="9962"/>
      <c r="BF889" s="14507"/>
      <c r="BG889" s="14507"/>
      <c r="BH889" s="14507"/>
      <c r="BI889" s="14507"/>
      <c r="BJ889" s="14507"/>
      <c r="BK889" s="9963"/>
      <c r="BL889" s="14507"/>
      <c r="BM889" s="14507"/>
      <c r="BN889" s="14507"/>
    </row>
    <row r="890" spans="1:66" ht="29.25" hidden="1" customHeight="1">
      <c r="A890" s="13697"/>
      <c r="B890" s="14132"/>
      <c r="C890" s="13598"/>
      <c r="D890" s="12210" t="s">
        <v>2896</v>
      </c>
      <c r="E890" s="12211"/>
      <c r="F890" s="7848" t="s">
        <v>1264</v>
      </c>
      <c r="G890" s="14134"/>
      <c r="H890" s="13454"/>
      <c r="I890" s="14182"/>
      <c r="K890" s="9958"/>
      <c r="L890" s="8504"/>
      <c r="M890" s="8504"/>
      <c r="N890" s="9959"/>
      <c r="O890" s="9959"/>
      <c r="P890" s="9960"/>
      <c r="Q890" s="8507"/>
      <c r="R890" s="8508"/>
      <c r="S890" s="8509"/>
      <c r="T890" s="8510"/>
      <c r="U890" s="8507"/>
      <c r="V890" s="8508"/>
      <c r="W890" s="8510"/>
      <c r="X890" s="8508"/>
      <c r="Y890" s="8510"/>
      <c r="Z890" s="8508"/>
      <c r="AA890" s="8509"/>
      <c r="AB890" s="8509"/>
      <c r="AC890" s="8509"/>
      <c r="AD890" s="8509"/>
      <c r="AE890" s="8509"/>
      <c r="AF890" s="8510"/>
      <c r="AG890" s="8508"/>
      <c r="AH890" s="8509"/>
      <c r="AI890" s="8509"/>
      <c r="AJ890" s="8509"/>
      <c r="AK890" s="8509"/>
      <c r="AL890" s="8509"/>
      <c r="AM890" s="8509"/>
      <c r="AN890" s="8510"/>
      <c r="AO890" s="8508"/>
      <c r="AP890" s="8509"/>
      <c r="AQ890" s="8509"/>
      <c r="AR890" s="8509"/>
      <c r="AS890" s="8509"/>
      <c r="AT890" s="8510"/>
      <c r="AU890" s="9961"/>
      <c r="AV890" s="9961"/>
      <c r="AW890" s="9961"/>
      <c r="AX890" s="9958"/>
      <c r="AY890" s="9960"/>
      <c r="AZ890" s="9961"/>
      <c r="BA890" s="9958"/>
      <c r="BB890" s="9959"/>
      <c r="BC890" s="9960"/>
      <c r="BD890" s="9962"/>
      <c r="BF890" s="14507"/>
      <c r="BG890" s="14507"/>
      <c r="BH890" s="14507"/>
      <c r="BI890" s="14507"/>
      <c r="BJ890" s="14507"/>
      <c r="BK890" s="9963"/>
      <c r="BL890" s="14507"/>
      <c r="BM890" s="14507"/>
      <c r="BN890" s="14507"/>
    </row>
    <row r="891" spans="1:66" ht="29.25" hidden="1" customHeight="1">
      <c r="A891" s="13697">
        <v>551</v>
      </c>
      <c r="B891" s="14132" t="s">
        <v>8127</v>
      </c>
      <c r="C891" s="13598"/>
      <c r="D891" s="12210" t="s">
        <v>10072</v>
      </c>
      <c r="E891" s="12211" t="s">
        <v>1246</v>
      </c>
      <c r="F891" s="7848"/>
      <c r="G891" s="14134" t="s">
        <v>1265</v>
      </c>
      <c r="H891" s="13454" t="s">
        <v>1266</v>
      </c>
      <c r="I891" s="14182">
        <v>1</v>
      </c>
      <c r="K891" s="9958"/>
      <c r="L891" s="8504"/>
      <c r="M891" s="8504"/>
      <c r="N891" s="9959"/>
      <c r="O891" s="9959"/>
      <c r="P891" s="9960"/>
      <c r="Q891" s="8507"/>
      <c r="R891" s="8508"/>
      <c r="S891" s="8509"/>
      <c r="T891" s="8510"/>
      <c r="U891" s="8507"/>
      <c r="V891" s="8508"/>
      <c r="W891" s="8510"/>
      <c r="X891" s="8508"/>
      <c r="Y891" s="8510"/>
      <c r="Z891" s="8508"/>
      <c r="AA891" s="8509"/>
      <c r="AB891" s="8509"/>
      <c r="AC891" s="8509"/>
      <c r="AD891" s="8509"/>
      <c r="AE891" s="8509"/>
      <c r="AF891" s="8510"/>
      <c r="AG891" s="8508"/>
      <c r="AH891" s="8509"/>
      <c r="AI891" s="8509"/>
      <c r="AJ891" s="8509"/>
      <c r="AK891" s="8509"/>
      <c r="AL891" s="8509"/>
      <c r="AM891" s="8509"/>
      <c r="AN891" s="8510"/>
      <c r="AO891" s="8508"/>
      <c r="AP891" s="8509"/>
      <c r="AQ891" s="8509"/>
      <c r="AR891" s="8509"/>
      <c r="AS891" s="8509"/>
      <c r="AT891" s="8510"/>
      <c r="AU891" s="9961"/>
      <c r="AV891" s="9961"/>
      <c r="AW891" s="9961"/>
      <c r="AX891" s="9958"/>
      <c r="AY891" s="9960"/>
      <c r="AZ891" s="9961"/>
      <c r="BA891" s="9958"/>
      <c r="BB891" s="9959"/>
      <c r="BC891" s="9960"/>
      <c r="BD891" s="9962"/>
      <c r="BF891" s="14507"/>
      <c r="BG891" s="14507"/>
      <c r="BH891" s="14507"/>
      <c r="BI891" s="14507"/>
      <c r="BJ891" s="14507"/>
      <c r="BK891" s="9963"/>
      <c r="BL891" s="14507"/>
      <c r="BM891" s="14507"/>
      <c r="BN891" s="14507"/>
    </row>
    <row r="892" spans="1:66" ht="29.25" hidden="1" customHeight="1">
      <c r="A892" s="13697"/>
      <c r="B892" s="14132"/>
      <c r="C892" s="13598"/>
      <c r="D892" s="12210" t="s">
        <v>2896</v>
      </c>
      <c r="E892" s="12211"/>
      <c r="F892" s="7848" t="s">
        <v>1264</v>
      </c>
      <c r="G892" s="14134"/>
      <c r="H892" s="13454"/>
      <c r="I892" s="14182"/>
      <c r="K892" s="9958"/>
      <c r="L892" s="8504"/>
      <c r="M892" s="8504"/>
      <c r="N892" s="9959"/>
      <c r="O892" s="9959"/>
      <c r="P892" s="9960"/>
      <c r="Q892" s="8507"/>
      <c r="R892" s="8508"/>
      <c r="S892" s="8509"/>
      <c r="T892" s="8510"/>
      <c r="U892" s="8507"/>
      <c r="V892" s="8508"/>
      <c r="W892" s="8510"/>
      <c r="X892" s="8508"/>
      <c r="Y892" s="8510"/>
      <c r="Z892" s="8508"/>
      <c r="AA892" s="8509"/>
      <c r="AB892" s="8509"/>
      <c r="AC892" s="8509"/>
      <c r="AD892" s="8509"/>
      <c r="AE892" s="8509"/>
      <c r="AF892" s="8510"/>
      <c r="AG892" s="8508"/>
      <c r="AH892" s="8509"/>
      <c r="AI892" s="8509"/>
      <c r="AJ892" s="8509"/>
      <c r="AK892" s="8509"/>
      <c r="AL892" s="8509"/>
      <c r="AM892" s="8509"/>
      <c r="AN892" s="8510"/>
      <c r="AO892" s="8508"/>
      <c r="AP892" s="8509"/>
      <c r="AQ892" s="8509"/>
      <c r="AR892" s="8509"/>
      <c r="AS892" s="8509"/>
      <c r="AT892" s="8510"/>
      <c r="AU892" s="9961"/>
      <c r="AV892" s="9961"/>
      <c r="AW892" s="9961"/>
      <c r="AX892" s="9958"/>
      <c r="AY892" s="9960"/>
      <c r="AZ892" s="9961"/>
      <c r="BA892" s="9958"/>
      <c r="BB892" s="9959"/>
      <c r="BC892" s="9960"/>
      <c r="BD892" s="9962"/>
      <c r="BF892" s="14507"/>
      <c r="BG892" s="14507"/>
      <c r="BH892" s="14507"/>
      <c r="BI892" s="14507"/>
      <c r="BJ892" s="14507"/>
      <c r="BK892" s="9963"/>
      <c r="BL892" s="14507"/>
      <c r="BM892" s="14507"/>
      <c r="BN892" s="14507"/>
    </row>
    <row r="893" spans="1:66" ht="29.25" hidden="1" customHeight="1">
      <c r="A893" s="9964">
        <v>552</v>
      </c>
      <c r="B893" s="9965" t="s">
        <v>8128</v>
      </c>
      <c r="C893" s="13598"/>
      <c r="D893" s="12210" t="s">
        <v>10072</v>
      </c>
      <c r="E893" s="12211" t="s">
        <v>1269</v>
      </c>
      <c r="F893" s="7848"/>
      <c r="G893" s="12212" t="s">
        <v>1267</v>
      </c>
      <c r="H893" s="12213" t="s">
        <v>1268</v>
      </c>
      <c r="I893" s="12214">
        <v>1</v>
      </c>
      <c r="K893" s="9957"/>
      <c r="L893" s="8483"/>
      <c r="M893" s="8483"/>
      <c r="N893" s="9966"/>
      <c r="O893" s="9966"/>
      <c r="P893" s="9967"/>
      <c r="Q893" s="8486"/>
      <c r="R893" s="8487"/>
      <c r="S893" s="8488"/>
      <c r="T893" s="8489"/>
      <c r="U893" s="8486"/>
      <c r="V893" s="8487"/>
      <c r="W893" s="8489"/>
      <c r="X893" s="8487"/>
      <c r="Y893" s="8489"/>
      <c r="Z893" s="8487"/>
      <c r="AA893" s="8488"/>
      <c r="AB893" s="8488"/>
      <c r="AC893" s="8488"/>
      <c r="AD893" s="8488"/>
      <c r="AE893" s="8488"/>
      <c r="AF893" s="8489"/>
      <c r="AG893" s="8487"/>
      <c r="AH893" s="8488"/>
      <c r="AI893" s="8488"/>
      <c r="AJ893" s="8488"/>
      <c r="AK893" s="8488"/>
      <c r="AL893" s="8488"/>
      <c r="AM893" s="8488"/>
      <c r="AN893" s="8489"/>
      <c r="AO893" s="8487"/>
      <c r="AP893" s="8488"/>
      <c r="AQ893" s="8488"/>
      <c r="AR893" s="8488"/>
      <c r="AS893" s="8488"/>
      <c r="AT893" s="8489"/>
      <c r="AU893" s="9968"/>
      <c r="AV893" s="9968"/>
      <c r="AW893" s="9968"/>
      <c r="AX893" s="9957"/>
      <c r="AY893" s="9967"/>
      <c r="AZ893" s="9968"/>
      <c r="BA893" s="9957"/>
      <c r="BB893" s="9966"/>
      <c r="BC893" s="9967"/>
      <c r="BD893" s="8479"/>
      <c r="BF893" s="9963"/>
      <c r="BG893" s="9963"/>
      <c r="BH893" s="9963"/>
      <c r="BI893" s="9963"/>
      <c r="BJ893" s="9963"/>
      <c r="BK893" s="9963"/>
      <c r="BL893" s="9963"/>
      <c r="BM893" s="9963"/>
      <c r="BN893" s="9963"/>
    </row>
    <row r="894" spans="1:66" ht="29.25" hidden="1" customHeight="1">
      <c r="A894" s="13697">
        <v>553</v>
      </c>
      <c r="B894" s="14132" t="s">
        <v>8129</v>
      </c>
      <c r="C894" s="13598"/>
      <c r="D894" s="12210" t="s">
        <v>10072</v>
      </c>
      <c r="E894" s="12211" t="s">
        <v>1273</v>
      </c>
      <c r="F894" s="7848"/>
      <c r="G894" s="14134" t="s">
        <v>1271</v>
      </c>
      <c r="H894" s="13454" t="s">
        <v>1272</v>
      </c>
      <c r="I894" s="14182">
        <v>1</v>
      </c>
      <c r="K894" s="9958"/>
      <c r="L894" s="8504"/>
      <c r="M894" s="8504"/>
      <c r="N894" s="9959"/>
      <c r="O894" s="9959"/>
      <c r="P894" s="9960"/>
      <c r="Q894" s="8507"/>
      <c r="R894" s="8508"/>
      <c r="S894" s="8509"/>
      <c r="T894" s="8510"/>
      <c r="U894" s="8507"/>
      <c r="V894" s="8508"/>
      <c r="W894" s="8510"/>
      <c r="X894" s="8508"/>
      <c r="Y894" s="8510"/>
      <c r="Z894" s="8508"/>
      <c r="AA894" s="8509"/>
      <c r="AB894" s="8509"/>
      <c r="AC894" s="8509"/>
      <c r="AD894" s="8509"/>
      <c r="AE894" s="8509"/>
      <c r="AF894" s="8510"/>
      <c r="AG894" s="8508"/>
      <c r="AH894" s="8509"/>
      <c r="AI894" s="8509"/>
      <c r="AJ894" s="8509"/>
      <c r="AK894" s="8509"/>
      <c r="AL894" s="8509"/>
      <c r="AM894" s="8509"/>
      <c r="AN894" s="8510"/>
      <c r="AO894" s="8508"/>
      <c r="AP894" s="8509"/>
      <c r="AQ894" s="8509"/>
      <c r="AR894" s="8509"/>
      <c r="AS894" s="8509"/>
      <c r="AT894" s="8510"/>
      <c r="AU894" s="9961"/>
      <c r="AV894" s="9961"/>
      <c r="AW894" s="9961"/>
      <c r="AX894" s="9958"/>
      <c r="AY894" s="9960"/>
      <c r="AZ894" s="9961"/>
      <c r="BA894" s="9958"/>
      <c r="BB894" s="9959"/>
      <c r="BC894" s="9960"/>
      <c r="BD894" s="9962"/>
      <c r="BF894" s="14507"/>
      <c r="BG894" s="14507"/>
      <c r="BH894" s="14507"/>
      <c r="BI894" s="14507"/>
      <c r="BJ894" s="14507"/>
      <c r="BK894" s="9963"/>
      <c r="BL894" s="14507"/>
      <c r="BM894" s="14507"/>
      <c r="BN894" s="14507"/>
    </row>
    <row r="895" spans="1:66" ht="29.25" customHeight="1">
      <c r="A895" s="13697"/>
      <c r="B895" s="14132"/>
      <c r="C895" s="13598"/>
      <c r="D895" s="12210" t="s">
        <v>86</v>
      </c>
      <c r="E895" s="12211"/>
      <c r="F895" s="7848" t="s">
        <v>1247</v>
      </c>
      <c r="G895" s="14134"/>
      <c r="H895" s="13454"/>
      <c r="I895" s="14182"/>
      <c r="K895" s="9957"/>
      <c r="L895" s="8504"/>
      <c r="M895" s="8504"/>
      <c r="N895" s="9959"/>
      <c r="O895" s="9959"/>
      <c r="P895" s="9967" t="s">
        <v>2861</v>
      </c>
      <c r="Q895" s="8507"/>
      <c r="R895" s="8508"/>
      <c r="S895" s="8509"/>
      <c r="T895" s="8510"/>
      <c r="U895" s="8507"/>
      <c r="V895" s="8508"/>
      <c r="W895" s="8510"/>
      <c r="X895" s="8508"/>
      <c r="Y895" s="8510"/>
      <c r="Z895" s="8508"/>
      <c r="AA895" s="8509"/>
      <c r="AB895" s="8509"/>
      <c r="AC895" s="8509"/>
      <c r="AD895" s="8509"/>
      <c r="AE895" s="8509"/>
      <c r="AF895" s="8510"/>
      <c r="AG895" s="8508"/>
      <c r="AH895" s="8509"/>
      <c r="AI895" s="8509"/>
      <c r="AJ895" s="8509"/>
      <c r="AK895" s="8509"/>
      <c r="AL895" s="8509"/>
      <c r="AM895" s="8509"/>
      <c r="AN895" s="8510"/>
      <c r="AO895" s="8508"/>
      <c r="AP895" s="8509"/>
      <c r="AQ895" s="8509"/>
      <c r="AR895" s="8509"/>
      <c r="AS895" s="8509"/>
      <c r="AT895" s="8510"/>
      <c r="AU895" s="9961"/>
      <c r="AV895" s="9961"/>
      <c r="AW895" s="9961"/>
      <c r="AX895" s="9958"/>
      <c r="AY895" s="9960"/>
      <c r="AZ895" s="9961"/>
      <c r="BA895" s="9958"/>
      <c r="BB895" s="9959"/>
      <c r="BC895" s="9960"/>
      <c r="BD895" s="9962"/>
      <c r="BF895" s="14507"/>
      <c r="BG895" s="14507"/>
      <c r="BH895" s="14507"/>
      <c r="BI895" s="14507"/>
      <c r="BJ895" s="14507"/>
      <c r="BK895" s="13071"/>
      <c r="BL895" s="14507"/>
      <c r="BM895" s="14507"/>
      <c r="BN895" s="14507"/>
    </row>
    <row r="896" spans="1:66" ht="29.25" hidden="1" customHeight="1">
      <c r="A896" s="9964">
        <v>554</v>
      </c>
      <c r="B896" s="9965" t="s">
        <v>8130</v>
      </c>
      <c r="C896" s="13598"/>
      <c r="D896" s="11797" t="s">
        <v>10072</v>
      </c>
      <c r="E896" s="12211" t="s">
        <v>1273</v>
      </c>
      <c r="F896" s="7848" t="s">
        <v>1232</v>
      </c>
      <c r="G896" s="12212" t="s">
        <v>1274</v>
      </c>
      <c r="H896" s="12213"/>
      <c r="I896" s="11799"/>
      <c r="K896" s="8481"/>
      <c r="L896" s="8483"/>
      <c r="M896" s="8483"/>
      <c r="N896" s="8484"/>
      <c r="O896" s="8484"/>
      <c r="P896" s="8485"/>
      <c r="Q896" s="8486"/>
      <c r="R896" s="8487"/>
      <c r="S896" s="8488"/>
      <c r="T896" s="8489"/>
      <c r="U896" s="8486"/>
      <c r="V896" s="8487"/>
      <c r="W896" s="8489"/>
      <c r="X896" s="8487"/>
      <c r="Y896" s="8489"/>
      <c r="Z896" s="8487"/>
      <c r="AA896" s="8488"/>
      <c r="AB896" s="8488"/>
      <c r="AC896" s="8488"/>
      <c r="AD896" s="8488"/>
      <c r="AE896" s="8488"/>
      <c r="AF896" s="8489"/>
      <c r="AG896" s="8487"/>
      <c r="AH896" s="8488"/>
      <c r="AI896" s="8488"/>
      <c r="AJ896" s="8488"/>
      <c r="AK896" s="8488"/>
      <c r="AL896" s="8488"/>
      <c r="AM896" s="8488"/>
      <c r="AN896" s="8489"/>
      <c r="AO896" s="8487"/>
      <c r="AP896" s="8488"/>
      <c r="AQ896" s="8488"/>
      <c r="AR896" s="8488"/>
      <c r="AS896" s="8488"/>
      <c r="AT896" s="8489"/>
      <c r="AU896" s="8490"/>
      <c r="AV896" s="8490"/>
      <c r="AW896" s="8490"/>
      <c r="AX896" s="8481"/>
      <c r="AY896" s="8485"/>
      <c r="AZ896" s="8490"/>
      <c r="BA896" s="8481"/>
      <c r="BB896" s="8484"/>
      <c r="BC896" s="8485"/>
      <c r="BD896" s="8491"/>
      <c r="BF896" s="9963"/>
      <c r="BG896" s="9963"/>
      <c r="BH896" s="9963"/>
      <c r="BI896" s="9963"/>
      <c r="BJ896" s="9963"/>
      <c r="BK896" s="9963"/>
      <c r="BL896" s="9963"/>
      <c r="BM896" s="9963"/>
      <c r="BN896" s="9963"/>
    </row>
    <row r="897" spans="1:66" ht="29.25" hidden="1" customHeight="1">
      <c r="A897" s="9964">
        <v>555</v>
      </c>
      <c r="B897" s="9965" t="s">
        <v>8131</v>
      </c>
      <c r="C897" s="13598"/>
      <c r="D897" s="11797" t="s">
        <v>10072</v>
      </c>
      <c r="E897" s="12211" t="s">
        <v>1273</v>
      </c>
      <c r="F897" s="7846" t="s">
        <v>1251</v>
      </c>
      <c r="G897" s="12212" t="s">
        <v>1275</v>
      </c>
      <c r="H897" s="12213"/>
      <c r="I897" s="11799"/>
      <c r="K897" s="8481"/>
      <c r="L897" s="8483"/>
      <c r="M897" s="8483"/>
      <c r="N897" s="8484"/>
      <c r="O897" s="8484"/>
      <c r="P897" s="8485"/>
      <c r="Q897" s="8486"/>
      <c r="R897" s="8487"/>
      <c r="S897" s="8488"/>
      <c r="T897" s="8489"/>
      <c r="U897" s="8486"/>
      <c r="V897" s="8487"/>
      <c r="W897" s="8489"/>
      <c r="X897" s="8487"/>
      <c r="Y897" s="8489"/>
      <c r="Z897" s="8487"/>
      <c r="AA897" s="8488"/>
      <c r="AB897" s="8488"/>
      <c r="AC897" s="8488"/>
      <c r="AD897" s="8488"/>
      <c r="AE897" s="8488"/>
      <c r="AF897" s="8489"/>
      <c r="AG897" s="8487"/>
      <c r="AH897" s="8488"/>
      <c r="AI897" s="8488"/>
      <c r="AJ897" s="8488"/>
      <c r="AK897" s="8488"/>
      <c r="AL897" s="8488"/>
      <c r="AM897" s="8488"/>
      <c r="AN897" s="8489"/>
      <c r="AO897" s="8487"/>
      <c r="AP897" s="8488"/>
      <c r="AQ897" s="8488"/>
      <c r="AR897" s="8488"/>
      <c r="AS897" s="8488"/>
      <c r="AT897" s="8489"/>
      <c r="AU897" s="8490"/>
      <c r="AV897" s="8490"/>
      <c r="AW897" s="8490"/>
      <c r="AX897" s="8481"/>
      <c r="AY897" s="8485"/>
      <c r="AZ897" s="8490"/>
      <c r="BA897" s="8481"/>
      <c r="BB897" s="8484"/>
      <c r="BC897" s="8485"/>
      <c r="BD897" s="8491"/>
      <c r="BF897" s="9963"/>
      <c r="BG897" s="9963"/>
      <c r="BH897" s="9963"/>
      <c r="BI897" s="9963"/>
      <c r="BJ897" s="9963"/>
      <c r="BK897" s="9963"/>
      <c r="BL897" s="9963"/>
      <c r="BM897" s="9963"/>
      <c r="BN897" s="9963"/>
    </row>
    <row r="898" spans="1:66" ht="29.25" hidden="1" customHeight="1">
      <c r="A898" s="9964">
        <v>556</v>
      </c>
      <c r="B898" s="9965" t="s">
        <v>8132</v>
      </c>
      <c r="C898" s="13598"/>
      <c r="D898" s="12210" t="s">
        <v>10072</v>
      </c>
      <c r="E898" s="12211" t="s">
        <v>1273</v>
      </c>
      <c r="F898" s="7846" t="s">
        <v>1251</v>
      </c>
      <c r="G898" s="12212" t="s">
        <v>1276</v>
      </c>
      <c r="H898" s="12213"/>
      <c r="I898" s="12214"/>
      <c r="K898" s="9957"/>
      <c r="L898" s="8483"/>
      <c r="M898" s="8483"/>
      <c r="N898" s="9966"/>
      <c r="O898" s="9966"/>
      <c r="P898" s="9967"/>
      <c r="Q898" s="8486"/>
      <c r="R898" s="8487"/>
      <c r="S898" s="8488"/>
      <c r="T898" s="8489"/>
      <c r="U898" s="8486"/>
      <c r="V898" s="8487"/>
      <c r="W898" s="8489"/>
      <c r="X898" s="8487"/>
      <c r="Y898" s="8489"/>
      <c r="Z898" s="8487"/>
      <c r="AA898" s="8488"/>
      <c r="AB898" s="8488"/>
      <c r="AC898" s="8488"/>
      <c r="AD898" s="8488"/>
      <c r="AE898" s="8488"/>
      <c r="AF898" s="8489"/>
      <c r="AG898" s="8487"/>
      <c r="AH898" s="8488"/>
      <c r="AI898" s="8488"/>
      <c r="AJ898" s="8488"/>
      <c r="AK898" s="8488"/>
      <c r="AL898" s="8488"/>
      <c r="AM898" s="8488"/>
      <c r="AN898" s="8489"/>
      <c r="AO898" s="8487"/>
      <c r="AP898" s="8488"/>
      <c r="AQ898" s="8488"/>
      <c r="AR898" s="8488"/>
      <c r="AS898" s="8488"/>
      <c r="AT898" s="8489"/>
      <c r="AU898" s="9968"/>
      <c r="AV898" s="9968"/>
      <c r="AW898" s="9968"/>
      <c r="AX898" s="9957"/>
      <c r="AY898" s="9967"/>
      <c r="AZ898" s="9968"/>
      <c r="BA898" s="9957"/>
      <c r="BB898" s="9966"/>
      <c r="BC898" s="9967"/>
      <c r="BD898" s="8479"/>
      <c r="BF898" s="9963"/>
      <c r="BG898" s="9963"/>
      <c r="BH898" s="9963"/>
      <c r="BI898" s="9963"/>
      <c r="BJ898" s="9963"/>
      <c r="BK898" s="9963"/>
      <c r="BL898" s="9963"/>
      <c r="BM898" s="9963"/>
      <c r="BN898" s="9963"/>
    </row>
    <row r="899" spans="1:66" ht="29.25" hidden="1" customHeight="1">
      <c r="A899" s="13697">
        <v>557</v>
      </c>
      <c r="B899" s="14132" t="s">
        <v>8133</v>
      </c>
      <c r="C899" s="13598"/>
      <c r="D899" s="12210" t="s">
        <v>10072</v>
      </c>
      <c r="E899" s="12211" t="s">
        <v>1246</v>
      </c>
      <c r="F899" s="7846"/>
      <c r="G899" s="14134" t="s">
        <v>1278</v>
      </c>
      <c r="H899" s="13454" t="s">
        <v>1279</v>
      </c>
      <c r="I899" s="14182">
        <v>1</v>
      </c>
      <c r="K899" s="9958"/>
      <c r="L899" s="8504"/>
      <c r="M899" s="8504"/>
      <c r="N899" s="9959"/>
      <c r="O899" s="9959"/>
      <c r="P899" s="9960"/>
      <c r="Q899" s="8507"/>
      <c r="R899" s="8508"/>
      <c r="S899" s="8509"/>
      <c r="T899" s="8510"/>
      <c r="U899" s="8507"/>
      <c r="V899" s="8508"/>
      <c r="W899" s="8510"/>
      <c r="X899" s="8508"/>
      <c r="Y899" s="8510"/>
      <c r="Z899" s="8508"/>
      <c r="AA899" s="8509"/>
      <c r="AB899" s="8509"/>
      <c r="AC899" s="8509"/>
      <c r="AD899" s="8509"/>
      <c r="AE899" s="8509"/>
      <c r="AF899" s="8510"/>
      <c r="AG899" s="8508"/>
      <c r="AH899" s="8509"/>
      <c r="AI899" s="8509"/>
      <c r="AJ899" s="8509"/>
      <c r="AK899" s="8509"/>
      <c r="AL899" s="8509"/>
      <c r="AM899" s="8509"/>
      <c r="AN899" s="8510"/>
      <c r="AO899" s="8508"/>
      <c r="AP899" s="8509"/>
      <c r="AQ899" s="8509"/>
      <c r="AR899" s="8509"/>
      <c r="AS899" s="8509"/>
      <c r="AT899" s="8510"/>
      <c r="AU899" s="9961"/>
      <c r="AV899" s="9961"/>
      <c r="AW899" s="9961"/>
      <c r="AX899" s="9958"/>
      <c r="AY899" s="9960"/>
      <c r="AZ899" s="9961"/>
      <c r="BA899" s="9958"/>
      <c r="BB899" s="9959"/>
      <c r="BC899" s="9960"/>
      <c r="BD899" s="9962"/>
      <c r="BF899" s="14507"/>
      <c r="BG899" s="14507"/>
      <c r="BH899" s="14507"/>
      <c r="BI899" s="14507"/>
      <c r="BJ899" s="14507"/>
      <c r="BK899" s="9963"/>
      <c r="BL899" s="14507"/>
      <c r="BM899" s="14507"/>
      <c r="BN899" s="14507"/>
    </row>
    <row r="900" spans="1:66" ht="29.25" customHeight="1">
      <c r="A900" s="13697"/>
      <c r="B900" s="14132"/>
      <c r="C900" s="13598"/>
      <c r="D900" s="12210" t="s">
        <v>86</v>
      </c>
      <c r="E900" s="12211"/>
      <c r="F900" s="7846" t="s">
        <v>1256</v>
      </c>
      <c r="G900" s="14134"/>
      <c r="H900" s="13454"/>
      <c r="I900" s="14182"/>
      <c r="K900" s="9957"/>
      <c r="L900" s="8504"/>
      <c r="M900" s="8504"/>
      <c r="N900" s="9959"/>
      <c r="O900" s="9959"/>
      <c r="P900" s="9967" t="s">
        <v>2861</v>
      </c>
      <c r="Q900" s="8507"/>
      <c r="R900" s="8508"/>
      <c r="S900" s="8509"/>
      <c r="T900" s="8510"/>
      <c r="U900" s="8507"/>
      <c r="V900" s="8508"/>
      <c r="W900" s="8510"/>
      <c r="X900" s="8508"/>
      <c r="Y900" s="8510"/>
      <c r="Z900" s="8508"/>
      <c r="AA900" s="8509"/>
      <c r="AB900" s="8509"/>
      <c r="AC900" s="8509"/>
      <c r="AD900" s="8509"/>
      <c r="AE900" s="8509"/>
      <c r="AF900" s="8510"/>
      <c r="AG900" s="8508"/>
      <c r="AH900" s="8509"/>
      <c r="AI900" s="8509"/>
      <c r="AJ900" s="8509"/>
      <c r="AK900" s="8509"/>
      <c r="AL900" s="8509"/>
      <c r="AM900" s="8509"/>
      <c r="AN900" s="8510"/>
      <c r="AO900" s="8508"/>
      <c r="AP900" s="8509"/>
      <c r="AQ900" s="8509"/>
      <c r="AR900" s="8509"/>
      <c r="AS900" s="8509"/>
      <c r="AT900" s="8510"/>
      <c r="AU900" s="9961"/>
      <c r="AV900" s="9961"/>
      <c r="AW900" s="9961"/>
      <c r="AX900" s="9958"/>
      <c r="AY900" s="9960"/>
      <c r="AZ900" s="9961"/>
      <c r="BA900" s="9958"/>
      <c r="BB900" s="9959"/>
      <c r="BC900" s="9960"/>
      <c r="BD900" s="9962"/>
      <c r="BF900" s="14507"/>
      <c r="BG900" s="14507"/>
      <c r="BH900" s="14507"/>
      <c r="BI900" s="14507"/>
      <c r="BJ900" s="14507"/>
      <c r="BK900" s="13071"/>
      <c r="BL900" s="14507"/>
      <c r="BM900" s="14507"/>
      <c r="BN900" s="14507"/>
    </row>
    <row r="901" spans="1:66" ht="29.25" hidden="1" customHeight="1">
      <c r="A901" s="9964">
        <v>558</v>
      </c>
      <c r="B901" s="9965" t="s">
        <v>8134</v>
      </c>
      <c r="C901" s="13598"/>
      <c r="D901" s="12210" t="s">
        <v>10072</v>
      </c>
      <c r="E901" s="12211" t="s">
        <v>1246</v>
      </c>
      <c r="F901" s="7846" t="s">
        <v>1251</v>
      </c>
      <c r="G901" s="12212" t="s">
        <v>1280</v>
      </c>
      <c r="H901" s="12213"/>
      <c r="I901" s="12214"/>
      <c r="K901" s="9957"/>
      <c r="L901" s="8483"/>
      <c r="M901" s="8483"/>
      <c r="N901" s="9966"/>
      <c r="O901" s="9966"/>
      <c r="P901" s="9967"/>
      <c r="Q901" s="8486"/>
      <c r="R901" s="8487"/>
      <c r="S901" s="8488"/>
      <c r="T901" s="8489"/>
      <c r="U901" s="8486"/>
      <c r="V901" s="8487"/>
      <c r="W901" s="8489"/>
      <c r="X901" s="8487"/>
      <c r="Y901" s="8489"/>
      <c r="Z901" s="8487"/>
      <c r="AA901" s="8488"/>
      <c r="AB901" s="8488"/>
      <c r="AC901" s="8488"/>
      <c r="AD901" s="8488"/>
      <c r="AE901" s="8488"/>
      <c r="AF901" s="8489"/>
      <c r="AG901" s="8487"/>
      <c r="AH901" s="8488"/>
      <c r="AI901" s="8488"/>
      <c r="AJ901" s="8488"/>
      <c r="AK901" s="8488"/>
      <c r="AL901" s="8488"/>
      <c r="AM901" s="8488"/>
      <c r="AN901" s="8489"/>
      <c r="AO901" s="8487"/>
      <c r="AP901" s="8488"/>
      <c r="AQ901" s="8488"/>
      <c r="AR901" s="8488"/>
      <c r="AS901" s="8488"/>
      <c r="AT901" s="8489"/>
      <c r="AU901" s="9968"/>
      <c r="AV901" s="9968"/>
      <c r="AW901" s="9968"/>
      <c r="AX901" s="9957"/>
      <c r="AY901" s="9967"/>
      <c r="AZ901" s="9968"/>
      <c r="BA901" s="9957"/>
      <c r="BB901" s="9966"/>
      <c r="BC901" s="9967"/>
      <c r="BD901" s="8479"/>
      <c r="BF901" s="9963"/>
      <c r="BG901" s="9963"/>
      <c r="BH901" s="9963"/>
      <c r="BI901" s="9963"/>
      <c r="BJ901" s="9963"/>
      <c r="BK901" s="9963"/>
      <c r="BL901" s="9963"/>
      <c r="BM901" s="9963"/>
      <c r="BN901" s="9963"/>
    </row>
    <row r="902" spans="1:66" ht="29.25" hidden="1" customHeight="1" thickBot="1">
      <c r="A902" s="9969">
        <v>559</v>
      </c>
      <c r="B902" s="9970" t="s">
        <v>8135</v>
      </c>
      <c r="C902" s="13599"/>
      <c r="D902" s="11727" t="s">
        <v>10072</v>
      </c>
      <c r="E902" s="12215" t="s">
        <v>1231</v>
      </c>
      <c r="F902" s="12132" t="s">
        <v>1261</v>
      </c>
      <c r="G902" s="12216" t="s">
        <v>1281</v>
      </c>
      <c r="H902" s="12217"/>
      <c r="I902" s="12218"/>
      <c r="K902" s="8216"/>
      <c r="L902" s="8218"/>
      <c r="M902" s="8218"/>
      <c r="N902" s="9972"/>
      <c r="O902" s="9972"/>
      <c r="P902" s="9973"/>
      <c r="Q902" s="8221"/>
      <c r="R902" s="8222"/>
      <c r="S902" s="8223"/>
      <c r="T902" s="8224"/>
      <c r="U902" s="8221"/>
      <c r="V902" s="8222"/>
      <c r="W902" s="8224"/>
      <c r="X902" s="8222"/>
      <c r="Y902" s="8224"/>
      <c r="Z902" s="8222"/>
      <c r="AA902" s="8223"/>
      <c r="AB902" s="8223"/>
      <c r="AC902" s="8223"/>
      <c r="AD902" s="8223"/>
      <c r="AE902" s="8223"/>
      <c r="AF902" s="8224"/>
      <c r="AG902" s="8222"/>
      <c r="AH902" s="8223"/>
      <c r="AI902" s="8223"/>
      <c r="AJ902" s="8223"/>
      <c r="AK902" s="8223"/>
      <c r="AL902" s="8223"/>
      <c r="AM902" s="8223"/>
      <c r="AN902" s="8224"/>
      <c r="AO902" s="8222"/>
      <c r="AP902" s="8223"/>
      <c r="AQ902" s="8223"/>
      <c r="AR902" s="8223"/>
      <c r="AS902" s="8223"/>
      <c r="AT902" s="8224"/>
      <c r="AU902" s="9974"/>
      <c r="AV902" s="9974"/>
      <c r="AW902" s="9974"/>
      <c r="AX902" s="8216"/>
      <c r="AY902" s="9973"/>
      <c r="AZ902" s="9974"/>
      <c r="BA902" s="8216"/>
      <c r="BB902" s="9972"/>
      <c r="BC902" s="9973"/>
      <c r="BD902" s="9975"/>
      <c r="BF902" s="9971"/>
      <c r="BG902" s="9971"/>
      <c r="BH902" s="9971"/>
      <c r="BI902" s="9971"/>
      <c r="BJ902" s="9971"/>
      <c r="BK902" s="9971"/>
      <c r="BL902" s="9971"/>
      <c r="BM902" s="9971"/>
      <c r="BN902" s="9971"/>
    </row>
    <row r="903" spans="1:66" ht="29.25" customHeight="1">
      <c r="A903" s="13698">
        <v>560</v>
      </c>
      <c r="B903" s="14201" t="s">
        <v>4523</v>
      </c>
      <c r="C903" s="13600" t="s">
        <v>4314</v>
      </c>
      <c r="D903" s="12320" t="s">
        <v>86</v>
      </c>
      <c r="E903" s="12321" t="s">
        <v>2862</v>
      </c>
      <c r="F903" s="12321"/>
      <c r="G903" s="14203" t="s">
        <v>10618</v>
      </c>
      <c r="H903" s="13455"/>
      <c r="I903" s="14225" t="s">
        <v>2625</v>
      </c>
      <c r="K903" s="10241">
        <v>5</v>
      </c>
      <c r="L903" s="10242"/>
      <c r="M903" s="10242"/>
      <c r="N903" s="10243" t="s">
        <v>10624</v>
      </c>
      <c r="O903" s="10243"/>
      <c r="P903" s="10244"/>
      <c r="Q903" s="10245"/>
      <c r="R903" s="10246"/>
      <c r="S903" s="10247"/>
      <c r="T903" s="10248"/>
      <c r="U903" s="10245"/>
      <c r="V903" s="10246"/>
      <c r="W903" s="10248"/>
      <c r="X903" s="10246"/>
      <c r="Y903" s="10248"/>
      <c r="Z903" s="10246"/>
      <c r="AA903" s="10247"/>
      <c r="AB903" s="10247"/>
      <c r="AC903" s="10247"/>
      <c r="AD903" s="10247"/>
      <c r="AE903" s="10247"/>
      <c r="AF903" s="10248"/>
      <c r="AG903" s="10246"/>
      <c r="AH903" s="10247"/>
      <c r="AI903" s="10247"/>
      <c r="AJ903" s="10247"/>
      <c r="AK903" s="10247"/>
      <c r="AL903" s="10247"/>
      <c r="AM903" s="10247"/>
      <c r="AN903" s="10248"/>
      <c r="AO903" s="10246"/>
      <c r="AP903" s="10247"/>
      <c r="AQ903" s="10247"/>
      <c r="AR903" s="10247"/>
      <c r="AS903" s="10247"/>
      <c r="AT903" s="10248"/>
      <c r="AU903" s="10249"/>
      <c r="AV903" s="10249"/>
      <c r="AW903" s="10249"/>
      <c r="AX903" s="10241"/>
      <c r="AY903" s="10244"/>
      <c r="AZ903" s="10249"/>
      <c r="BA903" s="10241"/>
      <c r="BB903" s="10243"/>
      <c r="BC903" s="10244"/>
      <c r="BD903" s="10250"/>
      <c r="BF903" s="14526"/>
      <c r="BG903" s="14526"/>
      <c r="BH903" s="14526"/>
      <c r="BI903" s="14526"/>
      <c r="BJ903" s="14526"/>
      <c r="BK903" s="13078"/>
      <c r="BL903" s="14526"/>
      <c r="BM903" s="14526"/>
      <c r="BN903" s="14526"/>
    </row>
    <row r="904" spans="1:66" ht="29.25" hidden="1" customHeight="1">
      <c r="A904" s="13690"/>
      <c r="B904" s="14202"/>
      <c r="C904" s="13600"/>
      <c r="D904" s="12322" t="s">
        <v>208</v>
      </c>
      <c r="E904" s="12167"/>
      <c r="F904" s="12167" t="s">
        <v>2855</v>
      </c>
      <c r="G904" s="14204"/>
      <c r="H904" s="13456"/>
      <c r="I904" s="14221"/>
      <c r="K904" s="10251"/>
      <c r="L904" s="10252"/>
      <c r="M904" s="10252"/>
      <c r="N904" s="10253"/>
      <c r="O904" s="10253"/>
      <c r="P904" s="10254"/>
      <c r="Q904" s="10255"/>
      <c r="R904" s="10256"/>
      <c r="S904" s="10257"/>
      <c r="T904" s="10258"/>
      <c r="U904" s="10255"/>
      <c r="V904" s="10256"/>
      <c r="W904" s="10258"/>
      <c r="X904" s="10256"/>
      <c r="Y904" s="10258"/>
      <c r="Z904" s="10256"/>
      <c r="AA904" s="10257"/>
      <c r="AB904" s="10257"/>
      <c r="AC904" s="10257"/>
      <c r="AD904" s="10257"/>
      <c r="AE904" s="10257"/>
      <c r="AF904" s="10258"/>
      <c r="AG904" s="10256"/>
      <c r="AH904" s="10257"/>
      <c r="AI904" s="10257"/>
      <c r="AJ904" s="10257"/>
      <c r="AK904" s="10257"/>
      <c r="AL904" s="10257"/>
      <c r="AM904" s="10257"/>
      <c r="AN904" s="10258"/>
      <c r="AO904" s="10256"/>
      <c r="AP904" s="10257"/>
      <c r="AQ904" s="10257"/>
      <c r="AR904" s="10257"/>
      <c r="AS904" s="10257"/>
      <c r="AT904" s="10258"/>
      <c r="AU904" s="10259"/>
      <c r="AV904" s="10259"/>
      <c r="AW904" s="10259"/>
      <c r="AX904" s="10251"/>
      <c r="AY904" s="10254"/>
      <c r="AZ904" s="10259"/>
      <c r="BA904" s="10251"/>
      <c r="BB904" s="10253"/>
      <c r="BC904" s="10254"/>
      <c r="BD904" s="10260"/>
      <c r="BF904" s="14527"/>
      <c r="BG904" s="14527"/>
      <c r="BH904" s="14527"/>
      <c r="BI904" s="14527"/>
      <c r="BJ904" s="14527"/>
      <c r="BK904" s="10261"/>
      <c r="BL904" s="14527"/>
      <c r="BM904" s="14527"/>
      <c r="BN904" s="14527"/>
    </row>
    <row r="905" spans="1:66" ht="29.25" customHeight="1">
      <c r="A905" s="13690">
        <v>561</v>
      </c>
      <c r="B905" s="14202" t="s">
        <v>4524</v>
      </c>
      <c r="C905" s="13600"/>
      <c r="D905" s="12322" t="s">
        <v>86</v>
      </c>
      <c r="E905" s="12167" t="s">
        <v>2862</v>
      </c>
      <c r="F905" s="12167"/>
      <c r="G905" s="14204" t="s">
        <v>2630</v>
      </c>
      <c r="H905" s="13456"/>
      <c r="I905" s="14221" t="s">
        <v>2629</v>
      </c>
      <c r="K905" s="13122" t="s">
        <v>1732</v>
      </c>
      <c r="L905" s="10252"/>
      <c r="M905" s="10252"/>
      <c r="N905" s="10253" t="s">
        <v>10638</v>
      </c>
      <c r="O905" s="10253"/>
      <c r="P905" s="10254" t="s">
        <v>10639</v>
      </c>
      <c r="Q905" s="10255"/>
      <c r="R905" s="10256"/>
      <c r="S905" s="10257"/>
      <c r="T905" s="10258"/>
      <c r="U905" s="10255"/>
      <c r="V905" s="10256"/>
      <c r="W905" s="10258"/>
      <c r="X905" s="10256"/>
      <c r="Y905" s="10258"/>
      <c r="Z905" s="10256"/>
      <c r="AA905" s="10257"/>
      <c r="AB905" s="10257"/>
      <c r="AC905" s="10257"/>
      <c r="AD905" s="10257"/>
      <c r="AE905" s="10257"/>
      <c r="AF905" s="10258"/>
      <c r="AG905" s="10256"/>
      <c r="AH905" s="10257"/>
      <c r="AI905" s="10257"/>
      <c r="AJ905" s="10257"/>
      <c r="AK905" s="10257"/>
      <c r="AL905" s="10257"/>
      <c r="AM905" s="10257"/>
      <c r="AN905" s="10258"/>
      <c r="AO905" s="10256"/>
      <c r="AP905" s="10257"/>
      <c r="AQ905" s="10257"/>
      <c r="AR905" s="10257"/>
      <c r="AS905" s="10257"/>
      <c r="AT905" s="10258"/>
      <c r="AU905" s="10259"/>
      <c r="AV905" s="10259"/>
      <c r="AW905" s="10259"/>
      <c r="AX905" s="10251"/>
      <c r="AY905" s="10254"/>
      <c r="AZ905" s="10259"/>
      <c r="BA905" s="10251"/>
      <c r="BB905" s="10253"/>
      <c r="BC905" s="10254"/>
      <c r="BD905" s="10260"/>
      <c r="BF905" s="14527"/>
      <c r="BG905" s="14527"/>
      <c r="BH905" s="14527"/>
      <c r="BI905" s="14527"/>
      <c r="BJ905" s="14527"/>
      <c r="BK905" s="13079"/>
      <c r="BL905" s="14527"/>
      <c r="BM905" s="14527"/>
      <c r="BN905" s="14527"/>
    </row>
    <row r="906" spans="1:66" ht="29.25" hidden="1" customHeight="1">
      <c r="A906" s="13690"/>
      <c r="B906" s="14202"/>
      <c r="C906" s="13600"/>
      <c r="D906" s="12322" t="s">
        <v>208</v>
      </c>
      <c r="E906" s="12167"/>
      <c r="F906" s="12167" t="s">
        <v>2855</v>
      </c>
      <c r="G906" s="14204"/>
      <c r="H906" s="13456"/>
      <c r="I906" s="14221"/>
      <c r="K906" s="10251"/>
      <c r="L906" s="10252"/>
      <c r="M906" s="10252"/>
      <c r="N906" s="10253"/>
      <c r="O906" s="10253"/>
      <c r="P906" s="10254"/>
      <c r="Q906" s="10255"/>
      <c r="R906" s="10256"/>
      <c r="S906" s="10257"/>
      <c r="T906" s="10258"/>
      <c r="U906" s="10255"/>
      <c r="V906" s="10256"/>
      <c r="W906" s="10258"/>
      <c r="X906" s="10256"/>
      <c r="Y906" s="10258"/>
      <c r="Z906" s="10256"/>
      <c r="AA906" s="10257"/>
      <c r="AB906" s="10257"/>
      <c r="AC906" s="10257"/>
      <c r="AD906" s="10257"/>
      <c r="AE906" s="10257"/>
      <c r="AF906" s="10258"/>
      <c r="AG906" s="10256"/>
      <c r="AH906" s="10257"/>
      <c r="AI906" s="10257"/>
      <c r="AJ906" s="10257"/>
      <c r="AK906" s="10257"/>
      <c r="AL906" s="10257"/>
      <c r="AM906" s="10257"/>
      <c r="AN906" s="10258"/>
      <c r="AO906" s="10256"/>
      <c r="AP906" s="10257"/>
      <c r="AQ906" s="10257"/>
      <c r="AR906" s="10257"/>
      <c r="AS906" s="10257"/>
      <c r="AT906" s="10258"/>
      <c r="AU906" s="10259"/>
      <c r="AV906" s="10259"/>
      <c r="AW906" s="10259"/>
      <c r="AX906" s="10251"/>
      <c r="AY906" s="10254"/>
      <c r="AZ906" s="10259"/>
      <c r="BA906" s="10251"/>
      <c r="BB906" s="10253"/>
      <c r="BC906" s="10254"/>
      <c r="BD906" s="10260"/>
      <c r="BF906" s="14527"/>
      <c r="BG906" s="14527"/>
      <c r="BH906" s="14527"/>
      <c r="BI906" s="14527"/>
      <c r="BJ906" s="14527"/>
      <c r="BK906" s="10261"/>
      <c r="BL906" s="14527"/>
      <c r="BM906" s="14527"/>
      <c r="BN906" s="14527"/>
    </row>
    <row r="907" spans="1:66" ht="29.25" customHeight="1">
      <c r="A907" s="13690">
        <v>562</v>
      </c>
      <c r="B907" s="14202" t="s">
        <v>4525</v>
      </c>
      <c r="C907" s="13600"/>
      <c r="D907" s="12322" t="s">
        <v>86</v>
      </c>
      <c r="E907" s="12167" t="s">
        <v>2862</v>
      </c>
      <c r="F907" s="12167"/>
      <c r="G907" s="14204" t="s">
        <v>4526</v>
      </c>
      <c r="H907" s="13456"/>
      <c r="I907" s="14221" t="s">
        <v>2633</v>
      </c>
      <c r="K907" s="13122" t="s">
        <v>1732</v>
      </c>
      <c r="L907" s="10252"/>
      <c r="M907" s="10252"/>
      <c r="N907" s="10253" t="s">
        <v>10638</v>
      </c>
      <c r="O907" s="10253"/>
      <c r="P907" s="10254" t="s">
        <v>10639</v>
      </c>
      <c r="Q907" s="10255"/>
      <c r="R907" s="10256"/>
      <c r="S907" s="10257"/>
      <c r="T907" s="10258"/>
      <c r="U907" s="10255"/>
      <c r="V907" s="10256"/>
      <c r="W907" s="10258"/>
      <c r="X907" s="10256"/>
      <c r="Y907" s="10258"/>
      <c r="Z907" s="10256"/>
      <c r="AA907" s="10257"/>
      <c r="AB907" s="10257"/>
      <c r="AC907" s="10257"/>
      <c r="AD907" s="10257"/>
      <c r="AE907" s="10257"/>
      <c r="AF907" s="10258"/>
      <c r="AG907" s="10256"/>
      <c r="AH907" s="10257"/>
      <c r="AI907" s="10257"/>
      <c r="AJ907" s="10257"/>
      <c r="AK907" s="10257"/>
      <c r="AL907" s="10257"/>
      <c r="AM907" s="10257"/>
      <c r="AN907" s="10258"/>
      <c r="AO907" s="10256"/>
      <c r="AP907" s="10257"/>
      <c r="AQ907" s="10257"/>
      <c r="AR907" s="10257"/>
      <c r="AS907" s="10257"/>
      <c r="AT907" s="10258"/>
      <c r="AU907" s="10259"/>
      <c r="AV907" s="10259"/>
      <c r="AW907" s="10259"/>
      <c r="AX907" s="10251"/>
      <c r="AY907" s="10254"/>
      <c r="AZ907" s="10259"/>
      <c r="BA907" s="10251"/>
      <c r="BB907" s="10253"/>
      <c r="BC907" s="10254"/>
      <c r="BD907" s="10260"/>
      <c r="BF907" s="14527"/>
      <c r="BG907" s="14527"/>
      <c r="BH907" s="14527"/>
      <c r="BI907" s="14527"/>
      <c r="BJ907" s="14527"/>
      <c r="BK907" s="13079"/>
      <c r="BL907" s="14527"/>
      <c r="BM907" s="14527"/>
      <c r="BN907" s="14527"/>
    </row>
    <row r="908" spans="1:66" ht="29.25" hidden="1" customHeight="1">
      <c r="A908" s="13690"/>
      <c r="B908" s="14202"/>
      <c r="C908" s="13600"/>
      <c r="D908" s="12322" t="s">
        <v>208</v>
      </c>
      <c r="E908" s="12167"/>
      <c r="F908" s="12167" t="s">
        <v>2855</v>
      </c>
      <c r="G908" s="14204"/>
      <c r="H908" s="13456"/>
      <c r="I908" s="14221"/>
      <c r="K908" s="10251"/>
      <c r="L908" s="10252"/>
      <c r="M908" s="10252"/>
      <c r="N908" s="10253"/>
      <c r="O908" s="10253"/>
      <c r="P908" s="10254"/>
      <c r="Q908" s="10255"/>
      <c r="R908" s="10256"/>
      <c r="S908" s="10257"/>
      <c r="T908" s="10258"/>
      <c r="U908" s="10255"/>
      <c r="V908" s="10256"/>
      <c r="W908" s="10258"/>
      <c r="X908" s="10256"/>
      <c r="Y908" s="10258"/>
      <c r="Z908" s="10256"/>
      <c r="AA908" s="10257"/>
      <c r="AB908" s="10257"/>
      <c r="AC908" s="10257"/>
      <c r="AD908" s="10257"/>
      <c r="AE908" s="10257"/>
      <c r="AF908" s="10258"/>
      <c r="AG908" s="10256"/>
      <c r="AH908" s="10257"/>
      <c r="AI908" s="10257"/>
      <c r="AJ908" s="10257"/>
      <c r="AK908" s="10257"/>
      <c r="AL908" s="10257"/>
      <c r="AM908" s="10257"/>
      <c r="AN908" s="10258"/>
      <c r="AO908" s="10256"/>
      <c r="AP908" s="10257"/>
      <c r="AQ908" s="10257"/>
      <c r="AR908" s="10257"/>
      <c r="AS908" s="10257"/>
      <c r="AT908" s="10258"/>
      <c r="AU908" s="10259"/>
      <c r="AV908" s="10259"/>
      <c r="AW908" s="10259"/>
      <c r="AX908" s="10251"/>
      <c r="AY908" s="10254"/>
      <c r="AZ908" s="10259"/>
      <c r="BA908" s="10251"/>
      <c r="BB908" s="10253"/>
      <c r="BC908" s="10254"/>
      <c r="BD908" s="10260"/>
      <c r="BF908" s="14527"/>
      <c r="BG908" s="14527"/>
      <c r="BH908" s="14527"/>
      <c r="BI908" s="14527"/>
      <c r="BJ908" s="14527"/>
      <c r="BK908" s="10261"/>
      <c r="BL908" s="14527"/>
      <c r="BM908" s="14527"/>
      <c r="BN908" s="14527"/>
    </row>
    <row r="909" spans="1:66" ht="29.25" customHeight="1">
      <c r="A909" s="13690">
        <v>563</v>
      </c>
      <c r="B909" s="14202" t="s">
        <v>4527</v>
      </c>
      <c r="C909" s="13600"/>
      <c r="D909" s="12322" t="s">
        <v>86</v>
      </c>
      <c r="E909" s="12167" t="s">
        <v>2862</v>
      </c>
      <c r="F909" s="12167"/>
      <c r="G909" s="14204" t="s">
        <v>4528</v>
      </c>
      <c r="H909" s="13456"/>
      <c r="I909" s="14221" t="s">
        <v>2636</v>
      </c>
      <c r="K909" s="13122">
        <v>0</v>
      </c>
      <c r="L909" s="10252"/>
      <c r="M909" s="10252"/>
      <c r="N909" s="10253"/>
      <c r="O909" s="10253"/>
      <c r="P909" s="10254" t="s">
        <v>10633</v>
      </c>
      <c r="Q909" s="10255"/>
      <c r="R909" s="10256"/>
      <c r="S909" s="10257"/>
      <c r="T909" s="10258"/>
      <c r="U909" s="10255"/>
      <c r="V909" s="10256"/>
      <c r="W909" s="10258"/>
      <c r="X909" s="10256"/>
      <c r="Y909" s="10258"/>
      <c r="Z909" s="10256"/>
      <c r="AA909" s="10257"/>
      <c r="AB909" s="10257"/>
      <c r="AC909" s="10257"/>
      <c r="AD909" s="10257"/>
      <c r="AE909" s="10257"/>
      <c r="AF909" s="10258"/>
      <c r="AG909" s="10256"/>
      <c r="AH909" s="10257"/>
      <c r="AI909" s="10257"/>
      <c r="AJ909" s="10257"/>
      <c r="AK909" s="10257"/>
      <c r="AL909" s="10257"/>
      <c r="AM909" s="10257"/>
      <c r="AN909" s="10258"/>
      <c r="AO909" s="10256"/>
      <c r="AP909" s="10257"/>
      <c r="AQ909" s="10257"/>
      <c r="AR909" s="10257"/>
      <c r="AS909" s="10257"/>
      <c r="AT909" s="10258"/>
      <c r="AU909" s="10259"/>
      <c r="AV909" s="10259"/>
      <c r="AW909" s="10259"/>
      <c r="AX909" s="10251"/>
      <c r="AY909" s="10254"/>
      <c r="AZ909" s="10259"/>
      <c r="BA909" s="10251"/>
      <c r="BB909" s="10253"/>
      <c r="BC909" s="10254"/>
      <c r="BD909" s="10260"/>
      <c r="BF909" s="14527"/>
      <c r="BG909" s="14527"/>
      <c r="BH909" s="14527"/>
      <c r="BI909" s="14527"/>
      <c r="BJ909" s="14527"/>
      <c r="BK909" s="13079"/>
      <c r="BL909" s="14527"/>
      <c r="BM909" s="14527"/>
      <c r="BN909" s="14527"/>
    </row>
    <row r="910" spans="1:66" ht="29.25" hidden="1" customHeight="1">
      <c r="A910" s="13690"/>
      <c r="B910" s="14202"/>
      <c r="C910" s="13600"/>
      <c r="D910" s="12322" t="s">
        <v>208</v>
      </c>
      <c r="E910" s="12167"/>
      <c r="F910" s="12167" t="s">
        <v>2855</v>
      </c>
      <c r="G910" s="14204"/>
      <c r="H910" s="13456"/>
      <c r="I910" s="14221"/>
      <c r="K910" s="10251"/>
      <c r="L910" s="10252"/>
      <c r="M910" s="10252"/>
      <c r="N910" s="10253"/>
      <c r="O910" s="10253"/>
      <c r="P910" s="10254"/>
      <c r="Q910" s="10255"/>
      <c r="R910" s="10256"/>
      <c r="S910" s="10257"/>
      <c r="T910" s="10258"/>
      <c r="U910" s="10255"/>
      <c r="V910" s="10256"/>
      <c r="W910" s="10258"/>
      <c r="X910" s="10256"/>
      <c r="Y910" s="10258"/>
      <c r="Z910" s="10256"/>
      <c r="AA910" s="10257"/>
      <c r="AB910" s="10257"/>
      <c r="AC910" s="10257"/>
      <c r="AD910" s="10257"/>
      <c r="AE910" s="10257"/>
      <c r="AF910" s="10258"/>
      <c r="AG910" s="10256"/>
      <c r="AH910" s="10257"/>
      <c r="AI910" s="10257"/>
      <c r="AJ910" s="10257"/>
      <c r="AK910" s="10257"/>
      <c r="AL910" s="10257"/>
      <c r="AM910" s="10257"/>
      <c r="AN910" s="10258"/>
      <c r="AO910" s="10256"/>
      <c r="AP910" s="10257"/>
      <c r="AQ910" s="10257"/>
      <c r="AR910" s="10257"/>
      <c r="AS910" s="10257"/>
      <c r="AT910" s="10258"/>
      <c r="AU910" s="10259"/>
      <c r="AV910" s="10259"/>
      <c r="AW910" s="10259"/>
      <c r="AX910" s="10251"/>
      <c r="AY910" s="10254"/>
      <c r="AZ910" s="10259"/>
      <c r="BA910" s="10251"/>
      <c r="BB910" s="10253"/>
      <c r="BC910" s="10254"/>
      <c r="BD910" s="10260"/>
      <c r="BF910" s="14527"/>
      <c r="BG910" s="14527"/>
      <c r="BH910" s="14527"/>
      <c r="BI910" s="14527"/>
      <c r="BJ910" s="14527"/>
      <c r="BK910" s="10261"/>
      <c r="BL910" s="14527"/>
      <c r="BM910" s="14527"/>
      <c r="BN910" s="14527"/>
    </row>
    <row r="911" spans="1:66" ht="29.25" hidden="1" customHeight="1">
      <c r="A911" s="10262">
        <v>564</v>
      </c>
      <c r="B911" s="10263" t="s">
        <v>4529</v>
      </c>
      <c r="C911" s="13600"/>
      <c r="D911" s="12322" t="s">
        <v>10063</v>
      </c>
      <c r="E911" s="12167" t="s">
        <v>2856</v>
      </c>
      <c r="F911" s="12167"/>
      <c r="G911" s="12323" t="s">
        <v>4530</v>
      </c>
      <c r="H911" s="12324"/>
      <c r="I911" s="14221"/>
      <c r="K911" s="10251"/>
      <c r="L911" s="10252"/>
      <c r="M911" s="10252"/>
      <c r="N911" s="10253"/>
      <c r="O911" s="10253"/>
      <c r="P911" s="10254"/>
      <c r="Q911" s="10255"/>
      <c r="R911" s="10256"/>
      <c r="S911" s="10257"/>
      <c r="T911" s="10258"/>
      <c r="U911" s="10255"/>
      <c r="V911" s="10256"/>
      <c r="W911" s="10258"/>
      <c r="X911" s="10256"/>
      <c r="Y911" s="10258"/>
      <c r="Z911" s="10256"/>
      <c r="AA911" s="10257"/>
      <c r="AB911" s="10257"/>
      <c r="AC911" s="10257"/>
      <c r="AD911" s="10257"/>
      <c r="AE911" s="10257"/>
      <c r="AF911" s="10258"/>
      <c r="AG911" s="10256"/>
      <c r="AH911" s="10257"/>
      <c r="AI911" s="10257"/>
      <c r="AJ911" s="10257"/>
      <c r="AK911" s="10257"/>
      <c r="AL911" s="10257"/>
      <c r="AM911" s="10257"/>
      <c r="AN911" s="10258"/>
      <c r="AO911" s="10256"/>
      <c r="AP911" s="10257"/>
      <c r="AQ911" s="10257"/>
      <c r="AR911" s="10257"/>
      <c r="AS911" s="10257"/>
      <c r="AT911" s="10258"/>
      <c r="AU911" s="10259"/>
      <c r="AV911" s="10259"/>
      <c r="AW911" s="10259"/>
      <c r="AX911" s="10251"/>
      <c r="AY911" s="10254"/>
      <c r="AZ911" s="10259"/>
      <c r="BA911" s="10251"/>
      <c r="BB911" s="10253"/>
      <c r="BC911" s="10254"/>
      <c r="BD911" s="10260"/>
      <c r="BF911" s="10261"/>
      <c r="BG911" s="10261"/>
      <c r="BH911" s="10261"/>
      <c r="BI911" s="10261"/>
      <c r="BJ911" s="10261"/>
      <c r="BK911" s="10261"/>
      <c r="BL911" s="10261"/>
      <c r="BM911" s="10261"/>
      <c r="BN911" s="10261"/>
    </row>
    <row r="912" spans="1:66" ht="29.25" customHeight="1">
      <c r="A912" s="10262">
        <v>565</v>
      </c>
      <c r="B912" s="10263" t="s">
        <v>4531</v>
      </c>
      <c r="C912" s="13600"/>
      <c r="D912" s="12322" t="s">
        <v>86</v>
      </c>
      <c r="E912" s="12167" t="s">
        <v>2862</v>
      </c>
      <c r="F912" s="12167" t="s">
        <v>2855</v>
      </c>
      <c r="G912" s="13031" t="s">
        <v>4532</v>
      </c>
      <c r="H912" s="12987"/>
      <c r="I912" s="14221" t="s">
        <v>4626</v>
      </c>
      <c r="K912" s="13122" t="s">
        <v>1732</v>
      </c>
      <c r="L912" s="10252"/>
      <c r="M912" s="10252"/>
      <c r="N912" s="10253"/>
      <c r="O912" s="10253"/>
      <c r="P912" s="10254"/>
      <c r="Q912" s="10255"/>
      <c r="R912" s="10256"/>
      <c r="S912" s="10257"/>
      <c r="T912" s="10258"/>
      <c r="U912" s="10255"/>
      <c r="V912" s="10256"/>
      <c r="W912" s="10258"/>
      <c r="X912" s="10256"/>
      <c r="Y912" s="10258"/>
      <c r="Z912" s="10256"/>
      <c r="AA912" s="10257"/>
      <c r="AB912" s="10257"/>
      <c r="AC912" s="10257"/>
      <c r="AD912" s="10257"/>
      <c r="AE912" s="10257"/>
      <c r="AF912" s="10258"/>
      <c r="AG912" s="10256"/>
      <c r="AH912" s="10257"/>
      <c r="AI912" s="10257"/>
      <c r="AJ912" s="10257"/>
      <c r="AK912" s="10257"/>
      <c r="AL912" s="10257"/>
      <c r="AM912" s="10257"/>
      <c r="AN912" s="10258"/>
      <c r="AO912" s="10256"/>
      <c r="AP912" s="10257"/>
      <c r="AQ912" s="10257"/>
      <c r="AR912" s="10257"/>
      <c r="AS912" s="10257"/>
      <c r="AT912" s="10258"/>
      <c r="AU912" s="10259"/>
      <c r="AV912" s="10259"/>
      <c r="AW912" s="10259"/>
      <c r="AX912" s="10251"/>
      <c r="AY912" s="10254"/>
      <c r="AZ912" s="10259"/>
      <c r="BA912" s="10251"/>
      <c r="BB912" s="10253"/>
      <c r="BC912" s="10254"/>
      <c r="BD912" s="10260"/>
      <c r="BF912" s="10261"/>
      <c r="BG912" s="10261"/>
      <c r="BH912" s="10261"/>
      <c r="BI912" s="10261"/>
      <c r="BJ912" s="10261"/>
      <c r="BK912" s="13079"/>
      <c r="BL912" s="13079"/>
      <c r="BM912" s="10261"/>
      <c r="BN912" s="10261"/>
    </row>
    <row r="913" spans="1:66" ht="29.25" hidden="1" customHeight="1">
      <c r="A913" s="13690">
        <v>566</v>
      </c>
      <c r="B913" s="14202" t="s">
        <v>4533</v>
      </c>
      <c r="C913" s="13600"/>
      <c r="D913" s="12322" t="s">
        <v>2896</v>
      </c>
      <c r="E913" s="12167" t="s">
        <v>2858</v>
      </c>
      <c r="F913" s="12167"/>
      <c r="G913" s="14204" t="s">
        <v>4534</v>
      </c>
      <c r="H913" s="13456"/>
      <c r="I913" s="14221"/>
      <c r="K913" s="10251"/>
      <c r="L913" s="10252"/>
      <c r="M913" s="10252"/>
      <c r="N913" s="10253"/>
      <c r="O913" s="10253"/>
      <c r="P913" s="10254"/>
      <c r="Q913" s="10255"/>
      <c r="R913" s="10256"/>
      <c r="S913" s="10257"/>
      <c r="T913" s="10258"/>
      <c r="U913" s="10255"/>
      <c r="V913" s="10256"/>
      <c r="W913" s="10258"/>
      <c r="X913" s="10256"/>
      <c r="Y913" s="10258"/>
      <c r="Z913" s="10256"/>
      <c r="AA913" s="10257"/>
      <c r="AB913" s="10257"/>
      <c r="AC913" s="10257"/>
      <c r="AD913" s="10257"/>
      <c r="AE913" s="10257"/>
      <c r="AF913" s="10258"/>
      <c r="AG913" s="10256"/>
      <c r="AH913" s="10257"/>
      <c r="AI913" s="10257"/>
      <c r="AJ913" s="10257"/>
      <c r="AK913" s="10257"/>
      <c r="AL913" s="10257"/>
      <c r="AM913" s="10257"/>
      <c r="AN913" s="10258"/>
      <c r="AO913" s="10256"/>
      <c r="AP913" s="10257"/>
      <c r="AQ913" s="10257"/>
      <c r="AR913" s="10257"/>
      <c r="AS913" s="10257"/>
      <c r="AT913" s="10258"/>
      <c r="AU913" s="10259"/>
      <c r="AV913" s="10259"/>
      <c r="AW913" s="10259"/>
      <c r="AX913" s="10251"/>
      <c r="AY913" s="10254"/>
      <c r="AZ913" s="10259"/>
      <c r="BA913" s="10251"/>
      <c r="BB913" s="10253"/>
      <c r="BC913" s="10254"/>
      <c r="BD913" s="10260"/>
      <c r="BF913" s="14527"/>
      <c r="BG913" s="14527"/>
      <c r="BH913" s="14527"/>
      <c r="BI913" s="14527"/>
      <c r="BJ913" s="14527"/>
      <c r="BK913" s="10261"/>
      <c r="BL913" s="14527"/>
      <c r="BM913" s="14527"/>
      <c r="BN913" s="14527"/>
    </row>
    <row r="914" spans="1:66" ht="29.25" hidden="1" customHeight="1" thickBot="1">
      <c r="A914" s="13691"/>
      <c r="B914" s="14209"/>
      <c r="C914" s="13600"/>
      <c r="D914" s="12325" t="s">
        <v>208</v>
      </c>
      <c r="E914" s="12169"/>
      <c r="F914" s="12169" t="s">
        <v>2855</v>
      </c>
      <c r="G914" s="14210"/>
      <c r="H914" s="13457"/>
      <c r="I914" s="14222"/>
      <c r="K914" s="10264"/>
      <c r="L914" s="10265"/>
      <c r="M914" s="10265"/>
      <c r="N914" s="10266"/>
      <c r="O914" s="10266"/>
      <c r="P914" s="10267"/>
      <c r="Q914" s="10268"/>
      <c r="R914" s="10269"/>
      <c r="S914" s="10270"/>
      <c r="T914" s="10271"/>
      <c r="U914" s="10268"/>
      <c r="V914" s="10269"/>
      <c r="W914" s="10271"/>
      <c r="X914" s="10269"/>
      <c r="Y914" s="10271"/>
      <c r="Z914" s="10269"/>
      <c r="AA914" s="10270"/>
      <c r="AB914" s="10270"/>
      <c r="AC914" s="10270"/>
      <c r="AD914" s="10270"/>
      <c r="AE914" s="10270"/>
      <c r="AF914" s="10271"/>
      <c r="AG914" s="10269"/>
      <c r="AH914" s="10270"/>
      <c r="AI914" s="10270"/>
      <c r="AJ914" s="10270"/>
      <c r="AK914" s="10270"/>
      <c r="AL914" s="10270"/>
      <c r="AM914" s="10270"/>
      <c r="AN914" s="10271"/>
      <c r="AO914" s="10269"/>
      <c r="AP914" s="10270"/>
      <c r="AQ914" s="10270"/>
      <c r="AR914" s="10270"/>
      <c r="AS914" s="10270"/>
      <c r="AT914" s="10271"/>
      <c r="AU914" s="10272"/>
      <c r="AV914" s="10272"/>
      <c r="AW914" s="10272"/>
      <c r="AX914" s="10264"/>
      <c r="AY914" s="10267"/>
      <c r="AZ914" s="10272"/>
      <c r="BA914" s="10264"/>
      <c r="BB914" s="10266"/>
      <c r="BC914" s="10267"/>
      <c r="BD914" s="10273"/>
      <c r="BF914" s="14528"/>
      <c r="BG914" s="14528"/>
      <c r="BH914" s="14528"/>
      <c r="BI914" s="14528"/>
      <c r="BJ914" s="14528"/>
      <c r="BK914" s="10274"/>
      <c r="BL914" s="14528"/>
      <c r="BM914" s="14528"/>
      <c r="BN914" s="14528"/>
    </row>
    <row r="915" spans="1:66" ht="29.25" customHeight="1">
      <c r="A915" s="13692">
        <v>567</v>
      </c>
      <c r="B915" s="14207" t="s">
        <v>4535</v>
      </c>
      <c r="C915" s="13600"/>
      <c r="D915" s="11971" t="s">
        <v>86</v>
      </c>
      <c r="E915" s="7824" t="s">
        <v>2862</v>
      </c>
      <c r="F915" s="7824"/>
      <c r="G915" s="14208" t="s">
        <v>2643</v>
      </c>
      <c r="H915" s="13458"/>
      <c r="I915" s="14223" t="s">
        <v>2641</v>
      </c>
      <c r="K915" s="13123">
        <v>798</v>
      </c>
      <c r="L915" s="10276"/>
      <c r="M915" s="10276"/>
      <c r="N915" s="10277" t="s">
        <v>10629</v>
      </c>
      <c r="O915" s="10277"/>
      <c r="P915" s="10278"/>
      <c r="Q915" s="10279"/>
      <c r="R915" s="10280"/>
      <c r="S915" s="10281"/>
      <c r="T915" s="10282"/>
      <c r="U915" s="10279"/>
      <c r="V915" s="10280"/>
      <c r="W915" s="10282"/>
      <c r="X915" s="10280"/>
      <c r="Y915" s="10282"/>
      <c r="Z915" s="10280"/>
      <c r="AA915" s="10281"/>
      <c r="AB915" s="10281"/>
      <c r="AC915" s="10281"/>
      <c r="AD915" s="10281"/>
      <c r="AE915" s="10281"/>
      <c r="AF915" s="10282"/>
      <c r="AG915" s="10280"/>
      <c r="AH915" s="10281"/>
      <c r="AI915" s="10281"/>
      <c r="AJ915" s="10281"/>
      <c r="AK915" s="10281"/>
      <c r="AL915" s="10281"/>
      <c r="AM915" s="10281"/>
      <c r="AN915" s="10282"/>
      <c r="AO915" s="10280"/>
      <c r="AP915" s="10281"/>
      <c r="AQ915" s="10281"/>
      <c r="AR915" s="10281"/>
      <c r="AS915" s="10281"/>
      <c r="AT915" s="10282"/>
      <c r="AU915" s="10283"/>
      <c r="AV915" s="10283"/>
      <c r="AW915" s="10283"/>
      <c r="AX915" s="10275"/>
      <c r="AY915" s="10278"/>
      <c r="AZ915" s="10283"/>
      <c r="BA915" s="10275"/>
      <c r="BB915" s="10277"/>
      <c r="BC915" s="10278"/>
      <c r="BD915" s="10284"/>
      <c r="BF915" s="14529"/>
      <c r="BG915" s="14529"/>
      <c r="BH915" s="14529"/>
      <c r="BI915" s="14529"/>
      <c r="BJ915" s="14529"/>
      <c r="BK915" s="13080"/>
      <c r="BL915" s="14529"/>
      <c r="BM915" s="14529"/>
      <c r="BN915" s="14529"/>
    </row>
    <row r="916" spans="1:66" ht="29.25" hidden="1" customHeight="1">
      <c r="A916" s="13654"/>
      <c r="B916" s="13951"/>
      <c r="C916" s="13600"/>
      <c r="D916" s="11975" t="s">
        <v>208</v>
      </c>
      <c r="E916" s="7826"/>
      <c r="F916" s="7826" t="s">
        <v>2855</v>
      </c>
      <c r="G916" s="13931"/>
      <c r="H916" s="13405"/>
      <c r="I916" s="14223"/>
      <c r="K916" s="9162"/>
      <c r="L916" s="9163"/>
      <c r="M916" s="9163"/>
      <c r="N916" s="9164"/>
      <c r="O916" s="9164"/>
      <c r="P916" s="9165"/>
      <c r="Q916" s="9166"/>
      <c r="R916" s="9167"/>
      <c r="S916" s="9168"/>
      <c r="T916" s="9169"/>
      <c r="U916" s="9166"/>
      <c r="V916" s="9167"/>
      <c r="W916" s="9169"/>
      <c r="X916" s="9167"/>
      <c r="Y916" s="9169"/>
      <c r="Z916" s="9167"/>
      <c r="AA916" s="9168"/>
      <c r="AB916" s="9168"/>
      <c r="AC916" s="9168"/>
      <c r="AD916" s="9168"/>
      <c r="AE916" s="9168"/>
      <c r="AF916" s="9169"/>
      <c r="AG916" s="9167"/>
      <c r="AH916" s="9168"/>
      <c r="AI916" s="9168"/>
      <c r="AJ916" s="9168"/>
      <c r="AK916" s="9168"/>
      <c r="AL916" s="9168"/>
      <c r="AM916" s="9168"/>
      <c r="AN916" s="9169"/>
      <c r="AO916" s="9167"/>
      <c r="AP916" s="9168"/>
      <c r="AQ916" s="9168"/>
      <c r="AR916" s="9168"/>
      <c r="AS916" s="9168"/>
      <c r="AT916" s="9169"/>
      <c r="AU916" s="9170"/>
      <c r="AV916" s="9170"/>
      <c r="AW916" s="9170"/>
      <c r="AX916" s="9162"/>
      <c r="AY916" s="9165"/>
      <c r="AZ916" s="9170"/>
      <c r="BA916" s="9162"/>
      <c r="BB916" s="9164"/>
      <c r="BC916" s="9165"/>
      <c r="BD916" s="9171"/>
      <c r="BF916" s="14454"/>
      <c r="BG916" s="14454"/>
      <c r="BH916" s="14454"/>
      <c r="BI916" s="14454"/>
      <c r="BJ916" s="14454"/>
      <c r="BK916" s="9153"/>
      <c r="BL916" s="14454"/>
      <c r="BM916" s="14454"/>
      <c r="BN916" s="14454"/>
    </row>
    <row r="917" spans="1:66" ht="29.25" hidden="1" customHeight="1">
      <c r="A917" s="13654">
        <v>568</v>
      </c>
      <c r="B917" s="13951" t="s">
        <v>4536</v>
      </c>
      <c r="C917" s="13600"/>
      <c r="D917" s="11975" t="s">
        <v>86</v>
      </c>
      <c r="E917" s="7826" t="s">
        <v>2862</v>
      </c>
      <c r="F917" s="7826"/>
      <c r="G917" s="13931" t="s">
        <v>2645</v>
      </c>
      <c r="H917" s="13405"/>
      <c r="I917" s="14223"/>
      <c r="K917" s="9152"/>
      <c r="L917" s="9163"/>
      <c r="M917" s="9163"/>
      <c r="N917" s="9164"/>
      <c r="O917" s="9164"/>
      <c r="P917" s="9165"/>
      <c r="Q917" s="9166"/>
      <c r="R917" s="9167"/>
      <c r="S917" s="9168"/>
      <c r="T917" s="9169"/>
      <c r="U917" s="9166"/>
      <c r="V917" s="9167"/>
      <c r="W917" s="9169"/>
      <c r="X917" s="9167"/>
      <c r="Y917" s="9169"/>
      <c r="Z917" s="9167"/>
      <c r="AA917" s="9168"/>
      <c r="AB917" s="9168"/>
      <c r="AC917" s="9168"/>
      <c r="AD917" s="9168"/>
      <c r="AE917" s="9168"/>
      <c r="AF917" s="9169"/>
      <c r="AG917" s="9167"/>
      <c r="AH917" s="9168"/>
      <c r="AI917" s="9168"/>
      <c r="AJ917" s="9168"/>
      <c r="AK917" s="9168"/>
      <c r="AL917" s="9168"/>
      <c r="AM917" s="9168"/>
      <c r="AN917" s="9169"/>
      <c r="AO917" s="9167"/>
      <c r="AP917" s="9168"/>
      <c r="AQ917" s="9168"/>
      <c r="AR917" s="9168"/>
      <c r="AS917" s="9168"/>
      <c r="AT917" s="9169"/>
      <c r="AU917" s="9170"/>
      <c r="AV917" s="9170"/>
      <c r="AW917" s="9170"/>
      <c r="AX917" s="9162"/>
      <c r="AY917" s="9165"/>
      <c r="AZ917" s="9170"/>
      <c r="BA917" s="9162"/>
      <c r="BB917" s="9164"/>
      <c r="BC917" s="9165"/>
      <c r="BD917" s="9171"/>
      <c r="BF917" s="14454"/>
      <c r="BG917" s="14454"/>
      <c r="BH917" s="14454"/>
      <c r="BI917" s="14454"/>
      <c r="BJ917" s="14454"/>
      <c r="BK917" s="13061"/>
      <c r="BL917" s="14454"/>
      <c r="BM917" s="14454"/>
      <c r="BN917" s="14454"/>
    </row>
    <row r="918" spans="1:66" ht="29.25" hidden="1" customHeight="1">
      <c r="A918" s="13654"/>
      <c r="B918" s="13951"/>
      <c r="C918" s="13600"/>
      <c r="D918" s="11975" t="s">
        <v>208</v>
      </c>
      <c r="E918" s="7826"/>
      <c r="F918" s="7826" t="s">
        <v>2855</v>
      </c>
      <c r="G918" s="13931"/>
      <c r="H918" s="13405"/>
      <c r="I918" s="14223"/>
      <c r="K918" s="9162"/>
      <c r="L918" s="9163"/>
      <c r="M918" s="9163"/>
      <c r="N918" s="9164"/>
      <c r="O918" s="9164"/>
      <c r="P918" s="9165"/>
      <c r="Q918" s="9166"/>
      <c r="R918" s="9167"/>
      <c r="S918" s="9168"/>
      <c r="T918" s="9169"/>
      <c r="U918" s="9166"/>
      <c r="V918" s="9167"/>
      <c r="W918" s="9169"/>
      <c r="X918" s="9167"/>
      <c r="Y918" s="9169"/>
      <c r="Z918" s="9167"/>
      <c r="AA918" s="9168"/>
      <c r="AB918" s="9168"/>
      <c r="AC918" s="9168"/>
      <c r="AD918" s="9168"/>
      <c r="AE918" s="9168"/>
      <c r="AF918" s="9169"/>
      <c r="AG918" s="9167"/>
      <c r="AH918" s="9168"/>
      <c r="AI918" s="9168"/>
      <c r="AJ918" s="9168"/>
      <c r="AK918" s="9168"/>
      <c r="AL918" s="9168"/>
      <c r="AM918" s="9168"/>
      <c r="AN918" s="9169"/>
      <c r="AO918" s="9167"/>
      <c r="AP918" s="9168"/>
      <c r="AQ918" s="9168"/>
      <c r="AR918" s="9168"/>
      <c r="AS918" s="9168"/>
      <c r="AT918" s="9169"/>
      <c r="AU918" s="9170"/>
      <c r="AV918" s="9170"/>
      <c r="AW918" s="9170"/>
      <c r="AX918" s="9162"/>
      <c r="AY918" s="9165"/>
      <c r="AZ918" s="9170"/>
      <c r="BA918" s="9162"/>
      <c r="BB918" s="9164"/>
      <c r="BC918" s="9165"/>
      <c r="BD918" s="9171"/>
      <c r="BF918" s="14454"/>
      <c r="BG918" s="14454"/>
      <c r="BH918" s="14454"/>
      <c r="BI918" s="14454"/>
      <c r="BJ918" s="14454"/>
      <c r="BK918" s="9153"/>
      <c r="BL918" s="14454"/>
      <c r="BM918" s="14454"/>
      <c r="BN918" s="14454"/>
    </row>
    <row r="919" spans="1:66" ht="29.25" customHeight="1">
      <c r="A919" s="13654">
        <v>569</v>
      </c>
      <c r="B919" s="13951" t="s">
        <v>4537</v>
      </c>
      <c r="C919" s="13600"/>
      <c r="D919" s="11975" t="s">
        <v>86</v>
      </c>
      <c r="E919" s="7826" t="s">
        <v>2862</v>
      </c>
      <c r="F919" s="7826"/>
      <c r="G919" s="13931" t="s">
        <v>2647</v>
      </c>
      <c r="H919" s="13405"/>
      <c r="I919" s="14223"/>
      <c r="K919" s="9152" t="s">
        <v>1732</v>
      </c>
      <c r="L919" s="9163"/>
      <c r="M919" s="9163"/>
      <c r="N919" s="9164"/>
      <c r="O919" s="9164"/>
      <c r="P919" s="9165"/>
      <c r="Q919" s="9166"/>
      <c r="R919" s="9167"/>
      <c r="S919" s="9168"/>
      <c r="T919" s="9169"/>
      <c r="U919" s="9166"/>
      <c r="V919" s="9167"/>
      <c r="W919" s="9169"/>
      <c r="X919" s="9167"/>
      <c r="Y919" s="9169"/>
      <c r="Z919" s="9167"/>
      <c r="AA919" s="9168"/>
      <c r="AB919" s="9168"/>
      <c r="AC919" s="9168"/>
      <c r="AD919" s="9168"/>
      <c r="AE919" s="9168"/>
      <c r="AF919" s="9169"/>
      <c r="AG919" s="9167"/>
      <c r="AH919" s="9168"/>
      <c r="AI919" s="9168"/>
      <c r="AJ919" s="9168"/>
      <c r="AK919" s="9168"/>
      <c r="AL919" s="9168"/>
      <c r="AM919" s="9168"/>
      <c r="AN919" s="9169"/>
      <c r="AO919" s="9167"/>
      <c r="AP919" s="9168"/>
      <c r="AQ919" s="9168"/>
      <c r="AR919" s="9168"/>
      <c r="AS919" s="9168"/>
      <c r="AT919" s="9169"/>
      <c r="AU919" s="9170"/>
      <c r="AV919" s="9170"/>
      <c r="AW919" s="9170"/>
      <c r="AX919" s="9162"/>
      <c r="AY919" s="9165"/>
      <c r="AZ919" s="9170"/>
      <c r="BA919" s="9162"/>
      <c r="BB919" s="9164"/>
      <c r="BC919" s="9165"/>
      <c r="BD919" s="9171"/>
      <c r="BF919" s="14454"/>
      <c r="BG919" s="14454"/>
      <c r="BH919" s="14454"/>
      <c r="BI919" s="14454"/>
      <c r="BJ919" s="14454"/>
      <c r="BK919" s="13061"/>
      <c r="BL919" s="14454"/>
      <c r="BM919" s="14454"/>
      <c r="BN919" s="14454"/>
    </row>
    <row r="920" spans="1:66" ht="29.25" hidden="1" customHeight="1">
      <c r="A920" s="13654"/>
      <c r="B920" s="13951"/>
      <c r="C920" s="13600"/>
      <c r="D920" s="11975" t="s">
        <v>208</v>
      </c>
      <c r="E920" s="7826"/>
      <c r="F920" s="7826" t="s">
        <v>2855</v>
      </c>
      <c r="G920" s="13931"/>
      <c r="H920" s="13405"/>
      <c r="I920" s="14223"/>
      <c r="K920" s="9162"/>
      <c r="L920" s="9163"/>
      <c r="M920" s="9163"/>
      <c r="N920" s="9164"/>
      <c r="O920" s="9164"/>
      <c r="P920" s="9165"/>
      <c r="Q920" s="9166"/>
      <c r="R920" s="9167"/>
      <c r="S920" s="9168"/>
      <c r="T920" s="9169"/>
      <c r="U920" s="9166"/>
      <c r="V920" s="9167"/>
      <c r="W920" s="9169"/>
      <c r="X920" s="9167"/>
      <c r="Y920" s="9169"/>
      <c r="Z920" s="9167"/>
      <c r="AA920" s="9168"/>
      <c r="AB920" s="9168"/>
      <c r="AC920" s="9168"/>
      <c r="AD920" s="9168"/>
      <c r="AE920" s="9168"/>
      <c r="AF920" s="9169"/>
      <c r="AG920" s="9167"/>
      <c r="AH920" s="9168"/>
      <c r="AI920" s="9168"/>
      <c r="AJ920" s="9168"/>
      <c r="AK920" s="9168"/>
      <c r="AL920" s="9168"/>
      <c r="AM920" s="9168"/>
      <c r="AN920" s="9169"/>
      <c r="AO920" s="9167"/>
      <c r="AP920" s="9168"/>
      <c r="AQ920" s="9168"/>
      <c r="AR920" s="9168"/>
      <c r="AS920" s="9168"/>
      <c r="AT920" s="9169"/>
      <c r="AU920" s="9170"/>
      <c r="AV920" s="9170"/>
      <c r="AW920" s="9170"/>
      <c r="AX920" s="9162"/>
      <c r="AY920" s="9165"/>
      <c r="AZ920" s="9170"/>
      <c r="BA920" s="9162"/>
      <c r="BB920" s="9164"/>
      <c r="BC920" s="9165"/>
      <c r="BD920" s="9171"/>
      <c r="BF920" s="14454"/>
      <c r="BG920" s="14454"/>
      <c r="BH920" s="14454"/>
      <c r="BI920" s="14454"/>
      <c r="BJ920" s="14454"/>
      <c r="BK920" s="9153"/>
      <c r="BL920" s="14454"/>
      <c r="BM920" s="14454"/>
      <c r="BN920" s="14454"/>
    </row>
    <row r="921" spans="1:66" ht="29.25" customHeight="1">
      <c r="A921" s="13654">
        <v>570</v>
      </c>
      <c r="B921" s="13951" t="s">
        <v>4538</v>
      </c>
      <c r="C921" s="13600"/>
      <c r="D921" s="11975" t="s">
        <v>86</v>
      </c>
      <c r="E921" s="7826" t="s">
        <v>2862</v>
      </c>
      <c r="F921" s="7826"/>
      <c r="G921" s="13931" t="s">
        <v>2649</v>
      </c>
      <c r="H921" s="13405"/>
      <c r="I921" s="14223"/>
      <c r="K921" s="9152">
        <v>1</v>
      </c>
      <c r="L921" s="9163"/>
      <c r="M921" s="9163"/>
      <c r="N921" s="9164" t="s">
        <v>10630</v>
      </c>
      <c r="O921" s="9164"/>
      <c r="P921" s="9165"/>
      <c r="Q921" s="9166"/>
      <c r="R921" s="9167"/>
      <c r="S921" s="9168"/>
      <c r="T921" s="9169"/>
      <c r="U921" s="9166"/>
      <c r="V921" s="9167"/>
      <c r="W921" s="9169"/>
      <c r="X921" s="9167"/>
      <c r="Y921" s="9169"/>
      <c r="Z921" s="9167"/>
      <c r="AA921" s="9168"/>
      <c r="AB921" s="9168"/>
      <c r="AC921" s="9168"/>
      <c r="AD921" s="9168"/>
      <c r="AE921" s="9168"/>
      <c r="AF921" s="9169"/>
      <c r="AG921" s="9167"/>
      <c r="AH921" s="9168"/>
      <c r="AI921" s="9168"/>
      <c r="AJ921" s="9168"/>
      <c r="AK921" s="9168"/>
      <c r="AL921" s="9168"/>
      <c r="AM921" s="9168"/>
      <c r="AN921" s="9169"/>
      <c r="AO921" s="9167"/>
      <c r="AP921" s="9168"/>
      <c r="AQ921" s="9168"/>
      <c r="AR921" s="9168"/>
      <c r="AS921" s="9168"/>
      <c r="AT921" s="9169"/>
      <c r="AU921" s="9170"/>
      <c r="AV921" s="9170"/>
      <c r="AW921" s="9170"/>
      <c r="AX921" s="9162"/>
      <c r="AY921" s="9165"/>
      <c r="AZ921" s="9170"/>
      <c r="BA921" s="9162"/>
      <c r="BB921" s="9164"/>
      <c r="BC921" s="9165"/>
      <c r="BD921" s="9171"/>
      <c r="BF921" s="14454"/>
      <c r="BG921" s="14454"/>
      <c r="BH921" s="14454"/>
      <c r="BI921" s="14454"/>
      <c r="BJ921" s="14454"/>
      <c r="BK921" s="13061"/>
      <c r="BL921" s="14454"/>
      <c r="BM921" s="14454"/>
      <c r="BN921" s="14454"/>
    </row>
    <row r="922" spans="1:66" ht="29.25" hidden="1" customHeight="1">
      <c r="A922" s="13654"/>
      <c r="B922" s="13951"/>
      <c r="C922" s="13600"/>
      <c r="D922" s="11975" t="s">
        <v>208</v>
      </c>
      <c r="E922" s="7826"/>
      <c r="F922" s="7826" t="s">
        <v>2855</v>
      </c>
      <c r="G922" s="13931"/>
      <c r="H922" s="13405"/>
      <c r="I922" s="14223"/>
      <c r="K922" s="9162"/>
      <c r="L922" s="9163"/>
      <c r="M922" s="9163"/>
      <c r="N922" s="9164"/>
      <c r="O922" s="9164"/>
      <c r="P922" s="9165"/>
      <c r="Q922" s="9166"/>
      <c r="R922" s="9167"/>
      <c r="S922" s="9168"/>
      <c r="T922" s="9169"/>
      <c r="U922" s="9166"/>
      <c r="V922" s="9167"/>
      <c r="W922" s="9169"/>
      <c r="X922" s="9167"/>
      <c r="Y922" s="9169"/>
      <c r="Z922" s="9167"/>
      <c r="AA922" s="9168"/>
      <c r="AB922" s="9168"/>
      <c r="AC922" s="9168"/>
      <c r="AD922" s="9168"/>
      <c r="AE922" s="9168"/>
      <c r="AF922" s="9169"/>
      <c r="AG922" s="9167"/>
      <c r="AH922" s="9168"/>
      <c r="AI922" s="9168"/>
      <c r="AJ922" s="9168"/>
      <c r="AK922" s="9168"/>
      <c r="AL922" s="9168"/>
      <c r="AM922" s="9168"/>
      <c r="AN922" s="9169"/>
      <c r="AO922" s="9167"/>
      <c r="AP922" s="9168"/>
      <c r="AQ922" s="9168"/>
      <c r="AR922" s="9168"/>
      <c r="AS922" s="9168"/>
      <c r="AT922" s="9169"/>
      <c r="AU922" s="9170"/>
      <c r="AV922" s="9170"/>
      <c r="AW922" s="9170"/>
      <c r="AX922" s="9162"/>
      <c r="AY922" s="9165"/>
      <c r="AZ922" s="9170"/>
      <c r="BA922" s="9162"/>
      <c r="BB922" s="9164"/>
      <c r="BC922" s="9165"/>
      <c r="BD922" s="9171"/>
      <c r="BF922" s="14454"/>
      <c r="BG922" s="14454"/>
      <c r="BH922" s="14454"/>
      <c r="BI922" s="14454"/>
      <c r="BJ922" s="14454"/>
      <c r="BK922" s="9153"/>
      <c r="BL922" s="14454"/>
      <c r="BM922" s="14454"/>
      <c r="BN922" s="14454"/>
    </row>
    <row r="923" spans="1:66" ht="29.25" customHeight="1">
      <c r="A923" s="13654">
        <v>571</v>
      </c>
      <c r="B923" s="13951" t="s">
        <v>4539</v>
      </c>
      <c r="C923" s="13600"/>
      <c r="D923" s="11975" t="s">
        <v>86</v>
      </c>
      <c r="E923" s="7826" t="s">
        <v>2862</v>
      </c>
      <c r="F923" s="7826"/>
      <c r="G923" s="13931" t="s">
        <v>2651</v>
      </c>
      <c r="H923" s="13405"/>
      <c r="I923" s="14223"/>
      <c r="K923" s="9152" t="s">
        <v>1732</v>
      </c>
      <c r="L923" s="9163"/>
      <c r="M923" s="9163"/>
      <c r="N923" s="9164"/>
      <c r="O923" s="9164"/>
      <c r="P923" s="9165" t="s">
        <v>10631</v>
      </c>
      <c r="Q923" s="9166"/>
      <c r="R923" s="9167"/>
      <c r="S923" s="9168"/>
      <c r="T923" s="9169"/>
      <c r="U923" s="9166"/>
      <c r="V923" s="9167"/>
      <c r="W923" s="9169"/>
      <c r="X923" s="9167"/>
      <c r="Y923" s="9169"/>
      <c r="Z923" s="9167"/>
      <c r="AA923" s="9168"/>
      <c r="AB923" s="9168"/>
      <c r="AC923" s="9168"/>
      <c r="AD923" s="9168"/>
      <c r="AE923" s="9168"/>
      <c r="AF923" s="9169"/>
      <c r="AG923" s="9167"/>
      <c r="AH923" s="9168"/>
      <c r="AI923" s="9168"/>
      <c r="AJ923" s="9168"/>
      <c r="AK923" s="9168"/>
      <c r="AL923" s="9168"/>
      <c r="AM923" s="9168"/>
      <c r="AN923" s="9169"/>
      <c r="AO923" s="9167"/>
      <c r="AP923" s="9168"/>
      <c r="AQ923" s="9168"/>
      <c r="AR923" s="9168"/>
      <c r="AS923" s="9168"/>
      <c r="AT923" s="9169"/>
      <c r="AU923" s="9170"/>
      <c r="AV923" s="9170"/>
      <c r="AW923" s="9170"/>
      <c r="AX923" s="9162"/>
      <c r="AY923" s="9165"/>
      <c r="AZ923" s="9170"/>
      <c r="BA923" s="9162"/>
      <c r="BB923" s="9164"/>
      <c r="BC923" s="9165"/>
      <c r="BD923" s="9171"/>
      <c r="BF923" s="14454"/>
      <c r="BG923" s="14454"/>
      <c r="BH923" s="14454"/>
      <c r="BI923" s="14454"/>
      <c r="BJ923" s="14454"/>
      <c r="BK923" s="13061"/>
      <c r="BL923" s="14454"/>
      <c r="BM923" s="14454"/>
      <c r="BN923" s="14454"/>
    </row>
    <row r="924" spans="1:66" ht="29.25" hidden="1" customHeight="1">
      <c r="A924" s="13654"/>
      <c r="B924" s="13951"/>
      <c r="C924" s="13600"/>
      <c r="D924" s="11975" t="s">
        <v>208</v>
      </c>
      <c r="E924" s="7826"/>
      <c r="F924" s="7826" t="s">
        <v>2855</v>
      </c>
      <c r="G924" s="13931"/>
      <c r="H924" s="13405"/>
      <c r="I924" s="14223"/>
      <c r="K924" s="9162"/>
      <c r="L924" s="9163"/>
      <c r="M924" s="9163"/>
      <c r="N924" s="9164"/>
      <c r="O924" s="9164"/>
      <c r="P924" s="9165"/>
      <c r="Q924" s="9166"/>
      <c r="R924" s="9167"/>
      <c r="S924" s="9168"/>
      <c r="T924" s="9169"/>
      <c r="U924" s="9166"/>
      <c r="V924" s="9167"/>
      <c r="W924" s="9169"/>
      <c r="X924" s="9167"/>
      <c r="Y924" s="9169"/>
      <c r="Z924" s="9167"/>
      <c r="AA924" s="9168"/>
      <c r="AB924" s="9168"/>
      <c r="AC924" s="9168"/>
      <c r="AD924" s="9168"/>
      <c r="AE924" s="9168"/>
      <c r="AF924" s="9169"/>
      <c r="AG924" s="9167"/>
      <c r="AH924" s="9168"/>
      <c r="AI924" s="9168"/>
      <c r="AJ924" s="9168"/>
      <c r="AK924" s="9168"/>
      <c r="AL924" s="9168"/>
      <c r="AM924" s="9168"/>
      <c r="AN924" s="9169"/>
      <c r="AO924" s="9167"/>
      <c r="AP924" s="9168"/>
      <c r="AQ924" s="9168"/>
      <c r="AR924" s="9168"/>
      <c r="AS924" s="9168"/>
      <c r="AT924" s="9169"/>
      <c r="AU924" s="9170"/>
      <c r="AV924" s="9170"/>
      <c r="AW924" s="9170"/>
      <c r="AX924" s="9162"/>
      <c r="AY924" s="9165"/>
      <c r="AZ924" s="9170"/>
      <c r="BA924" s="9162"/>
      <c r="BB924" s="9164"/>
      <c r="BC924" s="9165"/>
      <c r="BD924" s="9171"/>
      <c r="BF924" s="14454"/>
      <c r="BG924" s="14454"/>
      <c r="BH924" s="14454"/>
      <c r="BI924" s="14454"/>
      <c r="BJ924" s="14454"/>
      <c r="BK924" s="9153"/>
      <c r="BL924" s="14454"/>
      <c r="BM924" s="14454"/>
      <c r="BN924" s="14454"/>
    </row>
    <row r="925" spans="1:66" ht="29.25" customHeight="1">
      <c r="A925" s="13654">
        <v>572</v>
      </c>
      <c r="B925" s="13951" t="s">
        <v>4540</v>
      </c>
      <c r="C925" s="13600"/>
      <c r="D925" s="11975" t="s">
        <v>86</v>
      </c>
      <c r="E925" s="7826" t="s">
        <v>2862</v>
      </c>
      <c r="F925" s="7826"/>
      <c r="G925" s="13931" t="s">
        <v>2653</v>
      </c>
      <c r="H925" s="13405"/>
      <c r="I925" s="14223"/>
      <c r="K925" s="9152">
        <v>0</v>
      </c>
      <c r="L925" s="9163"/>
      <c r="M925" s="9163"/>
      <c r="N925" s="9164" t="s">
        <v>10632</v>
      </c>
      <c r="O925" s="9164"/>
      <c r="P925" s="9165" t="s">
        <v>10633</v>
      </c>
      <c r="Q925" s="9166"/>
      <c r="R925" s="9167"/>
      <c r="S925" s="9168"/>
      <c r="T925" s="9169"/>
      <c r="U925" s="9166"/>
      <c r="V925" s="9167"/>
      <c r="W925" s="9169"/>
      <c r="X925" s="9167"/>
      <c r="Y925" s="9169"/>
      <c r="Z925" s="9167"/>
      <c r="AA925" s="9168"/>
      <c r="AB925" s="9168"/>
      <c r="AC925" s="9168"/>
      <c r="AD925" s="9168"/>
      <c r="AE925" s="9168"/>
      <c r="AF925" s="9169"/>
      <c r="AG925" s="9167"/>
      <c r="AH925" s="9168"/>
      <c r="AI925" s="9168"/>
      <c r="AJ925" s="9168"/>
      <c r="AK925" s="9168"/>
      <c r="AL925" s="9168"/>
      <c r="AM925" s="9168"/>
      <c r="AN925" s="9169"/>
      <c r="AO925" s="9167"/>
      <c r="AP925" s="9168"/>
      <c r="AQ925" s="9168"/>
      <c r="AR925" s="9168"/>
      <c r="AS925" s="9168"/>
      <c r="AT925" s="9169"/>
      <c r="AU925" s="9170"/>
      <c r="AV925" s="9170"/>
      <c r="AW925" s="9170"/>
      <c r="AX925" s="9162"/>
      <c r="AY925" s="9165"/>
      <c r="AZ925" s="9170"/>
      <c r="BA925" s="9162"/>
      <c r="BB925" s="9164"/>
      <c r="BC925" s="9165"/>
      <c r="BD925" s="9171"/>
      <c r="BF925" s="14454"/>
      <c r="BG925" s="14454"/>
      <c r="BH925" s="14454"/>
      <c r="BI925" s="14454"/>
      <c r="BJ925" s="14454"/>
      <c r="BK925" s="13061"/>
      <c r="BL925" s="14454"/>
      <c r="BM925" s="14454"/>
      <c r="BN925" s="14454"/>
    </row>
    <row r="926" spans="1:66" ht="29.25" hidden="1" customHeight="1">
      <c r="A926" s="13654"/>
      <c r="B926" s="13951"/>
      <c r="C926" s="13600"/>
      <c r="D926" s="11975" t="s">
        <v>208</v>
      </c>
      <c r="E926" s="7826"/>
      <c r="F926" s="7826" t="s">
        <v>2855</v>
      </c>
      <c r="G926" s="13931"/>
      <c r="H926" s="13405"/>
      <c r="I926" s="14223"/>
      <c r="K926" s="9162"/>
      <c r="L926" s="9163"/>
      <c r="M926" s="9163"/>
      <c r="N926" s="9164"/>
      <c r="O926" s="9164"/>
      <c r="P926" s="9165"/>
      <c r="Q926" s="9166"/>
      <c r="R926" s="9167"/>
      <c r="S926" s="9168"/>
      <c r="T926" s="9169"/>
      <c r="U926" s="9166"/>
      <c r="V926" s="9167"/>
      <c r="W926" s="9169"/>
      <c r="X926" s="9167"/>
      <c r="Y926" s="9169"/>
      <c r="Z926" s="9167"/>
      <c r="AA926" s="9168"/>
      <c r="AB926" s="9168"/>
      <c r="AC926" s="9168"/>
      <c r="AD926" s="9168"/>
      <c r="AE926" s="9168"/>
      <c r="AF926" s="9169"/>
      <c r="AG926" s="9167"/>
      <c r="AH926" s="9168"/>
      <c r="AI926" s="9168"/>
      <c r="AJ926" s="9168"/>
      <c r="AK926" s="9168"/>
      <c r="AL926" s="9168"/>
      <c r="AM926" s="9168"/>
      <c r="AN926" s="9169"/>
      <c r="AO926" s="9167"/>
      <c r="AP926" s="9168"/>
      <c r="AQ926" s="9168"/>
      <c r="AR926" s="9168"/>
      <c r="AS926" s="9168"/>
      <c r="AT926" s="9169"/>
      <c r="AU926" s="9170"/>
      <c r="AV926" s="9170"/>
      <c r="AW926" s="9170"/>
      <c r="AX926" s="9162"/>
      <c r="AY926" s="9165"/>
      <c r="AZ926" s="9170"/>
      <c r="BA926" s="9162"/>
      <c r="BB926" s="9164"/>
      <c r="BC926" s="9165"/>
      <c r="BD926" s="9171"/>
      <c r="BF926" s="14454"/>
      <c r="BG926" s="14454"/>
      <c r="BH926" s="14454"/>
      <c r="BI926" s="14454"/>
      <c r="BJ926" s="14454"/>
      <c r="BK926" s="9153"/>
      <c r="BL926" s="14454"/>
      <c r="BM926" s="14454"/>
      <c r="BN926" s="14454"/>
    </row>
    <row r="927" spans="1:66" ht="29.25" customHeight="1">
      <c r="A927" s="13654">
        <v>573</v>
      </c>
      <c r="B927" s="13951" t="s">
        <v>4541</v>
      </c>
      <c r="C927" s="13600"/>
      <c r="D927" s="11975" t="s">
        <v>86</v>
      </c>
      <c r="E927" s="7826" t="s">
        <v>2862</v>
      </c>
      <c r="F927" s="7826"/>
      <c r="G927" s="13931" t="s">
        <v>2655</v>
      </c>
      <c r="H927" s="13405"/>
      <c r="I927" s="14223"/>
      <c r="K927" s="9152" t="s">
        <v>10562</v>
      </c>
      <c r="L927" s="9163"/>
      <c r="M927" s="9163"/>
      <c r="N927" s="9164" t="s">
        <v>10563</v>
      </c>
      <c r="O927" s="9164" t="s">
        <v>10564</v>
      </c>
      <c r="P927" s="9165"/>
      <c r="Q927" s="9166"/>
      <c r="R927" s="9167"/>
      <c r="S927" s="9168"/>
      <c r="T927" s="9169"/>
      <c r="U927" s="9166"/>
      <c r="V927" s="9167"/>
      <c r="W927" s="9169"/>
      <c r="X927" s="9167"/>
      <c r="Y927" s="9169"/>
      <c r="Z927" s="9167"/>
      <c r="AA927" s="9168"/>
      <c r="AB927" s="9168"/>
      <c r="AC927" s="9168"/>
      <c r="AD927" s="9168"/>
      <c r="AE927" s="9168"/>
      <c r="AF927" s="9169"/>
      <c r="AG927" s="9167"/>
      <c r="AH927" s="9168"/>
      <c r="AI927" s="9168"/>
      <c r="AJ927" s="9168"/>
      <c r="AK927" s="9168"/>
      <c r="AL927" s="9168"/>
      <c r="AM927" s="9168"/>
      <c r="AN927" s="9169"/>
      <c r="AO927" s="9167"/>
      <c r="AP927" s="9168"/>
      <c r="AQ927" s="9168"/>
      <c r="AR927" s="9168"/>
      <c r="AS927" s="9168"/>
      <c r="AT927" s="9169"/>
      <c r="AU927" s="9170" t="s">
        <v>10565</v>
      </c>
      <c r="AV927" s="9170"/>
      <c r="AW927" s="9170" t="s">
        <v>10566</v>
      </c>
      <c r="AX927" s="9162"/>
      <c r="AY927" s="9165"/>
      <c r="AZ927" s="9170"/>
      <c r="BA927" s="9162"/>
      <c r="BB927" s="9164"/>
      <c r="BC927" s="9165"/>
      <c r="BD927" s="9171"/>
      <c r="BF927" s="14454"/>
      <c r="BG927" s="14454"/>
      <c r="BH927" s="14454"/>
      <c r="BI927" s="14454"/>
      <c r="BJ927" s="14454"/>
      <c r="BK927" s="13061"/>
      <c r="BL927" s="14454"/>
      <c r="BM927" s="14454"/>
      <c r="BN927" s="14454"/>
    </row>
    <row r="928" spans="1:66" ht="29.25" hidden="1" customHeight="1">
      <c r="A928" s="13654"/>
      <c r="B928" s="13951"/>
      <c r="C928" s="13600"/>
      <c r="D928" s="11975" t="s">
        <v>208</v>
      </c>
      <c r="E928" s="7826"/>
      <c r="F928" s="7826" t="s">
        <v>2855</v>
      </c>
      <c r="G928" s="13931"/>
      <c r="H928" s="13405"/>
      <c r="I928" s="14223"/>
      <c r="K928" s="9162"/>
      <c r="L928" s="9163"/>
      <c r="M928" s="9163"/>
      <c r="N928" s="9164"/>
      <c r="O928" s="9164"/>
      <c r="P928" s="9165"/>
      <c r="Q928" s="9166"/>
      <c r="R928" s="9167"/>
      <c r="S928" s="9168"/>
      <c r="T928" s="9169"/>
      <c r="U928" s="9166"/>
      <c r="V928" s="9167"/>
      <c r="W928" s="9169"/>
      <c r="X928" s="9167"/>
      <c r="Y928" s="9169"/>
      <c r="Z928" s="9167"/>
      <c r="AA928" s="9168"/>
      <c r="AB928" s="9168"/>
      <c r="AC928" s="9168"/>
      <c r="AD928" s="9168"/>
      <c r="AE928" s="9168"/>
      <c r="AF928" s="9169"/>
      <c r="AG928" s="9167"/>
      <c r="AH928" s="9168"/>
      <c r="AI928" s="9168"/>
      <c r="AJ928" s="9168"/>
      <c r="AK928" s="9168"/>
      <c r="AL928" s="9168"/>
      <c r="AM928" s="9168"/>
      <c r="AN928" s="9169"/>
      <c r="AO928" s="9167"/>
      <c r="AP928" s="9168"/>
      <c r="AQ928" s="9168"/>
      <c r="AR928" s="9168"/>
      <c r="AS928" s="9168"/>
      <c r="AT928" s="9169"/>
      <c r="AU928" s="9170"/>
      <c r="AV928" s="9170"/>
      <c r="AW928" s="9170"/>
      <c r="AX928" s="9162"/>
      <c r="AY928" s="9165"/>
      <c r="AZ928" s="9170"/>
      <c r="BA928" s="9162"/>
      <c r="BB928" s="9164"/>
      <c r="BC928" s="9165"/>
      <c r="BD928" s="9171"/>
      <c r="BF928" s="14454"/>
      <c r="BG928" s="14454"/>
      <c r="BH928" s="14454"/>
      <c r="BI928" s="14454"/>
      <c r="BJ928" s="14454"/>
      <c r="BK928" s="9153"/>
      <c r="BL928" s="14454"/>
      <c r="BM928" s="14454"/>
      <c r="BN928" s="14454"/>
    </row>
    <row r="929" spans="1:66" ht="29.25" customHeight="1">
      <c r="A929" s="13654">
        <v>574</v>
      </c>
      <c r="B929" s="13951" t="s">
        <v>4542</v>
      </c>
      <c r="C929" s="13600"/>
      <c r="D929" s="11975" t="s">
        <v>86</v>
      </c>
      <c r="E929" s="7826" t="s">
        <v>2862</v>
      </c>
      <c r="F929" s="7826"/>
      <c r="G929" s="13931" t="s">
        <v>2657</v>
      </c>
      <c r="H929" s="13405"/>
      <c r="I929" s="14223"/>
      <c r="K929" s="9152" t="s">
        <v>1732</v>
      </c>
      <c r="L929" s="9163"/>
      <c r="M929" s="9163"/>
      <c r="N929" s="9164"/>
      <c r="O929" s="9164"/>
      <c r="P929" s="9165" t="s">
        <v>10636</v>
      </c>
      <c r="Q929" s="9166"/>
      <c r="R929" s="9167"/>
      <c r="S929" s="9168"/>
      <c r="T929" s="9169"/>
      <c r="U929" s="9166"/>
      <c r="V929" s="9167"/>
      <c r="W929" s="9169"/>
      <c r="X929" s="9167"/>
      <c r="Y929" s="9169"/>
      <c r="Z929" s="9167"/>
      <c r="AA929" s="9168"/>
      <c r="AB929" s="9168"/>
      <c r="AC929" s="9168"/>
      <c r="AD929" s="9168"/>
      <c r="AE929" s="9168"/>
      <c r="AF929" s="9169"/>
      <c r="AG929" s="9167"/>
      <c r="AH929" s="9168"/>
      <c r="AI929" s="9168"/>
      <c r="AJ929" s="9168"/>
      <c r="AK929" s="9168"/>
      <c r="AL929" s="9168"/>
      <c r="AM929" s="9168"/>
      <c r="AN929" s="9169"/>
      <c r="AO929" s="9167"/>
      <c r="AP929" s="9168"/>
      <c r="AQ929" s="9168"/>
      <c r="AR929" s="9168"/>
      <c r="AS929" s="9168"/>
      <c r="AT929" s="9169"/>
      <c r="AU929" s="9170"/>
      <c r="AV929" s="9170"/>
      <c r="AW929" s="9170"/>
      <c r="AX929" s="9162"/>
      <c r="AY929" s="9165"/>
      <c r="AZ929" s="9170"/>
      <c r="BA929" s="9162"/>
      <c r="BB929" s="9164"/>
      <c r="BC929" s="9165"/>
      <c r="BD929" s="9171"/>
      <c r="BF929" s="14454"/>
      <c r="BG929" s="14454"/>
      <c r="BH929" s="14454"/>
      <c r="BI929" s="14454"/>
      <c r="BJ929" s="14454"/>
      <c r="BK929" s="13061"/>
      <c r="BL929" s="14454"/>
      <c r="BM929" s="14454"/>
      <c r="BN929" s="14454"/>
    </row>
    <row r="930" spans="1:66" ht="29.25" hidden="1" customHeight="1">
      <c r="A930" s="13654"/>
      <c r="B930" s="13951"/>
      <c r="C930" s="13600"/>
      <c r="D930" s="11975" t="s">
        <v>208</v>
      </c>
      <c r="E930" s="7826"/>
      <c r="F930" s="7826" t="s">
        <v>2855</v>
      </c>
      <c r="G930" s="13931"/>
      <c r="H930" s="13405"/>
      <c r="I930" s="13879"/>
      <c r="K930" s="9162"/>
      <c r="L930" s="9163"/>
      <c r="M930" s="9163"/>
      <c r="N930" s="9164"/>
      <c r="O930" s="9164"/>
      <c r="P930" s="9165"/>
      <c r="Q930" s="9166"/>
      <c r="R930" s="9167"/>
      <c r="S930" s="9168"/>
      <c r="T930" s="9169"/>
      <c r="U930" s="9166"/>
      <c r="V930" s="9167"/>
      <c r="W930" s="9169"/>
      <c r="X930" s="9167"/>
      <c r="Y930" s="9169"/>
      <c r="Z930" s="9167"/>
      <c r="AA930" s="9168"/>
      <c r="AB930" s="9168"/>
      <c r="AC930" s="9168"/>
      <c r="AD930" s="9168"/>
      <c r="AE930" s="9168"/>
      <c r="AF930" s="9169"/>
      <c r="AG930" s="9167"/>
      <c r="AH930" s="9168"/>
      <c r="AI930" s="9168"/>
      <c r="AJ930" s="9168"/>
      <c r="AK930" s="9168"/>
      <c r="AL930" s="9168"/>
      <c r="AM930" s="9168"/>
      <c r="AN930" s="9169"/>
      <c r="AO930" s="9167"/>
      <c r="AP930" s="9168"/>
      <c r="AQ930" s="9168"/>
      <c r="AR930" s="9168"/>
      <c r="AS930" s="9168"/>
      <c r="AT930" s="9169"/>
      <c r="AU930" s="9170"/>
      <c r="AV930" s="9170"/>
      <c r="AW930" s="9170"/>
      <c r="AX930" s="9162"/>
      <c r="AY930" s="9165"/>
      <c r="AZ930" s="9170"/>
      <c r="BA930" s="9162"/>
      <c r="BB930" s="9164"/>
      <c r="BC930" s="9165"/>
      <c r="BD930" s="9171"/>
      <c r="BF930" s="14454"/>
      <c r="BG930" s="14454"/>
      <c r="BH930" s="14454"/>
      <c r="BI930" s="14454"/>
      <c r="BJ930" s="14454"/>
      <c r="BK930" s="9153"/>
      <c r="BL930" s="14454"/>
      <c r="BM930" s="14454"/>
      <c r="BN930" s="14454"/>
    </row>
    <row r="931" spans="1:66" ht="29.25" customHeight="1">
      <c r="A931" s="13654">
        <v>575</v>
      </c>
      <c r="B931" s="13951" t="s">
        <v>4543</v>
      </c>
      <c r="C931" s="13600"/>
      <c r="D931" s="11975" t="s">
        <v>86</v>
      </c>
      <c r="E931" s="7826" t="s">
        <v>2862</v>
      </c>
      <c r="F931" s="7826"/>
      <c r="G931" s="13931" t="s">
        <v>2661</v>
      </c>
      <c r="H931" s="13405"/>
      <c r="I931" s="13880" t="s">
        <v>2660</v>
      </c>
      <c r="K931" s="9152" t="s">
        <v>1732</v>
      </c>
      <c r="L931" s="9163"/>
      <c r="M931" s="9163"/>
      <c r="N931" s="9164"/>
      <c r="O931" s="9164"/>
      <c r="P931" s="9165" t="s">
        <v>10637</v>
      </c>
      <c r="Q931" s="9166"/>
      <c r="R931" s="9167"/>
      <c r="S931" s="9168"/>
      <c r="T931" s="9169"/>
      <c r="U931" s="9166"/>
      <c r="V931" s="9167"/>
      <c r="W931" s="9169"/>
      <c r="X931" s="9167"/>
      <c r="Y931" s="9169"/>
      <c r="Z931" s="9167"/>
      <c r="AA931" s="9168"/>
      <c r="AB931" s="9168"/>
      <c r="AC931" s="9168"/>
      <c r="AD931" s="9168"/>
      <c r="AE931" s="9168"/>
      <c r="AF931" s="9169"/>
      <c r="AG931" s="9167"/>
      <c r="AH931" s="9168"/>
      <c r="AI931" s="9168"/>
      <c r="AJ931" s="9168"/>
      <c r="AK931" s="9168"/>
      <c r="AL931" s="9168"/>
      <c r="AM931" s="9168"/>
      <c r="AN931" s="9169"/>
      <c r="AO931" s="9167"/>
      <c r="AP931" s="9168"/>
      <c r="AQ931" s="9168"/>
      <c r="AR931" s="9168"/>
      <c r="AS931" s="9168"/>
      <c r="AT931" s="9169"/>
      <c r="AU931" s="9170"/>
      <c r="AV931" s="9170"/>
      <c r="AW931" s="9170"/>
      <c r="AX931" s="9162"/>
      <c r="AY931" s="9165"/>
      <c r="AZ931" s="9170"/>
      <c r="BA931" s="9162"/>
      <c r="BB931" s="9164"/>
      <c r="BC931" s="9165"/>
      <c r="BD931" s="9171"/>
      <c r="BF931" s="14454"/>
      <c r="BG931" s="14454"/>
      <c r="BH931" s="14454"/>
      <c r="BI931" s="14454"/>
      <c r="BJ931" s="14454"/>
      <c r="BK931" s="13061"/>
      <c r="BL931" s="14454"/>
      <c r="BM931" s="14454"/>
      <c r="BN931" s="14454"/>
    </row>
    <row r="932" spans="1:66" ht="29.25" hidden="1" customHeight="1">
      <c r="A932" s="13654"/>
      <c r="B932" s="13951"/>
      <c r="C932" s="13600"/>
      <c r="D932" s="11975" t="s">
        <v>208</v>
      </c>
      <c r="E932" s="7826"/>
      <c r="F932" s="7826" t="s">
        <v>2855</v>
      </c>
      <c r="G932" s="13931"/>
      <c r="H932" s="13405"/>
      <c r="I932" s="13880"/>
      <c r="K932" s="9162"/>
      <c r="L932" s="9163"/>
      <c r="M932" s="9163"/>
      <c r="N932" s="9164"/>
      <c r="O932" s="9164"/>
      <c r="P932" s="9165"/>
      <c r="Q932" s="9166"/>
      <c r="R932" s="9167"/>
      <c r="S932" s="9168"/>
      <c r="T932" s="9169"/>
      <c r="U932" s="9166"/>
      <c r="V932" s="9167"/>
      <c r="W932" s="9169"/>
      <c r="X932" s="9167"/>
      <c r="Y932" s="9169"/>
      <c r="Z932" s="9167"/>
      <c r="AA932" s="9168"/>
      <c r="AB932" s="9168"/>
      <c r="AC932" s="9168"/>
      <c r="AD932" s="9168"/>
      <c r="AE932" s="9168"/>
      <c r="AF932" s="9169"/>
      <c r="AG932" s="9167"/>
      <c r="AH932" s="9168"/>
      <c r="AI932" s="9168"/>
      <c r="AJ932" s="9168"/>
      <c r="AK932" s="9168"/>
      <c r="AL932" s="9168"/>
      <c r="AM932" s="9168"/>
      <c r="AN932" s="9169"/>
      <c r="AO932" s="9167"/>
      <c r="AP932" s="9168"/>
      <c r="AQ932" s="9168"/>
      <c r="AR932" s="9168"/>
      <c r="AS932" s="9168"/>
      <c r="AT932" s="9169"/>
      <c r="AU932" s="9170"/>
      <c r="AV932" s="9170"/>
      <c r="AW932" s="9170"/>
      <c r="AX932" s="9162"/>
      <c r="AY932" s="9165"/>
      <c r="AZ932" s="9170"/>
      <c r="BA932" s="9162"/>
      <c r="BB932" s="9164"/>
      <c r="BC932" s="9165"/>
      <c r="BD932" s="9171"/>
      <c r="BF932" s="14454"/>
      <c r="BG932" s="14454"/>
      <c r="BH932" s="14454"/>
      <c r="BI932" s="14454"/>
      <c r="BJ932" s="14454"/>
      <c r="BK932" s="9153"/>
      <c r="BL932" s="14454"/>
      <c r="BM932" s="14454"/>
      <c r="BN932" s="14454"/>
    </row>
    <row r="933" spans="1:66" ht="29.25" customHeight="1">
      <c r="A933" s="13654">
        <v>576</v>
      </c>
      <c r="B933" s="13951" t="s">
        <v>4544</v>
      </c>
      <c r="C933" s="13600"/>
      <c r="D933" s="11975" t="s">
        <v>86</v>
      </c>
      <c r="E933" s="7826" t="s">
        <v>2862</v>
      </c>
      <c r="F933" s="7826"/>
      <c r="G933" s="13931" t="s">
        <v>2665</v>
      </c>
      <c r="H933" s="13405"/>
      <c r="I933" s="13880" t="s">
        <v>2664</v>
      </c>
      <c r="K933" s="9152" t="s">
        <v>1732</v>
      </c>
      <c r="L933" s="9163"/>
      <c r="M933" s="9163"/>
      <c r="N933" s="9164"/>
      <c r="O933" s="9164"/>
      <c r="P933" s="9165"/>
      <c r="Q933" s="9166"/>
      <c r="R933" s="9167"/>
      <c r="S933" s="9168"/>
      <c r="T933" s="9169"/>
      <c r="U933" s="9166"/>
      <c r="V933" s="9167"/>
      <c r="W933" s="9169"/>
      <c r="X933" s="9167"/>
      <c r="Y933" s="9169"/>
      <c r="Z933" s="9167"/>
      <c r="AA933" s="9168"/>
      <c r="AB933" s="9168"/>
      <c r="AC933" s="9168"/>
      <c r="AD933" s="9168"/>
      <c r="AE933" s="9168"/>
      <c r="AF933" s="9169"/>
      <c r="AG933" s="9167"/>
      <c r="AH933" s="9168"/>
      <c r="AI933" s="9168"/>
      <c r="AJ933" s="9168"/>
      <c r="AK933" s="9168"/>
      <c r="AL933" s="9168"/>
      <c r="AM933" s="9168"/>
      <c r="AN933" s="9169"/>
      <c r="AO933" s="9167"/>
      <c r="AP933" s="9168"/>
      <c r="AQ933" s="9168"/>
      <c r="AR933" s="9168"/>
      <c r="AS933" s="9168"/>
      <c r="AT933" s="9169"/>
      <c r="AU933" s="9170"/>
      <c r="AV933" s="9170"/>
      <c r="AW933" s="9170"/>
      <c r="AX933" s="9162"/>
      <c r="AY933" s="9165"/>
      <c r="AZ933" s="9170"/>
      <c r="BA933" s="9162"/>
      <c r="BB933" s="9164"/>
      <c r="BC933" s="9165"/>
      <c r="BD933" s="9171"/>
      <c r="BF933" s="14454"/>
      <c r="BG933" s="14454"/>
      <c r="BH933" s="14454"/>
      <c r="BI933" s="14454"/>
      <c r="BJ933" s="14454"/>
      <c r="BK933" s="13061"/>
      <c r="BL933" s="14454"/>
      <c r="BM933" s="14454"/>
      <c r="BN933" s="14454"/>
    </row>
    <row r="934" spans="1:66" ht="29.25" hidden="1" customHeight="1">
      <c r="A934" s="13654"/>
      <c r="B934" s="13951"/>
      <c r="C934" s="13600"/>
      <c r="D934" s="11975" t="s">
        <v>208</v>
      </c>
      <c r="E934" s="7826"/>
      <c r="F934" s="7826" t="s">
        <v>2855</v>
      </c>
      <c r="G934" s="13931"/>
      <c r="H934" s="13405"/>
      <c r="I934" s="13880"/>
      <c r="K934" s="9162"/>
      <c r="L934" s="9163"/>
      <c r="M934" s="9163"/>
      <c r="N934" s="9164"/>
      <c r="O934" s="9164"/>
      <c r="P934" s="9165"/>
      <c r="Q934" s="9166"/>
      <c r="R934" s="9167"/>
      <c r="S934" s="9168"/>
      <c r="T934" s="9169"/>
      <c r="U934" s="9166"/>
      <c r="V934" s="9167"/>
      <c r="W934" s="9169"/>
      <c r="X934" s="9167"/>
      <c r="Y934" s="9169"/>
      <c r="Z934" s="9167"/>
      <c r="AA934" s="9168"/>
      <c r="AB934" s="9168"/>
      <c r="AC934" s="9168"/>
      <c r="AD934" s="9168"/>
      <c r="AE934" s="9168"/>
      <c r="AF934" s="9169"/>
      <c r="AG934" s="9167"/>
      <c r="AH934" s="9168"/>
      <c r="AI934" s="9168"/>
      <c r="AJ934" s="9168"/>
      <c r="AK934" s="9168"/>
      <c r="AL934" s="9168"/>
      <c r="AM934" s="9168"/>
      <c r="AN934" s="9169"/>
      <c r="AO934" s="9167"/>
      <c r="AP934" s="9168"/>
      <c r="AQ934" s="9168"/>
      <c r="AR934" s="9168"/>
      <c r="AS934" s="9168"/>
      <c r="AT934" s="9169"/>
      <c r="AU934" s="9170"/>
      <c r="AV934" s="9170"/>
      <c r="AW934" s="9170"/>
      <c r="AX934" s="9162"/>
      <c r="AY934" s="9165"/>
      <c r="AZ934" s="9170"/>
      <c r="BA934" s="9162"/>
      <c r="BB934" s="9164"/>
      <c r="BC934" s="9165"/>
      <c r="BD934" s="9171"/>
      <c r="BF934" s="14454"/>
      <c r="BG934" s="14454"/>
      <c r="BH934" s="14454"/>
      <c r="BI934" s="14454"/>
      <c r="BJ934" s="14454"/>
      <c r="BK934" s="9153"/>
      <c r="BL934" s="14454"/>
      <c r="BM934" s="14454"/>
      <c r="BN934" s="14454"/>
    </row>
    <row r="935" spans="1:66" ht="29.25" customHeight="1">
      <c r="A935" s="13654">
        <v>577</v>
      </c>
      <c r="B935" s="13951" t="s">
        <v>4545</v>
      </c>
      <c r="C935" s="13600"/>
      <c r="D935" s="11975" t="s">
        <v>86</v>
      </c>
      <c r="E935" s="7826" t="s">
        <v>2862</v>
      </c>
      <c r="F935" s="7826"/>
      <c r="G935" s="13931" t="s">
        <v>2667</v>
      </c>
      <c r="H935" s="13405"/>
      <c r="I935" s="14192" t="s">
        <v>10359</v>
      </c>
      <c r="K935" s="10212">
        <v>0</v>
      </c>
      <c r="L935" s="9465"/>
      <c r="M935" s="9465"/>
      <c r="N935" s="10214"/>
      <c r="O935" s="10214"/>
      <c r="P935" s="10215" t="s">
        <v>10641</v>
      </c>
      <c r="Q935" s="9468"/>
      <c r="R935" s="9469"/>
      <c r="S935" s="9470"/>
      <c r="T935" s="9471"/>
      <c r="U935" s="9468"/>
      <c r="V935" s="9469"/>
      <c r="W935" s="9471"/>
      <c r="X935" s="9469"/>
      <c r="Y935" s="9471"/>
      <c r="Z935" s="9469"/>
      <c r="AA935" s="9470"/>
      <c r="AB935" s="9470"/>
      <c r="AC935" s="9470"/>
      <c r="AD935" s="9470"/>
      <c r="AE935" s="9470"/>
      <c r="AF935" s="9471"/>
      <c r="AG935" s="9469"/>
      <c r="AH935" s="9470"/>
      <c r="AI935" s="9470"/>
      <c r="AJ935" s="9470"/>
      <c r="AK935" s="9470"/>
      <c r="AL935" s="9470"/>
      <c r="AM935" s="9470"/>
      <c r="AN935" s="9471"/>
      <c r="AO935" s="9469"/>
      <c r="AP935" s="9470"/>
      <c r="AQ935" s="9470"/>
      <c r="AR935" s="9470"/>
      <c r="AS935" s="9470"/>
      <c r="AT935" s="9471"/>
      <c r="AU935" s="10216"/>
      <c r="AV935" s="10216"/>
      <c r="AW935" s="10216"/>
      <c r="AX935" s="10213"/>
      <c r="AY935" s="10215"/>
      <c r="AZ935" s="10216"/>
      <c r="BA935" s="10213"/>
      <c r="BB935" s="10214"/>
      <c r="BC935" s="10215"/>
      <c r="BD935" s="10217"/>
      <c r="BF935" s="14454"/>
      <c r="BG935" s="14454"/>
      <c r="BH935" s="14454"/>
      <c r="BI935" s="14454"/>
      <c r="BJ935" s="14454"/>
      <c r="BK935" s="13061"/>
      <c r="BL935" s="14454"/>
      <c r="BM935" s="14454"/>
      <c r="BN935" s="14454"/>
    </row>
    <row r="936" spans="1:66" ht="29.25" hidden="1" customHeight="1">
      <c r="A936" s="13654"/>
      <c r="B936" s="13951"/>
      <c r="C936" s="13600"/>
      <c r="D936" s="11975" t="s">
        <v>208</v>
      </c>
      <c r="E936" s="7826"/>
      <c r="F936" s="7826" t="s">
        <v>2855</v>
      </c>
      <c r="G936" s="13931"/>
      <c r="H936" s="13405"/>
      <c r="I936" s="14192"/>
      <c r="K936" s="10213"/>
      <c r="L936" s="9465"/>
      <c r="M936" s="9465"/>
      <c r="N936" s="10214"/>
      <c r="O936" s="10214"/>
      <c r="P936" s="10215"/>
      <c r="Q936" s="9468"/>
      <c r="R936" s="9469"/>
      <c r="S936" s="9470"/>
      <c r="T936" s="9471"/>
      <c r="U936" s="9468"/>
      <c r="V936" s="9469"/>
      <c r="W936" s="9471"/>
      <c r="X936" s="9469"/>
      <c r="Y936" s="9471"/>
      <c r="Z936" s="9469"/>
      <c r="AA936" s="9470"/>
      <c r="AB936" s="9470"/>
      <c r="AC936" s="9470"/>
      <c r="AD936" s="9470"/>
      <c r="AE936" s="9470"/>
      <c r="AF936" s="9471"/>
      <c r="AG936" s="9469"/>
      <c r="AH936" s="9470"/>
      <c r="AI936" s="9470"/>
      <c r="AJ936" s="9470"/>
      <c r="AK936" s="9470"/>
      <c r="AL936" s="9470"/>
      <c r="AM936" s="9470"/>
      <c r="AN936" s="9471"/>
      <c r="AO936" s="9469"/>
      <c r="AP936" s="9470"/>
      <c r="AQ936" s="9470"/>
      <c r="AR936" s="9470"/>
      <c r="AS936" s="9470"/>
      <c r="AT936" s="9471"/>
      <c r="AU936" s="10216"/>
      <c r="AV936" s="10216"/>
      <c r="AW936" s="10216"/>
      <c r="AX936" s="10213"/>
      <c r="AY936" s="10215"/>
      <c r="AZ936" s="10216"/>
      <c r="BA936" s="10213"/>
      <c r="BB936" s="10214"/>
      <c r="BC936" s="10215"/>
      <c r="BD936" s="10217"/>
      <c r="BF936" s="14454"/>
      <c r="BG936" s="14454"/>
      <c r="BH936" s="14454"/>
      <c r="BI936" s="14454"/>
      <c r="BJ936" s="14454"/>
      <c r="BK936" s="9153"/>
      <c r="BL936" s="14454"/>
      <c r="BM936" s="14454"/>
      <c r="BN936" s="14454"/>
    </row>
    <row r="937" spans="1:66" ht="29.25" customHeight="1">
      <c r="A937" s="13654">
        <v>578</v>
      </c>
      <c r="B937" s="13951" t="s">
        <v>4546</v>
      </c>
      <c r="C937" s="13600"/>
      <c r="D937" s="11975" t="s">
        <v>86</v>
      </c>
      <c r="E937" s="7826" t="s">
        <v>2862</v>
      </c>
      <c r="F937" s="7826"/>
      <c r="G937" s="13931" t="s">
        <v>2670</v>
      </c>
      <c r="H937" s="13405"/>
      <c r="I937" s="14192" t="s">
        <v>2669</v>
      </c>
      <c r="K937" s="9152" t="s">
        <v>10625</v>
      </c>
      <c r="L937" s="9465"/>
      <c r="M937" s="9465"/>
      <c r="N937" s="9164" t="s">
        <v>10626</v>
      </c>
      <c r="O937" s="9164" t="s">
        <v>10393</v>
      </c>
      <c r="P937" s="17129"/>
      <c r="Q937" s="9468"/>
      <c r="R937" s="9469"/>
      <c r="S937" s="9470"/>
      <c r="T937" s="9471"/>
      <c r="U937" s="9488">
        <v>3512</v>
      </c>
      <c r="V937" s="9469">
        <v>1685</v>
      </c>
      <c r="W937" s="9471">
        <v>1827</v>
      </c>
      <c r="X937" s="9469">
        <v>2915</v>
      </c>
      <c r="Y937" s="9471">
        <v>597</v>
      </c>
      <c r="Z937" s="9469"/>
      <c r="AA937" s="9470">
        <v>3512</v>
      </c>
      <c r="AB937" s="9470"/>
      <c r="AC937" s="9470"/>
      <c r="AD937" s="9470"/>
      <c r="AE937" s="9470"/>
      <c r="AF937" s="9471"/>
      <c r="AG937" s="9469"/>
      <c r="AH937" s="9470"/>
      <c r="AI937" s="9470"/>
      <c r="AJ937" s="9470"/>
      <c r="AK937" s="9470"/>
      <c r="AL937" s="9470"/>
      <c r="AM937" s="9470"/>
      <c r="AN937" s="9471"/>
      <c r="AO937" s="9469"/>
      <c r="AP937" s="9470"/>
      <c r="AQ937" s="9470"/>
      <c r="AR937" s="9470"/>
      <c r="AS937" s="9470"/>
      <c r="AT937" s="9471"/>
      <c r="AU937" s="10216"/>
      <c r="AV937" s="10216"/>
      <c r="AW937" s="10216"/>
      <c r="AX937" s="10213"/>
      <c r="AY937" s="10215"/>
      <c r="AZ937" s="10216"/>
      <c r="BA937" s="10213"/>
      <c r="BB937" s="10214"/>
      <c r="BC937" s="10215"/>
      <c r="BD937" s="10217"/>
      <c r="BF937" s="14454"/>
      <c r="BG937" s="14454"/>
      <c r="BH937" s="14454"/>
      <c r="BI937" s="14454"/>
      <c r="BJ937" s="14454"/>
      <c r="BK937" s="13061"/>
      <c r="BL937" s="14454"/>
      <c r="BM937" s="14454"/>
      <c r="BN937" s="14454"/>
    </row>
    <row r="938" spans="1:66" ht="29.25" hidden="1" customHeight="1" thickBot="1">
      <c r="A938" s="13693"/>
      <c r="B938" s="13952"/>
      <c r="C938" s="13600"/>
      <c r="D938" s="12326" t="s">
        <v>208</v>
      </c>
      <c r="E938" s="11981"/>
      <c r="F938" s="11981" t="s">
        <v>2855</v>
      </c>
      <c r="G938" s="13918"/>
      <c r="H938" s="13450"/>
      <c r="I938" s="14224"/>
      <c r="K938" s="10286"/>
      <c r="L938" s="10287"/>
      <c r="M938" s="10287"/>
      <c r="N938" s="10288"/>
      <c r="O938" s="10288"/>
      <c r="P938" s="10289"/>
      <c r="Q938" s="10290"/>
      <c r="R938" s="10291"/>
      <c r="S938" s="10292"/>
      <c r="T938" s="10293"/>
      <c r="U938" s="10290"/>
      <c r="V938" s="10291"/>
      <c r="W938" s="10293"/>
      <c r="X938" s="10291"/>
      <c r="Y938" s="10293"/>
      <c r="Z938" s="10291"/>
      <c r="AA938" s="10292"/>
      <c r="AB938" s="10292"/>
      <c r="AC938" s="10292"/>
      <c r="AD938" s="10292"/>
      <c r="AE938" s="10292"/>
      <c r="AF938" s="10293"/>
      <c r="AG938" s="10291"/>
      <c r="AH938" s="10292"/>
      <c r="AI938" s="10292"/>
      <c r="AJ938" s="10292"/>
      <c r="AK938" s="10292"/>
      <c r="AL938" s="10292"/>
      <c r="AM938" s="10292"/>
      <c r="AN938" s="10293"/>
      <c r="AO938" s="10291"/>
      <c r="AP938" s="10292"/>
      <c r="AQ938" s="10292"/>
      <c r="AR938" s="10292"/>
      <c r="AS938" s="10292"/>
      <c r="AT938" s="10293"/>
      <c r="AU938" s="10294"/>
      <c r="AV938" s="10294"/>
      <c r="AW938" s="10294"/>
      <c r="AX938" s="10286"/>
      <c r="AY938" s="10289"/>
      <c r="AZ938" s="10294"/>
      <c r="BA938" s="10286"/>
      <c r="BB938" s="10288"/>
      <c r="BC938" s="10289"/>
      <c r="BD938" s="10295"/>
      <c r="BF938" s="14455"/>
      <c r="BG938" s="14455"/>
      <c r="BH938" s="14455"/>
      <c r="BI938" s="14455"/>
      <c r="BJ938" s="14455"/>
      <c r="BK938" s="9183"/>
      <c r="BL938" s="14455"/>
      <c r="BM938" s="14455"/>
      <c r="BN938" s="14455"/>
    </row>
    <row r="939" spans="1:66" ht="29.25" customHeight="1">
      <c r="A939" s="13694">
        <v>579</v>
      </c>
      <c r="B939" s="13897" t="s">
        <v>8509</v>
      </c>
      <c r="C939" s="13600"/>
      <c r="D939" s="11914" t="s">
        <v>86</v>
      </c>
      <c r="E939" s="7820" t="s">
        <v>2862</v>
      </c>
      <c r="F939" s="7820"/>
      <c r="G939" s="13928" t="s">
        <v>8512</v>
      </c>
      <c r="H939" s="13451"/>
      <c r="I939" s="13969" t="s">
        <v>8512</v>
      </c>
      <c r="K939" s="8904">
        <v>1.39</v>
      </c>
      <c r="L939" s="8907"/>
      <c r="M939" s="8907"/>
      <c r="N939" s="8908"/>
      <c r="O939" s="8908" t="s">
        <v>10634</v>
      </c>
      <c r="P939" s="8909" t="s">
        <v>10639</v>
      </c>
      <c r="Q939" s="8910"/>
      <c r="R939" s="8911"/>
      <c r="S939" s="8912"/>
      <c r="T939" s="8913"/>
      <c r="U939" s="8910"/>
      <c r="V939" s="8911"/>
      <c r="W939" s="8913"/>
      <c r="X939" s="8911"/>
      <c r="Y939" s="8913"/>
      <c r="Z939" s="8911"/>
      <c r="AA939" s="8912"/>
      <c r="AB939" s="8912"/>
      <c r="AC939" s="8912"/>
      <c r="AD939" s="8912"/>
      <c r="AE939" s="8912"/>
      <c r="AF939" s="8913"/>
      <c r="AG939" s="8911"/>
      <c r="AH939" s="8912"/>
      <c r="AI939" s="8912"/>
      <c r="AJ939" s="8912"/>
      <c r="AK939" s="8912"/>
      <c r="AL939" s="8912"/>
      <c r="AM939" s="8912"/>
      <c r="AN939" s="8913"/>
      <c r="AO939" s="8911"/>
      <c r="AP939" s="8912"/>
      <c r="AQ939" s="8912"/>
      <c r="AR939" s="8912"/>
      <c r="AS939" s="8912"/>
      <c r="AT939" s="8913"/>
      <c r="AU939" s="8914"/>
      <c r="AV939" s="8914"/>
      <c r="AW939" s="8914"/>
      <c r="AX939" s="8906"/>
      <c r="AY939" s="8909"/>
      <c r="AZ939" s="8914"/>
      <c r="BA939" s="8906"/>
      <c r="BB939" s="8908"/>
      <c r="BC939" s="8909"/>
      <c r="BD939" s="8915"/>
      <c r="BF939" s="14438"/>
      <c r="BG939" s="14438"/>
      <c r="BH939" s="14438"/>
      <c r="BI939" s="14438"/>
      <c r="BJ939" s="14438"/>
      <c r="BK939" s="13057"/>
      <c r="BL939" s="14438"/>
      <c r="BM939" s="14438"/>
      <c r="BN939" s="14438"/>
    </row>
    <row r="940" spans="1:66" ht="29.25" hidden="1" customHeight="1">
      <c r="A940" s="13648"/>
      <c r="B940" s="13884"/>
      <c r="C940" s="13600"/>
      <c r="D940" s="11813" t="s">
        <v>208</v>
      </c>
      <c r="E940" s="7822"/>
      <c r="F940" s="7822" t="s">
        <v>2855</v>
      </c>
      <c r="G940" s="13930"/>
      <c r="H940" s="13395"/>
      <c r="I940" s="13975"/>
      <c r="K940" s="8919"/>
      <c r="L940" s="8920"/>
      <c r="M940" s="8920"/>
      <c r="N940" s="8921"/>
      <c r="O940" s="8921"/>
      <c r="P940" s="8922"/>
      <c r="Q940" s="8923"/>
      <c r="R940" s="8924"/>
      <c r="S940" s="8925"/>
      <c r="T940" s="8926"/>
      <c r="U940" s="8923"/>
      <c r="V940" s="8924"/>
      <c r="W940" s="8926"/>
      <c r="X940" s="8924"/>
      <c r="Y940" s="8926"/>
      <c r="Z940" s="8924"/>
      <c r="AA940" s="8925"/>
      <c r="AB940" s="8925"/>
      <c r="AC940" s="8925"/>
      <c r="AD940" s="8925"/>
      <c r="AE940" s="8925"/>
      <c r="AF940" s="8926"/>
      <c r="AG940" s="8924"/>
      <c r="AH940" s="8925"/>
      <c r="AI940" s="8925"/>
      <c r="AJ940" s="8925"/>
      <c r="AK940" s="8925"/>
      <c r="AL940" s="8925"/>
      <c r="AM940" s="8925"/>
      <c r="AN940" s="8926"/>
      <c r="AO940" s="8924"/>
      <c r="AP940" s="8925"/>
      <c r="AQ940" s="8925"/>
      <c r="AR940" s="8925"/>
      <c r="AS940" s="8925"/>
      <c r="AT940" s="8926"/>
      <c r="AU940" s="8927"/>
      <c r="AV940" s="8927"/>
      <c r="AW940" s="8927"/>
      <c r="AX940" s="8919"/>
      <c r="AY940" s="8922"/>
      <c r="AZ940" s="8927"/>
      <c r="BA940" s="8919"/>
      <c r="BB940" s="8921"/>
      <c r="BC940" s="8922"/>
      <c r="BD940" s="8928"/>
      <c r="BF940" s="14439"/>
      <c r="BG940" s="14439"/>
      <c r="BH940" s="14439"/>
      <c r="BI940" s="14439"/>
      <c r="BJ940" s="14439"/>
      <c r="BK940" s="8932"/>
      <c r="BL940" s="14439"/>
      <c r="BM940" s="14439"/>
      <c r="BN940" s="14439"/>
    </row>
    <row r="941" spans="1:66" ht="29.25" hidden="1" customHeight="1">
      <c r="A941" s="13648">
        <v>580</v>
      </c>
      <c r="B941" s="13884" t="s">
        <v>8509</v>
      </c>
      <c r="C941" s="13600"/>
      <c r="D941" s="11915" t="s">
        <v>86</v>
      </c>
      <c r="E941" s="7822" t="s">
        <v>2862</v>
      </c>
      <c r="F941" s="7822"/>
      <c r="G941" s="13930" t="s">
        <v>8512</v>
      </c>
      <c r="H941" s="13395"/>
      <c r="I941" s="13975"/>
      <c r="K941" s="8917"/>
      <c r="L941" s="8920"/>
      <c r="M941" s="8920"/>
      <c r="N941" s="8921"/>
      <c r="O941" s="8921"/>
      <c r="P941" s="8922"/>
      <c r="Q941" s="8923"/>
      <c r="R941" s="8924"/>
      <c r="S941" s="8925"/>
      <c r="T941" s="8926"/>
      <c r="U941" s="8923"/>
      <c r="V941" s="8924"/>
      <c r="W941" s="8926"/>
      <c r="X941" s="8924"/>
      <c r="Y941" s="8926"/>
      <c r="Z941" s="8924"/>
      <c r="AA941" s="8925"/>
      <c r="AB941" s="8925"/>
      <c r="AC941" s="8925"/>
      <c r="AD941" s="8925"/>
      <c r="AE941" s="8925"/>
      <c r="AF941" s="8926"/>
      <c r="AG941" s="8924"/>
      <c r="AH941" s="8925"/>
      <c r="AI941" s="8925"/>
      <c r="AJ941" s="8925"/>
      <c r="AK941" s="8925"/>
      <c r="AL941" s="8925"/>
      <c r="AM941" s="8925"/>
      <c r="AN941" s="8926"/>
      <c r="AO941" s="8924"/>
      <c r="AP941" s="8925"/>
      <c r="AQ941" s="8925"/>
      <c r="AR941" s="8925"/>
      <c r="AS941" s="8925"/>
      <c r="AT941" s="8926"/>
      <c r="AU941" s="8927"/>
      <c r="AV941" s="8927"/>
      <c r="AW941" s="8927"/>
      <c r="AX941" s="8919"/>
      <c r="AY941" s="8922"/>
      <c r="AZ941" s="8927"/>
      <c r="BA941" s="8919"/>
      <c r="BB941" s="8921"/>
      <c r="BC941" s="8922"/>
      <c r="BD941" s="8928"/>
      <c r="BF941" s="14439"/>
      <c r="BG941" s="14439"/>
      <c r="BH941" s="14439"/>
      <c r="BI941" s="14439"/>
      <c r="BJ941" s="14439"/>
      <c r="BK941" s="13058"/>
      <c r="BL941" s="14439"/>
      <c r="BM941" s="14439"/>
      <c r="BN941" s="14439"/>
    </row>
    <row r="942" spans="1:66" ht="29.25" hidden="1" customHeight="1">
      <c r="A942" s="13648"/>
      <c r="B942" s="13884"/>
      <c r="C942" s="13600"/>
      <c r="D942" s="11813" t="s">
        <v>208</v>
      </c>
      <c r="E942" s="7822"/>
      <c r="F942" s="7822" t="s">
        <v>2855</v>
      </c>
      <c r="G942" s="13930"/>
      <c r="H942" s="13395"/>
      <c r="I942" s="13975"/>
      <c r="K942" s="8919"/>
      <c r="L942" s="8920"/>
      <c r="M942" s="8920"/>
      <c r="N942" s="8921"/>
      <c r="O942" s="8921"/>
      <c r="P942" s="8922"/>
      <c r="Q942" s="8923"/>
      <c r="R942" s="8924"/>
      <c r="S942" s="8925"/>
      <c r="T942" s="8926"/>
      <c r="U942" s="8923"/>
      <c r="V942" s="8924"/>
      <c r="W942" s="8926"/>
      <c r="X942" s="8924"/>
      <c r="Y942" s="8926"/>
      <c r="Z942" s="8924"/>
      <c r="AA942" s="8925"/>
      <c r="AB942" s="8925"/>
      <c r="AC942" s="8925"/>
      <c r="AD942" s="8925"/>
      <c r="AE942" s="8925"/>
      <c r="AF942" s="8926"/>
      <c r="AG942" s="8924"/>
      <c r="AH942" s="8925"/>
      <c r="AI942" s="8925"/>
      <c r="AJ942" s="8925"/>
      <c r="AK942" s="8925"/>
      <c r="AL942" s="8925"/>
      <c r="AM942" s="8925"/>
      <c r="AN942" s="8926"/>
      <c r="AO942" s="8924"/>
      <c r="AP942" s="8925"/>
      <c r="AQ942" s="8925"/>
      <c r="AR942" s="8925"/>
      <c r="AS942" s="8925"/>
      <c r="AT942" s="8926"/>
      <c r="AU942" s="8927"/>
      <c r="AV942" s="8927"/>
      <c r="AW942" s="8927"/>
      <c r="AX942" s="8919"/>
      <c r="AY942" s="8922"/>
      <c r="AZ942" s="8927"/>
      <c r="BA942" s="8919"/>
      <c r="BB942" s="8921"/>
      <c r="BC942" s="8922"/>
      <c r="BD942" s="8928"/>
      <c r="BF942" s="14439"/>
      <c r="BG942" s="14439"/>
      <c r="BH942" s="14439"/>
      <c r="BI942" s="14439"/>
      <c r="BJ942" s="14439"/>
      <c r="BK942" s="8932"/>
      <c r="BL942" s="14439"/>
      <c r="BM942" s="14439"/>
      <c r="BN942" s="14439"/>
    </row>
    <row r="943" spans="1:66" ht="29.25" customHeight="1">
      <c r="A943" s="13648">
        <v>581</v>
      </c>
      <c r="B943" s="13884" t="s">
        <v>8509</v>
      </c>
      <c r="C943" s="13600"/>
      <c r="D943" s="11813" t="s">
        <v>86</v>
      </c>
      <c r="E943" s="7822" t="s">
        <v>2862</v>
      </c>
      <c r="F943" s="7822"/>
      <c r="G943" s="13930" t="s">
        <v>8515</v>
      </c>
      <c r="H943" s="13395"/>
      <c r="I943" s="13944" t="s">
        <v>8515</v>
      </c>
      <c r="K943" s="8560">
        <v>84.8</v>
      </c>
      <c r="L943" s="7679"/>
      <c r="M943" s="7679"/>
      <c r="N943" s="8562"/>
      <c r="O943" s="8908" t="s">
        <v>10634</v>
      </c>
      <c r="P943" s="8563" t="s">
        <v>10640</v>
      </c>
      <c r="Q943" s="7687"/>
      <c r="R943" s="7686"/>
      <c r="S943" s="7680"/>
      <c r="T943" s="7688"/>
      <c r="U943" s="7687"/>
      <c r="V943" s="7686"/>
      <c r="W943" s="7688"/>
      <c r="X943" s="7686"/>
      <c r="Y943" s="7688"/>
      <c r="Z943" s="7686"/>
      <c r="AA943" s="7680"/>
      <c r="AB943" s="7680"/>
      <c r="AC943" s="7680"/>
      <c r="AD943" s="7680"/>
      <c r="AE943" s="7680"/>
      <c r="AF943" s="7688"/>
      <c r="AG943" s="7686"/>
      <c r="AH943" s="7680"/>
      <c r="AI943" s="7680"/>
      <c r="AJ943" s="7680"/>
      <c r="AK943" s="7680"/>
      <c r="AL943" s="7680"/>
      <c r="AM943" s="7680"/>
      <c r="AN943" s="7688"/>
      <c r="AO943" s="7686"/>
      <c r="AP943" s="7680"/>
      <c r="AQ943" s="7680"/>
      <c r="AR943" s="7680"/>
      <c r="AS943" s="7680"/>
      <c r="AT943" s="7688"/>
      <c r="AU943" s="8564"/>
      <c r="AV943" s="8564"/>
      <c r="AW943" s="8564"/>
      <c r="AX943" s="8561"/>
      <c r="AY943" s="8563"/>
      <c r="AZ943" s="8564"/>
      <c r="BA943" s="8561"/>
      <c r="BB943" s="8562"/>
      <c r="BC943" s="8563"/>
      <c r="BD943" s="8565"/>
      <c r="BF943" s="14439"/>
      <c r="BG943" s="14439"/>
      <c r="BH943" s="14439"/>
      <c r="BI943" s="14439"/>
      <c r="BJ943" s="14439"/>
      <c r="BK943" s="13058"/>
      <c r="BL943" s="14439"/>
      <c r="BM943" s="14439"/>
      <c r="BN943" s="14439"/>
    </row>
    <row r="944" spans="1:66" ht="29.25" hidden="1" customHeight="1">
      <c r="A944" s="13648"/>
      <c r="B944" s="13884"/>
      <c r="C944" s="13600"/>
      <c r="D944" s="11813" t="s">
        <v>208</v>
      </c>
      <c r="E944" s="7822"/>
      <c r="F944" s="7822" t="s">
        <v>2855</v>
      </c>
      <c r="G944" s="13930"/>
      <c r="H944" s="13395"/>
      <c r="I944" s="13944"/>
      <c r="K944" s="8561"/>
      <c r="L944" s="7679"/>
      <c r="M944" s="7679"/>
      <c r="N944" s="8562"/>
      <c r="O944" s="8562"/>
      <c r="P944" s="8563"/>
      <c r="Q944" s="7687"/>
      <c r="R944" s="7686"/>
      <c r="S944" s="7680"/>
      <c r="T944" s="7688"/>
      <c r="U944" s="7687"/>
      <c r="V944" s="7686"/>
      <c r="W944" s="7688"/>
      <c r="X944" s="7686"/>
      <c r="Y944" s="7688"/>
      <c r="Z944" s="7686"/>
      <c r="AA944" s="7680"/>
      <c r="AB944" s="7680"/>
      <c r="AC944" s="7680"/>
      <c r="AD944" s="7680"/>
      <c r="AE944" s="7680"/>
      <c r="AF944" s="7688"/>
      <c r="AG944" s="7686"/>
      <c r="AH944" s="7680"/>
      <c r="AI944" s="7680"/>
      <c r="AJ944" s="7680"/>
      <c r="AK944" s="7680"/>
      <c r="AL944" s="7680"/>
      <c r="AM944" s="7680"/>
      <c r="AN944" s="7688"/>
      <c r="AO944" s="7686"/>
      <c r="AP944" s="7680"/>
      <c r="AQ944" s="7680"/>
      <c r="AR944" s="7680"/>
      <c r="AS944" s="7680"/>
      <c r="AT944" s="7688"/>
      <c r="AU944" s="8564"/>
      <c r="AV944" s="8564"/>
      <c r="AW944" s="8564"/>
      <c r="AX944" s="8561"/>
      <c r="AY944" s="8563"/>
      <c r="AZ944" s="8564"/>
      <c r="BA944" s="8561"/>
      <c r="BB944" s="8562"/>
      <c r="BC944" s="8563"/>
      <c r="BD944" s="8565"/>
      <c r="BF944" s="14439"/>
      <c r="BG944" s="14439"/>
      <c r="BH944" s="14439"/>
      <c r="BI944" s="14439"/>
      <c r="BJ944" s="14439"/>
      <c r="BK944" s="8932"/>
      <c r="BL944" s="14439"/>
      <c r="BM944" s="14439"/>
      <c r="BN944" s="14439"/>
    </row>
    <row r="945" spans="1:66" ht="29.25" customHeight="1">
      <c r="A945" s="13648">
        <v>582</v>
      </c>
      <c r="B945" s="13884" t="s">
        <v>8509</v>
      </c>
      <c r="C945" s="13600"/>
      <c r="D945" s="11813" t="s">
        <v>86</v>
      </c>
      <c r="E945" s="7822" t="s">
        <v>2862</v>
      </c>
      <c r="F945" s="7822"/>
      <c r="G945" s="13930" t="s">
        <v>8517</v>
      </c>
      <c r="H945" s="13395"/>
      <c r="I945" s="13944" t="s">
        <v>8517</v>
      </c>
      <c r="K945" s="8560">
        <v>298</v>
      </c>
      <c r="L945" s="7679"/>
      <c r="M945" s="7679"/>
      <c r="N945" s="8562"/>
      <c r="O945" s="8908" t="s">
        <v>10634</v>
      </c>
      <c r="P945" s="8563"/>
      <c r="Q945" s="7687"/>
      <c r="R945" s="7686"/>
      <c r="S945" s="7680"/>
      <c r="T945" s="7688"/>
      <c r="U945" s="7687"/>
      <c r="V945" s="7686"/>
      <c r="W945" s="7688"/>
      <c r="X945" s="7686"/>
      <c r="Y945" s="7688"/>
      <c r="Z945" s="7686"/>
      <c r="AA945" s="7680"/>
      <c r="AB945" s="7680"/>
      <c r="AC945" s="7680"/>
      <c r="AD945" s="7680"/>
      <c r="AE945" s="7680"/>
      <c r="AF945" s="7688"/>
      <c r="AG945" s="7686"/>
      <c r="AH945" s="7680"/>
      <c r="AI945" s="7680"/>
      <c r="AJ945" s="7680"/>
      <c r="AK945" s="7680"/>
      <c r="AL945" s="7680"/>
      <c r="AM945" s="7680"/>
      <c r="AN945" s="7688"/>
      <c r="AO945" s="7686"/>
      <c r="AP945" s="7680"/>
      <c r="AQ945" s="7680"/>
      <c r="AR945" s="7680"/>
      <c r="AS945" s="7680"/>
      <c r="AT945" s="7688"/>
      <c r="AU945" s="8564"/>
      <c r="AV945" s="8564"/>
      <c r="AW945" s="8564"/>
      <c r="AX945" s="8561"/>
      <c r="AY945" s="8563"/>
      <c r="AZ945" s="8564"/>
      <c r="BA945" s="8561"/>
      <c r="BB945" s="8562"/>
      <c r="BC945" s="8563"/>
      <c r="BD945" s="8565"/>
      <c r="BF945" s="14439"/>
      <c r="BG945" s="14439"/>
      <c r="BH945" s="14439"/>
      <c r="BI945" s="14439"/>
      <c r="BJ945" s="14439"/>
      <c r="BK945" s="13058"/>
      <c r="BL945" s="14439"/>
      <c r="BM945" s="14439"/>
      <c r="BN945" s="14439"/>
    </row>
    <row r="946" spans="1:66" ht="29.25" hidden="1" customHeight="1">
      <c r="A946" s="13648"/>
      <c r="B946" s="13884"/>
      <c r="C946" s="13600"/>
      <c r="D946" s="11813" t="s">
        <v>208</v>
      </c>
      <c r="E946" s="7822"/>
      <c r="F946" s="7822" t="s">
        <v>2855</v>
      </c>
      <c r="G946" s="13930"/>
      <c r="H946" s="13395"/>
      <c r="I946" s="13944"/>
      <c r="K946" s="8561"/>
      <c r="L946" s="7679"/>
      <c r="M946" s="7679"/>
      <c r="N946" s="8562"/>
      <c r="O946" s="8562"/>
      <c r="P946" s="8563"/>
      <c r="Q946" s="7687"/>
      <c r="R946" s="7686"/>
      <c r="S946" s="7680"/>
      <c r="T946" s="7688"/>
      <c r="U946" s="7687"/>
      <c r="V946" s="7686"/>
      <c r="W946" s="7688"/>
      <c r="X946" s="7686"/>
      <c r="Y946" s="7688"/>
      <c r="Z946" s="7686"/>
      <c r="AA946" s="7680"/>
      <c r="AB946" s="7680"/>
      <c r="AC946" s="7680"/>
      <c r="AD946" s="7680"/>
      <c r="AE946" s="7680"/>
      <c r="AF946" s="7688"/>
      <c r="AG946" s="7686"/>
      <c r="AH946" s="7680"/>
      <c r="AI946" s="7680"/>
      <c r="AJ946" s="7680"/>
      <c r="AK946" s="7680"/>
      <c r="AL946" s="7680"/>
      <c r="AM946" s="7680"/>
      <c r="AN946" s="7688"/>
      <c r="AO946" s="7686"/>
      <c r="AP946" s="7680"/>
      <c r="AQ946" s="7680"/>
      <c r="AR946" s="7680"/>
      <c r="AS946" s="7680"/>
      <c r="AT946" s="7688"/>
      <c r="AU946" s="8564"/>
      <c r="AV946" s="8564"/>
      <c r="AW946" s="8564"/>
      <c r="AX946" s="8561"/>
      <c r="AY946" s="8563"/>
      <c r="AZ946" s="8564"/>
      <c r="BA946" s="8561"/>
      <c r="BB946" s="8562"/>
      <c r="BC946" s="8563"/>
      <c r="BD946" s="8565"/>
      <c r="BF946" s="14439"/>
      <c r="BG946" s="14439"/>
      <c r="BH946" s="14439"/>
      <c r="BI946" s="14439"/>
      <c r="BJ946" s="14439"/>
      <c r="BK946" s="8932"/>
      <c r="BL946" s="14439"/>
      <c r="BM946" s="14439"/>
      <c r="BN946" s="14439"/>
    </row>
    <row r="947" spans="1:66" ht="29.25" customHeight="1">
      <c r="A947" s="13648">
        <v>583</v>
      </c>
      <c r="B947" s="13884" t="s">
        <v>8509</v>
      </c>
      <c r="C947" s="13600"/>
      <c r="D947" s="11813" t="s">
        <v>86</v>
      </c>
      <c r="E947" s="7822" t="s">
        <v>2862</v>
      </c>
      <c r="F947" s="7822"/>
      <c r="G947" s="13930" t="s">
        <v>8520</v>
      </c>
      <c r="H947" s="13395"/>
      <c r="I947" s="13944" t="s">
        <v>8520</v>
      </c>
      <c r="K947" s="9152" t="s">
        <v>10562</v>
      </c>
      <c r="L947" s="9164" t="s">
        <v>10563</v>
      </c>
      <c r="M947" s="9164" t="s">
        <v>10564</v>
      </c>
      <c r="N947" s="9164" t="s">
        <v>10626</v>
      </c>
      <c r="O947" s="9164" t="s">
        <v>10393</v>
      </c>
      <c r="P947" s="8563"/>
      <c r="Q947" s="7687"/>
      <c r="R947" s="7686"/>
      <c r="S947" s="7680"/>
      <c r="T947" s="7688"/>
      <c r="U947" s="7687"/>
      <c r="V947" s="7686"/>
      <c r="W947" s="7688"/>
      <c r="X947" s="7686"/>
      <c r="Y947" s="7688"/>
      <c r="Z947" s="7686"/>
      <c r="AA947" s="7680"/>
      <c r="AB947" s="7680"/>
      <c r="AC947" s="7680"/>
      <c r="AD947" s="7680"/>
      <c r="AE947" s="7680"/>
      <c r="AF947" s="7688"/>
      <c r="AG947" s="7686"/>
      <c r="AH947" s="7680"/>
      <c r="AI947" s="7680"/>
      <c r="AJ947" s="7680"/>
      <c r="AK947" s="7680"/>
      <c r="AL947" s="7680"/>
      <c r="AM947" s="7680"/>
      <c r="AN947" s="7688"/>
      <c r="AO947" s="7686"/>
      <c r="AP947" s="7680"/>
      <c r="AQ947" s="7680"/>
      <c r="AR947" s="7680"/>
      <c r="AS947" s="7680"/>
      <c r="AT947" s="7688"/>
      <c r="AU947" s="8564"/>
      <c r="AV947" s="8564"/>
      <c r="AW947" s="8564"/>
      <c r="AX947" s="8561"/>
      <c r="AY947" s="8563"/>
      <c r="AZ947" s="8564"/>
      <c r="BA947" s="8561"/>
      <c r="BB947" s="8562"/>
      <c r="BC947" s="8563"/>
      <c r="BD947" s="8565"/>
      <c r="BF947" s="14439"/>
      <c r="BG947" s="14439"/>
      <c r="BH947" s="14439"/>
      <c r="BI947" s="14439"/>
      <c r="BJ947" s="14439"/>
      <c r="BK947" s="13058"/>
      <c r="BL947" s="14439"/>
      <c r="BM947" s="14439"/>
      <c r="BN947" s="14439"/>
    </row>
    <row r="948" spans="1:66" ht="29.25" hidden="1" customHeight="1">
      <c r="A948" s="13648"/>
      <c r="B948" s="13884"/>
      <c r="C948" s="13600"/>
      <c r="D948" s="11813" t="s">
        <v>208</v>
      </c>
      <c r="E948" s="7822"/>
      <c r="F948" s="7822" t="s">
        <v>2855</v>
      </c>
      <c r="G948" s="13930"/>
      <c r="H948" s="13395"/>
      <c r="I948" s="13944"/>
      <c r="K948" s="8561"/>
      <c r="L948" s="7679"/>
      <c r="M948" s="7679"/>
      <c r="N948" s="8562"/>
      <c r="O948" s="8562"/>
      <c r="P948" s="8563"/>
      <c r="Q948" s="7687"/>
      <c r="R948" s="7686"/>
      <c r="S948" s="7680"/>
      <c r="T948" s="7688"/>
      <c r="U948" s="7687"/>
      <c r="V948" s="7686"/>
      <c r="W948" s="7688"/>
      <c r="X948" s="7686"/>
      <c r="Y948" s="7688"/>
      <c r="Z948" s="7686"/>
      <c r="AA948" s="7680"/>
      <c r="AB948" s="7680"/>
      <c r="AC948" s="7680"/>
      <c r="AD948" s="7680"/>
      <c r="AE948" s="7680"/>
      <c r="AF948" s="7688"/>
      <c r="AG948" s="7686"/>
      <c r="AH948" s="7680"/>
      <c r="AI948" s="7680"/>
      <c r="AJ948" s="7680"/>
      <c r="AK948" s="7680"/>
      <c r="AL948" s="7680"/>
      <c r="AM948" s="7680"/>
      <c r="AN948" s="7688"/>
      <c r="AO948" s="7686"/>
      <c r="AP948" s="7680"/>
      <c r="AQ948" s="7680"/>
      <c r="AR948" s="7680"/>
      <c r="AS948" s="7680"/>
      <c r="AT948" s="7688"/>
      <c r="AU948" s="8564"/>
      <c r="AV948" s="8564"/>
      <c r="AW948" s="8564"/>
      <c r="AX948" s="8561"/>
      <c r="AY948" s="8563"/>
      <c r="AZ948" s="8564"/>
      <c r="BA948" s="8561"/>
      <c r="BB948" s="8562"/>
      <c r="BC948" s="8563"/>
      <c r="BD948" s="8565"/>
      <c r="BF948" s="14439"/>
      <c r="BG948" s="14439"/>
      <c r="BH948" s="14439"/>
      <c r="BI948" s="14439"/>
      <c r="BJ948" s="14439"/>
      <c r="BK948" s="8932"/>
      <c r="BL948" s="14439"/>
      <c r="BM948" s="14439"/>
      <c r="BN948" s="14439"/>
    </row>
    <row r="949" spans="1:66" ht="29.25" customHeight="1">
      <c r="A949" s="13648">
        <v>584</v>
      </c>
      <c r="B949" s="13884" t="s">
        <v>8509</v>
      </c>
      <c r="C949" s="13600"/>
      <c r="D949" s="11915" t="s">
        <v>86</v>
      </c>
      <c r="E949" s="7822" t="s">
        <v>2862</v>
      </c>
      <c r="F949" s="7822"/>
      <c r="G949" s="13930" t="s">
        <v>8523</v>
      </c>
      <c r="H949" s="13395"/>
      <c r="I949" s="13975" t="s">
        <v>8523</v>
      </c>
      <c r="K949" s="8917" t="s">
        <v>1732</v>
      </c>
      <c r="L949" s="8920"/>
      <c r="M949" s="8920"/>
      <c r="N949" s="8921"/>
      <c r="O949" s="8921"/>
      <c r="P949" s="8922"/>
      <c r="Q949" s="8923"/>
      <c r="R949" s="8924"/>
      <c r="S949" s="8925"/>
      <c r="T949" s="8926"/>
      <c r="U949" s="8923"/>
      <c r="V949" s="8924"/>
      <c r="W949" s="8926"/>
      <c r="X949" s="8924"/>
      <c r="Y949" s="8926"/>
      <c r="Z949" s="8924"/>
      <c r="AA949" s="8925"/>
      <c r="AB949" s="8925"/>
      <c r="AC949" s="8925"/>
      <c r="AD949" s="8925"/>
      <c r="AE949" s="8925"/>
      <c r="AF949" s="8926"/>
      <c r="AG949" s="8924"/>
      <c r="AH949" s="8925"/>
      <c r="AI949" s="8925"/>
      <c r="AJ949" s="8925"/>
      <c r="AK949" s="8925"/>
      <c r="AL949" s="8925"/>
      <c r="AM949" s="8925"/>
      <c r="AN949" s="8926"/>
      <c r="AO949" s="8924"/>
      <c r="AP949" s="8925"/>
      <c r="AQ949" s="8925"/>
      <c r="AR949" s="8925"/>
      <c r="AS949" s="8925"/>
      <c r="AT949" s="8926"/>
      <c r="AU949" s="8927"/>
      <c r="AV949" s="8927"/>
      <c r="AW949" s="8927"/>
      <c r="AX949" s="8919"/>
      <c r="AY949" s="8922"/>
      <c r="AZ949" s="8927"/>
      <c r="BA949" s="8919"/>
      <c r="BB949" s="8921"/>
      <c r="BC949" s="8922"/>
      <c r="BD949" s="8928"/>
      <c r="BF949" s="14439"/>
      <c r="BG949" s="14439"/>
      <c r="BH949" s="14439"/>
      <c r="BI949" s="14439"/>
      <c r="BJ949" s="14439"/>
      <c r="BK949" s="13058"/>
      <c r="BL949" s="14439"/>
      <c r="BM949" s="14439"/>
      <c r="BN949" s="14439"/>
    </row>
    <row r="950" spans="1:66" ht="29.25" hidden="1" customHeight="1">
      <c r="A950" s="13648"/>
      <c r="B950" s="13884"/>
      <c r="C950" s="13600"/>
      <c r="D950" s="11915" t="s">
        <v>10188</v>
      </c>
      <c r="E950" s="7822"/>
      <c r="F950" s="7822" t="s">
        <v>8524</v>
      </c>
      <c r="G950" s="13930"/>
      <c r="H950" s="13395"/>
      <c r="I950" s="13975"/>
      <c r="K950" s="8919"/>
      <c r="L950" s="8920"/>
      <c r="M950" s="8920"/>
      <c r="N950" s="8921"/>
      <c r="O950" s="8921"/>
      <c r="P950" s="8922"/>
      <c r="Q950" s="8923"/>
      <c r="R950" s="8924"/>
      <c r="S950" s="8925"/>
      <c r="T950" s="8926"/>
      <c r="U950" s="8923"/>
      <c r="V950" s="8924"/>
      <c r="W950" s="8926"/>
      <c r="X950" s="8924"/>
      <c r="Y950" s="8926"/>
      <c r="Z950" s="8924"/>
      <c r="AA950" s="8925"/>
      <c r="AB950" s="8925"/>
      <c r="AC950" s="8925"/>
      <c r="AD950" s="8925"/>
      <c r="AE950" s="8925"/>
      <c r="AF950" s="8926"/>
      <c r="AG950" s="8924"/>
      <c r="AH950" s="8925"/>
      <c r="AI950" s="8925"/>
      <c r="AJ950" s="8925"/>
      <c r="AK950" s="8925"/>
      <c r="AL950" s="8925"/>
      <c r="AM950" s="8925"/>
      <c r="AN950" s="8926"/>
      <c r="AO950" s="8924"/>
      <c r="AP950" s="8925"/>
      <c r="AQ950" s="8925"/>
      <c r="AR950" s="8925"/>
      <c r="AS950" s="8925"/>
      <c r="AT950" s="8926"/>
      <c r="AU950" s="8927"/>
      <c r="AV950" s="8927"/>
      <c r="AW950" s="8927"/>
      <c r="AX950" s="8919"/>
      <c r="AY950" s="8922"/>
      <c r="AZ950" s="8927"/>
      <c r="BA950" s="8919"/>
      <c r="BB950" s="8921"/>
      <c r="BC950" s="8922"/>
      <c r="BD950" s="8928"/>
      <c r="BF950" s="14439"/>
      <c r="BG950" s="14439"/>
      <c r="BH950" s="14439"/>
      <c r="BI950" s="14439"/>
      <c r="BJ950" s="14439"/>
      <c r="BK950" s="8932"/>
      <c r="BL950" s="14439"/>
      <c r="BM950" s="14439"/>
      <c r="BN950" s="14439"/>
    </row>
    <row r="951" spans="1:66" ht="29.25" customHeight="1">
      <c r="A951" s="13648">
        <v>585</v>
      </c>
      <c r="B951" s="13884" t="s">
        <v>8509</v>
      </c>
      <c r="C951" s="13600"/>
      <c r="D951" s="11915" t="s">
        <v>86</v>
      </c>
      <c r="E951" s="7822" t="s">
        <v>2862</v>
      </c>
      <c r="F951" s="7822"/>
      <c r="G951" s="13930" t="s">
        <v>8527</v>
      </c>
      <c r="H951" s="13395"/>
      <c r="I951" s="13975" t="s">
        <v>8527</v>
      </c>
      <c r="K951" s="8917" t="s">
        <v>1732</v>
      </c>
      <c r="L951" s="8920"/>
      <c r="M951" s="8920"/>
      <c r="N951" s="8921"/>
      <c r="O951" s="8921"/>
      <c r="P951" s="8922"/>
      <c r="Q951" s="8923"/>
      <c r="R951" s="8924"/>
      <c r="S951" s="8925"/>
      <c r="T951" s="8926"/>
      <c r="U951" s="8923"/>
      <c r="V951" s="8924"/>
      <c r="W951" s="8926"/>
      <c r="X951" s="8924"/>
      <c r="Y951" s="8926"/>
      <c r="Z951" s="8924"/>
      <c r="AA951" s="8925"/>
      <c r="AB951" s="8925"/>
      <c r="AC951" s="8925"/>
      <c r="AD951" s="8925"/>
      <c r="AE951" s="8925"/>
      <c r="AF951" s="8926"/>
      <c r="AG951" s="8924"/>
      <c r="AH951" s="8925"/>
      <c r="AI951" s="8925"/>
      <c r="AJ951" s="8925"/>
      <c r="AK951" s="8925"/>
      <c r="AL951" s="8925"/>
      <c r="AM951" s="8925"/>
      <c r="AN951" s="8926"/>
      <c r="AO951" s="8924"/>
      <c r="AP951" s="8925"/>
      <c r="AQ951" s="8925"/>
      <c r="AR951" s="8925"/>
      <c r="AS951" s="8925"/>
      <c r="AT951" s="8926"/>
      <c r="AU951" s="8927"/>
      <c r="AV951" s="8927"/>
      <c r="AW951" s="8927"/>
      <c r="AX951" s="8919"/>
      <c r="AY951" s="8922"/>
      <c r="AZ951" s="8927"/>
      <c r="BA951" s="8919"/>
      <c r="BB951" s="8921"/>
      <c r="BC951" s="8922"/>
      <c r="BD951" s="8928"/>
      <c r="BF951" s="14439"/>
      <c r="BG951" s="14439"/>
      <c r="BH951" s="14439"/>
      <c r="BI951" s="14439"/>
      <c r="BJ951" s="14439"/>
      <c r="BK951" s="13058"/>
      <c r="BL951" s="14439"/>
      <c r="BM951" s="14439"/>
      <c r="BN951" s="14439"/>
    </row>
    <row r="952" spans="1:66" ht="29.25" hidden="1" customHeight="1">
      <c r="A952" s="13648"/>
      <c r="B952" s="13884"/>
      <c r="C952" s="13600"/>
      <c r="D952" s="11915" t="s">
        <v>10188</v>
      </c>
      <c r="E952" s="7822"/>
      <c r="F952" s="7822" t="s">
        <v>8524</v>
      </c>
      <c r="G952" s="13930"/>
      <c r="H952" s="13395"/>
      <c r="I952" s="13975"/>
      <c r="K952" s="8919"/>
      <c r="L952" s="8920"/>
      <c r="M952" s="8920"/>
      <c r="N952" s="8921"/>
      <c r="O952" s="8921"/>
      <c r="P952" s="8922"/>
      <c r="Q952" s="8923"/>
      <c r="R952" s="8924"/>
      <c r="S952" s="8925"/>
      <c r="T952" s="8926"/>
      <c r="U952" s="8923"/>
      <c r="V952" s="8924"/>
      <c r="W952" s="8926"/>
      <c r="X952" s="8924"/>
      <c r="Y952" s="8926"/>
      <c r="Z952" s="8924"/>
      <c r="AA952" s="8925"/>
      <c r="AB952" s="8925"/>
      <c r="AC952" s="8925"/>
      <c r="AD952" s="8925"/>
      <c r="AE952" s="8925"/>
      <c r="AF952" s="8926"/>
      <c r="AG952" s="8924"/>
      <c r="AH952" s="8925"/>
      <c r="AI952" s="8925"/>
      <c r="AJ952" s="8925"/>
      <c r="AK952" s="8925"/>
      <c r="AL952" s="8925"/>
      <c r="AM952" s="8925"/>
      <c r="AN952" s="8926"/>
      <c r="AO952" s="8924"/>
      <c r="AP952" s="8925"/>
      <c r="AQ952" s="8925"/>
      <c r="AR952" s="8925"/>
      <c r="AS952" s="8925"/>
      <c r="AT952" s="8926"/>
      <c r="AU952" s="8927"/>
      <c r="AV952" s="8927"/>
      <c r="AW952" s="8927"/>
      <c r="AX952" s="8919"/>
      <c r="AY952" s="8922"/>
      <c r="AZ952" s="8927"/>
      <c r="BA952" s="8919"/>
      <c r="BB952" s="8921"/>
      <c r="BC952" s="8922"/>
      <c r="BD952" s="8928"/>
      <c r="BF952" s="14439"/>
      <c r="BG952" s="14439"/>
      <c r="BH952" s="14439"/>
      <c r="BI952" s="14439"/>
      <c r="BJ952" s="14439"/>
      <c r="BK952" s="8932"/>
      <c r="BL952" s="14439"/>
      <c r="BM952" s="14439"/>
      <c r="BN952" s="14439"/>
    </row>
    <row r="953" spans="1:66" ht="29.25" customHeight="1">
      <c r="A953" s="13648">
        <v>586</v>
      </c>
      <c r="B953" s="13884" t="s">
        <v>8509</v>
      </c>
      <c r="C953" s="13600"/>
      <c r="D953" s="11915" t="s">
        <v>86</v>
      </c>
      <c r="E953" s="7822" t="s">
        <v>2862</v>
      </c>
      <c r="F953" s="7822"/>
      <c r="G953" s="13930" t="s">
        <v>8530</v>
      </c>
      <c r="H953" s="13395"/>
      <c r="I953" s="13944" t="s">
        <v>8530</v>
      </c>
      <c r="K953" s="8560" t="s">
        <v>1732</v>
      </c>
      <c r="L953" s="7679"/>
      <c r="M953" s="7679"/>
      <c r="N953" s="8562"/>
      <c r="O953" s="8562"/>
      <c r="P953" s="8563"/>
      <c r="Q953" s="7687"/>
      <c r="R953" s="7686"/>
      <c r="S953" s="7680"/>
      <c r="T953" s="7688"/>
      <c r="U953" s="7687"/>
      <c r="V953" s="7686"/>
      <c r="W953" s="7688"/>
      <c r="X953" s="7686"/>
      <c r="Y953" s="7688"/>
      <c r="Z953" s="7686"/>
      <c r="AA953" s="7680"/>
      <c r="AB953" s="7680"/>
      <c r="AC953" s="7680"/>
      <c r="AD953" s="7680"/>
      <c r="AE953" s="7680"/>
      <c r="AF953" s="7688"/>
      <c r="AG953" s="7686"/>
      <c r="AH953" s="7680"/>
      <c r="AI953" s="7680"/>
      <c r="AJ953" s="7680"/>
      <c r="AK953" s="7680"/>
      <c r="AL953" s="7680"/>
      <c r="AM953" s="7680"/>
      <c r="AN953" s="7688"/>
      <c r="AO953" s="7686"/>
      <c r="AP953" s="7680"/>
      <c r="AQ953" s="7680"/>
      <c r="AR953" s="7680"/>
      <c r="AS953" s="7680"/>
      <c r="AT953" s="7688"/>
      <c r="AU953" s="8564"/>
      <c r="AV953" s="8564"/>
      <c r="AW953" s="8564"/>
      <c r="AX953" s="8561"/>
      <c r="AY953" s="8563"/>
      <c r="AZ953" s="8564"/>
      <c r="BA953" s="8561"/>
      <c r="BB953" s="8562"/>
      <c r="BC953" s="8563"/>
      <c r="BD953" s="8565"/>
      <c r="BF953" s="14439"/>
      <c r="BG953" s="14439"/>
      <c r="BH953" s="14439"/>
      <c r="BI953" s="14439"/>
      <c r="BJ953" s="14439"/>
      <c r="BK953" s="13058"/>
      <c r="BL953" s="14439"/>
      <c r="BM953" s="14439"/>
      <c r="BN953" s="14439"/>
    </row>
    <row r="954" spans="1:66" ht="29.25" hidden="1" customHeight="1" thickBot="1">
      <c r="A954" s="13686"/>
      <c r="B954" s="13885"/>
      <c r="C954" s="13600"/>
      <c r="D954" s="12157" t="s">
        <v>10188</v>
      </c>
      <c r="E954" s="7815"/>
      <c r="F954" s="7815" t="s">
        <v>8524</v>
      </c>
      <c r="G954" s="14104"/>
      <c r="H954" s="13443"/>
      <c r="I954" s="14205"/>
      <c r="K954" s="8577"/>
      <c r="L954" s="7701"/>
      <c r="M954" s="7701"/>
      <c r="N954" s="8578"/>
      <c r="O954" s="8578"/>
      <c r="P954" s="8579"/>
      <c r="Q954" s="7704"/>
      <c r="R954" s="7705"/>
      <c r="S954" s="7706"/>
      <c r="T954" s="7707"/>
      <c r="U954" s="7704"/>
      <c r="V954" s="7705"/>
      <c r="W954" s="7707"/>
      <c r="X954" s="7705"/>
      <c r="Y954" s="7707"/>
      <c r="Z954" s="7705"/>
      <c r="AA954" s="7706"/>
      <c r="AB954" s="7706"/>
      <c r="AC954" s="7706"/>
      <c r="AD954" s="7706"/>
      <c r="AE954" s="7706"/>
      <c r="AF954" s="7707"/>
      <c r="AG954" s="7705"/>
      <c r="AH954" s="7706"/>
      <c r="AI954" s="7706"/>
      <c r="AJ954" s="7706"/>
      <c r="AK954" s="7706"/>
      <c r="AL954" s="7706"/>
      <c r="AM954" s="7706"/>
      <c r="AN954" s="7707"/>
      <c r="AO954" s="7705"/>
      <c r="AP954" s="7706"/>
      <c r="AQ954" s="7706"/>
      <c r="AR954" s="7706"/>
      <c r="AS954" s="7706"/>
      <c r="AT954" s="7707"/>
      <c r="AU954" s="8580"/>
      <c r="AV954" s="8580"/>
      <c r="AW954" s="8580"/>
      <c r="AX954" s="8577"/>
      <c r="AY954" s="8579"/>
      <c r="AZ954" s="8580"/>
      <c r="BA954" s="8577"/>
      <c r="BB954" s="8578"/>
      <c r="BC954" s="8579"/>
      <c r="BD954" s="8581"/>
      <c r="BF954" s="14440"/>
      <c r="BG954" s="14440"/>
      <c r="BH954" s="14440"/>
      <c r="BI954" s="14440"/>
      <c r="BJ954" s="14440"/>
      <c r="BK954" s="8961"/>
      <c r="BL954" s="14440"/>
      <c r="BM954" s="14440"/>
      <c r="BN954" s="14440"/>
    </row>
    <row r="955" spans="1:66" ht="29.25" customHeight="1">
      <c r="A955" s="13687">
        <v>587</v>
      </c>
      <c r="B955" s="14213" t="s">
        <v>4547</v>
      </c>
      <c r="C955" s="13600"/>
      <c r="D955" s="12327" t="s">
        <v>86</v>
      </c>
      <c r="E955" s="12328" t="s">
        <v>2862</v>
      </c>
      <c r="F955" s="12328"/>
      <c r="G955" s="14214" t="s">
        <v>2676</v>
      </c>
      <c r="H955" s="13444"/>
      <c r="I955" s="14241" t="s">
        <v>2674</v>
      </c>
      <c r="K955" s="13124" t="s">
        <v>1732</v>
      </c>
      <c r="L955" s="10297"/>
      <c r="M955" s="10297"/>
      <c r="N955" s="10298"/>
      <c r="O955" s="10298"/>
      <c r="P955" s="10299" t="s">
        <v>10635</v>
      </c>
      <c r="Q955" s="10300"/>
      <c r="R955" s="10301"/>
      <c r="S955" s="10302"/>
      <c r="T955" s="10303"/>
      <c r="U955" s="10300"/>
      <c r="V955" s="10301"/>
      <c r="W955" s="10303"/>
      <c r="X955" s="10301"/>
      <c r="Y955" s="10303"/>
      <c r="Z955" s="10301"/>
      <c r="AA955" s="10302"/>
      <c r="AB955" s="10302"/>
      <c r="AC955" s="10302"/>
      <c r="AD955" s="10302"/>
      <c r="AE955" s="10302"/>
      <c r="AF955" s="10303"/>
      <c r="AG955" s="10301"/>
      <c r="AH955" s="10302"/>
      <c r="AI955" s="10302"/>
      <c r="AJ955" s="10302"/>
      <c r="AK955" s="10302"/>
      <c r="AL955" s="10302"/>
      <c r="AM955" s="10302"/>
      <c r="AN955" s="10303"/>
      <c r="AO955" s="10301"/>
      <c r="AP955" s="10302"/>
      <c r="AQ955" s="10302"/>
      <c r="AR955" s="10302"/>
      <c r="AS955" s="10302"/>
      <c r="AT955" s="10303"/>
      <c r="AU955" s="10304"/>
      <c r="AV955" s="10304"/>
      <c r="AW955" s="10304"/>
      <c r="AX955" s="10296"/>
      <c r="AY955" s="10299"/>
      <c r="AZ955" s="10304"/>
      <c r="BA955" s="10296"/>
      <c r="BB955" s="10298"/>
      <c r="BC955" s="10299"/>
      <c r="BD955" s="10305"/>
      <c r="BF955" s="14530"/>
      <c r="BG955" s="14530"/>
      <c r="BH955" s="14530"/>
      <c r="BI955" s="14530"/>
      <c r="BJ955" s="14530"/>
      <c r="BK955" s="13081"/>
      <c r="BL955" s="14530"/>
      <c r="BM955" s="14530"/>
      <c r="BN955" s="14530"/>
    </row>
    <row r="956" spans="1:66" ht="29.25" hidden="1" customHeight="1">
      <c r="A956" s="13688"/>
      <c r="B956" s="14211"/>
      <c r="C956" s="13600"/>
      <c r="D956" s="12329" t="s">
        <v>10063</v>
      </c>
      <c r="E956" s="12330"/>
      <c r="F956" s="12330" t="s">
        <v>10264</v>
      </c>
      <c r="G956" s="14212"/>
      <c r="H956" s="13445"/>
      <c r="I956" s="14239"/>
      <c r="K956" s="10306"/>
      <c r="L956" s="9359"/>
      <c r="M956" s="9359"/>
      <c r="N956" s="10307"/>
      <c r="O956" s="10307"/>
      <c r="P956" s="10308"/>
      <c r="Q956" s="9362"/>
      <c r="R956" s="9363"/>
      <c r="S956" s="9364"/>
      <c r="T956" s="9365"/>
      <c r="U956" s="9362"/>
      <c r="V956" s="9363"/>
      <c r="W956" s="9365"/>
      <c r="X956" s="9363"/>
      <c r="Y956" s="9365"/>
      <c r="Z956" s="9363"/>
      <c r="AA956" s="9364"/>
      <c r="AB956" s="9364"/>
      <c r="AC956" s="9364"/>
      <c r="AD956" s="9364"/>
      <c r="AE956" s="9364"/>
      <c r="AF956" s="9365"/>
      <c r="AG956" s="9363"/>
      <c r="AH956" s="9364"/>
      <c r="AI956" s="9364"/>
      <c r="AJ956" s="9364"/>
      <c r="AK956" s="9364"/>
      <c r="AL956" s="9364"/>
      <c r="AM956" s="9364"/>
      <c r="AN956" s="9365"/>
      <c r="AO956" s="9363"/>
      <c r="AP956" s="9364"/>
      <c r="AQ956" s="9364"/>
      <c r="AR956" s="9364"/>
      <c r="AS956" s="9364"/>
      <c r="AT956" s="9365"/>
      <c r="AU956" s="10309"/>
      <c r="AV956" s="10309"/>
      <c r="AW956" s="10309"/>
      <c r="AX956" s="10306"/>
      <c r="AY956" s="10308"/>
      <c r="AZ956" s="10309"/>
      <c r="BA956" s="10306"/>
      <c r="BB956" s="10307"/>
      <c r="BC956" s="10308"/>
      <c r="BD956" s="10310"/>
      <c r="BF956" s="14531"/>
      <c r="BG956" s="14531"/>
      <c r="BH956" s="14531"/>
      <c r="BI956" s="14531"/>
      <c r="BJ956" s="14531"/>
      <c r="BK956" s="10311"/>
      <c r="BL956" s="14531"/>
      <c r="BM956" s="14531"/>
      <c r="BN956" s="14531"/>
    </row>
    <row r="957" spans="1:66" ht="29.25" hidden="1" customHeight="1">
      <c r="A957" s="13688"/>
      <c r="B957" s="14211"/>
      <c r="C957" s="13600"/>
      <c r="D957" s="12329" t="s">
        <v>208</v>
      </c>
      <c r="E957" s="12330"/>
      <c r="F957" s="12330" t="s">
        <v>10265</v>
      </c>
      <c r="G957" s="14212"/>
      <c r="H957" s="13445"/>
      <c r="I957" s="14239"/>
      <c r="K957" s="10306"/>
      <c r="L957" s="9359"/>
      <c r="M957" s="9359"/>
      <c r="N957" s="10307"/>
      <c r="O957" s="10307"/>
      <c r="P957" s="10308"/>
      <c r="Q957" s="9362"/>
      <c r="R957" s="9363"/>
      <c r="S957" s="9364"/>
      <c r="T957" s="9365"/>
      <c r="U957" s="9362"/>
      <c r="V957" s="9363"/>
      <c r="W957" s="9365"/>
      <c r="X957" s="9363"/>
      <c r="Y957" s="9365"/>
      <c r="Z957" s="9363"/>
      <c r="AA957" s="9364"/>
      <c r="AB957" s="9364"/>
      <c r="AC957" s="9364"/>
      <c r="AD957" s="9364"/>
      <c r="AE957" s="9364"/>
      <c r="AF957" s="9365"/>
      <c r="AG957" s="9363"/>
      <c r="AH957" s="9364"/>
      <c r="AI957" s="9364"/>
      <c r="AJ957" s="9364"/>
      <c r="AK957" s="9364"/>
      <c r="AL957" s="9364"/>
      <c r="AM957" s="9364"/>
      <c r="AN957" s="9365"/>
      <c r="AO957" s="9363"/>
      <c r="AP957" s="9364"/>
      <c r="AQ957" s="9364"/>
      <c r="AR957" s="9364"/>
      <c r="AS957" s="9364"/>
      <c r="AT957" s="9365"/>
      <c r="AU957" s="10309"/>
      <c r="AV957" s="10309"/>
      <c r="AW957" s="10309"/>
      <c r="AX957" s="10306"/>
      <c r="AY957" s="10308"/>
      <c r="AZ957" s="10309"/>
      <c r="BA957" s="10306"/>
      <c r="BB957" s="10307"/>
      <c r="BC957" s="10308"/>
      <c r="BD957" s="10310"/>
      <c r="BF957" s="14531"/>
      <c r="BG957" s="14531"/>
      <c r="BH957" s="14531"/>
      <c r="BI957" s="14531"/>
      <c r="BJ957" s="14531"/>
      <c r="BK957" s="10311"/>
      <c r="BL957" s="14531"/>
      <c r="BM957" s="14531"/>
      <c r="BN957" s="14531"/>
    </row>
    <row r="958" spans="1:66" ht="29.25" customHeight="1">
      <c r="A958" s="13688">
        <v>588</v>
      </c>
      <c r="B958" s="14211" t="s">
        <v>4548</v>
      </c>
      <c r="C958" s="13600"/>
      <c r="D958" s="12329" t="s">
        <v>86</v>
      </c>
      <c r="E958" s="12330" t="s">
        <v>2862</v>
      </c>
      <c r="F958" s="12330"/>
      <c r="G958" s="14212" t="s">
        <v>2680</v>
      </c>
      <c r="H958" s="13445"/>
      <c r="I958" s="14239" t="s">
        <v>2679</v>
      </c>
      <c r="K958" s="13125">
        <v>0</v>
      </c>
      <c r="L958" s="9359"/>
      <c r="M958" s="9359"/>
      <c r="N958" s="10307"/>
      <c r="O958" s="10307"/>
      <c r="P958" s="10308" t="s">
        <v>10596</v>
      </c>
      <c r="Q958" s="9362"/>
      <c r="R958" s="9363"/>
      <c r="S958" s="9364"/>
      <c r="T958" s="9365"/>
      <c r="U958" s="9362"/>
      <c r="V958" s="9363"/>
      <c r="W958" s="9365"/>
      <c r="X958" s="9363"/>
      <c r="Y958" s="9365"/>
      <c r="Z958" s="9363"/>
      <c r="AA958" s="9364"/>
      <c r="AB958" s="9364"/>
      <c r="AC958" s="9364"/>
      <c r="AD958" s="9364"/>
      <c r="AE958" s="9364"/>
      <c r="AF958" s="9365"/>
      <c r="AG958" s="9363"/>
      <c r="AH958" s="9364"/>
      <c r="AI958" s="9364"/>
      <c r="AJ958" s="9364"/>
      <c r="AK958" s="9364"/>
      <c r="AL958" s="9364"/>
      <c r="AM958" s="9364"/>
      <c r="AN958" s="9365"/>
      <c r="AO958" s="9363"/>
      <c r="AP958" s="9364"/>
      <c r="AQ958" s="9364"/>
      <c r="AR958" s="9364"/>
      <c r="AS958" s="9364"/>
      <c r="AT958" s="9365"/>
      <c r="AU958" s="10309"/>
      <c r="AV958" s="10309"/>
      <c r="AW958" s="10309"/>
      <c r="AX958" s="10306"/>
      <c r="AY958" s="10308"/>
      <c r="AZ958" s="10309"/>
      <c r="BA958" s="10306"/>
      <c r="BB958" s="10307"/>
      <c r="BC958" s="10308"/>
      <c r="BD958" s="10310"/>
      <c r="BF958" s="14531"/>
      <c r="BG958" s="14531"/>
      <c r="BH958" s="14531"/>
      <c r="BI958" s="14531"/>
      <c r="BJ958" s="14531"/>
      <c r="BK958" s="13082"/>
      <c r="BL958" s="14531"/>
      <c r="BM958" s="14531"/>
      <c r="BN958" s="14531"/>
    </row>
    <row r="959" spans="1:66" ht="29.25" hidden="1" customHeight="1">
      <c r="A959" s="13688"/>
      <c r="B959" s="14211"/>
      <c r="C959" s="13600"/>
      <c r="D959" s="12329" t="s">
        <v>10063</v>
      </c>
      <c r="E959" s="12330"/>
      <c r="F959" s="12330" t="s">
        <v>10264</v>
      </c>
      <c r="G959" s="14212"/>
      <c r="H959" s="13445"/>
      <c r="I959" s="14239"/>
      <c r="K959" s="10306"/>
      <c r="L959" s="9359"/>
      <c r="M959" s="9359"/>
      <c r="N959" s="10307"/>
      <c r="O959" s="10307"/>
      <c r="P959" s="10308"/>
      <c r="Q959" s="9362"/>
      <c r="R959" s="9363"/>
      <c r="S959" s="9364"/>
      <c r="T959" s="9365"/>
      <c r="U959" s="9362"/>
      <c r="V959" s="9363"/>
      <c r="W959" s="9365"/>
      <c r="X959" s="9363"/>
      <c r="Y959" s="9365"/>
      <c r="Z959" s="9363"/>
      <c r="AA959" s="9364"/>
      <c r="AB959" s="9364"/>
      <c r="AC959" s="9364"/>
      <c r="AD959" s="9364"/>
      <c r="AE959" s="9364"/>
      <c r="AF959" s="9365"/>
      <c r="AG959" s="9363"/>
      <c r="AH959" s="9364"/>
      <c r="AI959" s="9364"/>
      <c r="AJ959" s="9364"/>
      <c r="AK959" s="9364"/>
      <c r="AL959" s="9364"/>
      <c r="AM959" s="9364"/>
      <c r="AN959" s="9365"/>
      <c r="AO959" s="9363"/>
      <c r="AP959" s="9364"/>
      <c r="AQ959" s="9364"/>
      <c r="AR959" s="9364"/>
      <c r="AS959" s="9364"/>
      <c r="AT959" s="9365"/>
      <c r="AU959" s="10309"/>
      <c r="AV959" s="10309"/>
      <c r="AW959" s="10309"/>
      <c r="AX959" s="10306"/>
      <c r="AY959" s="10308"/>
      <c r="AZ959" s="10309"/>
      <c r="BA959" s="10306"/>
      <c r="BB959" s="10307"/>
      <c r="BC959" s="10308"/>
      <c r="BD959" s="10310"/>
      <c r="BF959" s="14531"/>
      <c r="BG959" s="14531"/>
      <c r="BH959" s="14531"/>
      <c r="BI959" s="14531"/>
      <c r="BJ959" s="14531"/>
      <c r="BK959" s="10311"/>
      <c r="BL959" s="14531"/>
      <c r="BM959" s="14531"/>
      <c r="BN959" s="14531"/>
    </row>
    <row r="960" spans="1:66" ht="29.25" hidden="1" customHeight="1">
      <c r="A960" s="13688"/>
      <c r="B960" s="14211"/>
      <c r="C960" s="13600"/>
      <c r="D960" s="12329" t="s">
        <v>208</v>
      </c>
      <c r="E960" s="12330"/>
      <c r="F960" s="12330" t="s">
        <v>10265</v>
      </c>
      <c r="G960" s="14212"/>
      <c r="H960" s="13445"/>
      <c r="I960" s="14239"/>
      <c r="K960" s="10306"/>
      <c r="L960" s="9359"/>
      <c r="M960" s="9359"/>
      <c r="N960" s="10307"/>
      <c r="O960" s="10307"/>
      <c r="P960" s="10308"/>
      <c r="Q960" s="9362"/>
      <c r="R960" s="9363"/>
      <c r="S960" s="9364"/>
      <c r="T960" s="9365"/>
      <c r="U960" s="9362"/>
      <c r="V960" s="9363"/>
      <c r="W960" s="9365"/>
      <c r="X960" s="9363"/>
      <c r="Y960" s="9365"/>
      <c r="Z960" s="9363"/>
      <c r="AA960" s="9364"/>
      <c r="AB960" s="9364"/>
      <c r="AC960" s="9364"/>
      <c r="AD960" s="9364"/>
      <c r="AE960" s="9364"/>
      <c r="AF960" s="9365"/>
      <c r="AG960" s="9363"/>
      <c r="AH960" s="9364"/>
      <c r="AI960" s="9364"/>
      <c r="AJ960" s="9364"/>
      <c r="AK960" s="9364"/>
      <c r="AL960" s="9364"/>
      <c r="AM960" s="9364"/>
      <c r="AN960" s="9365"/>
      <c r="AO960" s="9363"/>
      <c r="AP960" s="9364"/>
      <c r="AQ960" s="9364"/>
      <c r="AR960" s="9364"/>
      <c r="AS960" s="9364"/>
      <c r="AT960" s="9365"/>
      <c r="AU960" s="10309"/>
      <c r="AV960" s="10309"/>
      <c r="AW960" s="10309"/>
      <c r="AX960" s="10306"/>
      <c r="AY960" s="10308"/>
      <c r="AZ960" s="10309"/>
      <c r="BA960" s="10306"/>
      <c r="BB960" s="10307"/>
      <c r="BC960" s="10308"/>
      <c r="BD960" s="10310"/>
      <c r="BF960" s="14531"/>
      <c r="BG960" s="14531"/>
      <c r="BH960" s="14531"/>
      <c r="BI960" s="14531"/>
      <c r="BJ960" s="14531"/>
      <c r="BK960" s="10311"/>
      <c r="BL960" s="14531"/>
      <c r="BM960" s="14531"/>
      <c r="BN960" s="14531"/>
    </row>
    <row r="961" spans="1:66" ht="29.25" customHeight="1">
      <c r="A961" s="13688">
        <v>589</v>
      </c>
      <c r="B961" s="14211" t="s">
        <v>4549</v>
      </c>
      <c r="C961" s="13600"/>
      <c r="D961" s="12329" t="s">
        <v>86</v>
      </c>
      <c r="E961" s="12330" t="s">
        <v>2862</v>
      </c>
      <c r="F961" s="12330"/>
      <c r="G961" s="14212" t="s">
        <v>2684</v>
      </c>
      <c r="H961" s="13445"/>
      <c r="I961" s="14239" t="s">
        <v>2683</v>
      </c>
      <c r="K961" s="8431" t="s">
        <v>10567</v>
      </c>
      <c r="L961" s="8443"/>
      <c r="M961" s="8443"/>
      <c r="N961" s="8444" t="s">
        <v>10568</v>
      </c>
      <c r="O961" s="8444" t="s">
        <v>10569</v>
      </c>
      <c r="P961" s="8445"/>
      <c r="Q961" s="8446"/>
      <c r="R961" s="8447"/>
      <c r="S961" s="8448"/>
      <c r="T961" s="8449"/>
      <c r="U961" s="12971">
        <v>922</v>
      </c>
      <c r="V961" s="12971">
        <v>46</v>
      </c>
      <c r="W961" s="12971">
        <v>876</v>
      </c>
      <c r="X961" s="12971">
        <v>922</v>
      </c>
      <c r="Y961" s="12971">
        <v>0</v>
      </c>
      <c r="Z961" s="12971">
        <v>0</v>
      </c>
      <c r="AA961" s="12971">
        <v>0</v>
      </c>
      <c r="AB961" s="12971">
        <v>28</v>
      </c>
      <c r="AC961" s="12971">
        <v>438</v>
      </c>
      <c r="AD961" s="12971">
        <v>375</v>
      </c>
      <c r="AE961" s="12971">
        <v>80</v>
      </c>
      <c r="AF961" s="12971">
        <v>1</v>
      </c>
      <c r="AG961" s="12971">
        <v>834</v>
      </c>
      <c r="AH961" s="12971">
        <v>0</v>
      </c>
      <c r="AI961" s="12971">
        <v>31</v>
      </c>
      <c r="AJ961" s="12971">
        <v>5</v>
      </c>
      <c r="AK961" s="12971">
        <v>49</v>
      </c>
      <c r="AL961" s="12971">
        <v>0</v>
      </c>
      <c r="AM961" s="12971">
        <v>0</v>
      </c>
      <c r="AN961" s="12971">
        <v>3</v>
      </c>
      <c r="AO961" s="12971">
        <v>879</v>
      </c>
      <c r="AP961" s="12971">
        <v>40</v>
      </c>
      <c r="AQ961" s="12971">
        <v>3</v>
      </c>
      <c r="AR961" s="12971">
        <v>0</v>
      </c>
      <c r="AS961" s="12971">
        <v>0</v>
      </c>
      <c r="AT961" s="12971">
        <v>0</v>
      </c>
      <c r="AU961" s="10309"/>
      <c r="AV961" s="10309"/>
      <c r="AW961" s="10309"/>
      <c r="AX961" s="10306"/>
      <c r="AY961" s="10308"/>
      <c r="AZ961" s="10309"/>
      <c r="BA961" s="10306"/>
      <c r="BB961" s="10307"/>
      <c r="BC961" s="10308"/>
      <c r="BD961" s="10310"/>
      <c r="BF961" s="14531"/>
      <c r="BG961" s="14531"/>
      <c r="BH961" s="14531"/>
      <c r="BI961" s="14531"/>
      <c r="BJ961" s="14531"/>
      <c r="BK961" s="13082"/>
      <c r="BL961" s="14531"/>
      <c r="BM961" s="14531"/>
      <c r="BN961" s="14531"/>
    </row>
    <row r="962" spans="1:66" ht="29.25" hidden="1" customHeight="1">
      <c r="A962" s="13688"/>
      <c r="B962" s="14211"/>
      <c r="C962" s="13600"/>
      <c r="D962" s="12329" t="s">
        <v>10063</v>
      </c>
      <c r="E962" s="12330"/>
      <c r="F962" s="12330" t="s">
        <v>10264</v>
      </c>
      <c r="G962" s="14212"/>
      <c r="H962" s="13445"/>
      <c r="I962" s="14239"/>
      <c r="K962" s="10306"/>
      <c r="L962" s="9359"/>
      <c r="M962" s="9359"/>
      <c r="N962" s="10307"/>
      <c r="O962" s="10307"/>
      <c r="P962" s="10308"/>
      <c r="Q962" s="9362"/>
      <c r="R962" s="9363"/>
      <c r="S962" s="9364"/>
      <c r="T962" s="9365"/>
      <c r="U962" s="9362"/>
      <c r="V962" s="9363"/>
      <c r="W962" s="9365"/>
      <c r="X962" s="9363"/>
      <c r="Y962" s="9365"/>
      <c r="Z962" s="9363"/>
      <c r="AA962" s="9364"/>
      <c r="AB962" s="9364"/>
      <c r="AC962" s="9364"/>
      <c r="AD962" s="9364"/>
      <c r="AE962" s="9364"/>
      <c r="AF962" s="9365"/>
      <c r="AG962" s="9363"/>
      <c r="AH962" s="9364"/>
      <c r="AI962" s="9364"/>
      <c r="AJ962" s="9364"/>
      <c r="AK962" s="9364"/>
      <c r="AL962" s="9364"/>
      <c r="AM962" s="9364"/>
      <c r="AN962" s="9365"/>
      <c r="AO962" s="9363"/>
      <c r="AP962" s="9364"/>
      <c r="AQ962" s="9364"/>
      <c r="AR962" s="9364"/>
      <c r="AS962" s="9364"/>
      <c r="AT962" s="9365"/>
      <c r="AU962" s="10309"/>
      <c r="AV962" s="10309"/>
      <c r="AW962" s="10309"/>
      <c r="AX962" s="10306"/>
      <c r="AY962" s="10308"/>
      <c r="AZ962" s="10309"/>
      <c r="BA962" s="10306"/>
      <c r="BB962" s="10307"/>
      <c r="BC962" s="10308"/>
      <c r="BD962" s="10310"/>
      <c r="BF962" s="14531"/>
      <c r="BG962" s="14531"/>
      <c r="BH962" s="14531"/>
      <c r="BI962" s="14531"/>
      <c r="BJ962" s="14531"/>
      <c r="BK962" s="10311"/>
      <c r="BL962" s="14531"/>
      <c r="BM962" s="14531"/>
      <c r="BN962" s="14531"/>
    </row>
    <row r="963" spans="1:66" ht="29.25" hidden="1" customHeight="1">
      <c r="A963" s="13688"/>
      <c r="B963" s="14211"/>
      <c r="C963" s="13600"/>
      <c r="D963" s="12329" t="s">
        <v>208</v>
      </c>
      <c r="E963" s="12330"/>
      <c r="F963" s="12330" t="s">
        <v>10265</v>
      </c>
      <c r="G963" s="14212"/>
      <c r="H963" s="13445"/>
      <c r="I963" s="14239"/>
      <c r="K963" s="10306"/>
      <c r="L963" s="9359"/>
      <c r="M963" s="9359"/>
      <c r="N963" s="10307"/>
      <c r="O963" s="10307"/>
      <c r="P963" s="10308"/>
      <c r="Q963" s="9362"/>
      <c r="R963" s="9363"/>
      <c r="S963" s="9364"/>
      <c r="T963" s="9365"/>
      <c r="U963" s="9362"/>
      <c r="V963" s="9363"/>
      <c r="W963" s="9365"/>
      <c r="X963" s="9363"/>
      <c r="Y963" s="9365"/>
      <c r="Z963" s="9363"/>
      <c r="AA963" s="9364"/>
      <c r="AB963" s="9364"/>
      <c r="AC963" s="9364"/>
      <c r="AD963" s="9364"/>
      <c r="AE963" s="9364"/>
      <c r="AF963" s="9365"/>
      <c r="AG963" s="9363"/>
      <c r="AH963" s="9364"/>
      <c r="AI963" s="9364"/>
      <c r="AJ963" s="9364"/>
      <c r="AK963" s="9364"/>
      <c r="AL963" s="9364"/>
      <c r="AM963" s="9364"/>
      <c r="AN963" s="9365"/>
      <c r="AO963" s="9363"/>
      <c r="AP963" s="9364"/>
      <c r="AQ963" s="9364"/>
      <c r="AR963" s="9364"/>
      <c r="AS963" s="9364"/>
      <c r="AT963" s="9365"/>
      <c r="AU963" s="10309"/>
      <c r="AV963" s="10309"/>
      <c r="AW963" s="10309"/>
      <c r="AX963" s="10306"/>
      <c r="AY963" s="10308"/>
      <c r="AZ963" s="10309"/>
      <c r="BA963" s="10306"/>
      <c r="BB963" s="10307"/>
      <c r="BC963" s="10308"/>
      <c r="BD963" s="10310"/>
      <c r="BF963" s="14531"/>
      <c r="BG963" s="14531"/>
      <c r="BH963" s="14531"/>
      <c r="BI963" s="14531"/>
      <c r="BJ963" s="14531"/>
      <c r="BK963" s="10311"/>
      <c r="BL963" s="14531"/>
      <c r="BM963" s="14531"/>
      <c r="BN963" s="14531"/>
    </row>
    <row r="964" spans="1:66" ht="29.25" customHeight="1">
      <c r="A964" s="13688">
        <v>590</v>
      </c>
      <c r="B964" s="14211" t="s">
        <v>4550</v>
      </c>
      <c r="C964" s="13600"/>
      <c r="D964" s="12329" t="s">
        <v>86</v>
      </c>
      <c r="E964" s="12330" t="s">
        <v>2862</v>
      </c>
      <c r="F964" s="12330"/>
      <c r="G964" s="14212" t="s">
        <v>2688</v>
      </c>
      <c r="H964" s="13445"/>
      <c r="I964" s="14239" t="s">
        <v>2687</v>
      </c>
      <c r="K964" s="13125">
        <v>0</v>
      </c>
      <c r="L964" s="9359"/>
      <c r="M964" s="9359"/>
      <c r="N964" s="10307" t="s">
        <v>10627</v>
      </c>
      <c r="O964" s="10307"/>
      <c r="P964" s="10308"/>
      <c r="Q964" s="9362"/>
      <c r="R964" s="9363"/>
      <c r="S964" s="9364"/>
      <c r="T964" s="9365"/>
      <c r="U964" s="9362"/>
      <c r="V964" s="9363"/>
      <c r="W964" s="9365"/>
      <c r="X964" s="9363"/>
      <c r="Y964" s="9365"/>
      <c r="Z964" s="9363"/>
      <c r="AA964" s="9364"/>
      <c r="AB964" s="9364"/>
      <c r="AC964" s="9364"/>
      <c r="AD964" s="9364"/>
      <c r="AE964" s="9364"/>
      <c r="AF964" s="9365"/>
      <c r="AG964" s="9363"/>
      <c r="AH964" s="9364"/>
      <c r="AI964" s="9364"/>
      <c r="AJ964" s="9364"/>
      <c r="AK964" s="9364"/>
      <c r="AL964" s="9364"/>
      <c r="AM964" s="9364"/>
      <c r="AN964" s="9365"/>
      <c r="AO964" s="9363"/>
      <c r="AP964" s="9364"/>
      <c r="AQ964" s="9364"/>
      <c r="AR964" s="9364"/>
      <c r="AS964" s="9364"/>
      <c r="AT964" s="9365"/>
      <c r="AU964" s="10309"/>
      <c r="AV964" s="10309"/>
      <c r="AW964" s="10309"/>
      <c r="AX964" s="10306"/>
      <c r="AY964" s="10308"/>
      <c r="AZ964" s="10309"/>
      <c r="BA964" s="10306"/>
      <c r="BB964" s="10307"/>
      <c r="BC964" s="10308"/>
      <c r="BD964" s="10310"/>
      <c r="BF964" s="14531"/>
      <c r="BG964" s="14531"/>
      <c r="BH964" s="14531"/>
      <c r="BI964" s="14531"/>
      <c r="BJ964" s="14531"/>
      <c r="BK964" s="13082"/>
      <c r="BL964" s="14531"/>
      <c r="BM964" s="14531"/>
      <c r="BN964" s="14531"/>
    </row>
    <row r="965" spans="1:66" ht="29.25" hidden="1" customHeight="1">
      <c r="A965" s="13688"/>
      <c r="B965" s="14211"/>
      <c r="C965" s="13600"/>
      <c r="D965" s="12329" t="s">
        <v>10063</v>
      </c>
      <c r="E965" s="12330"/>
      <c r="F965" s="12330" t="s">
        <v>10264</v>
      </c>
      <c r="G965" s="14212"/>
      <c r="H965" s="13445"/>
      <c r="I965" s="14239"/>
      <c r="K965" s="10306"/>
      <c r="L965" s="9359"/>
      <c r="M965" s="9359"/>
      <c r="N965" s="10307"/>
      <c r="O965" s="10307"/>
      <c r="P965" s="10308"/>
      <c r="Q965" s="9362"/>
      <c r="R965" s="9363"/>
      <c r="S965" s="9364"/>
      <c r="T965" s="9365"/>
      <c r="U965" s="9362"/>
      <c r="V965" s="9363"/>
      <c r="W965" s="9365"/>
      <c r="X965" s="9363"/>
      <c r="Y965" s="9365"/>
      <c r="Z965" s="9363"/>
      <c r="AA965" s="9364"/>
      <c r="AB965" s="9364"/>
      <c r="AC965" s="9364"/>
      <c r="AD965" s="9364"/>
      <c r="AE965" s="9364"/>
      <c r="AF965" s="9365"/>
      <c r="AG965" s="9363"/>
      <c r="AH965" s="9364"/>
      <c r="AI965" s="9364"/>
      <c r="AJ965" s="9364"/>
      <c r="AK965" s="9364"/>
      <c r="AL965" s="9364"/>
      <c r="AM965" s="9364"/>
      <c r="AN965" s="9365"/>
      <c r="AO965" s="9363"/>
      <c r="AP965" s="9364"/>
      <c r="AQ965" s="9364"/>
      <c r="AR965" s="9364"/>
      <c r="AS965" s="9364"/>
      <c r="AT965" s="9365"/>
      <c r="AU965" s="10309"/>
      <c r="AV965" s="10309"/>
      <c r="AW965" s="10309"/>
      <c r="AX965" s="10306"/>
      <c r="AY965" s="10308"/>
      <c r="AZ965" s="10309"/>
      <c r="BA965" s="10306"/>
      <c r="BB965" s="10307"/>
      <c r="BC965" s="10308"/>
      <c r="BD965" s="10310"/>
      <c r="BF965" s="14531"/>
      <c r="BG965" s="14531"/>
      <c r="BH965" s="14531"/>
      <c r="BI965" s="14531"/>
      <c r="BJ965" s="14531"/>
      <c r="BK965" s="10311"/>
      <c r="BL965" s="14531"/>
      <c r="BM965" s="14531"/>
      <c r="BN965" s="14531"/>
    </row>
    <row r="966" spans="1:66" ht="29.25" hidden="1" customHeight="1">
      <c r="A966" s="13688"/>
      <c r="B966" s="14211"/>
      <c r="C966" s="13600"/>
      <c r="D966" s="12329" t="s">
        <v>208</v>
      </c>
      <c r="E966" s="12330"/>
      <c r="F966" s="12330" t="s">
        <v>10265</v>
      </c>
      <c r="G966" s="14212"/>
      <c r="H966" s="13445"/>
      <c r="I966" s="14239"/>
      <c r="K966" s="10306"/>
      <c r="L966" s="9359"/>
      <c r="M966" s="9359"/>
      <c r="N966" s="10307"/>
      <c r="O966" s="10307"/>
      <c r="P966" s="10308"/>
      <c r="Q966" s="9362"/>
      <c r="R966" s="9363"/>
      <c r="S966" s="9364"/>
      <c r="T966" s="9365"/>
      <c r="U966" s="9362"/>
      <c r="V966" s="9363"/>
      <c r="W966" s="9365"/>
      <c r="X966" s="9363"/>
      <c r="Y966" s="9365"/>
      <c r="Z966" s="9363"/>
      <c r="AA966" s="9364"/>
      <c r="AB966" s="9364"/>
      <c r="AC966" s="9364"/>
      <c r="AD966" s="9364"/>
      <c r="AE966" s="9364"/>
      <c r="AF966" s="9365"/>
      <c r="AG966" s="9363"/>
      <c r="AH966" s="9364"/>
      <c r="AI966" s="9364"/>
      <c r="AJ966" s="9364"/>
      <c r="AK966" s="9364"/>
      <c r="AL966" s="9364"/>
      <c r="AM966" s="9364"/>
      <c r="AN966" s="9365"/>
      <c r="AO966" s="9363"/>
      <c r="AP966" s="9364"/>
      <c r="AQ966" s="9364"/>
      <c r="AR966" s="9364"/>
      <c r="AS966" s="9364"/>
      <c r="AT966" s="9365"/>
      <c r="AU966" s="10309"/>
      <c r="AV966" s="10309"/>
      <c r="AW966" s="10309"/>
      <c r="AX966" s="10306"/>
      <c r="AY966" s="10308"/>
      <c r="AZ966" s="10309"/>
      <c r="BA966" s="10306"/>
      <c r="BB966" s="10307"/>
      <c r="BC966" s="10308"/>
      <c r="BD966" s="10310"/>
      <c r="BF966" s="14531"/>
      <c r="BG966" s="14531"/>
      <c r="BH966" s="14531"/>
      <c r="BI966" s="14531"/>
      <c r="BJ966" s="14531"/>
      <c r="BK966" s="10311"/>
      <c r="BL966" s="14531"/>
      <c r="BM966" s="14531"/>
      <c r="BN966" s="14531"/>
    </row>
    <row r="967" spans="1:66" ht="29.25" customHeight="1">
      <c r="A967" s="13688">
        <v>591</v>
      </c>
      <c r="B967" s="14211" t="s">
        <v>4551</v>
      </c>
      <c r="C967" s="13600"/>
      <c r="D967" s="12329" t="s">
        <v>86</v>
      </c>
      <c r="E967" s="12330" t="s">
        <v>2862</v>
      </c>
      <c r="F967" s="12330"/>
      <c r="G967" s="14212" t="s">
        <v>2692</v>
      </c>
      <c r="H967" s="13445"/>
      <c r="I967" s="14239" t="s">
        <v>2691</v>
      </c>
      <c r="K967" s="13125" t="s">
        <v>10570</v>
      </c>
      <c r="L967" s="9359"/>
      <c r="M967" s="9359"/>
      <c r="N967" s="10307" t="s">
        <v>10571</v>
      </c>
      <c r="O967" s="10307" t="s">
        <v>10572</v>
      </c>
      <c r="P967" s="10308" t="s">
        <v>10573</v>
      </c>
      <c r="Q967" s="9362"/>
      <c r="R967" s="9363"/>
      <c r="S967" s="9364"/>
      <c r="T967" s="9365"/>
      <c r="U967" s="9362"/>
      <c r="V967" s="9363"/>
      <c r="W967" s="9365"/>
      <c r="X967" s="9363"/>
      <c r="Y967" s="9365"/>
      <c r="Z967" s="9363"/>
      <c r="AA967" s="9364"/>
      <c r="AB967" s="9364"/>
      <c r="AC967" s="9364"/>
      <c r="AD967" s="9364"/>
      <c r="AE967" s="9364"/>
      <c r="AF967" s="9365"/>
      <c r="AG967" s="9363"/>
      <c r="AH967" s="9364"/>
      <c r="AI967" s="9364"/>
      <c r="AJ967" s="9364"/>
      <c r="AK967" s="9364"/>
      <c r="AL967" s="9364"/>
      <c r="AM967" s="9364"/>
      <c r="AN967" s="9365"/>
      <c r="AO967" s="9363"/>
      <c r="AP967" s="9364"/>
      <c r="AQ967" s="9364"/>
      <c r="AR967" s="9364"/>
      <c r="AS967" s="9364"/>
      <c r="AT967" s="9365"/>
      <c r="AU967" s="10309" t="s">
        <v>10574</v>
      </c>
      <c r="AV967" s="10309"/>
      <c r="AW967" s="10309" t="s">
        <v>10525</v>
      </c>
      <c r="AX967" s="10306"/>
      <c r="AY967" s="10308"/>
      <c r="AZ967" s="10309"/>
      <c r="BA967" s="10306"/>
      <c r="BB967" s="10307"/>
      <c r="BC967" s="10308"/>
      <c r="BD967" s="10310"/>
      <c r="BF967" s="14531"/>
      <c r="BG967" s="14531"/>
      <c r="BH967" s="14531"/>
      <c r="BI967" s="14531"/>
      <c r="BJ967" s="14531"/>
      <c r="BK967" s="13082"/>
      <c r="BL967" s="14531"/>
      <c r="BM967" s="14531"/>
      <c r="BN967" s="14531"/>
    </row>
    <row r="968" spans="1:66" ht="29.25" hidden="1" customHeight="1">
      <c r="A968" s="13688"/>
      <c r="B968" s="14211"/>
      <c r="C968" s="13600"/>
      <c r="D968" s="12329" t="s">
        <v>10063</v>
      </c>
      <c r="E968" s="12330"/>
      <c r="F968" s="12330" t="s">
        <v>10264</v>
      </c>
      <c r="G968" s="14212"/>
      <c r="H968" s="13445"/>
      <c r="I968" s="14239"/>
      <c r="K968" s="10306"/>
      <c r="L968" s="9359"/>
      <c r="M968" s="9359"/>
      <c r="N968" s="10307"/>
      <c r="O968" s="10307"/>
      <c r="P968" s="10308"/>
      <c r="Q968" s="9362"/>
      <c r="R968" s="9363"/>
      <c r="S968" s="9364"/>
      <c r="T968" s="9365"/>
      <c r="U968" s="9362"/>
      <c r="V968" s="9363"/>
      <c r="W968" s="9365"/>
      <c r="X968" s="9363"/>
      <c r="Y968" s="9365"/>
      <c r="Z968" s="9363"/>
      <c r="AA968" s="9364"/>
      <c r="AB968" s="9364"/>
      <c r="AC968" s="9364"/>
      <c r="AD968" s="9364"/>
      <c r="AE968" s="9364"/>
      <c r="AF968" s="9365"/>
      <c r="AG968" s="9363"/>
      <c r="AH968" s="9364"/>
      <c r="AI968" s="9364"/>
      <c r="AJ968" s="9364"/>
      <c r="AK968" s="9364"/>
      <c r="AL968" s="9364"/>
      <c r="AM968" s="9364"/>
      <c r="AN968" s="9365"/>
      <c r="AO968" s="9363"/>
      <c r="AP968" s="9364"/>
      <c r="AQ968" s="9364"/>
      <c r="AR968" s="9364"/>
      <c r="AS968" s="9364"/>
      <c r="AT968" s="9365"/>
      <c r="AU968" s="10309"/>
      <c r="AV968" s="10309"/>
      <c r="AW968" s="10309"/>
      <c r="AX968" s="10306"/>
      <c r="AY968" s="10308"/>
      <c r="AZ968" s="10309"/>
      <c r="BA968" s="10306"/>
      <c r="BB968" s="10307"/>
      <c r="BC968" s="10308"/>
      <c r="BD968" s="10310"/>
      <c r="BF968" s="14531"/>
      <c r="BG968" s="14531"/>
      <c r="BH968" s="14531"/>
      <c r="BI968" s="14531"/>
      <c r="BJ968" s="14531"/>
      <c r="BK968" s="10311"/>
      <c r="BL968" s="14531"/>
      <c r="BM968" s="14531"/>
      <c r="BN968" s="14531"/>
    </row>
    <row r="969" spans="1:66" ht="29.25" hidden="1" customHeight="1">
      <c r="A969" s="13688"/>
      <c r="B969" s="14211"/>
      <c r="C969" s="13600"/>
      <c r="D969" s="12329" t="s">
        <v>208</v>
      </c>
      <c r="E969" s="12330"/>
      <c r="F969" s="12330" t="s">
        <v>10265</v>
      </c>
      <c r="G969" s="14212"/>
      <c r="H969" s="13445"/>
      <c r="I969" s="14239"/>
      <c r="K969" s="10306"/>
      <c r="L969" s="9359"/>
      <c r="M969" s="9359"/>
      <c r="N969" s="10307"/>
      <c r="O969" s="10307"/>
      <c r="P969" s="10308"/>
      <c r="Q969" s="9362"/>
      <c r="R969" s="9363"/>
      <c r="S969" s="9364"/>
      <c r="T969" s="9365"/>
      <c r="U969" s="9362"/>
      <c r="V969" s="9363"/>
      <c r="W969" s="9365"/>
      <c r="X969" s="9363"/>
      <c r="Y969" s="9365"/>
      <c r="Z969" s="9363"/>
      <c r="AA969" s="9364"/>
      <c r="AB969" s="9364"/>
      <c r="AC969" s="9364"/>
      <c r="AD969" s="9364"/>
      <c r="AE969" s="9364"/>
      <c r="AF969" s="9365"/>
      <c r="AG969" s="9363"/>
      <c r="AH969" s="9364"/>
      <c r="AI969" s="9364"/>
      <c r="AJ969" s="9364"/>
      <c r="AK969" s="9364"/>
      <c r="AL969" s="9364"/>
      <c r="AM969" s="9364"/>
      <c r="AN969" s="9365"/>
      <c r="AO969" s="9363"/>
      <c r="AP969" s="9364"/>
      <c r="AQ969" s="9364"/>
      <c r="AR969" s="9364"/>
      <c r="AS969" s="9364"/>
      <c r="AT969" s="9365"/>
      <c r="AU969" s="10309"/>
      <c r="AV969" s="10309"/>
      <c r="AW969" s="10309"/>
      <c r="AX969" s="10306"/>
      <c r="AY969" s="10308"/>
      <c r="AZ969" s="10309"/>
      <c r="BA969" s="10306"/>
      <c r="BB969" s="10307"/>
      <c r="BC969" s="10308"/>
      <c r="BD969" s="10310"/>
      <c r="BF969" s="14531"/>
      <c r="BG969" s="14531"/>
      <c r="BH969" s="14531"/>
      <c r="BI969" s="14531"/>
      <c r="BJ969" s="14531"/>
      <c r="BK969" s="10311"/>
      <c r="BL969" s="14531"/>
      <c r="BM969" s="14531"/>
      <c r="BN969" s="14531"/>
    </row>
    <row r="970" spans="1:66" ht="29.25" customHeight="1">
      <c r="A970" s="13688">
        <v>592</v>
      </c>
      <c r="B970" s="14211" t="s">
        <v>4552</v>
      </c>
      <c r="C970" s="13600"/>
      <c r="D970" s="12329" t="s">
        <v>86</v>
      </c>
      <c r="E970" s="12330" t="s">
        <v>2862</v>
      </c>
      <c r="F970" s="12330"/>
      <c r="G970" s="14212" t="s">
        <v>2696</v>
      </c>
      <c r="H970" s="13445"/>
      <c r="I970" s="14239" t="s">
        <v>2695</v>
      </c>
      <c r="K970" s="13125">
        <v>0</v>
      </c>
      <c r="L970" s="9359"/>
      <c r="M970" s="9359"/>
      <c r="N970" s="10307" t="s">
        <v>10628</v>
      </c>
      <c r="O970" s="10307"/>
      <c r="P970" s="10308"/>
      <c r="Q970" s="9362"/>
      <c r="R970" s="9363"/>
      <c r="S970" s="9364"/>
      <c r="T970" s="9365"/>
      <c r="U970" s="9362"/>
      <c r="V970" s="9363"/>
      <c r="W970" s="9365"/>
      <c r="X970" s="9363"/>
      <c r="Y970" s="9365"/>
      <c r="Z970" s="9363"/>
      <c r="AA970" s="9364"/>
      <c r="AB970" s="9364"/>
      <c r="AC970" s="9364"/>
      <c r="AD970" s="9364"/>
      <c r="AE970" s="9364"/>
      <c r="AF970" s="9365"/>
      <c r="AG970" s="9363"/>
      <c r="AH970" s="9364"/>
      <c r="AI970" s="9364"/>
      <c r="AJ970" s="9364"/>
      <c r="AK970" s="9364"/>
      <c r="AL970" s="9364"/>
      <c r="AM970" s="9364"/>
      <c r="AN970" s="9365"/>
      <c r="AO970" s="9363"/>
      <c r="AP970" s="9364"/>
      <c r="AQ970" s="9364"/>
      <c r="AR970" s="9364"/>
      <c r="AS970" s="9364"/>
      <c r="AT970" s="9365"/>
      <c r="AU970" s="10309"/>
      <c r="AV970" s="10309"/>
      <c r="AW970" s="10309"/>
      <c r="AX970" s="10306"/>
      <c r="AY970" s="10308"/>
      <c r="AZ970" s="10309"/>
      <c r="BA970" s="10306"/>
      <c r="BB970" s="10307"/>
      <c r="BC970" s="10308"/>
      <c r="BD970" s="10310"/>
      <c r="BF970" s="14531"/>
      <c r="BG970" s="14531"/>
      <c r="BH970" s="14531"/>
      <c r="BI970" s="14531"/>
      <c r="BJ970" s="14531"/>
      <c r="BK970" s="13082"/>
      <c r="BL970" s="14531"/>
      <c r="BM970" s="14531"/>
      <c r="BN970" s="14531"/>
    </row>
    <row r="971" spans="1:66" ht="29.25" hidden="1" customHeight="1">
      <c r="A971" s="13688"/>
      <c r="B971" s="14211"/>
      <c r="C971" s="13600"/>
      <c r="D971" s="12329" t="s">
        <v>10063</v>
      </c>
      <c r="E971" s="12330"/>
      <c r="F971" s="12330" t="s">
        <v>10264</v>
      </c>
      <c r="G971" s="14212"/>
      <c r="H971" s="13445"/>
      <c r="I971" s="14239"/>
      <c r="K971" s="10306"/>
      <c r="L971" s="9359"/>
      <c r="M971" s="9359"/>
      <c r="N971" s="10307"/>
      <c r="O971" s="10307"/>
      <c r="P971" s="10308"/>
      <c r="Q971" s="9362"/>
      <c r="R971" s="9363"/>
      <c r="S971" s="9364"/>
      <c r="T971" s="9365"/>
      <c r="U971" s="9362"/>
      <c r="V971" s="9363"/>
      <c r="W971" s="9365"/>
      <c r="X971" s="9363"/>
      <c r="Y971" s="9365"/>
      <c r="Z971" s="9363"/>
      <c r="AA971" s="9364"/>
      <c r="AB971" s="9364"/>
      <c r="AC971" s="9364"/>
      <c r="AD971" s="9364"/>
      <c r="AE971" s="9364"/>
      <c r="AF971" s="9365"/>
      <c r="AG971" s="9363"/>
      <c r="AH971" s="9364"/>
      <c r="AI971" s="9364"/>
      <c r="AJ971" s="9364"/>
      <c r="AK971" s="9364"/>
      <c r="AL971" s="9364"/>
      <c r="AM971" s="9364"/>
      <c r="AN971" s="9365"/>
      <c r="AO971" s="9363"/>
      <c r="AP971" s="9364"/>
      <c r="AQ971" s="9364"/>
      <c r="AR971" s="9364"/>
      <c r="AS971" s="9364"/>
      <c r="AT971" s="9365"/>
      <c r="AU971" s="10309"/>
      <c r="AV971" s="10309"/>
      <c r="AW971" s="10309"/>
      <c r="AX971" s="10306"/>
      <c r="AY971" s="10308"/>
      <c r="AZ971" s="10309"/>
      <c r="BA971" s="10306"/>
      <c r="BB971" s="10307"/>
      <c r="BC971" s="10308"/>
      <c r="BD971" s="10310"/>
      <c r="BF971" s="14531"/>
      <c r="BG971" s="14531"/>
      <c r="BH971" s="14531"/>
      <c r="BI971" s="14531"/>
      <c r="BJ971" s="14531"/>
      <c r="BK971" s="10311"/>
      <c r="BL971" s="14531"/>
      <c r="BM971" s="14531"/>
      <c r="BN971" s="14531"/>
    </row>
    <row r="972" spans="1:66" ht="29.25" hidden="1" customHeight="1">
      <c r="A972" s="13688"/>
      <c r="B972" s="14211"/>
      <c r="C972" s="13600"/>
      <c r="D972" s="12329" t="s">
        <v>208</v>
      </c>
      <c r="E972" s="12330"/>
      <c r="F972" s="12330" t="s">
        <v>10265</v>
      </c>
      <c r="G972" s="14212"/>
      <c r="H972" s="13445"/>
      <c r="I972" s="14239"/>
      <c r="K972" s="10306"/>
      <c r="L972" s="9359"/>
      <c r="M972" s="9359"/>
      <c r="N972" s="10307"/>
      <c r="O972" s="10307"/>
      <c r="P972" s="10308"/>
      <c r="Q972" s="9362"/>
      <c r="R972" s="9363"/>
      <c r="S972" s="9364"/>
      <c r="T972" s="9365"/>
      <c r="U972" s="9362"/>
      <c r="V972" s="9363"/>
      <c r="W972" s="9365"/>
      <c r="X972" s="9363"/>
      <c r="Y972" s="9365"/>
      <c r="Z972" s="9363"/>
      <c r="AA972" s="9364"/>
      <c r="AB972" s="9364"/>
      <c r="AC972" s="9364"/>
      <c r="AD972" s="9364"/>
      <c r="AE972" s="9364"/>
      <c r="AF972" s="9365"/>
      <c r="AG972" s="9363"/>
      <c r="AH972" s="9364"/>
      <c r="AI972" s="9364"/>
      <c r="AJ972" s="9364"/>
      <c r="AK972" s="9364"/>
      <c r="AL972" s="9364"/>
      <c r="AM972" s="9364"/>
      <c r="AN972" s="9365"/>
      <c r="AO972" s="9363"/>
      <c r="AP972" s="9364"/>
      <c r="AQ972" s="9364"/>
      <c r="AR972" s="9364"/>
      <c r="AS972" s="9364"/>
      <c r="AT972" s="9365"/>
      <c r="AU972" s="10309"/>
      <c r="AV972" s="10309"/>
      <c r="AW972" s="10309"/>
      <c r="AX972" s="10306"/>
      <c r="AY972" s="10308"/>
      <c r="AZ972" s="10309"/>
      <c r="BA972" s="10306"/>
      <c r="BB972" s="10307"/>
      <c r="BC972" s="10308"/>
      <c r="BD972" s="10310"/>
      <c r="BF972" s="14531"/>
      <c r="BG972" s="14531"/>
      <c r="BH972" s="14531"/>
      <c r="BI972" s="14531"/>
      <c r="BJ972" s="14531"/>
      <c r="BK972" s="10311"/>
      <c r="BL972" s="14531"/>
      <c r="BM972" s="14531"/>
      <c r="BN972" s="14531"/>
    </row>
    <row r="973" spans="1:66" ht="29.25" customHeight="1">
      <c r="A973" s="13688">
        <v>593</v>
      </c>
      <c r="B973" s="14211" t="s">
        <v>4553</v>
      </c>
      <c r="C973" s="13600"/>
      <c r="D973" s="12329" t="s">
        <v>86</v>
      </c>
      <c r="E973" s="12330" t="s">
        <v>2862</v>
      </c>
      <c r="F973" s="12330"/>
      <c r="G973" s="14212" t="s">
        <v>2700</v>
      </c>
      <c r="H973" s="13445"/>
      <c r="I973" s="14239" t="s">
        <v>2699</v>
      </c>
      <c r="K973" s="13125">
        <v>0</v>
      </c>
      <c r="L973" s="9359"/>
      <c r="M973" s="9359"/>
      <c r="N973" s="10307"/>
      <c r="O973" s="10307"/>
      <c r="P973" s="10308" t="s">
        <v>10596</v>
      </c>
      <c r="Q973" s="9362"/>
      <c r="R973" s="9363"/>
      <c r="S973" s="9364"/>
      <c r="T973" s="9365"/>
      <c r="U973" s="9362"/>
      <c r="V973" s="9363"/>
      <c r="W973" s="9365"/>
      <c r="X973" s="9363"/>
      <c r="Y973" s="9365"/>
      <c r="Z973" s="9363"/>
      <c r="AA973" s="9364"/>
      <c r="AB973" s="9364"/>
      <c r="AC973" s="9364"/>
      <c r="AD973" s="9364"/>
      <c r="AE973" s="9364"/>
      <c r="AF973" s="9365"/>
      <c r="AG973" s="9363"/>
      <c r="AH973" s="9364"/>
      <c r="AI973" s="9364"/>
      <c r="AJ973" s="9364"/>
      <c r="AK973" s="9364"/>
      <c r="AL973" s="9364"/>
      <c r="AM973" s="9364"/>
      <c r="AN973" s="9365"/>
      <c r="AO973" s="9363"/>
      <c r="AP973" s="9364"/>
      <c r="AQ973" s="9364"/>
      <c r="AR973" s="9364"/>
      <c r="AS973" s="9364"/>
      <c r="AT973" s="9365"/>
      <c r="AU973" s="10309"/>
      <c r="AV973" s="10309"/>
      <c r="AW973" s="10309"/>
      <c r="AX973" s="10306"/>
      <c r="AY973" s="10308"/>
      <c r="AZ973" s="10309"/>
      <c r="BA973" s="10306"/>
      <c r="BB973" s="10307"/>
      <c r="BC973" s="10308"/>
      <c r="BD973" s="10310"/>
      <c r="BF973" s="14531"/>
      <c r="BG973" s="14531"/>
      <c r="BH973" s="14531"/>
      <c r="BI973" s="14531"/>
      <c r="BJ973" s="14531"/>
      <c r="BK973" s="13082"/>
      <c r="BL973" s="14531"/>
      <c r="BM973" s="14531"/>
      <c r="BN973" s="14531"/>
    </row>
    <row r="974" spans="1:66" ht="29.25" hidden="1" customHeight="1">
      <c r="A974" s="13688"/>
      <c r="B974" s="14211"/>
      <c r="C974" s="13600"/>
      <c r="D974" s="12329" t="s">
        <v>10063</v>
      </c>
      <c r="E974" s="12330"/>
      <c r="F974" s="12330" t="s">
        <v>10264</v>
      </c>
      <c r="G974" s="14212"/>
      <c r="H974" s="13445"/>
      <c r="I974" s="14239"/>
      <c r="K974" s="10306"/>
      <c r="L974" s="9359"/>
      <c r="M974" s="9359"/>
      <c r="N974" s="10307"/>
      <c r="O974" s="10307"/>
      <c r="P974" s="10308"/>
      <c r="Q974" s="9362"/>
      <c r="R974" s="9363"/>
      <c r="S974" s="9364"/>
      <c r="T974" s="9365"/>
      <c r="U974" s="9362"/>
      <c r="V974" s="9363"/>
      <c r="W974" s="9365"/>
      <c r="X974" s="9363"/>
      <c r="Y974" s="9365"/>
      <c r="Z974" s="9363"/>
      <c r="AA974" s="9364"/>
      <c r="AB974" s="9364"/>
      <c r="AC974" s="9364"/>
      <c r="AD974" s="9364"/>
      <c r="AE974" s="9364"/>
      <c r="AF974" s="9365"/>
      <c r="AG974" s="9363"/>
      <c r="AH974" s="9364"/>
      <c r="AI974" s="9364"/>
      <c r="AJ974" s="9364"/>
      <c r="AK974" s="9364"/>
      <c r="AL974" s="9364"/>
      <c r="AM974" s="9364"/>
      <c r="AN974" s="9365"/>
      <c r="AO974" s="9363"/>
      <c r="AP974" s="9364"/>
      <c r="AQ974" s="9364"/>
      <c r="AR974" s="9364"/>
      <c r="AS974" s="9364"/>
      <c r="AT974" s="9365"/>
      <c r="AU974" s="10309"/>
      <c r="AV974" s="10309"/>
      <c r="AW974" s="10309"/>
      <c r="AX974" s="10306"/>
      <c r="AY974" s="10308"/>
      <c r="AZ974" s="10309"/>
      <c r="BA974" s="10306"/>
      <c r="BB974" s="10307"/>
      <c r="BC974" s="10308"/>
      <c r="BD974" s="10310"/>
      <c r="BF974" s="14531"/>
      <c r="BG974" s="14531"/>
      <c r="BH974" s="14531"/>
      <c r="BI974" s="14531"/>
      <c r="BJ974" s="14531"/>
      <c r="BK974" s="10311"/>
      <c r="BL974" s="14531"/>
      <c r="BM974" s="14531"/>
      <c r="BN974" s="14531"/>
    </row>
    <row r="975" spans="1:66" ht="29.25" hidden="1" customHeight="1" thickBot="1">
      <c r="A975" s="13689"/>
      <c r="B975" s="14219"/>
      <c r="C975" s="13600"/>
      <c r="D975" s="12331" t="s">
        <v>208</v>
      </c>
      <c r="E975" s="12332"/>
      <c r="F975" s="12332" t="s">
        <v>10265</v>
      </c>
      <c r="G975" s="14220"/>
      <c r="H975" s="13446"/>
      <c r="I975" s="14240"/>
      <c r="K975" s="10312"/>
      <c r="L975" s="9369"/>
      <c r="M975" s="9369"/>
      <c r="N975" s="10313"/>
      <c r="O975" s="10313"/>
      <c r="P975" s="10314"/>
      <c r="Q975" s="9372"/>
      <c r="R975" s="9373"/>
      <c r="S975" s="9374"/>
      <c r="T975" s="9375"/>
      <c r="U975" s="9372"/>
      <c r="V975" s="9373"/>
      <c r="W975" s="9375"/>
      <c r="X975" s="9373"/>
      <c r="Y975" s="9375"/>
      <c r="Z975" s="9373"/>
      <c r="AA975" s="9374"/>
      <c r="AB975" s="9374"/>
      <c r="AC975" s="9374"/>
      <c r="AD975" s="9374"/>
      <c r="AE975" s="9374"/>
      <c r="AF975" s="9375"/>
      <c r="AG975" s="9373"/>
      <c r="AH975" s="9374"/>
      <c r="AI975" s="9374"/>
      <c r="AJ975" s="9374"/>
      <c r="AK975" s="9374"/>
      <c r="AL975" s="9374"/>
      <c r="AM975" s="9374"/>
      <c r="AN975" s="9375"/>
      <c r="AO975" s="9373"/>
      <c r="AP975" s="9374"/>
      <c r="AQ975" s="9374"/>
      <c r="AR975" s="9374"/>
      <c r="AS975" s="9374"/>
      <c r="AT975" s="9375"/>
      <c r="AU975" s="10315"/>
      <c r="AV975" s="10315"/>
      <c r="AW975" s="10315"/>
      <c r="AX975" s="10312"/>
      <c r="AY975" s="10314"/>
      <c r="AZ975" s="10315"/>
      <c r="BA975" s="10312"/>
      <c r="BB975" s="10313"/>
      <c r="BC975" s="10314"/>
      <c r="BD975" s="10316"/>
      <c r="BF975" s="14532"/>
      <c r="BG975" s="14532"/>
      <c r="BH975" s="14532"/>
      <c r="BI975" s="14532"/>
      <c r="BJ975" s="14532"/>
      <c r="BK975" s="10317"/>
      <c r="BL975" s="14532"/>
      <c r="BM975" s="14532"/>
      <c r="BN975" s="14532"/>
    </row>
    <row r="976" spans="1:66" ht="29.25" hidden="1" customHeight="1">
      <c r="A976" s="8158">
        <v>594</v>
      </c>
      <c r="B976" s="8159" t="s">
        <v>4554</v>
      </c>
      <c r="C976" s="13600"/>
      <c r="D976" s="12333" t="s">
        <v>208</v>
      </c>
      <c r="E976" s="12334" t="s">
        <v>208</v>
      </c>
      <c r="F976" s="12335" t="s">
        <v>2855</v>
      </c>
      <c r="G976" s="11772" t="s">
        <v>8446</v>
      </c>
      <c r="H976" s="11706"/>
      <c r="I976" s="12336" t="s">
        <v>2704</v>
      </c>
      <c r="K976" s="10318"/>
      <c r="L976" s="10319"/>
      <c r="M976" s="10319"/>
      <c r="N976" s="10320"/>
      <c r="O976" s="10320"/>
      <c r="P976" s="10321"/>
      <c r="Q976" s="10322"/>
      <c r="R976" s="10323"/>
      <c r="S976" s="10324"/>
      <c r="T976" s="10325"/>
      <c r="U976" s="10322"/>
      <c r="V976" s="10323"/>
      <c r="W976" s="10325"/>
      <c r="X976" s="10323"/>
      <c r="Y976" s="10325"/>
      <c r="Z976" s="10323"/>
      <c r="AA976" s="10324"/>
      <c r="AB976" s="10324"/>
      <c r="AC976" s="10324"/>
      <c r="AD976" s="10324"/>
      <c r="AE976" s="10324"/>
      <c r="AF976" s="10325"/>
      <c r="AG976" s="10323"/>
      <c r="AH976" s="10324"/>
      <c r="AI976" s="10324"/>
      <c r="AJ976" s="10324"/>
      <c r="AK976" s="10324"/>
      <c r="AL976" s="10324"/>
      <c r="AM976" s="10324"/>
      <c r="AN976" s="10325"/>
      <c r="AO976" s="10323"/>
      <c r="AP976" s="10324"/>
      <c r="AQ976" s="10324"/>
      <c r="AR976" s="10324"/>
      <c r="AS976" s="10324"/>
      <c r="AT976" s="10325"/>
      <c r="AU976" s="10326"/>
      <c r="AV976" s="10326"/>
      <c r="AW976" s="10326"/>
      <c r="AX976" s="10318"/>
      <c r="AY976" s="10321"/>
      <c r="AZ976" s="10326"/>
      <c r="BA976" s="10318"/>
      <c r="BB976" s="10320"/>
      <c r="BC976" s="10321"/>
      <c r="BD976" s="10327"/>
      <c r="BF976" s="8366"/>
      <c r="BG976" s="8366"/>
      <c r="BH976" s="8366"/>
      <c r="BI976" s="8366"/>
      <c r="BJ976" s="8366"/>
      <c r="BK976" s="8366"/>
      <c r="BL976" s="8366"/>
      <c r="BM976" s="8366"/>
      <c r="BN976" s="8366"/>
    </row>
    <row r="977" spans="1:66" ht="29.25" hidden="1" customHeight="1">
      <c r="A977" s="8171">
        <v>595</v>
      </c>
      <c r="B977" s="8172" t="s">
        <v>4555</v>
      </c>
      <c r="C977" s="13600"/>
      <c r="D977" s="12337" t="s">
        <v>208</v>
      </c>
      <c r="E977" s="12338" t="s">
        <v>208</v>
      </c>
      <c r="F977" s="12339" t="s">
        <v>2855</v>
      </c>
      <c r="G977" s="11775" t="s">
        <v>2709</v>
      </c>
      <c r="H977" s="11711"/>
      <c r="I977" s="13855" t="s">
        <v>2708</v>
      </c>
      <c r="K977" s="8398"/>
      <c r="L977" s="8399"/>
      <c r="M977" s="8399"/>
      <c r="N977" s="8400"/>
      <c r="O977" s="8400"/>
      <c r="P977" s="8401"/>
      <c r="Q977" s="8402"/>
      <c r="R977" s="8403"/>
      <c r="S977" s="8404"/>
      <c r="T977" s="8405"/>
      <c r="U977" s="8402"/>
      <c r="V977" s="8403"/>
      <c r="W977" s="8405"/>
      <c r="X977" s="8403"/>
      <c r="Y977" s="8405"/>
      <c r="Z977" s="8403"/>
      <c r="AA977" s="8404"/>
      <c r="AB977" s="8404"/>
      <c r="AC977" s="8404"/>
      <c r="AD977" s="8404"/>
      <c r="AE977" s="8404"/>
      <c r="AF977" s="8405"/>
      <c r="AG977" s="8403"/>
      <c r="AH977" s="8404"/>
      <c r="AI977" s="8404"/>
      <c r="AJ977" s="8404"/>
      <c r="AK977" s="8404"/>
      <c r="AL977" s="8404"/>
      <c r="AM977" s="8404"/>
      <c r="AN977" s="8405"/>
      <c r="AO977" s="8403"/>
      <c r="AP977" s="8404"/>
      <c r="AQ977" s="8404"/>
      <c r="AR977" s="8404"/>
      <c r="AS977" s="8404"/>
      <c r="AT977" s="8405"/>
      <c r="AU977" s="8406"/>
      <c r="AV977" s="8406"/>
      <c r="AW977" s="8406"/>
      <c r="AX977" s="8398"/>
      <c r="AY977" s="8401"/>
      <c r="AZ977" s="8406"/>
      <c r="BA977" s="8398"/>
      <c r="BB977" s="8400"/>
      <c r="BC977" s="8401"/>
      <c r="BD977" s="8407"/>
      <c r="BF977" s="8377"/>
      <c r="BG977" s="8377"/>
      <c r="BH977" s="8377"/>
      <c r="BI977" s="8377"/>
      <c r="BJ977" s="8377"/>
      <c r="BK977" s="8377"/>
      <c r="BL977" s="8377"/>
      <c r="BM977" s="8377"/>
      <c r="BN977" s="8377"/>
    </row>
    <row r="978" spans="1:66" ht="29.25" hidden="1" customHeight="1">
      <c r="A978" s="13675">
        <v>596</v>
      </c>
      <c r="B978" s="13848" t="s">
        <v>4556</v>
      </c>
      <c r="C978" s="13600"/>
      <c r="D978" s="12337" t="s">
        <v>10063</v>
      </c>
      <c r="E978" s="12338" t="s">
        <v>2856</v>
      </c>
      <c r="F978" s="12338"/>
      <c r="G978" s="13847" t="s">
        <v>4557</v>
      </c>
      <c r="H978" s="13447"/>
      <c r="I978" s="13855"/>
      <c r="K978" s="8398"/>
      <c r="L978" s="8399"/>
      <c r="M978" s="8399"/>
      <c r="N978" s="8400"/>
      <c r="O978" s="8400"/>
      <c r="P978" s="8401"/>
      <c r="Q978" s="8402"/>
      <c r="R978" s="8403"/>
      <c r="S978" s="8404"/>
      <c r="T978" s="8405"/>
      <c r="U978" s="8402"/>
      <c r="V978" s="8403"/>
      <c r="W978" s="8405"/>
      <c r="X978" s="8403"/>
      <c r="Y978" s="8405"/>
      <c r="Z978" s="8403"/>
      <c r="AA978" s="8404"/>
      <c r="AB978" s="8404"/>
      <c r="AC978" s="8404"/>
      <c r="AD978" s="8404"/>
      <c r="AE978" s="8404"/>
      <c r="AF978" s="8405"/>
      <c r="AG978" s="8403"/>
      <c r="AH978" s="8404"/>
      <c r="AI978" s="8404"/>
      <c r="AJ978" s="8404"/>
      <c r="AK978" s="8404"/>
      <c r="AL978" s="8404"/>
      <c r="AM978" s="8404"/>
      <c r="AN978" s="8405"/>
      <c r="AO978" s="8403"/>
      <c r="AP978" s="8404"/>
      <c r="AQ978" s="8404"/>
      <c r="AR978" s="8404"/>
      <c r="AS978" s="8404"/>
      <c r="AT978" s="8405"/>
      <c r="AU978" s="8406"/>
      <c r="AV978" s="8406"/>
      <c r="AW978" s="8406"/>
      <c r="AX978" s="8398"/>
      <c r="AY978" s="8401"/>
      <c r="AZ978" s="8406"/>
      <c r="BA978" s="8398"/>
      <c r="BB978" s="8400"/>
      <c r="BC978" s="8401"/>
      <c r="BD978" s="8407"/>
      <c r="BF978" s="14427"/>
      <c r="BG978" s="14427"/>
      <c r="BH978" s="14427"/>
      <c r="BI978" s="14427"/>
      <c r="BJ978" s="14427"/>
      <c r="BK978" s="8377"/>
      <c r="BL978" s="14427"/>
      <c r="BM978" s="14427"/>
      <c r="BN978" s="14427"/>
    </row>
    <row r="979" spans="1:66" ht="29.25" hidden="1" customHeight="1">
      <c r="A979" s="13675"/>
      <c r="B979" s="13848"/>
      <c r="C979" s="13600"/>
      <c r="D979" s="12337" t="s">
        <v>208</v>
      </c>
      <c r="E979" s="12338"/>
      <c r="F979" s="12338" t="s">
        <v>2855</v>
      </c>
      <c r="G979" s="13847"/>
      <c r="H979" s="13447"/>
      <c r="I979" s="13855"/>
      <c r="K979" s="8398"/>
      <c r="L979" s="8399"/>
      <c r="M979" s="8399"/>
      <c r="N979" s="8400"/>
      <c r="O979" s="8400"/>
      <c r="P979" s="8401"/>
      <c r="Q979" s="8402"/>
      <c r="R979" s="8403"/>
      <c r="S979" s="8404"/>
      <c r="T979" s="8405"/>
      <c r="U979" s="8402"/>
      <c r="V979" s="8403"/>
      <c r="W979" s="8405"/>
      <c r="X979" s="8403"/>
      <c r="Y979" s="8405"/>
      <c r="Z979" s="8403"/>
      <c r="AA979" s="8404"/>
      <c r="AB979" s="8404"/>
      <c r="AC979" s="8404"/>
      <c r="AD979" s="8404"/>
      <c r="AE979" s="8404"/>
      <c r="AF979" s="8405"/>
      <c r="AG979" s="8403"/>
      <c r="AH979" s="8404"/>
      <c r="AI979" s="8404"/>
      <c r="AJ979" s="8404"/>
      <c r="AK979" s="8404"/>
      <c r="AL979" s="8404"/>
      <c r="AM979" s="8404"/>
      <c r="AN979" s="8405"/>
      <c r="AO979" s="8403"/>
      <c r="AP979" s="8404"/>
      <c r="AQ979" s="8404"/>
      <c r="AR979" s="8404"/>
      <c r="AS979" s="8404"/>
      <c r="AT979" s="8405"/>
      <c r="AU979" s="8406"/>
      <c r="AV979" s="8406"/>
      <c r="AW979" s="8406"/>
      <c r="AX979" s="8398"/>
      <c r="AY979" s="8401"/>
      <c r="AZ979" s="8406"/>
      <c r="BA979" s="8398"/>
      <c r="BB979" s="8400"/>
      <c r="BC979" s="8401"/>
      <c r="BD979" s="8407"/>
      <c r="BF979" s="14427"/>
      <c r="BG979" s="14427"/>
      <c r="BH979" s="14427"/>
      <c r="BI979" s="14427"/>
      <c r="BJ979" s="14427"/>
      <c r="BK979" s="8377"/>
      <c r="BL979" s="14427"/>
      <c r="BM979" s="14427"/>
      <c r="BN979" s="14427"/>
    </row>
    <row r="980" spans="1:66" ht="29.25" hidden="1" customHeight="1">
      <c r="A980" s="13675">
        <v>597</v>
      </c>
      <c r="B980" s="13848" t="s">
        <v>4558</v>
      </c>
      <c r="C980" s="13600"/>
      <c r="D980" s="11708" t="s">
        <v>10063</v>
      </c>
      <c r="E980" s="12338" t="s">
        <v>2856</v>
      </c>
      <c r="F980" s="12338"/>
      <c r="G980" s="13847" t="s">
        <v>2712</v>
      </c>
      <c r="H980" s="13447"/>
      <c r="I980" s="13855" t="s">
        <v>2711</v>
      </c>
      <c r="K980" s="8398"/>
      <c r="L980" s="8399"/>
      <c r="M980" s="8399"/>
      <c r="N980" s="8400"/>
      <c r="O980" s="8400"/>
      <c r="P980" s="8401"/>
      <c r="Q980" s="8402"/>
      <c r="R980" s="8403"/>
      <c r="S980" s="8404"/>
      <c r="T980" s="8405"/>
      <c r="U980" s="8402"/>
      <c r="V980" s="8403"/>
      <c r="W980" s="8405"/>
      <c r="X980" s="8403"/>
      <c r="Y980" s="8405"/>
      <c r="Z980" s="8403"/>
      <c r="AA980" s="8404"/>
      <c r="AB980" s="8404"/>
      <c r="AC980" s="8404"/>
      <c r="AD980" s="8404"/>
      <c r="AE980" s="8404"/>
      <c r="AF980" s="8405"/>
      <c r="AG980" s="8403"/>
      <c r="AH980" s="8404"/>
      <c r="AI980" s="8404"/>
      <c r="AJ980" s="8404"/>
      <c r="AK980" s="8404"/>
      <c r="AL980" s="8404"/>
      <c r="AM980" s="8404"/>
      <c r="AN980" s="8405"/>
      <c r="AO980" s="8403"/>
      <c r="AP980" s="8404"/>
      <c r="AQ980" s="8404"/>
      <c r="AR980" s="8404"/>
      <c r="AS980" s="8404"/>
      <c r="AT980" s="8405"/>
      <c r="AU980" s="8406"/>
      <c r="AV980" s="8406"/>
      <c r="AW980" s="8406"/>
      <c r="AX980" s="8398"/>
      <c r="AY980" s="8401"/>
      <c r="AZ980" s="8406"/>
      <c r="BA980" s="8398"/>
      <c r="BB980" s="8400"/>
      <c r="BC980" s="8401"/>
      <c r="BD980" s="8407"/>
      <c r="BF980" s="14427"/>
      <c r="BG980" s="14427"/>
      <c r="BH980" s="14427"/>
      <c r="BI980" s="14427"/>
      <c r="BJ980" s="14427"/>
      <c r="BK980" s="8377"/>
      <c r="BL980" s="14427"/>
      <c r="BM980" s="14427"/>
      <c r="BN980" s="14427"/>
    </row>
    <row r="981" spans="1:66" ht="29.25" hidden="1" customHeight="1">
      <c r="A981" s="13675"/>
      <c r="B981" s="13848"/>
      <c r="C981" s="13600"/>
      <c r="D981" s="11708" t="s">
        <v>208</v>
      </c>
      <c r="E981" s="12338"/>
      <c r="F981" s="12338" t="s">
        <v>2855</v>
      </c>
      <c r="G981" s="13847"/>
      <c r="H981" s="13447"/>
      <c r="I981" s="13855"/>
      <c r="K981" s="8398"/>
      <c r="L981" s="8399"/>
      <c r="M981" s="8399"/>
      <c r="N981" s="8400"/>
      <c r="O981" s="8400"/>
      <c r="P981" s="8401"/>
      <c r="Q981" s="8402"/>
      <c r="R981" s="8403"/>
      <c r="S981" s="8404"/>
      <c r="T981" s="8405"/>
      <c r="U981" s="8402"/>
      <c r="V981" s="8403"/>
      <c r="W981" s="8405"/>
      <c r="X981" s="8403"/>
      <c r="Y981" s="8405"/>
      <c r="Z981" s="8403"/>
      <c r="AA981" s="8404"/>
      <c r="AB981" s="8404"/>
      <c r="AC981" s="8404"/>
      <c r="AD981" s="8404"/>
      <c r="AE981" s="8404"/>
      <c r="AF981" s="8405"/>
      <c r="AG981" s="8403"/>
      <c r="AH981" s="8404"/>
      <c r="AI981" s="8404"/>
      <c r="AJ981" s="8404"/>
      <c r="AK981" s="8404"/>
      <c r="AL981" s="8404"/>
      <c r="AM981" s="8404"/>
      <c r="AN981" s="8405"/>
      <c r="AO981" s="8403"/>
      <c r="AP981" s="8404"/>
      <c r="AQ981" s="8404"/>
      <c r="AR981" s="8404"/>
      <c r="AS981" s="8404"/>
      <c r="AT981" s="8405"/>
      <c r="AU981" s="8406"/>
      <c r="AV981" s="8406"/>
      <c r="AW981" s="8406"/>
      <c r="AX981" s="8398"/>
      <c r="AY981" s="8401"/>
      <c r="AZ981" s="8406"/>
      <c r="BA981" s="8398"/>
      <c r="BB981" s="8400"/>
      <c r="BC981" s="8401"/>
      <c r="BD981" s="8407"/>
      <c r="BF981" s="14427"/>
      <c r="BG981" s="14427"/>
      <c r="BH981" s="14427"/>
      <c r="BI981" s="14427"/>
      <c r="BJ981" s="14427"/>
      <c r="BK981" s="8377"/>
      <c r="BL981" s="14427"/>
      <c r="BM981" s="14427"/>
      <c r="BN981" s="14427"/>
    </row>
    <row r="982" spans="1:66" ht="29.25" hidden="1" customHeight="1">
      <c r="A982" s="8171">
        <v>598</v>
      </c>
      <c r="B982" s="8172" t="s">
        <v>4559</v>
      </c>
      <c r="C982" s="13600"/>
      <c r="D982" s="12340" t="s">
        <v>2896</v>
      </c>
      <c r="E982" s="12338" t="s">
        <v>2858</v>
      </c>
      <c r="F982" s="12338"/>
      <c r="G982" s="11775" t="s">
        <v>4560</v>
      </c>
      <c r="H982" s="11711"/>
      <c r="I982" s="13855"/>
      <c r="K982" s="8398"/>
      <c r="L982" s="8399"/>
      <c r="M982" s="8399"/>
      <c r="N982" s="8400"/>
      <c r="O982" s="8400"/>
      <c r="P982" s="8401"/>
      <c r="Q982" s="8402"/>
      <c r="R982" s="8403"/>
      <c r="S982" s="8404"/>
      <c r="T982" s="8405"/>
      <c r="U982" s="8402"/>
      <c r="V982" s="8403"/>
      <c r="W982" s="8405"/>
      <c r="X982" s="8403"/>
      <c r="Y982" s="8405"/>
      <c r="Z982" s="8403"/>
      <c r="AA982" s="8404"/>
      <c r="AB982" s="8404"/>
      <c r="AC982" s="8404"/>
      <c r="AD982" s="8404"/>
      <c r="AE982" s="8404"/>
      <c r="AF982" s="8405"/>
      <c r="AG982" s="8403"/>
      <c r="AH982" s="8404"/>
      <c r="AI982" s="8404"/>
      <c r="AJ982" s="8404"/>
      <c r="AK982" s="8404"/>
      <c r="AL982" s="8404"/>
      <c r="AM982" s="8404"/>
      <c r="AN982" s="8405"/>
      <c r="AO982" s="8403"/>
      <c r="AP982" s="8404"/>
      <c r="AQ982" s="8404"/>
      <c r="AR982" s="8404"/>
      <c r="AS982" s="8404"/>
      <c r="AT982" s="8405"/>
      <c r="AU982" s="8406"/>
      <c r="AV982" s="8406"/>
      <c r="AW982" s="8406"/>
      <c r="AX982" s="8398"/>
      <c r="AY982" s="8401"/>
      <c r="AZ982" s="8406"/>
      <c r="BA982" s="8398"/>
      <c r="BB982" s="8400"/>
      <c r="BC982" s="8401"/>
      <c r="BD982" s="8407"/>
      <c r="BF982" s="8377"/>
      <c r="BG982" s="8377"/>
      <c r="BH982" s="8377"/>
      <c r="BI982" s="8377"/>
      <c r="BJ982" s="8377"/>
      <c r="BK982" s="8377"/>
      <c r="BL982" s="8377"/>
      <c r="BM982" s="8377"/>
      <c r="BN982" s="8377"/>
    </row>
    <row r="983" spans="1:66" ht="29.25" hidden="1" customHeight="1">
      <c r="A983" s="13675">
        <v>599</v>
      </c>
      <c r="B983" s="13848" t="s">
        <v>4561</v>
      </c>
      <c r="C983" s="13600"/>
      <c r="D983" s="12340" t="s">
        <v>10063</v>
      </c>
      <c r="E983" s="12338" t="s">
        <v>2856</v>
      </c>
      <c r="F983" s="12338"/>
      <c r="G983" s="13847" t="s">
        <v>2715</v>
      </c>
      <c r="H983" s="13447"/>
      <c r="I983" s="13855" t="s">
        <v>2714</v>
      </c>
      <c r="K983" s="8398"/>
      <c r="L983" s="8399"/>
      <c r="M983" s="8399"/>
      <c r="N983" s="8400"/>
      <c r="O983" s="8400"/>
      <c r="P983" s="8401"/>
      <c r="Q983" s="8402"/>
      <c r="R983" s="8403"/>
      <c r="S983" s="8404"/>
      <c r="T983" s="8405"/>
      <c r="U983" s="8402"/>
      <c r="V983" s="8403"/>
      <c r="W983" s="8405"/>
      <c r="X983" s="8403"/>
      <c r="Y983" s="8405"/>
      <c r="Z983" s="8403"/>
      <c r="AA983" s="8404"/>
      <c r="AB983" s="8404"/>
      <c r="AC983" s="8404"/>
      <c r="AD983" s="8404"/>
      <c r="AE983" s="8404"/>
      <c r="AF983" s="8405"/>
      <c r="AG983" s="8403"/>
      <c r="AH983" s="8404"/>
      <c r="AI983" s="8404"/>
      <c r="AJ983" s="8404"/>
      <c r="AK983" s="8404"/>
      <c r="AL983" s="8404"/>
      <c r="AM983" s="8404"/>
      <c r="AN983" s="8405"/>
      <c r="AO983" s="8403"/>
      <c r="AP983" s="8404"/>
      <c r="AQ983" s="8404"/>
      <c r="AR983" s="8404"/>
      <c r="AS983" s="8404"/>
      <c r="AT983" s="8405"/>
      <c r="AU983" s="8406"/>
      <c r="AV983" s="8406"/>
      <c r="AW983" s="8406"/>
      <c r="AX983" s="8398"/>
      <c r="AY983" s="8401"/>
      <c r="AZ983" s="8406"/>
      <c r="BA983" s="8398"/>
      <c r="BB983" s="8400"/>
      <c r="BC983" s="8401"/>
      <c r="BD983" s="8407"/>
      <c r="BF983" s="14427"/>
      <c r="BG983" s="14427"/>
      <c r="BH983" s="14427"/>
      <c r="BI983" s="14427"/>
      <c r="BJ983" s="14427"/>
      <c r="BK983" s="8377"/>
      <c r="BL983" s="14427"/>
      <c r="BM983" s="14427"/>
      <c r="BN983" s="14427"/>
    </row>
    <row r="984" spans="1:66" ht="29.25" hidden="1" customHeight="1">
      <c r="A984" s="13675"/>
      <c r="B984" s="13848"/>
      <c r="C984" s="13600"/>
      <c r="D984" s="12340" t="s">
        <v>208</v>
      </c>
      <c r="E984" s="12338"/>
      <c r="F984" s="12338" t="s">
        <v>2855</v>
      </c>
      <c r="G984" s="13847"/>
      <c r="H984" s="13447"/>
      <c r="I984" s="13855"/>
      <c r="K984" s="8398"/>
      <c r="L984" s="8399"/>
      <c r="M984" s="8399"/>
      <c r="N984" s="8400"/>
      <c r="O984" s="8400"/>
      <c r="P984" s="8401"/>
      <c r="Q984" s="8402"/>
      <c r="R984" s="8403"/>
      <c r="S984" s="8404"/>
      <c r="T984" s="8405"/>
      <c r="U984" s="8402"/>
      <c r="V984" s="8403"/>
      <c r="W984" s="8405"/>
      <c r="X984" s="8403"/>
      <c r="Y984" s="8405"/>
      <c r="Z984" s="8403"/>
      <c r="AA984" s="8404"/>
      <c r="AB984" s="8404"/>
      <c r="AC984" s="8404"/>
      <c r="AD984" s="8404"/>
      <c r="AE984" s="8404"/>
      <c r="AF984" s="8405"/>
      <c r="AG984" s="8403"/>
      <c r="AH984" s="8404"/>
      <c r="AI984" s="8404"/>
      <c r="AJ984" s="8404"/>
      <c r="AK984" s="8404"/>
      <c r="AL984" s="8404"/>
      <c r="AM984" s="8404"/>
      <c r="AN984" s="8405"/>
      <c r="AO984" s="8403"/>
      <c r="AP984" s="8404"/>
      <c r="AQ984" s="8404"/>
      <c r="AR984" s="8404"/>
      <c r="AS984" s="8404"/>
      <c r="AT984" s="8405"/>
      <c r="AU984" s="8406"/>
      <c r="AV984" s="8406"/>
      <c r="AW984" s="8406"/>
      <c r="AX984" s="8398"/>
      <c r="AY984" s="8401"/>
      <c r="AZ984" s="8406"/>
      <c r="BA984" s="8398"/>
      <c r="BB984" s="8400"/>
      <c r="BC984" s="8401"/>
      <c r="BD984" s="8407"/>
      <c r="BF984" s="14427"/>
      <c r="BG984" s="14427"/>
      <c r="BH984" s="14427"/>
      <c r="BI984" s="14427"/>
      <c r="BJ984" s="14427"/>
      <c r="BK984" s="8377"/>
      <c r="BL984" s="14427"/>
      <c r="BM984" s="14427"/>
      <c r="BN984" s="14427"/>
    </row>
    <row r="985" spans="1:66" ht="29.25" hidden="1" customHeight="1">
      <c r="A985" s="13675">
        <v>600</v>
      </c>
      <c r="B985" s="13848" t="s">
        <v>4562</v>
      </c>
      <c r="C985" s="13600"/>
      <c r="D985" s="11708" t="s">
        <v>10063</v>
      </c>
      <c r="E985" s="12338" t="s">
        <v>2856</v>
      </c>
      <c r="F985" s="12338"/>
      <c r="G985" s="13847" t="s">
        <v>2719</v>
      </c>
      <c r="H985" s="13447"/>
      <c r="I985" s="13855" t="s">
        <v>2718</v>
      </c>
      <c r="K985" s="8398"/>
      <c r="L985" s="8399"/>
      <c r="M985" s="8399"/>
      <c r="N985" s="8400"/>
      <c r="O985" s="8400"/>
      <c r="P985" s="8401"/>
      <c r="Q985" s="8402"/>
      <c r="R985" s="8403"/>
      <c r="S985" s="8404"/>
      <c r="T985" s="8405"/>
      <c r="U985" s="8402"/>
      <c r="V985" s="8403"/>
      <c r="W985" s="8405"/>
      <c r="X985" s="8403"/>
      <c r="Y985" s="8405"/>
      <c r="Z985" s="8403"/>
      <c r="AA985" s="8404"/>
      <c r="AB985" s="8404"/>
      <c r="AC985" s="8404"/>
      <c r="AD985" s="8404"/>
      <c r="AE985" s="8404"/>
      <c r="AF985" s="8405"/>
      <c r="AG985" s="8403"/>
      <c r="AH985" s="8404"/>
      <c r="AI985" s="8404"/>
      <c r="AJ985" s="8404"/>
      <c r="AK985" s="8404"/>
      <c r="AL985" s="8404"/>
      <c r="AM985" s="8404"/>
      <c r="AN985" s="8405"/>
      <c r="AO985" s="8403"/>
      <c r="AP985" s="8404"/>
      <c r="AQ985" s="8404"/>
      <c r="AR985" s="8404"/>
      <c r="AS985" s="8404"/>
      <c r="AT985" s="8405"/>
      <c r="AU985" s="8406"/>
      <c r="AV985" s="8406"/>
      <c r="AW985" s="8406"/>
      <c r="AX985" s="8398"/>
      <c r="AY985" s="8401"/>
      <c r="AZ985" s="8406"/>
      <c r="BA985" s="8398"/>
      <c r="BB985" s="8400"/>
      <c r="BC985" s="8401"/>
      <c r="BD985" s="8407"/>
      <c r="BF985" s="14427"/>
      <c r="BG985" s="14427"/>
      <c r="BH985" s="14427"/>
      <c r="BI985" s="14427"/>
      <c r="BJ985" s="14427"/>
      <c r="BK985" s="8377"/>
      <c r="BL985" s="14427"/>
      <c r="BM985" s="14427"/>
      <c r="BN985" s="14427"/>
    </row>
    <row r="986" spans="1:66" ht="29.25" hidden="1" customHeight="1">
      <c r="A986" s="13675"/>
      <c r="B986" s="13848"/>
      <c r="C986" s="13600"/>
      <c r="D986" s="11708" t="s">
        <v>208</v>
      </c>
      <c r="E986" s="12338"/>
      <c r="F986" s="12338" t="s">
        <v>2855</v>
      </c>
      <c r="G986" s="13847"/>
      <c r="H986" s="13447"/>
      <c r="I986" s="13855"/>
      <c r="K986" s="8398"/>
      <c r="L986" s="8399"/>
      <c r="M986" s="8399"/>
      <c r="N986" s="8400"/>
      <c r="O986" s="8400"/>
      <c r="P986" s="8401"/>
      <c r="Q986" s="8402"/>
      <c r="R986" s="8403"/>
      <c r="S986" s="8404"/>
      <c r="T986" s="8405"/>
      <c r="U986" s="8402"/>
      <c r="V986" s="8403"/>
      <c r="W986" s="8405"/>
      <c r="X986" s="8403"/>
      <c r="Y986" s="8405"/>
      <c r="Z986" s="8403"/>
      <c r="AA986" s="8404"/>
      <c r="AB986" s="8404"/>
      <c r="AC986" s="8404"/>
      <c r="AD986" s="8404"/>
      <c r="AE986" s="8404"/>
      <c r="AF986" s="8405"/>
      <c r="AG986" s="8403"/>
      <c r="AH986" s="8404"/>
      <c r="AI986" s="8404"/>
      <c r="AJ986" s="8404"/>
      <c r="AK986" s="8404"/>
      <c r="AL986" s="8404"/>
      <c r="AM986" s="8404"/>
      <c r="AN986" s="8405"/>
      <c r="AO986" s="8403"/>
      <c r="AP986" s="8404"/>
      <c r="AQ986" s="8404"/>
      <c r="AR986" s="8404"/>
      <c r="AS986" s="8404"/>
      <c r="AT986" s="8405"/>
      <c r="AU986" s="8406"/>
      <c r="AV986" s="8406"/>
      <c r="AW986" s="8406"/>
      <c r="AX986" s="8398"/>
      <c r="AY986" s="8401"/>
      <c r="AZ986" s="8406"/>
      <c r="BA986" s="8398"/>
      <c r="BB986" s="8400"/>
      <c r="BC986" s="8401"/>
      <c r="BD986" s="8407"/>
      <c r="BF986" s="14427"/>
      <c r="BG986" s="14427"/>
      <c r="BH986" s="14427"/>
      <c r="BI986" s="14427"/>
      <c r="BJ986" s="14427"/>
      <c r="BK986" s="8377"/>
      <c r="BL986" s="14427"/>
      <c r="BM986" s="14427"/>
      <c r="BN986" s="14427"/>
    </row>
    <row r="987" spans="1:66" ht="29.25" hidden="1" customHeight="1">
      <c r="A987" s="13675">
        <v>601</v>
      </c>
      <c r="B987" s="13848" t="s">
        <v>4563</v>
      </c>
      <c r="C987" s="13600"/>
      <c r="D987" s="11708" t="s">
        <v>10063</v>
      </c>
      <c r="E987" s="12338" t="s">
        <v>2856</v>
      </c>
      <c r="F987" s="12338"/>
      <c r="G987" s="13847" t="s">
        <v>2722</v>
      </c>
      <c r="H987" s="13447"/>
      <c r="I987" s="13855" t="s">
        <v>2721</v>
      </c>
      <c r="K987" s="8398"/>
      <c r="L987" s="8399"/>
      <c r="M987" s="8399"/>
      <c r="N987" s="8400"/>
      <c r="O987" s="8400"/>
      <c r="P987" s="8401"/>
      <c r="Q987" s="8402"/>
      <c r="R987" s="8403"/>
      <c r="S987" s="8404"/>
      <c r="T987" s="8405"/>
      <c r="U987" s="8402"/>
      <c r="V987" s="8403"/>
      <c r="W987" s="8405"/>
      <c r="X987" s="8403"/>
      <c r="Y987" s="8405"/>
      <c r="Z987" s="8403"/>
      <c r="AA987" s="8404"/>
      <c r="AB987" s="8404"/>
      <c r="AC987" s="8404"/>
      <c r="AD987" s="8404"/>
      <c r="AE987" s="8404"/>
      <c r="AF987" s="8405"/>
      <c r="AG987" s="8403"/>
      <c r="AH987" s="8404"/>
      <c r="AI987" s="8404"/>
      <c r="AJ987" s="8404"/>
      <c r="AK987" s="8404"/>
      <c r="AL987" s="8404"/>
      <c r="AM987" s="8404"/>
      <c r="AN987" s="8405"/>
      <c r="AO987" s="8403"/>
      <c r="AP987" s="8404"/>
      <c r="AQ987" s="8404"/>
      <c r="AR987" s="8404"/>
      <c r="AS987" s="8404"/>
      <c r="AT987" s="8405"/>
      <c r="AU987" s="8406"/>
      <c r="AV987" s="8406"/>
      <c r="AW987" s="8406"/>
      <c r="AX987" s="8398"/>
      <c r="AY987" s="8401"/>
      <c r="AZ987" s="8406"/>
      <c r="BA987" s="8398"/>
      <c r="BB987" s="8400"/>
      <c r="BC987" s="8401"/>
      <c r="BD987" s="8407"/>
      <c r="BF987" s="14427"/>
      <c r="BG987" s="14427"/>
      <c r="BH987" s="14427"/>
      <c r="BI987" s="14427"/>
      <c r="BJ987" s="14427"/>
      <c r="BK987" s="8377"/>
      <c r="BL987" s="14427"/>
      <c r="BM987" s="14427"/>
      <c r="BN987" s="14427"/>
    </row>
    <row r="988" spans="1:66" ht="29.25" hidden="1" customHeight="1" thickBot="1">
      <c r="A988" s="13676"/>
      <c r="B988" s="13849"/>
      <c r="C988" s="13600"/>
      <c r="D988" s="11780" t="s">
        <v>208</v>
      </c>
      <c r="E988" s="12341"/>
      <c r="F988" s="12341" t="s">
        <v>2855</v>
      </c>
      <c r="G988" s="13850"/>
      <c r="H988" s="13448"/>
      <c r="I988" s="13856"/>
      <c r="K988" s="8409"/>
      <c r="L988" s="8410"/>
      <c r="M988" s="8410"/>
      <c r="N988" s="8411"/>
      <c r="O988" s="8411"/>
      <c r="P988" s="8412"/>
      <c r="Q988" s="8413"/>
      <c r="R988" s="8414"/>
      <c r="S988" s="8415"/>
      <c r="T988" s="8416"/>
      <c r="U988" s="8413"/>
      <c r="V988" s="8414"/>
      <c r="W988" s="8416"/>
      <c r="X988" s="8414"/>
      <c r="Y988" s="8416"/>
      <c r="Z988" s="8414"/>
      <c r="AA988" s="8415"/>
      <c r="AB988" s="8415"/>
      <c r="AC988" s="8415"/>
      <c r="AD988" s="8415"/>
      <c r="AE988" s="8415"/>
      <c r="AF988" s="8416"/>
      <c r="AG988" s="8414"/>
      <c r="AH988" s="8415"/>
      <c r="AI988" s="8415"/>
      <c r="AJ988" s="8415"/>
      <c r="AK988" s="8415"/>
      <c r="AL988" s="8415"/>
      <c r="AM988" s="8415"/>
      <c r="AN988" s="8416"/>
      <c r="AO988" s="8414"/>
      <c r="AP988" s="8415"/>
      <c r="AQ988" s="8415"/>
      <c r="AR988" s="8415"/>
      <c r="AS988" s="8415"/>
      <c r="AT988" s="8416"/>
      <c r="AU988" s="8417"/>
      <c r="AV988" s="8417"/>
      <c r="AW988" s="8417"/>
      <c r="AX988" s="8409"/>
      <c r="AY988" s="8412"/>
      <c r="AZ988" s="8417"/>
      <c r="BA988" s="8409"/>
      <c r="BB988" s="8411"/>
      <c r="BC988" s="8412"/>
      <c r="BD988" s="8418"/>
      <c r="BF988" s="14428"/>
      <c r="BG988" s="14428"/>
      <c r="BH988" s="14428"/>
      <c r="BI988" s="14428"/>
      <c r="BJ988" s="14428"/>
      <c r="BK988" s="8408"/>
      <c r="BL988" s="14428"/>
      <c r="BM988" s="14428"/>
      <c r="BN988" s="14428"/>
    </row>
    <row r="989" spans="1:66" ht="29.25" hidden="1" customHeight="1">
      <c r="A989" s="13677">
        <v>602</v>
      </c>
      <c r="B989" s="14217" t="s">
        <v>4564</v>
      </c>
      <c r="C989" s="13600"/>
      <c r="D989" s="12299" t="s">
        <v>10063</v>
      </c>
      <c r="E989" s="7824" t="s">
        <v>2856</v>
      </c>
      <c r="F989" s="7824"/>
      <c r="G989" s="14218" t="s">
        <v>2729</v>
      </c>
      <c r="H989" s="13449"/>
      <c r="I989" s="14191" t="s">
        <v>2727</v>
      </c>
      <c r="K989" s="10329"/>
      <c r="L989" s="10330"/>
      <c r="M989" s="10330"/>
      <c r="N989" s="10331"/>
      <c r="O989" s="10331"/>
      <c r="P989" s="10332"/>
      <c r="Q989" s="10333"/>
      <c r="R989" s="10334"/>
      <c r="S989" s="10335"/>
      <c r="T989" s="10336"/>
      <c r="U989" s="10333"/>
      <c r="V989" s="10334"/>
      <c r="W989" s="10336"/>
      <c r="X989" s="10334"/>
      <c r="Y989" s="10336"/>
      <c r="Z989" s="10334"/>
      <c r="AA989" s="10335"/>
      <c r="AB989" s="10335"/>
      <c r="AC989" s="10335"/>
      <c r="AD989" s="10335"/>
      <c r="AE989" s="10335"/>
      <c r="AF989" s="10336"/>
      <c r="AG989" s="10334"/>
      <c r="AH989" s="10335"/>
      <c r="AI989" s="10335"/>
      <c r="AJ989" s="10335"/>
      <c r="AK989" s="10335"/>
      <c r="AL989" s="10335"/>
      <c r="AM989" s="10335"/>
      <c r="AN989" s="10336"/>
      <c r="AO989" s="10334"/>
      <c r="AP989" s="10335"/>
      <c r="AQ989" s="10335"/>
      <c r="AR989" s="10335"/>
      <c r="AS989" s="10335"/>
      <c r="AT989" s="10336"/>
      <c r="AU989" s="10337"/>
      <c r="AV989" s="10337"/>
      <c r="AW989" s="10337"/>
      <c r="AX989" s="10329"/>
      <c r="AY989" s="10332"/>
      <c r="AZ989" s="10337"/>
      <c r="BA989" s="10329"/>
      <c r="BB989" s="10331"/>
      <c r="BC989" s="10332"/>
      <c r="BD989" s="10338"/>
      <c r="BF989" s="14533"/>
      <c r="BG989" s="14533"/>
      <c r="BH989" s="14533"/>
      <c r="BI989" s="14533"/>
      <c r="BJ989" s="14533"/>
      <c r="BK989" s="8844"/>
      <c r="BL989" s="14533"/>
      <c r="BM989" s="14533"/>
      <c r="BN989" s="14533"/>
    </row>
    <row r="990" spans="1:66" ht="29.25" hidden="1" customHeight="1">
      <c r="A990" s="13556"/>
      <c r="B990" s="14215"/>
      <c r="C990" s="13600"/>
      <c r="D990" s="12301" t="s">
        <v>208</v>
      </c>
      <c r="E990" s="7826"/>
      <c r="F990" s="7826" t="s">
        <v>2855</v>
      </c>
      <c r="G990" s="14216"/>
      <c r="H990" s="13432"/>
      <c r="I990" s="14192"/>
      <c r="K990" s="10213"/>
      <c r="L990" s="9465"/>
      <c r="M990" s="9465"/>
      <c r="N990" s="10214"/>
      <c r="O990" s="10214"/>
      <c r="P990" s="10215"/>
      <c r="Q990" s="9468"/>
      <c r="R990" s="9469"/>
      <c r="S990" s="9470"/>
      <c r="T990" s="9471"/>
      <c r="U990" s="9468"/>
      <c r="V990" s="9469"/>
      <c r="W990" s="9471"/>
      <c r="X990" s="9469"/>
      <c r="Y990" s="9471"/>
      <c r="Z990" s="9469"/>
      <c r="AA990" s="9470"/>
      <c r="AB990" s="9470"/>
      <c r="AC990" s="9470"/>
      <c r="AD990" s="9470"/>
      <c r="AE990" s="9470"/>
      <c r="AF990" s="9471"/>
      <c r="AG990" s="9469"/>
      <c r="AH990" s="9470"/>
      <c r="AI990" s="9470"/>
      <c r="AJ990" s="9470"/>
      <c r="AK990" s="9470"/>
      <c r="AL990" s="9470"/>
      <c r="AM990" s="9470"/>
      <c r="AN990" s="9471"/>
      <c r="AO990" s="9469"/>
      <c r="AP990" s="9470"/>
      <c r="AQ990" s="9470"/>
      <c r="AR990" s="9470"/>
      <c r="AS990" s="9470"/>
      <c r="AT990" s="9471"/>
      <c r="AU990" s="10216"/>
      <c r="AV990" s="10216"/>
      <c r="AW990" s="10216"/>
      <c r="AX990" s="10213"/>
      <c r="AY990" s="10215"/>
      <c r="AZ990" s="10216"/>
      <c r="BA990" s="10213"/>
      <c r="BB990" s="10214"/>
      <c r="BC990" s="10215"/>
      <c r="BD990" s="10217"/>
      <c r="BF990" s="14534"/>
      <c r="BG990" s="14534"/>
      <c r="BH990" s="14534"/>
      <c r="BI990" s="14534"/>
      <c r="BJ990" s="14534"/>
      <c r="BK990" s="8859"/>
      <c r="BL990" s="14534"/>
      <c r="BM990" s="14534"/>
      <c r="BN990" s="14534"/>
    </row>
    <row r="991" spans="1:66" ht="29.25" hidden="1" customHeight="1">
      <c r="A991" s="13556">
        <v>603</v>
      </c>
      <c r="B991" s="14215" t="s">
        <v>4565</v>
      </c>
      <c r="C991" s="13600"/>
      <c r="D991" s="12301" t="s">
        <v>10063</v>
      </c>
      <c r="E991" s="7826" t="s">
        <v>2856</v>
      </c>
      <c r="F991" s="7826"/>
      <c r="G991" s="14216" t="s">
        <v>2733</v>
      </c>
      <c r="H991" s="13432"/>
      <c r="I991" s="14192" t="s">
        <v>2732</v>
      </c>
      <c r="K991" s="10213"/>
      <c r="L991" s="9465"/>
      <c r="M991" s="9465"/>
      <c r="N991" s="10214"/>
      <c r="O991" s="10214"/>
      <c r="P991" s="10215"/>
      <c r="Q991" s="9468"/>
      <c r="R991" s="9469"/>
      <c r="S991" s="9470"/>
      <c r="T991" s="9471"/>
      <c r="U991" s="9468"/>
      <c r="V991" s="9469"/>
      <c r="W991" s="9471"/>
      <c r="X991" s="9469"/>
      <c r="Y991" s="9471"/>
      <c r="Z991" s="9469"/>
      <c r="AA991" s="9470"/>
      <c r="AB991" s="9470"/>
      <c r="AC991" s="9470"/>
      <c r="AD991" s="9470"/>
      <c r="AE991" s="9470"/>
      <c r="AF991" s="9471"/>
      <c r="AG991" s="9469"/>
      <c r="AH991" s="9470"/>
      <c r="AI991" s="9470"/>
      <c r="AJ991" s="9470"/>
      <c r="AK991" s="9470"/>
      <c r="AL991" s="9470"/>
      <c r="AM991" s="9470"/>
      <c r="AN991" s="9471"/>
      <c r="AO991" s="9469"/>
      <c r="AP991" s="9470"/>
      <c r="AQ991" s="9470"/>
      <c r="AR991" s="9470"/>
      <c r="AS991" s="9470"/>
      <c r="AT991" s="9471"/>
      <c r="AU991" s="10216"/>
      <c r="AV991" s="10216"/>
      <c r="AW991" s="10216"/>
      <c r="AX991" s="10213"/>
      <c r="AY991" s="10215"/>
      <c r="AZ991" s="10216"/>
      <c r="BA991" s="10213"/>
      <c r="BB991" s="10214"/>
      <c r="BC991" s="10215"/>
      <c r="BD991" s="10217"/>
      <c r="BF991" s="14534"/>
      <c r="BG991" s="14534"/>
      <c r="BH991" s="14534"/>
      <c r="BI991" s="14534"/>
      <c r="BJ991" s="14534"/>
      <c r="BK991" s="8859"/>
      <c r="BL991" s="14534"/>
      <c r="BM991" s="14534"/>
      <c r="BN991" s="14534"/>
    </row>
    <row r="992" spans="1:66" ht="29.25" hidden="1" customHeight="1">
      <c r="A992" s="13556"/>
      <c r="B992" s="14215"/>
      <c r="C992" s="13600"/>
      <c r="D992" s="12301" t="s">
        <v>208</v>
      </c>
      <c r="E992" s="7826"/>
      <c r="F992" s="7826" t="s">
        <v>2855</v>
      </c>
      <c r="G992" s="14216"/>
      <c r="H992" s="13432"/>
      <c r="I992" s="14192"/>
      <c r="K992" s="10213"/>
      <c r="L992" s="9465"/>
      <c r="M992" s="9465"/>
      <c r="N992" s="10214"/>
      <c r="O992" s="10214"/>
      <c r="P992" s="10215"/>
      <c r="Q992" s="9468"/>
      <c r="R992" s="9469"/>
      <c r="S992" s="9470"/>
      <c r="T992" s="9471"/>
      <c r="U992" s="9468"/>
      <c r="V992" s="9469"/>
      <c r="W992" s="9471"/>
      <c r="X992" s="9469"/>
      <c r="Y992" s="9471"/>
      <c r="Z992" s="9469"/>
      <c r="AA992" s="9470"/>
      <c r="AB992" s="9470"/>
      <c r="AC992" s="9470"/>
      <c r="AD992" s="9470"/>
      <c r="AE992" s="9470"/>
      <c r="AF992" s="9471"/>
      <c r="AG992" s="9469"/>
      <c r="AH992" s="9470"/>
      <c r="AI992" s="9470"/>
      <c r="AJ992" s="9470"/>
      <c r="AK992" s="9470"/>
      <c r="AL992" s="9470"/>
      <c r="AM992" s="9470"/>
      <c r="AN992" s="9471"/>
      <c r="AO992" s="9469"/>
      <c r="AP992" s="9470"/>
      <c r="AQ992" s="9470"/>
      <c r="AR992" s="9470"/>
      <c r="AS992" s="9470"/>
      <c r="AT992" s="9471"/>
      <c r="AU992" s="10216"/>
      <c r="AV992" s="10216"/>
      <c r="AW992" s="10216"/>
      <c r="AX992" s="10213"/>
      <c r="AY992" s="10215"/>
      <c r="AZ992" s="10216"/>
      <c r="BA992" s="10213"/>
      <c r="BB992" s="10214"/>
      <c r="BC992" s="10215"/>
      <c r="BD992" s="10217"/>
      <c r="BF992" s="14534"/>
      <c r="BG992" s="14534"/>
      <c r="BH992" s="14534"/>
      <c r="BI992" s="14534"/>
      <c r="BJ992" s="14534"/>
      <c r="BK992" s="8859"/>
      <c r="BL992" s="14534"/>
      <c r="BM992" s="14534"/>
      <c r="BN992" s="14534"/>
    </row>
    <row r="993" spans="1:66" ht="29.25" hidden="1" customHeight="1">
      <c r="A993" s="10339">
        <v>604</v>
      </c>
      <c r="B993" s="10340" t="s">
        <v>4566</v>
      </c>
      <c r="C993" s="13600"/>
      <c r="D993" s="12342" t="s">
        <v>10063</v>
      </c>
      <c r="E993" s="7826" t="s">
        <v>2856</v>
      </c>
      <c r="F993" s="7826"/>
      <c r="G993" s="12343" t="s">
        <v>4567</v>
      </c>
      <c r="H993" s="12344"/>
      <c r="I993" s="14192"/>
      <c r="K993" s="10213"/>
      <c r="L993" s="9465"/>
      <c r="M993" s="9465"/>
      <c r="N993" s="10214"/>
      <c r="O993" s="10214"/>
      <c r="P993" s="10215"/>
      <c r="Q993" s="9468"/>
      <c r="R993" s="9469"/>
      <c r="S993" s="9470"/>
      <c r="T993" s="9471"/>
      <c r="U993" s="9468"/>
      <c r="V993" s="9469"/>
      <c r="W993" s="9471"/>
      <c r="X993" s="9469"/>
      <c r="Y993" s="9471"/>
      <c r="Z993" s="9469"/>
      <c r="AA993" s="9470"/>
      <c r="AB993" s="9470"/>
      <c r="AC993" s="9470"/>
      <c r="AD993" s="9470"/>
      <c r="AE993" s="9470"/>
      <c r="AF993" s="9471"/>
      <c r="AG993" s="9469"/>
      <c r="AH993" s="9470"/>
      <c r="AI993" s="9470"/>
      <c r="AJ993" s="9470"/>
      <c r="AK993" s="9470"/>
      <c r="AL993" s="9470"/>
      <c r="AM993" s="9470"/>
      <c r="AN993" s="9471"/>
      <c r="AO993" s="9469"/>
      <c r="AP993" s="9470"/>
      <c r="AQ993" s="9470"/>
      <c r="AR993" s="9470"/>
      <c r="AS993" s="9470"/>
      <c r="AT993" s="9471"/>
      <c r="AU993" s="10216"/>
      <c r="AV993" s="10216"/>
      <c r="AW993" s="10216"/>
      <c r="AX993" s="10213"/>
      <c r="AY993" s="10215"/>
      <c r="AZ993" s="10216"/>
      <c r="BA993" s="10213"/>
      <c r="BB993" s="10214"/>
      <c r="BC993" s="10215"/>
      <c r="BD993" s="10217"/>
      <c r="BF993" s="10218"/>
      <c r="BG993" s="10218"/>
      <c r="BH993" s="10218"/>
      <c r="BI993" s="10218"/>
      <c r="BJ993" s="10218"/>
      <c r="BK993" s="10218"/>
      <c r="BL993" s="10218"/>
      <c r="BM993" s="10218"/>
      <c r="BN993" s="10218"/>
    </row>
    <row r="994" spans="1:66" ht="29.25" hidden="1" customHeight="1">
      <c r="A994" s="10339">
        <v>605</v>
      </c>
      <c r="B994" s="10340" t="s">
        <v>4568</v>
      </c>
      <c r="C994" s="13600"/>
      <c r="D994" s="12342" t="s">
        <v>10063</v>
      </c>
      <c r="E994" s="7826" t="s">
        <v>2856</v>
      </c>
      <c r="F994" s="7826"/>
      <c r="G994" s="12343" t="s">
        <v>4569</v>
      </c>
      <c r="H994" s="12344"/>
      <c r="I994" s="14192"/>
      <c r="K994" s="10213"/>
      <c r="L994" s="9465"/>
      <c r="M994" s="9465"/>
      <c r="N994" s="10214"/>
      <c r="O994" s="10214"/>
      <c r="P994" s="10215"/>
      <c r="Q994" s="9468"/>
      <c r="R994" s="9469"/>
      <c r="S994" s="9470"/>
      <c r="T994" s="9471"/>
      <c r="U994" s="9468"/>
      <c r="V994" s="9469"/>
      <c r="W994" s="9471"/>
      <c r="X994" s="9469"/>
      <c r="Y994" s="9471"/>
      <c r="Z994" s="9469"/>
      <c r="AA994" s="9470"/>
      <c r="AB994" s="9470"/>
      <c r="AC994" s="9470"/>
      <c r="AD994" s="9470"/>
      <c r="AE994" s="9470"/>
      <c r="AF994" s="9471"/>
      <c r="AG994" s="9469"/>
      <c r="AH994" s="9470"/>
      <c r="AI994" s="9470"/>
      <c r="AJ994" s="9470"/>
      <c r="AK994" s="9470"/>
      <c r="AL994" s="9470"/>
      <c r="AM994" s="9470"/>
      <c r="AN994" s="9471"/>
      <c r="AO994" s="9469"/>
      <c r="AP994" s="9470"/>
      <c r="AQ994" s="9470"/>
      <c r="AR994" s="9470"/>
      <c r="AS994" s="9470"/>
      <c r="AT994" s="9471"/>
      <c r="AU994" s="10216"/>
      <c r="AV994" s="10216"/>
      <c r="AW994" s="10216"/>
      <c r="AX994" s="10213"/>
      <c r="AY994" s="10215"/>
      <c r="AZ994" s="10216"/>
      <c r="BA994" s="10213"/>
      <c r="BB994" s="10214"/>
      <c r="BC994" s="10215"/>
      <c r="BD994" s="10217"/>
      <c r="BF994" s="10218"/>
      <c r="BG994" s="10218"/>
      <c r="BH994" s="10218"/>
      <c r="BI994" s="10218"/>
      <c r="BJ994" s="10218"/>
      <c r="BK994" s="10218"/>
      <c r="BL994" s="10218"/>
      <c r="BM994" s="10218"/>
      <c r="BN994" s="10218"/>
    </row>
    <row r="995" spans="1:66" ht="29.25" hidden="1" customHeight="1">
      <c r="A995" s="10339">
        <v>606</v>
      </c>
      <c r="B995" s="10340" t="s">
        <v>4570</v>
      </c>
      <c r="C995" s="13600"/>
      <c r="D995" s="12342" t="s">
        <v>10063</v>
      </c>
      <c r="E995" s="7826" t="s">
        <v>2856</v>
      </c>
      <c r="F995" s="7826"/>
      <c r="G995" s="12343" t="s">
        <v>4571</v>
      </c>
      <c r="H995" s="12344"/>
      <c r="I995" s="14192"/>
      <c r="K995" s="10213"/>
      <c r="L995" s="9465"/>
      <c r="M995" s="9465"/>
      <c r="N995" s="10214"/>
      <c r="O995" s="10214"/>
      <c r="P995" s="10215"/>
      <c r="Q995" s="9468"/>
      <c r="R995" s="9469"/>
      <c r="S995" s="9470"/>
      <c r="T995" s="9471"/>
      <c r="U995" s="9468"/>
      <c r="V995" s="9469"/>
      <c r="W995" s="9471"/>
      <c r="X995" s="9469"/>
      <c r="Y995" s="9471"/>
      <c r="Z995" s="9469"/>
      <c r="AA995" s="9470"/>
      <c r="AB995" s="9470"/>
      <c r="AC995" s="9470"/>
      <c r="AD995" s="9470"/>
      <c r="AE995" s="9470"/>
      <c r="AF995" s="9471"/>
      <c r="AG995" s="9469"/>
      <c r="AH995" s="9470"/>
      <c r="AI995" s="9470"/>
      <c r="AJ995" s="9470"/>
      <c r="AK995" s="9470"/>
      <c r="AL995" s="9470"/>
      <c r="AM995" s="9470"/>
      <c r="AN995" s="9471"/>
      <c r="AO995" s="9469"/>
      <c r="AP995" s="9470"/>
      <c r="AQ995" s="9470"/>
      <c r="AR995" s="9470"/>
      <c r="AS995" s="9470"/>
      <c r="AT995" s="9471"/>
      <c r="AU995" s="10216"/>
      <c r="AV995" s="10216"/>
      <c r="AW995" s="10216"/>
      <c r="AX995" s="10213"/>
      <c r="AY995" s="10215"/>
      <c r="AZ995" s="10216"/>
      <c r="BA995" s="10213"/>
      <c r="BB995" s="10214"/>
      <c r="BC995" s="10215"/>
      <c r="BD995" s="10217"/>
      <c r="BF995" s="10218"/>
      <c r="BG995" s="10218"/>
      <c r="BH995" s="10218"/>
      <c r="BI995" s="10218"/>
      <c r="BJ995" s="10218"/>
      <c r="BK995" s="10218"/>
      <c r="BL995" s="10218"/>
      <c r="BM995" s="10218"/>
      <c r="BN995" s="10218"/>
    </row>
    <row r="996" spans="1:66" ht="29.25" hidden="1" customHeight="1">
      <c r="A996" s="10339">
        <v>607</v>
      </c>
      <c r="B996" s="10340" t="s">
        <v>4572</v>
      </c>
      <c r="C996" s="13600"/>
      <c r="D996" s="12342" t="s">
        <v>10063</v>
      </c>
      <c r="E996" s="7826" t="s">
        <v>2856</v>
      </c>
      <c r="F996" s="7826"/>
      <c r="G996" s="12343" t="s">
        <v>4573</v>
      </c>
      <c r="H996" s="12344"/>
      <c r="I996" s="14192"/>
      <c r="K996" s="10213"/>
      <c r="L996" s="9465"/>
      <c r="M996" s="9465"/>
      <c r="N996" s="10214"/>
      <c r="O996" s="10214"/>
      <c r="P996" s="10215"/>
      <c r="Q996" s="9468"/>
      <c r="R996" s="9469"/>
      <c r="S996" s="9470"/>
      <c r="T996" s="9471"/>
      <c r="U996" s="9468"/>
      <c r="V996" s="9469"/>
      <c r="W996" s="9471"/>
      <c r="X996" s="9469"/>
      <c r="Y996" s="9471"/>
      <c r="Z996" s="9469"/>
      <c r="AA996" s="9470"/>
      <c r="AB996" s="9470"/>
      <c r="AC996" s="9470"/>
      <c r="AD996" s="9470"/>
      <c r="AE996" s="9470"/>
      <c r="AF996" s="9471"/>
      <c r="AG996" s="9469"/>
      <c r="AH996" s="9470"/>
      <c r="AI996" s="9470"/>
      <c r="AJ996" s="9470"/>
      <c r="AK996" s="9470"/>
      <c r="AL996" s="9470"/>
      <c r="AM996" s="9470"/>
      <c r="AN996" s="9471"/>
      <c r="AO996" s="9469"/>
      <c r="AP996" s="9470"/>
      <c r="AQ996" s="9470"/>
      <c r="AR996" s="9470"/>
      <c r="AS996" s="9470"/>
      <c r="AT996" s="9471"/>
      <c r="AU996" s="10216"/>
      <c r="AV996" s="10216"/>
      <c r="AW996" s="10216"/>
      <c r="AX996" s="10213"/>
      <c r="AY996" s="10215"/>
      <c r="AZ996" s="10216"/>
      <c r="BA996" s="10213"/>
      <c r="BB996" s="10214"/>
      <c r="BC996" s="10215"/>
      <c r="BD996" s="10217"/>
      <c r="BF996" s="10218"/>
      <c r="BG996" s="10218"/>
      <c r="BH996" s="10218"/>
      <c r="BI996" s="10218"/>
      <c r="BJ996" s="10218"/>
      <c r="BK996" s="10218"/>
      <c r="BL996" s="10218"/>
      <c r="BM996" s="10218"/>
      <c r="BN996" s="10218"/>
    </row>
    <row r="997" spans="1:66" ht="29.25" hidden="1" customHeight="1">
      <c r="A997" s="10339">
        <v>608</v>
      </c>
      <c r="B997" s="10340" t="s">
        <v>4574</v>
      </c>
      <c r="C997" s="13600"/>
      <c r="D997" s="12342" t="s">
        <v>10063</v>
      </c>
      <c r="E997" s="7826" t="s">
        <v>2856</v>
      </c>
      <c r="F997" s="7826"/>
      <c r="G997" s="12343" t="s">
        <v>4575</v>
      </c>
      <c r="H997" s="12344"/>
      <c r="I997" s="14192"/>
      <c r="K997" s="10213"/>
      <c r="L997" s="9465"/>
      <c r="M997" s="9465"/>
      <c r="N997" s="10214"/>
      <c r="O997" s="10214"/>
      <c r="P997" s="10215"/>
      <c r="Q997" s="9468"/>
      <c r="R997" s="9469"/>
      <c r="S997" s="9470"/>
      <c r="T997" s="9471"/>
      <c r="U997" s="9468"/>
      <c r="V997" s="9469"/>
      <c r="W997" s="9471"/>
      <c r="X997" s="9469"/>
      <c r="Y997" s="9471"/>
      <c r="Z997" s="9469"/>
      <c r="AA997" s="9470"/>
      <c r="AB997" s="9470"/>
      <c r="AC997" s="9470"/>
      <c r="AD997" s="9470"/>
      <c r="AE997" s="9470"/>
      <c r="AF997" s="9471"/>
      <c r="AG997" s="9469"/>
      <c r="AH997" s="9470"/>
      <c r="AI997" s="9470"/>
      <c r="AJ997" s="9470"/>
      <c r="AK997" s="9470"/>
      <c r="AL997" s="9470"/>
      <c r="AM997" s="9470"/>
      <c r="AN997" s="9471"/>
      <c r="AO997" s="9469"/>
      <c r="AP997" s="9470"/>
      <c r="AQ997" s="9470"/>
      <c r="AR997" s="9470"/>
      <c r="AS997" s="9470"/>
      <c r="AT997" s="9471"/>
      <c r="AU997" s="10216"/>
      <c r="AV997" s="10216"/>
      <c r="AW997" s="10216"/>
      <c r="AX997" s="10213"/>
      <c r="AY997" s="10215"/>
      <c r="AZ997" s="10216"/>
      <c r="BA997" s="10213"/>
      <c r="BB997" s="10214"/>
      <c r="BC997" s="10215"/>
      <c r="BD997" s="10217"/>
      <c r="BF997" s="10218"/>
      <c r="BG997" s="10218"/>
      <c r="BH997" s="10218"/>
      <c r="BI997" s="10218"/>
      <c r="BJ997" s="10218"/>
      <c r="BK997" s="10218"/>
      <c r="BL997" s="10218"/>
      <c r="BM997" s="10218"/>
      <c r="BN997" s="10218"/>
    </row>
    <row r="998" spans="1:66" ht="29.25" hidden="1" customHeight="1">
      <c r="A998" s="10339">
        <v>609</v>
      </c>
      <c r="B998" s="10340" t="s">
        <v>4576</v>
      </c>
      <c r="C998" s="13600"/>
      <c r="D998" s="12342" t="s">
        <v>10063</v>
      </c>
      <c r="E998" s="7826" t="s">
        <v>2856</v>
      </c>
      <c r="F998" s="7826"/>
      <c r="G998" s="12343" t="s">
        <v>4577</v>
      </c>
      <c r="H998" s="12344"/>
      <c r="I998" s="14192"/>
      <c r="K998" s="10213"/>
      <c r="L998" s="9465"/>
      <c r="M998" s="9465"/>
      <c r="N998" s="10214"/>
      <c r="O998" s="10214"/>
      <c r="P998" s="10215"/>
      <c r="Q998" s="9468"/>
      <c r="R998" s="9469"/>
      <c r="S998" s="9470"/>
      <c r="T998" s="9471"/>
      <c r="U998" s="9468"/>
      <c r="V998" s="9469"/>
      <c r="W998" s="9471"/>
      <c r="X998" s="9469"/>
      <c r="Y998" s="9471"/>
      <c r="Z998" s="9469"/>
      <c r="AA998" s="9470"/>
      <c r="AB998" s="9470"/>
      <c r="AC998" s="9470"/>
      <c r="AD998" s="9470"/>
      <c r="AE998" s="9470"/>
      <c r="AF998" s="9471"/>
      <c r="AG998" s="9469"/>
      <c r="AH998" s="9470"/>
      <c r="AI998" s="9470"/>
      <c r="AJ998" s="9470"/>
      <c r="AK998" s="9470"/>
      <c r="AL998" s="9470"/>
      <c r="AM998" s="9470"/>
      <c r="AN998" s="9471"/>
      <c r="AO998" s="9469"/>
      <c r="AP998" s="9470"/>
      <c r="AQ998" s="9470"/>
      <c r="AR998" s="9470"/>
      <c r="AS998" s="9470"/>
      <c r="AT998" s="9471"/>
      <c r="AU998" s="10216"/>
      <c r="AV998" s="10216"/>
      <c r="AW998" s="10216"/>
      <c r="AX998" s="10213"/>
      <c r="AY998" s="10215"/>
      <c r="AZ998" s="10216"/>
      <c r="BA998" s="10213"/>
      <c r="BB998" s="10214"/>
      <c r="BC998" s="10215"/>
      <c r="BD998" s="10217"/>
      <c r="BF998" s="10218"/>
      <c r="BG998" s="10218"/>
      <c r="BH998" s="10218"/>
      <c r="BI998" s="10218"/>
      <c r="BJ998" s="10218"/>
      <c r="BK998" s="10218"/>
      <c r="BL998" s="10218"/>
      <c r="BM998" s="10218"/>
      <c r="BN998" s="10218"/>
    </row>
    <row r="999" spans="1:66" ht="29.25" hidden="1" customHeight="1">
      <c r="A999" s="10339">
        <v>610</v>
      </c>
      <c r="B999" s="10340" t="s">
        <v>4578</v>
      </c>
      <c r="C999" s="13600"/>
      <c r="D999" s="12342" t="s">
        <v>10063</v>
      </c>
      <c r="E999" s="7826" t="s">
        <v>2856</v>
      </c>
      <c r="F999" s="7826"/>
      <c r="G999" s="12343" t="s">
        <v>4579</v>
      </c>
      <c r="H999" s="12344"/>
      <c r="I999" s="14192"/>
      <c r="K999" s="10213"/>
      <c r="L999" s="9465"/>
      <c r="M999" s="9465"/>
      <c r="N999" s="10214"/>
      <c r="O999" s="10214"/>
      <c r="P999" s="10215"/>
      <c r="Q999" s="9468"/>
      <c r="R999" s="9469"/>
      <c r="S999" s="9470"/>
      <c r="T999" s="9471"/>
      <c r="U999" s="9468"/>
      <c r="V999" s="9469"/>
      <c r="W999" s="9471"/>
      <c r="X999" s="9469"/>
      <c r="Y999" s="9471"/>
      <c r="Z999" s="9469"/>
      <c r="AA999" s="9470"/>
      <c r="AB999" s="9470"/>
      <c r="AC999" s="9470"/>
      <c r="AD999" s="9470"/>
      <c r="AE999" s="9470"/>
      <c r="AF999" s="9471"/>
      <c r="AG999" s="9469"/>
      <c r="AH999" s="9470"/>
      <c r="AI999" s="9470"/>
      <c r="AJ999" s="9470"/>
      <c r="AK999" s="9470"/>
      <c r="AL999" s="9470"/>
      <c r="AM999" s="9470"/>
      <c r="AN999" s="9471"/>
      <c r="AO999" s="9469"/>
      <c r="AP999" s="9470"/>
      <c r="AQ999" s="9470"/>
      <c r="AR999" s="9470"/>
      <c r="AS999" s="9470"/>
      <c r="AT999" s="9471"/>
      <c r="AU999" s="10216"/>
      <c r="AV999" s="10216"/>
      <c r="AW999" s="10216"/>
      <c r="AX999" s="10213"/>
      <c r="AY999" s="10215"/>
      <c r="AZ999" s="10216"/>
      <c r="BA999" s="10213"/>
      <c r="BB999" s="10214"/>
      <c r="BC999" s="10215"/>
      <c r="BD999" s="10217"/>
      <c r="BF999" s="10218"/>
      <c r="BG999" s="10218"/>
      <c r="BH999" s="10218"/>
      <c r="BI999" s="10218"/>
      <c r="BJ999" s="10218"/>
      <c r="BK999" s="10218"/>
      <c r="BL999" s="10218"/>
      <c r="BM999" s="10218"/>
      <c r="BN999" s="10218"/>
    </row>
    <row r="1000" spans="1:66" ht="29.25" hidden="1" customHeight="1">
      <c r="A1000" s="10339">
        <v>611</v>
      </c>
      <c r="B1000" s="10340" t="s">
        <v>4580</v>
      </c>
      <c r="C1000" s="13600"/>
      <c r="D1000" s="12342" t="s">
        <v>10063</v>
      </c>
      <c r="E1000" s="7826" t="s">
        <v>2856</v>
      </c>
      <c r="F1000" s="7826"/>
      <c r="G1000" s="12343" t="s">
        <v>4581</v>
      </c>
      <c r="H1000" s="12344"/>
      <c r="I1000" s="14192"/>
      <c r="K1000" s="10213"/>
      <c r="L1000" s="9465"/>
      <c r="M1000" s="9465"/>
      <c r="N1000" s="10214"/>
      <c r="O1000" s="10214"/>
      <c r="P1000" s="10215"/>
      <c r="Q1000" s="9468"/>
      <c r="R1000" s="9469"/>
      <c r="S1000" s="9470"/>
      <c r="T1000" s="9471"/>
      <c r="U1000" s="9468"/>
      <c r="V1000" s="9469"/>
      <c r="W1000" s="9471"/>
      <c r="X1000" s="9469"/>
      <c r="Y1000" s="9471"/>
      <c r="Z1000" s="9469"/>
      <c r="AA1000" s="9470"/>
      <c r="AB1000" s="9470"/>
      <c r="AC1000" s="9470"/>
      <c r="AD1000" s="9470"/>
      <c r="AE1000" s="9470"/>
      <c r="AF1000" s="9471"/>
      <c r="AG1000" s="9469"/>
      <c r="AH1000" s="9470"/>
      <c r="AI1000" s="9470"/>
      <c r="AJ1000" s="9470"/>
      <c r="AK1000" s="9470"/>
      <c r="AL1000" s="9470"/>
      <c r="AM1000" s="9470"/>
      <c r="AN1000" s="9471"/>
      <c r="AO1000" s="9469"/>
      <c r="AP1000" s="9470"/>
      <c r="AQ1000" s="9470"/>
      <c r="AR1000" s="9470"/>
      <c r="AS1000" s="9470"/>
      <c r="AT1000" s="9471"/>
      <c r="AU1000" s="10216"/>
      <c r="AV1000" s="10216"/>
      <c r="AW1000" s="10216"/>
      <c r="AX1000" s="10213"/>
      <c r="AY1000" s="10215"/>
      <c r="AZ1000" s="10216"/>
      <c r="BA1000" s="10213"/>
      <c r="BB1000" s="10214"/>
      <c r="BC1000" s="10215"/>
      <c r="BD1000" s="10217"/>
      <c r="BF1000" s="10218"/>
      <c r="BG1000" s="10218"/>
      <c r="BH1000" s="10218"/>
      <c r="BI1000" s="10218"/>
      <c r="BJ1000" s="10218"/>
      <c r="BK1000" s="10218"/>
      <c r="BL1000" s="10218"/>
      <c r="BM1000" s="10218"/>
      <c r="BN1000" s="10218"/>
    </row>
    <row r="1001" spans="1:66" ht="29.25" hidden="1" customHeight="1">
      <c r="A1001" s="10339">
        <v>612</v>
      </c>
      <c r="B1001" s="10340" t="s">
        <v>4582</v>
      </c>
      <c r="C1001" s="13600"/>
      <c r="D1001" s="12342" t="s">
        <v>10063</v>
      </c>
      <c r="E1001" s="7826" t="s">
        <v>2856</v>
      </c>
      <c r="F1001" s="7826"/>
      <c r="G1001" s="12343" t="s">
        <v>4583</v>
      </c>
      <c r="H1001" s="12344"/>
      <c r="I1001" s="14192"/>
      <c r="K1001" s="10213"/>
      <c r="L1001" s="9465"/>
      <c r="M1001" s="9465"/>
      <c r="N1001" s="10214"/>
      <c r="O1001" s="10214"/>
      <c r="P1001" s="10215"/>
      <c r="Q1001" s="9468"/>
      <c r="R1001" s="9469"/>
      <c r="S1001" s="9470"/>
      <c r="T1001" s="9471"/>
      <c r="U1001" s="9468"/>
      <c r="V1001" s="9469"/>
      <c r="W1001" s="9471"/>
      <c r="X1001" s="9469"/>
      <c r="Y1001" s="9471"/>
      <c r="Z1001" s="9469"/>
      <c r="AA1001" s="9470"/>
      <c r="AB1001" s="9470"/>
      <c r="AC1001" s="9470"/>
      <c r="AD1001" s="9470"/>
      <c r="AE1001" s="9470"/>
      <c r="AF1001" s="9471"/>
      <c r="AG1001" s="9469"/>
      <c r="AH1001" s="9470"/>
      <c r="AI1001" s="9470"/>
      <c r="AJ1001" s="9470"/>
      <c r="AK1001" s="9470"/>
      <c r="AL1001" s="9470"/>
      <c r="AM1001" s="9470"/>
      <c r="AN1001" s="9471"/>
      <c r="AO1001" s="9469"/>
      <c r="AP1001" s="9470"/>
      <c r="AQ1001" s="9470"/>
      <c r="AR1001" s="9470"/>
      <c r="AS1001" s="9470"/>
      <c r="AT1001" s="9471"/>
      <c r="AU1001" s="10216"/>
      <c r="AV1001" s="10216"/>
      <c r="AW1001" s="10216"/>
      <c r="AX1001" s="10213"/>
      <c r="AY1001" s="10215"/>
      <c r="AZ1001" s="10216"/>
      <c r="BA1001" s="10213"/>
      <c r="BB1001" s="10214"/>
      <c r="BC1001" s="10215"/>
      <c r="BD1001" s="10217"/>
      <c r="BF1001" s="10218"/>
      <c r="BG1001" s="10218"/>
      <c r="BH1001" s="10218"/>
      <c r="BI1001" s="10218"/>
      <c r="BJ1001" s="10218"/>
      <c r="BK1001" s="10218"/>
      <c r="BL1001" s="10218"/>
      <c r="BM1001" s="10218"/>
      <c r="BN1001" s="10218"/>
    </row>
    <row r="1002" spans="1:66" ht="29.25" hidden="1" customHeight="1">
      <c r="A1002" s="10339">
        <v>613</v>
      </c>
      <c r="B1002" s="10340" t="s">
        <v>4584</v>
      </c>
      <c r="C1002" s="13600"/>
      <c r="D1002" s="12342" t="s">
        <v>10063</v>
      </c>
      <c r="E1002" s="7826" t="s">
        <v>2856</v>
      </c>
      <c r="F1002" s="7826"/>
      <c r="G1002" s="12343" t="s">
        <v>4585</v>
      </c>
      <c r="H1002" s="12344"/>
      <c r="I1002" s="14192"/>
      <c r="K1002" s="10213"/>
      <c r="L1002" s="9465"/>
      <c r="M1002" s="9465"/>
      <c r="N1002" s="10214"/>
      <c r="O1002" s="10214"/>
      <c r="P1002" s="10215"/>
      <c r="Q1002" s="9468"/>
      <c r="R1002" s="9469"/>
      <c r="S1002" s="9470"/>
      <c r="T1002" s="9471"/>
      <c r="U1002" s="9468"/>
      <c r="V1002" s="9469"/>
      <c r="W1002" s="9471"/>
      <c r="X1002" s="9469"/>
      <c r="Y1002" s="9471"/>
      <c r="Z1002" s="9469"/>
      <c r="AA1002" s="9470"/>
      <c r="AB1002" s="9470"/>
      <c r="AC1002" s="9470"/>
      <c r="AD1002" s="9470"/>
      <c r="AE1002" s="9470"/>
      <c r="AF1002" s="9471"/>
      <c r="AG1002" s="9469"/>
      <c r="AH1002" s="9470"/>
      <c r="AI1002" s="9470"/>
      <c r="AJ1002" s="9470"/>
      <c r="AK1002" s="9470"/>
      <c r="AL1002" s="9470"/>
      <c r="AM1002" s="9470"/>
      <c r="AN1002" s="9471"/>
      <c r="AO1002" s="9469"/>
      <c r="AP1002" s="9470"/>
      <c r="AQ1002" s="9470"/>
      <c r="AR1002" s="9470"/>
      <c r="AS1002" s="9470"/>
      <c r="AT1002" s="9471"/>
      <c r="AU1002" s="10216"/>
      <c r="AV1002" s="10216"/>
      <c r="AW1002" s="10216"/>
      <c r="AX1002" s="10213"/>
      <c r="AY1002" s="10215"/>
      <c r="AZ1002" s="10216"/>
      <c r="BA1002" s="10213"/>
      <c r="BB1002" s="10214"/>
      <c r="BC1002" s="10215"/>
      <c r="BD1002" s="10217"/>
      <c r="BF1002" s="10218"/>
      <c r="BG1002" s="10218"/>
      <c r="BH1002" s="10218"/>
      <c r="BI1002" s="10218"/>
      <c r="BJ1002" s="10218"/>
      <c r="BK1002" s="10218"/>
      <c r="BL1002" s="10218"/>
      <c r="BM1002" s="10218"/>
      <c r="BN1002" s="10218"/>
    </row>
    <row r="1003" spans="1:66" ht="29.25" hidden="1" customHeight="1">
      <c r="A1003" s="10339">
        <v>614</v>
      </c>
      <c r="B1003" s="10340" t="s">
        <v>4586</v>
      </c>
      <c r="C1003" s="13600"/>
      <c r="D1003" s="12342" t="s">
        <v>10063</v>
      </c>
      <c r="E1003" s="7826" t="s">
        <v>2856</v>
      </c>
      <c r="F1003" s="7826"/>
      <c r="G1003" s="12343" t="s">
        <v>4587</v>
      </c>
      <c r="H1003" s="12344"/>
      <c r="I1003" s="14192"/>
      <c r="K1003" s="10213"/>
      <c r="L1003" s="9465"/>
      <c r="M1003" s="9465"/>
      <c r="N1003" s="10214"/>
      <c r="O1003" s="10214"/>
      <c r="P1003" s="10215"/>
      <c r="Q1003" s="9468"/>
      <c r="R1003" s="9469"/>
      <c r="S1003" s="9470"/>
      <c r="T1003" s="9471"/>
      <c r="U1003" s="9468"/>
      <c r="V1003" s="9469"/>
      <c r="W1003" s="9471"/>
      <c r="X1003" s="9469"/>
      <c r="Y1003" s="9471"/>
      <c r="Z1003" s="9469"/>
      <c r="AA1003" s="9470"/>
      <c r="AB1003" s="9470"/>
      <c r="AC1003" s="9470"/>
      <c r="AD1003" s="9470"/>
      <c r="AE1003" s="9470"/>
      <c r="AF1003" s="9471"/>
      <c r="AG1003" s="9469"/>
      <c r="AH1003" s="9470"/>
      <c r="AI1003" s="9470"/>
      <c r="AJ1003" s="9470"/>
      <c r="AK1003" s="9470"/>
      <c r="AL1003" s="9470"/>
      <c r="AM1003" s="9470"/>
      <c r="AN1003" s="9471"/>
      <c r="AO1003" s="9469"/>
      <c r="AP1003" s="9470"/>
      <c r="AQ1003" s="9470"/>
      <c r="AR1003" s="9470"/>
      <c r="AS1003" s="9470"/>
      <c r="AT1003" s="9471"/>
      <c r="AU1003" s="10216"/>
      <c r="AV1003" s="10216"/>
      <c r="AW1003" s="10216"/>
      <c r="AX1003" s="10213"/>
      <c r="AY1003" s="10215"/>
      <c r="AZ1003" s="10216"/>
      <c r="BA1003" s="10213"/>
      <c r="BB1003" s="10214"/>
      <c r="BC1003" s="10215"/>
      <c r="BD1003" s="10217"/>
      <c r="BF1003" s="10218"/>
      <c r="BG1003" s="10218"/>
      <c r="BH1003" s="10218"/>
      <c r="BI1003" s="10218"/>
      <c r="BJ1003" s="10218"/>
      <c r="BK1003" s="10218"/>
      <c r="BL1003" s="10218"/>
      <c r="BM1003" s="10218"/>
      <c r="BN1003" s="10218"/>
    </row>
    <row r="1004" spans="1:66" ht="29.25" hidden="1" customHeight="1">
      <c r="A1004" s="13556">
        <v>615</v>
      </c>
      <c r="B1004" s="14215" t="s">
        <v>4588</v>
      </c>
      <c r="C1004" s="13600"/>
      <c r="D1004" s="12301" t="s">
        <v>10063</v>
      </c>
      <c r="E1004" s="7826" t="s">
        <v>2856</v>
      </c>
      <c r="F1004" s="7826"/>
      <c r="G1004" s="14216" t="s">
        <v>2736</v>
      </c>
      <c r="H1004" s="13432"/>
      <c r="I1004" s="14192" t="s">
        <v>2746</v>
      </c>
      <c r="K1004" s="10213"/>
      <c r="L1004" s="9465"/>
      <c r="M1004" s="9465"/>
      <c r="N1004" s="10214"/>
      <c r="O1004" s="10214"/>
      <c r="P1004" s="10215"/>
      <c r="Q1004" s="9468"/>
      <c r="R1004" s="9469"/>
      <c r="S1004" s="9470"/>
      <c r="T1004" s="9471"/>
      <c r="U1004" s="9468"/>
      <c r="V1004" s="9469"/>
      <c r="W1004" s="9471"/>
      <c r="X1004" s="9469"/>
      <c r="Y1004" s="9471"/>
      <c r="Z1004" s="9469"/>
      <c r="AA1004" s="9470"/>
      <c r="AB1004" s="9470"/>
      <c r="AC1004" s="9470"/>
      <c r="AD1004" s="9470"/>
      <c r="AE1004" s="9470"/>
      <c r="AF1004" s="9471"/>
      <c r="AG1004" s="9469"/>
      <c r="AH1004" s="9470"/>
      <c r="AI1004" s="9470"/>
      <c r="AJ1004" s="9470"/>
      <c r="AK1004" s="9470"/>
      <c r="AL1004" s="9470"/>
      <c r="AM1004" s="9470"/>
      <c r="AN1004" s="9471"/>
      <c r="AO1004" s="9469"/>
      <c r="AP1004" s="9470"/>
      <c r="AQ1004" s="9470"/>
      <c r="AR1004" s="9470"/>
      <c r="AS1004" s="9470"/>
      <c r="AT1004" s="9471"/>
      <c r="AU1004" s="10216"/>
      <c r="AV1004" s="10216"/>
      <c r="AW1004" s="10216"/>
      <c r="AX1004" s="10213"/>
      <c r="AY1004" s="10215"/>
      <c r="AZ1004" s="10216"/>
      <c r="BA1004" s="10213"/>
      <c r="BB1004" s="10214"/>
      <c r="BC1004" s="10215"/>
      <c r="BD1004" s="10217"/>
      <c r="BF1004" s="14534"/>
      <c r="BG1004" s="14534"/>
      <c r="BH1004" s="14534"/>
      <c r="BI1004" s="14534"/>
      <c r="BJ1004" s="14534"/>
      <c r="BK1004" s="8859"/>
      <c r="BL1004" s="14534"/>
      <c r="BM1004" s="14534"/>
      <c r="BN1004" s="14534"/>
    </row>
    <row r="1005" spans="1:66" ht="29.25" hidden="1" customHeight="1">
      <c r="A1005" s="13556"/>
      <c r="B1005" s="14215"/>
      <c r="C1005" s="13600"/>
      <c r="D1005" s="12301" t="s">
        <v>10066</v>
      </c>
      <c r="E1005" s="7826"/>
      <c r="F1005" s="7826" t="s">
        <v>2857</v>
      </c>
      <c r="G1005" s="14216"/>
      <c r="H1005" s="13432"/>
      <c r="I1005" s="14192"/>
      <c r="K1005" s="10213"/>
      <c r="L1005" s="9465"/>
      <c r="M1005" s="9465"/>
      <c r="N1005" s="10214"/>
      <c r="O1005" s="10214"/>
      <c r="P1005" s="10215"/>
      <c r="Q1005" s="9468"/>
      <c r="R1005" s="9469"/>
      <c r="S1005" s="9470"/>
      <c r="T1005" s="9471"/>
      <c r="U1005" s="9468"/>
      <c r="V1005" s="9469"/>
      <c r="W1005" s="9471"/>
      <c r="X1005" s="9469"/>
      <c r="Y1005" s="9471"/>
      <c r="Z1005" s="9469"/>
      <c r="AA1005" s="9470"/>
      <c r="AB1005" s="9470"/>
      <c r="AC1005" s="9470"/>
      <c r="AD1005" s="9470"/>
      <c r="AE1005" s="9470"/>
      <c r="AF1005" s="9471"/>
      <c r="AG1005" s="9469"/>
      <c r="AH1005" s="9470"/>
      <c r="AI1005" s="9470"/>
      <c r="AJ1005" s="9470"/>
      <c r="AK1005" s="9470"/>
      <c r="AL1005" s="9470"/>
      <c r="AM1005" s="9470"/>
      <c r="AN1005" s="9471"/>
      <c r="AO1005" s="9469"/>
      <c r="AP1005" s="9470"/>
      <c r="AQ1005" s="9470"/>
      <c r="AR1005" s="9470"/>
      <c r="AS1005" s="9470"/>
      <c r="AT1005" s="9471"/>
      <c r="AU1005" s="10216"/>
      <c r="AV1005" s="10216"/>
      <c r="AW1005" s="10216"/>
      <c r="AX1005" s="10213"/>
      <c r="AY1005" s="10215"/>
      <c r="AZ1005" s="10216"/>
      <c r="BA1005" s="10213"/>
      <c r="BB1005" s="10214"/>
      <c r="BC1005" s="10215"/>
      <c r="BD1005" s="10217"/>
      <c r="BF1005" s="14534"/>
      <c r="BG1005" s="14534"/>
      <c r="BH1005" s="14534"/>
      <c r="BI1005" s="14534"/>
      <c r="BJ1005" s="14534"/>
      <c r="BK1005" s="8859"/>
      <c r="BL1005" s="14534"/>
      <c r="BM1005" s="14534"/>
      <c r="BN1005" s="14534"/>
    </row>
    <row r="1006" spans="1:66" ht="29.25" hidden="1" customHeight="1">
      <c r="A1006" s="13556">
        <v>616</v>
      </c>
      <c r="B1006" s="14215" t="s">
        <v>4589</v>
      </c>
      <c r="C1006" s="13600"/>
      <c r="D1006" s="12301" t="s">
        <v>10063</v>
      </c>
      <c r="E1006" s="7826" t="s">
        <v>2856</v>
      </c>
      <c r="F1006" s="7826"/>
      <c r="G1006" s="14216" t="s">
        <v>2738</v>
      </c>
      <c r="H1006" s="13432"/>
      <c r="I1006" s="14192"/>
      <c r="K1006" s="10213"/>
      <c r="L1006" s="9465"/>
      <c r="M1006" s="9465"/>
      <c r="N1006" s="10214"/>
      <c r="O1006" s="10214"/>
      <c r="P1006" s="10215"/>
      <c r="Q1006" s="9468"/>
      <c r="R1006" s="9469"/>
      <c r="S1006" s="9470"/>
      <c r="T1006" s="9471"/>
      <c r="U1006" s="9468"/>
      <c r="V1006" s="9469"/>
      <c r="W1006" s="9471"/>
      <c r="X1006" s="9469"/>
      <c r="Y1006" s="9471"/>
      <c r="Z1006" s="9469"/>
      <c r="AA1006" s="9470"/>
      <c r="AB1006" s="9470"/>
      <c r="AC1006" s="9470"/>
      <c r="AD1006" s="9470"/>
      <c r="AE1006" s="9470"/>
      <c r="AF1006" s="9471"/>
      <c r="AG1006" s="9469"/>
      <c r="AH1006" s="9470"/>
      <c r="AI1006" s="9470"/>
      <c r="AJ1006" s="9470"/>
      <c r="AK1006" s="9470"/>
      <c r="AL1006" s="9470"/>
      <c r="AM1006" s="9470"/>
      <c r="AN1006" s="9471"/>
      <c r="AO1006" s="9469"/>
      <c r="AP1006" s="9470"/>
      <c r="AQ1006" s="9470"/>
      <c r="AR1006" s="9470"/>
      <c r="AS1006" s="9470"/>
      <c r="AT1006" s="9471"/>
      <c r="AU1006" s="10216"/>
      <c r="AV1006" s="10216"/>
      <c r="AW1006" s="10216"/>
      <c r="AX1006" s="10213"/>
      <c r="AY1006" s="10215"/>
      <c r="AZ1006" s="10216"/>
      <c r="BA1006" s="10213"/>
      <c r="BB1006" s="10214"/>
      <c r="BC1006" s="10215"/>
      <c r="BD1006" s="10217"/>
      <c r="BF1006" s="14534"/>
      <c r="BG1006" s="14534"/>
      <c r="BH1006" s="14534"/>
      <c r="BI1006" s="14534"/>
      <c r="BJ1006" s="14534"/>
      <c r="BK1006" s="8859"/>
      <c r="BL1006" s="14534"/>
      <c r="BM1006" s="14534"/>
      <c r="BN1006" s="14534"/>
    </row>
    <row r="1007" spans="1:66" ht="29.25" hidden="1" customHeight="1">
      <c r="A1007" s="13556"/>
      <c r="B1007" s="14215"/>
      <c r="C1007" s="13600"/>
      <c r="D1007" s="12301" t="s">
        <v>10066</v>
      </c>
      <c r="E1007" s="7826"/>
      <c r="F1007" s="7826" t="s">
        <v>2857</v>
      </c>
      <c r="G1007" s="14216"/>
      <c r="H1007" s="13432"/>
      <c r="I1007" s="14192"/>
      <c r="K1007" s="10213"/>
      <c r="L1007" s="9465"/>
      <c r="M1007" s="9465"/>
      <c r="N1007" s="10214"/>
      <c r="O1007" s="10214"/>
      <c r="P1007" s="10215"/>
      <c r="Q1007" s="9468"/>
      <c r="R1007" s="9469"/>
      <c r="S1007" s="9470"/>
      <c r="T1007" s="9471"/>
      <c r="U1007" s="9468"/>
      <c r="V1007" s="9469"/>
      <c r="W1007" s="9471"/>
      <c r="X1007" s="9469"/>
      <c r="Y1007" s="9471"/>
      <c r="Z1007" s="9469"/>
      <c r="AA1007" s="9470"/>
      <c r="AB1007" s="9470"/>
      <c r="AC1007" s="9470"/>
      <c r="AD1007" s="9470"/>
      <c r="AE1007" s="9470"/>
      <c r="AF1007" s="9471"/>
      <c r="AG1007" s="9469"/>
      <c r="AH1007" s="9470"/>
      <c r="AI1007" s="9470"/>
      <c r="AJ1007" s="9470"/>
      <c r="AK1007" s="9470"/>
      <c r="AL1007" s="9470"/>
      <c r="AM1007" s="9470"/>
      <c r="AN1007" s="9471"/>
      <c r="AO1007" s="9469"/>
      <c r="AP1007" s="9470"/>
      <c r="AQ1007" s="9470"/>
      <c r="AR1007" s="9470"/>
      <c r="AS1007" s="9470"/>
      <c r="AT1007" s="9471"/>
      <c r="AU1007" s="10216"/>
      <c r="AV1007" s="10216"/>
      <c r="AW1007" s="10216"/>
      <c r="AX1007" s="10213"/>
      <c r="AY1007" s="10215"/>
      <c r="AZ1007" s="10216"/>
      <c r="BA1007" s="10213"/>
      <c r="BB1007" s="10214"/>
      <c r="BC1007" s="10215"/>
      <c r="BD1007" s="10217"/>
      <c r="BF1007" s="14534"/>
      <c r="BG1007" s="14534"/>
      <c r="BH1007" s="14534"/>
      <c r="BI1007" s="14534"/>
      <c r="BJ1007" s="14534"/>
      <c r="BK1007" s="8859"/>
      <c r="BL1007" s="14534"/>
      <c r="BM1007" s="14534"/>
      <c r="BN1007" s="14534"/>
    </row>
    <row r="1008" spans="1:66" ht="29.25" hidden="1" customHeight="1">
      <c r="A1008" s="13556">
        <v>617</v>
      </c>
      <c r="B1008" s="14215" t="s">
        <v>4590</v>
      </c>
      <c r="C1008" s="13600"/>
      <c r="D1008" s="12301" t="s">
        <v>10063</v>
      </c>
      <c r="E1008" s="7826" t="s">
        <v>2856</v>
      </c>
      <c r="F1008" s="7826"/>
      <c r="G1008" s="14216" t="s">
        <v>2740</v>
      </c>
      <c r="H1008" s="13432"/>
      <c r="I1008" s="14192"/>
      <c r="K1008" s="10213"/>
      <c r="L1008" s="9465"/>
      <c r="M1008" s="9465"/>
      <c r="N1008" s="10214"/>
      <c r="O1008" s="10214"/>
      <c r="P1008" s="10215"/>
      <c r="Q1008" s="9468"/>
      <c r="R1008" s="9469"/>
      <c r="S1008" s="9470"/>
      <c r="T1008" s="9471"/>
      <c r="U1008" s="9468"/>
      <c r="V1008" s="9469"/>
      <c r="W1008" s="9471"/>
      <c r="X1008" s="9469"/>
      <c r="Y1008" s="9471"/>
      <c r="Z1008" s="9469"/>
      <c r="AA1008" s="9470"/>
      <c r="AB1008" s="9470"/>
      <c r="AC1008" s="9470"/>
      <c r="AD1008" s="9470"/>
      <c r="AE1008" s="9470"/>
      <c r="AF1008" s="9471"/>
      <c r="AG1008" s="9469"/>
      <c r="AH1008" s="9470"/>
      <c r="AI1008" s="9470"/>
      <c r="AJ1008" s="9470"/>
      <c r="AK1008" s="9470"/>
      <c r="AL1008" s="9470"/>
      <c r="AM1008" s="9470"/>
      <c r="AN1008" s="9471"/>
      <c r="AO1008" s="9469"/>
      <c r="AP1008" s="9470"/>
      <c r="AQ1008" s="9470"/>
      <c r="AR1008" s="9470"/>
      <c r="AS1008" s="9470"/>
      <c r="AT1008" s="9471"/>
      <c r="AU1008" s="10216"/>
      <c r="AV1008" s="10216"/>
      <c r="AW1008" s="10216"/>
      <c r="AX1008" s="10213"/>
      <c r="AY1008" s="10215"/>
      <c r="AZ1008" s="10216"/>
      <c r="BA1008" s="10213"/>
      <c r="BB1008" s="10214"/>
      <c r="BC1008" s="10215"/>
      <c r="BD1008" s="10217"/>
      <c r="BF1008" s="14534"/>
      <c r="BG1008" s="14534"/>
      <c r="BH1008" s="14534"/>
      <c r="BI1008" s="14534"/>
      <c r="BJ1008" s="14534"/>
      <c r="BK1008" s="8859"/>
      <c r="BL1008" s="14534"/>
      <c r="BM1008" s="14534"/>
      <c r="BN1008" s="14534"/>
    </row>
    <row r="1009" spans="1:66" ht="29.25" hidden="1" customHeight="1">
      <c r="A1009" s="13556"/>
      <c r="B1009" s="14215"/>
      <c r="C1009" s="13600"/>
      <c r="D1009" s="12301" t="s">
        <v>10066</v>
      </c>
      <c r="E1009" s="7826"/>
      <c r="F1009" s="7826" t="s">
        <v>2857</v>
      </c>
      <c r="G1009" s="14216"/>
      <c r="H1009" s="13432"/>
      <c r="I1009" s="14192"/>
      <c r="K1009" s="10213"/>
      <c r="L1009" s="9465"/>
      <c r="M1009" s="9465"/>
      <c r="N1009" s="10214"/>
      <c r="O1009" s="10214"/>
      <c r="P1009" s="10215"/>
      <c r="Q1009" s="9468"/>
      <c r="R1009" s="9469"/>
      <c r="S1009" s="9470"/>
      <c r="T1009" s="9471"/>
      <c r="U1009" s="9468"/>
      <c r="V1009" s="9469"/>
      <c r="W1009" s="9471"/>
      <c r="X1009" s="9469"/>
      <c r="Y1009" s="9471"/>
      <c r="Z1009" s="9469"/>
      <c r="AA1009" s="9470"/>
      <c r="AB1009" s="9470"/>
      <c r="AC1009" s="9470"/>
      <c r="AD1009" s="9470"/>
      <c r="AE1009" s="9470"/>
      <c r="AF1009" s="9471"/>
      <c r="AG1009" s="9469"/>
      <c r="AH1009" s="9470"/>
      <c r="AI1009" s="9470"/>
      <c r="AJ1009" s="9470"/>
      <c r="AK1009" s="9470"/>
      <c r="AL1009" s="9470"/>
      <c r="AM1009" s="9470"/>
      <c r="AN1009" s="9471"/>
      <c r="AO1009" s="9469"/>
      <c r="AP1009" s="9470"/>
      <c r="AQ1009" s="9470"/>
      <c r="AR1009" s="9470"/>
      <c r="AS1009" s="9470"/>
      <c r="AT1009" s="9471"/>
      <c r="AU1009" s="10216"/>
      <c r="AV1009" s="10216"/>
      <c r="AW1009" s="10216"/>
      <c r="AX1009" s="10213"/>
      <c r="AY1009" s="10215"/>
      <c r="AZ1009" s="10216"/>
      <c r="BA1009" s="10213"/>
      <c r="BB1009" s="10214"/>
      <c r="BC1009" s="10215"/>
      <c r="BD1009" s="10217"/>
      <c r="BF1009" s="14534"/>
      <c r="BG1009" s="14534"/>
      <c r="BH1009" s="14534"/>
      <c r="BI1009" s="14534"/>
      <c r="BJ1009" s="14534"/>
      <c r="BK1009" s="8859"/>
      <c r="BL1009" s="14534"/>
      <c r="BM1009" s="14534"/>
      <c r="BN1009" s="14534"/>
    </row>
    <row r="1010" spans="1:66" ht="29.25" hidden="1" customHeight="1">
      <c r="A1010" s="13556">
        <v>618</v>
      </c>
      <c r="B1010" s="14215" t="s">
        <v>4591</v>
      </c>
      <c r="C1010" s="13600"/>
      <c r="D1010" s="12301" t="s">
        <v>10063</v>
      </c>
      <c r="E1010" s="7826" t="s">
        <v>2856</v>
      </c>
      <c r="F1010" s="7826"/>
      <c r="G1010" s="14216" t="s">
        <v>2742</v>
      </c>
      <c r="H1010" s="13432"/>
      <c r="I1010" s="14192"/>
      <c r="K1010" s="10213"/>
      <c r="L1010" s="9465"/>
      <c r="M1010" s="9465"/>
      <c r="N1010" s="10214"/>
      <c r="O1010" s="10214"/>
      <c r="P1010" s="10215"/>
      <c r="Q1010" s="9468"/>
      <c r="R1010" s="9469"/>
      <c r="S1010" s="9470"/>
      <c r="T1010" s="9471"/>
      <c r="U1010" s="9468"/>
      <c r="V1010" s="9469"/>
      <c r="W1010" s="9471"/>
      <c r="X1010" s="9469"/>
      <c r="Y1010" s="9471"/>
      <c r="Z1010" s="9469"/>
      <c r="AA1010" s="9470"/>
      <c r="AB1010" s="9470"/>
      <c r="AC1010" s="9470"/>
      <c r="AD1010" s="9470"/>
      <c r="AE1010" s="9470"/>
      <c r="AF1010" s="9471"/>
      <c r="AG1010" s="9469"/>
      <c r="AH1010" s="9470"/>
      <c r="AI1010" s="9470"/>
      <c r="AJ1010" s="9470"/>
      <c r="AK1010" s="9470"/>
      <c r="AL1010" s="9470"/>
      <c r="AM1010" s="9470"/>
      <c r="AN1010" s="9471"/>
      <c r="AO1010" s="9469"/>
      <c r="AP1010" s="9470"/>
      <c r="AQ1010" s="9470"/>
      <c r="AR1010" s="9470"/>
      <c r="AS1010" s="9470"/>
      <c r="AT1010" s="9471"/>
      <c r="AU1010" s="10216"/>
      <c r="AV1010" s="10216"/>
      <c r="AW1010" s="10216"/>
      <c r="AX1010" s="10213"/>
      <c r="AY1010" s="10215"/>
      <c r="AZ1010" s="10216"/>
      <c r="BA1010" s="10213"/>
      <c r="BB1010" s="10214"/>
      <c r="BC1010" s="10215"/>
      <c r="BD1010" s="10217"/>
      <c r="BF1010" s="14534"/>
      <c r="BG1010" s="14534"/>
      <c r="BH1010" s="14534"/>
      <c r="BI1010" s="14534"/>
      <c r="BJ1010" s="14534"/>
      <c r="BK1010" s="8859"/>
      <c r="BL1010" s="14534"/>
      <c r="BM1010" s="14534"/>
      <c r="BN1010" s="14534"/>
    </row>
    <row r="1011" spans="1:66" ht="29.25" hidden="1" customHeight="1">
      <c r="A1011" s="13556"/>
      <c r="B1011" s="14215"/>
      <c r="C1011" s="13600"/>
      <c r="D1011" s="12301" t="s">
        <v>10066</v>
      </c>
      <c r="E1011" s="7826"/>
      <c r="F1011" s="7826" t="s">
        <v>2857</v>
      </c>
      <c r="G1011" s="14216"/>
      <c r="H1011" s="13432"/>
      <c r="I1011" s="14192"/>
      <c r="K1011" s="10213"/>
      <c r="L1011" s="9465"/>
      <c r="M1011" s="9465"/>
      <c r="N1011" s="10214"/>
      <c r="O1011" s="10214"/>
      <c r="P1011" s="10215"/>
      <c r="Q1011" s="9468"/>
      <c r="R1011" s="9469"/>
      <c r="S1011" s="9470"/>
      <c r="T1011" s="9471"/>
      <c r="U1011" s="9468"/>
      <c r="V1011" s="9469"/>
      <c r="W1011" s="9471"/>
      <c r="X1011" s="9469"/>
      <c r="Y1011" s="9471"/>
      <c r="Z1011" s="9469"/>
      <c r="AA1011" s="9470"/>
      <c r="AB1011" s="9470"/>
      <c r="AC1011" s="9470"/>
      <c r="AD1011" s="9470"/>
      <c r="AE1011" s="9470"/>
      <c r="AF1011" s="9471"/>
      <c r="AG1011" s="9469"/>
      <c r="AH1011" s="9470"/>
      <c r="AI1011" s="9470"/>
      <c r="AJ1011" s="9470"/>
      <c r="AK1011" s="9470"/>
      <c r="AL1011" s="9470"/>
      <c r="AM1011" s="9470"/>
      <c r="AN1011" s="9471"/>
      <c r="AO1011" s="9469"/>
      <c r="AP1011" s="9470"/>
      <c r="AQ1011" s="9470"/>
      <c r="AR1011" s="9470"/>
      <c r="AS1011" s="9470"/>
      <c r="AT1011" s="9471"/>
      <c r="AU1011" s="10216"/>
      <c r="AV1011" s="10216"/>
      <c r="AW1011" s="10216"/>
      <c r="AX1011" s="10213"/>
      <c r="AY1011" s="10215"/>
      <c r="AZ1011" s="10216"/>
      <c r="BA1011" s="10213"/>
      <c r="BB1011" s="10214"/>
      <c r="BC1011" s="10215"/>
      <c r="BD1011" s="10217"/>
      <c r="BF1011" s="14534"/>
      <c r="BG1011" s="14534"/>
      <c r="BH1011" s="14534"/>
      <c r="BI1011" s="14534"/>
      <c r="BJ1011" s="14534"/>
      <c r="BK1011" s="8859"/>
      <c r="BL1011" s="14534"/>
      <c r="BM1011" s="14534"/>
      <c r="BN1011" s="14534"/>
    </row>
    <row r="1012" spans="1:66" ht="29.25" hidden="1" customHeight="1">
      <c r="A1012" s="13556">
        <v>619</v>
      </c>
      <c r="B1012" s="14215" t="s">
        <v>4592</v>
      </c>
      <c r="C1012" s="13600"/>
      <c r="D1012" s="12301" t="s">
        <v>10063</v>
      </c>
      <c r="E1012" s="7826" t="s">
        <v>2856</v>
      </c>
      <c r="F1012" s="7826"/>
      <c r="G1012" s="14216" t="s">
        <v>2744</v>
      </c>
      <c r="H1012" s="13432"/>
      <c r="I1012" s="14192"/>
      <c r="K1012" s="10213"/>
      <c r="L1012" s="9465"/>
      <c r="M1012" s="9465"/>
      <c r="N1012" s="10214"/>
      <c r="O1012" s="10214"/>
      <c r="P1012" s="10215"/>
      <c r="Q1012" s="9468"/>
      <c r="R1012" s="9469"/>
      <c r="S1012" s="9470"/>
      <c r="T1012" s="9471"/>
      <c r="U1012" s="9468"/>
      <c r="V1012" s="9469"/>
      <c r="W1012" s="9471"/>
      <c r="X1012" s="9469"/>
      <c r="Y1012" s="9471"/>
      <c r="Z1012" s="9469"/>
      <c r="AA1012" s="9470"/>
      <c r="AB1012" s="9470"/>
      <c r="AC1012" s="9470"/>
      <c r="AD1012" s="9470"/>
      <c r="AE1012" s="9470"/>
      <c r="AF1012" s="9471"/>
      <c r="AG1012" s="9469"/>
      <c r="AH1012" s="9470"/>
      <c r="AI1012" s="9470"/>
      <c r="AJ1012" s="9470"/>
      <c r="AK1012" s="9470"/>
      <c r="AL1012" s="9470"/>
      <c r="AM1012" s="9470"/>
      <c r="AN1012" s="9471"/>
      <c r="AO1012" s="9469"/>
      <c r="AP1012" s="9470"/>
      <c r="AQ1012" s="9470"/>
      <c r="AR1012" s="9470"/>
      <c r="AS1012" s="9470"/>
      <c r="AT1012" s="9471"/>
      <c r="AU1012" s="10216"/>
      <c r="AV1012" s="10216"/>
      <c r="AW1012" s="10216"/>
      <c r="AX1012" s="10213"/>
      <c r="AY1012" s="10215"/>
      <c r="AZ1012" s="10216"/>
      <c r="BA1012" s="10213"/>
      <c r="BB1012" s="10214"/>
      <c r="BC1012" s="10215"/>
      <c r="BD1012" s="10217"/>
      <c r="BF1012" s="14534"/>
      <c r="BG1012" s="14534"/>
      <c r="BH1012" s="14534"/>
      <c r="BI1012" s="14534"/>
      <c r="BJ1012" s="14534"/>
      <c r="BK1012" s="8859"/>
      <c r="BL1012" s="14534"/>
      <c r="BM1012" s="14534"/>
      <c r="BN1012" s="14534"/>
    </row>
    <row r="1013" spans="1:66" ht="29.25" hidden="1" customHeight="1" thickBot="1">
      <c r="A1013" s="13678"/>
      <c r="B1013" s="14236"/>
      <c r="C1013" s="13600"/>
      <c r="D1013" s="12305" t="s">
        <v>10066</v>
      </c>
      <c r="E1013" s="11981"/>
      <c r="F1013" s="11981" t="s">
        <v>2857</v>
      </c>
      <c r="G1013" s="14237"/>
      <c r="H1013" s="13433"/>
      <c r="I1013" s="14224"/>
      <c r="K1013" s="10286"/>
      <c r="L1013" s="10287"/>
      <c r="M1013" s="10287"/>
      <c r="N1013" s="10288"/>
      <c r="O1013" s="10288"/>
      <c r="P1013" s="10289"/>
      <c r="Q1013" s="10290"/>
      <c r="R1013" s="10291"/>
      <c r="S1013" s="10292"/>
      <c r="T1013" s="10293"/>
      <c r="U1013" s="10290"/>
      <c r="V1013" s="10291"/>
      <c r="W1013" s="10293"/>
      <c r="X1013" s="10291"/>
      <c r="Y1013" s="10293"/>
      <c r="Z1013" s="10291"/>
      <c r="AA1013" s="10292"/>
      <c r="AB1013" s="10292"/>
      <c r="AC1013" s="10292"/>
      <c r="AD1013" s="10292"/>
      <c r="AE1013" s="10292"/>
      <c r="AF1013" s="10293"/>
      <c r="AG1013" s="10291"/>
      <c r="AH1013" s="10292"/>
      <c r="AI1013" s="10292"/>
      <c r="AJ1013" s="10292"/>
      <c r="AK1013" s="10292"/>
      <c r="AL1013" s="10292"/>
      <c r="AM1013" s="10292"/>
      <c r="AN1013" s="10293"/>
      <c r="AO1013" s="10291"/>
      <c r="AP1013" s="10292"/>
      <c r="AQ1013" s="10292"/>
      <c r="AR1013" s="10292"/>
      <c r="AS1013" s="10292"/>
      <c r="AT1013" s="10293"/>
      <c r="AU1013" s="10294"/>
      <c r="AV1013" s="10294"/>
      <c r="AW1013" s="10294"/>
      <c r="AX1013" s="10286"/>
      <c r="AY1013" s="10289"/>
      <c r="AZ1013" s="10294"/>
      <c r="BA1013" s="10286"/>
      <c r="BB1013" s="10288"/>
      <c r="BC1013" s="10289"/>
      <c r="BD1013" s="10295"/>
      <c r="BF1013" s="14535"/>
      <c r="BG1013" s="14535"/>
      <c r="BH1013" s="14535"/>
      <c r="BI1013" s="14535"/>
      <c r="BJ1013" s="14535"/>
      <c r="BK1013" s="10342"/>
      <c r="BL1013" s="14535"/>
      <c r="BM1013" s="14535"/>
      <c r="BN1013" s="14535"/>
    </row>
    <row r="1014" spans="1:66" ht="29.25" hidden="1" customHeight="1">
      <c r="A1014" s="13679">
        <v>620</v>
      </c>
      <c r="B1014" s="14230" t="s">
        <v>4593</v>
      </c>
      <c r="C1014" s="13600"/>
      <c r="D1014" s="12345" t="s">
        <v>10063</v>
      </c>
      <c r="E1014" s="12346" t="s">
        <v>2856</v>
      </c>
      <c r="F1014" s="12346"/>
      <c r="G1014" s="14231" t="s">
        <v>2752</v>
      </c>
      <c r="H1014" s="13434"/>
      <c r="I1014" s="14238" t="s">
        <v>2750</v>
      </c>
      <c r="K1014" s="10343"/>
      <c r="L1014" s="10344"/>
      <c r="M1014" s="10344"/>
      <c r="N1014" s="10345"/>
      <c r="O1014" s="10345"/>
      <c r="P1014" s="10346"/>
      <c r="Q1014" s="10347"/>
      <c r="R1014" s="10348"/>
      <c r="S1014" s="10349"/>
      <c r="T1014" s="10350"/>
      <c r="U1014" s="10347"/>
      <c r="V1014" s="10348"/>
      <c r="W1014" s="10350"/>
      <c r="X1014" s="10348"/>
      <c r="Y1014" s="10350"/>
      <c r="Z1014" s="10348"/>
      <c r="AA1014" s="10349"/>
      <c r="AB1014" s="10349"/>
      <c r="AC1014" s="10349"/>
      <c r="AD1014" s="10349"/>
      <c r="AE1014" s="10349"/>
      <c r="AF1014" s="10350"/>
      <c r="AG1014" s="10348"/>
      <c r="AH1014" s="10349"/>
      <c r="AI1014" s="10349"/>
      <c r="AJ1014" s="10349"/>
      <c r="AK1014" s="10349"/>
      <c r="AL1014" s="10349"/>
      <c r="AM1014" s="10349"/>
      <c r="AN1014" s="10350"/>
      <c r="AO1014" s="10348"/>
      <c r="AP1014" s="10349"/>
      <c r="AQ1014" s="10349"/>
      <c r="AR1014" s="10349"/>
      <c r="AS1014" s="10349"/>
      <c r="AT1014" s="10350"/>
      <c r="AU1014" s="10351"/>
      <c r="AV1014" s="10351"/>
      <c r="AW1014" s="10351"/>
      <c r="AX1014" s="10343"/>
      <c r="AY1014" s="10346"/>
      <c r="AZ1014" s="10351"/>
      <c r="BA1014" s="10343"/>
      <c r="BB1014" s="10345"/>
      <c r="BC1014" s="10346"/>
      <c r="BD1014" s="10352"/>
      <c r="BF1014" s="14536"/>
      <c r="BG1014" s="14536"/>
      <c r="BH1014" s="14536"/>
      <c r="BI1014" s="14536"/>
      <c r="BJ1014" s="14536"/>
      <c r="BK1014" s="10353"/>
      <c r="BL1014" s="14536"/>
      <c r="BM1014" s="14536"/>
      <c r="BN1014" s="14536"/>
    </row>
    <row r="1015" spans="1:66" ht="29.25" hidden="1" customHeight="1">
      <c r="A1015" s="13680"/>
      <c r="B1015" s="14105"/>
      <c r="C1015" s="13600"/>
      <c r="D1015" s="12162" t="s">
        <v>208</v>
      </c>
      <c r="E1015" s="12167"/>
      <c r="F1015" s="12167" t="s">
        <v>208</v>
      </c>
      <c r="G1015" s="14106"/>
      <c r="H1015" s="13435"/>
      <c r="I1015" s="14120"/>
      <c r="K1015" s="9803"/>
      <c r="L1015" s="9804"/>
      <c r="M1015" s="9804"/>
      <c r="N1015" s="9805"/>
      <c r="O1015" s="9805"/>
      <c r="P1015" s="9806"/>
      <c r="Q1015" s="9807"/>
      <c r="R1015" s="9808"/>
      <c r="S1015" s="9809"/>
      <c r="T1015" s="9810"/>
      <c r="U1015" s="9807"/>
      <c r="V1015" s="9808"/>
      <c r="W1015" s="9810"/>
      <c r="X1015" s="9808"/>
      <c r="Y1015" s="9810"/>
      <c r="Z1015" s="9808"/>
      <c r="AA1015" s="9809"/>
      <c r="AB1015" s="9809"/>
      <c r="AC1015" s="9809"/>
      <c r="AD1015" s="9809"/>
      <c r="AE1015" s="9809"/>
      <c r="AF1015" s="9810"/>
      <c r="AG1015" s="9808"/>
      <c r="AH1015" s="9809"/>
      <c r="AI1015" s="9809"/>
      <c r="AJ1015" s="9809"/>
      <c r="AK1015" s="9809"/>
      <c r="AL1015" s="9809"/>
      <c r="AM1015" s="9809"/>
      <c r="AN1015" s="9810"/>
      <c r="AO1015" s="9808"/>
      <c r="AP1015" s="9809"/>
      <c r="AQ1015" s="9809"/>
      <c r="AR1015" s="9809"/>
      <c r="AS1015" s="9809"/>
      <c r="AT1015" s="9810"/>
      <c r="AU1015" s="9811"/>
      <c r="AV1015" s="9811"/>
      <c r="AW1015" s="9811"/>
      <c r="AX1015" s="9803"/>
      <c r="AY1015" s="9806"/>
      <c r="AZ1015" s="9811"/>
      <c r="BA1015" s="9803"/>
      <c r="BB1015" s="9805"/>
      <c r="BC1015" s="9806"/>
      <c r="BD1015" s="9812"/>
      <c r="BF1015" s="14498"/>
      <c r="BG1015" s="14498"/>
      <c r="BH1015" s="14498"/>
      <c r="BI1015" s="14498"/>
      <c r="BJ1015" s="14498"/>
      <c r="BK1015" s="8747"/>
      <c r="BL1015" s="14498"/>
      <c r="BM1015" s="14498"/>
      <c r="BN1015" s="14498"/>
    </row>
    <row r="1016" spans="1:66" ht="29.25" hidden="1" customHeight="1">
      <c r="A1016" s="13680">
        <v>621</v>
      </c>
      <c r="B1016" s="14105" t="s">
        <v>4594</v>
      </c>
      <c r="C1016" s="13600"/>
      <c r="D1016" s="12162" t="s">
        <v>10063</v>
      </c>
      <c r="E1016" s="12167" t="s">
        <v>2856</v>
      </c>
      <c r="F1016" s="12167"/>
      <c r="G1016" s="14106" t="s">
        <v>4595</v>
      </c>
      <c r="H1016" s="13435"/>
      <c r="I1016" s="14120"/>
      <c r="K1016" s="9803"/>
      <c r="L1016" s="9804"/>
      <c r="M1016" s="9804"/>
      <c r="N1016" s="9805"/>
      <c r="O1016" s="9805"/>
      <c r="P1016" s="9806"/>
      <c r="Q1016" s="9807"/>
      <c r="R1016" s="9808"/>
      <c r="S1016" s="9809"/>
      <c r="T1016" s="9810"/>
      <c r="U1016" s="9807"/>
      <c r="V1016" s="9808"/>
      <c r="W1016" s="9810"/>
      <c r="X1016" s="9808"/>
      <c r="Y1016" s="9810"/>
      <c r="Z1016" s="9808"/>
      <c r="AA1016" s="9809"/>
      <c r="AB1016" s="9809"/>
      <c r="AC1016" s="9809"/>
      <c r="AD1016" s="9809"/>
      <c r="AE1016" s="9809"/>
      <c r="AF1016" s="9810"/>
      <c r="AG1016" s="9808"/>
      <c r="AH1016" s="9809"/>
      <c r="AI1016" s="9809"/>
      <c r="AJ1016" s="9809"/>
      <c r="AK1016" s="9809"/>
      <c r="AL1016" s="9809"/>
      <c r="AM1016" s="9809"/>
      <c r="AN1016" s="9810"/>
      <c r="AO1016" s="9808"/>
      <c r="AP1016" s="9809"/>
      <c r="AQ1016" s="9809"/>
      <c r="AR1016" s="9809"/>
      <c r="AS1016" s="9809"/>
      <c r="AT1016" s="9810"/>
      <c r="AU1016" s="9811"/>
      <c r="AV1016" s="9811"/>
      <c r="AW1016" s="9811"/>
      <c r="AX1016" s="9803"/>
      <c r="AY1016" s="9806"/>
      <c r="AZ1016" s="9811"/>
      <c r="BA1016" s="9803"/>
      <c r="BB1016" s="9805"/>
      <c r="BC1016" s="9806"/>
      <c r="BD1016" s="9812"/>
      <c r="BF1016" s="14498"/>
      <c r="BG1016" s="14498"/>
      <c r="BH1016" s="14498"/>
      <c r="BI1016" s="14498"/>
      <c r="BJ1016" s="14498"/>
      <c r="BK1016" s="8747"/>
      <c r="BL1016" s="14498"/>
      <c r="BM1016" s="14498"/>
      <c r="BN1016" s="14498"/>
    </row>
    <row r="1017" spans="1:66" ht="29.25" hidden="1" customHeight="1">
      <c r="A1017" s="13680"/>
      <c r="B1017" s="14105"/>
      <c r="C1017" s="13600"/>
      <c r="D1017" s="12162" t="s">
        <v>208</v>
      </c>
      <c r="E1017" s="12167"/>
      <c r="F1017" s="12167" t="s">
        <v>208</v>
      </c>
      <c r="G1017" s="14106"/>
      <c r="H1017" s="13435"/>
      <c r="I1017" s="14120"/>
      <c r="K1017" s="9803"/>
      <c r="L1017" s="9804"/>
      <c r="M1017" s="9804"/>
      <c r="N1017" s="9805"/>
      <c r="O1017" s="9805"/>
      <c r="P1017" s="9806"/>
      <c r="Q1017" s="9807"/>
      <c r="R1017" s="9808"/>
      <c r="S1017" s="9809"/>
      <c r="T1017" s="9810"/>
      <c r="U1017" s="9807"/>
      <c r="V1017" s="9808"/>
      <c r="W1017" s="9810"/>
      <c r="X1017" s="9808"/>
      <c r="Y1017" s="9810"/>
      <c r="Z1017" s="9808"/>
      <c r="AA1017" s="9809"/>
      <c r="AB1017" s="9809"/>
      <c r="AC1017" s="9809"/>
      <c r="AD1017" s="9809"/>
      <c r="AE1017" s="9809"/>
      <c r="AF1017" s="9810"/>
      <c r="AG1017" s="9808"/>
      <c r="AH1017" s="9809"/>
      <c r="AI1017" s="9809"/>
      <c r="AJ1017" s="9809"/>
      <c r="AK1017" s="9809"/>
      <c r="AL1017" s="9809"/>
      <c r="AM1017" s="9809"/>
      <c r="AN1017" s="9810"/>
      <c r="AO1017" s="9808"/>
      <c r="AP1017" s="9809"/>
      <c r="AQ1017" s="9809"/>
      <c r="AR1017" s="9809"/>
      <c r="AS1017" s="9809"/>
      <c r="AT1017" s="9810"/>
      <c r="AU1017" s="9811"/>
      <c r="AV1017" s="9811"/>
      <c r="AW1017" s="9811"/>
      <c r="AX1017" s="9803"/>
      <c r="AY1017" s="9806"/>
      <c r="AZ1017" s="9811"/>
      <c r="BA1017" s="9803"/>
      <c r="BB1017" s="9805"/>
      <c r="BC1017" s="9806"/>
      <c r="BD1017" s="9812"/>
      <c r="BF1017" s="14498"/>
      <c r="BG1017" s="14498"/>
      <c r="BH1017" s="14498"/>
      <c r="BI1017" s="14498"/>
      <c r="BJ1017" s="14498"/>
      <c r="BK1017" s="8747"/>
      <c r="BL1017" s="14498"/>
      <c r="BM1017" s="14498"/>
      <c r="BN1017" s="14498"/>
    </row>
    <row r="1018" spans="1:66" ht="29.25" hidden="1" customHeight="1">
      <c r="A1018" s="10354">
        <v>622</v>
      </c>
      <c r="B1018" s="10355" t="s">
        <v>4596</v>
      </c>
      <c r="C1018" s="13600"/>
      <c r="D1018" s="12162" t="s">
        <v>4305</v>
      </c>
      <c r="E1018" s="12167" t="s">
        <v>10089</v>
      </c>
      <c r="F1018" s="12167"/>
      <c r="G1018" s="11870" t="s">
        <v>4597</v>
      </c>
      <c r="H1018" s="12164"/>
      <c r="I1018" s="12165" t="s">
        <v>2755</v>
      </c>
      <c r="K1018" s="9803"/>
      <c r="L1018" s="9804"/>
      <c r="M1018" s="9804"/>
      <c r="N1018" s="9805"/>
      <c r="O1018" s="9805"/>
      <c r="P1018" s="9806"/>
      <c r="Q1018" s="9807"/>
      <c r="R1018" s="9808"/>
      <c r="S1018" s="9809"/>
      <c r="T1018" s="9810"/>
      <c r="U1018" s="9807"/>
      <c r="V1018" s="9808"/>
      <c r="W1018" s="9810"/>
      <c r="X1018" s="9808"/>
      <c r="Y1018" s="9810"/>
      <c r="Z1018" s="9808"/>
      <c r="AA1018" s="9809"/>
      <c r="AB1018" s="9809"/>
      <c r="AC1018" s="9809"/>
      <c r="AD1018" s="9809"/>
      <c r="AE1018" s="9809"/>
      <c r="AF1018" s="9810"/>
      <c r="AG1018" s="9808"/>
      <c r="AH1018" s="9809"/>
      <c r="AI1018" s="9809"/>
      <c r="AJ1018" s="9809"/>
      <c r="AK1018" s="9809"/>
      <c r="AL1018" s="9809"/>
      <c r="AM1018" s="9809"/>
      <c r="AN1018" s="9810"/>
      <c r="AO1018" s="9808"/>
      <c r="AP1018" s="9809"/>
      <c r="AQ1018" s="9809"/>
      <c r="AR1018" s="9809"/>
      <c r="AS1018" s="9809"/>
      <c r="AT1018" s="9810"/>
      <c r="AU1018" s="9811"/>
      <c r="AV1018" s="9811"/>
      <c r="AW1018" s="9811"/>
      <c r="AX1018" s="9803"/>
      <c r="AY1018" s="9806"/>
      <c r="AZ1018" s="9811"/>
      <c r="BA1018" s="9803"/>
      <c r="BB1018" s="9805"/>
      <c r="BC1018" s="9806"/>
      <c r="BD1018" s="9812"/>
      <c r="BF1018" s="8747"/>
      <c r="BG1018" s="8747"/>
      <c r="BH1018" s="8747"/>
      <c r="BI1018" s="8747"/>
      <c r="BJ1018" s="8747"/>
      <c r="BK1018" s="8747"/>
      <c r="BL1018" s="8747"/>
      <c r="BM1018" s="8747"/>
      <c r="BN1018" s="8747"/>
    </row>
    <row r="1019" spans="1:66" ht="29.25" hidden="1" customHeight="1">
      <c r="A1019" s="13669">
        <v>623</v>
      </c>
      <c r="B1019" s="14232" t="s">
        <v>4598</v>
      </c>
      <c r="C1019" s="13600"/>
      <c r="D1019" s="12347" t="s">
        <v>10063</v>
      </c>
      <c r="E1019" s="12167" t="s">
        <v>2856</v>
      </c>
      <c r="F1019" s="12167"/>
      <c r="G1019" s="14234" t="s">
        <v>2756</v>
      </c>
      <c r="H1019" s="13436"/>
      <c r="I1019" s="14120" t="s">
        <v>2759</v>
      </c>
      <c r="K1019" s="9803"/>
      <c r="L1019" s="9804"/>
      <c r="M1019" s="9804"/>
      <c r="N1019" s="9805"/>
      <c r="O1019" s="9805"/>
      <c r="P1019" s="9806"/>
      <c r="Q1019" s="9807"/>
      <c r="R1019" s="9808"/>
      <c r="S1019" s="9809"/>
      <c r="T1019" s="9810"/>
      <c r="U1019" s="9807"/>
      <c r="V1019" s="9808"/>
      <c r="W1019" s="9810"/>
      <c r="X1019" s="9808"/>
      <c r="Y1019" s="9810"/>
      <c r="Z1019" s="9808"/>
      <c r="AA1019" s="9809"/>
      <c r="AB1019" s="9809"/>
      <c r="AC1019" s="9809"/>
      <c r="AD1019" s="9809"/>
      <c r="AE1019" s="9809"/>
      <c r="AF1019" s="9810"/>
      <c r="AG1019" s="9808"/>
      <c r="AH1019" s="9809"/>
      <c r="AI1019" s="9809"/>
      <c r="AJ1019" s="9809"/>
      <c r="AK1019" s="9809"/>
      <c r="AL1019" s="9809"/>
      <c r="AM1019" s="9809"/>
      <c r="AN1019" s="9810"/>
      <c r="AO1019" s="9808"/>
      <c r="AP1019" s="9809"/>
      <c r="AQ1019" s="9809"/>
      <c r="AR1019" s="9809"/>
      <c r="AS1019" s="9809"/>
      <c r="AT1019" s="9810"/>
      <c r="AU1019" s="9811"/>
      <c r="AV1019" s="9811"/>
      <c r="AW1019" s="9811"/>
      <c r="AX1019" s="9803"/>
      <c r="AY1019" s="9806"/>
      <c r="AZ1019" s="9811"/>
      <c r="BA1019" s="9803"/>
      <c r="BB1019" s="9805"/>
      <c r="BC1019" s="9806"/>
      <c r="BD1019" s="9812"/>
      <c r="BF1019" s="14537"/>
      <c r="BG1019" s="14537"/>
      <c r="BH1019" s="14537"/>
      <c r="BI1019" s="14537"/>
      <c r="BJ1019" s="14537"/>
      <c r="BK1019" s="10356"/>
      <c r="BL1019" s="14537"/>
      <c r="BM1019" s="14537"/>
      <c r="BN1019" s="14537"/>
    </row>
    <row r="1020" spans="1:66" ht="29.25" hidden="1" customHeight="1" thickBot="1">
      <c r="A1020" s="13681"/>
      <c r="B1020" s="14233"/>
      <c r="C1020" s="13600"/>
      <c r="D1020" s="12348" t="s">
        <v>208</v>
      </c>
      <c r="E1020" s="12169"/>
      <c r="F1020" s="12169" t="s">
        <v>208</v>
      </c>
      <c r="G1020" s="14235"/>
      <c r="H1020" s="13437"/>
      <c r="I1020" s="14139"/>
      <c r="K1020" s="9823"/>
      <c r="L1020" s="9824"/>
      <c r="M1020" s="9824"/>
      <c r="N1020" s="9825"/>
      <c r="O1020" s="9825"/>
      <c r="P1020" s="9826"/>
      <c r="Q1020" s="9827"/>
      <c r="R1020" s="9828"/>
      <c r="S1020" s="9829"/>
      <c r="T1020" s="9830"/>
      <c r="U1020" s="9827"/>
      <c r="V1020" s="9828"/>
      <c r="W1020" s="9830"/>
      <c r="X1020" s="9828"/>
      <c r="Y1020" s="9830"/>
      <c r="Z1020" s="9828"/>
      <c r="AA1020" s="9829"/>
      <c r="AB1020" s="9829"/>
      <c r="AC1020" s="9829"/>
      <c r="AD1020" s="9829"/>
      <c r="AE1020" s="9829"/>
      <c r="AF1020" s="9830"/>
      <c r="AG1020" s="9828"/>
      <c r="AH1020" s="9829"/>
      <c r="AI1020" s="9829"/>
      <c r="AJ1020" s="9829"/>
      <c r="AK1020" s="9829"/>
      <c r="AL1020" s="9829"/>
      <c r="AM1020" s="9829"/>
      <c r="AN1020" s="9830"/>
      <c r="AO1020" s="9828"/>
      <c r="AP1020" s="9829"/>
      <c r="AQ1020" s="9829"/>
      <c r="AR1020" s="9829"/>
      <c r="AS1020" s="9829"/>
      <c r="AT1020" s="9830"/>
      <c r="AU1020" s="9831"/>
      <c r="AV1020" s="9831"/>
      <c r="AW1020" s="9831"/>
      <c r="AX1020" s="9823"/>
      <c r="AY1020" s="9826"/>
      <c r="AZ1020" s="9831"/>
      <c r="BA1020" s="9823"/>
      <c r="BB1020" s="9825"/>
      <c r="BC1020" s="9826"/>
      <c r="BD1020" s="9832"/>
      <c r="BF1020" s="14538"/>
      <c r="BG1020" s="14538"/>
      <c r="BH1020" s="14538"/>
      <c r="BI1020" s="14538"/>
      <c r="BJ1020" s="14538"/>
      <c r="BK1020" s="10357"/>
      <c r="BL1020" s="14538"/>
      <c r="BM1020" s="14538"/>
      <c r="BN1020" s="14538"/>
    </row>
    <row r="1021" spans="1:66" ht="30" hidden="1" customHeight="1">
      <c r="A1021" s="8843">
        <v>624</v>
      </c>
      <c r="B1021" s="10358" t="s">
        <v>4599</v>
      </c>
      <c r="C1021" s="13600"/>
      <c r="D1021" s="11971" t="s">
        <v>2896</v>
      </c>
      <c r="E1021" s="7824" t="s">
        <v>2858</v>
      </c>
      <c r="F1021" s="7824"/>
      <c r="G1021" s="11893" t="s">
        <v>2767</v>
      </c>
      <c r="H1021" s="12349"/>
      <c r="I1021" s="12350" t="s">
        <v>2765</v>
      </c>
      <c r="K1021" s="10200"/>
      <c r="L1021" s="10359"/>
      <c r="M1021" s="10359"/>
      <c r="N1021" s="6310"/>
      <c r="O1021" s="6310"/>
      <c r="P1021" s="10360"/>
      <c r="Q1021" s="10361"/>
      <c r="R1021" s="10362"/>
      <c r="S1021" s="10363"/>
      <c r="T1021" s="10364"/>
      <c r="U1021" s="10361"/>
      <c r="V1021" s="10362"/>
      <c r="W1021" s="10364"/>
      <c r="X1021" s="10362"/>
      <c r="Y1021" s="10364"/>
      <c r="Z1021" s="10362"/>
      <c r="AA1021" s="10363"/>
      <c r="AB1021" s="10363"/>
      <c r="AC1021" s="10363"/>
      <c r="AD1021" s="10363"/>
      <c r="AE1021" s="10363"/>
      <c r="AF1021" s="10364"/>
      <c r="AG1021" s="10362"/>
      <c r="AH1021" s="10363"/>
      <c r="AI1021" s="10363"/>
      <c r="AJ1021" s="10363"/>
      <c r="AK1021" s="10363"/>
      <c r="AL1021" s="10363"/>
      <c r="AM1021" s="10363"/>
      <c r="AN1021" s="10364"/>
      <c r="AO1021" s="10362"/>
      <c r="AP1021" s="10363"/>
      <c r="AQ1021" s="10363"/>
      <c r="AR1021" s="10363"/>
      <c r="AS1021" s="10363"/>
      <c r="AT1021" s="10364"/>
      <c r="AU1021" s="10365"/>
      <c r="AV1021" s="10365"/>
      <c r="AW1021" s="10365"/>
      <c r="AX1021" s="10200"/>
      <c r="AY1021" s="10360"/>
      <c r="AZ1021" s="10365"/>
      <c r="BA1021" s="10200"/>
      <c r="BB1021" s="6310"/>
      <c r="BC1021" s="10360"/>
      <c r="BD1021" s="8843"/>
      <c r="BF1021" s="8844"/>
      <c r="BG1021" s="8844"/>
      <c r="BH1021" s="8844"/>
      <c r="BI1021" s="8844"/>
      <c r="BJ1021" s="8844"/>
      <c r="BK1021" s="8844"/>
      <c r="BL1021" s="8844"/>
      <c r="BM1021" s="8844"/>
      <c r="BN1021" s="8844"/>
    </row>
    <row r="1022" spans="1:66" ht="30" hidden="1" customHeight="1">
      <c r="A1022" s="8857">
        <v>625</v>
      </c>
      <c r="B1022" s="10366" t="s">
        <v>4600</v>
      </c>
      <c r="C1022" s="13600"/>
      <c r="D1022" s="12301" t="s">
        <v>2896</v>
      </c>
      <c r="E1022" s="7826" t="s">
        <v>2858</v>
      </c>
      <c r="F1022" s="7826"/>
      <c r="G1022" s="11898" t="s">
        <v>2771</v>
      </c>
      <c r="H1022" s="12351"/>
      <c r="I1022" s="12352" t="s">
        <v>2770</v>
      </c>
      <c r="K1022" s="10212"/>
      <c r="L1022" s="9485"/>
      <c r="M1022" s="9485"/>
      <c r="N1022" s="10367"/>
      <c r="O1022" s="10367"/>
      <c r="P1022" s="10368"/>
      <c r="Q1022" s="9488"/>
      <c r="R1022" s="9489"/>
      <c r="S1022" s="9490"/>
      <c r="T1022" s="9491"/>
      <c r="U1022" s="9488"/>
      <c r="V1022" s="9489"/>
      <c r="W1022" s="9491"/>
      <c r="X1022" s="9489"/>
      <c r="Y1022" s="9491"/>
      <c r="Z1022" s="9489"/>
      <c r="AA1022" s="9490"/>
      <c r="AB1022" s="9490"/>
      <c r="AC1022" s="9490"/>
      <c r="AD1022" s="9490"/>
      <c r="AE1022" s="9490"/>
      <c r="AF1022" s="9491"/>
      <c r="AG1022" s="9489"/>
      <c r="AH1022" s="9490"/>
      <c r="AI1022" s="9490"/>
      <c r="AJ1022" s="9490"/>
      <c r="AK1022" s="9490"/>
      <c r="AL1022" s="9490"/>
      <c r="AM1022" s="9490"/>
      <c r="AN1022" s="9491"/>
      <c r="AO1022" s="9489"/>
      <c r="AP1022" s="9490"/>
      <c r="AQ1022" s="9490"/>
      <c r="AR1022" s="9490"/>
      <c r="AS1022" s="9490"/>
      <c r="AT1022" s="9491"/>
      <c r="AU1022" s="10369"/>
      <c r="AV1022" s="10369"/>
      <c r="AW1022" s="10369"/>
      <c r="AX1022" s="10212"/>
      <c r="AY1022" s="10368"/>
      <c r="AZ1022" s="10369"/>
      <c r="BA1022" s="10212"/>
      <c r="BB1022" s="10367"/>
      <c r="BC1022" s="10368"/>
      <c r="BD1022" s="8857"/>
      <c r="BF1022" s="8859"/>
      <c r="BG1022" s="8859"/>
      <c r="BH1022" s="8859"/>
      <c r="BI1022" s="8859"/>
      <c r="BJ1022" s="8859"/>
      <c r="BK1022" s="8859"/>
      <c r="BL1022" s="8859"/>
      <c r="BM1022" s="8859"/>
      <c r="BN1022" s="8859"/>
    </row>
    <row r="1023" spans="1:66" ht="30" hidden="1" customHeight="1">
      <c r="A1023" s="8857">
        <v>626</v>
      </c>
      <c r="B1023" s="10366" t="s">
        <v>4601</v>
      </c>
      <c r="C1023" s="13600"/>
      <c r="D1023" s="12301" t="s">
        <v>2896</v>
      </c>
      <c r="E1023" s="7826" t="s">
        <v>2858</v>
      </c>
      <c r="F1023" s="7826"/>
      <c r="G1023" s="11898" t="s">
        <v>9840</v>
      </c>
      <c r="H1023" s="12351"/>
      <c r="I1023" s="12352" t="s">
        <v>2773</v>
      </c>
      <c r="K1023" s="10213"/>
      <c r="L1023" s="9465"/>
      <c r="M1023" s="9465"/>
      <c r="N1023" s="10214"/>
      <c r="O1023" s="10214"/>
      <c r="P1023" s="10215"/>
      <c r="Q1023" s="9468"/>
      <c r="R1023" s="9469"/>
      <c r="S1023" s="9470"/>
      <c r="T1023" s="9471"/>
      <c r="U1023" s="9468"/>
      <c r="V1023" s="9469"/>
      <c r="W1023" s="9471"/>
      <c r="X1023" s="9469"/>
      <c r="Y1023" s="9471"/>
      <c r="Z1023" s="9469"/>
      <c r="AA1023" s="9470"/>
      <c r="AB1023" s="9470"/>
      <c r="AC1023" s="9470"/>
      <c r="AD1023" s="9470"/>
      <c r="AE1023" s="9470"/>
      <c r="AF1023" s="9471"/>
      <c r="AG1023" s="9469"/>
      <c r="AH1023" s="9470"/>
      <c r="AI1023" s="9470"/>
      <c r="AJ1023" s="9470"/>
      <c r="AK1023" s="9470"/>
      <c r="AL1023" s="9470"/>
      <c r="AM1023" s="9470"/>
      <c r="AN1023" s="9471"/>
      <c r="AO1023" s="9469"/>
      <c r="AP1023" s="9470"/>
      <c r="AQ1023" s="9470"/>
      <c r="AR1023" s="9470"/>
      <c r="AS1023" s="9470"/>
      <c r="AT1023" s="9471"/>
      <c r="AU1023" s="10216"/>
      <c r="AV1023" s="10216"/>
      <c r="AW1023" s="10216"/>
      <c r="AX1023" s="10213"/>
      <c r="AY1023" s="10215"/>
      <c r="AZ1023" s="10216"/>
      <c r="BA1023" s="10213"/>
      <c r="BB1023" s="10214"/>
      <c r="BC1023" s="10215"/>
      <c r="BD1023" s="10217"/>
      <c r="BF1023" s="8859"/>
      <c r="BG1023" s="8859"/>
      <c r="BH1023" s="8859"/>
      <c r="BI1023" s="8859"/>
      <c r="BJ1023" s="8859"/>
      <c r="BK1023" s="8859"/>
      <c r="BL1023" s="8859"/>
      <c r="BM1023" s="8859"/>
      <c r="BN1023" s="8859"/>
    </row>
    <row r="1024" spans="1:66" ht="30" hidden="1" customHeight="1">
      <c r="A1024" s="8857">
        <v>627</v>
      </c>
      <c r="B1024" s="10366" t="s">
        <v>4602</v>
      </c>
      <c r="C1024" s="13600"/>
      <c r="D1024" s="12301" t="s">
        <v>2896</v>
      </c>
      <c r="E1024" s="7826" t="s">
        <v>2858</v>
      </c>
      <c r="F1024" s="7826"/>
      <c r="G1024" s="11898" t="s">
        <v>2777</v>
      </c>
      <c r="H1024" s="12351"/>
      <c r="I1024" s="12352" t="s">
        <v>2776</v>
      </c>
      <c r="K1024" s="10213"/>
      <c r="L1024" s="9465"/>
      <c r="M1024" s="9465"/>
      <c r="N1024" s="10214"/>
      <c r="O1024" s="10214"/>
      <c r="P1024" s="10215"/>
      <c r="Q1024" s="9468"/>
      <c r="R1024" s="9469"/>
      <c r="S1024" s="9470"/>
      <c r="T1024" s="9471"/>
      <c r="U1024" s="9468"/>
      <c r="V1024" s="9469"/>
      <c r="W1024" s="9471"/>
      <c r="X1024" s="9469"/>
      <c r="Y1024" s="9471"/>
      <c r="Z1024" s="9469"/>
      <c r="AA1024" s="9470"/>
      <c r="AB1024" s="9470"/>
      <c r="AC1024" s="9470"/>
      <c r="AD1024" s="9470"/>
      <c r="AE1024" s="9470"/>
      <c r="AF1024" s="9471"/>
      <c r="AG1024" s="9469"/>
      <c r="AH1024" s="9470"/>
      <c r="AI1024" s="9470"/>
      <c r="AJ1024" s="9470"/>
      <c r="AK1024" s="9470"/>
      <c r="AL1024" s="9470"/>
      <c r="AM1024" s="9470"/>
      <c r="AN1024" s="9471"/>
      <c r="AO1024" s="9469"/>
      <c r="AP1024" s="9470"/>
      <c r="AQ1024" s="9470"/>
      <c r="AR1024" s="9470"/>
      <c r="AS1024" s="9470"/>
      <c r="AT1024" s="9471"/>
      <c r="AU1024" s="10216"/>
      <c r="AV1024" s="10216"/>
      <c r="AW1024" s="10216"/>
      <c r="AX1024" s="10213"/>
      <c r="AY1024" s="10215"/>
      <c r="AZ1024" s="10216"/>
      <c r="BA1024" s="10213"/>
      <c r="BB1024" s="10214"/>
      <c r="BC1024" s="10215"/>
      <c r="BD1024" s="10217"/>
      <c r="BF1024" s="8859"/>
      <c r="BG1024" s="8859"/>
      <c r="BH1024" s="8859"/>
      <c r="BI1024" s="8859"/>
      <c r="BJ1024" s="8859"/>
      <c r="BK1024" s="8859"/>
      <c r="BL1024" s="8859"/>
      <c r="BM1024" s="8859"/>
      <c r="BN1024" s="8859"/>
    </row>
    <row r="1025" spans="1:66" ht="30" hidden="1" customHeight="1">
      <c r="A1025" s="8857">
        <v>628</v>
      </c>
      <c r="B1025" s="10366" t="s">
        <v>4603</v>
      </c>
      <c r="C1025" s="13600"/>
      <c r="D1025" s="12301" t="s">
        <v>2896</v>
      </c>
      <c r="E1025" s="7826" t="s">
        <v>2858</v>
      </c>
      <c r="F1025" s="7826"/>
      <c r="G1025" s="11898" t="s">
        <v>2780</v>
      </c>
      <c r="H1025" s="12351"/>
      <c r="I1025" s="12352" t="s">
        <v>2779</v>
      </c>
      <c r="K1025" s="10213"/>
      <c r="L1025" s="9465"/>
      <c r="M1025" s="9465"/>
      <c r="N1025" s="10214"/>
      <c r="O1025" s="10214"/>
      <c r="P1025" s="10215"/>
      <c r="Q1025" s="9468"/>
      <c r="R1025" s="9469"/>
      <c r="S1025" s="9470"/>
      <c r="T1025" s="9471"/>
      <c r="U1025" s="9468"/>
      <c r="V1025" s="9469"/>
      <c r="W1025" s="9471"/>
      <c r="X1025" s="9469"/>
      <c r="Y1025" s="9471"/>
      <c r="Z1025" s="9469"/>
      <c r="AA1025" s="9470"/>
      <c r="AB1025" s="9470"/>
      <c r="AC1025" s="9470"/>
      <c r="AD1025" s="9470"/>
      <c r="AE1025" s="9470"/>
      <c r="AF1025" s="9471"/>
      <c r="AG1025" s="9469"/>
      <c r="AH1025" s="9470"/>
      <c r="AI1025" s="9470"/>
      <c r="AJ1025" s="9470"/>
      <c r="AK1025" s="9470"/>
      <c r="AL1025" s="9470"/>
      <c r="AM1025" s="9470"/>
      <c r="AN1025" s="9471"/>
      <c r="AO1025" s="9469"/>
      <c r="AP1025" s="9470"/>
      <c r="AQ1025" s="9470"/>
      <c r="AR1025" s="9470"/>
      <c r="AS1025" s="9470"/>
      <c r="AT1025" s="9471"/>
      <c r="AU1025" s="10216"/>
      <c r="AV1025" s="10216"/>
      <c r="AW1025" s="10216"/>
      <c r="AX1025" s="10213"/>
      <c r="AY1025" s="10215"/>
      <c r="AZ1025" s="10216"/>
      <c r="BA1025" s="10213"/>
      <c r="BB1025" s="10214"/>
      <c r="BC1025" s="10215"/>
      <c r="BD1025" s="10217"/>
      <c r="BF1025" s="8859"/>
      <c r="BG1025" s="8859"/>
      <c r="BH1025" s="8859"/>
      <c r="BI1025" s="8859"/>
      <c r="BJ1025" s="8859"/>
      <c r="BK1025" s="8859"/>
      <c r="BL1025" s="8859"/>
      <c r="BM1025" s="8859"/>
      <c r="BN1025" s="8859"/>
    </row>
    <row r="1026" spans="1:66" ht="30" hidden="1" customHeight="1">
      <c r="A1026" s="8857">
        <v>629</v>
      </c>
      <c r="B1026" s="10366" t="s">
        <v>4604</v>
      </c>
      <c r="C1026" s="13600"/>
      <c r="D1026" s="12301" t="s">
        <v>2896</v>
      </c>
      <c r="E1026" s="7826" t="s">
        <v>2858</v>
      </c>
      <c r="F1026" s="12303"/>
      <c r="G1026" s="11898" t="s">
        <v>2784</v>
      </c>
      <c r="H1026" s="12351"/>
      <c r="I1026" s="12352" t="s">
        <v>2783</v>
      </c>
      <c r="K1026" s="10212"/>
      <c r="L1026" s="9485"/>
      <c r="M1026" s="9485"/>
      <c r="N1026" s="10367"/>
      <c r="O1026" s="10367"/>
      <c r="P1026" s="10368"/>
      <c r="Q1026" s="9488"/>
      <c r="R1026" s="9489"/>
      <c r="S1026" s="9490"/>
      <c r="T1026" s="9491"/>
      <c r="U1026" s="9488"/>
      <c r="V1026" s="9489"/>
      <c r="W1026" s="9491"/>
      <c r="X1026" s="9489"/>
      <c r="Y1026" s="9491"/>
      <c r="Z1026" s="9489"/>
      <c r="AA1026" s="9490"/>
      <c r="AB1026" s="9490"/>
      <c r="AC1026" s="9490"/>
      <c r="AD1026" s="9490"/>
      <c r="AE1026" s="9490"/>
      <c r="AF1026" s="9491"/>
      <c r="AG1026" s="9489"/>
      <c r="AH1026" s="9490"/>
      <c r="AI1026" s="9490"/>
      <c r="AJ1026" s="9490"/>
      <c r="AK1026" s="9490"/>
      <c r="AL1026" s="9490"/>
      <c r="AM1026" s="9490"/>
      <c r="AN1026" s="9491"/>
      <c r="AO1026" s="9489"/>
      <c r="AP1026" s="9490"/>
      <c r="AQ1026" s="9490"/>
      <c r="AR1026" s="9490"/>
      <c r="AS1026" s="9490"/>
      <c r="AT1026" s="9491"/>
      <c r="AU1026" s="10369"/>
      <c r="AV1026" s="10369"/>
      <c r="AW1026" s="10369"/>
      <c r="AX1026" s="10212"/>
      <c r="AY1026" s="10368"/>
      <c r="AZ1026" s="10369"/>
      <c r="BA1026" s="10212"/>
      <c r="BB1026" s="10367"/>
      <c r="BC1026" s="10368"/>
      <c r="BD1026" s="8857"/>
      <c r="BF1026" s="8859"/>
      <c r="BG1026" s="8859"/>
      <c r="BH1026" s="8859"/>
      <c r="BI1026" s="8859"/>
      <c r="BJ1026" s="8859"/>
      <c r="BK1026" s="8859"/>
      <c r="BL1026" s="8859"/>
      <c r="BM1026" s="8859"/>
      <c r="BN1026" s="8859"/>
    </row>
    <row r="1027" spans="1:66" ht="30" hidden="1" customHeight="1">
      <c r="A1027" s="8857">
        <v>630</v>
      </c>
      <c r="B1027" s="10366" t="s">
        <v>4605</v>
      </c>
      <c r="C1027" s="13600"/>
      <c r="D1027" s="12301" t="s">
        <v>2896</v>
      </c>
      <c r="E1027" s="7826" t="s">
        <v>2858</v>
      </c>
      <c r="F1027" s="7826"/>
      <c r="G1027" s="11898" t="s">
        <v>2788</v>
      </c>
      <c r="H1027" s="12351"/>
      <c r="I1027" s="12352" t="s">
        <v>2787</v>
      </c>
      <c r="K1027" s="10213"/>
      <c r="L1027" s="9465"/>
      <c r="M1027" s="9465"/>
      <c r="N1027" s="10214"/>
      <c r="O1027" s="10214"/>
      <c r="P1027" s="10215"/>
      <c r="Q1027" s="9468"/>
      <c r="R1027" s="9469"/>
      <c r="S1027" s="9470"/>
      <c r="T1027" s="9471"/>
      <c r="U1027" s="9468"/>
      <c r="V1027" s="9469"/>
      <c r="W1027" s="9471"/>
      <c r="X1027" s="9469"/>
      <c r="Y1027" s="9471"/>
      <c r="Z1027" s="9469"/>
      <c r="AA1027" s="9470"/>
      <c r="AB1027" s="9470"/>
      <c r="AC1027" s="9470"/>
      <c r="AD1027" s="9470"/>
      <c r="AE1027" s="9470"/>
      <c r="AF1027" s="9471"/>
      <c r="AG1027" s="9469"/>
      <c r="AH1027" s="9470"/>
      <c r="AI1027" s="9470"/>
      <c r="AJ1027" s="9470"/>
      <c r="AK1027" s="9470"/>
      <c r="AL1027" s="9470"/>
      <c r="AM1027" s="9470"/>
      <c r="AN1027" s="9471"/>
      <c r="AO1027" s="9469"/>
      <c r="AP1027" s="9470"/>
      <c r="AQ1027" s="9470"/>
      <c r="AR1027" s="9470"/>
      <c r="AS1027" s="9470"/>
      <c r="AT1027" s="9471"/>
      <c r="AU1027" s="10216"/>
      <c r="AV1027" s="10216"/>
      <c r="AW1027" s="10216"/>
      <c r="AX1027" s="10213"/>
      <c r="AY1027" s="10215"/>
      <c r="AZ1027" s="10216"/>
      <c r="BA1027" s="10213"/>
      <c r="BB1027" s="10214"/>
      <c r="BC1027" s="10215"/>
      <c r="BD1027" s="10217"/>
      <c r="BF1027" s="8859"/>
      <c r="BG1027" s="8859"/>
      <c r="BH1027" s="8859"/>
      <c r="BI1027" s="8859"/>
      <c r="BJ1027" s="8859"/>
      <c r="BK1027" s="8859"/>
      <c r="BL1027" s="8859"/>
      <c r="BM1027" s="8859"/>
      <c r="BN1027" s="8859"/>
    </row>
    <row r="1028" spans="1:66" ht="30" hidden="1" customHeight="1">
      <c r="A1028" s="10370">
        <v>631</v>
      </c>
      <c r="B1028" s="10371" t="s">
        <v>8534</v>
      </c>
      <c r="C1028" s="13600"/>
      <c r="D1028" s="12353" t="s">
        <v>2896</v>
      </c>
      <c r="E1028" s="7826" t="s">
        <v>2858</v>
      </c>
      <c r="F1028" s="7826"/>
      <c r="G1028" s="12354" t="s">
        <v>10266</v>
      </c>
      <c r="H1028" s="12355"/>
      <c r="I1028" s="12352" t="s">
        <v>8533</v>
      </c>
      <c r="K1028" s="10213"/>
      <c r="L1028" s="9465"/>
      <c r="M1028" s="9465"/>
      <c r="N1028" s="10214"/>
      <c r="O1028" s="10214"/>
      <c r="P1028" s="10215"/>
      <c r="Q1028" s="9468"/>
      <c r="R1028" s="9469"/>
      <c r="S1028" s="9470"/>
      <c r="T1028" s="9471"/>
      <c r="U1028" s="9468"/>
      <c r="V1028" s="9469"/>
      <c r="W1028" s="9471"/>
      <c r="X1028" s="9469"/>
      <c r="Y1028" s="9471"/>
      <c r="Z1028" s="9469"/>
      <c r="AA1028" s="9470"/>
      <c r="AB1028" s="9470"/>
      <c r="AC1028" s="9470"/>
      <c r="AD1028" s="9470"/>
      <c r="AE1028" s="9470"/>
      <c r="AF1028" s="9471"/>
      <c r="AG1028" s="9469"/>
      <c r="AH1028" s="9470"/>
      <c r="AI1028" s="9470"/>
      <c r="AJ1028" s="9470"/>
      <c r="AK1028" s="9470"/>
      <c r="AL1028" s="9470"/>
      <c r="AM1028" s="9470"/>
      <c r="AN1028" s="9471"/>
      <c r="AO1028" s="9469"/>
      <c r="AP1028" s="9470"/>
      <c r="AQ1028" s="9470"/>
      <c r="AR1028" s="9470"/>
      <c r="AS1028" s="9470"/>
      <c r="AT1028" s="9471"/>
      <c r="AU1028" s="10216"/>
      <c r="AV1028" s="10216"/>
      <c r="AW1028" s="10216"/>
      <c r="AX1028" s="10213"/>
      <c r="AY1028" s="10215"/>
      <c r="AZ1028" s="10216"/>
      <c r="BA1028" s="10213"/>
      <c r="BB1028" s="10214"/>
      <c r="BC1028" s="10215"/>
      <c r="BD1028" s="10217"/>
      <c r="BF1028" s="9172"/>
      <c r="BG1028" s="9172"/>
      <c r="BH1028" s="9172"/>
      <c r="BI1028" s="9172"/>
      <c r="BJ1028" s="9172"/>
      <c r="BK1028" s="9172"/>
      <c r="BL1028" s="9172"/>
      <c r="BM1028" s="9172"/>
      <c r="BN1028" s="9172"/>
    </row>
    <row r="1029" spans="1:66" ht="30" hidden="1" customHeight="1">
      <c r="A1029" s="10370">
        <v>632</v>
      </c>
      <c r="B1029" s="10371" t="s">
        <v>8534</v>
      </c>
      <c r="C1029" s="13600"/>
      <c r="D1029" s="12301" t="s">
        <v>2896</v>
      </c>
      <c r="E1029" s="7826" t="s">
        <v>2858</v>
      </c>
      <c r="F1029" s="7826"/>
      <c r="G1029" s="12354" t="s">
        <v>10267</v>
      </c>
      <c r="H1029" s="12355"/>
      <c r="I1029" s="12352" t="s">
        <v>8537</v>
      </c>
      <c r="K1029" s="10213"/>
      <c r="L1029" s="9465"/>
      <c r="M1029" s="9465"/>
      <c r="N1029" s="10214"/>
      <c r="O1029" s="10214"/>
      <c r="P1029" s="10215"/>
      <c r="Q1029" s="9468"/>
      <c r="R1029" s="9469"/>
      <c r="S1029" s="9470"/>
      <c r="T1029" s="9471"/>
      <c r="U1029" s="9468"/>
      <c r="V1029" s="9469"/>
      <c r="W1029" s="9471"/>
      <c r="X1029" s="9469"/>
      <c r="Y1029" s="9471"/>
      <c r="Z1029" s="9469"/>
      <c r="AA1029" s="9470"/>
      <c r="AB1029" s="9470"/>
      <c r="AC1029" s="9470"/>
      <c r="AD1029" s="9470"/>
      <c r="AE1029" s="9470"/>
      <c r="AF1029" s="9471"/>
      <c r="AG1029" s="9469"/>
      <c r="AH1029" s="9470"/>
      <c r="AI1029" s="9470"/>
      <c r="AJ1029" s="9470"/>
      <c r="AK1029" s="9470"/>
      <c r="AL1029" s="9470"/>
      <c r="AM1029" s="9470"/>
      <c r="AN1029" s="9471"/>
      <c r="AO1029" s="9469"/>
      <c r="AP1029" s="9470"/>
      <c r="AQ1029" s="9470"/>
      <c r="AR1029" s="9470"/>
      <c r="AS1029" s="9470"/>
      <c r="AT1029" s="9471"/>
      <c r="AU1029" s="10216"/>
      <c r="AV1029" s="10216"/>
      <c r="AW1029" s="10216"/>
      <c r="AX1029" s="10213"/>
      <c r="AY1029" s="10215"/>
      <c r="AZ1029" s="10216"/>
      <c r="BA1029" s="10213"/>
      <c r="BB1029" s="10214"/>
      <c r="BC1029" s="10215"/>
      <c r="BD1029" s="10217"/>
      <c r="BF1029" s="9172"/>
      <c r="BG1029" s="9172"/>
      <c r="BH1029" s="9172"/>
      <c r="BI1029" s="9172"/>
      <c r="BJ1029" s="9172"/>
      <c r="BK1029" s="9172"/>
      <c r="BL1029" s="9172"/>
      <c r="BM1029" s="9172"/>
      <c r="BN1029" s="9172"/>
    </row>
    <row r="1030" spans="1:66" ht="30" hidden="1" customHeight="1">
      <c r="A1030" s="10370">
        <v>633</v>
      </c>
      <c r="B1030" s="10371" t="s">
        <v>8534</v>
      </c>
      <c r="C1030" s="13600"/>
      <c r="D1030" s="12301" t="s">
        <v>2859</v>
      </c>
      <c r="E1030" s="7826" t="s">
        <v>2859</v>
      </c>
      <c r="F1030" s="7826"/>
      <c r="G1030" s="12354" t="s">
        <v>10268</v>
      </c>
      <c r="H1030" s="12355"/>
      <c r="I1030" s="12356" t="s">
        <v>8540</v>
      </c>
      <c r="K1030" s="10372"/>
      <c r="L1030" s="10373"/>
      <c r="M1030" s="10373"/>
      <c r="N1030" s="10374"/>
      <c r="O1030" s="10374"/>
      <c r="P1030" s="10375"/>
      <c r="Q1030" s="10376"/>
      <c r="R1030" s="10377"/>
      <c r="S1030" s="10378"/>
      <c r="T1030" s="10379"/>
      <c r="U1030" s="10376"/>
      <c r="V1030" s="10377"/>
      <c r="W1030" s="10379"/>
      <c r="X1030" s="10377"/>
      <c r="Y1030" s="10379"/>
      <c r="Z1030" s="10377"/>
      <c r="AA1030" s="10378"/>
      <c r="AB1030" s="10378"/>
      <c r="AC1030" s="10378"/>
      <c r="AD1030" s="10378"/>
      <c r="AE1030" s="10378"/>
      <c r="AF1030" s="10379"/>
      <c r="AG1030" s="10377"/>
      <c r="AH1030" s="10378"/>
      <c r="AI1030" s="10378"/>
      <c r="AJ1030" s="10378"/>
      <c r="AK1030" s="10378"/>
      <c r="AL1030" s="10378"/>
      <c r="AM1030" s="10378"/>
      <c r="AN1030" s="10379"/>
      <c r="AO1030" s="10377"/>
      <c r="AP1030" s="10378"/>
      <c r="AQ1030" s="10378"/>
      <c r="AR1030" s="10378"/>
      <c r="AS1030" s="10378"/>
      <c r="AT1030" s="10379"/>
      <c r="AU1030" s="10380"/>
      <c r="AV1030" s="10380"/>
      <c r="AW1030" s="10380"/>
      <c r="AX1030" s="10372"/>
      <c r="AY1030" s="10375"/>
      <c r="AZ1030" s="10380"/>
      <c r="BA1030" s="10372"/>
      <c r="BB1030" s="10374"/>
      <c r="BC1030" s="10375"/>
      <c r="BD1030" s="10381"/>
      <c r="BF1030" s="9172"/>
      <c r="BG1030" s="9172"/>
      <c r="BH1030" s="9172"/>
      <c r="BI1030" s="9172"/>
      <c r="BJ1030" s="9172"/>
      <c r="BK1030" s="9172"/>
      <c r="BL1030" s="9172"/>
      <c r="BM1030" s="9172"/>
      <c r="BN1030" s="9172"/>
    </row>
    <row r="1031" spans="1:66" ht="30" hidden="1" customHeight="1">
      <c r="A1031" s="10370">
        <v>634</v>
      </c>
      <c r="B1031" s="10371" t="s">
        <v>8534</v>
      </c>
      <c r="C1031" s="13600"/>
      <c r="D1031" s="12301" t="s">
        <v>2859</v>
      </c>
      <c r="E1031" s="7826" t="s">
        <v>2859</v>
      </c>
      <c r="F1031" s="7826"/>
      <c r="G1031" s="12354" t="s">
        <v>10269</v>
      </c>
      <c r="H1031" s="12355"/>
      <c r="I1031" s="12356" t="s">
        <v>8543</v>
      </c>
      <c r="K1031" s="10372"/>
      <c r="L1031" s="10373"/>
      <c r="M1031" s="10373"/>
      <c r="N1031" s="10374"/>
      <c r="O1031" s="10374"/>
      <c r="P1031" s="10375"/>
      <c r="Q1031" s="10376"/>
      <c r="R1031" s="10377"/>
      <c r="S1031" s="10378"/>
      <c r="T1031" s="10379"/>
      <c r="U1031" s="10376"/>
      <c r="V1031" s="10377"/>
      <c r="W1031" s="10379"/>
      <c r="X1031" s="10377"/>
      <c r="Y1031" s="10379"/>
      <c r="Z1031" s="10377"/>
      <c r="AA1031" s="10378"/>
      <c r="AB1031" s="10378"/>
      <c r="AC1031" s="10378"/>
      <c r="AD1031" s="10378"/>
      <c r="AE1031" s="10378"/>
      <c r="AF1031" s="10379"/>
      <c r="AG1031" s="10377"/>
      <c r="AH1031" s="10378"/>
      <c r="AI1031" s="10378"/>
      <c r="AJ1031" s="10378"/>
      <c r="AK1031" s="10378"/>
      <c r="AL1031" s="10378"/>
      <c r="AM1031" s="10378"/>
      <c r="AN1031" s="10379"/>
      <c r="AO1031" s="10377"/>
      <c r="AP1031" s="10378"/>
      <c r="AQ1031" s="10378"/>
      <c r="AR1031" s="10378"/>
      <c r="AS1031" s="10378"/>
      <c r="AT1031" s="10379"/>
      <c r="AU1031" s="10380"/>
      <c r="AV1031" s="10380"/>
      <c r="AW1031" s="10380"/>
      <c r="AX1031" s="10372"/>
      <c r="AY1031" s="10375"/>
      <c r="AZ1031" s="10380"/>
      <c r="BA1031" s="10372"/>
      <c r="BB1031" s="10374"/>
      <c r="BC1031" s="10375"/>
      <c r="BD1031" s="10381"/>
      <c r="BF1031" s="9172"/>
      <c r="BG1031" s="9172"/>
      <c r="BH1031" s="9172"/>
      <c r="BI1031" s="9172"/>
      <c r="BJ1031" s="9172"/>
      <c r="BK1031" s="9172"/>
      <c r="BL1031" s="9172"/>
      <c r="BM1031" s="9172"/>
      <c r="BN1031" s="9172"/>
    </row>
    <row r="1032" spans="1:66" ht="30" hidden="1" customHeight="1">
      <c r="A1032" s="8857">
        <v>635</v>
      </c>
      <c r="B1032" s="10366" t="s">
        <v>4606</v>
      </c>
      <c r="C1032" s="13600"/>
      <c r="D1032" s="12301" t="s">
        <v>218</v>
      </c>
      <c r="E1032" s="7826" t="s">
        <v>2860</v>
      </c>
      <c r="F1032" s="7826"/>
      <c r="G1032" s="11898" t="s">
        <v>4607</v>
      </c>
      <c r="H1032" s="12351"/>
      <c r="I1032" s="12356" t="s">
        <v>2791</v>
      </c>
      <c r="K1032" s="10382"/>
      <c r="L1032" s="10383"/>
      <c r="M1032" s="10383"/>
      <c r="N1032" s="10219"/>
      <c r="O1032" s="10219"/>
      <c r="P1032" s="10384"/>
      <c r="Q1032" s="10385"/>
      <c r="R1032" s="10386"/>
      <c r="S1032" s="10387"/>
      <c r="T1032" s="10388"/>
      <c r="U1032" s="10385"/>
      <c r="V1032" s="10386"/>
      <c r="W1032" s="10388"/>
      <c r="X1032" s="10386"/>
      <c r="Y1032" s="10388"/>
      <c r="Z1032" s="10386"/>
      <c r="AA1032" s="10387"/>
      <c r="AB1032" s="10387"/>
      <c r="AC1032" s="10387"/>
      <c r="AD1032" s="10387"/>
      <c r="AE1032" s="10387"/>
      <c r="AF1032" s="10388"/>
      <c r="AG1032" s="10386"/>
      <c r="AH1032" s="10387"/>
      <c r="AI1032" s="10387"/>
      <c r="AJ1032" s="10387"/>
      <c r="AK1032" s="10387"/>
      <c r="AL1032" s="10387"/>
      <c r="AM1032" s="10387"/>
      <c r="AN1032" s="10388"/>
      <c r="AO1032" s="10386"/>
      <c r="AP1032" s="10387"/>
      <c r="AQ1032" s="10387"/>
      <c r="AR1032" s="10387"/>
      <c r="AS1032" s="10387"/>
      <c r="AT1032" s="10388"/>
      <c r="AU1032" s="10389"/>
      <c r="AV1032" s="10389"/>
      <c r="AW1032" s="10389"/>
      <c r="AX1032" s="10382"/>
      <c r="AY1032" s="10384"/>
      <c r="AZ1032" s="10389"/>
      <c r="BA1032" s="10382"/>
      <c r="BB1032" s="10219"/>
      <c r="BC1032" s="10384"/>
      <c r="BD1032" s="10390"/>
      <c r="BF1032" s="8859"/>
      <c r="BG1032" s="8859"/>
      <c r="BH1032" s="8859"/>
      <c r="BI1032" s="8859"/>
      <c r="BJ1032" s="8859"/>
      <c r="BK1032" s="8859"/>
      <c r="BL1032" s="8859"/>
      <c r="BM1032" s="8859"/>
      <c r="BN1032" s="8859"/>
    </row>
    <row r="1033" spans="1:66" ht="30" hidden="1" customHeight="1" thickBot="1">
      <c r="A1033" s="10231">
        <v>636</v>
      </c>
      <c r="B1033" s="10391" t="s">
        <v>4608</v>
      </c>
      <c r="C1033" s="13600"/>
      <c r="D1033" s="12305" t="s">
        <v>218</v>
      </c>
      <c r="E1033" s="11981" t="s">
        <v>2860</v>
      </c>
      <c r="F1033" s="11981"/>
      <c r="G1033" s="12357" t="s">
        <v>2795</v>
      </c>
      <c r="H1033" s="12358"/>
      <c r="I1033" s="12359" t="s">
        <v>2794</v>
      </c>
      <c r="K1033" s="10392"/>
      <c r="L1033" s="10393"/>
      <c r="M1033" s="10393"/>
      <c r="N1033" s="10394"/>
      <c r="O1033" s="10394"/>
      <c r="P1033" s="10395"/>
      <c r="Q1033" s="10396"/>
      <c r="R1033" s="10397"/>
      <c r="S1033" s="10398"/>
      <c r="T1033" s="10399"/>
      <c r="U1033" s="10396"/>
      <c r="V1033" s="10397"/>
      <c r="W1033" s="10399"/>
      <c r="X1033" s="10397"/>
      <c r="Y1033" s="10399"/>
      <c r="Z1033" s="10397"/>
      <c r="AA1033" s="10398"/>
      <c r="AB1033" s="10398"/>
      <c r="AC1033" s="10398"/>
      <c r="AD1033" s="10398"/>
      <c r="AE1033" s="10398"/>
      <c r="AF1033" s="10399"/>
      <c r="AG1033" s="10397"/>
      <c r="AH1033" s="10398"/>
      <c r="AI1033" s="10398"/>
      <c r="AJ1033" s="10398"/>
      <c r="AK1033" s="10398"/>
      <c r="AL1033" s="10398"/>
      <c r="AM1033" s="10398"/>
      <c r="AN1033" s="10399"/>
      <c r="AO1033" s="10397"/>
      <c r="AP1033" s="10398"/>
      <c r="AQ1033" s="10398"/>
      <c r="AR1033" s="10398"/>
      <c r="AS1033" s="10398"/>
      <c r="AT1033" s="10399"/>
      <c r="AU1033" s="10400"/>
      <c r="AV1033" s="10400"/>
      <c r="AW1033" s="10400"/>
      <c r="AX1033" s="10392"/>
      <c r="AY1033" s="10395"/>
      <c r="AZ1033" s="10400"/>
      <c r="BA1033" s="10392"/>
      <c r="BB1033" s="10394"/>
      <c r="BC1033" s="10395"/>
      <c r="BD1033" s="10401"/>
      <c r="BF1033" s="10342"/>
      <c r="BG1033" s="10342"/>
      <c r="BH1033" s="10342"/>
      <c r="BI1033" s="10342"/>
      <c r="BJ1033" s="10342"/>
      <c r="BK1033" s="10342"/>
      <c r="BL1033" s="10342"/>
      <c r="BM1033" s="10342"/>
      <c r="BN1033" s="10342"/>
    </row>
    <row r="1034" spans="1:66" ht="30" hidden="1" customHeight="1">
      <c r="A1034" s="10092">
        <v>637</v>
      </c>
      <c r="B1034" s="10402" t="s">
        <v>4609</v>
      </c>
      <c r="C1034" s="13600"/>
      <c r="D1034" s="12264" t="s">
        <v>218</v>
      </c>
      <c r="E1034" s="7820" t="s">
        <v>2860</v>
      </c>
      <c r="F1034" s="7820"/>
      <c r="G1034" s="11809" t="s">
        <v>2802</v>
      </c>
      <c r="H1034" s="12360"/>
      <c r="I1034" s="12155" t="s">
        <v>2800</v>
      </c>
      <c r="K1034" s="10403"/>
      <c r="L1034" s="10404"/>
      <c r="M1034" s="10404"/>
      <c r="N1034" s="8905"/>
      <c r="O1034" s="8905"/>
      <c r="P1034" s="10405"/>
      <c r="Q1034" s="10406"/>
      <c r="R1034" s="10407"/>
      <c r="S1034" s="10408"/>
      <c r="T1034" s="10409"/>
      <c r="U1034" s="10406"/>
      <c r="V1034" s="10407"/>
      <c r="W1034" s="10409"/>
      <c r="X1034" s="10407"/>
      <c r="Y1034" s="10409"/>
      <c r="Z1034" s="10407"/>
      <c r="AA1034" s="10408"/>
      <c r="AB1034" s="10408"/>
      <c r="AC1034" s="10408"/>
      <c r="AD1034" s="10408"/>
      <c r="AE1034" s="10408"/>
      <c r="AF1034" s="10409"/>
      <c r="AG1034" s="10407"/>
      <c r="AH1034" s="10408"/>
      <c r="AI1034" s="10408"/>
      <c r="AJ1034" s="10408"/>
      <c r="AK1034" s="10408"/>
      <c r="AL1034" s="10408"/>
      <c r="AM1034" s="10408"/>
      <c r="AN1034" s="10409"/>
      <c r="AO1034" s="10407"/>
      <c r="AP1034" s="10408"/>
      <c r="AQ1034" s="10408"/>
      <c r="AR1034" s="10408"/>
      <c r="AS1034" s="10408"/>
      <c r="AT1034" s="10409"/>
      <c r="AU1034" s="10410"/>
      <c r="AV1034" s="10410"/>
      <c r="AW1034" s="10410"/>
      <c r="AX1034" s="10403"/>
      <c r="AY1034" s="10405"/>
      <c r="AZ1034" s="10410"/>
      <c r="BA1034" s="10403"/>
      <c r="BB1034" s="8905"/>
      <c r="BC1034" s="10405"/>
      <c r="BD1034" s="10411"/>
      <c r="BF1034" s="8538"/>
      <c r="BG1034" s="8538"/>
      <c r="BH1034" s="8538"/>
      <c r="BI1034" s="8538"/>
      <c r="BJ1034" s="8538"/>
      <c r="BK1034" s="8538"/>
      <c r="BL1034" s="8538"/>
      <c r="BM1034" s="8538"/>
      <c r="BN1034" s="8538"/>
    </row>
    <row r="1035" spans="1:66" ht="30" hidden="1" customHeight="1">
      <c r="A1035" s="8566">
        <v>638</v>
      </c>
      <c r="B1035" s="8567" t="s">
        <v>4610</v>
      </c>
      <c r="C1035" s="13600"/>
      <c r="D1035" s="11813" t="s">
        <v>10072</v>
      </c>
      <c r="E1035" s="7822" t="s">
        <v>2861</v>
      </c>
      <c r="F1035" s="7822"/>
      <c r="G1035" s="11812" t="s">
        <v>2806</v>
      </c>
      <c r="H1035" s="11815"/>
      <c r="I1035" s="12156" t="s">
        <v>2805</v>
      </c>
      <c r="K1035" s="10412"/>
      <c r="L1035" s="10413"/>
      <c r="M1035" s="10413"/>
      <c r="N1035" s="8918"/>
      <c r="O1035" s="8918"/>
      <c r="P1035" s="10414"/>
      <c r="Q1035" s="10415"/>
      <c r="R1035" s="10416"/>
      <c r="S1035" s="10417"/>
      <c r="T1035" s="10418"/>
      <c r="U1035" s="10415"/>
      <c r="V1035" s="10416"/>
      <c r="W1035" s="10418"/>
      <c r="X1035" s="10416"/>
      <c r="Y1035" s="10418"/>
      <c r="Z1035" s="10416"/>
      <c r="AA1035" s="10417"/>
      <c r="AB1035" s="10417"/>
      <c r="AC1035" s="10417"/>
      <c r="AD1035" s="10417"/>
      <c r="AE1035" s="10417"/>
      <c r="AF1035" s="10418"/>
      <c r="AG1035" s="10416"/>
      <c r="AH1035" s="10417"/>
      <c r="AI1035" s="10417"/>
      <c r="AJ1035" s="10417"/>
      <c r="AK1035" s="10417"/>
      <c r="AL1035" s="10417"/>
      <c r="AM1035" s="10417"/>
      <c r="AN1035" s="10418"/>
      <c r="AO1035" s="10416"/>
      <c r="AP1035" s="10417"/>
      <c r="AQ1035" s="10417"/>
      <c r="AR1035" s="10417"/>
      <c r="AS1035" s="10417"/>
      <c r="AT1035" s="10418"/>
      <c r="AU1035" s="10419"/>
      <c r="AV1035" s="10419"/>
      <c r="AW1035" s="10419"/>
      <c r="AX1035" s="10412"/>
      <c r="AY1035" s="10414"/>
      <c r="AZ1035" s="10419"/>
      <c r="BA1035" s="10412"/>
      <c r="BB1035" s="8918"/>
      <c r="BC1035" s="10414"/>
      <c r="BD1035" s="10420"/>
      <c r="BF1035" s="8549"/>
      <c r="BG1035" s="8549"/>
      <c r="BH1035" s="8549"/>
      <c r="BI1035" s="8549"/>
      <c r="BJ1035" s="8549"/>
      <c r="BK1035" s="8549"/>
      <c r="BL1035" s="8549"/>
      <c r="BM1035" s="8549"/>
      <c r="BN1035" s="8549"/>
    </row>
    <row r="1036" spans="1:66" ht="30" hidden="1" customHeight="1">
      <c r="A1036" s="8566">
        <v>639</v>
      </c>
      <c r="B1036" s="8567" t="s">
        <v>4611</v>
      </c>
      <c r="C1036" s="13600"/>
      <c r="D1036" s="11813" t="s">
        <v>10072</v>
      </c>
      <c r="E1036" s="7822" t="s">
        <v>2861</v>
      </c>
      <c r="F1036" s="7822"/>
      <c r="G1036" s="11812" t="s">
        <v>2810</v>
      </c>
      <c r="H1036" s="11815"/>
      <c r="I1036" s="12156" t="s">
        <v>2809</v>
      </c>
      <c r="K1036" s="10412"/>
      <c r="L1036" s="10413"/>
      <c r="M1036" s="10413"/>
      <c r="N1036" s="8918"/>
      <c r="O1036" s="8918"/>
      <c r="P1036" s="10414"/>
      <c r="Q1036" s="10415"/>
      <c r="R1036" s="10416"/>
      <c r="S1036" s="10417"/>
      <c r="T1036" s="10418"/>
      <c r="U1036" s="10415"/>
      <c r="V1036" s="10416"/>
      <c r="W1036" s="10418"/>
      <c r="X1036" s="10416"/>
      <c r="Y1036" s="10418"/>
      <c r="Z1036" s="10416"/>
      <c r="AA1036" s="10417"/>
      <c r="AB1036" s="10417"/>
      <c r="AC1036" s="10417"/>
      <c r="AD1036" s="10417"/>
      <c r="AE1036" s="10417"/>
      <c r="AF1036" s="10418"/>
      <c r="AG1036" s="10416"/>
      <c r="AH1036" s="10417"/>
      <c r="AI1036" s="10417"/>
      <c r="AJ1036" s="10417"/>
      <c r="AK1036" s="10417"/>
      <c r="AL1036" s="10417"/>
      <c r="AM1036" s="10417"/>
      <c r="AN1036" s="10418"/>
      <c r="AO1036" s="10416"/>
      <c r="AP1036" s="10417"/>
      <c r="AQ1036" s="10417"/>
      <c r="AR1036" s="10417"/>
      <c r="AS1036" s="10417"/>
      <c r="AT1036" s="10418"/>
      <c r="AU1036" s="10419"/>
      <c r="AV1036" s="10419"/>
      <c r="AW1036" s="10419"/>
      <c r="AX1036" s="10412"/>
      <c r="AY1036" s="10414"/>
      <c r="AZ1036" s="10419"/>
      <c r="BA1036" s="10412"/>
      <c r="BB1036" s="8918"/>
      <c r="BC1036" s="10414"/>
      <c r="BD1036" s="10420"/>
      <c r="BF1036" s="8549"/>
      <c r="BG1036" s="8549"/>
      <c r="BH1036" s="8549"/>
      <c r="BI1036" s="8549"/>
      <c r="BJ1036" s="8549"/>
      <c r="BK1036" s="8549"/>
      <c r="BL1036" s="8549"/>
      <c r="BM1036" s="8549"/>
      <c r="BN1036" s="8549"/>
    </row>
    <row r="1037" spans="1:66" ht="30" hidden="1" customHeight="1">
      <c r="A1037" s="8566">
        <v>640</v>
      </c>
      <c r="B1037" s="8567" t="s">
        <v>4612</v>
      </c>
      <c r="C1037" s="13600"/>
      <c r="D1037" s="11813" t="s">
        <v>218</v>
      </c>
      <c r="E1037" s="7822" t="s">
        <v>2860</v>
      </c>
      <c r="F1037" s="7822"/>
      <c r="G1037" s="11812" t="s">
        <v>2814</v>
      </c>
      <c r="H1037" s="11815"/>
      <c r="I1037" s="12156" t="s">
        <v>2813</v>
      </c>
      <c r="K1037" s="10412"/>
      <c r="L1037" s="10413"/>
      <c r="M1037" s="10413"/>
      <c r="N1037" s="8918"/>
      <c r="O1037" s="8918"/>
      <c r="P1037" s="10414"/>
      <c r="Q1037" s="10415"/>
      <c r="R1037" s="10416"/>
      <c r="S1037" s="10417"/>
      <c r="T1037" s="10418"/>
      <c r="U1037" s="10415"/>
      <c r="V1037" s="10416"/>
      <c r="W1037" s="10418"/>
      <c r="X1037" s="10416"/>
      <c r="Y1037" s="10418"/>
      <c r="Z1037" s="10416"/>
      <c r="AA1037" s="10417"/>
      <c r="AB1037" s="10417"/>
      <c r="AC1037" s="10417"/>
      <c r="AD1037" s="10417"/>
      <c r="AE1037" s="10417"/>
      <c r="AF1037" s="10418"/>
      <c r="AG1037" s="10416"/>
      <c r="AH1037" s="10417"/>
      <c r="AI1037" s="10417"/>
      <c r="AJ1037" s="10417"/>
      <c r="AK1037" s="10417"/>
      <c r="AL1037" s="10417"/>
      <c r="AM1037" s="10417"/>
      <c r="AN1037" s="10418"/>
      <c r="AO1037" s="10416"/>
      <c r="AP1037" s="10417"/>
      <c r="AQ1037" s="10417"/>
      <c r="AR1037" s="10417"/>
      <c r="AS1037" s="10417"/>
      <c r="AT1037" s="10418"/>
      <c r="AU1037" s="10419"/>
      <c r="AV1037" s="10419"/>
      <c r="AW1037" s="10419"/>
      <c r="AX1037" s="10412"/>
      <c r="AY1037" s="10414"/>
      <c r="AZ1037" s="10419"/>
      <c r="BA1037" s="10412"/>
      <c r="BB1037" s="8918"/>
      <c r="BC1037" s="10414"/>
      <c r="BD1037" s="10420"/>
      <c r="BF1037" s="8549"/>
      <c r="BG1037" s="8549"/>
      <c r="BH1037" s="8549"/>
      <c r="BI1037" s="8549"/>
      <c r="BJ1037" s="8549"/>
      <c r="BK1037" s="8549"/>
      <c r="BL1037" s="8549"/>
      <c r="BM1037" s="8549"/>
      <c r="BN1037" s="8549"/>
    </row>
    <row r="1038" spans="1:66" ht="30" hidden="1" customHeight="1">
      <c r="A1038" s="8566">
        <v>641</v>
      </c>
      <c r="B1038" s="8567" t="s">
        <v>4613</v>
      </c>
      <c r="C1038" s="13600"/>
      <c r="D1038" s="11813" t="s">
        <v>218</v>
      </c>
      <c r="E1038" s="7822" t="s">
        <v>2860</v>
      </c>
      <c r="F1038" s="7822"/>
      <c r="G1038" s="11812" t="s">
        <v>2818</v>
      </c>
      <c r="H1038" s="11815"/>
      <c r="I1038" s="12156" t="s">
        <v>2817</v>
      </c>
      <c r="K1038" s="10412"/>
      <c r="L1038" s="10413"/>
      <c r="M1038" s="10413"/>
      <c r="N1038" s="8918"/>
      <c r="O1038" s="8918"/>
      <c r="P1038" s="10414"/>
      <c r="Q1038" s="10415"/>
      <c r="R1038" s="10416"/>
      <c r="S1038" s="10417"/>
      <c r="T1038" s="10418"/>
      <c r="U1038" s="10415"/>
      <c r="V1038" s="10416"/>
      <c r="W1038" s="10418"/>
      <c r="X1038" s="10416"/>
      <c r="Y1038" s="10418"/>
      <c r="Z1038" s="10416"/>
      <c r="AA1038" s="10417"/>
      <c r="AB1038" s="10417"/>
      <c r="AC1038" s="10417"/>
      <c r="AD1038" s="10417"/>
      <c r="AE1038" s="10417"/>
      <c r="AF1038" s="10418"/>
      <c r="AG1038" s="10416"/>
      <c r="AH1038" s="10417"/>
      <c r="AI1038" s="10417"/>
      <c r="AJ1038" s="10417"/>
      <c r="AK1038" s="10417"/>
      <c r="AL1038" s="10417"/>
      <c r="AM1038" s="10417"/>
      <c r="AN1038" s="10418"/>
      <c r="AO1038" s="10416"/>
      <c r="AP1038" s="10417"/>
      <c r="AQ1038" s="10417"/>
      <c r="AR1038" s="10417"/>
      <c r="AS1038" s="10417"/>
      <c r="AT1038" s="10418"/>
      <c r="AU1038" s="10419"/>
      <c r="AV1038" s="10419"/>
      <c r="AW1038" s="10419"/>
      <c r="AX1038" s="10412"/>
      <c r="AY1038" s="10414"/>
      <c r="AZ1038" s="10419"/>
      <c r="BA1038" s="10412"/>
      <c r="BB1038" s="8918"/>
      <c r="BC1038" s="10414"/>
      <c r="BD1038" s="10420"/>
      <c r="BF1038" s="8549"/>
      <c r="BG1038" s="8549"/>
      <c r="BH1038" s="8549"/>
      <c r="BI1038" s="8549"/>
      <c r="BJ1038" s="8549"/>
      <c r="BK1038" s="8549"/>
      <c r="BL1038" s="8549"/>
      <c r="BM1038" s="8549"/>
      <c r="BN1038" s="8549"/>
    </row>
    <row r="1039" spans="1:66" ht="30" hidden="1" customHeight="1" thickBot="1">
      <c r="A1039" s="10421">
        <v>642</v>
      </c>
      <c r="B1039" s="10422" t="s">
        <v>8544</v>
      </c>
      <c r="C1039" s="13600"/>
      <c r="D1039" s="12361" t="s">
        <v>218</v>
      </c>
      <c r="E1039" s="7815" t="s">
        <v>2860</v>
      </c>
      <c r="F1039" s="7815"/>
      <c r="G1039" s="12362" t="s">
        <v>10270</v>
      </c>
      <c r="H1039" s="12363"/>
      <c r="I1039" s="12364" t="s">
        <v>2821</v>
      </c>
      <c r="K1039" s="10412"/>
      <c r="L1039" s="10413"/>
      <c r="M1039" s="10413"/>
      <c r="N1039" s="8918"/>
      <c r="O1039" s="8918"/>
      <c r="P1039" s="10414"/>
      <c r="Q1039" s="10415"/>
      <c r="R1039" s="10416"/>
      <c r="S1039" s="10417"/>
      <c r="T1039" s="10418"/>
      <c r="U1039" s="10415"/>
      <c r="V1039" s="10416"/>
      <c r="W1039" s="10418"/>
      <c r="X1039" s="10416"/>
      <c r="Y1039" s="10418"/>
      <c r="Z1039" s="10416"/>
      <c r="AA1039" s="10417"/>
      <c r="AB1039" s="10417"/>
      <c r="AC1039" s="10417"/>
      <c r="AD1039" s="10417"/>
      <c r="AE1039" s="10417"/>
      <c r="AF1039" s="10418"/>
      <c r="AG1039" s="10416"/>
      <c r="AH1039" s="10417"/>
      <c r="AI1039" s="10417"/>
      <c r="AJ1039" s="10417"/>
      <c r="AK1039" s="10417"/>
      <c r="AL1039" s="10417"/>
      <c r="AM1039" s="10417"/>
      <c r="AN1039" s="10418"/>
      <c r="AO1039" s="10416"/>
      <c r="AP1039" s="10417"/>
      <c r="AQ1039" s="10417"/>
      <c r="AR1039" s="10417"/>
      <c r="AS1039" s="10417"/>
      <c r="AT1039" s="10418"/>
      <c r="AU1039" s="10419"/>
      <c r="AV1039" s="10419"/>
      <c r="AW1039" s="10419"/>
      <c r="AX1039" s="10412"/>
      <c r="AY1039" s="10414"/>
      <c r="AZ1039" s="10419"/>
      <c r="BA1039" s="10412"/>
      <c r="BB1039" s="8918"/>
      <c r="BC1039" s="10414"/>
      <c r="BD1039" s="10420"/>
      <c r="BF1039" s="10423"/>
      <c r="BG1039" s="10423"/>
      <c r="BH1039" s="10423"/>
      <c r="BI1039" s="10423"/>
      <c r="BJ1039" s="10423"/>
      <c r="BK1039" s="10423"/>
      <c r="BL1039" s="10423"/>
      <c r="BM1039" s="10423"/>
      <c r="BN1039" s="10423"/>
    </row>
    <row r="1040" spans="1:66" ht="30" customHeight="1" thickBot="1">
      <c r="A1040" s="10424">
        <v>643</v>
      </c>
      <c r="B1040" s="10425" t="s">
        <v>4614</v>
      </c>
      <c r="C1040" s="13600"/>
      <c r="D1040" s="12365" t="s">
        <v>86</v>
      </c>
      <c r="E1040" s="12328" t="s">
        <v>2862</v>
      </c>
      <c r="F1040" s="12328"/>
      <c r="G1040" s="12366" t="s">
        <v>2827</v>
      </c>
      <c r="H1040" s="12367"/>
      <c r="I1040" s="14244" t="s">
        <v>2825</v>
      </c>
      <c r="K1040" s="13126">
        <v>0</v>
      </c>
      <c r="L1040" s="10428"/>
      <c r="M1040" s="10428"/>
      <c r="N1040" s="10429"/>
      <c r="O1040" s="10429"/>
      <c r="P1040" s="10308" t="s">
        <v>10596</v>
      </c>
      <c r="Q1040" s="10431"/>
      <c r="R1040" s="10432"/>
      <c r="S1040" s="10433"/>
      <c r="T1040" s="10434"/>
      <c r="U1040" s="10431"/>
      <c r="V1040" s="10432"/>
      <c r="W1040" s="10434"/>
      <c r="X1040" s="10432"/>
      <c r="Y1040" s="10434"/>
      <c r="Z1040" s="10432"/>
      <c r="AA1040" s="10433"/>
      <c r="AB1040" s="10433"/>
      <c r="AC1040" s="10433"/>
      <c r="AD1040" s="10433"/>
      <c r="AE1040" s="10433"/>
      <c r="AF1040" s="10434"/>
      <c r="AG1040" s="10432"/>
      <c r="AH1040" s="10433"/>
      <c r="AI1040" s="10433"/>
      <c r="AJ1040" s="10433"/>
      <c r="AK1040" s="10433"/>
      <c r="AL1040" s="10433"/>
      <c r="AM1040" s="10433"/>
      <c r="AN1040" s="10434"/>
      <c r="AO1040" s="10432"/>
      <c r="AP1040" s="10433"/>
      <c r="AQ1040" s="10433"/>
      <c r="AR1040" s="10433"/>
      <c r="AS1040" s="10433"/>
      <c r="AT1040" s="10434"/>
      <c r="AU1040" s="10435"/>
      <c r="AV1040" s="10435"/>
      <c r="AW1040" s="10435"/>
      <c r="AX1040" s="10427"/>
      <c r="AY1040" s="10430"/>
      <c r="AZ1040" s="10435"/>
      <c r="BA1040" s="10427"/>
      <c r="BB1040" s="10429"/>
      <c r="BC1040" s="10430"/>
      <c r="BD1040" s="10436"/>
      <c r="BF1040" s="10426"/>
      <c r="BG1040" s="10426"/>
      <c r="BH1040" s="10426"/>
      <c r="BI1040" s="10426"/>
      <c r="BJ1040" s="10426"/>
      <c r="BK1040" s="10426"/>
      <c r="BL1040" s="10426"/>
      <c r="BM1040" s="10426"/>
      <c r="BN1040" s="10426"/>
    </row>
    <row r="1041" spans="1:66" ht="30" hidden="1" customHeight="1" thickBot="1">
      <c r="A1041" s="10437">
        <v>644</v>
      </c>
      <c r="B1041" s="10438" t="s">
        <v>4615</v>
      </c>
      <c r="C1041" s="13600"/>
      <c r="D1041" s="12331" t="s">
        <v>2896</v>
      </c>
      <c r="E1041" s="12332" t="s">
        <v>2858</v>
      </c>
      <c r="F1041" s="12332"/>
      <c r="G1041" s="12368" t="s">
        <v>4616</v>
      </c>
      <c r="H1041" s="12369"/>
      <c r="I1041" s="14245"/>
      <c r="K1041" s="10439"/>
      <c r="L1041" s="10440"/>
      <c r="M1041" s="10440"/>
      <c r="N1041" s="10441"/>
      <c r="O1041" s="10441"/>
      <c r="P1041" s="10442"/>
      <c r="Q1041" s="10443"/>
      <c r="R1041" s="10444"/>
      <c r="S1041" s="10445"/>
      <c r="T1041" s="10446"/>
      <c r="U1041" s="10443"/>
      <c r="V1041" s="10444"/>
      <c r="W1041" s="10446"/>
      <c r="X1041" s="10444"/>
      <c r="Y1041" s="10446"/>
      <c r="Z1041" s="10444"/>
      <c r="AA1041" s="10445"/>
      <c r="AB1041" s="10445"/>
      <c r="AC1041" s="10445"/>
      <c r="AD1041" s="10445"/>
      <c r="AE1041" s="10445"/>
      <c r="AF1041" s="10446"/>
      <c r="AG1041" s="10444"/>
      <c r="AH1041" s="10445"/>
      <c r="AI1041" s="10445"/>
      <c r="AJ1041" s="10445"/>
      <c r="AK1041" s="10445"/>
      <c r="AL1041" s="10445"/>
      <c r="AM1041" s="10445"/>
      <c r="AN1041" s="10446"/>
      <c r="AO1041" s="10444"/>
      <c r="AP1041" s="10445"/>
      <c r="AQ1041" s="10445"/>
      <c r="AR1041" s="10445"/>
      <c r="AS1041" s="10445"/>
      <c r="AT1041" s="10446"/>
      <c r="AU1041" s="10447"/>
      <c r="AV1041" s="10447"/>
      <c r="AW1041" s="10447"/>
      <c r="AX1041" s="10439"/>
      <c r="AY1041" s="10442"/>
      <c r="AZ1041" s="10447"/>
      <c r="BA1041" s="10439"/>
      <c r="BB1041" s="10441"/>
      <c r="BC1041" s="10442"/>
      <c r="BD1041" s="10448"/>
      <c r="BF1041" s="10317"/>
      <c r="BG1041" s="10317"/>
      <c r="BH1041" s="10317"/>
      <c r="BI1041" s="10317"/>
      <c r="BJ1041" s="10317"/>
      <c r="BK1041" s="10317"/>
      <c r="BL1041" s="10317"/>
      <c r="BM1041" s="10317"/>
      <c r="BN1041" s="10317"/>
    </row>
    <row r="1042" spans="1:66" ht="30" hidden="1" customHeight="1">
      <c r="A1042" s="13682">
        <v>645</v>
      </c>
      <c r="B1042" s="14226" t="s">
        <v>4617</v>
      </c>
      <c r="C1042" s="13600"/>
      <c r="D1042" s="12192" t="s">
        <v>2896</v>
      </c>
      <c r="E1042" s="11960" t="s">
        <v>2858</v>
      </c>
      <c r="F1042" s="11960"/>
      <c r="G1042" s="13832" t="s">
        <v>4618</v>
      </c>
      <c r="H1042" s="13438"/>
      <c r="I1042" s="12370" t="s">
        <v>2829</v>
      </c>
      <c r="K1042" s="7744"/>
      <c r="L1042" s="7745"/>
      <c r="M1042" s="7745"/>
      <c r="N1042" s="7746"/>
      <c r="O1042" s="7746"/>
      <c r="P1042" s="7747"/>
      <c r="Q1042" s="7748"/>
      <c r="R1042" s="7749"/>
      <c r="S1042" s="7750"/>
      <c r="T1042" s="7751"/>
      <c r="U1042" s="7748"/>
      <c r="V1042" s="7749"/>
      <c r="W1042" s="7751"/>
      <c r="X1042" s="7749"/>
      <c r="Y1042" s="7751"/>
      <c r="Z1042" s="7749"/>
      <c r="AA1042" s="7750"/>
      <c r="AB1042" s="7750"/>
      <c r="AC1042" s="7750"/>
      <c r="AD1042" s="7750"/>
      <c r="AE1042" s="7750"/>
      <c r="AF1042" s="7751"/>
      <c r="AG1042" s="7749"/>
      <c r="AH1042" s="7750"/>
      <c r="AI1042" s="7750"/>
      <c r="AJ1042" s="7750"/>
      <c r="AK1042" s="7750"/>
      <c r="AL1042" s="7750"/>
      <c r="AM1042" s="7750"/>
      <c r="AN1042" s="7751"/>
      <c r="AO1042" s="7749"/>
      <c r="AP1042" s="7750"/>
      <c r="AQ1042" s="7750"/>
      <c r="AR1042" s="7750"/>
      <c r="AS1042" s="7750"/>
      <c r="AT1042" s="7751"/>
      <c r="AU1042" s="7752"/>
      <c r="AV1042" s="7752"/>
      <c r="AW1042" s="7752"/>
      <c r="AX1042" s="7744"/>
      <c r="AY1042" s="7747"/>
      <c r="AZ1042" s="7752"/>
      <c r="BA1042" s="7744"/>
      <c r="BB1042" s="7746"/>
      <c r="BC1042" s="7747"/>
      <c r="BD1042" s="7753"/>
      <c r="BF1042" s="14406"/>
      <c r="BG1042" s="14406"/>
      <c r="BH1042" s="14406"/>
      <c r="BI1042" s="14406"/>
      <c r="BJ1042" s="14406"/>
      <c r="BK1042" s="7994"/>
      <c r="BL1042" s="14406"/>
      <c r="BM1042" s="14406"/>
      <c r="BN1042" s="14406"/>
    </row>
    <row r="1043" spans="1:66" ht="30" hidden="1" customHeight="1">
      <c r="A1043" s="13683"/>
      <c r="B1043" s="14227"/>
      <c r="C1043" s="13600"/>
      <c r="D1043" s="12200" t="s">
        <v>10063</v>
      </c>
      <c r="E1043" s="11962"/>
      <c r="F1043" s="11962" t="s">
        <v>2856</v>
      </c>
      <c r="G1043" s="13828"/>
      <c r="H1043" s="13439"/>
      <c r="I1043" s="12371" t="s">
        <v>2831</v>
      </c>
      <c r="K1043" s="7754"/>
      <c r="L1043" s="7755"/>
      <c r="M1043" s="7755"/>
      <c r="N1043" s="7756"/>
      <c r="O1043" s="7756"/>
      <c r="P1043" s="7757"/>
      <c r="Q1043" s="7758"/>
      <c r="R1043" s="7759"/>
      <c r="S1043" s="7760"/>
      <c r="T1043" s="7761"/>
      <c r="U1043" s="7758"/>
      <c r="V1043" s="7759"/>
      <c r="W1043" s="7761"/>
      <c r="X1043" s="7759"/>
      <c r="Y1043" s="7761"/>
      <c r="Z1043" s="7759"/>
      <c r="AA1043" s="7760"/>
      <c r="AB1043" s="7760"/>
      <c r="AC1043" s="7760"/>
      <c r="AD1043" s="7760"/>
      <c r="AE1043" s="7760"/>
      <c r="AF1043" s="7761"/>
      <c r="AG1043" s="7759"/>
      <c r="AH1043" s="7760"/>
      <c r="AI1043" s="7760"/>
      <c r="AJ1043" s="7760"/>
      <c r="AK1043" s="7760"/>
      <c r="AL1043" s="7760"/>
      <c r="AM1043" s="7760"/>
      <c r="AN1043" s="7761"/>
      <c r="AO1043" s="7759"/>
      <c r="AP1043" s="7760"/>
      <c r="AQ1043" s="7760"/>
      <c r="AR1043" s="7760"/>
      <c r="AS1043" s="7760"/>
      <c r="AT1043" s="7761"/>
      <c r="AU1043" s="7762"/>
      <c r="AV1043" s="7762"/>
      <c r="AW1043" s="7762"/>
      <c r="AX1043" s="7754"/>
      <c r="AY1043" s="7757"/>
      <c r="AZ1043" s="7762"/>
      <c r="BA1043" s="7754"/>
      <c r="BB1043" s="7756"/>
      <c r="BC1043" s="7757"/>
      <c r="BD1043" s="7763"/>
      <c r="BF1043" s="14407"/>
      <c r="BG1043" s="14407"/>
      <c r="BH1043" s="14407"/>
      <c r="BI1043" s="14407"/>
      <c r="BJ1043" s="14407"/>
      <c r="BK1043" s="8005"/>
      <c r="BL1043" s="14407"/>
      <c r="BM1043" s="14407"/>
      <c r="BN1043" s="14407"/>
    </row>
    <row r="1044" spans="1:66" ht="30" hidden="1" customHeight="1" thickBot="1">
      <c r="A1044" s="13684"/>
      <c r="B1044" s="14228"/>
      <c r="C1044" s="13600"/>
      <c r="D1044" s="12203" t="s">
        <v>10063</v>
      </c>
      <c r="E1044" s="11970"/>
      <c r="F1044" s="11970"/>
      <c r="G1044" s="14229"/>
      <c r="H1044" s="13440"/>
      <c r="I1044" s="12372" t="s">
        <v>2832</v>
      </c>
      <c r="K1044" s="7764"/>
      <c r="L1044" s="7765"/>
      <c r="M1044" s="7765"/>
      <c r="N1044" s="7766"/>
      <c r="O1044" s="7766"/>
      <c r="P1044" s="7767"/>
      <c r="Q1044" s="7768"/>
      <c r="R1044" s="7769"/>
      <c r="S1044" s="7770"/>
      <c r="T1044" s="7771"/>
      <c r="U1044" s="7768"/>
      <c r="V1044" s="7769"/>
      <c r="W1044" s="7771"/>
      <c r="X1044" s="7769"/>
      <c r="Y1044" s="7771"/>
      <c r="Z1044" s="7769"/>
      <c r="AA1044" s="7770"/>
      <c r="AB1044" s="7770"/>
      <c r="AC1044" s="7770"/>
      <c r="AD1044" s="7770"/>
      <c r="AE1044" s="7770"/>
      <c r="AF1044" s="7771"/>
      <c r="AG1044" s="7769"/>
      <c r="AH1044" s="7770"/>
      <c r="AI1044" s="7770"/>
      <c r="AJ1044" s="7770"/>
      <c r="AK1044" s="7770"/>
      <c r="AL1044" s="7770"/>
      <c r="AM1044" s="7770"/>
      <c r="AN1044" s="7771"/>
      <c r="AO1044" s="7769"/>
      <c r="AP1044" s="7770"/>
      <c r="AQ1044" s="7770"/>
      <c r="AR1044" s="7770"/>
      <c r="AS1044" s="7770"/>
      <c r="AT1044" s="7771"/>
      <c r="AU1044" s="7772"/>
      <c r="AV1044" s="7772"/>
      <c r="AW1044" s="7772"/>
      <c r="AX1044" s="7764"/>
      <c r="AY1044" s="7767"/>
      <c r="AZ1044" s="7772"/>
      <c r="BA1044" s="7764"/>
      <c r="BB1044" s="7766"/>
      <c r="BC1044" s="7767"/>
      <c r="BD1044" s="7773"/>
      <c r="BF1044" s="14539"/>
      <c r="BG1044" s="14539"/>
      <c r="BH1044" s="14539"/>
      <c r="BI1044" s="14539"/>
      <c r="BJ1044" s="14539"/>
      <c r="BK1044" s="8030"/>
      <c r="BL1044" s="14539"/>
      <c r="BM1044" s="14539"/>
      <c r="BN1044" s="14539"/>
    </row>
    <row r="1045" spans="1:66" ht="30" hidden="1" customHeight="1">
      <c r="A1045" s="8732">
        <v>646</v>
      </c>
      <c r="B1045" s="8733" t="s">
        <v>4619</v>
      </c>
      <c r="C1045" s="13600"/>
      <c r="D1045" s="12158" t="s">
        <v>10063</v>
      </c>
      <c r="E1045" s="12321" t="s">
        <v>2856</v>
      </c>
      <c r="F1045" s="12321"/>
      <c r="G1045" s="11865" t="s">
        <v>2834</v>
      </c>
      <c r="H1045" s="12160"/>
      <c r="I1045" s="12373" t="s">
        <v>8550</v>
      </c>
      <c r="K1045" s="7774"/>
      <c r="L1045" s="7775"/>
      <c r="M1045" s="7775"/>
      <c r="N1045" s="7776"/>
      <c r="O1045" s="7776"/>
      <c r="P1045" s="7777"/>
      <c r="Q1045" s="7778"/>
      <c r="R1045" s="7779"/>
      <c r="S1045" s="7780"/>
      <c r="T1045" s="7781"/>
      <c r="U1045" s="7778"/>
      <c r="V1045" s="7779"/>
      <c r="W1045" s="7781"/>
      <c r="X1045" s="7779"/>
      <c r="Y1045" s="7781"/>
      <c r="Z1045" s="7779"/>
      <c r="AA1045" s="7780"/>
      <c r="AB1045" s="7780"/>
      <c r="AC1045" s="7780"/>
      <c r="AD1045" s="7780"/>
      <c r="AE1045" s="7780"/>
      <c r="AF1045" s="7781"/>
      <c r="AG1045" s="7779"/>
      <c r="AH1045" s="7780"/>
      <c r="AI1045" s="7780"/>
      <c r="AJ1045" s="7780"/>
      <c r="AK1045" s="7780"/>
      <c r="AL1045" s="7780"/>
      <c r="AM1045" s="7780"/>
      <c r="AN1045" s="7781"/>
      <c r="AO1045" s="7779"/>
      <c r="AP1045" s="7780"/>
      <c r="AQ1045" s="7780"/>
      <c r="AR1045" s="7780"/>
      <c r="AS1045" s="7780"/>
      <c r="AT1045" s="7781"/>
      <c r="AU1045" s="7782"/>
      <c r="AV1045" s="7782"/>
      <c r="AW1045" s="7782"/>
      <c r="AX1045" s="7774"/>
      <c r="AY1045" s="7777"/>
      <c r="AZ1045" s="7782"/>
      <c r="BA1045" s="7774"/>
      <c r="BB1045" s="7776"/>
      <c r="BC1045" s="7777"/>
      <c r="BD1045" s="7783"/>
      <c r="BF1045" s="8734"/>
      <c r="BG1045" s="8734"/>
      <c r="BH1045" s="8734"/>
      <c r="BI1045" s="8734"/>
      <c r="BJ1045" s="8734"/>
      <c r="BK1045" s="8734"/>
      <c r="BL1045" s="8734"/>
      <c r="BM1045" s="8734"/>
      <c r="BN1045" s="8734"/>
    </row>
    <row r="1046" spans="1:66" ht="30" hidden="1" customHeight="1">
      <c r="A1046" s="13680">
        <v>647</v>
      </c>
      <c r="B1046" s="14105" t="s">
        <v>4620</v>
      </c>
      <c r="C1046" s="13600"/>
      <c r="D1046" s="12162" t="s">
        <v>10063</v>
      </c>
      <c r="E1046" s="12163" t="s">
        <v>2856</v>
      </c>
      <c r="F1046" s="12167"/>
      <c r="G1046" s="14106" t="s">
        <v>4621</v>
      </c>
      <c r="H1046" s="13435"/>
      <c r="I1046" s="12374" t="s">
        <v>2837</v>
      </c>
      <c r="K1046" s="10449"/>
      <c r="L1046" s="10450"/>
      <c r="M1046" s="10450"/>
      <c r="N1046" s="10451"/>
      <c r="O1046" s="10451"/>
      <c r="P1046" s="10452"/>
      <c r="Q1046" s="10453"/>
      <c r="R1046" s="10454"/>
      <c r="S1046" s="10455"/>
      <c r="T1046" s="10456"/>
      <c r="U1046" s="10453"/>
      <c r="V1046" s="10454"/>
      <c r="W1046" s="10456"/>
      <c r="X1046" s="10454"/>
      <c r="Y1046" s="10456"/>
      <c r="Z1046" s="10454"/>
      <c r="AA1046" s="10455"/>
      <c r="AB1046" s="10455"/>
      <c r="AC1046" s="10455"/>
      <c r="AD1046" s="10455"/>
      <c r="AE1046" s="10455"/>
      <c r="AF1046" s="10456"/>
      <c r="AG1046" s="10454"/>
      <c r="AH1046" s="10455"/>
      <c r="AI1046" s="10455"/>
      <c r="AJ1046" s="10455"/>
      <c r="AK1046" s="10455"/>
      <c r="AL1046" s="10455"/>
      <c r="AM1046" s="10455"/>
      <c r="AN1046" s="10456"/>
      <c r="AO1046" s="10454"/>
      <c r="AP1046" s="10455"/>
      <c r="AQ1046" s="10455"/>
      <c r="AR1046" s="10455"/>
      <c r="AS1046" s="10455"/>
      <c r="AT1046" s="10456"/>
      <c r="AU1046" s="10457"/>
      <c r="AV1046" s="10457"/>
      <c r="AW1046" s="10457"/>
      <c r="AX1046" s="10449"/>
      <c r="AY1046" s="10452"/>
      <c r="AZ1046" s="10457"/>
      <c r="BA1046" s="10449"/>
      <c r="BB1046" s="10451"/>
      <c r="BC1046" s="10452"/>
      <c r="BD1046" s="10458"/>
      <c r="BF1046" s="14498"/>
      <c r="BG1046" s="14498"/>
      <c r="BH1046" s="14498"/>
      <c r="BI1046" s="14498"/>
      <c r="BJ1046" s="14498"/>
      <c r="BK1046" s="8747"/>
      <c r="BL1046" s="14498"/>
      <c r="BM1046" s="14498"/>
      <c r="BN1046" s="14498"/>
    </row>
    <row r="1047" spans="1:66" ht="30" hidden="1" customHeight="1">
      <c r="A1047" s="13680"/>
      <c r="B1047" s="14105"/>
      <c r="C1047" s="13600"/>
      <c r="D1047" s="12162" t="s">
        <v>10070</v>
      </c>
      <c r="E1047" s="12163"/>
      <c r="F1047" s="12167" t="s">
        <v>2863</v>
      </c>
      <c r="G1047" s="14106"/>
      <c r="H1047" s="13435"/>
      <c r="I1047" s="12374" t="s">
        <v>2840</v>
      </c>
      <c r="K1047" s="10449"/>
      <c r="L1047" s="10450"/>
      <c r="M1047" s="10450"/>
      <c r="N1047" s="10451"/>
      <c r="O1047" s="10451"/>
      <c r="P1047" s="10452"/>
      <c r="Q1047" s="10453"/>
      <c r="R1047" s="10454"/>
      <c r="S1047" s="10455"/>
      <c r="T1047" s="10456"/>
      <c r="U1047" s="10453"/>
      <c r="V1047" s="10454"/>
      <c r="W1047" s="10456"/>
      <c r="X1047" s="10454"/>
      <c r="Y1047" s="10456"/>
      <c r="Z1047" s="10454"/>
      <c r="AA1047" s="10455"/>
      <c r="AB1047" s="10455"/>
      <c r="AC1047" s="10455"/>
      <c r="AD1047" s="10455"/>
      <c r="AE1047" s="10455"/>
      <c r="AF1047" s="10456"/>
      <c r="AG1047" s="10454"/>
      <c r="AH1047" s="10455"/>
      <c r="AI1047" s="10455"/>
      <c r="AJ1047" s="10455"/>
      <c r="AK1047" s="10455"/>
      <c r="AL1047" s="10455"/>
      <c r="AM1047" s="10455"/>
      <c r="AN1047" s="10456"/>
      <c r="AO1047" s="10454"/>
      <c r="AP1047" s="10455"/>
      <c r="AQ1047" s="10455"/>
      <c r="AR1047" s="10455"/>
      <c r="AS1047" s="10455"/>
      <c r="AT1047" s="10456"/>
      <c r="AU1047" s="10457"/>
      <c r="AV1047" s="10457"/>
      <c r="AW1047" s="10457"/>
      <c r="AX1047" s="10449"/>
      <c r="AY1047" s="10452"/>
      <c r="AZ1047" s="10457"/>
      <c r="BA1047" s="10449"/>
      <c r="BB1047" s="10451"/>
      <c r="BC1047" s="10452"/>
      <c r="BD1047" s="10458"/>
      <c r="BF1047" s="14498"/>
      <c r="BG1047" s="14498"/>
      <c r="BH1047" s="14498"/>
      <c r="BI1047" s="14498"/>
      <c r="BJ1047" s="14498"/>
      <c r="BK1047" s="8747"/>
      <c r="BL1047" s="14498"/>
      <c r="BM1047" s="14498"/>
      <c r="BN1047" s="14498"/>
    </row>
    <row r="1048" spans="1:66" ht="30" hidden="1" customHeight="1">
      <c r="A1048" s="13680"/>
      <c r="B1048" s="14105"/>
      <c r="C1048" s="13600"/>
      <c r="D1048" s="12162" t="s">
        <v>10063</v>
      </c>
      <c r="E1048" s="12163"/>
      <c r="F1048" s="12163"/>
      <c r="G1048" s="14106"/>
      <c r="H1048" s="13435"/>
      <c r="I1048" s="12374" t="s">
        <v>2843</v>
      </c>
      <c r="K1048" s="10459"/>
      <c r="L1048" s="10460"/>
      <c r="M1048" s="10460"/>
      <c r="N1048" s="10461"/>
      <c r="O1048" s="10461"/>
      <c r="P1048" s="10462"/>
      <c r="Q1048" s="10463"/>
      <c r="R1048" s="10464"/>
      <c r="S1048" s="10465"/>
      <c r="T1048" s="10466"/>
      <c r="U1048" s="10463"/>
      <c r="V1048" s="10464"/>
      <c r="W1048" s="10466"/>
      <c r="X1048" s="10464"/>
      <c r="Y1048" s="10466"/>
      <c r="Z1048" s="10464"/>
      <c r="AA1048" s="10465"/>
      <c r="AB1048" s="10465"/>
      <c r="AC1048" s="10465"/>
      <c r="AD1048" s="10465"/>
      <c r="AE1048" s="10465"/>
      <c r="AF1048" s="10466"/>
      <c r="AG1048" s="10464"/>
      <c r="AH1048" s="10465"/>
      <c r="AI1048" s="10465"/>
      <c r="AJ1048" s="10465"/>
      <c r="AK1048" s="10465"/>
      <c r="AL1048" s="10465"/>
      <c r="AM1048" s="10465"/>
      <c r="AN1048" s="10466"/>
      <c r="AO1048" s="10464"/>
      <c r="AP1048" s="10465"/>
      <c r="AQ1048" s="10465"/>
      <c r="AR1048" s="10465"/>
      <c r="AS1048" s="10465"/>
      <c r="AT1048" s="10466"/>
      <c r="AU1048" s="10467"/>
      <c r="AV1048" s="10467"/>
      <c r="AW1048" s="10467"/>
      <c r="AX1048" s="10459"/>
      <c r="AY1048" s="10462"/>
      <c r="AZ1048" s="10467"/>
      <c r="BA1048" s="10459"/>
      <c r="BB1048" s="10461"/>
      <c r="BC1048" s="10462"/>
      <c r="BD1048" s="10468"/>
      <c r="BF1048" s="14498"/>
      <c r="BG1048" s="14498"/>
      <c r="BH1048" s="14498"/>
      <c r="BI1048" s="14498"/>
      <c r="BJ1048" s="14498"/>
      <c r="BK1048" s="8747"/>
      <c r="BL1048" s="14498"/>
      <c r="BM1048" s="14498"/>
      <c r="BN1048" s="14498"/>
    </row>
    <row r="1049" spans="1:66" ht="30" hidden="1" customHeight="1">
      <c r="A1049" s="8745">
        <v>648</v>
      </c>
      <c r="B1049" s="8746" t="s">
        <v>4622</v>
      </c>
      <c r="C1049" s="13600"/>
      <c r="D1049" s="12162" t="s">
        <v>10070</v>
      </c>
      <c r="E1049" s="12167" t="s">
        <v>2863</v>
      </c>
      <c r="F1049" s="12163"/>
      <c r="G1049" s="11870" t="s">
        <v>2846</v>
      </c>
      <c r="H1049" s="12164"/>
      <c r="I1049" s="12374" t="s">
        <v>2845</v>
      </c>
      <c r="K1049" s="10449"/>
      <c r="L1049" s="10450"/>
      <c r="M1049" s="10450"/>
      <c r="N1049" s="10451"/>
      <c r="O1049" s="10451"/>
      <c r="P1049" s="10452"/>
      <c r="Q1049" s="10453"/>
      <c r="R1049" s="10454"/>
      <c r="S1049" s="10455"/>
      <c r="T1049" s="10456"/>
      <c r="U1049" s="10453"/>
      <c r="V1049" s="10454"/>
      <c r="W1049" s="10456"/>
      <c r="X1049" s="10454"/>
      <c r="Y1049" s="10456"/>
      <c r="Z1049" s="10454"/>
      <c r="AA1049" s="10455"/>
      <c r="AB1049" s="10455"/>
      <c r="AC1049" s="10455"/>
      <c r="AD1049" s="10455"/>
      <c r="AE1049" s="10455"/>
      <c r="AF1049" s="10456"/>
      <c r="AG1049" s="10454"/>
      <c r="AH1049" s="10455"/>
      <c r="AI1049" s="10455"/>
      <c r="AJ1049" s="10455"/>
      <c r="AK1049" s="10455"/>
      <c r="AL1049" s="10455"/>
      <c r="AM1049" s="10455"/>
      <c r="AN1049" s="10456"/>
      <c r="AO1049" s="10454"/>
      <c r="AP1049" s="10455"/>
      <c r="AQ1049" s="10455"/>
      <c r="AR1049" s="10455"/>
      <c r="AS1049" s="10455"/>
      <c r="AT1049" s="10456"/>
      <c r="AU1049" s="10457"/>
      <c r="AV1049" s="10457"/>
      <c r="AW1049" s="10457"/>
      <c r="AX1049" s="10449"/>
      <c r="AY1049" s="10452"/>
      <c r="AZ1049" s="10457"/>
      <c r="BA1049" s="10449"/>
      <c r="BB1049" s="10451"/>
      <c r="BC1049" s="10452"/>
      <c r="BD1049" s="10458"/>
      <c r="BF1049" s="8747"/>
      <c r="BG1049" s="8747"/>
      <c r="BH1049" s="8747"/>
      <c r="BI1049" s="8747"/>
      <c r="BJ1049" s="8747"/>
      <c r="BK1049" s="8747"/>
      <c r="BL1049" s="8747"/>
      <c r="BM1049" s="8747"/>
      <c r="BN1049" s="8747"/>
    </row>
    <row r="1050" spans="1:66" ht="30" hidden="1" customHeight="1">
      <c r="A1050" s="8745">
        <v>649</v>
      </c>
      <c r="B1050" s="8746" t="s">
        <v>4623</v>
      </c>
      <c r="C1050" s="13600"/>
      <c r="D1050" s="12162" t="s">
        <v>2896</v>
      </c>
      <c r="E1050" s="12163" t="s">
        <v>2858</v>
      </c>
      <c r="F1050" s="12163"/>
      <c r="G1050" s="11870" t="s">
        <v>2849</v>
      </c>
      <c r="H1050" s="12164"/>
      <c r="I1050" s="12374" t="s">
        <v>8552</v>
      </c>
      <c r="K1050" s="10449"/>
      <c r="L1050" s="10450"/>
      <c r="M1050" s="10450"/>
      <c r="N1050" s="10451"/>
      <c r="O1050" s="10451"/>
      <c r="P1050" s="10452"/>
      <c r="Q1050" s="10453"/>
      <c r="R1050" s="10454"/>
      <c r="S1050" s="10455"/>
      <c r="T1050" s="10456"/>
      <c r="U1050" s="10453"/>
      <c r="V1050" s="10454"/>
      <c r="W1050" s="10456"/>
      <c r="X1050" s="10454"/>
      <c r="Y1050" s="10456"/>
      <c r="Z1050" s="10454"/>
      <c r="AA1050" s="10455"/>
      <c r="AB1050" s="10455"/>
      <c r="AC1050" s="10455"/>
      <c r="AD1050" s="10455"/>
      <c r="AE1050" s="10455"/>
      <c r="AF1050" s="10456"/>
      <c r="AG1050" s="10454"/>
      <c r="AH1050" s="10455"/>
      <c r="AI1050" s="10455"/>
      <c r="AJ1050" s="10455"/>
      <c r="AK1050" s="10455"/>
      <c r="AL1050" s="10455"/>
      <c r="AM1050" s="10455"/>
      <c r="AN1050" s="10456"/>
      <c r="AO1050" s="10454"/>
      <c r="AP1050" s="10455"/>
      <c r="AQ1050" s="10455"/>
      <c r="AR1050" s="10455"/>
      <c r="AS1050" s="10455"/>
      <c r="AT1050" s="10456"/>
      <c r="AU1050" s="10457"/>
      <c r="AV1050" s="10457"/>
      <c r="AW1050" s="10457"/>
      <c r="AX1050" s="10449"/>
      <c r="AY1050" s="10452"/>
      <c r="AZ1050" s="10457"/>
      <c r="BA1050" s="10449"/>
      <c r="BB1050" s="10451"/>
      <c r="BC1050" s="10452"/>
      <c r="BD1050" s="10458"/>
      <c r="BF1050" s="8747"/>
      <c r="BG1050" s="8747"/>
      <c r="BH1050" s="8747"/>
      <c r="BI1050" s="8747"/>
      <c r="BJ1050" s="8747"/>
      <c r="BK1050" s="8747"/>
      <c r="BL1050" s="8747"/>
      <c r="BM1050" s="8747"/>
      <c r="BN1050" s="8747"/>
    </row>
    <row r="1051" spans="1:66" ht="30" hidden="1" customHeight="1" thickBot="1">
      <c r="A1051" s="8758">
        <v>650</v>
      </c>
      <c r="B1051" s="8759" t="s">
        <v>4624</v>
      </c>
      <c r="C1051" s="13601"/>
      <c r="D1051" s="12168" t="s">
        <v>10063</v>
      </c>
      <c r="E1051" s="12170" t="s">
        <v>2856</v>
      </c>
      <c r="F1051" s="12170"/>
      <c r="G1051" s="11875" t="s">
        <v>2851</v>
      </c>
      <c r="H1051" s="12375"/>
      <c r="I1051" s="12376" t="s">
        <v>8554</v>
      </c>
      <c r="K1051" s="10449"/>
      <c r="L1051" s="10450"/>
      <c r="M1051" s="10450"/>
      <c r="N1051" s="10451"/>
      <c r="O1051" s="10451"/>
      <c r="P1051" s="10452"/>
      <c r="Q1051" s="10453"/>
      <c r="R1051" s="10454"/>
      <c r="S1051" s="10455"/>
      <c r="T1051" s="10456"/>
      <c r="U1051" s="10453"/>
      <c r="V1051" s="10454"/>
      <c r="W1051" s="10456"/>
      <c r="X1051" s="10454"/>
      <c r="Y1051" s="10456"/>
      <c r="Z1051" s="10454"/>
      <c r="AA1051" s="10455"/>
      <c r="AB1051" s="10455"/>
      <c r="AC1051" s="10455"/>
      <c r="AD1051" s="10455"/>
      <c r="AE1051" s="10455"/>
      <c r="AF1051" s="10456"/>
      <c r="AG1051" s="10454"/>
      <c r="AH1051" s="10455"/>
      <c r="AI1051" s="10455"/>
      <c r="AJ1051" s="10455"/>
      <c r="AK1051" s="10455"/>
      <c r="AL1051" s="10455"/>
      <c r="AM1051" s="10455"/>
      <c r="AN1051" s="10456"/>
      <c r="AO1051" s="10454"/>
      <c r="AP1051" s="10455"/>
      <c r="AQ1051" s="10455"/>
      <c r="AR1051" s="10455"/>
      <c r="AS1051" s="10455"/>
      <c r="AT1051" s="10456"/>
      <c r="AU1051" s="10457"/>
      <c r="AV1051" s="10457"/>
      <c r="AW1051" s="10457"/>
      <c r="AX1051" s="10449"/>
      <c r="AY1051" s="10452"/>
      <c r="AZ1051" s="10457"/>
      <c r="BA1051" s="10449"/>
      <c r="BB1051" s="10451"/>
      <c r="BC1051" s="10452"/>
      <c r="BD1051" s="10458"/>
      <c r="BF1051" s="8760"/>
      <c r="BG1051" s="8760"/>
      <c r="BH1051" s="8760"/>
      <c r="BI1051" s="8760"/>
      <c r="BJ1051" s="8760"/>
      <c r="BK1051" s="8760"/>
      <c r="BL1051" s="8760"/>
      <c r="BM1051" s="8760"/>
      <c r="BN1051" s="8760"/>
    </row>
    <row r="1052" spans="1:66" ht="30" hidden="1" customHeight="1">
      <c r="A1052" s="10092">
        <v>651</v>
      </c>
      <c r="B1052" s="10402" t="s">
        <v>5050</v>
      </c>
      <c r="C1052" s="13602" t="s">
        <v>10342</v>
      </c>
      <c r="D1052" s="7875" t="s">
        <v>65</v>
      </c>
      <c r="E1052" s="7819" t="s">
        <v>74</v>
      </c>
      <c r="F1052" s="7820"/>
      <c r="G1052" s="11809" t="s">
        <v>68</v>
      </c>
      <c r="H1052" s="7858" t="s">
        <v>69</v>
      </c>
      <c r="I1052" s="7713" t="s">
        <v>72</v>
      </c>
      <c r="K1052" s="10469"/>
      <c r="L1052" s="8568"/>
      <c r="M1052" s="8568"/>
      <c r="N1052" s="10470"/>
      <c r="O1052" s="10470"/>
      <c r="P1052" s="10471"/>
      <c r="Q1052" s="8571"/>
      <c r="R1052" s="8572"/>
      <c r="S1052" s="8573"/>
      <c r="T1052" s="8574"/>
      <c r="U1052" s="8571"/>
      <c r="V1052" s="8572"/>
      <c r="W1052" s="8574"/>
      <c r="X1052" s="8572"/>
      <c r="Y1052" s="8574"/>
      <c r="Z1052" s="8572"/>
      <c r="AA1052" s="8573"/>
      <c r="AB1052" s="8573"/>
      <c r="AC1052" s="8573"/>
      <c r="AD1052" s="8573"/>
      <c r="AE1052" s="8573"/>
      <c r="AF1052" s="8574"/>
      <c r="AG1052" s="8572"/>
      <c r="AH1052" s="8573"/>
      <c r="AI1052" s="8573"/>
      <c r="AJ1052" s="8573"/>
      <c r="AK1052" s="8573"/>
      <c r="AL1052" s="8573"/>
      <c r="AM1052" s="8573"/>
      <c r="AN1052" s="8574"/>
      <c r="AO1052" s="8572"/>
      <c r="AP1052" s="8573"/>
      <c r="AQ1052" s="8573"/>
      <c r="AR1052" s="8573"/>
      <c r="AS1052" s="8573"/>
      <c r="AT1052" s="8574"/>
      <c r="AU1052" s="10472"/>
      <c r="AV1052" s="10472"/>
      <c r="AW1052" s="10472"/>
      <c r="AX1052" s="10469"/>
      <c r="AY1052" s="10471"/>
      <c r="AZ1052" s="10472"/>
      <c r="BA1052" s="10469"/>
      <c r="BB1052" s="10470"/>
      <c r="BC1052" s="10471"/>
      <c r="BD1052" s="10473"/>
      <c r="BF1052" s="8538"/>
      <c r="BG1052" s="8538"/>
      <c r="BH1052" s="8538"/>
      <c r="BI1052" s="8538"/>
      <c r="BJ1052" s="8538"/>
      <c r="BK1052" s="8538"/>
      <c r="BL1052" s="8538"/>
      <c r="BM1052" s="8538"/>
      <c r="BN1052" s="8538"/>
    </row>
    <row r="1053" spans="1:66" ht="30" hidden="1" customHeight="1">
      <c r="A1053" s="13557">
        <v>652</v>
      </c>
      <c r="B1053" s="13908" t="s">
        <v>5051</v>
      </c>
      <c r="C1053" s="13602"/>
      <c r="D1053" s="7682" t="s">
        <v>65</v>
      </c>
      <c r="E1053" s="7821" t="s">
        <v>74</v>
      </c>
      <c r="F1053" s="7822"/>
      <c r="G1053" s="13909" t="s">
        <v>75</v>
      </c>
      <c r="H1053" s="13441" t="s">
        <v>76</v>
      </c>
      <c r="I1053" s="14259" t="s">
        <v>77</v>
      </c>
      <c r="K1053" s="10474"/>
      <c r="L1053" s="7679"/>
      <c r="M1053" s="7679"/>
      <c r="N1053" s="10475"/>
      <c r="O1053" s="10475"/>
      <c r="P1053" s="10476"/>
      <c r="Q1053" s="7687"/>
      <c r="R1053" s="7686"/>
      <c r="S1053" s="7680"/>
      <c r="T1053" s="7688"/>
      <c r="U1053" s="7687"/>
      <c r="V1053" s="7686"/>
      <c r="W1053" s="7688"/>
      <c r="X1053" s="7686"/>
      <c r="Y1053" s="7688"/>
      <c r="Z1053" s="7686"/>
      <c r="AA1053" s="7680"/>
      <c r="AB1053" s="7680"/>
      <c r="AC1053" s="7680"/>
      <c r="AD1053" s="7680"/>
      <c r="AE1053" s="7680"/>
      <c r="AF1053" s="7688"/>
      <c r="AG1053" s="7686"/>
      <c r="AH1053" s="7680"/>
      <c r="AI1053" s="7680"/>
      <c r="AJ1053" s="7680"/>
      <c r="AK1053" s="7680"/>
      <c r="AL1053" s="7680"/>
      <c r="AM1053" s="7680"/>
      <c r="AN1053" s="7688"/>
      <c r="AO1053" s="7686"/>
      <c r="AP1053" s="7680"/>
      <c r="AQ1053" s="7680"/>
      <c r="AR1053" s="7680"/>
      <c r="AS1053" s="7680"/>
      <c r="AT1053" s="7688"/>
      <c r="AU1053" s="10477"/>
      <c r="AV1053" s="10477"/>
      <c r="AW1053" s="10477"/>
      <c r="AX1053" s="10474"/>
      <c r="AY1053" s="10476"/>
      <c r="AZ1053" s="10477"/>
      <c r="BA1053" s="10474"/>
      <c r="BB1053" s="10475"/>
      <c r="BC1053" s="10476"/>
      <c r="BD1053" s="10478"/>
      <c r="BF1053" s="14432"/>
      <c r="BG1053" s="14432"/>
      <c r="BH1053" s="14432"/>
      <c r="BI1053" s="14432"/>
      <c r="BJ1053" s="14432"/>
      <c r="BK1053" s="8549"/>
      <c r="BL1053" s="14432"/>
      <c r="BM1053" s="14432"/>
      <c r="BN1053" s="14432"/>
    </row>
    <row r="1054" spans="1:66" ht="30" hidden="1" customHeight="1">
      <c r="A1054" s="13557"/>
      <c r="B1054" s="13908"/>
      <c r="C1054" s="13602"/>
      <c r="D1054" s="7682" t="s">
        <v>10063</v>
      </c>
      <c r="E1054" s="7821"/>
      <c r="F1054" s="7822" t="s">
        <v>79</v>
      </c>
      <c r="G1054" s="13909"/>
      <c r="H1054" s="13441"/>
      <c r="I1054" s="14259"/>
      <c r="K1054" s="10474"/>
      <c r="L1054" s="7679"/>
      <c r="M1054" s="7679"/>
      <c r="N1054" s="10475"/>
      <c r="O1054" s="10475"/>
      <c r="P1054" s="10476"/>
      <c r="Q1054" s="7687"/>
      <c r="R1054" s="7686"/>
      <c r="S1054" s="7680"/>
      <c r="T1054" s="7688"/>
      <c r="U1054" s="7687"/>
      <c r="V1054" s="7686"/>
      <c r="W1054" s="7688"/>
      <c r="X1054" s="7686"/>
      <c r="Y1054" s="7688"/>
      <c r="Z1054" s="7686"/>
      <c r="AA1054" s="7680"/>
      <c r="AB1054" s="7680"/>
      <c r="AC1054" s="7680"/>
      <c r="AD1054" s="7680"/>
      <c r="AE1054" s="7680"/>
      <c r="AF1054" s="7688"/>
      <c r="AG1054" s="7686"/>
      <c r="AH1054" s="7680"/>
      <c r="AI1054" s="7680"/>
      <c r="AJ1054" s="7680"/>
      <c r="AK1054" s="7680"/>
      <c r="AL1054" s="7680"/>
      <c r="AM1054" s="7680"/>
      <c r="AN1054" s="7688"/>
      <c r="AO1054" s="7686"/>
      <c r="AP1054" s="7680"/>
      <c r="AQ1054" s="7680"/>
      <c r="AR1054" s="7680"/>
      <c r="AS1054" s="7680"/>
      <c r="AT1054" s="7688"/>
      <c r="AU1054" s="10477"/>
      <c r="AV1054" s="10477"/>
      <c r="AW1054" s="10477"/>
      <c r="AX1054" s="10474"/>
      <c r="AY1054" s="10476"/>
      <c r="AZ1054" s="10477"/>
      <c r="BA1054" s="10474"/>
      <c r="BB1054" s="10475"/>
      <c r="BC1054" s="10476"/>
      <c r="BD1054" s="10478"/>
      <c r="BF1054" s="14432"/>
      <c r="BG1054" s="14432"/>
      <c r="BH1054" s="14432"/>
      <c r="BI1054" s="14432"/>
      <c r="BJ1054" s="14432"/>
      <c r="BK1054" s="8549"/>
      <c r="BL1054" s="14432"/>
      <c r="BM1054" s="14432"/>
      <c r="BN1054" s="14432"/>
    </row>
    <row r="1055" spans="1:66" ht="14.25" hidden="1" customHeight="1" thickBot="1">
      <c r="A1055" s="10479">
        <v>653</v>
      </c>
      <c r="B1055" s="10480" t="s">
        <v>5052</v>
      </c>
      <c r="C1055" s="13602"/>
      <c r="D1055" s="7634" t="s">
        <v>65</v>
      </c>
      <c r="E1055" s="7823" t="s">
        <v>74</v>
      </c>
      <c r="F1055" s="7815"/>
      <c r="G1055" s="12377" t="s">
        <v>81</v>
      </c>
      <c r="H1055" s="7859" t="s">
        <v>82</v>
      </c>
      <c r="I1055" s="7635" t="s">
        <v>85</v>
      </c>
      <c r="K1055" s="10481"/>
      <c r="L1055" s="10483"/>
      <c r="M1055" s="10483"/>
      <c r="N1055" s="10484"/>
      <c r="O1055" s="10484"/>
      <c r="P1055" s="10485"/>
      <c r="Q1055" s="10486"/>
      <c r="R1055" s="10487"/>
      <c r="S1055" s="10488"/>
      <c r="T1055" s="10489"/>
      <c r="U1055" s="10486"/>
      <c r="V1055" s="10487"/>
      <c r="W1055" s="10489"/>
      <c r="X1055" s="10487"/>
      <c r="Y1055" s="10489"/>
      <c r="Z1055" s="10487"/>
      <c r="AA1055" s="10488"/>
      <c r="AB1055" s="10488"/>
      <c r="AC1055" s="10488"/>
      <c r="AD1055" s="10488"/>
      <c r="AE1055" s="10488"/>
      <c r="AF1055" s="10489"/>
      <c r="AG1055" s="10487"/>
      <c r="AH1055" s="10488"/>
      <c r="AI1055" s="10488"/>
      <c r="AJ1055" s="10488"/>
      <c r="AK1055" s="10488"/>
      <c r="AL1055" s="10488"/>
      <c r="AM1055" s="10488"/>
      <c r="AN1055" s="10489"/>
      <c r="AO1055" s="10487"/>
      <c r="AP1055" s="10488"/>
      <c r="AQ1055" s="10488"/>
      <c r="AR1055" s="10488"/>
      <c r="AS1055" s="10488"/>
      <c r="AT1055" s="10489"/>
      <c r="AU1055" s="10490"/>
      <c r="AV1055" s="10490"/>
      <c r="AW1055" s="10490"/>
      <c r="AX1055" s="10481"/>
      <c r="AY1055" s="10485"/>
      <c r="AZ1055" s="10490"/>
      <c r="BA1055" s="10481"/>
      <c r="BB1055" s="10484"/>
      <c r="BC1055" s="10485"/>
      <c r="BD1055" s="10491"/>
      <c r="BF1055" s="10482"/>
      <c r="BG1055" s="10482"/>
      <c r="BH1055" s="10482"/>
      <c r="BI1055" s="10482"/>
      <c r="BJ1055" s="10482"/>
      <c r="BK1055" s="10482"/>
      <c r="BL1055" s="10482"/>
      <c r="BM1055" s="10482"/>
      <c r="BN1055" s="10482"/>
    </row>
    <row r="1056" spans="1:66" ht="30" hidden="1" customHeight="1">
      <c r="A1056" s="13685">
        <v>654</v>
      </c>
      <c r="B1056" s="14246" t="s">
        <v>5053</v>
      </c>
      <c r="C1056" s="13602"/>
      <c r="D1056" s="13129" t="s">
        <v>86</v>
      </c>
      <c r="E1056" s="7857" t="s">
        <v>92</v>
      </c>
      <c r="F1056" s="7824"/>
      <c r="G1056" s="14247" t="s">
        <v>89</v>
      </c>
      <c r="H1056" s="13442" t="s">
        <v>90</v>
      </c>
      <c r="I1056" s="14260">
        <v>6</v>
      </c>
      <c r="K1056" s="12834" t="s">
        <v>10621</v>
      </c>
      <c r="L1056" s="12835"/>
      <c r="M1056" s="12836"/>
      <c r="N1056" s="12837" t="s">
        <v>10622</v>
      </c>
      <c r="O1056" s="12837" t="s">
        <v>10623</v>
      </c>
      <c r="P1056" s="12838"/>
      <c r="Q1056" s="12838"/>
      <c r="R1056" s="12838"/>
      <c r="S1056" s="12838"/>
      <c r="T1056" s="13157"/>
      <c r="U1056" s="12838">
        <v>60</v>
      </c>
      <c r="V1056" s="12838">
        <v>3</v>
      </c>
      <c r="W1056" s="12838">
        <v>57</v>
      </c>
      <c r="X1056" s="12838">
        <v>60</v>
      </c>
      <c r="Y1056" s="12838">
        <v>0</v>
      </c>
      <c r="Z1056" s="12838">
        <v>0</v>
      </c>
      <c r="AA1056" s="12838">
        <v>0</v>
      </c>
      <c r="AB1056" s="12838">
        <v>1</v>
      </c>
      <c r="AC1056" s="12838">
        <v>23</v>
      </c>
      <c r="AD1056" s="12838">
        <v>31</v>
      </c>
      <c r="AE1056" s="12838">
        <v>4</v>
      </c>
      <c r="AF1056" s="12838">
        <v>1</v>
      </c>
      <c r="AG1056" s="12838">
        <v>0</v>
      </c>
      <c r="AH1056" s="12838">
        <v>0</v>
      </c>
      <c r="AI1056" s="12838">
        <v>16</v>
      </c>
      <c r="AJ1056" s="12838">
        <v>1</v>
      </c>
      <c r="AK1056" s="12838">
        <v>3</v>
      </c>
      <c r="AL1056" s="12838">
        <v>0</v>
      </c>
      <c r="AM1056" s="12838">
        <v>0</v>
      </c>
      <c r="AN1056" s="12838">
        <v>0</v>
      </c>
      <c r="AO1056" s="12838">
        <v>0</v>
      </c>
      <c r="AP1056" s="12838">
        <v>60</v>
      </c>
      <c r="AQ1056" s="12838">
        <v>0</v>
      </c>
      <c r="AR1056" s="12838">
        <v>0</v>
      </c>
      <c r="AS1056" s="12838">
        <v>0</v>
      </c>
      <c r="AT1056" s="12837">
        <v>0</v>
      </c>
      <c r="AU1056" s="12837"/>
      <c r="AV1056" s="12837"/>
      <c r="AW1056" s="12837"/>
      <c r="AX1056" s="12837"/>
      <c r="AY1056" s="12837"/>
      <c r="AZ1056" s="12837"/>
      <c r="BA1056" s="12837"/>
      <c r="BB1056" s="12837"/>
      <c r="BC1056" s="12837"/>
      <c r="BD1056" s="10492"/>
      <c r="BF1056" s="14540"/>
      <c r="BG1056" s="14540"/>
      <c r="BH1056" s="14540"/>
      <c r="BI1056" s="14540"/>
      <c r="BJ1056" s="14540"/>
      <c r="BK1056" s="13089"/>
      <c r="BL1056" s="14540"/>
      <c r="BM1056" s="14540"/>
      <c r="BN1056" s="14540"/>
    </row>
    <row r="1057" spans="1:66" ht="30" hidden="1" customHeight="1">
      <c r="A1057" s="13670"/>
      <c r="B1057" s="14242"/>
      <c r="C1057" s="13602"/>
      <c r="D1057" s="7876" t="s">
        <v>10072</v>
      </c>
      <c r="E1057" s="7825"/>
      <c r="F1057" s="7826" t="s">
        <v>93</v>
      </c>
      <c r="G1057" s="14243"/>
      <c r="H1057" s="13424"/>
      <c r="I1057" s="14257"/>
      <c r="K1057" s="12834"/>
      <c r="L1057" s="12835" t="s">
        <v>2951</v>
      </c>
      <c r="M1057" s="12836" t="s">
        <v>10411</v>
      </c>
      <c r="N1057" s="12837"/>
      <c r="O1057" s="12837"/>
      <c r="P1057" s="12838"/>
      <c r="Q1057" s="12838"/>
      <c r="R1057" s="12838"/>
      <c r="S1057" s="12838"/>
      <c r="T1057" s="12839"/>
      <c r="U1057" s="12838"/>
      <c r="V1057" s="12838"/>
      <c r="W1057" s="12838"/>
      <c r="X1057" s="12838"/>
      <c r="Y1057" s="12838"/>
      <c r="Z1057" s="12838"/>
      <c r="AA1057" s="12838"/>
      <c r="AB1057" s="12838"/>
      <c r="AC1057" s="12838"/>
      <c r="AD1057" s="12838"/>
      <c r="AE1057" s="12838"/>
      <c r="AF1057" s="12838"/>
      <c r="AG1057" s="12838"/>
      <c r="AH1057" s="12838"/>
      <c r="AI1057" s="12838"/>
      <c r="AJ1057" s="12838"/>
      <c r="AK1057" s="12838"/>
      <c r="AL1057" s="12838"/>
      <c r="AM1057" s="12838"/>
      <c r="AN1057" s="12838"/>
      <c r="AO1057" s="12838"/>
      <c r="AP1057" s="12838"/>
      <c r="AQ1057" s="12838"/>
      <c r="AR1057" s="12838"/>
      <c r="AS1057" s="12838"/>
      <c r="AT1057" s="12837"/>
      <c r="AU1057" s="12837"/>
      <c r="AV1057" s="12837"/>
      <c r="AW1057" s="12837"/>
      <c r="AX1057" s="12837"/>
      <c r="AY1057" s="12837"/>
      <c r="AZ1057" s="12837"/>
      <c r="BA1057" s="12837"/>
      <c r="BB1057" s="12837"/>
      <c r="BC1057" s="12837"/>
      <c r="BD1057" s="10493"/>
      <c r="BF1057" s="14541"/>
      <c r="BG1057" s="14541"/>
      <c r="BH1057" s="14541"/>
      <c r="BI1057" s="14541"/>
      <c r="BJ1057" s="14541"/>
      <c r="BK1057" s="10494"/>
      <c r="BL1057" s="14541"/>
      <c r="BM1057" s="14541"/>
      <c r="BN1057" s="14541"/>
    </row>
    <row r="1058" spans="1:66" ht="30" hidden="1" customHeight="1">
      <c r="A1058" s="10495">
        <v>655</v>
      </c>
      <c r="B1058" s="10496" t="s">
        <v>5054</v>
      </c>
      <c r="C1058" s="13602"/>
      <c r="D1058" s="7876" t="s">
        <v>86</v>
      </c>
      <c r="E1058" s="7825" t="s">
        <v>97</v>
      </c>
      <c r="F1058" s="7827" t="s">
        <v>98</v>
      </c>
      <c r="G1058" s="13038" t="s">
        <v>94</v>
      </c>
      <c r="H1058" s="12983" t="s">
        <v>95</v>
      </c>
      <c r="I1058" s="13039">
        <v>6</v>
      </c>
      <c r="K1058" s="12834" t="s">
        <v>10600</v>
      </c>
      <c r="L1058" s="12835"/>
      <c r="M1058" s="12835"/>
      <c r="N1058" s="12837" t="s">
        <v>3537</v>
      </c>
      <c r="O1058" s="12838"/>
      <c r="P1058" s="12846">
        <v>1009600</v>
      </c>
      <c r="Q1058" s="12838">
        <v>1009600</v>
      </c>
      <c r="R1058" s="12838">
        <v>0</v>
      </c>
      <c r="S1058" s="12838">
        <v>0</v>
      </c>
      <c r="T1058" s="13157">
        <v>20</v>
      </c>
      <c r="U1058" s="12838">
        <v>10</v>
      </c>
      <c r="V1058" s="12838">
        <v>10</v>
      </c>
      <c r="W1058" s="12838">
        <v>20</v>
      </c>
      <c r="X1058" s="12838">
        <v>0</v>
      </c>
      <c r="Y1058" s="12838">
        <v>0</v>
      </c>
      <c r="Z1058" s="12838">
        <v>0</v>
      </c>
      <c r="AA1058" s="12838">
        <v>0</v>
      </c>
      <c r="AB1058" s="12838">
        <v>10</v>
      </c>
      <c r="AC1058" s="12838">
        <v>10</v>
      </c>
      <c r="AD1058" s="12838">
        <v>0</v>
      </c>
      <c r="AE1058" s="12838">
        <v>0</v>
      </c>
      <c r="AF1058" s="12838">
        <v>10</v>
      </c>
      <c r="AG1058" s="12838">
        <v>0</v>
      </c>
      <c r="AH1058" s="12838">
        <v>0</v>
      </c>
      <c r="AI1058" s="12838">
        <v>10</v>
      </c>
      <c r="AJ1058" s="12838">
        <v>0</v>
      </c>
      <c r="AK1058" s="12838">
        <v>0</v>
      </c>
      <c r="AL1058" s="12838">
        <v>0</v>
      </c>
      <c r="AM1058" s="12838">
        <v>0</v>
      </c>
      <c r="AN1058" s="12838">
        <v>0</v>
      </c>
      <c r="AO1058" s="12838">
        <v>20</v>
      </c>
      <c r="AP1058" s="12838">
        <v>0</v>
      </c>
      <c r="AQ1058" s="12838">
        <v>0</v>
      </c>
      <c r="AR1058" s="12838">
        <v>0</v>
      </c>
      <c r="AS1058" s="12838">
        <v>0</v>
      </c>
      <c r="AT1058" s="12837"/>
      <c r="AU1058" s="12837"/>
      <c r="AV1058" s="12837"/>
      <c r="AW1058" s="12837"/>
      <c r="AX1058" s="12837"/>
      <c r="AY1058" s="12837"/>
      <c r="AZ1058" s="12837"/>
      <c r="BA1058" s="12837"/>
      <c r="BB1058" s="12837"/>
      <c r="BC1058" s="12837"/>
      <c r="BD1058" s="10497"/>
      <c r="BF1058" s="10494"/>
      <c r="BG1058" s="10494"/>
      <c r="BH1058" s="10494"/>
      <c r="BI1058" s="10494"/>
      <c r="BJ1058" s="10494"/>
      <c r="BK1058" s="13090"/>
      <c r="BL1058" s="13090"/>
      <c r="BM1058" s="10494"/>
      <c r="BN1058" s="10494"/>
    </row>
    <row r="1059" spans="1:66" ht="30" hidden="1" customHeight="1">
      <c r="A1059" s="13670">
        <v>656</v>
      </c>
      <c r="B1059" s="14242" t="s">
        <v>5055</v>
      </c>
      <c r="C1059" s="13602"/>
      <c r="D1059" s="7876" t="s">
        <v>86</v>
      </c>
      <c r="E1059" s="7825" t="s">
        <v>97</v>
      </c>
      <c r="F1059" s="7827"/>
      <c r="G1059" s="14243" t="s">
        <v>99</v>
      </c>
      <c r="H1059" s="13424" t="s">
        <v>95</v>
      </c>
      <c r="I1059" s="14257">
        <v>20</v>
      </c>
      <c r="K1059" s="12834" t="s">
        <v>10412</v>
      </c>
      <c r="L1059" s="12835"/>
      <c r="M1059" s="12837"/>
      <c r="N1059" s="12837" t="s">
        <v>10583</v>
      </c>
      <c r="O1059" s="12837" t="s">
        <v>3537</v>
      </c>
      <c r="P1059" s="12838"/>
      <c r="Q1059" s="12838"/>
      <c r="R1059" s="12838"/>
      <c r="S1059" s="12838"/>
      <c r="T1059" s="13157">
        <v>1254</v>
      </c>
      <c r="U1059" s="12838">
        <v>444</v>
      </c>
      <c r="V1059" s="12838">
        <v>810</v>
      </c>
      <c r="W1059" s="12838">
        <v>951</v>
      </c>
      <c r="X1059" s="12838">
        <v>303</v>
      </c>
      <c r="Y1059" s="12838">
        <v>128</v>
      </c>
      <c r="Z1059" s="12838">
        <v>141</v>
      </c>
      <c r="AA1059" s="12838">
        <v>138</v>
      </c>
      <c r="AB1059" s="12838">
        <v>283</v>
      </c>
      <c r="AC1059" s="12838">
        <v>292</v>
      </c>
      <c r="AD1059" s="12838">
        <v>197</v>
      </c>
      <c r="AE1059" s="12838">
        <v>75</v>
      </c>
      <c r="AF1059" s="12838">
        <v>622</v>
      </c>
      <c r="AG1059" s="12838">
        <v>43</v>
      </c>
      <c r="AH1059" s="12838">
        <v>589</v>
      </c>
      <c r="AI1059" s="12838"/>
      <c r="AJ1059" s="12838"/>
      <c r="AK1059" s="12838"/>
      <c r="AL1059" s="12838"/>
      <c r="AM1059" s="12838"/>
      <c r="AN1059" s="12838"/>
      <c r="AO1059" s="12838">
        <v>1254</v>
      </c>
      <c r="AP1059" s="12838"/>
      <c r="AQ1059" s="12838"/>
      <c r="AR1059" s="12838"/>
      <c r="AS1059" s="12838"/>
      <c r="AT1059" s="12837"/>
      <c r="AU1059" s="12837"/>
      <c r="AV1059" s="12837"/>
      <c r="AW1059" s="12837"/>
      <c r="AX1059" s="12837"/>
      <c r="AY1059" s="12837"/>
      <c r="AZ1059" s="12837"/>
      <c r="BA1059" s="12837"/>
      <c r="BB1059" s="12837"/>
      <c r="BC1059" s="12837"/>
      <c r="BD1059" s="10493"/>
      <c r="BF1059" s="14541"/>
      <c r="BG1059" s="14541"/>
      <c r="BH1059" s="14541"/>
      <c r="BI1059" s="14541"/>
      <c r="BJ1059" s="14541"/>
      <c r="BK1059" s="13090"/>
      <c r="BL1059" s="14541"/>
      <c r="BM1059" s="14541"/>
      <c r="BN1059" s="14541"/>
    </row>
    <row r="1060" spans="1:66" ht="30" hidden="1" customHeight="1">
      <c r="A1060" s="13670"/>
      <c r="B1060" s="14242"/>
      <c r="C1060" s="13602"/>
      <c r="D1060" s="7876" t="s">
        <v>10199</v>
      </c>
      <c r="E1060" s="7825"/>
      <c r="F1060" s="7827" t="s">
        <v>101</v>
      </c>
      <c r="G1060" s="14243"/>
      <c r="H1060" s="13424"/>
      <c r="I1060" s="14257"/>
      <c r="K1060" s="12840" t="s">
        <v>3781</v>
      </c>
      <c r="L1060" s="12835" t="s">
        <v>2951</v>
      </c>
      <c r="M1060" s="12835" t="s">
        <v>2951</v>
      </c>
      <c r="N1060" s="12835" t="s">
        <v>2951</v>
      </c>
      <c r="O1060" s="12835" t="s">
        <v>10415</v>
      </c>
      <c r="P1060" s="12841" t="s">
        <v>2951</v>
      </c>
      <c r="Q1060" s="12841" t="s">
        <v>2951</v>
      </c>
      <c r="R1060" s="12841" t="s">
        <v>2951</v>
      </c>
      <c r="S1060" s="12841" t="s">
        <v>2951</v>
      </c>
      <c r="T1060" s="12842" t="s">
        <v>2951</v>
      </c>
      <c r="U1060" s="12841" t="s">
        <v>2951</v>
      </c>
      <c r="V1060" s="12841" t="s">
        <v>2951</v>
      </c>
      <c r="W1060" s="12841" t="s">
        <v>2951</v>
      </c>
      <c r="X1060" s="12841" t="s">
        <v>2951</v>
      </c>
      <c r="Y1060" s="12841" t="s">
        <v>2951</v>
      </c>
      <c r="Z1060" s="12841" t="s">
        <v>2951</v>
      </c>
      <c r="AA1060" s="12841" t="s">
        <v>2951</v>
      </c>
      <c r="AB1060" s="12841" t="s">
        <v>2951</v>
      </c>
      <c r="AC1060" s="12841" t="s">
        <v>2951</v>
      </c>
      <c r="AD1060" s="12841" t="s">
        <v>2951</v>
      </c>
      <c r="AE1060" s="12841" t="s">
        <v>2951</v>
      </c>
      <c r="AF1060" s="12841" t="s">
        <v>2951</v>
      </c>
      <c r="AG1060" s="12841" t="s">
        <v>2951</v>
      </c>
      <c r="AH1060" s="12841" t="s">
        <v>2951</v>
      </c>
      <c r="AI1060" s="12841" t="s">
        <v>2951</v>
      </c>
      <c r="AJ1060" s="12841" t="s">
        <v>2951</v>
      </c>
      <c r="AK1060" s="12841" t="s">
        <v>2951</v>
      </c>
      <c r="AL1060" s="12841" t="s">
        <v>2951</v>
      </c>
      <c r="AM1060" s="12841" t="s">
        <v>2951</v>
      </c>
      <c r="AN1060" s="12841" t="s">
        <v>2951</v>
      </c>
      <c r="AO1060" s="12841" t="s">
        <v>2951</v>
      </c>
      <c r="AP1060" s="12841" t="s">
        <v>2951</v>
      </c>
      <c r="AQ1060" s="12841" t="s">
        <v>2951</v>
      </c>
      <c r="AR1060" s="12841" t="s">
        <v>2951</v>
      </c>
      <c r="AS1060" s="12841" t="s">
        <v>2951</v>
      </c>
      <c r="AT1060" s="12835" t="s">
        <v>2951</v>
      </c>
      <c r="AU1060" s="12835" t="s">
        <v>2951</v>
      </c>
      <c r="AV1060" s="12835" t="s">
        <v>2951</v>
      </c>
      <c r="AW1060" s="12835" t="s">
        <v>2951</v>
      </c>
      <c r="AX1060" s="12835" t="s">
        <v>2951</v>
      </c>
      <c r="AY1060" s="12835" t="s">
        <v>2951</v>
      </c>
      <c r="AZ1060" s="12835" t="s">
        <v>2951</v>
      </c>
      <c r="BA1060" s="12835" t="s">
        <v>2951</v>
      </c>
      <c r="BB1060" s="12835" t="s">
        <v>2951</v>
      </c>
      <c r="BC1060" s="12835" t="s">
        <v>2951</v>
      </c>
      <c r="BD1060" s="10493"/>
      <c r="BF1060" s="14541"/>
      <c r="BG1060" s="14541"/>
      <c r="BH1060" s="14541"/>
      <c r="BI1060" s="14541"/>
      <c r="BJ1060" s="14541"/>
      <c r="BK1060" s="10494"/>
      <c r="BL1060" s="14541"/>
      <c r="BM1060" s="14541"/>
      <c r="BN1060" s="14541"/>
    </row>
    <row r="1061" spans="1:66" ht="30" hidden="1" customHeight="1">
      <c r="A1061" s="13670">
        <v>657</v>
      </c>
      <c r="B1061" s="14242" t="s">
        <v>5056</v>
      </c>
      <c r="C1061" s="13602"/>
      <c r="D1061" s="7876" t="s">
        <v>86</v>
      </c>
      <c r="E1061" s="7825" t="s">
        <v>106</v>
      </c>
      <c r="F1061" s="7826"/>
      <c r="G1061" s="14243" t="s">
        <v>102</v>
      </c>
      <c r="H1061" s="13424" t="s">
        <v>103</v>
      </c>
      <c r="I1061" s="14257" t="s">
        <v>104</v>
      </c>
      <c r="K1061" s="13158" t="s">
        <v>10385</v>
      </c>
      <c r="L1061" s="12835"/>
      <c r="M1061" s="12835"/>
      <c r="N1061" s="13159" t="s">
        <v>10413</v>
      </c>
      <c r="O1061" s="13159" t="s">
        <v>10414</v>
      </c>
      <c r="P1061" s="13160"/>
      <c r="Q1061" s="13160"/>
      <c r="R1061" s="13160"/>
      <c r="S1061" s="13160"/>
      <c r="T1061" s="13161"/>
      <c r="U1061" s="13160"/>
      <c r="V1061" s="13160"/>
      <c r="W1061" s="13160"/>
      <c r="X1061" s="13160"/>
      <c r="Y1061" s="13160"/>
      <c r="Z1061" s="13160"/>
      <c r="AA1061" s="13160"/>
      <c r="AB1061" s="13160"/>
      <c r="AC1061" s="13160"/>
      <c r="AD1061" s="13160"/>
      <c r="AE1061" s="13160"/>
      <c r="AF1061" s="13160"/>
      <c r="AG1061" s="13160"/>
      <c r="AH1061" s="13160"/>
      <c r="AI1061" s="13160"/>
      <c r="AJ1061" s="13160"/>
      <c r="AK1061" s="13160"/>
      <c r="AL1061" s="13160"/>
      <c r="AM1061" s="13160"/>
      <c r="AN1061" s="13160"/>
      <c r="AO1061" s="13160"/>
      <c r="AP1061" s="13160"/>
      <c r="AQ1061" s="13160"/>
      <c r="AR1061" s="13160"/>
      <c r="AS1061" s="13160"/>
      <c r="AT1061" s="13159"/>
      <c r="AU1061" s="13159"/>
      <c r="AV1061" s="13159"/>
      <c r="AW1061" s="13159"/>
      <c r="AX1061" s="13159"/>
      <c r="AY1061" s="13159"/>
      <c r="AZ1061" s="13159"/>
      <c r="BA1061" s="13159"/>
      <c r="BB1061" s="13159"/>
      <c r="BC1061" s="13159"/>
      <c r="BD1061" s="10493"/>
      <c r="BF1061" s="14541"/>
      <c r="BG1061" s="14541"/>
      <c r="BH1061" s="14541"/>
      <c r="BI1061" s="14541"/>
      <c r="BJ1061" s="14541"/>
      <c r="BK1061" s="13090"/>
      <c r="BL1061" s="14541"/>
      <c r="BM1061" s="14541"/>
      <c r="BN1061" s="14541"/>
    </row>
    <row r="1062" spans="1:66" ht="30" hidden="1" customHeight="1">
      <c r="A1062" s="13670"/>
      <c r="B1062" s="14242"/>
      <c r="C1062" s="13602"/>
      <c r="D1062" s="7876" t="s">
        <v>10063</v>
      </c>
      <c r="E1062" s="7825"/>
      <c r="F1062" s="7826" t="s">
        <v>107</v>
      </c>
      <c r="G1062" s="14243"/>
      <c r="H1062" s="13424"/>
      <c r="I1062" s="14257"/>
      <c r="K1062" s="12840" t="s">
        <v>3781</v>
      </c>
      <c r="L1062" s="12835" t="s">
        <v>2951</v>
      </c>
      <c r="M1062" s="12835" t="s">
        <v>2951</v>
      </c>
      <c r="N1062" s="12835" t="s">
        <v>2951</v>
      </c>
      <c r="O1062" s="12835" t="s">
        <v>10415</v>
      </c>
      <c r="P1062" s="12841" t="s">
        <v>2951</v>
      </c>
      <c r="Q1062" s="12841" t="s">
        <v>2951</v>
      </c>
      <c r="R1062" s="12841" t="s">
        <v>2951</v>
      </c>
      <c r="S1062" s="12841" t="s">
        <v>2951</v>
      </c>
      <c r="T1062" s="12842" t="s">
        <v>2951</v>
      </c>
      <c r="U1062" s="12841" t="s">
        <v>2951</v>
      </c>
      <c r="V1062" s="12841" t="s">
        <v>2951</v>
      </c>
      <c r="W1062" s="12841" t="s">
        <v>2951</v>
      </c>
      <c r="X1062" s="12841" t="s">
        <v>2951</v>
      </c>
      <c r="Y1062" s="12841" t="s">
        <v>2951</v>
      </c>
      <c r="Z1062" s="12841" t="s">
        <v>2951</v>
      </c>
      <c r="AA1062" s="12841" t="s">
        <v>2951</v>
      </c>
      <c r="AB1062" s="12841" t="s">
        <v>2951</v>
      </c>
      <c r="AC1062" s="12841" t="s">
        <v>2951</v>
      </c>
      <c r="AD1062" s="12841" t="s">
        <v>2951</v>
      </c>
      <c r="AE1062" s="12841" t="s">
        <v>2951</v>
      </c>
      <c r="AF1062" s="12841" t="s">
        <v>2951</v>
      </c>
      <c r="AG1062" s="12841" t="s">
        <v>2951</v>
      </c>
      <c r="AH1062" s="12841" t="s">
        <v>2951</v>
      </c>
      <c r="AI1062" s="12841" t="s">
        <v>2951</v>
      </c>
      <c r="AJ1062" s="12841" t="s">
        <v>2951</v>
      </c>
      <c r="AK1062" s="12841" t="s">
        <v>2951</v>
      </c>
      <c r="AL1062" s="12841" t="s">
        <v>2951</v>
      </c>
      <c r="AM1062" s="12841" t="s">
        <v>2951</v>
      </c>
      <c r="AN1062" s="12841" t="s">
        <v>2951</v>
      </c>
      <c r="AO1062" s="12841" t="s">
        <v>2951</v>
      </c>
      <c r="AP1062" s="12841" t="s">
        <v>2951</v>
      </c>
      <c r="AQ1062" s="12841" t="s">
        <v>2951</v>
      </c>
      <c r="AR1062" s="12841" t="s">
        <v>2951</v>
      </c>
      <c r="AS1062" s="12841" t="s">
        <v>2951</v>
      </c>
      <c r="AT1062" s="12835" t="s">
        <v>2951</v>
      </c>
      <c r="AU1062" s="12835" t="s">
        <v>2951</v>
      </c>
      <c r="AV1062" s="12835" t="s">
        <v>2951</v>
      </c>
      <c r="AW1062" s="12835" t="s">
        <v>2951</v>
      </c>
      <c r="AX1062" s="12835" t="s">
        <v>2951</v>
      </c>
      <c r="AY1062" s="12835" t="s">
        <v>2951</v>
      </c>
      <c r="AZ1062" s="12835" t="s">
        <v>2951</v>
      </c>
      <c r="BA1062" s="12835" t="s">
        <v>2951</v>
      </c>
      <c r="BB1062" s="12835" t="s">
        <v>2951</v>
      </c>
      <c r="BC1062" s="12835" t="s">
        <v>2951</v>
      </c>
      <c r="BD1062" s="10493"/>
      <c r="BF1062" s="14541"/>
      <c r="BG1062" s="14541"/>
      <c r="BH1062" s="14541"/>
      <c r="BI1062" s="14541"/>
      <c r="BJ1062" s="14541"/>
      <c r="BK1062" s="10494"/>
      <c r="BL1062" s="14541"/>
      <c r="BM1062" s="14541"/>
      <c r="BN1062" s="14541"/>
    </row>
    <row r="1063" spans="1:66" ht="30" hidden="1" customHeight="1">
      <c r="A1063" s="13670">
        <v>658</v>
      </c>
      <c r="B1063" s="14242" t="s">
        <v>5057</v>
      </c>
      <c r="C1063" s="13602"/>
      <c r="D1063" s="7876" t="s">
        <v>86</v>
      </c>
      <c r="E1063" s="7825" t="s">
        <v>112</v>
      </c>
      <c r="F1063" s="7826"/>
      <c r="G1063" s="14243" t="s">
        <v>109</v>
      </c>
      <c r="H1063" s="13424" t="s">
        <v>110</v>
      </c>
      <c r="I1063" s="14257" t="s">
        <v>111</v>
      </c>
      <c r="K1063" s="13158" t="s">
        <v>1732</v>
      </c>
      <c r="L1063" s="12835"/>
      <c r="M1063" s="12835"/>
      <c r="N1063" s="13159"/>
      <c r="O1063" s="13159"/>
      <c r="P1063" s="13160" t="s">
        <v>10415</v>
      </c>
      <c r="Q1063" s="13160"/>
      <c r="R1063" s="13160"/>
      <c r="S1063" s="13160"/>
      <c r="T1063" s="13161"/>
      <c r="U1063" s="13160"/>
      <c r="V1063" s="13160"/>
      <c r="W1063" s="13160"/>
      <c r="X1063" s="13160"/>
      <c r="Y1063" s="13160"/>
      <c r="Z1063" s="13160"/>
      <c r="AA1063" s="13160"/>
      <c r="AB1063" s="13160"/>
      <c r="AC1063" s="13160"/>
      <c r="AD1063" s="13160"/>
      <c r="AE1063" s="13160"/>
      <c r="AF1063" s="13160"/>
      <c r="AG1063" s="13160"/>
      <c r="AH1063" s="13160"/>
      <c r="AI1063" s="13160"/>
      <c r="AJ1063" s="13160"/>
      <c r="AK1063" s="13160"/>
      <c r="AL1063" s="13160"/>
      <c r="AM1063" s="13160"/>
      <c r="AN1063" s="13160"/>
      <c r="AO1063" s="13160"/>
      <c r="AP1063" s="13160"/>
      <c r="AQ1063" s="13160"/>
      <c r="AR1063" s="13160"/>
      <c r="AS1063" s="13160"/>
      <c r="AT1063" s="13159"/>
      <c r="AU1063" s="13159"/>
      <c r="AV1063" s="13159"/>
      <c r="AW1063" s="13159"/>
      <c r="AX1063" s="13159"/>
      <c r="AY1063" s="13159"/>
      <c r="AZ1063" s="13159"/>
      <c r="BA1063" s="13159"/>
      <c r="BB1063" s="13159"/>
      <c r="BC1063" s="13159"/>
      <c r="BD1063" s="10493"/>
      <c r="BF1063" s="14541"/>
      <c r="BG1063" s="14541"/>
      <c r="BH1063" s="14541"/>
      <c r="BI1063" s="14541"/>
      <c r="BJ1063" s="14541"/>
      <c r="BK1063" s="13090"/>
      <c r="BL1063" s="14541"/>
      <c r="BM1063" s="14541"/>
      <c r="BN1063" s="14541"/>
    </row>
    <row r="1064" spans="1:66" ht="30" hidden="1" customHeight="1">
      <c r="A1064" s="13670"/>
      <c r="B1064" s="14242"/>
      <c r="C1064" s="13602"/>
      <c r="D1064" s="7876" t="s">
        <v>10063</v>
      </c>
      <c r="E1064" s="7825"/>
      <c r="F1064" s="7826" t="s">
        <v>107</v>
      </c>
      <c r="G1064" s="14243"/>
      <c r="H1064" s="13424"/>
      <c r="I1064" s="14257"/>
      <c r="K1064" s="12834" t="s">
        <v>10416</v>
      </c>
      <c r="L1064" s="12843">
        <v>1</v>
      </c>
      <c r="M1064" s="12844" t="s">
        <v>10417</v>
      </c>
      <c r="N1064" s="12837" t="s">
        <v>10418</v>
      </c>
      <c r="O1064" s="12837" t="s">
        <v>10419</v>
      </c>
      <c r="P1064" s="12838"/>
      <c r="Q1064" s="12838"/>
      <c r="R1064" s="12838"/>
      <c r="S1064" s="12838"/>
      <c r="T1064" s="12839"/>
      <c r="U1064" s="12838"/>
      <c r="V1064" s="12838"/>
      <c r="W1064" s="12838"/>
      <c r="X1064" s="12838"/>
      <c r="Y1064" s="12838"/>
      <c r="Z1064" s="12838"/>
      <c r="AA1064" s="12838"/>
      <c r="AB1064" s="12838"/>
      <c r="AC1064" s="12838"/>
      <c r="AD1064" s="12838"/>
      <c r="AE1064" s="12838"/>
      <c r="AF1064" s="12838"/>
      <c r="AG1064" s="12838"/>
      <c r="AH1064" s="12838"/>
      <c r="AI1064" s="12838"/>
      <c r="AJ1064" s="12838"/>
      <c r="AK1064" s="12838"/>
      <c r="AL1064" s="12838"/>
      <c r="AM1064" s="12838"/>
      <c r="AN1064" s="12838"/>
      <c r="AO1064" s="12838"/>
      <c r="AP1064" s="12838"/>
      <c r="AQ1064" s="12838"/>
      <c r="AR1064" s="12838"/>
      <c r="AS1064" s="12838"/>
      <c r="AT1064" s="12837"/>
      <c r="AU1064" s="12837"/>
      <c r="AV1064" s="12837"/>
      <c r="AW1064" s="12837"/>
      <c r="AX1064" s="12837"/>
      <c r="AY1064" s="12837"/>
      <c r="AZ1064" s="12837"/>
      <c r="BA1064" s="12837"/>
      <c r="BB1064" s="12837"/>
      <c r="BC1064" s="12837"/>
      <c r="BD1064" s="10493"/>
      <c r="BF1064" s="14541"/>
      <c r="BG1064" s="14541"/>
      <c r="BH1064" s="14541"/>
      <c r="BI1064" s="14541"/>
      <c r="BJ1064" s="14541"/>
      <c r="BK1064" s="10494"/>
      <c r="BL1064" s="14541"/>
      <c r="BM1064" s="14541"/>
      <c r="BN1064" s="14541"/>
    </row>
    <row r="1065" spans="1:66" ht="30" hidden="1" customHeight="1">
      <c r="A1065" s="13670">
        <v>659</v>
      </c>
      <c r="B1065" s="14242" t="s">
        <v>5058</v>
      </c>
      <c r="C1065" s="13602"/>
      <c r="D1065" s="7876" t="s">
        <v>86</v>
      </c>
      <c r="E1065" s="7825" t="s">
        <v>112</v>
      </c>
      <c r="F1065" s="7826"/>
      <c r="G1065" s="14243" t="s">
        <v>113</v>
      </c>
      <c r="H1065" s="13424" t="s">
        <v>110</v>
      </c>
      <c r="I1065" s="14257" t="s">
        <v>115</v>
      </c>
      <c r="K1065" s="12834" t="s">
        <v>1732</v>
      </c>
      <c r="L1065" s="12843"/>
      <c r="M1065" s="12845"/>
      <c r="N1065" s="12837"/>
      <c r="O1065" s="12846"/>
      <c r="P1065" s="12838" t="s">
        <v>10415</v>
      </c>
      <c r="Q1065" s="12838"/>
      <c r="R1065" s="12838"/>
      <c r="S1065" s="12838"/>
      <c r="T1065" s="13157"/>
      <c r="U1065" s="12838"/>
      <c r="V1065" s="12838"/>
      <c r="W1065" s="12838"/>
      <c r="X1065" s="12838"/>
      <c r="Y1065" s="12838"/>
      <c r="Z1065" s="12838"/>
      <c r="AA1065" s="12838"/>
      <c r="AB1065" s="12838"/>
      <c r="AC1065" s="12838"/>
      <c r="AD1065" s="12838"/>
      <c r="AE1065" s="12838"/>
      <c r="AF1065" s="12838"/>
      <c r="AG1065" s="12838"/>
      <c r="AH1065" s="12838"/>
      <c r="AI1065" s="12838"/>
      <c r="AJ1065" s="12838"/>
      <c r="AK1065" s="12838"/>
      <c r="AL1065" s="12838"/>
      <c r="AM1065" s="12838"/>
      <c r="AN1065" s="12838"/>
      <c r="AO1065" s="12838"/>
      <c r="AP1065" s="12838"/>
      <c r="AQ1065" s="12838"/>
      <c r="AR1065" s="12838"/>
      <c r="AS1065" s="12838"/>
      <c r="AT1065" s="12846"/>
      <c r="AU1065" s="12846"/>
      <c r="AV1065" s="12846"/>
      <c r="AW1065" s="12846"/>
      <c r="AX1065" s="12846"/>
      <c r="AY1065" s="12846"/>
      <c r="AZ1065" s="12846"/>
      <c r="BA1065" s="12846"/>
      <c r="BB1065" s="12846"/>
      <c r="BC1065" s="12846"/>
      <c r="BD1065" s="10493"/>
      <c r="BF1065" s="14541"/>
      <c r="BG1065" s="14541"/>
      <c r="BH1065" s="14541"/>
      <c r="BI1065" s="14541"/>
      <c r="BJ1065" s="14541"/>
      <c r="BK1065" s="13090"/>
      <c r="BL1065" s="14541"/>
      <c r="BM1065" s="14541"/>
      <c r="BN1065" s="14541"/>
    </row>
    <row r="1066" spans="1:66" ht="30" hidden="1" customHeight="1">
      <c r="A1066" s="13670"/>
      <c r="B1066" s="14242"/>
      <c r="C1066" s="13602"/>
      <c r="D1066" s="7876" t="s">
        <v>10063</v>
      </c>
      <c r="E1066" s="7825"/>
      <c r="F1066" s="7826" t="s">
        <v>107</v>
      </c>
      <c r="G1066" s="14243"/>
      <c r="H1066" s="13424"/>
      <c r="I1066" s="14257"/>
      <c r="K1066" s="12834" t="s">
        <v>10421</v>
      </c>
      <c r="L1066" s="12835" t="s">
        <v>2951</v>
      </c>
      <c r="M1066" s="12837" t="s">
        <v>10422</v>
      </c>
      <c r="N1066" s="12837" t="s">
        <v>10423</v>
      </c>
      <c r="O1066" s="12837"/>
      <c r="P1066" s="12847" t="s">
        <v>10390</v>
      </c>
      <c r="Q1066" s="12847" t="s">
        <v>10390</v>
      </c>
      <c r="R1066" s="12838"/>
      <c r="S1066" s="12838"/>
      <c r="T1066" s="12839">
        <v>224</v>
      </c>
      <c r="U1066" s="12838">
        <v>53</v>
      </c>
      <c r="V1066" s="12838">
        <v>171</v>
      </c>
      <c r="W1066" s="12838">
        <v>219</v>
      </c>
      <c r="X1066" s="12838">
        <v>5</v>
      </c>
      <c r="Y1066" s="12838">
        <v>3</v>
      </c>
      <c r="Z1066" s="12838">
        <v>21</v>
      </c>
      <c r="AA1066" s="12838">
        <v>11</v>
      </c>
      <c r="AB1066" s="12838">
        <v>48</v>
      </c>
      <c r="AC1066" s="12838">
        <v>53</v>
      </c>
      <c r="AD1066" s="12838">
        <v>64</v>
      </c>
      <c r="AE1066" s="12838">
        <v>24</v>
      </c>
      <c r="AF1066" s="12838">
        <v>177</v>
      </c>
      <c r="AG1066" s="12838">
        <v>3</v>
      </c>
      <c r="AH1066" s="12838">
        <v>19</v>
      </c>
      <c r="AI1066" s="12838">
        <v>1</v>
      </c>
      <c r="AJ1066" s="12838">
        <v>22</v>
      </c>
      <c r="AK1066" s="12838"/>
      <c r="AL1066" s="12838"/>
      <c r="AM1066" s="12838">
        <v>2</v>
      </c>
      <c r="AN1066" s="12838">
        <v>191</v>
      </c>
      <c r="AO1066" s="12838">
        <v>27</v>
      </c>
      <c r="AP1066" s="12838">
        <v>6</v>
      </c>
      <c r="AQ1066" s="12838"/>
      <c r="AR1066" s="12838"/>
      <c r="AS1066" s="12838"/>
      <c r="AT1066" s="12837"/>
      <c r="AU1066" s="12837"/>
      <c r="AV1066" s="12837"/>
      <c r="AW1066" s="12837"/>
      <c r="AX1066" s="12837"/>
      <c r="AY1066" s="12837"/>
      <c r="AZ1066" s="12837"/>
      <c r="BA1066" s="12837"/>
      <c r="BB1066" s="12837"/>
      <c r="BC1066" s="12837"/>
      <c r="BD1066" s="10493"/>
      <c r="BF1066" s="14541"/>
      <c r="BG1066" s="14541"/>
      <c r="BH1066" s="14541"/>
      <c r="BI1066" s="14541"/>
      <c r="BJ1066" s="14541"/>
      <c r="BK1066" s="10494"/>
      <c r="BL1066" s="14541"/>
      <c r="BM1066" s="14541"/>
      <c r="BN1066" s="14541"/>
    </row>
    <row r="1067" spans="1:66" ht="21.75" hidden="1" customHeight="1">
      <c r="A1067" s="13670">
        <v>660</v>
      </c>
      <c r="B1067" s="14242" t="s">
        <v>5059</v>
      </c>
      <c r="C1067" s="13602"/>
      <c r="D1067" s="7876" t="s">
        <v>86</v>
      </c>
      <c r="E1067" s="7825" t="s">
        <v>112</v>
      </c>
      <c r="F1067" s="12378"/>
      <c r="G1067" s="14243" t="s">
        <v>116</v>
      </c>
      <c r="H1067" s="13424" t="s">
        <v>117</v>
      </c>
      <c r="I1067" s="14257" t="s">
        <v>120</v>
      </c>
      <c r="K1067" s="13158" t="s">
        <v>1732</v>
      </c>
      <c r="L1067" s="12835"/>
      <c r="M1067" s="12835"/>
      <c r="N1067" s="13159"/>
      <c r="O1067" s="13159"/>
      <c r="P1067" s="13160" t="s">
        <v>10415</v>
      </c>
      <c r="Q1067" s="13160"/>
      <c r="R1067" s="13160"/>
      <c r="S1067" s="13160"/>
      <c r="T1067" s="13161"/>
      <c r="U1067" s="13160"/>
      <c r="V1067" s="13160"/>
      <c r="W1067" s="13160"/>
      <c r="X1067" s="13160"/>
      <c r="Y1067" s="13160"/>
      <c r="Z1067" s="13160"/>
      <c r="AA1067" s="13160"/>
      <c r="AB1067" s="13160"/>
      <c r="AC1067" s="13160"/>
      <c r="AD1067" s="13160"/>
      <c r="AE1067" s="13160"/>
      <c r="AF1067" s="13160"/>
      <c r="AG1067" s="13160"/>
      <c r="AH1067" s="13160"/>
      <c r="AI1067" s="13160"/>
      <c r="AJ1067" s="13160"/>
      <c r="AK1067" s="13160"/>
      <c r="AL1067" s="13160"/>
      <c r="AM1067" s="13160"/>
      <c r="AN1067" s="13160"/>
      <c r="AO1067" s="13160"/>
      <c r="AP1067" s="13160"/>
      <c r="AQ1067" s="13160"/>
      <c r="AR1067" s="13160"/>
      <c r="AS1067" s="13160"/>
      <c r="AT1067" s="13159"/>
      <c r="AU1067" s="13159"/>
      <c r="AV1067" s="13159"/>
      <c r="AW1067" s="13159"/>
      <c r="AX1067" s="13159"/>
      <c r="AY1067" s="13159"/>
      <c r="AZ1067" s="13159"/>
      <c r="BA1067" s="13159"/>
      <c r="BB1067" s="13159"/>
      <c r="BC1067" s="13159"/>
      <c r="BD1067" s="10493"/>
      <c r="BF1067" s="14541"/>
      <c r="BG1067" s="14541"/>
      <c r="BH1067" s="14541"/>
      <c r="BI1067" s="14541"/>
      <c r="BJ1067" s="14541"/>
      <c r="BK1067" s="13090"/>
      <c r="BL1067" s="14541"/>
      <c r="BM1067" s="14541"/>
      <c r="BN1067" s="14541"/>
    </row>
    <row r="1068" spans="1:66" ht="21.75" hidden="1" customHeight="1">
      <c r="A1068" s="13670"/>
      <c r="B1068" s="14242"/>
      <c r="C1068" s="13602"/>
      <c r="D1068" s="7876" t="s">
        <v>10063</v>
      </c>
      <c r="E1068" s="7825"/>
      <c r="F1068" s="7826" t="s">
        <v>107</v>
      </c>
      <c r="G1068" s="14243"/>
      <c r="H1068" s="13424"/>
      <c r="I1068" s="14257"/>
      <c r="K1068" s="12840" t="s">
        <v>3781</v>
      </c>
      <c r="L1068" s="12835" t="s">
        <v>2951</v>
      </c>
      <c r="M1068" s="12835" t="s">
        <v>2951</v>
      </c>
      <c r="N1068" s="12835" t="s">
        <v>2951</v>
      </c>
      <c r="O1068" s="12835" t="s">
        <v>10415</v>
      </c>
      <c r="P1068" s="12841" t="s">
        <v>2951</v>
      </c>
      <c r="Q1068" s="12841" t="s">
        <v>2951</v>
      </c>
      <c r="R1068" s="12841" t="s">
        <v>2951</v>
      </c>
      <c r="S1068" s="12841" t="s">
        <v>2951</v>
      </c>
      <c r="T1068" s="12842" t="s">
        <v>2951</v>
      </c>
      <c r="U1068" s="12841" t="s">
        <v>2951</v>
      </c>
      <c r="V1068" s="12841" t="s">
        <v>2951</v>
      </c>
      <c r="W1068" s="12841" t="s">
        <v>2951</v>
      </c>
      <c r="X1068" s="12841" t="s">
        <v>2951</v>
      </c>
      <c r="Y1068" s="12841" t="s">
        <v>2951</v>
      </c>
      <c r="Z1068" s="12841" t="s">
        <v>2951</v>
      </c>
      <c r="AA1068" s="12841" t="s">
        <v>2951</v>
      </c>
      <c r="AB1068" s="12841" t="s">
        <v>2951</v>
      </c>
      <c r="AC1068" s="12841" t="s">
        <v>2951</v>
      </c>
      <c r="AD1068" s="12841" t="s">
        <v>2951</v>
      </c>
      <c r="AE1068" s="12841" t="s">
        <v>2951</v>
      </c>
      <c r="AF1068" s="12841" t="s">
        <v>2951</v>
      </c>
      <c r="AG1068" s="12841" t="s">
        <v>2951</v>
      </c>
      <c r="AH1068" s="12841" t="s">
        <v>2951</v>
      </c>
      <c r="AI1068" s="12841" t="s">
        <v>2951</v>
      </c>
      <c r="AJ1068" s="12841" t="s">
        <v>2951</v>
      </c>
      <c r="AK1068" s="12841" t="s">
        <v>2951</v>
      </c>
      <c r="AL1068" s="12841" t="s">
        <v>2951</v>
      </c>
      <c r="AM1068" s="12841" t="s">
        <v>2951</v>
      </c>
      <c r="AN1068" s="12841" t="s">
        <v>2951</v>
      </c>
      <c r="AO1068" s="12841" t="s">
        <v>2951</v>
      </c>
      <c r="AP1068" s="12841" t="s">
        <v>2951</v>
      </c>
      <c r="AQ1068" s="12841" t="s">
        <v>2951</v>
      </c>
      <c r="AR1068" s="12841" t="s">
        <v>2951</v>
      </c>
      <c r="AS1068" s="12841" t="s">
        <v>2951</v>
      </c>
      <c r="AT1068" s="12835" t="s">
        <v>2951</v>
      </c>
      <c r="AU1068" s="12835" t="s">
        <v>2951</v>
      </c>
      <c r="AV1068" s="12835" t="s">
        <v>2951</v>
      </c>
      <c r="AW1068" s="12835" t="s">
        <v>2951</v>
      </c>
      <c r="AX1068" s="12835" t="s">
        <v>2951</v>
      </c>
      <c r="AY1068" s="12835" t="s">
        <v>2951</v>
      </c>
      <c r="AZ1068" s="12835" t="s">
        <v>2951</v>
      </c>
      <c r="BA1068" s="12835" t="s">
        <v>2951</v>
      </c>
      <c r="BB1068" s="12835" t="s">
        <v>2951</v>
      </c>
      <c r="BC1068" s="12835" t="s">
        <v>2951</v>
      </c>
      <c r="BD1068" s="10493"/>
      <c r="BF1068" s="14541"/>
      <c r="BG1068" s="14541"/>
      <c r="BH1068" s="14541"/>
      <c r="BI1068" s="14541"/>
      <c r="BJ1068" s="14541"/>
      <c r="BK1068" s="10494"/>
      <c r="BL1068" s="14541"/>
      <c r="BM1068" s="14541"/>
      <c r="BN1068" s="14541"/>
    </row>
    <row r="1069" spans="1:66" ht="21.75" hidden="1" customHeight="1">
      <c r="A1069" s="10495">
        <v>661</v>
      </c>
      <c r="B1069" s="10496" t="s">
        <v>5060</v>
      </c>
      <c r="C1069" s="13602"/>
      <c r="D1069" s="7876" t="s">
        <v>86</v>
      </c>
      <c r="E1069" s="7825" t="s">
        <v>112</v>
      </c>
      <c r="F1069" s="7826"/>
      <c r="G1069" s="13038" t="s">
        <v>123</v>
      </c>
      <c r="H1069" s="12983" t="s">
        <v>95</v>
      </c>
      <c r="I1069" s="13039">
        <v>4</v>
      </c>
      <c r="K1069" s="13158" t="s">
        <v>1732</v>
      </c>
      <c r="L1069" s="12835"/>
      <c r="M1069" s="12835"/>
      <c r="N1069" s="13159"/>
      <c r="O1069" s="13159"/>
      <c r="P1069" s="13160" t="s">
        <v>10415</v>
      </c>
      <c r="Q1069" s="13160"/>
      <c r="R1069" s="13160"/>
      <c r="S1069" s="13160"/>
      <c r="T1069" s="13161"/>
      <c r="U1069" s="13160"/>
      <c r="V1069" s="13160"/>
      <c r="W1069" s="13160"/>
      <c r="X1069" s="13160"/>
      <c r="Y1069" s="13160"/>
      <c r="Z1069" s="13160"/>
      <c r="AA1069" s="13160"/>
      <c r="AB1069" s="13160"/>
      <c r="AC1069" s="13160"/>
      <c r="AD1069" s="13160"/>
      <c r="AE1069" s="13160"/>
      <c r="AF1069" s="13160"/>
      <c r="AG1069" s="13160"/>
      <c r="AH1069" s="13160"/>
      <c r="AI1069" s="13160"/>
      <c r="AJ1069" s="13160"/>
      <c r="AK1069" s="13160"/>
      <c r="AL1069" s="13160"/>
      <c r="AM1069" s="13160"/>
      <c r="AN1069" s="13160"/>
      <c r="AO1069" s="13160"/>
      <c r="AP1069" s="13160"/>
      <c r="AQ1069" s="13160"/>
      <c r="AR1069" s="13160"/>
      <c r="AS1069" s="13160"/>
      <c r="AT1069" s="13159"/>
      <c r="AU1069" s="13159"/>
      <c r="AV1069" s="13159"/>
      <c r="AW1069" s="13159"/>
      <c r="AX1069" s="13159"/>
      <c r="AY1069" s="13159"/>
      <c r="AZ1069" s="13159"/>
      <c r="BA1069" s="13159"/>
      <c r="BB1069" s="13159"/>
      <c r="BC1069" s="13159"/>
      <c r="BD1069" s="10497"/>
      <c r="BF1069" s="10494"/>
      <c r="BG1069" s="10494"/>
      <c r="BH1069" s="10494"/>
      <c r="BI1069" s="10494"/>
      <c r="BJ1069" s="10494"/>
      <c r="BK1069" s="13090"/>
      <c r="BL1069" s="13090"/>
      <c r="BM1069" s="10494"/>
      <c r="BN1069" s="10494"/>
    </row>
    <row r="1070" spans="1:66" ht="21.75" hidden="1" customHeight="1">
      <c r="A1070" s="10495">
        <v>662</v>
      </c>
      <c r="B1070" s="10496" t="s">
        <v>5061</v>
      </c>
      <c r="C1070" s="13602"/>
      <c r="D1070" s="7876" t="s">
        <v>86</v>
      </c>
      <c r="E1070" s="7825" t="s">
        <v>128</v>
      </c>
      <c r="F1070" s="7827" t="s">
        <v>129</v>
      </c>
      <c r="G1070" s="13038" t="s">
        <v>125</v>
      </c>
      <c r="H1070" s="12983" t="s">
        <v>126</v>
      </c>
      <c r="I1070" s="13039">
        <v>1</v>
      </c>
      <c r="K1070" s="12834" t="s">
        <v>10502</v>
      </c>
      <c r="L1070" s="12843"/>
      <c r="M1070" s="12844"/>
      <c r="N1070" s="12837" t="s">
        <v>10417</v>
      </c>
      <c r="O1070" s="12837" t="s">
        <v>10418</v>
      </c>
      <c r="P1070" s="13130" t="s">
        <v>10593</v>
      </c>
      <c r="Q1070" s="12838"/>
      <c r="R1070" s="12838"/>
      <c r="S1070" s="12838"/>
      <c r="T1070" s="13157"/>
      <c r="U1070" s="12838"/>
      <c r="V1070" s="12838"/>
      <c r="W1070" s="12838"/>
      <c r="X1070" s="12838"/>
      <c r="Y1070" s="12838"/>
      <c r="Z1070" s="12838"/>
      <c r="AA1070" s="12838"/>
      <c r="AB1070" s="12838"/>
      <c r="AC1070" s="12838"/>
      <c r="AD1070" s="12838"/>
      <c r="AE1070" s="12838"/>
      <c r="AF1070" s="12838"/>
      <c r="AG1070" s="12838"/>
      <c r="AH1070" s="12838"/>
      <c r="AI1070" s="12838"/>
      <c r="AJ1070" s="12838"/>
      <c r="AK1070" s="12838"/>
      <c r="AL1070" s="12838"/>
      <c r="AM1070" s="12838"/>
      <c r="AN1070" s="12838"/>
      <c r="AO1070" s="12838"/>
      <c r="AP1070" s="12838"/>
      <c r="AQ1070" s="12838"/>
      <c r="AR1070" s="12838"/>
      <c r="AS1070" s="12838"/>
      <c r="AT1070" s="12837"/>
      <c r="AU1070" s="12837"/>
      <c r="AV1070" s="12837"/>
      <c r="AW1070" s="12837"/>
      <c r="AX1070" s="12837"/>
      <c r="AY1070" s="12837"/>
      <c r="AZ1070" s="12837"/>
      <c r="BA1070" s="12837"/>
      <c r="BB1070" s="12837"/>
      <c r="BC1070" s="12837"/>
      <c r="BD1070" s="10497"/>
      <c r="BF1070" s="10494"/>
      <c r="BG1070" s="10494"/>
      <c r="BH1070" s="10494"/>
      <c r="BI1070" s="10494"/>
      <c r="BJ1070" s="10494"/>
      <c r="BK1070" s="13090"/>
      <c r="BL1070" s="13090"/>
      <c r="BM1070" s="10494"/>
      <c r="BN1070" s="10494"/>
    </row>
    <row r="1071" spans="1:66" ht="21.75" hidden="1" customHeight="1">
      <c r="A1071" s="13670">
        <v>663</v>
      </c>
      <c r="B1071" s="14242" t="s">
        <v>5062</v>
      </c>
      <c r="C1071" s="13602"/>
      <c r="D1071" s="7876" t="s">
        <v>86</v>
      </c>
      <c r="E1071" s="7825" t="s">
        <v>106</v>
      </c>
      <c r="F1071" s="7826"/>
      <c r="G1071" s="14243" t="s">
        <v>131</v>
      </c>
      <c r="H1071" s="13423" t="s">
        <v>132</v>
      </c>
      <c r="I1071" s="14258">
        <v>50</v>
      </c>
      <c r="K1071" s="12834" t="s">
        <v>2527</v>
      </c>
      <c r="L1071" s="12843"/>
      <c r="M1071" s="12845"/>
      <c r="N1071" s="12837" t="s">
        <v>10420</v>
      </c>
      <c r="O1071" s="12846" t="s">
        <v>10418</v>
      </c>
      <c r="P1071" s="12838"/>
      <c r="Q1071" s="12838"/>
      <c r="R1071" s="12838"/>
      <c r="S1071" s="12838"/>
      <c r="T1071" s="13157"/>
      <c r="U1071" s="12838"/>
      <c r="V1071" s="12838"/>
      <c r="W1071" s="12838"/>
      <c r="X1071" s="12838"/>
      <c r="Y1071" s="12838"/>
      <c r="Z1071" s="12838"/>
      <c r="AA1071" s="12838"/>
      <c r="AB1071" s="12838"/>
      <c r="AC1071" s="12838"/>
      <c r="AD1071" s="12838"/>
      <c r="AE1071" s="12838"/>
      <c r="AF1071" s="12838"/>
      <c r="AG1071" s="12838"/>
      <c r="AH1071" s="12838"/>
      <c r="AI1071" s="12838"/>
      <c r="AJ1071" s="12838"/>
      <c r="AK1071" s="12838"/>
      <c r="AL1071" s="12838"/>
      <c r="AM1071" s="12838"/>
      <c r="AN1071" s="12838"/>
      <c r="AO1071" s="12838"/>
      <c r="AP1071" s="12838"/>
      <c r="AQ1071" s="12838"/>
      <c r="AR1071" s="12838"/>
      <c r="AS1071" s="12838"/>
      <c r="AT1071" s="12846"/>
      <c r="AU1071" s="12846"/>
      <c r="AV1071" s="12846"/>
      <c r="AW1071" s="12846"/>
      <c r="AX1071" s="12846"/>
      <c r="AY1071" s="12846"/>
      <c r="AZ1071" s="12846"/>
      <c r="BA1071" s="12846"/>
      <c r="BB1071" s="12846"/>
      <c r="BC1071" s="12846"/>
      <c r="BD1071" s="10502"/>
      <c r="BF1071" s="14541"/>
      <c r="BG1071" s="14541"/>
      <c r="BH1071" s="14541"/>
      <c r="BI1071" s="14541"/>
      <c r="BJ1071" s="14541"/>
      <c r="BK1071" s="13090"/>
      <c r="BL1071" s="14541"/>
      <c r="BM1071" s="14541"/>
      <c r="BN1071" s="14541"/>
    </row>
    <row r="1072" spans="1:66" ht="21.75" hidden="1" customHeight="1">
      <c r="A1072" s="13670"/>
      <c r="B1072" s="14242"/>
      <c r="C1072" s="13602"/>
      <c r="D1072" s="7876" t="s">
        <v>329</v>
      </c>
      <c r="E1072" s="7825"/>
      <c r="F1072" s="7826" t="s">
        <v>329</v>
      </c>
      <c r="G1072" s="14243"/>
      <c r="H1072" s="13423"/>
      <c r="I1072" s="14258"/>
      <c r="K1072" s="12834" t="s">
        <v>10421</v>
      </c>
      <c r="L1072" s="12835" t="s">
        <v>2951</v>
      </c>
      <c r="M1072" s="12837" t="s">
        <v>10422</v>
      </c>
      <c r="N1072" s="12837" t="s">
        <v>10423</v>
      </c>
      <c r="O1072" s="12837"/>
      <c r="P1072" s="12847" t="s">
        <v>10390</v>
      </c>
      <c r="Q1072" s="12847" t="s">
        <v>10390</v>
      </c>
      <c r="R1072" s="12838"/>
      <c r="S1072" s="12838"/>
      <c r="T1072" s="12839">
        <v>224</v>
      </c>
      <c r="U1072" s="12838">
        <v>53</v>
      </c>
      <c r="V1072" s="12838">
        <v>171</v>
      </c>
      <c r="W1072" s="12838">
        <v>219</v>
      </c>
      <c r="X1072" s="12838">
        <v>5</v>
      </c>
      <c r="Y1072" s="12838">
        <v>3</v>
      </c>
      <c r="Z1072" s="12838">
        <v>21</v>
      </c>
      <c r="AA1072" s="12838">
        <v>11</v>
      </c>
      <c r="AB1072" s="12838">
        <v>48</v>
      </c>
      <c r="AC1072" s="12838">
        <v>53</v>
      </c>
      <c r="AD1072" s="12838">
        <v>64</v>
      </c>
      <c r="AE1072" s="12838">
        <v>24</v>
      </c>
      <c r="AF1072" s="12838">
        <v>177</v>
      </c>
      <c r="AG1072" s="12838">
        <v>3</v>
      </c>
      <c r="AH1072" s="12838">
        <v>19</v>
      </c>
      <c r="AI1072" s="12838">
        <v>1</v>
      </c>
      <c r="AJ1072" s="12838">
        <v>22</v>
      </c>
      <c r="AK1072" s="12838"/>
      <c r="AL1072" s="12838"/>
      <c r="AM1072" s="12838">
        <v>2</v>
      </c>
      <c r="AN1072" s="12838">
        <v>191</v>
      </c>
      <c r="AO1072" s="12838">
        <v>27</v>
      </c>
      <c r="AP1072" s="12838">
        <v>6</v>
      </c>
      <c r="AQ1072" s="12838"/>
      <c r="AR1072" s="12838"/>
      <c r="AS1072" s="12838"/>
      <c r="AT1072" s="12837"/>
      <c r="AU1072" s="12837"/>
      <c r="AV1072" s="12837"/>
      <c r="AW1072" s="12837"/>
      <c r="AX1072" s="12837"/>
      <c r="AY1072" s="12837"/>
      <c r="AZ1072" s="12837"/>
      <c r="BA1072" s="12837"/>
      <c r="BB1072" s="12837"/>
      <c r="BC1072" s="12837"/>
      <c r="BD1072" s="10502"/>
      <c r="BF1072" s="14541"/>
      <c r="BG1072" s="14541"/>
      <c r="BH1072" s="14541"/>
      <c r="BI1072" s="14541"/>
      <c r="BJ1072" s="14541"/>
      <c r="BK1072" s="10494"/>
      <c r="BL1072" s="14541"/>
      <c r="BM1072" s="14541"/>
      <c r="BN1072" s="14541"/>
    </row>
    <row r="1073" spans="1:66" ht="21.75" hidden="1" customHeight="1">
      <c r="A1073" s="13670"/>
      <c r="B1073" s="14242"/>
      <c r="C1073" s="13602"/>
      <c r="D1073" s="7876" t="s">
        <v>10194</v>
      </c>
      <c r="E1073" s="7825"/>
      <c r="F1073" s="7826" t="s">
        <v>733</v>
      </c>
      <c r="G1073" s="14243"/>
      <c r="H1073" s="13423"/>
      <c r="I1073" s="14258"/>
      <c r="K1073" s="12840" t="s">
        <v>3781</v>
      </c>
      <c r="L1073" s="12835" t="s">
        <v>2951</v>
      </c>
      <c r="M1073" s="12835" t="s">
        <v>2951</v>
      </c>
      <c r="N1073" s="12835" t="s">
        <v>2951</v>
      </c>
      <c r="O1073" s="12835" t="s">
        <v>10415</v>
      </c>
      <c r="P1073" s="12841" t="s">
        <v>2951</v>
      </c>
      <c r="Q1073" s="12841" t="s">
        <v>2951</v>
      </c>
      <c r="R1073" s="12841" t="s">
        <v>2951</v>
      </c>
      <c r="S1073" s="12841" t="s">
        <v>2951</v>
      </c>
      <c r="T1073" s="12842" t="s">
        <v>2951</v>
      </c>
      <c r="U1073" s="12841" t="s">
        <v>2951</v>
      </c>
      <c r="V1073" s="12841" t="s">
        <v>2951</v>
      </c>
      <c r="W1073" s="12841" t="s">
        <v>2951</v>
      </c>
      <c r="X1073" s="12841" t="s">
        <v>2951</v>
      </c>
      <c r="Y1073" s="12841" t="s">
        <v>2951</v>
      </c>
      <c r="Z1073" s="12841" t="s">
        <v>2951</v>
      </c>
      <c r="AA1073" s="12841" t="s">
        <v>2951</v>
      </c>
      <c r="AB1073" s="12841" t="s">
        <v>2951</v>
      </c>
      <c r="AC1073" s="12841" t="s">
        <v>2951</v>
      </c>
      <c r="AD1073" s="12841" t="s">
        <v>2951</v>
      </c>
      <c r="AE1073" s="12841" t="s">
        <v>2951</v>
      </c>
      <c r="AF1073" s="12841" t="s">
        <v>2951</v>
      </c>
      <c r="AG1073" s="12841" t="s">
        <v>2951</v>
      </c>
      <c r="AH1073" s="12841" t="s">
        <v>2951</v>
      </c>
      <c r="AI1073" s="12841" t="s">
        <v>2951</v>
      </c>
      <c r="AJ1073" s="12841" t="s">
        <v>2951</v>
      </c>
      <c r="AK1073" s="12841" t="s">
        <v>2951</v>
      </c>
      <c r="AL1073" s="12841" t="s">
        <v>2951</v>
      </c>
      <c r="AM1073" s="12841" t="s">
        <v>2951</v>
      </c>
      <c r="AN1073" s="12841" t="s">
        <v>2951</v>
      </c>
      <c r="AO1073" s="12841" t="s">
        <v>2951</v>
      </c>
      <c r="AP1073" s="12841" t="s">
        <v>2951</v>
      </c>
      <c r="AQ1073" s="12841" t="s">
        <v>2951</v>
      </c>
      <c r="AR1073" s="12841" t="s">
        <v>2951</v>
      </c>
      <c r="AS1073" s="12841" t="s">
        <v>2951</v>
      </c>
      <c r="AT1073" s="12835" t="s">
        <v>2951</v>
      </c>
      <c r="AU1073" s="12835" t="s">
        <v>2951</v>
      </c>
      <c r="AV1073" s="12835" t="s">
        <v>2951</v>
      </c>
      <c r="AW1073" s="12835" t="s">
        <v>2951</v>
      </c>
      <c r="AX1073" s="12835" t="s">
        <v>2951</v>
      </c>
      <c r="AY1073" s="12835" t="s">
        <v>2951</v>
      </c>
      <c r="AZ1073" s="12835" t="s">
        <v>2951</v>
      </c>
      <c r="BA1073" s="12835" t="s">
        <v>2951</v>
      </c>
      <c r="BB1073" s="12835" t="s">
        <v>2951</v>
      </c>
      <c r="BC1073" s="12835" t="s">
        <v>2951</v>
      </c>
      <c r="BD1073" s="10502"/>
      <c r="BF1073" s="14541"/>
      <c r="BG1073" s="14541"/>
      <c r="BH1073" s="14541"/>
      <c r="BI1073" s="14541"/>
      <c r="BJ1073" s="14541"/>
      <c r="BK1073" s="10494"/>
      <c r="BL1073" s="14541"/>
      <c r="BM1073" s="14541"/>
      <c r="BN1073" s="14541"/>
    </row>
    <row r="1074" spans="1:66" ht="21.75" hidden="1" customHeight="1">
      <c r="A1074" s="13670">
        <v>664</v>
      </c>
      <c r="B1074" s="14242" t="s">
        <v>5063</v>
      </c>
      <c r="C1074" s="13602"/>
      <c r="D1074" s="7876" t="s">
        <v>86</v>
      </c>
      <c r="E1074" s="7825" t="s">
        <v>97</v>
      </c>
      <c r="F1074" s="12378"/>
      <c r="G1074" s="14243" t="s">
        <v>133</v>
      </c>
      <c r="H1074" s="13424" t="s">
        <v>134</v>
      </c>
      <c r="I1074" s="14257" t="s">
        <v>137</v>
      </c>
      <c r="K1074" s="13158" t="s">
        <v>10421</v>
      </c>
      <c r="L1074" s="12835"/>
      <c r="M1074" s="12835"/>
      <c r="N1074" s="13159" t="s">
        <v>10594</v>
      </c>
      <c r="O1074" s="13159" t="s">
        <v>10595</v>
      </c>
      <c r="P1074" s="13160"/>
      <c r="Q1074" s="13160"/>
      <c r="R1074" s="13160"/>
      <c r="S1074" s="13160"/>
      <c r="T1074" s="13161"/>
      <c r="U1074" s="13160"/>
      <c r="V1074" s="13160"/>
      <c r="W1074" s="13160"/>
      <c r="X1074" s="13160"/>
      <c r="Y1074" s="13160"/>
      <c r="Z1074" s="13160"/>
      <c r="AA1074" s="13160"/>
      <c r="AB1074" s="13160"/>
      <c r="AC1074" s="13160"/>
      <c r="AD1074" s="13160"/>
      <c r="AE1074" s="13160"/>
      <c r="AF1074" s="13160"/>
      <c r="AG1074" s="13160"/>
      <c r="AH1074" s="13160"/>
      <c r="AI1074" s="13160"/>
      <c r="AJ1074" s="13160"/>
      <c r="AK1074" s="13160"/>
      <c r="AL1074" s="13160"/>
      <c r="AM1074" s="13160"/>
      <c r="AN1074" s="13160"/>
      <c r="AO1074" s="13160"/>
      <c r="AP1074" s="13160"/>
      <c r="AQ1074" s="13160"/>
      <c r="AR1074" s="13160"/>
      <c r="AS1074" s="13160"/>
      <c r="AT1074" s="13159"/>
      <c r="AU1074" s="13159"/>
      <c r="AV1074" s="13159"/>
      <c r="AW1074" s="13159"/>
      <c r="AX1074" s="13159"/>
      <c r="AY1074" s="13159"/>
      <c r="AZ1074" s="13159"/>
      <c r="BA1074" s="13159"/>
      <c r="BB1074" s="13159"/>
      <c r="BC1074" s="13159"/>
      <c r="BD1074" s="10493"/>
      <c r="BF1074" s="14541"/>
      <c r="BG1074" s="14541"/>
      <c r="BH1074" s="14541"/>
      <c r="BI1074" s="14541"/>
      <c r="BJ1074" s="14541"/>
      <c r="BK1074" s="13090"/>
      <c r="BL1074" s="14541"/>
      <c r="BM1074" s="14541"/>
      <c r="BN1074" s="14541"/>
    </row>
    <row r="1075" spans="1:66" ht="21.75" hidden="1" customHeight="1">
      <c r="A1075" s="13670"/>
      <c r="B1075" s="14242"/>
      <c r="C1075" s="13602"/>
      <c r="D1075" s="7876" t="s">
        <v>8644</v>
      </c>
      <c r="E1075" s="7825"/>
      <c r="F1075" s="7826" t="s">
        <v>139</v>
      </c>
      <c r="G1075" s="14243"/>
      <c r="H1075" s="13424"/>
      <c r="I1075" s="14257"/>
      <c r="K1075" s="12840" t="s">
        <v>3781</v>
      </c>
      <c r="L1075" s="12835" t="s">
        <v>2951</v>
      </c>
      <c r="M1075" s="12835" t="s">
        <v>2951</v>
      </c>
      <c r="N1075" s="12835" t="s">
        <v>2951</v>
      </c>
      <c r="O1075" s="12835" t="s">
        <v>10415</v>
      </c>
      <c r="P1075" s="12841" t="s">
        <v>2951</v>
      </c>
      <c r="Q1075" s="12841" t="s">
        <v>2951</v>
      </c>
      <c r="R1075" s="12841" t="s">
        <v>2951</v>
      </c>
      <c r="S1075" s="12841" t="s">
        <v>2951</v>
      </c>
      <c r="T1075" s="12842" t="s">
        <v>2951</v>
      </c>
      <c r="U1075" s="12841" t="s">
        <v>2951</v>
      </c>
      <c r="V1075" s="12841" t="s">
        <v>2951</v>
      </c>
      <c r="W1075" s="12841" t="s">
        <v>2951</v>
      </c>
      <c r="X1075" s="12841" t="s">
        <v>2951</v>
      </c>
      <c r="Y1075" s="12841" t="s">
        <v>2951</v>
      </c>
      <c r="Z1075" s="12841" t="s">
        <v>2951</v>
      </c>
      <c r="AA1075" s="12841" t="s">
        <v>2951</v>
      </c>
      <c r="AB1075" s="12841" t="s">
        <v>2951</v>
      </c>
      <c r="AC1075" s="12841" t="s">
        <v>2951</v>
      </c>
      <c r="AD1075" s="12841" t="s">
        <v>2951</v>
      </c>
      <c r="AE1075" s="12841" t="s">
        <v>2951</v>
      </c>
      <c r="AF1075" s="12841" t="s">
        <v>2951</v>
      </c>
      <c r="AG1075" s="12841" t="s">
        <v>2951</v>
      </c>
      <c r="AH1075" s="12841" t="s">
        <v>2951</v>
      </c>
      <c r="AI1075" s="12841" t="s">
        <v>2951</v>
      </c>
      <c r="AJ1075" s="12841" t="s">
        <v>2951</v>
      </c>
      <c r="AK1075" s="12841" t="s">
        <v>2951</v>
      </c>
      <c r="AL1075" s="12841" t="s">
        <v>2951</v>
      </c>
      <c r="AM1075" s="12841" t="s">
        <v>2951</v>
      </c>
      <c r="AN1075" s="12841" t="s">
        <v>2951</v>
      </c>
      <c r="AO1075" s="12841" t="s">
        <v>2951</v>
      </c>
      <c r="AP1075" s="12841" t="s">
        <v>2951</v>
      </c>
      <c r="AQ1075" s="12841" t="s">
        <v>2951</v>
      </c>
      <c r="AR1075" s="12841" t="s">
        <v>2951</v>
      </c>
      <c r="AS1075" s="12841" t="s">
        <v>2951</v>
      </c>
      <c r="AT1075" s="12835" t="s">
        <v>2951</v>
      </c>
      <c r="AU1075" s="12835" t="s">
        <v>2951</v>
      </c>
      <c r="AV1075" s="12835" t="s">
        <v>2951</v>
      </c>
      <c r="AW1075" s="12835" t="s">
        <v>2951</v>
      </c>
      <c r="AX1075" s="12835" t="s">
        <v>2951</v>
      </c>
      <c r="AY1075" s="12835" t="s">
        <v>2951</v>
      </c>
      <c r="AZ1075" s="12835" t="s">
        <v>2951</v>
      </c>
      <c r="BA1075" s="12835" t="s">
        <v>2951</v>
      </c>
      <c r="BB1075" s="12835" t="s">
        <v>2951</v>
      </c>
      <c r="BC1075" s="12835" t="s">
        <v>2951</v>
      </c>
      <c r="BD1075" s="10493"/>
      <c r="BF1075" s="14541"/>
      <c r="BG1075" s="14541"/>
      <c r="BH1075" s="14541"/>
      <c r="BI1075" s="14541"/>
      <c r="BJ1075" s="14541"/>
      <c r="BK1075" s="10494"/>
      <c r="BL1075" s="14541"/>
      <c r="BM1075" s="14541"/>
      <c r="BN1075" s="14541"/>
    </row>
    <row r="1076" spans="1:66" ht="21.75" hidden="1" customHeight="1">
      <c r="A1076" s="13670">
        <v>665</v>
      </c>
      <c r="B1076" s="14242" t="s">
        <v>5064</v>
      </c>
      <c r="C1076" s="13602"/>
      <c r="D1076" s="7877" t="s">
        <v>10063</v>
      </c>
      <c r="E1076" s="7826" t="s">
        <v>144</v>
      </c>
      <c r="F1076" s="12378"/>
      <c r="G1076" s="14243" t="s">
        <v>140</v>
      </c>
      <c r="H1076" s="13423" t="s">
        <v>141</v>
      </c>
      <c r="I1076" s="14258" t="s">
        <v>142</v>
      </c>
      <c r="K1076" s="10498"/>
      <c r="L1076" s="9465"/>
      <c r="M1076" s="9465"/>
      <c r="N1076" s="10499"/>
      <c r="O1076" s="10499"/>
      <c r="P1076" s="10500"/>
      <c r="Q1076" s="9468"/>
      <c r="R1076" s="9469"/>
      <c r="S1076" s="9470"/>
      <c r="T1076" s="9471"/>
      <c r="U1076" s="9468"/>
      <c r="V1076" s="9469"/>
      <c r="W1076" s="9471"/>
      <c r="X1076" s="9469"/>
      <c r="Y1076" s="9471"/>
      <c r="Z1076" s="9469"/>
      <c r="AA1076" s="9470"/>
      <c r="AB1076" s="9470"/>
      <c r="AC1076" s="9470"/>
      <c r="AD1076" s="9470"/>
      <c r="AE1076" s="9470"/>
      <c r="AF1076" s="9471"/>
      <c r="AG1076" s="9469"/>
      <c r="AH1076" s="9470"/>
      <c r="AI1076" s="9470"/>
      <c r="AJ1076" s="9470"/>
      <c r="AK1076" s="9470"/>
      <c r="AL1076" s="9470"/>
      <c r="AM1076" s="9470"/>
      <c r="AN1076" s="9471"/>
      <c r="AO1076" s="9469"/>
      <c r="AP1076" s="9470"/>
      <c r="AQ1076" s="9470"/>
      <c r="AR1076" s="9470"/>
      <c r="AS1076" s="9470"/>
      <c r="AT1076" s="9471"/>
      <c r="AU1076" s="10501"/>
      <c r="AV1076" s="10501"/>
      <c r="AW1076" s="10501"/>
      <c r="AX1076" s="10498"/>
      <c r="AY1076" s="10500"/>
      <c r="AZ1076" s="10501"/>
      <c r="BA1076" s="10498"/>
      <c r="BB1076" s="10499"/>
      <c r="BC1076" s="10500"/>
      <c r="BD1076" s="10502"/>
      <c r="BF1076" s="14541"/>
      <c r="BG1076" s="14541"/>
      <c r="BH1076" s="14541"/>
      <c r="BI1076" s="14541"/>
      <c r="BJ1076" s="14541"/>
      <c r="BK1076" s="10494"/>
      <c r="BL1076" s="14541"/>
      <c r="BM1076" s="14541"/>
      <c r="BN1076" s="14541"/>
    </row>
    <row r="1077" spans="1:66" ht="33.75" hidden="1" customHeight="1">
      <c r="A1077" s="13670"/>
      <c r="B1077" s="14242"/>
      <c r="C1077" s="13602"/>
      <c r="D1077" s="7876" t="s">
        <v>10273</v>
      </c>
      <c r="E1077" s="7826"/>
      <c r="F1077" s="7826" t="s">
        <v>10271</v>
      </c>
      <c r="G1077" s="14243"/>
      <c r="H1077" s="13423"/>
      <c r="I1077" s="14258"/>
      <c r="K1077" s="10498"/>
      <c r="L1077" s="9465"/>
      <c r="M1077" s="9465"/>
      <c r="N1077" s="10499"/>
      <c r="O1077" s="10499"/>
      <c r="P1077" s="10500"/>
      <c r="Q1077" s="9468"/>
      <c r="R1077" s="9469"/>
      <c r="S1077" s="9470"/>
      <c r="T1077" s="9471"/>
      <c r="U1077" s="9468"/>
      <c r="V1077" s="9469"/>
      <c r="W1077" s="9471"/>
      <c r="X1077" s="9469"/>
      <c r="Y1077" s="9471"/>
      <c r="Z1077" s="9469"/>
      <c r="AA1077" s="9470"/>
      <c r="AB1077" s="9470"/>
      <c r="AC1077" s="9470"/>
      <c r="AD1077" s="9470"/>
      <c r="AE1077" s="9470"/>
      <c r="AF1077" s="9471"/>
      <c r="AG1077" s="9469"/>
      <c r="AH1077" s="9470"/>
      <c r="AI1077" s="9470"/>
      <c r="AJ1077" s="9470"/>
      <c r="AK1077" s="9470"/>
      <c r="AL1077" s="9470"/>
      <c r="AM1077" s="9470"/>
      <c r="AN1077" s="9471"/>
      <c r="AO1077" s="9469"/>
      <c r="AP1077" s="9470"/>
      <c r="AQ1077" s="9470"/>
      <c r="AR1077" s="9470"/>
      <c r="AS1077" s="9470"/>
      <c r="AT1077" s="9471"/>
      <c r="AU1077" s="10501"/>
      <c r="AV1077" s="10501"/>
      <c r="AW1077" s="10501"/>
      <c r="AX1077" s="10498"/>
      <c r="AY1077" s="10500"/>
      <c r="AZ1077" s="10501"/>
      <c r="BA1077" s="10498"/>
      <c r="BB1077" s="10499"/>
      <c r="BC1077" s="10500"/>
      <c r="BD1077" s="10502"/>
      <c r="BF1077" s="14541"/>
      <c r="BG1077" s="14541"/>
      <c r="BH1077" s="14541"/>
      <c r="BI1077" s="14541"/>
      <c r="BJ1077" s="14541"/>
      <c r="BK1077" s="10494"/>
      <c r="BL1077" s="14541"/>
      <c r="BM1077" s="14541"/>
      <c r="BN1077" s="14541"/>
    </row>
    <row r="1078" spans="1:66" ht="21.75" hidden="1" customHeight="1">
      <c r="A1078" s="13670"/>
      <c r="B1078" s="14242"/>
      <c r="C1078" s="13602"/>
      <c r="D1078" s="7876" t="s">
        <v>208</v>
      </c>
      <c r="E1078" s="7826"/>
      <c r="F1078" s="7826" t="s">
        <v>10272</v>
      </c>
      <c r="G1078" s="14243"/>
      <c r="H1078" s="13423"/>
      <c r="I1078" s="14258"/>
      <c r="K1078" s="10498"/>
      <c r="L1078" s="9465"/>
      <c r="M1078" s="9465"/>
      <c r="N1078" s="10499"/>
      <c r="O1078" s="10499"/>
      <c r="P1078" s="10500"/>
      <c r="Q1078" s="9468"/>
      <c r="R1078" s="9469"/>
      <c r="S1078" s="9470"/>
      <c r="T1078" s="9471"/>
      <c r="U1078" s="9468"/>
      <c r="V1078" s="9469"/>
      <c r="W1078" s="9471"/>
      <c r="X1078" s="9469"/>
      <c r="Y1078" s="9471"/>
      <c r="Z1078" s="9469"/>
      <c r="AA1078" s="9470"/>
      <c r="AB1078" s="9470"/>
      <c r="AC1078" s="9470"/>
      <c r="AD1078" s="9470"/>
      <c r="AE1078" s="9470"/>
      <c r="AF1078" s="9471"/>
      <c r="AG1078" s="9469"/>
      <c r="AH1078" s="9470"/>
      <c r="AI1078" s="9470"/>
      <c r="AJ1078" s="9470"/>
      <c r="AK1078" s="9470"/>
      <c r="AL1078" s="9470"/>
      <c r="AM1078" s="9470"/>
      <c r="AN1078" s="9471"/>
      <c r="AO1078" s="9469"/>
      <c r="AP1078" s="9470"/>
      <c r="AQ1078" s="9470"/>
      <c r="AR1078" s="9470"/>
      <c r="AS1078" s="9470"/>
      <c r="AT1078" s="9471"/>
      <c r="AU1078" s="10501"/>
      <c r="AV1078" s="10501"/>
      <c r="AW1078" s="10501"/>
      <c r="AX1078" s="10498"/>
      <c r="AY1078" s="10500"/>
      <c r="AZ1078" s="10501"/>
      <c r="BA1078" s="10498"/>
      <c r="BB1078" s="10499"/>
      <c r="BC1078" s="10500"/>
      <c r="BD1078" s="10502"/>
      <c r="BF1078" s="14541"/>
      <c r="BG1078" s="14541"/>
      <c r="BH1078" s="14541"/>
      <c r="BI1078" s="14541"/>
      <c r="BJ1078" s="14541"/>
      <c r="BK1078" s="10494"/>
      <c r="BL1078" s="14541"/>
      <c r="BM1078" s="14541"/>
      <c r="BN1078" s="14541"/>
    </row>
    <row r="1079" spans="1:66" ht="21.75" hidden="1" customHeight="1">
      <c r="A1079" s="10495">
        <v>666</v>
      </c>
      <c r="B1079" s="10496" t="s">
        <v>5065</v>
      </c>
      <c r="C1079" s="13602"/>
      <c r="D1079" s="7876" t="s">
        <v>86</v>
      </c>
      <c r="E1079" s="7825" t="s">
        <v>149</v>
      </c>
      <c r="F1079" s="7826"/>
      <c r="G1079" s="13038" t="s">
        <v>146</v>
      </c>
      <c r="H1079" s="12983" t="s">
        <v>147</v>
      </c>
      <c r="I1079" s="13039">
        <v>10</v>
      </c>
      <c r="K1079" s="13158" t="s">
        <v>1732</v>
      </c>
      <c r="L1079" s="12835"/>
      <c r="M1079" s="12835"/>
      <c r="N1079" s="13159"/>
      <c r="O1079" s="13159"/>
      <c r="P1079" s="13160" t="s">
        <v>10415</v>
      </c>
      <c r="Q1079" s="13160"/>
      <c r="R1079" s="13160"/>
      <c r="S1079" s="13160"/>
      <c r="T1079" s="13161"/>
      <c r="U1079" s="13160"/>
      <c r="V1079" s="13160"/>
      <c r="W1079" s="13160"/>
      <c r="X1079" s="13160"/>
      <c r="Y1079" s="13160"/>
      <c r="Z1079" s="13160"/>
      <c r="AA1079" s="13160"/>
      <c r="AB1079" s="13160"/>
      <c r="AC1079" s="13160"/>
      <c r="AD1079" s="13160"/>
      <c r="AE1079" s="13160"/>
      <c r="AF1079" s="13160"/>
      <c r="AG1079" s="13160"/>
      <c r="AH1079" s="13160"/>
      <c r="AI1079" s="13160"/>
      <c r="AJ1079" s="13160"/>
      <c r="AK1079" s="13160"/>
      <c r="AL1079" s="13160"/>
      <c r="AM1079" s="13160"/>
      <c r="AN1079" s="13160"/>
      <c r="AO1079" s="13160"/>
      <c r="AP1079" s="13160"/>
      <c r="AQ1079" s="13160"/>
      <c r="AR1079" s="13160"/>
      <c r="AS1079" s="13160"/>
      <c r="AT1079" s="13159"/>
      <c r="AU1079" s="13159"/>
      <c r="AV1079" s="13159"/>
      <c r="AW1079" s="13159"/>
      <c r="AX1079" s="13159"/>
      <c r="AY1079" s="13159"/>
      <c r="AZ1079" s="13159"/>
      <c r="BA1079" s="13159"/>
      <c r="BB1079" s="13159"/>
      <c r="BC1079" s="13159"/>
      <c r="BD1079" s="10497"/>
      <c r="BF1079" s="10494"/>
      <c r="BG1079" s="10494"/>
      <c r="BH1079" s="10494"/>
      <c r="BI1079" s="10494"/>
      <c r="BJ1079" s="10494"/>
      <c r="BK1079" s="13090"/>
      <c r="BL1079" s="13090"/>
      <c r="BM1079" s="10494"/>
      <c r="BN1079" s="10494"/>
    </row>
    <row r="1080" spans="1:66" ht="30" hidden="1" customHeight="1">
      <c r="A1080" s="13670">
        <v>667</v>
      </c>
      <c r="B1080" s="14242" t="s">
        <v>5066</v>
      </c>
      <c r="C1080" s="13602"/>
      <c r="D1080" s="7876" t="s">
        <v>86</v>
      </c>
      <c r="E1080" s="7825" t="s">
        <v>149</v>
      </c>
      <c r="F1080" s="7826"/>
      <c r="G1080" s="14243" t="s">
        <v>150</v>
      </c>
      <c r="H1080" s="13424" t="s">
        <v>151</v>
      </c>
      <c r="I1080" s="14257">
        <v>2</v>
      </c>
      <c r="K1080" s="13158" t="s">
        <v>1732</v>
      </c>
      <c r="L1080" s="12835"/>
      <c r="M1080" s="12835"/>
      <c r="N1080" s="13159"/>
      <c r="O1080" s="13159"/>
      <c r="P1080" s="13160" t="s">
        <v>10415</v>
      </c>
      <c r="Q1080" s="13160"/>
      <c r="R1080" s="13160"/>
      <c r="S1080" s="13160"/>
      <c r="T1080" s="13161"/>
      <c r="U1080" s="13160"/>
      <c r="V1080" s="13160"/>
      <c r="W1080" s="13160"/>
      <c r="X1080" s="13160"/>
      <c r="Y1080" s="13160"/>
      <c r="Z1080" s="13160"/>
      <c r="AA1080" s="13160"/>
      <c r="AB1080" s="13160"/>
      <c r="AC1080" s="13160"/>
      <c r="AD1080" s="13160"/>
      <c r="AE1080" s="13160"/>
      <c r="AF1080" s="13160"/>
      <c r="AG1080" s="13160"/>
      <c r="AH1080" s="13160"/>
      <c r="AI1080" s="13160"/>
      <c r="AJ1080" s="13160"/>
      <c r="AK1080" s="13160"/>
      <c r="AL1080" s="13160"/>
      <c r="AM1080" s="13160"/>
      <c r="AN1080" s="13160"/>
      <c r="AO1080" s="13160"/>
      <c r="AP1080" s="13160"/>
      <c r="AQ1080" s="13160"/>
      <c r="AR1080" s="13160"/>
      <c r="AS1080" s="13160"/>
      <c r="AT1080" s="13159"/>
      <c r="AU1080" s="13159"/>
      <c r="AV1080" s="13159"/>
      <c r="AW1080" s="13159"/>
      <c r="AX1080" s="13159"/>
      <c r="AY1080" s="13159"/>
      <c r="AZ1080" s="13159"/>
      <c r="BA1080" s="13159"/>
      <c r="BB1080" s="13159"/>
      <c r="BC1080" s="13159"/>
      <c r="BD1080" s="10493"/>
      <c r="BF1080" s="14541"/>
      <c r="BG1080" s="14541"/>
      <c r="BH1080" s="14541"/>
      <c r="BI1080" s="14541"/>
      <c r="BJ1080" s="14541"/>
      <c r="BK1080" s="13090"/>
      <c r="BL1080" s="14541"/>
      <c r="BM1080" s="14541"/>
      <c r="BN1080" s="14541"/>
    </row>
    <row r="1081" spans="1:66" ht="30" hidden="1" customHeight="1">
      <c r="A1081" s="13670"/>
      <c r="B1081" s="14242"/>
      <c r="C1081" s="13602"/>
      <c r="D1081" s="7876" t="s">
        <v>10194</v>
      </c>
      <c r="E1081" s="7825"/>
      <c r="F1081" s="7826" t="s">
        <v>153</v>
      </c>
      <c r="G1081" s="14243"/>
      <c r="H1081" s="13424"/>
      <c r="I1081" s="14257"/>
      <c r="K1081" s="12840" t="s">
        <v>3781</v>
      </c>
      <c r="L1081" s="12835" t="s">
        <v>2951</v>
      </c>
      <c r="M1081" s="12835" t="s">
        <v>2951</v>
      </c>
      <c r="N1081" s="12835" t="s">
        <v>2951</v>
      </c>
      <c r="O1081" s="12835" t="s">
        <v>10415</v>
      </c>
      <c r="P1081" s="12841" t="s">
        <v>2951</v>
      </c>
      <c r="Q1081" s="12841" t="s">
        <v>2951</v>
      </c>
      <c r="R1081" s="12841" t="s">
        <v>2951</v>
      </c>
      <c r="S1081" s="12841" t="s">
        <v>2951</v>
      </c>
      <c r="T1081" s="12842" t="s">
        <v>2951</v>
      </c>
      <c r="U1081" s="12841" t="s">
        <v>2951</v>
      </c>
      <c r="V1081" s="12841" t="s">
        <v>2951</v>
      </c>
      <c r="W1081" s="12841" t="s">
        <v>2951</v>
      </c>
      <c r="X1081" s="12841" t="s">
        <v>2951</v>
      </c>
      <c r="Y1081" s="12841" t="s">
        <v>2951</v>
      </c>
      <c r="Z1081" s="12841" t="s">
        <v>2951</v>
      </c>
      <c r="AA1081" s="12841" t="s">
        <v>2951</v>
      </c>
      <c r="AB1081" s="12841" t="s">
        <v>2951</v>
      </c>
      <c r="AC1081" s="12841" t="s">
        <v>2951</v>
      </c>
      <c r="AD1081" s="12841" t="s">
        <v>2951</v>
      </c>
      <c r="AE1081" s="12841" t="s">
        <v>2951</v>
      </c>
      <c r="AF1081" s="12841" t="s">
        <v>2951</v>
      </c>
      <c r="AG1081" s="12841" t="s">
        <v>2951</v>
      </c>
      <c r="AH1081" s="12841" t="s">
        <v>2951</v>
      </c>
      <c r="AI1081" s="12841" t="s">
        <v>2951</v>
      </c>
      <c r="AJ1081" s="12841" t="s">
        <v>2951</v>
      </c>
      <c r="AK1081" s="12841" t="s">
        <v>2951</v>
      </c>
      <c r="AL1081" s="12841" t="s">
        <v>2951</v>
      </c>
      <c r="AM1081" s="12841" t="s">
        <v>2951</v>
      </c>
      <c r="AN1081" s="12841" t="s">
        <v>2951</v>
      </c>
      <c r="AO1081" s="12841" t="s">
        <v>2951</v>
      </c>
      <c r="AP1081" s="12841" t="s">
        <v>2951</v>
      </c>
      <c r="AQ1081" s="12841" t="s">
        <v>2951</v>
      </c>
      <c r="AR1081" s="12841" t="s">
        <v>2951</v>
      </c>
      <c r="AS1081" s="12841" t="s">
        <v>2951</v>
      </c>
      <c r="AT1081" s="12835" t="s">
        <v>2951</v>
      </c>
      <c r="AU1081" s="12835" t="s">
        <v>2951</v>
      </c>
      <c r="AV1081" s="12835" t="s">
        <v>2951</v>
      </c>
      <c r="AW1081" s="12835" t="s">
        <v>2951</v>
      </c>
      <c r="AX1081" s="12835" t="s">
        <v>2951</v>
      </c>
      <c r="AY1081" s="12835" t="s">
        <v>2951</v>
      </c>
      <c r="AZ1081" s="12835" t="s">
        <v>2951</v>
      </c>
      <c r="BA1081" s="12835" t="s">
        <v>2951</v>
      </c>
      <c r="BB1081" s="12835" t="s">
        <v>2951</v>
      </c>
      <c r="BC1081" s="12835" t="s">
        <v>2951</v>
      </c>
      <c r="BD1081" s="10493"/>
      <c r="BF1081" s="14541"/>
      <c r="BG1081" s="14541"/>
      <c r="BH1081" s="14541"/>
      <c r="BI1081" s="14541"/>
      <c r="BJ1081" s="14541"/>
      <c r="BK1081" s="10494"/>
      <c r="BL1081" s="14541"/>
      <c r="BM1081" s="14541"/>
      <c r="BN1081" s="14541"/>
    </row>
    <row r="1082" spans="1:66" ht="30" hidden="1" customHeight="1" thickBot="1">
      <c r="A1082" s="10503">
        <v>668</v>
      </c>
      <c r="B1082" s="10504" t="s">
        <v>5067</v>
      </c>
      <c r="C1082" s="13602"/>
      <c r="D1082" s="7878" t="s">
        <v>86</v>
      </c>
      <c r="E1082" s="7828" t="s">
        <v>149</v>
      </c>
      <c r="F1082" s="7829" t="s">
        <v>157</v>
      </c>
      <c r="G1082" s="12379" t="s">
        <v>154</v>
      </c>
      <c r="H1082" s="7860" t="s">
        <v>155</v>
      </c>
      <c r="I1082" s="7636">
        <v>1</v>
      </c>
      <c r="K1082" s="13158" t="s">
        <v>3781</v>
      </c>
      <c r="L1082" s="12835"/>
      <c r="M1082" s="12835"/>
      <c r="N1082" s="13159" t="s">
        <v>2951</v>
      </c>
      <c r="O1082" s="13159" t="s">
        <v>10415</v>
      </c>
      <c r="P1082" s="13160" t="s">
        <v>2951</v>
      </c>
      <c r="Q1082" s="13160"/>
      <c r="R1082" s="13160"/>
      <c r="S1082" s="13160"/>
      <c r="T1082" s="13161"/>
      <c r="U1082" s="13160"/>
      <c r="V1082" s="13160"/>
      <c r="W1082" s="13160"/>
      <c r="X1082" s="13160"/>
      <c r="Y1082" s="13160"/>
      <c r="Z1082" s="13160"/>
      <c r="AA1082" s="13160"/>
      <c r="AB1082" s="13160"/>
      <c r="AC1082" s="13160"/>
      <c r="AD1082" s="13160"/>
      <c r="AE1082" s="13160"/>
      <c r="AF1082" s="13160"/>
      <c r="AG1082" s="13160"/>
      <c r="AH1082" s="13160"/>
      <c r="AI1082" s="13160"/>
      <c r="AJ1082" s="13160"/>
      <c r="AK1082" s="13160"/>
      <c r="AL1082" s="13160"/>
      <c r="AM1082" s="13160"/>
      <c r="AN1082" s="13160"/>
      <c r="AO1082" s="13160"/>
      <c r="AP1082" s="13160"/>
      <c r="AQ1082" s="13160"/>
      <c r="AR1082" s="13160"/>
      <c r="AS1082" s="13160"/>
      <c r="AT1082" s="13159"/>
      <c r="AU1082" s="13159"/>
      <c r="AV1082" s="13159"/>
      <c r="AW1082" s="13159"/>
      <c r="AX1082" s="13159"/>
      <c r="AY1082" s="13159"/>
      <c r="AZ1082" s="13159"/>
      <c r="BA1082" s="13159"/>
      <c r="BB1082" s="13159"/>
      <c r="BC1082" s="13159"/>
      <c r="BD1082" s="10506"/>
      <c r="BF1082" s="10505"/>
      <c r="BG1082" s="10505"/>
      <c r="BH1082" s="10505"/>
      <c r="BI1082" s="10505"/>
      <c r="BJ1082" s="10505"/>
      <c r="BK1082" s="10505"/>
      <c r="BL1082" s="10505"/>
      <c r="BM1082" s="10505"/>
      <c r="BN1082" s="10505"/>
    </row>
    <row r="1083" spans="1:66" ht="30" hidden="1" customHeight="1">
      <c r="A1083" s="10507">
        <v>669</v>
      </c>
      <c r="B1083" s="10508" t="s">
        <v>5068</v>
      </c>
      <c r="C1083" s="13602"/>
      <c r="D1083" s="7652" t="s">
        <v>2896</v>
      </c>
      <c r="E1083" s="7856" t="s">
        <v>163</v>
      </c>
      <c r="F1083" s="7830"/>
      <c r="G1083" s="12380" t="s">
        <v>5069</v>
      </c>
      <c r="H1083" s="7899" t="s">
        <v>161</v>
      </c>
      <c r="I1083" s="7637">
        <v>2</v>
      </c>
      <c r="K1083" s="10511"/>
      <c r="L1083" s="10512"/>
      <c r="M1083" s="10512"/>
      <c r="N1083" s="10513"/>
      <c r="O1083" s="10513"/>
      <c r="P1083" s="10514"/>
      <c r="Q1083" s="10515"/>
      <c r="R1083" s="10516"/>
      <c r="S1083" s="10517"/>
      <c r="T1083" s="10518"/>
      <c r="U1083" s="10515"/>
      <c r="V1083" s="10516"/>
      <c r="W1083" s="10518"/>
      <c r="X1083" s="10516"/>
      <c r="Y1083" s="10518"/>
      <c r="Z1083" s="10516"/>
      <c r="AA1083" s="10517"/>
      <c r="AB1083" s="10517"/>
      <c r="AC1083" s="10517"/>
      <c r="AD1083" s="10517"/>
      <c r="AE1083" s="10517"/>
      <c r="AF1083" s="10518"/>
      <c r="AG1083" s="10516"/>
      <c r="AH1083" s="10517"/>
      <c r="AI1083" s="10517"/>
      <c r="AJ1083" s="10517"/>
      <c r="AK1083" s="10517"/>
      <c r="AL1083" s="10517"/>
      <c r="AM1083" s="10517"/>
      <c r="AN1083" s="10518"/>
      <c r="AO1083" s="10516"/>
      <c r="AP1083" s="10517"/>
      <c r="AQ1083" s="10517"/>
      <c r="AR1083" s="10517"/>
      <c r="AS1083" s="10517"/>
      <c r="AT1083" s="10518"/>
      <c r="AU1083" s="10519"/>
      <c r="AV1083" s="10519"/>
      <c r="AW1083" s="10519"/>
      <c r="AX1083" s="10511"/>
      <c r="AY1083" s="10514"/>
      <c r="AZ1083" s="10519"/>
      <c r="BA1083" s="10511"/>
      <c r="BB1083" s="10513"/>
      <c r="BC1083" s="10514"/>
      <c r="BD1083" s="10520"/>
      <c r="BF1083" s="10510"/>
      <c r="BG1083" s="10510"/>
      <c r="BH1083" s="10510"/>
      <c r="BI1083" s="10510"/>
      <c r="BJ1083" s="10510"/>
      <c r="BK1083" s="10510"/>
      <c r="BL1083" s="10510"/>
      <c r="BM1083" s="10510"/>
      <c r="BN1083" s="10510"/>
    </row>
    <row r="1084" spans="1:66" ht="30" hidden="1" customHeight="1">
      <c r="A1084" s="10521">
        <v>670</v>
      </c>
      <c r="B1084" s="10522" t="s">
        <v>5070</v>
      </c>
      <c r="C1084" s="13602"/>
      <c r="D1084" s="7640" t="s">
        <v>2896</v>
      </c>
      <c r="E1084" s="7831" t="s">
        <v>167</v>
      </c>
      <c r="F1084" s="7832" t="s">
        <v>168</v>
      </c>
      <c r="G1084" s="12381" t="s">
        <v>164</v>
      </c>
      <c r="H1084" s="7898" t="s">
        <v>165</v>
      </c>
      <c r="I1084" s="7638">
        <v>3</v>
      </c>
      <c r="K1084" s="10525"/>
      <c r="L1084" s="10526"/>
      <c r="M1084" s="10526"/>
      <c r="N1084" s="10527"/>
      <c r="O1084" s="10527"/>
      <c r="P1084" s="10528"/>
      <c r="Q1084" s="10529"/>
      <c r="R1084" s="10530"/>
      <c r="S1084" s="10531"/>
      <c r="T1084" s="10532"/>
      <c r="U1084" s="10529"/>
      <c r="V1084" s="10530"/>
      <c r="W1084" s="10532"/>
      <c r="X1084" s="10530"/>
      <c r="Y1084" s="10532"/>
      <c r="Z1084" s="10530"/>
      <c r="AA1084" s="10531"/>
      <c r="AB1084" s="10531"/>
      <c r="AC1084" s="10531"/>
      <c r="AD1084" s="10531"/>
      <c r="AE1084" s="10531"/>
      <c r="AF1084" s="10532"/>
      <c r="AG1084" s="10530"/>
      <c r="AH1084" s="10531"/>
      <c r="AI1084" s="10531"/>
      <c r="AJ1084" s="10531"/>
      <c r="AK1084" s="10531"/>
      <c r="AL1084" s="10531"/>
      <c r="AM1084" s="10531"/>
      <c r="AN1084" s="10532"/>
      <c r="AO1084" s="10530"/>
      <c r="AP1084" s="10531"/>
      <c r="AQ1084" s="10531"/>
      <c r="AR1084" s="10531"/>
      <c r="AS1084" s="10531"/>
      <c r="AT1084" s="10532"/>
      <c r="AU1084" s="10533"/>
      <c r="AV1084" s="10533"/>
      <c r="AW1084" s="10533"/>
      <c r="AX1084" s="10525"/>
      <c r="AY1084" s="10528"/>
      <c r="AZ1084" s="10533"/>
      <c r="BA1084" s="10525"/>
      <c r="BB1084" s="10527"/>
      <c r="BC1084" s="10528"/>
      <c r="BD1084" s="10534"/>
      <c r="BF1084" s="10524"/>
      <c r="BG1084" s="10524"/>
      <c r="BH1084" s="10524"/>
      <c r="BI1084" s="10524"/>
      <c r="BJ1084" s="10524"/>
      <c r="BK1084" s="10524"/>
      <c r="BL1084" s="10524"/>
      <c r="BM1084" s="10524"/>
      <c r="BN1084" s="10524"/>
    </row>
    <row r="1085" spans="1:66" ht="30" hidden="1" customHeight="1">
      <c r="A1085" s="10521">
        <v>671</v>
      </c>
      <c r="B1085" s="10522" t="s">
        <v>5071</v>
      </c>
      <c r="C1085" s="13602"/>
      <c r="D1085" s="7640" t="s">
        <v>2896</v>
      </c>
      <c r="E1085" s="7831" t="s">
        <v>172</v>
      </c>
      <c r="F1085" s="7832" t="s">
        <v>168</v>
      </c>
      <c r="G1085" s="12381" t="s">
        <v>5072</v>
      </c>
      <c r="H1085" s="7898" t="s">
        <v>169</v>
      </c>
      <c r="I1085" s="7638">
        <v>1</v>
      </c>
      <c r="K1085" s="10525"/>
      <c r="L1085" s="10526"/>
      <c r="M1085" s="10526"/>
      <c r="N1085" s="10527"/>
      <c r="O1085" s="10527"/>
      <c r="P1085" s="10528"/>
      <c r="Q1085" s="10529"/>
      <c r="R1085" s="10530"/>
      <c r="S1085" s="10531"/>
      <c r="T1085" s="10532"/>
      <c r="U1085" s="10529"/>
      <c r="V1085" s="10530"/>
      <c r="W1085" s="10532"/>
      <c r="X1085" s="10530"/>
      <c r="Y1085" s="10532"/>
      <c r="Z1085" s="10530"/>
      <c r="AA1085" s="10531"/>
      <c r="AB1085" s="10531"/>
      <c r="AC1085" s="10531"/>
      <c r="AD1085" s="10531"/>
      <c r="AE1085" s="10531"/>
      <c r="AF1085" s="10532"/>
      <c r="AG1085" s="10530"/>
      <c r="AH1085" s="10531"/>
      <c r="AI1085" s="10531"/>
      <c r="AJ1085" s="10531"/>
      <c r="AK1085" s="10531"/>
      <c r="AL1085" s="10531"/>
      <c r="AM1085" s="10531"/>
      <c r="AN1085" s="10532"/>
      <c r="AO1085" s="10530"/>
      <c r="AP1085" s="10531"/>
      <c r="AQ1085" s="10531"/>
      <c r="AR1085" s="10531"/>
      <c r="AS1085" s="10531"/>
      <c r="AT1085" s="10532"/>
      <c r="AU1085" s="10533"/>
      <c r="AV1085" s="10533"/>
      <c r="AW1085" s="10533"/>
      <c r="AX1085" s="10525"/>
      <c r="AY1085" s="10528"/>
      <c r="AZ1085" s="10533"/>
      <c r="BA1085" s="10525"/>
      <c r="BB1085" s="10527"/>
      <c r="BC1085" s="10528"/>
      <c r="BD1085" s="10534"/>
      <c r="BF1085" s="10524"/>
      <c r="BG1085" s="10524"/>
      <c r="BH1085" s="10524"/>
      <c r="BI1085" s="10524"/>
      <c r="BJ1085" s="10524"/>
      <c r="BK1085" s="10524"/>
      <c r="BL1085" s="10524"/>
      <c r="BM1085" s="10524"/>
      <c r="BN1085" s="10524"/>
    </row>
    <row r="1086" spans="1:66" ht="30" hidden="1" customHeight="1">
      <c r="A1086" s="10521">
        <v>672</v>
      </c>
      <c r="B1086" s="10522" t="s">
        <v>5073</v>
      </c>
      <c r="C1086" s="13602"/>
      <c r="D1086" s="7640" t="s">
        <v>2896</v>
      </c>
      <c r="E1086" s="7831" t="s">
        <v>167</v>
      </c>
      <c r="F1086" s="7832" t="s">
        <v>176</v>
      </c>
      <c r="G1086" s="12381" t="s">
        <v>173</v>
      </c>
      <c r="H1086" s="7898" t="s">
        <v>174</v>
      </c>
      <c r="I1086" s="7639">
        <v>1</v>
      </c>
      <c r="K1086" s="10535"/>
      <c r="L1086" s="10526"/>
      <c r="M1086" s="10526"/>
      <c r="N1086" s="10536"/>
      <c r="O1086" s="10536"/>
      <c r="P1086" s="10537"/>
      <c r="Q1086" s="10529"/>
      <c r="R1086" s="10530"/>
      <c r="S1086" s="10531"/>
      <c r="T1086" s="10532"/>
      <c r="U1086" s="10529"/>
      <c r="V1086" s="10530"/>
      <c r="W1086" s="10532"/>
      <c r="X1086" s="10530"/>
      <c r="Y1086" s="10532"/>
      <c r="Z1086" s="10530"/>
      <c r="AA1086" s="10531"/>
      <c r="AB1086" s="10531"/>
      <c r="AC1086" s="10531"/>
      <c r="AD1086" s="10531"/>
      <c r="AE1086" s="10531"/>
      <c r="AF1086" s="10532"/>
      <c r="AG1086" s="10530"/>
      <c r="AH1086" s="10531"/>
      <c r="AI1086" s="10531"/>
      <c r="AJ1086" s="10531"/>
      <c r="AK1086" s="10531"/>
      <c r="AL1086" s="10531"/>
      <c r="AM1086" s="10531"/>
      <c r="AN1086" s="10532"/>
      <c r="AO1086" s="10530"/>
      <c r="AP1086" s="10531"/>
      <c r="AQ1086" s="10531"/>
      <c r="AR1086" s="10531"/>
      <c r="AS1086" s="10531"/>
      <c r="AT1086" s="10532"/>
      <c r="AU1086" s="10538"/>
      <c r="AV1086" s="10538"/>
      <c r="AW1086" s="10538"/>
      <c r="AX1086" s="10535"/>
      <c r="AY1086" s="10537"/>
      <c r="AZ1086" s="10538"/>
      <c r="BA1086" s="10535"/>
      <c r="BB1086" s="10536"/>
      <c r="BC1086" s="10537"/>
      <c r="BD1086" s="10539"/>
      <c r="BF1086" s="10524"/>
      <c r="BG1086" s="10524"/>
      <c r="BH1086" s="10524"/>
      <c r="BI1086" s="10524"/>
      <c r="BJ1086" s="10524"/>
      <c r="BK1086" s="10524"/>
      <c r="BL1086" s="10524"/>
      <c r="BM1086" s="10524"/>
      <c r="BN1086" s="10524"/>
    </row>
    <row r="1087" spans="1:66" ht="30" hidden="1" customHeight="1">
      <c r="A1087" s="10521">
        <v>673</v>
      </c>
      <c r="B1087" s="10522" t="s">
        <v>5074</v>
      </c>
      <c r="C1087" s="13602"/>
      <c r="D1087" s="7640" t="s">
        <v>2896</v>
      </c>
      <c r="E1087" s="7831" t="s">
        <v>172</v>
      </c>
      <c r="F1087" s="7833"/>
      <c r="G1087" s="12381" t="s">
        <v>178</v>
      </c>
      <c r="H1087" s="7898" t="s">
        <v>179</v>
      </c>
      <c r="I1087" s="7641" t="s">
        <v>182</v>
      </c>
      <c r="K1087" s="10523"/>
      <c r="L1087" s="8443"/>
      <c r="M1087" s="8443"/>
      <c r="N1087" s="10540"/>
      <c r="O1087" s="10540"/>
      <c r="P1087" s="10541"/>
      <c r="Q1087" s="8446"/>
      <c r="R1087" s="8447"/>
      <c r="S1087" s="8448"/>
      <c r="T1087" s="8449"/>
      <c r="U1087" s="8446"/>
      <c r="V1087" s="8447"/>
      <c r="W1087" s="8449"/>
      <c r="X1087" s="8447"/>
      <c r="Y1087" s="8449"/>
      <c r="Z1087" s="8447"/>
      <c r="AA1087" s="8448"/>
      <c r="AB1087" s="8448"/>
      <c r="AC1087" s="8448"/>
      <c r="AD1087" s="8448"/>
      <c r="AE1087" s="8448"/>
      <c r="AF1087" s="8449"/>
      <c r="AG1087" s="8447"/>
      <c r="AH1087" s="8448"/>
      <c r="AI1087" s="8448"/>
      <c r="AJ1087" s="8448"/>
      <c r="AK1087" s="8448"/>
      <c r="AL1087" s="8448"/>
      <c r="AM1087" s="8448"/>
      <c r="AN1087" s="8449"/>
      <c r="AO1087" s="8447"/>
      <c r="AP1087" s="8448"/>
      <c r="AQ1087" s="8448"/>
      <c r="AR1087" s="8448"/>
      <c r="AS1087" s="8448"/>
      <c r="AT1087" s="8449"/>
      <c r="AU1087" s="10542"/>
      <c r="AV1087" s="10542"/>
      <c r="AW1087" s="10542"/>
      <c r="AX1087" s="10523"/>
      <c r="AY1087" s="10541"/>
      <c r="AZ1087" s="10542"/>
      <c r="BA1087" s="10523"/>
      <c r="BB1087" s="10540"/>
      <c r="BC1087" s="10541"/>
      <c r="BD1087" s="10543"/>
      <c r="BF1087" s="10524"/>
      <c r="BG1087" s="10524"/>
      <c r="BH1087" s="10524"/>
      <c r="BI1087" s="10524"/>
      <c r="BJ1087" s="10524"/>
      <c r="BK1087" s="10524"/>
      <c r="BL1087" s="10524"/>
      <c r="BM1087" s="10524"/>
      <c r="BN1087" s="10524"/>
    </row>
    <row r="1088" spans="1:66" ht="30" hidden="1" customHeight="1">
      <c r="A1088" s="10521">
        <v>674</v>
      </c>
      <c r="B1088" s="10522" t="s">
        <v>5075</v>
      </c>
      <c r="C1088" s="13602"/>
      <c r="D1088" s="7640" t="s">
        <v>2896</v>
      </c>
      <c r="E1088" s="7831" t="s">
        <v>188</v>
      </c>
      <c r="F1088" s="7833"/>
      <c r="G1088" s="12381" t="s">
        <v>185</v>
      </c>
      <c r="H1088" s="7898" t="s">
        <v>186</v>
      </c>
      <c r="I1088" s="7909">
        <v>15</v>
      </c>
      <c r="K1088" s="10544"/>
      <c r="L1088" s="7955"/>
      <c r="M1088" s="7955"/>
      <c r="N1088" s="10545"/>
      <c r="O1088" s="10545"/>
      <c r="P1088" s="10546"/>
      <c r="Q1088" s="7958"/>
      <c r="R1088" s="7959"/>
      <c r="S1088" s="7960"/>
      <c r="T1088" s="7961"/>
      <c r="U1088" s="7958"/>
      <c r="V1088" s="7959"/>
      <c r="W1088" s="7961"/>
      <c r="X1088" s="7959"/>
      <c r="Y1088" s="7961"/>
      <c r="Z1088" s="7959"/>
      <c r="AA1088" s="7960"/>
      <c r="AB1088" s="7960"/>
      <c r="AC1088" s="7960"/>
      <c r="AD1088" s="7960"/>
      <c r="AE1088" s="7960"/>
      <c r="AF1088" s="7961"/>
      <c r="AG1088" s="7959"/>
      <c r="AH1088" s="7960"/>
      <c r="AI1088" s="7960"/>
      <c r="AJ1088" s="7960"/>
      <c r="AK1088" s="7960"/>
      <c r="AL1088" s="7960"/>
      <c r="AM1088" s="7960"/>
      <c r="AN1088" s="7961"/>
      <c r="AO1088" s="7959"/>
      <c r="AP1088" s="7960"/>
      <c r="AQ1088" s="7960"/>
      <c r="AR1088" s="7960"/>
      <c r="AS1088" s="7960"/>
      <c r="AT1088" s="7961"/>
      <c r="AU1088" s="10547"/>
      <c r="AV1088" s="10547"/>
      <c r="AW1088" s="10547"/>
      <c r="AX1088" s="10544"/>
      <c r="AY1088" s="10546"/>
      <c r="AZ1088" s="10547"/>
      <c r="BA1088" s="10544"/>
      <c r="BB1088" s="10545"/>
      <c r="BC1088" s="10546"/>
      <c r="BD1088" s="10548"/>
      <c r="BF1088" s="10524"/>
      <c r="BG1088" s="10524"/>
      <c r="BH1088" s="10524"/>
      <c r="BI1088" s="10524"/>
      <c r="BJ1088" s="10524"/>
      <c r="BK1088" s="10524"/>
      <c r="BL1088" s="10524"/>
      <c r="BM1088" s="10524"/>
      <c r="BN1088" s="10524"/>
    </row>
    <row r="1089" spans="1:66" ht="30" hidden="1" customHeight="1">
      <c r="A1089" s="10521">
        <v>675</v>
      </c>
      <c r="B1089" s="10522" t="s">
        <v>5076</v>
      </c>
      <c r="C1089" s="13602"/>
      <c r="D1089" s="7640" t="s">
        <v>2896</v>
      </c>
      <c r="E1089" s="7831" t="s">
        <v>188</v>
      </c>
      <c r="F1089" s="7833"/>
      <c r="G1089" s="12381" t="s">
        <v>190</v>
      </c>
      <c r="H1089" s="7898" t="s">
        <v>191</v>
      </c>
      <c r="I1089" s="7641" t="s">
        <v>195</v>
      </c>
      <c r="K1089" s="10523"/>
      <c r="L1089" s="8443"/>
      <c r="M1089" s="8443"/>
      <c r="N1089" s="10540"/>
      <c r="O1089" s="10540"/>
      <c r="P1089" s="10541"/>
      <c r="Q1089" s="8446"/>
      <c r="R1089" s="8447"/>
      <c r="S1089" s="8448"/>
      <c r="T1089" s="8449"/>
      <c r="U1089" s="8446"/>
      <c r="V1089" s="8447"/>
      <c r="W1089" s="8449"/>
      <c r="X1089" s="8447"/>
      <c r="Y1089" s="8449"/>
      <c r="Z1089" s="8447"/>
      <c r="AA1089" s="8448"/>
      <c r="AB1089" s="8448"/>
      <c r="AC1089" s="8448"/>
      <c r="AD1089" s="8448"/>
      <c r="AE1089" s="8448"/>
      <c r="AF1089" s="8449"/>
      <c r="AG1089" s="8447"/>
      <c r="AH1089" s="8448"/>
      <c r="AI1089" s="8448"/>
      <c r="AJ1089" s="8448"/>
      <c r="AK1089" s="8448"/>
      <c r="AL1089" s="8448"/>
      <c r="AM1089" s="8448"/>
      <c r="AN1089" s="8449"/>
      <c r="AO1089" s="8447"/>
      <c r="AP1089" s="8448"/>
      <c r="AQ1089" s="8448"/>
      <c r="AR1089" s="8448"/>
      <c r="AS1089" s="8448"/>
      <c r="AT1089" s="8449"/>
      <c r="AU1089" s="10542"/>
      <c r="AV1089" s="10542"/>
      <c r="AW1089" s="10542"/>
      <c r="AX1089" s="10523"/>
      <c r="AY1089" s="10541"/>
      <c r="AZ1089" s="10542"/>
      <c r="BA1089" s="10523"/>
      <c r="BB1089" s="10540"/>
      <c r="BC1089" s="10541"/>
      <c r="BD1089" s="10543"/>
      <c r="BF1089" s="10524"/>
      <c r="BG1089" s="10524"/>
      <c r="BH1089" s="10524"/>
      <c r="BI1089" s="10524"/>
      <c r="BJ1089" s="10524"/>
      <c r="BK1089" s="10524"/>
      <c r="BL1089" s="10524"/>
      <c r="BM1089" s="10524"/>
      <c r="BN1089" s="10524"/>
    </row>
    <row r="1090" spans="1:66" ht="30" hidden="1" customHeight="1">
      <c r="A1090" s="10521">
        <v>676</v>
      </c>
      <c r="B1090" s="10522" t="s">
        <v>5077</v>
      </c>
      <c r="C1090" s="13602"/>
      <c r="D1090" s="7640" t="s">
        <v>2896</v>
      </c>
      <c r="E1090" s="7831" t="s">
        <v>203</v>
      </c>
      <c r="F1090" s="7832" t="s">
        <v>204</v>
      </c>
      <c r="G1090" s="12381" t="s">
        <v>197</v>
      </c>
      <c r="H1090" s="7898" t="s">
        <v>198</v>
      </c>
      <c r="I1090" s="7641" t="s">
        <v>201</v>
      </c>
      <c r="K1090" s="10523"/>
      <c r="L1090" s="8443"/>
      <c r="M1090" s="8443"/>
      <c r="N1090" s="10540"/>
      <c r="O1090" s="10540"/>
      <c r="P1090" s="10541"/>
      <c r="Q1090" s="8446"/>
      <c r="R1090" s="8447"/>
      <c r="S1090" s="8448"/>
      <c r="T1090" s="8449"/>
      <c r="U1090" s="8446"/>
      <c r="V1090" s="8447"/>
      <c r="W1090" s="8449"/>
      <c r="X1090" s="8447"/>
      <c r="Y1090" s="8449"/>
      <c r="Z1090" s="8447"/>
      <c r="AA1090" s="8448"/>
      <c r="AB1090" s="8448"/>
      <c r="AC1090" s="8448"/>
      <c r="AD1090" s="8448"/>
      <c r="AE1090" s="8448"/>
      <c r="AF1090" s="8449"/>
      <c r="AG1090" s="8447"/>
      <c r="AH1090" s="8448"/>
      <c r="AI1090" s="8448"/>
      <c r="AJ1090" s="8448"/>
      <c r="AK1090" s="8448"/>
      <c r="AL1090" s="8448"/>
      <c r="AM1090" s="8448"/>
      <c r="AN1090" s="8449"/>
      <c r="AO1090" s="8447"/>
      <c r="AP1090" s="8448"/>
      <c r="AQ1090" s="8448"/>
      <c r="AR1090" s="8448"/>
      <c r="AS1090" s="8448"/>
      <c r="AT1090" s="8449"/>
      <c r="AU1090" s="10542"/>
      <c r="AV1090" s="10542"/>
      <c r="AW1090" s="10542"/>
      <c r="AX1090" s="10523"/>
      <c r="AY1090" s="10541"/>
      <c r="AZ1090" s="10542"/>
      <c r="BA1090" s="10523"/>
      <c r="BB1090" s="10540"/>
      <c r="BC1090" s="10541"/>
      <c r="BD1090" s="10543"/>
      <c r="BF1090" s="10524"/>
      <c r="BG1090" s="10524"/>
      <c r="BH1090" s="10524"/>
      <c r="BI1090" s="10524"/>
      <c r="BJ1090" s="10524"/>
      <c r="BK1090" s="10524"/>
      <c r="BL1090" s="10524"/>
      <c r="BM1090" s="10524"/>
      <c r="BN1090" s="10524"/>
    </row>
    <row r="1091" spans="1:66" ht="30" hidden="1" customHeight="1">
      <c r="A1091" s="13671">
        <v>677</v>
      </c>
      <c r="B1091" s="14250" t="s">
        <v>5078</v>
      </c>
      <c r="C1091" s="13602"/>
      <c r="D1091" s="7640" t="s">
        <v>2896</v>
      </c>
      <c r="E1091" s="7831" t="s">
        <v>188</v>
      </c>
      <c r="F1091" s="7853"/>
      <c r="G1091" s="14251" t="s">
        <v>5079</v>
      </c>
      <c r="H1091" s="13425" t="s">
        <v>95</v>
      </c>
      <c r="I1091" s="14256" t="s">
        <v>207</v>
      </c>
      <c r="K1091" s="10549"/>
      <c r="L1091" s="7937"/>
      <c r="M1091" s="7937"/>
      <c r="N1091" s="10550"/>
      <c r="O1091" s="10550"/>
      <c r="P1091" s="10551"/>
      <c r="Q1091" s="7940"/>
      <c r="R1091" s="7941"/>
      <c r="S1091" s="7942"/>
      <c r="T1091" s="7943"/>
      <c r="U1091" s="7940"/>
      <c r="V1091" s="7941"/>
      <c r="W1091" s="7943"/>
      <c r="X1091" s="7941"/>
      <c r="Y1091" s="7943"/>
      <c r="Z1091" s="7941"/>
      <c r="AA1091" s="7942"/>
      <c r="AB1091" s="7942"/>
      <c r="AC1091" s="7942"/>
      <c r="AD1091" s="7942"/>
      <c r="AE1091" s="7942"/>
      <c r="AF1091" s="7943"/>
      <c r="AG1091" s="7941"/>
      <c r="AH1091" s="7942"/>
      <c r="AI1091" s="7942"/>
      <c r="AJ1091" s="7942"/>
      <c r="AK1091" s="7942"/>
      <c r="AL1091" s="7942"/>
      <c r="AM1091" s="7942"/>
      <c r="AN1091" s="7943"/>
      <c r="AO1091" s="7941"/>
      <c r="AP1091" s="7942"/>
      <c r="AQ1091" s="7942"/>
      <c r="AR1091" s="7942"/>
      <c r="AS1091" s="7942"/>
      <c r="AT1091" s="7943"/>
      <c r="AU1091" s="10552"/>
      <c r="AV1091" s="10552"/>
      <c r="AW1091" s="10552"/>
      <c r="AX1091" s="10549"/>
      <c r="AY1091" s="10551"/>
      <c r="AZ1091" s="10552"/>
      <c r="BA1091" s="10549"/>
      <c r="BB1091" s="10550"/>
      <c r="BC1091" s="10551"/>
      <c r="BD1091" s="10553"/>
      <c r="BF1091" s="14542"/>
      <c r="BG1091" s="14542"/>
      <c r="BH1091" s="14542"/>
      <c r="BI1091" s="14542"/>
      <c r="BJ1091" s="14542"/>
      <c r="BK1091" s="10554"/>
      <c r="BL1091" s="14542"/>
      <c r="BM1091" s="14542"/>
      <c r="BN1091" s="14542"/>
    </row>
    <row r="1092" spans="1:66" ht="30" hidden="1" customHeight="1">
      <c r="A1092" s="13671"/>
      <c r="B1092" s="14250"/>
      <c r="C1092" s="13602"/>
      <c r="D1092" s="7640" t="s">
        <v>208</v>
      </c>
      <c r="E1092" s="7831"/>
      <c r="F1092" s="7833" t="s">
        <v>208</v>
      </c>
      <c r="G1092" s="14251"/>
      <c r="H1092" s="13425"/>
      <c r="I1092" s="14256"/>
      <c r="K1092" s="10549"/>
      <c r="L1092" s="7937"/>
      <c r="M1092" s="7937"/>
      <c r="N1092" s="10550"/>
      <c r="O1092" s="10550"/>
      <c r="P1092" s="10551"/>
      <c r="Q1092" s="7940"/>
      <c r="R1092" s="7941"/>
      <c r="S1092" s="7942"/>
      <c r="T1092" s="7943"/>
      <c r="U1092" s="7940"/>
      <c r="V1092" s="7941"/>
      <c r="W1092" s="7943"/>
      <c r="X1092" s="7941"/>
      <c r="Y1092" s="7943"/>
      <c r="Z1092" s="7941"/>
      <c r="AA1092" s="7942"/>
      <c r="AB1092" s="7942"/>
      <c r="AC1092" s="7942"/>
      <c r="AD1092" s="7942"/>
      <c r="AE1092" s="7942"/>
      <c r="AF1092" s="7943"/>
      <c r="AG1092" s="7941"/>
      <c r="AH1092" s="7942"/>
      <c r="AI1092" s="7942"/>
      <c r="AJ1092" s="7942"/>
      <c r="AK1092" s="7942"/>
      <c r="AL1092" s="7942"/>
      <c r="AM1092" s="7942"/>
      <c r="AN1092" s="7943"/>
      <c r="AO1092" s="7941"/>
      <c r="AP1092" s="7942"/>
      <c r="AQ1092" s="7942"/>
      <c r="AR1092" s="7942"/>
      <c r="AS1092" s="7942"/>
      <c r="AT1092" s="7943"/>
      <c r="AU1092" s="10552"/>
      <c r="AV1092" s="10552"/>
      <c r="AW1092" s="10552"/>
      <c r="AX1092" s="10549"/>
      <c r="AY1092" s="10551"/>
      <c r="AZ1092" s="10552"/>
      <c r="BA1092" s="10549"/>
      <c r="BB1092" s="10550"/>
      <c r="BC1092" s="10551"/>
      <c r="BD1092" s="10553"/>
      <c r="BF1092" s="14542"/>
      <c r="BG1092" s="14542"/>
      <c r="BH1092" s="14542"/>
      <c r="BI1092" s="14542"/>
      <c r="BJ1092" s="14542"/>
      <c r="BK1092" s="10554"/>
      <c r="BL1092" s="14542"/>
      <c r="BM1092" s="14542"/>
      <c r="BN1092" s="14542"/>
    </row>
    <row r="1093" spans="1:66" ht="30" hidden="1" customHeight="1">
      <c r="A1093" s="13552">
        <v>678</v>
      </c>
      <c r="B1093" s="13554" t="s">
        <v>5080</v>
      </c>
      <c r="C1093" s="13602"/>
      <c r="D1093" s="7640" t="s">
        <v>2896</v>
      </c>
      <c r="E1093" s="7831" t="s">
        <v>188</v>
      </c>
      <c r="F1093" s="7833"/>
      <c r="G1093" s="14254" t="s">
        <v>5081</v>
      </c>
      <c r="H1093" s="13426" t="s">
        <v>209</v>
      </c>
      <c r="I1093" s="14261" t="s">
        <v>211</v>
      </c>
      <c r="K1093" s="10555"/>
      <c r="L1093" s="7965"/>
      <c r="M1093" s="7965"/>
      <c r="N1093" s="10556"/>
      <c r="O1093" s="10556"/>
      <c r="P1093" s="10557"/>
      <c r="Q1093" s="7967"/>
      <c r="R1093" s="7968"/>
      <c r="S1093" s="7969"/>
      <c r="T1093" s="7970"/>
      <c r="U1093" s="7967"/>
      <c r="V1093" s="7968"/>
      <c r="W1093" s="7970"/>
      <c r="X1093" s="7968"/>
      <c r="Y1093" s="7970"/>
      <c r="Z1093" s="7968"/>
      <c r="AA1093" s="7969"/>
      <c r="AB1093" s="7969"/>
      <c r="AC1093" s="7969"/>
      <c r="AD1093" s="7969"/>
      <c r="AE1093" s="7969"/>
      <c r="AF1093" s="7970"/>
      <c r="AG1093" s="7968"/>
      <c r="AH1093" s="7969"/>
      <c r="AI1093" s="7969"/>
      <c r="AJ1093" s="7969"/>
      <c r="AK1093" s="7969"/>
      <c r="AL1093" s="7969"/>
      <c r="AM1093" s="7969"/>
      <c r="AN1093" s="7970"/>
      <c r="AO1093" s="7968"/>
      <c r="AP1093" s="7969"/>
      <c r="AQ1093" s="7969"/>
      <c r="AR1093" s="7969"/>
      <c r="AS1093" s="7969"/>
      <c r="AT1093" s="7970"/>
      <c r="AU1093" s="10558"/>
      <c r="AV1093" s="10558"/>
      <c r="AW1093" s="10558"/>
      <c r="AX1093" s="10555"/>
      <c r="AY1093" s="10557"/>
      <c r="AZ1093" s="10558"/>
      <c r="BA1093" s="10555"/>
      <c r="BB1093" s="10556"/>
      <c r="BC1093" s="10557"/>
      <c r="BD1093" s="10559"/>
      <c r="BF1093" s="14543"/>
      <c r="BG1093" s="14543"/>
      <c r="BH1093" s="14543"/>
      <c r="BI1093" s="14543"/>
      <c r="BJ1093" s="14543"/>
      <c r="BK1093" s="10560"/>
      <c r="BL1093" s="14543"/>
      <c r="BM1093" s="14543"/>
      <c r="BN1093" s="14543"/>
    </row>
    <row r="1094" spans="1:66" ht="30" hidden="1" customHeight="1">
      <c r="A1094" s="13553"/>
      <c r="B1094" s="13555"/>
      <c r="C1094" s="13602"/>
      <c r="D1094" s="7640" t="s">
        <v>208</v>
      </c>
      <c r="E1094" s="7855"/>
      <c r="F1094" s="7833" t="s">
        <v>213</v>
      </c>
      <c r="G1094" s="14255"/>
      <c r="H1094" s="13427"/>
      <c r="I1094" s="14262"/>
      <c r="K1094" s="10555"/>
      <c r="L1094" s="7965"/>
      <c r="M1094" s="7965"/>
      <c r="N1094" s="10556"/>
      <c r="O1094" s="10556"/>
      <c r="P1094" s="10557"/>
      <c r="Q1094" s="7967"/>
      <c r="R1094" s="7968"/>
      <c r="S1094" s="7969"/>
      <c r="T1094" s="7970"/>
      <c r="U1094" s="7967"/>
      <c r="V1094" s="7968"/>
      <c r="W1094" s="7970"/>
      <c r="X1094" s="7968"/>
      <c r="Y1094" s="7970"/>
      <c r="Z1094" s="7968"/>
      <c r="AA1094" s="7969"/>
      <c r="AB1094" s="7969"/>
      <c r="AC1094" s="7969"/>
      <c r="AD1094" s="7969"/>
      <c r="AE1094" s="7969"/>
      <c r="AF1094" s="7970"/>
      <c r="AG1094" s="7968"/>
      <c r="AH1094" s="7969"/>
      <c r="AI1094" s="7969"/>
      <c r="AJ1094" s="7969"/>
      <c r="AK1094" s="7969"/>
      <c r="AL1094" s="7969"/>
      <c r="AM1094" s="7969"/>
      <c r="AN1094" s="7970"/>
      <c r="AO1094" s="7968"/>
      <c r="AP1094" s="7969"/>
      <c r="AQ1094" s="7969"/>
      <c r="AR1094" s="7969"/>
      <c r="AS1094" s="7969"/>
      <c r="AT1094" s="7970"/>
      <c r="AU1094" s="10558"/>
      <c r="AV1094" s="10558"/>
      <c r="AW1094" s="10558"/>
      <c r="AX1094" s="10555"/>
      <c r="AY1094" s="10557"/>
      <c r="AZ1094" s="10558"/>
      <c r="BA1094" s="10555"/>
      <c r="BB1094" s="10556"/>
      <c r="BC1094" s="10557"/>
      <c r="BD1094" s="10559"/>
      <c r="BF1094" s="14544"/>
      <c r="BG1094" s="14544"/>
      <c r="BH1094" s="14544"/>
      <c r="BI1094" s="14544"/>
      <c r="BJ1094" s="14544"/>
      <c r="BK1094" s="10510"/>
      <c r="BL1094" s="14544"/>
      <c r="BM1094" s="14544"/>
      <c r="BN1094" s="14544"/>
    </row>
    <row r="1095" spans="1:66" ht="30" hidden="1" customHeight="1" thickBot="1">
      <c r="A1095" s="8461">
        <v>679</v>
      </c>
      <c r="B1095" s="8462" t="s">
        <v>5082</v>
      </c>
      <c r="C1095" s="13602"/>
      <c r="D1095" s="7642" t="s">
        <v>2896</v>
      </c>
      <c r="E1095" s="7816" t="s">
        <v>188</v>
      </c>
      <c r="F1095" s="7834" t="s">
        <v>217</v>
      </c>
      <c r="G1095" s="11790" t="s">
        <v>215</v>
      </c>
      <c r="H1095" s="7861" t="s">
        <v>216</v>
      </c>
      <c r="I1095" s="7643">
        <v>15</v>
      </c>
      <c r="K1095" s="10561"/>
      <c r="L1095" s="8464"/>
      <c r="M1095" s="8464"/>
      <c r="N1095" s="10562"/>
      <c r="O1095" s="10562"/>
      <c r="P1095" s="10563"/>
      <c r="Q1095" s="8467"/>
      <c r="R1095" s="8468"/>
      <c r="S1095" s="8469"/>
      <c r="T1095" s="8470"/>
      <c r="U1095" s="8467"/>
      <c r="V1095" s="8468"/>
      <c r="W1095" s="8470"/>
      <c r="X1095" s="8468"/>
      <c r="Y1095" s="8470"/>
      <c r="Z1095" s="8468"/>
      <c r="AA1095" s="8469"/>
      <c r="AB1095" s="8469"/>
      <c r="AC1095" s="8469"/>
      <c r="AD1095" s="8469"/>
      <c r="AE1095" s="8469"/>
      <c r="AF1095" s="8470"/>
      <c r="AG1095" s="8468"/>
      <c r="AH1095" s="8469"/>
      <c r="AI1095" s="8469"/>
      <c r="AJ1095" s="8469"/>
      <c r="AK1095" s="8469"/>
      <c r="AL1095" s="8469"/>
      <c r="AM1095" s="8469"/>
      <c r="AN1095" s="8470"/>
      <c r="AO1095" s="8468"/>
      <c r="AP1095" s="8469"/>
      <c r="AQ1095" s="8469"/>
      <c r="AR1095" s="8469"/>
      <c r="AS1095" s="8469"/>
      <c r="AT1095" s="8470"/>
      <c r="AU1095" s="10564"/>
      <c r="AV1095" s="10564"/>
      <c r="AW1095" s="10564"/>
      <c r="AX1095" s="10561"/>
      <c r="AY1095" s="10563"/>
      <c r="AZ1095" s="10564"/>
      <c r="BA1095" s="10561"/>
      <c r="BB1095" s="10562"/>
      <c r="BC1095" s="10563"/>
      <c r="BD1095" s="10565"/>
      <c r="BF1095" s="7983"/>
      <c r="BG1095" s="7983"/>
      <c r="BH1095" s="7983"/>
      <c r="BI1095" s="7983"/>
      <c r="BJ1095" s="7983"/>
      <c r="BK1095" s="7983"/>
      <c r="BL1095" s="7983"/>
      <c r="BM1095" s="7983"/>
      <c r="BN1095" s="7983"/>
    </row>
    <row r="1096" spans="1:66" ht="30" hidden="1" customHeight="1">
      <c r="A1096" s="13672">
        <v>680</v>
      </c>
      <c r="B1096" s="14252" t="s">
        <v>5083</v>
      </c>
      <c r="C1096" s="13602"/>
      <c r="D1096" s="7879" t="s">
        <v>218</v>
      </c>
      <c r="E1096" s="7835" t="s">
        <v>223</v>
      </c>
      <c r="F1096" s="12382"/>
      <c r="G1096" s="14253" t="s">
        <v>220</v>
      </c>
      <c r="H1096" s="13428" t="s">
        <v>221</v>
      </c>
      <c r="I1096" s="14198">
        <v>4</v>
      </c>
      <c r="K1096" s="10117"/>
      <c r="L1096" s="10118"/>
      <c r="M1096" s="10118"/>
      <c r="N1096" s="6369"/>
      <c r="O1096" s="6369"/>
      <c r="P1096" s="10119"/>
      <c r="Q1096" s="10120"/>
      <c r="R1096" s="10121"/>
      <c r="S1096" s="10122"/>
      <c r="T1096" s="10123"/>
      <c r="U1096" s="10120"/>
      <c r="V1096" s="10121"/>
      <c r="W1096" s="10123"/>
      <c r="X1096" s="10121"/>
      <c r="Y1096" s="10123"/>
      <c r="Z1096" s="10121"/>
      <c r="AA1096" s="10122"/>
      <c r="AB1096" s="10122"/>
      <c r="AC1096" s="10122"/>
      <c r="AD1096" s="10122"/>
      <c r="AE1096" s="10122"/>
      <c r="AF1096" s="10123"/>
      <c r="AG1096" s="10121"/>
      <c r="AH1096" s="10122"/>
      <c r="AI1096" s="10122"/>
      <c r="AJ1096" s="10122"/>
      <c r="AK1096" s="10122"/>
      <c r="AL1096" s="10122"/>
      <c r="AM1096" s="10122"/>
      <c r="AN1096" s="10123"/>
      <c r="AO1096" s="10121"/>
      <c r="AP1096" s="10122"/>
      <c r="AQ1096" s="10122"/>
      <c r="AR1096" s="10122"/>
      <c r="AS1096" s="10122"/>
      <c r="AT1096" s="10123"/>
      <c r="AU1096" s="10124"/>
      <c r="AV1096" s="10124"/>
      <c r="AW1096" s="10124"/>
      <c r="AX1096" s="10117"/>
      <c r="AY1096" s="10119"/>
      <c r="AZ1096" s="10124"/>
      <c r="BA1096" s="10117"/>
      <c r="BB1096" s="6369"/>
      <c r="BC1096" s="10119"/>
      <c r="BD1096" s="10125"/>
      <c r="BF1096" s="14545"/>
      <c r="BG1096" s="14545"/>
      <c r="BH1096" s="14545"/>
      <c r="BI1096" s="14545"/>
      <c r="BJ1096" s="14545"/>
      <c r="BK1096" s="10566"/>
      <c r="BL1096" s="14545"/>
      <c r="BM1096" s="14545"/>
      <c r="BN1096" s="14545"/>
    </row>
    <row r="1097" spans="1:66" ht="30" hidden="1" customHeight="1">
      <c r="A1097" s="13673"/>
      <c r="B1097" s="14248"/>
      <c r="C1097" s="13602"/>
      <c r="D1097" s="7880" t="s">
        <v>10251</v>
      </c>
      <c r="E1097" s="7836"/>
      <c r="F1097" s="7837" t="s">
        <v>224</v>
      </c>
      <c r="G1097" s="14249"/>
      <c r="H1097" s="13429"/>
      <c r="I1097" s="14199"/>
      <c r="K1097" s="10127"/>
      <c r="L1097" s="10128"/>
      <c r="M1097" s="10128"/>
      <c r="N1097" s="10129"/>
      <c r="O1097" s="10129"/>
      <c r="P1097" s="10130"/>
      <c r="Q1097" s="10131"/>
      <c r="R1097" s="10132"/>
      <c r="S1097" s="10133"/>
      <c r="T1097" s="10134"/>
      <c r="U1097" s="10131"/>
      <c r="V1097" s="10132"/>
      <c r="W1097" s="10134"/>
      <c r="X1097" s="10132"/>
      <c r="Y1097" s="10134"/>
      <c r="Z1097" s="10132"/>
      <c r="AA1097" s="10133"/>
      <c r="AB1097" s="10133"/>
      <c r="AC1097" s="10133"/>
      <c r="AD1097" s="10133"/>
      <c r="AE1097" s="10133"/>
      <c r="AF1097" s="10134"/>
      <c r="AG1097" s="10132"/>
      <c r="AH1097" s="10133"/>
      <c r="AI1097" s="10133"/>
      <c r="AJ1097" s="10133"/>
      <c r="AK1097" s="10133"/>
      <c r="AL1097" s="10133"/>
      <c r="AM1097" s="10133"/>
      <c r="AN1097" s="10134"/>
      <c r="AO1097" s="10132"/>
      <c r="AP1097" s="10133"/>
      <c r="AQ1097" s="10133"/>
      <c r="AR1097" s="10133"/>
      <c r="AS1097" s="10133"/>
      <c r="AT1097" s="10134"/>
      <c r="AU1097" s="10135"/>
      <c r="AV1097" s="10135"/>
      <c r="AW1097" s="10135"/>
      <c r="AX1097" s="10127"/>
      <c r="AY1097" s="10130"/>
      <c r="AZ1097" s="10135"/>
      <c r="BA1097" s="10127"/>
      <c r="BB1097" s="10129"/>
      <c r="BC1097" s="10130"/>
      <c r="BD1097" s="10136"/>
      <c r="BF1097" s="14546"/>
      <c r="BG1097" s="14546"/>
      <c r="BH1097" s="14546"/>
      <c r="BI1097" s="14546"/>
      <c r="BJ1097" s="14546"/>
      <c r="BK1097" s="10567"/>
      <c r="BL1097" s="14546"/>
      <c r="BM1097" s="14546"/>
      <c r="BN1097" s="14546"/>
    </row>
    <row r="1098" spans="1:66" ht="30" hidden="1" customHeight="1">
      <c r="A1098" s="13673">
        <v>681</v>
      </c>
      <c r="B1098" s="14248" t="s">
        <v>5084</v>
      </c>
      <c r="C1098" s="13602"/>
      <c r="D1098" s="7880" t="s">
        <v>218</v>
      </c>
      <c r="E1098" s="7836" t="s">
        <v>223</v>
      </c>
      <c r="F1098" s="7837"/>
      <c r="G1098" s="14249" t="s">
        <v>225</v>
      </c>
      <c r="H1098" s="13429" t="s">
        <v>226</v>
      </c>
      <c r="I1098" s="14199">
        <v>8</v>
      </c>
      <c r="K1098" s="10127"/>
      <c r="L1098" s="10128"/>
      <c r="M1098" s="10128"/>
      <c r="N1098" s="10129"/>
      <c r="O1098" s="10129"/>
      <c r="P1098" s="10130"/>
      <c r="Q1098" s="10131"/>
      <c r="R1098" s="10132"/>
      <c r="S1098" s="10133"/>
      <c r="T1098" s="10134"/>
      <c r="U1098" s="10131"/>
      <c r="V1098" s="10132"/>
      <c r="W1098" s="10134"/>
      <c r="X1098" s="10132"/>
      <c r="Y1098" s="10134"/>
      <c r="Z1098" s="10132"/>
      <c r="AA1098" s="10133"/>
      <c r="AB1098" s="10133"/>
      <c r="AC1098" s="10133"/>
      <c r="AD1098" s="10133"/>
      <c r="AE1098" s="10133"/>
      <c r="AF1098" s="10134"/>
      <c r="AG1098" s="10132"/>
      <c r="AH1098" s="10133"/>
      <c r="AI1098" s="10133"/>
      <c r="AJ1098" s="10133"/>
      <c r="AK1098" s="10133"/>
      <c r="AL1098" s="10133"/>
      <c r="AM1098" s="10133"/>
      <c r="AN1098" s="10134"/>
      <c r="AO1098" s="10132"/>
      <c r="AP1098" s="10133"/>
      <c r="AQ1098" s="10133"/>
      <c r="AR1098" s="10133"/>
      <c r="AS1098" s="10133"/>
      <c r="AT1098" s="10134"/>
      <c r="AU1098" s="10135"/>
      <c r="AV1098" s="10135"/>
      <c r="AW1098" s="10135"/>
      <c r="AX1098" s="10127"/>
      <c r="AY1098" s="10130"/>
      <c r="AZ1098" s="10135"/>
      <c r="BA1098" s="10127"/>
      <c r="BB1098" s="10129"/>
      <c r="BC1098" s="10130"/>
      <c r="BD1098" s="10136"/>
      <c r="BF1098" s="14546"/>
      <c r="BG1098" s="14546"/>
      <c r="BH1098" s="14546"/>
      <c r="BI1098" s="14546"/>
      <c r="BJ1098" s="14546"/>
      <c r="BK1098" s="10567"/>
      <c r="BL1098" s="14546"/>
      <c r="BM1098" s="14546"/>
      <c r="BN1098" s="14546"/>
    </row>
    <row r="1099" spans="1:66" ht="30" hidden="1" customHeight="1">
      <c r="A1099" s="13673"/>
      <c r="B1099" s="14248"/>
      <c r="C1099" s="13602"/>
      <c r="D1099" s="7880" t="s">
        <v>10251</v>
      </c>
      <c r="E1099" s="7836"/>
      <c r="F1099" s="7837" t="s">
        <v>228</v>
      </c>
      <c r="G1099" s="14249"/>
      <c r="H1099" s="13429"/>
      <c r="I1099" s="14199"/>
      <c r="K1099" s="10127"/>
      <c r="L1099" s="10128"/>
      <c r="M1099" s="10128"/>
      <c r="N1099" s="10129"/>
      <c r="O1099" s="10129"/>
      <c r="P1099" s="10130"/>
      <c r="Q1099" s="10131"/>
      <c r="R1099" s="10132"/>
      <c r="S1099" s="10133"/>
      <c r="T1099" s="10134"/>
      <c r="U1099" s="10131"/>
      <c r="V1099" s="10132"/>
      <c r="W1099" s="10134"/>
      <c r="X1099" s="10132"/>
      <c r="Y1099" s="10134"/>
      <c r="Z1099" s="10132"/>
      <c r="AA1099" s="10133"/>
      <c r="AB1099" s="10133"/>
      <c r="AC1099" s="10133"/>
      <c r="AD1099" s="10133"/>
      <c r="AE1099" s="10133"/>
      <c r="AF1099" s="10134"/>
      <c r="AG1099" s="10132"/>
      <c r="AH1099" s="10133"/>
      <c r="AI1099" s="10133"/>
      <c r="AJ1099" s="10133"/>
      <c r="AK1099" s="10133"/>
      <c r="AL1099" s="10133"/>
      <c r="AM1099" s="10133"/>
      <c r="AN1099" s="10134"/>
      <c r="AO1099" s="10132"/>
      <c r="AP1099" s="10133"/>
      <c r="AQ1099" s="10133"/>
      <c r="AR1099" s="10133"/>
      <c r="AS1099" s="10133"/>
      <c r="AT1099" s="10134"/>
      <c r="AU1099" s="10135"/>
      <c r="AV1099" s="10135"/>
      <c r="AW1099" s="10135"/>
      <c r="AX1099" s="10127"/>
      <c r="AY1099" s="10130"/>
      <c r="AZ1099" s="10135"/>
      <c r="BA1099" s="10127"/>
      <c r="BB1099" s="10129"/>
      <c r="BC1099" s="10130"/>
      <c r="BD1099" s="10136"/>
      <c r="BF1099" s="14546"/>
      <c r="BG1099" s="14546"/>
      <c r="BH1099" s="14546"/>
      <c r="BI1099" s="14546"/>
      <c r="BJ1099" s="14546"/>
      <c r="BK1099" s="10567"/>
      <c r="BL1099" s="14546"/>
      <c r="BM1099" s="14546"/>
      <c r="BN1099" s="14546"/>
    </row>
    <row r="1100" spans="1:66" ht="30" hidden="1" customHeight="1">
      <c r="A1100" s="13673">
        <v>682</v>
      </c>
      <c r="B1100" s="14248" t="s">
        <v>5085</v>
      </c>
      <c r="C1100" s="13602"/>
      <c r="D1100" s="7880" t="s">
        <v>218</v>
      </c>
      <c r="E1100" s="7836" t="s">
        <v>223</v>
      </c>
      <c r="F1100" s="7837"/>
      <c r="G1100" s="14249" t="s">
        <v>229</v>
      </c>
      <c r="H1100" s="13429" t="s">
        <v>230</v>
      </c>
      <c r="I1100" s="14199">
        <v>1</v>
      </c>
      <c r="K1100" s="10127"/>
      <c r="L1100" s="10128"/>
      <c r="M1100" s="10128"/>
      <c r="N1100" s="10129"/>
      <c r="O1100" s="10129"/>
      <c r="P1100" s="10130"/>
      <c r="Q1100" s="10131"/>
      <c r="R1100" s="10132"/>
      <c r="S1100" s="10133"/>
      <c r="T1100" s="10134"/>
      <c r="U1100" s="10131"/>
      <c r="V1100" s="10132"/>
      <c r="W1100" s="10134"/>
      <c r="X1100" s="10132"/>
      <c r="Y1100" s="10134"/>
      <c r="Z1100" s="10132"/>
      <c r="AA1100" s="10133"/>
      <c r="AB1100" s="10133"/>
      <c r="AC1100" s="10133"/>
      <c r="AD1100" s="10133"/>
      <c r="AE1100" s="10133"/>
      <c r="AF1100" s="10134"/>
      <c r="AG1100" s="10132"/>
      <c r="AH1100" s="10133"/>
      <c r="AI1100" s="10133"/>
      <c r="AJ1100" s="10133"/>
      <c r="AK1100" s="10133"/>
      <c r="AL1100" s="10133"/>
      <c r="AM1100" s="10133"/>
      <c r="AN1100" s="10134"/>
      <c r="AO1100" s="10132"/>
      <c r="AP1100" s="10133"/>
      <c r="AQ1100" s="10133"/>
      <c r="AR1100" s="10133"/>
      <c r="AS1100" s="10133"/>
      <c r="AT1100" s="10134"/>
      <c r="AU1100" s="10135"/>
      <c r="AV1100" s="10135"/>
      <c r="AW1100" s="10135"/>
      <c r="AX1100" s="10127"/>
      <c r="AY1100" s="10130"/>
      <c r="AZ1100" s="10135"/>
      <c r="BA1100" s="10127"/>
      <c r="BB1100" s="10129"/>
      <c r="BC1100" s="10130"/>
      <c r="BD1100" s="10136"/>
      <c r="BF1100" s="14546"/>
      <c r="BG1100" s="14546"/>
      <c r="BH1100" s="14546"/>
      <c r="BI1100" s="14546"/>
      <c r="BJ1100" s="14546"/>
      <c r="BK1100" s="10567"/>
      <c r="BL1100" s="14546"/>
      <c r="BM1100" s="14546"/>
      <c r="BN1100" s="14546"/>
    </row>
    <row r="1101" spans="1:66" ht="30" hidden="1" customHeight="1">
      <c r="A1101" s="13673"/>
      <c r="B1101" s="14248"/>
      <c r="C1101" s="13602"/>
      <c r="D1101" s="7880" t="s">
        <v>10251</v>
      </c>
      <c r="E1101" s="7836"/>
      <c r="F1101" s="7837" t="s">
        <v>224</v>
      </c>
      <c r="G1101" s="14249"/>
      <c r="H1101" s="13429"/>
      <c r="I1101" s="14199"/>
      <c r="K1101" s="10127"/>
      <c r="L1101" s="10128"/>
      <c r="M1101" s="10128"/>
      <c r="N1101" s="10129"/>
      <c r="O1101" s="10129"/>
      <c r="P1101" s="10130"/>
      <c r="Q1101" s="10131"/>
      <c r="R1101" s="10132"/>
      <c r="S1101" s="10133"/>
      <c r="T1101" s="10134"/>
      <c r="U1101" s="10131"/>
      <c r="V1101" s="10132"/>
      <c r="W1101" s="10134"/>
      <c r="X1101" s="10132"/>
      <c r="Y1101" s="10134"/>
      <c r="Z1101" s="10132"/>
      <c r="AA1101" s="10133"/>
      <c r="AB1101" s="10133"/>
      <c r="AC1101" s="10133"/>
      <c r="AD1101" s="10133"/>
      <c r="AE1101" s="10133"/>
      <c r="AF1101" s="10134"/>
      <c r="AG1101" s="10132"/>
      <c r="AH1101" s="10133"/>
      <c r="AI1101" s="10133"/>
      <c r="AJ1101" s="10133"/>
      <c r="AK1101" s="10133"/>
      <c r="AL1101" s="10133"/>
      <c r="AM1101" s="10133"/>
      <c r="AN1101" s="10134"/>
      <c r="AO1101" s="10132"/>
      <c r="AP1101" s="10133"/>
      <c r="AQ1101" s="10133"/>
      <c r="AR1101" s="10133"/>
      <c r="AS1101" s="10133"/>
      <c r="AT1101" s="10134"/>
      <c r="AU1101" s="10135"/>
      <c r="AV1101" s="10135"/>
      <c r="AW1101" s="10135"/>
      <c r="AX1101" s="10127"/>
      <c r="AY1101" s="10130"/>
      <c r="AZ1101" s="10135"/>
      <c r="BA1101" s="10127"/>
      <c r="BB1101" s="10129"/>
      <c r="BC1101" s="10130"/>
      <c r="BD1101" s="10136"/>
      <c r="BF1101" s="14546"/>
      <c r="BG1101" s="14546"/>
      <c r="BH1101" s="14546"/>
      <c r="BI1101" s="14546"/>
      <c r="BJ1101" s="14546"/>
      <c r="BK1101" s="10567"/>
      <c r="BL1101" s="14546"/>
      <c r="BM1101" s="14546"/>
      <c r="BN1101" s="14546"/>
    </row>
    <row r="1102" spans="1:66" ht="30" hidden="1" customHeight="1">
      <c r="A1102" s="13673">
        <v>683</v>
      </c>
      <c r="B1102" s="14248" t="s">
        <v>5086</v>
      </c>
      <c r="C1102" s="13602"/>
      <c r="D1102" s="7880" t="s">
        <v>218</v>
      </c>
      <c r="E1102" s="7836" t="s">
        <v>223</v>
      </c>
      <c r="F1102" s="7837"/>
      <c r="G1102" s="14249" t="s">
        <v>232</v>
      </c>
      <c r="H1102" s="13429" t="s">
        <v>233</v>
      </c>
      <c r="I1102" s="14199">
        <v>6</v>
      </c>
      <c r="K1102" s="10127"/>
      <c r="L1102" s="10128"/>
      <c r="M1102" s="10128"/>
      <c r="N1102" s="10129"/>
      <c r="O1102" s="10129"/>
      <c r="P1102" s="10130"/>
      <c r="Q1102" s="10131"/>
      <c r="R1102" s="10132"/>
      <c r="S1102" s="10133"/>
      <c r="T1102" s="10134"/>
      <c r="U1102" s="10131"/>
      <c r="V1102" s="10132"/>
      <c r="W1102" s="10134"/>
      <c r="X1102" s="10132"/>
      <c r="Y1102" s="10134"/>
      <c r="Z1102" s="10132"/>
      <c r="AA1102" s="10133"/>
      <c r="AB1102" s="10133"/>
      <c r="AC1102" s="10133"/>
      <c r="AD1102" s="10133"/>
      <c r="AE1102" s="10133"/>
      <c r="AF1102" s="10134"/>
      <c r="AG1102" s="10132"/>
      <c r="AH1102" s="10133"/>
      <c r="AI1102" s="10133"/>
      <c r="AJ1102" s="10133"/>
      <c r="AK1102" s="10133"/>
      <c r="AL1102" s="10133"/>
      <c r="AM1102" s="10133"/>
      <c r="AN1102" s="10134"/>
      <c r="AO1102" s="10132"/>
      <c r="AP1102" s="10133"/>
      <c r="AQ1102" s="10133"/>
      <c r="AR1102" s="10133"/>
      <c r="AS1102" s="10133"/>
      <c r="AT1102" s="10134"/>
      <c r="AU1102" s="10135"/>
      <c r="AV1102" s="10135"/>
      <c r="AW1102" s="10135"/>
      <c r="AX1102" s="10127"/>
      <c r="AY1102" s="10130"/>
      <c r="AZ1102" s="10135"/>
      <c r="BA1102" s="10127"/>
      <c r="BB1102" s="10129"/>
      <c r="BC1102" s="10130"/>
      <c r="BD1102" s="10136"/>
      <c r="BF1102" s="14546"/>
      <c r="BG1102" s="14546"/>
      <c r="BH1102" s="14546"/>
      <c r="BI1102" s="14546"/>
      <c r="BJ1102" s="14546"/>
      <c r="BK1102" s="10567"/>
      <c r="BL1102" s="14546"/>
      <c r="BM1102" s="14546"/>
      <c r="BN1102" s="14546"/>
    </row>
    <row r="1103" spans="1:66" ht="30" hidden="1" customHeight="1">
      <c r="A1103" s="13673"/>
      <c r="B1103" s="14248"/>
      <c r="C1103" s="13602"/>
      <c r="D1103" s="7880" t="s">
        <v>10251</v>
      </c>
      <c r="E1103" s="7836"/>
      <c r="F1103" s="7837" t="s">
        <v>235</v>
      </c>
      <c r="G1103" s="14249"/>
      <c r="H1103" s="13429"/>
      <c r="I1103" s="14199"/>
      <c r="K1103" s="10127"/>
      <c r="L1103" s="10128"/>
      <c r="M1103" s="10128"/>
      <c r="N1103" s="10129"/>
      <c r="O1103" s="10129"/>
      <c r="P1103" s="10130"/>
      <c r="Q1103" s="10131"/>
      <c r="R1103" s="10132"/>
      <c r="S1103" s="10133"/>
      <c r="T1103" s="10134"/>
      <c r="U1103" s="10131"/>
      <c r="V1103" s="10132"/>
      <c r="W1103" s="10134"/>
      <c r="X1103" s="10132"/>
      <c r="Y1103" s="10134"/>
      <c r="Z1103" s="10132"/>
      <c r="AA1103" s="10133"/>
      <c r="AB1103" s="10133"/>
      <c r="AC1103" s="10133"/>
      <c r="AD1103" s="10133"/>
      <c r="AE1103" s="10133"/>
      <c r="AF1103" s="10134"/>
      <c r="AG1103" s="10132"/>
      <c r="AH1103" s="10133"/>
      <c r="AI1103" s="10133"/>
      <c r="AJ1103" s="10133"/>
      <c r="AK1103" s="10133"/>
      <c r="AL1103" s="10133"/>
      <c r="AM1103" s="10133"/>
      <c r="AN1103" s="10134"/>
      <c r="AO1103" s="10132"/>
      <c r="AP1103" s="10133"/>
      <c r="AQ1103" s="10133"/>
      <c r="AR1103" s="10133"/>
      <c r="AS1103" s="10133"/>
      <c r="AT1103" s="10134"/>
      <c r="AU1103" s="10135"/>
      <c r="AV1103" s="10135"/>
      <c r="AW1103" s="10135"/>
      <c r="AX1103" s="10127"/>
      <c r="AY1103" s="10130"/>
      <c r="AZ1103" s="10135"/>
      <c r="BA1103" s="10127"/>
      <c r="BB1103" s="10129"/>
      <c r="BC1103" s="10130"/>
      <c r="BD1103" s="10136"/>
      <c r="BF1103" s="14546"/>
      <c r="BG1103" s="14546"/>
      <c r="BH1103" s="14546"/>
      <c r="BI1103" s="14546"/>
      <c r="BJ1103" s="14546"/>
      <c r="BK1103" s="10567"/>
      <c r="BL1103" s="14546"/>
      <c r="BM1103" s="14546"/>
      <c r="BN1103" s="14546"/>
    </row>
    <row r="1104" spans="1:66" ht="30" hidden="1" customHeight="1">
      <c r="A1104" s="10568">
        <v>684</v>
      </c>
      <c r="B1104" s="10569" t="s">
        <v>5087</v>
      </c>
      <c r="C1104" s="13602"/>
      <c r="D1104" s="7880" t="s">
        <v>218</v>
      </c>
      <c r="E1104" s="7836" t="s">
        <v>223</v>
      </c>
      <c r="F1104" s="7837"/>
      <c r="G1104" s="12383" t="s">
        <v>236</v>
      </c>
      <c r="H1104" s="7862" t="s">
        <v>237</v>
      </c>
      <c r="I1104" s="7644">
        <v>2</v>
      </c>
      <c r="K1104" s="10570"/>
      <c r="L1104" s="10571"/>
      <c r="M1104" s="10571"/>
      <c r="N1104" s="10572"/>
      <c r="O1104" s="10572"/>
      <c r="P1104" s="10573"/>
      <c r="Q1104" s="10574"/>
      <c r="R1104" s="10575"/>
      <c r="S1104" s="10576"/>
      <c r="T1104" s="10577"/>
      <c r="U1104" s="10574"/>
      <c r="V1104" s="10575"/>
      <c r="W1104" s="10577"/>
      <c r="X1104" s="10575"/>
      <c r="Y1104" s="10577"/>
      <c r="Z1104" s="10575"/>
      <c r="AA1104" s="10576"/>
      <c r="AB1104" s="10576"/>
      <c r="AC1104" s="10576"/>
      <c r="AD1104" s="10576"/>
      <c r="AE1104" s="10576"/>
      <c r="AF1104" s="10577"/>
      <c r="AG1104" s="10575"/>
      <c r="AH1104" s="10576"/>
      <c r="AI1104" s="10576"/>
      <c r="AJ1104" s="10576"/>
      <c r="AK1104" s="10576"/>
      <c r="AL1104" s="10576"/>
      <c r="AM1104" s="10576"/>
      <c r="AN1104" s="10577"/>
      <c r="AO1104" s="10575"/>
      <c r="AP1104" s="10576"/>
      <c r="AQ1104" s="10576"/>
      <c r="AR1104" s="10576"/>
      <c r="AS1104" s="10576"/>
      <c r="AT1104" s="10577"/>
      <c r="AU1104" s="10578"/>
      <c r="AV1104" s="10578"/>
      <c r="AW1104" s="10578"/>
      <c r="AX1104" s="10570"/>
      <c r="AY1104" s="10573"/>
      <c r="AZ1104" s="10578"/>
      <c r="BA1104" s="10570"/>
      <c r="BB1104" s="10572"/>
      <c r="BC1104" s="10573"/>
      <c r="BD1104" s="10579"/>
      <c r="BF1104" s="10567"/>
      <c r="BG1104" s="10567"/>
      <c r="BH1104" s="10567"/>
      <c r="BI1104" s="10567"/>
      <c r="BJ1104" s="10567"/>
      <c r="BK1104" s="10567"/>
      <c r="BL1104" s="10567"/>
      <c r="BM1104" s="10567"/>
      <c r="BN1104" s="10567"/>
    </row>
    <row r="1105" spans="1:66" ht="30" hidden="1" customHeight="1">
      <c r="A1105" s="10568">
        <v>685</v>
      </c>
      <c r="B1105" s="10569" t="s">
        <v>5088</v>
      </c>
      <c r="C1105" s="13602"/>
      <c r="D1105" s="7880" t="s">
        <v>218</v>
      </c>
      <c r="E1105" s="7836" t="s">
        <v>223</v>
      </c>
      <c r="F1105" s="7837"/>
      <c r="G1105" s="12383" t="s">
        <v>239</v>
      </c>
      <c r="H1105" s="7862" t="s">
        <v>240</v>
      </c>
      <c r="I1105" s="7644">
        <v>1</v>
      </c>
      <c r="K1105" s="10570"/>
      <c r="L1105" s="10571"/>
      <c r="M1105" s="10571"/>
      <c r="N1105" s="10572"/>
      <c r="O1105" s="10572"/>
      <c r="P1105" s="10573"/>
      <c r="Q1105" s="10574"/>
      <c r="R1105" s="10575"/>
      <c r="S1105" s="10576"/>
      <c r="T1105" s="10577"/>
      <c r="U1105" s="10574"/>
      <c r="V1105" s="10575"/>
      <c r="W1105" s="10577"/>
      <c r="X1105" s="10575"/>
      <c r="Y1105" s="10577"/>
      <c r="Z1105" s="10575"/>
      <c r="AA1105" s="10576"/>
      <c r="AB1105" s="10576"/>
      <c r="AC1105" s="10576"/>
      <c r="AD1105" s="10576"/>
      <c r="AE1105" s="10576"/>
      <c r="AF1105" s="10577"/>
      <c r="AG1105" s="10575"/>
      <c r="AH1105" s="10576"/>
      <c r="AI1105" s="10576"/>
      <c r="AJ1105" s="10576"/>
      <c r="AK1105" s="10576"/>
      <c r="AL1105" s="10576"/>
      <c r="AM1105" s="10576"/>
      <c r="AN1105" s="10577"/>
      <c r="AO1105" s="10575"/>
      <c r="AP1105" s="10576"/>
      <c r="AQ1105" s="10576"/>
      <c r="AR1105" s="10576"/>
      <c r="AS1105" s="10576"/>
      <c r="AT1105" s="10577"/>
      <c r="AU1105" s="10578"/>
      <c r="AV1105" s="10578"/>
      <c r="AW1105" s="10578"/>
      <c r="AX1105" s="10570"/>
      <c r="AY1105" s="10573"/>
      <c r="AZ1105" s="10578"/>
      <c r="BA1105" s="10570"/>
      <c r="BB1105" s="10572"/>
      <c r="BC1105" s="10573"/>
      <c r="BD1105" s="10579"/>
      <c r="BF1105" s="10567"/>
      <c r="BG1105" s="10567"/>
      <c r="BH1105" s="10567"/>
      <c r="BI1105" s="10567"/>
      <c r="BJ1105" s="10567"/>
      <c r="BK1105" s="10567"/>
      <c r="BL1105" s="10567"/>
      <c r="BM1105" s="10567"/>
      <c r="BN1105" s="10567"/>
    </row>
    <row r="1106" spans="1:66" ht="30" hidden="1" customHeight="1">
      <c r="A1106" s="10568">
        <v>686</v>
      </c>
      <c r="B1106" s="10569" t="s">
        <v>5089</v>
      </c>
      <c r="C1106" s="13602"/>
      <c r="D1106" s="7880" t="s">
        <v>218</v>
      </c>
      <c r="E1106" s="7836" t="s">
        <v>223</v>
      </c>
      <c r="F1106" s="7837"/>
      <c r="G1106" s="12383" t="s">
        <v>241</v>
      </c>
      <c r="H1106" s="7862" t="s">
        <v>242</v>
      </c>
      <c r="I1106" s="7644">
        <v>3</v>
      </c>
      <c r="K1106" s="10570"/>
      <c r="L1106" s="10571"/>
      <c r="M1106" s="10571"/>
      <c r="N1106" s="10572"/>
      <c r="O1106" s="10572"/>
      <c r="P1106" s="10573"/>
      <c r="Q1106" s="10574"/>
      <c r="R1106" s="10575"/>
      <c r="S1106" s="10576"/>
      <c r="T1106" s="10577"/>
      <c r="U1106" s="10574"/>
      <c r="V1106" s="10575"/>
      <c r="W1106" s="10577"/>
      <c r="X1106" s="10575"/>
      <c r="Y1106" s="10577"/>
      <c r="Z1106" s="10575"/>
      <c r="AA1106" s="10576"/>
      <c r="AB1106" s="10576"/>
      <c r="AC1106" s="10576"/>
      <c r="AD1106" s="10576"/>
      <c r="AE1106" s="10576"/>
      <c r="AF1106" s="10577"/>
      <c r="AG1106" s="10575"/>
      <c r="AH1106" s="10576"/>
      <c r="AI1106" s="10576"/>
      <c r="AJ1106" s="10576"/>
      <c r="AK1106" s="10576"/>
      <c r="AL1106" s="10576"/>
      <c r="AM1106" s="10576"/>
      <c r="AN1106" s="10577"/>
      <c r="AO1106" s="10575"/>
      <c r="AP1106" s="10576"/>
      <c r="AQ1106" s="10576"/>
      <c r="AR1106" s="10576"/>
      <c r="AS1106" s="10576"/>
      <c r="AT1106" s="10577"/>
      <c r="AU1106" s="10578"/>
      <c r="AV1106" s="10578"/>
      <c r="AW1106" s="10578"/>
      <c r="AX1106" s="10570"/>
      <c r="AY1106" s="10573"/>
      <c r="AZ1106" s="10578"/>
      <c r="BA1106" s="10570"/>
      <c r="BB1106" s="10572"/>
      <c r="BC1106" s="10573"/>
      <c r="BD1106" s="10579"/>
      <c r="BF1106" s="10567"/>
      <c r="BG1106" s="10567"/>
      <c r="BH1106" s="10567"/>
      <c r="BI1106" s="10567"/>
      <c r="BJ1106" s="10567"/>
      <c r="BK1106" s="10567"/>
      <c r="BL1106" s="10567"/>
      <c r="BM1106" s="10567"/>
      <c r="BN1106" s="10567"/>
    </row>
    <row r="1107" spans="1:66" ht="30" hidden="1" customHeight="1">
      <c r="A1107" s="13673">
        <v>687</v>
      </c>
      <c r="B1107" s="14248" t="s">
        <v>5090</v>
      </c>
      <c r="C1107" s="13602"/>
      <c r="D1107" s="7880" t="s">
        <v>218</v>
      </c>
      <c r="E1107" s="7836" t="s">
        <v>223</v>
      </c>
      <c r="F1107" s="12384"/>
      <c r="G1107" s="14249" t="s">
        <v>244</v>
      </c>
      <c r="H1107" s="13429" t="s">
        <v>245</v>
      </c>
      <c r="I1107" s="14199">
        <v>4</v>
      </c>
      <c r="K1107" s="10127"/>
      <c r="L1107" s="10128"/>
      <c r="M1107" s="10128"/>
      <c r="N1107" s="10129"/>
      <c r="O1107" s="10129"/>
      <c r="P1107" s="10130"/>
      <c r="Q1107" s="10131"/>
      <c r="R1107" s="10132"/>
      <c r="S1107" s="10133"/>
      <c r="T1107" s="10134"/>
      <c r="U1107" s="10131"/>
      <c r="V1107" s="10132"/>
      <c r="W1107" s="10134"/>
      <c r="X1107" s="10132"/>
      <c r="Y1107" s="10134"/>
      <c r="Z1107" s="10132"/>
      <c r="AA1107" s="10133"/>
      <c r="AB1107" s="10133"/>
      <c r="AC1107" s="10133"/>
      <c r="AD1107" s="10133"/>
      <c r="AE1107" s="10133"/>
      <c r="AF1107" s="10134"/>
      <c r="AG1107" s="10132"/>
      <c r="AH1107" s="10133"/>
      <c r="AI1107" s="10133"/>
      <c r="AJ1107" s="10133"/>
      <c r="AK1107" s="10133"/>
      <c r="AL1107" s="10133"/>
      <c r="AM1107" s="10133"/>
      <c r="AN1107" s="10134"/>
      <c r="AO1107" s="10132"/>
      <c r="AP1107" s="10133"/>
      <c r="AQ1107" s="10133"/>
      <c r="AR1107" s="10133"/>
      <c r="AS1107" s="10133"/>
      <c r="AT1107" s="10134"/>
      <c r="AU1107" s="10135"/>
      <c r="AV1107" s="10135"/>
      <c r="AW1107" s="10135"/>
      <c r="AX1107" s="10127"/>
      <c r="AY1107" s="10130"/>
      <c r="AZ1107" s="10135"/>
      <c r="BA1107" s="10127"/>
      <c r="BB1107" s="10129"/>
      <c r="BC1107" s="10130"/>
      <c r="BD1107" s="10136"/>
      <c r="BF1107" s="14546"/>
      <c r="BG1107" s="14546"/>
      <c r="BH1107" s="14546"/>
      <c r="BI1107" s="14546"/>
      <c r="BJ1107" s="14546"/>
      <c r="BK1107" s="10567"/>
      <c r="BL1107" s="14546"/>
      <c r="BM1107" s="14546"/>
      <c r="BN1107" s="14546"/>
    </row>
    <row r="1108" spans="1:66" ht="30" hidden="1" customHeight="1">
      <c r="A1108" s="13673"/>
      <c r="B1108" s="14248"/>
      <c r="C1108" s="13602"/>
      <c r="D1108" s="7880" t="s">
        <v>10063</v>
      </c>
      <c r="E1108" s="7836"/>
      <c r="F1108" s="7837" t="s">
        <v>79</v>
      </c>
      <c r="G1108" s="14249"/>
      <c r="H1108" s="13429"/>
      <c r="I1108" s="14199"/>
      <c r="K1108" s="10127"/>
      <c r="L1108" s="10128"/>
      <c r="M1108" s="10128"/>
      <c r="N1108" s="10129"/>
      <c r="O1108" s="10129"/>
      <c r="P1108" s="10130"/>
      <c r="Q1108" s="10131"/>
      <c r="R1108" s="10132"/>
      <c r="S1108" s="10133"/>
      <c r="T1108" s="10134"/>
      <c r="U1108" s="10131"/>
      <c r="V1108" s="10132"/>
      <c r="W1108" s="10134"/>
      <c r="X1108" s="10132"/>
      <c r="Y1108" s="10134"/>
      <c r="Z1108" s="10132"/>
      <c r="AA1108" s="10133"/>
      <c r="AB1108" s="10133"/>
      <c r="AC1108" s="10133"/>
      <c r="AD1108" s="10133"/>
      <c r="AE1108" s="10133"/>
      <c r="AF1108" s="10134"/>
      <c r="AG1108" s="10132"/>
      <c r="AH1108" s="10133"/>
      <c r="AI1108" s="10133"/>
      <c r="AJ1108" s="10133"/>
      <c r="AK1108" s="10133"/>
      <c r="AL1108" s="10133"/>
      <c r="AM1108" s="10133"/>
      <c r="AN1108" s="10134"/>
      <c r="AO1108" s="10132"/>
      <c r="AP1108" s="10133"/>
      <c r="AQ1108" s="10133"/>
      <c r="AR1108" s="10133"/>
      <c r="AS1108" s="10133"/>
      <c r="AT1108" s="10134"/>
      <c r="AU1108" s="10135"/>
      <c r="AV1108" s="10135"/>
      <c r="AW1108" s="10135"/>
      <c r="AX1108" s="10127"/>
      <c r="AY1108" s="10130"/>
      <c r="AZ1108" s="10135"/>
      <c r="BA1108" s="10127"/>
      <c r="BB1108" s="10129"/>
      <c r="BC1108" s="10130"/>
      <c r="BD1108" s="10136"/>
      <c r="BF1108" s="14546"/>
      <c r="BG1108" s="14546"/>
      <c r="BH1108" s="14546"/>
      <c r="BI1108" s="14546"/>
      <c r="BJ1108" s="14546"/>
      <c r="BK1108" s="10567"/>
      <c r="BL1108" s="14546"/>
      <c r="BM1108" s="14546"/>
      <c r="BN1108" s="14546"/>
    </row>
    <row r="1109" spans="1:66" ht="30" hidden="1" customHeight="1" thickBot="1">
      <c r="A1109" s="10580">
        <v>688</v>
      </c>
      <c r="B1109" s="10581" t="s">
        <v>5091</v>
      </c>
      <c r="C1109" s="13602"/>
      <c r="D1109" s="7881" t="s">
        <v>218</v>
      </c>
      <c r="E1109" s="7817" t="s">
        <v>223</v>
      </c>
      <c r="F1109" s="7838"/>
      <c r="G1109" s="12385" t="s">
        <v>246</v>
      </c>
      <c r="H1109" s="7863" t="s">
        <v>247</v>
      </c>
      <c r="I1109" s="7645">
        <v>10</v>
      </c>
      <c r="K1109" s="10583"/>
      <c r="L1109" s="10584"/>
      <c r="M1109" s="10584"/>
      <c r="N1109" s="10585"/>
      <c r="O1109" s="10585"/>
      <c r="P1109" s="10586"/>
      <c r="Q1109" s="10587"/>
      <c r="R1109" s="10588"/>
      <c r="S1109" s="10589"/>
      <c r="T1109" s="10590"/>
      <c r="U1109" s="10587"/>
      <c r="V1109" s="10588"/>
      <c r="W1109" s="10590"/>
      <c r="X1109" s="10588"/>
      <c r="Y1109" s="10590"/>
      <c r="Z1109" s="10588"/>
      <c r="AA1109" s="10589"/>
      <c r="AB1109" s="10589"/>
      <c r="AC1109" s="10589"/>
      <c r="AD1109" s="10589"/>
      <c r="AE1109" s="10589"/>
      <c r="AF1109" s="10590"/>
      <c r="AG1109" s="10588"/>
      <c r="AH1109" s="10589"/>
      <c r="AI1109" s="10589"/>
      <c r="AJ1109" s="10589"/>
      <c r="AK1109" s="10589"/>
      <c r="AL1109" s="10589"/>
      <c r="AM1109" s="10589"/>
      <c r="AN1109" s="10590"/>
      <c r="AO1109" s="10588"/>
      <c r="AP1109" s="10589"/>
      <c r="AQ1109" s="10589"/>
      <c r="AR1109" s="10589"/>
      <c r="AS1109" s="10589"/>
      <c r="AT1109" s="10590"/>
      <c r="AU1109" s="10591"/>
      <c r="AV1109" s="10591"/>
      <c r="AW1109" s="10591"/>
      <c r="AX1109" s="10583"/>
      <c r="AY1109" s="10586"/>
      <c r="AZ1109" s="10591"/>
      <c r="BA1109" s="10583"/>
      <c r="BB1109" s="10585"/>
      <c r="BC1109" s="10586"/>
      <c r="BD1109" s="10592"/>
      <c r="BF1109" s="10582"/>
      <c r="BG1109" s="10582"/>
      <c r="BH1109" s="10582"/>
      <c r="BI1109" s="10582"/>
      <c r="BJ1109" s="10582"/>
      <c r="BK1109" s="10582"/>
      <c r="BL1109" s="10582"/>
      <c r="BM1109" s="10582"/>
      <c r="BN1109" s="10582"/>
    </row>
    <row r="1110" spans="1:66" ht="30" hidden="1" customHeight="1">
      <c r="A1110" s="13674">
        <v>689</v>
      </c>
      <c r="B1110" s="14265" t="s">
        <v>5092</v>
      </c>
      <c r="C1110" s="13602"/>
      <c r="D1110" s="7882" t="s">
        <v>10072</v>
      </c>
      <c r="E1110" s="7839" t="s">
        <v>256</v>
      </c>
      <c r="F1110" s="12386"/>
      <c r="G1110" s="14266" t="s">
        <v>252</v>
      </c>
      <c r="H1110" s="13414" t="s">
        <v>253</v>
      </c>
      <c r="I1110" s="14190">
        <v>7</v>
      </c>
      <c r="K1110" s="10188"/>
      <c r="L1110" s="10189"/>
      <c r="M1110" s="10189"/>
      <c r="N1110" s="10190"/>
      <c r="O1110" s="10190"/>
      <c r="P1110" s="10191"/>
      <c r="Q1110" s="10192"/>
      <c r="R1110" s="10193"/>
      <c r="S1110" s="10194"/>
      <c r="T1110" s="10195"/>
      <c r="U1110" s="10192"/>
      <c r="V1110" s="10193"/>
      <c r="W1110" s="10195"/>
      <c r="X1110" s="10193"/>
      <c r="Y1110" s="10195"/>
      <c r="Z1110" s="10193"/>
      <c r="AA1110" s="10194"/>
      <c r="AB1110" s="10194"/>
      <c r="AC1110" s="10194"/>
      <c r="AD1110" s="10194"/>
      <c r="AE1110" s="10194"/>
      <c r="AF1110" s="10195"/>
      <c r="AG1110" s="10193"/>
      <c r="AH1110" s="10194"/>
      <c r="AI1110" s="10194"/>
      <c r="AJ1110" s="10194"/>
      <c r="AK1110" s="10194"/>
      <c r="AL1110" s="10194"/>
      <c r="AM1110" s="10194"/>
      <c r="AN1110" s="10195"/>
      <c r="AO1110" s="10193"/>
      <c r="AP1110" s="10194"/>
      <c r="AQ1110" s="10194"/>
      <c r="AR1110" s="10194"/>
      <c r="AS1110" s="10194"/>
      <c r="AT1110" s="10195"/>
      <c r="AU1110" s="10196"/>
      <c r="AV1110" s="10196"/>
      <c r="AW1110" s="10196"/>
      <c r="AX1110" s="10188"/>
      <c r="AY1110" s="10191"/>
      <c r="AZ1110" s="10196"/>
      <c r="BA1110" s="10188"/>
      <c r="BB1110" s="10190"/>
      <c r="BC1110" s="10191"/>
      <c r="BD1110" s="10197"/>
      <c r="BF1110" s="14547"/>
      <c r="BG1110" s="14547"/>
      <c r="BH1110" s="14547"/>
      <c r="BI1110" s="14547"/>
      <c r="BJ1110" s="14547"/>
      <c r="BK1110" s="9645"/>
      <c r="BL1110" s="14547"/>
      <c r="BM1110" s="14547"/>
      <c r="BN1110" s="14547"/>
    </row>
    <row r="1111" spans="1:66" ht="30" hidden="1" customHeight="1">
      <c r="A1111" s="13540"/>
      <c r="B1111" s="14096"/>
      <c r="C1111" s="13602"/>
      <c r="D1111" s="7647" t="s">
        <v>10194</v>
      </c>
      <c r="E1111" s="7840"/>
      <c r="F1111" s="7841" t="s">
        <v>257</v>
      </c>
      <c r="G1111" s="14097"/>
      <c r="H1111" s="13410"/>
      <c r="I1111" s="14115"/>
      <c r="K1111" s="9662"/>
      <c r="L1111" s="9653"/>
      <c r="M1111" s="9653"/>
      <c r="N1111" s="9663"/>
      <c r="O1111" s="9663"/>
      <c r="P1111" s="9664"/>
      <c r="Q1111" s="9656"/>
      <c r="R1111" s="9657"/>
      <c r="S1111" s="9658"/>
      <c r="T1111" s="9659"/>
      <c r="U1111" s="9656"/>
      <c r="V1111" s="9657"/>
      <c r="W1111" s="9659"/>
      <c r="X1111" s="9657"/>
      <c r="Y1111" s="9659"/>
      <c r="Z1111" s="9657"/>
      <c r="AA1111" s="9658"/>
      <c r="AB1111" s="9658"/>
      <c r="AC1111" s="9658"/>
      <c r="AD1111" s="9658"/>
      <c r="AE1111" s="9658"/>
      <c r="AF1111" s="9659"/>
      <c r="AG1111" s="9657"/>
      <c r="AH1111" s="9658"/>
      <c r="AI1111" s="9658"/>
      <c r="AJ1111" s="9658"/>
      <c r="AK1111" s="9658"/>
      <c r="AL1111" s="9658"/>
      <c r="AM1111" s="9658"/>
      <c r="AN1111" s="9659"/>
      <c r="AO1111" s="9657"/>
      <c r="AP1111" s="9658"/>
      <c r="AQ1111" s="9658"/>
      <c r="AR1111" s="9658"/>
      <c r="AS1111" s="9658"/>
      <c r="AT1111" s="9659"/>
      <c r="AU1111" s="9665"/>
      <c r="AV1111" s="9665"/>
      <c r="AW1111" s="9665"/>
      <c r="AX1111" s="9662"/>
      <c r="AY1111" s="9664"/>
      <c r="AZ1111" s="9665"/>
      <c r="BA1111" s="9662"/>
      <c r="BB1111" s="9663"/>
      <c r="BC1111" s="9664"/>
      <c r="BD1111" s="9666"/>
      <c r="BF1111" s="14494"/>
      <c r="BG1111" s="14494"/>
      <c r="BH1111" s="14494"/>
      <c r="BI1111" s="14494"/>
      <c r="BJ1111" s="14494"/>
      <c r="BK1111" s="8654"/>
      <c r="BL1111" s="14494"/>
      <c r="BM1111" s="14494"/>
      <c r="BN1111" s="14494"/>
    </row>
    <row r="1112" spans="1:66" ht="30" hidden="1" customHeight="1">
      <c r="A1112" s="8652">
        <v>690</v>
      </c>
      <c r="B1112" s="8653" t="s">
        <v>5093</v>
      </c>
      <c r="C1112" s="13602"/>
      <c r="D1112" s="7647" t="s">
        <v>10072</v>
      </c>
      <c r="E1112" s="7840" t="s">
        <v>256</v>
      </c>
      <c r="F1112" s="7842" t="s">
        <v>260</v>
      </c>
      <c r="G1112" s="11842" t="s">
        <v>258</v>
      </c>
      <c r="H1112" s="7864" t="s">
        <v>253</v>
      </c>
      <c r="I1112" s="7646">
        <v>5</v>
      </c>
      <c r="K1112" s="10594"/>
      <c r="L1112" s="10595"/>
      <c r="M1112" s="10595"/>
      <c r="N1112" s="10596"/>
      <c r="O1112" s="10596"/>
      <c r="P1112" s="10597"/>
      <c r="Q1112" s="10598"/>
      <c r="R1112" s="10599"/>
      <c r="S1112" s="10600"/>
      <c r="T1112" s="10601"/>
      <c r="U1112" s="10598"/>
      <c r="V1112" s="10599"/>
      <c r="W1112" s="10601"/>
      <c r="X1112" s="10599"/>
      <c r="Y1112" s="10601"/>
      <c r="Z1112" s="10599"/>
      <c r="AA1112" s="10600"/>
      <c r="AB1112" s="10600"/>
      <c r="AC1112" s="10600"/>
      <c r="AD1112" s="10600"/>
      <c r="AE1112" s="10600"/>
      <c r="AF1112" s="10601"/>
      <c r="AG1112" s="10599"/>
      <c r="AH1112" s="10600"/>
      <c r="AI1112" s="10600"/>
      <c r="AJ1112" s="10600"/>
      <c r="AK1112" s="10600"/>
      <c r="AL1112" s="10600"/>
      <c r="AM1112" s="10600"/>
      <c r="AN1112" s="10601"/>
      <c r="AO1112" s="10599"/>
      <c r="AP1112" s="10600"/>
      <c r="AQ1112" s="10600"/>
      <c r="AR1112" s="10600"/>
      <c r="AS1112" s="10600"/>
      <c r="AT1112" s="10601"/>
      <c r="AU1112" s="10602"/>
      <c r="AV1112" s="10602"/>
      <c r="AW1112" s="10602"/>
      <c r="AX1112" s="10594"/>
      <c r="AY1112" s="10597"/>
      <c r="AZ1112" s="10602"/>
      <c r="BA1112" s="10594"/>
      <c r="BB1112" s="10596"/>
      <c r="BC1112" s="10597"/>
      <c r="BD1112" s="10603"/>
      <c r="BF1112" s="8654"/>
      <c r="BG1112" s="8654"/>
      <c r="BH1112" s="8654"/>
      <c r="BI1112" s="8654"/>
      <c r="BJ1112" s="8654"/>
      <c r="BK1112" s="8654"/>
      <c r="BL1112" s="8654"/>
      <c r="BM1112" s="8654"/>
      <c r="BN1112" s="8654"/>
    </row>
    <row r="1113" spans="1:66" ht="30" hidden="1" customHeight="1">
      <c r="A1113" s="8652">
        <v>691</v>
      </c>
      <c r="B1113" s="8653" t="s">
        <v>5094</v>
      </c>
      <c r="C1113" s="13602"/>
      <c r="D1113" s="7647" t="s">
        <v>10072</v>
      </c>
      <c r="E1113" s="7840" t="s">
        <v>256</v>
      </c>
      <c r="F1113" s="7842" t="s">
        <v>260</v>
      </c>
      <c r="G1113" s="11842" t="s">
        <v>262</v>
      </c>
      <c r="H1113" s="7864" t="s">
        <v>263</v>
      </c>
      <c r="I1113" s="7646">
        <v>1</v>
      </c>
      <c r="K1113" s="10594"/>
      <c r="L1113" s="10595"/>
      <c r="M1113" s="10595"/>
      <c r="N1113" s="10596"/>
      <c r="O1113" s="10596"/>
      <c r="P1113" s="10597"/>
      <c r="Q1113" s="10598"/>
      <c r="R1113" s="10599"/>
      <c r="S1113" s="10600"/>
      <c r="T1113" s="10601"/>
      <c r="U1113" s="10598"/>
      <c r="V1113" s="10599"/>
      <c r="W1113" s="10601"/>
      <c r="X1113" s="10599"/>
      <c r="Y1113" s="10601"/>
      <c r="Z1113" s="10599"/>
      <c r="AA1113" s="10600"/>
      <c r="AB1113" s="10600"/>
      <c r="AC1113" s="10600"/>
      <c r="AD1113" s="10600"/>
      <c r="AE1113" s="10600"/>
      <c r="AF1113" s="10601"/>
      <c r="AG1113" s="10599"/>
      <c r="AH1113" s="10600"/>
      <c r="AI1113" s="10600"/>
      <c r="AJ1113" s="10600"/>
      <c r="AK1113" s="10600"/>
      <c r="AL1113" s="10600"/>
      <c r="AM1113" s="10600"/>
      <c r="AN1113" s="10601"/>
      <c r="AO1113" s="10599"/>
      <c r="AP1113" s="10600"/>
      <c r="AQ1113" s="10600"/>
      <c r="AR1113" s="10600"/>
      <c r="AS1113" s="10600"/>
      <c r="AT1113" s="10601"/>
      <c r="AU1113" s="10602"/>
      <c r="AV1113" s="10602"/>
      <c r="AW1113" s="10602"/>
      <c r="AX1113" s="10594"/>
      <c r="AY1113" s="10597"/>
      <c r="AZ1113" s="10602"/>
      <c r="BA1113" s="10594"/>
      <c r="BB1113" s="10596"/>
      <c r="BC1113" s="10597"/>
      <c r="BD1113" s="10603"/>
      <c r="BF1113" s="8654"/>
      <c r="BG1113" s="8654"/>
      <c r="BH1113" s="8654"/>
      <c r="BI1113" s="8654"/>
      <c r="BJ1113" s="8654"/>
      <c r="BK1113" s="8654"/>
      <c r="BL1113" s="8654"/>
      <c r="BM1113" s="8654"/>
      <c r="BN1113" s="8654"/>
    </row>
    <row r="1114" spans="1:66" ht="30" hidden="1" customHeight="1">
      <c r="A1114" s="8652">
        <v>692</v>
      </c>
      <c r="B1114" s="8653" t="s">
        <v>5095</v>
      </c>
      <c r="C1114" s="13602"/>
      <c r="D1114" s="7647" t="s">
        <v>10072</v>
      </c>
      <c r="E1114" s="7840" t="s">
        <v>256</v>
      </c>
      <c r="F1114" s="7842" t="s">
        <v>260</v>
      </c>
      <c r="G1114" s="11842" t="s">
        <v>265</v>
      </c>
      <c r="H1114" s="7864" t="s">
        <v>266</v>
      </c>
      <c r="I1114" s="7646">
        <v>1</v>
      </c>
      <c r="K1114" s="10594"/>
      <c r="L1114" s="10595"/>
      <c r="M1114" s="10595"/>
      <c r="N1114" s="10596"/>
      <c r="O1114" s="10596"/>
      <c r="P1114" s="10597"/>
      <c r="Q1114" s="10598"/>
      <c r="R1114" s="10599"/>
      <c r="S1114" s="10600"/>
      <c r="T1114" s="10601"/>
      <c r="U1114" s="10598"/>
      <c r="V1114" s="10599"/>
      <c r="W1114" s="10601"/>
      <c r="X1114" s="10599"/>
      <c r="Y1114" s="10601"/>
      <c r="Z1114" s="10599"/>
      <c r="AA1114" s="10600"/>
      <c r="AB1114" s="10600"/>
      <c r="AC1114" s="10600"/>
      <c r="AD1114" s="10600"/>
      <c r="AE1114" s="10600"/>
      <c r="AF1114" s="10601"/>
      <c r="AG1114" s="10599"/>
      <c r="AH1114" s="10600"/>
      <c r="AI1114" s="10600"/>
      <c r="AJ1114" s="10600"/>
      <c r="AK1114" s="10600"/>
      <c r="AL1114" s="10600"/>
      <c r="AM1114" s="10600"/>
      <c r="AN1114" s="10601"/>
      <c r="AO1114" s="10599"/>
      <c r="AP1114" s="10600"/>
      <c r="AQ1114" s="10600"/>
      <c r="AR1114" s="10600"/>
      <c r="AS1114" s="10600"/>
      <c r="AT1114" s="10601"/>
      <c r="AU1114" s="10602"/>
      <c r="AV1114" s="10602"/>
      <c r="AW1114" s="10602"/>
      <c r="AX1114" s="10594"/>
      <c r="AY1114" s="10597"/>
      <c r="AZ1114" s="10602"/>
      <c r="BA1114" s="10594"/>
      <c r="BB1114" s="10596"/>
      <c r="BC1114" s="10597"/>
      <c r="BD1114" s="10603"/>
      <c r="BF1114" s="8654"/>
      <c r="BG1114" s="8654"/>
      <c r="BH1114" s="8654"/>
      <c r="BI1114" s="8654"/>
      <c r="BJ1114" s="8654"/>
      <c r="BK1114" s="8654"/>
      <c r="BL1114" s="8654"/>
      <c r="BM1114" s="8654"/>
      <c r="BN1114" s="8654"/>
    </row>
    <row r="1115" spans="1:66" ht="30" hidden="1" customHeight="1">
      <c r="A1115" s="8652">
        <v>693</v>
      </c>
      <c r="B1115" s="8653" t="s">
        <v>5096</v>
      </c>
      <c r="C1115" s="13602"/>
      <c r="D1115" s="7647" t="s">
        <v>10072</v>
      </c>
      <c r="E1115" s="7840" t="s">
        <v>256</v>
      </c>
      <c r="F1115" s="7842" t="s">
        <v>260</v>
      </c>
      <c r="G1115" s="11842" t="s">
        <v>267</v>
      </c>
      <c r="H1115" s="7864" t="s">
        <v>268</v>
      </c>
      <c r="I1115" s="7648" t="s">
        <v>269</v>
      </c>
      <c r="K1115" s="10593"/>
      <c r="L1115" s="8240"/>
      <c r="M1115" s="8240"/>
      <c r="N1115" s="10604"/>
      <c r="O1115" s="10604"/>
      <c r="P1115" s="10605"/>
      <c r="Q1115" s="8243"/>
      <c r="R1115" s="8244"/>
      <c r="S1115" s="8245"/>
      <c r="T1115" s="8246"/>
      <c r="U1115" s="8243"/>
      <c r="V1115" s="8244"/>
      <c r="W1115" s="8246"/>
      <c r="X1115" s="8244"/>
      <c r="Y1115" s="8246"/>
      <c r="Z1115" s="8244"/>
      <c r="AA1115" s="8245"/>
      <c r="AB1115" s="8245"/>
      <c r="AC1115" s="8245"/>
      <c r="AD1115" s="8245"/>
      <c r="AE1115" s="8245"/>
      <c r="AF1115" s="8246"/>
      <c r="AG1115" s="8244"/>
      <c r="AH1115" s="8245"/>
      <c r="AI1115" s="8245"/>
      <c r="AJ1115" s="8245"/>
      <c r="AK1115" s="8245"/>
      <c r="AL1115" s="8245"/>
      <c r="AM1115" s="8245"/>
      <c r="AN1115" s="8246"/>
      <c r="AO1115" s="8244"/>
      <c r="AP1115" s="8245"/>
      <c r="AQ1115" s="8245"/>
      <c r="AR1115" s="8245"/>
      <c r="AS1115" s="8245"/>
      <c r="AT1115" s="8246"/>
      <c r="AU1115" s="10606"/>
      <c r="AV1115" s="10606"/>
      <c r="AW1115" s="10606"/>
      <c r="AX1115" s="10593"/>
      <c r="AY1115" s="10605"/>
      <c r="AZ1115" s="10606"/>
      <c r="BA1115" s="10593"/>
      <c r="BB1115" s="10604"/>
      <c r="BC1115" s="10605"/>
      <c r="BD1115" s="10607"/>
      <c r="BF1115" s="8654"/>
      <c r="BG1115" s="8654"/>
      <c r="BH1115" s="8654"/>
      <c r="BI1115" s="8654"/>
      <c r="BJ1115" s="8654"/>
      <c r="BK1115" s="8654"/>
      <c r="BL1115" s="8654"/>
      <c r="BM1115" s="8654"/>
      <c r="BN1115" s="8654"/>
    </row>
    <row r="1116" spans="1:66" ht="30" hidden="1" customHeight="1">
      <c r="A1116" s="8652">
        <v>694</v>
      </c>
      <c r="B1116" s="8653" t="s">
        <v>5097</v>
      </c>
      <c r="C1116" s="13602"/>
      <c r="D1116" s="7647" t="s">
        <v>10072</v>
      </c>
      <c r="E1116" s="7840" t="s">
        <v>256</v>
      </c>
      <c r="F1116" s="7841" t="s">
        <v>260</v>
      </c>
      <c r="G1116" s="11842" t="s">
        <v>270</v>
      </c>
      <c r="H1116" s="7864" t="s">
        <v>268</v>
      </c>
      <c r="I1116" s="7648" t="s">
        <v>269</v>
      </c>
      <c r="K1116" s="10593"/>
      <c r="L1116" s="8240"/>
      <c r="M1116" s="8240"/>
      <c r="N1116" s="10604"/>
      <c r="O1116" s="10604"/>
      <c r="P1116" s="10605"/>
      <c r="Q1116" s="8243"/>
      <c r="R1116" s="8244"/>
      <c r="S1116" s="8245"/>
      <c r="T1116" s="8246"/>
      <c r="U1116" s="8243"/>
      <c r="V1116" s="8244"/>
      <c r="W1116" s="8246"/>
      <c r="X1116" s="8244"/>
      <c r="Y1116" s="8246"/>
      <c r="Z1116" s="8244"/>
      <c r="AA1116" s="8245"/>
      <c r="AB1116" s="8245"/>
      <c r="AC1116" s="8245"/>
      <c r="AD1116" s="8245"/>
      <c r="AE1116" s="8245"/>
      <c r="AF1116" s="8246"/>
      <c r="AG1116" s="8244"/>
      <c r="AH1116" s="8245"/>
      <c r="AI1116" s="8245"/>
      <c r="AJ1116" s="8245"/>
      <c r="AK1116" s="8245"/>
      <c r="AL1116" s="8245"/>
      <c r="AM1116" s="8245"/>
      <c r="AN1116" s="8246"/>
      <c r="AO1116" s="8244"/>
      <c r="AP1116" s="8245"/>
      <c r="AQ1116" s="8245"/>
      <c r="AR1116" s="8245"/>
      <c r="AS1116" s="8245"/>
      <c r="AT1116" s="8246"/>
      <c r="AU1116" s="10606"/>
      <c r="AV1116" s="10606"/>
      <c r="AW1116" s="10606"/>
      <c r="AX1116" s="10593"/>
      <c r="AY1116" s="10605"/>
      <c r="AZ1116" s="10606"/>
      <c r="BA1116" s="10593"/>
      <c r="BB1116" s="10604"/>
      <c r="BC1116" s="10605"/>
      <c r="BD1116" s="10607"/>
      <c r="BF1116" s="8654"/>
      <c r="BG1116" s="8654"/>
      <c r="BH1116" s="8654"/>
      <c r="BI1116" s="8654"/>
      <c r="BJ1116" s="8654"/>
      <c r="BK1116" s="8654"/>
      <c r="BL1116" s="8654"/>
      <c r="BM1116" s="8654"/>
      <c r="BN1116" s="8654"/>
    </row>
    <row r="1117" spans="1:66" ht="30" hidden="1" customHeight="1">
      <c r="A1117" s="8652">
        <v>695</v>
      </c>
      <c r="B1117" s="8653" t="s">
        <v>5098</v>
      </c>
      <c r="C1117" s="13602"/>
      <c r="D1117" s="7647" t="s">
        <v>10072</v>
      </c>
      <c r="E1117" s="7840" t="s">
        <v>256</v>
      </c>
      <c r="F1117" s="7842" t="s">
        <v>260</v>
      </c>
      <c r="G1117" s="11842" t="s">
        <v>271</v>
      </c>
      <c r="H1117" s="7864" t="s">
        <v>272</v>
      </c>
      <c r="I1117" s="7648" t="s">
        <v>269</v>
      </c>
      <c r="K1117" s="10593"/>
      <c r="L1117" s="8240"/>
      <c r="M1117" s="8240"/>
      <c r="N1117" s="10604"/>
      <c r="O1117" s="10604"/>
      <c r="P1117" s="10605"/>
      <c r="Q1117" s="8243"/>
      <c r="R1117" s="8244"/>
      <c r="S1117" s="8245"/>
      <c r="T1117" s="8246"/>
      <c r="U1117" s="8243"/>
      <c r="V1117" s="8244"/>
      <c r="W1117" s="8246"/>
      <c r="X1117" s="8244"/>
      <c r="Y1117" s="8246"/>
      <c r="Z1117" s="8244"/>
      <c r="AA1117" s="8245"/>
      <c r="AB1117" s="8245"/>
      <c r="AC1117" s="8245"/>
      <c r="AD1117" s="8245"/>
      <c r="AE1117" s="8245"/>
      <c r="AF1117" s="8246"/>
      <c r="AG1117" s="8244"/>
      <c r="AH1117" s="8245"/>
      <c r="AI1117" s="8245"/>
      <c r="AJ1117" s="8245"/>
      <c r="AK1117" s="8245"/>
      <c r="AL1117" s="8245"/>
      <c r="AM1117" s="8245"/>
      <c r="AN1117" s="8246"/>
      <c r="AO1117" s="8244"/>
      <c r="AP1117" s="8245"/>
      <c r="AQ1117" s="8245"/>
      <c r="AR1117" s="8245"/>
      <c r="AS1117" s="8245"/>
      <c r="AT1117" s="8246"/>
      <c r="AU1117" s="10606"/>
      <c r="AV1117" s="10606"/>
      <c r="AW1117" s="10606"/>
      <c r="AX1117" s="10593"/>
      <c r="AY1117" s="10605"/>
      <c r="AZ1117" s="10606"/>
      <c r="BA1117" s="10593"/>
      <c r="BB1117" s="10604"/>
      <c r="BC1117" s="10605"/>
      <c r="BD1117" s="10607"/>
      <c r="BF1117" s="8654"/>
      <c r="BG1117" s="8654"/>
      <c r="BH1117" s="8654"/>
      <c r="BI1117" s="8654"/>
      <c r="BJ1117" s="8654"/>
      <c r="BK1117" s="8654"/>
      <c r="BL1117" s="8654"/>
      <c r="BM1117" s="8654"/>
      <c r="BN1117" s="8654"/>
    </row>
    <row r="1118" spans="1:66" ht="30" hidden="1" customHeight="1" thickBot="1">
      <c r="A1118" s="8675">
        <v>696</v>
      </c>
      <c r="B1118" s="8676" t="s">
        <v>5099</v>
      </c>
      <c r="C1118" s="13602"/>
      <c r="D1118" s="7883" t="s">
        <v>10072</v>
      </c>
      <c r="E1118" s="7818" t="s">
        <v>256</v>
      </c>
      <c r="F1118" s="7843" t="s">
        <v>260</v>
      </c>
      <c r="G1118" s="11847" t="s">
        <v>273</v>
      </c>
      <c r="H1118" s="7865" t="s">
        <v>274</v>
      </c>
      <c r="I1118" s="7649" t="s">
        <v>277</v>
      </c>
      <c r="K1118" s="10608"/>
      <c r="L1118" s="10609"/>
      <c r="M1118" s="10609"/>
      <c r="N1118" s="10610"/>
      <c r="O1118" s="10610"/>
      <c r="P1118" s="10611"/>
      <c r="Q1118" s="10612"/>
      <c r="R1118" s="10613"/>
      <c r="S1118" s="10614"/>
      <c r="T1118" s="10615"/>
      <c r="U1118" s="10612"/>
      <c r="V1118" s="10613"/>
      <c r="W1118" s="10615"/>
      <c r="X1118" s="10613"/>
      <c r="Y1118" s="10615"/>
      <c r="Z1118" s="10613"/>
      <c r="AA1118" s="10614"/>
      <c r="AB1118" s="10614"/>
      <c r="AC1118" s="10614"/>
      <c r="AD1118" s="10614"/>
      <c r="AE1118" s="10614"/>
      <c r="AF1118" s="10615"/>
      <c r="AG1118" s="10613"/>
      <c r="AH1118" s="10614"/>
      <c r="AI1118" s="10614"/>
      <c r="AJ1118" s="10614"/>
      <c r="AK1118" s="10614"/>
      <c r="AL1118" s="10614"/>
      <c r="AM1118" s="10614"/>
      <c r="AN1118" s="10615"/>
      <c r="AO1118" s="10613"/>
      <c r="AP1118" s="10614"/>
      <c r="AQ1118" s="10614"/>
      <c r="AR1118" s="10614"/>
      <c r="AS1118" s="10614"/>
      <c r="AT1118" s="10615"/>
      <c r="AU1118" s="10616"/>
      <c r="AV1118" s="10616"/>
      <c r="AW1118" s="10616"/>
      <c r="AX1118" s="10608"/>
      <c r="AY1118" s="10611"/>
      <c r="AZ1118" s="10616"/>
      <c r="BA1118" s="10608"/>
      <c r="BB1118" s="10610"/>
      <c r="BC1118" s="10611"/>
      <c r="BD1118" s="10617"/>
      <c r="BF1118" s="8677"/>
      <c r="BG1118" s="8677"/>
      <c r="BH1118" s="8677"/>
      <c r="BI1118" s="8677"/>
      <c r="BJ1118" s="8677"/>
      <c r="BK1118" s="8677"/>
      <c r="BL1118" s="8677"/>
      <c r="BM1118" s="8677"/>
      <c r="BN1118" s="8677"/>
    </row>
    <row r="1119" spans="1:66" ht="30" hidden="1" customHeight="1">
      <c r="A1119" s="8472">
        <v>697</v>
      </c>
      <c r="B1119" s="8473" t="s">
        <v>5100</v>
      </c>
      <c r="C1119" s="13602"/>
      <c r="D1119" s="7650" t="s">
        <v>10063</v>
      </c>
      <c r="E1119" s="7844" t="s">
        <v>144</v>
      </c>
      <c r="F1119" s="7845" t="s">
        <v>285</v>
      </c>
      <c r="G1119" s="11794" t="s">
        <v>282</v>
      </c>
      <c r="H1119" s="7866" t="s">
        <v>283</v>
      </c>
      <c r="I1119" s="7651">
        <v>1</v>
      </c>
      <c r="K1119" s="10618"/>
      <c r="L1119" s="6204"/>
      <c r="M1119" s="6204"/>
      <c r="N1119" s="10619"/>
      <c r="O1119" s="10619"/>
      <c r="P1119" s="10620"/>
      <c r="Q1119" s="10621"/>
      <c r="R1119" s="10622"/>
      <c r="S1119" s="10623"/>
      <c r="T1119" s="10624"/>
      <c r="U1119" s="10621"/>
      <c r="V1119" s="10622"/>
      <c r="W1119" s="10624"/>
      <c r="X1119" s="10622"/>
      <c r="Y1119" s="10624"/>
      <c r="Z1119" s="10622"/>
      <c r="AA1119" s="10623"/>
      <c r="AB1119" s="10623"/>
      <c r="AC1119" s="10623"/>
      <c r="AD1119" s="10623"/>
      <c r="AE1119" s="10623"/>
      <c r="AF1119" s="10624"/>
      <c r="AG1119" s="10622"/>
      <c r="AH1119" s="10623"/>
      <c r="AI1119" s="10623"/>
      <c r="AJ1119" s="10623"/>
      <c r="AK1119" s="10623"/>
      <c r="AL1119" s="10623"/>
      <c r="AM1119" s="10623"/>
      <c r="AN1119" s="10624"/>
      <c r="AO1119" s="10622"/>
      <c r="AP1119" s="10623"/>
      <c r="AQ1119" s="10623"/>
      <c r="AR1119" s="10623"/>
      <c r="AS1119" s="10623"/>
      <c r="AT1119" s="10624"/>
      <c r="AU1119" s="10625"/>
      <c r="AV1119" s="10625"/>
      <c r="AW1119" s="10625"/>
      <c r="AX1119" s="10618"/>
      <c r="AY1119" s="10620"/>
      <c r="AZ1119" s="10625"/>
      <c r="BA1119" s="10618"/>
      <c r="BB1119" s="10619"/>
      <c r="BC1119" s="10620"/>
      <c r="BD1119" s="10626"/>
      <c r="BF1119" s="8474"/>
      <c r="BG1119" s="8474"/>
      <c r="BH1119" s="8474"/>
      <c r="BI1119" s="8474"/>
      <c r="BJ1119" s="8474"/>
      <c r="BK1119" s="8474"/>
      <c r="BL1119" s="8474"/>
      <c r="BM1119" s="8474"/>
      <c r="BN1119" s="8474"/>
    </row>
    <row r="1120" spans="1:66" ht="30" hidden="1" customHeight="1">
      <c r="A1120" s="13668">
        <v>698</v>
      </c>
      <c r="B1120" s="13851" t="s">
        <v>5101</v>
      </c>
      <c r="C1120" s="13602"/>
      <c r="D1120" s="7884" t="s">
        <v>10063</v>
      </c>
      <c r="E1120" s="7846" t="s">
        <v>144</v>
      </c>
      <c r="F1120" s="12387"/>
      <c r="G1120" s="13852" t="s">
        <v>286</v>
      </c>
      <c r="H1120" s="13430" t="s">
        <v>287</v>
      </c>
      <c r="I1120" s="14182">
        <v>1</v>
      </c>
      <c r="K1120" s="9958"/>
      <c r="L1120" s="8504"/>
      <c r="M1120" s="8504"/>
      <c r="N1120" s="9959"/>
      <c r="O1120" s="9959"/>
      <c r="P1120" s="9960"/>
      <c r="Q1120" s="8507"/>
      <c r="R1120" s="8508"/>
      <c r="S1120" s="8509"/>
      <c r="T1120" s="8510"/>
      <c r="U1120" s="8507"/>
      <c r="V1120" s="8508"/>
      <c r="W1120" s="8510"/>
      <c r="X1120" s="8508"/>
      <c r="Y1120" s="8510"/>
      <c r="Z1120" s="8508"/>
      <c r="AA1120" s="8509"/>
      <c r="AB1120" s="8509"/>
      <c r="AC1120" s="8509"/>
      <c r="AD1120" s="8509"/>
      <c r="AE1120" s="8509"/>
      <c r="AF1120" s="8510"/>
      <c r="AG1120" s="8508"/>
      <c r="AH1120" s="8509"/>
      <c r="AI1120" s="8509"/>
      <c r="AJ1120" s="8509"/>
      <c r="AK1120" s="8509"/>
      <c r="AL1120" s="8509"/>
      <c r="AM1120" s="8509"/>
      <c r="AN1120" s="8510"/>
      <c r="AO1120" s="8508"/>
      <c r="AP1120" s="8509"/>
      <c r="AQ1120" s="8509"/>
      <c r="AR1120" s="8509"/>
      <c r="AS1120" s="8509"/>
      <c r="AT1120" s="8510"/>
      <c r="AU1120" s="9961"/>
      <c r="AV1120" s="9961"/>
      <c r="AW1120" s="9961"/>
      <c r="AX1120" s="9958"/>
      <c r="AY1120" s="9960"/>
      <c r="AZ1120" s="9961"/>
      <c r="BA1120" s="9958"/>
      <c r="BB1120" s="9959"/>
      <c r="BC1120" s="9960"/>
      <c r="BD1120" s="9962"/>
      <c r="BF1120" s="14430"/>
      <c r="BG1120" s="14430"/>
      <c r="BH1120" s="14430"/>
      <c r="BI1120" s="14430"/>
      <c r="BJ1120" s="14430"/>
      <c r="BK1120" s="8482"/>
      <c r="BL1120" s="14430"/>
      <c r="BM1120" s="14430"/>
      <c r="BN1120" s="14430"/>
    </row>
    <row r="1121" spans="1:66" ht="30" hidden="1" customHeight="1">
      <c r="A1121" s="13668"/>
      <c r="B1121" s="13851"/>
      <c r="C1121" s="13602"/>
      <c r="D1121" s="7884" t="s">
        <v>10251</v>
      </c>
      <c r="E1121" s="7846"/>
      <c r="F1121" s="7847" t="s">
        <v>289</v>
      </c>
      <c r="G1121" s="13852"/>
      <c r="H1121" s="13430"/>
      <c r="I1121" s="14182"/>
      <c r="K1121" s="9958"/>
      <c r="L1121" s="8504"/>
      <c r="M1121" s="8504"/>
      <c r="N1121" s="9959"/>
      <c r="O1121" s="9959"/>
      <c r="P1121" s="9960"/>
      <c r="Q1121" s="8507"/>
      <c r="R1121" s="8508"/>
      <c r="S1121" s="8509"/>
      <c r="T1121" s="8510"/>
      <c r="U1121" s="8507"/>
      <c r="V1121" s="8508"/>
      <c r="W1121" s="8510"/>
      <c r="X1121" s="8508"/>
      <c r="Y1121" s="8510"/>
      <c r="Z1121" s="8508"/>
      <c r="AA1121" s="8509"/>
      <c r="AB1121" s="8509"/>
      <c r="AC1121" s="8509"/>
      <c r="AD1121" s="8509"/>
      <c r="AE1121" s="8509"/>
      <c r="AF1121" s="8510"/>
      <c r="AG1121" s="8508"/>
      <c r="AH1121" s="8509"/>
      <c r="AI1121" s="8509"/>
      <c r="AJ1121" s="8509"/>
      <c r="AK1121" s="8509"/>
      <c r="AL1121" s="8509"/>
      <c r="AM1121" s="8509"/>
      <c r="AN1121" s="8510"/>
      <c r="AO1121" s="8508"/>
      <c r="AP1121" s="8509"/>
      <c r="AQ1121" s="8509"/>
      <c r="AR1121" s="8509"/>
      <c r="AS1121" s="8509"/>
      <c r="AT1121" s="8510"/>
      <c r="AU1121" s="9961"/>
      <c r="AV1121" s="9961"/>
      <c r="AW1121" s="9961"/>
      <c r="AX1121" s="9958"/>
      <c r="AY1121" s="9960"/>
      <c r="AZ1121" s="9961"/>
      <c r="BA1121" s="9958"/>
      <c r="BB1121" s="9959"/>
      <c r="BC1121" s="9960"/>
      <c r="BD1121" s="9962"/>
      <c r="BF1121" s="14430"/>
      <c r="BG1121" s="14430"/>
      <c r="BH1121" s="14430"/>
      <c r="BI1121" s="14430"/>
      <c r="BJ1121" s="14430"/>
      <c r="BK1121" s="8482"/>
      <c r="BL1121" s="14430"/>
      <c r="BM1121" s="14430"/>
      <c r="BN1121" s="14430"/>
    </row>
    <row r="1122" spans="1:66" ht="30" hidden="1" customHeight="1">
      <c r="A1122" s="13668">
        <v>699</v>
      </c>
      <c r="B1122" s="13851" t="s">
        <v>5102</v>
      </c>
      <c r="C1122" s="13602"/>
      <c r="D1122" s="7885" t="s">
        <v>10063</v>
      </c>
      <c r="E1122" s="7847" t="s">
        <v>144</v>
      </c>
      <c r="F1122" s="12387"/>
      <c r="G1122" s="13852" t="s">
        <v>290</v>
      </c>
      <c r="H1122" s="13430" t="s">
        <v>291</v>
      </c>
      <c r="I1122" s="14182">
        <v>1</v>
      </c>
      <c r="K1122" s="9958"/>
      <c r="L1122" s="8504"/>
      <c r="M1122" s="8504"/>
      <c r="N1122" s="9959"/>
      <c r="O1122" s="9959"/>
      <c r="P1122" s="9960"/>
      <c r="Q1122" s="8507"/>
      <c r="R1122" s="8508"/>
      <c r="S1122" s="8509"/>
      <c r="T1122" s="8510"/>
      <c r="U1122" s="8507"/>
      <c r="V1122" s="8508"/>
      <c r="W1122" s="8510"/>
      <c r="X1122" s="8508"/>
      <c r="Y1122" s="8510"/>
      <c r="Z1122" s="8508"/>
      <c r="AA1122" s="8509"/>
      <c r="AB1122" s="8509"/>
      <c r="AC1122" s="8509"/>
      <c r="AD1122" s="8509"/>
      <c r="AE1122" s="8509"/>
      <c r="AF1122" s="8510"/>
      <c r="AG1122" s="8508"/>
      <c r="AH1122" s="8509"/>
      <c r="AI1122" s="8509"/>
      <c r="AJ1122" s="8509"/>
      <c r="AK1122" s="8509"/>
      <c r="AL1122" s="8509"/>
      <c r="AM1122" s="8509"/>
      <c r="AN1122" s="8510"/>
      <c r="AO1122" s="8508"/>
      <c r="AP1122" s="8509"/>
      <c r="AQ1122" s="8509"/>
      <c r="AR1122" s="8509"/>
      <c r="AS1122" s="8509"/>
      <c r="AT1122" s="8510"/>
      <c r="AU1122" s="9961"/>
      <c r="AV1122" s="9961"/>
      <c r="AW1122" s="9961"/>
      <c r="AX1122" s="9958"/>
      <c r="AY1122" s="9960"/>
      <c r="AZ1122" s="9961"/>
      <c r="BA1122" s="9958"/>
      <c r="BB1122" s="9959"/>
      <c r="BC1122" s="9960"/>
      <c r="BD1122" s="9962"/>
      <c r="BF1122" s="14430"/>
      <c r="BG1122" s="14430"/>
      <c r="BH1122" s="14430"/>
      <c r="BI1122" s="14430"/>
      <c r="BJ1122" s="14430"/>
      <c r="BK1122" s="8482"/>
      <c r="BL1122" s="14430"/>
      <c r="BM1122" s="14430"/>
      <c r="BN1122" s="14430"/>
    </row>
    <row r="1123" spans="1:66" ht="30" hidden="1" customHeight="1">
      <c r="A1123" s="13668"/>
      <c r="B1123" s="13851"/>
      <c r="C1123" s="13602"/>
      <c r="D1123" s="7885" t="s">
        <v>329</v>
      </c>
      <c r="E1123" s="7847"/>
      <c r="F1123" s="7846" t="s">
        <v>329</v>
      </c>
      <c r="G1123" s="13852"/>
      <c r="H1123" s="13430"/>
      <c r="I1123" s="14182"/>
      <c r="K1123" s="9958"/>
      <c r="L1123" s="8504"/>
      <c r="M1123" s="8504"/>
      <c r="N1123" s="9959"/>
      <c r="O1123" s="9959"/>
      <c r="P1123" s="9960"/>
      <c r="Q1123" s="8507"/>
      <c r="R1123" s="8508"/>
      <c r="S1123" s="8509"/>
      <c r="T1123" s="8510"/>
      <c r="U1123" s="8507"/>
      <c r="V1123" s="8508"/>
      <c r="W1123" s="8510"/>
      <c r="X1123" s="8508"/>
      <c r="Y1123" s="8510"/>
      <c r="Z1123" s="8508"/>
      <c r="AA1123" s="8509"/>
      <c r="AB1123" s="8509"/>
      <c r="AC1123" s="8509"/>
      <c r="AD1123" s="8509"/>
      <c r="AE1123" s="8509"/>
      <c r="AF1123" s="8510"/>
      <c r="AG1123" s="8508"/>
      <c r="AH1123" s="8509"/>
      <c r="AI1123" s="8509"/>
      <c r="AJ1123" s="8509"/>
      <c r="AK1123" s="8509"/>
      <c r="AL1123" s="8509"/>
      <c r="AM1123" s="8509"/>
      <c r="AN1123" s="8510"/>
      <c r="AO1123" s="8508"/>
      <c r="AP1123" s="8509"/>
      <c r="AQ1123" s="8509"/>
      <c r="AR1123" s="8509"/>
      <c r="AS1123" s="8509"/>
      <c r="AT1123" s="8510"/>
      <c r="AU1123" s="9961"/>
      <c r="AV1123" s="9961"/>
      <c r="AW1123" s="9961"/>
      <c r="AX1123" s="9958"/>
      <c r="AY1123" s="9960"/>
      <c r="AZ1123" s="9961"/>
      <c r="BA1123" s="9958"/>
      <c r="BB1123" s="9959"/>
      <c r="BC1123" s="9960"/>
      <c r="BD1123" s="9962"/>
      <c r="BF1123" s="14430"/>
      <c r="BG1123" s="14430"/>
      <c r="BH1123" s="14430"/>
      <c r="BI1123" s="14430"/>
      <c r="BJ1123" s="14430"/>
      <c r="BK1123" s="8482"/>
      <c r="BL1123" s="14430"/>
      <c r="BM1123" s="14430"/>
      <c r="BN1123" s="14430"/>
    </row>
    <row r="1124" spans="1:66" ht="30" hidden="1" customHeight="1">
      <c r="A1124" s="13668"/>
      <c r="B1124" s="13851"/>
      <c r="C1124" s="13602"/>
      <c r="D1124" s="7885" t="s">
        <v>10194</v>
      </c>
      <c r="E1124" s="7847"/>
      <c r="F1124" s="7846" t="s">
        <v>10210</v>
      </c>
      <c r="G1124" s="13852"/>
      <c r="H1124" s="13430"/>
      <c r="I1124" s="14182"/>
      <c r="K1124" s="9958"/>
      <c r="L1124" s="8504"/>
      <c r="M1124" s="8504"/>
      <c r="N1124" s="9959"/>
      <c r="O1124" s="9959"/>
      <c r="P1124" s="9960"/>
      <c r="Q1124" s="8507"/>
      <c r="R1124" s="8508"/>
      <c r="S1124" s="8509"/>
      <c r="T1124" s="8510"/>
      <c r="U1124" s="8507"/>
      <c r="V1124" s="8508"/>
      <c r="W1124" s="8510"/>
      <c r="X1124" s="8508"/>
      <c r="Y1124" s="8510"/>
      <c r="Z1124" s="8508"/>
      <c r="AA1124" s="8509"/>
      <c r="AB1124" s="8509"/>
      <c r="AC1124" s="8509"/>
      <c r="AD1124" s="8509"/>
      <c r="AE1124" s="8509"/>
      <c r="AF1124" s="8510"/>
      <c r="AG1124" s="8508"/>
      <c r="AH1124" s="8509"/>
      <c r="AI1124" s="8509"/>
      <c r="AJ1124" s="8509"/>
      <c r="AK1124" s="8509"/>
      <c r="AL1124" s="8509"/>
      <c r="AM1124" s="8509"/>
      <c r="AN1124" s="8510"/>
      <c r="AO1124" s="8508"/>
      <c r="AP1124" s="8509"/>
      <c r="AQ1124" s="8509"/>
      <c r="AR1124" s="8509"/>
      <c r="AS1124" s="8509"/>
      <c r="AT1124" s="8510"/>
      <c r="AU1124" s="9961"/>
      <c r="AV1124" s="9961"/>
      <c r="AW1124" s="9961"/>
      <c r="AX1124" s="9958"/>
      <c r="AY1124" s="9960"/>
      <c r="AZ1124" s="9961"/>
      <c r="BA1124" s="9958"/>
      <c r="BB1124" s="9959"/>
      <c r="BC1124" s="9960"/>
      <c r="BD1124" s="9962"/>
      <c r="BF1124" s="14430"/>
      <c r="BG1124" s="14430"/>
      <c r="BH1124" s="14430"/>
      <c r="BI1124" s="14430"/>
      <c r="BJ1124" s="14430"/>
      <c r="BK1124" s="8482"/>
      <c r="BL1124" s="14430"/>
      <c r="BM1124" s="14430"/>
      <c r="BN1124" s="14430"/>
    </row>
    <row r="1125" spans="1:66" ht="30" hidden="1" customHeight="1">
      <c r="A1125" s="13668">
        <v>700</v>
      </c>
      <c r="B1125" s="13851" t="s">
        <v>5103</v>
      </c>
      <c r="C1125" s="13602"/>
      <c r="D1125" s="7885" t="s">
        <v>10063</v>
      </c>
      <c r="E1125" s="7847" t="s">
        <v>144</v>
      </c>
      <c r="F1125" s="12387"/>
      <c r="G1125" s="13852" t="s">
        <v>293</v>
      </c>
      <c r="H1125" s="13430" t="s">
        <v>294</v>
      </c>
      <c r="I1125" s="14182">
        <v>4</v>
      </c>
      <c r="K1125" s="9958"/>
      <c r="L1125" s="8504"/>
      <c r="M1125" s="8504"/>
      <c r="N1125" s="9959"/>
      <c r="O1125" s="9959"/>
      <c r="P1125" s="9960"/>
      <c r="Q1125" s="8507"/>
      <c r="R1125" s="8508"/>
      <c r="S1125" s="8509"/>
      <c r="T1125" s="8510"/>
      <c r="U1125" s="8507"/>
      <c r="V1125" s="8508"/>
      <c r="W1125" s="8510"/>
      <c r="X1125" s="8508"/>
      <c r="Y1125" s="8510"/>
      <c r="Z1125" s="8508"/>
      <c r="AA1125" s="8509"/>
      <c r="AB1125" s="8509"/>
      <c r="AC1125" s="8509"/>
      <c r="AD1125" s="8509"/>
      <c r="AE1125" s="8509"/>
      <c r="AF1125" s="8510"/>
      <c r="AG1125" s="8508"/>
      <c r="AH1125" s="8509"/>
      <c r="AI1125" s="8509"/>
      <c r="AJ1125" s="8509"/>
      <c r="AK1125" s="8509"/>
      <c r="AL1125" s="8509"/>
      <c r="AM1125" s="8509"/>
      <c r="AN1125" s="8510"/>
      <c r="AO1125" s="8508"/>
      <c r="AP1125" s="8509"/>
      <c r="AQ1125" s="8509"/>
      <c r="AR1125" s="8509"/>
      <c r="AS1125" s="8509"/>
      <c r="AT1125" s="8510"/>
      <c r="AU1125" s="9961"/>
      <c r="AV1125" s="9961"/>
      <c r="AW1125" s="9961"/>
      <c r="AX1125" s="9958"/>
      <c r="AY1125" s="9960"/>
      <c r="AZ1125" s="9961"/>
      <c r="BA1125" s="9958"/>
      <c r="BB1125" s="9959"/>
      <c r="BC1125" s="9960"/>
      <c r="BD1125" s="9962"/>
      <c r="BF1125" s="14430"/>
      <c r="BG1125" s="14430"/>
      <c r="BH1125" s="14430"/>
      <c r="BI1125" s="14430"/>
      <c r="BJ1125" s="14430"/>
      <c r="BK1125" s="8482"/>
      <c r="BL1125" s="14430"/>
      <c r="BM1125" s="14430"/>
      <c r="BN1125" s="14430"/>
    </row>
    <row r="1126" spans="1:66" ht="30" hidden="1" customHeight="1">
      <c r="A1126" s="13668"/>
      <c r="B1126" s="13851"/>
      <c r="C1126" s="13602"/>
      <c r="D1126" s="7885" t="s">
        <v>295</v>
      </c>
      <c r="E1126" s="7847"/>
      <c r="F1126" s="7848" t="s">
        <v>295</v>
      </c>
      <c r="G1126" s="13852"/>
      <c r="H1126" s="13430"/>
      <c r="I1126" s="14182"/>
      <c r="K1126" s="9958"/>
      <c r="L1126" s="8504"/>
      <c r="M1126" s="8504"/>
      <c r="N1126" s="9959"/>
      <c r="O1126" s="9959"/>
      <c r="P1126" s="9960"/>
      <c r="Q1126" s="8507"/>
      <c r="R1126" s="8508"/>
      <c r="S1126" s="8509"/>
      <c r="T1126" s="8510"/>
      <c r="U1126" s="8507"/>
      <c r="V1126" s="8508"/>
      <c r="W1126" s="8510"/>
      <c r="X1126" s="8508"/>
      <c r="Y1126" s="8510"/>
      <c r="Z1126" s="8508"/>
      <c r="AA1126" s="8509"/>
      <c r="AB1126" s="8509"/>
      <c r="AC1126" s="8509"/>
      <c r="AD1126" s="8509"/>
      <c r="AE1126" s="8509"/>
      <c r="AF1126" s="8510"/>
      <c r="AG1126" s="8508"/>
      <c r="AH1126" s="8509"/>
      <c r="AI1126" s="8509"/>
      <c r="AJ1126" s="8509"/>
      <c r="AK1126" s="8509"/>
      <c r="AL1126" s="8509"/>
      <c r="AM1126" s="8509"/>
      <c r="AN1126" s="8510"/>
      <c r="AO1126" s="8508"/>
      <c r="AP1126" s="8509"/>
      <c r="AQ1126" s="8509"/>
      <c r="AR1126" s="8509"/>
      <c r="AS1126" s="8509"/>
      <c r="AT1126" s="8510"/>
      <c r="AU1126" s="9961"/>
      <c r="AV1126" s="9961"/>
      <c r="AW1126" s="9961"/>
      <c r="AX1126" s="9958"/>
      <c r="AY1126" s="9960"/>
      <c r="AZ1126" s="9961"/>
      <c r="BA1126" s="9958"/>
      <c r="BB1126" s="9959"/>
      <c r="BC1126" s="9960"/>
      <c r="BD1126" s="9962"/>
      <c r="BF1126" s="14430"/>
      <c r="BG1126" s="14430"/>
      <c r="BH1126" s="14430"/>
      <c r="BI1126" s="14430"/>
      <c r="BJ1126" s="14430"/>
      <c r="BK1126" s="8482"/>
      <c r="BL1126" s="14430"/>
      <c r="BM1126" s="14430"/>
      <c r="BN1126" s="14430"/>
    </row>
    <row r="1127" spans="1:66" ht="30" hidden="1" customHeight="1">
      <c r="A1127" s="9962">
        <v>701</v>
      </c>
      <c r="B1127" s="13851" t="s">
        <v>5104</v>
      </c>
      <c r="C1127" s="13602"/>
      <c r="D1127" s="7885" t="s">
        <v>10066</v>
      </c>
      <c r="E1127" s="7847" t="s">
        <v>298</v>
      </c>
      <c r="F1127" s="7848"/>
      <c r="G1127" s="13852" t="s">
        <v>296</v>
      </c>
      <c r="H1127" s="13430" t="s">
        <v>297</v>
      </c>
      <c r="I1127" s="14182">
        <v>8</v>
      </c>
      <c r="K1127" s="9958"/>
      <c r="L1127" s="8504"/>
      <c r="M1127" s="8504"/>
      <c r="N1127" s="9959"/>
      <c r="O1127" s="9959"/>
      <c r="P1127" s="9960"/>
      <c r="Q1127" s="8507"/>
      <c r="R1127" s="8508"/>
      <c r="S1127" s="8509"/>
      <c r="T1127" s="8510"/>
      <c r="U1127" s="8507"/>
      <c r="V1127" s="8508"/>
      <c r="W1127" s="8510"/>
      <c r="X1127" s="8508"/>
      <c r="Y1127" s="8510"/>
      <c r="Z1127" s="8508"/>
      <c r="AA1127" s="8509"/>
      <c r="AB1127" s="8509"/>
      <c r="AC1127" s="8509"/>
      <c r="AD1127" s="8509"/>
      <c r="AE1127" s="8509"/>
      <c r="AF1127" s="8510"/>
      <c r="AG1127" s="8508"/>
      <c r="AH1127" s="8509"/>
      <c r="AI1127" s="8509"/>
      <c r="AJ1127" s="8509"/>
      <c r="AK1127" s="8509"/>
      <c r="AL1127" s="8509"/>
      <c r="AM1127" s="8509"/>
      <c r="AN1127" s="8510"/>
      <c r="AO1127" s="8508"/>
      <c r="AP1127" s="8509"/>
      <c r="AQ1127" s="8509"/>
      <c r="AR1127" s="8509"/>
      <c r="AS1127" s="8509"/>
      <c r="AT1127" s="8510"/>
      <c r="AU1127" s="9961"/>
      <c r="AV1127" s="9961"/>
      <c r="AW1127" s="9961"/>
      <c r="AX1127" s="9958"/>
      <c r="AY1127" s="9960"/>
      <c r="AZ1127" s="9961"/>
      <c r="BA1127" s="9958"/>
      <c r="BB1127" s="9959"/>
      <c r="BC1127" s="9960"/>
      <c r="BD1127" s="9962"/>
      <c r="BF1127" s="14430"/>
      <c r="BG1127" s="14430"/>
      <c r="BH1127" s="14430"/>
      <c r="BI1127" s="14430"/>
      <c r="BJ1127" s="14430"/>
      <c r="BK1127" s="8482"/>
      <c r="BL1127" s="14430"/>
      <c r="BM1127" s="14430"/>
      <c r="BN1127" s="14430"/>
    </row>
    <row r="1128" spans="1:66" ht="30" hidden="1" customHeight="1">
      <c r="A1128" s="9962"/>
      <c r="B1128" s="13851"/>
      <c r="C1128" s="13602"/>
      <c r="D1128" s="7885" t="s">
        <v>295</v>
      </c>
      <c r="E1128" s="7847"/>
      <c r="F1128" s="7848" t="s">
        <v>299</v>
      </c>
      <c r="G1128" s="13852"/>
      <c r="H1128" s="13430"/>
      <c r="I1128" s="14182"/>
      <c r="K1128" s="9958"/>
      <c r="L1128" s="8504"/>
      <c r="M1128" s="8504"/>
      <c r="N1128" s="9959"/>
      <c r="O1128" s="9959"/>
      <c r="P1128" s="9960"/>
      <c r="Q1128" s="8507"/>
      <c r="R1128" s="8508"/>
      <c r="S1128" s="8509"/>
      <c r="T1128" s="8510"/>
      <c r="U1128" s="8507"/>
      <c r="V1128" s="8508"/>
      <c r="W1128" s="8510"/>
      <c r="X1128" s="8508"/>
      <c r="Y1128" s="8510"/>
      <c r="Z1128" s="8508"/>
      <c r="AA1128" s="8509"/>
      <c r="AB1128" s="8509"/>
      <c r="AC1128" s="8509"/>
      <c r="AD1128" s="8509"/>
      <c r="AE1128" s="8509"/>
      <c r="AF1128" s="8510"/>
      <c r="AG1128" s="8508"/>
      <c r="AH1128" s="8509"/>
      <c r="AI1128" s="8509"/>
      <c r="AJ1128" s="8509"/>
      <c r="AK1128" s="8509"/>
      <c r="AL1128" s="8509"/>
      <c r="AM1128" s="8509"/>
      <c r="AN1128" s="8510"/>
      <c r="AO1128" s="8508"/>
      <c r="AP1128" s="8509"/>
      <c r="AQ1128" s="8509"/>
      <c r="AR1128" s="8509"/>
      <c r="AS1128" s="8509"/>
      <c r="AT1128" s="8510"/>
      <c r="AU1128" s="9961"/>
      <c r="AV1128" s="9961"/>
      <c r="AW1128" s="9961"/>
      <c r="AX1128" s="9958"/>
      <c r="AY1128" s="9960"/>
      <c r="AZ1128" s="9961"/>
      <c r="BA1128" s="9958"/>
      <c r="BB1128" s="9959"/>
      <c r="BC1128" s="9960"/>
      <c r="BD1128" s="9962"/>
      <c r="BF1128" s="14430"/>
      <c r="BG1128" s="14430"/>
      <c r="BH1128" s="14430"/>
      <c r="BI1128" s="14430"/>
      <c r="BJ1128" s="14430"/>
      <c r="BK1128" s="8482"/>
      <c r="BL1128" s="14430"/>
      <c r="BM1128" s="14430"/>
      <c r="BN1128" s="14430"/>
    </row>
    <row r="1129" spans="1:66" ht="30" hidden="1" customHeight="1">
      <c r="A1129" s="9962">
        <v>702</v>
      </c>
      <c r="B1129" s="13851" t="s">
        <v>5105</v>
      </c>
      <c r="C1129" s="13602"/>
      <c r="D1129" s="7885" t="s">
        <v>10066</v>
      </c>
      <c r="E1129" s="7847" t="s">
        <v>298</v>
      </c>
      <c r="F1129" s="7848"/>
      <c r="G1129" s="13852" t="s">
        <v>300</v>
      </c>
      <c r="H1129" s="13430" t="s">
        <v>301</v>
      </c>
      <c r="I1129" s="14182">
        <v>8</v>
      </c>
      <c r="K1129" s="9958"/>
      <c r="L1129" s="8504"/>
      <c r="M1129" s="8504"/>
      <c r="N1129" s="9959"/>
      <c r="O1129" s="9959"/>
      <c r="P1129" s="9960"/>
      <c r="Q1129" s="8507"/>
      <c r="R1129" s="8508"/>
      <c r="S1129" s="8509"/>
      <c r="T1129" s="8510"/>
      <c r="U1129" s="8507"/>
      <c r="V1129" s="8508"/>
      <c r="W1129" s="8510"/>
      <c r="X1129" s="8508"/>
      <c r="Y1129" s="8510"/>
      <c r="Z1129" s="8508"/>
      <c r="AA1129" s="8509"/>
      <c r="AB1129" s="8509"/>
      <c r="AC1129" s="8509"/>
      <c r="AD1129" s="8509"/>
      <c r="AE1129" s="8509"/>
      <c r="AF1129" s="8510"/>
      <c r="AG1129" s="8508"/>
      <c r="AH1129" s="8509"/>
      <c r="AI1129" s="8509"/>
      <c r="AJ1129" s="8509"/>
      <c r="AK1129" s="8509"/>
      <c r="AL1129" s="8509"/>
      <c r="AM1129" s="8509"/>
      <c r="AN1129" s="8510"/>
      <c r="AO1129" s="8508"/>
      <c r="AP1129" s="8509"/>
      <c r="AQ1129" s="8509"/>
      <c r="AR1129" s="8509"/>
      <c r="AS1129" s="8509"/>
      <c r="AT1129" s="8510"/>
      <c r="AU1129" s="9961"/>
      <c r="AV1129" s="9961"/>
      <c r="AW1129" s="9961"/>
      <c r="AX1129" s="9958"/>
      <c r="AY1129" s="9960"/>
      <c r="AZ1129" s="9961"/>
      <c r="BA1129" s="9958"/>
      <c r="BB1129" s="9959"/>
      <c r="BC1129" s="9960"/>
      <c r="BD1129" s="9962"/>
      <c r="BF1129" s="14430"/>
      <c r="BG1129" s="14430"/>
      <c r="BH1129" s="14430"/>
      <c r="BI1129" s="14430"/>
      <c r="BJ1129" s="14430"/>
      <c r="BK1129" s="8482"/>
      <c r="BL1129" s="14430"/>
      <c r="BM1129" s="14430"/>
      <c r="BN1129" s="14430"/>
    </row>
    <row r="1130" spans="1:66" ht="30" hidden="1" customHeight="1" thickBot="1">
      <c r="A1130" s="10032"/>
      <c r="B1130" s="14263"/>
      <c r="C1130" s="13602"/>
      <c r="D1130" s="7886" t="s">
        <v>295</v>
      </c>
      <c r="E1130" s="7849"/>
      <c r="F1130" s="7850" t="s">
        <v>299</v>
      </c>
      <c r="G1130" s="14264"/>
      <c r="H1130" s="13431"/>
      <c r="I1130" s="14183"/>
      <c r="K1130" s="10024"/>
      <c r="L1130" s="10025"/>
      <c r="M1130" s="10025"/>
      <c r="N1130" s="6189"/>
      <c r="O1130" s="6189"/>
      <c r="P1130" s="10026"/>
      <c r="Q1130" s="10027"/>
      <c r="R1130" s="10028"/>
      <c r="S1130" s="10029"/>
      <c r="T1130" s="10030"/>
      <c r="U1130" s="10027"/>
      <c r="V1130" s="10028"/>
      <c r="W1130" s="10030"/>
      <c r="X1130" s="10028"/>
      <c r="Y1130" s="10030"/>
      <c r="Z1130" s="10028"/>
      <c r="AA1130" s="10029"/>
      <c r="AB1130" s="10029"/>
      <c r="AC1130" s="10029"/>
      <c r="AD1130" s="10029"/>
      <c r="AE1130" s="10029"/>
      <c r="AF1130" s="10030"/>
      <c r="AG1130" s="10028"/>
      <c r="AH1130" s="10029"/>
      <c r="AI1130" s="10029"/>
      <c r="AJ1130" s="10029"/>
      <c r="AK1130" s="10029"/>
      <c r="AL1130" s="10029"/>
      <c r="AM1130" s="10029"/>
      <c r="AN1130" s="10030"/>
      <c r="AO1130" s="10028"/>
      <c r="AP1130" s="10029"/>
      <c r="AQ1130" s="10029"/>
      <c r="AR1130" s="10029"/>
      <c r="AS1130" s="10029"/>
      <c r="AT1130" s="10030"/>
      <c r="AU1130" s="10031"/>
      <c r="AV1130" s="10031"/>
      <c r="AW1130" s="10031"/>
      <c r="AX1130" s="10024"/>
      <c r="AY1130" s="10026"/>
      <c r="AZ1130" s="10031"/>
      <c r="BA1130" s="10024"/>
      <c r="BB1130" s="6189"/>
      <c r="BC1130" s="10026"/>
      <c r="BD1130" s="10032"/>
      <c r="BF1130" s="14548"/>
      <c r="BG1130" s="14548"/>
      <c r="BH1130" s="14548"/>
      <c r="BI1130" s="14548"/>
      <c r="BJ1130" s="14548"/>
      <c r="BK1130" s="8530"/>
      <c r="BL1130" s="14548"/>
      <c r="BM1130" s="14548"/>
      <c r="BN1130" s="14548"/>
    </row>
    <row r="1131" spans="1:66" ht="30" hidden="1" customHeight="1">
      <c r="A1131" s="7785">
        <v>703</v>
      </c>
      <c r="B1131" s="7795" t="s">
        <v>5106</v>
      </c>
      <c r="C1131" s="13602"/>
      <c r="D1131" s="7652" t="s">
        <v>4305</v>
      </c>
      <c r="E1131" s="7856" t="s">
        <v>311</v>
      </c>
      <c r="F1131" s="7851" t="s">
        <v>260</v>
      </c>
      <c r="G1131" s="11983" t="s">
        <v>5107</v>
      </c>
      <c r="H1131" s="7899" t="s">
        <v>305</v>
      </c>
      <c r="I1131" s="7900" t="s">
        <v>309</v>
      </c>
      <c r="K1131" s="10509"/>
      <c r="L1131" s="9513"/>
      <c r="M1131" s="9513"/>
      <c r="N1131" s="10627"/>
      <c r="O1131" s="10627"/>
      <c r="P1131" s="10628"/>
      <c r="Q1131" s="9516"/>
      <c r="R1131" s="9517"/>
      <c r="S1131" s="9518"/>
      <c r="T1131" s="9519"/>
      <c r="U1131" s="9516"/>
      <c r="V1131" s="9517"/>
      <c r="W1131" s="9519"/>
      <c r="X1131" s="9517"/>
      <c r="Y1131" s="9519"/>
      <c r="Z1131" s="9517"/>
      <c r="AA1131" s="9518"/>
      <c r="AB1131" s="9518"/>
      <c r="AC1131" s="9518"/>
      <c r="AD1131" s="9518"/>
      <c r="AE1131" s="9518"/>
      <c r="AF1131" s="9519"/>
      <c r="AG1131" s="9517"/>
      <c r="AH1131" s="9518"/>
      <c r="AI1131" s="9518"/>
      <c r="AJ1131" s="9518"/>
      <c r="AK1131" s="9518"/>
      <c r="AL1131" s="9518"/>
      <c r="AM1131" s="9518"/>
      <c r="AN1131" s="9519"/>
      <c r="AO1131" s="9517"/>
      <c r="AP1131" s="9518"/>
      <c r="AQ1131" s="9518"/>
      <c r="AR1131" s="9518"/>
      <c r="AS1131" s="9518"/>
      <c r="AT1131" s="9519"/>
      <c r="AU1131" s="10629"/>
      <c r="AV1131" s="10629"/>
      <c r="AW1131" s="10629"/>
      <c r="AX1131" s="10509"/>
      <c r="AY1131" s="10628"/>
      <c r="AZ1131" s="10629"/>
      <c r="BA1131" s="10509"/>
      <c r="BB1131" s="10627"/>
      <c r="BC1131" s="10628"/>
      <c r="BD1131" s="10630"/>
      <c r="BF1131" s="7887"/>
      <c r="BG1131" s="7887"/>
      <c r="BH1131" s="7887"/>
      <c r="BI1131" s="7887"/>
      <c r="BJ1131" s="7887"/>
      <c r="BK1131" s="7887"/>
      <c r="BL1131" s="7887"/>
      <c r="BM1131" s="7887"/>
      <c r="BN1131" s="7887"/>
    </row>
    <row r="1132" spans="1:66" ht="30" hidden="1" customHeight="1">
      <c r="A1132" s="13526">
        <v>704</v>
      </c>
      <c r="B1132" s="13893" t="s">
        <v>5108</v>
      </c>
      <c r="C1132" s="13602"/>
      <c r="D1132" s="7640" t="s">
        <v>4305</v>
      </c>
      <c r="E1132" s="7831" t="s">
        <v>311</v>
      </c>
      <c r="F1132" s="7853"/>
      <c r="G1132" s="13919" t="s">
        <v>312</v>
      </c>
      <c r="H1132" s="13403" t="s">
        <v>313</v>
      </c>
      <c r="I1132" s="13966">
        <v>0</v>
      </c>
      <c r="K1132" s="7653"/>
      <c r="L1132" s="7654"/>
      <c r="M1132" s="7654"/>
      <c r="N1132" s="7655"/>
      <c r="O1132" s="7655"/>
      <c r="P1132" s="7684"/>
      <c r="Q1132" s="7674"/>
      <c r="R1132" s="7669"/>
      <c r="S1132" s="7656"/>
      <c r="T1132" s="7689"/>
      <c r="U1132" s="7674"/>
      <c r="V1132" s="7669"/>
      <c r="W1132" s="7689"/>
      <c r="X1132" s="7669"/>
      <c r="Y1132" s="7689"/>
      <c r="Z1132" s="7669"/>
      <c r="AA1132" s="7656"/>
      <c r="AB1132" s="7656"/>
      <c r="AC1132" s="7656"/>
      <c r="AD1132" s="7656"/>
      <c r="AE1132" s="7656"/>
      <c r="AF1132" s="7689"/>
      <c r="AG1132" s="7669"/>
      <c r="AH1132" s="7656"/>
      <c r="AI1132" s="7656"/>
      <c r="AJ1132" s="7656"/>
      <c r="AK1132" s="7656"/>
      <c r="AL1132" s="7656"/>
      <c r="AM1132" s="7656"/>
      <c r="AN1132" s="7689"/>
      <c r="AO1132" s="7669"/>
      <c r="AP1132" s="7656"/>
      <c r="AQ1132" s="7656"/>
      <c r="AR1132" s="7656"/>
      <c r="AS1132" s="7656"/>
      <c r="AT1132" s="7689"/>
      <c r="AU1132" s="7665"/>
      <c r="AV1132" s="7665"/>
      <c r="AW1132" s="7665"/>
      <c r="AX1132" s="7653"/>
      <c r="AY1132" s="7684"/>
      <c r="AZ1132" s="7665"/>
      <c r="BA1132" s="7653"/>
      <c r="BB1132" s="7655"/>
      <c r="BC1132" s="7684"/>
      <c r="BD1132" s="7694"/>
      <c r="BF1132" s="14435"/>
      <c r="BG1132" s="14435"/>
      <c r="BH1132" s="14435"/>
      <c r="BI1132" s="14435"/>
      <c r="BJ1132" s="14435"/>
      <c r="BK1132" s="7911"/>
      <c r="BL1132" s="14435"/>
      <c r="BM1132" s="14435"/>
      <c r="BN1132" s="14435"/>
    </row>
    <row r="1133" spans="1:66" ht="30" hidden="1" customHeight="1">
      <c r="A1133" s="13526"/>
      <c r="B1133" s="13893"/>
      <c r="C1133" s="13602"/>
      <c r="D1133" s="7640" t="s">
        <v>10063</v>
      </c>
      <c r="E1133" s="7831"/>
      <c r="F1133" s="7831" t="s">
        <v>316</v>
      </c>
      <c r="G1133" s="13919"/>
      <c r="H1133" s="13403"/>
      <c r="I1133" s="13966"/>
      <c r="K1133" s="7653"/>
      <c r="L1133" s="7654"/>
      <c r="M1133" s="7654"/>
      <c r="N1133" s="7655"/>
      <c r="O1133" s="7655"/>
      <c r="P1133" s="7684"/>
      <c r="Q1133" s="7674"/>
      <c r="R1133" s="7669"/>
      <c r="S1133" s="7656"/>
      <c r="T1133" s="7689"/>
      <c r="U1133" s="7674"/>
      <c r="V1133" s="7669"/>
      <c r="W1133" s="7689"/>
      <c r="X1133" s="7669"/>
      <c r="Y1133" s="7689"/>
      <c r="Z1133" s="7669"/>
      <c r="AA1133" s="7656"/>
      <c r="AB1133" s="7656"/>
      <c r="AC1133" s="7656"/>
      <c r="AD1133" s="7656"/>
      <c r="AE1133" s="7656"/>
      <c r="AF1133" s="7689"/>
      <c r="AG1133" s="7669"/>
      <c r="AH1133" s="7656"/>
      <c r="AI1133" s="7656"/>
      <c r="AJ1133" s="7656"/>
      <c r="AK1133" s="7656"/>
      <c r="AL1133" s="7656"/>
      <c r="AM1133" s="7656"/>
      <c r="AN1133" s="7689"/>
      <c r="AO1133" s="7669"/>
      <c r="AP1133" s="7656"/>
      <c r="AQ1133" s="7656"/>
      <c r="AR1133" s="7656"/>
      <c r="AS1133" s="7656"/>
      <c r="AT1133" s="7689"/>
      <c r="AU1133" s="7665"/>
      <c r="AV1133" s="7665"/>
      <c r="AW1133" s="7665"/>
      <c r="AX1133" s="7653"/>
      <c r="AY1133" s="7684"/>
      <c r="AZ1133" s="7665"/>
      <c r="BA1133" s="7653"/>
      <c r="BB1133" s="7655"/>
      <c r="BC1133" s="7684"/>
      <c r="BD1133" s="7694"/>
      <c r="BF1133" s="14435"/>
      <c r="BG1133" s="14435"/>
      <c r="BH1133" s="14435"/>
      <c r="BI1133" s="14435"/>
      <c r="BJ1133" s="14435"/>
      <c r="BK1133" s="7911"/>
      <c r="BL1133" s="14435"/>
      <c r="BM1133" s="14435"/>
      <c r="BN1133" s="14435"/>
    </row>
    <row r="1134" spans="1:66" ht="30" hidden="1" customHeight="1">
      <c r="A1134" s="13526">
        <v>705</v>
      </c>
      <c r="B1134" s="13893" t="s">
        <v>5109</v>
      </c>
      <c r="C1134" s="13602"/>
      <c r="D1134" s="7888" t="s">
        <v>4305</v>
      </c>
      <c r="E1134" s="7831" t="s">
        <v>311</v>
      </c>
      <c r="F1134" s="7831"/>
      <c r="G1134" s="13919" t="s">
        <v>317</v>
      </c>
      <c r="H1134" s="13403" t="s">
        <v>318</v>
      </c>
      <c r="I1134" s="13966">
        <v>2</v>
      </c>
      <c r="K1134" s="7653"/>
      <c r="L1134" s="7654"/>
      <c r="M1134" s="7654"/>
      <c r="N1134" s="7655"/>
      <c r="O1134" s="7655"/>
      <c r="P1134" s="7684"/>
      <c r="Q1134" s="7674"/>
      <c r="R1134" s="7669"/>
      <c r="S1134" s="7656"/>
      <c r="T1134" s="7689"/>
      <c r="U1134" s="7674"/>
      <c r="V1134" s="7669"/>
      <c r="W1134" s="7689"/>
      <c r="X1134" s="7669"/>
      <c r="Y1134" s="7689"/>
      <c r="Z1134" s="7669"/>
      <c r="AA1134" s="7656"/>
      <c r="AB1134" s="7656"/>
      <c r="AC1134" s="7656"/>
      <c r="AD1134" s="7656"/>
      <c r="AE1134" s="7656"/>
      <c r="AF1134" s="7689"/>
      <c r="AG1134" s="7669"/>
      <c r="AH1134" s="7656"/>
      <c r="AI1134" s="7656"/>
      <c r="AJ1134" s="7656"/>
      <c r="AK1134" s="7656"/>
      <c r="AL1134" s="7656"/>
      <c r="AM1134" s="7656"/>
      <c r="AN1134" s="7689"/>
      <c r="AO1134" s="7669"/>
      <c r="AP1134" s="7656"/>
      <c r="AQ1134" s="7656"/>
      <c r="AR1134" s="7656"/>
      <c r="AS1134" s="7656"/>
      <c r="AT1134" s="7689"/>
      <c r="AU1134" s="7665"/>
      <c r="AV1134" s="7665"/>
      <c r="AW1134" s="7665"/>
      <c r="AX1134" s="7653"/>
      <c r="AY1134" s="7684"/>
      <c r="AZ1134" s="7665"/>
      <c r="BA1134" s="7653"/>
      <c r="BB1134" s="7655"/>
      <c r="BC1134" s="7684"/>
      <c r="BD1134" s="7694"/>
      <c r="BF1134" s="14435"/>
      <c r="BG1134" s="14435"/>
      <c r="BH1134" s="14435"/>
      <c r="BI1134" s="14435"/>
      <c r="BJ1134" s="14435"/>
      <c r="BK1134" s="7911"/>
      <c r="BL1134" s="14435"/>
      <c r="BM1134" s="14435"/>
      <c r="BN1134" s="14435"/>
    </row>
    <row r="1135" spans="1:66" ht="30" hidden="1" customHeight="1">
      <c r="A1135" s="13526"/>
      <c r="B1135" s="13893"/>
      <c r="C1135" s="13602"/>
      <c r="D1135" s="7888" t="s">
        <v>329</v>
      </c>
      <c r="E1135" s="7831"/>
      <c r="F1135" s="7852" t="s">
        <v>320</v>
      </c>
      <c r="G1135" s="13919"/>
      <c r="H1135" s="13403"/>
      <c r="I1135" s="13966"/>
      <c r="K1135" s="7653"/>
      <c r="L1135" s="7654"/>
      <c r="M1135" s="7654"/>
      <c r="N1135" s="7655"/>
      <c r="O1135" s="7655"/>
      <c r="P1135" s="7684"/>
      <c r="Q1135" s="7674"/>
      <c r="R1135" s="7669"/>
      <c r="S1135" s="7656"/>
      <c r="T1135" s="7689"/>
      <c r="U1135" s="7674"/>
      <c r="V1135" s="7669"/>
      <c r="W1135" s="7689"/>
      <c r="X1135" s="7669"/>
      <c r="Y1135" s="7689"/>
      <c r="Z1135" s="7669"/>
      <c r="AA1135" s="7656"/>
      <c r="AB1135" s="7656"/>
      <c r="AC1135" s="7656"/>
      <c r="AD1135" s="7656"/>
      <c r="AE1135" s="7656"/>
      <c r="AF1135" s="7689"/>
      <c r="AG1135" s="7669"/>
      <c r="AH1135" s="7656"/>
      <c r="AI1135" s="7656"/>
      <c r="AJ1135" s="7656"/>
      <c r="AK1135" s="7656"/>
      <c r="AL1135" s="7656"/>
      <c r="AM1135" s="7656"/>
      <c r="AN1135" s="7689"/>
      <c r="AO1135" s="7669"/>
      <c r="AP1135" s="7656"/>
      <c r="AQ1135" s="7656"/>
      <c r="AR1135" s="7656"/>
      <c r="AS1135" s="7656"/>
      <c r="AT1135" s="7689"/>
      <c r="AU1135" s="7665"/>
      <c r="AV1135" s="7665"/>
      <c r="AW1135" s="7665"/>
      <c r="AX1135" s="7653"/>
      <c r="AY1135" s="7684"/>
      <c r="AZ1135" s="7665"/>
      <c r="BA1135" s="7653"/>
      <c r="BB1135" s="7655"/>
      <c r="BC1135" s="7684"/>
      <c r="BD1135" s="7694"/>
      <c r="BF1135" s="14435"/>
      <c r="BG1135" s="14435"/>
      <c r="BH1135" s="14435"/>
      <c r="BI1135" s="14435"/>
      <c r="BJ1135" s="14435"/>
      <c r="BK1135" s="7911"/>
      <c r="BL1135" s="14435"/>
      <c r="BM1135" s="14435"/>
      <c r="BN1135" s="14435"/>
    </row>
    <row r="1136" spans="1:66" ht="30" hidden="1" customHeight="1">
      <c r="A1136" s="7901">
        <v>706</v>
      </c>
      <c r="B1136" s="7910" t="s">
        <v>5110</v>
      </c>
      <c r="C1136" s="13602"/>
      <c r="D1136" s="7640" t="s">
        <v>4305</v>
      </c>
      <c r="E1136" s="7831" t="s">
        <v>311</v>
      </c>
      <c r="F1136" s="7832" t="s">
        <v>325</v>
      </c>
      <c r="G1136" s="11909" t="s">
        <v>321</v>
      </c>
      <c r="H1136" s="7898" t="s">
        <v>322</v>
      </c>
      <c r="I1136" s="7641">
        <v>4</v>
      </c>
      <c r="K1136" s="10523"/>
      <c r="L1136" s="8443"/>
      <c r="M1136" s="8443"/>
      <c r="N1136" s="10540"/>
      <c r="O1136" s="10540"/>
      <c r="P1136" s="10541"/>
      <c r="Q1136" s="8446"/>
      <c r="R1136" s="8447"/>
      <c r="S1136" s="8448"/>
      <c r="T1136" s="8449"/>
      <c r="U1136" s="8446"/>
      <c r="V1136" s="8447"/>
      <c r="W1136" s="8449"/>
      <c r="X1136" s="8447"/>
      <c r="Y1136" s="8449"/>
      <c r="Z1136" s="8447"/>
      <c r="AA1136" s="8448"/>
      <c r="AB1136" s="8448"/>
      <c r="AC1136" s="8448"/>
      <c r="AD1136" s="8448"/>
      <c r="AE1136" s="8448"/>
      <c r="AF1136" s="8449"/>
      <c r="AG1136" s="8447"/>
      <c r="AH1136" s="8448"/>
      <c r="AI1136" s="8448"/>
      <c r="AJ1136" s="8448"/>
      <c r="AK1136" s="8448"/>
      <c r="AL1136" s="8448"/>
      <c r="AM1136" s="8448"/>
      <c r="AN1136" s="8449"/>
      <c r="AO1136" s="8447"/>
      <c r="AP1136" s="8448"/>
      <c r="AQ1136" s="8448"/>
      <c r="AR1136" s="8448"/>
      <c r="AS1136" s="8448"/>
      <c r="AT1136" s="8449"/>
      <c r="AU1136" s="10542"/>
      <c r="AV1136" s="10542"/>
      <c r="AW1136" s="10542"/>
      <c r="AX1136" s="10523"/>
      <c r="AY1136" s="10541"/>
      <c r="AZ1136" s="10542"/>
      <c r="BA1136" s="10523"/>
      <c r="BB1136" s="10540"/>
      <c r="BC1136" s="10541"/>
      <c r="BD1136" s="10543"/>
      <c r="BF1136" s="7911"/>
      <c r="BG1136" s="7911"/>
      <c r="BH1136" s="7911"/>
      <c r="BI1136" s="7911"/>
      <c r="BJ1136" s="7911"/>
      <c r="BK1136" s="7911"/>
      <c r="BL1136" s="7911"/>
      <c r="BM1136" s="7911"/>
      <c r="BN1136" s="7911"/>
    </row>
    <row r="1137" spans="1:66" ht="30" hidden="1" customHeight="1">
      <c r="A1137" s="13526">
        <v>707</v>
      </c>
      <c r="B1137" s="13893" t="s">
        <v>5111</v>
      </c>
      <c r="C1137" s="13602"/>
      <c r="D1137" s="7640" t="s">
        <v>4305</v>
      </c>
      <c r="E1137" s="7831" t="s">
        <v>311</v>
      </c>
      <c r="F1137" s="7853"/>
      <c r="G1137" s="13919" t="s">
        <v>326</v>
      </c>
      <c r="H1137" s="13403" t="s">
        <v>327</v>
      </c>
      <c r="I1137" s="13966">
        <v>1</v>
      </c>
      <c r="K1137" s="7653"/>
      <c r="L1137" s="7654"/>
      <c r="M1137" s="7654"/>
      <c r="N1137" s="7655"/>
      <c r="O1137" s="7655"/>
      <c r="P1137" s="7684"/>
      <c r="Q1137" s="7674"/>
      <c r="R1137" s="7669"/>
      <c r="S1137" s="7656"/>
      <c r="T1137" s="7689"/>
      <c r="U1137" s="7674"/>
      <c r="V1137" s="7669"/>
      <c r="W1137" s="7689"/>
      <c r="X1137" s="7669"/>
      <c r="Y1137" s="7689"/>
      <c r="Z1137" s="7669"/>
      <c r="AA1137" s="7656"/>
      <c r="AB1137" s="7656"/>
      <c r="AC1137" s="7656"/>
      <c r="AD1137" s="7656"/>
      <c r="AE1137" s="7656"/>
      <c r="AF1137" s="7689"/>
      <c r="AG1137" s="7669"/>
      <c r="AH1137" s="7656"/>
      <c r="AI1137" s="7656"/>
      <c r="AJ1137" s="7656"/>
      <c r="AK1137" s="7656"/>
      <c r="AL1137" s="7656"/>
      <c r="AM1137" s="7656"/>
      <c r="AN1137" s="7689"/>
      <c r="AO1137" s="7669"/>
      <c r="AP1137" s="7656"/>
      <c r="AQ1137" s="7656"/>
      <c r="AR1137" s="7656"/>
      <c r="AS1137" s="7656"/>
      <c r="AT1137" s="7689"/>
      <c r="AU1137" s="7665"/>
      <c r="AV1137" s="7665"/>
      <c r="AW1137" s="7665"/>
      <c r="AX1137" s="7653"/>
      <c r="AY1137" s="7684"/>
      <c r="AZ1137" s="7665"/>
      <c r="BA1137" s="7653"/>
      <c r="BB1137" s="7655"/>
      <c r="BC1137" s="7684"/>
      <c r="BD1137" s="7694"/>
      <c r="BF1137" s="14435"/>
      <c r="BG1137" s="14435"/>
      <c r="BH1137" s="14435"/>
      <c r="BI1137" s="14435"/>
      <c r="BJ1137" s="14435"/>
      <c r="BK1137" s="7911"/>
      <c r="BL1137" s="14435"/>
      <c r="BM1137" s="14435"/>
      <c r="BN1137" s="14435"/>
    </row>
    <row r="1138" spans="1:66" ht="30" hidden="1" customHeight="1">
      <c r="A1138" s="13526"/>
      <c r="B1138" s="13893"/>
      <c r="C1138" s="13602"/>
      <c r="D1138" s="7640" t="s">
        <v>329</v>
      </c>
      <c r="E1138" s="7853"/>
      <c r="F1138" s="7852" t="s">
        <v>329</v>
      </c>
      <c r="G1138" s="13919"/>
      <c r="H1138" s="13403"/>
      <c r="I1138" s="13966"/>
      <c r="K1138" s="7653"/>
      <c r="L1138" s="7654"/>
      <c r="M1138" s="7654"/>
      <c r="N1138" s="7655"/>
      <c r="O1138" s="7655"/>
      <c r="P1138" s="7684"/>
      <c r="Q1138" s="7674"/>
      <c r="R1138" s="7669"/>
      <c r="S1138" s="7656"/>
      <c r="T1138" s="7689"/>
      <c r="U1138" s="7674"/>
      <c r="V1138" s="7669"/>
      <c r="W1138" s="7689"/>
      <c r="X1138" s="7669"/>
      <c r="Y1138" s="7689"/>
      <c r="Z1138" s="7669"/>
      <c r="AA1138" s="7656"/>
      <c r="AB1138" s="7656"/>
      <c r="AC1138" s="7656"/>
      <c r="AD1138" s="7656"/>
      <c r="AE1138" s="7656"/>
      <c r="AF1138" s="7689"/>
      <c r="AG1138" s="7669"/>
      <c r="AH1138" s="7656"/>
      <c r="AI1138" s="7656"/>
      <c r="AJ1138" s="7656"/>
      <c r="AK1138" s="7656"/>
      <c r="AL1138" s="7656"/>
      <c r="AM1138" s="7656"/>
      <c r="AN1138" s="7689"/>
      <c r="AO1138" s="7669"/>
      <c r="AP1138" s="7656"/>
      <c r="AQ1138" s="7656"/>
      <c r="AR1138" s="7656"/>
      <c r="AS1138" s="7656"/>
      <c r="AT1138" s="7689"/>
      <c r="AU1138" s="7665"/>
      <c r="AV1138" s="7665"/>
      <c r="AW1138" s="7665"/>
      <c r="AX1138" s="7653"/>
      <c r="AY1138" s="7684"/>
      <c r="AZ1138" s="7665"/>
      <c r="BA1138" s="7653"/>
      <c r="BB1138" s="7655"/>
      <c r="BC1138" s="7684"/>
      <c r="BD1138" s="7694"/>
      <c r="BF1138" s="14435"/>
      <c r="BG1138" s="14435"/>
      <c r="BH1138" s="14435"/>
      <c r="BI1138" s="14435"/>
      <c r="BJ1138" s="14435"/>
      <c r="BK1138" s="7911"/>
      <c r="BL1138" s="14435"/>
      <c r="BM1138" s="14435"/>
      <c r="BN1138" s="14435"/>
    </row>
    <row r="1139" spans="1:66" ht="30" hidden="1" customHeight="1">
      <c r="A1139" s="13526">
        <v>708</v>
      </c>
      <c r="B1139" s="13893" t="s">
        <v>5112</v>
      </c>
      <c r="C1139" s="13602"/>
      <c r="D1139" s="7640" t="s">
        <v>4305</v>
      </c>
      <c r="E1139" s="7831" t="s">
        <v>311</v>
      </c>
      <c r="F1139" s="7852"/>
      <c r="G1139" s="13919" t="s">
        <v>331</v>
      </c>
      <c r="H1139" s="13403" t="s">
        <v>332</v>
      </c>
      <c r="I1139" s="13966">
        <v>1</v>
      </c>
      <c r="K1139" s="7653"/>
      <c r="L1139" s="7654"/>
      <c r="M1139" s="7654"/>
      <c r="N1139" s="7655"/>
      <c r="O1139" s="7655"/>
      <c r="P1139" s="7684"/>
      <c r="Q1139" s="7674"/>
      <c r="R1139" s="7669"/>
      <c r="S1139" s="7656"/>
      <c r="T1139" s="7689"/>
      <c r="U1139" s="7674"/>
      <c r="V1139" s="7669"/>
      <c r="W1139" s="7689"/>
      <c r="X1139" s="7669"/>
      <c r="Y1139" s="7689"/>
      <c r="Z1139" s="7669"/>
      <c r="AA1139" s="7656"/>
      <c r="AB1139" s="7656"/>
      <c r="AC1139" s="7656"/>
      <c r="AD1139" s="7656"/>
      <c r="AE1139" s="7656"/>
      <c r="AF1139" s="7689"/>
      <c r="AG1139" s="7669"/>
      <c r="AH1139" s="7656"/>
      <c r="AI1139" s="7656"/>
      <c r="AJ1139" s="7656"/>
      <c r="AK1139" s="7656"/>
      <c r="AL1139" s="7656"/>
      <c r="AM1139" s="7656"/>
      <c r="AN1139" s="7689"/>
      <c r="AO1139" s="7669"/>
      <c r="AP1139" s="7656"/>
      <c r="AQ1139" s="7656"/>
      <c r="AR1139" s="7656"/>
      <c r="AS1139" s="7656"/>
      <c r="AT1139" s="7689"/>
      <c r="AU1139" s="7665"/>
      <c r="AV1139" s="7665"/>
      <c r="AW1139" s="7665"/>
      <c r="AX1139" s="7653"/>
      <c r="AY1139" s="7684"/>
      <c r="AZ1139" s="7665"/>
      <c r="BA1139" s="7653"/>
      <c r="BB1139" s="7655"/>
      <c r="BC1139" s="7684"/>
      <c r="BD1139" s="7694"/>
      <c r="BF1139" s="14435"/>
      <c r="BG1139" s="14435"/>
      <c r="BH1139" s="14435"/>
      <c r="BI1139" s="14435"/>
      <c r="BJ1139" s="14435"/>
      <c r="BK1139" s="7911"/>
      <c r="BL1139" s="14435"/>
      <c r="BM1139" s="14435"/>
      <c r="BN1139" s="14435"/>
    </row>
    <row r="1140" spans="1:66" ht="30" hidden="1" customHeight="1">
      <c r="A1140" s="13526"/>
      <c r="B1140" s="13893"/>
      <c r="C1140" s="13602"/>
      <c r="D1140" s="7640" t="s">
        <v>329</v>
      </c>
      <c r="E1140" s="7853"/>
      <c r="F1140" s="7852" t="s">
        <v>329</v>
      </c>
      <c r="G1140" s="13919"/>
      <c r="H1140" s="13403"/>
      <c r="I1140" s="13966"/>
      <c r="K1140" s="7653"/>
      <c r="L1140" s="7654"/>
      <c r="M1140" s="7654"/>
      <c r="N1140" s="7655"/>
      <c r="O1140" s="7655"/>
      <c r="P1140" s="7684"/>
      <c r="Q1140" s="7674"/>
      <c r="R1140" s="7669"/>
      <c r="S1140" s="7656"/>
      <c r="T1140" s="7689"/>
      <c r="U1140" s="7674"/>
      <c r="V1140" s="7669"/>
      <c r="W1140" s="7689"/>
      <c r="X1140" s="7669"/>
      <c r="Y1140" s="7689"/>
      <c r="Z1140" s="7669"/>
      <c r="AA1140" s="7656"/>
      <c r="AB1140" s="7656"/>
      <c r="AC1140" s="7656"/>
      <c r="AD1140" s="7656"/>
      <c r="AE1140" s="7656"/>
      <c r="AF1140" s="7689"/>
      <c r="AG1140" s="7669"/>
      <c r="AH1140" s="7656"/>
      <c r="AI1140" s="7656"/>
      <c r="AJ1140" s="7656"/>
      <c r="AK1140" s="7656"/>
      <c r="AL1140" s="7656"/>
      <c r="AM1140" s="7656"/>
      <c r="AN1140" s="7689"/>
      <c r="AO1140" s="7669"/>
      <c r="AP1140" s="7656"/>
      <c r="AQ1140" s="7656"/>
      <c r="AR1140" s="7656"/>
      <c r="AS1140" s="7656"/>
      <c r="AT1140" s="7689"/>
      <c r="AU1140" s="7665"/>
      <c r="AV1140" s="7665"/>
      <c r="AW1140" s="7665"/>
      <c r="AX1140" s="7653"/>
      <c r="AY1140" s="7684"/>
      <c r="AZ1140" s="7665"/>
      <c r="BA1140" s="7653"/>
      <c r="BB1140" s="7655"/>
      <c r="BC1140" s="7684"/>
      <c r="BD1140" s="7694"/>
      <c r="BF1140" s="14435"/>
      <c r="BG1140" s="14435"/>
      <c r="BH1140" s="14435"/>
      <c r="BI1140" s="14435"/>
      <c r="BJ1140" s="14435"/>
      <c r="BK1140" s="7911"/>
      <c r="BL1140" s="14435"/>
      <c r="BM1140" s="14435"/>
      <c r="BN1140" s="14435"/>
    </row>
    <row r="1141" spans="1:66" ht="30" hidden="1" customHeight="1">
      <c r="A1141" s="13526">
        <v>709</v>
      </c>
      <c r="B1141" s="13893" t="s">
        <v>5113</v>
      </c>
      <c r="C1141" s="13602"/>
      <c r="D1141" s="7640" t="s">
        <v>4305</v>
      </c>
      <c r="E1141" s="7831" t="s">
        <v>311</v>
      </c>
      <c r="F1141" s="7853"/>
      <c r="G1141" s="13919" t="s">
        <v>334</v>
      </c>
      <c r="H1141" s="13403" t="s">
        <v>335</v>
      </c>
      <c r="I1141" s="13966">
        <v>1000</v>
      </c>
      <c r="K1141" s="7653"/>
      <c r="L1141" s="7654"/>
      <c r="M1141" s="7654"/>
      <c r="N1141" s="7655"/>
      <c r="O1141" s="7655"/>
      <c r="P1141" s="7684"/>
      <c r="Q1141" s="7674"/>
      <c r="R1141" s="7669"/>
      <c r="S1141" s="7656"/>
      <c r="T1141" s="7689"/>
      <c r="U1141" s="7674"/>
      <c r="V1141" s="7669"/>
      <c r="W1141" s="7689"/>
      <c r="X1141" s="7669"/>
      <c r="Y1141" s="7689"/>
      <c r="Z1141" s="7669"/>
      <c r="AA1141" s="7656"/>
      <c r="AB1141" s="7656"/>
      <c r="AC1141" s="7656"/>
      <c r="AD1141" s="7656"/>
      <c r="AE1141" s="7656"/>
      <c r="AF1141" s="7689"/>
      <c r="AG1141" s="7669"/>
      <c r="AH1141" s="7656"/>
      <c r="AI1141" s="7656"/>
      <c r="AJ1141" s="7656"/>
      <c r="AK1141" s="7656"/>
      <c r="AL1141" s="7656"/>
      <c r="AM1141" s="7656"/>
      <c r="AN1141" s="7689"/>
      <c r="AO1141" s="7669"/>
      <c r="AP1141" s="7656"/>
      <c r="AQ1141" s="7656"/>
      <c r="AR1141" s="7656"/>
      <c r="AS1141" s="7656"/>
      <c r="AT1141" s="7689"/>
      <c r="AU1141" s="7665"/>
      <c r="AV1141" s="7665"/>
      <c r="AW1141" s="7665"/>
      <c r="AX1141" s="7653"/>
      <c r="AY1141" s="7684"/>
      <c r="AZ1141" s="7665"/>
      <c r="BA1141" s="7653"/>
      <c r="BB1141" s="7655"/>
      <c r="BC1141" s="7684"/>
      <c r="BD1141" s="7694"/>
      <c r="BF1141" s="14435"/>
      <c r="BG1141" s="14435"/>
      <c r="BH1141" s="14435"/>
      <c r="BI1141" s="14435"/>
      <c r="BJ1141" s="14435"/>
      <c r="BK1141" s="7911"/>
      <c r="BL1141" s="14435"/>
      <c r="BM1141" s="14435"/>
      <c r="BN1141" s="14435"/>
    </row>
    <row r="1142" spans="1:66" ht="30" hidden="1" customHeight="1">
      <c r="A1142" s="13526"/>
      <c r="B1142" s="13893"/>
      <c r="C1142" s="13602"/>
      <c r="D1142" s="7640" t="s">
        <v>329</v>
      </c>
      <c r="E1142" s="7831"/>
      <c r="F1142" s="7852" t="s">
        <v>350</v>
      </c>
      <c r="G1142" s="13919"/>
      <c r="H1142" s="13403"/>
      <c r="I1142" s="13966"/>
      <c r="K1142" s="7653"/>
      <c r="L1142" s="7654"/>
      <c r="M1142" s="7654"/>
      <c r="N1142" s="7655"/>
      <c r="O1142" s="7655"/>
      <c r="P1142" s="7684"/>
      <c r="Q1142" s="7674"/>
      <c r="R1142" s="7669"/>
      <c r="S1142" s="7656"/>
      <c r="T1142" s="7689"/>
      <c r="U1142" s="7674"/>
      <c r="V1142" s="7669"/>
      <c r="W1142" s="7689"/>
      <c r="X1142" s="7669"/>
      <c r="Y1142" s="7689"/>
      <c r="Z1142" s="7669"/>
      <c r="AA1142" s="7656"/>
      <c r="AB1142" s="7656"/>
      <c r="AC1142" s="7656"/>
      <c r="AD1142" s="7656"/>
      <c r="AE1142" s="7656"/>
      <c r="AF1142" s="7689"/>
      <c r="AG1142" s="7669"/>
      <c r="AH1142" s="7656"/>
      <c r="AI1142" s="7656"/>
      <c r="AJ1142" s="7656"/>
      <c r="AK1142" s="7656"/>
      <c r="AL1142" s="7656"/>
      <c r="AM1142" s="7656"/>
      <c r="AN1142" s="7689"/>
      <c r="AO1142" s="7669"/>
      <c r="AP1142" s="7656"/>
      <c r="AQ1142" s="7656"/>
      <c r="AR1142" s="7656"/>
      <c r="AS1142" s="7656"/>
      <c r="AT1142" s="7689"/>
      <c r="AU1142" s="7665"/>
      <c r="AV1142" s="7665"/>
      <c r="AW1142" s="7665"/>
      <c r="AX1142" s="7653"/>
      <c r="AY1142" s="7684"/>
      <c r="AZ1142" s="7665"/>
      <c r="BA1142" s="7653"/>
      <c r="BB1142" s="7655"/>
      <c r="BC1142" s="7684"/>
      <c r="BD1142" s="7694"/>
      <c r="BF1142" s="14435"/>
      <c r="BG1142" s="14435"/>
      <c r="BH1142" s="14435"/>
      <c r="BI1142" s="14435"/>
      <c r="BJ1142" s="14435"/>
      <c r="BK1142" s="7911"/>
      <c r="BL1142" s="14435"/>
      <c r="BM1142" s="14435"/>
      <c r="BN1142" s="14435"/>
    </row>
    <row r="1143" spans="1:66" ht="30" hidden="1" customHeight="1">
      <c r="A1143" s="13526"/>
      <c r="B1143" s="13893"/>
      <c r="C1143" s="13602"/>
      <c r="D1143" s="7640" t="s">
        <v>10194</v>
      </c>
      <c r="E1143" s="7831"/>
      <c r="F1143" s="7852" t="s">
        <v>10274</v>
      </c>
      <c r="G1143" s="13919"/>
      <c r="H1143" s="13403"/>
      <c r="I1143" s="13966"/>
      <c r="K1143" s="7653"/>
      <c r="L1143" s="7654"/>
      <c r="M1143" s="7654"/>
      <c r="N1143" s="7655"/>
      <c r="O1143" s="7655"/>
      <c r="P1143" s="7684"/>
      <c r="Q1143" s="7674"/>
      <c r="R1143" s="7669"/>
      <c r="S1143" s="7656"/>
      <c r="T1143" s="7689"/>
      <c r="U1143" s="7674"/>
      <c r="V1143" s="7669"/>
      <c r="W1143" s="7689"/>
      <c r="X1143" s="7669"/>
      <c r="Y1143" s="7689"/>
      <c r="Z1143" s="7669"/>
      <c r="AA1143" s="7656"/>
      <c r="AB1143" s="7656"/>
      <c r="AC1143" s="7656"/>
      <c r="AD1143" s="7656"/>
      <c r="AE1143" s="7656"/>
      <c r="AF1143" s="7689"/>
      <c r="AG1143" s="7669"/>
      <c r="AH1143" s="7656"/>
      <c r="AI1143" s="7656"/>
      <c r="AJ1143" s="7656"/>
      <c r="AK1143" s="7656"/>
      <c r="AL1143" s="7656"/>
      <c r="AM1143" s="7656"/>
      <c r="AN1143" s="7689"/>
      <c r="AO1143" s="7669"/>
      <c r="AP1143" s="7656"/>
      <c r="AQ1143" s="7656"/>
      <c r="AR1143" s="7656"/>
      <c r="AS1143" s="7656"/>
      <c r="AT1143" s="7689"/>
      <c r="AU1143" s="7665"/>
      <c r="AV1143" s="7665"/>
      <c r="AW1143" s="7665"/>
      <c r="AX1143" s="7653"/>
      <c r="AY1143" s="7684"/>
      <c r="AZ1143" s="7665"/>
      <c r="BA1143" s="7653"/>
      <c r="BB1143" s="7655"/>
      <c r="BC1143" s="7684"/>
      <c r="BD1143" s="7694"/>
      <c r="BF1143" s="14435"/>
      <c r="BG1143" s="14435"/>
      <c r="BH1143" s="14435"/>
      <c r="BI1143" s="14435"/>
      <c r="BJ1143" s="14435"/>
      <c r="BK1143" s="7911"/>
      <c r="BL1143" s="14435"/>
      <c r="BM1143" s="14435"/>
      <c r="BN1143" s="14435"/>
    </row>
    <row r="1144" spans="1:66" ht="30" hidden="1" customHeight="1">
      <c r="A1144" s="13526">
        <v>710</v>
      </c>
      <c r="B1144" s="13893" t="s">
        <v>5114</v>
      </c>
      <c r="C1144" s="13602"/>
      <c r="D1144" s="7640" t="s">
        <v>4305</v>
      </c>
      <c r="E1144" s="7831" t="s">
        <v>311</v>
      </c>
      <c r="F1144" s="7853"/>
      <c r="G1144" s="13919" t="s">
        <v>338</v>
      </c>
      <c r="H1144" s="13403" t="s">
        <v>117</v>
      </c>
      <c r="I1144" s="13966">
        <v>1</v>
      </c>
      <c r="K1144" s="7653"/>
      <c r="L1144" s="7654"/>
      <c r="M1144" s="7654"/>
      <c r="N1144" s="7655"/>
      <c r="O1144" s="7655"/>
      <c r="P1144" s="7684"/>
      <c r="Q1144" s="7674"/>
      <c r="R1144" s="7669"/>
      <c r="S1144" s="7656"/>
      <c r="T1144" s="7689"/>
      <c r="U1144" s="7674"/>
      <c r="V1144" s="7669"/>
      <c r="W1144" s="7689"/>
      <c r="X1144" s="7669"/>
      <c r="Y1144" s="7689"/>
      <c r="Z1144" s="7669"/>
      <c r="AA1144" s="7656"/>
      <c r="AB1144" s="7656"/>
      <c r="AC1144" s="7656"/>
      <c r="AD1144" s="7656"/>
      <c r="AE1144" s="7656"/>
      <c r="AF1144" s="7689"/>
      <c r="AG1144" s="7669"/>
      <c r="AH1144" s="7656"/>
      <c r="AI1144" s="7656"/>
      <c r="AJ1144" s="7656"/>
      <c r="AK1144" s="7656"/>
      <c r="AL1144" s="7656"/>
      <c r="AM1144" s="7656"/>
      <c r="AN1144" s="7689"/>
      <c r="AO1144" s="7669"/>
      <c r="AP1144" s="7656"/>
      <c r="AQ1144" s="7656"/>
      <c r="AR1144" s="7656"/>
      <c r="AS1144" s="7656"/>
      <c r="AT1144" s="7689"/>
      <c r="AU1144" s="7665"/>
      <c r="AV1144" s="7665"/>
      <c r="AW1144" s="7665"/>
      <c r="AX1144" s="7653"/>
      <c r="AY1144" s="7684"/>
      <c r="AZ1144" s="7665"/>
      <c r="BA1144" s="7653"/>
      <c r="BB1144" s="7655"/>
      <c r="BC1144" s="7684"/>
      <c r="BD1144" s="7694"/>
      <c r="BF1144" s="14435"/>
      <c r="BG1144" s="14435"/>
      <c r="BH1144" s="14435"/>
      <c r="BI1144" s="14435"/>
      <c r="BJ1144" s="14435"/>
      <c r="BK1144" s="7911"/>
      <c r="BL1144" s="14435"/>
      <c r="BM1144" s="14435"/>
      <c r="BN1144" s="14435"/>
    </row>
    <row r="1145" spans="1:66" ht="30" hidden="1" customHeight="1">
      <c r="A1145" s="13526"/>
      <c r="B1145" s="13893"/>
      <c r="C1145" s="13602"/>
      <c r="D1145" s="7640" t="s">
        <v>10063</v>
      </c>
      <c r="E1145" s="7831"/>
      <c r="F1145" s="7831" t="s">
        <v>316</v>
      </c>
      <c r="G1145" s="13919"/>
      <c r="H1145" s="13403"/>
      <c r="I1145" s="13966"/>
      <c r="K1145" s="7653"/>
      <c r="L1145" s="7654"/>
      <c r="M1145" s="7654"/>
      <c r="N1145" s="7655"/>
      <c r="O1145" s="7655"/>
      <c r="P1145" s="7684"/>
      <c r="Q1145" s="7674"/>
      <c r="R1145" s="7669"/>
      <c r="S1145" s="7656"/>
      <c r="T1145" s="7689"/>
      <c r="U1145" s="7674"/>
      <c r="V1145" s="7669"/>
      <c r="W1145" s="7689"/>
      <c r="X1145" s="7669"/>
      <c r="Y1145" s="7689"/>
      <c r="Z1145" s="7669"/>
      <c r="AA1145" s="7656"/>
      <c r="AB1145" s="7656"/>
      <c r="AC1145" s="7656"/>
      <c r="AD1145" s="7656"/>
      <c r="AE1145" s="7656"/>
      <c r="AF1145" s="7689"/>
      <c r="AG1145" s="7669"/>
      <c r="AH1145" s="7656"/>
      <c r="AI1145" s="7656"/>
      <c r="AJ1145" s="7656"/>
      <c r="AK1145" s="7656"/>
      <c r="AL1145" s="7656"/>
      <c r="AM1145" s="7656"/>
      <c r="AN1145" s="7689"/>
      <c r="AO1145" s="7669"/>
      <c r="AP1145" s="7656"/>
      <c r="AQ1145" s="7656"/>
      <c r="AR1145" s="7656"/>
      <c r="AS1145" s="7656"/>
      <c r="AT1145" s="7689"/>
      <c r="AU1145" s="7665"/>
      <c r="AV1145" s="7665"/>
      <c r="AW1145" s="7665"/>
      <c r="AX1145" s="7653"/>
      <c r="AY1145" s="7684"/>
      <c r="AZ1145" s="7665"/>
      <c r="BA1145" s="7653"/>
      <c r="BB1145" s="7655"/>
      <c r="BC1145" s="7684"/>
      <c r="BD1145" s="7694"/>
      <c r="BF1145" s="14435"/>
      <c r="BG1145" s="14435"/>
      <c r="BH1145" s="14435"/>
      <c r="BI1145" s="14435"/>
      <c r="BJ1145" s="14435"/>
      <c r="BK1145" s="7911"/>
      <c r="BL1145" s="14435"/>
      <c r="BM1145" s="14435"/>
      <c r="BN1145" s="14435"/>
    </row>
    <row r="1146" spans="1:66" ht="20.25" hidden="1" customHeight="1">
      <c r="A1146" s="13526">
        <v>711</v>
      </c>
      <c r="B1146" s="13893" t="s">
        <v>5115</v>
      </c>
      <c r="C1146" s="13602"/>
      <c r="D1146" s="7640" t="s">
        <v>4305</v>
      </c>
      <c r="E1146" s="7831" t="s">
        <v>311</v>
      </c>
      <c r="F1146" s="7853"/>
      <c r="G1146" s="13919" t="s">
        <v>340</v>
      </c>
      <c r="H1146" s="13403" t="s">
        <v>341</v>
      </c>
      <c r="I1146" s="13966">
        <v>1</v>
      </c>
      <c r="K1146" s="7653"/>
      <c r="L1146" s="7654"/>
      <c r="M1146" s="7654"/>
      <c r="N1146" s="7655"/>
      <c r="O1146" s="7655"/>
      <c r="P1146" s="7684"/>
      <c r="Q1146" s="7674"/>
      <c r="R1146" s="7669"/>
      <c r="S1146" s="7656"/>
      <c r="T1146" s="7689"/>
      <c r="U1146" s="7674"/>
      <c r="V1146" s="7669"/>
      <c r="W1146" s="7689"/>
      <c r="X1146" s="7669"/>
      <c r="Y1146" s="7689"/>
      <c r="Z1146" s="7669"/>
      <c r="AA1146" s="7656"/>
      <c r="AB1146" s="7656"/>
      <c r="AC1146" s="7656"/>
      <c r="AD1146" s="7656"/>
      <c r="AE1146" s="7656"/>
      <c r="AF1146" s="7689"/>
      <c r="AG1146" s="7669"/>
      <c r="AH1146" s="7656"/>
      <c r="AI1146" s="7656"/>
      <c r="AJ1146" s="7656"/>
      <c r="AK1146" s="7656"/>
      <c r="AL1146" s="7656"/>
      <c r="AM1146" s="7656"/>
      <c r="AN1146" s="7689"/>
      <c r="AO1146" s="7669"/>
      <c r="AP1146" s="7656"/>
      <c r="AQ1146" s="7656"/>
      <c r="AR1146" s="7656"/>
      <c r="AS1146" s="7656"/>
      <c r="AT1146" s="7689"/>
      <c r="AU1146" s="7665"/>
      <c r="AV1146" s="7665"/>
      <c r="AW1146" s="7665"/>
      <c r="AX1146" s="7653"/>
      <c r="AY1146" s="7684"/>
      <c r="AZ1146" s="7665"/>
      <c r="BA1146" s="7653"/>
      <c r="BB1146" s="7655"/>
      <c r="BC1146" s="7684"/>
      <c r="BD1146" s="7694"/>
      <c r="BF1146" s="14435"/>
      <c r="BG1146" s="14435"/>
      <c r="BH1146" s="14435"/>
      <c r="BI1146" s="14435"/>
      <c r="BJ1146" s="14435"/>
      <c r="BK1146" s="7911"/>
      <c r="BL1146" s="14435"/>
      <c r="BM1146" s="14435"/>
      <c r="BN1146" s="14435"/>
    </row>
    <row r="1147" spans="1:66" ht="20.25" hidden="1" customHeight="1">
      <c r="A1147" s="13526"/>
      <c r="B1147" s="13893"/>
      <c r="C1147" s="13602"/>
      <c r="D1147" s="7640" t="s">
        <v>329</v>
      </c>
      <c r="E1147" s="7831"/>
      <c r="F1147" s="7852" t="s">
        <v>329</v>
      </c>
      <c r="G1147" s="13919"/>
      <c r="H1147" s="13403"/>
      <c r="I1147" s="13966"/>
      <c r="K1147" s="7653"/>
      <c r="L1147" s="7654"/>
      <c r="M1147" s="7654"/>
      <c r="N1147" s="7655"/>
      <c r="O1147" s="7655"/>
      <c r="P1147" s="7684"/>
      <c r="Q1147" s="7674"/>
      <c r="R1147" s="7669"/>
      <c r="S1147" s="7656"/>
      <c r="T1147" s="7689"/>
      <c r="U1147" s="7674"/>
      <c r="V1147" s="7669"/>
      <c r="W1147" s="7689"/>
      <c r="X1147" s="7669"/>
      <c r="Y1147" s="7689"/>
      <c r="Z1147" s="7669"/>
      <c r="AA1147" s="7656"/>
      <c r="AB1147" s="7656"/>
      <c r="AC1147" s="7656"/>
      <c r="AD1147" s="7656"/>
      <c r="AE1147" s="7656"/>
      <c r="AF1147" s="7689"/>
      <c r="AG1147" s="7669"/>
      <c r="AH1147" s="7656"/>
      <c r="AI1147" s="7656"/>
      <c r="AJ1147" s="7656"/>
      <c r="AK1147" s="7656"/>
      <c r="AL1147" s="7656"/>
      <c r="AM1147" s="7656"/>
      <c r="AN1147" s="7689"/>
      <c r="AO1147" s="7669"/>
      <c r="AP1147" s="7656"/>
      <c r="AQ1147" s="7656"/>
      <c r="AR1147" s="7656"/>
      <c r="AS1147" s="7656"/>
      <c r="AT1147" s="7689"/>
      <c r="AU1147" s="7665"/>
      <c r="AV1147" s="7665"/>
      <c r="AW1147" s="7665"/>
      <c r="AX1147" s="7653"/>
      <c r="AY1147" s="7684"/>
      <c r="AZ1147" s="7665"/>
      <c r="BA1147" s="7653"/>
      <c r="BB1147" s="7655"/>
      <c r="BC1147" s="7684"/>
      <c r="BD1147" s="7694"/>
      <c r="BF1147" s="14435"/>
      <c r="BG1147" s="14435"/>
      <c r="BH1147" s="14435"/>
      <c r="BI1147" s="14435"/>
      <c r="BJ1147" s="14435"/>
      <c r="BK1147" s="7911"/>
      <c r="BL1147" s="14435"/>
      <c r="BM1147" s="14435"/>
      <c r="BN1147" s="14435"/>
    </row>
    <row r="1148" spans="1:66" ht="20.25" hidden="1" customHeight="1">
      <c r="A1148" s="13526"/>
      <c r="B1148" s="13893"/>
      <c r="C1148" s="13602"/>
      <c r="D1148" s="7640" t="s">
        <v>10194</v>
      </c>
      <c r="E1148" s="7831"/>
      <c r="F1148" s="7852" t="s">
        <v>10275</v>
      </c>
      <c r="G1148" s="13919"/>
      <c r="H1148" s="13403"/>
      <c r="I1148" s="13966"/>
      <c r="K1148" s="7653"/>
      <c r="L1148" s="7654"/>
      <c r="M1148" s="7654"/>
      <c r="N1148" s="7655"/>
      <c r="O1148" s="7655"/>
      <c r="P1148" s="7684"/>
      <c r="Q1148" s="7674"/>
      <c r="R1148" s="7669"/>
      <c r="S1148" s="7656"/>
      <c r="T1148" s="7689"/>
      <c r="U1148" s="7674"/>
      <c r="V1148" s="7669"/>
      <c r="W1148" s="7689"/>
      <c r="X1148" s="7669"/>
      <c r="Y1148" s="7689"/>
      <c r="Z1148" s="7669"/>
      <c r="AA1148" s="7656"/>
      <c r="AB1148" s="7656"/>
      <c r="AC1148" s="7656"/>
      <c r="AD1148" s="7656"/>
      <c r="AE1148" s="7656"/>
      <c r="AF1148" s="7689"/>
      <c r="AG1148" s="7669"/>
      <c r="AH1148" s="7656"/>
      <c r="AI1148" s="7656"/>
      <c r="AJ1148" s="7656"/>
      <c r="AK1148" s="7656"/>
      <c r="AL1148" s="7656"/>
      <c r="AM1148" s="7656"/>
      <c r="AN1148" s="7689"/>
      <c r="AO1148" s="7669"/>
      <c r="AP1148" s="7656"/>
      <c r="AQ1148" s="7656"/>
      <c r="AR1148" s="7656"/>
      <c r="AS1148" s="7656"/>
      <c r="AT1148" s="7689"/>
      <c r="AU1148" s="7665"/>
      <c r="AV1148" s="7665"/>
      <c r="AW1148" s="7665"/>
      <c r="AX1148" s="7653"/>
      <c r="AY1148" s="7684"/>
      <c r="AZ1148" s="7665"/>
      <c r="BA1148" s="7653"/>
      <c r="BB1148" s="7655"/>
      <c r="BC1148" s="7684"/>
      <c r="BD1148" s="7694"/>
      <c r="BF1148" s="14435"/>
      <c r="BG1148" s="14435"/>
      <c r="BH1148" s="14435"/>
      <c r="BI1148" s="14435"/>
      <c r="BJ1148" s="14435"/>
      <c r="BK1148" s="7911"/>
      <c r="BL1148" s="14435"/>
      <c r="BM1148" s="14435"/>
      <c r="BN1148" s="14435"/>
    </row>
    <row r="1149" spans="1:66" ht="48.75" hidden="1" customHeight="1">
      <c r="A1149" s="7901">
        <v>712</v>
      </c>
      <c r="B1149" s="7910" t="s">
        <v>5116</v>
      </c>
      <c r="C1149" s="13602"/>
      <c r="D1149" s="7640" t="s">
        <v>4305</v>
      </c>
      <c r="E1149" s="7831" t="s">
        <v>311</v>
      </c>
      <c r="F1149" s="7833"/>
      <c r="G1149" s="11909" t="s">
        <v>344</v>
      </c>
      <c r="H1149" s="11910" t="s">
        <v>175</v>
      </c>
      <c r="I1149" s="11911">
        <v>1</v>
      </c>
      <c r="K1149" s="7657"/>
      <c r="L1149" s="7658"/>
      <c r="M1149" s="7658"/>
      <c r="N1149" s="7659"/>
      <c r="O1149" s="7659"/>
      <c r="P1149" s="7685"/>
      <c r="Q1149" s="7675"/>
      <c r="R1149" s="7670"/>
      <c r="S1149" s="7660"/>
      <c r="T1149" s="7690"/>
      <c r="U1149" s="7675"/>
      <c r="V1149" s="7670"/>
      <c r="W1149" s="7690"/>
      <c r="X1149" s="7670"/>
      <c r="Y1149" s="7690"/>
      <c r="Z1149" s="7670"/>
      <c r="AA1149" s="7660"/>
      <c r="AB1149" s="7660"/>
      <c r="AC1149" s="7660"/>
      <c r="AD1149" s="7660"/>
      <c r="AE1149" s="7660"/>
      <c r="AF1149" s="7690"/>
      <c r="AG1149" s="7670"/>
      <c r="AH1149" s="7660"/>
      <c r="AI1149" s="7660"/>
      <c r="AJ1149" s="7660"/>
      <c r="AK1149" s="7660"/>
      <c r="AL1149" s="7660"/>
      <c r="AM1149" s="7660"/>
      <c r="AN1149" s="7690"/>
      <c r="AO1149" s="7670"/>
      <c r="AP1149" s="7660"/>
      <c r="AQ1149" s="7660"/>
      <c r="AR1149" s="7660"/>
      <c r="AS1149" s="7660"/>
      <c r="AT1149" s="7690"/>
      <c r="AU1149" s="7666"/>
      <c r="AV1149" s="7666"/>
      <c r="AW1149" s="7666"/>
      <c r="AX1149" s="7657"/>
      <c r="AY1149" s="7685"/>
      <c r="AZ1149" s="7666"/>
      <c r="BA1149" s="7657"/>
      <c r="BB1149" s="7659"/>
      <c r="BC1149" s="7685"/>
      <c r="BD1149" s="7901"/>
      <c r="BF1149" s="7911"/>
      <c r="BG1149" s="7911"/>
      <c r="BH1149" s="7911"/>
      <c r="BI1149" s="7911"/>
      <c r="BJ1149" s="7911"/>
      <c r="BK1149" s="7911"/>
      <c r="BL1149" s="7911"/>
      <c r="BM1149" s="7911"/>
      <c r="BN1149" s="7911"/>
    </row>
    <row r="1150" spans="1:66" ht="20.25" hidden="1" customHeight="1">
      <c r="A1150" s="13526">
        <v>713</v>
      </c>
      <c r="B1150" s="13893" t="s">
        <v>5117</v>
      </c>
      <c r="C1150" s="13602"/>
      <c r="D1150" s="7640" t="s">
        <v>4305</v>
      </c>
      <c r="E1150" s="7831" t="s">
        <v>311</v>
      </c>
      <c r="F1150" s="7853"/>
      <c r="G1150" s="13919" t="s">
        <v>347</v>
      </c>
      <c r="H1150" s="13403" t="s">
        <v>348</v>
      </c>
      <c r="I1150" s="13966">
        <v>3</v>
      </c>
      <c r="K1150" s="7653"/>
      <c r="L1150" s="7654"/>
      <c r="M1150" s="7654"/>
      <c r="N1150" s="7655"/>
      <c r="O1150" s="7655"/>
      <c r="P1150" s="7684"/>
      <c r="Q1150" s="7674"/>
      <c r="R1150" s="7669"/>
      <c r="S1150" s="7656"/>
      <c r="T1150" s="7689"/>
      <c r="U1150" s="7674"/>
      <c r="V1150" s="7669"/>
      <c r="W1150" s="7689"/>
      <c r="X1150" s="7669"/>
      <c r="Y1150" s="7689"/>
      <c r="Z1150" s="7669"/>
      <c r="AA1150" s="7656"/>
      <c r="AB1150" s="7656"/>
      <c r="AC1150" s="7656"/>
      <c r="AD1150" s="7656"/>
      <c r="AE1150" s="7656"/>
      <c r="AF1150" s="7689"/>
      <c r="AG1150" s="7669"/>
      <c r="AH1150" s="7656"/>
      <c r="AI1150" s="7656"/>
      <c r="AJ1150" s="7656"/>
      <c r="AK1150" s="7656"/>
      <c r="AL1150" s="7656"/>
      <c r="AM1150" s="7656"/>
      <c r="AN1150" s="7689"/>
      <c r="AO1150" s="7669"/>
      <c r="AP1150" s="7656"/>
      <c r="AQ1150" s="7656"/>
      <c r="AR1150" s="7656"/>
      <c r="AS1150" s="7656"/>
      <c r="AT1150" s="7689"/>
      <c r="AU1150" s="7665"/>
      <c r="AV1150" s="7665"/>
      <c r="AW1150" s="7665"/>
      <c r="AX1150" s="7653"/>
      <c r="AY1150" s="7684"/>
      <c r="AZ1150" s="7665"/>
      <c r="BA1150" s="7653"/>
      <c r="BB1150" s="7655"/>
      <c r="BC1150" s="7684"/>
      <c r="BD1150" s="7694"/>
      <c r="BF1150" s="14435"/>
      <c r="BG1150" s="14435"/>
      <c r="BH1150" s="14435"/>
      <c r="BI1150" s="14435"/>
      <c r="BJ1150" s="14435"/>
      <c r="BK1150" s="7911"/>
      <c r="BL1150" s="14435"/>
      <c r="BM1150" s="14435"/>
      <c r="BN1150" s="14435"/>
    </row>
    <row r="1151" spans="1:66" ht="20.25" hidden="1" customHeight="1">
      <c r="A1151" s="13526"/>
      <c r="B1151" s="13893"/>
      <c r="C1151" s="13602"/>
      <c r="D1151" s="7640" t="s">
        <v>329</v>
      </c>
      <c r="E1151" s="7831"/>
      <c r="F1151" s="7852" t="s">
        <v>350</v>
      </c>
      <c r="G1151" s="13919"/>
      <c r="H1151" s="13403"/>
      <c r="I1151" s="13966"/>
      <c r="K1151" s="7653"/>
      <c r="L1151" s="7654"/>
      <c r="M1151" s="7654"/>
      <c r="N1151" s="7655"/>
      <c r="O1151" s="7655"/>
      <c r="P1151" s="7684"/>
      <c r="Q1151" s="7674"/>
      <c r="R1151" s="7669"/>
      <c r="S1151" s="7656"/>
      <c r="T1151" s="7689"/>
      <c r="U1151" s="7674"/>
      <c r="V1151" s="7669"/>
      <c r="W1151" s="7689"/>
      <c r="X1151" s="7669"/>
      <c r="Y1151" s="7689"/>
      <c r="Z1151" s="7669"/>
      <c r="AA1151" s="7656"/>
      <c r="AB1151" s="7656"/>
      <c r="AC1151" s="7656"/>
      <c r="AD1151" s="7656"/>
      <c r="AE1151" s="7656"/>
      <c r="AF1151" s="7689"/>
      <c r="AG1151" s="7669"/>
      <c r="AH1151" s="7656"/>
      <c r="AI1151" s="7656"/>
      <c r="AJ1151" s="7656"/>
      <c r="AK1151" s="7656"/>
      <c r="AL1151" s="7656"/>
      <c r="AM1151" s="7656"/>
      <c r="AN1151" s="7689"/>
      <c r="AO1151" s="7669"/>
      <c r="AP1151" s="7656"/>
      <c r="AQ1151" s="7656"/>
      <c r="AR1151" s="7656"/>
      <c r="AS1151" s="7656"/>
      <c r="AT1151" s="7689"/>
      <c r="AU1151" s="7665"/>
      <c r="AV1151" s="7665"/>
      <c r="AW1151" s="7665"/>
      <c r="AX1151" s="7653"/>
      <c r="AY1151" s="7684"/>
      <c r="AZ1151" s="7665"/>
      <c r="BA1151" s="7653"/>
      <c r="BB1151" s="7655"/>
      <c r="BC1151" s="7684"/>
      <c r="BD1151" s="7694"/>
      <c r="BF1151" s="14435"/>
      <c r="BG1151" s="14435"/>
      <c r="BH1151" s="14435"/>
      <c r="BI1151" s="14435"/>
      <c r="BJ1151" s="14435"/>
      <c r="BK1151" s="7911"/>
      <c r="BL1151" s="14435"/>
      <c r="BM1151" s="14435"/>
      <c r="BN1151" s="14435"/>
    </row>
    <row r="1152" spans="1:66" ht="20.25" hidden="1" customHeight="1">
      <c r="A1152" s="13526">
        <v>714</v>
      </c>
      <c r="B1152" s="13893" t="s">
        <v>5118</v>
      </c>
      <c r="C1152" s="13602"/>
      <c r="D1152" s="7640" t="s">
        <v>4305</v>
      </c>
      <c r="E1152" s="7831" t="s">
        <v>311</v>
      </c>
      <c r="F1152" s="7852" t="s">
        <v>354</v>
      </c>
      <c r="G1152" s="13919" t="s">
        <v>351</v>
      </c>
      <c r="H1152" s="13403" t="s">
        <v>352</v>
      </c>
      <c r="I1152" s="13966">
        <v>4</v>
      </c>
      <c r="K1152" s="7653"/>
      <c r="L1152" s="7654"/>
      <c r="M1152" s="7654"/>
      <c r="N1152" s="7655"/>
      <c r="O1152" s="7655"/>
      <c r="P1152" s="7684"/>
      <c r="Q1152" s="7674"/>
      <c r="R1152" s="7669"/>
      <c r="S1152" s="7656"/>
      <c r="T1152" s="7689"/>
      <c r="U1152" s="7674"/>
      <c r="V1152" s="7669"/>
      <c r="W1152" s="7689"/>
      <c r="X1152" s="7669"/>
      <c r="Y1152" s="7689"/>
      <c r="Z1152" s="7669"/>
      <c r="AA1152" s="7656"/>
      <c r="AB1152" s="7656"/>
      <c r="AC1152" s="7656"/>
      <c r="AD1152" s="7656"/>
      <c r="AE1152" s="7656"/>
      <c r="AF1152" s="7689"/>
      <c r="AG1152" s="7669"/>
      <c r="AH1152" s="7656"/>
      <c r="AI1152" s="7656"/>
      <c r="AJ1152" s="7656"/>
      <c r="AK1152" s="7656"/>
      <c r="AL1152" s="7656"/>
      <c r="AM1152" s="7656"/>
      <c r="AN1152" s="7689"/>
      <c r="AO1152" s="7669"/>
      <c r="AP1152" s="7656"/>
      <c r="AQ1152" s="7656"/>
      <c r="AR1152" s="7656"/>
      <c r="AS1152" s="7656"/>
      <c r="AT1152" s="7689"/>
      <c r="AU1152" s="7665"/>
      <c r="AV1152" s="7665"/>
      <c r="AW1152" s="7665"/>
      <c r="AX1152" s="7653"/>
      <c r="AY1152" s="7684"/>
      <c r="AZ1152" s="7665"/>
      <c r="BA1152" s="7653"/>
      <c r="BB1152" s="7655"/>
      <c r="BC1152" s="7684"/>
      <c r="BD1152" s="7694"/>
      <c r="BF1152" s="14435"/>
      <c r="BG1152" s="14435"/>
      <c r="BH1152" s="14435"/>
      <c r="BI1152" s="14435"/>
      <c r="BJ1152" s="14435"/>
      <c r="BK1152" s="7911"/>
      <c r="BL1152" s="14435"/>
      <c r="BM1152" s="14435"/>
      <c r="BN1152" s="14435"/>
    </row>
    <row r="1153" spans="1:66" ht="20.25" hidden="1" customHeight="1">
      <c r="A1153" s="13526"/>
      <c r="B1153" s="13893"/>
      <c r="C1153" s="13602"/>
      <c r="D1153" s="7640" t="s">
        <v>26</v>
      </c>
      <c r="E1153" s="7853"/>
      <c r="F1153" s="7853"/>
      <c r="G1153" s="13919"/>
      <c r="H1153" s="13403"/>
      <c r="I1153" s="13966"/>
      <c r="K1153" s="7653"/>
      <c r="L1153" s="7654"/>
      <c r="M1153" s="7654"/>
      <c r="N1153" s="7655"/>
      <c r="O1153" s="7655"/>
      <c r="P1153" s="7684"/>
      <c r="Q1153" s="7674"/>
      <c r="R1153" s="7669"/>
      <c r="S1153" s="7656"/>
      <c r="T1153" s="7689"/>
      <c r="U1153" s="7674"/>
      <c r="V1153" s="7669"/>
      <c r="W1153" s="7689"/>
      <c r="X1153" s="7669"/>
      <c r="Y1153" s="7689"/>
      <c r="Z1153" s="7669"/>
      <c r="AA1153" s="7656"/>
      <c r="AB1153" s="7656"/>
      <c r="AC1153" s="7656"/>
      <c r="AD1153" s="7656"/>
      <c r="AE1153" s="7656"/>
      <c r="AF1153" s="7689"/>
      <c r="AG1153" s="7669"/>
      <c r="AH1153" s="7656"/>
      <c r="AI1153" s="7656"/>
      <c r="AJ1153" s="7656"/>
      <c r="AK1153" s="7656"/>
      <c r="AL1153" s="7656"/>
      <c r="AM1153" s="7656"/>
      <c r="AN1153" s="7689"/>
      <c r="AO1153" s="7669"/>
      <c r="AP1153" s="7656"/>
      <c r="AQ1153" s="7656"/>
      <c r="AR1153" s="7656"/>
      <c r="AS1153" s="7656"/>
      <c r="AT1153" s="7689"/>
      <c r="AU1153" s="7665"/>
      <c r="AV1153" s="7665"/>
      <c r="AW1153" s="7665"/>
      <c r="AX1153" s="7653"/>
      <c r="AY1153" s="7684"/>
      <c r="AZ1153" s="7665"/>
      <c r="BA1153" s="7653"/>
      <c r="BB1153" s="7655"/>
      <c r="BC1153" s="7684"/>
      <c r="BD1153" s="7694"/>
      <c r="BF1153" s="14435"/>
      <c r="BG1153" s="14435"/>
      <c r="BH1153" s="14435"/>
      <c r="BI1153" s="14435"/>
      <c r="BJ1153" s="14435"/>
      <c r="BK1153" s="7911"/>
      <c r="BL1153" s="14435"/>
      <c r="BM1153" s="14435"/>
      <c r="BN1153" s="14435"/>
    </row>
    <row r="1154" spans="1:66" ht="20.25" hidden="1" customHeight="1">
      <c r="A1154" s="13526"/>
      <c r="B1154" s="13893"/>
      <c r="C1154" s="13602"/>
      <c r="D1154" s="7640" t="s">
        <v>10063</v>
      </c>
      <c r="E1154" s="7853"/>
      <c r="F1154" s="7853"/>
      <c r="G1154" s="13919"/>
      <c r="H1154" s="13403"/>
      <c r="I1154" s="13966"/>
      <c r="K1154" s="7653"/>
      <c r="L1154" s="7654"/>
      <c r="M1154" s="7654"/>
      <c r="N1154" s="7655"/>
      <c r="O1154" s="7655"/>
      <c r="P1154" s="7684"/>
      <c r="Q1154" s="7674"/>
      <c r="R1154" s="7669"/>
      <c r="S1154" s="7656"/>
      <c r="T1154" s="7689"/>
      <c r="U1154" s="7674"/>
      <c r="V1154" s="7669"/>
      <c r="W1154" s="7689"/>
      <c r="X1154" s="7669"/>
      <c r="Y1154" s="7689"/>
      <c r="Z1154" s="7669"/>
      <c r="AA1154" s="7656"/>
      <c r="AB1154" s="7656"/>
      <c r="AC1154" s="7656"/>
      <c r="AD1154" s="7656"/>
      <c r="AE1154" s="7656"/>
      <c r="AF1154" s="7689"/>
      <c r="AG1154" s="7669"/>
      <c r="AH1154" s="7656"/>
      <c r="AI1154" s="7656"/>
      <c r="AJ1154" s="7656"/>
      <c r="AK1154" s="7656"/>
      <c r="AL1154" s="7656"/>
      <c r="AM1154" s="7656"/>
      <c r="AN1154" s="7689"/>
      <c r="AO1154" s="7669"/>
      <c r="AP1154" s="7656"/>
      <c r="AQ1154" s="7656"/>
      <c r="AR1154" s="7656"/>
      <c r="AS1154" s="7656"/>
      <c r="AT1154" s="7689"/>
      <c r="AU1154" s="7665"/>
      <c r="AV1154" s="7665"/>
      <c r="AW1154" s="7665"/>
      <c r="AX1154" s="7653"/>
      <c r="AY1154" s="7684"/>
      <c r="AZ1154" s="7665"/>
      <c r="BA1154" s="7653"/>
      <c r="BB1154" s="7655"/>
      <c r="BC1154" s="7684"/>
      <c r="BD1154" s="7694"/>
      <c r="BF1154" s="14435"/>
      <c r="BG1154" s="14435"/>
      <c r="BH1154" s="14435"/>
      <c r="BI1154" s="14435"/>
      <c r="BJ1154" s="14435"/>
      <c r="BK1154" s="7911"/>
      <c r="BL1154" s="14435"/>
      <c r="BM1154" s="14435"/>
      <c r="BN1154" s="14435"/>
    </row>
    <row r="1155" spans="1:66" ht="20.25" hidden="1" customHeight="1" thickBot="1">
      <c r="A1155" s="13652"/>
      <c r="B1155" s="13895"/>
      <c r="C1155" s="13603"/>
      <c r="D1155" s="7642" t="s">
        <v>329</v>
      </c>
      <c r="E1155" s="7854"/>
      <c r="F1155" s="7854"/>
      <c r="G1155" s="13920"/>
      <c r="H1155" s="13476"/>
      <c r="I1155" s="14001"/>
      <c r="K1155" s="7661"/>
      <c r="L1155" s="7628"/>
      <c r="M1155" s="7628"/>
      <c r="N1155" s="7626"/>
      <c r="O1155" s="7626"/>
      <c r="P1155" s="7697"/>
      <c r="Q1155" s="7676"/>
      <c r="R1155" s="7671"/>
      <c r="S1155" s="7627"/>
      <c r="T1155" s="7698"/>
      <c r="U1155" s="7676"/>
      <c r="V1155" s="7671"/>
      <c r="W1155" s="7698"/>
      <c r="X1155" s="7671"/>
      <c r="Y1155" s="7698"/>
      <c r="Z1155" s="7671"/>
      <c r="AA1155" s="7627"/>
      <c r="AB1155" s="7627"/>
      <c r="AC1155" s="7627"/>
      <c r="AD1155" s="7627"/>
      <c r="AE1155" s="7627"/>
      <c r="AF1155" s="7698"/>
      <c r="AG1155" s="7671"/>
      <c r="AH1155" s="7627"/>
      <c r="AI1155" s="7627"/>
      <c r="AJ1155" s="7627"/>
      <c r="AK1155" s="7627"/>
      <c r="AL1155" s="7627"/>
      <c r="AM1155" s="7627"/>
      <c r="AN1155" s="7698"/>
      <c r="AO1155" s="7671"/>
      <c r="AP1155" s="7627"/>
      <c r="AQ1155" s="7627"/>
      <c r="AR1155" s="7627"/>
      <c r="AS1155" s="7627"/>
      <c r="AT1155" s="7698"/>
      <c r="AU1155" s="7667"/>
      <c r="AV1155" s="7667"/>
      <c r="AW1155" s="7667"/>
      <c r="AX1155" s="7661"/>
      <c r="AY1155" s="7697"/>
      <c r="AZ1155" s="7667"/>
      <c r="BA1155" s="7661"/>
      <c r="BB1155" s="7626"/>
      <c r="BC1155" s="7697"/>
      <c r="BD1155" s="7699"/>
      <c r="BF1155" s="14436"/>
      <c r="BG1155" s="14436"/>
      <c r="BH1155" s="14436"/>
      <c r="BI1155" s="14436"/>
      <c r="BJ1155" s="14436"/>
      <c r="BK1155" s="7912"/>
      <c r="BL1155" s="14436"/>
      <c r="BM1155" s="14436"/>
      <c r="BN1155" s="14436"/>
    </row>
    <row r="1156" spans="1:66" ht="30" hidden="1" customHeight="1">
      <c r="A1156" s="10631">
        <v>715</v>
      </c>
      <c r="B1156" s="10632" t="s">
        <v>8207</v>
      </c>
      <c r="C1156" s="13604" t="s">
        <v>10343</v>
      </c>
      <c r="D1156" s="12388" t="s">
        <v>86</v>
      </c>
      <c r="E1156" s="12389" t="s">
        <v>2006</v>
      </c>
      <c r="F1156" s="12390"/>
      <c r="G1156" s="12391" t="s">
        <v>10353</v>
      </c>
      <c r="H1156" s="12392" t="s">
        <v>2004</v>
      </c>
      <c r="I1156" s="12393">
        <v>75</v>
      </c>
      <c r="K1156" s="13162" t="s">
        <v>10385</v>
      </c>
      <c r="L1156" s="12848"/>
      <c r="M1156" s="12849"/>
      <c r="N1156" s="13163"/>
      <c r="O1156" s="13164"/>
      <c r="P1156" s="13165" t="s">
        <v>10596</v>
      </c>
      <c r="Q1156" s="13166"/>
      <c r="R1156" s="13167"/>
      <c r="S1156" s="13166"/>
      <c r="T1156" s="13166"/>
      <c r="U1156" s="13166"/>
      <c r="V1156" s="13166"/>
      <c r="W1156" s="13166"/>
      <c r="X1156" s="13166"/>
      <c r="Y1156" s="13168"/>
      <c r="Z1156" s="13165"/>
      <c r="AA1156" s="13166"/>
      <c r="AB1156" s="13166"/>
      <c r="AC1156" s="13166"/>
      <c r="AD1156" s="13166"/>
      <c r="AE1156" s="13166"/>
      <c r="AF1156" s="13166"/>
      <c r="AG1156" s="13166"/>
      <c r="AH1156" s="13166"/>
      <c r="AI1156" s="13168"/>
      <c r="AJ1156" s="13165"/>
      <c r="AK1156" s="13166"/>
      <c r="AL1156" s="13166"/>
      <c r="AM1156" s="13166"/>
      <c r="AN1156" s="13166"/>
      <c r="AO1156" s="13166"/>
      <c r="AP1156" s="13166"/>
      <c r="AQ1156" s="13166"/>
      <c r="AR1156" s="13163"/>
      <c r="AS1156" s="13169"/>
      <c r="AT1156" s="13164"/>
      <c r="AU1156" s="13163"/>
      <c r="AV1156" s="13163"/>
      <c r="AW1156" s="13163"/>
      <c r="AX1156" s="13163"/>
      <c r="AY1156" s="13164"/>
      <c r="AZ1156" s="13164"/>
      <c r="BA1156" s="13164"/>
      <c r="BB1156" s="13164"/>
      <c r="BC1156" s="13164"/>
      <c r="BD1156" s="10634"/>
      <c r="BF1156" s="10633"/>
      <c r="BG1156" s="10633"/>
      <c r="BH1156" s="10633"/>
      <c r="BI1156" s="10633"/>
      <c r="BJ1156" s="10633"/>
      <c r="BK1156" s="10633"/>
      <c r="BL1156" s="10633"/>
      <c r="BM1156" s="10633"/>
      <c r="BN1156" s="10633"/>
    </row>
    <row r="1157" spans="1:66" ht="30" hidden="1" customHeight="1">
      <c r="A1157" s="13669">
        <v>716</v>
      </c>
      <c r="B1157" s="14232" t="s">
        <v>8208</v>
      </c>
      <c r="C1157" s="13604"/>
      <c r="D1157" s="12394" t="s">
        <v>86</v>
      </c>
      <c r="E1157" s="12395" t="s">
        <v>2006</v>
      </c>
      <c r="F1157" s="12396"/>
      <c r="G1157" s="14234" t="s">
        <v>2007</v>
      </c>
      <c r="H1157" s="14270" t="s">
        <v>2008</v>
      </c>
      <c r="I1157" s="12397">
        <v>1</v>
      </c>
      <c r="K1157" s="13162" t="s">
        <v>10385</v>
      </c>
      <c r="L1157" s="12848"/>
      <c r="M1157" s="12848"/>
      <c r="N1157" s="13170"/>
      <c r="O1157" s="13171"/>
      <c r="P1157" s="13165" t="s">
        <v>10596</v>
      </c>
      <c r="Q1157" s="13166"/>
      <c r="R1157" s="13167"/>
      <c r="S1157" s="13166"/>
      <c r="T1157" s="13166"/>
      <c r="U1157" s="13166"/>
      <c r="V1157" s="13166"/>
      <c r="W1157" s="13166"/>
      <c r="X1157" s="13166"/>
      <c r="Y1157" s="13166"/>
      <c r="Z1157" s="13166"/>
      <c r="AA1157" s="13166"/>
      <c r="AB1157" s="13166"/>
      <c r="AC1157" s="13166"/>
      <c r="AD1157" s="13166"/>
      <c r="AE1157" s="13166"/>
      <c r="AF1157" s="13166"/>
      <c r="AG1157" s="13166"/>
      <c r="AH1157" s="13166"/>
      <c r="AI1157" s="13166"/>
      <c r="AJ1157" s="13166"/>
      <c r="AK1157" s="13166"/>
      <c r="AL1157" s="13166"/>
      <c r="AM1157" s="13166"/>
      <c r="AN1157" s="13166"/>
      <c r="AO1157" s="13166"/>
      <c r="AP1157" s="13166"/>
      <c r="AQ1157" s="13166"/>
      <c r="AR1157" s="13172"/>
      <c r="AS1157" s="13172"/>
      <c r="AT1157" s="13172"/>
      <c r="AU1157" s="13172"/>
      <c r="AV1157" s="13172"/>
      <c r="AW1157" s="13172"/>
      <c r="AX1157" s="13172"/>
      <c r="AY1157" s="13173"/>
      <c r="AZ1157" s="13173"/>
      <c r="BA1157" s="13173"/>
      <c r="BB1157" s="13173"/>
      <c r="BC1157" s="13173"/>
      <c r="BD1157" s="10635"/>
      <c r="BF1157" s="14537"/>
      <c r="BG1157" s="14537"/>
      <c r="BH1157" s="14537"/>
      <c r="BI1157" s="14537"/>
      <c r="BJ1157" s="14537"/>
      <c r="BK1157" s="13086"/>
      <c r="BL1157" s="14537"/>
      <c r="BM1157" s="14537"/>
      <c r="BN1157" s="14537"/>
    </row>
    <row r="1158" spans="1:66" ht="48" hidden="1" customHeight="1">
      <c r="A1158" s="13669"/>
      <c r="B1158" s="14232"/>
      <c r="C1158" s="13604"/>
      <c r="D1158" s="12394" t="s">
        <v>10273</v>
      </c>
      <c r="E1158" s="12395"/>
      <c r="F1158" s="12395" t="s">
        <v>2011</v>
      </c>
      <c r="G1158" s="14234"/>
      <c r="H1158" s="14271"/>
      <c r="I1158" s="12397"/>
      <c r="K1158" s="12851" t="s">
        <v>10416</v>
      </c>
      <c r="L1158" s="12852">
        <v>1</v>
      </c>
      <c r="M1158" s="12853" t="s">
        <v>2951</v>
      </c>
      <c r="N1158" s="12852">
        <v>1</v>
      </c>
      <c r="O1158" s="12850" t="s">
        <v>10424</v>
      </c>
      <c r="P1158" s="12854">
        <v>1328421</v>
      </c>
      <c r="Q1158" s="12854">
        <v>1328421</v>
      </c>
      <c r="R1158" s="12855" t="s">
        <v>2951</v>
      </c>
      <c r="S1158" s="12854" t="s">
        <v>2951</v>
      </c>
      <c r="T1158" s="12854" t="s">
        <v>2951</v>
      </c>
      <c r="U1158" s="12854" t="s">
        <v>2951</v>
      </c>
      <c r="V1158" s="12854" t="s">
        <v>2951</v>
      </c>
      <c r="W1158" s="12854" t="s">
        <v>2951</v>
      </c>
      <c r="X1158" s="12854" t="s">
        <v>2951</v>
      </c>
      <c r="Y1158" s="12854" t="s">
        <v>2951</v>
      </c>
      <c r="Z1158" s="12854" t="s">
        <v>2951</v>
      </c>
      <c r="AA1158" s="12854" t="s">
        <v>2951</v>
      </c>
      <c r="AB1158" s="12854" t="s">
        <v>2951</v>
      </c>
      <c r="AC1158" s="12854" t="s">
        <v>2951</v>
      </c>
      <c r="AD1158" s="12854" t="s">
        <v>2951</v>
      </c>
      <c r="AE1158" s="12854" t="s">
        <v>2951</v>
      </c>
      <c r="AF1158" s="12854" t="s">
        <v>2951</v>
      </c>
      <c r="AG1158" s="12854" t="s">
        <v>2951</v>
      </c>
      <c r="AH1158" s="12854" t="s">
        <v>2951</v>
      </c>
      <c r="AI1158" s="12854" t="s">
        <v>2951</v>
      </c>
      <c r="AJ1158" s="12854" t="s">
        <v>2951</v>
      </c>
      <c r="AK1158" s="12854" t="s">
        <v>2951</v>
      </c>
      <c r="AL1158" s="12854" t="s">
        <v>2951</v>
      </c>
      <c r="AM1158" s="12854" t="s">
        <v>2951</v>
      </c>
      <c r="AN1158" s="12854" t="s">
        <v>2951</v>
      </c>
      <c r="AO1158" s="12854" t="s">
        <v>2951</v>
      </c>
      <c r="AP1158" s="12854" t="s">
        <v>2951</v>
      </c>
      <c r="AQ1158" s="12854" t="s">
        <v>2951</v>
      </c>
      <c r="AR1158" s="12853" t="s">
        <v>2951</v>
      </c>
      <c r="AS1158" s="12853" t="s">
        <v>2951</v>
      </c>
      <c r="AT1158" s="12853" t="s">
        <v>10425</v>
      </c>
      <c r="AU1158" s="12853" t="s">
        <v>10426</v>
      </c>
      <c r="AV1158" s="12853">
        <v>15</v>
      </c>
      <c r="AW1158" s="12853" t="s">
        <v>3613</v>
      </c>
      <c r="AX1158" s="12853" t="s">
        <v>3613</v>
      </c>
      <c r="AY1158" s="12856"/>
      <c r="AZ1158" s="12856"/>
      <c r="BA1158" s="12856"/>
      <c r="BB1158" s="12856"/>
      <c r="BC1158" s="12856"/>
      <c r="BD1158" s="10635"/>
      <c r="BF1158" s="14537"/>
      <c r="BG1158" s="14537"/>
      <c r="BH1158" s="14537"/>
      <c r="BI1158" s="14537"/>
      <c r="BJ1158" s="14537"/>
      <c r="BK1158" s="10356"/>
      <c r="BL1158" s="14537"/>
      <c r="BM1158" s="14537"/>
      <c r="BN1158" s="14537"/>
    </row>
    <row r="1159" spans="1:66" ht="30" hidden="1" customHeight="1">
      <c r="A1159" s="10636">
        <v>717</v>
      </c>
      <c r="B1159" s="10637" t="s">
        <v>8209</v>
      </c>
      <c r="C1159" s="13604"/>
      <c r="D1159" s="12398" t="s">
        <v>86</v>
      </c>
      <c r="E1159" s="12395" t="s">
        <v>2015</v>
      </c>
      <c r="F1159" s="12399"/>
      <c r="G1159" s="13035" t="s">
        <v>2012</v>
      </c>
      <c r="H1159" s="12985" t="s">
        <v>2013</v>
      </c>
      <c r="I1159" s="12400">
        <v>1</v>
      </c>
      <c r="K1159" s="13174" t="s">
        <v>10416</v>
      </c>
      <c r="L1159" s="12857"/>
      <c r="M1159" s="12858"/>
      <c r="N1159" s="13178"/>
      <c r="O1159" s="13179"/>
      <c r="P1159" s="13180" t="s">
        <v>10424</v>
      </c>
      <c r="Q1159" s="13181"/>
      <c r="R1159" s="13182"/>
      <c r="S1159" s="13181"/>
      <c r="T1159" s="13166"/>
      <c r="U1159" s="13166"/>
      <c r="V1159" s="13166"/>
      <c r="W1159" s="13166"/>
      <c r="X1159" s="13166"/>
      <c r="Y1159" s="13166"/>
      <c r="Z1159" s="13166"/>
      <c r="AA1159" s="13166"/>
      <c r="AB1159" s="13166"/>
      <c r="AC1159" s="13166"/>
      <c r="AD1159" s="13166"/>
      <c r="AE1159" s="13166"/>
      <c r="AF1159" s="13181"/>
      <c r="AG1159" s="13181"/>
      <c r="AH1159" s="13181"/>
      <c r="AI1159" s="13181"/>
      <c r="AJ1159" s="13181"/>
      <c r="AK1159" s="13181"/>
      <c r="AL1159" s="13181"/>
      <c r="AM1159" s="13181"/>
      <c r="AN1159" s="13181"/>
      <c r="AO1159" s="13181"/>
      <c r="AP1159" s="13181"/>
      <c r="AQ1159" s="13181"/>
      <c r="AR1159" s="13183"/>
      <c r="AS1159" s="13179"/>
      <c r="AT1159" s="13184"/>
      <c r="AU1159" s="13184"/>
      <c r="AV1159" s="13184"/>
      <c r="AW1159" s="13184"/>
      <c r="AX1159" s="13184"/>
      <c r="AY1159" s="12860"/>
      <c r="AZ1159" s="12860"/>
      <c r="BA1159" s="12860"/>
      <c r="BB1159" s="12860"/>
      <c r="BC1159" s="12860"/>
      <c r="BD1159" s="10638"/>
      <c r="BF1159" s="10356"/>
      <c r="BG1159" s="10356"/>
      <c r="BH1159" s="10356"/>
      <c r="BI1159" s="10356"/>
      <c r="BJ1159" s="10356"/>
      <c r="BK1159" s="13086"/>
      <c r="BL1159" s="13086"/>
      <c r="BM1159" s="10356"/>
      <c r="BN1159" s="10356"/>
    </row>
    <row r="1160" spans="1:66" ht="30" hidden="1" customHeight="1">
      <c r="A1160" s="10636">
        <v>718</v>
      </c>
      <c r="B1160" s="10637" t="s">
        <v>8210</v>
      </c>
      <c r="C1160" s="13604"/>
      <c r="D1160" s="12401" t="s">
        <v>86</v>
      </c>
      <c r="E1160" s="12395" t="s">
        <v>2006</v>
      </c>
      <c r="F1160" s="12399"/>
      <c r="G1160" s="13035" t="s">
        <v>2016</v>
      </c>
      <c r="H1160" s="12985" t="s">
        <v>2017</v>
      </c>
      <c r="I1160" s="12402">
        <v>100</v>
      </c>
      <c r="K1160" s="13175" t="s">
        <v>10416</v>
      </c>
      <c r="L1160" s="12853"/>
      <c r="M1160" s="12859"/>
      <c r="N1160" s="13184"/>
      <c r="O1160" s="13179"/>
      <c r="P1160" s="13181" t="s">
        <v>10427</v>
      </c>
      <c r="Q1160" s="13181"/>
      <c r="R1160" s="13182"/>
      <c r="S1160" s="13181"/>
      <c r="T1160" s="13181"/>
      <c r="U1160" s="13181"/>
      <c r="V1160" s="13181"/>
      <c r="W1160" s="13181"/>
      <c r="X1160" s="13181"/>
      <c r="Y1160" s="13181"/>
      <c r="Z1160" s="13181"/>
      <c r="AA1160" s="13181"/>
      <c r="AB1160" s="13181"/>
      <c r="AC1160" s="13181"/>
      <c r="AD1160" s="13181"/>
      <c r="AE1160" s="13181"/>
      <c r="AF1160" s="13181"/>
      <c r="AG1160" s="13181"/>
      <c r="AH1160" s="13181"/>
      <c r="AI1160" s="13181"/>
      <c r="AJ1160" s="13181"/>
      <c r="AK1160" s="13181"/>
      <c r="AL1160" s="13181"/>
      <c r="AM1160" s="13181"/>
      <c r="AN1160" s="13181"/>
      <c r="AO1160" s="13181"/>
      <c r="AP1160" s="13181"/>
      <c r="AQ1160" s="13181"/>
      <c r="AR1160" s="13163"/>
      <c r="AS1160" s="13184"/>
      <c r="AT1160" s="13184"/>
      <c r="AU1160" s="13184" t="s">
        <v>10429</v>
      </c>
      <c r="AV1160" s="13184" t="s">
        <v>10430</v>
      </c>
      <c r="AW1160" s="13184" t="s">
        <v>3613</v>
      </c>
      <c r="AX1160" s="13184" t="s">
        <v>3613</v>
      </c>
      <c r="AY1160" s="13164"/>
      <c r="AZ1160" s="13164"/>
      <c r="BA1160" s="13164"/>
      <c r="BB1160" s="13164"/>
      <c r="BC1160" s="13164"/>
      <c r="BD1160" s="10639"/>
      <c r="BF1160" s="10356"/>
      <c r="BG1160" s="10356"/>
      <c r="BH1160" s="10356"/>
      <c r="BI1160" s="10356"/>
      <c r="BJ1160" s="10356"/>
      <c r="BK1160" s="13086"/>
      <c r="BL1160" s="13086"/>
      <c r="BM1160" s="10356"/>
      <c r="BN1160" s="10356"/>
    </row>
    <row r="1161" spans="1:66" ht="30" hidden="1" customHeight="1">
      <c r="A1161" s="10636">
        <v>719</v>
      </c>
      <c r="B1161" s="10637" t="s">
        <v>8211</v>
      </c>
      <c r="C1161" s="13604"/>
      <c r="D1161" s="12401" t="s">
        <v>86</v>
      </c>
      <c r="E1161" s="12395" t="s">
        <v>2006</v>
      </c>
      <c r="F1161" s="12399"/>
      <c r="G1161" s="13035" t="s">
        <v>2020</v>
      </c>
      <c r="H1161" s="12985" t="s">
        <v>2021</v>
      </c>
      <c r="I1161" s="12402">
        <v>118</v>
      </c>
      <c r="K1161" s="13175" t="s">
        <v>10597</v>
      </c>
      <c r="L1161" s="12853"/>
      <c r="M1161" s="12859"/>
      <c r="N1161" s="13184"/>
      <c r="O1161" s="13179"/>
      <c r="P1161" s="13181" t="s">
        <v>10428</v>
      </c>
      <c r="Q1161" s="13181"/>
      <c r="R1161" s="13182"/>
      <c r="S1161" s="13181"/>
      <c r="T1161" s="13181"/>
      <c r="U1161" s="13181"/>
      <c r="V1161" s="13181"/>
      <c r="W1161" s="13181"/>
      <c r="X1161" s="13181"/>
      <c r="Y1161" s="13181"/>
      <c r="Z1161" s="13181"/>
      <c r="AA1161" s="13181"/>
      <c r="AB1161" s="13181"/>
      <c r="AC1161" s="13181"/>
      <c r="AD1161" s="13181"/>
      <c r="AE1161" s="13181"/>
      <c r="AF1161" s="13181"/>
      <c r="AG1161" s="13181"/>
      <c r="AH1161" s="13181"/>
      <c r="AI1161" s="13181"/>
      <c r="AJ1161" s="13181"/>
      <c r="AK1161" s="13181"/>
      <c r="AL1161" s="13181"/>
      <c r="AM1161" s="13181"/>
      <c r="AN1161" s="13181"/>
      <c r="AO1161" s="13181"/>
      <c r="AP1161" s="13181"/>
      <c r="AQ1161" s="13181"/>
      <c r="AR1161" s="13184"/>
      <c r="AS1161" s="13184"/>
      <c r="AT1161" s="13184"/>
      <c r="AU1161" s="13184" t="s">
        <v>10432</v>
      </c>
      <c r="AV1161" s="13184" t="s">
        <v>10433</v>
      </c>
      <c r="AW1161" s="13184" t="s">
        <v>3613</v>
      </c>
      <c r="AX1161" s="13184" t="s">
        <v>3613</v>
      </c>
      <c r="AY1161" s="13164"/>
      <c r="AZ1161" s="13164"/>
      <c r="BA1161" s="13164"/>
      <c r="BB1161" s="13164"/>
      <c r="BC1161" s="13164"/>
      <c r="BD1161" s="10639"/>
      <c r="BF1161" s="10356"/>
      <c r="BG1161" s="10356"/>
      <c r="BH1161" s="10356"/>
      <c r="BI1161" s="10356"/>
      <c r="BJ1161" s="10356"/>
      <c r="BK1161" s="13086"/>
      <c r="BL1161" s="13086"/>
      <c r="BM1161" s="10356"/>
      <c r="BN1161" s="10356"/>
    </row>
    <row r="1162" spans="1:66" ht="30" hidden="1" customHeight="1">
      <c r="A1162" s="10636">
        <v>720</v>
      </c>
      <c r="B1162" s="10637" t="s">
        <v>8212</v>
      </c>
      <c r="C1162" s="13604"/>
      <c r="D1162" s="12401" t="s">
        <v>86</v>
      </c>
      <c r="E1162" s="12395" t="s">
        <v>2006</v>
      </c>
      <c r="F1162" s="12399"/>
      <c r="G1162" s="13035" t="s">
        <v>2023</v>
      </c>
      <c r="H1162" s="12985" t="s">
        <v>2024</v>
      </c>
      <c r="I1162" s="12402">
        <v>4</v>
      </c>
      <c r="K1162" s="13162" t="s">
        <v>10598</v>
      </c>
      <c r="L1162" s="12848"/>
      <c r="M1162" s="12849"/>
      <c r="N1162" s="13163"/>
      <c r="O1162" s="13179"/>
      <c r="P1162" s="13165" t="s">
        <v>10431</v>
      </c>
      <c r="Q1162" s="13166"/>
      <c r="R1162" s="13167"/>
      <c r="S1162" s="13166"/>
      <c r="T1162" s="13166"/>
      <c r="U1162" s="13166"/>
      <c r="V1162" s="13166"/>
      <c r="W1162" s="13166"/>
      <c r="X1162" s="13166"/>
      <c r="Y1162" s="13166"/>
      <c r="Z1162" s="13166"/>
      <c r="AA1162" s="13166"/>
      <c r="AB1162" s="13166"/>
      <c r="AC1162" s="13166"/>
      <c r="AD1162" s="13166"/>
      <c r="AE1162" s="13166"/>
      <c r="AF1162" s="13166"/>
      <c r="AG1162" s="13166"/>
      <c r="AH1162" s="13166"/>
      <c r="AI1162" s="13166"/>
      <c r="AJ1162" s="13166"/>
      <c r="AK1162" s="13166"/>
      <c r="AL1162" s="13166"/>
      <c r="AM1162" s="13166"/>
      <c r="AN1162" s="13166"/>
      <c r="AO1162" s="13166"/>
      <c r="AP1162" s="13166"/>
      <c r="AQ1162" s="13166"/>
      <c r="AR1162" s="13163"/>
      <c r="AS1162" s="13163"/>
      <c r="AT1162" s="13163"/>
      <c r="AU1162" s="13163" t="s">
        <v>2951</v>
      </c>
      <c r="AV1162" s="13163" t="s">
        <v>2951</v>
      </c>
      <c r="AW1162" s="13163" t="s">
        <v>2951</v>
      </c>
      <c r="AX1162" s="13163" t="s">
        <v>2951</v>
      </c>
      <c r="AY1162" s="13164"/>
      <c r="AZ1162" s="13164"/>
      <c r="BA1162" s="13164"/>
      <c r="BB1162" s="13164"/>
      <c r="BC1162" s="13164"/>
      <c r="BD1162" s="10639"/>
      <c r="BF1162" s="10356"/>
      <c r="BG1162" s="10356"/>
      <c r="BH1162" s="10356"/>
      <c r="BI1162" s="10356"/>
      <c r="BJ1162" s="10356"/>
      <c r="BK1162" s="13086"/>
      <c r="BL1162" s="13086"/>
      <c r="BM1162" s="10356"/>
      <c r="BN1162" s="10356"/>
    </row>
    <row r="1163" spans="1:66" ht="30" hidden="1" customHeight="1" thickBot="1">
      <c r="A1163" s="10640">
        <v>721</v>
      </c>
      <c r="B1163" s="10641" t="s">
        <v>8213</v>
      </c>
      <c r="C1163" s="13604"/>
      <c r="D1163" s="12403" t="s">
        <v>86</v>
      </c>
      <c r="E1163" s="12404" t="s">
        <v>2006</v>
      </c>
      <c r="F1163" s="12405"/>
      <c r="G1163" s="13036" t="s">
        <v>2027</v>
      </c>
      <c r="H1163" s="12986" t="s">
        <v>2028</v>
      </c>
      <c r="I1163" s="12406">
        <v>17</v>
      </c>
      <c r="K1163" s="13176" t="s">
        <v>10599</v>
      </c>
      <c r="L1163" s="12861"/>
      <c r="M1163" s="12861"/>
      <c r="N1163" s="13185"/>
      <c r="O1163" s="13186"/>
      <c r="P1163" s="13187" t="s">
        <v>10596</v>
      </c>
      <c r="Q1163" s="13188"/>
      <c r="R1163" s="13189"/>
      <c r="S1163" s="13188"/>
      <c r="T1163" s="13188"/>
      <c r="U1163" s="13188"/>
      <c r="V1163" s="13188"/>
      <c r="W1163" s="13188"/>
      <c r="X1163" s="13188"/>
      <c r="Y1163" s="13188"/>
      <c r="Z1163" s="13188"/>
      <c r="AA1163" s="13188"/>
      <c r="AB1163" s="13188"/>
      <c r="AC1163" s="13188"/>
      <c r="AD1163" s="13188"/>
      <c r="AE1163" s="13188"/>
      <c r="AF1163" s="13188"/>
      <c r="AG1163" s="13188"/>
      <c r="AH1163" s="13188"/>
      <c r="AI1163" s="13188"/>
      <c r="AJ1163" s="13188"/>
      <c r="AK1163" s="13188"/>
      <c r="AL1163" s="13188"/>
      <c r="AM1163" s="13188"/>
      <c r="AN1163" s="13188"/>
      <c r="AO1163" s="13188"/>
      <c r="AP1163" s="13188"/>
      <c r="AQ1163" s="13188"/>
      <c r="AR1163" s="13190"/>
      <c r="AS1163" s="13190"/>
      <c r="AT1163" s="13190"/>
      <c r="AU1163" s="13190"/>
      <c r="AV1163" s="13190"/>
      <c r="AW1163" s="13190"/>
      <c r="AX1163" s="13190"/>
      <c r="AY1163" s="13191"/>
      <c r="AZ1163" s="13191"/>
      <c r="BA1163" s="13191"/>
      <c r="BB1163" s="13191"/>
      <c r="BC1163" s="13191"/>
      <c r="BD1163" s="10642"/>
      <c r="BF1163" s="10357"/>
      <c r="BG1163" s="10357"/>
      <c r="BH1163" s="10357"/>
      <c r="BI1163" s="10357"/>
      <c r="BJ1163" s="10357"/>
      <c r="BK1163" s="13087"/>
      <c r="BL1163" s="13087"/>
      <c r="BM1163" s="10357"/>
      <c r="BN1163" s="10357"/>
    </row>
    <row r="1164" spans="1:66" ht="30" hidden="1" customHeight="1">
      <c r="A1164" s="9976">
        <v>722</v>
      </c>
      <c r="B1164" s="9977" t="s">
        <v>8214</v>
      </c>
      <c r="C1164" s="13604"/>
      <c r="D1164" s="12407" t="s">
        <v>86</v>
      </c>
      <c r="E1164" s="12408" t="s">
        <v>2006</v>
      </c>
      <c r="F1164" s="12409"/>
      <c r="G1164" s="13027" t="s">
        <v>2032</v>
      </c>
      <c r="H1164" s="12988" t="s">
        <v>2033</v>
      </c>
      <c r="I1164" s="12410">
        <v>0.6</v>
      </c>
      <c r="K1164" s="13177" t="s">
        <v>10435</v>
      </c>
      <c r="L1164" s="12862"/>
      <c r="M1164" s="12863"/>
      <c r="N1164" s="13192"/>
      <c r="O1164" s="13193"/>
      <c r="P1164" s="13194" t="s">
        <v>10434</v>
      </c>
      <c r="Q1164" s="13194"/>
      <c r="R1164" s="13195"/>
      <c r="S1164" s="13194"/>
      <c r="T1164" s="13194"/>
      <c r="U1164" s="13194"/>
      <c r="V1164" s="13194"/>
      <c r="W1164" s="13194"/>
      <c r="X1164" s="13194"/>
      <c r="Y1164" s="13194"/>
      <c r="Z1164" s="13194"/>
      <c r="AA1164" s="13194"/>
      <c r="AB1164" s="13194"/>
      <c r="AC1164" s="13194"/>
      <c r="AD1164" s="13194"/>
      <c r="AE1164" s="13194"/>
      <c r="AF1164" s="13194"/>
      <c r="AG1164" s="13194"/>
      <c r="AH1164" s="13194"/>
      <c r="AI1164" s="13194"/>
      <c r="AJ1164" s="13194"/>
      <c r="AK1164" s="13194"/>
      <c r="AL1164" s="13194"/>
      <c r="AM1164" s="13194"/>
      <c r="AN1164" s="13194"/>
      <c r="AO1164" s="13194"/>
      <c r="AP1164" s="13194"/>
      <c r="AQ1164" s="13194"/>
      <c r="AR1164" s="13192"/>
      <c r="AS1164" s="13192"/>
      <c r="AT1164" s="13192"/>
      <c r="AU1164" s="13192"/>
      <c r="AV1164" s="13192"/>
      <c r="AW1164" s="13192"/>
      <c r="AX1164" s="13192"/>
      <c r="AY1164" s="13196"/>
      <c r="AZ1164" s="13196"/>
      <c r="BA1164" s="13196"/>
      <c r="BB1164" s="13196"/>
      <c r="BC1164" s="13196"/>
      <c r="BD1164" s="10648"/>
      <c r="BF1164" s="9978"/>
      <c r="BG1164" s="9978"/>
      <c r="BH1164" s="9978"/>
      <c r="BI1164" s="9978"/>
      <c r="BJ1164" s="9978"/>
      <c r="BK1164" s="13075"/>
      <c r="BL1164" s="13075"/>
      <c r="BM1164" s="9978"/>
      <c r="BN1164" s="9978"/>
    </row>
    <row r="1165" spans="1:66" ht="30" hidden="1" customHeight="1">
      <c r="A1165" s="13530">
        <v>723</v>
      </c>
      <c r="B1165" s="14149" t="s">
        <v>8215</v>
      </c>
      <c r="C1165" s="13604"/>
      <c r="D1165" s="12411" t="s">
        <v>86</v>
      </c>
      <c r="E1165" s="12412" t="s">
        <v>2006</v>
      </c>
      <c r="F1165" s="12413"/>
      <c r="G1165" s="14150" t="s">
        <v>2035</v>
      </c>
      <c r="H1165" s="14272" t="s">
        <v>2036</v>
      </c>
      <c r="I1165" s="12414">
        <v>6</v>
      </c>
      <c r="K1165" s="13177" t="s">
        <v>10385</v>
      </c>
      <c r="L1165" s="12862"/>
      <c r="M1165" s="12863"/>
      <c r="N1165" s="13192"/>
      <c r="O1165" s="13193"/>
      <c r="P1165" s="13197" t="s">
        <v>10596</v>
      </c>
      <c r="Q1165" s="13194"/>
      <c r="R1165" s="13195"/>
      <c r="S1165" s="13194"/>
      <c r="T1165" s="13194"/>
      <c r="U1165" s="13194"/>
      <c r="V1165" s="13194"/>
      <c r="W1165" s="13194"/>
      <c r="X1165" s="13194"/>
      <c r="Y1165" s="13194"/>
      <c r="Z1165" s="13194"/>
      <c r="AA1165" s="13194"/>
      <c r="AB1165" s="13194"/>
      <c r="AC1165" s="13194"/>
      <c r="AD1165" s="13194"/>
      <c r="AE1165" s="13194"/>
      <c r="AF1165" s="13194"/>
      <c r="AG1165" s="13194"/>
      <c r="AH1165" s="13194"/>
      <c r="AI1165" s="13194"/>
      <c r="AJ1165" s="13194"/>
      <c r="AK1165" s="13194"/>
      <c r="AL1165" s="13194"/>
      <c r="AM1165" s="13194"/>
      <c r="AN1165" s="13194"/>
      <c r="AO1165" s="13194"/>
      <c r="AP1165" s="13194"/>
      <c r="AQ1165" s="13194"/>
      <c r="AR1165" s="13192"/>
      <c r="AS1165" s="13192"/>
      <c r="AT1165" s="13192"/>
      <c r="AU1165" s="13192"/>
      <c r="AV1165" s="13192"/>
      <c r="AW1165" s="13192"/>
      <c r="AX1165" s="13192"/>
      <c r="AY1165" s="13196"/>
      <c r="AZ1165" s="13196"/>
      <c r="BA1165" s="13196"/>
      <c r="BB1165" s="13196"/>
      <c r="BC1165" s="13196"/>
      <c r="BD1165" s="10654"/>
      <c r="BF1165" s="14510"/>
      <c r="BG1165" s="14510"/>
      <c r="BH1165" s="14510"/>
      <c r="BI1165" s="14510"/>
      <c r="BJ1165" s="14510"/>
      <c r="BK1165" s="13072"/>
      <c r="BL1165" s="14510"/>
      <c r="BM1165" s="14510"/>
      <c r="BN1165" s="14510"/>
    </row>
    <row r="1166" spans="1:66" ht="48.75" hidden="1" customHeight="1">
      <c r="A1166" s="13530"/>
      <c r="B1166" s="14149"/>
      <c r="C1166" s="13604"/>
      <c r="D1166" s="12411" t="s">
        <v>10276</v>
      </c>
      <c r="E1166" s="12412"/>
      <c r="F1166" s="12412" t="s">
        <v>2038</v>
      </c>
      <c r="G1166" s="14150"/>
      <c r="H1166" s="13461"/>
      <c r="I1166" s="12414"/>
      <c r="K1166" s="12864" t="s">
        <v>10416</v>
      </c>
      <c r="L1166" s="12865">
        <v>1</v>
      </c>
      <c r="M1166" s="12865" t="s">
        <v>2951</v>
      </c>
      <c r="N1166" s="12866">
        <v>1</v>
      </c>
      <c r="O1166" s="12867" t="s">
        <v>10438</v>
      </c>
      <c r="P1166" s="12868">
        <v>1328421</v>
      </c>
      <c r="Q1166" s="12869">
        <v>1328421</v>
      </c>
      <c r="R1166" s="12870">
        <v>0</v>
      </c>
      <c r="S1166" s="12869">
        <v>0</v>
      </c>
      <c r="T1166" s="12869" t="s">
        <v>2951</v>
      </c>
      <c r="U1166" s="12869" t="s">
        <v>2951</v>
      </c>
      <c r="V1166" s="12869" t="s">
        <v>2951</v>
      </c>
      <c r="W1166" s="12869" t="s">
        <v>2951</v>
      </c>
      <c r="X1166" s="12869" t="s">
        <v>2951</v>
      </c>
      <c r="Y1166" s="12869" t="s">
        <v>2951</v>
      </c>
      <c r="Z1166" s="12869" t="s">
        <v>2951</v>
      </c>
      <c r="AA1166" s="12869" t="s">
        <v>2951</v>
      </c>
      <c r="AB1166" s="12869" t="s">
        <v>2951</v>
      </c>
      <c r="AC1166" s="12869" t="s">
        <v>2951</v>
      </c>
      <c r="AD1166" s="12869" t="s">
        <v>2951</v>
      </c>
      <c r="AE1166" s="12869" t="s">
        <v>2951</v>
      </c>
      <c r="AF1166" s="12869" t="s">
        <v>2951</v>
      </c>
      <c r="AG1166" s="12869" t="s">
        <v>2951</v>
      </c>
      <c r="AH1166" s="12869" t="s">
        <v>2951</v>
      </c>
      <c r="AI1166" s="12869" t="s">
        <v>2951</v>
      </c>
      <c r="AJ1166" s="12869" t="s">
        <v>2951</v>
      </c>
      <c r="AK1166" s="12869" t="s">
        <v>2951</v>
      </c>
      <c r="AL1166" s="12869" t="s">
        <v>2951</v>
      </c>
      <c r="AM1166" s="12869" t="s">
        <v>2951</v>
      </c>
      <c r="AN1166" s="12869" t="s">
        <v>2951</v>
      </c>
      <c r="AO1166" s="12869" t="s">
        <v>2951</v>
      </c>
      <c r="AP1166" s="12869" t="s">
        <v>2951</v>
      </c>
      <c r="AQ1166" s="12869" t="s">
        <v>2951</v>
      </c>
      <c r="AR1166" s="12865" t="s">
        <v>2951</v>
      </c>
      <c r="AS1166" s="12865" t="s">
        <v>2951</v>
      </c>
      <c r="AT1166" s="12865" t="s">
        <v>10425</v>
      </c>
      <c r="AU1166" s="12865" t="s">
        <v>10426</v>
      </c>
      <c r="AV1166" s="12865">
        <v>15</v>
      </c>
      <c r="AW1166" s="12865" t="s">
        <v>3613</v>
      </c>
      <c r="AX1166" s="12865" t="s">
        <v>3613</v>
      </c>
      <c r="AY1166" s="12871"/>
      <c r="AZ1166" s="12871"/>
      <c r="BA1166" s="12871"/>
      <c r="BB1166" s="12871"/>
      <c r="BC1166" s="12871"/>
      <c r="BD1166" s="10654"/>
      <c r="BF1166" s="14510"/>
      <c r="BG1166" s="14510"/>
      <c r="BH1166" s="14510"/>
      <c r="BI1166" s="14510"/>
      <c r="BJ1166" s="14510"/>
      <c r="BK1166" s="10036"/>
      <c r="BL1166" s="14510"/>
      <c r="BM1166" s="14510"/>
      <c r="BN1166" s="14510"/>
    </row>
    <row r="1167" spans="1:66" ht="30" hidden="1" customHeight="1" thickBot="1">
      <c r="A1167" s="9979">
        <v>724</v>
      </c>
      <c r="B1167" s="9980" t="s">
        <v>8216</v>
      </c>
      <c r="C1167" s="13604"/>
      <c r="D1167" s="12415" t="s">
        <v>86</v>
      </c>
      <c r="E1167" s="12416" t="s">
        <v>2006</v>
      </c>
      <c r="F1167" s="12417"/>
      <c r="G1167" s="13025" t="s">
        <v>2039</v>
      </c>
      <c r="H1167" s="12977" t="s">
        <v>2040</v>
      </c>
      <c r="I1167" s="12418">
        <v>1</v>
      </c>
      <c r="K1167" s="13198" t="s">
        <v>10502</v>
      </c>
      <c r="L1167" s="12888"/>
      <c r="M1167" s="12889"/>
      <c r="N1167" s="13202"/>
      <c r="O1167" s="13203"/>
      <c r="P1167" s="13204" t="s">
        <v>10436</v>
      </c>
      <c r="Q1167" s="13205"/>
      <c r="R1167" s="13206"/>
      <c r="S1167" s="13204"/>
      <c r="T1167" s="13204"/>
      <c r="U1167" s="13204"/>
      <c r="V1167" s="13204"/>
      <c r="W1167" s="13204"/>
      <c r="X1167" s="13204"/>
      <c r="Y1167" s="13204"/>
      <c r="Z1167" s="13204"/>
      <c r="AA1167" s="13204"/>
      <c r="AB1167" s="13204"/>
      <c r="AC1167" s="13204"/>
      <c r="AD1167" s="13204"/>
      <c r="AE1167" s="13204"/>
      <c r="AF1167" s="13204"/>
      <c r="AG1167" s="13204"/>
      <c r="AH1167" s="13204"/>
      <c r="AI1167" s="13204"/>
      <c r="AJ1167" s="13204"/>
      <c r="AK1167" s="13204"/>
      <c r="AL1167" s="13204"/>
      <c r="AM1167" s="13204"/>
      <c r="AN1167" s="13204"/>
      <c r="AO1167" s="13204"/>
      <c r="AP1167" s="13204"/>
      <c r="AQ1167" s="13204"/>
      <c r="AR1167" s="13202"/>
      <c r="AS1167" s="13202"/>
      <c r="AT1167" s="13202"/>
      <c r="AU1167" s="13202"/>
      <c r="AV1167" s="13202"/>
      <c r="AW1167" s="13202"/>
      <c r="AX1167" s="13202"/>
      <c r="AY1167" s="13207"/>
      <c r="AZ1167" s="13207"/>
      <c r="BA1167" s="13207"/>
      <c r="BB1167" s="13207"/>
      <c r="BC1167" s="13207"/>
      <c r="BD1167" s="7696"/>
      <c r="BF1167" s="9981"/>
      <c r="BG1167" s="9981"/>
      <c r="BH1167" s="9981"/>
      <c r="BI1167" s="9981"/>
      <c r="BJ1167" s="9981"/>
      <c r="BK1167" s="13073"/>
      <c r="BL1167" s="13073"/>
      <c r="BM1167" s="9981"/>
      <c r="BN1167" s="9981"/>
    </row>
    <row r="1168" spans="1:66" ht="30" hidden="1" customHeight="1">
      <c r="A1168" s="10655">
        <v>725</v>
      </c>
      <c r="B1168" s="10656" t="s">
        <v>8217</v>
      </c>
      <c r="C1168" s="13604"/>
      <c r="D1168" s="12419" t="s">
        <v>86</v>
      </c>
      <c r="E1168" s="12420" t="s">
        <v>2006</v>
      </c>
      <c r="F1168" s="12421"/>
      <c r="G1168" s="13029" t="s">
        <v>2043</v>
      </c>
      <c r="H1168" s="12979" t="s">
        <v>2044</v>
      </c>
      <c r="I1168" s="12422">
        <v>1</v>
      </c>
      <c r="K1168" s="13199" t="s">
        <v>10416</v>
      </c>
      <c r="L1168" s="12865"/>
      <c r="M1168" s="12874"/>
      <c r="N1168" s="13208"/>
      <c r="O1168" s="13209"/>
      <c r="P1168" s="13210" t="s">
        <v>10438</v>
      </c>
      <c r="Q1168" s="13210"/>
      <c r="R1168" s="13211">
        <v>0</v>
      </c>
      <c r="S1168" s="13210">
        <v>0</v>
      </c>
      <c r="T1168" s="13212"/>
      <c r="U1168" s="13213"/>
      <c r="V1168" s="13213"/>
      <c r="W1168" s="13213"/>
      <c r="X1168" s="13213"/>
      <c r="Y1168" s="13213"/>
      <c r="Z1168" s="13213"/>
      <c r="AA1168" s="13213"/>
      <c r="AB1168" s="13213"/>
      <c r="AC1168" s="13213"/>
      <c r="AD1168" s="13213"/>
      <c r="AE1168" s="13213"/>
      <c r="AF1168" s="13210"/>
      <c r="AG1168" s="13210"/>
      <c r="AH1168" s="13210"/>
      <c r="AI1168" s="13210"/>
      <c r="AJ1168" s="13210"/>
      <c r="AK1168" s="13210"/>
      <c r="AL1168" s="13210"/>
      <c r="AM1168" s="13210"/>
      <c r="AN1168" s="13210"/>
      <c r="AO1168" s="13210"/>
      <c r="AP1168" s="13210"/>
      <c r="AQ1168" s="13210"/>
      <c r="AR1168" s="13208"/>
      <c r="AS1168" s="13208"/>
      <c r="AT1168" s="13208"/>
      <c r="AU1168" s="13208"/>
      <c r="AV1168" s="13208"/>
      <c r="AW1168" s="13208"/>
      <c r="AX1168" s="13208"/>
      <c r="AY1168" s="13214"/>
      <c r="AZ1168" s="13214"/>
      <c r="BA1168" s="13214"/>
      <c r="BB1168" s="13214"/>
      <c r="BC1168" s="13214"/>
      <c r="BD1168" s="10664"/>
      <c r="BF1168" s="10079"/>
      <c r="BG1168" s="10079"/>
      <c r="BH1168" s="10079"/>
      <c r="BI1168" s="10079"/>
      <c r="BJ1168" s="10079"/>
      <c r="BK1168" s="13077"/>
      <c r="BL1168" s="13077"/>
      <c r="BM1168" s="10079"/>
      <c r="BN1168" s="10079"/>
    </row>
    <row r="1169" spans="1:66" ht="30" hidden="1" customHeight="1">
      <c r="A1169" s="9985">
        <v>726</v>
      </c>
      <c r="B1169" s="9986" t="s">
        <v>8218</v>
      </c>
      <c r="C1169" s="13604"/>
      <c r="D1169" s="12423" t="s">
        <v>86</v>
      </c>
      <c r="E1169" s="12424" t="s">
        <v>2006</v>
      </c>
      <c r="F1169" s="12425"/>
      <c r="G1169" s="13023" t="s">
        <v>2046</v>
      </c>
      <c r="H1169" s="12976" t="s">
        <v>2047</v>
      </c>
      <c r="I1169" s="12426">
        <v>18</v>
      </c>
      <c r="K1169" s="13199" t="s">
        <v>10385</v>
      </c>
      <c r="L1169" s="12865"/>
      <c r="M1169" s="12874"/>
      <c r="N1169" s="13208"/>
      <c r="O1169" s="13209"/>
      <c r="P1169" s="13210" t="s">
        <v>10596</v>
      </c>
      <c r="Q1169" s="13210"/>
      <c r="R1169" s="13211">
        <v>0</v>
      </c>
      <c r="S1169" s="13210">
        <v>0</v>
      </c>
      <c r="T1169" s="13212"/>
      <c r="U1169" s="13213"/>
      <c r="V1169" s="13213"/>
      <c r="W1169" s="13213"/>
      <c r="X1169" s="13213"/>
      <c r="Y1169" s="13213"/>
      <c r="Z1169" s="13213"/>
      <c r="AA1169" s="13213"/>
      <c r="AB1169" s="13213"/>
      <c r="AC1169" s="13213"/>
      <c r="AD1169" s="13213"/>
      <c r="AE1169" s="13213"/>
      <c r="AF1169" s="13210"/>
      <c r="AG1169" s="13210"/>
      <c r="AH1169" s="13210"/>
      <c r="AI1169" s="13210"/>
      <c r="AJ1169" s="13210"/>
      <c r="AK1169" s="13210"/>
      <c r="AL1169" s="13210"/>
      <c r="AM1169" s="13210"/>
      <c r="AN1169" s="13210"/>
      <c r="AO1169" s="13210"/>
      <c r="AP1169" s="13210"/>
      <c r="AQ1169" s="13210"/>
      <c r="AR1169" s="13208"/>
      <c r="AS1169" s="13208"/>
      <c r="AT1169" s="13208"/>
      <c r="AU1169" s="13208"/>
      <c r="AV1169" s="13208"/>
      <c r="AW1169" s="13208"/>
      <c r="AX1169" s="13208"/>
      <c r="AY1169" s="13214"/>
      <c r="AZ1169" s="13214"/>
      <c r="BA1169" s="13214"/>
      <c r="BB1169" s="13214"/>
      <c r="BC1169" s="13214"/>
      <c r="BD1169" s="10670"/>
      <c r="BF1169" s="9895"/>
      <c r="BG1169" s="9895"/>
      <c r="BH1169" s="9895"/>
      <c r="BI1169" s="9895"/>
      <c r="BJ1169" s="9895"/>
      <c r="BK1169" s="13069"/>
      <c r="BL1169" s="13069"/>
      <c r="BM1169" s="9895"/>
      <c r="BN1169" s="9895"/>
    </row>
    <row r="1170" spans="1:66" ht="30" hidden="1" customHeight="1">
      <c r="A1170" s="9985">
        <v>727</v>
      </c>
      <c r="B1170" s="9986" t="s">
        <v>8219</v>
      </c>
      <c r="C1170" s="13604"/>
      <c r="D1170" s="12423" t="s">
        <v>86</v>
      </c>
      <c r="E1170" s="12424" t="s">
        <v>2006</v>
      </c>
      <c r="F1170" s="12425"/>
      <c r="G1170" s="13023" t="s">
        <v>2049</v>
      </c>
      <c r="H1170" s="12976" t="s">
        <v>2017</v>
      </c>
      <c r="I1170" s="12426">
        <v>12</v>
      </c>
      <c r="K1170" s="13199" t="s">
        <v>10514</v>
      </c>
      <c r="L1170" s="12865"/>
      <c r="M1170" s="12874"/>
      <c r="N1170" s="13208"/>
      <c r="O1170" s="13209"/>
      <c r="P1170" s="13210" t="s">
        <v>10439</v>
      </c>
      <c r="Q1170" s="13210"/>
      <c r="R1170" s="13215">
        <v>0</v>
      </c>
      <c r="S1170" s="13216">
        <v>0</v>
      </c>
      <c r="T1170" s="13217"/>
      <c r="U1170" s="13218"/>
      <c r="V1170" s="13218"/>
      <c r="W1170" s="13218"/>
      <c r="X1170" s="13218"/>
      <c r="Y1170" s="13218"/>
      <c r="Z1170" s="13218"/>
      <c r="AA1170" s="13218"/>
      <c r="AB1170" s="13218"/>
      <c r="AC1170" s="13218"/>
      <c r="AD1170" s="13218"/>
      <c r="AE1170" s="13218"/>
      <c r="AF1170" s="13218"/>
      <c r="AG1170" s="13218"/>
      <c r="AH1170" s="13218"/>
      <c r="AI1170" s="13218"/>
      <c r="AJ1170" s="13218"/>
      <c r="AK1170" s="13218"/>
      <c r="AL1170" s="13218"/>
      <c r="AM1170" s="13218"/>
      <c r="AN1170" s="13218"/>
      <c r="AO1170" s="13218"/>
      <c r="AP1170" s="13218"/>
      <c r="AQ1170" s="13218"/>
      <c r="AR1170" s="13219"/>
      <c r="AS1170" s="13219"/>
      <c r="AT1170" s="13219"/>
      <c r="AU1170" s="13219"/>
      <c r="AV1170" s="13219"/>
      <c r="AW1170" s="13219"/>
      <c r="AX1170" s="13219"/>
      <c r="AY1170" s="13214"/>
      <c r="AZ1170" s="13214"/>
      <c r="BA1170" s="13214"/>
      <c r="BB1170" s="13214"/>
      <c r="BC1170" s="13214"/>
      <c r="BD1170" s="10670"/>
      <c r="BF1170" s="9895"/>
      <c r="BG1170" s="9895"/>
      <c r="BH1170" s="9895"/>
      <c r="BI1170" s="9895"/>
      <c r="BJ1170" s="9895"/>
      <c r="BK1170" s="13069"/>
      <c r="BL1170" s="13069"/>
      <c r="BM1170" s="9895"/>
      <c r="BN1170" s="9895"/>
    </row>
    <row r="1171" spans="1:66" ht="30" hidden="1" customHeight="1">
      <c r="A1171" s="9985">
        <v>728</v>
      </c>
      <c r="B1171" s="9986" t="s">
        <v>8220</v>
      </c>
      <c r="C1171" s="13604"/>
      <c r="D1171" s="12423" t="s">
        <v>86</v>
      </c>
      <c r="E1171" s="12424" t="s">
        <v>2006</v>
      </c>
      <c r="F1171" s="12425"/>
      <c r="G1171" s="13023" t="s">
        <v>2050</v>
      </c>
      <c r="H1171" s="12976" t="s">
        <v>2017</v>
      </c>
      <c r="I1171" s="12426">
        <v>6</v>
      </c>
      <c r="K1171" s="13199" t="s">
        <v>10600</v>
      </c>
      <c r="L1171" s="12865"/>
      <c r="M1171" s="12874"/>
      <c r="N1171" s="13208"/>
      <c r="O1171" s="13209"/>
      <c r="P1171" s="13210" t="s">
        <v>10440</v>
      </c>
      <c r="Q1171" s="13210"/>
      <c r="R1171" s="13220">
        <v>0</v>
      </c>
      <c r="S1171" s="13218">
        <v>0</v>
      </c>
      <c r="T1171" s="13218"/>
      <c r="U1171" s="13218"/>
      <c r="V1171" s="13218"/>
      <c r="W1171" s="13218"/>
      <c r="X1171" s="13218"/>
      <c r="Y1171" s="13218"/>
      <c r="Z1171" s="13218"/>
      <c r="AA1171" s="13218"/>
      <c r="AB1171" s="13218"/>
      <c r="AC1171" s="13218"/>
      <c r="AD1171" s="13218"/>
      <c r="AE1171" s="13218"/>
      <c r="AF1171" s="13218"/>
      <c r="AG1171" s="13218"/>
      <c r="AH1171" s="13218"/>
      <c r="AI1171" s="13218"/>
      <c r="AJ1171" s="13218"/>
      <c r="AK1171" s="13218"/>
      <c r="AL1171" s="13218"/>
      <c r="AM1171" s="13218"/>
      <c r="AN1171" s="13218"/>
      <c r="AO1171" s="13218"/>
      <c r="AP1171" s="13218"/>
      <c r="AQ1171" s="13218"/>
      <c r="AR1171" s="13219"/>
      <c r="AS1171" s="13219"/>
      <c r="AT1171" s="13219"/>
      <c r="AU1171" s="13219"/>
      <c r="AV1171" s="13219"/>
      <c r="AW1171" s="13219"/>
      <c r="AX1171" s="13219"/>
      <c r="AY1171" s="13214"/>
      <c r="AZ1171" s="13214"/>
      <c r="BA1171" s="13214"/>
      <c r="BB1171" s="13214"/>
      <c r="BC1171" s="13214"/>
      <c r="BD1171" s="10670"/>
      <c r="BF1171" s="9895"/>
      <c r="BG1171" s="9895"/>
      <c r="BH1171" s="9895"/>
      <c r="BI1171" s="9895"/>
      <c r="BJ1171" s="9895"/>
      <c r="BK1171" s="13069"/>
      <c r="BL1171" s="13069"/>
      <c r="BM1171" s="9895"/>
      <c r="BN1171" s="9895"/>
    </row>
    <row r="1172" spans="1:66" ht="30" hidden="1" customHeight="1">
      <c r="A1172" s="9985">
        <v>729</v>
      </c>
      <c r="B1172" s="9986" t="s">
        <v>8221</v>
      </c>
      <c r="C1172" s="13604"/>
      <c r="D1172" s="12423" t="s">
        <v>86</v>
      </c>
      <c r="E1172" s="12424" t="s">
        <v>2006</v>
      </c>
      <c r="F1172" s="12425"/>
      <c r="G1172" s="13023" t="s">
        <v>2052</v>
      </c>
      <c r="H1172" s="12976" t="s">
        <v>2053</v>
      </c>
      <c r="I1172" s="12426">
        <v>2</v>
      </c>
      <c r="K1172" s="13199" t="s">
        <v>10601</v>
      </c>
      <c r="L1172" s="12865"/>
      <c r="M1172" s="12874"/>
      <c r="N1172" s="13208"/>
      <c r="O1172" s="13209"/>
      <c r="P1172" s="13210" t="s">
        <v>10441</v>
      </c>
      <c r="Q1172" s="13210"/>
      <c r="R1172" s="13211">
        <v>0</v>
      </c>
      <c r="S1172" s="13221">
        <v>0</v>
      </c>
      <c r="T1172" s="13212"/>
      <c r="U1172" s="13213"/>
      <c r="V1172" s="13213"/>
      <c r="W1172" s="13213"/>
      <c r="X1172" s="13213"/>
      <c r="Y1172" s="13213"/>
      <c r="Z1172" s="13213"/>
      <c r="AA1172" s="13213"/>
      <c r="AB1172" s="13213"/>
      <c r="AC1172" s="13213"/>
      <c r="AD1172" s="13213"/>
      <c r="AE1172" s="13213"/>
      <c r="AF1172" s="13210"/>
      <c r="AG1172" s="13210"/>
      <c r="AH1172" s="13210"/>
      <c r="AI1172" s="13210"/>
      <c r="AJ1172" s="13210"/>
      <c r="AK1172" s="13210"/>
      <c r="AL1172" s="13210"/>
      <c r="AM1172" s="13210"/>
      <c r="AN1172" s="13210"/>
      <c r="AO1172" s="13210"/>
      <c r="AP1172" s="13210"/>
      <c r="AQ1172" s="13210"/>
      <c r="AR1172" s="13208"/>
      <c r="AS1172" s="13208"/>
      <c r="AT1172" s="13208"/>
      <c r="AU1172" s="13208"/>
      <c r="AV1172" s="13208"/>
      <c r="AW1172" s="13208"/>
      <c r="AX1172" s="13208"/>
      <c r="AY1172" s="13214"/>
      <c r="AZ1172" s="13214"/>
      <c r="BA1172" s="13214"/>
      <c r="BB1172" s="13214"/>
      <c r="BC1172" s="13214"/>
      <c r="BD1172" s="10670"/>
      <c r="BF1172" s="9895"/>
      <c r="BG1172" s="9895"/>
      <c r="BH1172" s="9895"/>
      <c r="BI1172" s="9895"/>
      <c r="BJ1172" s="9895"/>
      <c r="BK1172" s="13069"/>
      <c r="BL1172" s="13069"/>
      <c r="BM1172" s="9895"/>
      <c r="BN1172" s="9895"/>
    </row>
    <row r="1173" spans="1:66" ht="30" hidden="1" customHeight="1">
      <c r="A1173" s="9985">
        <v>730</v>
      </c>
      <c r="B1173" s="9986" t="s">
        <v>8222</v>
      </c>
      <c r="C1173" s="13604"/>
      <c r="D1173" s="12423" t="s">
        <v>86</v>
      </c>
      <c r="E1173" s="12424" t="s">
        <v>2006</v>
      </c>
      <c r="F1173" s="12425"/>
      <c r="G1173" s="13023" t="s">
        <v>2055</v>
      </c>
      <c r="H1173" s="12976" t="s">
        <v>2056</v>
      </c>
      <c r="I1173" s="12426">
        <v>27</v>
      </c>
      <c r="K1173" s="13200" t="s">
        <v>10602</v>
      </c>
      <c r="L1173" s="12872"/>
      <c r="M1173" s="12873"/>
      <c r="N1173" s="13219" t="s">
        <v>3633</v>
      </c>
      <c r="O1173" s="13209"/>
      <c r="P1173" s="13217"/>
      <c r="Q1173" s="13210"/>
      <c r="R1173" s="13215">
        <v>0</v>
      </c>
      <c r="S1173" s="13210">
        <v>0</v>
      </c>
      <c r="T1173" s="13212"/>
      <c r="U1173" s="13213"/>
      <c r="V1173" s="13213"/>
      <c r="W1173" s="13213"/>
      <c r="X1173" s="13213"/>
      <c r="Y1173" s="13213"/>
      <c r="Z1173" s="13213"/>
      <c r="AA1173" s="13213"/>
      <c r="AB1173" s="13213"/>
      <c r="AC1173" s="13213"/>
      <c r="AD1173" s="13213"/>
      <c r="AE1173" s="13213"/>
      <c r="AF1173" s="13218"/>
      <c r="AG1173" s="13218"/>
      <c r="AH1173" s="13218"/>
      <c r="AI1173" s="13218"/>
      <c r="AJ1173" s="13218"/>
      <c r="AK1173" s="13218"/>
      <c r="AL1173" s="13218"/>
      <c r="AM1173" s="13218"/>
      <c r="AN1173" s="13218"/>
      <c r="AO1173" s="13218"/>
      <c r="AP1173" s="13218"/>
      <c r="AQ1173" s="13218"/>
      <c r="AR1173" s="13219"/>
      <c r="AS1173" s="13219"/>
      <c r="AT1173" s="13219"/>
      <c r="AU1173" s="13219"/>
      <c r="AV1173" s="13219"/>
      <c r="AW1173" s="13219"/>
      <c r="AX1173" s="13219"/>
      <c r="AY1173" s="13214"/>
      <c r="AZ1173" s="13214"/>
      <c r="BA1173" s="13214"/>
      <c r="BB1173" s="13214"/>
      <c r="BC1173" s="13214"/>
      <c r="BD1173" s="10670"/>
      <c r="BF1173" s="9895"/>
      <c r="BG1173" s="9895"/>
      <c r="BH1173" s="9895"/>
      <c r="BI1173" s="9895"/>
      <c r="BJ1173" s="9895"/>
      <c r="BK1173" s="13069"/>
      <c r="BL1173" s="13069"/>
      <c r="BM1173" s="9895"/>
      <c r="BN1173" s="9895"/>
    </row>
    <row r="1174" spans="1:66" ht="30" hidden="1" customHeight="1">
      <c r="A1174" s="13527">
        <v>731</v>
      </c>
      <c r="B1174" s="14127" t="s">
        <v>8223</v>
      </c>
      <c r="C1174" s="13604"/>
      <c r="D1174" s="12423" t="s">
        <v>86</v>
      </c>
      <c r="E1174" s="12424" t="s">
        <v>2006</v>
      </c>
      <c r="F1174" s="7853"/>
      <c r="G1174" s="14129" t="s">
        <v>2058</v>
      </c>
      <c r="H1174" s="14273" t="s">
        <v>2059</v>
      </c>
      <c r="I1174" s="12426">
        <v>21</v>
      </c>
      <c r="K1174" s="13201" t="s">
        <v>10601</v>
      </c>
      <c r="L1174" s="12886"/>
      <c r="M1174" s="12887"/>
      <c r="N1174" s="13222" t="s">
        <v>3634</v>
      </c>
      <c r="O1174" s="13223"/>
      <c r="P1174" s="13224"/>
      <c r="Q1174" s="13225"/>
      <c r="R1174" s="13225">
        <v>0</v>
      </c>
      <c r="S1174" s="13225">
        <v>0</v>
      </c>
      <c r="T1174" s="13225" t="s">
        <v>2951</v>
      </c>
      <c r="U1174" s="13225" t="s">
        <v>2951</v>
      </c>
      <c r="V1174" s="13225" t="s">
        <v>2951</v>
      </c>
      <c r="W1174" s="13225" t="s">
        <v>2951</v>
      </c>
      <c r="X1174" s="13225" t="s">
        <v>2951</v>
      </c>
      <c r="Y1174" s="13225" t="s">
        <v>2951</v>
      </c>
      <c r="Z1174" s="13225" t="s">
        <v>2951</v>
      </c>
      <c r="AA1174" s="13225" t="s">
        <v>2951</v>
      </c>
      <c r="AB1174" s="13225" t="s">
        <v>2951</v>
      </c>
      <c r="AC1174" s="13225" t="s">
        <v>2951</v>
      </c>
      <c r="AD1174" s="13225" t="s">
        <v>2951</v>
      </c>
      <c r="AE1174" s="13225" t="s">
        <v>2951</v>
      </c>
      <c r="AF1174" s="13225" t="s">
        <v>2951</v>
      </c>
      <c r="AG1174" s="13225" t="s">
        <v>2951</v>
      </c>
      <c r="AH1174" s="13225" t="s">
        <v>2951</v>
      </c>
      <c r="AI1174" s="13225" t="s">
        <v>2951</v>
      </c>
      <c r="AJ1174" s="13225" t="s">
        <v>2951</v>
      </c>
      <c r="AK1174" s="13225" t="s">
        <v>2951</v>
      </c>
      <c r="AL1174" s="13225" t="s">
        <v>2951</v>
      </c>
      <c r="AM1174" s="13225" t="s">
        <v>2951</v>
      </c>
      <c r="AN1174" s="13225" t="s">
        <v>2951</v>
      </c>
      <c r="AO1174" s="13225" t="s">
        <v>2951</v>
      </c>
      <c r="AP1174" s="13225" t="s">
        <v>2951</v>
      </c>
      <c r="AQ1174" s="13225" t="s">
        <v>2951</v>
      </c>
      <c r="AR1174" s="13222" t="s">
        <v>2951</v>
      </c>
      <c r="AS1174" s="13222" t="s">
        <v>2951</v>
      </c>
      <c r="AT1174" s="13222" t="s">
        <v>2951</v>
      </c>
      <c r="AU1174" s="13222" t="s">
        <v>2951</v>
      </c>
      <c r="AV1174" s="13222" t="s">
        <v>2951</v>
      </c>
      <c r="AW1174" s="13222" t="s">
        <v>2951</v>
      </c>
      <c r="AX1174" s="13222" t="s">
        <v>2951</v>
      </c>
      <c r="AY1174" s="13226"/>
      <c r="AZ1174" s="13226"/>
      <c r="BA1174" s="13226"/>
      <c r="BB1174" s="13226"/>
      <c r="BC1174" s="13226"/>
      <c r="BD1174" s="10670"/>
      <c r="BF1174" s="14502"/>
      <c r="BG1174" s="14502"/>
      <c r="BH1174" s="14502"/>
      <c r="BI1174" s="14502"/>
      <c r="BJ1174" s="14502"/>
      <c r="BK1174" s="13069"/>
      <c r="BL1174" s="14502"/>
      <c r="BM1174" s="14502"/>
      <c r="BN1174" s="14502"/>
    </row>
    <row r="1175" spans="1:66" ht="30" hidden="1" customHeight="1">
      <c r="A1175" s="13527"/>
      <c r="B1175" s="14127"/>
      <c r="C1175" s="13604"/>
      <c r="D1175" s="12423" t="s">
        <v>2896</v>
      </c>
      <c r="E1175" s="12424"/>
      <c r="F1175" s="12424" t="s">
        <v>163</v>
      </c>
      <c r="G1175" s="14129"/>
      <c r="H1175" s="13412"/>
      <c r="I1175" s="12426"/>
      <c r="K1175" s="12879" t="s">
        <v>10435</v>
      </c>
      <c r="L1175" s="12880">
        <v>6</v>
      </c>
      <c r="M1175" s="12881" t="s">
        <v>2951</v>
      </c>
      <c r="N1175" s="12881">
        <v>6</v>
      </c>
      <c r="O1175" s="12877" t="s">
        <v>10442</v>
      </c>
      <c r="P1175" s="12882">
        <v>1328421</v>
      </c>
      <c r="Q1175" s="12882">
        <v>1328421</v>
      </c>
      <c r="R1175" s="12882">
        <v>0</v>
      </c>
      <c r="S1175" s="12882">
        <v>0</v>
      </c>
      <c r="T1175" s="12883">
        <v>135</v>
      </c>
      <c r="U1175" s="12884">
        <v>62</v>
      </c>
      <c r="V1175" s="12884">
        <v>73</v>
      </c>
      <c r="W1175" s="12884">
        <v>121</v>
      </c>
      <c r="X1175" s="12884">
        <v>14</v>
      </c>
      <c r="Y1175" s="12884">
        <v>0</v>
      </c>
      <c r="Z1175" s="12884">
        <v>1</v>
      </c>
      <c r="AA1175" s="12884">
        <v>10</v>
      </c>
      <c r="AB1175" s="12884">
        <v>43</v>
      </c>
      <c r="AC1175" s="12884">
        <v>44</v>
      </c>
      <c r="AD1175" s="12884">
        <v>22</v>
      </c>
      <c r="AE1175" s="12884">
        <v>15</v>
      </c>
      <c r="AF1175" s="12882">
        <v>61</v>
      </c>
      <c r="AG1175" s="12882">
        <v>0</v>
      </c>
      <c r="AH1175" s="12882">
        <v>2</v>
      </c>
      <c r="AI1175" s="12882">
        <v>2</v>
      </c>
      <c r="AJ1175" s="12882">
        <v>2</v>
      </c>
      <c r="AK1175" s="12882">
        <v>0</v>
      </c>
      <c r="AL1175" s="12882">
        <v>0</v>
      </c>
      <c r="AM1175" s="12882">
        <v>1</v>
      </c>
      <c r="AN1175" s="12882">
        <v>66</v>
      </c>
      <c r="AO1175" s="12882">
        <v>1</v>
      </c>
      <c r="AP1175" s="12882">
        <v>1</v>
      </c>
      <c r="AQ1175" s="12882">
        <v>0</v>
      </c>
      <c r="AR1175" s="12881">
        <v>0</v>
      </c>
      <c r="AS1175" s="12881">
        <v>0</v>
      </c>
      <c r="AT1175" s="12881"/>
      <c r="AU1175" s="12881"/>
      <c r="AV1175" s="12881"/>
      <c r="AW1175" s="12881"/>
      <c r="AX1175" s="12881"/>
      <c r="AY1175" s="12878"/>
      <c r="AZ1175" s="12878"/>
      <c r="BA1175" s="12878"/>
      <c r="BB1175" s="12878"/>
      <c r="BC1175" s="12878"/>
      <c r="BD1175" s="10670"/>
      <c r="BF1175" s="14502"/>
      <c r="BG1175" s="14502"/>
      <c r="BH1175" s="14502"/>
      <c r="BI1175" s="14502"/>
      <c r="BJ1175" s="14502"/>
      <c r="BK1175" s="9895"/>
      <c r="BL1175" s="14502"/>
      <c r="BM1175" s="14502"/>
      <c r="BN1175" s="14502"/>
    </row>
    <row r="1176" spans="1:66" ht="30" hidden="1" customHeight="1" thickBot="1">
      <c r="A1176" s="10198">
        <v>732</v>
      </c>
      <c r="B1176" s="10199" t="s">
        <v>8224</v>
      </c>
      <c r="C1176" s="13604"/>
      <c r="D1176" s="12427" t="s">
        <v>86</v>
      </c>
      <c r="E1176" s="12428" t="s">
        <v>2006</v>
      </c>
      <c r="F1176" s="12429"/>
      <c r="G1176" s="13024" t="s">
        <v>2061</v>
      </c>
      <c r="H1176" s="12990" t="s">
        <v>2062</v>
      </c>
      <c r="I1176" s="12430">
        <v>13</v>
      </c>
      <c r="K1176" s="13201" t="s">
        <v>10603</v>
      </c>
      <c r="L1176" s="12886"/>
      <c r="M1176" s="12887"/>
      <c r="N1176" s="13222" t="s">
        <v>8617</v>
      </c>
      <c r="O1176" s="13223"/>
      <c r="P1176" s="13225">
        <v>1328421</v>
      </c>
      <c r="Q1176" s="13225">
        <v>1328421</v>
      </c>
      <c r="R1176" s="13225">
        <v>0</v>
      </c>
      <c r="S1176" s="13225">
        <v>0</v>
      </c>
      <c r="T1176" s="13225" t="s">
        <v>2951</v>
      </c>
      <c r="U1176" s="13225" t="s">
        <v>2951</v>
      </c>
      <c r="V1176" s="13225" t="s">
        <v>2951</v>
      </c>
      <c r="W1176" s="13225" t="s">
        <v>2951</v>
      </c>
      <c r="X1176" s="13225" t="s">
        <v>2951</v>
      </c>
      <c r="Y1176" s="13225" t="s">
        <v>2951</v>
      </c>
      <c r="Z1176" s="13225" t="s">
        <v>2951</v>
      </c>
      <c r="AA1176" s="13225" t="s">
        <v>2951</v>
      </c>
      <c r="AB1176" s="13225" t="s">
        <v>2951</v>
      </c>
      <c r="AC1176" s="13225" t="s">
        <v>2951</v>
      </c>
      <c r="AD1176" s="13225" t="s">
        <v>2951</v>
      </c>
      <c r="AE1176" s="13225" t="s">
        <v>2951</v>
      </c>
      <c r="AF1176" s="13225" t="s">
        <v>2951</v>
      </c>
      <c r="AG1176" s="13225" t="s">
        <v>2951</v>
      </c>
      <c r="AH1176" s="13225" t="s">
        <v>2951</v>
      </c>
      <c r="AI1176" s="13225" t="s">
        <v>2951</v>
      </c>
      <c r="AJ1176" s="13225" t="s">
        <v>2951</v>
      </c>
      <c r="AK1176" s="13225" t="s">
        <v>2951</v>
      </c>
      <c r="AL1176" s="13225" t="s">
        <v>2951</v>
      </c>
      <c r="AM1176" s="13225" t="s">
        <v>2951</v>
      </c>
      <c r="AN1176" s="13225" t="s">
        <v>2951</v>
      </c>
      <c r="AO1176" s="13225" t="s">
        <v>2951</v>
      </c>
      <c r="AP1176" s="13225" t="s">
        <v>2951</v>
      </c>
      <c r="AQ1176" s="13225" t="s">
        <v>2951</v>
      </c>
      <c r="AR1176" s="13222" t="s">
        <v>2951</v>
      </c>
      <c r="AS1176" s="13222" t="s">
        <v>2951</v>
      </c>
      <c r="AT1176" s="13222" t="s">
        <v>10425</v>
      </c>
      <c r="AU1176" s="13222" t="s">
        <v>10437</v>
      </c>
      <c r="AV1176" s="13222">
        <v>10</v>
      </c>
      <c r="AW1176" s="13222" t="s">
        <v>3613</v>
      </c>
      <c r="AX1176" s="13222" t="s">
        <v>3613</v>
      </c>
      <c r="AY1176" s="13226"/>
      <c r="AZ1176" s="13226"/>
      <c r="BA1176" s="13226"/>
      <c r="BB1176" s="13226"/>
      <c r="BC1176" s="13226"/>
      <c r="BD1176" s="10676"/>
      <c r="BF1176" s="9906"/>
      <c r="BG1176" s="9906"/>
      <c r="BH1176" s="9906"/>
      <c r="BI1176" s="9906"/>
      <c r="BJ1176" s="9906"/>
      <c r="BK1176" s="13070"/>
      <c r="BL1176" s="13070"/>
      <c r="BM1176" s="9906"/>
      <c r="BN1176" s="9906"/>
    </row>
    <row r="1177" spans="1:66" ht="30" hidden="1" customHeight="1">
      <c r="A1177" s="10677">
        <v>733</v>
      </c>
      <c r="B1177" s="10678" t="s">
        <v>8225</v>
      </c>
      <c r="C1177" s="13604"/>
      <c r="D1177" s="12431" t="s">
        <v>86</v>
      </c>
      <c r="E1177" s="12432" t="s">
        <v>2006</v>
      </c>
      <c r="F1177" s="12433"/>
      <c r="G1177" s="12434" t="s">
        <v>2065</v>
      </c>
      <c r="H1177" s="12989" t="s">
        <v>2066</v>
      </c>
      <c r="I1177" s="12436">
        <v>4</v>
      </c>
      <c r="K1177" s="13227" t="s">
        <v>10385</v>
      </c>
      <c r="L1177" s="12875"/>
      <c r="M1177" s="12876"/>
      <c r="N1177" s="13228"/>
      <c r="O1177" s="13229"/>
      <c r="P1177" s="13230" t="s">
        <v>10596</v>
      </c>
      <c r="Q1177" s="13230">
        <v>1328421</v>
      </c>
      <c r="R1177" s="13230">
        <v>0</v>
      </c>
      <c r="S1177" s="13230">
        <v>0</v>
      </c>
      <c r="T1177" s="13230" t="s">
        <v>2951</v>
      </c>
      <c r="U1177" s="13230" t="s">
        <v>2951</v>
      </c>
      <c r="V1177" s="13230" t="s">
        <v>2951</v>
      </c>
      <c r="W1177" s="13230" t="s">
        <v>2951</v>
      </c>
      <c r="X1177" s="13230" t="s">
        <v>2951</v>
      </c>
      <c r="Y1177" s="13230" t="s">
        <v>2951</v>
      </c>
      <c r="Z1177" s="13230" t="s">
        <v>2951</v>
      </c>
      <c r="AA1177" s="13230" t="s">
        <v>2951</v>
      </c>
      <c r="AB1177" s="13230" t="s">
        <v>2951</v>
      </c>
      <c r="AC1177" s="13230" t="s">
        <v>2951</v>
      </c>
      <c r="AD1177" s="13230" t="s">
        <v>2951</v>
      </c>
      <c r="AE1177" s="13230" t="s">
        <v>2951</v>
      </c>
      <c r="AF1177" s="13230" t="s">
        <v>2951</v>
      </c>
      <c r="AG1177" s="13230" t="s">
        <v>2951</v>
      </c>
      <c r="AH1177" s="13230" t="s">
        <v>2951</v>
      </c>
      <c r="AI1177" s="13230" t="s">
        <v>2951</v>
      </c>
      <c r="AJ1177" s="13230" t="s">
        <v>2951</v>
      </c>
      <c r="AK1177" s="13230" t="s">
        <v>2951</v>
      </c>
      <c r="AL1177" s="13230" t="s">
        <v>2951</v>
      </c>
      <c r="AM1177" s="13230" t="s">
        <v>2951</v>
      </c>
      <c r="AN1177" s="13230" t="s">
        <v>2951</v>
      </c>
      <c r="AO1177" s="13230" t="s">
        <v>2951</v>
      </c>
      <c r="AP1177" s="13230" t="s">
        <v>2951</v>
      </c>
      <c r="AQ1177" s="13230" t="s">
        <v>2951</v>
      </c>
      <c r="AR1177" s="13228" t="s">
        <v>2951</v>
      </c>
      <c r="AS1177" s="13228" t="s">
        <v>2951</v>
      </c>
      <c r="AT1177" s="13228" t="s">
        <v>10425</v>
      </c>
      <c r="AU1177" s="13228" t="s">
        <v>10437</v>
      </c>
      <c r="AV1177" s="13228">
        <v>10</v>
      </c>
      <c r="AW1177" s="13228" t="s">
        <v>3613</v>
      </c>
      <c r="AX1177" s="13228" t="s">
        <v>3613</v>
      </c>
      <c r="AY1177" s="13231"/>
      <c r="AZ1177" s="13231"/>
      <c r="BA1177" s="13231"/>
      <c r="BB1177" s="13231"/>
      <c r="BC1177" s="13231"/>
      <c r="BD1177" s="10685"/>
      <c r="BF1177" s="10679"/>
      <c r="BG1177" s="10679"/>
      <c r="BH1177" s="10679"/>
      <c r="BI1177" s="10679"/>
      <c r="BJ1177" s="10679"/>
      <c r="BK1177" s="10679"/>
      <c r="BL1177" s="10679"/>
      <c r="BM1177" s="10679"/>
      <c r="BN1177" s="10679"/>
    </row>
    <row r="1178" spans="1:66" ht="30" hidden="1" customHeight="1">
      <c r="A1178" s="10339">
        <v>734</v>
      </c>
      <c r="B1178" s="10340" t="s">
        <v>8226</v>
      </c>
      <c r="C1178" s="13604"/>
      <c r="D1178" s="12437" t="s">
        <v>86</v>
      </c>
      <c r="E1178" s="12303" t="s">
        <v>2006</v>
      </c>
      <c r="F1178" s="12438"/>
      <c r="G1178" s="13026" t="s">
        <v>2068</v>
      </c>
      <c r="H1178" s="12982" t="s">
        <v>2069</v>
      </c>
      <c r="I1178" s="12439">
        <v>6</v>
      </c>
      <c r="K1178" s="13227" t="s">
        <v>10600</v>
      </c>
      <c r="L1178" s="12875"/>
      <c r="M1178" s="12875"/>
      <c r="N1178" s="13232"/>
      <c r="O1178" s="13233"/>
      <c r="P1178" s="13230" t="s">
        <v>10604</v>
      </c>
      <c r="Q1178" s="13230"/>
      <c r="R1178" s="13230">
        <v>0</v>
      </c>
      <c r="S1178" s="13230">
        <v>0</v>
      </c>
      <c r="T1178" s="13230" t="s">
        <v>2951</v>
      </c>
      <c r="U1178" s="13230" t="s">
        <v>2951</v>
      </c>
      <c r="V1178" s="13230" t="s">
        <v>2951</v>
      </c>
      <c r="W1178" s="13230" t="s">
        <v>2951</v>
      </c>
      <c r="X1178" s="13230" t="s">
        <v>2951</v>
      </c>
      <c r="Y1178" s="13230" t="s">
        <v>2951</v>
      </c>
      <c r="Z1178" s="13230" t="s">
        <v>2951</v>
      </c>
      <c r="AA1178" s="13230" t="s">
        <v>2951</v>
      </c>
      <c r="AB1178" s="13230" t="s">
        <v>2951</v>
      </c>
      <c r="AC1178" s="13230" t="s">
        <v>2951</v>
      </c>
      <c r="AD1178" s="13230" t="s">
        <v>2951</v>
      </c>
      <c r="AE1178" s="13230" t="s">
        <v>2951</v>
      </c>
      <c r="AF1178" s="13230" t="s">
        <v>2951</v>
      </c>
      <c r="AG1178" s="13230" t="s">
        <v>2951</v>
      </c>
      <c r="AH1178" s="13230" t="s">
        <v>2951</v>
      </c>
      <c r="AI1178" s="13230" t="s">
        <v>2951</v>
      </c>
      <c r="AJ1178" s="13230" t="s">
        <v>2951</v>
      </c>
      <c r="AK1178" s="13230" t="s">
        <v>2951</v>
      </c>
      <c r="AL1178" s="13230" t="s">
        <v>2951</v>
      </c>
      <c r="AM1178" s="13230" t="s">
        <v>2951</v>
      </c>
      <c r="AN1178" s="13230" t="s">
        <v>2951</v>
      </c>
      <c r="AO1178" s="13230" t="s">
        <v>2951</v>
      </c>
      <c r="AP1178" s="13230" t="s">
        <v>2951</v>
      </c>
      <c r="AQ1178" s="13230" t="s">
        <v>2951</v>
      </c>
      <c r="AR1178" s="13234" t="s">
        <v>2951</v>
      </c>
      <c r="AS1178" s="13234" t="s">
        <v>2951</v>
      </c>
      <c r="AT1178" s="13234" t="s">
        <v>2951</v>
      </c>
      <c r="AU1178" s="13234" t="s">
        <v>2951</v>
      </c>
      <c r="AV1178" s="13234" t="s">
        <v>2951</v>
      </c>
      <c r="AW1178" s="13234" t="s">
        <v>2951</v>
      </c>
      <c r="AX1178" s="13234" t="s">
        <v>2951</v>
      </c>
      <c r="AY1178" s="13235"/>
      <c r="AZ1178" s="13235"/>
      <c r="BA1178" s="13235"/>
      <c r="BB1178" s="13235"/>
      <c r="BC1178" s="13235"/>
      <c r="BD1178" s="7695"/>
      <c r="BF1178" s="10218"/>
      <c r="BG1178" s="10218"/>
      <c r="BH1178" s="10218"/>
      <c r="BI1178" s="10218"/>
      <c r="BJ1178" s="10218"/>
      <c r="BK1178" s="13076"/>
      <c r="BL1178" s="13076"/>
      <c r="BM1178" s="10218"/>
      <c r="BN1178" s="10218"/>
    </row>
    <row r="1179" spans="1:66" ht="30" hidden="1" customHeight="1">
      <c r="A1179" s="10339">
        <v>735</v>
      </c>
      <c r="B1179" s="10340" t="s">
        <v>8227</v>
      </c>
      <c r="C1179" s="13604"/>
      <c r="D1179" s="12437" t="s">
        <v>86</v>
      </c>
      <c r="E1179" s="12303" t="s">
        <v>2006</v>
      </c>
      <c r="F1179" s="12438"/>
      <c r="G1179" s="13026" t="s">
        <v>2071</v>
      </c>
      <c r="H1179" s="12982" t="s">
        <v>479</v>
      </c>
      <c r="I1179" s="12439">
        <v>1</v>
      </c>
      <c r="K1179" s="13227" t="s">
        <v>10502</v>
      </c>
      <c r="L1179" s="12875"/>
      <c r="M1179" s="12876"/>
      <c r="N1179" s="13228"/>
      <c r="O1179" s="13229"/>
      <c r="P1179" s="13230" t="s">
        <v>10443</v>
      </c>
      <c r="Q1179" s="13230" t="s">
        <v>2951</v>
      </c>
      <c r="R1179" s="13230">
        <v>0</v>
      </c>
      <c r="S1179" s="13230">
        <v>0</v>
      </c>
      <c r="T1179" s="13230" t="s">
        <v>2951</v>
      </c>
      <c r="U1179" s="13230" t="s">
        <v>2951</v>
      </c>
      <c r="V1179" s="13230" t="s">
        <v>2951</v>
      </c>
      <c r="W1179" s="13230" t="s">
        <v>2951</v>
      </c>
      <c r="X1179" s="13230" t="s">
        <v>2951</v>
      </c>
      <c r="Y1179" s="13230" t="s">
        <v>2951</v>
      </c>
      <c r="Z1179" s="13230" t="s">
        <v>2951</v>
      </c>
      <c r="AA1179" s="13230" t="s">
        <v>2951</v>
      </c>
      <c r="AB1179" s="13230" t="s">
        <v>2951</v>
      </c>
      <c r="AC1179" s="13230" t="s">
        <v>2951</v>
      </c>
      <c r="AD1179" s="13230" t="s">
        <v>2951</v>
      </c>
      <c r="AE1179" s="13230" t="s">
        <v>2951</v>
      </c>
      <c r="AF1179" s="13230" t="s">
        <v>2951</v>
      </c>
      <c r="AG1179" s="13230" t="s">
        <v>2951</v>
      </c>
      <c r="AH1179" s="13230" t="s">
        <v>2951</v>
      </c>
      <c r="AI1179" s="13230" t="s">
        <v>2951</v>
      </c>
      <c r="AJ1179" s="13230" t="s">
        <v>2951</v>
      </c>
      <c r="AK1179" s="13230" t="s">
        <v>2951</v>
      </c>
      <c r="AL1179" s="13230" t="s">
        <v>2951</v>
      </c>
      <c r="AM1179" s="13230" t="s">
        <v>2951</v>
      </c>
      <c r="AN1179" s="13230" t="s">
        <v>2951</v>
      </c>
      <c r="AO1179" s="13230" t="s">
        <v>2951</v>
      </c>
      <c r="AP1179" s="13230" t="s">
        <v>2951</v>
      </c>
      <c r="AQ1179" s="13230" t="s">
        <v>2951</v>
      </c>
      <c r="AR1179" s="13228" t="s">
        <v>2951</v>
      </c>
      <c r="AS1179" s="13228" t="s">
        <v>2951</v>
      </c>
      <c r="AT1179" s="13228" t="s">
        <v>2951</v>
      </c>
      <c r="AU1179" s="13228" t="s">
        <v>2951</v>
      </c>
      <c r="AV1179" s="13228" t="s">
        <v>2951</v>
      </c>
      <c r="AW1179" s="13228" t="s">
        <v>2951</v>
      </c>
      <c r="AX1179" s="13228" t="s">
        <v>2951</v>
      </c>
      <c r="AY1179" s="13231"/>
      <c r="AZ1179" s="13231"/>
      <c r="BA1179" s="13231"/>
      <c r="BB1179" s="13231"/>
      <c r="BC1179" s="13231"/>
      <c r="BD1179" s="7695"/>
      <c r="BF1179" s="10218"/>
      <c r="BG1179" s="10218"/>
      <c r="BH1179" s="10218"/>
      <c r="BI1179" s="10218"/>
      <c r="BJ1179" s="10218"/>
      <c r="BK1179" s="13076"/>
      <c r="BL1179" s="13076"/>
      <c r="BM1179" s="10218"/>
      <c r="BN1179" s="10218"/>
    </row>
    <row r="1180" spans="1:66" ht="30" hidden="1" customHeight="1">
      <c r="A1180" s="10339">
        <v>736</v>
      </c>
      <c r="B1180" s="10340" t="s">
        <v>8228</v>
      </c>
      <c r="C1180" s="13604"/>
      <c r="D1180" s="12437" t="s">
        <v>86</v>
      </c>
      <c r="E1180" s="12303" t="s">
        <v>2006</v>
      </c>
      <c r="F1180" s="12438"/>
      <c r="G1180" s="13026" t="s">
        <v>2073</v>
      </c>
      <c r="H1180" s="12982" t="s">
        <v>2074</v>
      </c>
      <c r="I1180" s="12439">
        <v>4</v>
      </c>
      <c r="K1180" s="13227" t="s">
        <v>10598</v>
      </c>
      <c r="L1180" s="12875"/>
      <c r="M1180" s="12875"/>
      <c r="N1180" s="13232" t="s">
        <v>10444</v>
      </c>
      <c r="O1180" s="13233"/>
      <c r="P1180" s="13230"/>
      <c r="Q1180" s="13230">
        <v>1328421</v>
      </c>
      <c r="R1180" s="13230">
        <v>0</v>
      </c>
      <c r="S1180" s="13230">
        <v>0</v>
      </c>
      <c r="T1180" s="13230" t="s">
        <v>2951</v>
      </c>
      <c r="U1180" s="13230" t="s">
        <v>2951</v>
      </c>
      <c r="V1180" s="13230" t="s">
        <v>2951</v>
      </c>
      <c r="W1180" s="13230" t="s">
        <v>2951</v>
      </c>
      <c r="X1180" s="13230" t="s">
        <v>2951</v>
      </c>
      <c r="Y1180" s="13230" t="s">
        <v>2951</v>
      </c>
      <c r="Z1180" s="13230" t="s">
        <v>2951</v>
      </c>
      <c r="AA1180" s="13230" t="s">
        <v>2951</v>
      </c>
      <c r="AB1180" s="13230" t="s">
        <v>2951</v>
      </c>
      <c r="AC1180" s="13230" t="s">
        <v>2951</v>
      </c>
      <c r="AD1180" s="13230" t="s">
        <v>2951</v>
      </c>
      <c r="AE1180" s="13230" t="s">
        <v>2951</v>
      </c>
      <c r="AF1180" s="13230" t="s">
        <v>2951</v>
      </c>
      <c r="AG1180" s="13230" t="s">
        <v>2951</v>
      </c>
      <c r="AH1180" s="13230" t="s">
        <v>2951</v>
      </c>
      <c r="AI1180" s="13230" t="s">
        <v>2951</v>
      </c>
      <c r="AJ1180" s="13230" t="s">
        <v>2951</v>
      </c>
      <c r="AK1180" s="13230" t="s">
        <v>2951</v>
      </c>
      <c r="AL1180" s="13230" t="s">
        <v>2951</v>
      </c>
      <c r="AM1180" s="13230" t="s">
        <v>2951</v>
      </c>
      <c r="AN1180" s="13230" t="s">
        <v>2951</v>
      </c>
      <c r="AO1180" s="13230" t="s">
        <v>2951</v>
      </c>
      <c r="AP1180" s="13230" t="s">
        <v>2951</v>
      </c>
      <c r="AQ1180" s="13230" t="s">
        <v>2951</v>
      </c>
      <c r="AR1180" s="13234" t="s">
        <v>2951</v>
      </c>
      <c r="AS1180" s="13234" t="s">
        <v>2951</v>
      </c>
      <c r="AT1180" s="13234" t="s">
        <v>10425</v>
      </c>
      <c r="AU1180" s="13234" t="s">
        <v>10437</v>
      </c>
      <c r="AV1180" s="13234">
        <v>10</v>
      </c>
      <c r="AW1180" s="13234" t="s">
        <v>3613</v>
      </c>
      <c r="AX1180" s="13234" t="s">
        <v>3613</v>
      </c>
      <c r="AY1180" s="13235"/>
      <c r="AZ1180" s="13235"/>
      <c r="BA1180" s="13235"/>
      <c r="BB1180" s="13235"/>
      <c r="BC1180" s="13235"/>
      <c r="BD1180" s="7695"/>
      <c r="BF1180" s="10218"/>
      <c r="BG1180" s="10218"/>
      <c r="BH1180" s="10218"/>
      <c r="BI1180" s="10218"/>
      <c r="BJ1180" s="10218"/>
      <c r="BK1180" s="13076"/>
      <c r="BL1180" s="13076"/>
      <c r="BM1180" s="10218"/>
      <c r="BN1180" s="10218"/>
    </row>
    <row r="1181" spans="1:66" ht="30" hidden="1" customHeight="1">
      <c r="A1181" s="10339">
        <v>737</v>
      </c>
      <c r="B1181" s="10340" t="s">
        <v>8229</v>
      </c>
      <c r="C1181" s="13604"/>
      <c r="D1181" s="12440" t="s">
        <v>86</v>
      </c>
      <c r="E1181" s="12303" t="s">
        <v>2006</v>
      </c>
      <c r="F1181" s="12438"/>
      <c r="G1181" s="13026" t="s">
        <v>2076</v>
      </c>
      <c r="H1181" s="12982" t="s">
        <v>2077</v>
      </c>
      <c r="I1181" s="12441">
        <v>1</v>
      </c>
      <c r="K1181" s="13227" t="s">
        <v>10385</v>
      </c>
      <c r="L1181" s="12875"/>
      <c r="M1181" s="12875"/>
      <c r="N1181" s="13232"/>
      <c r="O1181" s="13233"/>
      <c r="P1181" s="13230" t="s">
        <v>10596</v>
      </c>
      <c r="Q1181" s="13230">
        <v>1328421</v>
      </c>
      <c r="R1181" s="13230">
        <v>0</v>
      </c>
      <c r="S1181" s="13230">
        <v>0</v>
      </c>
      <c r="T1181" s="13230" t="s">
        <v>2951</v>
      </c>
      <c r="U1181" s="13230" t="s">
        <v>2951</v>
      </c>
      <c r="V1181" s="13230" t="s">
        <v>2951</v>
      </c>
      <c r="W1181" s="13230" t="s">
        <v>2951</v>
      </c>
      <c r="X1181" s="13230" t="s">
        <v>2951</v>
      </c>
      <c r="Y1181" s="13230" t="s">
        <v>2951</v>
      </c>
      <c r="Z1181" s="13230" t="s">
        <v>2951</v>
      </c>
      <c r="AA1181" s="13230" t="s">
        <v>2951</v>
      </c>
      <c r="AB1181" s="13230" t="s">
        <v>2951</v>
      </c>
      <c r="AC1181" s="13230" t="s">
        <v>2951</v>
      </c>
      <c r="AD1181" s="13230" t="s">
        <v>2951</v>
      </c>
      <c r="AE1181" s="13230" t="s">
        <v>2951</v>
      </c>
      <c r="AF1181" s="13230" t="s">
        <v>2951</v>
      </c>
      <c r="AG1181" s="13230" t="s">
        <v>2951</v>
      </c>
      <c r="AH1181" s="13230" t="s">
        <v>2951</v>
      </c>
      <c r="AI1181" s="13230" t="s">
        <v>2951</v>
      </c>
      <c r="AJ1181" s="13230" t="s">
        <v>2951</v>
      </c>
      <c r="AK1181" s="13230" t="s">
        <v>2951</v>
      </c>
      <c r="AL1181" s="13230" t="s">
        <v>2951</v>
      </c>
      <c r="AM1181" s="13230" t="s">
        <v>2951</v>
      </c>
      <c r="AN1181" s="13230" t="s">
        <v>2951</v>
      </c>
      <c r="AO1181" s="13230" t="s">
        <v>2951</v>
      </c>
      <c r="AP1181" s="13230" t="s">
        <v>2951</v>
      </c>
      <c r="AQ1181" s="13230" t="s">
        <v>2951</v>
      </c>
      <c r="AR1181" s="13234" t="s">
        <v>2951</v>
      </c>
      <c r="AS1181" s="13234" t="s">
        <v>2951</v>
      </c>
      <c r="AT1181" s="13234" t="s">
        <v>10425</v>
      </c>
      <c r="AU1181" s="13234" t="s">
        <v>10426</v>
      </c>
      <c r="AV1181" s="13234">
        <v>15</v>
      </c>
      <c r="AW1181" s="13234" t="s">
        <v>3613</v>
      </c>
      <c r="AX1181" s="13234" t="s">
        <v>3613</v>
      </c>
      <c r="AY1181" s="13235"/>
      <c r="AZ1181" s="13235"/>
      <c r="BA1181" s="13235"/>
      <c r="BB1181" s="13235"/>
      <c r="BC1181" s="13235"/>
      <c r="BD1181" s="10686"/>
      <c r="BF1181" s="10218"/>
      <c r="BG1181" s="10218"/>
      <c r="BH1181" s="10218"/>
      <c r="BI1181" s="10218"/>
      <c r="BJ1181" s="10218"/>
      <c r="BK1181" s="13076"/>
      <c r="BL1181" s="13076"/>
      <c r="BM1181" s="10218"/>
      <c r="BN1181" s="10218"/>
    </row>
    <row r="1182" spans="1:66" ht="30" hidden="1" customHeight="1">
      <c r="A1182" s="10339">
        <v>738</v>
      </c>
      <c r="B1182" s="10340" t="s">
        <v>8230</v>
      </c>
      <c r="C1182" s="13604"/>
      <c r="D1182" s="12437" t="s">
        <v>86</v>
      </c>
      <c r="E1182" s="12303" t="s">
        <v>2006</v>
      </c>
      <c r="F1182" s="12438"/>
      <c r="G1182" s="13026" t="s">
        <v>2079</v>
      </c>
      <c r="H1182" s="12982" t="s">
        <v>2080</v>
      </c>
      <c r="I1182" s="12439">
        <v>1</v>
      </c>
      <c r="K1182" s="13227" t="s">
        <v>10385</v>
      </c>
      <c r="L1182" s="12875"/>
      <c r="M1182" s="12876"/>
      <c r="N1182" s="13228"/>
      <c r="O1182" s="13229"/>
      <c r="P1182" s="13230" t="s">
        <v>10596</v>
      </c>
      <c r="Q1182" s="13230">
        <v>1328421</v>
      </c>
      <c r="R1182" s="13230">
        <v>0</v>
      </c>
      <c r="S1182" s="13230">
        <v>0</v>
      </c>
      <c r="T1182" s="13230" t="s">
        <v>2951</v>
      </c>
      <c r="U1182" s="13230" t="s">
        <v>2951</v>
      </c>
      <c r="V1182" s="13230" t="s">
        <v>2951</v>
      </c>
      <c r="W1182" s="13230" t="s">
        <v>2951</v>
      </c>
      <c r="X1182" s="13230" t="s">
        <v>2951</v>
      </c>
      <c r="Y1182" s="13230" t="s">
        <v>2951</v>
      </c>
      <c r="Z1182" s="13230" t="s">
        <v>2951</v>
      </c>
      <c r="AA1182" s="13230" t="s">
        <v>2951</v>
      </c>
      <c r="AB1182" s="13230" t="s">
        <v>2951</v>
      </c>
      <c r="AC1182" s="13230" t="s">
        <v>2951</v>
      </c>
      <c r="AD1182" s="13230" t="s">
        <v>2951</v>
      </c>
      <c r="AE1182" s="13230" t="s">
        <v>2951</v>
      </c>
      <c r="AF1182" s="13230" t="s">
        <v>2951</v>
      </c>
      <c r="AG1182" s="13230" t="s">
        <v>2951</v>
      </c>
      <c r="AH1182" s="13230" t="s">
        <v>2951</v>
      </c>
      <c r="AI1182" s="13230" t="s">
        <v>2951</v>
      </c>
      <c r="AJ1182" s="13230" t="s">
        <v>2951</v>
      </c>
      <c r="AK1182" s="13230" t="s">
        <v>2951</v>
      </c>
      <c r="AL1182" s="13230" t="s">
        <v>2951</v>
      </c>
      <c r="AM1182" s="13230" t="s">
        <v>2951</v>
      </c>
      <c r="AN1182" s="13230" t="s">
        <v>2951</v>
      </c>
      <c r="AO1182" s="13230" t="s">
        <v>2951</v>
      </c>
      <c r="AP1182" s="13230" t="s">
        <v>2951</v>
      </c>
      <c r="AQ1182" s="13230" t="s">
        <v>2951</v>
      </c>
      <c r="AR1182" s="13228" t="s">
        <v>2951</v>
      </c>
      <c r="AS1182" s="13228" t="s">
        <v>2951</v>
      </c>
      <c r="AT1182" s="13228" t="s">
        <v>10425</v>
      </c>
      <c r="AU1182" s="13228" t="s">
        <v>10426</v>
      </c>
      <c r="AV1182" s="13228">
        <v>15</v>
      </c>
      <c r="AW1182" s="13228" t="s">
        <v>3613</v>
      </c>
      <c r="AX1182" s="13228" t="s">
        <v>3613</v>
      </c>
      <c r="AY1182" s="13231"/>
      <c r="AZ1182" s="13231"/>
      <c r="BA1182" s="13231"/>
      <c r="BB1182" s="13231"/>
      <c r="BC1182" s="13231"/>
      <c r="BD1182" s="7695"/>
      <c r="BF1182" s="10218"/>
      <c r="BG1182" s="10218"/>
      <c r="BH1182" s="10218"/>
      <c r="BI1182" s="10218"/>
      <c r="BJ1182" s="10218"/>
      <c r="BK1182" s="13076"/>
      <c r="BL1182" s="13076"/>
      <c r="BM1182" s="10218"/>
      <c r="BN1182" s="10218"/>
    </row>
    <row r="1183" spans="1:66" ht="30" hidden="1" customHeight="1">
      <c r="A1183" s="13662">
        <v>739</v>
      </c>
      <c r="B1183" s="14171" t="s">
        <v>8231</v>
      </c>
      <c r="C1183" s="13604"/>
      <c r="D1183" s="12440" t="s">
        <v>86</v>
      </c>
      <c r="E1183" s="12303" t="s">
        <v>2006</v>
      </c>
      <c r="F1183" s="12378"/>
      <c r="G1183" s="14172" t="s">
        <v>2082</v>
      </c>
      <c r="H1183" s="14274" t="s">
        <v>2083</v>
      </c>
      <c r="I1183" s="12441">
        <v>0.8</v>
      </c>
      <c r="K1183" s="13227" t="s">
        <v>10445</v>
      </c>
      <c r="L1183" s="12875"/>
      <c r="M1183" s="12875"/>
      <c r="N1183" s="13232"/>
      <c r="O1183" s="13233"/>
      <c r="P1183" s="13230" t="s">
        <v>10446</v>
      </c>
      <c r="Q1183" s="13230">
        <v>1328421</v>
      </c>
      <c r="R1183" s="13230">
        <v>0</v>
      </c>
      <c r="S1183" s="13230">
        <v>0</v>
      </c>
      <c r="T1183" s="13236">
        <v>430</v>
      </c>
      <c r="U1183" s="13237">
        <v>305</v>
      </c>
      <c r="V1183" s="13237">
        <v>125</v>
      </c>
      <c r="W1183" s="13237">
        <v>423</v>
      </c>
      <c r="X1183" s="13237">
        <v>7</v>
      </c>
      <c r="Y1183" s="13237">
        <v>0</v>
      </c>
      <c r="Z1183" s="13237">
        <v>0</v>
      </c>
      <c r="AA1183" s="13237">
        <v>0</v>
      </c>
      <c r="AB1183" s="13237">
        <v>169</v>
      </c>
      <c r="AC1183" s="13237">
        <v>203</v>
      </c>
      <c r="AD1183" s="13237">
        <v>58</v>
      </c>
      <c r="AE1183" s="13237">
        <v>0</v>
      </c>
      <c r="AF1183" s="13230">
        <v>16</v>
      </c>
      <c r="AG1183" s="13230">
        <v>0</v>
      </c>
      <c r="AH1183" s="13230">
        <v>0</v>
      </c>
      <c r="AI1183" s="13230">
        <v>0</v>
      </c>
      <c r="AJ1183" s="13230">
        <v>3</v>
      </c>
      <c r="AK1183" s="13230">
        <v>0</v>
      </c>
      <c r="AL1183" s="13230">
        <v>21</v>
      </c>
      <c r="AM1183" s="13230">
        <v>0</v>
      </c>
      <c r="AN1183" s="13230">
        <v>40</v>
      </c>
      <c r="AO1183" s="13230">
        <v>0</v>
      </c>
      <c r="AP1183" s="13230">
        <v>0</v>
      </c>
      <c r="AQ1183" s="13230">
        <v>0</v>
      </c>
      <c r="AR1183" s="13234">
        <v>0</v>
      </c>
      <c r="AS1183" s="13234">
        <v>0</v>
      </c>
      <c r="AT1183" s="13232"/>
      <c r="AU1183" s="13232"/>
      <c r="AV1183" s="13232"/>
      <c r="AW1183" s="13232"/>
      <c r="AX1183" s="13232"/>
      <c r="AY1183" s="13235"/>
      <c r="AZ1183" s="13235"/>
      <c r="BA1183" s="13235"/>
      <c r="BB1183" s="13235"/>
      <c r="BC1183" s="13235"/>
      <c r="BD1183" s="10686"/>
      <c r="BF1183" s="14524"/>
      <c r="BG1183" s="14524"/>
      <c r="BH1183" s="14524"/>
      <c r="BI1183" s="14524"/>
      <c r="BJ1183" s="14524"/>
      <c r="BK1183" s="13076"/>
      <c r="BL1183" s="14524"/>
      <c r="BM1183" s="14524"/>
      <c r="BN1183" s="14524"/>
    </row>
    <row r="1184" spans="1:66" ht="30" hidden="1" customHeight="1">
      <c r="A1184" s="13662"/>
      <c r="B1184" s="14171"/>
      <c r="C1184" s="13604"/>
      <c r="D1184" s="12440" t="s">
        <v>2896</v>
      </c>
      <c r="E1184" s="12303"/>
      <c r="F1184" s="12303" t="s">
        <v>163</v>
      </c>
      <c r="G1184" s="14172"/>
      <c r="H1184" s="13462"/>
      <c r="I1184" s="12441"/>
      <c r="K1184" s="12879" t="s">
        <v>10450</v>
      </c>
      <c r="L1184" s="12880">
        <v>14</v>
      </c>
      <c r="M1184" s="12881" t="s">
        <v>2951</v>
      </c>
      <c r="N1184" s="12881">
        <v>14</v>
      </c>
      <c r="O1184" s="12877" t="s">
        <v>3644</v>
      </c>
      <c r="P1184" s="12885">
        <v>1328421</v>
      </c>
      <c r="Q1184" s="12882">
        <v>1328421</v>
      </c>
      <c r="R1184" s="12882">
        <v>0</v>
      </c>
      <c r="S1184" s="12882">
        <v>0</v>
      </c>
      <c r="T1184" s="12882" t="s">
        <v>2951</v>
      </c>
      <c r="U1184" s="12882" t="s">
        <v>2951</v>
      </c>
      <c r="V1184" s="12882" t="s">
        <v>2951</v>
      </c>
      <c r="W1184" s="12882" t="s">
        <v>2951</v>
      </c>
      <c r="X1184" s="12882" t="s">
        <v>2951</v>
      </c>
      <c r="Y1184" s="12882" t="s">
        <v>2951</v>
      </c>
      <c r="Z1184" s="12882" t="s">
        <v>2951</v>
      </c>
      <c r="AA1184" s="12882" t="s">
        <v>2951</v>
      </c>
      <c r="AB1184" s="12882" t="s">
        <v>2951</v>
      </c>
      <c r="AC1184" s="12882" t="s">
        <v>2951</v>
      </c>
      <c r="AD1184" s="12882" t="s">
        <v>2951</v>
      </c>
      <c r="AE1184" s="12882" t="s">
        <v>2951</v>
      </c>
      <c r="AF1184" s="12882" t="s">
        <v>2951</v>
      </c>
      <c r="AG1184" s="12882" t="s">
        <v>2951</v>
      </c>
      <c r="AH1184" s="12882" t="s">
        <v>2951</v>
      </c>
      <c r="AI1184" s="12882" t="s">
        <v>2951</v>
      </c>
      <c r="AJ1184" s="12882" t="s">
        <v>2951</v>
      </c>
      <c r="AK1184" s="12882" t="s">
        <v>2951</v>
      </c>
      <c r="AL1184" s="12882" t="s">
        <v>2951</v>
      </c>
      <c r="AM1184" s="12882" t="s">
        <v>2951</v>
      </c>
      <c r="AN1184" s="12882" t="s">
        <v>2951</v>
      </c>
      <c r="AO1184" s="12882" t="s">
        <v>2951</v>
      </c>
      <c r="AP1184" s="12882" t="s">
        <v>2951</v>
      </c>
      <c r="AQ1184" s="12882" t="s">
        <v>2951</v>
      </c>
      <c r="AR1184" s="12881" t="s">
        <v>2951</v>
      </c>
      <c r="AS1184" s="12881" t="s">
        <v>2951</v>
      </c>
      <c r="AT1184" s="12881" t="s">
        <v>10425</v>
      </c>
      <c r="AU1184" s="12881" t="s">
        <v>10426</v>
      </c>
      <c r="AV1184" s="12881">
        <v>15</v>
      </c>
      <c r="AW1184" s="12881" t="s">
        <v>3613</v>
      </c>
      <c r="AX1184" s="12881" t="s">
        <v>3613</v>
      </c>
      <c r="AY1184" s="12878"/>
      <c r="AZ1184" s="12878"/>
      <c r="BA1184" s="12878"/>
      <c r="BB1184" s="12878"/>
      <c r="BC1184" s="12878"/>
      <c r="BD1184" s="10686"/>
      <c r="BF1184" s="14524"/>
      <c r="BG1184" s="14524"/>
      <c r="BH1184" s="14524"/>
      <c r="BI1184" s="14524"/>
      <c r="BJ1184" s="14524"/>
      <c r="BK1184" s="10218"/>
      <c r="BL1184" s="14524"/>
      <c r="BM1184" s="14524"/>
      <c r="BN1184" s="14524"/>
    </row>
    <row r="1185" spans="1:66" ht="30" hidden="1" customHeight="1">
      <c r="A1185" s="10339">
        <v>740</v>
      </c>
      <c r="B1185" s="10340" t="s">
        <v>8232</v>
      </c>
      <c r="C1185" s="13604"/>
      <c r="D1185" s="12440" t="s">
        <v>86</v>
      </c>
      <c r="E1185" s="12303" t="s">
        <v>2006</v>
      </c>
      <c r="F1185" s="12438"/>
      <c r="G1185" s="13026" t="s">
        <v>2084</v>
      </c>
      <c r="H1185" s="12982" t="s">
        <v>2085</v>
      </c>
      <c r="I1185" s="12441">
        <v>0.4</v>
      </c>
      <c r="K1185" s="13227" t="s">
        <v>10447</v>
      </c>
      <c r="L1185" s="12875"/>
      <c r="M1185" s="12875"/>
      <c r="N1185" s="13232" t="s">
        <v>10448</v>
      </c>
      <c r="O1185" s="13233"/>
      <c r="P1185" s="13230"/>
      <c r="Q1185" s="13230">
        <v>1328421</v>
      </c>
      <c r="R1185" s="13230">
        <v>0</v>
      </c>
      <c r="S1185" s="13230">
        <v>0</v>
      </c>
      <c r="T1185" s="13230" t="s">
        <v>2951</v>
      </c>
      <c r="U1185" s="13230" t="s">
        <v>2951</v>
      </c>
      <c r="V1185" s="13230" t="s">
        <v>2951</v>
      </c>
      <c r="W1185" s="13230" t="s">
        <v>2951</v>
      </c>
      <c r="X1185" s="13230" t="s">
        <v>2951</v>
      </c>
      <c r="Y1185" s="13230" t="s">
        <v>2951</v>
      </c>
      <c r="Z1185" s="13230" t="s">
        <v>2951</v>
      </c>
      <c r="AA1185" s="13230" t="s">
        <v>2951</v>
      </c>
      <c r="AB1185" s="13230" t="s">
        <v>2951</v>
      </c>
      <c r="AC1185" s="13230" t="s">
        <v>2951</v>
      </c>
      <c r="AD1185" s="13230" t="s">
        <v>2951</v>
      </c>
      <c r="AE1185" s="13230" t="s">
        <v>2951</v>
      </c>
      <c r="AF1185" s="13230" t="s">
        <v>2951</v>
      </c>
      <c r="AG1185" s="13230" t="s">
        <v>2951</v>
      </c>
      <c r="AH1185" s="13230" t="s">
        <v>2951</v>
      </c>
      <c r="AI1185" s="13230" t="s">
        <v>2951</v>
      </c>
      <c r="AJ1185" s="13230" t="s">
        <v>2951</v>
      </c>
      <c r="AK1185" s="13230" t="s">
        <v>2951</v>
      </c>
      <c r="AL1185" s="13230" t="s">
        <v>2951</v>
      </c>
      <c r="AM1185" s="13230" t="s">
        <v>2951</v>
      </c>
      <c r="AN1185" s="13230" t="s">
        <v>2951</v>
      </c>
      <c r="AO1185" s="13230" t="s">
        <v>2951</v>
      </c>
      <c r="AP1185" s="13230" t="s">
        <v>2951</v>
      </c>
      <c r="AQ1185" s="13230" t="s">
        <v>2951</v>
      </c>
      <c r="AR1185" s="13234" t="s">
        <v>2951</v>
      </c>
      <c r="AS1185" s="13234" t="s">
        <v>2951</v>
      </c>
      <c r="AT1185" s="13234" t="s">
        <v>10425</v>
      </c>
      <c r="AU1185" s="13234" t="s">
        <v>10426</v>
      </c>
      <c r="AV1185" s="13234">
        <v>15</v>
      </c>
      <c r="AW1185" s="13234" t="s">
        <v>3613</v>
      </c>
      <c r="AX1185" s="13234" t="s">
        <v>3613</v>
      </c>
      <c r="AY1185" s="13235"/>
      <c r="AZ1185" s="13235"/>
      <c r="BA1185" s="13235"/>
      <c r="BB1185" s="13235"/>
      <c r="BC1185" s="13235"/>
      <c r="BD1185" s="10686"/>
      <c r="BF1185" s="10218"/>
      <c r="BG1185" s="10218"/>
      <c r="BH1185" s="10218"/>
      <c r="BI1185" s="10218"/>
      <c r="BJ1185" s="10218"/>
      <c r="BK1185" s="13076"/>
      <c r="BL1185" s="13076"/>
      <c r="BM1185" s="10218"/>
      <c r="BN1185" s="10218"/>
    </row>
    <row r="1186" spans="1:66" ht="30" hidden="1" customHeight="1">
      <c r="A1186" s="10339">
        <v>741</v>
      </c>
      <c r="B1186" s="10340" t="s">
        <v>8233</v>
      </c>
      <c r="C1186" s="13604"/>
      <c r="D1186" s="12437" t="s">
        <v>86</v>
      </c>
      <c r="E1186" s="12303" t="s">
        <v>2006</v>
      </c>
      <c r="F1186" s="12438"/>
      <c r="G1186" s="13026" t="s">
        <v>2087</v>
      </c>
      <c r="H1186" s="12982" t="s">
        <v>2088</v>
      </c>
      <c r="I1186" s="12439">
        <v>4</v>
      </c>
      <c r="K1186" s="13227" t="s">
        <v>10598</v>
      </c>
      <c r="L1186" s="12875"/>
      <c r="M1186" s="12876"/>
      <c r="N1186" s="13232" t="s">
        <v>10448</v>
      </c>
      <c r="O1186" s="13229"/>
      <c r="P1186" s="13230"/>
      <c r="Q1186" s="13230">
        <v>1328421</v>
      </c>
      <c r="R1186" s="13230">
        <v>0</v>
      </c>
      <c r="S1186" s="13230">
        <v>0</v>
      </c>
      <c r="T1186" s="13230" t="s">
        <v>2951</v>
      </c>
      <c r="U1186" s="13230" t="s">
        <v>2951</v>
      </c>
      <c r="V1186" s="13230" t="s">
        <v>2951</v>
      </c>
      <c r="W1186" s="13230" t="s">
        <v>2951</v>
      </c>
      <c r="X1186" s="13230" t="s">
        <v>2951</v>
      </c>
      <c r="Y1186" s="13230" t="s">
        <v>2951</v>
      </c>
      <c r="Z1186" s="13230" t="s">
        <v>2951</v>
      </c>
      <c r="AA1186" s="13230" t="s">
        <v>2951</v>
      </c>
      <c r="AB1186" s="13230" t="s">
        <v>2951</v>
      </c>
      <c r="AC1186" s="13230" t="s">
        <v>2951</v>
      </c>
      <c r="AD1186" s="13230" t="s">
        <v>2951</v>
      </c>
      <c r="AE1186" s="13230" t="s">
        <v>2951</v>
      </c>
      <c r="AF1186" s="13230" t="s">
        <v>2951</v>
      </c>
      <c r="AG1186" s="13230" t="s">
        <v>2951</v>
      </c>
      <c r="AH1186" s="13230" t="s">
        <v>2951</v>
      </c>
      <c r="AI1186" s="13230" t="s">
        <v>2951</v>
      </c>
      <c r="AJ1186" s="13230" t="s">
        <v>2951</v>
      </c>
      <c r="AK1186" s="13230" t="s">
        <v>2951</v>
      </c>
      <c r="AL1186" s="13230" t="s">
        <v>2951</v>
      </c>
      <c r="AM1186" s="13230" t="s">
        <v>2951</v>
      </c>
      <c r="AN1186" s="13230" t="s">
        <v>2951</v>
      </c>
      <c r="AO1186" s="13230" t="s">
        <v>2951</v>
      </c>
      <c r="AP1186" s="13230" t="s">
        <v>2951</v>
      </c>
      <c r="AQ1186" s="13230" t="s">
        <v>2951</v>
      </c>
      <c r="AR1186" s="13228" t="s">
        <v>2951</v>
      </c>
      <c r="AS1186" s="13228" t="s">
        <v>2951</v>
      </c>
      <c r="AT1186" s="13228" t="s">
        <v>10425</v>
      </c>
      <c r="AU1186" s="13228" t="s">
        <v>10426</v>
      </c>
      <c r="AV1186" s="13228">
        <v>15</v>
      </c>
      <c r="AW1186" s="13228" t="s">
        <v>3613</v>
      </c>
      <c r="AX1186" s="13228" t="s">
        <v>3613</v>
      </c>
      <c r="AY1186" s="13231"/>
      <c r="AZ1186" s="13231"/>
      <c r="BA1186" s="13231"/>
      <c r="BB1186" s="13231"/>
      <c r="BC1186" s="13231"/>
      <c r="BD1186" s="7695"/>
      <c r="BF1186" s="10218"/>
      <c r="BG1186" s="10218"/>
      <c r="BH1186" s="10218"/>
      <c r="BI1186" s="10218"/>
      <c r="BJ1186" s="10218"/>
      <c r="BK1186" s="13076"/>
      <c r="BL1186" s="13076"/>
      <c r="BM1186" s="10218"/>
      <c r="BN1186" s="10218"/>
    </row>
    <row r="1187" spans="1:66" ht="30" hidden="1" customHeight="1">
      <c r="A1187" s="13662">
        <v>742</v>
      </c>
      <c r="B1187" s="14171" t="s">
        <v>8234</v>
      </c>
      <c r="C1187" s="13604"/>
      <c r="D1187" s="12440" t="s">
        <v>86</v>
      </c>
      <c r="E1187" s="12303" t="s">
        <v>2006</v>
      </c>
      <c r="F1187" s="12378"/>
      <c r="G1187" s="14172" t="s">
        <v>2089</v>
      </c>
      <c r="H1187" s="14274" t="s">
        <v>2090</v>
      </c>
      <c r="I1187" s="12441">
        <v>0.8</v>
      </c>
      <c r="K1187" s="13227" t="s">
        <v>10445</v>
      </c>
      <c r="L1187" s="12875"/>
      <c r="M1187" s="12875"/>
      <c r="N1187" s="13232" t="s">
        <v>10449</v>
      </c>
      <c r="O1187" s="13233"/>
      <c r="P1187" s="13230"/>
      <c r="Q1187" s="13230">
        <v>1328421</v>
      </c>
      <c r="R1187" s="13230">
        <v>0</v>
      </c>
      <c r="S1187" s="13230">
        <v>0</v>
      </c>
      <c r="T1187" s="13236">
        <v>430</v>
      </c>
      <c r="U1187" s="13237">
        <v>305</v>
      </c>
      <c r="V1187" s="13237">
        <v>125</v>
      </c>
      <c r="W1187" s="13237">
        <v>423</v>
      </c>
      <c r="X1187" s="13237">
        <v>7</v>
      </c>
      <c r="Y1187" s="13237">
        <v>0</v>
      </c>
      <c r="Z1187" s="13237">
        <v>0</v>
      </c>
      <c r="AA1187" s="13237">
        <v>0</v>
      </c>
      <c r="AB1187" s="13237">
        <v>169</v>
      </c>
      <c r="AC1187" s="13237">
        <v>203</v>
      </c>
      <c r="AD1187" s="13237">
        <v>58</v>
      </c>
      <c r="AE1187" s="13237">
        <v>0</v>
      </c>
      <c r="AF1187" s="13230">
        <v>16</v>
      </c>
      <c r="AG1187" s="13230">
        <v>0</v>
      </c>
      <c r="AH1187" s="13230">
        <v>0</v>
      </c>
      <c r="AI1187" s="13230">
        <v>0</v>
      </c>
      <c r="AJ1187" s="13230">
        <v>3</v>
      </c>
      <c r="AK1187" s="13230">
        <v>0</v>
      </c>
      <c r="AL1187" s="13230">
        <v>21</v>
      </c>
      <c r="AM1187" s="13230">
        <v>0</v>
      </c>
      <c r="AN1187" s="13230">
        <v>40</v>
      </c>
      <c r="AO1187" s="13230">
        <v>0</v>
      </c>
      <c r="AP1187" s="13230">
        <v>0</v>
      </c>
      <c r="AQ1187" s="13230">
        <v>0</v>
      </c>
      <c r="AR1187" s="13234">
        <v>0</v>
      </c>
      <c r="AS1187" s="13234">
        <v>0</v>
      </c>
      <c r="AT1187" s="13232"/>
      <c r="AU1187" s="13232"/>
      <c r="AV1187" s="13232"/>
      <c r="AW1187" s="13232"/>
      <c r="AX1187" s="13232"/>
      <c r="AY1187" s="13235"/>
      <c r="AZ1187" s="13235"/>
      <c r="BA1187" s="13235"/>
      <c r="BB1187" s="13235"/>
      <c r="BC1187" s="13235"/>
      <c r="BD1187" s="10686"/>
      <c r="BF1187" s="14524"/>
      <c r="BG1187" s="14524"/>
      <c r="BH1187" s="14524"/>
      <c r="BI1187" s="14524"/>
      <c r="BJ1187" s="14524"/>
      <c r="BK1187" s="13076"/>
      <c r="BL1187" s="14524"/>
      <c r="BM1187" s="14524"/>
      <c r="BN1187" s="14524"/>
    </row>
    <row r="1188" spans="1:66" ht="30" hidden="1" customHeight="1">
      <c r="A1188" s="13662"/>
      <c r="B1188" s="14171"/>
      <c r="C1188" s="13604"/>
      <c r="D1188" s="12440" t="s">
        <v>10186</v>
      </c>
      <c r="E1188" s="12303"/>
      <c r="F1188" s="12438" t="s">
        <v>2091</v>
      </c>
      <c r="G1188" s="14172"/>
      <c r="H1188" s="13462"/>
      <c r="I1188" s="12441"/>
      <c r="K1188" s="12879" t="s">
        <v>10450</v>
      </c>
      <c r="L1188" s="12880">
        <v>14</v>
      </c>
      <c r="M1188" s="12881" t="s">
        <v>2951</v>
      </c>
      <c r="N1188" s="12881">
        <v>14</v>
      </c>
      <c r="O1188" s="12877" t="s">
        <v>3644</v>
      </c>
      <c r="P1188" s="12885">
        <v>1328421</v>
      </c>
      <c r="Q1188" s="12882">
        <v>1328421</v>
      </c>
      <c r="R1188" s="12882">
        <v>0</v>
      </c>
      <c r="S1188" s="12882">
        <v>0</v>
      </c>
      <c r="T1188" s="12882" t="s">
        <v>2951</v>
      </c>
      <c r="U1188" s="12882" t="s">
        <v>2951</v>
      </c>
      <c r="V1188" s="12882" t="s">
        <v>2951</v>
      </c>
      <c r="W1188" s="12882" t="s">
        <v>2951</v>
      </c>
      <c r="X1188" s="12882" t="s">
        <v>2951</v>
      </c>
      <c r="Y1188" s="12882" t="s">
        <v>2951</v>
      </c>
      <c r="Z1188" s="12882" t="s">
        <v>2951</v>
      </c>
      <c r="AA1188" s="12882" t="s">
        <v>2951</v>
      </c>
      <c r="AB1188" s="12882" t="s">
        <v>2951</v>
      </c>
      <c r="AC1188" s="12882" t="s">
        <v>2951</v>
      </c>
      <c r="AD1188" s="12882" t="s">
        <v>2951</v>
      </c>
      <c r="AE1188" s="12882" t="s">
        <v>2951</v>
      </c>
      <c r="AF1188" s="12882" t="s">
        <v>2951</v>
      </c>
      <c r="AG1188" s="12882" t="s">
        <v>2951</v>
      </c>
      <c r="AH1188" s="12882" t="s">
        <v>2951</v>
      </c>
      <c r="AI1188" s="12882" t="s">
        <v>2951</v>
      </c>
      <c r="AJ1188" s="12882" t="s">
        <v>2951</v>
      </c>
      <c r="AK1188" s="12882" t="s">
        <v>2951</v>
      </c>
      <c r="AL1188" s="12882" t="s">
        <v>2951</v>
      </c>
      <c r="AM1188" s="12882" t="s">
        <v>2951</v>
      </c>
      <c r="AN1188" s="12882" t="s">
        <v>2951</v>
      </c>
      <c r="AO1188" s="12882" t="s">
        <v>2951</v>
      </c>
      <c r="AP1188" s="12882" t="s">
        <v>2951</v>
      </c>
      <c r="AQ1188" s="12882" t="s">
        <v>2951</v>
      </c>
      <c r="AR1188" s="12881" t="s">
        <v>2951</v>
      </c>
      <c r="AS1188" s="12881" t="s">
        <v>2951</v>
      </c>
      <c r="AT1188" s="12881" t="s">
        <v>10425</v>
      </c>
      <c r="AU1188" s="12881" t="s">
        <v>10426</v>
      </c>
      <c r="AV1188" s="12881">
        <v>15</v>
      </c>
      <c r="AW1188" s="12881" t="s">
        <v>3613</v>
      </c>
      <c r="AX1188" s="12881" t="s">
        <v>3613</v>
      </c>
      <c r="AY1188" s="12878"/>
      <c r="AZ1188" s="12878"/>
      <c r="BA1188" s="12878"/>
      <c r="BB1188" s="12878"/>
      <c r="BC1188" s="12878"/>
      <c r="BD1188" s="10686"/>
      <c r="BF1188" s="14524"/>
      <c r="BG1188" s="14524"/>
      <c r="BH1188" s="14524"/>
      <c r="BI1188" s="14524"/>
      <c r="BJ1188" s="14524"/>
      <c r="BK1188" s="10218"/>
      <c r="BL1188" s="14524"/>
      <c r="BM1188" s="14524"/>
      <c r="BN1188" s="14524"/>
    </row>
    <row r="1189" spans="1:66" ht="30" hidden="1" customHeight="1" thickBot="1">
      <c r="A1189" s="13662">
        <v>743</v>
      </c>
      <c r="B1189" s="14171" t="s">
        <v>8235</v>
      </c>
      <c r="C1189" s="13604"/>
      <c r="D1189" s="12437" t="s">
        <v>86</v>
      </c>
      <c r="E1189" s="12303" t="s">
        <v>2006</v>
      </c>
      <c r="F1189" s="12438"/>
      <c r="G1189" s="14172" t="s">
        <v>2092</v>
      </c>
      <c r="H1189" s="14274" t="s">
        <v>2093</v>
      </c>
      <c r="I1189" s="12439">
        <v>14</v>
      </c>
      <c r="K1189" s="13238" t="s">
        <v>10450</v>
      </c>
      <c r="L1189" s="12880"/>
      <c r="M1189" s="12881"/>
      <c r="N1189" s="13239" t="s">
        <v>3644</v>
      </c>
      <c r="O1189" s="13229"/>
      <c r="P1189" s="13240"/>
      <c r="Q1189" s="13241">
        <v>1328421</v>
      </c>
      <c r="R1189" s="13241">
        <v>0</v>
      </c>
      <c r="S1189" s="13241">
        <v>0</v>
      </c>
      <c r="T1189" s="13241" t="s">
        <v>2951</v>
      </c>
      <c r="U1189" s="13241" t="s">
        <v>2951</v>
      </c>
      <c r="V1189" s="13241" t="s">
        <v>2951</v>
      </c>
      <c r="W1189" s="13241" t="s">
        <v>2951</v>
      </c>
      <c r="X1189" s="13241" t="s">
        <v>2951</v>
      </c>
      <c r="Y1189" s="13241" t="s">
        <v>2951</v>
      </c>
      <c r="Z1189" s="13241" t="s">
        <v>2951</v>
      </c>
      <c r="AA1189" s="13241" t="s">
        <v>2951</v>
      </c>
      <c r="AB1189" s="13241" t="s">
        <v>2951</v>
      </c>
      <c r="AC1189" s="13241" t="s">
        <v>2951</v>
      </c>
      <c r="AD1189" s="13241" t="s">
        <v>2951</v>
      </c>
      <c r="AE1189" s="13241" t="s">
        <v>2951</v>
      </c>
      <c r="AF1189" s="13241" t="s">
        <v>2951</v>
      </c>
      <c r="AG1189" s="13241" t="s">
        <v>2951</v>
      </c>
      <c r="AH1189" s="13241" t="s">
        <v>2951</v>
      </c>
      <c r="AI1189" s="13241" t="s">
        <v>2951</v>
      </c>
      <c r="AJ1189" s="13241" t="s">
        <v>2951</v>
      </c>
      <c r="AK1189" s="13241" t="s">
        <v>2951</v>
      </c>
      <c r="AL1189" s="13241" t="s">
        <v>2951</v>
      </c>
      <c r="AM1189" s="13241" t="s">
        <v>2951</v>
      </c>
      <c r="AN1189" s="13241" t="s">
        <v>2951</v>
      </c>
      <c r="AO1189" s="13241" t="s">
        <v>2951</v>
      </c>
      <c r="AP1189" s="13241" t="s">
        <v>2951</v>
      </c>
      <c r="AQ1189" s="13241" t="s">
        <v>2951</v>
      </c>
      <c r="AR1189" s="13239" t="s">
        <v>2951</v>
      </c>
      <c r="AS1189" s="13239" t="s">
        <v>2951</v>
      </c>
      <c r="AT1189" s="13239" t="s">
        <v>10425</v>
      </c>
      <c r="AU1189" s="13239" t="s">
        <v>10426</v>
      </c>
      <c r="AV1189" s="13239">
        <v>15</v>
      </c>
      <c r="AW1189" s="13239" t="s">
        <v>3613</v>
      </c>
      <c r="AX1189" s="13239" t="s">
        <v>3613</v>
      </c>
      <c r="AY1189" s="13231"/>
      <c r="AZ1189" s="13231"/>
      <c r="BA1189" s="13231"/>
      <c r="BB1189" s="13231"/>
      <c r="BC1189" s="13231"/>
      <c r="BD1189" s="7695"/>
      <c r="BF1189" s="14524"/>
      <c r="BG1189" s="14524"/>
      <c r="BH1189" s="14524"/>
      <c r="BI1189" s="14524"/>
      <c r="BJ1189" s="14524"/>
      <c r="BK1189" s="13076"/>
      <c r="BL1189" s="14524"/>
      <c r="BM1189" s="14524"/>
      <c r="BN1189" s="14524"/>
    </row>
    <row r="1190" spans="1:66" ht="30" hidden="1" customHeight="1" thickBot="1">
      <c r="A1190" s="13663"/>
      <c r="B1190" s="14268"/>
      <c r="C1190" s="13605"/>
      <c r="D1190" s="12442" t="s">
        <v>10186</v>
      </c>
      <c r="E1190" s="12443"/>
      <c r="F1190" s="12443" t="s">
        <v>2091</v>
      </c>
      <c r="G1190" s="14269"/>
      <c r="H1190" s="14275"/>
      <c r="I1190" s="12444"/>
      <c r="K1190" s="10687"/>
      <c r="L1190" s="10688"/>
      <c r="M1190" s="10688"/>
      <c r="N1190" s="10689"/>
      <c r="O1190" s="10689"/>
      <c r="P1190" s="10690"/>
      <c r="Q1190" s="10691"/>
      <c r="R1190" s="10692"/>
      <c r="S1190" s="10693"/>
      <c r="T1190" s="10694"/>
      <c r="U1190" s="10691"/>
      <c r="V1190" s="10692"/>
      <c r="W1190" s="10694"/>
      <c r="X1190" s="10692"/>
      <c r="Y1190" s="10694"/>
      <c r="Z1190" s="10692"/>
      <c r="AA1190" s="10693"/>
      <c r="AB1190" s="10693"/>
      <c r="AC1190" s="10693"/>
      <c r="AD1190" s="10693"/>
      <c r="AE1190" s="10693"/>
      <c r="AF1190" s="10694"/>
      <c r="AG1190" s="10692"/>
      <c r="AH1190" s="10693"/>
      <c r="AI1190" s="10693"/>
      <c r="AJ1190" s="10693"/>
      <c r="AK1190" s="10693"/>
      <c r="AL1190" s="10693"/>
      <c r="AM1190" s="10693"/>
      <c r="AN1190" s="10694"/>
      <c r="AO1190" s="10692"/>
      <c r="AP1190" s="10693"/>
      <c r="AQ1190" s="10693"/>
      <c r="AR1190" s="10693"/>
      <c r="AS1190" s="10693"/>
      <c r="AT1190" s="10694"/>
      <c r="AU1190" s="10695"/>
      <c r="AV1190" s="10695"/>
      <c r="AW1190" s="10695"/>
      <c r="AX1190" s="10687"/>
      <c r="AY1190" s="10690"/>
      <c r="AZ1190" s="10695"/>
      <c r="BA1190" s="10687"/>
      <c r="BB1190" s="10689"/>
      <c r="BC1190" s="10690"/>
      <c r="BD1190" s="10696"/>
      <c r="BF1190" s="14549"/>
      <c r="BG1190" s="14549"/>
      <c r="BH1190" s="14549"/>
      <c r="BI1190" s="14549"/>
      <c r="BJ1190" s="14549"/>
      <c r="BK1190" s="10228"/>
      <c r="BL1190" s="14549"/>
      <c r="BM1190" s="14549"/>
      <c r="BN1190" s="14549"/>
    </row>
    <row r="1191" spans="1:66" ht="30" hidden="1" customHeight="1">
      <c r="A1191" s="10697">
        <v>744</v>
      </c>
      <c r="B1191" s="10698" t="s">
        <v>8136</v>
      </c>
      <c r="C1191" s="13606" t="s">
        <v>10344</v>
      </c>
      <c r="D1191" s="12445" t="s">
        <v>218</v>
      </c>
      <c r="E1191" s="12446" t="s">
        <v>9655</v>
      </c>
      <c r="F1191" s="12447"/>
      <c r="G1191" s="12448" t="s">
        <v>1803</v>
      </c>
      <c r="H1191" s="12449" t="s">
        <v>1804</v>
      </c>
      <c r="I1191" s="12450">
        <v>15</v>
      </c>
      <c r="K1191" s="10700"/>
      <c r="L1191" s="10701"/>
      <c r="M1191" s="10701"/>
      <c r="N1191" s="10702"/>
      <c r="O1191" s="10702"/>
      <c r="P1191" s="10703"/>
      <c r="Q1191" s="10704"/>
      <c r="R1191" s="10705"/>
      <c r="S1191" s="10706"/>
      <c r="T1191" s="10707"/>
      <c r="U1191" s="10704"/>
      <c r="V1191" s="10705"/>
      <c r="W1191" s="10707"/>
      <c r="X1191" s="10705"/>
      <c r="Y1191" s="10707"/>
      <c r="Z1191" s="10705"/>
      <c r="AA1191" s="10706"/>
      <c r="AB1191" s="10706"/>
      <c r="AC1191" s="10706"/>
      <c r="AD1191" s="10706"/>
      <c r="AE1191" s="10706"/>
      <c r="AF1191" s="10707"/>
      <c r="AG1191" s="10705"/>
      <c r="AH1191" s="10706"/>
      <c r="AI1191" s="10706"/>
      <c r="AJ1191" s="10706"/>
      <c r="AK1191" s="10706"/>
      <c r="AL1191" s="10706"/>
      <c r="AM1191" s="10706"/>
      <c r="AN1191" s="10707"/>
      <c r="AO1191" s="10705"/>
      <c r="AP1191" s="10706"/>
      <c r="AQ1191" s="10706"/>
      <c r="AR1191" s="10706"/>
      <c r="AS1191" s="10706"/>
      <c r="AT1191" s="10707"/>
      <c r="AU1191" s="10708"/>
      <c r="AV1191" s="10708"/>
      <c r="AW1191" s="10708"/>
      <c r="AX1191" s="10700"/>
      <c r="AY1191" s="10703"/>
      <c r="AZ1191" s="10708"/>
      <c r="BA1191" s="10700"/>
      <c r="BB1191" s="10702"/>
      <c r="BC1191" s="10703"/>
      <c r="BD1191" s="10709"/>
      <c r="BF1191" s="10699"/>
      <c r="BG1191" s="10699"/>
      <c r="BH1191" s="10699"/>
      <c r="BI1191" s="10699"/>
      <c r="BJ1191" s="10699"/>
      <c r="BK1191" s="10699"/>
      <c r="BL1191" s="10699"/>
      <c r="BM1191" s="10699"/>
      <c r="BN1191" s="10699"/>
    </row>
    <row r="1192" spans="1:66" ht="30" hidden="1" customHeight="1">
      <c r="A1192" s="13664">
        <v>745</v>
      </c>
      <c r="B1192" s="14282" t="s">
        <v>8139</v>
      </c>
      <c r="C1192" s="13607"/>
      <c r="D1192" s="14278" t="s">
        <v>10063</v>
      </c>
      <c r="E1192" s="11774" t="s">
        <v>144</v>
      </c>
      <c r="F1192" s="11710"/>
      <c r="G1192" s="14267" t="s">
        <v>1806</v>
      </c>
      <c r="H1192" s="12451" t="s">
        <v>1807</v>
      </c>
      <c r="I1192" s="12452">
        <v>1</v>
      </c>
      <c r="K1192" s="10710"/>
      <c r="L1192" s="10711"/>
      <c r="M1192" s="10711"/>
      <c r="N1192" s="10712"/>
      <c r="O1192" s="10712"/>
      <c r="P1192" s="10713"/>
      <c r="Q1192" s="10714"/>
      <c r="R1192" s="10715"/>
      <c r="S1192" s="10716"/>
      <c r="T1192" s="10717"/>
      <c r="U1192" s="10714"/>
      <c r="V1192" s="10715"/>
      <c r="W1192" s="10717"/>
      <c r="X1192" s="10715"/>
      <c r="Y1192" s="10717"/>
      <c r="Z1192" s="10715"/>
      <c r="AA1192" s="10716"/>
      <c r="AB1192" s="10716"/>
      <c r="AC1192" s="10716"/>
      <c r="AD1192" s="10716"/>
      <c r="AE1192" s="10716"/>
      <c r="AF1192" s="10717"/>
      <c r="AG1192" s="10715"/>
      <c r="AH1192" s="10716"/>
      <c r="AI1192" s="10716"/>
      <c r="AJ1192" s="10716"/>
      <c r="AK1192" s="10716"/>
      <c r="AL1192" s="10716"/>
      <c r="AM1192" s="10716"/>
      <c r="AN1192" s="10717"/>
      <c r="AO1192" s="10715"/>
      <c r="AP1192" s="10716"/>
      <c r="AQ1192" s="10716"/>
      <c r="AR1192" s="10716"/>
      <c r="AS1192" s="10716"/>
      <c r="AT1192" s="10717"/>
      <c r="AU1192" s="10718"/>
      <c r="AV1192" s="10718"/>
      <c r="AW1192" s="10718"/>
      <c r="AX1192" s="10710"/>
      <c r="AY1192" s="10713"/>
      <c r="AZ1192" s="10718"/>
      <c r="BA1192" s="10710"/>
      <c r="BB1192" s="10712"/>
      <c r="BC1192" s="10713"/>
      <c r="BD1192" s="10719"/>
      <c r="BF1192" s="14550"/>
      <c r="BG1192" s="14550"/>
      <c r="BH1192" s="14550"/>
      <c r="BI1192" s="14550"/>
      <c r="BJ1192" s="14550"/>
      <c r="BK1192" s="8173"/>
      <c r="BL1192" s="14550"/>
      <c r="BM1192" s="14550"/>
      <c r="BN1192" s="14550"/>
    </row>
    <row r="1193" spans="1:66" ht="30" hidden="1" customHeight="1">
      <c r="A1193" s="13664"/>
      <c r="B1193" s="14282"/>
      <c r="C1193" s="13607"/>
      <c r="D1193" s="14278"/>
      <c r="E1193" s="11774" t="s">
        <v>144</v>
      </c>
      <c r="F1193" s="11710"/>
      <c r="G1193" s="14267"/>
      <c r="H1193" s="12451" t="s">
        <v>1809</v>
      </c>
      <c r="I1193" s="12452">
        <v>50</v>
      </c>
      <c r="K1193" s="10710"/>
      <c r="L1193" s="10711"/>
      <c r="M1193" s="10711"/>
      <c r="N1193" s="10712"/>
      <c r="O1193" s="10712"/>
      <c r="P1193" s="10713"/>
      <c r="Q1193" s="10714"/>
      <c r="R1193" s="10715"/>
      <c r="S1193" s="10716"/>
      <c r="T1193" s="10717"/>
      <c r="U1193" s="10714"/>
      <c r="V1193" s="10715"/>
      <c r="W1193" s="10717"/>
      <c r="X1193" s="10715"/>
      <c r="Y1193" s="10717"/>
      <c r="Z1193" s="10715"/>
      <c r="AA1193" s="10716"/>
      <c r="AB1193" s="10716"/>
      <c r="AC1193" s="10716"/>
      <c r="AD1193" s="10716"/>
      <c r="AE1193" s="10716"/>
      <c r="AF1193" s="10717"/>
      <c r="AG1193" s="10715"/>
      <c r="AH1193" s="10716"/>
      <c r="AI1193" s="10716"/>
      <c r="AJ1193" s="10716"/>
      <c r="AK1193" s="10716"/>
      <c r="AL1193" s="10716"/>
      <c r="AM1193" s="10716"/>
      <c r="AN1193" s="10717"/>
      <c r="AO1193" s="10715"/>
      <c r="AP1193" s="10716"/>
      <c r="AQ1193" s="10716"/>
      <c r="AR1193" s="10716"/>
      <c r="AS1193" s="10716"/>
      <c r="AT1193" s="10717"/>
      <c r="AU1193" s="10718"/>
      <c r="AV1193" s="10718"/>
      <c r="AW1193" s="10718"/>
      <c r="AX1193" s="10710"/>
      <c r="AY1193" s="10713"/>
      <c r="AZ1193" s="10718"/>
      <c r="BA1193" s="10710"/>
      <c r="BB1193" s="10712"/>
      <c r="BC1193" s="10713"/>
      <c r="BD1193" s="10719"/>
      <c r="BF1193" s="14550"/>
      <c r="BG1193" s="14550"/>
      <c r="BH1193" s="14550"/>
      <c r="BI1193" s="14550"/>
      <c r="BJ1193" s="14550"/>
      <c r="BK1193" s="8173"/>
      <c r="BL1193" s="14550"/>
      <c r="BM1193" s="14550"/>
      <c r="BN1193" s="14550"/>
    </row>
    <row r="1194" spans="1:66" ht="30" hidden="1" customHeight="1">
      <c r="A1194" s="13664">
        <v>746</v>
      </c>
      <c r="B1194" s="14282" t="s">
        <v>8140</v>
      </c>
      <c r="C1194" s="13607"/>
      <c r="D1194" s="14278" t="s">
        <v>10063</v>
      </c>
      <c r="E1194" s="11774" t="s">
        <v>144</v>
      </c>
      <c r="F1194" s="11710"/>
      <c r="G1194" s="14267" t="s">
        <v>1810</v>
      </c>
      <c r="H1194" s="12451" t="s">
        <v>1811</v>
      </c>
      <c r="I1194" s="12452">
        <v>1</v>
      </c>
      <c r="K1194" s="10710"/>
      <c r="L1194" s="10711"/>
      <c r="M1194" s="10711"/>
      <c r="N1194" s="10712"/>
      <c r="O1194" s="10712"/>
      <c r="P1194" s="10713"/>
      <c r="Q1194" s="10714"/>
      <c r="R1194" s="10715"/>
      <c r="S1194" s="10716"/>
      <c r="T1194" s="10717"/>
      <c r="U1194" s="10714"/>
      <c r="V1194" s="10715"/>
      <c r="W1194" s="10717"/>
      <c r="X1194" s="10715"/>
      <c r="Y1194" s="10717"/>
      <c r="Z1194" s="10715"/>
      <c r="AA1194" s="10716"/>
      <c r="AB1194" s="10716"/>
      <c r="AC1194" s="10716"/>
      <c r="AD1194" s="10716"/>
      <c r="AE1194" s="10716"/>
      <c r="AF1194" s="10717"/>
      <c r="AG1194" s="10715"/>
      <c r="AH1194" s="10716"/>
      <c r="AI1194" s="10716"/>
      <c r="AJ1194" s="10716"/>
      <c r="AK1194" s="10716"/>
      <c r="AL1194" s="10716"/>
      <c r="AM1194" s="10716"/>
      <c r="AN1194" s="10717"/>
      <c r="AO1194" s="10715"/>
      <c r="AP1194" s="10716"/>
      <c r="AQ1194" s="10716"/>
      <c r="AR1194" s="10716"/>
      <c r="AS1194" s="10716"/>
      <c r="AT1194" s="10717"/>
      <c r="AU1194" s="10718"/>
      <c r="AV1194" s="10718"/>
      <c r="AW1194" s="10718"/>
      <c r="AX1194" s="10710"/>
      <c r="AY1194" s="10713"/>
      <c r="AZ1194" s="10718"/>
      <c r="BA1194" s="10710"/>
      <c r="BB1194" s="10712"/>
      <c r="BC1194" s="10713"/>
      <c r="BD1194" s="10719"/>
      <c r="BF1194" s="14550"/>
      <c r="BG1194" s="14550"/>
      <c r="BH1194" s="14550"/>
      <c r="BI1194" s="14550"/>
      <c r="BJ1194" s="14550"/>
      <c r="BK1194" s="8173"/>
      <c r="BL1194" s="14550"/>
      <c r="BM1194" s="14550"/>
      <c r="BN1194" s="14550"/>
    </row>
    <row r="1195" spans="1:66" ht="30" hidden="1" customHeight="1">
      <c r="A1195" s="13664"/>
      <c r="B1195" s="14282"/>
      <c r="C1195" s="13607"/>
      <c r="D1195" s="14278"/>
      <c r="E1195" s="11774" t="s">
        <v>144</v>
      </c>
      <c r="F1195" s="11710"/>
      <c r="G1195" s="14267"/>
      <c r="H1195" s="12451" t="s">
        <v>1813</v>
      </c>
      <c r="I1195" s="12452">
        <v>1000</v>
      </c>
      <c r="K1195" s="10710"/>
      <c r="L1195" s="10711"/>
      <c r="M1195" s="10711"/>
      <c r="N1195" s="10712"/>
      <c r="O1195" s="10712"/>
      <c r="P1195" s="10713"/>
      <c r="Q1195" s="10714"/>
      <c r="R1195" s="10715"/>
      <c r="S1195" s="10716"/>
      <c r="T1195" s="10717"/>
      <c r="U1195" s="10714"/>
      <c r="V1195" s="10715"/>
      <c r="W1195" s="10717"/>
      <c r="X1195" s="10715"/>
      <c r="Y1195" s="10717"/>
      <c r="Z1195" s="10715"/>
      <c r="AA1195" s="10716"/>
      <c r="AB1195" s="10716"/>
      <c r="AC1195" s="10716"/>
      <c r="AD1195" s="10716"/>
      <c r="AE1195" s="10716"/>
      <c r="AF1195" s="10717"/>
      <c r="AG1195" s="10715"/>
      <c r="AH1195" s="10716"/>
      <c r="AI1195" s="10716"/>
      <c r="AJ1195" s="10716"/>
      <c r="AK1195" s="10716"/>
      <c r="AL1195" s="10716"/>
      <c r="AM1195" s="10716"/>
      <c r="AN1195" s="10717"/>
      <c r="AO1195" s="10715"/>
      <c r="AP1195" s="10716"/>
      <c r="AQ1195" s="10716"/>
      <c r="AR1195" s="10716"/>
      <c r="AS1195" s="10716"/>
      <c r="AT1195" s="10717"/>
      <c r="AU1195" s="10718"/>
      <c r="AV1195" s="10718"/>
      <c r="AW1195" s="10718"/>
      <c r="AX1195" s="10710"/>
      <c r="AY1195" s="10713"/>
      <c r="AZ1195" s="10718"/>
      <c r="BA1195" s="10710"/>
      <c r="BB1195" s="10712"/>
      <c r="BC1195" s="10713"/>
      <c r="BD1195" s="10719"/>
      <c r="BF1195" s="14550"/>
      <c r="BG1195" s="14550"/>
      <c r="BH1195" s="14550"/>
      <c r="BI1195" s="14550"/>
      <c r="BJ1195" s="14550"/>
      <c r="BK1195" s="8173"/>
      <c r="BL1195" s="14550"/>
      <c r="BM1195" s="14550"/>
      <c r="BN1195" s="14550"/>
    </row>
    <row r="1196" spans="1:66" ht="30" hidden="1" customHeight="1">
      <c r="A1196" s="13664">
        <v>747</v>
      </c>
      <c r="B1196" s="14282" t="s">
        <v>8141</v>
      </c>
      <c r="C1196" s="13607"/>
      <c r="D1196" s="14278" t="s">
        <v>10063</v>
      </c>
      <c r="E1196" s="11774" t="s">
        <v>144</v>
      </c>
      <c r="F1196" s="11710"/>
      <c r="G1196" s="14267" t="s">
        <v>1815</v>
      </c>
      <c r="H1196" s="12451" t="s">
        <v>1816</v>
      </c>
      <c r="I1196" s="12452">
        <v>1</v>
      </c>
      <c r="K1196" s="10710"/>
      <c r="L1196" s="10711"/>
      <c r="M1196" s="10711"/>
      <c r="N1196" s="10712"/>
      <c r="O1196" s="10712"/>
      <c r="P1196" s="10713"/>
      <c r="Q1196" s="10714"/>
      <c r="R1196" s="10715"/>
      <c r="S1196" s="10716"/>
      <c r="T1196" s="10717"/>
      <c r="U1196" s="10714"/>
      <c r="V1196" s="10715"/>
      <c r="W1196" s="10717"/>
      <c r="X1196" s="10715"/>
      <c r="Y1196" s="10717"/>
      <c r="Z1196" s="10715"/>
      <c r="AA1196" s="10716"/>
      <c r="AB1196" s="10716"/>
      <c r="AC1196" s="10716"/>
      <c r="AD1196" s="10716"/>
      <c r="AE1196" s="10716"/>
      <c r="AF1196" s="10717"/>
      <c r="AG1196" s="10715"/>
      <c r="AH1196" s="10716"/>
      <c r="AI1196" s="10716"/>
      <c r="AJ1196" s="10716"/>
      <c r="AK1196" s="10716"/>
      <c r="AL1196" s="10716"/>
      <c r="AM1196" s="10716"/>
      <c r="AN1196" s="10717"/>
      <c r="AO1196" s="10715"/>
      <c r="AP1196" s="10716"/>
      <c r="AQ1196" s="10716"/>
      <c r="AR1196" s="10716"/>
      <c r="AS1196" s="10716"/>
      <c r="AT1196" s="10717"/>
      <c r="AU1196" s="10718"/>
      <c r="AV1196" s="10718"/>
      <c r="AW1196" s="10718"/>
      <c r="AX1196" s="10710"/>
      <c r="AY1196" s="10713"/>
      <c r="AZ1196" s="10718"/>
      <c r="BA1196" s="10710"/>
      <c r="BB1196" s="10712"/>
      <c r="BC1196" s="10713"/>
      <c r="BD1196" s="10719"/>
      <c r="BF1196" s="14550"/>
      <c r="BG1196" s="14550"/>
      <c r="BH1196" s="14550"/>
      <c r="BI1196" s="14550"/>
      <c r="BJ1196" s="14550"/>
      <c r="BK1196" s="8173"/>
      <c r="BL1196" s="14550"/>
      <c r="BM1196" s="14550"/>
      <c r="BN1196" s="14550"/>
    </row>
    <row r="1197" spans="1:66" ht="30" hidden="1" customHeight="1">
      <c r="A1197" s="13664"/>
      <c r="B1197" s="14282"/>
      <c r="C1197" s="13607"/>
      <c r="D1197" s="14278"/>
      <c r="E1197" s="11774" t="s">
        <v>144</v>
      </c>
      <c r="F1197" s="11710"/>
      <c r="G1197" s="14267"/>
      <c r="H1197" s="12451" t="s">
        <v>1817</v>
      </c>
      <c r="I1197" s="12452">
        <v>1600</v>
      </c>
      <c r="K1197" s="10710"/>
      <c r="L1197" s="10711"/>
      <c r="M1197" s="10711"/>
      <c r="N1197" s="10712"/>
      <c r="O1197" s="10712"/>
      <c r="P1197" s="10713"/>
      <c r="Q1197" s="10714"/>
      <c r="R1197" s="10715"/>
      <c r="S1197" s="10716"/>
      <c r="T1197" s="10717"/>
      <c r="U1197" s="10714"/>
      <c r="V1197" s="10715"/>
      <c r="W1197" s="10717"/>
      <c r="X1197" s="10715"/>
      <c r="Y1197" s="10717"/>
      <c r="Z1197" s="10715"/>
      <c r="AA1197" s="10716"/>
      <c r="AB1197" s="10716"/>
      <c r="AC1197" s="10716"/>
      <c r="AD1197" s="10716"/>
      <c r="AE1197" s="10716"/>
      <c r="AF1197" s="10717"/>
      <c r="AG1197" s="10715"/>
      <c r="AH1197" s="10716"/>
      <c r="AI1197" s="10716"/>
      <c r="AJ1197" s="10716"/>
      <c r="AK1197" s="10716"/>
      <c r="AL1197" s="10716"/>
      <c r="AM1197" s="10716"/>
      <c r="AN1197" s="10717"/>
      <c r="AO1197" s="10715"/>
      <c r="AP1197" s="10716"/>
      <c r="AQ1197" s="10716"/>
      <c r="AR1197" s="10716"/>
      <c r="AS1197" s="10716"/>
      <c r="AT1197" s="10717"/>
      <c r="AU1197" s="10718"/>
      <c r="AV1197" s="10718"/>
      <c r="AW1197" s="10718"/>
      <c r="AX1197" s="10710"/>
      <c r="AY1197" s="10713"/>
      <c r="AZ1197" s="10718"/>
      <c r="BA1197" s="10710"/>
      <c r="BB1197" s="10712"/>
      <c r="BC1197" s="10713"/>
      <c r="BD1197" s="10719"/>
      <c r="BF1197" s="14550"/>
      <c r="BG1197" s="14550"/>
      <c r="BH1197" s="14550"/>
      <c r="BI1197" s="14550"/>
      <c r="BJ1197" s="14550"/>
      <c r="BK1197" s="8173"/>
      <c r="BL1197" s="14550"/>
      <c r="BM1197" s="14550"/>
      <c r="BN1197" s="14550"/>
    </row>
    <row r="1198" spans="1:66" ht="30" hidden="1" customHeight="1">
      <c r="A1198" s="10697">
        <v>748</v>
      </c>
      <c r="B1198" s="10720" t="s">
        <v>8142</v>
      </c>
      <c r="C1198" s="13607"/>
      <c r="D1198" s="12340" t="s">
        <v>10063</v>
      </c>
      <c r="E1198" s="11774" t="s">
        <v>144</v>
      </c>
      <c r="F1198" s="11710"/>
      <c r="G1198" s="11710" t="s">
        <v>1819</v>
      </c>
      <c r="H1198" s="12451" t="s">
        <v>1820</v>
      </c>
      <c r="I1198" s="12452">
        <v>1</v>
      </c>
      <c r="K1198" s="10710"/>
      <c r="L1198" s="10711"/>
      <c r="M1198" s="10711"/>
      <c r="N1198" s="10712"/>
      <c r="O1198" s="10712"/>
      <c r="P1198" s="10713"/>
      <c r="Q1198" s="10714"/>
      <c r="R1198" s="10715"/>
      <c r="S1198" s="10716"/>
      <c r="T1198" s="10717"/>
      <c r="U1198" s="10714"/>
      <c r="V1198" s="10715"/>
      <c r="W1198" s="10717"/>
      <c r="X1198" s="10715"/>
      <c r="Y1198" s="10717"/>
      <c r="Z1198" s="10715"/>
      <c r="AA1198" s="10716"/>
      <c r="AB1198" s="10716"/>
      <c r="AC1198" s="10716"/>
      <c r="AD1198" s="10716"/>
      <c r="AE1198" s="10716"/>
      <c r="AF1198" s="10717"/>
      <c r="AG1198" s="10715"/>
      <c r="AH1198" s="10716"/>
      <c r="AI1198" s="10716"/>
      <c r="AJ1198" s="10716"/>
      <c r="AK1198" s="10716"/>
      <c r="AL1198" s="10716"/>
      <c r="AM1198" s="10716"/>
      <c r="AN1198" s="10717"/>
      <c r="AO1198" s="10715"/>
      <c r="AP1198" s="10716"/>
      <c r="AQ1198" s="10716"/>
      <c r="AR1198" s="10716"/>
      <c r="AS1198" s="10716"/>
      <c r="AT1198" s="10717"/>
      <c r="AU1198" s="10718"/>
      <c r="AV1198" s="10718"/>
      <c r="AW1198" s="10718"/>
      <c r="AX1198" s="10710"/>
      <c r="AY1198" s="10713"/>
      <c r="AZ1198" s="10718"/>
      <c r="BA1198" s="10710"/>
      <c r="BB1198" s="10712"/>
      <c r="BC1198" s="10713"/>
      <c r="BD1198" s="10719"/>
      <c r="BF1198" s="8173"/>
      <c r="BG1198" s="8173"/>
      <c r="BH1198" s="8173"/>
      <c r="BI1198" s="8173"/>
      <c r="BJ1198" s="8173"/>
      <c r="BK1198" s="8173"/>
      <c r="BL1198" s="8173"/>
      <c r="BM1198" s="8173"/>
      <c r="BN1198" s="8173"/>
    </row>
    <row r="1199" spans="1:66" ht="30" hidden="1" customHeight="1">
      <c r="A1199" s="10697">
        <v>749</v>
      </c>
      <c r="B1199" s="10720" t="s">
        <v>8143</v>
      </c>
      <c r="C1199" s="13607"/>
      <c r="D1199" s="12340" t="s">
        <v>10063</v>
      </c>
      <c r="E1199" s="11774" t="s">
        <v>144</v>
      </c>
      <c r="F1199" s="11710"/>
      <c r="G1199" s="11710" t="s">
        <v>1823</v>
      </c>
      <c r="H1199" s="12451" t="s">
        <v>1824</v>
      </c>
      <c r="I1199" s="12452">
        <v>1260</v>
      </c>
      <c r="K1199" s="10710"/>
      <c r="L1199" s="10711"/>
      <c r="M1199" s="10711"/>
      <c r="N1199" s="10712"/>
      <c r="O1199" s="10712"/>
      <c r="P1199" s="10713"/>
      <c r="Q1199" s="10714"/>
      <c r="R1199" s="10715"/>
      <c r="S1199" s="10716"/>
      <c r="T1199" s="10717"/>
      <c r="U1199" s="10714"/>
      <c r="V1199" s="10715"/>
      <c r="W1199" s="10717"/>
      <c r="X1199" s="10715"/>
      <c r="Y1199" s="10717"/>
      <c r="Z1199" s="10715"/>
      <c r="AA1199" s="10716"/>
      <c r="AB1199" s="10716"/>
      <c r="AC1199" s="10716"/>
      <c r="AD1199" s="10716"/>
      <c r="AE1199" s="10716"/>
      <c r="AF1199" s="10717"/>
      <c r="AG1199" s="10715"/>
      <c r="AH1199" s="10716"/>
      <c r="AI1199" s="10716"/>
      <c r="AJ1199" s="10716"/>
      <c r="AK1199" s="10716"/>
      <c r="AL1199" s="10716"/>
      <c r="AM1199" s="10716"/>
      <c r="AN1199" s="10717"/>
      <c r="AO1199" s="10715"/>
      <c r="AP1199" s="10716"/>
      <c r="AQ1199" s="10716"/>
      <c r="AR1199" s="10716"/>
      <c r="AS1199" s="10716"/>
      <c r="AT1199" s="10717"/>
      <c r="AU1199" s="10718"/>
      <c r="AV1199" s="10718"/>
      <c r="AW1199" s="10718"/>
      <c r="AX1199" s="10710"/>
      <c r="AY1199" s="10713"/>
      <c r="AZ1199" s="10718"/>
      <c r="BA1199" s="10710"/>
      <c r="BB1199" s="10712"/>
      <c r="BC1199" s="10713"/>
      <c r="BD1199" s="10719"/>
      <c r="BF1199" s="8173"/>
      <c r="BG1199" s="8173"/>
      <c r="BH1199" s="8173"/>
      <c r="BI1199" s="8173"/>
      <c r="BJ1199" s="8173"/>
      <c r="BK1199" s="8173"/>
      <c r="BL1199" s="8173"/>
      <c r="BM1199" s="8173"/>
      <c r="BN1199" s="8173"/>
    </row>
    <row r="1200" spans="1:66" ht="30" hidden="1" customHeight="1">
      <c r="A1200" s="13664">
        <v>750</v>
      </c>
      <c r="B1200" s="14282" t="s">
        <v>8144</v>
      </c>
      <c r="C1200" s="13607"/>
      <c r="D1200" s="14278" t="s">
        <v>10063</v>
      </c>
      <c r="E1200" s="11774" t="s">
        <v>144</v>
      </c>
      <c r="F1200" s="11710"/>
      <c r="G1200" s="14267" t="s">
        <v>1826</v>
      </c>
      <c r="H1200" s="12451" t="s">
        <v>1827</v>
      </c>
      <c r="I1200" s="12452">
        <v>1</v>
      </c>
      <c r="K1200" s="10710"/>
      <c r="L1200" s="10711"/>
      <c r="M1200" s="10711"/>
      <c r="N1200" s="10712"/>
      <c r="O1200" s="10712"/>
      <c r="P1200" s="10713"/>
      <c r="Q1200" s="10714"/>
      <c r="R1200" s="10715"/>
      <c r="S1200" s="10716"/>
      <c r="T1200" s="10717"/>
      <c r="U1200" s="10714"/>
      <c r="V1200" s="10715"/>
      <c r="W1200" s="10717"/>
      <c r="X1200" s="10715"/>
      <c r="Y1200" s="10717"/>
      <c r="Z1200" s="10715"/>
      <c r="AA1200" s="10716"/>
      <c r="AB1200" s="10716"/>
      <c r="AC1200" s="10716"/>
      <c r="AD1200" s="10716"/>
      <c r="AE1200" s="10716"/>
      <c r="AF1200" s="10717"/>
      <c r="AG1200" s="10715"/>
      <c r="AH1200" s="10716"/>
      <c r="AI1200" s="10716"/>
      <c r="AJ1200" s="10716"/>
      <c r="AK1200" s="10716"/>
      <c r="AL1200" s="10716"/>
      <c r="AM1200" s="10716"/>
      <c r="AN1200" s="10717"/>
      <c r="AO1200" s="10715"/>
      <c r="AP1200" s="10716"/>
      <c r="AQ1200" s="10716"/>
      <c r="AR1200" s="10716"/>
      <c r="AS1200" s="10716"/>
      <c r="AT1200" s="10717"/>
      <c r="AU1200" s="10718"/>
      <c r="AV1200" s="10718"/>
      <c r="AW1200" s="10718"/>
      <c r="AX1200" s="10710"/>
      <c r="AY1200" s="10713"/>
      <c r="AZ1200" s="10718"/>
      <c r="BA1200" s="10710"/>
      <c r="BB1200" s="10712"/>
      <c r="BC1200" s="10713"/>
      <c r="BD1200" s="10719"/>
      <c r="BF1200" s="14550"/>
      <c r="BG1200" s="14550"/>
      <c r="BH1200" s="14550"/>
      <c r="BI1200" s="14550"/>
      <c r="BJ1200" s="14550"/>
      <c r="BK1200" s="8173"/>
      <c r="BL1200" s="14550"/>
      <c r="BM1200" s="14550"/>
      <c r="BN1200" s="14550"/>
    </row>
    <row r="1201" spans="1:66" ht="30" hidden="1" customHeight="1">
      <c r="A1201" s="13664"/>
      <c r="B1201" s="14282"/>
      <c r="C1201" s="13607"/>
      <c r="D1201" s="14278"/>
      <c r="E1201" s="11774" t="s">
        <v>144</v>
      </c>
      <c r="F1201" s="11710"/>
      <c r="G1201" s="14267"/>
      <c r="H1201" s="12451" t="s">
        <v>1829</v>
      </c>
      <c r="I1201" s="12452">
        <v>3000</v>
      </c>
      <c r="K1201" s="10710"/>
      <c r="L1201" s="10711"/>
      <c r="M1201" s="10711"/>
      <c r="N1201" s="10712"/>
      <c r="O1201" s="10712"/>
      <c r="P1201" s="10713"/>
      <c r="Q1201" s="10714"/>
      <c r="R1201" s="10715"/>
      <c r="S1201" s="10716"/>
      <c r="T1201" s="10717"/>
      <c r="U1201" s="10714"/>
      <c r="V1201" s="10715"/>
      <c r="W1201" s="10717"/>
      <c r="X1201" s="10715"/>
      <c r="Y1201" s="10717"/>
      <c r="Z1201" s="10715"/>
      <c r="AA1201" s="10716"/>
      <c r="AB1201" s="10716"/>
      <c r="AC1201" s="10716"/>
      <c r="AD1201" s="10716"/>
      <c r="AE1201" s="10716"/>
      <c r="AF1201" s="10717"/>
      <c r="AG1201" s="10715"/>
      <c r="AH1201" s="10716"/>
      <c r="AI1201" s="10716"/>
      <c r="AJ1201" s="10716"/>
      <c r="AK1201" s="10716"/>
      <c r="AL1201" s="10716"/>
      <c r="AM1201" s="10716"/>
      <c r="AN1201" s="10717"/>
      <c r="AO1201" s="10715"/>
      <c r="AP1201" s="10716"/>
      <c r="AQ1201" s="10716"/>
      <c r="AR1201" s="10716"/>
      <c r="AS1201" s="10716"/>
      <c r="AT1201" s="10717"/>
      <c r="AU1201" s="10718"/>
      <c r="AV1201" s="10718"/>
      <c r="AW1201" s="10718"/>
      <c r="AX1201" s="10710"/>
      <c r="AY1201" s="10713"/>
      <c r="AZ1201" s="10718"/>
      <c r="BA1201" s="10710"/>
      <c r="BB1201" s="10712"/>
      <c r="BC1201" s="10713"/>
      <c r="BD1201" s="10719"/>
      <c r="BF1201" s="14550"/>
      <c r="BG1201" s="14550"/>
      <c r="BH1201" s="14550"/>
      <c r="BI1201" s="14550"/>
      <c r="BJ1201" s="14550"/>
      <c r="BK1201" s="8173"/>
      <c r="BL1201" s="14550"/>
      <c r="BM1201" s="14550"/>
      <c r="BN1201" s="14550"/>
    </row>
    <row r="1202" spans="1:66" ht="30" hidden="1" customHeight="1">
      <c r="A1202" s="13664"/>
      <c r="B1202" s="14282"/>
      <c r="C1202" s="13607"/>
      <c r="D1202" s="14278"/>
      <c r="E1202" s="11774" t="s">
        <v>144</v>
      </c>
      <c r="F1202" s="11710"/>
      <c r="G1202" s="14267"/>
      <c r="H1202" s="12451" t="s">
        <v>1831</v>
      </c>
      <c r="I1202" s="12452">
        <v>0</v>
      </c>
      <c r="K1202" s="10710"/>
      <c r="L1202" s="10711"/>
      <c r="M1202" s="10711"/>
      <c r="N1202" s="10712"/>
      <c r="O1202" s="10712"/>
      <c r="P1202" s="10713"/>
      <c r="Q1202" s="10714"/>
      <c r="R1202" s="10715"/>
      <c r="S1202" s="10716"/>
      <c r="T1202" s="10717"/>
      <c r="U1202" s="10714"/>
      <c r="V1202" s="10715"/>
      <c r="W1202" s="10717"/>
      <c r="X1202" s="10715"/>
      <c r="Y1202" s="10717"/>
      <c r="Z1202" s="10715"/>
      <c r="AA1202" s="10716"/>
      <c r="AB1202" s="10716"/>
      <c r="AC1202" s="10716"/>
      <c r="AD1202" s="10716"/>
      <c r="AE1202" s="10716"/>
      <c r="AF1202" s="10717"/>
      <c r="AG1202" s="10715"/>
      <c r="AH1202" s="10716"/>
      <c r="AI1202" s="10716"/>
      <c r="AJ1202" s="10716"/>
      <c r="AK1202" s="10716"/>
      <c r="AL1202" s="10716"/>
      <c r="AM1202" s="10716"/>
      <c r="AN1202" s="10717"/>
      <c r="AO1202" s="10715"/>
      <c r="AP1202" s="10716"/>
      <c r="AQ1202" s="10716"/>
      <c r="AR1202" s="10716"/>
      <c r="AS1202" s="10716"/>
      <c r="AT1202" s="10717"/>
      <c r="AU1202" s="10718"/>
      <c r="AV1202" s="10718"/>
      <c r="AW1202" s="10718"/>
      <c r="AX1202" s="10710"/>
      <c r="AY1202" s="10713"/>
      <c r="AZ1202" s="10718"/>
      <c r="BA1202" s="10710"/>
      <c r="BB1202" s="10712"/>
      <c r="BC1202" s="10713"/>
      <c r="BD1202" s="10719"/>
      <c r="BF1202" s="14550"/>
      <c r="BG1202" s="14550"/>
      <c r="BH1202" s="14550"/>
      <c r="BI1202" s="14550"/>
      <c r="BJ1202" s="14550"/>
      <c r="BK1202" s="8173"/>
      <c r="BL1202" s="14550"/>
      <c r="BM1202" s="14550"/>
      <c r="BN1202" s="14550"/>
    </row>
    <row r="1203" spans="1:66" ht="30" hidden="1" customHeight="1">
      <c r="A1203" s="13664">
        <v>751</v>
      </c>
      <c r="B1203" s="14282" t="s">
        <v>8145</v>
      </c>
      <c r="C1203" s="13607"/>
      <c r="D1203" s="14278" t="s">
        <v>10063</v>
      </c>
      <c r="E1203" s="11774" t="s">
        <v>144</v>
      </c>
      <c r="F1203" s="11710"/>
      <c r="G1203" s="14267" t="s">
        <v>1834</v>
      </c>
      <c r="H1203" s="12451" t="s">
        <v>1835</v>
      </c>
      <c r="I1203" s="12452">
        <v>1</v>
      </c>
      <c r="K1203" s="10710"/>
      <c r="L1203" s="10711"/>
      <c r="M1203" s="10711"/>
      <c r="N1203" s="10712"/>
      <c r="O1203" s="10712"/>
      <c r="P1203" s="10713"/>
      <c r="Q1203" s="10714"/>
      <c r="R1203" s="10715"/>
      <c r="S1203" s="10716"/>
      <c r="T1203" s="10717"/>
      <c r="U1203" s="10714"/>
      <c r="V1203" s="10715"/>
      <c r="W1203" s="10717"/>
      <c r="X1203" s="10715"/>
      <c r="Y1203" s="10717"/>
      <c r="Z1203" s="10715"/>
      <c r="AA1203" s="10716"/>
      <c r="AB1203" s="10716"/>
      <c r="AC1203" s="10716"/>
      <c r="AD1203" s="10716"/>
      <c r="AE1203" s="10716"/>
      <c r="AF1203" s="10717"/>
      <c r="AG1203" s="10715"/>
      <c r="AH1203" s="10716"/>
      <c r="AI1203" s="10716"/>
      <c r="AJ1203" s="10716"/>
      <c r="AK1203" s="10716"/>
      <c r="AL1203" s="10716"/>
      <c r="AM1203" s="10716"/>
      <c r="AN1203" s="10717"/>
      <c r="AO1203" s="10715"/>
      <c r="AP1203" s="10716"/>
      <c r="AQ1203" s="10716"/>
      <c r="AR1203" s="10716"/>
      <c r="AS1203" s="10716"/>
      <c r="AT1203" s="10717"/>
      <c r="AU1203" s="10718"/>
      <c r="AV1203" s="10718"/>
      <c r="AW1203" s="10718"/>
      <c r="AX1203" s="10710"/>
      <c r="AY1203" s="10713"/>
      <c r="AZ1203" s="10718"/>
      <c r="BA1203" s="10710"/>
      <c r="BB1203" s="10712"/>
      <c r="BC1203" s="10713"/>
      <c r="BD1203" s="10719"/>
      <c r="BF1203" s="14550"/>
      <c r="BG1203" s="14550"/>
      <c r="BH1203" s="14550"/>
      <c r="BI1203" s="14550"/>
      <c r="BJ1203" s="14550"/>
      <c r="BK1203" s="8173"/>
      <c r="BL1203" s="14550"/>
      <c r="BM1203" s="14550"/>
      <c r="BN1203" s="14550"/>
    </row>
    <row r="1204" spans="1:66" ht="30" hidden="1" customHeight="1">
      <c r="A1204" s="13664"/>
      <c r="B1204" s="14282"/>
      <c r="C1204" s="13607"/>
      <c r="D1204" s="14278"/>
      <c r="E1204" s="11774" t="s">
        <v>144</v>
      </c>
      <c r="F1204" s="11710"/>
      <c r="G1204" s="14267"/>
      <c r="H1204" s="12451" t="s">
        <v>1836</v>
      </c>
      <c r="I1204" s="12452">
        <v>1</v>
      </c>
      <c r="K1204" s="10710"/>
      <c r="L1204" s="10711"/>
      <c r="M1204" s="10711"/>
      <c r="N1204" s="10712"/>
      <c r="O1204" s="10712"/>
      <c r="P1204" s="10713"/>
      <c r="Q1204" s="10714"/>
      <c r="R1204" s="10715"/>
      <c r="S1204" s="10716"/>
      <c r="T1204" s="10717"/>
      <c r="U1204" s="10714"/>
      <c r="V1204" s="10715"/>
      <c r="W1204" s="10717"/>
      <c r="X1204" s="10715"/>
      <c r="Y1204" s="10717"/>
      <c r="Z1204" s="10715"/>
      <c r="AA1204" s="10716"/>
      <c r="AB1204" s="10716"/>
      <c r="AC1204" s="10716"/>
      <c r="AD1204" s="10716"/>
      <c r="AE1204" s="10716"/>
      <c r="AF1204" s="10717"/>
      <c r="AG1204" s="10715"/>
      <c r="AH1204" s="10716"/>
      <c r="AI1204" s="10716"/>
      <c r="AJ1204" s="10716"/>
      <c r="AK1204" s="10716"/>
      <c r="AL1204" s="10716"/>
      <c r="AM1204" s="10716"/>
      <c r="AN1204" s="10717"/>
      <c r="AO1204" s="10715"/>
      <c r="AP1204" s="10716"/>
      <c r="AQ1204" s="10716"/>
      <c r="AR1204" s="10716"/>
      <c r="AS1204" s="10716"/>
      <c r="AT1204" s="10717"/>
      <c r="AU1204" s="10718"/>
      <c r="AV1204" s="10718"/>
      <c r="AW1204" s="10718"/>
      <c r="AX1204" s="10710"/>
      <c r="AY1204" s="10713"/>
      <c r="AZ1204" s="10718"/>
      <c r="BA1204" s="10710"/>
      <c r="BB1204" s="10712"/>
      <c r="BC1204" s="10713"/>
      <c r="BD1204" s="10719"/>
      <c r="BF1204" s="14550"/>
      <c r="BG1204" s="14550"/>
      <c r="BH1204" s="14550"/>
      <c r="BI1204" s="14550"/>
      <c r="BJ1204" s="14550"/>
      <c r="BK1204" s="8173"/>
      <c r="BL1204" s="14550"/>
      <c r="BM1204" s="14550"/>
      <c r="BN1204" s="14550"/>
    </row>
    <row r="1205" spans="1:66" ht="30" hidden="1" customHeight="1">
      <c r="A1205" s="13664"/>
      <c r="B1205" s="14282"/>
      <c r="C1205" s="13607"/>
      <c r="D1205" s="14278"/>
      <c r="E1205" s="11774" t="s">
        <v>144</v>
      </c>
      <c r="F1205" s="11710"/>
      <c r="G1205" s="14267"/>
      <c r="H1205" s="12451" t="s">
        <v>1837</v>
      </c>
      <c r="I1205" s="12452">
        <v>1</v>
      </c>
      <c r="K1205" s="10710"/>
      <c r="L1205" s="10711"/>
      <c r="M1205" s="10711"/>
      <c r="N1205" s="10712"/>
      <c r="O1205" s="10712"/>
      <c r="P1205" s="10713"/>
      <c r="Q1205" s="10714"/>
      <c r="R1205" s="10715"/>
      <c r="S1205" s="10716"/>
      <c r="T1205" s="10717"/>
      <c r="U1205" s="10714"/>
      <c r="V1205" s="10715"/>
      <c r="W1205" s="10717"/>
      <c r="X1205" s="10715"/>
      <c r="Y1205" s="10717"/>
      <c r="Z1205" s="10715"/>
      <c r="AA1205" s="10716"/>
      <c r="AB1205" s="10716"/>
      <c r="AC1205" s="10716"/>
      <c r="AD1205" s="10716"/>
      <c r="AE1205" s="10716"/>
      <c r="AF1205" s="10717"/>
      <c r="AG1205" s="10715"/>
      <c r="AH1205" s="10716"/>
      <c r="AI1205" s="10716"/>
      <c r="AJ1205" s="10716"/>
      <c r="AK1205" s="10716"/>
      <c r="AL1205" s="10716"/>
      <c r="AM1205" s="10716"/>
      <c r="AN1205" s="10717"/>
      <c r="AO1205" s="10715"/>
      <c r="AP1205" s="10716"/>
      <c r="AQ1205" s="10716"/>
      <c r="AR1205" s="10716"/>
      <c r="AS1205" s="10716"/>
      <c r="AT1205" s="10717"/>
      <c r="AU1205" s="10718"/>
      <c r="AV1205" s="10718"/>
      <c r="AW1205" s="10718"/>
      <c r="AX1205" s="10710"/>
      <c r="AY1205" s="10713"/>
      <c r="AZ1205" s="10718"/>
      <c r="BA1205" s="10710"/>
      <c r="BB1205" s="10712"/>
      <c r="BC1205" s="10713"/>
      <c r="BD1205" s="10719"/>
      <c r="BF1205" s="14550"/>
      <c r="BG1205" s="14550"/>
      <c r="BH1205" s="14550"/>
      <c r="BI1205" s="14550"/>
      <c r="BJ1205" s="14550"/>
      <c r="BK1205" s="8173"/>
      <c r="BL1205" s="14550"/>
      <c r="BM1205" s="14550"/>
      <c r="BN1205" s="14550"/>
    </row>
    <row r="1206" spans="1:66" ht="30" hidden="1" customHeight="1">
      <c r="A1206" s="13664"/>
      <c r="B1206" s="14282"/>
      <c r="C1206" s="13607"/>
      <c r="D1206" s="14278"/>
      <c r="E1206" s="11774" t="s">
        <v>144</v>
      </c>
      <c r="F1206" s="11710"/>
      <c r="G1206" s="14267"/>
      <c r="H1206" s="12451" t="s">
        <v>1838</v>
      </c>
      <c r="I1206" s="12452">
        <v>1</v>
      </c>
      <c r="K1206" s="10710"/>
      <c r="L1206" s="10711"/>
      <c r="M1206" s="10711"/>
      <c r="N1206" s="10712"/>
      <c r="O1206" s="10712"/>
      <c r="P1206" s="10713"/>
      <c r="Q1206" s="10714"/>
      <c r="R1206" s="10715"/>
      <c r="S1206" s="10716"/>
      <c r="T1206" s="10717"/>
      <c r="U1206" s="10714"/>
      <c r="V1206" s="10715"/>
      <c r="W1206" s="10717"/>
      <c r="X1206" s="10715"/>
      <c r="Y1206" s="10717"/>
      <c r="Z1206" s="10715"/>
      <c r="AA1206" s="10716"/>
      <c r="AB1206" s="10716"/>
      <c r="AC1206" s="10716"/>
      <c r="AD1206" s="10716"/>
      <c r="AE1206" s="10716"/>
      <c r="AF1206" s="10717"/>
      <c r="AG1206" s="10715"/>
      <c r="AH1206" s="10716"/>
      <c r="AI1206" s="10716"/>
      <c r="AJ1206" s="10716"/>
      <c r="AK1206" s="10716"/>
      <c r="AL1206" s="10716"/>
      <c r="AM1206" s="10716"/>
      <c r="AN1206" s="10717"/>
      <c r="AO1206" s="10715"/>
      <c r="AP1206" s="10716"/>
      <c r="AQ1206" s="10716"/>
      <c r="AR1206" s="10716"/>
      <c r="AS1206" s="10716"/>
      <c r="AT1206" s="10717"/>
      <c r="AU1206" s="10718"/>
      <c r="AV1206" s="10718"/>
      <c r="AW1206" s="10718"/>
      <c r="AX1206" s="10710"/>
      <c r="AY1206" s="10713"/>
      <c r="AZ1206" s="10718"/>
      <c r="BA1206" s="10710"/>
      <c r="BB1206" s="10712"/>
      <c r="BC1206" s="10713"/>
      <c r="BD1206" s="10719"/>
      <c r="BF1206" s="14550"/>
      <c r="BG1206" s="14550"/>
      <c r="BH1206" s="14550"/>
      <c r="BI1206" s="14550"/>
      <c r="BJ1206" s="14550"/>
      <c r="BK1206" s="8173"/>
      <c r="BL1206" s="14550"/>
      <c r="BM1206" s="14550"/>
      <c r="BN1206" s="14550"/>
    </row>
    <row r="1207" spans="1:66" ht="30" hidden="1" customHeight="1">
      <c r="A1207" s="10697">
        <v>752</v>
      </c>
      <c r="B1207" s="10720" t="s">
        <v>8146</v>
      </c>
      <c r="C1207" s="13607"/>
      <c r="D1207" s="12340" t="s">
        <v>10063</v>
      </c>
      <c r="E1207" s="11774" t="s">
        <v>144</v>
      </c>
      <c r="F1207" s="11710"/>
      <c r="G1207" s="11710" t="s">
        <v>1839</v>
      </c>
      <c r="H1207" s="12451" t="s">
        <v>1840</v>
      </c>
      <c r="I1207" s="12452">
        <v>31</v>
      </c>
      <c r="K1207" s="10710"/>
      <c r="L1207" s="10711"/>
      <c r="M1207" s="10711"/>
      <c r="N1207" s="10712"/>
      <c r="O1207" s="10712"/>
      <c r="P1207" s="10713"/>
      <c r="Q1207" s="10714"/>
      <c r="R1207" s="10715"/>
      <c r="S1207" s="10716"/>
      <c r="T1207" s="10717"/>
      <c r="U1207" s="10714"/>
      <c r="V1207" s="10715"/>
      <c r="W1207" s="10717"/>
      <c r="X1207" s="10715"/>
      <c r="Y1207" s="10717"/>
      <c r="Z1207" s="10715"/>
      <c r="AA1207" s="10716"/>
      <c r="AB1207" s="10716"/>
      <c r="AC1207" s="10716"/>
      <c r="AD1207" s="10716"/>
      <c r="AE1207" s="10716"/>
      <c r="AF1207" s="10717"/>
      <c r="AG1207" s="10715"/>
      <c r="AH1207" s="10716"/>
      <c r="AI1207" s="10716"/>
      <c r="AJ1207" s="10716"/>
      <c r="AK1207" s="10716"/>
      <c r="AL1207" s="10716"/>
      <c r="AM1207" s="10716"/>
      <c r="AN1207" s="10717"/>
      <c r="AO1207" s="10715"/>
      <c r="AP1207" s="10716"/>
      <c r="AQ1207" s="10716"/>
      <c r="AR1207" s="10716"/>
      <c r="AS1207" s="10716"/>
      <c r="AT1207" s="10717"/>
      <c r="AU1207" s="10718"/>
      <c r="AV1207" s="10718"/>
      <c r="AW1207" s="10718"/>
      <c r="AX1207" s="10710"/>
      <c r="AY1207" s="10713"/>
      <c r="AZ1207" s="10718"/>
      <c r="BA1207" s="10710"/>
      <c r="BB1207" s="10712"/>
      <c r="BC1207" s="10713"/>
      <c r="BD1207" s="10719"/>
      <c r="BF1207" s="8173"/>
      <c r="BG1207" s="8173"/>
      <c r="BH1207" s="8173"/>
      <c r="BI1207" s="8173"/>
      <c r="BJ1207" s="8173"/>
      <c r="BK1207" s="8173"/>
      <c r="BL1207" s="8173"/>
      <c r="BM1207" s="8173"/>
      <c r="BN1207" s="8173"/>
    </row>
    <row r="1208" spans="1:66" ht="30" hidden="1" customHeight="1">
      <c r="A1208" s="13664">
        <v>753</v>
      </c>
      <c r="B1208" s="14282" t="s">
        <v>8147</v>
      </c>
      <c r="C1208" s="13607"/>
      <c r="D1208" s="14278" t="s">
        <v>10063</v>
      </c>
      <c r="E1208" s="11774" t="s">
        <v>144</v>
      </c>
      <c r="F1208" s="11710"/>
      <c r="G1208" s="14267" t="s">
        <v>1842</v>
      </c>
      <c r="H1208" s="12451" t="s">
        <v>1843</v>
      </c>
      <c r="I1208" s="12452">
        <v>31</v>
      </c>
      <c r="K1208" s="10710"/>
      <c r="L1208" s="10711"/>
      <c r="M1208" s="10711"/>
      <c r="N1208" s="10712"/>
      <c r="O1208" s="10712"/>
      <c r="P1208" s="10713"/>
      <c r="Q1208" s="10714"/>
      <c r="R1208" s="10715"/>
      <c r="S1208" s="10716"/>
      <c r="T1208" s="10717"/>
      <c r="U1208" s="10714"/>
      <c r="V1208" s="10715"/>
      <c r="W1208" s="10717"/>
      <c r="X1208" s="10715"/>
      <c r="Y1208" s="10717"/>
      <c r="Z1208" s="10715"/>
      <c r="AA1208" s="10716"/>
      <c r="AB1208" s="10716"/>
      <c r="AC1208" s="10716"/>
      <c r="AD1208" s="10716"/>
      <c r="AE1208" s="10716"/>
      <c r="AF1208" s="10717"/>
      <c r="AG1208" s="10715"/>
      <c r="AH1208" s="10716"/>
      <c r="AI1208" s="10716"/>
      <c r="AJ1208" s="10716"/>
      <c r="AK1208" s="10716"/>
      <c r="AL1208" s="10716"/>
      <c r="AM1208" s="10716"/>
      <c r="AN1208" s="10717"/>
      <c r="AO1208" s="10715"/>
      <c r="AP1208" s="10716"/>
      <c r="AQ1208" s="10716"/>
      <c r="AR1208" s="10716"/>
      <c r="AS1208" s="10716"/>
      <c r="AT1208" s="10717"/>
      <c r="AU1208" s="10718"/>
      <c r="AV1208" s="10718"/>
      <c r="AW1208" s="10718"/>
      <c r="AX1208" s="10710"/>
      <c r="AY1208" s="10713"/>
      <c r="AZ1208" s="10718"/>
      <c r="BA1208" s="10710"/>
      <c r="BB1208" s="10712"/>
      <c r="BC1208" s="10713"/>
      <c r="BD1208" s="10719"/>
      <c r="BF1208" s="14550"/>
      <c r="BG1208" s="14550"/>
      <c r="BH1208" s="14550"/>
      <c r="BI1208" s="14550"/>
      <c r="BJ1208" s="14550"/>
      <c r="BK1208" s="8173"/>
      <c r="BL1208" s="14550"/>
      <c r="BM1208" s="14550"/>
      <c r="BN1208" s="14550"/>
    </row>
    <row r="1209" spans="1:66" ht="30" hidden="1" customHeight="1">
      <c r="A1209" s="13664"/>
      <c r="B1209" s="14282"/>
      <c r="C1209" s="13607"/>
      <c r="D1209" s="14278"/>
      <c r="E1209" s="11774" t="s">
        <v>144</v>
      </c>
      <c r="F1209" s="11710"/>
      <c r="G1209" s="14267"/>
      <c r="H1209" s="12451" t="s">
        <v>1844</v>
      </c>
      <c r="I1209" s="12452">
        <v>31</v>
      </c>
      <c r="K1209" s="10710"/>
      <c r="L1209" s="10711"/>
      <c r="M1209" s="10711"/>
      <c r="N1209" s="10712"/>
      <c r="O1209" s="10712"/>
      <c r="P1209" s="10713"/>
      <c r="Q1209" s="10714"/>
      <c r="R1209" s="10715"/>
      <c r="S1209" s="10716"/>
      <c r="T1209" s="10717"/>
      <c r="U1209" s="10714"/>
      <c r="V1209" s="10715"/>
      <c r="W1209" s="10717"/>
      <c r="X1209" s="10715"/>
      <c r="Y1209" s="10717"/>
      <c r="Z1209" s="10715"/>
      <c r="AA1209" s="10716"/>
      <c r="AB1209" s="10716"/>
      <c r="AC1209" s="10716"/>
      <c r="AD1209" s="10716"/>
      <c r="AE1209" s="10716"/>
      <c r="AF1209" s="10717"/>
      <c r="AG1209" s="10715"/>
      <c r="AH1209" s="10716"/>
      <c r="AI1209" s="10716"/>
      <c r="AJ1209" s="10716"/>
      <c r="AK1209" s="10716"/>
      <c r="AL1209" s="10716"/>
      <c r="AM1209" s="10716"/>
      <c r="AN1209" s="10717"/>
      <c r="AO1209" s="10715"/>
      <c r="AP1209" s="10716"/>
      <c r="AQ1209" s="10716"/>
      <c r="AR1209" s="10716"/>
      <c r="AS1209" s="10716"/>
      <c r="AT1209" s="10717"/>
      <c r="AU1209" s="10718"/>
      <c r="AV1209" s="10718"/>
      <c r="AW1209" s="10718"/>
      <c r="AX1209" s="10710"/>
      <c r="AY1209" s="10713"/>
      <c r="AZ1209" s="10718"/>
      <c r="BA1209" s="10710"/>
      <c r="BB1209" s="10712"/>
      <c r="BC1209" s="10713"/>
      <c r="BD1209" s="10719"/>
      <c r="BF1209" s="14550"/>
      <c r="BG1209" s="14550"/>
      <c r="BH1209" s="14550"/>
      <c r="BI1209" s="14550"/>
      <c r="BJ1209" s="14550"/>
      <c r="BK1209" s="8173"/>
      <c r="BL1209" s="14550"/>
      <c r="BM1209" s="14550"/>
      <c r="BN1209" s="14550"/>
    </row>
    <row r="1210" spans="1:66" ht="30" hidden="1" customHeight="1">
      <c r="A1210" s="10697">
        <v>754</v>
      </c>
      <c r="B1210" s="10720" t="s">
        <v>8148</v>
      </c>
      <c r="C1210" s="13607"/>
      <c r="D1210" s="12340" t="s">
        <v>10063</v>
      </c>
      <c r="E1210" s="11774" t="s">
        <v>1408</v>
      </c>
      <c r="F1210" s="11710"/>
      <c r="G1210" s="11710" t="s">
        <v>1847</v>
      </c>
      <c r="H1210" s="12451" t="s">
        <v>1848</v>
      </c>
      <c r="I1210" s="12453">
        <v>1</v>
      </c>
      <c r="K1210" s="10721"/>
      <c r="L1210" s="10711"/>
      <c r="M1210" s="10711"/>
      <c r="N1210" s="10711"/>
      <c r="O1210" s="10711"/>
      <c r="P1210" s="10722"/>
      <c r="Q1210" s="10714"/>
      <c r="R1210" s="10715"/>
      <c r="S1210" s="10716"/>
      <c r="T1210" s="10717"/>
      <c r="U1210" s="10714"/>
      <c r="V1210" s="10715"/>
      <c r="W1210" s="10717"/>
      <c r="X1210" s="10715"/>
      <c r="Y1210" s="10717"/>
      <c r="Z1210" s="10715"/>
      <c r="AA1210" s="10716"/>
      <c r="AB1210" s="10716"/>
      <c r="AC1210" s="10716"/>
      <c r="AD1210" s="10716"/>
      <c r="AE1210" s="10716"/>
      <c r="AF1210" s="10717"/>
      <c r="AG1210" s="10715"/>
      <c r="AH1210" s="10716"/>
      <c r="AI1210" s="10716"/>
      <c r="AJ1210" s="10716"/>
      <c r="AK1210" s="10716"/>
      <c r="AL1210" s="10716"/>
      <c r="AM1210" s="10716"/>
      <c r="AN1210" s="10717"/>
      <c r="AO1210" s="10715"/>
      <c r="AP1210" s="10716"/>
      <c r="AQ1210" s="10716"/>
      <c r="AR1210" s="10716"/>
      <c r="AS1210" s="10716"/>
      <c r="AT1210" s="10717"/>
      <c r="AU1210" s="10723"/>
      <c r="AV1210" s="10723"/>
      <c r="AW1210" s="10723"/>
      <c r="AX1210" s="10721"/>
      <c r="AY1210" s="10722"/>
      <c r="AZ1210" s="10723"/>
      <c r="BA1210" s="10721"/>
      <c r="BB1210" s="10711"/>
      <c r="BC1210" s="10722"/>
      <c r="BD1210" s="10724"/>
      <c r="BF1210" s="8173"/>
      <c r="BG1210" s="8173"/>
      <c r="BH1210" s="8173"/>
      <c r="BI1210" s="8173"/>
      <c r="BJ1210" s="8173"/>
      <c r="BK1210" s="8173"/>
      <c r="BL1210" s="8173"/>
      <c r="BM1210" s="8173"/>
      <c r="BN1210" s="8173"/>
    </row>
    <row r="1211" spans="1:66" ht="30" hidden="1" customHeight="1">
      <c r="A1211" s="10697">
        <v>755</v>
      </c>
      <c r="B1211" s="10725" t="s">
        <v>8149</v>
      </c>
      <c r="C1211" s="13607"/>
      <c r="D1211" s="12340" t="s">
        <v>10070</v>
      </c>
      <c r="E1211" s="11774" t="s">
        <v>512</v>
      </c>
      <c r="F1211" s="11710"/>
      <c r="G1211" s="12454" t="s">
        <v>1850</v>
      </c>
      <c r="H1211" s="12455" t="s">
        <v>1851</v>
      </c>
      <c r="I1211" s="12452">
        <v>0</v>
      </c>
      <c r="K1211" s="10710"/>
      <c r="L1211" s="10711"/>
      <c r="M1211" s="10711"/>
      <c r="N1211" s="10712"/>
      <c r="O1211" s="10712"/>
      <c r="P1211" s="10713"/>
      <c r="Q1211" s="10714"/>
      <c r="R1211" s="10715"/>
      <c r="S1211" s="10716"/>
      <c r="T1211" s="10717"/>
      <c r="U1211" s="10714"/>
      <c r="V1211" s="10715"/>
      <c r="W1211" s="10717"/>
      <c r="X1211" s="10715"/>
      <c r="Y1211" s="10717"/>
      <c r="Z1211" s="10715"/>
      <c r="AA1211" s="10716"/>
      <c r="AB1211" s="10716"/>
      <c r="AC1211" s="10716"/>
      <c r="AD1211" s="10716"/>
      <c r="AE1211" s="10716"/>
      <c r="AF1211" s="10717"/>
      <c r="AG1211" s="10715"/>
      <c r="AH1211" s="10716"/>
      <c r="AI1211" s="10716"/>
      <c r="AJ1211" s="10716"/>
      <c r="AK1211" s="10716"/>
      <c r="AL1211" s="10716"/>
      <c r="AM1211" s="10716"/>
      <c r="AN1211" s="10717"/>
      <c r="AO1211" s="10715"/>
      <c r="AP1211" s="10716"/>
      <c r="AQ1211" s="10716"/>
      <c r="AR1211" s="10716"/>
      <c r="AS1211" s="10716"/>
      <c r="AT1211" s="10717"/>
      <c r="AU1211" s="10718"/>
      <c r="AV1211" s="10718"/>
      <c r="AW1211" s="10718"/>
      <c r="AX1211" s="10710"/>
      <c r="AY1211" s="10713"/>
      <c r="AZ1211" s="10718"/>
      <c r="BA1211" s="10710"/>
      <c r="BB1211" s="10712"/>
      <c r="BC1211" s="10713"/>
      <c r="BD1211" s="10719"/>
      <c r="BF1211" s="10726"/>
      <c r="BG1211" s="10726"/>
      <c r="BH1211" s="10726"/>
      <c r="BI1211" s="10726"/>
      <c r="BJ1211" s="10726"/>
      <c r="BK1211" s="10726"/>
      <c r="BL1211" s="10726"/>
      <c r="BM1211" s="10726"/>
      <c r="BN1211" s="10726"/>
    </row>
    <row r="1212" spans="1:66" ht="30" hidden="1" customHeight="1">
      <c r="A1212" s="10697">
        <v>756</v>
      </c>
      <c r="B1212" s="10720" t="s">
        <v>8150</v>
      </c>
      <c r="C1212" s="13607"/>
      <c r="D1212" s="12340" t="s">
        <v>10063</v>
      </c>
      <c r="E1212" s="11774" t="s">
        <v>1408</v>
      </c>
      <c r="F1212" s="11710"/>
      <c r="G1212" s="11710" t="s">
        <v>1852</v>
      </c>
      <c r="H1212" s="12451" t="s">
        <v>1853</v>
      </c>
      <c r="I1212" s="12452">
        <v>1</v>
      </c>
      <c r="K1212" s="10710"/>
      <c r="L1212" s="10711"/>
      <c r="M1212" s="10711"/>
      <c r="N1212" s="10712"/>
      <c r="O1212" s="10712"/>
      <c r="P1212" s="10713"/>
      <c r="Q1212" s="10714"/>
      <c r="R1212" s="10715"/>
      <c r="S1212" s="10716"/>
      <c r="T1212" s="10717"/>
      <c r="U1212" s="10714"/>
      <c r="V1212" s="10715"/>
      <c r="W1212" s="10717"/>
      <c r="X1212" s="10715"/>
      <c r="Y1212" s="10717"/>
      <c r="Z1212" s="10715"/>
      <c r="AA1212" s="10716"/>
      <c r="AB1212" s="10716"/>
      <c r="AC1212" s="10716"/>
      <c r="AD1212" s="10716"/>
      <c r="AE1212" s="10716"/>
      <c r="AF1212" s="10717"/>
      <c r="AG1212" s="10715"/>
      <c r="AH1212" s="10716"/>
      <c r="AI1212" s="10716"/>
      <c r="AJ1212" s="10716"/>
      <c r="AK1212" s="10716"/>
      <c r="AL1212" s="10716"/>
      <c r="AM1212" s="10716"/>
      <c r="AN1212" s="10717"/>
      <c r="AO1212" s="10715"/>
      <c r="AP1212" s="10716"/>
      <c r="AQ1212" s="10716"/>
      <c r="AR1212" s="10716"/>
      <c r="AS1212" s="10716"/>
      <c r="AT1212" s="10717"/>
      <c r="AU1212" s="10718"/>
      <c r="AV1212" s="10718"/>
      <c r="AW1212" s="10718"/>
      <c r="AX1212" s="10710"/>
      <c r="AY1212" s="10713"/>
      <c r="AZ1212" s="10718"/>
      <c r="BA1212" s="10710"/>
      <c r="BB1212" s="10712"/>
      <c r="BC1212" s="10713"/>
      <c r="BD1212" s="10719"/>
      <c r="BF1212" s="8173"/>
      <c r="BG1212" s="8173"/>
      <c r="BH1212" s="8173"/>
      <c r="BI1212" s="8173"/>
      <c r="BJ1212" s="8173"/>
      <c r="BK1212" s="8173"/>
      <c r="BL1212" s="8173"/>
      <c r="BM1212" s="8173"/>
      <c r="BN1212" s="8173"/>
    </row>
    <row r="1213" spans="1:66" ht="30" hidden="1" customHeight="1">
      <c r="A1213" s="10697">
        <v>757</v>
      </c>
      <c r="B1213" s="10720" t="s">
        <v>8151</v>
      </c>
      <c r="C1213" s="13607"/>
      <c r="D1213" s="12340" t="s">
        <v>10063</v>
      </c>
      <c r="E1213" s="11774" t="s">
        <v>1408</v>
      </c>
      <c r="F1213" s="11710"/>
      <c r="G1213" s="11710" t="s">
        <v>1855</v>
      </c>
      <c r="H1213" s="12451" t="s">
        <v>1856</v>
      </c>
      <c r="I1213" s="12453">
        <v>1</v>
      </c>
      <c r="K1213" s="10721"/>
      <c r="L1213" s="10711"/>
      <c r="M1213" s="10711"/>
      <c r="N1213" s="10711"/>
      <c r="O1213" s="10711"/>
      <c r="P1213" s="10722"/>
      <c r="Q1213" s="10714"/>
      <c r="R1213" s="10715"/>
      <c r="S1213" s="10716"/>
      <c r="T1213" s="10717"/>
      <c r="U1213" s="10714"/>
      <c r="V1213" s="10715"/>
      <c r="W1213" s="10717"/>
      <c r="X1213" s="10715"/>
      <c r="Y1213" s="10717"/>
      <c r="Z1213" s="10715"/>
      <c r="AA1213" s="10716"/>
      <c r="AB1213" s="10716"/>
      <c r="AC1213" s="10716"/>
      <c r="AD1213" s="10716"/>
      <c r="AE1213" s="10716"/>
      <c r="AF1213" s="10717"/>
      <c r="AG1213" s="10715"/>
      <c r="AH1213" s="10716"/>
      <c r="AI1213" s="10716"/>
      <c r="AJ1213" s="10716"/>
      <c r="AK1213" s="10716"/>
      <c r="AL1213" s="10716"/>
      <c r="AM1213" s="10716"/>
      <c r="AN1213" s="10717"/>
      <c r="AO1213" s="10715"/>
      <c r="AP1213" s="10716"/>
      <c r="AQ1213" s="10716"/>
      <c r="AR1213" s="10716"/>
      <c r="AS1213" s="10716"/>
      <c r="AT1213" s="10717"/>
      <c r="AU1213" s="10723"/>
      <c r="AV1213" s="10723"/>
      <c r="AW1213" s="10723"/>
      <c r="AX1213" s="10721"/>
      <c r="AY1213" s="10722"/>
      <c r="AZ1213" s="10723"/>
      <c r="BA1213" s="10721"/>
      <c r="BB1213" s="10711"/>
      <c r="BC1213" s="10722"/>
      <c r="BD1213" s="10724"/>
      <c r="BF1213" s="8173"/>
      <c r="BG1213" s="8173"/>
      <c r="BH1213" s="8173"/>
      <c r="BI1213" s="8173"/>
      <c r="BJ1213" s="8173"/>
      <c r="BK1213" s="8173"/>
      <c r="BL1213" s="8173"/>
      <c r="BM1213" s="8173"/>
      <c r="BN1213" s="8173"/>
    </row>
    <row r="1214" spans="1:66" ht="30" hidden="1" customHeight="1">
      <c r="A1214" s="13664">
        <v>758</v>
      </c>
      <c r="B1214" s="14282" t="s">
        <v>8152</v>
      </c>
      <c r="C1214" s="13607"/>
      <c r="D1214" s="14278" t="s">
        <v>10063</v>
      </c>
      <c r="E1214" s="11774" t="s">
        <v>1408</v>
      </c>
      <c r="F1214" s="11710"/>
      <c r="G1214" s="14267" t="s">
        <v>1859</v>
      </c>
      <c r="H1214" s="12451" t="s">
        <v>1860</v>
      </c>
      <c r="I1214" s="12452">
        <v>1</v>
      </c>
      <c r="K1214" s="10710"/>
      <c r="L1214" s="10711"/>
      <c r="M1214" s="10711"/>
      <c r="N1214" s="10712"/>
      <c r="O1214" s="10712"/>
      <c r="P1214" s="10713"/>
      <c r="Q1214" s="10714"/>
      <c r="R1214" s="10715"/>
      <c r="S1214" s="10716"/>
      <c r="T1214" s="10717"/>
      <c r="U1214" s="10714"/>
      <c r="V1214" s="10715"/>
      <c r="W1214" s="10717"/>
      <c r="X1214" s="10715"/>
      <c r="Y1214" s="10717"/>
      <c r="Z1214" s="10715"/>
      <c r="AA1214" s="10716"/>
      <c r="AB1214" s="10716"/>
      <c r="AC1214" s="10716"/>
      <c r="AD1214" s="10716"/>
      <c r="AE1214" s="10716"/>
      <c r="AF1214" s="10717"/>
      <c r="AG1214" s="10715"/>
      <c r="AH1214" s="10716"/>
      <c r="AI1214" s="10716"/>
      <c r="AJ1214" s="10716"/>
      <c r="AK1214" s="10716"/>
      <c r="AL1214" s="10716"/>
      <c r="AM1214" s="10716"/>
      <c r="AN1214" s="10717"/>
      <c r="AO1214" s="10715"/>
      <c r="AP1214" s="10716"/>
      <c r="AQ1214" s="10716"/>
      <c r="AR1214" s="10716"/>
      <c r="AS1214" s="10716"/>
      <c r="AT1214" s="10717"/>
      <c r="AU1214" s="10718"/>
      <c r="AV1214" s="10718"/>
      <c r="AW1214" s="10718"/>
      <c r="AX1214" s="10710"/>
      <c r="AY1214" s="10713"/>
      <c r="AZ1214" s="10718"/>
      <c r="BA1214" s="10710"/>
      <c r="BB1214" s="10712"/>
      <c r="BC1214" s="10713"/>
      <c r="BD1214" s="10719"/>
      <c r="BF1214" s="14550"/>
      <c r="BG1214" s="14550"/>
      <c r="BH1214" s="14550"/>
      <c r="BI1214" s="14550"/>
      <c r="BJ1214" s="14550"/>
      <c r="BK1214" s="8173"/>
      <c r="BL1214" s="14550"/>
      <c r="BM1214" s="14550"/>
      <c r="BN1214" s="14550"/>
    </row>
    <row r="1215" spans="1:66" ht="30" hidden="1" customHeight="1">
      <c r="A1215" s="13664"/>
      <c r="B1215" s="14282"/>
      <c r="C1215" s="13607"/>
      <c r="D1215" s="14278"/>
      <c r="E1215" s="11774" t="s">
        <v>1408</v>
      </c>
      <c r="F1215" s="11710"/>
      <c r="G1215" s="14267"/>
      <c r="H1215" s="12451" t="s">
        <v>1861</v>
      </c>
      <c r="I1215" s="12452">
        <v>40</v>
      </c>
      <c r="K1215" s="10710"/>
      <c r="L1215" s="10711"/>
      <c r="M1215" s="10711"/>
      <c r="N1215" s="10712"/>
      <c r="O1215" s="10712"/>
      <c r="P1215" s="10713"/>
      <c r="Q1215" s="10714"/>
      <c r="R1215" s="10715"/>
      <c r="S1215" s="10716"/>
      <c r="T1215" s="10717"/>
      <c r="U1215" s="10714"/>
      <c r="V1215" s="10715"/>
      <c r="W1215" s="10717"/>
      <c r="X1215" s="10715"/>
      <c r="Y1215" s="10717"/>
      <c r="Z1215" s="10715"/>
      <c r="AA1215" s="10716"/>
      <c r="AB1215" s="10716"/>
      <c r="AC1215" s="10716"/>
      <c r="AD1215" s="10716"/>
      <c r="AE1215" s="10716"/>
      <c r="AF1215" s="10717"/>
      <c r="AG1215" s="10715"/>
      <c r="AH1215" s="10716"/>
      <c r="AI1215" s="10716"/>
      <c r="AJ1215" s="10716"/>
      <c r="AK1215" s="10716"/>
      <c r="AL1215" s="10716"/>
      <c r="AM1215" s="10716"/>
      <c r="AN1215" s="10717"/>
      <c r="AO1215" s="10715"/>
      <c r="AP1215" s="10716"/>
      <c r="AQ1215" s="10716"/>
      <c r="AR1215" s="10716"/>
      <c r="AS1215" s="10716"/>
      <c r="AT1215" s="10717"/>
      <c r="AU1215" s="10718"/>
      <c r="AV1215" s="10718"/>
      <c r="AW1215" s="10718"/>
      <c r="AX1215" s="10710"/>
      <c r="AY1215" s="10713"/>
      <c r="AZ1215" s="10718"/>
      <c r="BA1215" s="10710"/>
      <c r="BB1215" s="10712"/>
      <c r="BC1215" s="10713"/>
      <c r="BD1215" s="10719"/>
      <c r="BF1215" s="14550"/>
      <c r="BG1215" s="14550"/>
      <c r="BH1215" s="14550"/>
      <c r="BI1215" s="14550"/>
      <c r="BJ1215" s="14550"/>
      <c r="BK1215" s="8173"/>
      <c r="BL1215" s="14550"/>
      <c r="BM1215" s="14550"/>
      <c r="BN1215" s="14550"/>
    </row>
    <row r="1216" spans="1:66" ht="30" hidden="1" customHeight="1">
      <c r="A1216" s="10697">
        <v>759</v>
      </c>
      <c r="B1216" s="10725" t="s">
        <v>8153</v>
      </c>
      <c r="C1216" s="13607"/>
      <c r="D1216" s="12340" t="s">
        <v>10070</v>
      </c>
      <c r="E1216" s="11774" t="s">
        <v>512</v>
      </c>
      <c r="F1216" s="11710"/>
      <c r="G1216" s="12454" t="s">
        <v>1862</v>
      </c>
      <c r="H1216" s="12451" t="s">
        <v>1863</v>
      </c>
      <c r="I1216" s="12456">
        <v>0.4</v>
      </c>
      <c r="K1216" s="10727"/>
      <c r="L1216" s="10711"/>
      <c r="M1216" s="10711"/>
      <c r="N1216" s="10728"/>
      <c r="O1216" s="10728"/>
      <c r="P1216" s="10729"/>
      <c r="Q1216" s="10714"/>
      <c r="R1216" s="10715"/>
      <c r="S1216" s="10716"/>
      <c r="T1216" s="10717"/>
      <c r="U1216" s="10714"/>
      <c r="V1216" s="10715"/>
      <c r="W1216" s="10717"/>
      <c r="X1216" s="10715"/>
      <c r="Y1216" s="10717"/>
      <c r="Z1216" s="10715"/>
      <c r="AA1216" s="10716"/>
      <c r="AB1216" s="10716"/>
      <c r="AC1216" s="10716"/>
      <c r="AD1216" s="10716"/>
      <c r="AE1216" s="10716"/>
      <c r="AF1216" s="10717"/>
      <c r="AG1216" s="10715"/>
      <c r="AH1216" s="10716"/>
      <c r="AI1216" s="10716"/>
      <c r="AJ1216" s="10716"/>
      <c r="AK1216" s="10716"/>
      <c r="AL1216" s="10716"/>
      <c r="AM1216" s="10716"/>
      <c r="AN1216" s="10717"/>
      <c r="AO1216" s="10715"/>
      <c r="AP1216" s="10716"/>
      <c r="AQ1216" s="10716"/>
      <c r="AR1216" s="10716"/>
      <c r="AS1216" s="10716"/>
      <c r="AT1216" s="10717"/>
      <c r="AU1216" s="10730"/>
      <c r="AV1216" s="10730"/>
      <c r="AW1216" s="10730"/>
      <c r="AX1216" s="10727"/>
      <c r="AY1216" s="10729"/>
      <c r="AZ1216" s="10730"/>
      <c r="BA1216" s="10727"/>
      <c r="BB1216" s="10728"/>
      <c r="BC1216" s="10729"/>
      <c r="BD1216" s="10731"/>
      <c r="BF1216" s="10726"/>
      <c r="BG1216" s="10726"/>
      <c r="BH1216" s="10726"/>
      <c r="BI1216" s="10726"/>
      <c r="BJ1216" s="10726"/>
      <c r="BK1216" s="10726"/>
      <c r="BL1216" s="10726"/>
      <c r="BM1216" s="10726"/>
      <c r="BN1216" s="10726"/>
    </row>
    <row r="1217" spans="1:66" ht="30" hidden="1" customHeight="1">
      <c r="A1217" s="10697">
        <v>760</v>
      </c>
      <c r="B1217" s="10725" t="s">
        <v>8154</v>
      </c>
      <c r="C1217" s="13607"/>
      <c r="D1217" s="12340" t="s">
        <v>10070</v>
      </c>
      <c r="E1217" s="11774" t="s">
        <v>512</v>
      </c>
      <c r="F1217" s="11710"/>
      <c r="G1217" s="12454" t="s">
        <v>1865</v>
      </c>
      <c r="H1217" s="12451" t="s">
        <v>1866</v>
      </c>
      <c r="I1217" s="12452">
        <v>15</v>
      </c>
      <c r="K1217" s="10710"/>
      <c r="L1217" s="10711"/>
      <c r="M1217" s="10711"/>
      <c r="N1217" s="10712"/>
      <c r="O1217" s="10712"/>
      <c r="P1217" s="10713"/>
      <c r="Q1217" s="10714"/>
      <c r="R1217" s="10715"/>
      <c r="S1217" s="10716"/>
      <c r="T1217" s="10717"/>
      <c r="U1217" s="10714"/>
      <c r="V1217" s="10715"/>
      <c r="W1217" s="10717"/>
      <c r="X1217" s="10715"/>
      <c r="Y1217" s="10717"/>
      <c r="Z1217" s="10715"/>
      <c r="AA1217" s="10716"/>
      <c r="AB1217" s="10716"/>
      <c r="AC1217" s="10716"/>
      <c r="AD1217" s="10716"/>
      <c r="AE1217" s="10716"/>
      <c r="AF1217" s="10717"/>
      <c r="AG1217" s="10715"/>
      <c r="AH1217" s="10716"/>
      <c r="AI1217" s="10716"/>
      <c r="AJ1217" s="10716"/>
      <c r="AK1217" s="10716"/>
      <c r="AL1217" s="10716"/>
      <c r="AM1217" s="10716"/>
      <c r="AN1217" s="10717"/>
      <c r="AO1217" s="10715"/>
      <c r="AP1217" s="10716"/>
      <c r="AQ1217" s="10716"/>
      <c r="AR1217" s="10716"/>
      <c r="AS1217" s="10716"/>
      <c r="AT1217" s="10717"/>
      <c r="AU1217" s="10718"/>
      <c r="AV1217" s="10718"/>
      <c r="AW1217" s="10718"/>
      <c r="AX1217" s="10710"/>
      <c r="AY1217" s="10713"/>
      <c r="AZ1217" s="10718"/>
      <c r="BA1217" s="10710"/>
      <c r="BB1217" s="10712"/>
      <c r="BC1217" s="10713"/>
      <c r="BD1217" s="10719"/>
      <c r="BF1217" s="10726"/>
      <c r="BG1217" s="10726"/>
      <c r="BH1217" s="10726"/>
      <c r="BI1217" s="10726"/>
      <c r="BJ1217" s="10726"/>
      <c r="BK1217" s="10726"/>
      <c r="BL1217" s="10726"/>
      <c r="BM1217" s="10726"/>
      <c r="BN1217" s="10726"/>
    </row>
    <row r="1218" spans="1:66" ht="30" hidden="1" customHeight="1">
      <c r="A1218" s="10697">
        <v>761</v>
      </c>
      <c r="B1218" s="10725" t="s">
        <v>8155</v>
      </c>
      <c r="C1218" s="13607"/>
      <c r="D1218" s="12340" t="s">
        <v>10070</v>
      </c>
      <c r="E1218" s="11774" t="s">
        <v>512</v>
      </c>
      <c r="F1218" s="11710"/>
      <c r="G1218" s="12454" t="s">
        <v>1868</v>
      </c>
      <c r="H1218" s="12451" t="s">
        <v>1869</v>
      </c>
      <c r="I1218" s="12452">
        <v>100</v>
      </c>
      <c r="K1218" s="10710"/>
      <c r="L1218" s="10711"/>
      <c r="M1218" s="10711"/>
      <c r="N1218" s="10712"/>
      <c r="O1218" s="10712"/>
      <c r="P1218" s="10713"/>
      <c r="Q1218" s="10714"/>
      <c r="R1218" s="10715"/>
      <c r="S1218" s="10716"/>
      <c r="T1218" s="10717"/>
      <c r="U1218" s="10714"/>
      <c r="V1218" s="10715"/>
      <c r="W1218" s="10717"/>
      <c r="X1218" s="10715"/>
      <c r="Y1218" s="10717"/>
      <c r="Z1218" s="10715"/>
      <c r="AA1218" s="10716"/>
      <c r="AB1218" s="10716"/>
      <c r="AC1218" s="10716"/>
      <c r="AD1218" s="10716"/>
      <c r="AE1218" s="10716"/>
      <c r="AF1218" s="10717"/>
      <c r="AG1218" s="10715"/>
      <c r="AH1218" s="10716"/>
      <c r="AI1218" s="10716"/>
      <c r="AJ1218" s="10716"/>
      <c r="AK1218" s="10716"/>
      <c r="AL1218" s="10716"/>
      <c r="AM1218" s="10716"/>
      <c r="AN1218" s="10717"/>
      <c r="AO1218" s="10715"/>
      <c r="AP1218" s="10716"/>
      <c r="AQ1218" s="10716"/>
      <c r="AR1218" s="10716"/>
      <c r="AS1218" s="10716"/>
      <c r="AT1218" s="10717"/>
      <c r="AU1218" s="10718"/>
      <c r="AV1218" s="10718"/>
      <c r="AW1218" s="10718"/>
      <c r="AX1218" s="10710"/>
      <c r="AY1218" s="10713"/>
      <c r="AZ1218" s="10718"/>
      <c r="BA1218" s="10710"/>
      <c r="BB1218" s="10712"/>
      <c r="BC1218" s="10713"/>
      <c r="BD1218" s="10719"/>
      <c r="BF1218" s="10726"/>
      <c r="BG1218" s="10726"/>
      <c r="BH1218" s="10726"/>
      <c r="BI1218" s="10726"/>
      <c r="BJ1218" s="10726"/>
      <c r="BK1218" s="10726"/>
      <c r="BL1218" s="10726"/>
      <c r="BM1218" s="10726"/>
      <c r="BN1218" s="10726"/>
    </row>
    <row r="1219" spans="1:66" ht="30" hidden="1" customHeight="1">
      <c r="A1219" s="10732">
        <v>762</v>
      </c>
      <c r="B1219" s="10733" t="s">
        <v>8156</v>
      </c>
      <c r="C1219" s="13607"/>
      <c r="D1219" s="12340" t="s">
        <v>10066</v>
      </c>
      <c r="E1219" s="11774" t="s">
        <v>1488</v>
      </c>
      <c r="F1219" s="11710"/>
      <c r="G1219" s="12457" t="s">
        <v>1871</v>
      </c>
      <c r="H1219" s="12451" t="s">
        <v>1872</v>
      </c>
      <c r="I1219" s="12458">
        <v>10</v>
      </c>
      <c r="K1219" s="10328"/>
      <c r="L1219" s="10711"/>
      <c r="M1219" s="10711"/>
      <c r="N1219" s="10735"/>
      <c r="O1219" s="10735"/>
      <c r="P1219" s="10736"/>
      <c r="Q1219" s="10714"/>
      <c r="R1219" s="10715"/>
      <c r="S1219" s="10716"/>
      <c r="T1219" s="10717"/>
      <c r="U1219" s="10714"/>
      <c r="V1219" s="10715"/>
      <c r="W1219" s="10717"/>
      <c r="X1219" s="10715"/>
      <c r="Y1219" s="10717"/>
      <c r="Z1219" s="10715"/>
      <c r="AA1219" s="10716"/>
      <c r="AB1219" s="10716"/>
      <c r="AC1219" s="10716"/>
      <c r="AD1219" s="10716"/>
      <c r="AE1219" s="10716"/>
      <c r="AF1219" s="10717"/>
      <c r="AG1219" s="10715"/>
      <c r="AH1219" s="10716"/>
      <c r="AI1219" s="10716"/>
      <c r="AJ1219" s="10716"/>
      <c r="AK1219" s="10716"/>
      <c r="AL1219" s="10716"/>
      <c r="AM1219" s="10716"/>
      <c r="AN1219" s="10717"/>
      <c r="AO1219" s="10715"/>
      <c r="AP1219" s="10716"/>
      <c r="AQ1219" s="10716"/>
      <c r="AR1219" s="10716"/>
      <c r="AS1219" s="10716"/>
      <c r="AT1219" s="10717"/>
      <c r="AU1219" s="10737"/>
      <c r="AV1219" s="10737"/>
      <c r="AW1219" s="10737"/>
      <c r="AX1219" s="10328"/>
      <c r="AY1219" s="10736"/>
      <c r="AZ1219" s="10737"/>
      <c r="BA1219" s="10328"/>
      <c r="BB1219" s="10735"/>
      <c r="BC1219" s="10736"/>
      <c r="BD1219" s="10697"/>
      <c r="BF1219" s="10734"/>
      <c r="BG1219" s="10734"/>
      <c r="BH1219" s="10734"/>
      <c r="BI1219" s="10734"/>
      <c r="BJ1219" s="10734"/>
      <c r="BK1219" s="10734"/>
      <c r="BL1219" s="10734"/>
      <c r="BM1219" s="10734"/>
      <c r="BN1219" s="10734"/>
    </row>
    <row r="1220" spans="1:66" ht="30" hidden="1" customHeight="1">
      <c r="A1220" s="10732">
        <v>763</v>
      </c>
      <c r="B1220" s="10733" t="s">
        <v>8157</v>
      </c>
      <c r="C1220" s="13607"/>
      <c r="D1220" s="12340" t="s">
        <v>10063</v>
      </c>
      <c r="E1220" s="11774" t="s">
        <v>1408</v>
      </c>
      <c r="F1220" s="11710"/>
      <c r="G1220" s="12457" t="s">
        <v>1875</v>
      </c>
      <c r="H1220" s="12451" t="s">
        <v>1876</v>
      </c>
      <c r="I1220" s="12458">
        <v>31</v>
      </c>
      <c r="K1220" s="10328"/>
      <c r="L1220" s="10711"/>
      <c r="M1220" s="10711"/>
      <c r="N1220" s="10735"/>
      <c r="O1220" s="10735"/>
      <c r="P1220" s="10736"/>
      <c r="Q1220" s="10714"/>
      <c r="R1220" s="10715"/>
      <c r="S1220" s="10716"/>
      <c r="T1220" s="10717"/>
      <c r="U1220" s="10714"/>
      <c r="V1220" s="10715"/>
      <c r="W1220" s="10717"/>
      <c r="X1220" s="10715"/>
      <c r="Y1220" s="10717"/>
      <c r="Z1220" s="10715"/>
      <c r="AA1220" s="10716"/>
      <c r="AB1220" s="10716"/>
      <c r="AC1220" s="10716"/>
      <c r="AD1220" s="10716"/>
      <c r="AE1220" s="10716"/>
      <c r="AF1220" s="10717"/>
      <c r="AG1220" s="10715"/>
      <c r="AH1220" s="10716"/>
      <c r="AI1220" s="10716"/>
      <c r="AJ1220" s="10716"/>
      <c r="AK1220" s="10716"/>
      <c r="AL1220" s="10716"/>
      <c r="AM1220" s="10716"/>
      <c r="AN1220" s="10717"/>
      <c r="AO1220" s="10715"/>
      <c r="AP1220" s="10716"/>
      <c r="AQ1220" s="10716"/>
      <c r="AR1220" s="10716"/>
      <c r="AS1220" s="10716"/>
      <c r="AT1220" s="10717"/>
      <c r="AU1220" s="10737"/>
      <c r="AV1220" s="10737"/>
      <c r="AW1220" s="10737"/>
      <c r="AX1220" s="10328"/>
      <c r="AY1220" s="10736"/>
      <c r="AZ1220" s="10737"/>
      <c r="BA1220" s="10328"/>
      <c r="BB1220" s="10735"/>
      <c r="BC1220" s="10736"/>
      <c r="BD1220" s="10697"/>
      <c r="BF1220" s="10734"/>
      <c r="BG1220" s="10734"/>
      <c r="BH1220" s="10734"/>
      <c r="BI1220" s="10734"/>
      <c r="BJ1220" s="10734"/>
      <c r="BK1220" s="10734"/>
      <c r="BL1220" s="10734"/>
      <c r="BM1220" s="10734"/>
      <c r="BN1220" s="10734"/>
    </row>
    <row r="1221" spans="1:66" ht="30" hidden="1" customHeight="1">
      <c r="A1221" s="10697">
        <v>764</v>
      </c>
      <c r="B1221" s="10720" t="s">
        <v>8158</v>
      </c>
      <c r="C1221" s="13607"/>
      <c r="D1221" s="12340" t="s">
        <v>10063</v>
      </c>
      <c r="E1221" s="11774" t="s">
        <v>1408</v>
      </c>
      <c r="F1221" s="11710"/>
      <c r="G1221" s="11710" t="s">
        <v>1877</v>
      </c>
      <c r="H1221" s="12451" t="s">
        <v>1878</v>
      </c>
      <c r="I1221" s="12458">
        <v>1</v>
      </c>
      <c r="K1221" s="10328"/>
      <c r="L1221" s="10711"/>
      <c r="M1221" s="10711"/>
      <c r="N1221" s="10735"/>
      <c r="O1221" s="10735"/>
      <c r="P1221" s="10736"/>
      <c r="Q1221" s="10714"/>
      <c r="R1221" s="10715"/>
      <c r="S1221" s="10716"/>
      <c r="T1221" s="10717"/>
      <c r="U1221" s="10714"/>
      <c r="V1221" s="10715"/>
      <c r="W1221" s="10717"/>
      <c r="X1221" s="10715"/>
      <c r="Y1221" s="10717"/>
      <c r="Z1221" s="10715"/>
      <c r="AA1221" s="10716"/>
      <c r="AB1221" s="10716"/>
      <c r="AC1221" s="10716"/>
      <c r="AD1221" s="10716"/>
      <c r="AE1221" s="10716"/>
      <c r="AF1221" s="10717"/>
      <c r="AG1221" s="10715"/>
      <c r="AH1221" s="10716"/>
      <c r="AI1221" s="10716"/>
      <c r="AJ1221" s="10716"/>
      <c r="AK1221" s="10716"/>
      <c r="AL1221" s="10716"/>
      <c r="AM1221" s="10716"/>
      <c r="AN1221" s="10717"/>
      <c r="AO1221" s="10715"/>
      <c r="AP1221" s="10716"/>
      <c r="AQ1221" s="10716"/>
      <c r="AR1221" s="10716"/>
      <c r="AS1221" s="10716"/>
      <c r="AT1221" s="10717"/>
      <c r="AU1221" s="10737"/>
      <c r="AV1221" s="10737"/>
      <c r="AW1221" s="10737"/>
      <c r="AX1221" s="10328"/>
      <c r="AY1221" s="10736"/>
      <c r="AZ1221" s="10737"/>
      <c r="BA1221" s="10328"/>
      <c r="BB1221" s="10735"/>
      <c r="BC1221" s="10736"/>
      <c r="BD1221" s="10697"/>
      <c r="BF1221" s="8173"/>
      <c r="BG1221" s="8173"/>
      <c r="BH1221" s="8173"/>
      <c r="BI1221" s="8173"/>
      <c r="BJ1221" s="8173"/>
      <c r="BK1221" s="8173"/>
      <c r="BL1221" s="8173"/>
      <c r="BM1221" s="8173"/>
      <c r="BN1221" s="8173"/>
    </row>
    <row r="1222" spans="1:66" ht="30" hidden="1" customHeight="1">
      <c r="A1222" s="10697">
        <v>765</v>
      </c>
      <c r="B1222" s="10720" t="s">
        <v>8159</v>
      </c>
      <c r="C1222" s="13607"/>
      <c r="D1222" s="12340" t="s">
        <v>10063</v>
      </c>
      <c r="E1222" s="11774" t="s">
        <v>1408</v>
      </c>
      <c r="F1222" s="11710"/>
      <c r="G1222" s="11710" t="s">
        <v>1879</v>
      </c>
      <c r="H1222" s="12451" t="s">
        <v>1880</v>
      </c>
      <c r="I1222" s="12453">
        <v>0.1</v>
      </c>
      <c r="K1222" s="10721"/>
      <c r="L1222" s="10711"/>
      <c r="M1222" s="10711"/>
      <c r="N1222" s="10711"/>
      <c r="O1222" s="10711"/>
      <c r="P1222" s="10722"/>
      <c r="Q1222" s="10714"/>
      <c r="R1222" s="10715"/>
      <c r="S1222" s="10716"/>
      <c r="T1222" s="10717"/>
      <c r="U1222" s="10714"/>
      <c r="V1222" s="10715"/>
      <c r="W1222" s="10717"/>
      <c r="X1222" s="10715"/>
      <c r="Y1222" s="10717"/>
      <c r="Z1222" s="10715"/>
      <c r="AA1222" s="10716"/>
      <c r="AB1222" s="10716"/>
      <c r="AC1222" s="10716"/>
      <c r="AD1222" s="10716"/>
      <c r="AE1222" s="10716"/>
      <c r="AF1222" s="10717"/>
      <c r="AG1222" s="10715"/>
      <c r="AH1222" s="10716"/>
      <c r="AI1222" s="10716"/>
      <c r="AJ1222" s="10716"/>
      <c r="AK1222" s="10716"/>
      <c r="AL1222" s="10716"/>
      <c r="AM1222" s="10716"/>
      <c r="AN1222" s="10717"/>
      <c r="AO1222" s="10715"/>
      <c r="AP1222" s="10716"/>
      <c r="AQ1222" s="10716"/>
      <c r="AR1222" s="10716"/>
      <c r="AS1222" s="10716"/>
      <c r="AT1222" s="10717"/>
      <c r="AU1222" s="10723"/>
      <c r="AV1222" s="10723"/>
      <c r="AW1222" s="10723"/>
      <c r="AX1222" s="10721"/>
      <c r="AY1222" s="10722"/>
      <c r="AZ1222" s="10723"/>
      <c r="BA1222" s="10721"/>
      <c r="BB1222" s="10711"/>
      <c r="BC1222" s="10722"/>
      <c r="BD1222" s="10724"/>
      <c r="BF1222" s="8173"/>
      <c r="BG1222" s="8173"/>
      <c r="BH1222" s="8173"/>
      <c r="BI1222" s="8173"/>
      <c r="BJ1222" s="8173"/>
      <c r="BK1222" s="8173"/>
      <c r="BL1222" s="8173"/>
      <c r="BM1222" s="8173"/>
      <c r="BN1222" s="8173"/>
    </row>
    <row r="1223" spans="1:66" ht="30" hidden="1" customHeight="1">
      <c r="A1223" s="10732">
        <v>766</v>
      </c>
      <c r="B1223" s="10733" t="s">
        <v>8160</v>
      </c>
      <c r="C1223" s="13607"/>
      <c r="D1223" s="12340" t="s">
        <v>4337</v>
      </c>
      <c r="E1223" s="11774" t="s">
        <v>1884</v>
      </c>
      <c r="F1223" s="11710"/>
      <c r="G1223" s="12457" t="s">
        <v>1882</v>
      </c>
      <c r="H1223" s="12451" t="s">
        <v>1883</v>
      </c>
      <c r="I1223" s="12452">
        <v>30</v>
      </c>
      <c r="K1223" s="10710"/>
      <c r="L1223" s="10711"/>
      <c r="M1223" s="10711"/>
      <c r="N1223" s="10712"/>
      <c r="O1223" s="10712"/>
      <c r="P1223" s="10713"/>
      <c r="Q1223" s="10714"/>
      <c r="R1223" s="10715"/>
      <c r="S1223" s="10716"/>
      <c r="T1223" s="10717"/>
      <c r="U1223" s="10714"/>
      <c r="V1223" s="10715"/>
      <c r="W1223" s="10717"/>
      <c r="X1223" s="10715"/>
      <c r="Y1223" s="10717"/>
      <c r="Z1223" s="10715"/>
      <c r="AA1223" s="10716"/>
      <c r="AB1223" s="10716"/>
      <c r="AC1223" s="10716"/>
      <c r="AD1223" s="10716"/>
      <c r="AE1223" s="10716"/>
      <c r="AF1223" s="10717"/>
      <c r="AG1223" s="10715"/>
      <c r="AH1223" s="10716"/>
      <c r="AI1223" s="10716"/>
      <c r="AJ1223" s="10716"/>
      <c r="AK1223" s="10716"/>
      <c r="AL1223" s="10716"/>
      <c r="AM1223" s="10716"/>
      <c r="AN1223" s="10717"/>
      <c r="AO1223" s="10715"/>
      <c r="AP1223" s="10716"/>
      <c r="AQ1223" s="10716"/>
      <c r="AR1223" s="10716"/>
      <c r="AS1223" s="10716"/>
      <c r="AT1223" s="10717"/>
      <c r="AU1223" s="10718"/>
      <c r="AV1223" s="10718"/>
      <c r="AW1223" s="10718"/>
      <c r="AX1223" s="10710"/>
      <c r="AY1223" s="10713"/>
      <c r="AZ1223" s="10718"/>
      <c r="BA1223" s="10710"/>
      <c r="BB1223" s="10712"/>
      <c r="BC1223" s="10713"/>
      <c r="BD1223" s="10719"/>
      <c r="BF1223" s="10734"/>
      <c r="BG1223" s="10734"/>
      <c r="BH1223" s="10734"/>
      <c r="BI1223" s="10734"/>
      <c r="BJ1223" s="10734"/>
      <c r="BK1223" s="10734"/>
      <c r="BL1223" s="10734"/>
      <c r="BM1223" s="10734"/>
      <c r="BN1223" s="10734"/>
    </row>
    <row r="1224" spans="1:66" ht="30" hidden="1" customHeight="1" thickBot="1">
      <c r="A1224" s="10738">
        <v>767</v>
      </c>
      <c r="B1224" s="10739" t="s">
        <v>8161</v>
      </c>
      <c r="C1224" s="13607"/>
      <c r="D1224" s="12459" t="s">
        <v>10070</v>
      </c>
      <c r="E1224" s="12460" t="s">
        <v>512</v>
      </c>
      <c r="F1224" s="12461"/>
      <c r="G1224" s="12462" t="s">
        <v>1885</v>
      </c>
      <c r="H1224" s="12463" t="s">
        <v>1886</v>
      </c>
      <c r="I1224" s="12464">
        <v>31</v>
      </c>
      <c r="K1224" s="10741"/>
      <c r="L1224" s="10742"/>
      <c r="M1224" s="10742"/>
      <c r="N1224" s="10743"/>
      <c r="O1224" s="10743"/>
      <c r="P1224" s="10744"/>
      <c r="Q1224" s="10745"/>
      <c r="R1224" s="10746"/>
      <c r="S1224" s="10747"/>
      <c r="T1224" s="10748"/>
      <c r="U1224" s="10745"/>
      <c r="V1224" s="10746"/>
      <c r="W1224" s="10748"/>
      <c r="X1224" s="10746"/>
      <c r="Y1224" s="10748"/>
      <c r="Z1224" s="10746"/>
      <c r="AA1224" s="10747"/>
      <c r="AB1224" s="10747"/>
      <c r="AC1224" s="10747"/>
      <c r="AD1224" s="10747"/>
      <c r="AE1224" s="10747"/>
      <c r="AF1224" s="10748"/>
      <c r="AG1224" s="10746"/>
      <c r="AH1224" s="10747"/>
      <c r="AI1224" s="10747"/>
      <c r="AJ1224" s="10747"/>
      <c r="AK1224" s="10747"/>
      <c r="AL1224" s="10747"/>
      <c r="AM1224" s="10747"/>
      <c r="AN1224" s="10748"/>
      <c r="AO1224" s="10746"/>
      <c r="AP1224" s="10747"/>
      <c r="AQ1224" s="10747"/>
      <c r="AR1224" s="10747"/>
      <c r="AS1224" s="10747"/>
      <c r="AT1224" s="10748"/>
      <c r="AU1224" s="10749"/>
      <c r="AV1224" s="10749"/>
      <c r="AW1224" s="10749"/>
      <c r="AX1224" s="10741"/>
      <c r="AY1224" s="10744"/>
      <c r="AZ1224" s="10749"/>
      <c r="BA1224" s="10741"/>
      <c r="BB1224" s="10743"/>
      <c r="BC1224" s="10744"/>
      <c r="BD1224" s="10750"/>
      <c r="BF1224" s="10740"/>
      <c r="BG1224" s="10740"/>
      <c r="BH1224" s="10740"/>
      <c r="BI1224" s="10740"/>
      <c r="BJ1224" s="10740"/>
      <c r="BK1224" s="10740"/>
      <c r="BL1224" s="10740"/>
      <c r="BM1224" s="10740"/>
      <c r="BN1224" s="10740"/>
    </row>
    <row r="1225" spans="1:66" ht="30" hidden="1" customHeight="1">
      <c r="A1225" s="10751">
        <v>768</v>
      </c>
      <c r="B1225" s="10752" t="s">
        <v>8162</v>
      </c>
      <c r="C1225" s="13607"/>
      <c r="D1225" s="12465" t="s">
        <v>4305</v>
      </c>
      <c r="E1225" s="12466" t="s">
        <v>311</v>
      </c>
      <c r="F1225" s="12467"/>
      <c r="G1225" s="12468" t="s">
        <v>1889</v>
      </c>
      <c r="H1225" s="12435" t="s">
        <v>1890</v>
      </c>
      <c r="I1225" s="12469">
        <v>40</v>
      </c>
      <c r="K1225" s="10754"/>
      <c r="L1225" s="10680"/>
      <c r="M1225" s="10680"/>
      <c r="N1225" s="10755"/>
      <c r="O1225" s="10755"/>
      <c r="P1225" s="10756"/>
      <c r="Q1225" s="10681"/>
      <c r="R1225" s="10682"/>
      <c r="S1225" s="10683"/>
      <c r="T1225" s="10684"/>
      <c r="U1225" s="10681"/>
      <c r="V1225" s="10682"/>
      <c r="W1225" s="10684"/>
      <c r="X1225" s="10682"/>
      <c r="Y1225" s="10684"/>
      <c r="Z1225" s="10682"/>
      <c r="AA1225" s="10683"/>
      <c r="AB1225" s="10683"/>
      <c r="AC1225" s="10683"/>
      <c r="AD1225" s="10683"/>
      <c r="AE1225" s="10683"/>
      <c r="AF1225" s="10684"/>
      <c r="AG1225" s="10682"/>
      <c r="AH1225" s="10683"/>
      <c r="AI1225" s="10683"/>
      <c r="AJ1225" s="10683"/>
      <c r="AK1225" s="10683"/>
      <c r="AL1225" s="10683"/>
      <c r="AM1225" s="10683"/>
      <c r="AN1225" s="10684"/>
      <c r="AO1225" s="10682"/>
      <c r="AP1225" s="10683"/>
      <c r="AQ1225" s="10683"/>
      <c r="AR1225" s="10683"/>
      <c r="AS1225" s="10683"/>
      <c r="AT1225" s="10684"/>
      <c r="AU1225" s="10757"/>
      <c r="AV1225" s="10757"/>
      <c r="AW1225" s="10757"/>
      <c r="AX1225" s="10754"/>
      <c r="AY1225" s="10756"/>
      <c r="AZ1225" s="10757"/>
      <c r="BA1225" s="10754"/>
      <c r="BB1225" s="10755"/>
      <c r="BC1225" s="10756"/>
      <c r="BD1225" s="10758"/>
      <c r="BF1225" s="10753"/>
      <c r="BG1225" s="10753"/>
      <c r="BH1225" s="10753"/>
      <c r="BI1225" s="10753"/>
      <c r="BJ1225" s="10753"/>
      <c r="BK1225" s="10753"/>
      <c r="BL1225" s="10753"/>
      <c r="BM1225" s="10753"/>
      <c r="BN1225" s="10753"/>
    </row>
    <row r="1226" spans="1:66" ht="30" hidden="1" customHeight="1">
      <c r="A1226" s="10759">
        <v>769</v>
      </c>
      <c r="B1226" s="10760" t="s">
        <v>8137</v>
      </c>
      <c r="C1226" s="13607"/>
      <c r="D1226" s="12342" t="s">
        <v>4305</v>
      </c>
      <c r="E1226" s="12303" t="s">
        <v>311</v>
      </c>
      <c r="F1226" s="12343"/>
      <c r="G1226" s="12470" t="s">
        <v>1891</v>
      </c>
      <c r="H1226" s="12344" t="s">
        <v>1892</v>
      </c>
      <c r="I1226" s="12471">
        <v>2</v>
      </c>
      <c r="K1226" s="10762"/>
      <c r="L1226" s="7662"/>
      <c r="M1226" s="7662"/>
      <c r="N1226" s="10763"/>
      <c r="O1226" s="10763"/>
      <c r="P1226" s="10764"/>
      <c r="Q1226" s="7677"/>
      <c r="R1226" s="7672"/>
      <c r="S1226" s="7663"/>
      <c r="T1226" s="7691"/>
      <c r="U1226" s="7677"/>
      <c r="V1226" s="7672"/>
      <c r="W1226" s="7691"/>
      <c r="X1226" s="7672"/>
      <c r="Y1226" s="7691"/>
      <c r="Z1226" s="7672"/>
      <c r="AA1226" s="7663"/>
      <c r="AB1226" s="7663"/>
      <c r="AC1226" s="7663"/>
      <c r="AD1226" s="7663"/>
      <c r="AE1226" s="7663"/>
      <c r="AF1226" s="7691"/>
      <c r="AG1226" s="7672"/>
      <c r="AH1226" s="7663"/>
      <c r="AI1226" s="7663"/>
      <c r="AJ1226" s="7663"/>
      <c r="AK1226" s="7663"/>
      <c r="AL1226" s="7663"/>
      <c r="AM1226" s="7663"/>
      <c r="AN1226" s="7691"/>
      <c r="AO1226" s="7672"/>
      <c r="AP1226" s="7663"/>
      <c r="AQ1226" s="7663"/>
      <c r="AR1226" s="7663"/>
      <c r="AS1226" s="7663"/>
      <c r="AT1226" s="7691"/>
      <c r="AU1226" s="10765"/>
      <c r="AV1226" s="10765"/>
      <c r="AW1226" s="10765"/>
      <c r="AX1226" s="10762"/>
      <c r="AY1226" s="10764"/>
      <c r="AZ1226" s="10765"/>
      <c r="BA1226" s="10762"/>
      <c r="BB1226" s="10763"/>
      <c r="BC1226" s="10764"/>
      <c r="BD1226" s="10766"/>
      <c r="BF1226" s="10761"/>
      <c r="BG1226" s="10761"/>
      <c r="BH1226" s="10761"/>
      <c r="BI1226" s="10761"/>
      <c r="BJ1226" s="10761"/>
      <c r="BK1226" s="10761"/>
      <c r="BL1226" s="10761"/>
      <c r="BM1226" s="10761"/>
      <c r="BN1226" s="10761"/>
    </row>
    <row r="1227" spans="1:66" ht="30" hidden="1" customHeight="1">
      <c r="A1227" s="10759">
        <v>770</v>
      </c>
      <c r="B1227" s="10760" t="s">
        <v>8138</v>
      </c>
      <c r="C1227" s="13607"/>
      <c r="D1227" s="12342" t="s">
        <v>4305</v>
      </c>
      <c r="E1227" s="12303" t="s">
        <v>311</v>
      </c>
      <c r="F1227" s="12343"/>
      <c r="G1227" s="12470" t="s">
        <v>1893</v>
      </c>
      <c r="H1227" s="12344" t="s">
        <v>1894</v>
      </c>
      <c r="I1227" s="12471">
        <v>2</v>
      </c>
      <c r="K1227" s="10762"/>
      <c r="L1227" s="7662"/>
      <c r="M1227" s="7662"/>
      <c r="N1227" s="10763"/>
      <c r="O1227" s="10763"/>
      <c r="P1227" s="10764"/>
      <c r="Q1227" s="7677"/>
      <c r="R1227" s="7672"/>
      <c r="S1227" s="7663"/>
      <c r="T1227" s="7691"/>
      <c r="U1227" s="7677"/>
      <c r="V1227" s="7672"/>
      <c r="W1227" s="7691"/>
      <c r="X1227" s="7672"/>
      <c r="Y1227" s="7691"/>
      <c r="Z1227" s="7672"/>
      <c r="AA1227" s="7663"/>
      <c r="AB1227" s="7663"/>
      <c r="AC1227" s="7663"/>
      <c r="AD1227" s="7663"/>
      <c r="AE1227" s="7663"/>
      <c r="AF1227" s="7691"/>
      <c r="AG1227" s="7672"/>
      <c r="AH1227" s="7663"/>
      <c r="AI1227" s="7663"/>
      <c r="AJ1227" s="7663"/>
      <c r="AK1227" s="7663"/>
      <c r="AL1227" s="7663"/>
      <c r="AM1227" s="7663"/>
      <c r="AN1227" s="7691"/>
      <c r="AO1227" s="7672"/>
      <c r="AP1227" s="7663"/>
      <c r="AQ1227" s="7663"/>
      <c r="AR1227" s="7663"/>
      <c r="AS1227" s="7663"/>
      <c r="AT1227" s="7691"/>
      <c r="AU1227" s="10765"/>
      <c r="AV1227" s="10765"/>
      <c r="AW1227" s="10765"/>
      <c r="AX1227" s="10762"/>
      <c r="AY1227" s="10764"/>
      <c r="AZ1227" s="10765"/>
      <c r="BA1227" s="10762"/>
      <c r="BB1227" s="10763"/>
      <c r="BC1227" s="10764"/>
      <c r="BD1227" s="10766"/>
      <c r="BF1227" s="10761"/>
      <c r="BG1227" s="10761"/>
      <c r="BH1227" s="10761"/>
      <c r="BI1227" s="10761"/>
      <c r="BJ1227" s="10761"/>
      <c r="BK1227" s="10761"/>
      <c r="BL1227" s="10761"/>
      <c r="BM1227" s="10761"/>
      <c r="BN1227" s="10761"/>
    </row>
    <row r="1228" spans="1:66" ht="30" hidden="1" customHeight="1">
      <c r="A1228" s="10759">
        <v>771</v>
      </c>
      <c r="B1228" s="10760" t="s">
        <v>8163</v>
      </c>
      <c r="C1228" s="13607"/>
      <c r="D1228" s="12342" t="s">
        <v>26</v>
      </c>
      <c r="E1228" s="12303" t="s">
        <v>1896</v>
      </c>
      <c r="F1228" s="12343"/>
      <c r="G1228" s="12470" t="s">
        <v>1895</v>
      </c>
      <c r="H1228" s="12344" t="s">
        <v>1895</v>
      </c>
      <c r="I1228" s="12356">
        <v>2</v>
      </c>
      <c r="K1228" s="10341"/>
      <c r="L1228" s="7662"/>
      <c r="M1228" s="7662"/>
      <c r="N1228" s="10767"/>
      <c r="O1228" s="10767"/>
      <c r="P1228" s="10768"/>
      <c r="Q1228" s="7677"/>
      <c r="R1228" s="7672"/>
      <c r="S1228" s="7663"/>
      <c r="T1228" s="7691"/>
      <c r="U1228" s="7677"/>
      <c r="V1228" s="7672"/>
      <c r="W1228" s="7691"/>
      <c r="X1228" s="7672"/>
      <c r="Y1228" s="7691"/>
      <c r="Z1228" s="7672"/>
      <c r="AA1228" s="7663"/>
      <c r="AB1228" s="7663"/>
      <c r="AC1228" s="7663"/>
      <c r="AD1228" s="7663"/>
      <c r="AE1228" s="7663"/>
      <c r="AF1228" s="7691"/>
      <c r="AG1228" s="7672"/>
      <c r="AH1228" s="7663"/>
      <c r="AI1228" s="7663"/>
      <c r="AJ1228" s="7663"/>
      <c r="AK1228" s="7663"/>
      <c r="AL1228" s="7663"/>
      <c r="AM1228" s="7663"/>
      <c r="AN1228" s="7691"/>
      <c r="AO1228" s="7672"/>
      <c r="AP1228" s="7663"/>
      <c r="AQ1228" s="7663"/>
      <c r="AR1228" s="7663"/>
      <c r="AS1228" s="7663"/>
      <c r="AT1228" s="7691"/>
      <c r="AU1228" s="10769"/>
      <c r="AV1228" s="10769"/>
      <c r="AW1228" s="10769"/>
      <c r="AX1228" s="10341"/>
      <c r="AY1228" s="10768"/>
      <c r="AZ1228" s="10769"/>
      <c r="BA1228" s="10341"/>
      <c r="BB1228" s="10767"/>
      <c r="BC1228" s="10768"/>
      <c r="BD1228" s="10339"/>
      <c r="BF1228" s="10761"/>
      <c r="BG1228" s="10761"/>
      <c r="BH1228" s="10761"/>
      <c r="BI1228" s="10761"/>
      <c r="BJ1228" s="10761"/>
      <c r="BK1228" s="10761"/>
      <c r="BL1228" s="10761"/>
      <c r="BM1228" s="10761"/>
      <c r="BN1228" s="10761"/>
    </row>
    <row r="1229" spans="1:66" ht="30" hidden="1" customHeight="1">
      <c r="A1229" s="10759">
        <v>772</v>
      </c>
      <c r="B1229" s="10760" t="s">
        <v>8164</v>
      </c>
      <c r="C1229" s="13607"/>
      <c r="D1229" s="12342" t="s">
        <v>26</v>
      </c>
      <c r="E1229" s="12303" t="s">
        <v>1896</v>
      </c>
      <c r="F1229" s="12343"/>
      <c r="G1229" s="12470" t="s">
        <v>1897</v>
      </c>
      <c r="H1229" s="12344" t="s">
        <v>1898</v>
      </c>
      <c r="I1229" s="12356">
        <v>31</v>
      </c>
      <c r="K1229" s="10341"/>
      <c r="L1229" s="7662"/>
      <c r="M1229" s="7662"/>
      <c r="N1229" s="10767"/>
      <c r="O1229" s="10767"/>
      <c r="P1229" s="10768"/>
      <c r="Q1229" s="7677"/>
      <c r="R1229" s="7672"/>
      <c r="S1229" s="7663"/>
      <c r="T1229" s="7691"/>
      <c r="U1229" s="7677"/>
      <c r="V1229" s="7672"/>
      <c r="W1229" s="7691"/>
      <c r="X1229" s="7672"/>
      <c r="Y1229" s="7691"/>
      <c r="Z1229" s="7672"/>
      <c r="AA1229" s="7663"/>
      <c r="AB1229" s="7663"/>
      <c r="AC1229" s="7663"/>
      <c r="AD1229" s="7663"/>
      <c r="AE1229" s="7663"/>
      <c r="AF1229" s="7691"/>
      <c r="AG1229" s="7672"/>
      <c r="AH1229" s="7663"/>
      <c r="AI1229" s="7663"/>
      <c r="AJ1229" s="7663"/>
      <c r="AK1229" s="7663"/>
      <c r="AL1229" s="7663"/>
      <c r="AM1229" s="7663"/>
      <c r="AN1229" s="7691"/>
      <c r="AO1229" s="7672"/>
      <c r="AP1229" s="7663"/>
      <c r="AQ1229" s="7663"/>
      <c r="AR1229" s="7663"/>
      <c r="AS1229" s="7663"/>
      <c r="AT1229" s="7691"/>
      <c r="AU1229" s="10769"/>
      <c r="AV1229" s="10769"/>
      <c r="AW1229" s="10769"/>
      <c r="AX1229" s="10341"/>
      <c r="AY1229" s="10768"/>
      <c r="AZ1229" s="10769"/>
      <c r="BA1229" s="10341"/>
      <c r="BB1229" s="10767"/>
      <c r="BC1229" s="10768"/>
      <c r="BD1229" s="10339"/>
      <c r="BF1229" s="10761"/>
      <c r="BG1229" s="10761"/>
      <c r="BH1229" s="10761"/>
      <c r="BI1229" s="10761"/>
      <c r="BJ1229" s="10761"/>
      <c r="BK1229" s="10761"/>
      <c r="BL1229" s="10761"/>
      <c r="BM1229" s="10761"/>
      <c r="BN1229" s="10761"/>
    </row>
    <row r="1230" spans="1:66" ht="30" hidden="1" customHeight="1" thickBot="1">
      <c r="A1230" s="10770">
        <v>773</v>
      </c>
      <c r="B1230" s="10771" t="s">
        <v>8165</v>
      </c>
      <c r="C1230" s="13607"/>
      <c r="D1230" s="12472" t="s">
        <v>4305</v>
      </c>
      <c r="E1230" s="12473" t="s">
        <v>311</v>
      </c>
      <c r="F1230" s="12307"/>
      <c r="G1230" s="12474" t="s">
        <v>1899</v>
      </c>
      <c r="H1230" s="12308" t="s">
        <v>1900</v>
      </c>
      <c r="I1230" s="12475">
        <v>100</v>
      </c>
      <c r="K1230" s="10773"/>
      <c r="L1230" s="10774"/>
      <c r="M1230" s="10774"/>
      <c r="N1230" s="10775"/>
      <c r="O1230" s="10775"/>
      <c r="P1230" s="10776"/>
      <c r="Q1230" s="10777"/>
      <c r="R1230" s="10778"/>
      <c r="S1230" s="10779"/>
      <c r="T1230" s="10780"/>
      <c r="U1230" s="10777"/>
      <c r="V1230" s="10778"/>
      <c r="W1230" s="10780"/>
      <c r="X1230" s="10778"/>
      <c r="Y1230" s="10780"/>
      <c r="Z1230" s="10778"/>
      <c r="AA1230" s="10779"/>
      <c r="AB1230" s="10779"/>
      <c r="AC1230" s="10779"/>
      <c r="AD1230" s="10779"/>
      <c r="AE1230" s="10779"/>
      <c r="AF1230" s="10780"/>
      <c r="AG1230" s="10778"/>
      <c r="AH1230" s="10779"/>
      <c r="AI1230" s="10779"/>
      <c r="AJ1230" s="10779"/>
      <c r="AK1230" s="10779"/>
      <c r="AL1230" s="10779"/>
      <c r="AM1230" s="10779"/>
      <c r="AN1230" s="10780"/>
      <c r="AO1230" s="10778"/>
      <c r="AP1230" s="10779"/>
      <c r="AQ1230" s="10779"/>
      <c r="AR1230" s="10779"/>
      <c r="AS1230" s="10779"/>
      <c r="AT1230" s="10780"/>
      <c r="AU1230" s="10781"/>
      <c r="AV1230" s="10781"/>
      <c r="AW1230" s="10781"/>
      <c r="AX1230" s="10773"/>
      <c r="AY1230" s="10776"/>
      <c r="AZ1230" s="10781"/>
      <c r="BA1230" s="10773"/>
      <c r="BB1230" s="10775"/>
      <c r="BC1230" s="10776"/>
      <c r="BD1230" s="10782"/>
      <c r="BF1230" s="10772"/>
      <c r="BG1230" s="10772"/>
      <c r="BH1230" s="10772"/>
      <c r="BI1230" s="10772"/>
      <c r="BJ1230" s="10772"/>
      <c r="BK1230" s="10772"/>
      <c r="BL1230" s="10772"/>
      <c r="BM1230" s="10772"/>
      <c r="BN1230" s="10772"/>
    </row>
    <row r="1231" spans="1:66" ht="30" hidden="1" customHeight="1">
      <c r="A1231" s="9985">
        <v>774</v>
      </c>
      <c r="B1231" s="10783" t="s">
        <v>8166</v>
      </c>
      <c r="C1231" s="13607"/>
      <c r="D1231" s="12476" t="s">
        <v>10070</v>
      </c>
      <c r="E1231" s="12420" t="s">
        <v>512</v>
      </c>
      <c r="F1231" s="12262"/>
      <c r="G1231" s="12477" t="s">
        <v>1903</v>
      </c>
      <c r="H1231" s="12189" t="s">
        <v>1904</v>
      </c>
      <c r="I1231" s="12422">
        <v>1</v>
      </c>
      <c r="K1231" s="10657"/>
      <c r="L1231" s="6547"/>
      <c r="M1231" s="6547"/>
      <c r="N1231" s="6545"/>
      <c r="O1231" s="6545"/>
      <c r="P1231" s="10658"/>
      <c r="Q1231" s="10659"/>
      <c r="R1231" s="10660"/>
      <c r="S1231" s="10661"/>
      <c r="T1231" s="10662"/>
      <c r="U1231" s="10659"/>
      <c r="V1231" s="10660"/>
      <c r="W1231" s="10662"/>
      <c r="X1231" s="10660"/>
      <c r="Y1231" s="10662"/>
      <c r="Z1231" s="10660"/>
      <c r="AA1231" s="10661"/>
      <c r="AB1231" s="10661"/>
      <c r="AC1231" s="10661"/>
      <c r="AD1231" s="10661"/>
      <c r="AE1231" s="10661"/>
      <c r="AF1231" s="10662"/>
      <c r="AG1231" s="10660"/>
      <c r="AH1231" s="10661"/>
      <c r="AI1231" s="10661"/>
      <c r="AJ1231" s="10661"/>
      <c r="AK1231" s="10661"/>
      <c r="AL1231" s="10661"/>
      <c r="AM1231" s="10661"/>
      <c r="AN1231" s="10662"/>
      <c r="AO1231" s="10660"/>
      <c r="AP1231" s="10661"/>
      <c r="AQ1231" s="10661"/>
      <c r="AR1231" s="10661"/>
      <c r="AS1231" s="10661"/>
      <c r="AT1231" s="10662"/>
      <c r="AU1231" s="10663"/>
      <c r="AV1231" s="10663"/>
      <c r="AW1231" s="10663"/>
      <c r="AX1231" s="10657"/>
      <c r="AY1231" s="10658"/>
      <c r="AZ1231" s="10663"/>
      <c r="BA1231" s="10657"/>
      <c r="BB1231" s="6545"/>
      <c r="BC1231" s="10658"/>
      <c r="BD1231" s="10664"/>
      <c r="BF1231" s="10784"/>
      <c r="BG1231" s="10784"/>
      <c r="BH1231" s="10784"/>
      <c r="BI1231" s="10784"/>
      <c r="BJ1231" s="10784"/>
      <c r="BK1231" s="10784"/>
      <c r="BL1231" s="10784"/>
      <c r="BM1231" s="10784"/>
      <c r="BN1231" s="10784"/>
    </row>
    <row r="1232" spans="1:66" ht="30" hidden="1" customHeight="1">
      <c r="A1232" s="9985">
        <v>775</v>
      </c>
      <c r="B1232" s="10785" t="s">
        <v>8167</v>
      </c>
      <c r="C1232" s="13607"/>
      <c r="D1232" s="12478" t="s">
        <v>10070</v>
      </c>
      <c r="E1232" s="12424" t="s">
        <v>512</v>
      </c>
      <c r="F1232" s="12229"/>
      <c r="G1232" s="12479" t="s">
        <v>1905</v>
      </c>
      <c r="H1232" s="12230" t="s">
        <v>1906</v>
      </c>
      <c r="I1232" s="12480">
        <v>1</v>
      </c>
      <c r="K1232" s="10788"/>
      <c r="L1232" s="10665"/>
      <c r="M1232" s="10665"/>
      <c r="N1232" s="10789"/>
      <c r="O1232" s="10789"/>
      <c r="P1232" s="10790"/>
      <c r="Q1232" s="10666"/>
      <c r="R1232" s="10667"/>
      <c r="S1232" s="10668"/>
      <c r="T1232" s="10669"/>
      <c r="U1232" s="10666"/>
      <c r="V1232" s="10667"/>
      <c r="W1232" s="10669"/>
      <c r="X1232" s="10667"/>
      <c r="Y1232" s="10669"/>
      <c r="Z1232" s="10667"/>
      <c r="AA1232" s="10668"/>
      <c r="AB1232" s="10668"/>
      <c r="AC1232" s="10668"/>
      <c r="AD1232" s="10668"/>
      <c r="AE1232" s="10668"/>
      <c r="AF1232" s="10669"/>
      <c r="AG1232" s="10667"/>
      <c r="AH1232" s="10668"/>
      <c r="AI1232" s="10668"/>
      <c r="AJ1232" s="10668"/>
      <c r="AK1232" s="10668"/>
      <c r="AL1232" s="10668"/>
      <c r="AM1232" s="10668"/>
      <c r="AN1232" s="10669"/>
      <c r="AO1232" s="10667"/>
      <c r="AP1232" s="10668"/>
      <c r="AQ1232" s="10668"/>
      <c r="AR1232" s="10668"/>
      <c r="AS1232" s="10668"/>
      <c r="AT1232" s="10669"/>
      <c r="AU1232" s="10791"/>
      <c r="AV1232" s="10791"/>
      <c r="AW1232" s="10791"/>
      <c r="AX1232" s="10788"/>
      <c r="AY1232" s="10790"/>
      <c r="AZ1232" s="10791"/>
      <c r="BA1232" s="10788"/>
      <c r="BB1232" s="10789"/>
      <c r="BC1232" s="10790"/>
      <c r="BD1232" s="10792"/>
      <c r="BF1232" s="10787"/>
      <c r="BG1232" s="10787"/>
      <c r="BH1232" s="10787"/>
      <c r="BI1232" s="10787"/>
      <c r="BJ1232" s="10787"/>
      <c r="BK1232" s="10787"/>
      <c r="BL1232" s="10787"/>
      <c r="BM1232" s="10787"/>
      <c r="BN1232" s="10787"/>
    </row>
    <row r="1233" spans="1:66" ht="30" hidden="1" customHeight="1">
      <c r="A1233" s="9985">
        <v>776</v>
      </c>
      <c r="B1233" s="10785" t="s">
        <v>8168</v>
      </c>
      <c r="C1233" s="13607"/>
      <c r="D1233" s="12478" t="s">
        <v>10070</v>
      </c>
      <c r="E1233" s="12424" t="s">
        <v>512</v>
      </c>
      <c r="F1233" s="12229"/>
      <c r="G1233" s="12479" t="s">
        <v>1908</v>
      </c>
      <c r="H1233" s="12230" t="s">
        <v>1909</v>
      </c>
      <c r="I1233" s="12480">
        <v>8</v>
      </c>
      <c r="K1233" s="10788"/>
      <c r="L1233" s="10665"/>
      <c r="M1233" s="10665"/>
      <c r="N1233" s="10789"/>
      <c r="O1233" s="10789"/>
      <c r="P1233" s="10790"/>
      <c r="Q1233" s="10666"/>
      <c r="R1233" s="10667"/>
      <c r="S1233" s="10668"/>
      <c r="T1233" s="10669"/>
      <c r="U1233" s="10666"/>
      <c r="V1233" s="10667"/>
      <c r="W1233" s="10669"/>
      <c r="X1233" s="10667"/>
      <c r="Y1233" s="10669"/>
      <c r="Z1233" s="10667"/>
      <c r="AA1233" s="10668"/>
      <c r="AB1233" s="10668"/>
      <c r="AC1233" s="10668"/>
      <c r="AD1233" s="10668"/>
      <c r="AE1233" s="10668"/>
      <c r="AF1233" s="10669"/>
      <c r="AG1233" s="10667"/>
      <c r="AH1233" s="10668"/>
      <c r="AI1233" s="10668"/>
      <c r="AJ1233" s="10668"/>
      <c r="AK1233" s="10668"/>
      <c r="AL1233" s="10668"/>
      <c r="AM1233" s="10668"/>
      <c r="AN1233" s="10669"/>
      <c r="AO1233" s="10667"/>
      <c r="AP1233" s="10668"/>
      <c r="AQ1233" s="10668"/>
      <c r="AR1233" s="10668"/>
      <c r="AS1233" s="10668"/>
      <c r="AT1233" s="10669"/>
      <c r="AU1233" s="10791"/>
      <c r="AV1233" s="10791"/>
      <c r="AW1233" s="10791"/>
      <c r="AX1233" s="10788"/>
      <c r="AY1233" s="10790"/>
      <c r="AZ1233" s="10791"/>
      <c r="BA1233" s="10788"/>
      <c r="BB1233" s="10789"/>
      <c r="BC1233" s="10790"/>
      <c r="BD1233" s="10792"/>
      <c r="BF1233" s="10787"/>
      <c r="BG1233" s="10787"/>
      <c r="BH1233" s="10787"/>
      <c r="BI1233" s="10787"/>
      <c r="BJ1233" s="10787"/>
      <c r="BK1233" s="10787"/>
      <c r="BL1233" s="10787"/>
      <c r="BM1233" s="10787"/>
      <c r="BN1233" s="10787"/>
    </row>
    <row r="1234" spans="1:66" ht="30" hidden="1" customHeight="1">
      <c r="A1234" s="9985">
        <v>777</v>
      </c>
      <c r="B1234" s="10785" t="s">
        <v>8169</v>
      </c>
      <c r="C1234" s="13607"/>
      <c r="D1234" s="12478" t="s">
        <v>10070</v>
      </c>
      <c r="E1234" s="12424" t="s">
        <v>512</v>
      </c>
      <c r="F1234" s="12229"/>
      <c r="G1234" s="12479" t="s">
        <v>1910</v>
      </c>
      <c r="H1234" s="12230" t="s">
        <v>1911</v>
      </c>
      <c r="I1234" s="12480">
        <v>1</v>
      </c>
      <c r="K1234" s="10788"/>
      <c r="L1234" s="10665"/>
      <c r="M1234" s="10665"/>
      <c r="N1234" s="10789"/>
      <c r="O1234" s="10789"/>
      <c r="P1234" s="10790"/>
      <c r="Q1234" s="10666"/>
      <c r="R1234" s="10667"/>
      <c r="S1234" s="10668"/>
      <c r="T1234" s="10669"/>
      <c r="U1234" s="10666"/>
      <c r="V1234" s="10667"/>
      <c r="W1234" s="10669"/>
      <c r="X1234" s="10667"/>
      <c r="Y1234" s="10669"/>
      <c r="Z1234" s="10667"/>
      <c r="AA1234" s="10668"/>
      <c r="AB1234" s="10668"/>
      <c r="AC1234" s="10668"/>
      <c r="AD1234" s="10668"/>
      <c r="AE1234" s="10668"/>
      <c r="AF1234" s="10669"/>
      <c r="AG1234" s="10667"/>
      <c r="AH1234" s="10668"/>
      <c r="AI1234" s="10668"/>
      <c r="AJ1234" s="10668"/>
      <c r="AK1234" s="10668"/>
      <c r="AL1234" s="10668"/>
      <c r="AM1234" s="10668"/>
      <c r="AN1234" s="10669"/>
      <c r="AO1234" s="10667"/>
      <c r="AP1234" s="10668"/>
      <c r="AQ1234" s="10668"/>
      <c r="AR1234" s="10668"/>
      <c r="AS1234" s="10668"/>
      <c r="AT1234" s="10669"/>
      <c r="AU1234" s="10791"/>
      <c r="AV1234" s="10791"/>
      <c r="AW1234" s="10791"/>
      <c r="AX1234" s="10788"/>
      <c r="AY1234" s="10790"/>
      <c r="AZ1234" s="10791"/>
      <c r="BA1234" s="10788"/>
      <c r="BB1234" s="10789"/>
      <c r="BC1234" s="10790"/>
      <c r="BD1234" s="10792"/>
      <c r="BF1234" s="10787"/>
      <c r="BG1234" s="10787"/>
      <c r="BH1234" s="10787"/>
      <c r="BI1234" s="10787"/>
      <c r="BJ1234" s="10787"/>
      <c r="BK1234" s="10787"/>
      <c r="BL1234" s="10787"/>
      <c r="BM1234" s="10787"/>
      <c r="BN1234" s="10787"/>
    </row>
    <row r="1235" spans="1:66" ht="30" hidden="1" customHeight="1">
      <c r="A1235" s="9985">
        <v>778</v>
      </c>
      <c r="B1235" s="9986" t="s">
        <v>8170</v>
      </c>
      <c r="C1235" s="13607"/>
      <c r="D1235" s="12478" t="s">
        <v>10063</v>
      </c>
      <c r="E1235" s="12424" t="s">
        <v>1408</v>
      </c>
      <c r="F1235" s="12229"/>
      <c r="G1235" s="12229" t="s">
        <v>1913</v>
      </c>
      <c r="H1235" s="12230" t="s">
        <v>1914</v>
      </c>
      <c r="I1235" s="12481">
        <v>1</v>
      </c>
      <c r="K1235" s="10793"/>
      <c r="L1235" s="10665"/>
      <c r="M1235" s="10665"/>
      <c r="N1235" s="10665"/>
      <c r="O1235" s="10665"/>
      <c r="P1235" s="10794"/>
      <c r="Q1235" s="10666"/>
      <c r="R1235" s="10667"/>
      <c r="S1235" s="10668"/>
      <c r="T1235" s="10669"/>
      <c r="U1235" s="10666"/>
      <c r="V1235" s="10667"/>
      <c r="W1235" s="10669"/>
      <c r="X1235" s="10667"/>
      <c r="Y1235" s="10669"/>
      <c r="Z1235" s="10667"/>
      <c r="AA1235" s="10668"/>
      <c r="AB1235" s="10668"/>
      <c r="AC1235" s="10668"/>
      <c r="AD1235" s="10668"/>
      <c r="AE1235" s="10668"/>
      <c r="AF1235" s="10669"/>
      <c r="AG1235" s="10667"/>
      <c r="AH1235" s="10668"/>
      <c r="AI1235" s="10668"/>
      <c r="AJ1235" s="10668"/>
      <c r="AK1235" s="10668"/>
      <c r="AL1235" s="10668"/>
      <c r="AM1235" s="10668"/>
      <c r="AN1235" s="10669"/>
      <c r="AO1235" s="10667"/>
      <c r="AP1235" s="10668"/>
      <c r="AQ1235" s="10668"/>
      <c r="AR1235" s="10668"/>
      <c r="AS1235" s="10668"/>
      <c r="AT1235" s="10669"/>
      <c r="AU1235" s="10795"/>
      <c r="AV1235" s="10795"/>
      <c r="AW1235" s="10795"/>
      <c r="AX1235" s="10793"/>
      <c r="AY1235" s="10794"/>
      <c r="AZ1235" s="10795"/>
      <c r="BA1235" s="10793"/>
      <c r="BB1235" s="10665"/>
      <c r="BC1235" s="10794"/>
      <c r="BD1235" s="10796"/>
      <c r="BF1235" s="9895"/>
      <c r="BG1235" s="9895"/>
      <c r="BH1235" s="9895"/>
      <c r="BI1235" s="9895"/>
      <c r="BJ1235" s="9895"/>
      <c r="BK1235" s="9895"/>
      <c r="BL1235" s="9895"/>
      <c r="BM1235" s="9895"/>
      <c r="BN1235" s="9895"/>
    </row>
    <row r="1236" spans="1:66" ht="30" hidden="1" customHeight="1">
      <c r="A1236" s="10797">
        <v>779</v>
      </c>
      <c r="B1236" s="10798" t="s">
        <v>8171</v>
      </c>
      <c r="C1236" s="13607"/>
      <c r="D1236" s="12478" t="s">
        <v>10092</v>
      </c>
      <c r="E1236" s="12424" t="s">
        <v>1918</v>
      </c>
      <c r="F1236" s="12229"/>
      <c r="G1236" s="12482" t="s">
        <v>1916</v>
      </c>
      <c r="H1236" s="12230" t="s">
        <v>1917</v>
      </c>
      <c r="I1236" s="12480">
        <v>1</v>
      </c>
      <c r="K1236" s="10788"/>
      <c r="L1236" s="10665"/>
      <c r="M1236" s="10665"/>
      <c r="N1236" s="10789"/>
      <c r="O1236" s="10789"/>
      <c r="P1236" s="10790"/>
      <c r="Q1236" s="10666"/>
      <c r="R1236" s="10667"/>
      <c r="S1236" s="10668"/>
      <c r="T1236" s="10669"/>
      <c r="U1236" s="10666"/>
      <c r="V1236" s="10667"/>
      <c r="W1236" s="10669"/>
      <c r="X1236" s="10667"/>
      <c r="Y1236" s="10669"/>
      <c r="Z1236" s="10667"/>
      <c r="AA1236" s="10668"/>
      <c r="AB1236" s="10668"/>
      <c r="AC1236" s="10668"/>
      <c r="AD1236" s="10668"/>
      <c r="AE1236" s="10668"/>
      <c r="AF1236" s="10669"/>
      <c r="AG1236" s="10667"/>
      <c r="AH1236" s="10668"/>
      <c r="AI1236" s="10668"/>
      <c r="AJ1236" s="10668"/>
      <c r="AK1236" s="10668"/>
      <c r="AL1236" s="10668"/>
      <c r="AM1236" s="10668"/>
      <c r="AN1236" s="10669"/>
      <c r="AO1236" s="10667"/>
      <c r="AP1236" s="10668"/>
      <c r="AQ1236" s="10668"/>
      <c r="AR1236" s="10668"/>
      <c r="AS1236" s="10668"/>
      <c r="AT1236" s="10669"/>
      <c r="AU1236" s="10791"/>
      <c r="AV1236" s="10791"/>
      <c r="AW1236" s="10791"/>
      <c r="AX1236" s="10788"/>
      <c r="AY1236" s="10790"/>
      <c r="AZ1236" s="10791"/>
      <c r="BA1236" s="10788"/>
      <c r="BB1236" s="10789"/>
      <c r="BC1236" s="10790"/>
      <c r="BD1236" s="10792"/>
      <c r="BF1236" s="10799"/>
      <c r="BG1236" s="10799"/>
      <c r="BH1236" s="10799"/>
      <c r="BI1236" s="10799"/>
      <c r="BJ1236" s="10799"/>
      <c r="BK1236" s="10799"/>
      <c r="BL1236" s="10799"/>
      <c r="BM1236" s="10799"/>
      <c r="BN1236" s="10799"/>
    </row>
    <row r="1237" spans="1:66" ht="30" hidden="1" customHeight="1">
      <c r="A1237" s="10797">
        <v>780</v>
      </c>
      <c r="B1237" s="10798" t="s">
        <v>8172</v>
      </c>
      <c r="C1237" s="13607"/>
      <c r="D1237" s="12478" t="s">
        <v>10092</v>
      </c>
      <c r="E1237" s="12424" t="s">
        <v>1918</v>
      </c>
      <c r="F1237" s="12229"/>
      <c r="G1237" s="12482" t="s">
        <v>1919</v>
      </c>
      <c r="H1237" s="12230" t="s">
        <v>1920</v>
      </c>
      <c r="I1237" s="12480">
        <v>1</v>
      </c>
      <c r="K1237" s="10788"/>
      <c r="L1237" s="10665"/>
      <c r="M1237" s="10665"/>
      <c r="N1237" s="10789"/>
      <c r="O1237" s="10789"/>
      <c r="P1237" s="10790"/>
      <c r="Q1237" s="10666"/>
      <c r="R1237" s="10667"/>
      <c r="S1237" s="10668"/>
      <c r="T1237" s="10669"/>
      <c r="U1237" s="10666"/>
      <c r="V1237" s="10667"/>
      <c r="W1237" s="10669"/>
      <c r="X1237" s="10667"/>
      <c r="Y1237" s="10669"/>
      <c r="Z1237" s="10667"/>
      <c r="AA1237" s="10668"/>
      <c r="AB1237" s="10668"/>
      <c r="AC1237" s="10668"/>
      <c r="AD1237" s="10668"/>
      <c r="AE1237" s="10668"/>
      <c r="AF1237" s="10669"/>
      <c r="AG1237" s="10667"/>
      <c r="AH1237" s="10668"/>
      <c r="AI1237" s="10668"/>
      <c r="AJ1237" s="10668"/>
      <c r="AK1237" s="10668"/>
      <c r="AL1237" s="10668"/>
      <c r="AM1237" s="10668"/>
      <c r="AN1237" s="10669"/>
      <c r="AO1237" s="10667"/>
      <c r="AP1237" s="10668"/>
      <c r="AQ1237" s="10668"/>
      <c r="AR1237" s="10668"/>
      <c r="AS1237" s="10668"/>
      <c r="AT1237" s="10669"/>
      <c r="AU1237" s="10791"/>
      <c r="AV1237" s="10791"/>
      <c r="AW1237" s="10791"/>
      <c r="AX1237" s="10788"/>
      <c r="AY1237" s="10790"/>
      <c r="AZ1237" s="10791"/>
      <c r="BA1237" s="10788"/>
      <c r="BB1237" s="10789"/>
      <c r="BC1237" s="10790"/>
      <c r="BD1237" s="10792"/>
      <c r="BF1237" s="10799"/>
      <c r="BG1237" s="10799"/>
      <c r="BH1237" s="10799"/>
      <c r="BI1237" s="10799"/>
      <c r="BJ1237" s="10799"/>
      <c r="BK1237" s="10799"/>
      <c r="BL1237" s="10799"/>
      <c r="BM1237" s="10799"/>
      <c r="BN1237" s="10799"/>
    </row>
    <row r="1238" spans="1:66" ht="30" hidden="1" customHeight="1">
      <c r="A1238" s="10797">
        <v>781</v>
      </c>
      <c r="B1238" s="10798" t="s">
        <v>8173</v>
      </c>
      <c r="C1238" s="13607"/>
      <c r="D1238" s="12478" t="s">
        <v>10092</v>
      </c>
      <c r="E1238" s="12424" t="s">
        <v>1918</v>
      </c>
      <c r="F1238" s="12229"/>
      <c r="G1238" s="12482" t="s">
        <v>1921</v>
      </c>
      <c r="H1238" s="12230" t="s">
        <v>1922</v>
      </c>
      <c r="I1238" s="12483">
        <v>645</v>
      </c>
      <c r="K1238" s="10786"/>
      <c r="L1238" s="10665"/>
      <c r="M1238" s="10665"/>
      <c r="N1238" s="10800"/>
      <c r="O1238" s="10800"/>
      <c r="P1238" s="10801"/>
      <c r="Q1238" s="10666"/>
      <c r="R1238" s="10667"/>
      <c r="S1238" s="10668"/>
      <c r="T1238" s="10669"/>
      <c r="U1238" s="10666"/>
      <c r="V1238" s="10667"/>
      <c r="W1238" s="10669"/>
      <c r="X1238" s="10667"/>
      <c r="Y1238" s="10669"/>
      <c r="Z1238" s="10667"/>
      <c r="AA1238" s="10668"/>
      <c r="AB1238" s="10668"/>
      <c r="AC1238" s="10668"/>
      <c r="AD1238" s="10668"/>
      <c r="AE1238" s="10668"/>
      <c r="AF1238" s="10669"/>
      <c r="AG1238" s="10667"/>
      <c r="AH1238" s="10668"/>
      <c r="AI1238" s="10668"/>
      <c r="AJ1238" s="10668"/>
      <c r="AK1238" s="10668"/>
      <c r="AL1238" s="10668"/>
      <c r="AM1238" s="10668"/>
      <c r="AN1238" s="10669"/>
      <c r="AO1238" s="10667"/>
      <c r="AP1238" s="10668"/>
      <c r="AQ1238" s="10668"/>
      <c r="AR1238" s="10668"/>
      <c r="AS1238" s="10668"/>
      <c r="AT1238" s="10669"/>
      <c r="AU1238" s="10802"/>
      <c r="AV1238" s="10802"/>
      <c r="AW1238" s="10802"/>
      <c r="AX1238" s="10786"/>
      <c r="AY1238" s="10801"/>
      <c r="AZ1238" s="10802"/>
      <c r="BA1238" s="10786"/>
      <c r="BB1238" s="10800"/>
      <c r="BC1238" s="10801"/>
      <c r="BD1238" s="9985"/>
      <c r="BF1238" s="10799"/>
      <c r="BG1238" s="10799"/>
      <c r="BH1238" s="10799"/>
      <c r="BI1238" s="10799"/>
      <c r="BJ1238" s="10799"/>
      <c r="BK1238" s="10799"/>
      <c r="BL1238" s="10799"/>
      <c r="BM1238" s="10799"/>
      <c r="BN1238" s="10799"/>
    </row>
    <row r="1239" spans="1:66" ht="30" hidden="1" customHeight="1">
      <c r="A1239" s="10797">
        <v>782</v>
      </c>
      <c r="B1239" s="10798" t="s">
        <v>8174</v>
      </c>
      <c r="C1239" s="13607"/>
      <c r="D1239" s="12478" t="s">
        <v>10092</v>
      </c>
      <c r="E1239" s="12424" t="s">
        <v>1918</v>
      </c>
      <c r="F1239" s="12229"/>
      <c r="G1239" s="12482" t="s">
        <v>1923</v>
      </c>
      <c r="H1239" s="12230" t="s">
        <v>1924</v>
      </c>
      <c r="I1239" s="12483">
        <v>450</v>
      </c>
      <c r="K1239" s="10786"/>
      <c r="L1239" s="10665"/>
      <c r="M1239" s="10665"/>
      <c r="N1239" s="10800"/>
      <c r="O1239" s="10800"/>
      <c r="P1239" s="10801"/>
      <c r="Q1239" s="10666"/>
      <c r="R1239" s="10667"/>
      <c r="S1239" s="10668"/>
      <c r="T1239" s="10669"/>
      <c r="U1239" s="10666"/>
      <c r="V1239" s="10667"/>
      <c r="W1239" s="10669"/>
      <c r="X1239" s="10667"/>
      <c r="Y1239" s="10669"/>
      <c r="Z1239" s="10667"/>
      <c r="AA1239" s="10668"/>
      <c r="AB1239" s="10668"/>
      <c r="AC1239" s="10668"/>
      <c r="AD1239" s="10668"/>
      <c r="AE1239" s="10668"/>
      <c r="AF1239" s="10669"/>
      <c r="AG1239" s="10667"/>
      <c r="AH1239" s="10668"/>
      <c r="AI1239" s="10668"/>
      <c r="AJ1239" s="10668"/>
      <c r="AK1239" s="10668"/>
      <c r="AL1239" s="10668"/>
      <c r="AM1239" s="10668"/>
      <c r="AN1239" s="10669"/>
      <c r="AO1239" s="10667"/>
      <c r="AP1239" s="10668"/>
      <c r="AQ1239" s="10668"/>
      <c r="AR1239" s="10668"/>
      <c r="AS1239" s="10668"/>
      <c r="AT1239" s="10669"/>
      <c r="AU1239" s="10802"/>
      <c r="AV1239" s="10802"/>
      <c r="AW1239" s="10802"/>
      <c r="AX1239" s="10786"/>
      <c r="AY1239" s="10801"/>
      <c r="AZ1239" s="10802"/>
      <c r="BA1239" s="10786"/>
      <c r="BB1239" s="10800"/>
      <c r="BC1239" s="10801"/>
      <c r="BD1239" s="9985"/>
      <c r="BF1239" s="10799"/>
      <c r="BG1239" s="10799"/>
      <c r="BH1239" s="10799"/>
      <c r="BI1239" s="10799"/>
      <c r="BJ1239" s="10799"/>
      <c r="BK1239" s="10799"/>
      <c r="BL1239" s="10799"/>
      <c r="BM1239" s="10799"/>
      <c r="BN1239" s="10799"/>
    </row>
    <row r="1240" spans="1:66" ht="30" hidden="1" customHeight="1">
      <c r="A1240" s="10797">
        <v>783</v>
      </c>
      <c r="B1240" s="10798" t="s">
        <v>8175</v>
      </c>
      <c r="C1240" s="13607"/>
      <c r="D1240" s="12478" t="s">
        <v>10092</v>
      </c>
      <c r="E1240" s="12424" t="s">
        <v>1918</v>
      </c>
      <c r="F1240" s="12229"/>
      <c r="G1240" s="12482" t="s">
        <v>1925</v>
      </c>
      <c r="H1240" s="12230" t="s">
        <v>1926</v>
      </c>
      <c r="I1240" s="12483">
        <v>1</v>
      </c>
      <c r="K1240" s="10786"/>
      <c r="L1240" s="10665"/>
      <c r="M1240" s="10665"/>
      <c r="N1240" s="10800"/>
      <c r="O1240" s="10800"/>
      <c r="P1240" s="10801"/>
      <c r="Q1240" s="10666"/>
      <c r="R1240" s="10667"/>
      <c r="S1240" s="10668"/>
      <c r="T1240" s="10669"/>
      <c r="U1240" s="10666"/>
      <c r="V1240" s="10667"/>
      <c r="W1240" s="10669"/>
      <c r="X1240" s="10667"/>
      <c r="Y1240" s="10669"/>
      <c r="Z1240" s="10667"/>
      <c r="AA1240" s="10668"/>
      <c r="AB1240" s="10668"/>
      <c r="AC1240" s="10668"/>
      <c r="AD1240" s="10668"/>
      <c r="AE1240" s="10668"/>
      <c r="AF1240" s="10669"/>
      <c r="AG1240" s="10667"/>
      <c r="AH1240" s="10668"/>
      <c r="AI1240" s="10668"/>
      <c r="AJ1240" s="10668"/>
      <c r="AK1240" s="10668"/>
      <c r="AL1240" s="10668"/>
      <c r="AM1240" s="10668"/>
      <c r="AN1240" s="10669"/>
      <c r="AO1240" s="10667"/>
      <c r="AP1240" s="10668"/>
      <c r="AQ1240" s="10668"/>
      <c r="AR1240" s="10668"/>
      <c r="AS1240" s="10668"/>
      <c r="AT1240" s="10669"/>
      <c r="AU1240" s="10802"/>
      <c r="AV1240" s="10802"/>
      <c r="AW1240" s="10802"/>
      <c r="AX1240" s="10786"/>
      <c r="AY1240" s="10801"/>
      <c r="AZ1240" s="10802"/>
      <c r="BA1240" s="10786"/>
      <c r="BB1240" s="10800"/>
      <c r="BC1240" s="10801"/>
      <c r="BD1240" s="9985"/>
      <c r="BF1240" s="10799"/>
      <c r="BG1240" s="10799"/>
      <c r="BH1240" s="10799"/>
      <c r="BI1240" s="10799"/>
      <c r="BJ1240" s="10799"/>
      <c r="BK1240" s="10799"/>
      <c r="BL1240" s="10799"/>
      <c r="BM1240" s="10799"/>
      <c r="BN1240" s="10799"/>
    </row>
    <row r="1241" spans="1:66" ht="30" hidden="1" customHeight="1">
      <c r="A1241" s="10797">
        <v>784</v>
      </c>
      <c r="B1241" s="10798" t="s">
        <v>8176</v>
      </c>
      <c r="C1241" s="13607"/>
      <c r="D1241" s="12478" t="s">
        <v>10092</v>
      </c>
      <c r="E1241" s="12424" t="s">
        <v>1918</v>
      </c>
      <c r="F1241" s="12229"/>
      <c r="G1241" s="12482" t="s">
        <v>1927</v>
      </c>
      <c r="H1241" s="12230" t="s">
        <v>1928</v>
      </c>
      <c r="I1241" s="12483">
        <v>25</v>
      </c>
      <c r="K1241" s="10786"/>
      <c r="L1241" s="10665"/>
      <c r="M1241" s="10665"/>
      <c r="N1241" s="10800"/>
      <c r="O1241" s="10800"/>
      <c r="P1241" s="10801"/>
      <c r="Q1241" s="10666"/>
      <c r="R1241" s="10667"/>
      <c r="S1241" s="10668"/>
      <c r="T1241" s="10669"/>
      <c r="U1241" s="10666"/>
      <c r="V1241" s="10667"/>
      <c r="W1241" s="10669"/>
      <c r="X1241" s="10667"/>
      <c r="Y1241" s="10669"/>
      <c r="Z1241" s="10667"/>
      <c r="AA1241" s="10668"/>
      <c r="AB1241" s="10668"/>
      <c r="AC1241" s="10668"/>
      <c r="AD1241" s="10668"/>
      <c r="AE1241" s="10668"/>
      <c r="AF1241" s="10669"/>
      <c r="AG1241" s="10667"/>
      <c r="AH1241" s="10668"/>
      <c r="AI1241" s="10668"/>
      <c r="AJ1241" s="10668"/>
      <c r="AK1241" s="10668"/>
      <c r="AL1241" s="10668"/>
      <c r="AM1241" s="10668"/>
      <c r="AN1241" s="10669"/>
      <c r="AO1241" s="10667"/>
      <c r="AP1241" s="10668"/>
      <c r="AQ1241" s="10668"/>
      <c r="AR1241" s="10668"/>
      <c r="AS1241" s="10668"/>
      <c r="AT1241" s="10669"/>
      <c r="AU1241" s="10802"/>
      <c r="AV1241" s="10802"/>
      <c r="AW1241" s="10802"/>
      <c r="AX1241" s="10786"/>
      <c r="AY1241" s="10801"/>
      <c r="AZ1241" s="10802"/>
      <c r="BA1241" s="10786"/>
      <c r="BB1241" s="10800"/>
      <c r="BC1241" s="10801"/>
      <c r="BD1241" s="9985"/>
      <c r="BF1241" s="10799"/>
      <c r="BG1241" s="10799"/>
      <c r="BH1241" s="10799"/>
      <c r="BI1241" s="10799"/>
      <c r="BJ1241" s="10799"/>
      <c r="BK1241" s="10799"/>
      <c r="BL1241" s="10799"/>
      <c r="BM1241" s="10799"/>
      <c r="BN1241" s="10799"/>
    </row>
    <row r="1242" spans="1:66" ht="30" hidden="1" customHeight="1">
      <c r="A1242" s="10797">
        <v>785</v>
      </c>
      <c r="B1242" s="10798" t="s">
        <v>8177</v>
      </c>
      <c r="C1242" s="13607"/>
      <c r="D1242" s="12478" t="s">
        <v>10092</v>
      </c>
      <c r="E1242" s="12424" t="s">
        <v>1918</v>
      </c>
      <c r="F1242" s="12229"/>
      <c r="G1242" s="12482" t="s">
        <v>1929</v>
      </c>
      <c r="H1242" s="12230" t="s">
        <v>1930</v>
      </c>
      <c r="I1242" s="12483">
        <v>205</v>
      </c>
      <c r="K1242" s="10786"/>
      <c r="L1242" s="10665"/>
      <c r="M1242" s="10665"/>
      <c r="N1242" s="10800"/>
      <c r="O1242" s="10800"/>
      <c r="P1242" s="10801"/>
      <c r="Q1242" s="10666"/>
      <c r="R1242" s="10667"/>
      <c r="S1242" s="10668"/>
      <c r="T1242" s="10669"/>
      <c r="U1242" s="10666"/>
      <c r="V1242" s="10667"/>
      <c r="W1242" s="10669"/>
      <c r="X1242" s="10667"/>
      <c r="Y1242" s="10669"/>
      <c r="Z1242" s="10667"/>
      <c r="AA1242" s="10668"/>
      <c r="AB1242" s="10668"/>
      <c r="AC1242" s="10668"/>
      <c r="AD1242" s="10668"/>
      <c r="AE1242" s="10668"/>
      <c r="AF1242" s="10669"/>
      <c r="AG1242" s="10667"/>
      <c r="AH1242" s="10668"/>
      <c r="AI1242" s="10668"/>
      <c r="AJ1242" s="10668"/>
      <c r="AK1242" s="10668"/>
      <c r="AL1242" s="10668"/>
      <c r="AM1242" s="10668"/>
      <c r="AN1242" s="10669"/>
      <c r="AO1242" s="10667"/>
      <c r="AP1242" s="10668"/>
      <c r="AQ1242" s="10668"/>
      <c r="AR1242" s="10668"/>
      <c r="AS1242" s="10668"/>
      <c r="AT1242" s="10669"/>
      <c r="AU1242" s="10802"/>
      <c r="AV1242" s="10802"/>
      <c r="AW1242" s="10802"/>
      <c r="AX1242" s="10786"/>
      <c r="AY1242" s="10801"/>
      <c r="AZ1242" s="10802"/>
      <c r="BA1242" s="10786"/>
      <c r="BB1242" s="10800"/>
      <c r="BC1242" s="10801"/>
      <c r="BD1242" s="9985"/>
      <c r="BF1242" s="10799"/>
      <c r="BG1242" s="10799"/>
      <c r="BH1242" s="10799"/>
      <c r="BI1242" s="10799"/>
      <c r="BJ1242" s="10799"/>
      <c r="BK1242" s="10799"/>
      <c r="BL1242" s="10799"/>
      <c r="BM1242" s="10799"/>
      <c r="BN1242" s="10799"/>
    </row>
    <row r="1243" spans="1:66" ht="30" hidden="1" customHeight="1">
      <c r="A1243" s="10797">
        <v>786</v>
      </c>
      <c r="B1243" s="10798" t="s">
        <v>8178</v>
      </c>
      <c r="C1243" s="13607"/>
      <c r="D1243" s="12478" t="s">
        <v>10092</v>
      </c>
      <c r="E1243" s="12424" t="s">
        <v>1918</v>
      </c>
      <c r="F1243" s="12229"/>
      <c r="G1243" s="12482" t="s">
        <v>1931</v>
      </c>
      <c r="H1243" s="12230" t="s">
        <v>1932</v>
      </c>
      <c r="I1243" s="12483">
        <v>50</v>
      </c>
      <c r="K1243" s="10786"/>
      <c r="L1243" s="10665"/>
      <c r="M1243" s="10665"/>
      <c r="N1243" s="10800"/>
      <c r="O1243" s="10800"/>
      <c r="P1243" s="10801"/>
      <c r="Q1243" s="10666"/>
      <c r="R1243" s="10667"/>
      <c r="S1243" s="10668"/>
      <c r="T1243" s="10669"/>
      <c r="U1243" s="10666"/>
      <c r="V1243" s="10667"/>
      <c r="W1243" s="10669"/>
      <c r="X1243" s="10667"/>
      <c r="Y1243" s="10669"/>
      <c r="Z1243" s="10667"/>
      <c r="AA1243" s="10668"/>
      <c r="AB1243" s="10668"/>
      <c r="AC1243" s="10668"/>
      <c r="AD1243" s="10668"/>
      <c r="AE1243" s="10668"/>
      <c r="AF1243" s="10669"/>
      <c r="AG1243" s="10667"/>
      <c r="AH1243" s="10668"/>
      <c r="AI1243" s="10668"/>
      <c r="AJ1243" s="10668"/>
      <c r="AK1243" s="10668"/>
      <c r="AL1243" s="10668"/>
      <c r="AM1243" s="10668"/>
      <c r="AN1243" s="10669"/>
      <c r="AO1243" s="10667"/>
      <c r="AP1243" s="10668"/>
      <c r="AQ1243" s="10668"/>
      <c r="AR1243" s="10668"/>
      <c r="AS1243" s="10668"/>
      <c r="AT1243" s="10669"/>
      <c r="AU1243" s="10802"/>
      <c r="AV1243" s="10802"/>
      <c r="AW1243" s="10802"/>
      <c r="AX1243" s="10786"/>
      <c r="AY1243" s="10801"/>
      <c r="AZ1243" s="10802"/>
      <c r="BA1243" s="10786"/>
      <c r="BB1243" s="10800"/>
      <c r="BC1243" s="10801"/>
      <c r="BD1243" s="9985"/>
      <c r="BF1243" s="10799"/>
      <c r="BG1243" s="10799"/>
      <c r="BH1243" s="10799"/>
      <c r="BI1243" s="10799"/>
      <c r="BJ1243" s="10799"/>
      <c r="BK1243" s="10799"/>
      <c r="BL1243" s="10799"/>
      <c r="BM1243" s="10799"/>
      <c r="BN1243" s="10799"/>
    </row>
    <row r="1244" spans="1:66" ht="30" hidden="1" customHeight="1">
      <c r="A1244" s="10797">
        <v>787</v>
      </c>
      <c r="B1244" s="10798" t="s">
        <v>8179</v>
      </c>
      <c r="C1244" s="13607"/>
      <c r="D1244" s="12478" t="s">
        <v>10092</v>
      </c>
      <c r="E1244" s="12424" t="s">
        <v>1918</v>
      </c>
      <c r="F1244" s="12229"/>
      <c r="G1244" s="12482" t="s">
        <v>1933</v>
      </c>
      <c r="H1244" s="12230" t="s">
        <v>1934</v>
      </c>
      <c r="I1244" s="12483">
        <v>5</v>
      </c>
      <c r="K1244" s="10786"/>
      <c r="L1244" s="10665"/>
      <c r="M1244" s="10665"/>
      <c r="N1244" s="10800"/>
      <c r="O1244" s="10800"/>
      <c r="P1244" s="10801"/>
      <c r="Q1244" s="10666"/>
      <c r="R1244" s="10667"/>
      <c r="S1244" s="10668"/>
      <c r="T1244" s="10669"/>
      <c r="U1244" s="10666"/>
      <c r="V1244" s="10667"/>
      <c r="W1244" s="10669"/>
      <c r="X1244" s="10667"/>
      <c r="Y1244" s="10669"/>
      <c r="Z1244" s="10667"/>
      <c r="AA1244" s="10668"/>
      <c r="AB1244" s="10668"/>
      <c r="AC1244" s="10668"/>
      <c r="AD1244" s="10668"/>
      <c r="AE1244" s="10668"/>
      <c r="AF1244" s="10669"/>
      <c r="AG1244" s="10667"/>
      <c r="AH1244" s="10668"/>
      <c r="AI1244" s="10668"/>
      <c r="AJ1244" s="10668"/>
      <c r="AK1244" s="10668"/>
      <c r="AL1244" s="10668"/>
      <c r="AM1244" s="10668"/>
      <c r="AN1244" s="10669"/>
      <c r="AO1244" s="10667"/>
      <c r="AP1244" s="10668"/>
      <c r="AQ1244" s="10668"/>
      <c r="AR1244" s="10668"/>
      <c r="AS1244" s="10668"/>
      <c r="AT1244" s="10669"/>
      <c r="AU1244" s="10802"/>
      <c r="AV1244" s="10802"/>
      <c r="AW1244" s="10802"/>
      <c r="AX1244" s="10786"/>
      <c r="AY1244" s="10801"/>
      <c r="AZ1244" s="10802"/>
      <c r="BA1244" s="10786"/>
      <c r="BB1244" s="10800"/>
      <c r="BC1244" s="10801"/>
      <c r="BD1244" s="9985"/>
      <c r="BF1244" s="10799"/>
      <c r="BG1244" s="10799"/>
      <c r="BH1244" s="10799"/>
      <c r="BI1244" s="10799"/>
      <c r="BJ1244" s="10799"/>
      <c r="BK1244" s="10799"/>
      <c r="BL1244" s="10799"/>
      <c r="BM1244" s="10799"/>
      <c r="BN1244" s="10799"/>
    </row>
    <row r="1245" spans="1:66" ht="30" hidden="1" customHeight="1">
      <c r="A1245" s="10797">
        <v>788</v>
      </c>
      <c r="B1245" s="10798" t="s">
        <v>8180</v>
      </c>
      <c r="C1245" s="13607"/>
      <c r="D1245" s="12478" t="s">
        <v>10092</v>
      </c>
      <c r="E1245" s="12424" t="s">
        <v>1918</v>
      </c>
      <c r="F1245" s="12229"/>
      <c r="G1245" s="12482" t="s">
        <v>1935</v>
      </c>
      <c r="H1245" s="12230" t="s">
        <v>1936</v>
      </c>
      <c r="I1245" s="12484">
        <v>21868</v>
      </c>
      <c r="K1245" s="10803"/>
      <c r="L1245" s="10665"/>
      <c r="M1245" s="10665"/>
      <c r="N1245" s="10804"/>
      <c r="O1245" s="10804"/>
      <c r="P1245" s="10805"/>
      <c r="Q1245" s="10666"/>
      <c r="R1245" s="10667"/>
      <c r="S1245" s="10668"/>
      <c r="T1245" s="10669"/>
      <c r="U1245" s="10666"/>
      <c r="V1245" s="10667"/>
      <c r="W1245" s="10669"/>
      <c r="X1245" s="10667"/>
      <c r="Y1245" s="10669"/>
      <c r="Z1245" s="10667"/>
      <c r="AA1245" s="10668"/>
      <c r="AB1245" s="10668"/>
      <c r="AC1245" s="10668"/>
      <c r="AD1245" s="10668"/>
      <c r="AE1245" s="10668"/>
      <c r="AF1245" s="10669"/>
      <c r="AG1245" s="10667"/>
      <c r="AH1245" s="10668"/>
      <c r="AI1245" s="10668"/>
      <c r="AJ1245" s="10668"/>
      <c r="AK1245" s="10668"/>
      <c r="AL1245" s="10668"/>
      <c r="AM1245" s="10668"/>
      <c r="AN1245" s="10669"/>
      <c r="AO1245" s="10667"/>
      <c r="AP1245" s="10668"/>
      <c r="AQ1245" s="10668"/>
      <c r="AR1245" s="10668"/>
      <c r="AS1245" s="10668"/>
      <c r="AT1245" s="10669"/>
      <c r="AU1245" s="10806"/>
      <c r="AV1245" s="10806"/>
      <c r="AW1245" s="10806"/>
      <c r="AX1245" s="10803"/>
      <c r="AY1245" s="10805"/>
      <c r="AZ1245" s="10806"/>
      <c r="BA1245" s="10803"/>
      <c r="BB1245" s="10804"/>
      <c r="BC1245" s="10805"/>
      <c r="BD1245" s="10807"/>
      <c r="BF1245" s="10799"/>
      <c r="BG1245" s="10799"/>
      <c r="BH1245" s="10799"/>
      <c r="BI1245" s="10799"/>
      <c r="BJ1245" s="10799"/>
      <c r="BK1245" s="10799"/>
      <c r="BL1245" s="10799"/>
      <c r="BM1245" s="10799"/>
      <c r="BN1245" s="10799"/>
    </row>
    <row r="1246" spans="1:66" ht="30" hidden="1" customHeight="1">
      <c r="A1246" s="10797">
        <v>789</v>
      </c>
      <c r="B1246" s="10798" t="s">
        <v>8181</v>
      </c>
      <c r="C1246" s="13607"/>
      <c r="D1246" s="12478" t="s">
        <v>10092</v>
      </c>
      <c r="E1246" s="12424" t="s">
        <v>1918</v>
      </c>
      <c r="F1246" s="12229"/>
      <c r="G1246" s="12482" t="s">
        <v>1937</v>
      </c>
      <c r="H1246" s="12230" t="s">
        <v>1938</v>
      </c>
      <c r="I1246" s="12485">
        <v>300</v>
      </c>
      <c r="K1246" s="10808"/>
      <c r="L1246" s="10665"/>
      <c r="M1246" s="10665"/>
      <c r="N1246" s="10809"/>
      <c r="O1246" s="10809"/>
      <c r="P1246" s="10810"/>
      <c r="Q1246" s="10666"/>
      <c r="R1246" s="10667"/>
      <c r="S1246" s="10668"/>
      <c r="T1246" s="10669"/>
      <c r="U1246" s="10666"/>
      <c r="V1246" s="10667"/>
      <c r="W1246" s="10669"/>
      <c r="X1246" s="10667"/>
      <c r="Y1246" s="10669"/>
      <c r="Z1246" s="10667"/>
      <c r="AA1246" s="10668"/>
      <c r="AB1246" s="10668"/>
      <c r="AC1246" s="10668"/>
      <c r="AD1246" s="10668"/>
      <c r="AE1246" s="10668"/>
      <c r="AF1246" s="10669"/>
      <c r="AG1246" s="10667"/>
      <c r="AH1246" s="10668"/>
      <c r="AI1246" s="10668"/>
      <c r="AJ1246" s="10668"/>
      <c r="AK1246" s="10668"/>
      <c r="AL1246" s="10668"/>
      <c r="AM1246" s="10668"/>
      <c r="AN1246" s="10669"/>
      <c r="AO1246" s="10667"/>
      <c r="AP1246" s="10668"/>
      <c r="AQ1246" s="10668"/>
      <c r="AR1246" s="10668"/>
      <c r="AS1246" s="10668"/>
      <c r="AT1246" s="10669"/>
      <c r="AU1246" s="10811"/>
      <c r="AV1246" s="10811"/>
      <c r="AW1246" s="10811"/>
      <c r="AX1246" s="10808"/>
      <c r="AY1246" s="10810"/>
      <c r="AZ1246" s="10811"/>
      <c r="BA1246" s="10808"/>
      <c r="BB1246" s="10809"/>
      <c r="BC1246" s="10810"/>
      <c r="BD1246" s="10812"/>
      <c r="BF1246" s="10799"/>
      <c r="BG1246" s="10799"/>
      <c r="BH1246" s="10799"/>
      <c r="BI1246" s="10799"/>
      <c r="BJ1246" s="10799"/>
      <c r="BK1246" s="10799"/>
      <c r="BL1246" s="10799"/>
      <c r="BM1246" s="10799"/>
      <c r="BN1246" s="10799"/>
    </row>
    <row r="1247" spans="1:66" ht="30" hidden="1" customHeight="1">
      <c r="A1247" s="10797">
        <v>790</v>
      </c>
      <c r="B1247" s="10798" t="s">
        <v>8182</v>
      </c>
      <c r="C1247" s="13607"/>
      <c r="D1247" s="12478" t="s">
        <v>65</v>
      </c>
      <c r="E1247" s="12424" t="s">
        <v>1941</v>
      </c>
      <c r="F1247" s="12229"/>
      <c r="G1247" s="12482" t="s">
        <v>1939</v>
      </c>
      <c r="H1247" s="12230" t="s">
        <v>1940</v>
      </c>
      <c r="I1247" s="12483">
        <v>10</v>
      </c>
      <c r="K1247" s="10786"/>
      <c r="L1247" s="10665"/>
      <c r="M1247" s="10665"/>
      <c r="N1247" s="10800"/>
      <c r="O1247" s="10800"/>
      <c r="P1247" s="10801"/>
      <c r="Q1247" s="10666"/>
      <c r="R1247" s="10667"/>
      <c r="S1247" s="10668"/>
      <c r="T1247" s="10669"/>
      <c r="U1247" s="10666"/>
      <c r="V1247" s="10667"/>
      <c r="W1247" s="10669"/>
      <c r="X1247" s="10667"/>
      <c r="Y1247" s="10669"/>
      <c r="Z1247" s="10667"/>
      <c r="AA1247" s="10668"/>
      <c r="AB1247" s="10668"/>
      <c r="AC1247" s="10668"/>
      <c r="AD1247" s="10668"/>
      <c r="AE1247" s="10668"/>
      <c r="AF1247" s="10669"/>
      <c r="AG1247" s="10667"/>
      <c r="AH1247" s="10668"/>
      <c r="AI1247" s="10668"/>
      <c r="AJ1247" s="10668"/>
      <c r="AK1247" s="10668"/>
      <c r="AL1247" s="10668"/>
      <c r="AM1247" s="10668"/>
      <c r="AN1247" s="10669"/>
      <c r="AO1247" s="10667"/>
      <c r="AP1247" s="10668"/>
      <c r="AQ1247" s="10668"/>
      <c r="AR1247" s="10668"/>
      <c r="AS1247" s="10668"/>
      <c r="AT1247" s="10669"/>
      <c r="AU1247" s="10802"/>
      <c r="AV1247" s="10802"/>
      <c r="AW1247" s="10802"/>
      <c r="AX1247" s="10786"/>
      <c r="AY1247" s="10801"/>
      <c r="AZ1247" s="10802"/>
      <c r="BA1247" s="10786"/>
      <c r="BB1247" s="10800"/>
      <c r="BC1247" s="10801"/>
      <c r="BD1247" s="9985"/>
      <c r="BF1247" s="10799"/>
      <c r="BG1247" s="10799"/>
      <c r="BH1247" s="10799"/>
      <c r="BI1247" s="10799"/>
      <c r="BJ1247" s="10799"/>
      <c r="BK1247" s="10799"/>
      <c r="BL1247" s="10799"/>
      <c r="BM1247" s="10799"/>
      <c r="BN1247" s="10799"/>
    </row>
    <row r="1248" spans="1:66" ht="30" hidden="1" customHeight="1">
      <c r="A1248" s="10797">
        <v>791</v>
      </c>
      <c r="B1248" s="10798" t="s">
        <v>8183</v>
      </c>
      <c r="C1248" s="13607"/>
      <c r="D1248" s="12478" t="s">
        <v>65</v>
      </c>
      <c r="E1248" s="12424" t="s">
        <v>1941</v>
      </c>
      <c r="F1248" s="12229"/>
      <c r="G1248" s="12482" t="s">
        <v>1942</v>
      </c>
      <c r="H1248" s="12230" t="s">
        <v>1943</v>
      </c>
      <c r="I1248" s="12483">
        <v>10</v>
      </c>
      <c r="K1248" s="10786"/>
      <c r="L1248" s="10665"/>
      <c r="M1248" s="10665"/>
      <c r="N1248" s="10800"/>
      <c r="O1248" s="10800"/>
      <c r="P1248" s="10801"/>
      <c r="Q1248" s="10666"/>
      <c r="R1248" s="10667"/>
      <c r="S1248" s="10668"/>
      <c r="T1248" s="10669"/>
      <c r="U1248" s="10666"/>
      <c r="V1248" s="10667"/>
      <c r="W1248" s="10669"/>
      <c r="X1248" s="10667"/>
      <c r="Y1248" s="10669"/>
      <c r="Z1248" s="10667"/>
      <c r="AA1248" s="10668"/>
      <c r="AB1248" s="10668"/>
      <c r="AC1248" s="10668"/>
      <c r="AD1248" s="10668"/>
      <c r="AE1248" s="10668"/>
      <c r="AF1248" s="10669"/>
      <c r="AG1248" s="10667"/>
      <c r="AH1248" s="10668"/>
      <c r="AI1248" s="10668"/>
      <c r="AJ1248" s="10668"/>
      <c r="AK1248" s="10668"/>
      <c r="AL1248" s="10668"/>
      <c r="AM1248" s="10668"/>
      <c r="AN1248" s="10669"/>
      <c r="AO1248" s="10667"/>
      <c r="AP1248" s="10668"/>
      <c r="AQ1248" s="10668"/>
      <c r="AR1248" s="10668"/>
      <c r="AS1248" s="10668"/>
      <c r="AT1248" s="10669"/>
      <c r="AU1248" s="10802"/>
      <c r="AV1248" s="10802"/>
      <c r="AW1248" s="10802"/>
      <c r="AX1248" s="10786"/>
      <c r="AY1248" s="10801"/>
      <c r="AZ1248" s="10802"/>
      <c r="BA1248" s="10786"/>
      <c r="BB1248" s="10800"/>
      <c r="BC1248" s="10801"/>
      <c r="BD1248" s="9985"/>
      <c r="BF1248" s="10799"/>
      <c r="BG1248" s="10799"/>
      <c r="BH1248" s="10799"/>
      <c r="BI1248" s="10799"/>
      <c r="BJ1248" s="10799"/>
      <c r="BK1248" s="10799"/>
      <c r="BL1248" s="10799"/>
      <c r="BM1248" s="10799"/>
      <c r="BN1248" s="10799"/>
    </row>
    <row r="1249" spans="1:66" ht="30" hidden="1" customHeight="1">
      <c r="A1249" s="13665">
        <v>792</v>
      </c>
      <c r="B1249" s="14283" t="s">
        <v>8184</v>
      </c>
      <c r="C1249" s="13607"/>
      <c r="D1249" s="12478" t="s">
        <v>10183</v>
      </c>
      <c r="E1249" s="12424" t="s">
        <v>10093</v>
      </c>
      <c r="F1249" s="12486"/>
      <c r="G1249" s="14284" t="s">
        <v>1944</v>
      </c>
      <c r="H1249" s="13417" t="s">
        <v>1945</v>
      </c>
      <c r="I1249" s="14279">
        <v>31</v>
      </c>
      <c r="K1249" s="10813"/>
      <c r="L1249" s="10814"/>
      <c r="M1249" s="10814"/>
      <c r="N1249" s="10815"/>
      <c r="O1249" s="10815"/>
      <c r="P1249" s="10816"/>
      <c r="Q1249" s="10817"/>
      <c r="R1249" s="10818"/>
      <c r="S1249" s="10819"/>
      <c r="T1249" s="10820"/>
      <c r="U1249" s="10817"/>
      <c r="V1249" s="10818"/>
      <c r="W1249" s="10820"/>
      <c r="X1249" s="10818"/>
      <c r="Y1249" s="10820"/>
      <c r="Z1249" s="10818"/>
      <c r="AA1249" s="10819"/>
      <c r="AB1249" s="10819"/>
      <c r="AC1249" s="10819"/>
      <c r="AD1249" s="10819"/>
      <c r="AE1249" s="10819"/>
      <c r="AF1249" s="10820"/>
      <c r="AG1249" s="10818"/>
      <c r="AH1249" s="10819"/>
      <c r="AI1249" s="10819"/>
      <c r="AJ1249" s="10819"/>
      <c r="AK1249" s="10819"/>
      <c r="AL1249" s="10819"/>
      <c r="AM1249" s="10819"/>
      <c r="AN1249" s="10820"/>
      <c r="AO1249" s="10818"/>
      <c r="AP1249" s="10819"/>
      <c r="AQ1249" s="10819"/>
      <c r="AR1249" s="10819"/>
      <c r="AS1249" s="10819"/>
      <c r="AT1249" s="10820"/>
      <c r="AU1249" s="10821"/>
      <c r="AV1249" s="10821"/>
      <c r="AW1249" s="10821"/>
      <c r="AX1249" s="10813"/>
      <c r="AY1249" s="10816"/>
      <c r="AZ1249" s="10821"/>
      <c r="BA1249" s="10813"/>
      <c r="BB1249" s="10815"/>
      <c r="BC1249" s="10816"/>
      <c r="BD1249" s="10822"/>
      <c r="BF1249" s="14551"/>
      <c r="BG1249" s="14551"/>
      <c r="BH1249" s="14551"/>
      <c r="BI1249" s="14551"/>
      <c r="BJ1249" s="14551"/>
      <c r="BK1249" s="10799"/>
      <c r="BL1249" s="14551"/>
      <c r="BM1249" s="14551"/>
      <c r="BN1249" s="14551"/>
    </row>
    <row r="1250" spans="1:66" ht="30" hidden="1" customHeight="1">
      <c r="A1250" s="13665"/>
      <c r="B1250" s="14283"/>
      <c r="C1250" s="13607"/>
      <c r="D1250" s="12478" t="s">
        <v>10066</v>
      </c>
      <c r="E1250" s="12424"/>
      <c r="F1250" s="12229" t="s">
        <v>10094</v>
      </c>
      <c r="G1250" s="14284"/>
      <c r="H1250" s="13417"/>
      <c r="I1250" s="14279"/>
      <c r="K1250" s="10813"/>
      <c r="L1250" s="10814"/>
      <c r="M1250" s="10814"/>
      <c r="N1250" s="10815"/>
      <c r="O1250" s="10815"/>
      <c r="P1250" s="10816"/>
      <c r="Q1250" s="10817"/>
      <c r="R1250" s="10818"/>
      <c r="S1250" s="10819"/>
      <c r="T1250" s="10820"/>
      <c r="U1250" s="10817"/>
      <c r="V1250" s="10818"/>
      <c r="W1250" s="10820"/>
      <c r="X1250" s="10818"/>
      <c r="Y1250" s="10820"/>
      <c r="Z1250" s="10818"/>
      <c r="AA1250" s="10819"/>
      <c r="AB1250" s="10819"/>
      <c r="AC1250" s="10819"/>
      <c r="AD1250" s="10819"/>
      <c r="AE1250" s="10819"/>
      <c r="AF1250" s="10820"/>
      <c r="AG1250" s="10818"/>
      <c r="AH1250" s="10819"/>
      <c r="AI1250" s="10819"/>
      <c r="AJ1250" s="10819"/>
      <c r="AK1250" s="10819"/>
      <c r="AL1250" s="10819"/>
      <c r="AM1250" s="10819"/>
      <c r="AN1250" s="10820"/>
      <c r="AO1250" s="10818"/>
      <c r="AP1250" s="10819"/>
      <c r="AQ1250" s="10819"/>
      <c r="AR1250" s="10819"/>
      <c r="AS1250" s="10819"/>
      <c r="AT1250" s="10820"/>
      <c r="AU1250" s="10821"/>
      <c r="AV1250" s="10821"/>
      <c r="AW1250" s="10821"/>
      <c r="AX1250" s="10813"/>
      <c r="AY1250" s="10816"/>
      <c r="AZ1250" s="10821"/>
      <c r="BA1250" s="10813"/>
      <c r="BB1250" s="10815"/>
      <c r="BC1250" s="10816"/>
      <c r="BD1250" s="10822"/>
      <c r="BF1250" s="14551"/>
      <c r="BG1250" s="14551"/>
      <c r="BH1250" s="14551"/>
      <c r="BI1250" s="14551"/>
      <c r="BJ1250" s="14551"/>
      <c r="BK1250" s="10799"/>
      <c r="BL1250" s="14551"/>
      <c r="BM1250" s="14551"/>
      <c r="BN1250" s="14551"/>
    </row>
    <row r="1251" spans="1:66" ht="30" hidden="1" customHeight="1">
      <c r="A1251" s="9985">
        <v>793</v>
      </c>
      <c r="B1251" s="9986" t="s">
        <v>8185</v>
      </c>
      <c r="C1251" s="13607"/>
      <c r="D1251" s="12478" t="s">
        <v>10063</v>
      </c>
      <c r="E1251" s="12424" t="s">
        <v>1408</v>
      </c>
      <c r="F1251" s="12229"/>
      <c r="G1251" s="12229" t="s">
        <v>1946</v>
      </c>
      <c r="H1251" s="12230" t="s">
        <v>1947</v>
      </c>
      <c r="I1251" s="12487">
        <v>3</v>
      </c>
      <c r="K1251" s="10823"/>
      <c r="L1251" s="10665"/>
      <c r="M1251" s="10665"/>
      <c r="N1251" s="10824"/>
      <c r="O1251" s="10824"/>
      <c r="P1251" s="10825"/>
      <c r="Q1251" s="10666"/>
      <c r="R1251" s="10667"/>
      <c r="S1251" s="10668"/>
      <c r="T1251" s="10669"/>
      <c r="U1251" s="10666"/>
      <c r="V1251" s="10667"/>
      <c r="W1251" s="10669"/>
      <c r="X1251" s="10667"/>
      <c r="Y1251" s="10669"/>
      <c r="Z1251" s="10667"/>
      <c r="AA1251" s="10668"/>
      <c r="AB1251" s="10668"/>
      <c r="AC1251" s="10668"/>
      <c r="AD1251" s="10668"/>
      <c r="AE1251" s="10668"/>
      <c r="AF1251" s="10669"/>
      <c r="AG1251" s="10667"/>
      <c r="AH1251" s="10668"/>
      <c r="AI1251" s="10668"/>
      <c r="AJ1251" s="10668"/>
      <c r="AK1251" s="10668"/>
      <c r="AL1251" s="10668"/>
      <c r="AM1251" s="10668"/>
      <c r="AN1251" s="10669"/>
      <c r="AO1251" s="10667"/>
      <c r="AP1251" s="10668"/>
      <c r="AQ1251" s="10668"/>
      <c r="AR1251" s="10668"/>
      <c r="AS1251" s="10668"/>
      <c r="AT1251" s="10669"/>
      <c r="AU1251" s="10826"/>
      <c r="AV1251" s="10826"/>
      <c r="AW1251" s="10826"/>
      <c r="AX1251" s="10823"/>
      <c r="AY1251" s="10825"/>
      <c r="AZ1251" s="10826"/>
      <c r="BA1251" s="10823"/>
      <c r="BB1251" s="10824"/>
      <c r="BC1251" s="10825"/>
      <c r="BD1251" s="10827"/>
      <c r="BF1251" s="9895"/>
      <c r="BG1251" s="9895"/>
      <c r="BH1251" s="9895"/>
      <c r="BI1251" s="9895"/>
      <c r="BJ1251" s="9895"/>
      <c r="BK1251" s="9895"/>
      <c r="BL1251" s="9895"/>
      <c r="BM1251" s="9895"/>
      <c r="BN1251" s="9895"/>
    </row>
    <row r="1252" spans="1:66" ht="30" hidden="1" customHeight="1">
      <c r="A1252" s="9985">
        <v>794</v>
      </c>
      <c r="B1252" s="9986" t="s">
        <v>8186</v>
      </c>
      <c r="C1252" s="13607"/>
      <c r="D1252" s="12478" t="s">
        <v>10063</v>
      </c>
      <c r="E1252" s="12424" t="s">
        <v>1408</v>
      </c>
      <c r="F1252" s="12229"/>
      <c r="G1252" s="12229" t="s">
        <v>1948</v>
      </c>
      <c r="H1252" s="12230" t="s">
        <v>1949</v>
      </c>
      <c r="I1252" s="12488">
        <v>50</v>
      </c>
      <c r="K1252" s="10828"/>
      <c r="L1252" s="10665"/>
      <c r="M1252" s="10665"/>
      <c r="N1252" s="10829"/>
      <c r="O1252" s="10829"/>
      <c r="P1252" s="10830"/>
      <c r="Q1252" s="10666"/>
      <c r="R1252" s="10667"/>
      <c r="S1252" s="10668"/>
      <c r="T1252" s="10669"/>
      <c r="U1252" s="10666"/>
      <c r="V1252" s="10667"/>
      <c r="W1252" s="10669"/>
      <c r="X1252" s="10667"/>
      <c r="Y1252" s="10669"/>
      <c r="Z1252" s="10667"/>
      <c r="AA1252" s="10668"/>
      <c r="AB1252" s="10668"/>
      <c r="AC1252" s="10668"/>
      <c r="AD1252" s="10668"/>
      <c r="AE1252" s="10668"/>
      <c r="AF1252" s="10669"/>
      <c r="AG1252" s="10667"/>
      <c r="AH1252" s="10668"/>
      <c r="AI1252" s="10668"/>
      <c r="AJ1252" s="10668"/>
      <c r="AK1252" s="10668"/>
      <c r="AL1252" s="10668"/>
      <c r="AM1252" s="10668"/>
      <c r="AN1252" s="10669"/>
      <c r="AO1252" s="10667"/>
      <c r="AP1252" s="10668"/>
      <c r="AQ1252" s="10668"/>
      <c r="AR1252" s="10668"/>
      <c r="AS1252" s="10668"/>
      <c r="AT1252" s="10669"/>
      <c r="AU1252" s="10831"/>
      <c r="AV1252" s="10831"/>
      <c r="AW1252" s="10831"/>
      <c r="AX1252" s="10828"/>
      <c r="AY1252" s="10830"/>
      <c r="AZ1252" s="10831"/>
      <c r="BA1252" s="10828"/>
      <c r="BB1252" s="10829"/>
      <c r="BC1252" s="10830"/>
      <c r="BD1252" s="10832"/>
      <c r="BF1252" s="9895"/>
      <c r="BG1252" s="9895"/>
      <c r="BH1252" s="9895"/>
      <c r="BI1252" s="9895"/>
      <c r="BJ1252" s="9895"/>
      <c r="BK1252" s="9895"/>
      <c r="BL1252" s="9895"/>
      <c r="BM1252" s="9895"/>
      <c r="BN1252" s="9895"/>
    </row>
    <row r="1253" spans="1:66" ht="30" hidden="1" customHeight="1">
      <c r="A1253" s="10797">
        <v>795</v>
      </c>
      <c r="B1253" s="10798" t="s">
        <v>8187</v>
      </c>
      <c r="C1253" s="13607"/>
      <c r="D1253" s="12478" t="s">
        <v>10057</v>
      </c>
      <c r="E1253" s="12424" t="s">
        <v>9654</v>
      </c>
      <c r="F1253" s="12229"/>
      <c r="G1253" s="12482" t="s">
        <v>1951</v>
      </c>
      <c r="H1253" s="12230" t="s">
        <v>1952</v>
      </c>
      <c r="I1253" s="12483">
        <v>6</v>
      </c>
      <c r="K1253" s="10786"/>
      <c r="L1253" s="10665"/>
      <c r="M1253" s="10665"/>
      <c r="N1253" s="10800"/>
      <c r="O1253" s="10800"/>
      <c r="P1253" s="10801"/>
      <c r="Q1253" s="10666"/>
      <c r="R1253" s="10667"/>
      <c r="S1253" s="10668"/>
      <c r="T1253" s="10669"/>
      <c r="U1253" s="10666"/>
      <c r="V1253" s="10667"/>
      <c r="W1253" s="10669"/>
      <c r="X1253" s="10667"/>
      <c r="Y1253" s="10669"/>
      <c r="Z1253" s="10667"/>
      <c r="AA1253" s="10668"/>
      <c r="AB1253" s="10668"/>
      <c r="AC1253" s="10668"/>
      <c r="AD1253" s="10668"/>
      <c r="AE1253" s="10668"/>
      <c r="AF1253" s="10669"/>
      <c r="AG1253" s="10667"/>
      <c r="AH1253" s="10668"/>
      <c r="AI1253" s="10668"/>
      <c r="AJ1253" s="10668"/>
      <c r="AK1253" s="10668"/>
      <c r="AL1253" s="10668"/>
      <c r="AM1253" s="10668"/>
      <c r="AN1253" s="10669"/>
      <c r="AO1253" s="10667"/>
      <c r="AP1253" s="10668"/>
      <c r="AQ1253" s="10668"/>
      <c r="AR1253" s="10668"/>
      <c r="AS1253" s="10668"/>
      <c r="AT1253" s="10669"/>
      <c r="AU1253" s="10802"/>
      <c r="AV1253" s="10802"/>
      <c r="AW1253" s="10802"/>
      <c r="AX1253" s="10786"/>
      <c r="AY1253" s="10801"/>
      <c r="AZ1253" s="10802"/>
      <c r="BA1253" s="10786"/>
      <c r="BB1253" s="10800"/>
      <c r="BC1253" s="10801"/>
      <c r="BD1253" s="9985"/>
      <c r="BF1253" s="10799"/>
      <c r="BG1253" s="10799"/>
      <c r="BH1253" s="10799"/>
      <c r="BI1253" s="10799"/>
      <c r="BJ1253" s="10799"/>
      <c r="BK1253" s="10799"/>
      <c r="BL1253" s="10799"/>
      <c r="BM1253" s="10799"/>
      <c r="BN1253" s="10799"/>
    </row>
    <row r="1254" spans="1:66" ht="30" hidden="1" customHeight="1">
      <c r="A1254" s="10797">
        <v>796</v>
      </c>
      <c r="B1254" s="10798" t="s">
        <v>8188</v>
      </c>
      <c r="C1254" s="13607"/>
      <c r="D1254" s="12478" t="s">
        <v>10070</v>
      </c>
      <c r="E1254" s="12424" t="s">
        <v>512</v>
      </c>
      <c r="F1254" s="12229"/>
      <c r="G1254" s="12482" t="s">
        <v>1954</v>
      </c>
      <c r="H1254" s="12230" t="s">
        <v>1955</v>
      </c>
      <c r="I1254" s="12489">
        <v>1</v>
      </c>
      <c r="K1254" s="10833"/>
      <c r="L1254" s="10665"/>
      <c r="M1254" s="10665"/>
      <c r="N1254" s="10834"/>
      <c r="O1254" s="10834"/>
      <c r="P1254" s="10835"/>
      <c r="Q1254" s="10666"/>
      <c r="R1254" s="10667"/>
      <c r="S1254" s="10668"/>
      <c r="T1254" s="10669"/>
      <c r="U1254" s="10666"/>
      <c r="V1254" s="10667"/>
      <c r="W1254" s="10669"/>
      <c r="X1254" s="10667"/>
      <c r="Y1254" s="10669"/>
      <c r="Z1254" s="10667"/>
      <c r="AA1254" s="10668"/>
      <c r="AB1254" s="10668"/>
      <c r="AC1254" s="10668"/>
      <c r="AD1254" s="10668"/>
      <c r="AE1254" s="10668"/>
      <c r="AF1254" s="10669"/>
      <c r="AG1254" s="10667"/>
      <c r="AH1254" s="10668"/>
      <c r="AI1254" s="10668"/>
      <c r="AJ1254" s="10668"/>
      <c r="AK1254" s="10668"/>
      <c r="AL1254" s="10668"/>
      <c r="AM1254" s="10668"/>
      <c r="AN1254" s="10669"/>
      <c r="AO1254" s="10667"/>
      <c r="AP1254" s="10668"/>
      <c r="AQ1254" s="10668"/>
      <c r="AR1254" s="10668"/>
      <c r="AS1254" s="10668"/>
      <c r="AT1254" s="10669"/>
      <c r="AU1254" s="10836"/>
      <c r="AV1254" s="10836"/>
      <c r="AW1254" s="10836"/>
      <c r="AX1254" s="10833"/>
      <c r="AY1254" s="10835"/>
      <c r="AZ1254" s="10836"/>
      <c r="BA1254" s="10833"/>
      <c r="BB1254" s="10834"/>
      <c r="BC1254" s="10835"/>
      <c r="BD1254" s="10837"/>
      <c r="BF1254" s="10799"/>
      <c r="BG1254" s="10799"/>
      <c r="BH1254" s="10799"/>
      <c r="BI1254" s="10799"/>
      <c r="BJ1254" s="10799"/>
      <c r="BK1254" s="10799"/>
      <c r="BL1254" s="10799"/>
      <c r="BM1254" s="10799"/>
      <c r="BN1254" s="10799"/>
    </row>
    <row r="1255" spans="1:66" ht="30" hidden="1" customHeight="1">
      <c r="A1255" s="10797">
        <v>797</v>
      </c>
      <c r="B1255" s="10798" t="s">
        <v>8189</v>
      </c>
      <c r="C1255" s="13607"/>
      <c r="D1255" s="12478" t="s">
        <v>10070</v>
      </c>
      <c r="E1255" s="12424" t="s">
        <v>512</v>
      </c>
      <c r="F1255" s="12229"/>
      <c r="G1255" s="12482" t="s">
        <v>1956</v>
      </c>
      <c r="H1255" s="12230" t="s">
        <v>1957</v>
      </c>
      <c r="I1255" s="12489">
        <v>0</v>
      </c>
      <c r="K1255" s="10833"/>
      <c r="L1255" s="10665"/>
      <c r="M1255" s="10665"/>
      <c r="N1255" s="10834"/>
      <c r="O1255" s="10834"/>
      <c r="P1255" s="10835"/>
      <c r="Q1255" s="10666"/>
      <c r="R1255" s="10667"/>
      <c r="S1255" s="10668"/>
      <c r="T1255" s="10669"/>
      <c r="U1255" s="10666"/>
      <c r="V1255" s="10667"/>
      <c r="W1255" s="10669"/>
      <c r="X1255" s="10667"/>
      <c r="Y1255" s="10669"/>
      <c r="Z1255" s="10667"/>
      <c r="AA1255" s="10668"/>
      <c r="AB1255" s="10668"/>
      <c r="AC1255" s="10668"/>
      <c r="AD1255" s="10668"/>
      <c r="AE1255" s="10668"/>
      <c r="AF1255" s="10669"/>
      <c r="AG1255" s="10667"/>
      <c r="AH1255" s="10668"/>
      <c r="AI1255" s="10668"/>
      <c r="AJ1255" s="10668"/>
      <c r="AK1255" s="10668"/>
      <c r="AL1255" s="10668"/>
      <c r="AM1255" s="10668"/>
      <c r="AN1255" s="10669"/>
      <c r="AO1255" s="10667"/>
      <c r="AP1255" s="10668"/>
      <c r="AQ1255" s="10668"/>
      <c r="AR1255" s="10668"/>
      <c r="AS1255" s="10668"/>
      <c r="AT1255" s="10669"/>
      <c r="AU1255" s="10836"/>
      <c r="AV1255" s="10836"/>
      <c r="AW1255" s="10836"/>
      <c r="AX1255" s="10833"/>
      <c r="AY1255" s="10835"/>
      <c r="AZ1255" s="10836"/>
      <c r="BA1255" s="10833"/>
      <c r="BB1255" s="10834"/>
      <c r="BC1255" s="10835"/>
      <c r="BD1255" s="10837"/>
      <c r="BF1255" s="10799"/>
      <c r="BG1255" s="10799"/>
      <c r="BH1255" s="10799"/>
      <c r="BI1255" s="10799"/>
      <c r="BJ1255" s="10799"/>
      <c r="BK1255" s="10799"/>
      <c r="BL1255" s="10799"/>
      <c r="BM1255" s="10799"/>
      <c r="BN1255" s="10799"/>
    </row>
    <row r="1256" spans="1:66" ht="30" hidden="1" customHeight="1">
      <c r="A1256" s="9985">
        <v>798</v>
      </c>
      <c r="B1256" s="9986" t="s">
        <v>8190</v>
      </c>
      <c r="C1256" s="13607"/>
      <c r="D1256" s="12478" t="s">
        <v>10063</v>
      </c>
      <c r="E1256" s="12424" t="s">
        <v>1408</v>
      </c>
      <c r="F1256" s="12229"/>
      <c r="G1256" s="12229" t="s">
        <v>1959</v>
      </c>
      <c r="H1256" s="12230" t="s">
        <v>1960</v>
      </c>
      <c r="I1256" s="12483">
        <v>1</v>
      </c>
      <c r="K1256" s="10786"/>
      <c r="L1256" s="10665"/>
      <c r="M1256" s="10665"/>
      <c r="N1256" s="10800"/>
      <c r="O1256" s="10800"/>
      <c r="P1256" s="10801"/>
      <c r="Q1256" s="10666"/>
      <c r="R1256" s="10667"/>
      <c r="S1256" s="10668"/>
      <c r="T1256" s="10669"/>
      <c r="U1256" s="10666"/>
      <c r="V1256" s="10667"/>
      <c r="W1256" s="10669"/>
      <c r="X1256" s="10667"/>
      <c r="Y1256" s="10669"/>
      <c r="Z1256" s="10667"/>
      <c r="AA1256" s="10668"/>
      <c r="AB1256" s="10668"/>
      <c r="AC1256" s="10668"/>
      <c r="AD1256" s="10668"/>
      <c r="AE1256" s="10668"/>
      <c r="AF1256" s="10669"/>
      <c r="AG1256" s="10667"/>
      <c r="AH1256" s="10668"/>
      <c r="AI1256" s="10668"/>
      <c r="AJ1256" s="10668"/>
      <c r="AK1256" s="10668"/>
      <c r="AL1256" s="10668"/>
      <c r="AM1256" s="10668"/>
      <c r="AN1256" s="10669"/>
      <c r="AO1256" s="10667"/>
      <c r="AP1256" s="10668"/>
      <c r="AQ1256" s="10668"/>
      <c r="AR1256" s="10668"/>
      <c r="AS1256" s="10668"/>
      <c r="AT1256" s="10669"/>
      <c r="AU1256" s="10802"/>
      <c r="AV1256" s="10802"/>
      <c r="AW1256" s="10802"/>
      <c r="AX1256" s="10786"/>
      <c r="AY1256" s="10801"/>
      <c r="AZ1256" s="10802"/>
      <c r="BA1256" s="10786"/>
      <c r="BB1256" s="10800"/>
      <c r="BC1256" s="10801"/>
      <c r="BD1256" s="9985"/>
      <c r="BF1256" s="9895"/>
      <c r="BG1256" s="9895"/>
      <c r="BH1256" s="9895"/>
      <c r="BI1256" s="9895"/>
      <c r="BJ1256" s="9895"/>
      <c r="BK1256" s="9895"/>
      <c r="BL1256" s="9895"/>
      <c r="BM1256" s="9895"/>
      <c r="BN1256" s="9895"/>
    </row>
    <row r="1257" spans="1:66" ht="30" hidden="1" customHeight="1">
      <c r="A1257" s="9985">
        <v>799</v>
      </c>
      <c r="B1257" s="9986" t="s">
        <v>8191</v>
      </c>
      <c r="C1257" s="13607"/>
      <c r="D1257" s="12478" t="s">
        <v>10063</v>
      </c>
      <c r="E1257" s="12424" t="s">
        <v>144</v>
      </c>
      <c r="F1257" s="12229"/>
      <c r="G1257" s="12229" t="s">
        <v>1961</v>
      </c>
      <c r="H1257" s="12230" t="s">
        <v>1962</v>
      </c>
      <c r="I1257" s="12483">
        <v>1</v>
      </c>
      <c r="K1257" s="10786"/>
      <c r="L1257" s="10665"/>
      <c r="M1257" s="10665"/>
      <c r="N1257" s="10800"/>
      <c r="O1257" s="10800"/>
      <c r="P1257" s="10801"/>
      <c r="Q1257" s="10666"/>
      <c r="R1257" s="10667"/>
      <c r="S1257" s="10668"/>
      <c r="T1257" s="10669"/>
      <c r="U1257" s="10666"/>
      <c r="V1257" s="10667"/>
      <c r="W1257" s="10669"/>
      <c r="X1257" s="10667"/>
      <c r="Y1257" s="10669"/>
      <c r="Z1257" s="10667"/>
      <c r="AA1257" s="10668"/>
      <c r="AB1257" s="10668"/>
      <c r="AC1257" s="10668"/>
      <c r="AD1257" s="10668"/>
      <c r="AE1257" s="10668"/>
      <c r="AF1257" s="10669"/>
      <c r="AG1257" s="10667"/>
      <c r="AH1257" s="10668"/>
      <c r="AI1257" s="10668"/>
      <c r="AJ1257" s="10668"/>
      <c r="AK1257" s="10668"/>
      <c r="AL1257" s="10668"/>
      <c r="AM1257" s="10668"/>
      <c r="AN1257" s="10669"/>
      <c r="AO1257" s="10667"/>
      <c r="AP1257" s="10668"/>
      <c r="AQ1257" s="10668"/>
      <c r="AR1257" s="10668"/>
      <c r="AS1257" s="10668"/>
      <c r="AT1257" s="10669"/>
      <c r="AU1257" s="10802"/>
      <c r="AV1257" s="10802"/>
      <c r="AW1257" s="10802"/>
      <c r="AX1257" s="10786"/>
      <c r="AY1257" s="10801"/>
      <c r="AZ1257" s="10802"/>
      <c r="BA1257" s="10786"/>
      <c r="BB1257" s="10800"/>
      <c r="BC1257" s="10801"/>
      <c r="BD1257" s="9985"/>
      <c r="BF1257" s="9895"/>
      <c r="BG1257" s="9895"/>
      <c r="BH1257" s="9895"/>
      <c r="BI1257" s="9895"/>
      <c r="BJ1257" s="9895"/>
      <c r="BK1257" s="9895"/>
      <c r="BL1257" s="9895"/>
      <c r="BM1257" s="9895"/>
      <c r="BN1257" s="9895"/>
    </row>
    <row r="1258" spans="1:66" ht="30" hidden="1" customHeight="1">
      <c r="A1258" s="10797">
        <v>800</v>
      </c>
      <c r="B1258" s="10798" t="s">
        <v>8192</v>
      </c>
      <c r="C1258" s="13607"/>
      <c r="D1258" s="12478" t="s">
        <v>10290</v>
      </c>
      <c r="E1258" s="12424" t="s">
        <v>1966</v>
      </c>
      <c r="F1258" s="12229"/>
      <c r="G1258" s="12482" t="s">
        <v>1964</v>
      </c>
      <c r="H1258" s="12230" t="s">
        <v>1965</v>
      </c>
      <c r="I1258" s="12483">
        <v>14</v>
      </c>
      <c r="K1258" s="10786"/>
      <c r="L1258" s="10665"/>
      <c r="M1258" s="10665"/>
      <c r="N1258" s="10800"/>
      <c r="O1258" s="10800"/>
      <c r="P1258" s="10801"/>
      <c r="Q1258" s="10666"/>
      <c r="R1258" s="10667"/>
      <c r="S1258" s="10668"/>
      <c r="T1258" s="10669"/>
      <c r="U1258" s="10666"/>
      <c r="V1258" s="10667"/>
      <c r="W1258" s="10669"/>
      <c r="X1258" s="10667"/>
      <c r="Y1258" s="10669"/>
      <c r="Z1258" s="10667"/>
      <c r="AA1258" s="10668"/>
      <c r="AB1258" s="10668"/>
      <c r="AC1258" s="10668"/>
      <c r="AD1258" s="10668"/>
      <c r="AE1258" s="10668"/>
      <c r="AF1258" s="10669"/>
      <c r="AG1258" s="10667"/>
      <c r="AH1258" s="10668"/>
      <c r="AI1258" s="10668"/>
      <c r="AJ1258" s="10668"/>
      <c r="AK1258" s="10668"/>
      <c r="AL1258" s="10668"/>
      <c r="AM1258" s="10668"/>
      <c r="AN1258" s="10669"/>
      <c r="AO1258" s="10667"/>
      <c r="AP1258" s="10668"/>
      <c r="AQ1258" s="10668"/>
      <c r="AR1258" s="10668"/>
      <c r="AS1258" s="10668"/>
      <c r="AT1258" s="10669"/>
      <c r="AU1258" s="10802"/>
      <c r="AV1258" s="10802"/>
      <c r="AW1258" s="10802"/>
      <c r="AX1258" s="10786"/>
      <c r="AY1258" s="10801"/>
      <c r="AZ1258" s="10802"/>
      <c r="BA1258" s="10786"/>
      <c r="BB1258" s="10800"/>
      <c r="BC1258" s="10801"/>
      <c r="BD1258" s="9985"/>
      <c r="BF1258" s="10799"/>
      <c r="BG1258" s="10799"/>
      <c r="BH1258" s="10799"/>
      <c r="BI1258" s="10799"/>
      <c r="BJ1258" s="10799"/>
      <c r="BK1258" s="10799"/>
      <c r="BL1258" s="10799"/>
      <c r="BM1258" s="10799"/>
      <c r="BN1258" s="10799"/>
    </row>
    <row r="1259" spans="1:66" ht="30" hidden="1" customHeight="1">
      <c r="A1259" s="10797">
        <v>801</v>
      </c>
      <c r="B1259" s="10798" t="s">
        <v>8193</v>
      </c>
      <c r="C1259" s="13607"/>
      <c r="D1259" s="12478" t="s">
        <v>10290</v>
      </c>
      <c r="E1259" s="12424" t="s">
        <v>1966</v>
      </c>
      <c r="F1259" s="12229"/>
      <c r="G1259" s="12482" t="s">
        <v>1967</v>
      </c>
      <c r="H1259" s="12490" t="s">
        <v>1968</v>
      </c>
      <c r="I1259" s="12483">
        <v>7</v>
      </c>
      <c r="K1259" s="10786"/>
      <c r="L1259" s="10665"/>
      <c r="M1259" s="10665"/>
      <c r="N1259" s="10800"/>
      <c r="O1259" s="10800"/>
      <c r="P1259" s="10801"/>
      <c r="Q1259" s="10666"/>
      <c r="R1259" s="10667"/>
      <c r="S1259" s="10668"/>
      <c r="T1259" s="10669"/>
      <c r="U1259" s="10666"/>
      <c r="V1259" s="10667"/>
      <c r="W1259" s="10669"/>
      <c r="X1259" s="10667"/>
      <c r="Y1259" s="10669"/>
      <c r="Z1259" s="10667"/>
      <c r="AA1259" s="10668"/>
      <c r="AB1259" s="10668"/>
      <c r="AC1259" s="10668"/>
      <c r="AD1259" s="10668"/>
      <c r="AE1259" s="10668"/>
      <c r="AF1259" s="10669"/>
      <c r="AG1259" s="10667"/>
      <c r="AH1259" s="10668"/>
      <c r="AI1259" s="10668"/>
      <c r="AJ1259" s="10668"/>
      <c r="AK1259" s="10668"/>
      <c r="AL1259" s="10668"/>
      <c r="AM1259" s="10668"/>
      <c r="AN1259" s="10669"/>
      <c r="AO1259" s="10667"/>
      <c r="AP1259" s="10668"/>
      <c r="AQ1259" s="10668"/>
      <c r="AR1259" s="10668"/>
      <c r="AS1259" s="10668"/>
      <c r="AT1259" s="10669"/>
      <c r="AU1259" s="10802"/>
      <c r="AV1259" s="10802"/>
      <c r="AW1259" s="10802"/>
      <c r="AX1259" s="10786"/>
      <c r="AY1259" s="10801"/>
      <c r="AZ1259" s="10802"/>
      <c r="BA1259" s="10786"/>
      <c r="BB1259" s="10800"/>
      <c r="BC1259" s="10801"/>
      <c r="BD1259" s="9985"/>
      <c r="BF1259" s="10799"/>
      <c r="BG1259" s="10799"/>
      <c r="BH1259" s="10799"/>
      <c r="BI1259" s="10799"/>
      <c r="BJ1259" s="10799"/>
      <c r="BK1259" s="10799"/>
      <c r="BL1259" s="10799"/>
      <c r="BM1259" s="10799"/>
      <c r="BN1259" s="10799"/>
    </row>
    <row r="1260" spans="1:66" ht="30" hidden="1" customHeight="1">
      <c r="A1260" s="10797">
        <v>802</v>
      </c>
      <c r="B1260" s="10798" t="s">
        <v>8194</v>
      </c>
      <c r="C1260" s="13607"/>
      <c r="D1260" s="12478" t="s">
        <v>10072</v>
      </c>
      <c r="E1260" s="12491" t="s">
        <v>844</v>
      </c>
      <c r="F1260" s="12492"/>
      <c r="G1260" s="12482" t="s">
        <v>1969</v>
      </c>
      <c r="H1260" s="12230" t="s">
        <v>1970</v>
      </c>
      <c r="I1260" s="12483">
        <v>1</v>
      </c>
      <c r="K1260" s="10786"/>
      <c r="L1260" s="10665"/>
      <c r="M1260" s="10665"/>
      <c r="N1260" s="10800"/>
      <c r="O1260" s="10800"/>
      <c r="P1260" s="10801"/>
      <c r="Q1260" s="10666"/>
      <c r="R1260" s="10667"/>
      <c r="S1260" s="10668"/>
      <c r="T1260" s="10669"/>
      <c r="U1260" s="10666"/>
      <c r="V1260" s="10667"/>
      <c r="W1260" s="10669"/>
      <c r="X1260" s="10667"/>
      <c r="Y1260" s="10669"/>
      <c r="Z1260" s="10667"/>
      <c r="AA1260" s="10668"/>
      <c r="AB1260" s="10668"/>
      <c r="AC1260" s="10668"/>
      <c r="AD1260" s="10668"/>
      <c r="AE1260" s="10668"/>
      <c r="AF1260" s="10669"/>
      <c r="AG1260" s="10667"/>
      <c r="AH1260" s="10668"/>
      <c r="AI1260" s="10668"/>
      <c r="AJ1260" s="10668"/>
      <c r="AK1260" s="10668"/>
      <c r="AL1260" s="10668"/>
      <c r="AM1260" s="10668"/>
      <c r="AN1260" s="10669"/>
      <c r="AO1260" s="10667"/>
      <c r="AP1260" s="10668"/>
      <c r="AQ1260" s="10668"/>
      <c r="AR1260" s="10668"/>
      <c r="AS1260" s="10668"/>
      <c r="AT1260" s="10669"/>
      <c r="AU1260" s="10802"/>
      <c r="AV1260" s="10802"/>
      <c r="AW1260" s="10802"/>
      <c r="AX1260" s="10786"/>
      <c r="AY1260" s="10801"/>
      <c r="AZ1260" s="10802"/>
      <c r="BA1260" s="10786"/>
      <c r="BB1260" s="10800"/>
      <c r="BC1260" s="10801"/>
      <c r="BD1260" s="9985"/>
      <c r="BF1260" s="10799"/>
      <c r="BG1260" s="10799"/>
      <c r="BH1260" s="10799"/>
      <c r="BI1260" s="10799"/>
      <c r="BJ1260" s="10799"/>
      <c r="BK1260" s="10799"/>
      <c r="BL1260" s="10799"/>
      <c r="BM1260" s="10799"/>
      <c r="BN1260" s="10799"/>
    </row>
    <row r="1261" spans="1:66" ht="30" hidden="1" customHeight="1">
      <c r="A1261" s="13665">
        <v>803</v>
      </c>
      <c r="B1261" s="14283" t="s">
        <v>8195</v>
      </c>
      <c r="C1261" s="13607"/>
      <c r="D1261" s="12478" t="s">
        <v>10183</v>
      </c>
      <c r="E1261" s="12424" t="s">
        <v>934</v>
      </c>
      <c r="F1261" s="12486"/>
      <c r="G1261" s="14284" t="s">
        <v>1971</v>
      </c>
      <c r="H1261" s="13417" t="s">
        <v>1972</v>
      </c>
      <c r="I1261" s="14279">
        <v>400</v>
      </c>
      <c r="K1261" s="10813"/>
      <c r="L1261" s="10814"/>
      <c r="M1261" s="10814"/>
      <c r="N1261" s="10815"/>
      <c r="O1261" s="10815"/>
      <c r="P1261" s="10816"/>
      <c r="Q1261" s="10817"/>
      <c r="R1261" s="10818"/>
      <c r="S1261" s="10819"/>
      <c r="T1261" s="10820"/>
      <c r="U1261" s="10817"/>
      <c r="V1261" s="10818"/>
      <c r="W1261" s="10820"/>
      <c r="X1261" s="10818"/>
      <c r="Y1261" s="10820"/>
      <c r="Z1261" s="10818"/>
      <c r="AA1261" s="10819"/>
      <c r="AB1261" s="10819"/>
      <c r="AC1261" s="10819"/>
      <c r="AD1261" s="10819"/>
      <c r="AE1261" s="10819"/>
      <c r="AF1261" s="10820"/>
      <c r="AG1261" s="10818"/>
      <c r="AH1261" s="10819"/>
      <c r="AI1261" s="10819"/>
      <c r="AJ1261" s="10819"/>
      <c r="AK1261" s="10819"/>
      <c r="AL1261" s="10819"/>
      <c r="AM1261" s="10819"/>
      <c r="AN1261" s="10820"/>
      <c r="AO1261" s="10818"/>
      <c r="AP1261" s="10819"/>
      <c r="AQ1261" s="10819"/>
      <c r="AR1261" s="10819"/>
      <c r="AS1261" s="10819"/>
      <c r="AT1261" s="10820"/>
      <c r="AU1261" s="10821"/>
      <c r="AV1261" s="10821"/>
      <c r="AW1261" s="10821"/>
      <c r="AX1261" s="10813"/>
      <c r="AY1261" s="10816"/>
      <c r="AZ1261" s="10821"/>
      <c r="BA1261" s="10813"/>
      <c r="BB1261" s="10815"/>
      <c r="BC1261" s="10816"/>
      <c r="BD1261" s="10822"/>
      <c r="BF1261" s="14551"/>
      <c r="BG1261" s="14551"/>
      <c r="BH1261" s="14551"/>
      <c r="BI1261" s="14551"/>
      <c r="BJ1261" s="14551"/>
      <c r="BK1261" s="10799"/>
      <c r="BL1261" s="14551"/>
      <c r="BM1261" s="14551"/>
      <c r="BN1261" s="14551"/>
    </row>
    <row r="1262" spans="1:66" ht="30" hidden="1" customHeight="1">
      <c r="A1262" s="13665"/>
      <c r="B1262" s="14283"/>
      <c r="C1262" s="13607"/>
      <c r="D1262" s="12478" t="s">
        <v>4338</v>
      </c>
      <c r="E1262" s="12424"/>
      <c r="F1262" s="12229" t="s">
        <v>4338</v>
      </c>
      <c r="G1262" s="14284"/>
      <c r="H1262" s="13417"/>
      <c r="I1262" s="14279"/>
      <c r="K1262" s="10813"/>
      <c r="L1262" s="10814"/>
      <c r="M1262" s="10814"/>
      <c r="N1262" s="10815"/>
      <c r="O1262" s="10815"/>
      <c r="P1262" s="10816"/>
      <c r="Q1262" s="10817"/>
      <c r="R1262" s="10818"/>
      <c r="S1262" s="10819"/>
      <c r="T1262" s="10820"/>
      <c r="U1262" s="10817"/>
      <c r="V1262" s="10818"/>
      <c r="W1262" s="10820"/>
      <c r="X1262" s="10818"/>
      <c r="Y1262" s="10820"/>
      <c r="Z1262" s="10818"/>
      <c r="AA1262" s="10819"/>
      <c r="AB1262" s="10819"/>
      <c r="AC1262" s="10819"/>
      <c r="AD1262" s="10819"/>
      <c r="AE1262" s="10819"/>
      <c r="AF1262" s="10820"/>
      <c r="AG1262" s="10818"/>
      <c r="AH1262" s="10819"/>
      <c r="AI1262" s="10819"/>
      <c r="AJ1262" s="10819"/>
      <c r="AK1262" s="10819"/>
      <c r="AL1262" s="10819"/>
      <c r="AM1262" s="10819"/>
      <c r="AN1262" s="10820"/>
      <c r="AO1262" s="10818"/>
      <c r="AP1262" s="10819"/>
      <c r="AQ1262" s="10819"/>
      <c r="AR1262" s="10819"/>
      <c r="AS1262" s="10819"/>
      <c r="AT1262" s="10820"/>
      <c r="AU1262" s="10821"/>
      <c r="AV1262" s="10821"/>
      <c r="AW1262" s="10821"/>
      <c r="AX1262" s="10813"/>
      <c r="AY1262" s="10816"/>
      <c r="AZ1262" s="10821"/>
      <c r="BA1262" s="10813"/>
      <c r="BB1262" s="10815"/>
      <c r="BC1262" s="10816"/>
      <c r="BD1262" s="10822"/>
      <c r="BF1262" s="14551"/>
      <c r="BG1262" s="14551"/>
      <c r="BH1262" s="14551"/>
      <c r="BI1262" s="14551"/>
      <c r="BJ1262" s="14551"/>
      <c r="BK1262" s="10799"/>
      <c r="BL1262" s="14551"/>
      <c r="BM1262" s="14551"/>
      <c r="BN1262" s="14551"/>
    </row>
    <row r="1263" spans="1:66" ht="30" hidden="1" customHeight="1">
      <c r="A1263" s="10797">
        <v>804</v>
      </c>
      <c r="B1263" s="10798" t="s">
        <v>8196</v>
      </c>
      <c r="C1263" s="13607"/>
      <c r="D1263" s="12478" t="s">
        <v>10066</v>
      </c>
      <c r="E1263" s="12424" t="s">
        <v>298</v>
      </c>
      <c r="F1263" s="12229"/>
      <c r="G1263" s="12482" t="s">
        <v>1973</v>
      </c>
      <c r="H1263" s="12230" t="s">
        <v>1974</v>
      </c>
      <c r="I1263" s="12483">
        <v>10</v>
      </c>
      <c r="K1263" s="10786"/>
      <c r="L1263" s="10665"/>
      <c r="M1263" s="10665"/>
      <c r="N1263" s="10800"/>
      <c r="O1263" s="10800"/>
      <c r="P1263" s="10801"/>
      <c r="Q1263" s="10666"/>
      <c r="R1263" s="10667"/>
      <c r="S1263" s="10668"/>
      <c r="T1263" s="10669"/>
      <c r="U1263" s="10666"/>
      <c r="V1263" s="10667"/>
      <c r="W1263" s="10669"/>
      <c r="X1263" s="10667"/>
      <c r="Y1263" s="10669"/>
      <c r="Z1263" s="10667"/>
      <c r="AA1263" s="10668"/>
      <c r="AB1263" s="10668"/>
      <c r="AC1263" s="10668"/>
      <c r="AD1263" s="10668"/>
      <c r="AE1263" s="10668"/>
      <c r="AF1263" s="10669"/>
      <c r="AG1263" s="10667"/>
      <c r="AH1263" s="10668"/>
      <c r="AI1263" s="10668"/>
      <c r="AJ1263" s="10668"/>
      <c r="AK1263" s="10668"/>
      <c r="AL1263" s="10668"/>
      <c r="AM1263" s="10668"/>
      <c r="AN1263" s="10669"/>
      <c r="AO1263" s="10667"/>
      <c r="AP1263" s="10668"/>
      <c r="AQ1263" s="10668"/>
      <c r="AR1263" s="10668"/>
      <c r="AS1263" s="10668"/>
      <c r="AT1263" s="10669"/>
      <c r="AU1263" s="10802"/>
      <c r="AV1263" s="10802"/>
      <c r="AW1263" s="10802"/>
      <c r="AX1263" s="10786"/>
      <c r="AY1263" s="10801"/>
      <c r="AZ1263" s="10802"/>
      <c r="BA1263" s="10786"/>
      <c r="BB1263" s="10800"/>
      <c r="BC1263" s="10801"/>
      <c r="BD1263" s="9985"/>
      <c r="BF1263" s="10799"/>
      <c r="BG1263" s="10799"/>
      <c r="BH1263" s="10799"/>
      <c r="BI1263" s="10799"/>
      <c r="BJ1263" s="10799"/>
      <c r="BK1263" s="10799"/>
      <c r="BL1263" s="10799"/>
      <c r="BM1263" s="10799"/>
      <c r="BN1263" s="10799"/>
    </row>
    <row r="1264" spans="1:66" ht="30" hidden="1" customHeight="1">
      <c r="A1264" s="10797">
        <v>805</v>
      </c>
      <c r="B1264" s="10798" t="s">
        <v>8197</v>
      </c>
      <c r="C1264" s="13607"/>
      <c r="D1264" s="12478" t="s">
        <v>2896</v>
      </c>
      <c r="E1264" s="12424" t="s">
        <v>163</v>
      </c>
      <c r="F1264" s="12229"/>
      <c r="G1264" s="12482" t="s">
        <v>1975</v>
      </c>
      <c r="H1264" s="12230" t="s">
        <v>1976</v>
      </c>
      <c r="I1264" s="12483">
        <v>10</v>
      </c>
      <c r="K1264" s="10786"/>
      <c r="L1264" s="10665"/>
      <c r="M1264" s="10665"/>
      <c r="N1264" s="10800"/>
      <c r="O1264" s="10800"/>
      <c r="P1264" s="10801"/>
      <c r="Q1264" s="10666"/>
      <c r="R1264" s="10667"/>
      <c r="S1264" s="10668"/>
      <c r="T1264" s="10669"/>
      <c r="U1264" s="10666"/>
      <c r="V1264" s="10667"/>
      <c r="W1264" s="10669"/>
      <c r="X1264" s="10667"/>
      <c r="Y1264" s="10669"/>
      <c r="Z1264" s="10667"/>
      <c r="AA1264" s="10668"/>
      <c r="AB1264" s="10668"/>
      <c r="AC1264" s="10668"/>
      <c r="AD1264" s="10668"/>
      <c r="AE1264" s="10668"/>
      <c r="AF1264" s="10669"/>
      <c r="AG1264" s="10667"/>
      <c r="AH1264" s="10668"/>
      <c r="AI1264" s="10668"/>
      <c r="AJ1264" s="10668"/>
      <c r="AK1264" s="10668"/>
      <c r="AL1264" s="10668"/>
      <c r="AM1264" s="10668"/>
      <c r="AN1264" s="10669"/>
      <c r="AO1264" s="10667"/>
      <c r="AP1264" s="10668"/>
      <c r="AQ1264" s="10668"/>
      <c r="AR1264" s="10668"/>
      <c r="AS1264" s="10668"/>
      <c r="AT1264" s="10669"/>
      <c r="AU1264" s="10802"/>
      <c r="AV1264" s="10802"/>
      <c r="AW1264" s="10802"/>
      <c r="AX1264" s="10786"/>
      <c r="AY1264" s="10801"/>
      <c r="AZ1264" s="10802"/>
      <c r="BA1264" s="10786"/>
      <c r="BB1264" s="10800"/>
      <c r="BC1264" s="10801"/>
      <c r="BD1264" s="9985"/>
      <c r="BF1264" s="10799"/>
      <c r="BG1264" s="10799"/>
      <c r="BH1264" s="10799"/>
      <c r="BI1264" s="10799"/>
      <c r="BJ1264" s="10799"/>
      <c r="BK1264" s="10799"/>
      <c r="BL1264" s="10799"/>
      <c r="BM1264" s="10799"/>
      <c r="BN1264" s="10799"/>
    </row>
    <row r="1265" spans="1:66" ht="30" hidden="1" customHeight="1">
      <c r="A1265" s="10797">
        <v>806</v>
      </c>
      <c r="B1265" s="10798" t="s">
        <v>8198</v>
      </c>
      <c r="C1265" s="13607"/>
      <c r="D1265" s="12478" t="s">
        <v>10072</v>
      </c>
      <c r="E1265" s="12491" t="s">
        <v>844</v>
      </c>
      <c r="F1265" s="12492"/>
      <c r="G1265" s="12482" t="s">
        <v>1977</v>
      </c>
      <c r="H1265" s="12230" t="s">
        <v>1978</v>
      </c>
      <c r="I1265" s="12483">
        <v>150</v>
      </c>
      <c r="K1265" s="10786"/>
      <c r="L1265" s="10665"/>
      <c r="M1265" s="10665"/>
      <c r="N1265" s="10800"/>
      <c r="O1265" s="10800"/>
      <c r="P1265" s="10801"/>
      <c r="Q1265" s="10666"/>
      <c r="R1265" s="10667"/>
      <c r="S1265" s="10668"/>
      <c r="T1265" s="10669"/>
      <c r="U1265" s="10666"/>
      <c r="V1265" s="10667"/>
      <c r="W1265" s="10669"/>
      <c r="X1265" s="10667"/>
      <c r="Y1265" s="10669"/>
      <c r="Z1265" s="10667"/>
      <c r="AA1265" s="10668"/>
      <c r="AB1265" s="10668"/>
      <c r="AC1265" s="10668"/>
      <c r="AD1265" s="10668"/>
      <c r="AE1265" s="10668"/>
      <c r="AF1265" s="10669"/>
      <c r="AG1265" s="10667"/>
      <c r="AH1265" s="10668"/>
      <c r="AI1265" s="10668"/>
      <c r="AJ1265" s="10668"/>
      <c r="AK1265" s="10668"/>
      <c r="AL1265" s="10668"/>
      <c r="AM1265" s="10668"/>
      <c r="AN1265" s="10669"/>
      <c r="AO1265" s="10667"/>
      <c r="AP1265" s="10668"/>
      <c r="AQ1265" s="10668"/>
      <c r="AR1265" s="10668"/>
      <c r="AS1265" s="10668"/>
      <c r="AT1265" s="10669"/>
      <c r="AU1265" s="10802"/>
      <c r="AV1265" s="10802"/>
      <c r="AW1265" s="10802"/>
      <c r="AX1265" s="10786"/>
      <c r="AY1265" s="10801"/>
      <c r="AZ1265" s="10802"/>
      <c r="BA1265" s="10786"/>
      <c r="BB1265" s="10800"/>
      <c r="BC1265" s="10801"/>
      <c r="BD1265" s="9985"/>
      <c r="BF1265" s="10799"/>
      <c r="BG1265" s="10799"/>
      <c r="BH1265" s="10799"/>
      <c r="BI1265" s="10799"/>
      <c r="BJ1265" s="10799"/>
      <c r="BK1265" s="10799"/>
      <c r="BL1265" s="10799"/>
      <c r="BM1265" s="10799"/>
      <c r="BN1265" s="10799"/>
    </row>
    <row r="1266" spans="1:66" ht="30" hidden="1" customHeight="1">
      <c r="A1266" s="10797">
        <v>807</v>
      </c>
      <c r="B1266" s="10798" t="s">
        <v>8199</v>
      </c>
      <c r="C1266" s="13607"/>
      <c r="D1266" s="12478" t="s">
        <v>10072</v>
      </c>
      <c r="E1266" s="12491" t="s">
        <v>844</v>
      </c>
      <c r="F1266" s="12492"/>
      <c r="G1266" s="12482" t="s">
        <v>1979</v>
      </c>
      <c r="H1266" s="12230" t="s">
        <v>1980</v>
      </c>
      <c r="I1266" s="12483">
        <v>350</v>
      </c>
      <c r="K1266" s="10786"/>
      <c r="L1266" s="10665"/>
      <c r="M1266" s="10665"/>
      <c r="N1266" s="10800"/>
      <c r="O1266" s="10800"/>
      <c r="P1266" s="10801"/>
      <c r="Q1266" s="10666"/>
      <c r="R1266" s="10667"/>
      <c r="S1266" s="10668"/>
      <c r="T1266" s="10669"/>
      <c r="U1266" s="10666"/>
      <c r="V1266" s="10667"/>
      <c r="W1266" s="10669"/>
      <c r="X1266" s="10667"/>
      <c r="Y1266" s="10669"/>
      <c r="Z1266" s="10667"/>
      <c r="AA1266" s="10668"/>
      <c r="AB1266" s="10668"/>
      <c r="AC1266" s="10668"/>
      <c r="AD1266" s="10668"/>
      <c r="AE1266" s="10668"/>
      <c r="AF1266" s="10669"/>
      <c r="AG1266" s="10667"/>
      <c r="AH1266" s="10668"/>
      <c r="AI1266" s="10668"/>
      <c r="AJ1266" s="10668"/>
      <c r="AK1266" s="10668"/>
      <c r="AL1266" s="10668"/>
      <c r="AM1266" s="10668"/>
      <c r="AN1266" s="10669"/>
      <c r="AO1266" s="10667"/>
      <c r="AP1266" s="10668"/>
      <c r="AQ1266" s="10668"/>
      <c r="AR1266" s="10668"/>
      <c r="AS1266" s="10668"/>
      <c r="AT1266" s="10669"/>
      <c r="AU1266" s="10802"/>
      <c r="AV1266" s="10802"/>
      <c r="AW1266" s="10802"/>
      <c r="AX1266" s="10786"/>
      <c r="AY1266" s="10801"/>
      <c r="AZ1266" s="10802"/>
      <c r="BA1266" s="10786"/>
      <c r="BB1266" s="10800"/>
      <c r="BC1266" s="10801"/>
      <c r="BD1266" s="9985"/>
      <c r="BF1266" s="10799"/>
      <c r="BG1266" s="10799"/>
      <c r="BH1266" s="10799"/>
      <c r="BI1266" s="10799"/>
      <c r="BJ1266" s="10799"/>
      <c r="BK1266" s="10799"/>
      <c r="BL1266" s="10799"/>
      <c r="BM1266" s="10799"/>
      <c r="BN1266" s="10799"/>
    </row>
    <row r="1267" spans="1:66" ht="30" hidden="1" customHeight="1">
      <c r="A1267" s="10797">
        <v>808</v>
      </c>
      <c r="B1267" s="10798" t="s">
        <v>8200</v>
      </c>
      <c r="C1267" s="13607"/>
      <c r="D1267" s="12478" t="s">
        <v>2896</v>
      </c>
      <c r="E1267" s="12424" t="s">
        <v>163</v>
      </c>
      <c r="F1267" s="12229"/>
      <c r="G1267" s="12482" t="s">
        <v>1981</v>
      </c>
      <c r="H1267" s="12230" t="s">
        <v>1982</v>
      </c>
      <c r="I1267" s="12480">
        <v>5</v>
      </c>
      <c r="K1267" s="10788"/>
      <c r="L1267" s="10665"/>
      <c r="M1267" s="10665"/>
      <c r="N1267" s="10789"/>
      <c r="O1267" s="10789"/>
      <c r="P1267" s="10790"/>
      <c r="Q1267" s="10666"/>
      <c r="R1267" s="10667"/>
      <c r="S1267" s="10668"/>
      <c r="T1267" s="10669"/>
      <c r="U1267" s="10666"/>
      <c r="V1267" s="10667"/>
      <c r="W1267" s="10669"/>
      <c r="X1267" s="10667"/>
      <c r="Y1267" s="10669"/>
      <c r="Z1267" s="10667"/>
      <c r="AA1267" s="10668"/>
      <c r="AB1267" s="10668"/>
      <c r="AC1267" s="10668"/>
      <c r="AD1267" s="10668"/>
      <c r="AE1267" s="10668"/>
      <c r="AF1267" s="10669"/>
      <c r="AG1267" s="10667"/>
      <c r="AH1267" s="10668"/>
      <c r="AI1267" s="10668"/>
      <c r="AJ1267" s="10668"/>
      <c r="AK1267" s="10668"/>
      <c r="AL1267" s="10668"/>
      <c r="AM1267" s="10668"/>
      <c r="AN1267" s="10669"/>
      <c r="AO1267" s="10667"/>
      <c r="AP1267" s="10668"/>
      <c r="AQ1267" s="10668"/>
      <c r="AR1267" s="10668"/>
      <c r="AS1267" s="10668"/>
      <c r="AT1267" s="10669"/>
      <c r="AU1267" s="10791"/>
      <c r="AV1267" s="10791"/>
      <c r="AW1267" s="10791"/>
      <c r="AX1267" s="10788"/>
      <c r="AY1267" s="10790"/>
      <c r="AZ1267" s="10791"/>
      <c r="BA1267" s="10788"/>
      <c r="BB1267" s="10789"/>
      <c r="BC1267" s="10790"/>
      <c r="BD1267" s="10792"/>
      <c r="BF1267" s="10799"/>
      <c r="BG1267" s="10799"/>
      <c r="BH1267" s="10799"/>
      <c r="BI1267" s="10799"/>
      <c r="BJ1267" s="10799"/>
      <c r="BK1267" s="10799"/>
      <c r="BL1267" s="10799"/>
      <c r="BM1267" s="10799"/>
      <c r="BN1267" s="10799"/>
    </row>
    <row r="1268" spans="1:66" ht="30" hidden="1" customHeight="1" thickBot="1">
      <c r="A1268" s="10797">
        <v>809</v>
      </c>
      <c r="B1268" s="10798" t="s">
        <v>8201</v>
      </c>
      <c r="C1268" s="13607"/>
      <c r="D1268" s="12478" t="s">
        <v>26</v>
      </c>
      <c r="E1268" s="12424" t="s">
        <v>1896</v>
      </c>
      <c r="F1268" s="12229"/>
      <c r="G1268" s="12482" t="s">
        <v>1983</v>
      </c>
      <c r="H1268" s="12230" t="s">
        <v>1983</v>
      </c>
      <c r="I1268" s="12483">
        <v>12</v>
      </c>
      <c r="K1268" s="10786"/>
      <c r="L1268" s="10665"/>
      <c r="M1268" s="10665"/>
      <c r="N1268" s="10800"/>
      <c r="O1268" s="10800"/>
      <c r="P1268" s="10801"/>
      <c r="Q1268" s="10666"/>
      <c r="R1268" s="10667"/>
      <c r="S1268" s="10668"/>
      <c r="T1268" s="10669"/>
      <c r="U1268" s="10666"/>
      <c r="V1268" s="10667"/>
      <c r="W1268" s="10669"/>
      <c r="X1268" s="10667"/>
      <c r="Y1268" s="10669"/>
      <c r="Z1268" s="10667"/>
      <c r="AA1268" s="10668"/>
      <c r="AB1268" s="10668"/>
      <c r="AC1268" s="10668"/>
      <c r="AD1268" s="10668"/>
      <c r="AE1268" s="10668"/>
      <c r="AF1268" s="10669"/>
      <c r="AG1268" s="10667"/>
      <c r="AH1268" s="10668"/>
      <c r="AI1268" s="10668"/>
      <c r="AJ1268" s="10668"/>
      <c r="AK1268" s="10668"/>
      <c r="AL1268" s="10668"/>
      <c r="AM1268" s="10668"/>
      <c r="AN1268" s="10669"/>
      <c r="AO1268" s="10667"/>
      <c r="AP1268" s="10668"/>
      <c r="AQ1268" s="10668"/>
      <c r="AR1268" s="10668"/>
      <c r="AS1268" s="10668"/>
      <c r="AT1268" s="10669"/>
      <c r="AU1268" s="10802"/>
      <c r="AV1268" s="10802"/>
      <c r="AW1268" s="10802"/>
      <c r="AX1268" s="10786"/>
      <c r="AY1268" s="10801"/>
      <c r="AZ1268" s="10802"/>
      <c r="BA1268" s="10786"/>
      <c r="BB1268" s="10800"/>
      <c r="BC1268" s="10801"/>
      <c r="BD1268" s="9985"/>
      <c r="BF1268" s="10799"/>
      <c r="BG1268" s="10799"/>
      <c r="BH1268" s="10799"/>
      <c r="BI1268" s="10799"/>
      <c r="BJ1268" s="10799"/>
      <c r="BK1268" s="10799"/>
      <c r="BL1268" s="10799"/>
      <c r="BM1268" s="10799"/>
      <c r="BN1268" s="10799"/>
    </row>
    <row r="1269" spans="1:66" ht="30" customHeight="1">
      <c r="A1269" s="10797">
        <v>810</v>
      </c>
      <c r="B1269" s="10798" t="s">
        <v>8202</v>
      </c>
      <c r="C1269" s="13607"/>
      <c r="D1269" s="12478" t="s">
        <v>86</v>
      </c>
      <c r="E1269" s="12424" t="s">
        <v>1986</v>
      </c>
      <c r="F1269" s="12229"/>
      <c r="G1269" s="13043" t="s">
        <v>1984</v>
      </c>
      <c r="H1269" s="12976" t="s">
        <v>1985</v>
      </c>
      <c r="I1269" s="13046">
        <v>6</v>
      </c>
      <c r="K1269" s="13242">
        <v>0</v>
      </c>
      <c r="L1269" s="12777"/>
      <c r="M1269" s="12777"/>
      <c r="N1269" s="13244" t="s">
        <v>10371</v>
      </c>
      <c r="O1269" s="13244" t="s">
        <v>2951</v>
      </c>
      <c r="P1269" s="13245" t="s">
        <v>2951</v>
      </c>
      <c r="Q1269" s="13246"/>
      <c r="R1269" s="13246"/>
      <c r="S1269" s="13246"/>
      <c r="T1269" s="13247"/>
      <c r="U1269" s="13246" t="s">
        <v>2951</v>
      </c>
      <c r="V1269" s="13248" t="s">
        <v>2951</v>
      </c>
      <c r="W1269" s="13245" t="s">
        <v>2951</v>
      </c>
      <c r="X1269" s="13248" t="s">
        <v>2951</v>
      </c>
      <c r="Y1269" s="13245" t="s">
        <v>2951</v>
      </c>
      <c r="Z1269" s="13249" t="s">
        <v>2951</v>
      </c>
      <c r="AA1269" s="13250" t="s">
        <v>2951</v>
      </c>
      <c r="AB1269" s="13251" t="s">
        <v>2951</v>
      </c>
      <c r="AC1269" s="13250" t="s">
        <v>2951</v>
      </c>
      <c r="AD1269" s="13251" t="s">
        <v>2951</v>
      </c>
      <c r="AE1269" s="13250" t="s">
        <v>2951</v>
      </c>
      <c r="AF1269" s="13247" t="s">
        <v>2951</v>
      </c>
      <c r="AG1269" s="13249" t="s">
        <v>2951</v>
      </c>
      <c r="AH1269" s="13244" t="s">
        <v>2951</v>
      </c>
      <c r="AI1269" s="13244" t="s">
        <v>2951</v>
      </c>
      <c r="AJ1269" s="13244" t="s">
        <v>2951</v>
      </c>
      <c r="AK1269" s="13244" t="s">
        <v>2951</v>
      </c>
      <c r="AL1269" s="13244" t="s">
        <v>2951</v>
      </c>
      <c r="AM1269" s="13244" t="s">
        <v>2951</v>
      </c>
      <c r="AN1269" s="13245" t="s">
        <v>2951</v>
      </c>
      <c r="AO1269" s="13248" t="s">
        <v>2951</v>
      </c>
      <c r="AP1269" s="13244" t="s">
        <v>2951</v>
      </c>
      <c r="AQ1269" s="13244" t="s">
        <v>2951</v>
      </c>
      <c r="AR1269" s="13244" t="s">
        <v>2951</v>
      </c>
      <c r="AS1269" s="13244" t="s">
        <v>2951</v>
      </c>
      <c r="AT1269" s="13245" t="s">
        <v>2951</v>
      </c>
      <c r="AU1269" s="12999" t="s">
        <v>1732</v>
      </c>
      <c r="AV1269" s="12999" t="s">
        <v>1732</v>
      </c>
      <c r="AW1269" s="12999" t="s">
        <v>1732</v>
      </c>
      <c r="AX1269" s="12999" t="s">
        <v>1732</v>
      </c>
      <c r="AY1269" s="12999" t="s">
        <v>1732</v>
      </c>
      <c r="AZ1269" s="12999" t="s">
        <v>1732</v>
      </c>
      <c r="BA1269" s="12778" t="s">
        <v>1732</v>
      </c>
      <c r="BB1269" s="12779" t="s">
        <v>1732</v>
      </c>
      <c r="BC1269" s="12780" t="s">
        <v>1732</v>
      </c>
      <c r="BD1269" s="12999" t="s">
        <v>1732</v>
      </c>
      <c r="BF1269" s="10799"/>
      <c r="BG1269" s="10799"/>
      <c r="BH1269" s="10799"/>
      <c r="BI1269" s="10799"/>
      <c r="BJ1269" s="10799"/>
      <c r="BK1269" s="13093"/>
      <c r="BL1269" s="13093"/>
      <c r="BM1269" s="10799"/>
      <c r="BN1269" s="10799"/>
    </row>
    <row r="1270" spans="1:66" ht="30" customHeight="1">
      <c r="A1270" s="10797">
        <v>811</v>
      </c>
      <c r="B1270" s="10798" t="s">
        <v>8203</v>
      </c>
      <c r="C1270" s="13607"/>
      <c r="D1270" s="12478" t="s">
        <v>86</v>
      </c>
      <c r="E1270" s="12424" t="s">
        <v>1986</v>
      </c>
      <c r="F1270" s="12229"/>
      <c r="G1270" s="13043" t="s">
        <v>1987</v>
      </c>
      <c r="H1270" s="12976" t="s">
        <v>1988</v>
      </c>
      <c r="I1270" s="13046">
        <v>10</v>
      </c>
      <c r="K1270" s="10786">
        <v>10</v>
      </c>
      <c r="L1270" s="10665"/>
      <c r="M1270" s="10665"/>
      <c r="N1270" s="10800" t="s">
        <v>10372</v>
      </c>
      <c r="O1270" s="10800" t="s">
        <v>3585</v>
      </c>
      <c r="P1270" s="12781" t="s">
        <v>10373</v>
      </c>
      <c r="Q1270" s="12782"/>
      <c r="R1270" s="12782"/>
      <c r="S1270" s="12782"/>
      <c r="T1270" s="12783"/>
      <c r="U1270" s="12784">
        <v>136</v>
      </c>
      <c r="V1270" s="13252">
        <v>32</v>
      </c>
      <c r="W1270" s="12785">
        <v>104</v>
      </c>
      <c r="X1270" s="12786">
        <v>136</v>
      </c>
      <c r="Y1270" s="13253"/>
      <c r="Z1270" s="12787">
        <v>3</v>
      </c>
      <c r="AA1270" s="12788">
        <v>19</v>
      </c>
      <c r="AB1270" s="12789">
        <v>4</v>
      </c>
      <c r="AC1270" s="12788">
        <v>26</v>
      </c>
      <c r="AD1270" s="12789">
        <v>34</v>
      </c>
      <c r="AE1270" s="12788">
        <v>36</v>
      </c>
      <c r="AF1270" s="12790">
        <v>14</v>
      </c>
      <c r="AG1270" s="12787">
        <v>107</v>
      </c>
      <c r="AH1270" s="12788">
        <v>1</v>
      </c>
      <c r="AI1270" s="12789">
        <v>12</v>
      </c>
      <c r="AJ1270" s="12788">
        <v>1</v>
      </c>
      <c r="AK1270" s="12789">
        <v>14</v>
      </c>
      <c r="AL1270" s="12788">
        <v>0</v>
      </c>
      <c r="AM1270" s="12791">
        <v>0</v>
      </c>
      <c r="AN1270" s="12790">
        <v>1</v>
      </c>
      <c r="AO1270" s="12787">
        <v>128</v>
      </c>
      <c r="AP1270" s="12788">
        <v>6</v>
      </c>
      <c r="AQ1270" s="12789">
        <v>2</v>
      </c>
      <c r="AR1270" s="12788">
        <v>0</v>
      </c>
      <c r="AS1270" s="12788">
        <v>0</v>
      </c>
      <c r="AT1270" s="12785">
        <v>0</v>
      </c>
      <c r="AU1270" s="12991" t="s">
        <v>1732</v>
      </c>
      <c r="AV1270" s="12991" t="s">
        <v>1732</v>
      </c>
      <c r="AW1270" s="12991" t="s">
        <v>1732</v>
      </c>
      <c r="AX1270" s="12991" t="s">
        <v>1732</v>
      </c>
      <c r="AY1270" s="12991" t="s">
        <v>1732</v>
      </c>
      <c r="AZ1270" s="12991" t="s">
        <v>1732</v>
      </c>
      <c r="BA1270" s="10786" t="s">
        <v>1732</v>
      </c>
      <c r="BB1270" s="10800" t="s">
        <v>1732</v>
      </c>
      <c r="BC1270" s="12781" t="s">
        <v>1732</v>
      </c>
      <c r="BD1270" s="12991" t="s">
        <v>1732</v>
      </c>
      <c r="BF1270" s="10799"/>
      <c r="BG1270" s="10799"/>
      <c r="BH1270" s="10799"/>
      <c r="BI1270" s="10799"/>
      <c r="BJ1270" s="10799"/>
      <c r="BK1270" s="13093"/>
      <c r="BL1270" s="13093"/>
      <c r="BM1270" s="10799"/>
      <c r="BN1270" s="10799"/>
    </row>
    <row r="1271" spans="1:66" ht="30" customHeight="1">
      <c r="A1271" s="10797">
        <v>812</v>
      </c>
      <c r="B1271" s="10798" t="s">
        <v>8204</v>
      </c>
      <c r="C1271" s="13607"/>
      <c r="D1271" s="12478" t="s">
        <v>86</v>
      </c>
      <c r="E1271" s="12424" t="s">
        <v>1986</v>
      </c>
      <c r="F1271" s="12229"/>
      <c r="G1271" s="13043" t="s">
        <v>1989</v>
      </c>
      <c r="H1271" s="12976" t="s">
        <v>1990</v>
      </c>
      <c r="I1271" s="13046">
        <v>10</v>
      </c>
      <c r="K1271" s="10786">
        <v>10</v>
      </c>
      <c r="L1271" s="10665"/>
      <c r="M1271" s="10665"/>
      <c r="N1271" s="10800" t="s">
        <v>10374</v>
      </c>
      <c r="O1271" s="8444" t="s">
        <v>4102</v>
      </c>
      <c r="P1271" s="12781"/>
      <c r="Q1271" s="12782"/>
      <c r="R1271" s="12782"/>
      <c r="S1271" s="12782"/>
      <c r="T1271" s="12783"/>
      <c r="U1271" s="12784">
        <v>98</v>
      </c>
      <c r="V1271" s="13252">
        <v>30</v>
      </c>
      <c r="W1271" s="12785">
        <v>68</v>
      </c>
      <c r="X1271" s="12786">
        <v>87</v>
      </c>
      <c r="Y1271" s="13253">
        <v>11</v>
      </c>
      <c r="Z1271" s="12788">
        <v>0</v>
      </c>
      <c r="AA1271" s="12788">
        <v>3</v>
      </c>
      <c r="AB1271" s="12788">
        <v>1</v>
      </c>
      <c r="AC1271" s="12788">
        <v>13</v>
      </c>
      <c r="AD1271" s="12788">
        <v>35</v>
      </c>
      <c r="AE1271" s="12788">
        <v>23</v>
      </c>
      <c r="AF1271" s="12788">
        <v>24</v>
      </c>
      <c r="AG1271" s="12786">
        <v>70</v>
      </c>
      <c r="AH1271" s="12788">
        <v>1</v>
      </c>
      <c r="AI1271" s="12788">
        <v>5</v>
      </c>
      <c r="AJ1271" s="12788">
        <v>0</v>
      </c>
      <c r="AK1271" s="12788">
        <v>10</v>
      </c>
      <c r="AL1271" s="12788">
        <v>0</v>
      </c>
      <c r="AM1271" s="12788">
        <v>0</v>
      </c>
      <c r="AN1271" s="12790">
        <v>3</v>
      </c>
      <c r="AO1271" s="12786">
        <v>87</v>
      </c>
      <c r="AP1271" s="12788">
        <v>2</v>
      </c>
      <c r="AQ1271" s="12788">
        <v>4</v>
      </c>
      <c r="AR1271" s="12788">
        <v>0</v>
      </c>
      <c r="AS1271" s="12788">
        <v>0</v>
      </c>
      <c r="AT1271" s="12785">
        <v>0</v>
      </c>
      <c r="AU1271" s="12991" t="s">
        <v>1732</v>
      </c>
      <c r="AV1271" s="12991" t="s">
        <v>1732</v>
      </c>
      <c r="AW1271" s="12991" t="s">
        <v>1732</v>
      </c>
      <c r="AX1271" s="12991" t="s">
        <v>1732</v>
      </c>
      <c r="AY1271" s="12991" t="s">
        <v>1732</v>
      </c>
      <c r="AZ1271" s="12991" t="s">
        <v>1732</v>
      </c>
      <c r="BA1271" s="10786" t="s">
        <v>1732</v>
      </c>
      <c r="BB1271" s="10800" t="s">
        <v>1732</v>
      </c>
      <c r="BC1271" s="12781" t="s">
        <v>1732</v>
      </c>
      <c r="BD1271" s="12991" t="s">
        <v>1732</v>
      </c>
      <c r="BF1271" s="10799"/>
      <c r="BG1271" s="10799"/>
      <c r="BH1271" s="10799"/>
      <c r="BI1271" s="10799"/>
      <c r="BJ1271" s="10799"/>
      <c r="BK1271" s="13093"/>
      <c r="BL1271" s="13093"/>
      <c r="BM1271" s="10799"/>
      <c r="BN1271" s="10799"/>
    </row>
    <row r="1272" spans="1:66" ht="30" customHeight="1">
      <c r="A1272" s="10797">
        <v>813</v>
      </c>
      <c r="B1272" s="10798" t="s">
        <v>8205</v>
      </c>
      <c r="C1272" s="13607"/>
      <c r="D1272" s="12478" t="s">
        <v>86</v>
      </c>
      <c r="E1272" s="12424" t="s">
        <v>1986</v>
      </c>
      <c r="F1272" s="12229"/>
      <c r="G1272" s="13043" t="s">
        <v>1991</v>
      </c>
      <c r="H1272" s="12976" t="s">
        <v>1992</v>
      </c>
      <c r="I1272" s="13046">
        <v>6</v>
      </c>
      <c r="K1272" s="10786">
        <v>6</v>
      </c>
      <c r="L1272" s="10665"/>
      <c r="M1272" s="10665"/>
      <c r="N1272" s="10800" t="s">
        <v>10375</v>
      </c>
      <c r="O1272" s="8433" t="s">
        <v>10376</v>
      </c>
      <c r="P1272" s="12781" t="s">
        <v>10377</v>
      </c>
      <c r="Q1272" s="12782"/>
      <c r="R1272" s="12782"/>
      <c r="S1272" s="12782"/>
      <c r="T1272" s="12783"/>
      <c r="U1272" s="12784">
        <v>115</v>
      </c>
      <c r="V1272" s="13252">
        <v>53</v>
      </c>
      <c r="W1272" s="12785">
        <v>62</v>
      </c>
      <c r="X1272" s="12786">
        <v>115</v>
      </c>
      <c r="Y1272" s="13253">
        <v>0</v>
      </c>
      <c r="Z1272" s="10666" t="s">
        <v>1732</v>
      </c>
      <c r="AA1272" s="10668" t="s">
        <v>1732</v>
      </c>
      <c r="AB1272" s="12792" t="s">
        <v>1732</v>
      </c>
      <c r="AC1272" s="10668" t="s">
        <v>1732</v>
      </c>
      <c r="AD1272" s="12792" t="s">
        <v>1732</v>
      </c>
      <c r="AE1272" s="10668" t="s">
        <v>1732</v>
      </c>
      <c r="AF1272" s="12783" t="s">
        <v>1732</v>
      </c>
      <c r="AG1272" s="10666" t="s">
        <v>1732</v>
      </c>
      <c r="AH1272" s="10668" t="s">
        <v>1732</v>
      </c>
      <c r="AI1272" s="10668" t="s">
        <v>1732</v>
      </c>
      <c r="AJ1272" s="10668" t="s">
        <v>1732</v>
      </c>
      <c r="AK1272" s="10668" t="s">
        <v>1732</v>
      </c>
      <c r="AL1272" s="10668" t="s">
        <v>1732</v>
      </c>
      <c r="AM1272" s="10668" t="s">
        <v>1732</v>
      </c>
      <c r="AN1272" s="12793" t="s">
        <v>1732</v>
      </c>
      <c r="AO1272" s="10667">
        <v>115</v>
      </c>
      <c r="AP1272" s="12788">
        <v>0</v>
      </c>
      <c r="AQ1272" s="12788">
        <v>0</v>
      </c>
      <c r="AR1272" s="12788">
        <v>0</v>
      </c>
      <c r="AS1272" s="12788">
        <v>0</v>
      </c>
      <c r="AT1272" s="12785">
        <v>0</v>
      </c>
      <c r="AU1272" s="12991" t="s">
        <v>1732</v>
      </c>
      <c r="AV1272" s="12991" t="s">
        <v>1732</v>
      </c>
      <c r="AW1272" s="12991" t="s">
        <v>1732</v>
      </c>
      <c r="AX1272" s="12991" t="s">
        <v>1732</v>
      </c>
      <c r="AY1272" s="12991" t="s">
        <v>1732</v>
      </c>
      <c r="AZ1272" s="12991" t="s">
        <v>1732</v>
      </c>
      <c r="BA1272" s="10786" t="s">
        <v>1732</v>
      </c>
      <c r="BB1272" s="10800" t="s">
        <v>1732</v>
      </c>
      <c r="BC1272" s="12781" t="s">
        <v>1732</v>
      </c>
      <c r="BD1272" s="12991" t="s">
        <v>1732</v>
      </c>
      <c r="BF1272" s="10799"/>
      <c r="BG1272" s="10799"/>
      <c r="BH1272" s="10799"/>
      <c r="BI1272" s="10799"/>
      <c r="BJ1272" s="10799"/>
      <c r="BK1272" s="13093"/>
      <c r="BL1272" s="13093"/>
      <c r="BM1272" s="10799"/>
      <c r="BN1272" s="10799"/>
    </row>
    <row r="1273" spans="1:66" ht="30" customHeight="1" thickBot="1">
      <c r="A1273" s="10838">
        <v>814</v>
      </c>
      <c r="B1273" s="10839" t="s">
        <v>8206</v>
      </c>
      <c r="C1273" s="13608"/>
      <c r="D1273" s="12493" t="s">
        <v>86</v>
      </c>
      <c r="E1273" s="12428" t="s">
        <v>1986</v>
      </c>
      <c r="F1273" s="12297"/>
      <c r="G1273" s="12494" t="s">
        <v>1993</v>
      </c>
      <c r="H1273" s="12990" t="s">
        <v>1994</v>
      </c>
      <c r="I1273" s="12495">
        <v>5</v>
      </c>
      <c r="K1273" s="13243">
        <v>5</v>
      </c>
      <c r="L1273" s="12794"/>
      <c r="M1273" s="12794"/>
      <c r="N1273" s="13254" t="s">
        <v>10378</v>
      </c>
      <c r="O1273" s="13254" t="s">
        <v>3585</v>
      </c>
      <c r="P1273" s="13255" t="s">
        <v>10379</v>
      </c>
      <c r="Q1273" s="13256"/>
      <c r="R1273" s="13256"/>
      <c r="S1273" s="13257"/>
      <c r="T1273" s="13258"/>
      <c r="U1273" s="12795">
        <v>2721</v>
      </c>
      <c r="V1273" s="12796">
        <v>1065</v>
      </c>
      <c r="W1273" s="13259">
        <v>1656</v>
      </c>
      <c r="X1273" s="12796">
        <v>2265</v>
      </c>
      <c r="Y1273" s="13259">
        <v>456</v>
      </c>
      <c r="Z1273" s="12797">
        <v>39</v>
      </c>
      <c r="AA1273" s="12798">
        <v>522</v>
      </c>
      <c r="AB1273" s="12799">
        <v>715</v>
      </c>
      <c r="AC1273" s="12798">
        <v>383</v>
      </c>
      <c r="AD1273" s="12799">
        <v>599</v>
      </c>
      <c r="AE1273" s="12798">
        <v>410</v>
      </c>
      <c r="AF1273" s="12800">
        <v>53</v>
      </c>
      <c r="AG1273" s="12797">
        <v>2370</v>
      </c>
      <c r="AH1273" s="12798">
        <v>81</v>
      </c>
      <c r="AI1273" s="12799">
        <v>83</v>
      </c>
      <c r="AJ1273" s="12798">
        <v>24</v>
      </c>
      <c r="AK1273" s="12799">
        <v>126</v>
      </c>
      <c r="AL1273" s="12798">
        <v>6</v>
      </c>
      <c r="AM1273" s="12801">
        <v>4</v>
      </c>
      <c r="AN1273" s="12800">
        <v>27</v>
      </c>
      <c r="AO1273" s="12797">
        <v>2599</v>
      </c>
      <c r="AP1273" s="12798">
        <v>89</v>
      </c>
      <c r="AQ1273" s="12799">
        <v>32</v>
      </c>
      <c r="AR1273" s="12798">
        <v>0</v>
      </c>
      <c r="AS1273" s="12801">
        <v>1</v>
      </c>
      <c r="AT1273" s="12800">
        <v>0</v>
      </c>
      <c r="AU1273" s="13002" t="s">
        <v>1732</v>
      </c>
      <c r="AV1273" s="13002" t="s">
        <v>1732</v>
      </c>
      <c r="AW1273" s="13002" t="s">
        <v>1732</v>
      </c>
      <c r="AX1273" s="13002" t="s">
        <v>1732</v>
      </c>
      <c r="AY1273" s="13002" t="s">
        <v>1732</v>
      </c>
      <c r="AZ1273" s="13002" t="s">
        <v>1732</v>
      </c>
      <c r="BA1273" s="10840" t="s">
        <v>1732</v>
      </c>
      <c r="BB1273" s="13098" t="s">
        <v>1732</v>
      </c>
      <c r="BC1273" s="12802" t="s">
        <v>1732</v>
      </c>
      <c r="BD1273" s="13002" t="s">
        <v>1732</v>
      </c>
      <c r="BF1273" s="10841"/>
      <c r="BG1273" s="10841"/>
      <c r="BH1273" s="10841"/>
      <c r="BI1273" s="10841"/>
      <c r="BJ1273" s="10841"/>
      <c r="BK1273" s="10841"/>
      <c r="BL1273" s="10841"/>
      <c r="BM1273" s="10841"/>
      <c r="BN1273" s="10841"/>
    </row>
    <row r="1274" spans="1:66" ht="30" hidden="1" customHeight="1">
      <c r="A1274" s="10842">
        <v>815</v>
      </c>
      <c r="B1274" s="10843" t="s">
        <v>4488</v>
      </c>
      <c r="C1274" s="13579" t="s">
        <v>10345</v>
      </c>
      <c r="D1274" s="12496" t="s">
        <v>2896</v>
      </c>
      <c r="E1274" s="12497" t="s">
        <v>163</v>
      </c>
      <c r="F1274" s="12497"/>
      <c r="G1274" s="12498" t="s">
        <v>380</v>
      </c>
      <c r="H1274" s="12499" t="s">
        <v>381</v>
      </c>
      <c r="I1274" s="12500">
        <v>2</v>
      </c>
      <c r="K1274" s="10845"/>
      <c r="L1274" s="10846"/>
      <c r="M1274" s="10846"/>
      <c r="N1274" s="10847"/>
      <c r="O1274" s="10847"/>
      <c r="P1274" s="10848"/>
      <c r="Q1274" s="10849"/>
      <c r="R1274" s="10850"/>
      <c r="S1274" s="10851"/>
      <c r="T1274" s="10852"/>
      <c r="U1274" s="10849"/>
      <c r="V1274" s="10850"/>
      <c r="W1274" s="10852"/>
      <c r="X1274" s="10850"/>
      <c r="Y1274" s="10852"/>
      <c r="Z1274" s="10850"/>
      <c r="AA1274" s="10851"/>
      <c r="AB1274" s="10851"/>
      <c r="AC1274" s="10851"/>
      <c r="AD1274" s="10851"/>
      <c r="AE1274" s="10851"/>
      <c r="AF1274" s="10852"/>
      <c r="AG1274" s="10850"/>
      <c r="AH1274" s="10851"/>
      <c r="AI1274" s="10851"/>
      <c r="AJ1274" s="10851"/>
      <c r="AK1274" s="10851"/>
      <c r="AL1274" s="10851"/>
      <c r="AM1274" s="10851"/>
      <c r="AN1274" s="10852"/>
      <c r="AO1274" s="10850"/>
      <c r="AP1274" s="10851"/>
      <c r="AQ1274" s="10851"/>
      <c r="AR1274" s="10851"/>
      <c r="AS1274" s="10851"/>
      <c r="AT1274" s="10852"/>
      <c r="AU1274" s="10853"/>
      <c r="AV1274" s="10853"/>
      <c r="AW1274" s="10853"/>
      <c r="AX1274" s="10845"/>
      <c r="AY1274" s="10848"/>
      <c r="AZ1274" s="10853"/>
      <c r="BA1274" s="10845"/>
      <c r="BB1274" s="10847"/>
      <c r="BC1274" s="10848"/>
      <c r="BD1274" s="10854"/>
      <c r="BF1274" s="10844"/>
      <c r="BG1274" s="10844"/>
      <c r="BH1274" s="10844"/>
      <c r="BI1274" s="10844"/>
      <c r="BJ1274" s="10844"/>
      <c r="BK1274" s="10844"/>
      <c r="BL1274" s="10844"/>
      <c r="BM1274" s="10844"/>
      <c r="BN1274" s="10844"/>
    </row>
    <row r="1275" spans="1:66" ht="30" hidden="1" customHeight="1">
      <c r="A1275" s="13666">
        <v>816</v>
      </c>
      <c r="B1275" s="14280" t="s">
        <v>4489</v>
      </c>
      <c r="C1275" s="13580"/>
      <c r="D1275" s="12501" t="s">
        <v>2896</v>
      </c>
      <c r="E1275" s="11675" t="s">
        <v>163</v>
      </c>
      <c r="F1275" s="11679"/>
      <c r="G1275" s="14281" t="s">
        <v>384</v>
      </c>
      <c r="H1275" s="13418" t="s">
        <v>385</v>
      </c>
      <c r="I1275" s="14292">
        <v>1</v>
      </c>
      <c r="K1275" s="8052"/>
      <c r="L1275" s="8053"/>
      <c r="M1275" s="8053"/>
      <c r="N1275" s="8054"/>
      <c r="O1275" s="8054"/>
      <c r="P1275" s="8055"/>
      <c r="Q1275" s="8056"/>
      <c r="R1275" s="8057"/>
      <c r="S1275" s="8058"/>
      <c r="T1275" s="8059"/>
      <c r="U1275" s="8056"/>
      <c r="V1275" s="8057"/>
      <c r="W1275" s="8059"/>
      <c r="X1275" s="8057"/>
      <c r="Y1275" s="8059"/>
      <c r="Z1275" s="8057"/>
      <c r="AA1275" s="8058"/>
      <c r="AB1275" s="8058"/>
      <c r="AC1275" s="8058"/>
      <c r="AD1275" s="8058"/>
      <c r="AE1275" s="8058"/>
      <c r="AF1275" s="8059"/>
      <c r="AG1275" s="8057"/>
      <c r="AH1275" s="8058"/>
      <c r="AI1275" s="8058"/>
      <c r="AJ1275" s="8058"/>
      <c r="AK1275" s="8058"/>
      <c r="AL1275" s="8058"/>
      <c r="AM1275" s="8058"/>
      <c r="AN1275" s="8059"/>
      <c r="AO1275" s="8057"/>
      <c r="AP1275" s="8058"/>
      <c r="AQ1275" s="8058"/>
      <c r="AR1275" s="8058"/>
      <c r="AS1275" s="8058"/>
      <c r="AT1275" s="8059"/>
      <c r="AU1275" s="8060"/>
      <c r="AV1275" s="8060"/>
      <c r="AW1275" s="8060"/>
      <c r="AX1275" s="8052"/>
      <c r="AY1275" s="8055"/>
      <c r="AZ1275" s="8060"/>
      <c r="BA1275" s="8052"/>
      <c r="BB1275" s="8054"/>
      <c r="BC1275" s="8055"/>
      <c r="BD1275" s="8061"/>
      <c r="BF1275" s="14552"/>
      <c r="BG1275" s="14552"/>
      <c r="BH1275" s="14552"/>
      <c r="BI1275" s="14552"/>
      <c r="BJ1275" s="14552"/>
      <c r="BK1275" s="10855"/>
      <c r="BL1275" s="14552"/>
      <c r="BM1275" s="14552"/>
      <c r="BN1275" s="14552"/>
    </row>
    <row r="1276" spans="1:66" ht="30" hidden="1" customHeight="1">
      <c r="A1276" s="13666"/>
      <c r="B1276" s="14280"/>
      <c r="C1276" s="13580"/>
      <c r="D1276" s="12501" t="s">
        <v>10277</v>
      </c>
      <c r="E1276" s="11675"/>
      <c r="F1276" s="11675" t="s">
        <v>387</v>
      </c>
      <c r="G1276" s="14281"/>
      <c r="H1276" s="13418"/>
      <c r="I1276" s="13814"/>
      <c r="K1276" s="8052"/>
      <c r="L1276" s="8053"/>
      <c r="M1276" s="8053"/>
      <c r="N1276" s="8054"/>
      <c r="O1276" s="8054"/>
      <c r="P1276" s="8055"/>
      <c r="Q1276" s="8056"/>
      <c r="R1276" s="8057"/>
      <c r="S1276" s="8058"/>
      <c r="T1276" s="8059"/>
      <c r="U1276" s="8056"/>
      <c r="V1276" s="8057"/>
      <c r="W1276" s="8059"/>
      <c r="X1276" s="8057"/>
      <c r="Y1276" s="8059"/>
      <c r="Z1276" s="8057"/>
      <c r="AA1276" s="8058"/>
      <c r="AB1276" s="8058"/>
      <c r="AC1276" s="8058"/>
      <c r="AD1276" s="8058"/>
      <c r="AE1276" s="8058"/>
      <c r="AF1276" s="8059"/>
      <c r="AG1276" s="8057"/>
      <c r="AH1276" s="8058"/>
      <c r="AI1276" s="8058"/>
      <c r="AJ1276" s="8058"/>
      <c r="AK1276" s="8058"/>
      <c r="AL1276" s="8058"/>
      <c r="AM1276" s="8058"/>
      <c r="AN1276" s="8059"/>
      <c r="AO1276" s="8057"/>
      <c r="AP1276" s="8058"/>
      <c r="AQ1276" s="8058"/>
      <c r="AR1276" s="8058"/>
      <c r="AS1276" s="8058"/>
      <c r="AT1276" s="8059"/>
      <c r="AU1276" s="8060"/>
      <c r="AV1276" s="8060"/>
      <c r="AW1276" s="8060"/>
      <c r="AX1276" s="8052"/>
      <c r="AY1276" s="8055"/>
      <c r="AZ1276" s="8060"/>
      <c r="BA1276" s="8052"/>
      <c r="BB1276" s="8054"/>
      <c r="BC1276" s="8055"/>
      <c r="BD1276" s="8061"/>
      <c r="BF1276" s="14552"/>
      <c r="BG1276" s="14552"/>
      <c r="BH1276" s="14552"/>
      <c r="BI1276" s="14552"/>
      <c r="BJ1276" s="14552"/>
      <c r="BK1276" s="10855"/>
      <c r="BL1276" s="14552"/>
      <c r="BM1276" s="14552"/>
      <c r="BN1276" s="14552"/>
    </row>
    <row r="1277" spans="1:66" ht="30" hidden="1" customHeight="1">
      <c r="A1277" s="10856">
        <v>817</v>
      </c>
      <c r="B1277" s="10857" t="s">
        <v>4490</v>
      </c>
      <c r="C1277" s="13580"/>
      <c r="D1277" s="12501" t="s">
        <v>26</v>
      </c>
      <c r="E1277" s="11675" t="s">
        <v>390</v>
      </c>
      <c r="F1277" s="12502" t="s">
        <v>391</v>
      </c>
      <c r="G1277" s="12503" t="s">
        <v>388</v>
      </c>
      <c r="H1277" s="12504" t="s">
        <v>389</v>
      </c>
      <c r="I1277" s="12505">
        <v>2</v>
      </c>
      <c r="K1277" s="10859"/>
      <c r="L1277" s="7715"/>
      <c r="M1277" s="7715"/>
      <c r="N1277" s="10860"/>
      <c r="O1277" s="10860"/>
      <c r="P1277" s="10861"/>
      <c r="Q1277" s="7718"/>
      <c r="R1277" s="7719"/>
      <c r="S1277" s="7720"/>
      <c r="T1277" s="7721"/>
      <c r="U1277" s="7718"/>
      <c r="V1277" s="7719"/>
      <c r="W1277" s="7721"/>
      <c r="X1277" s="7719"/>
      <c r="Y1277" s="7721"/>
      <c r="Z1277" s="7719"/>
      <c r="AA1277" s="7720"/>
      <c r="AB1277" s="7720"/>
      <c r="AC1277" s="7720"/>
      <c r="AD1277" s="7720"/>
      <c r="AE1277" s="7720"/>
      <c r="AF1277" s="7721"/>
      <c r="AG1277" s="7719"/>
      <c r="AH1277" s="7720"/>
      <c r="AI1277" s="7720"/>
      <c r="AJ1277" s="7720"/>
      <c r="AK1277" s="7720"/>
      <c r="AL1277" s="7720"/>
      <c r="AM1277" s="7720"/>
      <c r="AN1277" s="7721"/>
      <c r="AO1277" s="7719"/>
      <c r="AP1277" s="7720"/>
      <c r="AQ1277" s="7720"/>
      <c r="AR1277" s="7720"/>
      <c r="AS1277" s="7720"/>
      <c r="AT1277" s="7721"/>
      <c r="AU1277" s="10862"/>
      <c r="AV1277" s="10862"/>
      <c r="AW1277" s="10862"/>
      <c r="AX1277" s="10859"/>
      <c r="AY1277" s="10861"/>
      <c r="AZ1277" s="10862"/>
      <c r="BA1277" s="10859"/>
      <c r="BB1277" s="10860"/>
      <c r="BC1277" s="10861"/>
      <c r="BD1277" s="10863"/>
      <c r="BF1277" s="10858"/>
      <c r="BG1277" s="10858"/>
      <c r="BH1277" s="10858"/>
      <c r="BI1277" s="10858"/>
      <c r="BJ1277" s="10858"/>
      <c r="BK1277" s="10858"/>
      <c r="BL1277" s="10858"/>
      <c r="BM1277" s="10858"/>
      <c r="BN1277" s="10858"/>
    </row>
    <row r="1278" spans="1:66" ht="30" hidden="1" customHeight="1">
      <c r="A1278" s="13560">
        <v>818</v>
      </c>
      <c r="B1278" s="14276" t="s">
        <v>4491</v>
      </c>
      <c r="C1278" s="13580"/>
      <c r="D1278" s="12501" t="s">
        <v>2896</v>
      </c>
      <c r="E1278" s="11675" t="s">
        <v>163</v>
      </c>
      <c r="F1278" s="11679"/>
      <c r="G1278" s="14277" t="s">
        <v>392</v>
      </c>
      <c r="H1278" s="13388" t="s">
        <v>393</v>
      </c>
      <c r="I1278" s="14289">
        <v>0.65</v>
      </c>
      <c r="K1278" s="10864"/>
      <c r="L1278" s="10865"/>
      <c r="M1278" s="10865"/>
      <c r="N1278" s="10866"/>
      <c r="O1278" s="10866"/>
      <c r="P1278" s="10867"/>
      <c r="Q1278" s="10868"/>
      <c r="R1278" s="10869"/>
      <c r="S1278" s="10870"/>
      <c r="T1278" s="10871"/>
      <c r="U1278" s="10868"/>
      <c r="V1278" s="10869"/>
      <c r="W1278" s="10871"/>
      <c r="X1278" s="10869"/>
      <c r="Y1278" s="10871"/>
      <c r="Z1278" s="10869"/>
      <c r="AA1278" s="10870"/>
      <c r="AB1278" s="10870"/>
      <c r="AC1278" s="10870"/>
      <c r="AD1278" s="10870"/>
      <c r="AE1278" s="10870"/>
      <c r="AF1278" s="10871"/>
      <c r="AG1278" s="10869"/>
      <c r="AH1278" s="10870"/>
      <c r="AI1278" s="10870"/>
      <c r="AJ1278" s="10870"/>
      <c r="AK1278" s="10870"/>
      <c r="AL1278" s="10870"/>
      <c r="AM1278" s="10870"/>
      <c r="AN1278" s="10871"/>
      <c r="AO1278" s="10869"/>
      <c r="AP1278" s="10870"/>
      <c r="AQ1278" s="10870"/>
      <c r="AR1278" s="10870"/>
      <c r="AS1278" s="10870"/>
      <c r="AT1278" s="10871"/>
      <c r="AU1278" s="10872"/>
      <c r="AV1278" s="10872"/>
      <c r="AW1278" s="10872"/>
      <c r="AX1278" s="10864"/>
      <c r="AY1278" s="10867"/>
      <c r="AZ1278" s="10872"/>
      <c r="BA1278" s="10864"/>
      <c r="BB1278" s="10866"/>
      <c r="BC1278" s="10867"/>
      <c r="BD1278" s="10873"/>
      <c r="BF1278" s="14553"/>
      <c r="BG1278" s="14553"/>
      <c r="BH1278" s="14553"/>
      <c r="BI1278" s="14553"/>
      <c r="BJ1278" s="14553"/>
      <c r="BK1278" s="10858"/>
      <c r="BL1278" s="14553"/>
      <c r="BM1278" s="14553"/>
      <c r="BN1278" s="14553"/>
    </row>
    <row r="1279" spans="1:66" ht="30" hidden="1" customHeight="1">
      <c r="A1279" s="13560"/>
      <c r="B1279" s="14276"/>
      <c r="C1279" s="13580"/>
      <c r="D1279" s="12501" t="s">
        <v>26</v>
      </c>
      <c r="E1279" s="11675"/>
      <c r="F1279" s="11675" t="s">
        <v>10278</v>
      </c>
      <c r="G1279" s="14277"/>
      <c r="H1279" s="13388"/>
      <c r="I1279" s="14291"/>
      <c r="K1279" s="10864"/>
      <c r="L1279" s="10865"/>
      <c r="M1279" s="10865"/>
      <c r="N1279" s="10866"/>
      <c r="O1279" s="10866"/>
      <c r="P1279" s="10867"/>
      <c r="Q1279" s="10868"/>
      <c r="R1279" s="10869"/>
      <c r="S1279" s="10870"/>
      <c r="T1279" s="10871"/>
      <c r="U1279" s="10868"/>
      <c r="V1279" s="10869"/>
      <c r="W1279" s="10871"/>
      <c r="X1279" s="10869"/>
      <c r="Y1279" s="10871"/>
      <c r="Z1279" s="10869"/>
      <c r="AA1279" s="10870"/>
      <c r="AB1279" s="10870"/>
      <c r="AC1279" s="10870"/>
      <c r="AD1279" s="10870"/>
      <c r="AE1279" s="10870"/>
      <c r="AF1279" s="10871"/>
      <c r="AG1279" s="10869"/>
      <c r="AH1279" s="10870"/>
      <c r="AI1279" s="10870"/>
      <c r="AJ1279" s="10870"/>
      <c r="AK1279" s="10870"/>
      <c r="AL1279" s="10870"/>
      <c r="AM1279" s="10870"/>
      <c r="AN1279" s="10871"/>
      <c r="AO1279" s="10869"/>
      <c r="AP1279" s="10870"/>
      <c r="AQ1279" s="10870"/>
      <c r="AR1279" s="10870"/>
      <c r="AS1279" s="10870"/>
      <c r="AT1279" s="10871"/>
      <c r="AU1279" s="10872"/>
      <c r="AV1279" s="10872"/>
      <c r="AW1279" s="10872"/>
      <c r="AX1279" s="10864"/>
      <c r="AY1279" s="10867"/>
      <c r="AZ1279" s="10872"/>
      <c r="BA1279" s="10864"/>
      <c r="BB1279" s="10866"/>
      <c r="BC1279" s="10867"/>
      <c r="BD1279" s="10873"/>
      <c r="BF1279" s="14553"/>
      <c r="BG1279" s="14553"/>
      <c r="BH1279" s="14553"/>
      <c r="BI1279" s="14553"/>
      <c r="BJ1279" s="14553"/>
      <c r="BK1279" s="10858"/>
      <c r="BL1279" s="14553"/>
      <c r="BM1279" s="14553"/>
      <c r="BN1279" s="14553"/>
    </row>
    <row r="1280" spans="1:66" ht="30" hidden="1" customHeight="1">
      <c r="A1280" s="13560"/>
      <c r="B1280" s="14276"/>
      <c r="C1280" s="13580"/>
      <c r="D1280" s="12501" t="s">
        <v>10194</v>
      </c>
      <c r="E1280" s="11675"/>
      <c r="F1280" s="11675" t="s">
        <v>733</v>
      </c>
      <c r="G1280" s="14277"/>
      <c r="H1280" s="13388"/>
      <c r="I1280" s="14291"/>
      <c r="K1280" s="10864"/>
      <c r="L1280" s="10865"/>
      <c r="M1280" s="10865"/>
      <c r="N1280" s="10866"/>
      <c r="O1280" s="10866"/>
      <c r="P1280" s="10867"/>
      <c r="Q1280" s="10868"/>
      <c r="R1280" s="10869"/>
      <c r="S1280" s="10870"/>
      <c r="T1280" s="10871"/>
      <c r="U1280" s="10868"/>
      <c r="V1280" s="10869"/>
      <c r="W1280" s="10871"/>
      <c r="X1280" s="10869"/>
      <c r="Y1280" s="10871"/>
      <c r="Z1280" s="10869"/>
      <c r="AA1280" s="10870"/>
      <c r="AB1280" s="10870"/>
      <c r="AC1280" s="10870"/>
      <c r="AD1280" s="10870"/>
      <c r="AE1280" s="10870"/>
      <c r="AF1280" s="10871"/>
      <c r="AG1280" s="10869"/>
      <c r="AH1280" s="10870"/>
      <c r="AI1280" s="10870"/>
      <c r="AJ1280" s="10870"/>
      <c r="AK1280" s="10870"/>
      <c r="AL1280" s="10870"/>
      <c r="AM1280" s="10870"/>
      <c r="AN1280" s="10871"/>
      <c r="AO1280" s="10869"/>
      <c r="AP1280" s="10870"/>
      <c r="AQ1280" s="10870"/>
      <c r="AR1280" s="10870"/>
      <c r="AS1280" s="10870"/>
      <c r="AT1280" s="10871"/>
      <c r="AU1280" s="10872"/>
      <c r="AV1280" s="10872"/>
      <c r="AW1280" s="10872"/>
      <c r="AX1280" s="10864"/>
      <c r="AY1280" s="10867"/>
      <c r="AZ1280" s="10872"/>
      <c r="BA1280" s="10864"/>
      <c r="BB1280" s="10866"/>
      <c r="BC1280" s="10867"/>
      <c r="BD1280" s="10873"/>
      <c r="BF1280" s="14553"/>
      <c r="BG1280" s="14553"/>
      <c r="BH1280" s="14553"/>
      <c r="BI1280" s="14553"/>
      <c r="BJ1280" s="14553"/>
      <c r="BK1280" s="10858"/>
      <c r="BL1280" s="14553"/>
      <c r="BM1280" s="14553"/>
      <c r="BN1280" s="14553"/>
    </row>
    <row r="1281" spans="1:66" ht="30" hidden="1" customHeight="1">
      <c r="A1281" s="13560"/>
      <c r="B1281" s="14276"/>
      <c r="C1281" s="13580"/>
      <c r="D1281" s="12501" t="s">
        <v>477</v>
      </c>
      <c r="E1281" s="11675"/>
      <c r="F1281" s="11675" t="s">
        <v>477</v>
      </c>
      <c r="G1281" s="14277"/>
      <c r="H1281" s="13388"/>
      <c r="I1281" s="14290"/>
      <c r="K1281" s="10864"/>
      <c r="L1281" s="10865"/>
      <c r="M1281" s="10865"/>
      <c r="N1281" s="10866"/>
      <c r="O1281" s="10866"/>
      <c r="P1281" s="10867"/>
      <c r="Q1281" s="10868"/>
      <c r="R1281" s="10869"/>
      <c r="S1281" s="10870"/>
      <c r="T1281" s="10871"/>
      <c r="U1281" s="10868"/>
      <c r="V1281" s="10869"/>
      <c r="W1281" s="10871"/>
      <c r="X1281" s="10869"/>
      <c r="Y1281" s="10871"/>
      <c r="Z1281" s="10869"/>
      <c r="AA1281" s="10870"/>
      <c r="AB1281" s="10870"/>
      <c r="AC1281" s="10870"/>
      <c r="AD1281" s="10870"/>
      <c r="AE1281" s="10870"/>
      <c r="AF1281" s="10871"/>
      <c r="AG1281" s="10869"/>
      <c r="AH1281" s="10870"/>
      <c r="AI1281" s="10870"/>
      <c r="AJ1281" s="10870"/>
      <c r="AK1281" s="10870"/>
      <c r="AL1281" s="10870"/>
      <c r="AM1281" s="10870"/>
      <c r="AN1281" s="10871"/>
      <c r="AO1281" s="10869"/>
      <c r="AP1281" s="10870"/>
      <c r="AQ1281" s="10870"/>
      <c r="AR1281" s="10870"/>
      <c r="AS1281" s="10870"/>
      <c r="AT1281" s="10871"/>
      <c r="AU1281" s="10872"/>
      <c r="AV1281" s="10872"/>
      <c r="AW1281" s="10872"/>
      <c r="AX1281" s="10864"/>
      <c r="AY1281" s="10867"/>
      <c r="AZ1281" s="10872"/>
      <c r="BA1281" s="10864"/>
      <c r="BB1281" s="10866"/>
      <c r="BC1281" s="10867"/>
      <c r="BD1281" s="10873"/>
      <c r="BF1281" s="14553"/>
      <c r="BG1281" s="14553"/>
      <c r="BH1281" s="14553"/>
      <c r="BI1281" s="14553"/>
      <c r="BJ1281" s="14553"/>
      <c r="BK1281" s="10858"/>
      <c r="BL1281" s="14553"/>
      <c r="BM1281" s="14553"/>
      <c r="BN1281" s="14553"/>
    </row>
    <row r="1282" spans="1:66" ht="30" hidden="1" customHeight="1">
      <c r="A1282" s="10856">
        <v>819</v>
      </c>
      <c r="B1282" s="10857" t="s">
        <v>4492</v>
      </c>
      <c r="C1282" s="13580"/>
      <c r="D1282" s="12501" t="s">
        <v>10066</v>
      </c>
      <c r="E1282" s="11675" t="s">
        <v>298</v>
      </c>
      <c r="F1282" s="11675"/>
      <c r="G1282" s="12503" t="s">
        <v>394</v>
      </c>
      <c r="H1282" s="12504" t="s">
        <v>395</v>
      </c>
      <c r="I1282" s="12506">
        <v>3</v>
      </c>
      <c r="K1282" s="7714"/>
      <c r="L1282" s="7715"/>
      <c r="M1282" s="7715"/>
      <c r="N1282" s="7716"/>
      <c r="O1282" s="7716"/>
      <c r="P1282" s="7717"/>
      <c r="Q1282" s="7718"/>
      <c r="R1282" s="7719"/>
      <c r="S1282" s="7720"/>
      <c r="T1282" s="7721"/>
      <c r="U1282" s="7718"/>
      <c r="V1282" s="7719"/>
      <c r="W1282" s="7721"/>
      <c r="X1282" s="7719"/>
      <c r="Y1282" s="7721"/>
      <c r="Z1282" s="7719"/>
      <c r="AA1282" s="7720"/>
      <c r="AB1282" s="7720"/>
      <c r="AC1282" s="7720"/>
      <c r="AD1282" s="7720"/>
      <c r="AE1282" s="7720"/>
      <c r="AF1282" s="7721"/>
      <c r="AG1282" s="7719"/>
      <c r="AH1282" s="7720"/>
      <c r="AI1282" s="7720"/>
      <c r="AJ1282" s="7720"/>
      <c r="AK1282" s="7720"/>
      <c r="AL1282" s="7720"/>
      <c r="AM1282" s="7720"/>
      <c r="AN1282" s="7721"/>
      <c r="AO1282" s="7719"/>
      <c r="AP1282" s="7720"/>
      <c r="AQ1282" s="7720"/>
      <c r="AR1282" s="7720"/>
      <c r="AS1282" s="7720"/>
      <c r="AT1282" s="7721"/>
      <c r="AU1282" s="7722"/>
      <c r="AV1282" s="7722"/>
      <c r="AW1282" s="7722"/>
      <c r="AX1282" s="7714"/>
      <c r="AY1282" s="7717"/>
      <c r="AZ1282" s="7722"/>
      <c r="BA1282" s="7714"/>
      <c r="BB1282" s="7716"/>
      <c r="BC1282" s="7717"/>
      <c r="BD1282" s="7723"/>
      <c r="BF1282" s="10858"/>
      <c r="BG1282" s="10858"/>
      <c r="BH1282" s="10858"/>
      <c r="BI1282" s="10858"/>
      <c r="BJ1282" s="10858"/>
      <c r="BK1282" s="10858"/>
      <c r="BL1282" s="10858"/>
      <c r="BM1282" s="10858"/>
      <c r="BN1282" s="10858"/>
    </row>
    <row r="1283" spans="1:66" ht="30" hidden="1" customHeight="1">
      <c r="A1283" s="13560">
        <v>820</v>
      </c>
      <c r="B1283" s="14276" t="s">
        <v>4493</v>
      </c>
      <c r="C1283" s="13580"/>
      <c r="D1283" s="12501" t="s">
        <v>10066</v>
      </c>
      <c r="E1283" s="11675" t="s">
        <v>398</v>
      </c>
      <c r="F1283" s="11679"/>
      <c r="G1283" s="14277" t="s">
        <v>396</v>
      </c>
      <c r="H1283" s="13388" t="s">
        <v>397</v>
      </c>
      <c r="I1283" s="14289">
        <v>2</v>
      </c>
      <c r="K1283" s="10864"/>
      <c r="L1283" s="10865"/>
      <c r="M1283" s="10865"/>
      <c r="N1283" s="10866"/>
      <c r="O1283" s="10866"/>
      <c r="P1283" s="10867"/>
      <c r="Q1283" s="10868"/>
      <c r="R1283" s="10869"/>
      <c r="S1283" s="10870"/>
      <c r="T1283" s="10871"/>
      <c r="U1283" s="10868"/>
      <c r="V1283" s="10869"/>
      <c r="W1283" s="10871"/>
      <c r="X1283" s="10869"/>
      <c r="Y1283" s="10871"/>
      <c r="Z1283" s="10869"/>
      <c r="AA1283" s="10870"/>
      <c r="AB1283" s="10870"/>
      <c r="AC1283" s="10870"/>
      <c r="AD1283" s="10870"/>
      <c r="AE1283" s="10870"/>
      <c r="AF1283" s="10871"/>
      <c r="AG1283" s="10869"/>
      <c r="AH1283" s="10870"/>
      <c r="AI1283" s="10870"/>
      <c r="AJ1283" s="10870"/>
      <c r="AK1283" s="10870"/>
      <c r="AL1283" s="10870"/>
      <c r="AM1283" s="10870"/>
      <c r="AN1283" s="10871"/>
      <c r="AO1283" s="10869"/>
      <c r="AP1283" s="10870"/>
      <c r="AQ1283" s="10870"/>
      <c r="AR1283" s="10870"/>
      <c r="AS1283" s="10870"/>
      <c r="AT1283" s="10871"/>
      <c r="AU1283" s="10872"/>
      <c r="AV1283" s="10872"/>
      <c r="AW1283" s="10872"/>
      <c r="AX1283" s="10864"/>
      <c r="AY1283" s="10867"/>
      <c r="AZ1283" s="10872"/>
      <c r="BA1283" s="10864"/>
      <c r="BB1283" s="10866"/>
      <c r="BC1283" s="10867"/>
      <c r="BD1283" s="10873"/>
      <c r="BF1283" s="14553"/>
      <c r="BG1283" s="14553"/>
      <c r="BH1283" s="14553"/>
      <c r="BI1283" s="14553"/>
      <c r="BJ1283" s="14553"/>
      <c r="BK1283" s="10858"/>
      <c r="BL1283" s="14553"/>
      <c r="BM1283" s="14553"/>
      <c r="BN1283" s="14553"/>
    </row>
    <row r="1284" spans="1:66" ht="30" hidden="1" customHeight="1">
      <c r="A1284" s="13560"/>
      <c r="B1284" s="14276"/>
      <c r="C1284" s="13580"/>
      <c r="D1284" s="12501" t="s">
        <v>477</v>
      </c>
      <c r="E1284" s="11675"/>
      <c r="F1284" s="11675" t="s">
        <v>399</v>
      </c>
      <c r="G1284" s="14277"/>
      <c r="H1284" s="13388"/>
      <c r="I1284" s="14290"/>
      <c r="K1284" s="10864"/>
      <c r="L1284" s="10865"/>
      <c r="M1284" s="10865"/>
      <c r="N1284" s="10866"/>
      <c r="O1284" s="10866"/>
      <c r="P1284" s="10867"/>
      <c r="Q1284" s="10868"/>
      <c r="R1284" s="10869"/>
      <c r="S1284" s="10870"/>
      <c r="T1284" s="10871"/>
      <c r="U1284" s="10868"/>
      <c r="V1284" s="10869"/>
      <c r="W1284" s="10871"/>
      <c r="X1284" s="10869"/>
      <c r="Y1284" s="10871"/>
      <c r="Z1284" s="10869"/>
      <c r="AA1284" s="10870"/>
      <c r="AB1284" s="10870"/>
      <c r="AC1284" s="10870"/>
      <c r="AD1284" s="10870"/>
      <c r="AE1284" s="10870"/>
      <c r="AF1284" s="10871"/>
      <c r="AG1284" s="10869"/>
      <c r="AH1284" s="10870"/>
      <c r="AI1284" s="10870"/>
      <c r="AJ1284" s="10870"/>
      <c r="AK1284" s="10870"/>
      <c r="AL1284" s="10870"/>
      <c r="AM1284" s="10870"/>
      <c r="AN1284" s="10871"/>
      <c r="AO1284" s="10869"/>
      <c r="AP1284" s="10870"/>
      <c r="AQ1284" s="10870"/>
      <c r="AR1284" s="10870"/>
      <c r="AS1284" s="10870"/>
      <c r="AT1284" s="10871"/>
      <c r="AU1284" s="10872"/>
      <c r="AV1284" s="10872"/>
      <c r="AW1284" s="10872"/>
      <c r="AX1284" s="10864"/>
      <c r="AY1284" s="10867"/>
      <c r="AZ1284" s="10872"/>
      <c r="BA1284" s="10864"/>
      <c r="BB1284" s="10866"/>
      <c r="BC1284" s="10867"/>
      <c r="BD1284" s="10873"/>
      <c r="BF1284" s="14553"/>
      <c r="BG1284" s="14553"/>
      <c r="BH1284" s="14553"/>
      <c r="BI1284" s="14553"/>
      <c r="BJ1284" s="14553"/>
      <c r="BK1284" s="10858"/>
      <c r="BL1284" s="14553"/>
      <c r="BM1284" s="14553"/>
      <c r="BN1284" s="14553"/>
    </row>
    <row r="1285" spans="1:66" ht="30" hidden="1" customHeight="1">
      <c r="A1285" s="10856">
        <v>821</v>
      </c>
      <c r="B1285" s="10857" t="s">
        <v>4494</v>
      </c>
      <c r="C1285" s="13580"/>
      <c r="D1285" s="12501" t="s">
        <v>26</v>
      </c>
      <c r="E1285" s="11675" t="s">
        <v>390</v>
      </c>
      <c r="F1285" s="12502" t="s">
        <v>391</v>
      </c>
      <c r="G1285" s="12503" t="s">
        <v>400</v>
      </c>
      <c r="H1285" s="12504" t="s">
        <v>401</v>
      </c>
      <c r="I1285" s="12507">
        <v>4</v>
      </c>
      <c r="K1285" s="10874"/>
      <c r="L1285" s="10875"/>
      <c r="M1285" s="10875"/>
      <c r="N1285" s="10876"/>
      <c r="O1285" s="10876"/>
      <c r="P1285" s="10877"/>
      <c r="Q1285" s="10878"/>
      <c r="R1285" s="10879"/>
      <c r="S1285" s="10880"/>
      <c r="T1285" s="10881"/>
      <c r="U1285" s="10878"/>
      <c r="V1285" s="10879"/>
      <c r="W1285" s="10881"/>
      <c r="X1285" s="10879"/>
      <c r="Y1285" s="10881"/>
      <c r="Z1285" s="10879"/>
      <c r="AA1285" s="10880"/>
      <c r="AB1285" s="10880"/>
      <c r="AC1285" s="10880"/>
      <c r="AD1285" s="10880"/>
      <c r="AE1285" s="10880"/>
      <c r="AF1285" s="10881"/>
      <c r="AG1285" s="10879"/>
      <c r="AH1285" s="10880"/>
      <c r="AI1285" s="10880"/>
      <c r="AJ1285" s="10880"/>
      <c r="AK1285" s="10880"/>
      <c r="AL1285" s="10880"/>
      <c r="AM1285" s="10880"/>
      <c r="AN1285" s="10881"/>
      <c r="AO1285" s="10879"/>
      <c r="AP1285" s="10880"/>
      <c r="AQ1285" s="10880"/>
      <c r="AR1285" s="10880"/>
      <c r="AS1285" s="10880"/>
      <c r="AT1285" s="10881"/>
      <c r="AU1285" s="10882"/>
      <c r="AV1285" s="10882"/>
      <c r="AW1285" s="10882"/>
      <c r="AX1285" s="10874"/>
      <c r="AY1285" s="10877"/>
      <c r="AZ1285" s="10882"/>
      <c r="BA1285" s="10874"/>
      <c r="BB1285" s="10876"/>
      <c r="BC1285" s="10877"/>
      <c r="BD1285" s="10856"/>
      <c r="BF1285" s="10858"/>
      <c r="BG1285" s="10858"/>
      <c r="BH1285" s="10858"/>
      <c r="BI1285" s="10858"/>
      <c r="BJ1285" s="10858"/>
      <c r="BK1285" s="10858"/>
      <c r="BL1285" s="10858"/>
      <c r="BM1285" s="10858"/>
      <c r="BN1285" s="10858"/>
    </row>
    <row r="1286" spans="1:66" ht="30" hidden="1" customHeight="1" thickBot="1">
      <c r="A1286" s="10883">
        <v>822</v>
      </c>
      <c r="B1286" s="10884" t="s">
        <v>4495</v>
      </c>
      <c r="C1286" s="13580"/>
      <c r="D1286" s="12508" t="s">
        <v>10057</v>
      </c>
      <c r="E1286" s="12509" t="s">
        <v>406</v>
      </c>
      <c r="F1286" s="12509" t="s">
        <v>407</v>
      </c>
      <c r="G1286" s="12510" t="s">
        <v>10354</v>
      </c>
      <c r="H1286" s="12511" t="s">
        <v>404</v>
      </c>
      <c r="I1286" s="12512">
        <v>1</v>
      </c>
      <c r="K1286" s="10886"/>
      <c r="L1286" s="10887"/>
      <c r="M1286" s="10887"/>
      <c r="N1286" s="10887"/>
      <c r="O1286" s="10887"/>
      <c r="P1286" s="10888"/>
      <c r="Q1286" s="10889"/>
      <c r="R1286" s="10890"/>
      <c r="S1286" s="10891"/>
      <c r="T1286" s="10892"/>
      <c r="U1286" s="10889"/>
      <c r="V1286" s="10890"/>
      <c r="W1286" s="10892"/>
      <c r="X1286" s="10890"/>
      <c r="Y1286" s="10892"/>
      <c r="Z1286" s="10890"/>
      <c r="AA1286" s="10891"/>
      <c r="AB1286" s="10891"/>
      <c r="AC1286" s="10891"/>
      <c r="AD1286" s="10891"/>
      <c r="AE1286" s="10891"/>
      <c r="AF1286" s="10892"/>
      <c r="AG1286" s="10890"/>
      <c r="AH1286" s="10891"/>
      <c r="AI1286" s="10891"/>
      <c r="AJ1286" s="10891"/>
      <c r="AK1286" s="10891"/>
      <c r="AL1286" s="10891"/>
      <c r="AM1286" s="10891"/>
      <c r="AN1286" s="10892"/>
      <c r="AO1286" s="10890"/>
      <c r="AP1286" s="10891"/>
      <c r="AQ1286" s="10891"/>
      <c r="AR1286" s="10891"/>
      <c r="AS1286" s="10891"/>
      <c r="AT1286" s="10892"/>
      <c r="AU1286" s="10893"/>
      <c r="AV1286" s="10893"/>
      <c r="AW1286" s="10893"/>
      <c r="AX1286" s="10886"/>
      <c r="AY1286" s="10888"/>
      <c r="AZ1286" s="10893"/>
      <c r="BA1286" s="10886"/>
      <c r="BB1286" s="10887"/>
      <c r="BC1286" s="10888"/>
      <c r="BD1286" s="10894"/>
      <c r="BF1286" s="10885"/>
      <c r="BG1286" s="10885"/>
      <c r="BH1286" s="10885"/>
      <c r="BI1286" s="10885"/>
      <c r="BJ1286" s="10885"/>
      <c r="BK1286" s="10885"/>
      <c r="BL1286" s="10885"/>
      <c r="BM1286" s="10885"/>
      <c r="BN1286" s="10885"/>
    </row>
    <row r="1287" spans="1:66" ht="30" hidden="1" customHeight="1">
      <c r="A1287" s="10895">
        <v>823</v>
      </c>
      <c r="B1287" s="10896" t="s">
        <v>4496</v>
      </c>
      <c r="C1287" s="13580"/>
      <c r="D1287" s="12310" t="s">
        <v>26</v>
      </c>
      <c r="E1287" s="12513" t="s">
        <v>390</v>
      </c>
      <c r="F1287" s="12514" t="s">
        <v>391</v>
      </c>
      <c r="G1287" s="12515" t="s">
        <v>412</v>
      </c>
      <c r="H1287" s="12516" t="s">
        <v>413</v>
      </c>
      <c r="I1287" s="12517">
        <v>1</v>
      </c>
      <c r="K1287" s="10898"/>
      <c r="L1287" s="10084"/>
      <c r="M1287" s="10084"/>
      <c r="N1287" s="10084"/>
      <c r="O1287" s="10084"/>
      <c r="P1287" s="10899"/>
      <c r="Q1287" s="10087"/>
      <c r="R1287" s="10088"/>
      <c r="S1287" s="10089"/>
      <c r="T1287" s="10090"/>
      <c r="U1287" s="10087"/>
      <c r="V1287" s="10088"/>
      <c r="W1287" s="10090"/>
      <c r="X1287" s="10088"/>
      <c r="Y1287" s="10090"/>
      <c r="Z1287" s="10088"/>
      <c r="AA1287" s="10089"/>
      <c r="AB1287" s="10089"/>
      <c r="AC1287" s="10089"/>
      <c r="AD1287" s="10089"/>
      <c r="AE1287" s="10089"/>
      <c r="AF1287" s="10090"/>
      <c r="AG1287" s="10088"/>
      <c r="AH1287" s="10089"/>
      <c r="AI1287" s="10089"/>
      <c r="AJ1287" s="10089"/>
      <c r="AK1287" s="10089"/>
      <c r="AL1287" s="10089"/>
      <c r="AM1287" s="10089"/>
      <c r="AN1287" s="10090"/>
      <c r="AO1287" s="10088"/>
      <c r="AP1287" s="10089"/>
      <c r="AQ1287" s="10089"/>
      <c r="AR1287" s="10089"/>
      <c r="AS1287" s="10089"/>
      <c r="AT1287" s="10090"/>
      <c r="AU1287" s="10900"/>
      <c r="AV1287" s="10900"/>
      <c r="AW1287" s="10900"/>
      <c r="AX1287" s="10898"/>
      <c r="AY1287" s="10899"/>
      <c r="AZ1287" s="10900"/>
      <c r="BA1287" s="10898"/>
      <c r="BB1287" s="10084"/>
      <c r="BC1287" s="10899"/>
      <c r="BD1287" s="10901"/>
      <c r="BF1287" s="10897"/>
      <c r="BG1287" s="10897"/>
      <c r="BH1287" s="10897"/>
      <c r="BI1287" s="10897"/>
      <c r="BJ1287" s="10897"/>
      <c r="BK1287" s="10897"/>
      <c r="BL1287" s="10897"/>
      <c r="BM1287" s="10897"/>
      <c r="BN1287" s="10897"/>
    </row>
    <row r="1288" spans="1:66" ht="30" hidden="1" customHeight="1">
      <c r="A1288" s="8566">
        <v>824</v>
      </c>
      <c r="B1288" s="8567" t="s">
        <v>4497</v>
      </c>
      <c r="C1288" s="13580"/>
      <c r="D1288" s="11813" t="s">
        <v>26</v>
      </c>
      <c r="E1288" s="11814" t="s">
        <v>390</v>
      </c>
      <c r="F1288" s="12271" t="s">
        <v>391</v>
      </c>
      <c r="G1288" s="11812" t="s">
        <v>415</v>
      </c>
      <c r="H1288" s="12518" t="s">
        <v>416</v>
      </c>
      <c r="I1288" s="12519">
        <v>1</v>
      </c>
      <c r="K1288" s="10902"/>
      <c r="L1288" s="8568"/>
      <c r="M1288" s="8568"/>
      <c r="N1288" s="8568"/>
      <c r="O1288" s="8568"/>
      <c r="P1288" s="10903"/>
      <c r="Q1288" s="8571"/>
      <c r="R1288" s="8572"/>
      <c r="S1288" s="8573"/>
      <c r="T1288" s="8574"/>
      <c r="U1288" s="8571"/>
      <c r="V1288" s="8572"/>
      <c r="W1288" s="8574"/>
      <c r="X1288" s="8572"/>
      <c r="Y1288" s="8574"/>
      <c r="Z1288" s="8572"/>
      <c r="AA1288" s="8573"/>
      <c r="AB1288" s="8573"/>
      <c r="AC1288" s="8573"/>
      <c r="AD1288" s="8573"/>
      <c r="AE1288" s="8573"/>
      <c r="AF1288" s="8574"/>
      <c r="AG1288" s="8572"/>
      <c r="AH1288" s="8573"/>
      <c r="AI1288" s="8573"/>
      <c r="AJ1288" s="8573"/>
      <c r="AK1288" s="8573"/>
      <c r="AL1288" s="8573"/>
      <c r="AM1288" s="8573"/>
      <c r="AN1288" s="8574"/>
      <c r="AO1288" s="8572"/>
      <c r="AP1288" s="8573"/>
      <c r="AQ1288" s="8573"/>
      <c r="AR1288" s="8573"/>
      <c r="AS1288" s="8573"/>
      <c r="AT1288" s="8574"/>
      <c r="AU1288" s="10904"/>
      <c r="AV1288" s="10904"/>
      <c r="AW1288" s="10904"/>
      <c r="AX1288" s="10902"/>
      <c r="AY1288" s="10903"/>
      <c r="AZ1288" s="10904"/>
      <c r="BA1288" s="10902"/>
      <c r="BB1288" s="8568"/>
      <c r="BC1288" s="10903"/>
      <c r="BD1288" s="10905"/>
      <c r="BF1288" s="8549"/>
      <c r="BG1288" s="8549"/>
      <c r="BH1288" s="8549"/>
      <c r="BI1288" s="8549"/>
      <c r="BJ1288" s="8549"/>
      <c r="BK1288" s="8549"/>
      <c r="BL1288" s="8549"/>
      <c r="BM1288" s="8549"/>
      <c r="BN1288" s="8549"/>
    </row>
    <row r="1289" spans="1:66" ht="30" customHeight="1">
      <c r="A1289" s="13557">
        <v>825</v>
      </c>
      <c r="B1289" s="13908" t="s">
        <v>4498</v>
      </c>
      <c r="C1289" s="13580"/>
      <c r="D1289" s="11813" t="s">
        <v>86</v>
      </c>
      <c r="E1289" s="11814" t="s">
        <v>422</v>
      </c>
      <c r="F1289" s="12520"/>
      <c r="G1289" s="13909" t="s">
        <v>418</v>
      </c>
      <c r="H1289" s="13387" t="s">
        <v>419</v>
      </c>
      <c r="I1289" s="13950">
        <v>1936</v>
      </c>
      <c r="K1289" s="8560" t="s">
        <v>10380</v>
      </c>
      <c r="L1289" s="7679"/>
      <c r="M1289" s="7679"/>
      <c r="N1289" s="8562" t="s">
        <v>10381</v>
      </c>
      <c r="O1289" s="8562" t="s">
        <v>10382</v>
      </c>
      <c r="P1289" s="8563" t="s">
        <v>9432</v>
      </c>
      <c r="Q1289" s="7687"/>
      <c r="R1289" s="7686"/>
      <c r="S1289" s="7680"/>
      <c r="T1289" s="7688"/>
      <c r="U1289" s="7687">
        <v>0</v>
      </c>
      <c r="V1289" s="7686">
        <v>0</v>
      </c>
      <c r="W1289" s="7688">
        <v>0</v>
      </c>
      <c r="X1289" s="7686">
        <v>0</v>
      </c>
      <c r="Y1289" s="7688"/>
      <c r="Z1289" s="7686">
        <v>0</v>
      </c>
      <c r="AA1289" s="7680"/>
      <c r="AB1289" s="7680"/>
      <c r="AC1289" s="7680"/>
      <c r="AD1289" s="7680"/>
      <c r="AE1289" s="7680"/>
      <c r="AF1289" s="7688"/>
      <c r="AG1289" s="7686"/>
      <c r="AH1289" s="7680"/>
      <c r="AI1289" s="7680"/>
      <c r="AJ1289" s="7680"/>
      <c r="AK1289" s="7680"/>
      <c r="AL1289" s="7680"/>
      <c r="AM1289" s="7680"/>
      <c r="AN1289" s="7688"/>
      <c r="AO1289" s="7686"/>
      <c r="AP1289" s="7680"/>
      <c r="AQ1289" s="7680"/>
      <c r="AR1289" s="7680"/>
      <c r="AS1289" s="7680"/>
      <c r="AT1289" s="7688"/>
      <c r="AU1289" s="8564"/>
      <c r="AV1289" s="8564"/>
      <c r="AW1289" s="8564"/>
      <c r="AX1289" s="8561"/>
      <c r="AY1289" s="8563"/>
      <c r="AZ1289" s="8564"/>
      <c r="BA1289" s="8561"/>
      <c r="BB1289" s="8562"/>
      <c r="BC1289" s="8563"/>
      <c r="BD1289" s="8565"/>
      <c r="BF1289" s="14432"/>
      <c r="BG1289" s="14432"/>
      <c r="BH1289" s="14432"/>
      <c r="BI1289" s="14432"/>
      <c r="BJ1289" s="14432"/>
      <c r="BK1289" s="13053"/>
      <c r="BL1289" s="14432"/>
      <c r="BM1289" s="14432"/>
      <c r="BN1289" s="14432"/>
    </row>
    <row r="1290" spans="1:66" ht="30" hidden="1" customHeight="1">
      <c r="A1290" s="13557"/>
      <c r="B1290" s="13908"/>
      <c r="C1290" s="13580"/>
      <c r="D1290" s="11813" t="s">
        <v>26</v>
      </c>
      <c r="E1290" s="11814"/>
      <c r="F1290" s="11814" t="s">
        <v>10279</v>
      </c>
      <c r="G1290" s="13909"/>
      <c r="H1290" s="13419"/>
      <c r="I1290" s="14286"/>
      <c r="K1290" s="8561"/>
      <c r="L1290" s="7679"/>
      <c r="M1290" s="7679"/>
      <c r="N1290" s="8562"/>
      <c r="O1290" s="8562"/>
      <c r="P1290" s="8563"/>
      <c r="Q1290" s="7687"/>
      <c r="R1290" s="7686"/>
      <c r="S1290" s="7680"/>
      <c r="T1290" s="7688"/>
      <c r="U1290" s="7687"/>
      <c r="V1290" s="7686"/>
      <c r="W1290" s="7688"/>
      <c r="X1290" s="7686"/>
      <c r="Y1290" s="7688"/>
      <c r="Z1290" s="7686"/>
      <c r="AA1290" s="7680"/>
      <c r="AB1290" s="7680"/>
      <c r="AC1290" s="7680"/>
      <c r="AD1290" s="7680"/>
      <c r="AE1290" s="7680"/>
      <c r="AF1290" s="7688"/>
      <c r="AG1290" s="7686"/>
      <c r="AH1290" s="7680"/>
      <c r="AI1290" s="7680"/>
      <c r="AJ1290" s="7680"/>
      <c r="AK1290" s="7680"/>
      <c r="AL1290" s="7680"/>
      <c r="AM1290" s="7680"/>
      <c r="AN1290" s="7688"/>
      <c r="AO1290" s="7686"/>
      <c r="AP1290" s="7680"/>
      <c r="AQ1290" s="7680"/>
      <c r="AR1290" s="7680"/>
      <c r="AS1290" s="7680"/>
      <c r="AT1290" s="7688"/>
      <c r="AU1290" s="8564"/>
      <c r="AV1290" s="8564"/>
      <c r="AW1290" s="8564"/>
      <c r="AX1290" s="8561"/>
      <c r="AY1290" s="8563"/>
      <c r="AZ1290" s="8564"/>
      <c r="BA1290" s="8561"/>
      <c r="BB1290" s="8562"/>
      <c r="BC1290" s="8563"/>
      <c r="BD1290" s="8565"/>
      <c r="BF1290" s="14432"/>
      <c r="BG1290" s="14432"/>
      <c r="BH1290" s="14432"/>
      <c r="BI1290" s="14432"/>
      <c r="BJ1290" s="14432"/>
      <c r="BK1290" s="8549"/>
      <c r="BL1290" s="14432"/>
      <c r="BM1290" s="14432"/>
      <c r="BN1290" s="14432"/>
    </row>
    <row r="1291" spans="1:66" ht="17.25" customHeight="1">
      <c r="A1291" s="13557">
        <v>826</v>
      </c>
      <c r="B1291" s="13908" t="s">
        <v>4499</v>
      </c>
      <c r="C1291" s="13580"/>
      <c r="D1291" s="11813" t="s">
        <v>86</v>
      </c>
      <c r="E1291" s="11814" t="s">
        <v>422</v>
      </c>
      <c r="F1291" s="12520"/>
      <c r="G1291" s="13909" t="s">
        <v>423</v>
      </c>
      <c r="H1291" s="13387" t="s">
        <v>424</v>
      </c>
      <c r="I1291" s="13950">
        <v>0.6</v>
      </c>
      <c r="K1291" s="8560">
        <v>51644</v>
      </c>
      <c r="L1291" s="7679"/>
      <c r="M1291" s="7679"/>
      <c r="N1291" s="8562" t="s">
        <v>10383</v>
      </c>
      <c r="O1291" s="8562" t="s">
        <v>10384</v>
      </c>
      <c r="P1291" s="8563" t="s">
        <v>9432</v>
      </c>
      <c r="Q1291" s="7687"/>
      <c r="R1291" s="7686"/>
      <c r="S1291" s="7680"/>
      <c r="T1291" s="7688"/>
      <c r="U1291" s="7687">
        <v>57620</v>
      </c>
      <c r="V1291" s="7686"/>
      <c r="W1291" s="7688"/>
      <c r="X1291" s="7686">
        <v>40520</v>
      </c>
      <c r="Y1291" s="7688">
        <v>17100</v>
      </c>
      <c r="Z1291" s="7686">
        <v>2527</v>
      </c>
      <c r="AA1291" s="7680">
        <v>4505</v>
      </c>
      <c r="AB1291" s="7680">
        <v>6638</v>
      </c>
      <c r="AC1291" s="7680">
        <v>12714</v>
      </c>
      <c r="AD1291" s="7680">
        <v>25385</v>
      </c>
      <c r="AE1291" s="7680">
        <v>25385</v>
      </c>
      <c r="AF1291" s="7688">
        <v>5851</v>
      </c>
      <c r="AG1291" s="7686"/>
      <c r="AH1291" s="7680"/>
      <c r="AI1291" s="7680"/>
      <c r="AJ1291" s="7680"/>
      <c r="AK1291" s="7680"/>
      <c r="AL1291" s="7680"/>
      <c r="AM1291" s="7680"/>
      <c r="AN1291" s="7688"/>
      <c r="AO1291" s="7686"/>
      <c r="AP1291" s="7680">
        <v>12</v>
      </c>
      <c r="AQ1291" s="7680">
        <v>3</v>
      </c>
      <c r="AR1291" s="7680"/>
      <c r="AS1291" s="7680"/>
      <c r="AT1291" s="7688"/>
      <c r="AU1291" s="8564" t="s">
        <v>1732</v>
      </c>
      <c r="AV1291" s="8564" t="s">
        <v>1732</v>
      </c>
      <c r="AW1291" s="8564" t="s">
        <v>1732</v>
      </c>
      <c r="AX1291" s="8561" t="s">
        <v>1732</v>
      </c>
      <c r="AY1291" s="8563" t="s">
        <v>1732</v>
      </c>
      <c r="AZ1291" s="8564" t="s">
        <v>1732</v>
      </c>
      <c r="BA1291" s="8561" t="s">
        <v>1732</v>
      </c>
      <c r="BB1291" s="8562" t="s">
        <v>1732</v>
      </c>
      <c r="BC1291" s="8563" t="s">
        <v>1732</v>
      </c>
      <c r="BD1291" s="8565" t="s">
        <v>1732</v>
      </c>
      <c r="BF1291" s="14432"/>
      <c r="BG1291" s="14432"/>
      <c r="BH1291" s="14432"/>
      <c r="BI1291" s="14432"/>
      <c r="BJ1291" s="14432"/>
      <c r="BK1291" s="13053"/>
      <c r="BL1291" s="14432"/>
      <c r="BM1291" s="14432"/>
      <c r="BN1291" s="14432"/>
    </row>
    <row r="1292" spans="1:66" ht="17.25" hidden="1" customHeight="1">
      <c r="A1292" s="13557"/>
      <c r="B1292" s="13908"/>
      <c r="C1292" s="13580"/>
      <c r="D1292" s="11813" t="s">
        <v>26</v>
      </c>
      <c r="E1292" s="11814"/>
      <c r="F1292" s="11814" t="s">
        <v>10279</v>
      </c>
      <c r="G1292" s="13909"/>
      <c r="H1292" s="13419"/>
      <c r="I1292" s="14285"/>
      <c r="K1292" s="8561"/>
      <c r="L1292" s="7679"/>
      <c r="M1292" s="7679"/>
      <c r="N1292" s="8562"/>
      <c r="O1292" s="8562"/>
      <c r="P1292" s="8563"/>
      <c r="Q1292" s="7687"/>
      <c r="R1292" s="7686"/>
      <c r="S1292" s="7680"/>
      <c r="T1292" s="7688"/>
      <c r="U1292" s="7687"/>
      <c r="V1292" s="7686"/>
      <c r="W1292" s="7688"/>
      <c r="X1292" s="7686"/>
      <c r="Y1292" s="7688"/>
      <c r="Z1292" s="7686"/>
      <c r="AA1292" s="7680"/>
      <c r="AB1292" s="7680"/>
      <c r="AC1292" s="7680"/>
      <c r="AD1292" s="7680"/>
      <c r="AE1292" s="7680"/>
      <c r="AF1292" s="7688"/>
      <c r="AG1292" s="7686"/>
      <c r="AH1292" s="7680"/>
      <c r="AI1292" s="7680"/>
      <c r="AJ1292" s="7680"/>
      <c r="AK1292" s="7680"/>
      <c r="AL1292" s="7680"/>
      <c r="AM1292" s="7680"/>
      <c r="AN1292" s="7688"/>
      <c r="AO1292" s="7686"/>
      <c r="AP1292" s="7680"/>
      <c r="AQ1292" s="7680"/>
      <c r="AR1292" s="7680"/>
      <c r="AS1292" s="7680"/>
      <c r="AT1292" s="7688"/>
      <c r="AU1292" s="8564"/>
      <c r="AV1292" s="8564"/>
      <c r="AW1292" s="8564"/>
      <c r="AX1292" s="8561"/>
      <c r="AY1292" s="8563"/>
      <c r="AZ1292" s="8564"/>
      <c r="BA1292" s="8561"/>
      <c r="BB1292" s="8562"/>
      <c r="BC1292" s="8563"/>
      <c r="BD1292" s="8565"/>
      <c r="BF1292" s="14432"/>
      <c r="BG1292" s="14432"/>
      <c r="BH1292" s="14432"/>
      <c r="BI1292" s="14432"/>
      <c r="BJ1292" s="14432"/>
      <c r="BK1292" s="8549"/>
      <c r="BL1292" s="14432"/>
      <c r="BM1292" s="14432"/>
      <c r="BN1292" s="14432"/>
    </row>
    <row r="1293" spans="1:66" ht="17.25" hidden="1" customHeight="1">
      <c r="A1293" s="13557"/>
      <c r="B1293" s="13908"/>
      <c r="C1293" s="13580"/>
      <c r="D1293" s="11813" t="s">
        <v>10281</v>
      </c>
      <c r="E1293" s="11814"/>
      <c r="F1293" s="11814" t="s">
        <v>10280</v>
      </c>
      <c r="G1293" s="13909"/>
      <c r="H1293" s="13419"/>
      <c r="I1293" s="14286"/>
      <c r="K1293" s="8561"/>
      <c r="L1293" s="7679"/>
      <c r="M1293" s="7679"/>
      <c r="N1293" s="8562"/>
      <c r="O1293" s="8562"/>
      <c r="P1293" s="8563"/>
      <c r="Q1293" s="7687"/>
      <c r="R1293" s="7686"/>
      <c r="S1293" s="7680"/>
      <c r="T1293" s="7688"/>
      <c r="U1293" s="7687"/>
      <c r="V1293" s="7686"/>
      <c r="W1293" s="7688"/>
      <c r="X1293" s="7686"/>
      <c r="Y1293" s="7688"/>
      <c r="Z1293" s="7686"/>
      <c r="AA1293" s="7680"/>
      <c r="AB1293" s="7680"/>
      <c r="AC1293" s="7680"/>
      <c r="AD1293" s="7680"/>
      <c r="AE1293" s="7680"/>
      <c r="AF1293" s="7688"/>
      <c r="AG1293" s="7686"/>
      <c r="AH1293" s="7680"/>
      <c r="AI1293" s="7680"/>
      <c r="AJ1293" s="7680"/>
      <c r="AK1293" s="7680"/>
      <c r="AL1293" s="7680"/>
      <c r="AM1293" s="7680"/>
      <c r="AN1293" s="7688"/>
      <c r="AO1293" s="7686"/>
      <c r="AP1293" s="7680"/>
      <c r="AQ1293" s="7680"/>
      <c r="AR1293" s="7680"/>
      <c r="AS1293" s="7680"/>
      <c r="AT1293" s="7688"/>
      <c r="AU1293" s="8564"/>
      <c r="AV1293" s="8564"/>
      <c r="AW1293" s="8564"/>
      <c r="AX1293" s="8561"/>
      <c r="AY1293" s="8563"/>
      <c r="AZ1293" s="8564"/>
      <c r="BA1293" s="8561"/>
      <c r="BB1293" s="8562"/>
      <c r="BC1293" s="8563"/>
      <c r="BD1293" s="8565"/>
      <c r="BF1293" s="14432"/>
      <c r="BG1293" s="14432"/>
      <c r="BH1293" s="14432"/>
      <c r="BI1293" s="14432"/>
      <c r="BJ1293" s="14432"/>
      <c r="BK1293" s="8549"/>
      <c r="BL1293" s="14432"/>
      <c r="BM1293" s="14432"/>
      <c r="BN1293" s="14432"/>
    </row>
    <row r="1294" spans="1:66" ht="30" hidden="1" customHeight="1">
      <c r="A1294" s="10906">
        <v>827</v>
      </c>
      <c r="B1294" s="10907" t="s">
        <v>4500</v>
      </c>
      <c r="C1294" s="13580"/>
      <c r="D1294" s="11813" t="s">
        <v>26</v>
      </c>
      <c r="E1294" s="11814" t="s">
        <v>390</v>
      </c>
      <c r="F1294" s="12520"/>
      <c r="G1294" s="12521" t="s">
        <v>426</v>
      </c>
      <c r="H1294" s="12522" t="s">
        <v>427</v>
      </c>
      <c r="I1294" s="11816">
        <v>0</v>
      </c>
      <c r="K1294" s="8560"/>
      <c r="L1294" s="8568"/>
      <c r="M1294" s="8568"/>
      <c r="N1294" s="8569"/>
      <c r="O1294" s="8569"/>
      <c r="P1294" s="8570"/>
      <c r="Q1294" s="8571"/>
      <c r="R1294" s="8572"/>
      <c r="S1294" s="8573"/>
      <c r="T1294" s="8574"/>
      <c r="U1294" s="8571"/>
      <c r="V1294" s="8572"/>
      <c r="W1294" s="8574"/>
      <c r="X1294" s="8572"/>
      <c r="Y1294" s="8574"/>
      <c r="Z1294" s="8572"/>
      <c r="AA1294" s="8573"/>
      <c r="AB1294" s="8573"/>
      <c r="AC1294" s="8573"/>
      <c r="AD1294" s="8573"/>
      <c r="AE1294" s="8573"/>
      <c r="AF1294" s="8574"/>
      <c r="AG1294" s="8572"/>
      <c r="AH1294" s="8573"/>
      <c r="AI1294" s="8573"/>
      <c r="AJ1294" s="8573"/>
      <c r="AK1294" s="8573"/>
      <c r="AL1294" s="8573"/>
      <c r="AM1294" s="8573"/>
      <c r="AN1294" s="8574"/>
      <c r="AO1294" s="8572"/>
      <c r="AP1294" s="8573"/>
      <c r="AQ1294" s="8573"/>
      <c r="AR1294" s="8573"/>
      <c r="AS1294" s="8573"/>
      <c r="AT1294" s="8574"/>
      <c r="AU1294" s="8575"/>
      <c r="AV1294" s="8575"/>
      <c r="AW1294" s="8575"/>
      <c r="AX1294" s="8560"/>
      <c r="AY1294" s="8570"/>
      <c r="AZ1294" s="8575"/>
      <c r="BA1294" s="8560"/>
      <c r="BB1294" s="8569"/>
      <c r="BC1294" s="8570"/>
      <c r="BD1294" s="8566"/>
      <c r="BF1294" s="10908"/>
      <c r="BG1294" s="10908"/>
      <c r="BH1294" s="10908"/>
      <c r="BI1294" s="10908"/>
      <c r="BJ1294" s="10908"/>
      <c r="BK1294" s="10908"/>
      <c r="BL1294" s="10908"/>
      <c r="BM1294" s="10908"/>
      <c r="BN1294" s="10908"/>
    </row>
    <row r="1295" spans="1:66" ht="30" hidden="1" customHeight="1">
      <c r="A1295" s="8566">
        <v>828</v>
      </c>
      <c r="B1295" s="8567" t="s">
        <v>4501</v>
      </c>
      <c r="C1295" s="13580"/>
      <c r="D1295" s="11813" t="s">
        <v>26</v>
      </c>
      <c r="E1295" s="11814" t="s">
        <v>390</v>
      </c>
      <c r="F1295" s="12271" t="s">
        <v>391</v>
      </c>
      <c r="G1295" s="11812" t="s">
        <v>430</v>
      </c>
      <c r="H1295" s="12518" t="s">
        <v>431</v>
      </c>
      <c r="I1295" s="11816">
        <v>3</v>
      </c>
      <c r="K1295" s="8560"/>
      <c r="L1295" s="8568"/>
      <c r="M1295" s="8568"/>
      <c r="N1295" s="8569"/>
      <c r="O1295" s="8569"/>
      <c r="P1295" s="8570"/>
      <c r="Q1295" s="8571"/>
      <c r="R1295" s="8572"/>
      <c r="S1295" s="8573"/>
      <c r="T1295" s="8574"/>
      <c r="U1295" s="8571"/>
      <c r="V1295" s="8572"/>
      <c r="W1295" s="8574"/>
      <c r="X1295" s="8572"/>
      <c r="Y1295" s="8574"/>
      <c r="Z1295" s="8572"/>
      <c r="AA1295" s="8573"/>
      <c r="AB1295" s="8573"/>
      <c r="AC1295" s="8573"/>
      <c r="AD1295" s="8573"/>
      <c r="AE1295" s="8573"/>
      <c r="AF1295" s="8574"/>
      <c r="AG1295" s="8572"/>
      <c r="AH1295" s="8573"/>
      <c r="AI1295" s="8573"/>
      <c r="AJ1295" s="8573"/>
      <c r="AK1295" s="8573"/>
      <c r="AL1295" s="8573"/>
      <c r="AM1295" s="8573"/>
      <c r="AN1295" s="8574"/>
      <c r="AO1295" s="8572"/>
      <c r="AP1295" s="8573"/>
      <c r="AQ1295" s="8573"/>
      <c r="AR1295" s="8573"/>
      <c r="AS1295" s="8573"/>
      <c r="AT1295" s="8574"/>
      <c r="AU1295" s="8575"/>
      <c r="AV1295" s="8575"/>
      <c r="AW1295" s="8575"/>
      <c r="AX1295" s="8560"/>
      <c r="AY1295" s="8570"/>
      <c r="AZ1295" s="8575"/>
      <c r="BA1295" s="8560"/>
      <c r="BB1295" s="8569"/>
      <c r="BC1295" s="8570"/>
      <c r="BD1295" s="8566"/>
      <c r="BF1295" s="8549"/>
      <c r="BG1295" s="8549"/>
      <c r="BH1295" s="8549"/>
      <c r="BI1295" s="8549"/>
      <c r="BJ1295" s="8549"/>
      <c r="BK1295" s="8549"/>
      <c r="BL1295" s="8549"/>
      <c r="BM1295" s="8549"/>
      <c r="BN1295" s="8549"/>
    </row>
    <row r="1296" spans="1:66" ht="30" hidden="1" customHeight="1">
      <c r="A1296" s="13667">
        <v>829</v>
      </c>
      <c r="B1296" s="14167" t="s">
        <v>4502</v>
      </c>
      <c r="C1296" s="13580"/>
      <c r="D1296" s="11813" t="s">
        <v>26</v>
      </c>
      <c r="E1296" s="11814" t="s">
        <v>390</v>
      </c>
      <c r="F1296" s="12520"/>
      <c r="G1296" s="14169" t="s">
        <v>432</v>
      </c>
      <c r="H1296" s="13420" t="s">
        <v>433</v>
      </c>
      <c r="I1296" s="14287">
        <v>0.6</v>
      </c>
      <c r="K1296" s="10909"/>
      <c r="L1296" s="10910"/>
      <c r="M1296" s="10910"/>
      <c r="N1296" s="10911"/>
      <c r="O1296" s="10911"/>
      <c r="P1296" s="10912"/>
      <c r="Q1296" s="10913"/>
      <c r="R1296" s="10914"/>
      <c r="S1296" s="10915"/>
      <c r="T1296" s="10916"/>
      <c r="U1296" s="10913"/>
      <c r="V1296" s="10914"/>
      <c r="W1296" s="10916"/>
      <c r="X1296" s="10914"/>
      <c r="Y1296" s="10916"/>
      <c r="Z1296" s="10914"/>
      <c r="AA1296" s="10915"/>
      <c r="AB1296" s="10915"/>
      <c r="AC1296" s="10915"/>
      <c r="AD1296" s="10915"/>
      <c r="AE1296" s="10915"/>
      <c r="AF1296" s="10916"/>
      <c r="AG1296" s="10914"/>
      <c r="AH1296" s="10915"/>
      <c r="AI1296" s="10915"/>
      <c r="AJ1296" s="10915"/>
      <c r="AK1296" s="10915"/>
      <c r="AL1296" s="10915"/>
      <c r="AM1296" s="10915"/>
      <c r="AN1296" s="10916"/>
      <c r="AO1296" s="10914"/>
      <c r="AP1296" s="10915"/>
      <c r="AQ1296" s="10915"/>
      <c r="AR1296" s="10915"/>
      <c r="AS1296" s="10915"/>
      <c r="AT1296" s="10916"/>
      <c r="AU1296" s="10917"/>
      <c r="AV1296" s="10917"/>
      <c r="AW1296" s="10917"/>
      <c r="AX1296" s="10909"/>
      <c r="AY1296" s="10912"/>
      <c r="AZ1296" s="10917"/>
      <c r="BA1296" s="10909"/>
      <c r="BB1296" s="10911"/>
      <c r="BC1296" s="10912"/>
      <c r="BD1296" s="10918"/>
      <c r="BF1296" s="14514"/>
      <c r="BG1296" s="14514"/>
      <c r="BH1296" s="14514"/>
      <c r="BI1296" s="14514"/>
      <c r="BJ1296" s="14514"/>
      <c r="BK1296" s="10095"/>
      <c r="BL1296" s="14514"/>
      <c r="BM1296" s="14514"/>
      <c r="BN1296" s="14514"/>
    </row>
    <row r="1297" spans="1:66" ht="30" hidden="1" customHeight="1">
      <c r="A1297" s="13667"/>
      <c r="B1297" s="14167"/>
      <c r="C1297" s="13580"/>
      <c r="D1297" s="11813" t="s">
        <v>477</v>
      </c>
      <c r="E1297" s="11814"/>
      <c r="F1297" s="11814" t="s">
        <v>435</v>
      </c>
      <c r="G1297" s="14169"/>
      <c r="H1297" s="13420"/>
      <c r="I1297" s="14288"/>
      <c r="K1297" s="10909"/>
      <c r="L1297" s="10910"/>
      <c r="M1297" s="10910"/>
      <c r="N1297" s="10911"/>
      <c r="O1297" s="10911"/>
      <c r="P1297" s="10912"/>
      <c r="Q1297" s="10913"/>
      <c r="R1297" s="10914"/>
      <c r="S1297" s="10915"/>
      <c r="T1297" s="10916"/>
      <c r="U1297" s="10913"/>
      <c r="V1297" s="10914"/>
      <c r="W1297" s="10916"/>
      <c r="X1297" s="10914"/>
      <c r="Y1297" s="10916"/>
      <c r="Z1297" s="10914"/>
      <c r="AA1297" s="10915"/>
      <c r="AB1297" s="10915"/>
      <c r="AC1297" s="10915"/>
      <c r="AD1297" s="10915"/>
      <c r="AE1297" s="10915"/>
      <c r="AF1297" s="10916"/>
      <c r="AG1297" s="10914"/>
      <c r="AH1297" s="10915"/>
      <c r="AI1297" s="10915"/>
      <c r="AJ1297" s="10915"/>
      <c r="AK1297" s="10915"/>
      <c r="AL1297" s="10915"/>
      <c r="AM1297" s="10915"/>
      <c r="AN1297" s="10916"/>
      <c r="AO1297" s="10914"/>
      <c r="AP1297" s="10915"/>
      <c r="AQ1297" s="10915"/>
      <c r="AR1297" s="10915"/>
      <c r="AS1297" s="10915"/>
      <c r="AT1297" s="10916"/>
      <c r="AU1297" s="10917"/>
      <c r="AV1297" s="10917"/>
      <c r="AW1297" s="10917"/>
      <c r="AX1297" s="10909"/>
      <c r="AY1297" s="10912"/>
      <c r="AZ1297" s="10917"/>
      <c r="BA1297" s="10909"/>
      <c r="BB1297" s="10911"/>
      <c r="BC1297" s="10912"/>
      <c r="BD1297" s="10918"/>
      <c r="BF1297" s="14514"/>
      <c r="BG1297" s="14514"/>
      <c r="BH1297" s="14514"/>
      <c r="BI1297" s="14514"/>
      <c r="BJ1297" s="14514"/>
      <c r="BK1297" s="10095"/>
      <c r="BL1297" s="14514"/>
      <c r="BM1297" s="14514"/>
      <c r="BN1297" s="14514"/>
    </row>
    <row r="1298" spans="1:66" ht="30" hidden="1" customHeight="1">
      <c r="A1298" s="13667">
        <v>830</v>
      </c>
      <c r="B1298" s="14167" t="s">
        <v>4503</v>
      </c>
      <c r="C1298" s="13580"/>
      <c r="D1298" s="11813" t="s">
        <v>10066</v>
      </c>
      <c r="E1298" s="11814" t="s">
        <v>298</v>
      </c>
      <c r="F1298" s="12520"/>
      <c r="G1298" s="14169" t="s">
        <v>436</v>
      </c>
      <c r="H1298" s="13420" t="s">
        <v>437</v>
      </c>
      <c r="I1298" s="14287">
        <v>0.6</v>
      </c>
      <c r="K1298" s="10909"/>
      <c r="L1298" s="10910"/>
      <c r="M1298" s="10910"/>
      <c r="N1298" s="10911"/>
      <c r="O1298" s="10911"/>
      <c r="P1298" s="10912"/>
      <c r="Q1298" s="10913"/>
      <c r="R1298" s="10914"/>
      <c r="S1298" s="10915"/>
      <c r="T1298" s="10916"/>
      <c r="U1298" s="10913"/>
      <c r="V1298" s="10914"/>
      <c r="W1298" s="10916"/>
      <c r="X1298" s="10914"/>
      <c r="Y1298" s="10916"/>
      <c r="Z1298" s="10914"/>
      <c r="AA1298" s="10915"/>
      <c r="AB1298" s="10915"/>
      <c r="AC1298" s="10915"/>
      <c r="AD1298" s="10915"/>
      <c r="AE1298" s="10915"/>
      <c r="AF1298" s="10916"/>
      <c r="AG1298" s="10914"/>
      <c r="AH1298" s="10915"/>
      <c r="AI1298" s="10915"/>
      <c r="AJ1298" s="10915"/>
      <c r="AK1298" s="10915"/>
      <c r="AL1298" s="10915"/>
      <c r="AM1298" s="10915"/>
      <c r="AN1298" s="10916"/>
      <c r="AO1298" s="10914"/>
      <c r="AP1298" s="10915"/>
      <c r="AQ1298" s="10915"/>
      <c r="AR1298" s="10915"/>
      <c r="AS1298" s="10915"/>
      <c r="AT1298" s="10916"/>
      <c r="AU1298" s="10917"/>
      <c r="AV1298" s="10917"/>
      <c r="AW1298" s="10917"/>
      <c r="AX1298" s="10909"/>
      <c r="AY1298" s="10912"/>
      <c r="AZ1298" s="10917"/>
      <c r="BA1298" s="10909"/>
      <c r="BB1298" s="10911"/>
      <c r="BC1298" s="10912"/>
      <c r="BD1298" s="10918"/>
      <c r="BF1298" s="14514"/>
      <c r="BG1298" s="14514"/>
      <c r="BH1298" s="14514"/>
      <c r="BI1298" s="14514"/>
      <c r="BJ1298" s="14514"/>
      <c r="BK1298" s="10095"/>
      <c r="BL1298" s="14514"/>
      <c r="BM1298" s="14514"/>
      <c r="BN1298" s="14514"/>
    </row>
    <row r="1299" spans="1:66" ht="30" hidden="1" customHeight="1">
      <c r="A1299" s="13667"/>
      <c r="B1299" s="14167"/>
      <c r="C1299" s="13580"/>
      <c r="D1299" s="11813" t="s">
        <v>4337</v>
      </c>
      <c r="E1299" s="11814"/>
      <c r="F1299" s="11814" t="s">
        <v>439</v>
      </c>
      <c r="G1299" s="14169"/>
      <c r="H1299" s="13420"/>
      <c r="I1299" s="14288"/>
      <c r="K1299" s="10909"/>
      <c r="L1299" s="10910"/>
      <c r="M1299" s="10910"/>
      <c r="N1299" s="10911"/>
      <c r="O1299" s="10911"/>
      <c r="P1299" s="10912"/>
      <c r="Q1299" s="10913"/>
      <c r="R1299" s="10914"/>
      <c r="S1299" s="10915"/>
      <c r="T1299" s="10916"/>
      <c r="U1299" s="10913"/>
      <c r="V1299" s="10914"/>
      <c r="W1299" s="10916"/>
      <c r="X1299" s="10914"/>
      <c r="Y1299" s="10916"/>
      <c r="Z1299" s="10914"/>
      <c r="AA1299" s="10915"/>
      <c r="AB1299" s="10915"/>
      <c r="AC1299" s="10915"/>
      <c r="AD1299" s="10915"/>
      <c r="AE1299" s="10915"/>
      <c r="AF1299" s="10916"/>
      <c r="AG1299" s="10914"/>
      <c r="AH1299" s="10915"/>
      <c r="AI1299" s="10915"/>
      <c r="AJ1299" s="10915"/>
      <c r="AK1299" s="10915"/>
      <c r="AL1299" s="10915"/>
      <c r="AM1299" s="10915"/>
      <c r="AN1299" s="10916"/>
      <c r="AO1299" s="10914"/>
      <c r="AP1299" s="10915"/>
      <c r="AQ1299" s="10915"/>
      <c r="AR1299" s="10915"/>
      <c r="AS1299" s="10915"/>
      <c r="AT1299" s="10916"/>
      <c r="AU1299" s="10917"/>
      <c r="AV1299" s="10917"/>
      <c r="AW1299" s="10917"/>
      <c r="AX1299" s="10909"/>
      <c r="AY1299" s="10912"/>
      <c r="AZ1299" s="10917"/>
      <c r="BA1299" s="10909"/>
      <c r="BB1299" s="10911"/>
      <c r="BC1299" s="10912"/>
      <c r="BD1299" s="10918"/>
      <c r="BF1299" s="14514"/>
      <c r="BG1299" s="14514"/>
      <c r="BH1299" s="14514"/>
      <c r="BI1299" s="14514"/>
      <c r="BJ1299" s="14514"/>
      <c r="BK1299" s="10095"/>
      <c r="BL1299" s="14514"/>
      <c r="BM1299" s="14514"/>
      <c r="BN1299" s="14514"/>
    </row>
    <row r="1300" spans="1:66" ht="30" hidden="1" customHeight="1">
      <c r="A1300" s="10093">
        <v>831</v>
      </c>
      <c r="B1300" s="10094" t="s">
        <v>4504</v>
      </c>
      <c r="C1300" s="13580"/>
      <c r="D1300" s="11813" t="s">
        <v>26</v>
      </c>
      <c r="E1300" s="11814" t="s">
        <v>390</v>
      </c>
      <c r="F1300" s="12271" t="s">
        <v>391</v>
      </c>
      <c r="G1300" s="12272" t="s">
        <v>440</v>
      </c>
      <c r="H1300" s="12273" t="s">
        <v>441</v>
      </c>
      <c r="I1300" s="12523">
        <v>0.1</v>
      </c>
      <c r="K1300" s="10235"/>
      <c r="L1300" s="8568"/>
      <c r="M1300" s="8568"/>
      <c r="N1300" s="10919"/>
      <c r="O1300" s="10919"/>
      <c r="P1300" s="10920"/>
      <c r="Q1300" s="8571"/>
      <c r="R1300" s="8572"/>
      <c r="S1300" s="8573"/>
      <c r="T1300" s="8574"/>
      <c r="U1300" s="8571"/>
      <c r="V1300" s="8572"/>
      <c r="W1300" s="8574"/>
      <c r="X1300" s="8572"/>
      <c r="Y1300" s="8574"/>
      <c r="Z1300" s="8572"/>
      <c r="AA1300" s="8573"/>
      <c r="AB1300" s="8573"/>
      <c r="AC1300" s="8573"/>
      <c r="AD1300" s="8573"/>
      <c r="AE1300" s="8573"/>
      <c r="AF1300" s="8574"/>
      <c r="AG1300" s="8572"/>
      <c r="AH1300" s="8573"/>
      <c r="AI1300" s="8573"/>
      <c r="AJ1300" s="8573"/>
      <c r="AK1300" s="8573"/>
      <c r="AL1300" s="8573"/>
      <c r="AM1300" s="8573"/>
      <c r="AN1300" s="8574"/>
      <c r="AO1300" s="8572"/>
      <c r="AP1300" s="8573"/>
      <c r="AQ1300" s="8573"/>
      <c r="AR1300" s="8573"/>
      <c r="AS1300" s="8573"/>
      <c r="AT1300" s="8574"/>
      <c r="AU1300" s="10921"/>
      <c r="AV1300" s="10921"/>
      <c r="AW1300" s="10921"/>
      <c r="AX1300" s="10235"/>
      <c r="AY1300" s="10920"/>
      <c r="AZ1300" s="10921"/>
      <c r="BA1300" s="10235"/>
      <c r="BB1300" s="10919"/>
      <c r="BC1300" s="10920"/>
      <c r="BD1300" s="10922"/>
      <c r="BF1300" s="10095"/>
      <c r="BG1300" s="10095"/>
      <c r="BH1300" s="10095"/>
      <c r="BI1300" s="10095"/>
      <c r="BJ1300" s="10095"/>
      <c r="BK1300" s="10095"/>
      <c r="BL1300" s="10095"/>
      <c r="BM1300" s="10095"/>
      <c r="BN1300" s="10095"/>
    </row>
    <row r="1301" spans="1:66" ht="17.25" hidden="1" customHeight="1">
      <c r="A1301" s="13557">
        <v>832</v>
      </c>
      <c r="B1301" s="13908" t="s">
        <v>4505</v>
      </c>
      <c r="C1301" s="13580"/>
      <c r="D1301" s="11813" t="s">
        <v>26</v>
      </c>
      <c r="E1301" s="11814" t="s">
        <v>390</v>
      </c>
      <c r="F1301" s="12520"/>
      <c r="G1301" s="13909" t="s">
        <v>10283</v>
      </c>
      <c r="H1301" s="13419" t="s">
        <v>444</v>
      </c>
      <c r="I1301" s="13950">
        <v>1</v>
      </c>
      <c r="K1301" s="8561"/>
      <c r="L1301" s="7679"/>
      <c r="M1301" s="7679"/>
      <c r="N1301" s="8562"/>
      <c r="O1301" s="8562"/>
      <c r="P1301" s="8563"/>
      <c r="Q1301" s="7687"/>
      <c r="R1301" s="7686"/>
      <c r="S1301" s="7680"/>
      <c r="T1301" s="7688"/>
      <c r="U1301" s="7687"/>
      <c r="V1301" s="7686"/>
      <c r="W1301" s="7688"/>
      <c r="X1301" s="7686"/>
      <c r="Y1301" s="7688"/>
      <c r="Z1301" s="7686"/>
      <c r="AA1301" s="7680"/>
      <c r="AB1301" s="7680"/>
      <c r="AC1301" s="7680"/>
      <c r="AD1301" s="7680"/>
      <c r="AE1301" s="7680"/>
      <c r="AF1301" s="7688"/>
      <c r="AG1301" s="7686"/>
      <c r="AH1301" s="7680"/>
      <c r="AI1301" s="7680"/>
      <c r="AJ1301" s="7680"/>
      <c r="AK1301" s="7680"/>
      <c r="AL1301" s="7680"/>
      <c r="AM1301" s="7680"/>
      <c r="AN1301" s="7688"/>
      <c r="AO1301" s="7686"/>
      <c r="AP1301" s="7680"/>
      <c r="AQ1301" s="7680"/>
      <c r="AR1301" s="7680"/>
      <c r="AS1301" s="7680"/>
      <c r="AT1301" s="7688"/>
      <c r="AU1301" s="8564"/>
      <c r="AV1301" s="8564"/>
      <c r="AW1301" s="8564"/>
      <c r="AX1301" s="8561"/>
      <c r="AY1301" s="8563"/>
      <c r="AZ1301" s="8564"/>
      <c r="BA1301" s="8561"/>
      <c r="BB1301" s="8562"/>
      <c r="BC1301" s="8563"/>
      <c r="BD1301" s="8565"/>
      <c r="BF1301" s="14432"/>
      <c r="BG1301" s="14432"/>
      <c r="BH1301" s="14432"/>
      <c r="BI1301" s="14432"/>
      <c r="BJ1301" s="14432"/>
      <c r="BK1301" s="8549"/>
      <c r="BL1301" s="14432"/>
      <c r="BM1301" s="14432"/>
      <c r="BN1301" s="14432"/>
    </row>
    <row r="1302" spans="1:66" ht="17.25" hidden="1" customHeight="1">
      <c r="A1302" s="13557"/>
      <c r="B1302" s="13908"/>
      <c r="C1302" s="13580"/>
      <c r="D1302" s="11813" t="s">
        <v>477</v>
      </c>
      <c r="E1302" s="11814"/>
      <c r="F1302" s="11814" t="s">
        <v>477</v>
      </c>
      <c r="G1302" s="13909"/>
      <c r="H1302" s="13419"/>
      <c r="I1302" s="14285"/>
      <c r="K1302" s="8561"/>
      <c r="L1302" s="7679"/>
      <c r="M1302" s="7679"/>
      <c r="N1302" s="8562"/>
      <c r="O1302" s="8562"/>
      <c r="P1302" s="8563"/>
      <c r="Q1302" s="7687"/>
      <c r="R1302" s="7686"/>
      <c r="S1302" s="7680"/>
      <c r="T1302" s="7688"/>
      <c r="U1302" s="7687"/>
      <c r="V1302" s="7686"/>
      <c r="W1302" s="7688"/>
      <c r="X1302" s="7686"/>
      <c r="Y1302" s="7688"/>
      <c r="Z1302" s="7686"/>
      <c r="AA1302" s="7680"/>
      <c r="AB1302" s="7680"/>
      <c r="AC1302" s="7680"/>
      <c r="AD1302" s="7680"/>
      <c r="AE1302" s="7680"/>
      <c r="AF1302" s="7688"/>
      <c r="AG1302" s="7686"/>
      <c r="AH1302" s="7680"/>
      <c r="AI1302" s="7680"/>
      <c r="AJ1302" s="7680"/>
      <c r="AK1302" s="7680"/>
      <c r="AL1302" s="7680"/>
      <c r="AM1302" s="7680"/>
      <c r="AN1302" s="7688"/>
      <c r="AO1302" s="7686"/>
      <c r="AP1302" s="7680"/>
      <c r="AQ1302" s="7680"/>
      <c r="AR1302" s="7680"/>
      <c r="AS1302" s="7680"/>
      <c r="AT1302" s="7688"/>
      <c r="AU1302" s="8564"/>
      <c r="AV1302" s="8564"/>
      <c r="AW1302" s="8564"/>
      <c r="AX1302" s="8561"/>
      <c r="AY1302" s="8563"/>
      <c r="AZ1302" s="8564"/>
      <c r="BA1302" s="8561"/>
      <c r="BB1302" s="8562"/>
      <c r="BC1302" s="8563"/>
      <c r="BD1302" s="8565"/>
      <c r="BF1302" s="14432"/>
      <c r="BG1302" s="14432"/>
      <c r="BH1302" s="14432"/>
      <c r="BI1302" s="14432"/>
      <c r="BJ1302" s="14432"/>
      <c r="BK1302" s="8549"/>
      <c r="BL1302" s="14432"/>
      <c r="BM1302" s="14432"/>
      <c r="BN1302" s="14432"/>
    </row>
    <row r="1303" spans="1:66" ht="17.25" hidden="1" customHeight="1">
      <c r="A1303" s="13557"/>
      <c r="B1303" s="13908"/>
      <c r="C1303" s="13580"/>
      <c r="D1303" s="11813" t="s">
        <v>10186</v>
      </c>
      <c r="E1303" s="11814"/>
      <c r="F1303" s="11814" t="s">
        <v>10282</v>
      </c>
      <c r="G1303" s="13909"/>
      <c r="H1303" s="13419"/>
      <c r="I1303" s="14286"/>
      <c r="K1303" s="8561"/>
      <c r="L1303" s="7679"/>
      <c r="M1303" s="7679"/>
      <c r="N1303" s="8562"/>
      <c r="O1303" s="8562"/>
      <c r="P1303" s="8563"/>
      <c r="Q1303" s="7687"/>
      <c r="R1303" s="7686"/>
      <c r="S1303" s="7680"/>
      <c r="T1303" s="7688"/>
      <c r="U1303" s="7687"/>
      <c r="V1303" s="7686"/>
      <c r="W1303" s="7688"/>
      <c r="X1303" s="7686"/>
      <c r="Y1303" s="7688"/>
      <c r="Z1303" s="7686"/>
      <c r="AA1303" s="7680"/>
      <c r="AB1303" s="7680"/>
      <c r="AC1303" s="7680"/>
      <c r="AD1303" s="7680"/>
      <c r="AE1303" s="7680"/>
      <c r="AF1303" s="7688"/>
      <c r="AG1303" s="7686"/>
      <c r="AH1303" s="7680"/>
      <c r="AI1303" s="7680"/>
      <c r="AJ1303" s="7680"/>
      <c r="AK1303" s="7680"/>
      <c r="AL1303" s="7680"/>
      <c r="AM1303" s="7680"/>
      <c r="AN1303" s="7688"/>
      <c r="AO1303" s="7686"/>
      <c r="AP1303" s="7680"/>
      <c r="AQ1303" s="7680"/>
      <c r="AR1303" s="7680"/>
      <c r="AS1303" s="7680"/>
      <c r="AT1303" s="7688"/>
      <c r="AU1303" s="8564"/>
      <c r="AV1303" s="8564"/>
      <c r="AW1303" s="8564"/>
      <c r="AX1303" s="8561"/>
      <c r="AY1303" s="8563"/>
      <c r="AZ1303" s="8564"/>
      <c r="BA1303" s="8561"/>
      <c r="BB1303" s="8562"/>
      <c r="BC1303" s="8563"/>
      <c r="BD1303" s="8565"/>
      <c r="BF1303" s="14432"/>
      <c r="BG1303" s="14432"/>
      <c r="BH1303" s="14432"/>
      <c r="BI1303" s="14432"/>
      <c r="BJ1303" s="14432"/>
      <c r="BK1303" s="8549"/>
      <c r="BL1303" s="14432"/>
      <c r="BM1303" s="14432"/>
      <c r="BN1303" s="14432"/>
    </row>
    <row r="1304" spans="1:66" ht="30" hidden="1" customHeight="1">
      <c r="A1304" s="10093">
        <v>833</v>
      </c>
      <c r="B1304" s="10094" t="s">
        <v>4506</v>
      </c>
      <c r="C1304" s="13580"/>
      <c r="D1304" s="11813" t="s">
        <v>26</v>
      </c>
      <c r="E1304" s="11814" t="s">
        <v>390</v>
      </c>
      <c r="F1304" s="11814" t="s">
        <v>429</v>
      </c>
      <c r="G1304" s="12272" t="s">
        <v>446</v>
      </c>
      <c r="H1304" s="12273" t="s">
        <v>447</v>
      </c>
      <c r="I1304" s="11816" t="s">
        <v>451</v>
      </c>
      <c r="K1304" s="8560"/>
      <c r="L1304" s="8568"/>
      <c r="M1304" s="8568"/>
      <c r="N1304" s="8569"/>
      <c r="O1304" s="8569"/>
      <c r="P1304" s="8570"/>
      <c r="Q1304" s="8571"/>
      <c r="R1304" s="8572"/>
      <c r="S1304" s="8573"/>
      <c r="T1304" s="8574"/>
      <c r="U1304" s="8571"/>
      <c r="V1304" s="8572"/>
      <c r="W1304" s="8574"/>
      <c r="X1304" s="8572"/>
      <c r="Y1304" s="8574"/>
      <c r="Z1304" s="8572"/>
      <c r="AA1304" s="8573"/>
      <c r="AB1304" s="8573"/>
      <c r="AC1304" s="8573"/>
      <c r="AD1304" s="8573"/>
      <c r="AE1304" s="8573"/>
      <c r="AF1304" s="8574"/>
      <c r="AG1304" s="8572"/>
      <c r="AH1304" s="8573"/>
      <c r="AI1304" s="8573"/>
      <c r="AJ1304" s="8573"/>
      <c r="AK1304" s="8573"/>
      <c r="AL1304" s="8573"/>
      <c r="AM1304" s="8573"/>
      <c r="AN1304" s="8574"/>
      <c r="AO1304" s="8572"/>
      <c r="AP1304" s="8573"/>
      <c r="AQ1304" s="8573"/>
      <c r="AR1304" s="8573"/>
      <c r="AS1304" s="8573"/>
      <c r="AT1304" s="8574"/>
      <c r="AU1304" s="8575"/>
      <c r="AV1304" s="8575"/>
      <c r="AW1304" s="8575"/>
      <c r="AX1304" s="8560"/>
      <c r="AY1304" s="8570"/>
      <c r="AZ1304" s="8575"/>
      <c r="BA1304" s="8560"/>
      <c r="BB1304" s="8569"/>
      <c r="BC1304" s="8570"/>
      <c r="BD1304" s="8566"/>
      <c r="BF1304" s="10095"/>
      <c r="BG1304" s="10095"/>
      <c r="BH1304" s="10095"/>
      <c r="BI1304" s="10095"/>
      <c r="BJ1304" s="10095"/>
      <c r="BK1304" s="10095"/>
      <c r="BL1304" s="10095"/>
      <c r="BM1304" s="10095"/>
      <c r="BN1304" s="10095"/>
    </row>
    <row r="1305" spans="1:66" ht="30" hidden="1" customHeight="1">
      <c r="A1305" s="8566">
        <v>834</v>
      </c>
      <c r="B1305" s="8567" t="s">
        <v>4507</v>
      </c>
      <c r="C1305" s="13580"/>
      <c r="D1305" s="11813" t="s">
        <v>10066</v>
      </c>
      <c r="E1305" s="11814" t="s">
        <v>298</v>
      </c>
      <c r="F1305" s="11814"/>
      <c r="G1305" s="11812" t="s">
        <v>462</v>
      </c>
      <c r="H1305" s="12518" t="s">
        <v>463</v>
      </c>
      <c r="I1305" s="12523">
        <v>0.45</v>
      </c>
      <c r="K1305" s="10235"/>
      <c r="L1305" s="8568"/>
      <c r="M1305" s="8568"/>
      <c r="N1305" s="10919"/>
      <c r="O1305" s="10919"/>
      <c r="P1305" s="10920"/>
      <c r="Q1305" s="8571"/>
      <c r="R1305" s="8572"/>
      <c r="S1305" s="8573"/>
      <c r="T1305" s="8574"/>
      <c r="U1305" s="8571"/>
      <c r="V1305" s="8572"/>
      <c r="W1305" s="8574"/>
      <c r="X1305" s="8572"/>
      <c r="Y1305" s="8574"/>
      <c r="Z1305" s="8572"/>
      <c r="AA1305" s="8573"/>
      <c r="AB1305" s="8573"/>
      <c r="AC1305" s="8573"/>
      <c r="AD1305" s="8573"/>
      <c r="AE1305" s="8573"/>
      <c r="AF1305" s="8574"/>
      <c r="AG1305" s="8572"/>
      <c r="AH1305" s="8573"/>
      <c r="AI1305" s="8573"/>
      <c r="AJ1305" s="8573"/>
      <c r="AK1305" s="8573"/>
      <c r="AL1305" s="8573"/>
      <c r="AM1305" s="8573"/>
      <c r="AN1305" s="8574"/>
      <c r="AO1305" s="8572"/>
      <c r="AP1305" s="8573"/>
      <c r="AQ1305" s="8573"/>
      <c r="AR1305" s="8573"/>
      <c r="AS1305" s="8573"/>
      <c r="AT1305" s="8574"/>
      <c r="AU1305" s="10921"/>
      <c r="AV1305" s="10921"/>
      <c r="AW1305" s="10921"/>
      <c r="AX1305" s="10235"/>
      <c r="AY1305" s="10920"/>
      <c r="AZ1305" s="10921"/>
      <c r="BA1305" s="10235"/>
      <c r="BB1305" s="10919"/>
      <c r="BC1305" s="10920"/>
      <c r="BD1305" s="10922"/>
      <c r="BF1305" s="8549"/>
      <c r="BG1305" s="8549"/>
      <c r="BH1305" s="8549"/>
      <c r="BI1305" s="8549"/>
      <c r="BJ1305" s="8549"/>
      <c r="BK1305" s="8549"/>
      <c r="BL1305" s="8549"/>
      <c r="BM1305" s="8549"/>
      <c r="BN1305" s="8549"/>
    </row>
    <row r="1306" spans="1:66" ht="30" hidden="1" customHeight="1">
      <c r="A1306" s="8566">
        <v>835</v>
      </c>
      <c r="B1306" s="8567" t="s">
        <v>4508</v>
      </c>
      <c r="C1306" s="13580"/>
      <c r="D1306" s="11813" t="s">
        <v>10066</v>
      </c>
      <c r="E1306" s="11814" t="s">
        <v>298</v>
      </c>
      <c r="F1306" s="11814"/>
      <c r="G1306" s="11812" t="s">
        <v>465</v>
      </c>
      <c r="H1306" s="12518" t="s">
        <v>466</v>
      </c>
      <c r="I1306" s="11816">
        <v>4</v>
      </c>
      <c r="K1306" s="8560"/>
      <c r="L1306" s="8568"/>
      <c r="M1306" s="8568"/>
      <c r="N1306" s="8569"/>
      <c r="O1306" s="8569"/>
      <c r="P1306" s="8570"/>
      <c r="Q1306" s="8571"/>
      <c r="R1306" s="8572"/>
      <c r="S1306" s="8573"/>
      <c r="T1306" s="8574"/>
      <c r="U1306" s="8571"/>
      <c r="V1306" s="8572"/>
      <c r="W1306" s="8574"/>
      <c r="X1306" s="8572"/>
      <c r="Y1306" s="8574"/>
      <c r="Z1306" s="8572"/>
      <c r="AA1306" s="8573"/>
      <c r="AB1306" s="8573"/>
      <c r="AC1306" s="8573"/>
      <c r="AD1306" s="8573"/>
      <c r="AE1306" s="8573"/>
      <c r="AF1306" s="8574"/>
      <c r="AG1306" s="8572"/>
      <c r="AH1306" s="8573"/>
      <c r="AI1306" s="8573"/>
      <c r="AJ1306" s="8573"/>
      <c r="AK1306" s="8573"/>
      <c r="AL1306" s="8573"/>
      <c r="AM1306" s="8573"/>
      <c r="AN1306" s="8574"/>
      <c r="AO1306" s="8572"/>
      <c r="AP1306" s="8573"/>
      <c r="AQ1306" s="8573"/>
      <c r="AR1306" s="8573"/>
      <c r="AS1306" s="8573"/>
      <c r="AT1306" s="8574"/>
      <c r="AU1306" s="8575"/>
      <c r="AV1306" s="8575"/>
      <c r="AW1306" s="8575"/>
      <c r="AX1306" s="8560"/>
      <c r="AY1306" s="8570"/>
      <c r="AZ1306" s="8575"/>
      <c r="BA1306" s="8560"/>
      <c r="BB1306" s="8569"/>
      <c r="BC1306" s="8570"/>
      <c r="BD1306" s="8566"/>
      <c r="BF1306" s="8549"/>
      <c r="BG1306" s="8549"/>
      <c r="BH1306" s="8549"/>
      <c r="BI1306" s="8549"/>
      <c r="BJ1306" s="8549"/>
      <c r="BK1306" s="8549"/>
      <c r="BL1306" s="8549"/>
      <c r="BM1306" s="8549"/>
      <c r="BN1306" s="8549"/>
    </row>
    <row r="1307" spans="1:66" ht="30" hidden="1" customHeight="1">
      <c r="A1307" s="8566">
        <v>836</v>
      </c>
      <c r="B1307" s="8567" t="s">
        <v>4509</v>
      </c>
      <c r="C1307" s="13580"/>
      <c r="D1307" s="11813" t="s">
        <v>26</v>
      </c>
      <c r="E1307" s="11814" t="s">
        <v>390</v>
      </c>
      <c r="F1307" s="11814" t="s">
        <v>429</v>
      </c>
      <c r="G1307" s="11812" t="s">
        <v>467</v>
      </c>
      <c r="H1307" s="12518" t="s">
        <v>468</v>
      </c>
      <c r="I1307" s="12523">
        <v>1</v>
      </c>
      <c r="K1307" s="10235"/>
      <c r="L1307" s="8568"/>
      <c r="M1307" s="8568"/>
      <c r="N1307" s="10919"/>
      <c r="O1307" s="10919"/>
      <c r="P1307" s="10920"/>
      <c r="Q1307" s="8571"/>
      <c r="R1307" s="8572"/>
      <c r="S1307" s="8573"/>
      <c r="T1307" s="8574"/>
      <c r="U1307" s="8571"/>
      <c r="V1307" s="8572"/>
      <c r="W1307" s="8574"/>
      <c r="X1307" s="8572"/>
      <c r="Y1307" s="8574"/>
      <c r="Z1307" s="8572"/>
      <c r="AA1307" s="8573"/>
      <c r="AB1307" s="8573"/>
      <c r="AC1307" s="8573"/>
      <c r="AD1307" s="8573"/>
      <c r="AE1307" s="8573"/>
      <c r="AF1307" s="8574"/>
      <c r="AG1307" s="8572"/>
      <c r="AH1307" s="8573"/>
      <c r="AI1307" s="8573"/>
      <c r="AJ1307" s="8573"/>
      <c r="AK1307" s="8573"/>
      <c r="AL1307" s="8573"/>
      <c r="AM1307" s="8573"/>
      <c r="AN1307" s="8574"/>
      <c r="AO1307" s="8572"/>
      <c r="AP1307" s="8573"/>
      <c r="AQ1307" s="8573"/>
      <c r="AR1307" s="8573"/>
      <c r="AS1307" s="8573"/>
      <c r="AT1307" s="8574"/>
      <c r="AU1307" s="10921"/>
      <c r="AV1307" s="10921"/>
      <c r="AW1307" s="10921"/>
      <c r="AX1307" s="10235"/>
      <c r="AY1307" s="10920"/>
      <c r="AZ1307" s="10921"/>
      <c r="BA1307" s="10235"/>
      <c r="BB1307" s="10919"/>
      <c r="BC1307" s="10920"/>
      <c r="BD1307" s="10922"/>
      <c r="BF1307" s="8549"/>
      <c r="BG1307" s="8549"/>
      <c r="BH1307" s="8549"/>
      <c r="BI1307" s="8549"/>
      <c r="BJ1307" s="8549"/>
      <c r="BK1307" s="8549"/>
      <c r="BL1307" s="8549"/>
      <c r="BM1307" s="8549"/>
      <c r="BN1307" s="8549"/>
    </row>
    <row r="1308" spans="1:66" ht="30" hidden="1" customHeight="1">
      <c r="A1308" s="8566">
        <v>837</v>
      </c>
      <c r="B1308" s="8567" t="s">
        <v>4510</v>
      </c>
      <c r="C1308" s="13580"/>
      <c r="D1308" s="11813" t="s">
        <v>10066</v>
      </c>
      <c r="E1308" s="11814" t="s">
        <v>516</v>
      </c>
      <c r="F1308" s="11814"/>
      <c r="G1308" s="11812" t="s">
        <v>470</v>
      </c>
      <c r="H1308" s="12518" t="s">
        <v>471</v>
      </c>
      <c r="I1308" s="11816">
        <v>1</v>
      </c>
      <c r="K1308" s="8560"/>
      <c r="L1308" s="8568"/>
      <c r="M1308" s="8568"/>
      <c r="N1308" s="8569"/>
      <c r="O1308" s="8569"/>
      <c r="P1308" s="8570"/>
      <c r="Q1308" s="8571"/>
      <c r="R1308" s="8572"/>
      <c r="S1308" s="8573"/>
      <c r="T1308" s="8574"/>
      <c r="U1308" s="8571"/>
      <c r="V1308" s="8572"/>
      <c r="W1308" s="8574"/>
      <c r="X1308" s="8572"/>
      <c r="Y1308" s="8574"/>
      <c r="Z1308" s="8572"/>
      <c r="AA1308" s="8573"/>
      <c r="AB1308" s="8573"/>
      <c r="AC1308" s="8573"/>
      <c r="AD1308" s="8573"/>
      <c r="AE1308" s="8573"/>
      <c r="AF1308" s="8574"/>
      <c r="AG1308" s="8572"/>
      <c r="AH1308" s="8573"/>
      <c r="AI1308" s="8573"/>
      <c r="AJ1308" s="8573"/>
      <c r="AK1308" s="8573"/>
      <c r="AL1308" s="8573"/>
      <c r="AM1308" s="8573"/>
      <c r="AN1308" s="8574"/>
      <c r="AO1308" s="8572"/>
      <c r="AP1308" s="8573"/>
      <c r="AQ1308" s="8573"/>
      <c r="AR1308" s="8573"/>
      <c r="AS1308" s="8573"/>
      <c r="AT1308" s="8574"/>
      <c r="AU1308" s="8575"/>
      <c r="AV1308" s="8575"/>
      <c r="AW1308" s="8575"/>
      <c r="AX1308" s="8560"/>
      <c r="AY1308" s="8570"/>
      <c r="AZ1308" s="8575"/>
      <c r="BA1308" s="8560"/>
      <c r="BB1308" s="8569"/>
      <c r="BC1308" s="8570"/>
      <c r="BD1308" s="8566"/>
      <c r="BF1308" s="8549"/>
      <c r="BG1308" s="8549"/>
      <c r="BH1308" s="8549"/>
      <c r="BI1308" s="8549"/>
      <c r="BJ1308" s="8549"/>
      <c r="BK1308" s="8549"/>
      <c r="BL1308" s="8549"/>
      <c r="BM1308" s="8549"/>
      <c r="BN1308" s="8549"/>
    </row>
    <row r="1309" spans="1:66" ht="30" hidden="1" customHeight="1">
      <c r="A1309" s="13557">
        <v>838</v>
      </c>
      <c r="B1309" s="13908" t="s">
        <v>4511</v>
      </c>
      <c r="C1309" s="13580"/>
      <c r="D1309" s="11813" t="s">
        <v>10070</v>
      </c>
      <c r="E1309" s="11814" t="s">
        <v>476</v>
      </c>
      <c r="F1309" s="12520"/>
      <c r="G1309" s="13909" t="s">
        <v>474</v>
      </c>
      <c r="H1309" s="13419" t="s">
        <v>475</v>
      </c>
      <c r="I1309" s="13950">
        <v>2</v>
      </c>
      <c r="K1309" s="8561"/>
      <c r="L1309" s="7679"/>
      <c r="M1309" s="7679"/>
      <c r="N1309" s="8562"/>
      <c r="O1309" s="8562"/>
      <c r="P1309" s="8563"/>
      <c r="Q1309" s="7687"/>
      <c r="R1309" s="7686"/>
      <c r="S1309" s="7680"/>
      <c r="T1309" s="7688"/>
      <c r="U1309" s="7687"/>
      <c r="V1309" s="7686"/>
      <c r="W1309" s="7688"/>
      <c r="X1309" s="7686"/>
      <c r="Y1309" s="7688"/>
      <c r="Z1309" s="7686"/>
      <c r="AA1309" s="7680"/>
      <c r="AB1309" s="7680"/>
      <c r="AC1309" s="7680"/>
      <c r="AD1309" s="7680"/>
      <c r="AE1309" s="7680"/>
      <c r="AF1309" s="7688"/>
      <c r="AG1309" s="7686"/>
      <c r="AH1309" s="7680"/>
      <c r="AI1309" s="7680"/>
      <c r="AJ1309" s="7680"/>
      <c r="AK1309" s="7680"/>
      <c r="AL1309" s="7680"/>
      <c r="AM1309" s="7680"/>
      <c r="AN1309" s="7688"/>
      <c r="AO1309" s="7686"/>
      <c r="AP1309" s="7680"/>
      <c r="AQ1309" s="7680"/>
      <c r="AR1309" s="7680"/>
      <c r="AS1309" s="7680"/>
      <c r="AT1309" s="7688"/>
      <c r="AU1309" s="8564"/>
      <c r="AV1309" s="8564"/>
      <c r="AW1309" s="8564"/>
      <c r="AX1309" s="8561"/>
      <c r="AY1309" s="8563"/>
      <c r="AZ1309" s="8564"/>
      <c r="BA1309" s="8561"/>
      <c r="BB1309" s="8562"/>
      <c r="BC1309" s="8563"/>
      <c r="BD1309" s="8565"/>
      <c r="BF1309" s="14432"/>
      <c r="BG1309" s="14432"/>
      <c r="BH1309" s="14432"/>
      <c r="BI1309" s="14432"/>
      <c r="BJ1309" s="14432"/>
      <c r="BK1309" s="8549"/>
      <c r="BL1309" s="14432"/>
      <c r="BM1309" s="14432"/>
      <c r="BN1309" s="14432"/>
    </row>
    <row r="1310" spans="1:66" ht="30" hidden="1" customHeight="1">
      <c r="A1310" s="13557"/>
      <c r="B1310" s="13908"/>
      <c r="C1310" s="13580"/>
      <c r="D1310" s="11813" t="s">
        <v>477</v>
      </c>
      <c r="E1310" s="11814"/>
      <c r="F1310" s="11814" t="s">
        <v>477</v>
      </c>
      <c r="G1310" s="13909"/>
      <c r="H1310" s="13419"/>
      <c r="I1310" s="14286"/>
      <c r="K1310" s="8561"/>
      <c r="L1310" s="7679"/>
      <c r="M1310" s="7679"/>
      <c r="N1310" s="8562"/>
      <c r="O1310" s="8562"/>
      <c r="P1310" s="8563"/>
      <c r="Q1310" s="7687"/>
      <c r="R1310" s="7686"/>
      <c r="S1310" s="7680"/>
      <c r="T1310" s="7688"/>
      <c r="U1310" s="7687"/>
      <c r="V1310" s="7686"/>
      <c r="W1310" s="7688"/>
      <c r="X1310" s="7686"/>
      <c r="Y1310" s="7688"/>
      <c r="Z1310" s="7686"/>
      <c r="AA1310" s="7680"/>
      <c r="AB1310" s="7680"/>
      <c r="AC1310" s="7680"/>
      <c r="AD1310" s="7680"/>
      <c r="AE1310" s="7680"/>
      <c r="AF1310" s="7688"/>
      <c r="AG1310" s="7686"/>
      <c r="AH1310" s="7680"/>
      <c r="AI1310" s="7680"/>
      <c r="AJ1310" s="7680"/>
      <c r="AK1310" s="7680"/>
      <c r="AL1310" s="7680"/>
      <c r="AM1310" s="7680"/>
      <c r="AN1310" s="7688"/>
      <c r="AO1310" s="7686"/>
      <c r="AP1310" s="7680"/>
      <c r="AQ1310" s="7680"/>
      <c r="AR1310" s="7680"/>
      <c r="AS1310" s="7680"/>
      <c r="AT1310" s="7688"/>
      <c r="AU1310" s="8564"/>
      <c r="AV1310" s="8564"/>
      <c r="AW1310" s="8564"/>
      <c r="AX1310" s="8561"/>
      <c r="AY1310" s="8563"/>
      <c r="AZ1310" s="8564"/>
      <c r="BA1310" s="8561"/>
      <c r="BB1310" s="8562"/>
      <c r="BC1310" s="8563"/>
      <c r="BD1310" s="8565"/>
      <c r="BF1310" s="14432"/>
      <c r="BG1310" s="14432"/>
      <c r="BH1310" s="14432"/>
      <c r="BI1310" s="14432"/>
      <c r="BJ1310" s="14432"/>
      <c r="BK1310" s="8549"/>
      <c r="BL1310" s="14432"/>
      <c r="BM1310" s="14432"/>
      <c r="BN1310" s="14432"/>
    </row>
    <row r="1311" spans="1:66" ht="21.75" hidden="1" customHeight="1">
      <c r="A1311" s="13557">
        <v>839</v>
      </c>
      <c r="B1311" s="13908" t="s">
        <v>4512</v>
      </c>
      <c r="C1311" s="13580"/>
      <c r="D1311" s="11813" t="s">
        <v>26</v>
      </c>
      <c r="E1311" s="11814" t="s">
        <v>390</v>
      </c>
      <c r="F1311" s="12520"/>
      <c r="G1311" s="13909" t="s">
        <v>478</v>
      </c>
      <c r="H1311" s="13419" t="s">
        <v>479</v>
      </c>
      <c r="I1311" s="13950">
        <v>2</v>
      </c>
      <c r="K1311" s="8561"/>
      <c r="L1311" s="7679"/>
      <c r="M1311" s="7679"/>
      <c r="N1311" s="8562"/>
      <c r="O1311" s="8562"/>
      <c r="P1311" s="8563"/>
      <c r="Q1311" s="7687"/>
      <c r="R1311" s="7686"/>
      <c r="S1311" s="7680"/>
      <c r="T1311" s="7688"/>
      <c r="U1311" s="7687"/>
      <c r="V1311" s="7686"/>
      <c r="W1311" s="7688"/>
      <c r="X1311" s="7686"/>
      <c r="Y1311" s="7688"/>
      <c r="Z1311" s="7686"/>
      <c r="AA1311" s="7680"/>
      <c r="AB1311" s="7680"/>
      <c r="AC1311" s="7680"/>
      <c r="AD1311" s="7680"/>
      <c r="AE1311" s="7680"/>
      <c r="AF1311" s="7688"/>
      <c r="AG1311" s="7686"/>
      <c r="AH1311" s="7680"/>
      <c r="AI1311" s="7680"/>
      <c r="AJ1311" s="7680"/>
      <c r="AK1311" s="7680"/>
      <c r="AL1311" s="7680"/>
      <c r="AM1311" s="7680"/>
      <c r="AN1311" s="7688"/>
      <c r="AO1311" s="7686"/>
      <c r="AP1311" s="7680"/>
      <c r="AQ1311" s="7680"/>
      <c r="AR1311" s="7680"/>
      <c r="AS1311" s="7680"/>
      <c r="AT1311" s="7688"/>
      <c r="AU1311" s="8564"/>
      <c r="AV1311" s="8564"/>
      <c r="AW1311" s="8564"/>
      <c r="AX1311" s="8561"/>
      <c r="AY1311" s="8563"/>
      <c r="AZ1311" s="8564"/>
      <c r="BA1311" s="8561"/>
      <c r="BB1311" s="8562"/>
      <c r="BC1311" s="8563"/>
      <c r="BD1311" s="8565"/>
      <c r="BF1311" s="14432"/>
      <c r="BG1311" s="14432"/>
      <c r="BH1311" s="14432"/>
      <c r="BI1311" s="14432"/>
      <c r="BJ1311" s="14432"/>
      <c r="BK1311" s="8549"/>
      <c r="BL1311" s="14432"/>
      <c r="BM1311" s="14432"/>
      <c r="BN1311" s="14432"/>
    </row>
    <row r="1312" spans="1:66" ht="21.75" hidden="1" customHeight="1" thickBot="1">
      <c r="A1312" s="13558"/>
      <c r="B1312" s="14293"/>
      <c r="C1312" s="13580"/>
      <c r="D1312" s="11817" t="s">
        <v>477</v>
      </c>
      <c r="E1312" s="12173"/>
      <c r="F1312" s="12173" t="s">
        <v>477</v>
      </c>
      <c r="G1312" s="13911"/>
      <c r="H1312" s="13421"/>
      <c r="I1312" s="14285"/>
      <c r="K1312" s="8577"/>
      <c r="L1312" s="7701"/>
      <c r="M1312" s="7701"/>
      <c r="N1312" s="8578"/>
      <c r="O1312" s="8578"/>
      <c r="P1312" s="8579"/>
      <c r="Q1312" s="7704"/>
      <c r="R1312" s="7705"/>
      <c r="S1312" s="7706"/>
      <c r="T1312" s="7707"/>
      <c r="U1312" s="7704"/>
      <c r="V1312" s="7705"/>
      <c r="W1312" s="7707"/>
      <c r="X1312" s="7705"/>
      <c r="Y1312" s="7707"/>
      <c r="Z1312" s="7705"/>
      <c r="AA1312" s="7706"/>
      <c r="AB1312" s="7706"/>
      <c r="AC1312" s="7706"/>
      <c r="AD1312" s="7706"/>
      <c r="AE1312" s="7706"/>
      <c r="AF1312" s="7707"/>
      <c r="AG1312" s="7705"/>
      <c r="AH1312" s="7706"/>
      <c r="AI1312" s="7706"/>
      <c r="AJ1312" s="7706"/>
      <c r="AK1312" s="7706"/>
      <c r="AL1312" s="7706"/>
      <c r="AM1312" s="7706"/>
      <c r="AN1312" s="7707"/>
      <c r="AO1312" s="7705"/>
      <c r="AP1312" s="7706"/>
      <c r="AQ1312" s="7706"/>
      <c r="AR1312" s="7706"/>
      <c r="AS1312" s="7706"/>
      <c r="AT1312" s="7707"/>
      <c r="AU1312" s="8580"/>
      <c r="AV1312" s="8580"/>
      <c r="AW1312" s="8580"/>
      <c r="AX1312" s="8577"/>
      <c r="AY1312" s="8579"/>
      <c r="AZ1312" s="8580"/>
      <c r="BA1312" s="8577"/>
      <c r="BB1312" s="8578"/>
      <c r="BC1312" s="8579"/>
      <c r="BD1312" s="8581"/>
      <c r="BF1312" s="14433"/>
      <c r="BG1312" s="14433"/>
      <c r="BH1312" s="14433"/>
      <c r="BI1312" s="14433"/>
      <c r="BJ1312" s="14433"/>
      <c r="BK1312" s="8576"/>
      <c r="BL1312" s="14433"/>
      <c r="BM1312" s="14433"/>
      <c r="BN1312" s="14433"/>
    </row>
    <row r="1313" spans="1:66" ht="30" hidden="1" customHeight="1">
      <c r="A1313" s="10923">
        <v>840</v>
      </c>
      <c r="B1313" s="10924" t="s">
        <v>4513</v>
      </c>
      <c r="C1313" s="13580"/>
      <c r="D1313" s="12187" t="s">
        <v>10066</v>
      </c>
      <c r="E1313" s="11654" t="s">
        <v>486</v>
      </c>
      <c r="F1313" s="11654" t="s">
        <v>487</v>
      </c>
      <c r="G1313" s="12524" t="s">
        <v>484</v>
      </c>
      <c r="H1313" s="12525" t="s">
        <v>485</v>
      </c>
      <c r="I1313" s="12526">
        <v>1</v>
      </c>
      <c r="K1313" s="10925"/>
      <c r="L1313" s="9513"/>
      <c r="M1313" s="9513"/>
      <c r="N1313" s="10926"/>
      <c r="O1313" s="10926"/>
      <c r="P1313" s="10927"/>
      <c r="Q1313" s="9516"/>
      <c r="R1313" s="9517"/>
      <c r="S1313" s="9518"/>
      <c r="T1313" s="9519"/>
      <c r="U1313" s="9516"/>
      <c r="V1313" s="9517"/>
      <c r="W1313" s="9519"/>
      <c r="X1313" s="9517"/>
      <c r="Y1313" s="9519"/>
      <c r="Z1313" s="9517"/>
      <c r="AA1313" s="9518"/>
      <c r="AB1313" s="9518"/>
      <c r="AC1313" s="9518"/>
      <c r="AD1313" s="9518"/>
      <c r="AE1313" s="9518"/>
      <c r="AF1313" s="9519"/>
      <c r="AG1313" s="9517"/>
      <c r="AH1313" s="9518"/>
      <c r="AI1313" s="9518"/>
      <c r="AJ1313" s="9518"/>
      <c r="AK1313" s="9518"/>
      <c r="AL1313" s="9518"/>
      <c r="AM1313" s="9518"/>
      <c r="AN1313" s="9519"/>
      <c r="AO1313" s="9517"/>
      <c r="AP1313" s="9518"/>
      <c r="AQ1313" s="9518"/>
      <c r="AR1313" s="9518"/>
      <c r="AS1313" s="9518"/>
      <c r="AT1313" s="9519"/>
      <c r="AU1313" s="10928"/>
      <c r="AV1313" s="10928"/>
      <c r="AW1313" s="10928"/>
      <c r="AX1313" s="10925"/>
      <c r="AY1313" s="10927"/>
      <c r="AZ1313" s="10928"/>
      <c r="BA1313" s="10925"/>
      <c r="BB1313" s="10926"/>
      <c r="BC1313" s="10927"/>
      <c r="BD1313" s="10929"/>
      <c r="BF1313" s="7935"/>
      <c r="BG1313" s="7935"/>
      <c r="BH1313" s="7935"/>
      <c r="BI1313" s="7935"/>
      <c r="BJ1313" s="7935"/>
      <c r="BK1313" s="7935"/>
      <c r="BL1313" s="7935"/>
      <c r="BM1313" s="7935"/>
      <c r="BN1313" s="7935"/>
    </row>
    <row r="1314" spans="1:66" ht="20.25" hidden="1" customHeight="1">
      <c r="A1314" s="13528">
        <v>841</v>
      </c>
      <c r="B1314" s="13882" t="s">
        <v>4514</v>
      </c>
      <c r="C1314" s="13580"/>
      <c r="D1314" s="11786" t="s">
        <v>26</v>
      </c>
      <c r="E1314" s="7833" t="s">
        <v>390</v>
      </c>
      <c r="F1314" s="7853"/>
      <c r="G1314" s="13783" t="s">
        <v>488</v>
      </c>
      <c r="H1314" s="13422" t="s">
        <v>489</v>
      </c>
      <c r="I1314" s="14296">
        <v>1</v>
      </c>
      <c r="K1314" s="8432"/>
      <c r="L1314" s="7965"/>
      <c r="M1314" s="7965"/>
      <c r="N1314" s="8433"/>
      <c r="O1314" s="8433"/>
      <c r="P1314" s="8434"/>
      <c r="Q1314" s="7967"/>
      <c r="R1314" s="7968"/>
      <c r="S1314" s="7969"/>
      <c r="T1314" s="7970"/>
      <c r="U1314" s="7967"/>
      <c r="V1314" s="7968"/>
      <c r="W1314" s="7970"/>
      <c r="X1314" s="7968"/>
      <c r="Y1314" s="7970"/>
      <c r="Z1314" s="7968"/>
      <c r="AA1314" s="7969"/>
      <c r="AB1314" s="7969"/>
      <c r="AC1314" s="7969"/>
      <c r="AD1314" s="7969"/>
      <c r="AE1314" s="7969"/>
      <c r="AF1314" s="7970"/>
      <c r="AG1314" s="7968"/>
      <c r="AH1314" s="7969"/>
      <c r="AI1314" s="7969"/>
      <c r="AJ1314" s="7969"/>
      <c r="AK1314" s="7969"/>
      <c r="AL1314" s="7969"/>
      <c r="AM1314" s="7969"/>
      <c r="AN1314" s="7970"/>
      <c r="AO1314" s="7968"/>
      <c r="AP1314" s="7969"/>
      <c r="AQ1314" s="7969"/>
      <c r="AR1314" s="7969"/>
      <c r="AS1314" s="7969"/>
      <c r="AT1314" s="7970"/>
      <c r="AU1314" s="8435"/>
      <c r="AV1314" s="8435"/>
      <c r="AW1314" s="8435"/>
      <c r="AX1314" s="8432"/>
      <c r="AY1314" s="8434"/>
      <c r="AZ1314" s="8435"/>
      <c r="BA1314" s="8432"/>
      <c r="BB1314" s="8433"/>
      <c r="BC1314" s="8434"/>
      <c r="BD1314" s="8436"/>
      <c r="BF1314" s="14404"/>
      <c r="BG1314" s="14404"/>
      <c r="BH1314" s="14404"/>
      <c r="BI1314" s="14404"/>
      <c r="BJ1314" s="14404"/>
      <c r="BK1314" s="7946"/>
      <c r="BL1314" s="14404"/>
      <c r="BM1314" s="14404"/>
      <c r="BN1314" s="14404"/>
    </row>
    <row r="1315" spans="1:66" ht="20.25" hidden="1" customHeight="1">
      <c r="A1315" s="13528"/>
      <c r="B1315" s="13882"/>
      <c r="C1315" s="13580"/>
      <c r="D1315" s="11786" t="s">
        <v>477</v>
      </c>
      <c r="E1315" s="7833"/>
      <c r="F1315" s="7833" t="s">
        <v>477</v>
      </c>
      <c r="G1315" s="13783"/>
      <c r="H1315" s="13422"/>
      <c r="I1315" s="14297"/>
      <c r="K1315" s="8432"/>
      <c r="L1315" s="7965"/>
      <c r="M1315" s="7965"/>
      <c r="N1315" s="8433"/>
      <c r="O1315" s="8433"/>
      <c r="P1315" s="8434"/>
      <c r="Q1315" s="7967"/>
      <c r="R1315" s="7968"/>
      <c r="S1315" s="7969"/>
      <c r="T1315" s="7970"/>
      <c r="U1315" s="7967"/>
      <c r="V1315" s="7968"/>
      <c r="W1315" s="7970"/>
      <c r="X1315" s="7968"/>
      <c r="Y1315" s="7970"/>
      <c r="Z1315" s="7968"/>
      <c r="AA1315" s="7969"/>
      <c r="AB1315" s="7969"/>
      <c r="AC1315" s="7969"/>
      <c r="AD1315" s="7969"/>
      <c r="AE1315" s="7969"/>
      <c r="AF1315" s="7970"/>
      <c r="AG1315" s="7968"/>
      <c r="AH1315" s="7969"/>
      <c r="AI1315" s="7969"/>
      <c r="AJ1315" s="7969"/>
      <c r="AK1315" s="7969"/>
      <c r="AL1315" s="7969"/>
      <c r="AM1315" s="7969"/>
      <c r="AN1315" s="7970"/>
      <c r="AO1315" s="7968"/>
      <c r="AP1315" s="7969"/>
      <c r="AQ1315" s="7969"/>
      <c r="AR1315" s="7969"/>
      <c r="AS1315" s="7969"/>
      <c r="AT1315" s="7970"/>
      <c r="AU1315" s="8435"/>
      <c r="AV1315" s="8435"/>
      <c r="AW1315" s="8435"/>
      <c r="AX1315" s="8432"/>
      <c r="AY1315" s="8434"/>
      <c r="AZ1315" s="8435"/>
      <c r="BA1315" s="8432"/>
      <c r="BB1315" s="8433"/>
      <c r="BC1315" s="8434"/>
      <c r="BD1315" s="8436"/>
      <c r="BF1315" s="14404"/>
      <c r="BG1315" s="14404"/>
      <c r="BH1315" s="14404"/>
      <c r="BI1315" s="14404"/>
      <c r="BJ1315" s="14404"/>
      <c r="BK1315" s="7946"/>
      <c r="BL1315" s="14404"/>
      <c r="BM1315" s="14404"/>
      <c r="BN1315" s="14404"/>
    </row>
    <row r="1316" spans="1:66" ht="20.25" customHeight="1">
      <c r="A1316" s="13528"/>
      <c r="B1316" s="13882"/>
      <c r="C1316" s="13580"/>
      <c r="D1316" s="11786" t="s">
        <v>86</v>
      </c>
      <c r="E1316" s="7833"/>
      <c r="F1316" s="7833" t="s">
        <v>10284</v>
      </c>
      <c r="G1316" s="13783"/>
      <c r="H1316" s="13413"/>
      <c r="I1316" s="13865"/>
      <c r="K1316" s="8431" t="s">
        <v>1732</v>
      </c>
      <c r="L1316" s="7965"/>
      <c r="M1316" s="7965"/>
      <c r="N1316" s="8433"/>
      <c r="O1316" s="8433"/>
      <c r="P1316" s="8434"/>
      <c r="Q1316" s="7967"/>
      <c r="R1316" s="7968"/>
      <c r="S1316" s="7969"/>
      <c r="T1316" s="7970"/>
      <c r="U1316" s="7967"/>
      <c r="V1316" s="7968"/>
      <c r="W1316" s="7970"/>
      <c r="X1316" s="7968"/>
      <c r="Y1316" s="7970"/>
      <c r="Z1316" s="7968"/>
      <c r="AA1316" s="7969"/>
      <c r="AB1316" s="7969"/>
      <c r="AC1316" s="7969"/>
      <c r="AD1316" s="7969"/>
      <c r="AE1316" s="7969"/>
      <c r="AF1316" s="7970"/>
      <c r="AG1316" s="7968"/>
      <c r="AH1316" s="7969"/>
      <c r="AI1316" s="7969"/>
      <c r="AJ1316" s="7969"/>
      <c r="AK1316" s="7969"/>
      <c r="AL1316" s="7969"/>
      <c r="AM1316" s="7969"/>
      <c r="AN1316" s="7970"/>
      <c r="AO1316" s="7968"/>
      <c r="AP1316" s="7969"/>
      <c r="AQ1316" s="7969"/>
      <c r="AR1316" s="7969"/>
      <c r="AS1316" s="7969"/>
      <c r="AT1316" s="7970"/>
      <c r="AU1316" s="8435"/>
      <c r="AV1316" s="8435"/>
      <c r="AW1316" s="8435"/>
      <c r="AX1316" s="8432"/>
      <c r="AY1316" s="8434"/>
      <c r="AZ1316" s="8435"/>
      <c r="BA1316" s="8432"/>
      <c r="BB1316" s="8433"/>
      <c r="BC1316" s="8434"/>
      <c r="BD1316" s="8436"/>
      <c r="BF1316" s="14404"/>
      <c r="BG1316" s="14404"/>
      <c r="BH1316" s="14404"/>
      <c r="BI1316" s="14404"/>
      <c r="BJ1316" s="14404"/>
      <c r="BK1316" s="13047"/>
      <c r="BL1316" s="14404"/>
      <c r="BM1316" s="14404"/>
      <c r="BN1316" s="14404"/>
    </row>
    <row r="1317" spans="1:66" ht="20.25" hidden="1" customHeight="1">
      <c r="A1317" s="13528">
        <v>842</v>
      </c>
      <c r="B1317" s="13882" t="s">
        <v>4515</v>
      </c>
      <c r="C1317" s="13580"/>
      <c r="D1317" s="11786" t="s">
        <v>10066</v>
      </c>
      <c r="E1317" s="7833" t="s">
        <v>486</v>
      </c>
      <c r="F1317" s="7853"/>
      <c r="G1317" s="13783" t="s">
        <v>491</v>
      </c>
      <c r="H1317" s="13422" t="s">
        <v>492</v>
      </c>
      <c r="I1317" s="14296">
        <v>0.75</v>
      </c>
      <c r="K1317" s="8432"/>
      <c r="L1317" s="7965"/>
      <c r="M1317" s="7965"/>
      <c r="N1317" s="8433"/>
      <c r="O1317" s="8433"/>
      <c r="P1317" s="8434"/>
      <c r="Q1317" s="7967"/>
      <c r="R1317" s="7968"/>
      <c r="S1317" s="7969"/>
      <c r="T1317" s="7970"/>
      <c r="U1317" s="7967"/>
      <c r="V1317" s="7968"/>
      <c r="W1317" s="7970"/>
      <c r="X1317" s="7968"/>
      <c r="Y1317" s="7970"/>
      <c r="Z1317" s="7968"/>
      <c r="AA1317" s="7969"/>
      <c r="AB1317" s="7969"/>
      <c r="AC1317" s="7969"/>
      <c r="AD1317" s="7969"/>
      <c r="AE1317" s="7969"/>
      <c r="AF1317" s="7970"/>
      <c r="AG1317" s="7968"/>
      <c r="AH1317" s="7969"/>
      <c r="AI1317" s="7969"/>
      <c r="AJ1317" s="7969"/>
      <c r="AK1317" s="7969"/>
      <c r="AL1317" s="7969"/>
      <c r="AM1317" s="7969"/>
      <c r="AN1317" s="7970"/>
      <c r="AO1317" s="7968"/>
      <c r="AP1317" s="7969"/>
      <c r="AQ1317" s="7969"/>
      <c r="AR1317" s="7969"/>
      <c r="AS1317" s="7969"/>
      <c r="AT1317" s="7970"/>
      <c r="AU1317" s="8435"/>
      <c r="AV1317" s="8435"/>
      <c r="AW1317" s="8435"/>
      <c r="AX1317" s="8432"/>
      <c r="AY1317" s="8434"/>
      <c r="AZ1317" s="8435"/>
      <c r="BA1317" s="8432"/>
      <c r="BB1317" s="8433"/>
      <c r="BC1317" s="8434"/>
      <c r="BD1317" s="8436"/>
      <c r="BF1317" s="14404"/>
      <c r="BG1317" s="14404"/>
      <c r="BH1317" s="14404"/>
      <c r="BI1317" s="14404"/>
      <c r="BJ1317" s="14404"/>
      <c r="BK1317" s="7946"/>
      <c r="BL1317" s="14404"/>
      <c r="BM1317" s="14404"/>
      <c r="BN1317" s="14404"/>
    </row>
    <row r="1318" spans="1:66" ht="20.25" hidden="1" customHeight="1">
      <c r="A1318" s="13528"/>
      <c r="B1318" s="13882"/>
      <c r="C1318" s="13580"/>
      <c r="D1318" s="11786" t="s">
        <v>26</v>
      </c>
      <c r="E1318" s="7833"/>
      <c r="F1318" s="7833" t="s">
        <v>10285</v>
      </c>
      <c r="G1318" s="13783"/>
      <c r="H1318" s="13422"/>
      <c r="I1318" s="14297"/>
      <c r="K1318" s="8432"/>
      <c r="L1318" s="7965"/>
      <c r="M1318" s="7965"/>
      <c r="N1318" s="8433"/>
      <c r="O1318" s="8433"/>
      <c r="P1318" s="8434"/>
      <c r="Q1318" s="7967"/>
      <c r="R1318" s="7968"/>
      <c r="S1318" s="7969"/>
      <c r="T1318" s="7970"/>
      <c r="U1318" s="7967"/>
      <c r="V1318" s="7968"/>
      <c r="W1318" s="7970"/>
      <c r="X1318" s="7968"/>
      <c r="Y1318" s="7970"/>
      <c r="Z1318" s="7968"/>
      <c r="AA1318" s="7969"/>
      <c r="AB1318" s="7969"/>
      <c r="AC1318" s="7969"/>
      <c r="AD1318" s="7969"/>
      <c r="AE1318" s="7969"/>
      <c r="AF1318" s="7970"/>
      <c r="AG1318" s="7968"/>
      <c r="AH1318" s="7969"/>
      <c r="AI1318" s="7969"/>
      <c r="AJ1318" s="7969"/>
      <c r="AK1318" s="7969"/>
      <c r="AL1318" s="7969"/>
      <c r="AM1318" s="7969"/>
      <c r="AN1318" s="7970"/>
      <c r="AO1318" s="7968"/>
      <c r="AP1318" s="7969"/>
      <c r="AQ1318" s="7969"/>
      <c r="AR1318" s="7969"/>
      <c r="AS1318" s="7969"/>
      <c r="AT1318" s="7970"/>
      <c r="AU1318" s="8435"/>
      <c r="AV1318" s="8435"/>
      <c r="AW1318" s="8435"/>
      <c r="AX1318" s="8432"/>
      <c r="AY1318" s="8434"/>
      <c r="AZ1318" s="8435"/>
      <c r="BA1318" s="8432"/>
      <c r="BB1318" s="8433"/>
      <c r="BC1318" s="8434"/>
      <c r="BD1318" s="8436"/>
      <c r="BF1318" s="14404"/>
      <c r="BG1318" s="14404"/>
      <c r="BH1318" s="14404"/>
      <c r="BI1318" s="14404"/>
      <c r="BJ1318" s="14404"/>
      <c r="BK1318" s="7946"/>
      <c r="BL1318" s="14404"/>
      <c r="BM1318" s="14404"/>
      <c r="BN1318" s="14404"/>
    </row>
    <row r="1319" spans="1:66" ht="20.25" hidden="1" customHeight="1">
      <c r="A1319" s="13528"/>
      <c r="B1319" s="13882"/>
      <c r="C1319" s="13580"/>
      <c r="D1319" s="11786" t="s">
        <v>477</v>
      </c>
      <c r="E1319" s="7833"/>
      <c r="F1319" s="7833" t="s">
        <v>477</v>
      </c>
      <c r="G1319" s="13783"/>
      <c r="H1319" s="13422"/>
      <c r="I1319" s="13865"/>
      <c r="K1319" s="8432"/>
      <c r="L1319" s="7965"/>
      <c r="M1319" s="7965"/>
      <c r="N1319" s="8433"/>
      <c r="O1319" s="8433"/>
      <c r="P1319" s="8434"/>
      <c r="Q1319" s="7967"/>
      <c r="R1319" s="7968"/>
      <c r="S1319" s="7969"/>
      <c r="T1319" s="7970"/>
      <c r="U1319" s="7967"/>
      <c r="V1319" s="7968"/>
      <c r="W1319" s="7970"/>
      <c r="X1319" s="7968"/>
      <c r="Y1319" s="7970"/>
      <c r="Z1319" s="7968"/>
      <c r="AA1319" s="7969"/>
      <c r="AB1319" s="7969"/>
      <c r="AC1319" s="7969"/>
      <c r="AD1319" s="7969"/>
      <c r="AE1319" s="7969"/>
      <c r="AF1319" s="7970"/>
      <c r="AG1319" s="7968"/>
      <c r="AH1319" s="7969"/>
      <c r="AI1319" s="7969"/>
      <c r="AJ1319" s="7969"/>
      <c r="AK1319" s="7969"/>
      <c r="AL1319" s="7969"/>
      <c r="AM1319" s="7969"/>
      <c r="AN1319" s="7970"/>
      <c r="AO1319" s="7968"/>
      <c r="AP1319" s="7969"/>
      <c r="AQ1319" s="7969"/>
      <c r="AR1319" s="7969"/>
      <c r="AS1319" s="7969"/>
      <c r="AT1319" s="7970"/>
      <c r="AU1319" s="8435"/>
      <c r="AV1319" s="8435"/>
      <c r="AW1319" s="8435"/>
      <c r="AX1319" s="8432"/>
      <c r="AY1319" s="8434"/>
      <c r="AZ1319" s="8435"/>
      <c r="BA1319" s="8432"/>
      <c r="BB1319" s="8433"/>
      <c r="BC1319" s="8434"/>
      <c r="BD1319" s="8436"/>
      <c r="BF1319" s="14404"/>
      <c r="BG1319" s="14404"/>
      <c r="BH1319" s="14404"/>
      <c r="BI1319" s="14404"/>
      <c r="BJ1319" s="14404"/>
      <c r="BK1319" s="7946"/>
      <c r="BL1319" s="14404"/>
      <c r="BM1319" s="14404"/>
      <c r="BN1319" s="14404"/>
    </row>
    <row r="1320" spans="1:66" ht="30" hidden="1" customHeight="1">
      <c r="A1320" s="7952">
        <v>843</v>
      </c>
      <c r="B1320" s="8437" t="s">
        <v>4516</v>
      </c>
      <c r="C1320" s="13580"/>
      <c r="D1320" s="12191" t="s">
        <v>26</v>
      </c>
      <c r="E1320" s="7833" t="s">
        <v>390</v>
      </c>
      <c r="F1320" s="7833"/>
      <c r="G1320" s="11656" t="s">
        <v>493</v>
      </c>
      <c r="H1320" s="12527" t="s">
        <v>494</v>
      </c>
      <c r="I1320" s="12528">
        <v>0.7</v>
      </c>
      <c r="K1320" s="9894"/>
      <c r="L1320" s="8443"/>
      <c r="M1320" s="8443"/>
      <c r="N1320" s="10930"/>
      <c r="O1320" s="10930"/>
      <c r="P1320" s="10931"/>
      <c r="Q1320" s="8446"/>
      <c r="R1320" s="8447"/>
      <c r="S1320" s="8448"/>
      <c r="T1320" s="8449"/>
      <c r="U1320" s="8446"/>
      <c r="V1320" s="8447"/>
      <c r="W1320" s="8449"/>
      <c r="X1320" s="8447"/>
      <c r="Y1320" s="8449"/>
      <c r="Z1320" s="8447"/>
      <c r="AA1320" s="8448"/>
      <c r="AB1320" s="8448"/>
      <c r="AC1320" s="8448"/>
      <c r="AD1320" s="8448"/>
      <c r="AE1320" s="8448"/>
      <c r="AF1320" s="8449"/>
      <c r="AG1320" s="8447"/>
      <c r="AH1320" s="8448"/>
      <c r="AI1320" s="8448"/>
      <c r="AJ1320" s="8448"/>
      <c r="AK1320" s="8448"/>
      <c r="AL1320" s="8448"/>
      <c r="AM1320" s="8448"/>
      <c r="AN1320" s="8449"/>
      <c r="AO1320" s="8447"/>
      <c r="AP1320" s="8448"/>
      <c r="AQ1320" s="8448"/>
      <c r="AR1320" s="8448"/>
      <c r="AS1320" s="8448"/>
      <c r="AT1320" s="8449"/>
      <c r="AU1320" s="10932"/>
      <c r="AV1320" s="10932"/>
      <c r="AW1320" s="10932"/>
      <c r="AX1320" s="9894"/>
      <c r="AY1320" s="10931"/>
      <c r="AZ1320" s="10932"/>
      <c r="BA1320" s="9894"/>
      <c r="BB1320" s="10930"/>
      <c r="BC1320" s="10931"/>
      <c r="BD1320" s="10933"/>
      <c r="BF1320" s="7946"/>
      <c r="BG1320" s="7946"/>
      <c r="BH1320" s="7946"/>
      <c r="BI1320" s="7946"/>
      <c r="BJ1320" s="7946"/>
      <c r="BK1320" s="7946"/>
      <c r="BL1320" s="7946"/>
      <c r="BM1320" s="7946"/>
      <c r="BN1320" s="7946"/>
    </row>
    <row r="1321" spans="1:66" ht="30" hidden="1" customHeight="1">
      <c r="A1321" s="7952">
        <v>844</v>
      </c>
      <c r="B1321" s="8437" t="s">
        <v>4517</v>
      </c>
      <c r="C1321" s="13580"/>
      <c r="D1321" s="11786" t="s">
        <v>26</v>
      </c>
      <c r="E1321" s="7833" t="s">
        <v>390</v>
      </c>
      <c r="F1321" s="7833" t="s">
        <v>498</v>
      </c>
      <c r="G1321" s="11656" t="s">
        <v>496</v>
      </c>
      <c r="H1321" s="12527" t="s">
        <v>497</v>
      </c>
      <c r="I1321" s="11787">
        <v>6</v>
      </c>
      <c r="K1321" s="8431"/>
      <c r="L1321" s="8443"/>
      <c r="M1321" s="8443"/>
      <c r="N1321" s="8444"/>
      <c r="O1321" s="8444"/>
      <c r="P1321" s="8445"/>
      <c r="Q1321" s="8446"/>
      <c r="R1321" s="8447"/>
      <c r="S1321" s="8448"/>
      <c r="T1321" s="8449"/>
      <c r="U1321" s="8446"/>
      <c r="V1321" s="8447"/>
      <c r="W1321" s="8449"/>
      <c r="X1321" s="8447"/>
      <c r="Y1321" s="8449"/>
      <c r="Z1321" s="8447"/>
      <c r="AA1321" s="8448"/>
      <c r="AB1321" s="8448"/>
      <c r="AC1321" s="8448"/>
      <c r="AD1321" s="8448"/>
      <c r="AE1321" s="8448"/>
      <c r="AF1321" s="8449"/>
      <c r="AG1321" s="8447"/>
      <c r="AH1321" s="8448"/>
      <c r="AI1321" s="8448"/>
      <c r="AJ1321" s="8448"/>
      <c r="AK1321" s="8448"/>
      <c r="AL1321" s="8448"/>
      <c r="AM1321" s="8448"/>
      <c r="AN1321" s="8449"/>
      <c r="AO1321" s="8447"/>
      <c r="AP1321" s="8448"/>
      <c r="AQ1321" s="8448"/>
      <c r="AR1321" s="8448"/>
      <c r="AS1321" s="8448"/>
      <c r="AT1321" s="8449"/>
      <c r="AU1321" s="8450"/>
      <c r="AV1321" s="8450"/>
      <c r="AW1321" s="8450"/>
      <c r="AX1321" s="8431"/>
      <c r="AY1321" s="8445"/>
      <c r="AZ1321" s="8450"/>
      <c r="BA1321" s="8431"/>
      <c r="BB1321" s="8444"/>
      <c r="BC1321" s="8445"/>
      <c r="BD1321" s="7952"/>
      <c r="BF1321" s="7946"/>
      <c r="BG1321" s="7946"/>
      <c r="BH1321" s="7946"/>
      <c r="BI1321" s="7946"/>
      <c r="BJ1321" s="7946"/>
      <c r="BK1321" s="7946"/>
      <c r="BL1321" s="7946"/>
      <c r="BM1321" s="7946"/>
      <c r="BN1321" s="7946"/>
    </row>
    <row r="1322" spans="1:66" ht="30" hidden="1" customHeight="1">
      <c r="A1322" s="7952">
        <v>845</v>
      </c>
      <c r="B1322" s="8437" t="s">
        <v>4518</v>
      </c>
      <c r="C1322" s="13580"/>
      <c r="D1322" s="11786" t="s">
        <v>10066</v>
      </c>
      <c r="E1322" s="7833" t="s">
        <v>298</v>
      </c>
      <c r="F1322" s="7833" t="s">
        <v>500</v>
      </c>
      <c r="G1322" s="11656" t="s">
        <v>517</v>
      </c>
      <c r="H1322" s="12527" t="s">
        <v>499</v>
      </c>
      <c r="I1322" s="12529">
        <v>2</v>
      </c>
      <c r="K1322" s="10934"/>
      <c r="L1322" s="8443"/>
      <c r="M1322" s="8443"/>
      <c r="N1322" s="10935"/>
      <c r="O1322" s="10935"/>
      <c r="P1322" s="10936"/>
      <c r="Q1322" s="8446"/>
      <c r="R1322" s="8447"/>
      <c r="S1322" s="8448"/>
      <c r="T1322" s="8449"/>
      <c r="U1322" s="8446"/>
      <c r="V1322" s="8447"/>
      <c r="W1322" s="8449"/>
      <c r="X1322" s="8447"/>
      <c r="Y1322" s="8449"/>
      <c r="Z1322" s="8447"/>
      <c r="AA1322" s="8448"/>
      <c r="AB1322" s="8448"/>
      <c r="AC1322" s="8448"/>
      <c r="AD1322" s="8448"/>
      <c r="AE1322" s="8448"/>
      <c r="AF1322" s="8449"/>
      <c r="AG1322" s="8447"/>
      <c r="AH1322" s="8448"/>
      <c r="AI1322" s="8448"/>
      <c r="AJ1322" s="8448"/>
      <c r="AK1322" s="8448"/>
      <c r="AL1322" s="8448"/>
      <c r="AM1322" s="8448"/>
      <c r="AN1322" s="8449"/>
      <c r="AO1322" s="8447"/>
      <c r="AP1322" s="8448"/>
      <c r="AQ1322" s="8448"/>
      <c r="AR1322" s="8448"/>
      <c r="AS1322" s="8448"/>
      <c r="AT1322" s="8449"/>
      <c r="AU1322" s="10937"/>
      <c r="AV1322" s="10937"/>
      <c r="AW1322" s="10937"/>
      <c r="AX1322" s="10934"/>
      <c r="AY1322" s="10936"/>
      <c r="AZ1322" s="10937"/>
      <c r="BA1322" s="10934"/>
      <c r="BB1322" s="10935"/>
      <c r="BC1322" s="10936"/>
      <c r="BD1322" s="10938"/>
      <c r="BF1322" s="7946"/>
      <c r="BG1322" s="7946"/>
      <c r="BH1322" s="7946"/>
      <c r="BI1322" s="7946"/>
      <c r="BJ1322" s="7946"/>
      <c r="BK1322" s="7946"/>
      <c r="BL1322" s="7946"/>
      <c r="BM1322" s="7946"/>
      <c r="BN1322" s="7946"/>
    </row>
    <row r="1323" spans="1:66" ht="30" customHeight="1" thickBot="1">
      <c r="A1323" s="13528">
        <v>846</v>
      </c>
      <c r="B1323" s="13882" t="s">
        <v>4519</v>
      </c>
      <c r="C1323" s="13580"/>
      <c r="D1323" s="11786" t="s">
        <v>86</v>
      </c>
      <c r="E1323" s="7833" t="s">
        <v>422</v>
      </c>
      <c r="F1323" s="7853"/>
      <c r="G1323" s="13783" t="s">
        <v>501</v>
      </c>
      <c r="H1323" s="13413" t="s">
        <v>502</v>
      </c>
      <c r="I1323" s="14296">
        <v>4</v>
      </c>
      <c r="K1323" s="8431" t="s">
        <v>1732</v>
      </c>
      <c r="L1323" s="7965"/>
      <c r="M1323" s="7965"/>
      <c r="N1323" s="8433"/>
      <c r="O1323" s="8433"/>
      <c r="P1323" s="8434"/>
      <c r="Q1323" s="7967"/>
      <c r="R1323" s="7968"/>
      <c r="S1323" s="7969"/>
      <c r="T1323" s="7970"/>
      <c r="U1323" s="7967"/>
      <c r="V1323" s="7968"/>
      <c r="W1323" s="7970"/>
      <c r="X1323" s="7968"/>
      <c r="Y1323" s="7970"/>
      <c r="Z1323" s="7968"/>
      <c r="AA1323" s="7969"/>
      <c r="AB1323" s="7969"/>
      <c r="AC1323" s="7969"/>
      <c r="AD1323" s="7969"/>
      <c r="AE1323" s="7969"/>
      <c r="AF1323" s="7970"/>
      <c r="AG1323" s="7968"/>
      <c r="AH1323" s="7969"/>
      <c r="AI1323" s="7969"/>
      <c r="AJ1323" s="7969"/>
      <c r="AK1323" s="7969"/>
      <c r="AL1323" s="7969"/>
      <c r="AM1323" s="7969"/>
      <c r="AN1323" s="7970"/>
      <c r="AO1323" s="7968"/>
      <c r="AP1323" s="7969"/>
      <c r="AQ1323" s="7969"/>
      <c r="AR1323" s="7969"/>
      <c r="AS1323" s="7969"/>
      <c r="AT1323" s="7970"/>
      <c r="AU1323" s="8435"/>
      <c r="AV1323" s="8435"/>
      <c r="AW1323" s="8435"/>
      <c r="AX1323" s="8432"/>
      <c r="AY1323" s="8434"/>
      <c r="AZ1323" s="8435"/>
      <c r="BA1323" s="8432"/>
      <c r="BB1323" s="8433"/>
      <c r="BC1323" s="8434"/>
      <c r="BD1323" s="8436"/>
      <c r="BF1323" s="14404"/>
      <c r="BG1323" s="14404"/>
      <c r="BH1323" s="14404"/>
      <c r="BI1323" s="14404"/>
      <c r="BJ1323" s="14404"/>
      <c r="BK1323" s="13047"/>
      <c r="BL1323" s="14404"/>
      <c r="BM1323" s="14404"/>
      <c r="BN1323" s="14404"/>
    </row>
    <row r="1324" spans="1:66" ht="30" hidden="1" customHeight="1">
      <c r="A1324" s="13528"/>
      <c r="B1324" s="13882"/>
      <c r="C1324" s="13580"/>
      <c r="D1324" s="11786" t="s">
        <v>10186</v>
      </c>
      <c r="E1324" s="7833"/>
      <c r="F1324" s="7833" t="s">
        <v>503</v>
      </c>
      <c r="G1324" s="13783"/>
      <c r="H1324" s="13422"/>
      <c r="I1324" s="13865"/>
      <c r="K1324" s="8432"/>
      <c r="L1324" s="7965"/>
      <c r="M1324" s="7965"/>
      <c r="N1324" s="8433"/>
      <c r="O1324" s="8433"/>
      <c r="P1324" s="8434"/>
      <c r="Q1324" s="7967"/>
      <c r="R1324" s="7968"/>
      <c r="S1324" s="7969"/>
      <c r="T1324" s="7970"/>
      <c r="U1324" s="7967"/>
      <c r="V1324" s="7968"/>
      <c r="W1324" s="7970"/>
      <c r="X1324" s="7968"/>
      <c r="Y1324" s="7970"/>
      <c r="Z1324" s="7968"/>
      <c r="AA1324" s="7969"/>
      <c r="AB1324" s="7969"/>
      <c r="AC1324" s="7969"/>
      <c r="AD1324" s="7969"/>
      <c r="AE1324" s="7969"/>
      <c r="AF1324" s="7970"/>
      <c r="AG1324" s="7968"/>
      <c r="AH1324" s="7969"/>
      <c r="AI1324" s="7969"/>
      <c r="AJ1324" s="7969"/>
      <c r="AK1324" s="7969"/>
      <c r="AL1324" s="7969"/>
      <c r="AM1324" s="7969"/>
      <c r="AN1324" s="7970"/>
      <c r="AO1324" s="7968"/>
      <c r="AP1324" s="7969"/>
      <c r="AQ1324" s="7969"/>
      <c r="AR1324" s="7969"/>
      <c r="AS1324" s="7969"/>
      <c r="AT1324" s="7970"/>
      <c r="AU1324" s="8435"/>
      <c r="AV1324" s="8435"/>
      <c r="AW1324" s="8435"/>
      <c r="AX1324" s="8432"/>
      <c r="AY1324" s="8434"/>
      <c r="AZ1324" s="8435"/>
      <c r="BA1324" s="8432"/>
      <c r="BB1324" s="8433"/>
      <c r="BC1324" s="8434"/>
      <c r="BD1324" s="8436"/>
      <c r="BF1324" s="14404"/>
      <c r="BG1324" s="14404"/>
      <c r="BH1324" s="14404"/>
      <c r="BI1324" s="14404"/>
      <c r="BJ1324" s="14404"/>
      <c r="BK1324" s="7946"/>
      <c r="BL1324" s="14404"/>
      <c r="BM1324" s="14404"/>
      <c r="BN1324" s="14404"/>
    </row>
    <row r="1325" spans="1:66" ht="30" hidden="1" customHeight="1">
      <c r="A1325" s="13528">
        <v>847</v>
      </c>
      <c r="B1325" s="13882" t="s">
        <v>4520</v>
      </c>
      <c r="C1325" s="13580"/>
      <c r="D1325" s="11786" t="s">
        <v>10066</v>
      </c>
      <c r="E1325" s="7833" t="s">
        <v>298</v>
      </c>
      <c r="F1325" s="7853"/>
      <c r="G1325" s="13783" t="s">
        <v>504</v>
      </c>
      <c r="H1325" s="13422" t="s">
        <v>505</v>
      </c>
      <c r="I1325" s="14296">
        <v>1</v>
      </c>
      <c r="K1325" s="8432"/>
      <c r="L1325" s="7965"/>
      <c r="M1325" s="7965"/>
      <c r="N1325" s="8433"/>
      <c r="O1325" s="8433"/>
      <c r="P1325" s="8434"/>
      <c r="Q1325" s="7967"/>
      <c r="R1325" s="7968"/>
      <c r="S1325" s="7969"/>
      <c r="T1325" s="7970"/>
      <c r="U1325" s="7967"/>
      <c r="V1325" s="7968"/>
      <c r="W1325" s="7970"/>
      <c r="X1325" s="7968"/>
      <c r="Y1325" s="7970"/>
      <c r="Z1325" s="7968"/>
      <c r="AA1325" s="7969"/>
      <c r="AB1325" s="7969"/>
      <c r="AC1325" s="7969"/>
      <c r="AD1325" s="7969"/>
      <c r="AE1325" s="7969"/>
      <c r="AF1325" s="7970"/>
      <c r="AG1325" s="7968"/>
      <c r="AH1325" s="7969"/>
      <c r="AI1325" s="7969"/>
      <c r="AJ1325" s="7969"/>
      <c r="AK1325" s="7969"/>
      <c r="AL1325" s="7969"/>
      <c r="AM1325" s="7969"/>
      <c r="AN1325" s="7970"/>
      <c r="AO1325" s="7968"/>
      <c r="AP1325" s="7969"/>
      <c r="AQ1325" s="7969"/>
      <c r="AR1325" s="7969"/>
      <c r="AS1325" s="7969"/>
      <c r="AT1325" s="7970"/>
      <c r="AU1325" s="8435"/>
      <c r="AV1325" s="8435"/>
      <c r="AW1325" s="8435"/>
      <c r="AX1325" s="8432"/>
      <c r="AY1325" s="8434"/>
      <c r="AZ1325" s="8435"/>
      <c r="BA1325" s="8432"/>
      <c r="BB1325" s="8433"/>
      <c r="BC1325" s="8434"/>
      <c r="BD1325" s="8436"/>
      <c r="BF1325" s="14404"/>
      <c r="BG1325" s="14404"/>
      <c r="BH1325" s="14404"/>
      <c r="BI1325" s="14404"/>
      <c r="BJ1325" s="14404"/>
      <c r="BK1325" s="7946"/>
      <c r="BL1325" s="14404"/>
      <c r="BM1325" s="14404"/>
      <c r="BN1325" s="14404"/>
    </row>
    <row r="1326" spans="1:66" ht="30" hidden="1" customHeight="1">
      <c r="A1326" s="13528"/>
      <c r="B1326" s="13882"/>
      <c r="C1326" s="13580"/>
      <c r="D1326" s="11786" t="s">
        <v>10199</v>
      </c>
      <c r="E1326" s="7833"/>
      <c r="F1326" s="7833" t="s">
        <v>507</v>
      </c>
      <c r="G1326" s="13783"/>
      <c r="H1326" s="13422"/>
      <c r="I1326" s="13865"/>
      <c r="K1326" s="8432"/>
      <c r="L1326" s="7965"/>
      <c r="M1326" s="7965"/>
      <c r="N1326" s="8433"/>
      <c r="O1326" s="8433"/>
      <c r="P1326" s="8434"/>
      <c r="Q1326" s="7967"/>
      <c r="R1326" s="7968"/>
      <c r="S1326" s="7969"/>
      <c r="T1326" s="7970"/>
      <c r="U1326" s="7967"/>
      <c r="V1326" s="7968"/>
      <c r="W1326" s="7970"/>
      <c r="X1326" s="7968"/>
      <c r="Y1326" s="7970"/>
      <c r="Z1326" s="7968"/>
      <c r="AA1326" s="7969"/>
      <c r="AB1326" s="7969"/>
      <c r="AC1326" s="7969"/>
      <c r="AD1326" s="7969"/>
      <c r="AE1326" s="7969"/>
      <c r="AF1326" s="7970"/>
      <c r="AG1326" s="7968"/>
      <c r="AH1326" s="7969"/>
      <c r="AI1326" s="7969"/>
      <c r="AJ1326" s="7969"/>
      <c r="AK1326" s="7969"/>
      <c r="AL1326" s="7969"/>
      <c r="AM1326" s="7969"/>
      <c r="AN1326" s="7970"/>
      <c r="AO1326" s="7968"/>
      <c r="AP1326" s="7969"/>
      <c r="AQ1326" s="7969"/>
      <c r="AR1326" s="7969"/>
      <c r="AS1326" s="7969"/>
      <c r="AT1326" s="7970"/>
      <c r="AU1326" s="8435"/>
      <c r="AV1326" s="8435"/>
      <c r="AW1326" s="8435"/>
      <c r="AX1326" s="8432"/>
      <c r="AY1326" s="8434"/>
      <c r="AZ1326" s="8435"/>
      <c r="BA1326" s="8432"/>
      <c r="BB1326" s="8433"/>
      <c r="BC1326" s="8434"/>
      <c r="BD1326" s="8436"/>
      <c r="BF1326" s="14404"/>
      <c r="BG1326" s="14404"/>
      <c r="BH1326" s="14404"/>
      <c r="BI1326" s="14404"/>
      <c r="BJ1326" s="14404"/>
      <c r="BK1326" s="7946"/>
      <c r="BL1326" s="14404"/>
      <c r="BM1326" s="14404"/>
      <c r="BN1326" s="14404"/>
    </row>
    <row r="1327" spans="1:66" ht="30" hidden="1" customHeight="1">
      <c r="A1327" s="7952">
        <v>848</v>
      </c>
      <c r="B1327" s="8437" t="s">
        <v>4521</v>
      </c>
      <c r="C1327" s="13580"/>
      <c r="D1327" s="11786" t="s">
        <v>10070</v>
      </c>
      <c r="E1327" s="7833" t="s">
        <v>512</v>
      </c>
      <c r="F1327" s="7833"/>
      <c r="G1327" s="11656" t="s">
        <v>509</v>
      </c>
      <c r="H1327" s="12527" t="s">
        <v>510</v>
      </c>
      <c r="I1327" s="11787">
        <v>1</v>
      </c>
      <c r="K1327" s="8431"/>
      <c r="L1327" s="8443"/>
      <c r="M1327" s="8443"/>
      <c r="N1327" s="8444"/>
      <c r="O1327" s="8444"/>
      <c r="P1327" s="8445"/>
      <c r="Q1327" s="8446"/>
      <c r="R1327" s="8447"/>
      <c r="S1327" s="8448"/>
      <c r="T1327" s="8449"/>
      <c r="U1327" s="8446"/>
      <c r="V1327" s="8447"/>
      <c r="W1327" s="8449"/>
      <c r="X1327" s="8447"/>
      <c r="Y1327" s="8449"/>
      <c r="Z1327" s="8447"/>
      <c r="AA1327" s="8448"/>
      <c r="AB1327" s="8448"/>
      <c r="AC1327" s="8448"/>
      <c r="AD1327" s="8448"/>
      <c r="AE1327" s="8448"/>
      <c r="AF1327" s="8449"/>
      <c r="AG1327" s="8447"/>
      <c r="AH1327" s="8448"/>
      <c r="AI1327" s="8448"/>
      <c r="AJ1327" s="8448"/>
      <c r="AK1327" s="8448"/>
      <c r="AL1327" s="8448"/>
      <c r="AM1327" s="8448"/>
      <c r="AN1327" s="8449"/>
      <c r="AO1327" s="8447"/>
      <c r="AP1327" s="8448"/>
      <c r="AQ1327" s="8448"/>
      <c r="AR1327" s="8448"/>
      <c r="AS1327" s="8448"/>
      <c r="AT1327" s="8449"/>
      <c r="AU1327" s="8450"/>
      <c r="AV1327" s="8450"/>
      <c r="AW1327" s="8450"/>
      <c r="AX1327" s="8431"/>
      <c r="AY1327" s="8445"/>
      <c r="AZ1327" s="8450"/>
      <c r="BA1327" s="8431"/>
      <c r="BB1327" s="8444"/>
      <c r="BC1327" s="8445"/>
      <c r="BD1327" s="7952"/>
      <c r="BF1327" s="7946"/>
      <c r="BG1327" s="7946"/>
      <c r="BH1327" s="7946"/>
      <c r="BI1327" s="7946"/>
      <c r="BJ1327" s="7946"/>
      <c r="BK1327" s="7946"/>
      <c r="BL1327" s="7946"/>
      <c r="BM1327" s="7946"/>
      <c r="BN1327" s="7946"/>
    </row>
    <row r="1328" spans="1:66" ht="30" hidden="1" customHeight="1" thickBot="1">
      <c r="A1328" s="8461">
        <v>849</v>
      </c>
      <c r="B1328" s="8462" t="s">
        <v>4522</v>
      </c>
      <c r="C1328" s="13581"/>
      <c r="D1328" s="11789" t="s">
        <v>26</v>
      </c>
      <c r="E1328" s="7834" t="s">
        <v>390</v>
      </c>
      <c r="F1328" s="7834" t="s">
        <v>391</v>
      </c>
      <c r="G1328" s="11790" t="s">
        <v>513</v>
      </c>
      <c r="H1328" s="12530" t="s">
        <v>514</v>
      </c>
      <c r="I1328" s="12531">
        <v>1</v>
      </c>
      <c r="K1328" s="10939"/>
      <c r="L1328" s="8464"/>
      <c r="M1328" s="8464"/>
      <c r="N1328" s="10940"/>
      <c r="O1328" s="10940"/>
      <c r="P1328" s="10941"/>
      <c r="Q1328" s="8467"/>
      <c r="R1328" s="8468"/>
      <c r="S1328" s="8469"/>
      <c r="T1328" s="8470"/>
      <c r="U1328" s="8467"/>
      <c r="V1328" s="8468"/>
      <c r="W1328" s="8470"/>
      <c r="X1328" s="8468"/>
      <c r="Y1328" s="8470"/>
      <c r="Z1328" s="8468"/>
      <c r="AA1328" s="8469"/>
      <c r="AB1328" s="8469"/>
      <c r="AC1328" s="8469"/>
      <c r="AD1328" s="8469"/>
      <c r="AE1328" s="8469"/>
      <c r="AF1328" s="8470"/>
      <c r="AG1328" s="8468"/>
      <c r="AH1328" s="8469"/>
      <c r="AI1328" s="8469"/>
      <c r="AJ1328" s="8469"/>
      <c r="AK1328" s="8469"/>
      <c r="AL1328" s="8469"/>
      <c r="AM1328" s="8469"/>
      <c r="AN1328" s="8470"/>
      <c r="AO1328" s="8468"/>
      <c r="AP1328" s="8469"/>
      <c r="AQ1328" s="8469"/>
      <c r="AR1328" s="8469"/>
      <c r="AS1328" s="8469"/>
      <c r="AT1328" s="8470"/>
      <c r="AU1328" s="10942"/>
      <c r="AV1328" s="10942"/>
      <c r="AW1328" s="10942"/>
      <c r="AX1328" s="10939"/>
      <c r="AY1328" s="10941"/>
      <c r="AZ1328" s="10942"/>
      <c r="BA1328" s="10939"/>
      <c r="BB1328" s="10940"/>
      <c r="BC1328" s="10941"/>
      <c r="BD1328" s="10943"/>
      <c r="BF1328" s="7983"/>
      <c r="BG1328" s="7983"/>
      <c r="BH1328" s="7983"/>
      <c r="BI1328" s="7983"/>
      <c r="BJ1328" s="7983"/>
      <c r="BK1328" s="7983"/>
      <c r="BL1328" s="7983"/>
      <c r="BM1328" s="7983"/>
      <c r="BN1328" s="7983"/>
    </row>
    <row r="1329" spans="1:66" ht="30" customHeight="1">
      <c r="A1329" s="13559">
        <v>850</v>
      </c>
      <c r="B1329" s="14295" t="s">
        <v>8236</v>
      </c>
      <c r="C1329" s="13609" t="s">
        <v>10346</v>
      </c>
      <c r="D1329" s="12532" t="s">
        <v>86</v>
      </c>
      <c r="E1329" s="12533" t="s">
        <v>10286</v>
      </c>
      <c r="F1329" s="12533"/>
      <c r="G1329" s="14294" t="s">
        <v>5150</v>
      </c>
      <c r="H1329" s="14298" t="s">
        <v>5164</v>
      </c>
      <c r="I1329" s="14306" t="s">
        <v>5154</v>
      </c>
      <c r="K1329" s="12893">
        <v>0</v>
      </c>
      <c r="L1329" s="12894"/>
      <c r="M1329" s="12894"/>
      <c r="N1329" s="10945" t="s">
        <v>10451</v>
      </c>
      <c r="O1329" s="12895" t="s">
        <v>10451</v>
      </c>
      <c r="P1329" s="10945" t="s">
        <v>10452</v>
      </c>
      <c r="Q1329" s="10947"/>
      <c r="R1329" s="10948"/>
      <c r="S1329" s="10949"/>
      <c r="T1329" s="10950"/>
      <c r="U1329" s="10947"/>
      <c r="V1329" s="10948">
        <v>0</v>
      </c>
      <c r="W1329" s="10950">
        <v>0</v>
      </c>
      <c r="X1329" s="10948">
        <v>0</v>
      </c>
      <c r="Y1329" s="10950">
        <v>0</v>
      </c>
      <c r="Z1329" s="10948"/>
      <c r="AA1329" s="10949"/>
      <c r="AB1329" s="10949"/>
      <c r="AC1329" s="10949"/>
      <c r="AD1329" s="10949"/>
      <c r="AE1329" s="10949"/>
      <c r="AF1329" s="10950"/>
      <c r="AG1329" s="10948"/>
      <c r="AH1329" s="10949"/>
      <c r="AI1329" s="10949"/>
      <c r="AJ1329" s="10949"/>
      <c r="AK1329" s="10949"/>
      <c r="AL1329" s="10949"/>
      <c r="AM1329" s="10949"/>
      <c r="AN1329" s="10950"/>
      <c r="AO1329" s="10948"/>
      <c r="AP1329" s="10949"/>
      <c r="AQ1329" s="10949"/>
      <c r="AR1329" s="10949"/>
      <c r="AS1329" s="10949"/>
      <c r="AT1329" s="10950"/>
      <c r="AU1329" s="10951"/>
      <c r="AV1329" s="10951"/>
      <c r="AW1329" s="10951"/>
      <c r="AX1329" s="10944"/>
      <c r="AY1329" s="10946"/>
      <c r="AZ1329" s="10951"/>
      <c r="BA1329" s="10944"/>
      <c r="BB1329" s="10945"/>
      <c r="BC1329" s="10946"/>
      <c r="BD1329" s="10952"/>
      <c r="BF1329" s="14554"/>
      <c r="BG1329" s="14554"/>
      <c r="BH1329" s="14554"/>
      <c r="BI1329" s="14554"/>
      <c r="BJ1329" s="14554"/>
      <c r="BK1329" s="13095"/>
      <c r="BL1329" s="14554"/>
      <c r="BM1329" s="14554"/>
      <c r="BN1329" s="14554"/>
    </row>
    <row r="1330" spans="1:66" ht="30" hidden="1" customHeight="1">
      <c r="A1330" s="13560"/>
      <c r="B1330" s="14276"/>
      <c r="C1330" s="13610"/>
      <c r="D1330" s="12534" t="s">
        <v>8644</v>
      </c>
      <c r="E1330" s="12535"/>
      <c r="F1330" s="12535" t="s">
        <v>10287</v>
      </c>
      <c r="G1330" s="14277"/>
      <c r="H1330" s="13388"/>
      <c r="I1330" s="14307"/>
      <c r="K1330" s="10874">
        <v>14</v>
      </c>
      <c r="L1330" s="10875">
        <v>0.28599999999999998</v>
      </c>
      <c r="M1330" s="10875">
        <v>1</v>
      </c>
      <c r="N1330" s="12896" t="s">
        <v>10453</v>
      </c>
      <c r="O1330" s="12896" t="s">
        <v>10454</v>
      </c>
      <c r="P1330" s="10877" t="s">
        <v>10455</v>
      </c>
      <c r="Q1330" s="10878"/>
      <c r="R1330" s="10879"/>
      <c r="S1330" s="10880"/>
      <c r="T1330" s="10881"/>
      <c r="U1330" s="10878"/>
      <c r="V1330" s="10879">
        <v>3</v>
      </c>
      <c r="W1330" s="10881">
        <v>18</v>
      </c>
      <c r="X1330" s="10879">
        <v>21</v>
      </c>
      <c r="Y1330" s="10881">
        <v>0</v>
      </c>
      <c r="Z1330" s="10879"/>
      <c r="AA1330" s="10880"/>
      <c r="AB1330" s="10880"/>
      <c r="AC1330" s="10880"/>
      <c r="AD1330" s="10880"/>
      <c r="AE1330" s="10880">
        <v>21</v>
      </c>
      <c r="AF1330" s="10881"/>
      <c r="AG1330" s="10879">
        <v>21</v>
      </c>
      <c r="AH1330" s="10880"/>
      <c r="AI1330" s="10880"/>
      <c r="AJ1330" s="10880"/>
      <c r="AK1330" s="10880"/>
      <c r="AL1330" s="10880"/>
      <c r="AM1330" s="10880"/>
      <c r="AN1330" s="10881"/>
      <c r="AO1330" s="10879">
        <v>21</v>
      </c>
      <c r="AP1330" s="10880"/>
      <c r="AQ1330" s="10880"/>
      <c r="AR1330" s="10880"/>
      <c r="AS1330" s="10880"/>
      <c r="AT1330" s="10881"/>
      <c r="AU1330" s="10882" t="s">
        <v>10456</v>
      </c>
      <c r="AV1330" s="10882" t="s">
        <v>10457</v>
      </c>
      <c r="AW1330" s="10882">
        <v>21</v>
      </c>
      <c r="AX1330" s="10874" t="s">
        <v>10458</v>
      </c>
      <c r="AY1330" s="10877" t="s">
        <v>10458</v>
      </c>
      <c r="AZ1330" s="10882"/>
      <c r="BA1330" s="10874"/>
      <c r="BB1330" s="10876"/>
      <c r="BC1330" s="10877"/>
      <c r="BD1330" s="12776"/>
      <c r="BF1330" s="14553"/>
      <c r="BG1330" s="14553"/>
      <c r="BH1330" s="14553"/>
      <c r="BI1330" s="14553"/>
      <c r="BJ1330" s="14553"/>
      <c r="BK1330" s="10858"/>
      <c r="BL1330" s="14553"/>
      <c r="BM1330" s="14553"/>
      <c r="BN1330" s="14553"/>
    </row>
    <row r="1331" spans="1:66" ht="30" customHeight="1">
      <c r="A1331" s="10856">
        <v>851</v>
      </c>
      <c r="B1331" s="10857" t="s">
        <v>8237</v>
      </c>
      <c r="C1331" s="13610"/>
      <c r="D1331" s="12534" t="s">
        <v>86</v>
      </c>
      <c r="E1331" s="12535" t="s">
        <v>5185</v>
      </c>
      <c r="F1331" s="12535"/>
      <c r="G1331" s="13042" t="s">
        <v>5169</v>
      </c>
      <c r="H1331" s="12973" t="s">
        <v>5183</v>
      </c>
      <c r="I1331" s="13045" t="s">
        <v>5173</v>
      </c>
      <c r="K1331" s="10874">
        <v>0</v>
      </c>
      <c r="L1331" s="10875"/>
      <c r="M1331" s="10875"/>
      <c r="N1331" s="12896" t="s">
        <v>10451</v>
      </c>
      <c r="O1331" s="12896" t="s">
        <v>10451</v>
      </c>
      <c r="P1331" s="10876" t="s">
        <v>10459</v>
      </c>
      <c r="Q1331" s="10878"/>
      <c r="R1331" s="10879"/>
      <c r="S1331" s="10880"/>
      <c r="T1331" s="10881"/>
      <c r="U1331" s="10878"/>
      <c r="V1331" s="10879">
        <v>0</v>
      </c>
      <c r="W1331" s="10881">
        <v>0</v>
      </c>
      <c r="X1331" s="10879">
        <v>0</v>
      </c>
      <c r="Y1331" s="10881">
        <v>0</v>
      </c>
      <c r="Z1331" s="10879"/>
      <c r="AA1331" s="10880"/>
      <c r="AB1331" s="10880"/>
      <c r="AC1331" s="10880"/>
      <c r="AD1331" s="10880"/>
      <c r="AE1331" s="10880"/>
      <c r="AF1331" s="10881"/>
      <c r="AG1331" s="10879"/>
      <c r="AH1331" s="10880"/>
      <c r="AI1331" s="10880"/>
      <c r="AJ1331" s="10880"/>
      <c r="AK1331" s="10880"/>
      <c r="AL1331" s="10880"/>
      <c r="AM1331" s="10880"/>
      <c r="AN1331" s="10881"/>
      <c r="AO1331" s="10879"/>
      <c r="AP1331" s="10880"/>
      <c r="AQ1331" s="10880"/>
      <c r="AR1331" s="10880"/>
      <c r="AS1331" s="10880"/>
      <c r="AT1331" s="10881"/>
      <c r="AU1331" s="10882"/>
      <c r="AV1331" s="10882"/>
      <c r="AW1331" s="10882"/>
      <c r="AX1331" s="10874"/>
      <c r="AY1331" s="10877"/>
      <c r="AZ1331" s="10882"/>
      <c r="BA1331" s="10874"/>
      <c r="BB1331" s="10876"/>
      <c r="BC1331" s="10877"/>
      <c r="BD1331" s="12997"/>
      <c r="BF1331" s="10858"/>
      <c r="BG1331" s="10858"/>
      <c r="BH1331" s="10858"/>
      <c r="BI1331" s="10858"/>
      <c r="BJ1331" s="10858"/>
      <c r="BK1331" s="13094"/>
      <c r="BL1331" s="13094"/>
      <c r="BM1331" s="10858"/>
      <c r="BN1331" s="10858"/>
    </row>
    <row r="1332" spans="1:66" ht="30" customHeight="1">
      <c r="A1332" s="10856">
        <v>852</v>
      </c>
      <c r="B1332" s="10857" t="s">
        <v>8238</v>
      </c>
      <c r="C1332" s="13610"/>
      <c r="D1332" s="12534" t="s">
        <v>86</v>
      </c>
      <c r="E1332" s="12535" t="s">
        <v>5166</v>
      </c>
      <c r="F1332" s="12502" t="s">
        <v>5166</v>
      </c>
      <c r="G1332" s="13042" t="s">
        <v>5187</v>
      </c>
      <c r="H1332" s="12973" t="s">
        <v>5201</v>
      </c>
      <c r="I1332" s="13045" t="s">
        <v>5191</v>
      </c>
      <c r="K1332" s="10874">
        <v>0</v>
      </c>
      <c r="L1332" s="10875"/>
      <c r="M1332" s="10875"/>
      <c r="N1332" s="12896" t="s">
        <v>10451</v>
      </c>
      <c r="O1332" s="12896" t="s">
        <v>10451</v>
      </c>
      <c r="P1332" s="10876" t="s">
        <v>10460</v>
      </c>
      <c r="Q1332" s="10878"/>
      <c r="R1332" s="10879"/>
      <c r="S1332" s="10880"/>
      <c r="T1332" s="10881"/>
      <c r="U1332" s="10878"/>
      <c r="V1332" s="10879">
        <v>0</v>
      </c>
      <c r="W1332" s="10881">
        <v>0</v>
      </c>
      <c r="X1332" s="10879">
        <v>0</v>
      </c>
      <c r="Y1332" s="10881">
        <v>0</v>
      </c>
      <c r="Z1332" s="10879"/>
      <c r="AA1332" s="10880"/>
      <c r="AB1332" s="10880"/>
      <c r="AC1332" s="10880"/>
      <c r="AD1332" s="10880"/>
      <c r="AE1332" s="10880"/>
      <c r="AF1332" s="10881"/>
      <c r="AG1332" s="10879"/>
      <c r="AH1332" s="10880"/>
      <c r="AI1332" s="10880"/>
      <c r="AJ1332" s="10880"/>
      <c r="AK1332" s="10880"/>
      <c r="AL1332" s="10880"/>
      <c r="AM1332" s="10880"/>
      <c r="AN1332" s="10881"/>
      <c r="AO1332" s="10879"/>
      <c r="AP1332" s="10880"/>
      <c r="AQ1332" s="10880"/>
      <c r="AR1332" s="10880"/>
      <c r="AS1332" s="10880"/>
      <c r="AT1332" s="10881"/>
      <c r="AU1332" s="10882"/>
      <c r="AV1332" s="10882"/>
      <c r="AW1332" s="10882"/>
      <c r="AX1332" s="10874"/>
      <c r="AY1332" s="10877"/>
      <c r="AZ1332" s="10882"/>
      <c r="BA1332" s="10874"/>
      <c r="BB1332" s="10876"/>
      <c r="BC1332" s="10877"/>
      <c r="BD1332" s="12997"/>
      <c r="BF1332" s="10858"/>
      <c r="BG1332" s="10858"/>
      <c r="BH1332" s="10858"/>
      <c r="BI1332" s="10858"/>
      <c r="BJ1332" s="10858"/>
      <c r="BK1332" s="13094"/>
      <c r="BL1332" s="13094"/>
      <c r="BM1332" s="10858"/>
      <c r="BN1332" s="10858"/>
    </row>
    <row r="1333" spans="1:66" ht="30" customHeight="1">
      <c r="A1333" s="10856">
        <v>853</v>
      </c>
      <c r="B1333" s="10857" t="s">
        <v>8239</v>
      </c>
      <c r="C1333" s="13610"/>
      <c r="D1333" s="12534" t="s">
        <v>86</v>
      </c>
      <c r="E1333" s="12535" t="s">
        <v>5220</v>
      </c>
      <c r="F1333" s="12502" t="s">
        <v>5166</v>
      </c>
      <c r="G1333" s="13042" t="s">
        <v>5204</v>
      </c>
      <c r="H1333" s="12973" t="s">
        <v>5218</v>
      </c>
      <c r="I1333" s="13045" t="s">
        <v>5208</v>
      </c>
      <c r="K1333" s="10874">
        <v>0</v>
      </c>
      <c r="L1333" s="10875"/>
      <c r="M1333" s="10875"/>
      <c r="N1333" s="12896" t="s">
        <v>10451</v>
      </c>
      <c r="O1333" s="12896" t="s">
        <v>10451</v>
      </c>
      <c r="P1333" s="10877" t="s">
        <v>10461</v>
      </c>
      <c r="Q1333" s="10878"/>
      <c r="R1333" s="10879"/>
      <c r="S1333" s="10880"/>
      <c r="T1333" s="10881"/>
      <c r="U1333" s="10878"/>
      <c r="V1333" s="10879">
        <v>0</v>
      </c>
      <c r="W1333" s="10881">
        <v>0</v>
      </c>
      <c r="X1333" s="10879">
        <v>0</v>
      </c>
      <c r="Y1333" s="10881">
        <v>0</v>
      </c>
      <c r="Z1333" s="10879"/>
      <c r="AA1333" s="10880"/>
      <c r="AB1333" s="10880"/>
      <c r="AC1333" s="10880"/>
      <c r="AD1333" s="10880"/>
      <c r="AE1333" s="10870"/>
      <c r="AF1333" s="10871"/>
      <c r="AG1333" s="10869"/>
      <c r="AH1333" s="10870"/>
      <c r="AI1333" s="10870"/>
      <c r="AJ1333" s="10870"/>
      <c r="AK1333" s="10870"/>
      <c r="AL1333" s="10870"/>
      <c r="AM1333" s="10870"/>
      <c r="AN1333" s="10871"/>
      <c r="AO1333" s="10869"/>
      <c r="AP1333" s="10870"/>
      <c r="AQ1333" s="10870"/>
      <c r="AR1333" s="10870"/>
      <c r="AS1333" s="10870"/>
      <c r="AT1333" s="10871"/>
      <c r="AU1333" s="10872"/>
      <c r="AV1333" s="10872"/>
      <c r="AW1333" s="10872"/>
      <c r="AX1333" s="10874"/>
      <c r="AY1333" s="10877"/>
      <c r="AZ1333" s="10882"/>
      <c r="BA1333" s="10874"/>
      <c r="BB1333" s="10876"/>
      <c r="BC1333" s="10877"/>
      <c r="BD1333" s="12997"/>
      <c r="BF1333" s="10858"/>
      <c r="BG1333" s="10858"/>
      <c r="BH1333" s="10858"/>
      <c r="BI1333" s="10858"/>
      <c r="BJ1333" s="10858"/>
      <c r="BK1333" s="13094"/>
      <c r="BL1333" s="13094"/>
      <c r="BM1333" s="10858"/>
      <c r="BN1333" s="10858"/>
    </row>
    <row r="1334" spans="1:66" ht="30" customHeight="1">
      <c r="A1334" s="10856">
        <v>854</v>
      </c>
      <c r="B1334" s="10857" t="s">
        <v>8240</v>
      </c>
      <c r="C1334" s="13610"/>
      <c r="D1334" s="12534" t="s">
        <v>86</v>
      </c>
      <c r="E1334" s="12535" t="s">
        <v>5220</v>
      </c>
      <c r="F1334" s="12502" t="s">
        <v>5166</v>
      </c>
      <c r="G1334" s="13042" t="s">
        <v>5222</v>
      </c>
      <c r="H1334" s="12973" t="s">
        <v>5236</v>
      </c>
      <c r="I1334" s="13045" t="s">
        <v>5226</v>
      </c>
      <c r="K1334" s="10874">
        <v>1</v>
      </c>
      <c r="L1334" s="10875"/>
      <c r="M1334" s="10875"/>
      <c r="N1334" s="10876" t="s">
        <v>10462</v>
      </c>
      <c r="O1334" s="12896" t="s">
        <v>10463</v>
      </c>
      <c r="P1334" s="10877" t="s">
        <v>10464</v>
      </c>
      <c r="Q1334" s="10868"/>
      <c r="R1334" s="10869"/>
      <c r="S1334" s="10870"/>
      <c r="T1334" s="10871"/>
      <c r="U1334" s="10868"/>
      <c r="V1334" s="10869">
        <v>0</v>
      </c>
      <c r="W1334" s="10871">
        <v>0</v>
      </c>
      <c r="X1334" s="10869">
        <v>0</v>
      </c>
      <c r="Y1334" s="10871">
        <v>0</v>
      </c>
      <c r="Z1334" s="10869"/>
      <c r="AA1334" s="10870"/>
      <c r="AB1334" s="10870"/>
      <c r="AC1334" s="10870"/>
      <c r="AD1334" s="10870"/>
      <c r="AE1334" s="10870"/>
      <c r="AF1334" s="10871"/>
      <c r="AG1334" s="10869"/>
      <c r="AH1334" s="10870"/>
      <c r="AI1334" s="10870"/>
      <c r="AJ1334" s="10870"/>
      <c r="AK1334" s="10870"/>
      <c r="AL1334" s="10870"/>
      <c r="AM1334" s="10870"/>
      <c r="AN1334" s="10871"/>
      <c r="AO1334" s="10869"/>
      <c r="AP1334" s="10870"/>
      <c r="AQ1334" s="10870"/>
      <c r="AR1334" s="10870"/>
      <c r="AS1334" s="10870"/>
      <c r="AT1334" s="10871"/>
      <c r="AU1334" s="10872"/>
      <c r="AV1334" s="10872"/>
      <c r="AW1334" s="10872"/>
      <c r="AX1334" s="10864"/>
      <c r="AY1334" s="10867"/>
      <c r="AZ1334" s="10872"/>
      <c r="BA1334" s="10864"/>
      <c r="BB1334" s="10866"/>
      <c r="BC1334" s="10867"/>
      <c r="BD1334" s="10873"/>
      <c r="BF1334" s="10858"/>
      <c r="BG1334" s="10858"/>
      <c r="BH1334" s="10858"/>
      <c r="BI1334" s="10858"/>
      <c r="BJ1334" s="10858"/>
      <c r="BK1334" s="13094"/>
      <c r="BL1334" s="13094"/>
      <c r="BM1334" s="10858"/>
      <c r="BN1334" s="10858"/>
    </row>
    <row r="1335" spans="1:66" ht="30" customHeight="1">
      <c r="A1335" s="13560">
        <v>855</v>
      </c>
      <c r="B1335" s="14276" t="s">
        <v>8241</v>
      </c>
      <c r="C1335" s="13610"/>
      <c r="D1335" s="12534" t="s">
        <v>86</v>
      </c>
      <c r="E1335" s="12535" t="s">
        <v>5220</v>
      </c>
      <c r="F1335" s="11675"/>
      <c r="G1335" s="14277" t="s">
        <v>5239</v>
      </c>
      <c r="H1335" s="13388" t="s">
        <v>5248</v>
      </c>
      <c r="I1335" s="14307" t="s">
        <v>5242</v>
      </c>
      <c r="K1335" s="10966">
        <v>56</v>
      </c>
      <c r="L1335" s="10649"/>
      <c r="M1335" s="10649"/>
      <c r="N1335" s="10972" t="s">
        <v>10465</v>
      </c>
      <c r="O1335" s="10972" t="s">
        <v>10466</v>
      </c>
      <c r="P1335" s="10973" t="s">
        <v>10467</v>
      </c>
      <c r="Q1335" s="10974"/>
      <c r="R1335" s="10975"/>
      <c r="S1335" s="10976"/>
      <c r="T1335" s="10977"/>
      <c r="U1335" s="10974"/>
      <c r="V1335" s="10975">
        <v>22</v>
      </c>
      <c r="W1335" s="10977">
        <v>82</v>
      </c>
      <c r="X1335" s="10975">
        <v>10</v>
      </c>
      <c r="Y1335" s="10977">
        <v>20</v>
      </c>
      <c r="Z1335" s="10975"/>
      <c r="AA1335" s="10976"/>
      <c r="AB1335" s="10976"/>
      <c r="AC1335" s="10976"/>
      <c r="AD1335" s="10976"/>
      <c r="AE1335" s="10976">
        <v>104</v>
      </c>
      <c r="AF1335" s="10977"/>
      <c r="AG1335" s="10975">
        <v>104</v>
      </c>
      <c r="AH1335" s="10976"/>
      <c r="AI1335" s="10976"/>
      <c r="AJ1335" s="10976"/>
      <c r="AK1335" s="10976"/>
      <c r="AL1335" s="10976"/>
      <c r="AM1335" s="10976"/>
      <c r="AN1335" s="10977"/>
      <c r="AO1335" s="10975">
        <v>104</v>
      </c>
      <c r="AP1335" s="10976"/>
      <c r="AQ1335" s="10976"/>
      <c r="AR1335" s="10976"/>
      <c r="AS1335" s="10976"/>
      <c r="AT1335" s="10977"/>
      <c r="AU1335" s="10978" t="s">
        <v>10468</v>
      </c>
      <c r="AV1335" s="10978" t="s">
        <v>10469</v>
      </c>
      <c r="AW1335" s="10969">
        <v>104</v>
      </c>
      <c r="AX1335" s="10970" t="s">
        <v>10470</v>
      </c>
      <c r="AY1335" s="10973" t="s">
        <v>10471</v>
      </c>
      <c r="AZ1335" s="10978"/>
      <c r="BA1335" s="10970"/>
      <c r="BB1335" s="10972"/>
      <c r="BC1335" s="10973"/>
      <c r="BD1335" s="10979"/>
      <c r="BF1335" s="14553"/>
      <c r="BG1335" s="14553"/>
      <c r="BH1335" s="14553"/>
      <c r="BI1335" s="14553"/>
      <c r="BJ1335" s="14553"/>
      <c r="BK1335" s="13094"/>
      <c r="BL1335" s="14553"/>
      <c r="BM1335" s="14553"/>
      <c r="BN1335" s="14553"/>
    </row>
    <row r="1336" spans="1:66" ht="30" hidden="1" customHeight="1">
      <c r="A1336" s="13560"/>
      <c r="B1336" s="14276"/>
      <c r="C1336" s="13610"/>
      <c r="D1336" s="12534" t="s">
        <v>10194</v>
      </c>
      <c r="E1336" s="12535"/>
      <c r="F1336" s="12535" t="s">
        <v>5250</v>
      </c>
      <c r="G1336" s="14277"/>
      <c r="H1336" s="13388"/>
      <c r="I1336" s="14307"/>
      <c r="K1336" s="8431">
        <v>35</v>
      </c>
      <c r="L1336" s="8443">
        <v>1</v>
      </c>
      <c r="M1336" s="8443">
        <v>1</v>
      </c>
      <c r="N1336" s="8433" t="s">
        <v>10472</v>
      </c>
      <c r="O1336" s="8433" t="s">
        <v>10466</v>
      </c>
      <c r="P1336" s="8434" t="s">
        <v>10473</v>
      </c>
      <c r="Q1336" s="7967"/>
      <c r="R1336" s="7968"/>
      <c r="S1336" s="7969"/>
      <c r="T1336" s="7970"/>
      <c r="U1336" s="7967"/>
      <c r="V1336" s="7968">
        <v>7</v>
      </c>
      <c r="W1336" s="7970">
        <v>33</v>
      </c>
      <c r="X1336" s="7968">
        <v>40</v>
      </c>
      <c r="Y1336" s="7970"/>
      <c r="Z1336" s="7968"/>
      <c r="AA1336" s="7969"/>
      <c r="AB1336" s="7969"/>
      <c r="AC1336" s="7969"/>
      <c r="AD1336" s="7969"/>
      <c r="AE1336" s="7969">
        <v>40</v>
      </c>
      <c r="AF1336" s="7970"/>
      <c r="AG1336" s="7968">
        <v>40</v>
      </c>
      <c r="AH1336" s="7969"/>
      <c r="AI1336" s="7969"/>
      <c r="AJ1336" s="7969"/>
      <c r="AK1336" s="7969"/>
      <c r="AL1336" s="7969"/>
      <c r="AM1336" s="7969"/>
      <c r="AN1336" s="7970"/>
      <c r="AO1336" s="7968">
        <v>40</v>
      </c>
      <c r="AP1336" s="7969"/>
      <c r="AQ1336" s="7969"/>
      <c r="AR1336" s="7969"/>
      <c r="AS1336" s="7969"/>
      <c r="AT1336" s="7970"/>
      <c r="AU1336" s="8435" t="s">
        <v>10474</v>
      </c>
      <c r="AV1336" s="8435" t="s">
        <v>10475</v>
      </c>
      <c r="AW1336" s="8450">
        <v>40</v>
      </c>
      <c r="AX1336" s="8432" t="s">
        <v>10476</v>
      </c>
      <c r="AY1336" s="8434" t="s">
        <v>10477</v>
      </c>
      <c r="AZ1336" s="8435"/>
      <c r="BA1336" s="8432"/>
      <c r="BB1336" s="8433"/>
      <c r="BC1336" s="8434"/>
      <c r="BD1336" s="8436"/>
      <c r="BF1336" s="14553"/>
      <c r="BG1336" s="14553"/>
      <c r="BH1336" s="14553"/>
      <c r="BI1336" s="14553"/>
      <c r="BJ1336" s="14553"/>
      <c r="BK1336" s="10858"/>
      <c r="BL1336" s="14553"/>
      <c r="BM1336" s="14553"/>
      <c r="BN1336" s="14553"/>
    </row>
    <row r="1337" spans="1:66" ht="22.5" hidden="1" customHeight="1">
      <c r="A1337" s="13560">
        <v>856</v>
      </c>
      <c r="B1337" s="14276" t="s">
        <v>8242</v>
      </c>
      <c r="C1337" s="13610"/>
      <c r="D1337" s="12534" t="s">
        <v>10063</v>
      </c>
      <c r="E1337" s="12535" t="s">
        <v>144</v>
      </c>
      <c r="F1337" s="11675"/>
      <c r="G1337" s="14277" t="s">
        <v>5257</v>
      </c>
      <c r="H1337" s="13388" t="s">
        <v>5262</v>
      </c>
      <c r="I1337" s="12507"/>
      <c r="K1337" s="10786">
        <v>1</v>
      </c>
      <c r="L1337" s="10665">
        <v>0.73299999999999998</v>
      </c>
      <c r="M1337" s="10665">
        <v>1</v>
      </c>
      <c r="N1337" s="10981" t="s">
        <v>10478</v>
      </c>
      <c r="O1337" s="10981" t="s">
        <v>10479</v>
      </c>
      <c r="P1337" s="10982" t="s">
        <v>10473</v>
      </c>
      <c r="Q1337" s="10817"/>
      <c r="R1337" s="10818"/>
      <c r="S1337" s="10819"/>
      <c r="T1337" s="10820"/>
      <c r="U1337" s="10817"/>
      <c r="V1337" s="10818">
        <v>18</v>
      </c>
      <c r="W1337" s="10820">
        <v>57</v>
      </c>
      <c r="X1337" s="10818">
        <v>27</v>
      </c>
      <c r="Y1337" s="10820">
        <v>30</v>
      </c>
      <c r="Z1337" s="10818"/>
      <c r="AA1337" s="10819"/>
      <c r="AB1337" s="10819"/>
      <c r="AC1337" s="10819"/>
      <c r="AD1337" s="10819"/>
      <c r="AE1337" s="10819">
        <v>75</v>
      </c>
      <c r="AF1337" s="10820"/>
      <c r="AG1337" s="10818">
        <v>75</v>
      </c>
      <c r="AH1337" s="10819"/>
      <c r="AI1337" s="10819"/>
      <c r="AJ1337" s="10819"/>
      <c r="AK1337" s="10819"/>
      <c r="AL1337" s="10819"/>
      <c r="AM1337" s="10819"/>
      <c r="AN1337" s="10820"/>
      <c r="AO1337" s="10818">
        <v>75</v>
      </c>
      <c r="AP1337" s="10819"/>
      <c r="AQ1337" s="10819"/>
      <c r="AR1337" s="10819"/>
      <c r="AS1337" s="10819"/>
      <c r="AT1337" s="10820"/>
      <c r="AU1337" s="10983" t="s">
        <v>10480</v>
      </c>
      <c r="AV1337" s="10983" t="s">
        <v>10481</v>
      </c>
      <c r="AW1337" s="10802">
        <v>75</v>
      </c>
      <c r="AX1337" s="10980" t="s">
        <v>10482</v>
      </c>
      <c r="AY1337" s="10980" t="s">
        <v>10483</v>
      </c>
      <c r="AZ1337" s="10983"/>
      <c r="BA1337" s="10980"/>
      <c r="BB1337" s="10981"/>
      <c r="BC1337" s="10982"/>
      <c r="BD1337" s="10984"/>
      <c r="BF1337" s="14553"/>
      <c r="BG1337" s="14553"/>
      <c r="BH1337" s="14553"/>
      <c r="BI1337" s="14553"/>
      <c r="BJ1337" s="14553"/>
      <c r="BK1337" s="10858"/>
      <c r="BL1337" s="14553"/>
      <c r="BM1337" s="14553"/>
      <c r="BN1337" s="14553"/>
    </row>
    <row r="1338" spans="1:66" ht="22.5" hidden="1" customHeight="1">
      <c r="A1338" s="13560"/>
      <c r="B1338" s="14276"/>
      <c r="C1338" s="13610"/>
      <c r="D1338" s="12534" t="s">
        <v>208</v>
      </c>
      <c r="E1338" s="12535"/>
      <c r="F1338" s="12535" t="s">
        <v>208</v>
      </c>
      <c r="G1338" s="14277"/>
      <c r="H1338" s="13388"/>
      <c r="I1338" s="12507"/>
      <c r="K1338" s="10966">
        <v>0</v>
      </c>
      <c r="L1338" s="10649">
        <v>0</v>
      </c>
      <c r="M1338" s="10649">
        <v>1</v>
      </c>
      <c r="N1338" s="10972" t="s">
        <v>10451</v>
      </c>
      <c r="O1338" s="10972"/>
      <c r="P1338" s="10973" t="s">
        <v>10484</v>
      </c>
      <c r="Q1338" s="10974"/>
      <c r="R1338" s="10975"/>
      <c r="S1338" s="10976"/>
      <c r="T1338" s="10977"/>
      <c r="U1338" s="10974"/>
      <c r="V1338" s="10975">
        <v>0</v>
      </c>
      <c r="W1338" s="10977">
        <v>0</v>
      </c>
      <c r="X1338" s="10975">
        <v>0</v>
      </c>
      <c r="Y1338" s="10977">
        <v>0</v>
      </c>
      <c r="Z1338" s="10975"/>
      <c r="AA1338" s="10976"/>
      <c r="AB1338" s="10976"/>
      <c r="AC1338" s="10976"/>
      <c r="AD1338" s="10976"/>
      <c r="AE1338" s="10976"/>
      <c r="AF1338" s="10977"/>
      <c r="AG1338" s="10975"/>
      <c r="AH1338" s="10976"/>
      <c r="AI1338" s="10976"/>
      <c r="AJ1338" s="10976"/>
      <c r="AK1338" s="10976"/>
      <c r="AL1338" s="10976"/>
      <c r="AM1338" s="10976"/>
      <c r="AN1338" s="10977"/>
      <c r="AO1338" s="10975"/>
      <c r="AP1338" s="10976"/>
      <c r="AQ1338" s="10976"/>
      <c r="AR1338" s="10976"/>
      <c r="AS1338" s="10976"/>
      <c r="AT1338" s="10977"/>
      <c r="AU1338" s="10978"/>
      <c r="AV1338" s="10978"/>
      <c r="AW1338" s="10978"/>
      <c r="AX1338" s="10970"/>
      <c r="AY1338" s="10973"/>
      <c r="AZ1338" s="10978"/>
      <c r="BA1338" s="10970"/>
      <c r="BB1338" s="10972"/>
      <c r="BC1338" s="10973"/>
      <c r="BD1338" s="10979"/>
      <c r="BF1338" s="14553"/>
      <c r="BG1338" s="14553"/>
      <c r="BH1338" s="14553"/>
      <c r="BI1338" s="14553"/>
      <c r="BJ1338" s="14553"/>
      <c r="BK1338" s="10858"/>
      <c r="BL1338" s="14553"/>
      <c r="BM1338" s="14553"/>
      <c r="BN1338" s="14553"/>
    </row>
    <row r="1339" spans="1:66" ht="22.5" hidden="1" customHeight="1">
      <c r="A1339" s="13560"/>
      <c r="B1339" s="14276"/>
      <c r="C1339" s="13610"/>
      <c r="D1339" s="12534" t="s">
        <v>8644</v>
      </c>
      <c r="E1339" s="12535"/>
      <c r="F1339" s="12535" t="s">
        <v>10288</v>
      </c>
      <c r="G1339" s="14277"/>
      <c r="H1339" s="13388"/>
      <c r="I1339" s="12507"/>
      <c r="K1339" s="10874"/>
      <c r="L1339" s="10875"/>
      <c r="M1339" s="10875"/>
      <c r="N1339" s="10876"/>
      <c r="O1339" s="10876"/>
      <c r="P1339" s="10877"/>
      <c r="Q1339" s="10878"/>
      <c r="R1339" s="10879"/>
      <c r="S1339" s="10880"/>
      <c r="T1339" s="10881"/>
      <c r="U1339" s="10878"/>
      <c r="V1339" s="10879"/>
      <c r="W1339" s="10881"/>
      <c r="X1339" s="10879"/>
      <c r="Y1339" s="10881"/>
      <c r="Z1339" s="10879"/>
      <c r="AA1339" s="10880"/>
      <c r="AB1339" s="10880"/>
      <c r="AC1339" s="10880"/>
      <c r="AD1339" s="10880"/>
      <c r="AE1339" s="10880"/>
      <c r="AF1339" s="10881"/>
      <c r="AG1339" s="10879"/>
      <c r="AH1339" s="10880"/>
      <c r="AI1339" s="10880"/>
      <c r="AJ1339" s="10880"/>
      <c r="AK1339" s="10880"/>
      <c r="AL1339" s="10880"/>
      <c r="AM1339" s="10880"/>
      <c r="AN1339" s="10881"/>
      <c r="AO1339" s="10879"/>
      <c r="AP1339" s="10880"/>
      <c r="AQ1339" s="10880"/>
      <c r="AR1339" s="10880"/>
      <c r="AS1339" s="10880"/>
      <c r="AT1339" s="10881"/>
      <c r="AU1339" s="10882"/>
      <c r="AV1339" s="10882"/>
      <c r="AW1339" s="10882"/>
      <c r="AX1339" s="10874"/>
      <c r="AY1339" s="10877"/>
      <c r="AZ1339" s="10882"/>
      <c r="BA1339" s="10874"/>
      <c r="BB1339" s="10876"/>
      <c r="BC1339" s="10877"/>
      <c r="BD1339" s="10856"/>
      <c r="BF1339" s="14553"/>
      <c r="BG1339" s="14553"/>
      <c r="BH1339" s="14553"/>
      <c r="BI1339" s="14553"/>
      <c r="BJ1339" s="14553"/>
      <c r="BK1339" s="10858"/>
      <c r="BL1339" s="14553"/>
      <c r="BM1339" s="14553"/>
      <c r="BN1339" s="14553"/>
    </row>
    <row r="1340" spans="1:66" ht="22.5" hidden="1" customHeight="1">
      <c r="A1340" s="13560"/>
      <c r="B1340" s="14276"/>
      <c r="C1340" s="13610"/>
      <c r="D1340" s="12534" t="s">
        <v>10186</v>
      </c>
      <c r="E1340" s="12535"/>
      <c r="F1340" s="12535" t="s">
        <v>10289</v>
      </c>
      <c r="G1340" s="14277"/>
      <c r="H1340" s="13388"/>
      <c r="I1340" s="12507"/>
      <c r="K1340" s="10874"/>
      <c r="L1340" s="10875"/>
      <c r="M1340" s="10875"/>
      <c r="N1340" s="10876"/>
      <c r="O1340" s="10876"/>
      <c r="P1340" s="10877"/>
      <c r="Q1340" s="10878"/>
      <c r="R1340" s="10879"/>
      <c r="S1340" s="10880"/>
      <c r="T1340" s="10881"/>
      <c r="U1340" s="10878"/>
      <c r="V1340" s="10879"/>
      <c r="W1340" s="10881"/>
      <c r="X1340" s="10879"/>
      <c r="Y1340" s="10881"/>
      <c r="Z1340" s="10879"/>
      <c r="AA1340" s="10880"/>
      <c r="AB1340" s="10880"/>
      <c r="AC1340" s="10880"/>
      <c r="AD1340" s="10880"/>
      <c r="AE1340" s="10880"/>
      <c r="AF1340" s="10881"/>
      <c r="AG1340" s="10879"/>
      <c r="AH1340" s="10880"/>
      <c r="AI1340" s="10880"/>
      <c r="AJ1340" s="10880"/>
      <c r="AK1340" s="10880"/>
      <c r="AL1340" s="10880"/>
      <c r="AM1340" s="10880"/>
      <c r="AN1340" s="10881"/>
      <c r="AO1340" s="10879"/>
      <c r="AP1340" s="10880"/>
      <c r="AQ1340" s="10880"/>
      <c r="AR1340" s="10880"/>
      <c r="AS1340" s="10880"/>
      <c r="AT1340" s="10881"/>
      <c r="AU1340" s="10882"/>
      <c r="AV1340" s="10882"/>
      <c r="AW1340" s="10882"/>
      <c r="AX1340" s="10874"/>
      <c r="AY1340" s="10877"/>
      <c r="AZ1340" s="10882"/>
      <c r="BA1340" s="10874"/>
      <c r="BB1340" s="10876"/>
      <c r="BC1340" s="10877"/>
      <c r="BD1340" s="10856"/>
      <c r="BF1340" s="14553"/>
      <c r="BG1340" s="14553"/>
      <c r="BH1340" s="14553"/>
      <c r="BI1340" s="14553"/>
      <c r="BJ1340" s="14553"/>
      <c r="BK1340" s="10858"/>
      <c r="BL1340" s="14553"/>
      <c r="BM1340" s="14553"/>
      <c r="BN1340" s="14553"/>
    </row>
    <row r="1341" spans="1:66" ht="30" hidden="1" customHeight="1">
      <c r="A1341" s="13560">
        <v>857</v>
      </c>
      <c r="B1341" s="14276" t="s">
        <v>8243</v>
      </c>
      <c r="C1341" s="13610"/>
      <c r="D1341" s="12534" t="s">
        <v>10290</v>
      </c>
      <c r="E1341" s="14310" t="s">
        <v>5284</v>
      </c>
      <c r="F1341" s="14309" t="s">
        <v>5285</v>
      </c>
      <c r="G1341" s="14277" t="s">
        <v>5268</v>
      </c>
      <c r="H1341" s="13388" t="s">
        <v>5282</v>
      </c>
      <c r="I1341" s="14307" t="s">
        <v>5272</v>
      </c>
      <c r="K1341" s="10864"/>
      <c r="L1341" s="10865"/>
      <c r="M1341" s="10865"/>
      <c r="N1341" s="10866"/>
      <c r="O1341" s="10866"/>
      <c r="P1341" s="10867"/>
      <c r="Q1341" s="10868"/>
      <c r="R1341" s="10869"/>
      <c r="S1341" s="10870"/>
      <c r="T1341" s="10871"/>
      <c r="U1341" s="10868"/>
      <c r="V1341" s="10869"/>
      <c r="W1341" s="10871"/>
      <c r="X1341" s="10869"/>
      <c r="Y1341" s="10871"/>
      <c r="Z1341" s="10869"/>
      <c r="AA1341" s="10870"/>
      <c r="AB1341" s="10870"/>
      <c r="AC1341" s="10870"/>
      <c r="AD1341" s="10870"/>
      <c r="AE1341" s="10870"/>
      <c r="AF1341" s="10871"/>
      <c r="AG1341" s="10869"/>
      <c r="AH1341" s="10870"/>
      <c r="AI1341" s="10870"/>
      <c r="AJ1341" s="10870"/>
      <c r="AK1341" s="10870"/>
      <c r="AL1341" s="10870"/>
      <c r="AM1341" s="10870"/>
      <c r="AN1341" s="10871"/>
      <c r="AO1341" s="10869"/>
      <c r="AP1341" s="10870"/>
      <c r="AQ1341" s="10870"/>
      <c r="AR1341" s="10870"/>
      <c r="AS1341" s="10870"/>
      <c r="AT1341" s="10871"/>
      <c r="AU1341" s="10872"/>
      <c r="AV1341" s="10872"/>
      <c r="AW1341" s="10872"/>
      <c r="AX1341" s="10864"/>
      <c r="AY1341" s="10867"/>
      <c r="AZ1341" s="10872"/>
      <c r="BA1341" s="10864"/>
      <c r="BB1341" s="10866"/>
      <c r="BC1341" s="10867"/>
      <c r="BD1341" s="10873"/>
      <c r="BF1341" s="14553"/>
      <c r="BG1341" s="14553"/>
      <c r="BH1341" s="14553"/>
      <c r="BI1341" s="14553"/>
      <c r="BJ1341" s="14553"/>
      <c r="BK1341" s="10858"/>
      <c r="BL1341" s="14553"/>
      <c r="BM1341" s="14553"/>
      <c r="BN1341" s="14553"/>
    </row>
    <row r="1342" spans="1:66" ht="30" hidden="1" customHeight="1">
      <c r="A1342" s="13560"/>
      <c r="B1342" s="14276"/>
      <c r="C1342" s="13610"/>
      <c r="D1342" s="12534" t="s">
        <v>10063</v>
      </c>
      <c r="E1342" s="14310"/>
      <c r="F1342" s="14309"/>
      <c r="G1342" s="14277"/>
      <c r="H1342" s="13388"/>
      <c r="I1342" s="14307"/>
      <c r="K1342" s="10864"/>
      <c r="L1342" s="10865"/>
      <c r="M1342" s="10865"/>
      <c r="N1342" s="10866"/>
      <c r="O1342" s="10866"/>
      <c r="P1342" s="10867"/>
      <c r="Q1342" s="10868"/>
      <c r="R1342" s="10869"/>
      <c r="S1342" s="10870"/>
      <c r="T1342" s="10871"/>
      <c r="U1342" s="10868"/>
      <c r="V1342" s="10869"/>
      <c r="W1342" s="10871"/>
      <c r="X1342" s="10869"/>
      <c r="Y1342" s="10871"/>
      <c r="Z1342" s="10869"/>
      <c r="AA1342" s="10870"/>
      <c r="AB1342" s="10870"/>
      <c r="AC1342" s="10870"/>
      <c r="AD1342" s="10870"/>
      <c r="AE1342" s="10870"/>
      <c r="AF1342" s="10871"/>
      <c r="AG1342" s="10869"/>
      <c r="AH1342" s="10870"/>
      <c r="AI1342" s="10870"/>
      <c r="AJ1342" s="10870"/>
      <c r="AK1342" s="10870"/>
      <c r="AL1342" s="10870"/>
      <c r="AM1342" s="10870"/>
      <c r="AN1342" s="10871"/>
      <c r="AO1342" s="10869"/>
      <c r="AP1342" s="10870"/>
      <c r="AQ1342" s="10870"/>
      <c r="AR1342" s="10870"/>
      <c r="AS1342" s="10870"/>
      <c r="AT1342" s="10871"/>
      <c r="AU1342" s="10872"/>
      <c r="AV1342" s="10872"/>
      <c r="AW1342" s="10872"/>
      <c r="AX1342" s="10864"/>
      <c r="AY1342" s="10867"/>
      <c r="AZ1342" s="10872"/>
      <c r="BA1342" s="10864"/>
      <c r="BB1342" s="10866"/>
      <c r="BC1342" s="10867"/>
      <c r="BD1342" s="10873"/>
      <c r="BF1342" s="14553"/>
      <c r="BG1342" s="14553"/>
      <c r="BH1342" s="14553"/>
      <c r="BI1342" s="14553"/>
      <c r="BJ1342" s="14553"/>
      <c r="BK1342" s="10858"/>
      <c r="BL1342" s="14553"/>
      <c r="BM1342" s="14553"/>
      <c r="BN1342" s="14553"/>
    </row>
    <row r="1343" spans="1:66" ht="30" hidden="1" customHeight="1">
      <c r="A1343" s="10856">
        <v>858</v>
      </c>
      <c r="B1343" s="10857" t="s">
        <v>8244</v>
      </c>
      <c r="C1343" s="13610"/>
      <c r="D1343" s="12534" t="s">
        <v>10063</v>
      </c>
      <c r="E1343" s="12535" t="s">
        <v>144</v>
      </c>
      <c r="F1343" s="12535" t="s">
        <v>545</v>
      </c>
      <c r="G1343" s="12503" t="s">
        <v>5288</v>
      </c>
      <c r="H1343" s="12504" t="s">
        <v>5293</v>
      </c>
      <c r="I1343" s="12507"/>
      <c r="K1343" s="10874"/>
      <c r="L1343" s="10875"/>
      <c r="M1343" s="10875"/>
      <c r="N1343" s="10876"/>
      <c r="O1343" s="10876"/>
      <c r="P1343" s="10877"/>
      <c r="Q1343" s="10878"/>
      <c r="R1343" s="10879"/>
      <c r="S1343" s="10880"/>
      <c r="T1343" s="10881"/>
      <c r="U1343" s="10878"/>
      <c r="V1343" s="10879"/>
      <c r="W1343" s="10881"/>
      <c r="X1343" s="10879"/>
      <c r="Y1343" s="10881"/>
      <c r="Z1343" s="10879"/>
      <c r="AA1343" s="10880"/>
      <c r="AB1343" s="10880"/>
      <c r="AC1343" s="10880"/>
      <c r="AD1343" s="10880"/>
      <c r="AE1343" s="10880"/>
      <c r="AF1343" s="10881"/>
      <c r="AG1343" s="10879"/>
      <c r="AH1343" s="10880"/>
      <c r="AI1343" s="10880"/>
      <c r="AJ1343" s="10880"/>
      <c r="AK1343" s="10880"/>
      <c r="AL1343" s="10880"/>
      <c r="AM1343" s="10880"/>
      <c r="AN1343" s="10881"/>
      <c r="AO1343" s="10879"/>
      <c r="AP1343" s="10880"/>
      <c r="AQ1343" s="10880"/>
      <c r="AR1343" s="10880"/>
      <c r="AS1343" s="10880"/>
      <c r="AT1343" s="10881"/>
      <c r="AU1343" s="10882"/>
      <c r="AV1343" s="10882"/>
      <c r="AW1343" s="10882"/>
      <c r="AX1343" s="10874"/>
      <c r="AY1343" s="10877"/>
      <c r="AZ1343" s="10882"/>
      <c r="BA1343" s="10874"/>
      <c r="BB1343" s="10876"/>
      <c r="BC1343" s="10877"/>
      <c r="BD1343" s="10856"/>
      <c r="BF1343" s="10858"/>
      <c r="BG1343" s="10858"/>
      <c r="BH1343" s="10858"/>
      <c r="BI1343" s="10858"/>
      <c r="BJ1343" s="10858"/>
      <c r="BK1343" s="10858"/>
      <c r="BL1343" s="10858"/>
      <c r="BM1343" s="10858"/>
      <c r="BN1343" s="10858"/>
    </row>
    <row r="1344" spans="1:66" ht="30" hidden="1" customHeight="1">
      <c r="A1344" s="13560">
        <v>859</v>
      </c>
      <c r="B1344" s="14276" t="s">
        <v>8245</v>
      </c>
      <c r="C1344" s="13610"/>
      <c r="D1344" s="12534" t="s">
        <v>10063</v>
      </c>
      <c r="E1344" s="12535" t="s">
        <v>724</v>
      </c>
      <c r="F1344" s="11675"/>
      <c r="G1344" s="14277" t="s">
        <v>5296</v>
      </c>
      <c r="H1344" s="13388" t="s">
        <v>5301</v>
      </c>
      <c r="I1344" s="12507"/>
      <c r="K1344" s="10874"/>
      <c r="L1344" s="10875"/>
      <c r="M1344" s="10875"/>
      <c r="N1344" s="10876"/>
      <c r="O1344" s="10876"/>
      <c r="P1344" s="10877"/>
      <c r="Q1344" s="10878"/>
      <c r="R1344" s="10879"/>
      <c r="S1344" s="10880"/>
      <c r="T1344" s="10881"/>
      <c r="U1344" s="10878"/>
      <c r="V1344" s="10879"/>
      <c r="W1344" s="10881"/>
      <c r="X1344" s="10879"/>
      <c r="Y1344" s="10881"/>
      <c r="Z1344" s="10879"/>
      <c r="AA1344" s="10880"/>
      <c r="AB1344" s="10880"/>
      <c r="AC1344" s="10880"/>
      <c r="AD1344" s="10880"/>
      <c r="AE1344" s="10880"/>
      <c r="AF1344" s="10881"/>
      <c r="AG1344" s="10879"/>
      <c r="AH1344" s="10880"/>
      <c r="AI1344" s="10880"/>
      <c r="AJ1344" s="10880"/>
      <c r="AK1344" s="10880"/>
      <c r="AL1344" s="10880"/>
      <c r="AM1344" s="10880"/>
      <c r="AN1344" s="10881"/>
      <c r="AO1344" s="10879"/>
      <c r="AP1344" s="10880"/>
      <c r="AQ1344" s="10880"/>
      <c r="AR1344" s="10880"/>
      <c r="AS1344" s="10880"/>
      <c r="AT1344" s="10881"/>
      <c r="AU1344" s="10882"/>
      <c r="AV1344" s="10882"/>
      <c r="AW1344" s="10882"/>
      <c r="AX1344" s="10874"/>
      <c r="AY1344" s="10877"/>
      <c r="AZ1344" s="10882"/>
      <c r="BA1344" s="10874"/>
      <c r="BB1344" s="10876"/>
      <c r="BC1344" s="10877"/>
      <c r="BD1344" s="10856"/>
      <c r="BF1344" s="14553"/>
      <c r="BG1344" s="14553"/>
      <c r="BH1344" s="14553"/>
      <c r="BI1344" s="14553"/>
      <c r="BJ1344" s="14553"/>
      <c r="BK1344" s="10858"/>
      <c r="BL1344" s="14553"/>
      <c r="BM1344" s="14553"/>
      <c r="BN1344" s="14553"/>
    </row>
    <row r="1345" spans="1:66" ht="30" hidden="1" customHeight="1">
      <c r="A1345" s="13560"/>
      <c r="B1345" s="14276"/>
      <c r="C1345" s="13610"/>
      <c r="D1345" s="12534" t="s">
        <v>10199</v>
      </c>
      <c r="E1345" s="12535"/>
      <c r="F1345" s="12535" t="s">
        <v>507</v>
      </c>
      <c r="G1345" s="14277"/>
      <c r="H1345" s="13388"/>
      <c r="I1345" s="12507"/>
      <c r="K1345" s="10874"/>
      <c r="L1345" s="10875"/>
      <c r="M1345" s="10875"/>
      <c r="N1345" s="10876"/>
      <c r="O1345" s="10876"/>
      <c r="P1345" s="10877"/>
      <c r="Q1345" s="10878"/>
      <c r="R1345" s="10879"/>
      <c r="S1345" s="10880"/>
      <c r="T1345" s="10881"/>
      <c r="U1345" s="10878"/>
      <c r="V1345" s="10879"/>
      <c r="W1345" s="10881"/>
      <c r="X1345" s="10879"/>
      <c r="Y1345" s="10881"/>
      <c r="Z1345" s="10879"/>
      <c r="AA1345" s="10880"/>
      <c r="AB1345" s="10880"/>
      <c r="AC1345" s="10880"/>
      <c r="AD1345" s="10880"/>
      <c r="AE1345" s="10880"/>
      <c r="AF1345" s="10881"/>
      <c r="AG1345" s="10879"/>
      <c r="AH1345" s="10880"/>
      <c r="AI1345" s="10880"/>
      <c r="AJ1345" s="10880"/>
      <c r="AK1345" s="10880"/>
      <c r="AL1345" s="10880"/>
      <c r="AM1345" s="10880"/>
      <c r="AN1345" s="10881"/>
      <c r="AO1345" s="10879"/>
      <c r="AP1345" s="10880"/>
      <c r="AQ1345" s="10880"/>
      <c r="AR1345" s="10880"/>
      <c r="AS1345" s="10880"/>
      <c r="AT1345" s="10881"/>
      <c r="AU1345" s="10882"/>
      <c r="AV1345" s="10882"/>
      <c r="AW1345" s="10882"/>
      <c r="AX1345" s="10874"/>
      <c r="AY1345" s="10877"/>
      <c r="AZ1345" s="10882"/>
      <c r="BA1345" s="10874"/>
      <c r="BB1345" s="10876"/>
      <c r="BC1345" s="10877"/>
      <c r="BD1345" s="10856"/>
      <c r="BF1345" s="14553"/>
      <c r="BG1345" s="14553"/>
      <c r="BH1345" s="14553"/>
      <c r="BI1345" s="14553"/>
      <c r="BJ1345" s="14553"/>
      <c r="BK1345" s="10858"/>
      <c r="BL1345" s="14553"/>
      <c r="BM1345" s="14553"/>
      <c r="BN1345" s="14553"/>
    </row>
    <row r="1346" spans="1:66" ht="30" hidden="1" customHeight="1">
      <c r="A1346" s="13560">
        <v>860</v>
      </c>
      <c r="B1346" s="14276" t="s">
        <v>8246</v>
      </c>
      <c r="C1346" s="13610"/>
      <c r="D1346" s="12534" t="s">
        <v>4305</v>
      </c>
      <c r="E1346" s="12535" t="s">
        <v>5320</v>
      </c>
      <c r="F1346" s="11675"/>
      <c r="G1346" s="14277" t="s">
        <v>5304</v>
      </c>
      <c r="H1346" s="13388" t="s">
        <v>5318</v>
      </c>
      <c r="I1346" s="14307" t="s">
        <v>5308</v>
      </c>
      <c r="K1346" s="10864"/>
      <c r="L1346" s="10865"/>
      <c r="M1346" s="10865"/>
      <c r="N1346" s="10866"/>
      <c r="O1346" s="10866"/>
      <c r="P1346" s="10867"/>
      <c r="Q1346" s="10868"/>
      <c r="R1346" s="10869"/>
      <c r="S1346" s="10870"/>
      <c r="T1346" s="10871"/>
      <c r="U1346" s="10868"/>
      <c r="V1346" s="10869"/>
      <c r="W1346" s="10871"/>
      <c r="X1346" s="10869"/>
      <c r="Y1346" s="10871"/>
      <c r="Z1346" s="10869"/>
      <c r="AA1346" s="10870"/>
      <c r="AB1346" s="10870"/>
      <c r="AC1346" s="10870"/>
      <c r="AD1346" s="10870"/>
      <c r="AE1346" s="10870"/>
      <c r="AF1346" s="10871"/>
      <c r="AG1346" s="10869"/>
      <c r="AH1346" s="10870"/>
      <c r="AI1346" s="10870"/>
      <c r="AJ1346" s="10870"/>
      <c r="AK1346" s="10870"/>
      <c r="AL1346" s="10870"/>
      <c r="AM1346" s="10870"/>
      <c r="AN1346" s="10871"/>
      <c r="AO1346" s="10869"/>
      <c r="AP1346" s="10870"/>
      <c r="AQ1346" s="10870"/>
      <c r="AR1346" s="10870"/>
      <c r="AS1346" s="10870"/>
      <c r="AT1346" s="10871"/>
      <c r="AU1346" s="10872"/>
      <c r="AV1346" s="10872"/>
      <c r="AW1346" s="10872"/>
      <c r="AX1346" s="10864"/>
      <c r="AY1346" s="10867"/>
      <c r="AZ1346" s="10872"/>
      <c r="BA1346" s="10864"/>
      <c r="BB1346" s="10866"/>
      <c r="BC1346" s="10867"/>
      <c r="BD1346" s="10873"/>
      <c r="BF1346" s="14553"/>
      <c r="BG1346" s="14553"/>
      <c r="BH1346" s="14553"/>
      <c r="BI1346" s="14553"/>
      <c r="BJ1346" s="14553"/>
      <c r="BK1346" s="10858"/>
      <c r="BL1346" s="14553"/>
      <c r="BM1346" s="14553"/>
      <c r="BN1346" s="14553"/>
    </row>
    <row r="1347" spans="1:66" ht="30" hidden="1" customHeight="1">
      <c r="A1347" s="13560"/>
      <c r="B1347" s="14276"/>
      <c r="C1347" s="13610"/>
      <c r="D1347" s="12534" t="s">
        <v>329</v>
      </c>
      <c r="E1347" s="12535"/>
      <c r="F1347" s="12535" t="s">
        <v>5321</v>
      </c>
      <c r="G1347" s="14277"/>
      <c r="H1347" s="13388"/>
      <c r="I1347" s="14307"/>
      <c r="K1347" s="10864"/>
      <c r="L1347" s="10865"/>
      <c r="M1347" s="10865"/>
      <c r="N1347" s="10866"/>
      <c r="O1347" s="10866"/>
      <c r="P1347" s="10867"/>
      <c r="Q1347" s="10868"/>
      <c r="R1347" s="10869"/>
      <c r="S1347" s="10870"/>
      <c r="T1347" s="10871"/>
      <c r="U1347" s="10868"/>
      <c r="V1347" s="10869"/>
      <c r="W1347" s="10871"/>
      <c r="X1347" s="10869"/>
      <c r="Y1347" s="10871"/>
      <c r="Z1347" s="10869"/>
      <c r="AA1347" s="10870"/>
      <c r="AB1347" s="10870"/>
      <c r="AC1347" s="10870"/>
      <c r="AD1347" s="10870"/>
      <c r="AE1347" s="10870"/>
      <c r="AF1347" s="10871"/>
      <c r="AG1347" s="10869"/>
      <c r="AH1347" s="10870"/>
      <c r="AI1347" s="10870"/>
      <c r="AJ1347" s="10870"/>
      <c r="AK1347" s="10870"/>
      <c r="AL1347" s="10870"/>
      <c r="AM1347" s="10870"/>
      <c r="AN1347" s="10871"/>
      <c r="AO1347" s="10869"/>
      <c r="AP1347" s="10870"/>
      <c r="AQ1347" s="10870"/>
      <c r="AR1347" s="10870"/>
      <c r="AS1347" s="10870"/>
      <c r="AT1347" s="10871"/>
      <c r="AU1347" s="10872"/>
      <c r="AV1347" s="10872"/>
      <c r="AW1347" s="10872"/>
      <c r="AX1347" s="10864"/>
      <c r="AY1347" s="10867"/>
      <c r="AZ1347" s="10872"/>
      <c r="BA1347" s="10864"/>
      <c r="BB1347" s="10866"/>
      <c r="BC1347" s="10867"/>
      <c r="BD1347" s="10873"/>
      <c r="BF1347" s="14553"/>
      <c r="BG1347" s="14553"/>
      <c r="BH1347" s="14553"/>
      <c r="BI1347" s="14553"/>
      <c r="BJ1347" s="14553"/>
      <c r="BK1347" s="10858"/>
      <c r="BL1347" s="14553"/>
      <c r="BM1347" s="14553"/>
      <c r="BN1347" s="14553"/>
    </row>
    <row r="1348" spans="1:66" ht="30" hidden="1" customHeight="1">
      <c r="A1348" s="10856">
        <v>861</v>
      </c>
      <c r="B1348" s="10857" t="s">
        <v>8247</v>
      </c>
      <c r="C1348" s="13610"/>
      <c r="D1348" s="12534" t="s">
        <v>10063</v>
      </c>
      <c r="E1348" s="12535" t="s">
        <v>144</v>
      </c>
      <c r="F1348" s="12535"/>
      <c r="G1348" s="12503" t="s">
        <v>5323</v>
      </c>
      <c r="H1348" s="12504" t="s">
        <v>5328</v>
      </c>
      <c r="I1348" s="12507"/>
      <c r="K1348" s="10874"/>
      <c r="L1348" s="10875"/>
      <c r="M1348" s="10875"/>
      <c r="N1348" s="10876"/>
      <c r="O1348" s="10876"/>
      <c r="P1348" s="10877"/>
      <c r="Q1348" s="10878"/>
      <c r="R1348" s="10879"/>
      <c r="S1348" s="10880"/>
      <c r="T1348" s="10881"/>
      <c r="U1348" s="10878"/>
      <c r="V1348" s="10879"/>
      <c r="W1348" s="10881"/>
      <c r="X1348" s="10879"/>
      <c r="Y1348" s="10881"/>
      <c r="Z1348" s="10879"/>
      <c r="AA1348" s="10880"/>
      <c r="AB1348" s="10880"/>
      <c r="AC1348" s="10880"/>
      <c r="AD1348" s="10880"/>
      <c r="AE1348" s="10880"/>
      <c r="AF1348" s="10881"/>
      <c r="AG1348" s="10879"/>
      <c r="AH1348" s="10880"/>
      <c r="AI1348" s="10880"/>
      <c r="AJ1348" s="10880"/>
      <c r="AK1348" s="10880"/>
      <c r="AL1348" s="10880"/>
      <c r="AM1348" s="10880"/>
      <c r="AN1348" s="10881"/>
      <c r="AO1348" s="10879"/>
      <c r="AP1348" s="10880"/>
      <c r="AQ1348" s="10880"/>
      <c r="AR1348" s="10880"/>
      <c r="AS1348" s="10880"/>
      <c r="AT1348" s="10881"/>
      <c r="AU1348" s="10882"/>
      <c r="AV1348" s="10882"/>
      <c r="AW1348" s="10882"/>
      <c r="AX1348" s="10874"/>
      <c r="AY1348" s="10877"/>
      <c r="AZ1348" s="10882"/>
      <c r="BA1348" s="10874"/>
      <c r="BB1348" s="10876"/>
      <c r="BC1348" s="10877"/>
      <c r="BD1348" s="10856"/>
      <c r="BF1348" s="10858"/>
      <c r="BG1348" s="10858"/>
      <c r="BH1348" s="10858"/>
      <c r="BI1348" s="10858"/>
      <c r="BJ1348" s="10858"/>
      <c r="BK1348" s="10858"/>
      <c r="BL1348" s="10858"/>
      <c r="BM1348" s="10858"/>
      <c r="BN1348" s="10858"/>
    </row>
    <row r="1349" spans="1:66" ht="30" hidden="1" customHeight="1">
      <c r="A1349" s="13560">
        <v>862</v>
      </c>
      <c r="B1349" s="14276" t="s">
        <v>8248</v>
      </c>
      <c r="C1349" s="13610"/>
      <c r="D1349" s="12534" t="s">
        <v>10063</v>
      </c>
      <c r="E1349" s="14310" t="s">
        <v>5350</v>
      </c>
      <c r="F1349" s="11675"/>
      <c r="G1349" s="14277" t="s">
        <v>5334</v>
      </c>
      <c r="H1349" s="13388" t="s">
        <v>5348</v>
      </c>
      <c r="I1349" s="14307" t="s">
        <v>5338</v>
      </c>
      <c r="K1349" s="10864"/>
      <c r="L1349" s="10865"/>
      <c r="M1349" s="10865"/>
      <c r="N1349" s="10866"/>
      <c r="O1349" s="10866"/>
      <c r="P1349" s="10867"/>
      <c r="Q1349" s="10868"/>
      <c r="R1349" s="10869"/>
      <c r="S1349" s="10870"/>
      <c r="T1349" s="10871"/>
      <c r="U1349" s="10868"/>
      <c r="V1349" s="10869"/>
      <c r="W1349" s="10871"/>
      <c r="X1349" s="10869"/>
      <c r="Y1349" s="10871"/>
      <c r="Z1349" s="10869"/>
      <c r="AA1349" s="10870"/>
      <c r="AB1349" s="10870"/>
      <c r="AC1349" s="10870"/>
      <c r="AD1349" s="10870"/>
      <c r="AE1349" s="10870"/>
      <c r="AF1349" s="10871"/>
      <c r="AG1349" s="10869"/>
      <c r="AH1349" s="10870"/>
      <c r="AI1349" s="10870"/>
      <c r="AJ1349" s="10870"/>
      <c r="AK1349" s="10870"/>
      <c r="AL1349" s="10870"/>
      <c r="AM1349" s="10870"/>
      <c r="AN1349" s="10871"/>
      <c r="AO1349" s="10869"/>
      <c r="AP1349" s="10870"/>
      <c r="AQ1349" s="10870"/>
      <c r="AR1349" s="10870"/>
      <c r="AS1349" s="10870"/>
      <c r="AT1349" s="10871"/>
      <c r="AU1349" s="10872"/>
      <c r="AV1349" s="10872"/>
      <c r="AW1349" s="10872"/>
      <c r="AX1349" s="10864"/>
      <c r="AY1349" s="10867"/>
      <c r="AZ1349" s="10872"/>
      <c r="BA1349" s="10864"/>
      <c r="BB1349" s="10866"/>
      <c r="BC1349" s="10867"/>
      <c r="BD1349" s="10873"/>
      <c r="BF1349" s="14553"/>
      <c r="BG1349" s="14553"/>
      <c r="BH1349" s="14553"/>
      <c r="BI1349" s="14553"/>
      <c r="BJ1349" s="14553"/>
      <c r="BK1349" s="10858"/>
      <c r="BL1349" s="14553"/>
      <c r="BM1349" s="14553"/>
      <c r="BN1349" s="14553"/>
    </row>
    <row r="1350" spans="1:66" ht="30" hidden="1" customHeight="1">
      <c r="A1350" s="13560"/>
      <c r="B1350" s="14276"/>
      <c r="C1350" s="13610"/>
      <c r="D1350" s="12534" t="s">
        <v>2896</v>
      </c>
      <c r="E1350" s="14310"/>
      <c r="F1350" s="11675"/>
      <c r="G1350" s="14277"/>
      <c r="H1350" s="13388"/>
      <c r="I1350" s="14307"/>
      <c r="K1350" s="10864"/>
      <c r="L1350" s="10865"/>
      <c r="M1350" s="10865"/>
      <c r="N1350" s="10866"/>
      <c r="O1350" s="10866"/>
      <c r="P1350" s="10867"/>
      <c r="Q1350" s="10868"/>
      <c r="R1350" s="10869"/>
      <c r="S1350" s="10870"/>
      <c r="T1350" s="10871"/>
      <c r="U1350" s="10868"/>
      <c r="V1350" s="10869"/>
      <c r="W1350" s="10871"/>
      <c r="X1350" s="10869"/>
      <c r="Y1350" s="10871"/>
      <c r="Z1350" s="10869"/>
      <c r="AA1350" s="10870"/>
      <c r="AB1350" s="10870"/>
      <c r="AC1350" s="10870"/>
      <c r="AD1350" s="10870"/>
      <c r="AE1350" s="10870"/>
      <c r="AF1350" s="10871"/>
      <c r="AG1350" s="10869"/>
      <c r="AH1350" s="10870"/>
      <c r="AI1350" s="10870"/>
      <c r="AJ1350" s="10870"/>
      <c r="AK1350" s="10870"/>
      <c r="AL1350" s="10870"/>
      <c r="AM1350" s="10870"/>
      <c r="AN1350" s="10871"/>
      <c r="AO1350" s="10869"/>
      <c r="AP1350" s="10870"/>
      <c r="AQ1350" s="10870"/>
      <c r="AR1350" s="10870"/>
      <c r="AS1350" s="10870"/>
      <c r="AT1350" s="10871"/>
      <c r="AU1350" s="10872"/>
      <c r="AV1350" s="10872"/>
      <c r="AW1350" s="10872"/>
      <c r="AX1350" s="10864"/>
      <c r="AY1350" s="10867"/>
      <c r="AZ1350" s="10872"/>
      <c r="BA1350" s="10864"/>
      <c r="BB1350" s="10866"/>
      <c r="BC1350" s="10867"/>
      <c r="BD1350" s="10873"/>
      <c r="BF1350" s="14553"/>
      <c r="BG1350" s="14553"/>
      <c r="BH1350" s="14553"/>
      <c r="BI1350" s="14553"/>
      <c r="BJ1350" s="14553"/>
      <c r="BK1350" s="10858"/>
      <c r="BL1350" s="14553"/>
      <c r="BM1350" s="14553"/>
      <c r="BN1350" s="14553"/>
    </row>
    <row r="1351" spans="1:66" ht="30" hidden="1" customHeight="1">
      <c r="A1351" s="13560">
        <v>863</v>
      </c>
      <c r="B1351" s="14276" t="s">
        <v>8249</v>
      </c>
      <c r="C1351" s="13610"/>
      <c r="D1351" s="12536" t="s">
        <v>10063</v>
      </c>
      <c r="E1351" s="11675" t="s">
        <v>724</v>
      </c>
      <c r="F1351" s="11675"/>
      <c r="G1351" s="14277" t="s">
        <v>5353</v>
      </c>
      <c r="H1351" s="13388" t="s">
        <v>5358</v>
      </c>
      <c r="I1351" s="14307"/>
      <c r="K1351" s="10864"/>
      <c r="L1351" s="10865"/>
      <c r="M1351" s="10865"/>
      <c r="N1351" s="10866"/>
      <c r="O1351" s="10866"/>
      <c r="P1351" s="10867"/>
      <c r="Q1351" s="10868"/>
      <c r="R1351" s="10869"/>
      <c r="S1351" s="10870"/>
      <c r="T1351" s="10871"/>
      <c r="U1351" s="10868"/>
      <c r="V1351" s="10869"/>
      <c r="W1351" s="10871"/>
      <c r="X1351" s="10869"/>
      <c r="Y1351" s="10871"/>
      <c r="Z1351" s="10869"/>
      <c r="AA1351" s="10870"/>
      <c r="AB1351" s="10870"/>
      <c r="AC1351" s="10870"/>
      <c r="AD1351" s="10870"/>
      <c r="AE1351" s="10870"/>
      <c r="AF1351" s="10871"/>
      <c r="AG1351" s="10869"/>
      <c r="AH1351" s="10870"/>
      <c r="AI1351" s="10870"/>
      <c r="AJ1351" s="10870"/>
      <c r="AK1351" s="10870"/>
      <c r="AL1351" s="10870"/>
      <c r="AM1351" s="10870"/>
      <c r="AN1351" s="10871"/>
      <c r="AO1351" s="10869"/>
      <c r="AP1351" s="10870"/>
      <c r="AQ1351" s="10870"/>
      <c r="AR1351" s="10870"/>
      <c r="AS1351" s="10870"/>
      <c r="AT1351" s="10871"/>
      <c r="AU1351" s="10872"/>
      <c r="AV1351" s="10872"/>
      <c r="AW1351" s="10872"/>
      <c r="AX1351" s="10864"/>
      <c r="AY1351" s="10867"/>
      <c r="AZ1351" s="10872"/>
      <c r="BA1351" s="10864"/>
      <c r="BB1351" s="10866"/>
      <c r="BC1351" s="10867"/>
      <c r="BD1351" s="10873"/>
      <c r="BF1351" s="14553"/>
      <c r="BG1351" s="14553"/>
      <c r="BH1351" s="14553"/>
      <c r="BI1351" s="14553"/>
      <c r="BJ1351" s="14553"/>
      <c r="BK1351" s="10858"/>
      <c r="BL1351" s="14553"/>
      <c r="BM1351" s="14553"/>
      <c r="BN1351" s="14553"/>
    </row>
    <row r="1352" spans="1:66" ht="30" hidden="1" customHeight="1">
      <c r="A1352" s="13560"/>
      <c r="B1352" s="14276"/>
      <c r="C1352" s="13610"/>
      <c r="D1352" s="12534" t="s">
        <v>295</v>
      </c>
      <c r="E1352" s="11675"/>
      <c r="F1352" s="11675" t="s">
        <v>295</v>
      </c>
      <c r="G1352" s="14277"/>
      <c r="H1352" s="13388"/>
      <c r="I1352" s="14307"/>
      <c r="K1352" s="10864"/>
      <c r="L1352" s="10865"/>
      <c r="M1352" s="10865"/>
      <c r="N1352" s="10866"/>
      <c r="O1352" s="10866"/>
      <c r="P1352" s="10867"/>
      <c r="Q1352" s="10868"/>
      <c r="R1352" s="10869"/>
      <c r="S1352" s="10870"/>
      <c r="T1352" s="10871"/>
      <c r="U1352" s="10868"/>
      <c r="V1352" s="10869"/>
      <c r="W1352" s="10871"/>
      <c r="X1352" s="10869"/>
      <c r="Y1352" s="10871"/>
      <c r="Z1352" s="10869"/>
      <c r="AA1352" s="10870"/>
      <c r="AB1352" s="10870"/>
      <c r="AC1352" s="10870"/>
      <c r="AD1352" s="10870"/>
      <c r="AE1352" s="10870"/>
      <c r="AF1352" s="10871"/>
      <c r="AG1352" s="10869"/>
      <c r="AH1352" s="10870"/>
      <c r="AI1352" s="10870"/>
      <c r="AJ1352" s="10870"/>
      <c r="AK1352" s="10870"/>
      <c r="AL1352" s="10870"/>
      <c r="AM1352" s="10870"/>
      <c r="AN1352" s="10871"/>
      <c r="AO1352" s="10869"/>
      <c r="AP1352" s="10870"/>
      <c r="AQ1352" s="10870"/>
      <c r="AR1352" s="10870"/>
      <c r="AS1352" s="10870"/>
      <c r="AT1352" s="10871"/>
      <c r="AU1352" s="10872"/>
      <c r="AV1352" s="10872"/>
      <c r="AW1352" s="10872"/>
      <c r="AX1352" s="10864"/>
      <c r="AY1352" s="10867"/>
      <c r="AZ1352" s="10872"/>
      <c r="BA1352" s="10864"/>
      <c r="BB1352" s="10866"/>
      <c r="BC1352" s="10867"/>
      <c r="BD1352" s="10873"/>
      <c r="BF1352" s="14553"/>
      <c r="BG1352" s="14553"/>
      <c r="BH1352" s="14553"/>
      <c r="BI1352" s="14553"/>
      <c r="BJ1352" s="14553"/>
      <c r="BK1352" s="10858"/>
      <c r="BL1352" s="14553"/>
      <c r="BM1352" s="14553"/>
      <c r="BN1352" s="14553"/>
    </row>
    <row r="1353" spans="1:66" ht="30" hidden="1" customHeight="1" thickBot="1">
      <c r="A1353" s="13661"/>
      <c r="B1353" s="14303"/>
      <c r="C1353" s="13610"/>
      <c r="D1353" s="12537" t="s">
        <v>329</v>
      </c>
      <c r="E1353" s="12538"/>
      <c r="F1353" s="12538" t="s">
        <v>10292</v>
      </c>
      <c r="G1353" s="14304"/>
      <c r="H1353" s="14314"/>
      <c r="I1353" s="14308"/>
      <c r="K1353" s="10953"/>
      <c r="L1353" s="10954"/>
      <c r="M1353" s="10954"/>
      <c r="N1353" s="10955"/>
      <c r="O1353" s="10955"/>
      <c r="P1353" s="10956"/>
      <c r="Q1353" s="10957"/>
      <c r="R1353" s="10958"/>
      <c r="S1353" s="10959"/>
      <c r="T1353" s="10960"/>
      <c r="U1353" s="10957"/>
      <c r="V1353" s="10958"/>
      <c r="W1353" s="10960"/>
      <c r="X1353" s="10958"/>
      <c r="Y1353" s="10960"/>
      <c r="Z1353" s="10958"/>
      <c r="AA1353" s="10959"/>
      <c r="AB1353" s="10959"/>
      <c r="AC1353" s="10959"/>
      <c r="AD1353" s="10959"/>
      <c r="AE1353" s="10959"/>
      <c r="AF1353" s="10960"/>
      <c r="AG1353" s="10958"/>
      <c r="AH1353" s="10959"/>
      <c r="AI1353" s="10959"/>
      <c r="AJ1353" s="10959"/>
      <c r="AK1353" s="10959"/>
      <c r="AL1353" s="10959"/>
      <c r="AM1353" s="10959"/>
      <c r="AN1353" s="10960"/>
      <c r="AO1353" s="10958"/>
      <c r="AP1353" s="10959"/>
      <c r="AQ1353" s="10959"/>
      <c r="AR1353" s="10959"/>
      <c r="AS1353" s="10959"/>
      <c r="AT1353" s="10960"/>
      <c r="AU1353" s="10961"/>
      <c r="AV1353" s="10961"/>
      <c r="AW1353" s="10961"/>
      <c r="AX1353" s="10953"/>
      <c r="AY1353" s="10956"/>
      <c r="AZ1353" s="10961"/>
      <c r="BA1353" s="10953"/>
      <c r="BB1353" s="10955"/>
      <c r="BC1353" s="10956"/>
      <c r="BD1353" s="10962"/>
      <c r="BF1353" s="14555"/>
      <c r="BG1353" s="14555"/>
      <c r="BH1353" s="14555"/>
      <c r="BI1353" s="14555"/>
      <c r="BJ1353" s="14555"/>
      <c r="BK1353" s="10885"/>
      <c r="BL1353" s="14555"/>
      <c r="BM1353" s="14555"/>
      <c r="BN1353" s="14555"/>
    </row>
    <row r="1354" spans="1:66" ht="30" hidden="1" customHeight="1">
      <c r="A1354" s="9976">
        <v>864</v>
      </c>
      <c r="B1354" s="9977" t="s">
        <v>8250</v>
      </c>
      <c r="C1354" s="13610"/>
      <c r="D1354" s="12539" t="s">
        <v>10063</v>
      </c>
      <c r="E1354" s="12408" t="s">
        <v>144</v>
      </c>
      <c r="F1354" s="12540" t="s">
        <v>5381</v>
      </c>
      <c r="G1354" s="12221" t="s">
        <v>5365</v>
      </c>
      <c r="H1354" s="12222" t="s">
        <v>5379</v>
      </c>
      <c r="I1354" s="12541" t="s">
        <v>5369</v>
      </c>
      <c r="K1354" s="10963"/>
      <c r="L1354" s="10643"/>
      <c r="M1354" s="10643"/>
      <c r="N1354" s="7913"/>
      <c r="O1354" s="7913"/>
      <c r="P1354" s="10964"/>
      <c r="Q1354" s="10644"/>
      <c r="R1354" s="10645"/>
      <c r="S1354" s="10646"/>
      <c r="T1354" s="10647"/>
      <c r="U1354" s="10644"/>
      <c r="V1354" s="10645"/>
      <c r="W1354" s="10647"/>
      <c r="X1354" s="10645"/>
      <c r="Y1354" s="10647"/>
      <c r="Z1354" s="10645"/>
      <c r="AA1354" s="10646"/>
      <c r="AB1354" s="10646"/>
      <c r="AC1354" s="10646"/>
      <c r="AD1354" s="10646"/>
      <c r="AE1354" s="10646"/>
      <c r="AF1354" s="10647"/>
      <c r="AG1354" s="10645"/>
      <c r="AH1354" s="10646"/>
      <c r="AI1354" s="10646"/>
      <c r="AJ1354" s="10646"/>
      <c r="AK1354" s="10646"/>
      <c r="AL1354" s="10646"/>
      <c r="AM1354" s="10646"/>
      <c r="AN1354" s="10647"/>
      <c r="AO1354" s="10645"/>
      <c r="AP1354" s="10646"/>
      <c r="AQ1354" s="10646"/>
      <c r="AR1354" s="10646"/>
      <c r="AS1354" s="10646"/>
      <c r="AT1354" s="10647"/>
      <c r="AU1354" s="10965"/>
      <c r="AV1354" s="10965"/>
      <c r="AW1354" s="10965"/>
      <c r="AX1354" s="10963"/>
      <c r="AY1354" s="10964"/>
      <c r="AZ1354" s="10965"/>
      <c r="BA1354" s="10963"/>
      <c r="BB1354" s="7913"/>
      <c r="BC1354" s="10964"/>
      <c r="BD1354" s="9976"/>
      <c r="BF1354" s="9978"/>
      <c r="BG1354" s="9978"/>
      <c r="BH1354" s="9978"/>
      <c r="BI1354" s="9978"/>
      <c r="BJ1354" s="9978"/>
      <c r="BK1354" s="9978"/>
      <c r="BL1354" s="9978"/>
      <c r="BM1354" s="9978"/>
      <c r="BN1354" s="9978"/>
    </row>
    <row r="1355" spans="1:66" ht="30" hidden="1" customHeight="1">
      <c r="A1355" s="7741">
        <v>865</v>
      </c>
      <c r="B1355" s="7792" t="s">
        <v>8251</v>
      </c>
      <c r="C1355" s="13610"/>
      <c r="D1355" s="12542" t="s">
        <v>10063</v>
      </c>
      <c r="E1355" s="12412" t="s">
        <v>144</v>
      </c>
      <c r="F1355" s="12412" t="s">
        <v>545</v>
      </c>
      <c r="G1355" s="12244" t="s">
        <v>5383</v>
      </c>
      <c r="H1355" s="12222" t="s">
        <v>5397</v>
      </c>
      <c r="I1355" s="12543" t="s">
        <v>5387</v>
      </c>
      <c r="K1355" s="10966"/>
      <c r="L1355" s="10649"/>
      <c r="M1355" s="10649"/>
      <c r="N1355" s="10967"/>
      <c r="O1355" s="10967"/>
      <c r="P1355" s="10968"/>
      <c r="Q1355" s="10650"/>
      <c r="R1355" s="10651"/>
      <c r="S1355" s="10652"/>
      <c r="T1355" s="10653"/>
      <c r="U1355" s="10650"/>
      <c r="V1355" s="10651"/>
      <c r="W1355" s="10653"/>
      <c r="X1355" s="10651"/>
      <c r="Y1355" s="10653"/>
      <c r="Z1355" s="10651"/>
      <c r="AA1355" s="10652"/>
      <c r="AB1355" s="10652"/>
      <c r="AC1355" s="10652"/>
      <c r="AD1355" s="10652"/>
      <c r="AE1355" s="10652"/>
      <c r="AF1355" s="10653"/>
      <c r="AG1355" s="10651"/>
      <c r="AH1355" s="10652"/>
      <c r="AI1355" s="10652"/>
      <c r="AJ1355" s="10652"/>
      <c r="AK1355" s="10652"/>
      <c r="AL1355" s="10652"/>
      <c r="AM1355" s="10652"/>
      <c r="AN1355" s="10653"/>
      <c r="AO1355" s="10651"/>
      <c r="AP1355" s="10652"/>
      <c r="AQ1355" s="10652"/>
      <c r="AR1355" s="10652"/>
      <c r="AS1355" s="10652"/>
      <c r="AT1355" s="10653"/>
      <c r="AU1355" s="10969"/>
      <c r="AV1355" s="10969"/>
      <c r="AW1355" s="10969"/>
      <c r="AX1355" s="10966"/>
      <c r="AY1355" s="10968"/>
      <c r="AZ1355" s="10969"/>
      <c r="BA1355" s="10966"/>
      <c r="BB1355" s="10967"/>
      <c r="BC1355" s="10968"/>
      <c r="BD1355" s="7741"/>
      <c r="BF1355" s="10036"/>
      <c r="BG1355" s="10036"/>
      <c r="BH1355" s="10036"/>
      <c r="BI1355" s="10036"/>
      <c r="BJ1355" s="10036"/>
      <c r="BK1355" s="10036"/>
      <c r="BL1355" s="10036"/>
      <c r="BM1355" s="10036"/>
      <c r="BN1355" s="10036"/>
    </row>
    <row r="1356" spans="1:66" ht="30" hidden="1" customHeight="1">
      <c r="A1356" s="13530">
        <v>866</v>
      </c>
      <c r="B1356" s="14149" t="s">
        <v>8252</v>
      </c>
      <c r="C1356" s="13610"/>
      <c r="D1356" s="12542" t="s">
        <v>10063</v>
      </c>
      <c r="E1356" s="14311" t="s">
        <v>5415</v>
      </c>
      <c r="F1356" s="7841"/>
      <c r="G1356" s="14150" t="s">
        <v>5400</v>
      </c>
      <c r="H1356" s="13401" t="s">
        <v>5414</v>
      </c>
      <c r="I1356" s="14305" t="s">
        <v>5404</v>
      </c>
      <c r="K1356" s="10970"/>
      <c r="L1356" s="10971"/>
      <c r="M1356" s="10971"/>
      <c r="N1356" s="10972"/>
      <c r="O1356" s="10972"/>
      <c r="P1356" s="10973"/>
      <c r="Q1356" s="10974"/>
      <c r="R1356" s="10975"/>
      <c r="S1356" s="10976"/>
      <c r="T1356" s="10977"/>
      <c r="U1356" s="10974"/>
      <c r="V1356" s="10975"/>
      <c r="W1356" s="10977"/>
      <c r="X1356" s="10975"/>
      <c r="Y1356" s="10977"/>
      <c r="Z1356" s="10975"/>
      <c r="AA1356" s="10976"/>
      <c r="AB1356" s="10976"/>
      <c r="AC1356" s="10976"/>
      <c r="AD1356" s="10976"/>
      <c r="AE1356" s="10976"/>
      <c r="AF1356" s="10977"/>
      <c r="AG1356" s="10975"/>
      <c r="AH1356" s="10976"/>
      <c r="AI1356" s="10976"/>
      <c r="AJ1356" s="10976"/>
      <c r="AK1356" s="10976"/>
      <c r="AL1356" s="10976"/>
      <c r="AM1356" s="10976"/>
      <c r="AN1356" s="10977"/>
      <c r="AO1356" s="10975"/>
      <c r="AP1356" s="10976"/>
      <c r="AQ1356" s="10976"/>
      <c r="AR1356" s="10976"/>
      <c r="AS1356" s="10976"/>
      <c r="AT1356" s="10977"/>
      <c r="AU1356" s="10978"/>
      <c r="AV1356" s="10978"/>
      <c r="AW1356" s="10978"/>
      <c r="AX1356" s="10970"/>
      <c r="AY1356" s="10973"/>
      <c r="AZ1356" s="10978"/>
      <c r="BA1356" s="10970"/>
      <c r="BB1356" s="10972"/>
      <c r="BC1356" s="10973"/>
      <c r="BD1356" s="10979"/>
      <c r="BF1356" s="14510"/>
      <c r="BG1356" s="14510"/>
      <c r="BH1356" s="14510"/>
      <c r="BI1356" s="14510"/>
      <c r="BJ1356" s="14510"/>
      <c r="BK1356" s="10036"/>
      <c r="BL1356" s="14510"/>
      <c r="BM1356" s="14510"/>
      <c r="BN1356" s="14510"/>
    </row>
    <row r="1357" spans="1:66" ht="30" hidden="1" customHeight="1">
      <c r="A1357" s="13530"/>
      <c r="B1357" s="14149"/>
      <c r="C1357" s="13610"/>
      <c r="D1357" s="12542" t="s">
        <v>218</v>
      </c>
      <c r="E1357" s="14311"/>
      <c r="F1357" s="12412"/>
      <c r="G1357" s="14150"/>
      <c r="H1357" s="13401"/>
      <c r="I1357" s="14305"/>
      <c r="K1357" s="10970"/>
      <c r="L1357" s="10971"/>
      <c r="M1357" s="10971"/>
      <c r="N1357" s="10972"/>
      <c r="O1357" s="10972"/>
      <c r="P1357" s="10973"/>
      <c r="Q1357" s="10974"/>
      <c r="R1357" s="10975"/>
      <c r="S1357" s="10976"/>
      <c r="T1357" s="10977"/>
      <c r="U1357" s="10974"/>
      <c r="V1357" s="10975"/>
      <c r="W1357" s="10977"/>
      <c r="X1357" s="10975"/>
      <c r="Y1357" s="10977"/>
      <c r="Z1357" s="10975"/>
      <c r="AA1357" s="10976"/>
      <c r="AB1357" s="10976"/>
      <c r="AC1357" s="10976"/>
      <c r="AD1357" s="10976"/>
      <c r="AE1357" s="10976"/>
      <c r="AF1357" s="10977"/>
      <c r="AG1357" s="10975"/>
      <c r="AH1357" s="10976"/>
      <c r="AI1357" s="10976"/>
      <c r="AJ1357" s="10976"/>
      <c r="AK1357" s="10976"/>
      <c r="AL1357" s="10976"/>
      <c r="AM1357" s="10976"/>
      <c r="AN1357" s="10977"/>
      <c r="AO1357" s="10975"/>
      <c r="AP1357" s="10976"/>
      <c r="AQ1357" s="10976"/>
      <c r="AR1357" s="10976"/>
      <c r="AS1357" s="10976"/>
      <c r="AT1357" s="10977"/>
      <c r="AU1357" s="10978"/>
      <c r="AV1357" s="10978"/>
      <c r="AW1357" s="10978"/>
      <c r="AX1357" s="10970"/>
      <c r="AY1357" s="10973"/>
      <c r="AZ1357" s="10978"/>
      <c r="BA1357" s="10970"/>
      <c r="BB1357" s="10972"/>
      <c r="BC1357" s="10973"/>
      <c r="BD1357" s="10979"/>
      <c r="BF1357" s="14510"/>
      <c r="BG1357" s="14510"/>
      <c r="BH1357" s="14510"/>
      <c r="BI1357" s="14510"/>
      <c r="BJ1357" s="14510"/>
      <c r="BK1357" s="10036"/>
      <c r="BL1357" s="14510"/>
      <c r="BM1357" s="14510"/>
      <c r="BN1357" s="14510"/>
    </row>
    <row r="1358" spans="1:66" ht="30" hidden="1" customHeight="1">
      <c r="A1358" s="13530"/>
      <c r="B1358" s="14149"/>
      <c r="C1358" s="13610"/>
      <c r="D1358" s="12542" t="s">
        <v>4305</v>
      </c>
      <c r="E1358" s="14311"/>
      <c r="F1358" s="12412"/>
      <c r="G1358" s="14150"/>
      <c r="H1358" s="13401"/>
      <c r="I1358" s="14305"/>
      <c r="K1358" s="10970"/>
      <c r="L1358" s="10971"/>
      <c r="M1358" s="10971"/>
      <c r="N1358" s="10972"/>
      <c r="O1358" s="10972"/>
      <c r="P1358" s="10973"/>
      <c r="Q1358" s="10974"/>
      <c r="R1358" s="10975"/>
      <c r="S1358" s="10976"/>
      <c r="T1358" s="10977"/>
      <c r="U1358" s="10974"/>
      <c r="V1358" s="10975"/>
      <c r="W1358" s="10977"/>
      <c r="X1358" s="10975"/>
      <c r="Y1358" s="10977"/>
      <c r="Z1358" s="10975"/>
      <c r="AA1358" s="10976"/>
      <c r="AB1358" s="10976"/>
      <c r="AC1358" s="10976"/>
      <c r="AD1358" s="10976"/>
      <c r="AE1358" s="10976"/>
      <c r="AF1358" s="10977"/>
      <c r="AG1358" s="10975"/>
      <c r="AH1358" s="10976"/>
      <c r="AI1358" s="10976"/>
      <c r="AJ1358" s="10976"/>
      <c r="AK1358" s="10976"/>
      <c r="AL1358" s="10976"/>
      <c r="AM1358" s="10976"/>
      <c r="AN1358" s="10977"/>
      <c r="AO1358" s="10975"/>
      <c r="AP1358" s="10976"/>
      <c r="AQ1358" s="10976"/>
      <c r="AR1358" s="10976"/>
      <c r="AS1358" s="10976"/>
      <c r="AT1358" s="10977"/>
      <c r="AU1358" s="10978"/>
      <c r="AV1358" s="10978"/>
      <c r="AW1358" s="10978"/>
      <c r="AX1358" s="10970"/>
      <c r="AY1358" s="10973"/>
      <c r="AZ1358" s="10978"/>
      <c r="BA1358" s="10970"/>
      <c r="BB1358" s="10972"/>
      <c r="BC1358" s="10973"/>
      <c r="BD1358" s="10979"/>
      <c r="BF1358" s="14510"/>
      <c r="BG1358" s="14510"/>
      <c r="BH1358" s="14510"/>
      <c r="BI1358" s="14510"/>
      <c r="BJ1358" s="14510"/>
      <c r="BK1358" s="10036"/>
      <c r="BL1358" s="14510"/>
      <c r="BM1358" s="14510"/>
      <c r="BN1358" s="14510"/>
    </row>
    <row r="1359" spans="1:66" ht="30" hidden="1" customHeight="1">
      <c r="A1359" s="13530"/>
      <c r="B1359" s="14149"/>
      <c r="C1359" s="13610"/>
      <c r="D1359" s="12542" t="s">
        <v>4321</v>
      </c>
      <c r="E1359" s="12412"/>
      <c r="F1359" s="12412" t="s">
        <v>5416</v>
      </c>
      <c r="G1359" s="14150"/>
      <c r="H1359" s="13401"/>
      <c r="I1359" s="14305"/>
      <c r="K1359" s="10970"/>
      <c r="L1359" s="10971"/>
      <c r="M1359" s="10971"/>
      <c r="N1359" s="10972"/>
      <c r="O1359" s="10972"/>
      <c r="P1359" s="10973"/>
      <c r="Q1359" s="10974"/>
      <c r="R1359" s="10975"/>
      <c r="S1359" s="10976"/>
      <c r="T1359" s="10977"/>
      <c r="U1359" s="10974"/>
      <c r="V1359" s="10975"/>
      <c r="W1359" s="10977"/>
      <c r="X1359" s="10975"/>
      <c r="Y1359" s="10977"/>
      <c r="Z1359" s="10975"/>
      <c r="AA1359" s="10976"/>
      <c r="AB1359" s="10976"/>
      <c r="AC1359" s="10976"/>
      <c r="AD1359" s="10976"/>
      <c r="AE1359" s="10976"/>
      <c r="AF1359" s="10977"/>
      <c r="AG1359" s="10975"/>
      <c r="AH1359" s="10976"/>
      <c r="AI1359" s="10976"/>
      <c r="AJ1359" s="10976"/>
      <c r="AK1359" s="10976"/>
      <c r="AL1359" s="10976"/>
      <c r="AM1359" s="10976"/>
      <c r="AN1359" s="10977"/>
      <c r="AO1359" s="10975"/>
      <c r="AP1359" s="10976"/>
      <c r="AQ1359" s="10976"/>
      <c r="AR1359" s="10976"/>
      <c r="AS1359" s="10976"/>
      <c r="AT1359" s="10977"/>
      <c r="AU1359" s="10978"/>
      <c r="AV1359" s="10978"/>
      <c r="AW1359" s="10978"/>
      <c r="AX1359" s="10970"/>
      <c r="AY1359" s="10973"/>
      <c r="AZ1359" s="10978"/>
      <c r="BA1359" s="10970"/>
      <c r="BB1359" s="10972"/>
      <c r="BC1359" s="10973"/>
      <c r="BD1359" s="10979"/>
      <c r="BF1359" s="14510"/>
      <c r="BG1359" s="14510"/>
      <c r="BH1359" s="14510"/>
      <c r="BI1359" s="14510"/>
      <c r="BJ1359" s="14510"/>
      <c r="BK1359" s="10036"/>
      <c r="BL1359" s="14510"/>
      <c r="BM1359" s="14510"/>
      <c r="BN1359" s="14510"/>
    </row>
    <row r="1360" spans="1:66" ht="30" hidden="1" customHeight="1">
      <c r="A1360" s="13530">
        <v>867</v>
      </c>
      <c r="B1360" s="14149" t="s">
        <v>8253</v>
      </c>
      <c r="C1360" s="13610"/>
      <c r="D1360" s="12542" t="s">
        <v>218</v>
      </c>
      <c r="E1360" s="14311" t="s">
        <v>5436</v>
      </c>
      <c r="F1360" s="12412" t="s">
        <v>545</v>
      </c>
      <c r="G1360" s="14150" t="s">
        <v>5420</v>
      </c>
      <c r="H1360" s="13401" t="s">
        <v>5434</v>
      </c>
      <c r="I1360" s="14305" t="s">
        <v>5424</v>
      </c>
      <c r="K1360" s="10970"/>
      <c r="L1360" s="10971"/>
      <c r="M1360" s="10971"/>
      <c r="N1360" s="10972"/>
      <c r="O1360" s="10972"/>
      <c r="P1360" s="10973"/>
      <c r="Q1360" s="10974"/>
      <c r="R1360" s="10975"/>
      <c r="S1360" s="10976"/>
      <c r="T1360" s="10977"/>
      <c r="U1360" s="10974"/>
      <c r="V1360" s="10975"/>
      <c r="W1360" s="10977"/>
      <c r="X1360" s="10975"/>
      <c r="Y1360" s="10977"/>
      <c r="Z1360" s="10975"/>
      <c r="AA1360" s="10976"/>
      <c r="AB1360" s="10976"/>
      <c r="AC1360" s="10976"/>
      <c r="AD1360" s="10976"/>
      <c r="AE1360" s="10976"/>
      <c r="AF1360" s="10977"/>
      <c r="AG1360" s="10975"/>
      <c r="AH1360" s="10976"/>
      <c r="AI1360" s="10976"/>
      <c r="AJ1360" s="10976"/>
      <c r="AK1360" s="10976"/>
      <c r="AL1360" s="10976"/>
      <c r="AM1360" s="10976"/>
      <c r="AN1360" s="10977"/>
      <c r="AO1360" s="10975"/>
      <c r="AP1360" s="10976"/>
      <c r="AQ1360" s="10976"/>
      <c r="AR1360" s="10976"/>
      <c r="AS1360" s="10976"/>
      <c r="AT1360" s="10977"/>
      <c r="AU1360" s="10978"/>
      <c r="AV1360" s="10978"/>
      <c r="AW1360" s="10978"/>
      <c r="AX1360" s="10970"/>
      <c r="AY1360" s="10973"/>
      <c r="AZ1360" s="10978"/>
      <c r="BA1360" s="10970"/>
      <c r="BB1360" s="10972"/>
      <c r="BC1360" s="10973"/>
      <c r="BD1360" s="10979"/>
      <c r="BF1360" s="14510"/>
      <c r="BG1360" s="14510"/>
      <c r="BH1360" s="14510"/>
      <c r="BI1360" s="14510"/>
      <c r="BJ1360" s="14510"/>
      <c r="BK1360" s="10036"/>
      <c r="BL1360" s="14510"/>
      <c r="BM1360" s="14510"/>
      <c r="BN1360" s="14510"/>
    </row>
    <row r="1361" spans="1:66" ht="30" hidden="1" customHeight="1">
      <c r="A1361" s="13530"/>
      <c r="B1361" s="14149"/>
      <c r="C1361" s="13610"/>
      <c r="D1361" s="12542" t="s">
        <v>10072</v>
      </c>
      <c r="E1361" s="14311"/>
      <c r="F1361" s="12412"/>
      <c r="G1361" s="14150"/>
      <c r="H1361" s="13401"/>
      <c r="I1361" s="14305"/>
      <c r="K1361" s="10970"/>
      <c r="L1361" s="10971"/>
      <c r="M1361" s="10971"/>
      <c r="N1361" s="10972"/>
      <c r="O1361" s="10972"/>
      <c r="P1361" s="10973"/>
      <c r="Q1361" s="10974"/>
      <c r="R1361" s="10975"/>
      <c r="S1361" s="10976"/>
      <c r="T1361" s="10977"/>
      <c r="U1361" s="10974"/>
      <c r="V1361" s="10975"/>
      <c r="W1361" s="10977"/>
      <c r="X1361" s="10975"/>
      <c r="Y1361" s="10977"/>
      <c r="Z1361" s="10975"/>
      <c r="AA1361" s="10976"/>
      <c r="AB1361" s="10976"/>
      <c r="AC1361" s="10976"/>
      <c r="AD1361" s="10976"/>
      <c r="AE1361" s="10976"/>
      <c r="AF1361" s="10977"/>
      <c r="AG1361" s="10975"/>
      <c r="AH1361" s="10976"/>
      <c r="AI1361" s="10976"/>
      <c r="AJ1361" s="10976"/>
      <c r="AK1361" s="10976"/>
      <c r="AL1361" s="10976"/>
      <c r="AM1361" s="10976"/>
      <c r="AN1361" s="10977"/>
      <c r="AO1361" s="10975"/>
      <c r="AP1361" s="10976"/>
      <c r="AQ1361" s="10976"/>
      <c r="AR1361" s="10976"/>
      <c r="AS1361" s="10976"/>
      <c r="AT1361" s="10977"/>
      <c r="AU1361" s="10978"/>
      <c r="AV1361" s="10978"/>
      <c r="AW1361" s="10978"/>
      <c r="AX1361" s="10970"/>
      <c r="AY1361" s="10973"/>
      <c r="AZ1361" s="10978"/>
      <c r="BA1361" s="10970"/>
      <c r="BB1361" s="10972"/>
      <c r="BC1361" s="10973"/>
      <c r="BD1361" s="10979"/>
      <c r="BF1361" s="14510"/>
      <c r="BG1361" s="14510"/>
      <c r="BH1361" s="14510"/>
      <c r="BI1361" s="14510"/>
      <c r="BJ1361" s="14510"/>
      <c r="BK1361" s="10036"/>
      <c r="BL1361" s="14510"/>
      <c r="BM1361" s="14510"/>
      <c r="BN1361" s="14510"/>
    </row>
    <row r="1362" spans="1:66" ht="30" hidden="1" customHeight="1">
      <c r="A1362" s="13530">
        <v>868</v>
      </c>
      <c r="B1362" s="14149" t="s">
        <v>8254</v>
      </c>
      <c r="C1362" s="13610"/>
      <c r="D1362" s="12542" t="s">
        <v>10092</v>
      </c>
      <c r="E1362" s="14311" t="s">
        <v>5454</v>
      </c>
      <c r="F1362" s="12412" t="s">
        <v>545</v>
      </c>
      <c r="G1362" s="14150" t="s">
        <v>5439</v>
      </c>
      <c r="H1362" s="13401" t="s">
        <v>5453</v>
      </c>
      <c r="I1362" s="14305" t="s">
        <v>5443</v>
      </c>
      <c r="K1362" s="10970"/>
      <c r="L1362" s="10971"/>
      <c r="M1362" s="10971"/>
      <c r="N1362" s="10972"/>
      <c r="O1362" s="10972"/>
      <c r="P1362" s="10973"/>
      <c r="Q1362" s="10974"/>
      <c r="R1362" s="10975"/>
      <c r="S1362" s="10976"/>
      <c r="T1362" s="10977"/>
      <c r="U1362" s="10974"/>
      <c r="V1362" s="10975"/>
      <c r="W1362" s="10977"/>
      <c r="X1362" s="10975"/>
      <c r="Y1362" s="10977"/>
      <c r="Z1362" s="10975"/>
      <c r="AA1362" s="10976"/>
      <c r="AB1362" s="10976"/>
      <c r="AC1362" s="10976"/>
      <c r="AD1362" s="10976"/>
      <c r="AE1362" s="10976"/>
      <c r="AF1362" s="10977"/>
      <c r="AG1362" s="10975"/>
      <c r="AH1362" s="10976"/>
      <c r="AI1362" s="10976"/>
      <c r="AJ1362" s="10976"/>
      <c r="AK1362" s="10976"/>
      <c r="AL1362" s="10976"/>
      <c r="AM1362" s="10976"/>
      <c r="AN1362" s="10977"/>
      <c r="AO1362" s="10975"/>
      <c r="AP1362" s="10976"/>
      <c r="AQ1362" s="10976"/>
      <c r="AR1362" s="10976"/>
      <c r="AS1362" s="10976"/>
      <c r="AT1362" s="10977"/>
      <c r="AU1362" s="10978"/>
      <c r="AV1362" s="10978"/>
      <c r="AW1362" s="10978"/>
      <c r="AX1362" s="10970"/>
      <c r="AY1362" s="10973"/>
      <c r="AZ1362" s="10978"/>
      <c r="BA1362" s="10970"/>
      <c r="BB1362" s="10972"/>
      <c r="BC1362" s="10973"/>
      <c r="BD1362" s="10979"/>
      <c r="BF1362" s="14510"/>
      <c r="BG1362" s="14510"/>
      <c r="BH1362" s="14510"/>
      <c r="BI1362" s="14510"/>
      <c r="BJ1362" s="14510"/>
      <c r="BK1362" s="10036"/>
      <c r="BL1362" s="14510"/>
      <c r="BM1362" s="14510"/>
      <c r="BN1362" s="14510"/>
    </row>
    <row r="1363" spans="1:66" ht="30" hidden="1" customHeight="1">
      <c r="A1363" s="13530"/>
      <c r="B1363" s="14149"/>
      <c r="C1363" s="13610"/>
      <c r="D1363" s="12542" t="s">
        <v>10063</v>
      </c>
      <c r="E1363" s="14311"/>
      <c r="F1363" s="12412"/>
      <c r="G1363" s="14150"/>
      <c r="H1363" s="13401"/>
      <c r="I1363" s="14305"/>
      <c r="K1363" s="10970"/>
      <c r="L1363" s="10971"/>
      <c r="M1363" s="10971"/>
      <c r="N1363" s="10972"/>
      <c r="O1363" s="10972"/>
      <c r="P1363" s="10973"/>
      <c r="Q1363" s="10974"/>
      <c r="R1363" s="10975"/>
      <c r="S1363" s="10976"/>
      <c r="T1363" s="10977"/>
      <c r="U1363" s="10974"/>
      <c r="V1363" s="10975"/>
      <c r="W1363" s="10977"/>
      <c r="X1363" s="10975"/>
      <c r="Y1363" s="10977"/>
      <c r="Z1363" s="10975"/>
      <c r="AA1363" s="10976"/>
      <c r="AB1363" s="10976"/>
      <c r="AC1363" s="10976"/>
      <c r="AD1363" s="10976"/>
      <c r="AE1363" s="10976"/>
      <c r="AF1363" s="10977"/>
      <c r="AG1363" s="10975"/>
      <c r="AH1363" s="10976"/>
      <c r="AI1363" s="10976"/>
      <c r="AJ1363" s="10976"/>
      <c r="AK1363" s="10976"/>
      <c r="AL1363" s="10976"/>
      <c r="AM1363" s="10976"/>
      <c r="AN1363" s="10977"/>
      <c r="AO1363" s="10975"/>
      <c r="AP1363" s="10976"/>
      <c r="AQ1363" s="10976"/>
      <c r="AR1363" s="10976"/>
      <c r="AS1363" s="10976"/>
      <c r="AT1363" s="10977"/>
      <c r="AU1363" s="10978"/>
      <c r="AV1363" s="10978"/>
      <c r="AW1363" s="10978"/>
      <c r="AX1363" s="10970"/>
      <c r="AY1363" s="10973"/>
      <c r="AZ1363" s="10978"/>
      <c r="BA1363" s="10970"/>
      <c r="BB1363" s="10972"/>
      <c r="BC1363" s="10973"/>
      <c r="BD1363" s="10979"/>
      <c r="BF1363" s="14510"/>
      <c r="BG1363" s="14510"/>
      <c r="BH1363" s="14510"/>
      <c r="BI1363" s="14510"/>
      <c r="BJ1363" s="14510"/>
      <c r="BK1363" s="10036"/>
      <c r="BL1363" s="14510"/>
      <c r="BM1363" s="14510"/>
      <c r="BN1363" s="14510"/>
    </row>
    <row r="1364" spans="1:66" ht="30" hidden="1" customHeight="1">
      <c r="A1364" s="7741">
        <v>869</v>
      </c>
      <c r="B1364" s="7792" t="s">
        <v>8255</v>
      </c>
      <c r="C1364" s="13610"/>
      <c r="D1364" s="12542" t="s">
        <v>10063</v>
      </c>
      <c r="E1364" s="12412" t="s">
        <v>144</v>
      </c>
      <c r="F1364" s="12412" t="s">
        <v>545</v>
      </c>
      <c r="G1364" s="12244" t="s">
        <v>5455</v>
      </c>
      <c r="H1364" s="11738" t="s">
        <v>5469</v>
      </c>
      <c r="I1364" s="12543" t="s">
        <v>5459</v>
      </c>
      <c r="K1364" s="10966"/>
      <c r="L1364" s="10649"/>
      <c r="M1364" s="10649"/>
      <c r="N1364" s="10967"/>
      <c r="O1364" s="10967"/>
      <c r="P1364" s="10968"/>
      <c r="Q1364" s="10650"/>
      <c r="R1364" s="10651"/>
      <c r="S1364" s="10652"/>
      <c r="T1364" s="10653"/>
      <c r="U1364" s="10650"/>
      <c r="V1364" s="10651"/>
      <c r="W1364" s="10653"/>
      <c r="X1364" s="10651"/>
      <c r="Y1364" s="10653"/>
      <c r="Z1364" s="10651"/>
      <c r="AA1364" s="10652"/>
      <c r="AB1364" s="10652"/>
      <c r="AC1364" s="10652"/>
      <c r="AD1364" s="10652"/>
      <c r="AE1364" s="10652"/>
      <c r="AF1364" s="10653"/>
      <c r="AG1364" s="10651"/>
      <c r="AH1364" s="10652"/>
      <c r="AI1364" s="10652"/>
      <c r="AJ1364" s="10652"/>
      <c r="AK1364" s="10652"/>
      <c r="AL1364" s="10652"/>
      <c r="AM1364" s="10652"/>
      <c r="AN1364" s="10653"/>
      <c r="AO1364" s="10651"/>
      <c r="AP1364" s="10652"/>
      <c r="AQ1364" s="10652"/>
      <c r="AR1364" s="10652"/>
      <c r="AS1364" s="10652"/>
      <c r="AT1364" s="10653"/>
      <c r="AU1364" s="10969"/>
      <c r="AV1364" s="10969"/>
      <c r="AW1364" s="10969"/>
      <c r="AX1364" s="10966"/>
      <c r="AY1364" s="10968"/>
      <c r="AZ1364" s="10969"/>
      <c r="BA1364" s="10966"/>
      <c r="BB1364" s="10967"/>
      <c r="BC1364" s="10968"/>
      <c r="BD1364" s="7741"/>
      <c r="BF1364" s="10036"/>
      <c r="BG1364" s="10036"/>
      <c r="BH1364" s="10036"/>
      <c r="BI1364" s="10036"/>
      <c r="BJ1364" s="10036"/>
      <c r="BK1364" s="10036"/>
      <c r="BL1364" s="10036"/>
      <c r="BM1364" s="10036"/>
      <c r="BN1364" s="10036"/>
    </row>
    <row r="1365" spans="1:66" ht="26.25" customHeight="1">
      <c r="A1365" s="13530">
        <v>870</v>
      </c>
      <c r="B1365" s="14149" t="s">
        <v>8256</v>
      </c>
      <c r="C1365" s="13610"/>
      <c r="D1365" s="12542" t="s">
        <v>86</v>
      </c>
      <c r="E1365" s="14311" t="s">
        <v>5487</v>
      </c>
      <c r="F1365" s="7841"/>
      <c r="G1365" s="14150" t="s">
        <v>5471</v>
      </c>
      <c r="H1365" s="13401" t="s">
        <v>5485</v>
      </c>
      <c r="I1365" s="14305" t="s">
        <v>5475</v>
      </c>
      <c r="K1365" s="10966">
        <v>56</v>
      </c>
      <c r="L1365" s="10649"/>
      <c r="M1365" s="10649"/>
      <c r="N1365" s="10972" t="s">
        <v>10465</v>
      </c>
      <c r="O1365" s="10972" t="s">
        <v>10466</v>
      </c>
      <c r="P1365" s="10973" t="s">
        <v>10467</v>
      </c>
      <c r="Q1365" s="10974"/>
      <c r="R1365" s="10975"/>
      <c r="S1365" s="10976"/>
      <c r="T1365" s="10977"/>
      <c r="U1365" s="10974"/>
      <c r="V1365" s="10975">
        <v>22</v>
      </c>
      <c r="W1365" s="10977">
        <v>82</v>
      </c>
      <c r="X1365" s="10975">
        <v>10</v>
      </c>
      <c r="Y1365" s="10977">
        <v>20</v>
      </c>
      <c r="Z1365" s="10975"/>
      <c r="AA1365" s="10976"/>
      <c r="AB1365" s="10976"/>
      <c r="AC1365" s="10976"/>
      <c r="AD1365" s="10976"/>
      <c r="AE1365" s="10976">
        <v>104</v>
      </c>
      <c r="AF1365" s="10977"/>
      <c r="AG1365" s="10975">
        <v>104</v>
      </c>
      <c r="AH1365" s="10976"/>
      <c r="AI1365" s="10976"/>
      <c r="AJ1365" s="10976"/>
      <c r="AK1365" s="10976"/>
      <c r="AL1365" s="10976"/>
      <c r="AM1365" s="10976"/>
      <c r="AN1365" s="10977"/>
      <c r="AO1365" s="10975">
        <v>104</v>
      </c>
      <c r="AP1365" s="10976"/>
      <c r="AQ1365" s="10976"/>
      <c r="AR1365" s="10976"/>
      <c r="AS1365" s="10976"/>
      <c r="AT1365" s="10977"/>
      <c r="AU1365" s="10978" t="s">
        <v>10468</v>
      </c>
      <c r="AV1365" s="10978" t="s">
        <v>10469</v>
      </c>
      <c r="AW1365" s="10969">
        <v>104</v>
      </c>
      <c r="AX1365" s="10970" t="s">
        <v>10470</v>
      </c>
      <c r="AY1365" s="10973" t="s">
        <v>10471</v>
      </c>
      <c r="AZ1365" s="10978"/>
      <c r="BA1365" s="10970"/>
      <c r="BB1365" s="10972"/>
      <c r="BC1365" s="10973"/>
      <c r="BD1365" s="10979"/>
      <c r="BF1365" s="14510"/>
      <c r="BG1365" s="14510"/>
      <c r="BH1365" s="14510"/>
      <c r="BI1365" s="14510"/>
      <c r="BJ1365" s="14510"/>
      <c r="BK1365" s="13072"/>
      <c r="BL1365" s="14510"/>
      <c r="BM1365" s="14510"/>
      <c r="BN1365" s="14510"/>
    </row>
    <row r="1366" spans="1:66" ht="20.25" hidden="1" customHeight="1">
      <c r="A1366" s="13530"/>
      <c r="B1366" s="14149"/>
      <c r="C1366" s="13610"/>
      <c r="D1366" s="12542" t="s">
        <v>10063</v>
      </c>
      <c r="E1366" s="14311"/>
      <c r="F1366" s="12412"/>
      <c r="G1366" s="14150"/>
      <c r="H1366" s="13401"/>
      <c r="I1366" s="14305"/>
      <c r="K1366" s="8431">
        <v>35</v>
      </c>
      <c r="L1366" s="8443">
        <v>1</v>
      </c>
      <c r="M1366" s="8443">
        <v>1</v>
      </c>
      <c r="N1366" s="8433" t="s">
        <v>10472</v>
      </c>
      <c r="O1366" s="8433" t="s">
        <v>10466</v>
      </c>
      <c r="P1366" s="8434" t="s">
        <v>10473</v>
      </c>
      <c r="Q1366" s="7967"/>
      <c r="R1366" s="7968"/>
      <c r="S1366" s="7969"/>
      <c r="T1366" s="7970"/>
      <c r="U1366" s="7967"/>
      <c r="V1366" s="7968">
        <v>7</v>
      </c>
      <c r="W1366" s="7970">
        <v>33</v>
      </c>
      <c r="X1366" s="7968">
        <v>40</v>
      </c>
      <c r="Y1366" s="7970"/>
      <c r="Z1366" s="7968"/>
      <c r="AA1366" s="7969"/>
      <c r="AB1366" s="7969"/>
      <c r="AC1366" s="7969"/>
      <c r="AD1366" s="7969"/>
      <c r="AE1366" s="7969">
        <v>40</v>
      </c>
      <c r="AF1366" s="7970"/>
      <c r="AG1366" s="7968">
        <v>40</v>
      </c>
      <c r="AH1366" s="7969"/>
      <c r="AI1366" s="7969"/>
      <c r="AJ1366" s="7969"/>
      <c r="AK1366" s="7969"/>
      <c r="AL1366" s="7969"/>
      <c r="AM1366" s="7969"/>
      <c r="AN1366" s="7970"/>
      <c r="AO1366" s="7968">
        <v>40</v>
      </c>
      <c r="AP1366" s="7969"/>
      <c r="AQ1366" s="7969"/>
      <c r="AR1366" s="7969"/>
      <c r="AS1366" s="7969"/>
      <c r="AT1366" s="7970"/>
      <c r="AU1366" s="8435" t="s">
        <v>10474</v>
      </c>
      <c r="AV1366" s="8435" t="s">
        <v>10475</v>
      </c>
      <c r="AW1366" s="8450">
        <v>40</v>
      </c>
      <c r="AX1366" s="8432" t="s">
        <v>10476</v>
      </c>
      <c r="AY1366" s="8434" t="s">
        <v>10477</v>
      </c>
      <c r="AZ1366" s="8435"/>
      <c r="BA1366" s="8432"/>
      <c r="BB1366" s="8433"/>
      <c r="BC1366" s="8434"/>
      <c r="BD1366" s="8436"/>
      <c r="BF1366" s="14510"/>
      <c r="BG1366" s="14510"/>
      <c r="BH1366" s="14510"/>
      <c r="BI1366" s="14510"/>
      <c r="BJ1366" s="14510"/>
      <c r="BK1366" s="10036"/>
      <c r="BL1366" s="14510"/>
      <c r="BM1366" s="14510"/>
      <c r="BN1366" s="14510"/>
    </row>
    <row r="1367" spans="1:66" ht="20.25" hidden="1" customHeight="1">
      <c r="A1367" s="13530"/>
      <c r="B1367" s="14149"/>
      <c r="C1367" s="13610"/>
      <c r="D1367" s="12542" t="s">
        <v>10199</v>
      </c>
      <c r="E1367" s="12412"/>
      <c r="F1367" s="12412" t="s">
        <v>10293</v>
      </c>
      <c r="G1367" s="14150"/>
      <c r="H1367" s="13401"/>
      <c r="I1367" s="14305"/>
      <c r="K1367" s="10786">
        <v>1</v>
      </c>
      <c r="L1367" s="10665">
        <v>0.73299999999999998</v>
      </c>
      <c r="M1367" s="10665">
        <v>1</v>
      </c>
      <c r="N1367" s="10981" t="s">
        <v>10478</v>
      </c>
      <c r="O1367" s="10981" t="s">
        <v>10479</v>
      </c>
      <c r="P1367" s="10982" t="s">
        <v>10473</v>
      </c>
      <c r="Q1367" s="10817"/>
      <c r="R1367" s="10818"/>
      <c r="S1367" s="10819"/>
      <c r="T1367" s="10820"/>
      <c r="U1367" s="10817"/>
      <c r="V1367" s="10818">
        <v>18</v>
      </c>
      <c r="W1367" s="10820">
        <v>57</v>
      </c>
      <c r="X1367" s="10818">
        <v>27</v>
      </c>
      <c r="Y1367" s="10820">
        <v>30</v>
      </c>
      <c r="Z1367" s="10818"/>
      <c r="AA1367" s="10819"/>
      <c r="AB1367" s="10819"/>
      <c r="AC1367" s="10819"/>
      <c r="AD1367" s="10819"/>
      <c r="AE1367" s="10819">
        <v>75</v>
      </c>
      <c r="AF1367" s="10820"/>
      <c r="AG1367" s="10818">
        <v>75</v>
      </c>
      <c r="AH1367" s="10819"/>
      <c r="AI1367" s="10819"/>
      <c r="AJ1367" s="10819"/>
      <c r="AK1367" s="10819"/>
      <c r="AL1367" s="10819"/>
      <c r="AM1367" s="10819"/>
      <c r="AN1367" s="10820"/>
      <c r="AO1367" s="10818">
        <v>75</v>
      </c>
      <c r="AP1367" s="10819"/>
      <c r="AQ1367" s="10819"/>
      <c r="AR1367" s="10819"/>
      <c r="AS1367" s="10819"/>
      <c r="AT1367" s="10820"/>
      <c r="AU1367" s="10983" t="s">
        <v>10480</v>
      </c>
      <c r="AV1367" s="10983" t="s">
        <v>10481</v>
      </c>
      <c r="AW1367" s="10802">
        <v>75</v>
      </c>
      <c r="AX1367" s="10980" t="s">
        <v>10482</v>
      </c>
      <c r="AY1367" s="10980" t="s">
        <v>10483</v>
      </c>
      <c r="AZ1367" s="10983"/>
      <c r="BA1367" s="10980"/>
      <c r="BB1367" s="10981"/>
      <c r="BC1367" s="10982"/>
      <c r="BD1367" s="10984"/>
      <c r="BF1367" s="14510"/>
      <c r="BG1367" s="14510"/>
      <c r="BH1367" s="14510"/>
      <c r="BI1367" s="14510"/>
      <c r="BJ1367" s="14510"/>
      <c r="BK1367" s="10036"/>
      <c r="BL1367" s="14510"/>
      <c r="BM1367" s="14510"/>
      <c r="BN1367" s="14510"/>
    </row>
    <row r="1368" spans="1:66" ht="20.25" hidden="1" customHeight="1">
      <c r="A1368" s="13530"/>
      <c r="B1368" s="14149"/>
      <c r="C1368" s="13610"/>
      <c r="D1368" s="12542" t="s">
        <v>4338</v>
      </c>
      <c r="E1368" s="12412"/>
      <c r="F1368" s="12412" t="s">
        <v>10294</v>
      </c>
      <c r="G1368" s="14150"/>
      <c r="H1368" s="13401"/>
      <c r="I1368" s="14305"/>
      <c r="K1368" s="10966">
        <v>0</v>
      </c>
      <c r="L1368" s="10649">
        <v>0</v>
      </c>
      <c r="M1368" s="10649">
        <v>1</v>
      </c>
      <c r="N1368" s="10972" t="s">
        <v>10451</v>
      </c>
      <c r="O1368" s="10972"/>
      <c r="P1368" s="10973" t="s">
        <v>10484</v>
      </c>
      <c r="Q1368" s="10974"/>
      <c r="R1368" s="10975"/>
      <c r="S1368" s="10976"/>
      <c r="T1368" s="10977"/>
      <c r="U1368" s="10974"/>
      <c r="V1368" s="10975">
        <v>0</v>
      </c>
      <c r="W1368" s="10977">
        <v>0</v>
      </c>
      <c r="X1368" s="10975">
        <v>0</v>
      </c>
      <c r="Y1368" s="10977">
        <v>0</v>
      </c>
      <c r="Z1368" s="10975"/>
      <c r="AA1368" s="10976"/>
      <c r="AB1368" s="10976"/>
      <c r="AC1368" s="10976"/>
      <c r="AD1368" s="10976"/>
      <c r="AE1368" s="10976"/>
      <c r="AF1368" s="10977"/>
      <c r="AG1368" s="10975"/>
      <c r="AH1368" s="10976"/>
      <c r="AI1368" s="10976"/>
      <c r="AJ1368" s="10976"/>
      <c r="AK1368" s="10976"/>
      <c r="AL1368" s="10976"/>
      <c r="AM1368" s="10976"/>
      <c r="AN1368" s="10977"/>
      <c r="AO1368" s="10975"/>
      <c r="AP1368" s="10976"/>
      <c r="AQ1368" s="10976"/>
      <c r="AR1368" s="10976"/>
      <c r="AS1368" s="10976"/>
      <c r="AT1368" s="10977"/>
      <c r="AU1368" s="10978"/>
      <c r="AV1368" s="10978"/>
      <c r="AW1368" s="10978"/>
      <c r="AX1368" s="10970"/>
      <c r="AY1368" s="10973"/>
      <c r="AZ1368" s="10978"/>
      <c r="BA1368" s="10970"/>
      <c r="BB1368" s="10972"/>
      <c r="BC1368" s="10973"/>
      <c r="BD1368" s="10979"/>
      <c r="BF1368" s="14510"/>
      <c r="BG1368" s="14510"/>
      <c r="BH1368" s="14510"/>
      <c r="BI1368" s="14510"/>
      <c r="BJ1368" s="14510"/>
      <c r="BK1368" s="10036"/>
      <c r="BL1368" s="14510"/>
      <c r="BM1368" s="14510"/>
      <c r="BN1368" s="14510"/>
    </row>
    <row r="1369" spans="1:66" ht="51" hidden="1" customHeight="1">
      <c r="A1369" s="13530"/>
      <c r="B1369" s="14149"/>
      <c r="C1369" s="13610"/>
      <c r="D1369" s="12542" t="s">
        <v>10273</v>
      </c>
      <c r="E1369" s="12412"/>
      <c r="F1369" s="12412" t="s">
        <v>10295</v>
      </c>
      <c r="G1369" s="14150"/>
      <c r="H1369" s="13401"/>
      <c r="I1369" s="14305"/>
      <c r="K1369" s="10970"/>
      <c r="L1369" s="10971"/>
      <c r="M1369" s="10971"/>
      <c r="N1369" s="10972"/>
      <c r="O1369" s="10972"/>
      <c r="P1369" s="10973"/>
      <c r="Q1369" s="10974"/>
      <c r="R1369" s="10975"/>
      <c r="S1369" s="10976"/>
      <c r="T1369" s="10977"/>
      <c r="U1369" s="10974"/>
      <c r="V1369" s="10975"/>
      <c r="W1369" s="10977"/>
      <c r="X1369" s="10975"/>
      <c r="Y1369" s="10977"/>
      <c r="Z1369" s="10975"/>
      <c r="AA1369" s="10976"/>
      <c r="AB1369" s="10976"/>
      <c r="AC1369" s="10976"/>
      <c r="AD1369" s="10976"/>
      <c r="AE1369" s="10976"/>
      <c r="AF1369" s="10977"/>
      <c r="AG1369" s="10975"/>
      <c r="AH1369" s="10976"/>
      <c r="AI1369" s="10976"/>
      <c r="AJ1369" s="10976"/>
      <c r="AK1369" s="10976"/>
      <c r="AL1369" s="10976"/>
      <c r="AM1369" s="10976"/>
      <c r="AN1369" s="10977"/>
      <c r="AO1369" s="10975"/>
      <c r="AP1369" s="10976"/>
      <c r="AQ1369" s="10976"/>
      <c r="AR1369" s="10976"/>
      <c r="AS1369" s="10976"/>
      <c r="AT1369" s="10977"/>
      <c r="AU1369" s="10978"/>
      <c r="AV1369" s="10978"/>
      <c r="AW1369" s="10978"/>
      <c r="AX1369" s="10970"/>
      <c r="AY1369" s="10973"/>
      <c r="AZ1369" s="10978"/>
      <c r="BA1369" s="10970"/>
      <c r="BB1369" s="10972"/>
      <c r="BC1369" s="10973"/>
      <c r="BD1369" s="10979"/>
      <c r="BF1369" s="14510"/>
      <c r="BG1369" s="14510"/>
      <c r="BH1369" s="14510"/>
      <c r="BI1369" s="14510"/>
      <c r="BJ1369" s="14510"/>
      <c r="BK1369" s="10036"/>
      <c r="BL1369" s="14510"/>
      <c r="BM1369" s="14510"/>
      <c r="BN1369" s="14510"/>
    </row>
    <row r="1370" spans="1:66" ht="30" hidden="1" customHeight="1">
      <c r="A1370" s="7741">
        <v>871</v>
      </c>
      <c r="B1370" s="7792" t="s">
        <v>8257</v>
      </c>
      <c r="C1370" s="13610"/>
      <c r="D1370" s="12542" t="s">
        <v>10063</v>
      </c>
      <c r="E1370" s="12412" t="s">
        <v>724</v>
      </c>
      <c r="F1370" s="12412" t="s">
        <v>545</v>
      </c>
      <c r="G1370" s="12244" t="s">
        <v>5489</v>
      </c>
      <c r="H1370" s="11738" t="s">
        <v>5502</v>
      </c>
      <c r="I1370" s="12543" t="s">
        <v>5492</v>
      </c>
      <c r="K1370" s="10966"/>
      <c r="L1370" s="10649"/>
      <c r="M1370" s="10649"/>
      <c r="N1370" s="10967"/>
      <c r="O1370" s="10967"/>
      <c r="P1370" s="10968"/>
      <c r="Q1370" s="10650"/>
      <c r="R1370" s="10651"/>
      <c r="S1370" s="10652"/>
      <c r="T1370" s="10653"/>
      <c r="U1370" s="10650"/>
      <c r="V1370" s="10651"/>
      <c r="W1370" s="10653"/>
      <c r="X1370" s="10651"/>
      <c r="Y1370" s="10653"/>
      <c r="Z1370" s="10651"/>
      <c r="AA1370" s="10652"/>
      <c r="AB1370" s="10652"/>
      <c r="AC1370" s="10652"/>
      <c r="AD1370" s="10652"/>
      <c r="AE1370" s="10652"/>
      <c r="AF1370" s="10653"/>
      <c r="AG1370" s="10651"/>
      <c r="AH1370" s="10652"/>
      <c r="AI1370" s="10652"/>
      <c r="AJ1370" s="10652"/>
      <c r="AK1370" s="10652"/>
      <c r="AL1370" s="10652"/>
      <c r="AM1370" s="10652"/>
      <c r="AN1370" s="10653"/>
      <c r="AO1370" s="10651"/>
      <c r="AP1370" s="10652"/>
      <c r="AQ1370" s="10652"/>
      <c r="AR1370" s="10652"/>
      <c r="AS1370" s="10652"/>
      <c r="AT1370" s="10653"/>
      <c r="AU1370" s="10969"/>
      <c r="AV1370" s="10969"/>
      <c r="AW1370" s="10969"/>
      <c r="AX1370" s="10966"/>
      <c r="AY1370" s="10968"/>
      <c r="AZ1370" s="10969"/>
      <c r="BA1370" s="10966"/>
      <c r="BB1370" s="10967"/>
      <c r="BC1370" s="10968"/>
      <c r="BD1370" s="7741"/>
      <c r="BF1370" s="10036"/>
      <c r="BG1370" s="10036"/>
      <c r="BH1370" s="10036"/>
      <c r="BI1370" s="10036"/>
      <c r="BJ1370" s="10036"/>
      <c r="BK1370" s="10036"/>
      <c r="BL1370" s="10036"/>
      <c r="BM1370" s="10036"/>
      <c r="BN1370" s="10036"/>
    </row>
    <row r="1371" spans="1:66" ht="30" hidden="1" customHeight="1">
      <c r="A1371" s="7741">
        <v>872</v>
      </c>
      <c r="B1371" s="7792" t="s">
        <v>8258</v>
      </c>
      <c r="C1371" s="13610"/>
      <c r="D1371" s="12542" t="s">
        <v>10063</v>
      </c>
      <c r="E1371" s="12544" t="s">
        <v>724</v>
      </c>
      <c r="F1371" s="12545" t="s">
        <v>5519</v>
      </c>
      <c r="G1371" s="12244" t="s">
        <v>5504</v>
      </c>
      <c r="H1371" s="11738" t="s">
        <v>5518</v>
      </c>
      <c r="I1371" s="12543" t="s">
        <v>5508</v>
      </c>
      <c r="K1371" s="10966"/>
      <c r="L1371" s="10649"/>
      <c r="M1371" s="10649"/>
      <c r="N1371" s="10967"/>
      <c r="O1371" s="10967"/>
      <c r="P1371" s="10968"/>
      <c r="Q1371" s="10650"/>
      <c r="R1371" s="10651"/>
      <c r="S1371" s="10652"/>
      <c r="T1371" s="10653"/>
      <c r="U1371" s="10650"/>
      <c r="V1371" s="10651"/>
      <c r="W1371" s="10653"/>
      <c r="X1371" s="10651"/>
      <c r="Y1371" s="10653"/>
      <c r="Z1371" s="10651"/>
      <c r="AA1371" s="10652"/>
      <c r="AB1371" s="10652"/>
      <c r="AC1371" s="10652"/>
      <c r="AD1371" s="10652"/>
      <c r="AE1371" s="10652"/>
      <c r="AF1371" s="10653"/>
      <c r="AG1371" s="10651"/>
      <c r="AH1371" s="10652"/>
      <c r="AI1371" s="10652"/>
      <c r="AJ1371" s="10652"/>
      <c r="AK1371" s="10652"/>
      <c r="AL1371" s="10652"/>
      <c r="AM1371" s="10652"/>
      <c r="AN1371" s="10653"/>
      <c r="AO1371" s="10651"/>
      <c r="AP1371" s="10652"/>
      <c r="AQ1371" s="10652"/>
      <c r="AR1371" s="10652"/>
      <c r="AS1371" s="10652"/>
      <c r="AT1371" s="10653"/>
      <c r="AU1371" s="10969"/>
      <c r="AV1371" s="10969"/>
      <c r="AW1371" s="10969"/>
      <c r="AX1371" s="10966"/>
      <c r="AY1371" s="10968"/>
      <c r="AZ1371" s="10969"/>
      <c r="BA1371" s="10966"/>
      <c r="BB1371" s="10967"/>
      <c r="BC1371" s="10968"/>
      <c r="BD1371" s="7741"/>
      <c r="BF1371" s="10036"/>
      <c r="BG1371" s="10036"/>
      <c r="BH1371" s="10036"/>
      <c r="BI1371" s="10036"/>
      <c r="BJ1371" s="10036"/>
      <c r="BK1371" s="10036"/>
      <c r="BL1371" s="10036"/>
      <c r="BM1371" s="10036"/>
      <c r="BN1371" s="10036"/>
    </row>
    <row r="1372" spans="1:66" ht="21.75" hidden="1" customHeight="1">
      <c r="A1372" s="13540">
        <v>873</v>
      </c>
      <c r="B1372" s="14096" t="s">
        <v>8259</v>
      </c>
      <c r="C1372" s="13610"/>
      <c r="D1372" s="11736" t="s">
        <v>10063</v>
      </c>
      <c r="E1372" s="7841" t="s">
        <v>724</v>
      </c>
      <c r="F1372" s="7841"/>
      <c r="G1372" s="14097" t="s">
        <v>5525</v>
      </c>
      <c r="H1372" s="13410" t="s">
        <v>5538</v>
      </c>
      <c r="I1372" s="14115" t="s">
        <v>5528</v>
      </c>
      <c r="K1372" s="9662"/>
      <c r="L1372" s="9653"/>
      <c r="M1372" s="9653"/>
      <c r="N1372" s="9663"/>
      <c r="O1372" s="9663"/>
      <c r="P1372" s="9664"/>
      <c r="Q1372" s="9656"/>
      <c r="R1372" s="9657"/>
      <c r="S1372" s="9658"/>
      <c r="T1372" s="9659"/>
      <c r="U1372" s="9656"/>
      <c r="V1372" s="9657"/>
      <c r="W1372" s="9659"/>
      <c r="X1372" s="9657"/>
      <c r="Y1372" s="9659"/>
      <c r="Z1372" s="9657"/>
      <c r="AA1372" s="9658"/>
      <c r="AB1372" s="9658"/>
      <c r="AC1372" s="9658"/>
      <c r="AD1372" s="9658"/>
      <c r="AE1372" s="9658"/>
      <c r="AF1372" s="9659"/>
      <c r="AG1372" s="9657"/>
      <c r="AH1372" s="9658"/>
      <c r="AI1372" s="9658"/>
      <c r="AJ1372" s="9658"/>
      <c r="AK1372" s="9658"/>
      <c r="AL1372" s="9658"/>
      <c r="AM1372" s="9658"/>
      <c r="AN1372" s="9659"/>
      <c r="AO1372" s="9657"/>
      <c r="AP1372" s="9658"/>
      <c r="AQ1372" s="9658"/>
      <c r="AR1372" s="9658"/>
      <c r="AS1372" s="9658"/>
      <c r="AT1372" s="9659"/>
      <c r="AU1372" s="9665"/>
      <c r="AV1372" s="9665"/>
      <c r="AW1372" s="9665"/>
      <c r="AX1372" s="9662"/>
      <c r="AY1372" s="9664"/>
      <c r="AZ1372" s="9665"/>
      <c r="BA1372" s="9662"/>
      <c r="BB1372" s="9663"/>
      <c r="BC1372" s="9664"/>
      <c r="BD1372" s="9666"/>
      <c r="BF1372" s="14494"/>
      <c r="BG1372" s="14494"/>
      <c r="BH1372" s="14494"/>
      <c r="BI1372" s="14494"/>
      <c r="BJ1372" s="14494"/>
      <c r="BK1372" s="8654"/>
      <c r="BL1372" s="14494"/>
      <c r="BM1372" s="14494"/>
      <c r="BN1372" s="14494"/>
    </row>
    <row r="1373" spans="1:66" ht="21.75" hidden="1" customHeight="1">
      <c r="A1373" s="13540"/>
      <c r="B1373" s="14096"/>
      <c r="C1373" s="13610"/>
      <c r="D1373" s="11736" t="s">
        <v>10199</v>
      </c>
      <c r="E1373" s="7841"/>
      <c r="F1373" s="7841" t="s">
        <v>507</v>
      </c>
      <c r="G1373" s="14097"/>
      <c r="H1373" s="13410"/>
      <c r="I1373" s="14115"/>
      <c r="K1373" s="9662"/>
      <c r="L1373" s="9653"/>
      <c r="M1373" s="9653"/>
      <c r="N1373" s="9663"/>
      <c r="O1373" s="9663"/>
      <c r="P1373" s="9664"/>
      <c r="Q1373" s="9656"/>
      <c r="R1373" s="9657"/>
      <c r="S1373" s="9658"/>
      <c r="T1373" s="9659"/>
      <c r="U1373" s="9656"/>
      <c r="V1373" s="9657"/>
      <c r="W1373" s="9659"/>
      <c r="X1373" s="9657"/>
      <c r="Y1373" s="9659"/>
      <c r="Z1373" s="9657"/>
      <c r="AA1373" s="9658"/>
      <c r="AB1373" s="9658"/>
      <c r="AC1373" s="9658"/>
      <c r="AD1373" s="9658"/>
      <c r="AE1373" s="9658"/>
      <c r="AF1373" s="9659"/>
      <c r="AG1373" s="9657"/>
      <c r="AH1373" s="9658"/>
      <c r="AI1373" s="9658"/>
      <c r="AJ1373" s="9658"/>
      <c r="AK1373" s="9658"/>
      <c r="AL1373" s="9658"/>
      <c r="AM1373" s="9658"/>
      <c r="AN1373" s="9659"/>
      <c r="AO1373" s="9657"/>
      <c r="AP1373" s="9658"/>
      <c r="AQ1373" s="9658"/>
      <c r="AR1373" s="9658"/>
      <c r="AS1373" s="9658"/>
      <c r="AT1373" s="9659"/>
      <c r="AU1373" s="9665"/>
      <c r="AV1373" s="9665"/>
      <c r="AW1373" s="9665"/>
      <c r="AX1373" s="9662"/>
      <c r="AY1373" s="9664"/>
      <c r="AZ1373" s="9665"/>
      <c r="BA1373" s="9662"/>
      <c r="BB1373" s="9663"/>
      <c r="BC1373" s="9664"/>
      <c r="BD1373" s="9666"/>
      <c r="BF1373" s="14494"/>
      <c r="BG1373" s="14494"/>
      <c r="BH1373" s="14494"/>
      <c r="BI1373" s="14494"/>
      <c r="BJ1373" s="14494"/>
      <c r="BK1373" s="8654"/>
      <c r="BL1373" s="14494"/>
      <c r="BM1373" s="14494"/>
      <c r="BN1373" s="14494"/>
    </row>
    <row r="1374" spans="1:66" ht="21.75" hidden="1" customHeight="1" thickBot="1">
      <c r="A1374" s="13550"/>
      <c r="B1374" s="14301"/>
      <c r="C1374" s="13610"/>
      <c r="D1374" s="11742" t="s">
        <v>10251</v>
      </c>
      <c r="E1374" s="7843"/>
      <c r="F1374" s="7843" t="s">
        <v>10296</v>
      </c>
      <c r="G1374" s="14302"/>
      <c r="H1374" s="13411"/>
      <c r="I1374" s="14184"/>
      <c r="K1374" s="10037"/>
      <c r="L1374" s="9668"/>
      <c r="M1374" s="9668"/>
      <c r="N1374" s="10038"/>
      <c r="O1374" s="10038"/>
      <c r="P1374" s="10039"/>
      <c r="Q1374" s="9671"/>
      <c r="R1374" s="9672"/>
      <c r="S1374" s="9673"/>
      <c r="T1374" s="9674"/>
      <c r="U1374" s="9671"/>
      <c r="V1374" s="9672"/>
      <c r="W1374" s="9674"/>
      <c r="X1374" s="9672"/>
      <c r="Y1374" s="9674"/>
      <c r="Z1374" s="9672"/>
      <c r="AA1374" s="9673"/>
      <c r="AB1374" s="9673"/>
      <c r="AC1374" s="9673"/>
      <c r="AD1374" s="9673"/>
      <c r="AE1374" s="9673"/>
      <c r="AF1374" s="9674"/>
      <c r="AG1374" s="9672"/>
      <c r="AH1374" s="9673"/>
      <c r="AI1374" s="9673"/>
      <c r="AJ1374" s="9673"/>
      <c r="AK1374" s="9673"/>
      <c r="AL1374" s="9673"/>
      <c r="AM1374" s="9673"/>
      <c r="AN1374" s="9674"/>
      <c r="AO1374" s="9672"/>
      <c r="AP1374" s="9673"/>
      <c r="AQ1374" s="9673"/>
      <c r="AR1374" s="9673"/>
      <c r="AS1374" s="9673"/>
      <c r="AT1374" s="9674"/>
      <c r="AU1374" s="10040"/>
      <c r="AV1374" s="10040"/>
      <c r="AW1374" s="10040"/>
      <c r="AX1374" s="10037"/>
      <c r="AY1374" s="10039"/>
      <c r="AZ1374" s="10040"/>
      <c r="BA1374" s="10037"/>
      <c r="BB1374" s="10038"/>
      <c r="BC1374" s="10039"/>
      <c r="BD1374" s="10041"/>
      <c r="BF1374" s="14556"/>
      <c r="BG1374" s="14556"/>
      <c r="BH1374" s="14556"/>
      <c r="BI1374" s="14556"/>
      <c r="BJ1374" s="14556"/>
      <c r="BK1374" s="8677"/>
      <c r="BL1374" s="14556"/>
      <c r="BM1374" s="14556"/>
      <c r="BN1374" s="14556"/>
    </row>
    <row r="1375" spans="1:66" ht="21.75" hidden="1" customHeight="1">
      <c r="A1375" s="13551">
        <v>874</v>
      </c>
      <c r="B1375" s="14299" t="s">
        <v>8260</v>
      </c>
      <c r="C1375" s="13610"/>
      <c r="D1375" s="11783" t="s">
        <v>10063</v>
      </c>
      <c r="E1375" s="14312" t="s">
        <v>5563</v>
      </c>
      <c r="F1375" s="11784"/>
      <c r="G1375" s="14189" t="s">
        <v>5547</v>
      </c>
      <c r="H1375" s="13412" t="s">
        <v>5561</v>
      </c>
      <c r="I1375" s="13865" t="s">
        <v>5551</v>
      </c>
      <c r="K1375" s="8421"/>
      <c r="L1375" s="8422"/>
      <c r="M1375" s="8422"/>
      <c r="N1375" s="8423"/>
      <c r="O1375" s="8423"/>
      <c r="P1375" s="8424"/>
      <c r="Q1375" s="8425"/>
      <c r="R1375" s="8426"/>
      <c r="S1375" s="8427"/>
      <c r="T1375" s="8428"/>
      <c r="U1375" s="8425"/>
      <c r="V1375" s="8426"/>
      <c r="W1375" s="8428"/>
      <c r="X1375" s="8426"/>
      <c r="Y1375" s="8428"/>
      <c r="Z1375" s="8426"/>
      <c r="AA1375" s="8427"/>
      <c r="AB1375" s="8427"/>
      <c r="AC1375" s="8427"/>
      <c r="AD1375" s="8427"/>
      <c r="AE1375" s="8427"/>
      <c r="AF1375" s="8428"/>
      <c r="AG1375" s="8426"/>
      <c r="AH1375" s="8427"/>
      <c r="AI1375" s="8427"/>
      <c r="AJ1375" s="8427"/>
      <c r="AK1375" s="8427"/>
      <c r="AL1375" s="8427"/>
      <c r="AM1375" s="8427"/>
      <c r="AN1375" s="8428"/>
      <c r="AO1375" s="8426"/>
      <c r="AP1375" s="8427"/>
      <c r="AQ1375" s="8427"/>
      <c r="AR1375" s="8427"/>
      <c r="AS1375" s="8427"/>
      <c r="AT1375" s="8428"/>
      <c r="AU1375" s="8429"/>
      <c r="AV1375" s="8429"/>
      <c r="AW1375" s="8429"/>
      <c r="AX1375" s="8421"/>
      <c r="AY1375" s="8424"/>
      <c r="AZ1375" s="8429"/>
      <c r="BA1375" s="8421"/>
      <c r="BB1375" s="8423"/>
      <c r="BC1375" s="8424"/>
      <c r="BD1375" s="8430"/>
      <c r="BF1375" s="14525"/>
      <c r="BG1375" s="14525"/>
      <c r="BH1375" s="14525"/>
      <c r="BI1375" s="14525"/>
      <c r="BJ1375" s="14525"/>
      <c r="BK1375" s="10079"/>
      <c r="BL1375" s="14525"/>
      <c r="BM1375" s="14525"/>
      <c r="BN1375" s="14525"/>
    </row>
    <row r="1376" spans="1:66" ht="21.75" hidden="1" customHeight="1">
      <c r="A1376" s="13527"/>
      <c r="B1376" s="14127"/>
      <c r="C1376" s="13610"/>
      <c r="D1376" s="11786" t="s">
        <v>218</v>
      </c>
      <c r="E1376" s="14313"/>
      <c r="F1376" s="7833"/>
      <c r="G1376" s="14129"/>
      <c r="H1376" s="13399"/>
      <c r="I1376" s="13866"/>
      <c r="K1376" s="8432"/>
      <c r="L1376" s="7965"/>
      <c r="M1376" s="7965"/>
      <c r="N1376" s="8433"/>
      <c r="O1376" s="8433"/>
      <c r="P1376" s="8434"/>
      <c r="Q1376" s="7967"/>
      <c r="R1376" s="7968"/>
      <c r="S1376" s="7969"/>
      <c r="T1376" s="7970"/>
      <c r="U1376" s="7967"/>
      <c r="V1376" s="7968"/>
      <c r="W1376" s="7970"/>
      <c r="X1376" s="7968"/>
      <c r="Y1376" s="7970"/>
      <c r="Z1376" s="7968"/>
      <c r="AA1376" s="7969"/>
      <c r="AB1376" s="7969"/>
      <c r="AC1376" s="7969"/>
      <c r="AD1376" s="7969"/>
      <c r="AE1376" s="7969"/>
      <c r="AF1376" s="7970"/>
      <c r="AG1376" s="7968"/>
      <c r="AH1376" s="7969"/>
      <c r="AI1376" s="7969"/>
      <c r="AJ1376" s="7969"/>
      <c r="AK1376" s="7969"/>
      <c r="AL1376" s="7969"/>
      <c r="AM1376" s="7969"/>
      <c r="AN1376" s="7970"/>
      <c r="AO1376" s="7968"/>
      <c r="AP1376" s="7969"/>
      <c r="AQ1376" s="7969"/>
      <c r="AR1376" s="7969"/>
      <c r="AS1376" s="7969"/>
      <c r="AT1376" s="7970"/>
      <c r="AU1376" s="8435"/>
      <c r="AV1376" s="8435"/>
      <c r="AW1376" s="8435"/>
      <c r="AX1376" s="8432"/>
      <c r="AY1376" s="8434"/>
      <c r="AZ1376" s="8435"/>
      <c r="BA1376" s="8432"/>
      <c r="BB1376" s="8433"/>
      <c r="BC1376" s="8434"/>
      <c r="BD1376" s="8436"/>
      <c r="BF1376" s="14502"/>
      <c r="BG1376" s="14502"/>
      <c r="BH1376" s="14502"/>
      <c r="BI1376" s="14502"/>
      <c r="BJ1376" s="14502"/>
      <c r="BK1376" s="9895"/>
      <c r="BL1376" s="14502"/>
      <c r="BM1376" s="14502"/>
      <c r="BN1376" s="14502"/>
    </row>
    <row r="1377" spans="1:66" ht="21.75" customHeight="1">
      <c r="A1377" s="13527"/>
      <c r="B1377" s="14127"/>
      <c r="C1377" s="13610"/>
      <c r="D1377" s="11786" t="s">
        <v>86</v>
      </c>
      <c r="E1377" s="14313"/>
      <c r="F1377" s="7833"/>
      <c r="G1377" s="14129"/>
      <c r="H1377" s="13399"/>
      <c r="I1377" s="13866"/>
      <c r="K1377" s="8431">
        <v>35</v>
      </c>
      <c r="L1377" s="8443"/>
      <c r="M1377" s="8443"/>
      <c r="N1377" s="8433" t="s">
        <v>10472</v>
      </c>
      <c r="O1377" s="8433" t="s">
        <v>10466</v>
      </c>
      <c r="P1377" s="8434" t="s">
        <v>10473</v>
      </c>
      <c r="Q1377" s="7967"/>
      <c r="R1377" s="7968"/>
      <c r="S1377" s="7969"/>
      <c r="T1377" s="7970"/>
      <c r="U1377" s="7967"/>
      <c r="V1377" s="7968">
        <v>7</v>
      </c>
      <c r="W1377" s="7970">
        <v>33</v>
      </c>
      <c r="X1377" s="7968">
        <v>40</v>
      </c>
      <c r="Y1377" s="7970"/>
      <c r="Z1377" s="7968"/>
      <c r="AA1377" s="7969"/>
      <c r="AB1377" s="7969"/>
      <c r="AC1377" s="7969"/>
      <c r="AD1377" s="7969"/>
      <c r="AE1377" s="7969">
        <v>40</v>
      </c>
      <c r="AF1377" s="7970"/>
      <c r="AG1377" s="7968">
        <v>40</v>
      </c>
      <c r="AH1377" s="7969"/>
      <c r="AI1377" s="7969"/>
      <c r="AJ1377" s="7969"/>
      <c r="AK1377" s="7969"/>
      <c r="AL1377" s="7969"/>
      <c r="AM1377" s="7969"/>
      <c r="AN1377" s="7970"/>
      <c r="AO1377" s="7968">
        <v>40</v>
      </c>
      <c r="AP1377" s="7969"/>
      <c r="AQ1377" s="7969"/>
      <c r="AR1377" s="7969"/>
      <c r="AS1377" s="7969"/>
      <c r="AT1377" s="7970"/>
      <c r="AU1377" s="8435" t="s">
        <v>10474</v>
      </c>
      <c r="AV1377" s="8435" t="s">
        <v>10475</v>
      </c>
      <c r="AW1377" s="8450">
        <v>40</v>
      </c>
      <c r="AX1377" s="8432" t="s">
        <v>10476</v>
      </c>
      <c r="AY1377" s="8434" t="s">
        <v>10477</v>
      </c>
      <c r="AZ1377" s="8435"/>
      <c r="BA1377" s="8432"/>
      <c r="BB1377" s="8433"/>
      <c r="BC1377" s="8434"/>
      <c r="BD1377" s="8436"/>
      <c r="BF1377" s="14502"/>
      <c r="BG1377" s="14502"/>
      <c r="BH1377" s="14502"/>
      <c r="BI1377" s="14502"/>
      <c r="BJ1377" s="14502"/>
      <c r="BK1377" s="13069"/>
      <c r="BL1377" s="14502"/>
      <c r="BM1377" s="14502"/>
      <c r="BN1377" s="14502"/>
    </row>
    <row r="1378" spans="1:66" ht="21.75" hidden="1" customHeight="1">
      <c r="A1378" s="13527"/>
      <c r="B1378" s="14127"/>
      <c r="C1378" s="13610"/>
      <c r="D1378" s="11786" t="s">
        <v>2896</v>
      </c>
      <c r="E1378" s="14313"/>
      <c r="F1378" s="7833"/>
      <c r="G1378" s="14129"/>
      <c r="H1378" s="13399"/>
      <c r="I1378" s="13866"/>
      <c r="K1378" s="10786">
        <v>1</v>
      </c>
      <c r="L1378" s="10665">
        <v>0.73299999999999998</v>
      </c>
      <c r="M1378" s="10665">
        <v>1</v>
      </c>
      <c r="N1378" s="10981" t="s">
        <v>10478</v>
      </c>
      <c r="O1378" s="10981" t="s">
        <v>10479</v>
      </c>
      <c r="P1378" s="10982" t="s">
        <v>10473</v>
      </c>
      <c r="Q1378" s="10817"/>
      <c r="R1378" s="10818"/>
      <c r="S1378" s="10819"/>
      <c r="T1378" s="10820"/>
      <c r="U1378" s="10817"/>
      <c r="V1378" s="10818">
        <v>18</v>
      </c>
      <c r="W1378" s="10820">
        <v>57</v>
      </c>
      <c r="X1378" s="10818">
        <v>27</v>
      </c>
      <c r="Y1378" s="10820">
        <v>30</v>
      </c>
      <c r="Z1378" s="10818"/>
      <c r="AA1378" s="10819"/>
      <c r="AB1378" s="10819"/>
      <c r="AC1378" s="10819"/>
      <c r="AD1378" s="10819"/>
      <c r="AE1378" s="10819">
        <v>75</v>
      </c>
      <c r="AF1378" s="10820"/>
      <c r="AG1378" s="10818">
        <v>75</v>
      </c>
      <c r="AH1378" s="10819"/>
      <c r="AI1378" s="10819"/>
      <c r="AJ1378" s="10819"/>
      <c r="AK1378" s="10819"/>
      <c r="AL1378" s="10819"/>
      <c r="AM1378" s="10819"/>
      <c r="AN1378" s="10820"/>
      <c r="AO1378" s="10818">
        <v>75</v>
      </c>
      <c r="AP1378" s="10819"/>
      <c r="AQ1378" s="10819"/>
      <c r="AR1378" s="10819"/>
      <c r="AS1378" s="10819"/>
      <c r="AT1378" s="10820"/>
      <c r="AU1378" s="10983" t="s">
        <v>10480</v>
      </c>
      <c r="AV1378" s="10983" t="s">
        <v>10481</v>
      </c>
      <c r="AW1378" s="10802">
        <v>75</v>
      </c>
      <c r="AX1378" s="10980" t="s">
        <v>10482</v>
      </c>
      <c r="AY1378" s="10980" t="s">
        <v>10483</v>
      </c>
      <c r="AZ1378" s="10983"/>
      <c r="BA1378" s="10980"/>
      <c r="BB1378" s="10981"/>
      <c r="BC1378" s="10982"/>
      <c r="BD1378" s="10984"/>
      <c r="BF1378" s="14502"/>
      <c r="BG1378" s="14502"/>
      <c r="BH1378" s="14502"/>
      <c r="BI1378" s="14502"/>
      <c r="BJ1378" s="14502"/>
      <c r="BK1378" s="9895"/>
      <c r="BL1378" s="14502"/>
      <c r="BM1378" s="14502"/>
      <c r="BN1378" s="14502"/>
    </row>
    <row r="1379" spans="1:66" ht="21.75" hidden="1" customHeight="1">
      <c r="A1379" s="13527"/>
      <c r="B1379" s="14127"/>
      <c r="C1379" s="13610"/>
      <c r="D1379" s="11786" t="s">
        <v>208</v>
      </c>
      <c r="E1379" s="7833"/>
      <c r="F1379" s="7833" t="s">
        <v>208</v>
      </c>
      <c r="G1379" s="14129"/>
      <c r="H1379" s="13399"/>
      <c r="I1379" s="13866"/>
      <c r="K1379" s="10966">
        <v>0</v>
      </c>
      <c r="L1379" s="10649">
        <v>0</v>
      </c>
      <c r="M1379" s="10649">
        <v>1</v>
      </c>
      <c r="N1379" s="10972" t="s">
        <v>10451</v>
      </c>
      <c r="O1379" s="10972"/>
      <c r="P1379" s="10973" t="s">
        <v>10484</v>
      </c>
      <c r="Q1379" s="10974"/>
      <c r="R1379" s="10975"/>
      <c r="S1379" s="10976"/>
      <c r="T1379" s="10977"/>
      <c r="U1379" s="10974"/>
      <c r="V1379" s="10975">
        <v>0</v>
      </c>
      <c r="W1379" s="10977">
        <v>0</v>
      </c>
      <c r="X1379" s="10975">
        <v>0</v>
      </c>
      <c r="Y1379" s="10977">
        <v>0</v>
      </c>
      <c r="Z1379" s="10975"/>
      <c r="AA1379" s="10976"/>
      <c r="AB1379" s="10976"/>
      <c r="AC1379" s="10976"/>
      <c r="AD1379" s="10976"/>
      <c r="AE1379" s="10976"/>
      <c r="AF1379" s="10977"/>
      <c r="AG1379" s="10975"/>
      <c r="AH1379" s="10976"/>
      <c r="AI1379" s="10976"/>
      <c r="AJ1379" s="10976"/>
      <c r="AK1379" s="10976"/>
      <c r="AL1379" s="10976"/>
      <c r="AM1379" s="10976"/>
      <c r="AN1379" s="10977"/>
      <c r="AO1379" s="10975"/>
      <c r="AP1379" s="10976"/>
      <c r="AQ1379" s="10976"/>
      <c r="AR1379" s="10976"/>
      <c r="AS1379" s="10976"/>
      <c r="AT1379" s="10977"/>
      <c r="AU1379" s="10978"/>
      <c r="AV1379" s="10978"/>
      <c r="AW1379" s="10978"/>
      <c r="AX1379" s="10970"/>
      <c r="AY1379" s="10973"/>
      <c r="AZ1379" s="10978"/>
      <c r="BA1379" s="10970"/>
      <c r="BB1379" s="10972"/>
      <c r="BC1379" s="10973"/>
      <c r="BD1379" s="10979"/>
      <c r="BF1379" s="14502"/>
      <c r="BG1379" s="14502"/>
      <c r="BH1379" s="14502"/>
      <c r="BI1379" s="14502"/>
      <c r="BJ1379" s="14502"/>
      <c r="BK1379" s="9895"/>
      <c r="BL1379" s="14502"/>
      <c r="BM1379" s="14502"/>
      <c r="BN1379" s="14502"/>
    </row>
    <row r="1380" spans="1:66" ht="30" hidden="1" customHeight="1">
      <c r="A1380" s="9985">
        <v>875</v>
      </c>
      <c r="B1380" s="9986" t="s">
        <v>8261</v>
      </c>
      <c r="C1380" s="13610"/>
      <c r="D1380" s="12478" t="s">
        <v>2859</v>
      </c>
      <c r="E1380" s="7833" t="s">
        <v>5581</v>
      </c>
      <c r="F1380" s="7833" t="s">
        <v>545</v>
      </c>
      <c r="G1380" s="12229" t="s">
        <v>5565</v>
      </c>
      <c r="H1380" s="12230" t="s">
        <v>5579</v>
      </c>
      <c r="I1380" s="12483" t="s">
        <v>5569</v>
      </c>
      <c r="K1380" s="10786"/>
      <c r="L1380" s="10665"/>
      <c r="M1380" s="10665"/>
      <c r="N1380" s="10800"/>
      <c r="O1380" s="10800"/>
      <c r="P1380" s="10801"/>
      <c r="Q1380" s="10666"/>
      <c r="R1380" s="10667"/>
      <c r="S1380" s="10668"/>
      <c r="T1380" s="10669"/>
      <c r="U1380" s="10666"/>
      <c r="V1380" s="10667"/>
      <c r="W1380" s="10669"/>
      <c r="X1380" s="10667"/>
      <c r="Y1380" s="10669"/>
      <c r="Z1380" s="10667"/>
      <c r="AA1380" s="10668"/>
      <c r="AB1380" s="10668"/>
      <c r="AC1380" s="10668"/>
      <c r="AD1380" s="10668"/>
      <c r="AE1380" s="10668"/>
      <c r="AF1380" s="10669"/>
      <c r="AG1380" s="10667"/>
      <c r="AH1380" s="10668"/>
      <c r="AI1380" s="10668"/>
      <c r="AJ1380" s="10668"/>
      <c r="AK1380" s="10668"/>
      <c r="AL1380" s="10668"/>
      <c r="AM1380" s="10668"/>
      <c r="AN1380" s="10669"/>
      <c r="AO1380" s="10667"/>
      <c r="AP1380" s="10668"/>
      <c r="AQ1380" s="10668"/>
      <c r="AR1380" s="10668"/>
      <c r="AS1380" s="10668"/>
      <c r="AT1380" s="10669"/>
      <c r="AU1380" s="10802"/>
      <c r="AV1380" s="10802"/>
      <c r="AW1380" s="10802"/>
      <c r="AX1380" s="10786"/>
      <c r="AY1380" s="10801"/>
      <c r="AZ1380" s="10802"/>
      <c r="BA1380" s="10786"/>
      <c r="BB1380" s="10800"/>
      <c r="BC1380" s="10801"/>
      <c r="BD1380" s="9985"/>
      <c r="BF1380" s="9895"/>
      <c r="BG1380" s="9895"/>
      <c r="BH1380" s="9895"/>
      <c r="BI1380" s="9895"/>
      <c r="BJ1380" s="9895"/>
      <c r="BK1380" s="9895"/>
      <c r="BL1380" s="9895"/>
      <c r="BM1380" s="9895"/>
      <c r="BN1380" s="9895"/>
    </row>
    <row r="1381" spans="1:66" ht="15" hidden="1" customHeight="1">
      <c r="A1381" s="13527">
        <v>876</v>
      </c>
      <c r="B1381" s="14127" t="s">
        <v>8262</v>
      </c>
      <c r="C1381" s="13610"/>
      <c r="D1381" s="11786" t="s">
        <v>10063</v>
      </c>
      <c r="E1381" s="14313" t="s">
        <v>5599</v>
      </c>
      <c r="F1381" s="7833" t="s">
        <v>545</v>
      </c>
      <c r="G1381" s="14129" t="s">
        <v>5583</v>
      </c>
      <c r="H1381" s="13399" t="s">
        <v>5597</v>
      </c>
      <c r="I1381" s="14315" t="s">
        <v>5587</v>
      </c>
      <c r="K1381" s="10980"/>
      <c r="L1381" s="10814"/>
      <c r="M1381" s="10814"/>
      <c r="N1381" s="10981"/>
      <c r="O1381" s="10981"/>
      <c r="P1381" s="10982"/>
      <c r="Q1381" s="10817"/>
      <c r="R1381" s="10818"/>
      <c r="S1381" s="10819"/>
      <c r="T1381" s="10820"/>
      <c r="U1381" s="10817"/>
      <c r="V1381" s="10818"/>
      <c r="W1381" s="10820"/>
      <c r="X1381" s="10818"/>
      <c r="Y1381" s="10820"/>
      <c r="Z1381" s="10818"/>
      <c r="AA1381" s="10819"/>
      <c r="AB1381" s="10819"/>
      <c r="AC1381" s="10819"/>
      <c r="AD1381" s="10819"/>
      <c r="AE1381" s="10819"/>
      <c r="AF1381" s="10820"/>
      <c r="AG1381" s="10818"/>
      <c r="AH1381" s="10819"/>
      <c r="AI1381" s="10819"/>
      <c r="AJ1381" s="10819"/>
      <c r="AK1381" s="10819"/>
      <c r="AL1381" s="10819"/>
      <c r="AM1381" s="10819"/>
      <c r="AN1381" s="10820"/>
      <c r="AO1381" s="10818"/>
      <c r="AP1381" s="10819"/>
      <c r="AQ1381" s="10819"/>
      <c r="AR1381" s="10819"/>
      <c r="AS1381" s="10819"/>
      <c r="AT1381" s="10820"/>
      <c r="AU1381" s="10983"/>
      <c r="AV1381" s="10983"/>
      <c r="AW1381" s="10983"/>
      <c r="AX1381" s="10980"/>
      <c r="AY1381" s="10982"/>
      <c r="AZ1381" s="10983"/>
      <c r="BA1381" s="10980"/>
      <c r="BB1381" s="10981"/>
      <c r="BC1381" s="10982"/>
      <c r="BD1381" s="10984"/>
      <c r="BF1381" s="14502"/>
      <c r="BG1381" s="14502"/>
      <c r="BH1381" s="14502"/>
      <c r="BI1381" s="14502"/>
      <c r="BJ1381" s="14502"/>
      <c r="BK1381" s="9895"/>
      <c r="BL1381" s="14502"/>
      <c r="BM1381" s="14502"/>
      <c r="BN1381" s="14502"/>
    </row>
    <row r="1382" spans="1:66" ht="15" hidden="1" customHeight="1">
      <c r="A1382" s="13527"/>
      <c r="B1382" s="14127"/>
      <c r="C1382" s="13610"/>
      <c r="D1382" s="11786" t="s">
        <v>218</v>
      </c>
      <c r="E1382" s="14313"/>
      <c r="F1382" s="7833"/>
      <c r="G1382" s="14129"/>
      <c r="H1382" s="13399"/>
      <c r="I1382" s="14315"/>
      <c r="K1382" s="10980"/>
      <c r="L1382" s="10814"/>
      <c r="M1382" s="10814"/>
      <c r="N1382" s="10981"/>
      <c r="O1382" s="10981"/>
      <c r="P1382" s="10982"/>
      <c r="Q1382" s="10817"/>
      <c r="R1382" s="10818"/>
      <c r="S1382" s="10819"/>
      <c r="T1382" s="10820"/>
      <c r="U1382" s="10817"/>
      <c r="V1382" s="10818"/>
      <c r="W1382" s="10820"/>
      <c r="X1382" s="10818"/>
      <c r="Y1382" s="10820"/>
      <c r="Z1382" s="10818"/>
      <c r="AA1382" s="10819"/>
      <c r="AB1382" s="10819"/>
      <c r="AC1382" s="10819"/>
      <c r="AD1382" s="10819"/>
      <c r="AE1382" s="10819"/>
      <c r="AF1382" s="10820"/>
      <c r="AG1382" s="10818"/>
      <c r="AH1382" s="10819"/>
      <c r="AI1382" s="10819"/>
      <c r="AJ1382" s="10819"/>
      <c r="AK1382" s="10819"/>
      <c r="AL1382" s="10819"/>
      <c r="AM1382" s="10819"/>
      <c r="AN1382" s="10820"/>
      <c r="AO1382" s="10818"/>
      <c r="AP1382" s="10819"/>
      <c r="AQ1382" s="10819"/>
      <c r="AR1382" s="10819"/>
      <c r="AS1382" s="10819"/>
      <c r="AT1382" s="10820"/>
      <c r="AU1382" s="10983"/>
      <c r="AV1382" s="10983"/>
      <c r="AW1382" s="10983"/>
      <c r="AX1382" s="10980"/>
      <c r="AY1382" s="10982"/>
      <c r="AZ1382" s="10983"/>
      <c r="BA1382" s="10980"/>
      <c r="BB1382" s="10981"/>
      <c r="BC1382" s="10982"/>
      <c r="BD1382" s="10984"/>
      <c r="BF1382" s="14502"/>
      <c r="BG1382" s="14502"/>
      <c r="BH1382" s="14502"/>
      <c r="BI1382" s="14502"/>
      <c r="BJ1382" s="14502"/>
      <c r="BK1382" s="9895"/>
      <c r="BL1382" s="14502"/>
      <c r="BM1382" s="14502"/>
      <c r="BN1382" s="14502"/>
    </row>
    <row r="1383" spans="1:66" ht="15" hidden="1" customHeight="1">
      <c r="A1383" s="13527"/>
      <c r="B1383" s="14127"/>
      <c r="C1383" s="13610"/>
      <c r="D1383" s="11786" t="s">
        <v>10072</v>
      </c>
      <c r="E1383" s="14313"/>
      <c r="F1383" s="7833"/>
      <c r="G1383" s="14129"/>
      <c r="H1383" s="13399"/>
      <c r="I1383" s="14315"/>
      <c r="K1383" s="10980"/>
      <c r="L1383" s="10814"/>
      <c r="M1383" s="10814"/>
      <c r="N1383" s="10981"/>
      <c r="O1383" s="10981"/>
      <c r="P1383" s="10982"/>
      <c r="Q1383" s="10817"/>
      <c r="R1383" s="10818"/>
      <c r="S1383" s="10819"/>
      <c r="T1383" s="10820"/>
      <c r="U1383" s="10817"/>
      <c r="V1383" s="10818"/>
      <c r="W1383" s="10820"/>
      <c r="X1383" s="10818"/>
      <c r="Y1383" s="10820"/>
      <c r="Z1383" s="10818"/>
      <c r="AA1383" s="10819"/>
      <c r="AB1383" s="10819"/>
      <c r="AC1383" s="10819"/>
      <c r="AD1383" s="10819"/>
      <c r="AE1383" s="10819"/>
      <c r="AF1383" s="10820"/>
      <c r="AG1383" s="10818"/>
      <c r="AH1383" s="10819"/>
      <c r="AI1383" s="10819"/>
      <c r="AJ1383" s="10819"/>
      <c r="AK1383" s="10819"/>
      <c r="AL1383" s="10819"/>
      <c r="AM1383" s="10819"/>
      <c r="AN1383" s="10820"/>
      <c r="AO1383" s="10818"/>
      <c r="AP1383" s="10819"/>
      <c r="AQ1383" s="10819"/>
      <c r="AR1383" s="10819"/>
      <c r="AS1383" s="10819"/>
      <c r="AT1383" s="10820"/>
      <c r="AU1383" s="10983"/>
      <c r="AV1383" s="10983"/>
      <c r="AW1383" s="10983"/>
      <c r="AX1383" s="10980"/>
      <c r="AY1383" s="10982"/>
      <c r="AZ1383" s="10983"/>
      <c r="BA1383" s="10980"/>
      <c r="BB1383" s="10981"/>
      <c r="BC1383" s="10982"/>
      <c r="BD1383" s="10984"/>
      <c r="BF1383" s="14502"/>
      <c r="BG1383" s="14502"/>
      <c r="BH1383" s="14502"/>
      <c r="BI1383" s="14502"/>
      <c r="BJ1383" s="14502"/>
      <c r="BK1383" s="9895"/>
      <c r="BL1383" s="14502"/>
      <c r="BM1383" s="14502"/>
      <c r="BN1383" s="14502"/>
    </row>
    <row r="1384" spans="1:66" ht="15" customHeight="1">
      <c r="A1384" s="13527"/>
      <c r="B1384" s="14127"/>
      <c r="C1384" s="13610"/>
      <c r="D1384" s="11786" t="s">
        <v>86</v>
      </c>
      <c r="E1384" s="14313"/>
      <c r="F1384" s="7833"/>
      <c r="G1384" s="14129"/>
      <c r="H1384" s="13399"/>
      <c r="I1384" s="14315"/>
      <c r="K1384" s="10786">
        <v>1</v>
      </c>
      <c r="L1384" s="10665"/>
      <c r="M1384" s="10665"/>
      <c r="N1384" s="10981" t="s">
        <v>10478</v>
      </c>
      <c r="O1384" s="10981" t="s">
        <v>10479</v>
      </c>
      <c r="P1384" s="10982" t="s">
        <v>10473</v>
      </c>
      <c r="Q1384" s="10817"/>
      <c r="R1384" s="10818"/>
      <c r="S1384" s="10819"/>
      <c r="T1384" s="10820"/>
      <c r="U1384" s="10817"/>
      <c r="V1384" s="10818">
        <v>18</v>
      </c>
      <c r="W1384" s="10820">
        <v>57</v>
      </c>
      <c r="X1384" s="10818">
        <v>27</v>
      </c>
      <c r="Y1384" s="10820">
        <v>30</v>
      </c>
      <c r="Z1384" s="10818"/>
      <c r="AA1384" s="10819"/>
      <c r="AB1384" s="10819"/>
      <c r="AC1384" s="10819"/>
      <c r="AD1384" s="10819"/>
      <c r="AE1384" s="10819">
        <v>75</v>
      </c>
      <c r="AF1384" s="10820"/>
      <c r="AG1384" s="10818">
        <v>75</v>
      </c>
      <c r="AH1384" s="10819"/>
      <c r="AI1384" s="10819"/>
      <c r="AJ1384" s="10819"/>
      <c r="AK1384" s="10819"/>
      <c r="AL1384" s="10819"/>
      <c r="AM1384" s="10819"/>
      <c r="AN1384" s="10820"/>
      <c r="AO1384" s="10818">
        <v>75</v>
      </c>
      <c r="AP1384" s="10819"/>
      <c r="AQ1384" s="10819"/>
      <c r="AR1384" s="10819"/>
      <c r="AS1384" s="10819"/>
      <c r="AT1384" s="10820"/>
      <c r="AU1384" s="10983" t="s">
        <v>10480</v>
      </c>
      <c r="AV1384" s="10983" t="s">
        <v>10481</v>
      </c>
      <c r="AW1384" s="10802">
        <v>75</v>
      </c>
      <c r="AX1384" s="10980" t="s">
        <v>10482</v>
      </c>
      <c r="AY1384" s="10980" t="s">
        <v>10483</v>
      </c>
      <c r="AZ1384" s="10983"/>
      <c r="BA1384" s="10980"/>
      <c r="BB1384" s="10981"/>
      <c r="BC1384" s="10982"/>
      <c r="BD1384" s="10984"/>
      <c r="BF1384" s="14502"/>
      <c r="BG1384" s="14502"/>
      <c r="BH1384" s="14502"/>
      <c r="BI1384" s="14502"/>
      <c r="BJ1384" s="14502"/>
      <c r="BK1384" s="13069"/>
      <c r="BL1384" s="14502"/>
      <c r="BM1384" s="14502"/>
      <c r="BN1384" s="14502"/>
    </row>
    <row r="1385" spans="1:66" ht="15" hidden="1" customHeight="1">
      <c r="A1385" s="13528">
        <v>877</v>
      </c>
      <c r="B1385" s="13882" t="s">
        <v>8263</v>
      </c>
      <c r="C1385" s="13610"/>
      <c r="D1385" s="11786" t="s">
        <v>4305</v>
      </c>
      <c r="E1385" s="7833" t="s">
        <v>5624</v>
      </c>
      <c r="F1385" s="7833"/>
      <c r="G1385" s="13783" t="s">
        <v>5608</v>
      </c>
      <c r="H1385" s="13413" t="s">
        <v>5622</v>
      </c>
      <c r="I1385" s="13866" t="s">
        <v>5612</v>
      </c>
      <c r="K1385" s="8432"/>
      <c r="L1385" s="7965"/>
      <c r="M1385" s="7965"/>
      <c r="N1385" s="8433"/>
      <c r="O1385" s="8433"/>
      <c r="P1385" s="8434"/>
      <c r="Q1385" s="7967"/>
      <c r="R1385" s="7968"/>
      <c r="S1385" s="7969"/>
      <c r="T1385" s="7970"/>
      <c r="U1385" s="7967"/>
      <c r="V1385" s="7968"/>
      <c r="W1385" s="7970"/>
      <c r="X1385" s="7968"/>
      <c r="Y1385" s="7970"/>
      <c r="Z1385" s="7968"/>
      <c r="AA1385" s="7969"/>
      <c r="AB1385" s="7969"/>
      <c r="AC1385" s="7969"/>
      <c r="AD1385" s="7969"/>
      <c r="AE1385" s="7969"/>
      <c r="AF1385" s="7970"/>
      <c r="AG1385" s="7968"/>
      <c r="AH1385" s="7969"/>
      <c r="AI1385" s="7969"/>
      <c r="AJ1385" s="7969"/>
      <c r="AK1385" s="7969"/>
      <c r="AL1385" s="7969"/>
      <c r="AM1385" s="7969"/>
      <c r="AN1385" s="7970"/>
      <c r="AO1385" s="7968"/>
      <c r="AP1385" s="7969"/>
      <c r="AQ1385" s="7969"/>
      <c r="AR1385" s="7969"/>
      <c r="AS1385" s="7969"/>
      <c r="AT1385" s="7970"/>
      <c r="AU1385" s="8435"/>
      <c r="AV1385" s="8435"/>
      <c r="AW1385" s="8435"/>
      <c r="AX1385" s="8432"/>
      <c r="AY1385" s="8434"/>
      <c r="AZ1385" s="8435"/>
      <c r="BA1385" s="8432"/>
      <c r="BB1385" s="8433"/>
      <c r="BC1385" s="8434"/>
      <c r="BD1385" s="8436"/>
      <c r="BF1385" s="14404"/>
      <c r="BG1385" s="14404"/>
      <c r="BH1385" s="14404"/>
      <c r="BI1385" s="14404"/>
      <c r="BJ1385" s="14404"/>
      <c r="BK1385" s="7946"/>
      <c r="BL1385" s="14404"/>
      <c r="BM1385" s="14404"/>
      <c r="BN1385" s="14404"/>
    </row>
    <row r="1386" spans="1:66" ht="15" hidden="1" customHeight="1">
      <c r="A1386" s="13528"/>
      <c r="B1386" s="13882"/>
      <c r="C1386" s="13610"/>
      <c r="D1386" s="11786" t="s">
        <v>329</v>
      </c>
      <c r="E1386" s="7833"/>
      <c r="F1386" s="7833" t="s">
        <v>329</v>
      </c>
      <c r="G1386" s="13783"/>
      <c r="H1386" s="13413"/>
      <c r="I1386" s="13866"/>
      <c r="K1386" s="8432"/>
      <c r="L1386" s="7965"/>
      <c r="M1386" s="7965"/>
      <c r="N1386" s="8433"/>
      <c r="O1386" s="8433"/>
      <c r="P1386" s="8434"/>
      <c r="Q1386" s="7967"/>
      <c r="R1386" s="7968"/>
      <c r="S1386" s="7969"/>
      <c r="T1386" s="7970"/>
      <c r="U1386" s="7967"/>
      <c r="V1386" s="7968"/>
      <c r="W1386" s="7970"/>
      <c r="X1386" s="7968"/>
      <c r="Y1386" s="7970"/>
      <c r="Z1386" s="7968"/>
      <c r="AA1386" s="7969"/>
      <c r="AB1386" s="7969"/>
      <c r="AC1386" s="7969"/>
      <c r="AD1386" s="7969"/>
      <c r="AE1386" s="7969"/>
      <c r="AF1386" s="7970"/>
      <c r="AG1386" s="7968"/>
      <c r="AH1386" s="7969"/>
      <c r="AI1386" s="7969"/>
      <c r="AJ1386" s="7969"/>
      <c r="AK1386" s="7969"/>
      <c r="AL1386" s="7969"/>
      <c r="AM1386" s="7969"/>
      <c r="AN1386" s="7970"/>
      <c r="AO1386" s="7968"/>
      <c r="AP1386" s="7969"/>
      <c r="AQ1386" s="7969"/>
      <c r="AR1386" s="7969"/>
      <c r="AS1386" s="7969"/>
      <c r="AT1386" s="7970"/>
      <c r="AU1386" s="8435"/>
      <c r="AV1386" s="8435"/>
      <c r="AW1386" s="8435"/>
      <c r="AX1386" s="8432"/>
      <c r="AY1386" s="8434"/>
      <c r="AZ1386" s="8435"/>
      <c r="BA1386" s="8432"/>
      <c r="BB1386" s="8433"/>
      <c r="BC1386" s="8434"/>
      <c r="BD1386" s="8436"/>
      <c r="BF1386" s="14404"/>
      <c r="BG1386" s="14404"/>
      <c r="BH1386" s="14404"/>
      <c r="BI1386" s="14404"/>
      <c r="BJ1386" s="14404"/>
      <c r="BK1386" s="7946"/>
      <c r="BL1386" s="14404"/>
      <c r="BM1386" s="14404"/>
      <c r="BN1386" s="14404"/>
    </row>
    <row r="1387" spans="1:66" ht="15" hidden="1" customHeight="1">
      <c r="A1387" s="13528"/>
      <c r="B1387" s="13882"/>
      <c r="C1387" s="13610"/>
      <c r="D1387" s="11786" t="s">
        <v>10304</v>
      </c>
      <c r="E1387" s="7833"/>
      <c r="F1387" s="7833" t="s">
        <v>10297</v>
      </c>
      <c r="G1387" s="13783"/>
      <c r="H1387" s="13413"/>
      <c r="I1387" s="13866"/>
      <c r="K1387" s="8432"/>
      <c r="L1387" s="7965"/>
      <c r="M1387" s="7965"/>
      <c r="N1387" s="8433"/>
      <c r="O1387" s="8433"/>
      <c r="P1387" s="8434"/>
      <c r="Q1387" s="7967"/>
      <c r="R1387" s="7968"/>
      <c r="S1387" s="7969"/>
      <c r="T1387" s="7970"/>
      <c r="U1387" s="7967"/>
      <c r="V1387" s="7968"/>
      <c r="W1387" s="7970"/>
      <c r="X1387" s="7968"/>
      <c r="Y1387" s="7970"/>
      <c r="Z1387" s="7968"/>
      <c r="AA1387" s="7969"/>
      <c r="AB1387" s="7969"/>
      <c r="AC1387" s="7969"/>
      <c r="AD1387" s="7969"/>
      <c r="AE1387" s="7969"/>
      <c r="AF1387" s="7970"/>
      <c r="AG1387" s="7968"/>
      <c r="AH1387" s="7969"/>
      <c r="AI1387" s="7969"/>
      <c r="AJ1387" s="7969"/>
      <c r="AK1387" s="7969"/>
      <c r="AL1387" s="7969"/>
      <c r="AM1387" s="7969"/>
      <c r="AN1387" s="7970"/>
      <c r="AO1387" s="7968"/>
      <c r="AP1387" s="7969"/>
      <c r="AQ1387" s="7969"/>
      <c r="AR1387" s="7969"/>
      <c r="AS1387" s="7969"/>
      <c r="AT1387" s="7970"/>
      <c r="AU1387" s="8435"/>
      <c r="AV1387" s="8435"/>
      <c r="AW1387" s="8435"/>
      <c r="AX1387" s="8432"/>
      <c r="AY1387" s="8434"/>
      <c r="AZ1387" s="8435"/>
      <c r="BA1387" s="8432"/>
      <c r="BB1387" s="8433"/>
      <c r="BC1387" s="8434"/>
      <c r="BD1387" s="8436"/>
      <c r="BF1387" s="14404"/>
      <c r="BG1387" s="14404"/>
      <c r="BH1387" s="14404"/>
      <c r="BI1387" s="14404"/>
      <c r="BJ1387" s="14404"/>
      <c r="BK1387" s="7946"/>
      <c r="BL1387" s="14404"/>
      <c r="BM1387" s="14404"/>
      <c r="BN1387" s="14404"/>
    </row>
    <row r="1388" spans="1:66" ht="30" hidden="1" customHeight="1">
      <c r="A1388" s="7952">
        <v>878</v>
      </c>
      <c r="B1388" s="8437" t="s">
        <v>8264</v>
      </c>
      <c r="C1388" s="13610"/>
      <c r="D1388" s="11786" t="s">
        <v>26</v>
      </c>
      <c r="E1388" s="7833" t="s">
        <v>390</v>
      </c>
      <c r="F1388" s="7833" t="s">
        <v>545</v>
      </c>
      <c r="G1388" s="11656" t="s">
        <v>5628</v>
      </c>
      <c r="H1388" s="11657" t="s">
        <v>5642</v>
      </c>
      <c r="I1388" s="11787" t="s">
        <v>5632</v>
      </c>
      <c r="K1388" s="8431"/>
      <c r="L1388" s="8443"/>
      <c r="M1388" s="8443"/>
      <c r="N1388" s="8444"/>
      <c r="O1388" s="8444"/>
      <c r="P1388" s="8445"/>
      <c r="Q1388" s="8446"/>
      <c r="R1388" s="8447"/>
      <c r="S1388" s="8448"/>
      <c r="T1388" s="8449"/>
      <c r="U1388" s="8446"/>
      <c r="V1388" s="8447"/>
      <c r="W1388" s="8449"/>
      <c r="X1388" s="8447"/>
      <c r="Y1388" s="8449"/>
      <c r="Z1388" s="8447"/>
      <c r="AA1388" s="8448"/>
      <c r="AB1388" s="8448"/>
      <c r="AC1388" s="8448"/>
      <c r="AD1388" s="8448"/>
      <c r="AE1388" s="8448"/>
      <c r="AF1388" s="8449"/>
      <c r="AG1388" s="8447"/>
      <c r="AH1388" s="8448"/>
      <c r="AI1388" s="8448"/>
      <c r="AJ1388" s="8448"/>
      <c r="AK1388" s="8448"/>
      <c r="AL1388" s="8448"/>
      <c r="AM1388" s="8448"/>
      <c r="AN1388" s="8449"/>
      <c r="AO1388" s="8447"/>
      <c r="AP1388" s="8448"/>
      <c r="AQ1388" s="8448"/>
      <c r="AR1388" s="8448"/>
      <c r="AS1388" s="8448"/>
      <c r="AT1388" s="8449"/>
      <c r="AU1388" s="8450"/>
      <c r="AV1388" s="8450"/>
      <c r="AW1388" s="8450"/>
      <c r="AX1388" s="8431"/>
      <c r="AY1388" s="8445"/>
      <c r="AZ1388" s="8450"/>
      <c r="BA1388" s="8431"/>
      <c r="BB1388" s="8444"/>
      <c r="BC1388" s="8445"/>
      <c r="BD1388" s="7952"/>
      <c r="BF1388" s="7946"/>
      <c r="BG1388" s="7946"/>
      <c r="BH1388" s="7946"/>
      <c r="BI1388" s="7946"/>
      <c r="BJ1388" s="7946"/>
      <c r="BK1388" s="7946"/>
      <c r="BL1388" s="7946"/>
      <c r="BM1388" s="7946"/>
      <c r="BN1388" s="7946"/>
    </row>
    <row r="1389" spans="1:66" ht="22.5" hidden="1" customHeight="1">
      <c r="A1389" s="13528">
        <v>879</v>
      </c>
      <c r="B1389" s="13882" t="s">
        <v>8265</v>
      </c>
      <c r="C1389" s="13610"/>
      <c r="D1389" s="11786" t="s">
        <v>10070</v>
      </c>
      <c r="E1389" s="14300" t="s">
        <v>5665</v>
      </c>
      <c r="F1389" s="7832" t="s">
        <v>5666</v>
      </c>
      <c r="G1389" s="13783" t="s">
        <v>5649</v>
      </c>
      <c r="H1389" s="13413" t="s">
        <v>10350</v>
      </c>
      <c r="I1389" s="13866" t="s">
        <v>5653</v>
      </c>
      <c r="K1389" s="8432"/>
      <c r="L1389" s="7965"/>
      <c r="M1389" s="7965"/>
      <c r="N1389" s="8433"/>
      <c r="O1389" s="8433"/>
      <c r="P1389" s="8434"/>
      <c r="Q1389" s="7967"/>
      <c r="R1389" s="7968"/>
      <c r="S1389" s="7969"/>
      <c r="T1389" s="7970"/>
      <c r="U1389" s="7967"/>
      <c r="V1389" s="7968"/>
      <c r="W1389" s="7970"/>
      <c r="X1389" s="7968"/>
      <c r="Y1389" s="7970"/>
      <c r="Z1389" s="7968"/>
      <c r="AA1389" s="7969"/>
      <c r="AB1389" s="7969"/>
      <c r="AC1389" s="7969"/>
      <c r="AD1389" s="7969"/>
      <c r="AE1389" s="7969"/>
      <c r="AF1389" s="7970"/>
      <c r="AG1389" s="7968"/>
      <c r="AH1389" s="7969"/>
      <c r="AI1389" s="7969"/>
      <c r="AJ1389" s="7969"/>
      <c r="AK1389" s="7969"/>
      <c r="AL1389" s="7969"/>
      <c r="AM1389" s="7969"/>
      <c r="AN1389" s="7970"/>
      <c r="AO1389" s="7968"/>
      <c r="AP1389" s="7969"/>
      <c r="AQ1389" s="7969"/>
      <c r="AR1389" s="7969"/>
      <c r="AS1389" s="7969"/>
      <c r="AT1389" s="7970"/>
      <c r="AU1389" s="8435"/>
      <c r="AV1389" s="8435"/>
      <c r="AW1389" s="8435"/>
      <c r="AX1389" s="8432"/>
      <c r="AY1389" s="8434"/>
      <c r="AZ1389" s="8435"/>
      <c r="BA1389" s="8432"/>
      <c r="BB1389" s="8433"/>
      <c r="BC1389" s="8434"/>
      <c r="BD1389" s="8436"/>
      <c r="BF1389" s="14404"/>
      <c r="BG1389" s="14404"/>
      <c r="BH1389" s="14404"/>
      <c r="BI1389" s="14404"/>
      <c r="BJ1389" s="14404"/>
      <c r="BK1389" s="7946"/>
      <c r="BL1389" s="14404"/>
      <c r="BM1389" s="14404"/>
      <c r="BN1389" s="14404"/>
    </row>
    <row r="1390" spans="1:66" ht="22.5" hidden="1" customHeight="1">
      <c r="A1390" s="13528"/>
      <c r="B1390" s="13882"/>
      <c r="C1390" s="13610"/>
      <c r="D1390" s="11786" t="s">
        <v>4305</v>
      </c>
      <c r="E1390" s="14300"/>
      <c r="F1390" s="7833"/>
      <c r="G1390" s="13783"/>
      <c r="H1390" s="13413"/>
      <c r="I1390" s="13866"/>
      <c r="K1390" s="8432"/>
      <c r="L1390" s="7965"/>
      <c r="M1390" s="7965"/>
      <c r="N1390" s="8433"/>
      <c r="O1390" s="8433"/>
      <c r="P1390" s="8434"/>
      <c r="Q1390" s="7967"/>
      <c r="R1390" s="7968"/>
      <c r="S1390" s="7969"/>
      <c r="T1390" s="7970"/>
      <c r="U1390" s="7967"/>
      <c r="V1390" s="7968"/>
      <c r="W1390" s="7970"/>
      <c r="X1390" s="7968"/>
      <c r="Y1390" s="7970"/>
      <c r="Z1390" s="7968"/>
      <c r="AA1390" s="7969"/>
      <c r="AB1390" s="7969"/>
      <c r="AC1390" s="7969"/>
      <c r="AD1390" s="7969"/>
      <c r="AE1390" s="7969"/>
      <c r="AF1390" s="7970"/>
      <c r="AG1390" s="7968"/>
      <c r="AH1390" s="7969"/>
      <c r="AI1390" s="7969"/>
      <c r="AJ1390" s="7969"/>
      <c r="AK1390" s="7969"/>
      <c r="AL1390" s="7969"/>
      <c r="AM1390" s="7969"/>
      <c r="AN1390" s="7970"/>
      <c r="AO1390" s="7968"/>
      <c r="AP1390" s="7969"/>
      <c r="AQ1390" s="7969"/>
      <c r="AR1390" s="7969"/>
      <c r="AS1390" s="7969"/>
      <c r="AT1390" s="7970"/>
      <c r="AU1390" s="8435"/>
      <c r="AV1390" s="8435"/>
      <c r="AW1390" s="8435"/>
      <c r="AX1390" s="8432"/>
      <c r="AY1390" s="8434"/>
      <c r="AZ1390" s="8435"/>
      <c r="BA1390" s="8432"/>
      <c r="BB1390" s="8433"/>
      <c r="BC1390" s="8434"/>
      <c r="BD1390" s="8436"/>
      <c r="BF1390" s="14404"/>
      <c r="BG1390" s="14404"/>
      <c r="BH1390" s="14404"/>
      <c r="BI1390" s="14404"/>
      <c r="BJ1390" s="14404"/>
      <c r="BK1390" s="7946"/>
      <c r="BL1390" s="14404"/>
      <c r="BM1390" s="14404"/>
      <c r="BN1390" s="14404"/>
    </row>
    <row r="1391" spans="1:66" ht="22.5" hidden="1" customHeight="1">
      <c r="A1391" s="13528"/>
      <c r="B1391" s="13882"/>
      <c r="C1391" s="13610"/>
      <c r="D1391" s="11786" t="s">
        <v>10063</v>
      </c>
      <c r="E1391" s="14300"/>
      <c r="F1391" s="7833"/>
      <c r="G1391" s="13783"/>
      <c r="H1391" s="13413"/>
      <c r="I1391" s="13866"/>
      <c r="K1391" s="8432"/>
      <c r="L1391" s="7965"/>
      <c r="M1391" s="7965"/>
      <c r="N1391" s="8433"/>
      <c r="O1391" s="8433"/>
      <c r="P1391" s="8434"/>
      <c r="Q1391" s="7967"/>
      <c r="R1391" s="7968"/>
      <c r="S1391" s="7969"/>
      <c r="T1391" s="7970"/>
      <c r="U1391" s="7967"/>
      <c r="V1391" s="7968"/>
      <c r="W1391" s="7970"/>
      <c r="X1391" s="7968"/>
      <c r="Y1391" s="7970"/>
      <c r="Z1391" s="7968"/>
      <c r="AA1391" s="7969"/>
      <c r="AB1391" s="7969"/>
      <c r="AC1391" s="7969"/>
      <c r="AD1391" s="7969"/>
      <c r="AE1391" s="7969"/>
      <c r="AF1391" s="7970"/>
      <c r="AG1391" s="7968"/>
      <c r="AH1391" s="7969"/>
      <c r="AI1391" s="7969"/>
      <c r="AJ1391" s="7969"/>
      <c r="AK1391" s="7969"/>
      <c r="AL1391" s="7969"/>
      <c r="AM1391" s="7969"/>
      <c r="AN1391" s="7970"/>
      <c r="AO1391" s="7968"/>
      <c r="AP1391" s="7969"/>
      <c r="AQ1391" s="7969"/>
      <c r="AR1391" s="7969"/>
      <c r="AS1391" s="7969"/>
      <c r="AT1391" s="7970"/>
      <c r="AU1391" s="8435"/>
      <c r="AV1391" s="8435"/>
      <c r="AW1391" s="8435"/>
      <c r="AX1391" s="8432"/>
      <c r="AY1391" s="8434"/>
      <c r="AZ1391" s="8435"/>
      <c r="BA1391" s="8432"/>
      <c r="BB1391" s="8433"/>
      <c r="BC1391" s="8434"/>
      <c r="BD1391" s="8436"/>
      <c r="BF1391" s="14404"/>
      <c r="BG1391" s="14404"/>
      <c r="BH1391" s="14404"/>
      <c r="BI1391" s="14404"/>
      <c r="BJ1391" s="14404"/>
      <c r="BK1391" s="7946"/>
      <c r="BL1391" s="14404"/>
      <c r="BM1391" s="14404"/>
      <c r="BN1391" s="14404"/>
    </row>
    <row r="1392" spans="1:66" ht="30" hidden="1" customHeight="1">
      <c r="A1392" s="13527">
        <v>880</v>
      </c>
      <c r="B1392" s="14127" t="s">
        <v>8266</v>
      </c>
      <c r="C1392" s="13610"/>
      <c r="D1392" s="11786" t="s">
        <v>10072</v>
      </c>
      <c r="E1392" s="12424" t="s">
        <v>5690</v>
      </c>
      <c r="F1392" s="7833" t="s">
        <v>545</v>
      </c>
      <c r="G1392" s="14129" t="s">
        <v>5674</v>
      </c>
      <c r="H1392" s="13413" t="s">
        <v>5688</v>
      </c>
      <c r="I1392" s="13866" t="s">
        <v>5678</v>
      </c>
      <c r="K1392" s="8432"/>
      <c r="L1392" s="7965"/>
      <c r="M1392" s="7965"/>
      <c r="N1392" s="8433"/>
      <c r="O1392" s="8433"/>
      <c r="P1392" s="8434"/>
      <c r="Q1392" s="7967"/>
      <c r="R1392" s="7968"/>
      <c r="S1392" s="7969"/>
      <c r="T1392" s="7970"/>
      <c r="U1392" s="7967"/>
      <c r="V1392" s="7968"/>
      <c r="W1392" s="7970"/>
      <c r="X1392" s="7968"/>
      <c r="Y1392" s="7970"/>
      <c r="Z1392" s="7968"/>
      <c r="AA1392" s="7969"/>
      <c r="AB1392" s="7969"/>
      <c r="AC1392" s="7969"/>
      <c r="AD1392" s="7969"/>
      <c r="AE1392" s="7969"/>
      <c r="AF1392" s="7970"/>
      <c r="AG1392" s="7968"/>
      <c r="AH1392" s="7969"/>
      <c r="AI1392" s="7969"/>
      <c r="AJ1392" s="7969"/>
      <c r="AK1392" s="7969"/>
      <c r="AL1392" s="7969"/>
      <c r="AM1392" s="7969"/>
      <c r="AN1392" s="7970"/>
      <c r="AO1392" s="7968"/>
      <c r="AP1392" s="7969"/>
      <c r="AQ1392" s="7969"/>
      <c r="AR1392" s="7969"/>
      <c r="AS1392" s="7969"/>
      <c r="AT1392" s="7970"/>
      <c r="AU1392" s="8435"/>
      <c r="AV1392" s="8435"/>
      <c r="AW1392" s="8435"/>
      <c r="AX1392" s="8432"/>
      <c r="AY1392" s="8434"/>
      <c r="AZ1392" s="8435"/>
      <c r="BA1392" s="8432"/>
      <c r="BB1392" s="8433"/>
      <c r="BC1392" s="8434"/>
      <c r="BD1392" s="8436"/>
      <c r="BF1392" s="14502"/>
      <c r="BG1392" s="14502"/>
      <c r="BH1392" s="14502"/>
      <c r="BI1392" s="14502"/>
      <c r="BJ1392" s="14502"/>
      <c r="BK1392" s="9895"/>
      <c r="BL1392" s="14502"/>
      <c r="BM1392" s="14502"/>
      <c r="BN1392" s="14502"/>
    </row>
    <row r="1393" spans="1:66" ht="30" hidden="1" customHeight="1">
      <c r="A1393" s="13527"/>
      <c r="B1393" s="14127"/>
      <c r="C1393" s="13610"/>
      <c r="D1393" s="11786" t="s">
        <v>10063</v>
      </c>
      <c r="E1393" s="12424"/>
      <c r="F1393" s="7833"/>
      <c r="G1393" s="14129"/>
      <c r="H1393" s="13413"/>
      <c r="I1393" s="13866"/>
      <c r="K1393" s="8432"/>
      <c r="L1393" s="7965"/>
      <c r="M1393" s="7965"/>
      <c r="N1393" s="8433"/>
      <c r="O1393" s="8433"/>
      <c r="P1393" s="8434"/>
      <c r="Q1393" s="7967"/>
      <c r="R1393" s="7968"/>
      <c r="S1393" s="7969"/>
      <c r="T1393" s="7970"/>
      <c r="U1393" s="7967"/>
      <c r="V1393" s="7968"/>
      <c r="W1393" s="7970"/>
      <c r="X1393" s="7968"/>
      <c r="Y1393" s="7970"/>
      <c r="Z1393" s="7968"/>
      <c r="AA1393" s="7969"/>
      <c r="AB1393" s="7969"/>
      <c r="AC1393" s="7969"/>
      <c r="AD1393" s="7969"/>
      <c r="AE1393" s="7969"/>
      <c r="AF1393" s="7970"/>
      <c r="AG1393" s="7968"/>
      <c r="AH1393" s="7969"/>
      <c r="AI1393" s="7969"/>
      <c r="AJ1393" s="7969"/>
      <c r="AK1393" s="7969"/>
      <c r="AL1393" s="7969"/>
      <c r="AM1393" s="7969"/>
      <c r="AN1393" s="7970"/>
      <c r="AO1393" s="7968"/>
      <c r="AP1393" s="7969"/>
      <c r="AQ1393" s="7969"/>
      <c r="AR1393" s="7969"/>
      <c r="AS1393" s="7969"/>
      <c r="AT1393" s="7970"/>
      <c r="AU1393" s="8435"/>
      <c r="AV1393" s="8435"/>
      <c r="AW1393" s="8435"/>
      <c r="AX1393" s="8432"/>
      <c r="AY1393" s="8434"/>
      <c r="AZ1393" s="8435"/>
      <c r="BA1393" s="8432"/>
      <c r="BB1393" s="8433"/>
      <c r="BC1393" s="8434"/>
      <c r="BD1393" s="8436"/>
      <c r="BF1393" s="14502"/>
      <c r="BG1393" s="14502"/>
      <c r="BH1393" s="14502"/>
      <c r="BI1393" s="14502"/>
      <c r="BJ1393" s="14502"/>
      <c r="BK1393" s="9895"/>
      <c r="BL1393" s="14502"/>
      <c r="BM1393" s="14502"/>
      <c r="BN1393" s="14502"/>
    </row>
    <row r="1394" spans="1:66" ht="30" hidden="1" customHeight="1">
      <c r="A1394" s="7952">
        <v>881</v>
      </c>
      <c r="B1394" s="8437" t="s">
        <v>8267</v>
      </c>
      <c r="C1394" s="13610"/>
      <c r="D1394" s="11786" t="s">
        <v>218</v>
      </c>
      <c r="E1394" s="7833" t="s">
        <v>768</v>
      </c>
      <c r="F1394" s="7833" t="s">
        <v>545</v>
      </c>
      <c r="G1394" s="11656" t="s">
        <v>5697</v>
      </c>
      <c r="H1394" s="11657" t="s">
        <v>5711</v>
      </c>
      <c r="I1394" s="11787" t="s">
        <v>5701</v>
      </c>
      <c r="K1394" s="8431"/>
      <c r="L1394" s="8443"/>
      <c r="M1394" s="8443"/>
      <c r="N1394" s="8444"/>
      <c r="O1394" s="8444"/>
      <c r="P1394" s="8445"/>
      <c r="Q1394" s="8446"/>
      <c r="R1394" s="8447"/>
      <c r="S1394" s="8448"/>
      <c r="T1394" s="8449"/>
      <c r="U1394" s="8446"/>
      <c r="V1394" s="8447"/>
      <c r="W1394" s="8449"/>
      <c r="X1394" s="8447"/>
      <c r="Y1394" s="8449"/>
      <c r="Z1394" s="8447"/>
      <c r="AA1394" s="8448"/>
      <c r="AB1394" s="8448"/>
      <c r="AC1394" s="8448"/>
      <c r="AD1394" s="8448"/>
      <c r="AE1394" s="8448"/>
      <c r="AF1394" s="8449"/>
      <c r="AG1394" s="8447"/>
      <c r="AH1394" s="8448"/>
      <c r="AI1394" s="8448"/>
      <c r="AJ1394" s="8448"/>
      <c r="AK1394" s="8448"/>
      <c r="AL1394" s="8448"/>
      <c r="AM1394" s="8448"/>
      <c r="AN1394" s="8449"/>
      <c r="AO1394" s="8447"/>
      <c r="AP1394" s="8448"/>
      <c r="AQ1394" s="8448"/>
      <c r="AR1394" s="8448"/>
      <c r="AS1394" s="8448"/>
      <c r="AT1394" s="8449"/>
      <c r="AU1394" s="8450"/>
      <c r="AV1394" s="8450"/>
      <c r="AW1394" s="8450"/>
      <c r="AX1394" s="8431"/>
      <c r="AY1394" s="8445"/>
      <c r="AZ1394" s="8450"/>
      <c r="BA1394" s="8431"/>
      <c r="BB1394" s="8444"/>
      <c r="BC1394" s="8445"/>
      <c r="BD1394" s="7952"/>
      <c r="BF1394" s="7946"/>
      <c r="BG1394" s="7946"/>
      <c r="BH1394" s="7946"/>
      <c r="BI1394" s="7946"/>
      <c r="BJ1394" s="7946"/>
      <c r="BK1394" s="7946"/>
      <c r="BL1394" s="7946"/>
      <c r="BM1394" s="7946"/>
      <c r="BN1394" s="7946"/>
    </row>
    <row r="1395" spans="1:66" ht="30" hidden="1" customHeight="1">
      <c r="A1395" s="7952">
        <v>882</v>
      </c>
      <c r="B1395" s="8437" t="s">
        <v>8268</v>
      </c>
      <c r="C1395" s="13610"/>
      <c r="D1395" s="11786" t="s">
        <v>218</v>
      </c>
      <c r="E1395" s="7833" t="s">
        <v>768</v>
      </c>
      <c r="F1395" s="7833" t="s">
        <v>545</v>
      </c>
      <c r="G1395" s="11656" t="s">
        <v>5714</v>
      </c>
      <c r="H1395" s="11657" t="s">
        <v>5728</v>
      </c>
      <c r="I1395" s="11787" t="s">
        <v>5718</v>
      </c>
      <c r="K1395" s="8431"/>
      <c r="L1395" s="8443"/>
      <c r="M1395" s="8443"/>
      <c r="N1395" s="8444"/>
      <c r="O1395" s="8444"/>
      <c r="P1395" s="8445"/>
      <c r="Q1395" s="8446"/>
      <c r="R1395" s="8447"/>
      <c r="S1395" s="8448"/>
      <c r="T1395" s="8449"/>
      <c r="U1395" s="8446"/>
      <c r="V1395" s="8447"/>
      <c r="W1395" s="8449"/>
      <c r="X1395" s="8447"/>
      <c r="Y1395" s="8449"/>
      <c r="Z1395" s="8447"/>
      <c r="AA1395" s="8448"/>
      <c r="AB1395" s="8448"/>
      <c r="AC1395" s="8448"/>
      <c r="AD1395" s="8448"/>
      <c r="AE1395" s="8448"/>
      <c r="AF1395" s="8449"/>
      <c r="AG1395" s="8447"/>
      <c r="AH1395" s="8448"/>
      <c r="AI1395" s="8448"/>
      <c r="AJ1395" s="8448"/>
      <c r="AK1395" s="8448"/>
      <c r="AL1395" s="8448"/>
      <c r="AM1395" s="8448"/>
      <c r="AN1395" s="8449"/>
      <c r="AO1395" s="8447"/>
      <c r="AP1395" s="8448"/>
      <c r="AQ1395" s="8448"/>
      <c r="AR1395" s="8448"/>
      <c r="AS1395" s="8448"/>
      <c r="AT1395" s="8449"/>
      <c r="AU1395" s="8450"/>
      <c r="AV1395" s="8450"/>
      <c r="AW1395" s="8450"/>
      <c r="AX1395" s="8431"/>
      <c r="AY1395" s="8445"/>
      <c r="AZ1395" s="8450"/>
      <c r="BA1395" s="8431"/>
      <c r="BB1395" s="8444"/>
      <c r="BC1395" s="8445"/>
      <c r="BD1395" s="7952"/>
      <c r="BF1395" s="7946"/>
      <c r="BG1395" s="7946"/>
      <c r="BH1395" s="7946"/>
      <c r="BI1395" s="7946"/>
      <c r="BJ1395" s="7946"/>
      <c r="BK1395" s="7946"/>
      <c r="BL1395" s="7946"/>
      <c r="BM1395" s="7946"/>
      <c r="BN1395" s="7946"/>
    </row>
    <row r="1396" spans="1:66" ht="30" hidden="1" customHeight="1">
      <c r="A1396" s="9985">
        <v>883</v>
      </c>
      <c r="B1396" s="9986" t="s">
        <v>8269</v>
      </c>
      <c r="C1396" s="13610"/>
      <c r="D1396" s="11786" t="s">
        <v>218</v>
      </c>
      <c r="E1396" s="7833" t="s">
        <v>768</v>
      </c>
      <c r="F1396" s="7833" t="s">
        <v>545</v>
      </c>
      <c r="G1396" s="12229" t="s">
        <v>5731</v>
      </c>
      <c r="H1396" s="11657" t="s">
        <v>5739</v>
      </c>
      <c r="I1396" s="12483" t="s">
        <v>5733</v>
      </c>
      <c r="K1396" s="10786"/>
      <c r="L1396" s="10665"/>
      <c r="M1396" s="10665"/>
      <c r="N1396" s="10800"/>
      <c r="O1396" s="10800"/>
      <c r="P1396" s="10801"/>
      <c r="Q1396" s="10666"/>
      <c r="R1396" s="10667"/>
      <c r="S1396" s="10668"/>
      <c r="T1396" s="10669"/>
      <c r="U1396" s="10666"/>
      <c r="V1396" s="10667"/>
      <c r="W1396" s="10669"/>
      <c r="X1396" s="10667"/>
      <c r="Y1396" s="10669"/>
      <c r="Z1396" s="10667"/>
      <c r="AA1396" s="10668"/>
      <c r="AB1396" s="10668"/>
      <c r="AC1396" s="10668"/>
      <c r="AD1396" s="10668"/>
      <c r="AE1396" s="10668"/>
      <c r="AF1396" s="10669"/>
      <c r="AG1396" s="10667"/>
      <c r="AH1396" s="10668"/>
      <c r="AI1396" s="10668"/>
      <c r="AJ1396" s="10668"/>
      <c r="AK1396" s="10668"/>
      <c r="AL1396" s="10668"/>
      <c r="AM1396" s="10668"/>
      <c r="AN1396" s="10669"/>
      <c r="AO1396" s="10667"/>
      <c r="AP1396" s="10668"/>
      <c r="AQ1396" s="10668"/>
      <c r="AR1396" s="10668"/>
      <c r="AS1396" s="10668"/>
      <c r="AT1396" s="10669"/>
      <c r="AU1396" s="10802"/>
      <c r="AV1396" s="10802"/>
      <c r="AW1396" s="10802"/>
      <c r="AX1396" s="10786"/>
      <c r="AY1396" s="10801"/>
      <c r="AZ1396" s="10802"/>
      <c r="BA1396" s="10786"/>
      <c r="BB1396" s="10800"/>
      <c r="BC1396" s="10801"/>
      <c r="BD1396" s="9985"/>
      <c r="BF1396" s="9895"/>
      <c r="BG1396" s="9895"/>
      <c r="BH1396" s="9895"/>
      <c r="BI1396" s="9895"/>
      <c r="BJ1396" s="9895"/>
      <c r="BK1396" s="9895"/>
      <c r="BL1396" s="9895"/>
      <c r="BM1396" s="9895"/>
      <c r="BN1396" s="9895"/>
    </row>
    <row r="1397" spans="1:66" ht="30" hidden="1" customHeight="1" thickBot="1">
      <c r="A1397" s="8461">
        <v>884</v>
      </c>
      <c r="B1397" s="8462" t="s">
        <v>8270</v>
      </c>
      <c r="C1397" s="13610"/>
      <c r="D1397" s="11789" t="s">
        <v>10063</v>
      </c>
      <c r="E1397" s="7834" t="s">
        <v>144</v>
      </c>
      <c r="F1397" s="7834" t="s">
        <v>545</v>
      </c>
      <c r="G1397" s="11790" t="s">
        <v>5745</v>
      </c>
      <c r="H1397" s="12298" t="s">
        <v>10351</v>
      </c>
      <c r="I1397" s="12495" t="s">
        <v>5749</v>
      </c>
      <c r="K1397" s="10840"/>
      <c r="L1397" s="10671"/>
      <c r="M1397" s="10671"/>
      <c r="N1397" s="7914"/>
      <c r="O1397" s="7914"/>
      <c r="P1397" s="10985"/>
      <c r="Q1397" s="10672"/>
      <c r="R1397" s="10673"/>
      <c r="S1397" s="10674"/>
      <c r="T1397" s="10675"/>
      <c r="U1397" s="10672"/>
      <c r="V1397" s="10673"/>
      <c r="W1397" s="10675"/>
      <c r="X1397" s="10673"/>
      <c r="Y1397" s="10675"/>
      <c r="Z1397" s="10673"/>
      <c r="AA1397" s="10674"/>
      <c r="AB1397" s="10674"/>
      <c r="AC1397" s="10674"/>
      <c r="AD1397" s="10674"/>
      <c r="AE1397" s="10674"/>
      <c r="AF1397" s="10675"/>
      <c r="AG1397" s="10673"/>
      <c r="AH1397" s="10674"/>
      <c r="AI1397" s="10674"/>
      <c r="AJ1397" s="10674"/>
      <c r="AK1397" s="10674"/>
      <c r="AL1397" s="10674"/>
      <c r="AM1397" s="10674"/>
      <c r="AN1397" s="10675"/>
      <c r="AO1397" s="10673"/>
      <c r="AP1397" s="10674"/>
      <c r="AQ1397" s="10674"/>
      <c r="AR1397" s="10674"/>
      <c r="AS1397" s="10674"/>
      <c r="AT1397" s="10675"/>
      <c r="AU1397" s="10986"/>
      <c r="AV1397" s="10986"/>
      <c r="AW1397" s="10986"/>
      <c r="AX1397" s="10840"/>
      <c r="AY1397" s="10985"/>
      <c r="AZ1397" s="10986"/>
      <c r="BA1397" s="10840"/>
      <c r="BB1397" s="7914"/>
      <c r="BC1397" s="10985"/>
      <c r="BD1397" s="10198"/>
      <c r="BF1397" s="7983"/>
      <c r="BG1397" s="7983"/>
      <c r="BH1397" s="7983"/>
      <c r="BI1397" s="7983"/>
      <c r="BJ1397" s="7983"/>
      <c r="BK1397" s="7983"/>
      <c r="BL1397" s="7983"/>
      <c r="BM1397" s="7983"/>
      <c r="BN1397" s="7983"/>
    </row>
    <row r="1398" spans="1:66" ht="30" hidden="1" customHeight="1">
      <c r="A1398" s="13529">
        <v>885</v>
      </c>
      <c r="B1398" s="14175" t="s">
        <v>8271</v>
      </c>
      <c r="C1398" s="13610"/>
      <c r="D1398" s="11731" t="s">
        <v>10063</v>
      </c>
      <c r="E1398" s="11732" t="s">
        <v>144</v>
      </c>
      <c r="F1398" s="11732"/>
      <c r="G1398" s="14176" t="s">
        <v>5766</v>
      </c>
      <c r="H1398" s="13414" t="s">
        <v>5779</v>
      </c>
      <c r="I1398" s="14190" t="s">
        <v>5769</v>
      </c>
      <c r="K1398" s="10188"/>
      <c r="L1398" s="10189"/>
      <c r="M1398" s="10189"/>
      <c r="N1398" s="10190"/>
      <c r="O1398" s="10190"/>
      <c r="P1398" s="10191"/>
      <c r="Q1398" s="10192"/>
      <c r="R1398" s="10193"/>
      <c r="S1398" s="10194"/>
      <c r="T1398" s="10195"/>
      <c r="U1398" s="10192"/>
      <c r="V1398" s="10193"/>
      <c r="W1398" s="10195"/>
      <c r="X1398" s="10193"/>
      <c r="Y1398" s="10195"/>
      <c r="Z1398" s="10193"/>
      <c r="AA1398" s="10194"/>
      <c r="AB1398" s="10194"/>
      <c r="AC1398" s="10194"/>
      <c r="AD1398" s="10194"/>
      <c r="AE1398" s="10194"/>
      <c r="AF1398" s="10195"/>
      <c r="AG1398" s="10193"/>
      <c r="AH1398" s="10194"/>
      <c r="AI1398" s="10194"/>
      <c r="AJ1398" s="10194"/>
      <c r="AK1398" s="10194"/>
      <c r="AL1398" s="10194"/>
      <c r="AM1398" s="10194"/>
      <c r="AN1398" s="10195"/>
      <c r="AO1398" s="10193"/>
      <c r="AP1398" s="10194"/>
      <c r="AQ1398" s="10194"/>
      <c r="AR1398" s="10194"/>
      <c r="AS1398" s="10194"/>
      <c r="AT1398" s="10195"/>
      <c r="AU1398" s="10196"/>
      <c r="AV1398" s="10196"/>
      <c r="AW1398" s="10196"/>
      <c r="AX1398" s="10188"/>
      <c r="AY1398" s="10191"/>
      <c r="AZ1398" s="10196"/>
      <c r="BA1398" s="10188"/>
      <c r="BB1398" s="10190"/>
      <c r="BC1398" s="10191"/>
      <c r="BD1398" s="10197"/>
      <c r="BF1398" s="14522"/>
      <c r="BG1398" s="14522"/>
      <c r="BH1398" s="14522"/>
      <c r="BI1398" s="14522"/>
      <c r="BJ1398" s="14522"/>
      <c r="BK1398" s="9978"/>
      <c r="BL1398" s="14522"/>
      <c r="BM1398" s="14522"/>
      <c r="BN1398" s="14522"/>
    </row>
    <row r="1399" spans="1:66" ht="30" hidden="1" customHeight="1">
      <c r="A1399" s="13530"/>
      <c r="B1399" s="14149"/>
      <c r="C1399" s="13610"/>
      <c r="D1399" s="11736" t="s">
        <v>10194</v>
      </c>
      <c r="E1399" s="7841"/>
      <c r="F1399" s="7841" t="s">
        <v>3685</v>
      </c>
      <c r="G1399" s="14150"/>
      <c r="H1399" s="13410"/>
      <c r="I1399" s="14115"/>
      <c r="K1399" s="9662"/>
      <c r="L1399" s="9653"/>
      <c r="M1399" s="9653"/>
      <c r="N1399" s="9663"/>
      <c r="O1399" s="9663"/>
      <c r="P1399" s="9664"/>
      <c r="Q1399" s="9656"/>
      <c r="R1399" s="9657"/>
      <c r="S1399" s="9658"/>
      <c r="T1399" s="9659"/>
      <c r="U1399" s="9656"/>
      <c r="V1399" s="9657"/>
      <c r="W1399" s="9659"/>
      <c r="X1399" s="9657"/>
      <c r="Y1399" s="9659"/>
      <c r="Z1399" s="9657"/>
      <c r="AA1399" s="9658"/>
      <c r="AB1399" s="9658"/>
      <c r="AC1399" s="9658"/>
      <c r="AD1399" s="9658"/>
      <c r="AE1399" s="9658"/>
      <c r="AF1399" s="9659"/>
      <c r="AG1399" s="9657"/>
      <c r="AH1399" s="9658"/>
      <c r="AI1399" s="9658"/>
      <c r="AJ1399" s="9658"/>
      <c r="AK1399" s="9658"/>
      <c r="AL1399" s="9658"/>
      <c r="AM1399" s="9658"/>
      <c r="AN1399" s="9659"/>
      <c r="AO1399" s="9657"/>
      <c r="AP1399" s="9658"/>
      <c r="AQ1399" s="9658"/>
      <c r="AR1399" s="9658"/>
      <c r="AS1399" s="9658"/>
      <c r="AT1399" s="9659"/>
      <c r="AU1399" s="9665"/>
      <c r="AV1399" s="9665"/>
      <c r="AW1399" s="9665"/>
      <c r="AX1399" s="9662"/>
      <c r="AY1399" s="9664"/>
      <c r="AZ1399" s="9665"/>
      <c r="BA1399" s="9662"/>
      <c r="BB1399" s="9663"/>
      <c r="BC1399" s="9664"/>
      <c r="BD1399" s="9666"/>
      <c r="BF1399" s="14510"/>
      <c r="BG1399" s="14510"/>
      <c r="BH1399" s="14510"/>
      <c r="BI1399" s="14510"/>
      <c r="BJ1399" s="14510"/>
      <c r="BK1399" s="10036"/>
      <c r="BL1399" s="14510"/>
      <c r="BM1399" s="14510"/>
      <c r="BN1399" s="14510"/>
    </row>
    <row r="1400" spans="1:66" ht="30" hidden="1" customHeight="1">
      <c r="A1400" s="7741">
        <v>886</v>
      </c>
      <c r="B1400" s="7792" t="s">
        <v>8272</v>
      </c>
      <c r="C1400" s="13610"/>
      <c r="D1400" s="11736" t="s">
        <v>10194</v>
      </c>
      <c r="E1400" s="12546" t="s">
        <v>545</v>
      </c>
      <c r="F1400" s="7841" t="s">
        <v>3685</v>
      </c>
      <c r="G1400" s="12244" t="s">
        <v>5782</v>
      </c>
      <c r="H1400" s="12135" t="s">
        <v>5791</v>
      </c>
      <c r="I1400" s="12136" t="s">
        <v>545</v>
      </c>
      <c r="K1400" s="8238"/>
      <c r="L1400" s="8240"/>
      <c r="M1400" s="8240"/>
      <c r="N1400" s="9649"/>
      <c r="O1400" s="9649"/>
      <c r="P1400" s="9650"/>
      <c r="Q1400" s="8243"/>
      <c r="R1400" s="8244"/>
      <c r="S1400" s="8245"/>
      <c r="T1400" s="8246"/>
      <c r="U1400" s="8243"/>
      <c r="V1400" s="8244"/>
      <c r="W1400" s="8246"/>
      <c r="X1400" s="8244"/>
      <c r="Y1400" s="8246"/>
      <c r="Z1400" s="8244"/>
      <c r="AA1400" s="8245"/>
      <c r="AB1400" s="8245"/>
      <c r="AC1400" s="8245"/>
      <c r="AD1400" s="8245"/>
      <c r="AE1400" s="8245"/>
      <c r="AF1400" s="8246"/>
      <c r="AG1400" s="8244"/>
      <c r="AH1400" s="8245"/>
      <c r="AI1400" s="8245"/>
      <c r="AJ1400" s="8245"/>
      <c r="AK1400" s="8245"/>
      <c r="AL1400" s="8245"/>
      <c r="AM1400" s="8245"/>
      <c r="AN1400" s="8246"/>
      <c r="AO1400" s="8244"/>
      <c r="AP1400" s="8245"/>
      <c r="AQ1400" s="8245"/>
      <c r="AR1400" s="8245"/>
      <c r="AS1400" s="8245"/>
      <c r="AT1400" s="8246"/>
      <c r="AU1400" s="9651"/>
      <c r="AV1400" s="9651"/>
      <c r="AW1400" s="9651"/>
      <c r="AX1400" s="8238"/>
      <c r="AY1400" s="9650"/>
      <c r="AZ1400" s="9651"/>
      <c r="BA1400" s="8238"/>
      <c r="BB1400" s="9649"/>
      <c r="BC1400" s="9650"/>
      <c r="BD1400" s="8652"/>
      <c r="BF1400" s="10036"/>
      <c r="BG1400" s="10036"/>
      <c r="BH1400" s="10036"/>
      <c r="BI1400" s="10036"/>
      <c r="BJ1400" s="10036"/>
      <c r="BK1400" s="10036"/>
      <c r="BL1400" s="10036"/>
      <c r="BM1400" s="10036"/>
      <c r="BN1400" s="10036"/>
    </row>
    <row r="1401" spans="1:66" ht="30" hidden="1" customHeight="1">
      <c r="A1401" s="7741">
        <v>887</v>
      </c>
      <c r="B1401" s="7792" t="s">
        <v>8273</v>
      </c>
      <c r="C1401" s="13610"/>
      <c r="D1401" s="12542" t="s">
        <v>2896</v>
      </c>
      <c r="E1401" s="12547" t="s">
        <v>163</v>
      </c>
      <c r="F1401" s="12412" t="s">
        <v>545</v>
      </c>
      <c r="G1401" s="12244" t="s">
        <v>5793</v>
      </c>
      <c r="H1401" s="12135" t="s">
        <v>5807</v>
      </c>
      <c r="I1401" s="12543" t="s">
        <v>5797</v>
      </c>
      <c r="K1401" s="10966"/>
      <c r="L1401" s="10649"/>
      <c r="M1401" s="10649"/>
      <c r="N1401" s="10967"/>
      <c r="O1401" s="10967"/>
      <c r="P1401" s="10968"/>
      <c r="Q1401" s="10650"/>
      <c r="R1401" s="10651"/>
      <c r="S1401" s="10652"/>
      <c r="T1401" s="10653"/>
      <c r="U1401" s="10650"/>
      <c r="V1401" s="10651"/>
      <c r="W1401" s="10653"/>
      <c r="X1401" s="10651"/>
      <c r="Y1401" s="10653"/>
      <c r="Z1401" s="10651"/>
      <c r="AA1401" s="10652"/>
      <c r="AB1401" s="10652"/>
      <c r="AC1401" s="10652"/>
      <c r="AD1401" s="10652"/>
      <c r="AE1401" s="10652"/>
      <c r="AF1401" s="10653"/>
      <c r="AG1401" s="10651"/>
      <c r="AH1401" s="10652"/>
      <c r="AI1401" s="10652"/>
      <c r="AJ1401" s="10652"/>
      <c r="AK1401" s="10652"/>
      <c r="AL1401" s="10652"/>
      <c r="AM1401" s="10652"/>
      <c r="AN1401" s="10653"/>
      <c r="AO1401" s="10651"/>
      <c r="AP1401" s="10652"/>
      <c r="AQ1401" s="10652"/>
      <c r="AR1401" s="10652"/>
      <c r="AS1401" s="10652"/>
      <c r="AT1401" s="10653"/>
      <c r="AU1401" s="10969"/>
      <c r="AV1401" s="10969"/>
      <c r="AW1401" s="10969"/>
      <c r="AX1401" s="10966"/>
      <c r="AY1401" s="10968"/>
      <c r="AZ1401" s="10969"/>
      <c r="BA1401" s="10966"/>
      <c r="BB1401" s="10967"/>
      <c r="BC1401" s="10968"/>
      <c r="BD1401" s="7741"/>
      <c r="BF1401" s="10036"/>
      <c r="BG1401" s="10036"/>
      <c r="BH1401" s="10036"/>
      <c r="BI1401" s="10036"/>
      <c r="BJ1401" s="10036"/>
      <c r="BK1401" s="10036"/>
      <c r="BL1401" s="10036"/>
      <c r="BM1401" s="10036"/>
      <c r="BN1401" s="10036"/>
    </row>
    <row r="1402" spans="1:66" ht="30" hidden="1" customHeight="1">
      <c r="A1402" s="7741">
        <v>888</v>
      </c>
      <c r="B1402" s="7792" t="s">
        <v>8274</v>
      </c>
      <c r="C1402" s="13610"/>
      <c r="D1402" s="11736" t="s">
        <v>10194</v>
      </c>
      <c r="E1402" s="12546" t="s">
        <v>545</v>
      </c>
      <c r="F1402" s="7841" t="s">
        <v>3685</v>
      </c>
      <c r="G1402" s="12244" t="s">
        <v>5809</v>
      </c>
      <c r="H1402" s="12135" t="s">
        <v>5823</v>
      </c>
      <c r="I1402" s="12136" t="s">
        <v>5813</v>
      </c>
      <c r="K1402" s="8238"/>
      <c r="L1402" s="8240"/>
      <c r="M1402" s="8240"/>
      <c r="N1402" s="9649"/>
      <c r="O1402" s="9649"/>
      <c r="P1402" s="9650"/>
      <c r="Q1402" s="8243"/>
      <c r="R1402" s="8244"/>
      <c r="S1402" s="8245"/>
      <c r="T1402" s="8246"/>
      <c r="U1402" s="8243"/>
      <c r="V1402" s="8244"/>
      <c r="W1402" s="8246"/>
      <c r="X1402" s="8244"/>
      <c r="Y1402" s="8246"/>
      <c r="Z1402" s="8244"/>
      <c r="AA1402" s="8245"/>
      <c r="AB1402" s="8245"/>
      <c r="AC1402" s="8245"/>
      <c r="AD1402" s="8245"/>
      <c r="AE1402" s="8245"/>
      <c r="AF1402" s="8246"/>
      <c r="AG1402" s="8244"/>
      <c r="AH1402" s="8245"/>
      <c r="AI1402" s="8245"/>
      <c r="AJ1402" s="8245"/>
      <c r="AK1402" s="8245"/>
      <c r="AL1402" s="8245"/>
      <c r="AM1402" s="8245"/>
      <c r="AN1402" s="8246"/>
      <c r="AO1402" s="8244"/>
      <c r="AP1402" s="8245"/>
      <c r="AQ1402" s="8245"/>
      <c r="AR1402" s="8245"/>
      <c r="AS1402" s="8245"/>
      <c r="AT1402" s="8246"/>
      <c r="AU1402" s="9651"/>
      <c r="AV1402" s="9651"/>
      <c r="AW1402" s="9651"/>
      <c r="AX1402" s="8238"/>
      <c r="AY1402" s="9650"/>
      <c r="AZ1402" s="9651"/>
      <c r="BA1402" s="8238"/>
      <c r="BB1402" s="9649"/>
      <c r="BC1402" s="9650"/>
      <c r="BD1402" s="8652"/>
      <c r="BF1402" s="10036"/>
      <c r="BG1402" s="10036"/>
      <c r="BH1402" s="10036"/>
      <c r="BI1402" s="10036"/>
      <c r="BJ1402" s="10036"/>
      <c r="BK1402" s="10036"/>
      <c r="BL1402" s="10036"/>
      <c r="BM1402" s="10036"/>
      <c r="BN1402" s="10036"/>
    </row>
    <row r="1403" spans="1:66" ht="30" hidden="1" customHeight="1">
      <c r="A1403" s="13530">
        <v>889</v>
      </c>
      <c r="B1403" s="14149" t="s">
        <v>8275</v>
      </c>
      <c r="C1403" s="13610"/>
      <c r="D1403" s="11736" t="s">
        <v>10063</v>
      </c>
      <c r="E1403" s="7841" t="s">
        <v>144</v>
      </c>
      <c r="F1403" s="7841"/>
      <c r="G1403" s="14150" t="s">
        <v>5826</v>
      </c>
      <c r="H1403" s="13410" t="s">
        <v>5840</v>
      </c>
      <c r="I1403" s="14305" t="s">
        <v>5830</v>
      </c>
      <c r="K1403" s="10970"/>
      <c r="L1403" s="10971"/>
      <c r="M1403" s="10971"/>
      <c r="N1403" s="10972"/>
      <c r="O1403" s="10972"/>
      <c r="P1403" s="10973"/>
      <c r="Q1403" s="10974"/>
      <c r="R1403" s="10975"/>
      <c r="S1403" s="10976"/>
      <c r="T1403" s="10977"/>
      <c r="U1403" s="10974"/>
      <c r="V1403" s="10975"/>
      <c r="W1403" s="10977"/>
      <c r="X1403" s="10975"/>
      <c r="Y1403" s="10977"/>
      <c r="Z1403" s="10975"/>
      <c r="AA1403" s="10976"/>
      <c r="AB1403" s="10976"/>
      <c r="AC1403" s="10976"/>
      <c r="AD1403" s="10976"/>
      <c r="AE1403" s="10976"/>
      <c r="AF1403" s="10977"/>
      <c r="AG1403" s="10975"/>
      <c r="AH1403" s="10976"/>
      <c r="AI1403" s="10976"/>
      <c r="AJ1403" s="10976"/>
      <c r="AK1403" s="10976"/>
      <c r="AL1403" s="10976"/>
      <c r="AM1403" s="10976"/>
      <c r="AN1403" s="10977"/>
      <c r="AO1403" s="10975"/>
      <c r="AP1403" s="10976"/>
      <c r="AQ1403" s="10976"/>
      <c r="AR1403" s="10976"/>
      <c r="AS1403" s="10976"/>
      <c r="AT1403" s="10977"/>
      <c r="AU1403" s="10978"/>
      <c r="AV1403" s="10978"/>
      <c r="AW1403" s="10978"/>
      <c r="AX1403" s="10970"/>
      <c r="AY1403" s="10973"/>
      <c r="AZ1403" s="10978"/>
      <c r="BA1403" s="10970"/>
      <c r="BB1403" s="10972"/>
      <c r="BC1403" s="10973"/>
      <c r="BD1403" s="10979"/>
      <c r="BF1403" s="14510"/>
      <c r="BG1403" s="14510"/>
      <c r="BH1403" s="14510"/>
      <c r="BI1403" s="14510"/>
      <c r="BJ1403" s="14510"/>
      <c r="BK1403" s="10036"/>
      <c r="BL1403" s="14510"/>
      <c r="BM1403" s="14510"/>
      <c r="BN1403" s="14510"/>
    </row>
    <row r="1404" spans="1:66" ht="30" hidden="1" customHeight="1">
      <c r="A1404" s="13530"/>
      <c r="B1404" s="14149"/>
      <c r="C1404" s="13610"/>
      <c r="D1404" s="11736" t="s">
        <v>10194</v>
      </c>
      <c r="E1404" s="7841"/>
      <c r="F1404" s="12548" t="s">
        <v>3685</v>
      </c>
      <c r="G1404" s="14150"/>
      <c r="H1404" s="13410"/>
      <c r="I1404" s="14305"/>
      <c r="K1404" s="10970"/>
      <c r="L1404" s="10971"/>
      <c r="M1404" s="10971"/>
      <c r="N1404" s="10972"/>
      <c r="O1404" s="10972"/>
      <c r="P1404" s="10973"/>
      <c r="Q1404" s="10974"/>
      <c r="R1404" s="10975"/>
      <c r="S1404" s="10976"/>
      <c r="T1404" s="10977"/>
      <c r="U1404" s="10974"/>
      <c r="V1404" s="10975"/>
      <c r="W1404" s="10977"/>
      <c r="X1404" s="10975"/>
      <c r="Y1404" s="10977"/>
      <c r="Z1404" s="10975"/>
      <c r="AA1404" s="10976"/>
      <c r="AB1404" s="10976"/>
      <c r="AC1404" s="10976"/>
      <c r="AD1404" s="10976"/>
      <c r="AE1404" s="10976"/>
      <c r="AF1404" s="10977"/>
      <c r="AG1404" s="10975"/>
      <c r="AH1404" s="10976"/>
      <c r="AI1404" s="10976"/>
      <c r="AJ1404" s="10976"/>
      <c r="AK1404" s="10976"/>
      <c r="AL1404" s="10976"/>
      <c r="AM1404" s="10976"/>
      <c r="AN1404" s="10977"/>
      <c r="AO1404" s="10975"/>
      <c r="AP1404" s="10976"/>
      <c r="AQ1404" s="10976"/>
      <c r="AR1404" s="10976"/>
      <c r="AS1404" s="10976"/>
      <c r="AT1404" s="10977"/>
      <c r="AU1404" s="10978"/>
      <c r="AV1404" s="10978"/>
      <c r="AW1404" s="10978"/>
      <c r="AX1404" s="10970"/>
      <c r="AY1404" s="10973"/>
      <c r="AZ1404" s="10978"/>
      <c r="BA1404" s="10970"/>
      <c r="BB1404" s="10972"/>
      <c r="BC1404" s="10973"/>
      <c r="BD1404" s="10979"/>
      <c r="BF1404" s="14510"/>
      <c r="BG1404" s="14510"/>
      <c r="BH1404" s="14510"/>
      <c r="BI1404" s="14510"/>
      <c r="BJ1404" s="14510"/>
      <c r="BK1404" s="10036"/>
      <c r="BL1404" s="14510"/>
      <c r="BM1404" s="14510"/>
      <c r="BN1404" s="14510"/>
    </row>
    <row r="1405" spans="1:66" ht="30" hidden="1" customHeight="1">
      <c r="A1405" s="13530">
        <v>890</v>
      </c>
      <c r="B1405" s="14149" t="s">
        <v>8276</v>
      </c>
      <c r="C1405" s="13610"/>
      <c r="D1405" s="12542" t="s">
        <v>2896</v>
      </c>
      <c r="E1405" s="12412" t="s">
        <v>172</v>
      </c>
      <c r="F1405" s="7841"/>
      <c r="G1405" s="14150" t="s">
        <v>5848</v>
      </c>
      <c r="H1405" s="13401" t="s">
        <v>5862</v>
      </c>
      <c r="I1405" s="14305" t="s">
        <v>5852</v>
      </c>
      <c r="K1405" s="10970"/>
      <c r="L1405" s="10971"/>
      <c r="M1405" s="10971"/>
      <c r="N1405" s="10972"/>
      <c r="O1405" s="10972"/>
      <c r="P1405" s="10973"/>
      <c r="Q1405" s="10974"/>
      <c r="R1405" s="10975"/>
      <c r="S1405" s="10976"/>
      <c r="T1405" s="10977"/>
      <c r="U1405" s="10974"/>
      <c r="V1405" s="10975"/>
      <c r="W1405" s="10977"/>
      <c r="X1405" s="10975"/>
      <c r="Y1405" s="10977"/>
      <c r="Z1405" s="10975"/>
      <c r="AA1405" s="10976"/>
      <c r="AB1405" s="10976"/>
      <c r="AC1405" s="10976"/>
      <c r="AD1405" s="10976"/>
      <c r="AE1405" s="10976"/>
      <c r="AF1405" s="10977"/>
      <c r="AG1405" s="10975"/>
      <c r="AH1405" s="10976"/>
      <c r="AI1405" s="10976"/>
      <c r="AJ1405" s="10976"/>
      <c r="AK1405" s="10976"/>
      <c r="AL1405" s="10976"/>
      <c r="AM1405" s="10976"/>
      <c r="AN1405" s="10977"/>
      <c r="AO1405" s="10975"/>
      <c r="AP1405" s="10976"/>
      <c r="AQ1405" s="10976"/>
      <c r="AR1405" s="10976"/>
      <c r="AS1405" s="10976"/>
      <c r="AT1405" s="10977"/>
      <c r="AU1405" s="10978"/>
      <c r="AV1405" s="10978"/>
      <c r="AW1405" s="10978"/>
      <c r="AX1405" s="10970"/>
      <c r="AY1405" s="10973"/>
      <c r="AZ1405" s="10978"/>
      <c r="BA1405" s="10970"/>
      <c r="BB1405" s="10972"/>
      <c r="BC1405" s="10973"/>
      <c r="BD1405" s="10979"/>
      <c r="BF1405" s="14510"/>
      <c r="BG1405" s="14510"/>
      <c r="BH1405" s="14510"/>
      <c r="BI1405" s="14510"/>
      <c r="BJ1405" s="14510"/>
      <c r="BK1405" s="10036"/>
      <c r="BL1405" s="14510"/>
      <c r="BM1405" s="14510"/>
      <c r="BN1405" s="14510"/>
    </row>
    <row r="1406" spans="1:66" ht="30" hidden="1" customHeight="1">
      <c r="A1406" s="13530"/>
      <c r="B1406" s="14149"/>
      <c r="C1406" s="13610"/>
      <c r="D1406" s="12542" t="s">
        <v>10194</v>
      </c>
      <c r="E1406" s="12412"/>
      <c r="F1406" s="12412" t="s">
        <v>3685</v>
      </c>
      <c r="G1406" s="14150"/>
      <c r="H1406" s="13401"/>
      <c r="I1406" s="14305"/>
      <c r="K1406" s="10970"/>
      <c r="L1406" s="10971"/>
      <c r="M1406" s="10971"/>
      <c r="N1406" s="10972"/>
      <c r="O1406" s="10972"/>
      <c r="P1406" s="10973"/>
      <c r="Q1406" s="10974"/>
      <c r="R1406" s="10975"/>
      <c r="S1406" s="10976"/>
      <c r="T1406" s="10977"/>
      <c r="U1406" s="10974"/>
      <c r="V1406" s="10975"/>
      <c r="W1406" s="10977"/>
      <c r="X1406" s="10975"/>
      <c r="Y1406" s="10977"/>
      <c r="Z1406" s="10975"/>
      <c r="AA1406" s="10976"/>
      <c r="AB1406" s="10976"/>
      <c r="AC1406" s="10976"/>
      <c r="AD1406" s="10976"/>
      <c r="AE1406" s="10976"/>
      <c r="AF1406" s="10977"/>
      <c r="AG1406" s="10975"/>
      <c r="AH1406" s="10976"/>
      <c r="AI1406" s="10976"/>
      <c r="AJ1406" s="10976"/>
      <c r="AK1406" s="10976"/>
      <c r="AL1406" s="10976"/>
      <c r="AM1406" s="10976"/>
      <c r="AN1406" s="10977"/>
      <c r="AO1406" s="10975"/>
      <c r="AP1406" s="10976"/>
      <c r="AQ1406" s="10976"/>
      <c r="AR1406" s="10976"/>
      <c r="AS1406" s="10976"/>
      <c r="AT1406" s="10977"/>
      <c r="AU1406" s="10978"/>
      <c r="AV1406" s="10978"/>
      <c r="AW1406" s="10978"/>
      <c r="AX1406" s="10970"/>
      <c r="AY1406" s="10973"/>
      <c r="AZ1406" s="10978"/>
      <c r="BA1406" s="10970"/>
      <c r="BB1406" s="10972"/>
      <c r="BC1406" s="10973"/>
      <c r="BD1406" s="10979"/>
      <c r="BF1406" s="14510"/>
      <c r="BG1406" s="14510"/>
      <c r="BH1406" s="14510"/>
      <c r="BI1406" s="14510"/>
      <c r="BJ1406" s="14510"/>
      <c r="BK1406" s="10036"/>
      <c r="BL1406" s="14510"/>
      <c r="BM1406" s="14510"/>
      <c r="BN1406" s="14510"/>
    </row>
    <row r="1407" spans="1:66" ht="15.75" hidden="1" customHeight="1">
      <c r="A1407" s="13530">
        <v>891</v>
      </c>
      <c r="B1407" s="14149" t="s">
        <v>8277</v>
      </c>
      <c r="C1407" s="13610"/>
      <c r="D1407" s="12542" t="s">
        <v>10063</v>
      </c>
      <c r="E1407" s="12412" t="s">
        <v>724</v>
      </c>
      <c r="F1407" s="7841"/>
      <c r="G1407" s="14150" t="s">
        <v>5866</v>
      </c>
      <c r="H1407" s="13401" t="s">
        <v>5880</v>
      </c>
      <c r="I1407" s="14305" t="s">
        <v>5870</v>
      </c>
      <c r="K1407" s="10970"/>
      <c r="L1407" s="10971"/>
      <c r="M1407" s="10971"/>
      <c r="N1407" s="10972"/>
      <c r="O1407" s="10972"/>
      <c r="P1407" s="10973"/>
      <c r="Q1407" s="10974"/>
      <c r="R1407" s="10975"/>
      <c r="S1407" s="10976"/>
      <c r="T1407" s="10977"/>
      <c r="U1407" s="10974"/>
      <c r="V1407" s="10975"/>
      <c r="W1407" s="10977"/>
      <c r="X1407" s="10975"/>
      <c r="Y1407" s="10977"/>
      <c r="Z1407" s="10975"/>
      <c r="AA1407" s="10976"/>
      <c r="AB1407" s="10976"/>
      <c r="AC1407" s="10976"/>
      <c r="AD1407" s="10976"/>
      <c r="AE1407" s="10976"/>
      <c r="AF1407" s="10977"/>
      <c r="AG1407" s="10975"/>
      <c r="AH1407" s="10976"/>
      <c r="AI1407" s="10976"/>
      <c r="AJ1407" s="10976"/>
      <c r="AK1407" s="10976"/>
      <c r="AL1407" s="10976"/>
      <c r="AM1407" s="10976"/>
      <c r="AN1407" s="10977"/>
      <c r="AO1407" s="10975"/>
      <c r="AP1407" s="10976"/>
      <c r="AQ1407" s="10976"/>
      <c r="AR1407" s="10976"/>
      <c r="AS1407" s="10976"/>
      <c r="AT1407" s="10977"/>
      <c r="AU1407" s="10978"/>
      <c r="AV1407" s="10978"/>
      <c r="AW1407" s="10978"/>
      <c r="AX1407" s="10970"/>
      <c r="AY1407" s="10973"/>
      <c r="AZ1407" s="10978"/>
      <c r="BA1407" s="10970"/>
      <c r="BB1407" s="10972"/>
      <c r="BC1407" s="10973"/>
      <c r="BD1407" s="10979"/>
      <c r="BF1407" s="14510"/>
      <c r="BG1407" s="14510"/>
      <c r="BH1407" s="14510"/>
      <c r="BI1407" s="14510"/>
      <c r="BJ1407" s="14510"/>
      <c r="BK1407" s="10036"/>
      <c r="BL1407" s="14510"/>
      <c r="BM1407" s="14510"/>
      <c r="BN1407" s="14510"/>
    </row>
    <row r="1408" spans="1:66" ht="15.75" hidden="1" customHeight="1">
      <c r="A1408" s="13530"/>
      <c r="B1408" s="14149"/>
      <c r="C1408" s="13610"/>
      <c r="D1408" s="12542" t="s">
        <v>10194</v>
      </c>
      <c r="E1408" s="12412"/>
      <c r="F1408" s="7841" t="s">
        <v>10298</v>
      </c>
      <c r="G1408" s="14150"/>
      <c r="H1408" s="13401"/>
      <c r="I1408" s="14305"/>
      <c r="K1408" s="10970"/>
      <c r="L1408" s="10971"/>
      <c r="M1408" s="10971"/>
      <c r="N1408" s="10972"/>
      <c r="O1408" s="10972"/>
      <c r="P1408" s="10973"/>
      <c r="Q1408" s="10974"/>
      <c r="R1408" s="10975"/>
      <c r="S1408" s="10976"/>
      <c r="T1408" s="10977"/>
      <c r="U1408" s="10974"/>
      <c r="V1408" s="10975"/>
      <c r="W1408" s="10977"/>
      <c r="X1408" s="10975"/>
      <c r="Y1408" s="10977"/>
      <c r="Z1408" s="10975"/>
      <c r="AA1408" s="10976"/>
      <c r="AB1408" s="10976"/>
      <c r="AC1408" s="10976"/>
      <c r="AD1408" s="10976"/>
      <c r="AE1408" s="10976"/>
      <c r="AF1408" s="10977"/>
      <c r="AG1408" s="10975"/>
      <c r="AH1408" s="10976"/>
      <c r="AI1408" s="10976"/>
      <c r="AJ1408" s="10976"/>
      <c r="AK1408" s="10976"/>
      <c r="AL1408" s="10976"/>
      <c r="AM1408" s="10976"/>
      <c r="AN1408" s="10977"/>
      <c r="AO1408" s="10975"/>
      <c r="AP1408" s="10976"/>
      <c r="AQ1408" s="10976"/>
      <c r="AR1408" s="10976"/>
      <c r="AS1408" s="10976"/>
      <c r="AT1408" s="10977"/>
      <c r="AU1408" s="10978"/>
      <c r="AV1408" s="10978"/>
      <c r="AW1408" s="10978"/>
      <c r="AX1408" s="10970"/>
      <c r="AY1408" s="10973"/>
      <c r="AZ1408" s="10978"/>
      <c r="BA1408" s="10970"/>
      <c r="BB1408" s="10972"/>
      <c r="BC1408" s="10973"/>
      <c r="BD1408" s="10979"/>
      <c r="BF1408" s="14510"/>
      <c r="BG1408" s="14510"/>
      <c r="BH1408" s="14510"/>
      <c r="BI1408" s="14510"/>
      <c r="BJ1408" s="14510"/>
      <c r="BK1408" s="10036"/>
      <c r="BL1408" s="14510"/>
      <c r="BM1408" s="14510"/>
      <c r="BN1408" s="14510"/>
    </row>
    <row r="1409" spans="1:66" ht="15.75" hidden="1" customHeight="1">
      <c r="A1409" s="13530"/>
      <c r="B1409" s="14149"/>
      <c r="C1409" s="13610"/>
      <c r="D1409" s="12542" t="s">
        <v>329</v>
      </c>
      <c r="E1409" s="12412"/>
      <c r="F1409" s="7841" t="s">
        <v>10299</v>
      </c>
      <c r="G1409" s="14150"/>
      <c r="H1409" s="13401"/>
      <c r="I1409" s="14305"/>
      <c r="K1409" s="10970"/>
      <c r="L1409" s="10971"/>
      <c r="M1409" s="10971"/>
      <c r="N1409" s="10972"/>
      <c r="O1409" s="10972"/>
      <c r="P1409" s="10973"/>
      <c r="Q1409" s="10974"/>
      <c r="R1409" s="10975"/>
      <c r="S1409" s="10976"/>
      <c r="T1409" s="10977"/>
      <c r="U1409" s="10974"/>
      <c r="V1409" s="10975"/>
      <c r="W1409" s="10977"/>
      <c r="X1409" s="10975"/>
      <c r="Y1409" s="10977"/>
      <c r="Z1409" s="10975"/>
      <c r="AA1409" s="10976"/>
      <c r="AB1409" s="10976"/>
      <c r="AC1409" s="10976"/>
      <c r="AD1409" s="10976"/>
      <c r="AE1409" s="10976"/>
      <c r="AF1409" s="10977"/>
      <c r="AG1409" s="10975"/>
      <c r="AH1409" s="10976"/>
      <c r="AI1409" s="10976"/>
      <c r="AJ1409" s="10976"/>
      <c r="AK1409" s="10976"/>
      <c r="AL1409" s="10976"/>
      <c r="AM1409" s="10976"/>
      <c r="AN1409" s="10977"/>
      <c r="AO1409" s="10975"/>
      <c r="AP1409" s="10976"/>
      <c r="AQ1409" s="10976"/>
      <c r="AR1409" s="10976"/>
      <c r="AS1409" s="10976"/>
      <c r="AT1409" s="10977"/>
      <c r="AU1409" s="10978"/>
      <c r="AV1409" s="10978"/>
      <c r="AW1409" s="10978"/>
      <c r="AX1409" s="10970"/>
      <c r="AY1409" s="10973"/>
      <c r="AZ1409" s="10978"/>
      <c r="BA1409" s="10970"/>
      <c r="BB1409" s="10972"/>
      <c r="BC1409" s="10973"/>
      <c r="BD1409" s="10979"/>
      <c r="BF1409" s="14510"/>
      <c r="BG1409" s="14510"/>
      <c r="BH1409" s="14510"/>
      <c r="BI1409" s="14510"/>
      <c r="BJ1409" s="14510"/>
      <c r="BK1409" s="10036"/>
      <c r="BL1409" s="14510"/>
      <c r="BM1409" s="14510"/>
      <c r="BN1409" s="14510"/>
    </row>
    <row r="1410" spans="1:66" ht="15.75" hidden="1" customHeight="1">
      <c r="A1410" s="13530"/>
      <c r="B1410" s="14149"/>
      <c r="C1410" s="13610"/>
      <c r="D1410" s="12542" t="s">
        <v>10304</v>
      </c>
      <c r="E1410" s="12412"/>
      <c r="F1410" s="7841" t="s">
        <v>10300</v>
      </c>
      <c r="G1410" s="14150"/>
      <c r="H1410" s="13401"/>
      <c r="I1410" s="14305"/>
      <c r="K1410" s="10970"/>
      <c r="L1410" s="10971"/>
      <c r="M1410" s="10971"/>
      <c r="N1410" s="10972"/>
      <c r="O1410" s="10972"/>
      <c r="P1410" s="10973"/>
      <c r="Q1410" s="10974"/>
      <c r="R1410" s="10975"/>
      <c r="S1410" s="10976"/>
      <c r="T1410" s="10977"/>
      <c r="U1410" s="10974"/>
      <c r="V1410" s="10975"/>
      <c r="W1410" s="10977"/>
      <c r="X1410" s="10975"/>
      <c r="Y1410" s="10977"/>
      <c r="Z1410" s="10975"/>
      <c r="AA1410" s="10976"/>
      <c r="AB1410" s="10976"/>
      <c r="AC1410" s="10976"/>
      <c r="AD1410" s="10976"/>
      <c r="AE1410" s="10976"/>
      <c r="AF1410" s="10977"/>
      <c r="AG1410" s="10975"/>
      <c r="AH1410" s="10976"/>
      <c r="AI1410" s="10976"/>
      <c r="AJ1410" s="10976"/>
      <c r="AK1410" s="10976"/>
      <c r="AL1410" s="10976"/>
      <c r="AM1410" s="10976"/>
      <c r="AN1410" s="10977"/>
      <c r="AO1410" s="10975"/>
      <c r="AP1410" s="10976"/>
      <c r="AQ1410" s="10976"/>
      <c r="AR1410" s="10976"/>
      <c r="AS1410" s="10976"/>
      <c r="AT1410" s="10977"/>
      <c r="AU1410" s="10978"/>
      <c r="AV1410" s="10978"/>
      <c r="AW1410" s="10978"/>
      <c r="AX1410" s="10970"/>
      <c r="AY1410" s="10973"/>
      <c r="AZ1410" s="10978"/>
      <c r="BA1410" s="10970"/>
      <c r="BB1410" s="10972"/>
      <c r="BC1410" s="10973"/>
      <c r="BD1410" s="10979"/>
      <c r="BF1410" s="14510"/>
      <c r="BG1410" s="14510"/>
      <c r="BH1410" s="14510"/>
      <c r="BI1410" s="14510"/>
      <c r="BJ1410" s="14510"/>
      <c r="BK1410" s="10036"/>
      <c r="BL1410" s="14510"/>
      <c r="BM1410" s="14510"/>
      <c r="BN1410" s="14510"/>
    </row>
    <row r="1411" spans="1:66" ht="15.75" hidden="1" customHeight="1">
      <c r="A1411" s="13530"/>
      <c r="B1411" s="14149"/>
      <c r="C1411" s="13610"/>
      <c r="D1411" s="12542" t="s">
        <v>295</v>
      </c>
      <c r="E1411" s="12412"/>
      <c r="F1411" s="12412" t="s">
        <v>295</v>
      </c>
      <c r="G1411" s="14150"/>
      <c r="H1411" s="13401"/>
      <c r="I1411" s="14305"/>
      <c r="K1411" s="10970"/>
      <c r="L1411" s="10971"/>
      <c r="M1411" s="10971"/>
      <c r="N1411" s="10972"/>
      <c r="O1411" s="10972"/>
      <c r="P1411" s="10973"/>
      <c r="Q1411" s="10974"/>
      <c r="R1411" s="10975"/>
      <c r="S1411" s="10976"/>
      <c r="T1411" s="10977"/>
      <c r="U1411" s="10974"/>
      <c r="V1411" s="10975"/>
      <c r="W1411" s="10977"/>
      <c r="X1411" s="10975"/>
      <c r="Y1411" s="10977"/>
      <c r="Z1411" s="10975"/>
      <c r="AA1411" s="10976"/>
      <c r="AB1411" s="10976"/>
      <c r="AC1411" s="10976"/>
      <c r="AD1411" s="10976"/>
      <c r="AE1411" s="10976"/>
      <c r="AF1411" s="10977"/>
      <c r="AG1411" s="10975"/>
      <c r="AH1411" s="10976"/>
      <c r="AI1411" s="10976"/>
      <c r="AJ1411" s="10976"/>
      <c r="AK1411" s="10976"/>
      <c r="AL1411" s="10976"/>
      <c r="AM1411" s="10976"/>
      <c r="AN1411" s="10977"/>
      <c r="AO1411" s="10975"/>
      <c r="AP1411" s="10976"/>
      <c r="AQ1411" s="10976"/>
      <c r="AR1411" s="10976"/>
      <c r="AS1411" s="10976"/>
      <c r="AT1411" s="10977"/>
      <c r="AU1411" s="10978"/>
      <c r="AV1411" s="10978"/>
      <c r="AW1411" s="10978"/>
      <c r="AX1411" s="10970"/>
      <c r="AY1411" s="10973"/>
      <c r="AZ1411" s="10978"/>
      <c r="BA1411" s="10970"/>
      <c r="BB1411" s="10972"/>
      <c r="BC1411" s="10973"/>
      <c r="BD1411" s="10979"/>
      <c r="BF1411" s="14510"/>
      <c r="BG1411" s="14510"/>
      <c r="BH1411" s="14510"/>
      <c r="BI1411" s="14510"/>
      <c r="BJ1411" s="14510"/>
      <c r="BK1411" s="10036"/>
      <c r="BL1411" s="14510"/>
      <c r="BM1411" s="14510"/>
      <c r="BN1411" s="14510"/>
    </row>
    <row r="1412" spans="1:66" ht="15.75" hidden="1" customHeight="1">
      <c r="A1412" s="13530">
        <v>892</v>
      </c>
      <c r="B1412" s="14149" t="s">
        <v>8278</v>
      </c>
      <c r="C1412" s="13610"/>
      <c r="D1412" s="12542" t="s">
        <v>10063</v>
      </c>
      <c r="E1412" s="14311" t="s">
        <v>5899</v>
      </c>
      <c r="F1412" s="12412" t="s">
        <v>5900</v>
      </c>
      <c r="G1412" s="14150" t="s">
        <v>5883</v>
      </c>
      <c r="H1412" s="13401" t="s">
        <v>5897</v>
      </c>
      <c r="I1412" s="14305" t="s">
        <v>5887</v>
      </c>
      <c r="K1412" s="10970"/>
      <c r="L1412" s="10971"/>
      <c r="M1412" s="10971"/>
      <c r="N1412" s="10972"/>
      <c r="O1412" s="10972"/>
      <c r="P1412" s="10973"/>
      <c r="Q1412" s="10974"/>
      <c r="R1412" s="10975"/>
      <c r="S1412" s="10976"/>
      <c r="T1412" s="10977"/>
      <c r="U1412" s="10974"/>
      <c r="V1412" s="10975"/>
      <c r="W1412" s="10977"/>
      <c r="X1412" s="10975"/>
      <c r="Y1412" s="10977"/>
      <c r="Z1412" s="10975"/>
      <c r="AA1412" s="10976"/>
      <c r="AB1412" s="10976"/>
      <c r="AC1412" s="10976"/>
      <c r="AD1412" s="10976"/>
      <c r="AE1412" s="10976"/>
      <c r="AF1412" s="10977"/>
      <c r="AG1412" s="10975"/>
      <c r="AH1412" s="10976"/>
      <c r="AI1412" s="10976"/>
      <c r="AJ1412" s="10976"/>
      <c r="AK1412" s="10976"/>
      <c r="AL1412" s="10976"/>
      <c r="AM1412" s="10976"/>
      <c r="AN1412" s="10977"/>
      <c r="AO1412" s="10975"/>
      <c r="AP1412" s="10976"/>
      <c r="AQ1412" s="10976"/>
      <c r="AR1412" s="10976"/>
      <c r="AS1412" s="10976"/>
      <c r="AT1412" s="10977"/>
      <c r="AU1412" s="10978"/>
      <c r="AV1412" s="10978"/>
      <c r="AW1412" s="10978"/>
      <c r="AX1412" s="10970"/>
      <c r="AY1412" s="10973"/>
      <c r="AZ1412" s="10978"/>
      <c r="BA1412" s="10970"/>
      <c r="BB1412" s="10972"/>
      <c r="BC1412" s="10973"/>
      <c r="BD1412" s="10979"/>
      <c r="BF1412" s="14510"/>
      <c r="BG1412" s="14510"/>
      <c r="BH1412" s="14510"/>
      <c r="BI1412" s="14510"/>
      <c r="BJ1412" s="14510"/>
      <c r="BK1412" s="10036"/>
      <c r="BL1412" s="14510"/>
      <c r="BM1412" s="14510"/>
      <c r="BN1412" s="14510"/>
    </row>
    <row r="1413" spans="1:66" ht="15.75" hidden="1" customHeight="1">
      <c r="A1413" s="13530"/>
      <c r="B1413" s="14149"/>
      <c r="C1413" s="13610"/>
      <c r="D1413" s="12542" t="s">
        <v>218</v>
      </c>
      <c r="E1413" s="14311"/>
      <c r="F1413" s="12412"/>
      <c r="G1413" s="14150"/>
      <c r="H1413" s="13401"/>
      <c r="I1413" s="14305"/>
      <c r="K1413" s="10970"/>
      <c r="L1413" s="10971"/>
      <c r="M1413" s="10971"/>
      <c r="N1413" s="10972"/>
      <c r="O1413" s="10972"/>
      <c r="P1413" s="10973"/>
      <c r="Q1413" s="10974"/>
      <c r="R1413" s="10975"/>
      <c r="S1413" s="10976"/>
      <c r="T1413" s="10977"/>
      <c r="U1413" s="10974"/>
      <c r="V1413" s="10975"/>
      <c r="W1413" s="10977"/>
      <c r="X1413" s="10975"/>
      <c r="Y1413" s="10977"/>
      <c r="Z1413" s="10975"/>
      <c r="AA1413" s="10976"/>
      <c r="AB1413" s="10976"/>
      <c r="AC1413" s="10976"/>
      <c r="AD1413" s="10976"/>
      <c r="AE1413" s="10976"/>
      <c r="AF1413" s="10977"/>
      <c r="AG1413" s="10975"/>
      <c r="AH1413" s="10976"/>
      <c r="AI1413" s="10976"/>
      <c r="AJ1413" s="10976"/>
      <c r="AK1413" s="10976"/>
      <c r="AL1413" s="10976"/>
      <c r="AM1413" s="10976"/>
      <c r="AN1413" s="10977"/>
      <c r="AO1413" s="10975"/>
      <c r="AP1413" s="10976"/>
      <c r="AQ1413" s="10976"/>
      <c r="AR1413" s="10976"/>
      <c r="AS1413" s="10976"/>
      <c r="AT1413" s="10977"/>
      <c r="AU1413" s="10978"/>
      <c r="AV1413" s="10978"/>
      <c r="AW1413" s="10978"/>
      <c r="AX1413" s="10970"/>
      <c r="AY1413" s="10973"/>
      <c r="AZ1413" s="10978"/>
      <c r="BA1413" s="10970"/>
      <c r="BB1413" s="10972"/>
      <c r="BC1413" s="10973"/>
      <c r="BD1413" s="10979"/>
      <c r="BF1413" s="14510"/>
      <c r="BG1413" s="14510"/>
      <c r="BH1413" s="14510"/>
      <c r="BI1413" s="14510"/>
      <c r="BJ1413" s="14510"/>
      <c r="BK1413" s="10036"/>
      <c r="BL1413" s="14510"/>
      <c r="BM1413" s="14510"/>
      <c r="BN1413" s="14510"/>
    </row>
    <row r="1414" spans="1:66" ht="15.75" hidden="1" customHeight="1">
      <c r="A1414" s="13530"/>
      <c r="B1414" s="14149"/>
      <c r="C1414" s="13610"/>
      <c r="D1414" s="12542" t="s">
        <v>10072</v>
      </c>
      <c r="E1414" s="14311"/>
      <c r="F1414" s="12412"/>
      <c r="G1414" s="14150"/>
      <c r="H1414" s="13401"/>
      <c r="I1414" s="14305"/>
      <c r="K1414" s="10970"/>
      <c r="L1414" s="10971"/>
      <c r="M1414" s="10971"/>
      <c r="N1414" s="10972"/>
      <c r="O1414" s="10972"/>
      <c r="P1414" s="10973"/>
      <c r="Q1414" s="10974"/>
      <c r="R1414" s="10975"/>
      <c r="S1414" s="10976"/>
      <c r="T1414" s="10977"/>
      <c r="U1414" s="10974"/>
      <c r="V1414" s="10975"/>
      <c r="W1414" s="10977"/>
      <c r="X1414" s="10975"/>
      <c r="Y1414" s="10977"/>
      <c r="Z1414" s="10975"/>
      <c r="AA1414" s="10976"/>
      <c r="AB1414" s="10976"/>
      <c r="AC1414" s="10976"/>
      <c r="AD1414" s="10976"/>
      <c r="AE1414" s="10976"/>
      <c r="AF1414" s="10977"/>
      <c r="AG1414" s="10975"/>
      <c r="AH1414" s="10976"/>
      <c r="AI1414" s="10976"/>
      <c r="AJ1414" s="10976"/>
      <c r="AK1414" s="10976"/>
      <c r="AL1414" s="10976"/>
      <c r="AM1414" s="10976"/>
      <c r="AN1414" s="10977"/>
      <c r="AO1414" s="10975"/>
      <c r="AP1414" s="10976"/>
      <c r="AQ1414" s="10976"/>
      <c r="AR1414" s="10976"/>
      <c r="AS1414" s="10976"/>
      <c r="AT1414" s="10977"/>
      <c r="AU1414" s="10978"/>
      <c r="AV1414" s="10978"/>
      <c r="AW1414" s="10978"/>
      <c r="AX1414" s="10970"/>
      <c r="AY1414" s="10973"/>
      <c r="AZ1414" s="10978"/>
      <c r="BA1414" s="10970"/>
      <c r="BB1414" s="10972"/>
      <c r="BC1414" s="10973"/>
      <c r="BD1414" s="10979"/>
      <c r="BF1414" s="14510"/>
      <c r="BG1414" s="14510"/>
      <c r="BH1414" s="14510"/>
      <c r="BI1414" s="14510"/>
      <c r="BJ1414" s="14510"/>
      <c r="BK1414" s="10036"/>
      <c r="BL1414" s="14510"/>
      <c r="BM1414" s="14510"/>
      <c r="BN1414" s="14510"/>
    </row>
    <row r="1415" spans="1:66" ht="46.5" customHeight="1">
      <c r="A1415" s="13530"/>
      <c r="B1415" s="14149"/>
      <c r="C1415" s="13610"/>
      <c r="D1415" s="12542" t="s">
        <v>86</v>
      </c>
      <c r="E1415" s="14311"/>
      <c r="F1415" s="12412"/>
      <c r="G1415" s="14150"/>
      <c r="H1415" s="13401"/>
      <c r="I1415" s="14305"/>
      <c r="K1415" s="10966">
        <v>0</v>
      </c>
      <c r="L1415" s="10649"/>
      <c r="M1415" s="10649"/>
      <c r="N1415" s="10972" t="s">
        <v>10451</v>
      </c>
      <c r="O1415" s="10972"/>
      <c r="P1415" s="10973" t="s">
        <v>10484</v>
      </c>
      <c r="Q1415" s="10974"/>
      <c r="R1415" s="10975"/>
      <c r="S1415" s="10976"/>
      <c r="T1415" s="10977"/>
      <c r="U1415" s="10974"/>
      <c r="V1415" s="10975"/>
      <c r="W1415" s="10977"/>
      <c r="X1415" s="10975"/>
      <c r="Y1415" s="10977"/>
      <c r="Z1415" s="10975"/>
      <c r="AA1415" s="10976"/>
      <c r="AB1415" s="10976"/>
      <c r="AC1415" s="10976"/>
      <c r="AD1415" s="10976"/>
      <c r="AE1415" s="10976"/>
      <c r="AF1415" s="10977"/>
      <c r="AG1415" s="10975"/>
      <c r="AH1415" s="10976"/>
      <c r="AI1415" s="10976"/>
      <c r="AJ1415" s="10976"/>
      <c r="AK1415" s="10976"/>
      <c r="AL1415" s="10976"/>
      <c r="AM1415" s="10976"/>
      <c r="AN1415" s="10977"/>
      <c r="AO1415" s="10975"/>
      <c r="AP1415" s="10976"/>
      <c r="AQ1415" s="10976"/>
      <c r="AR1415" s="10976"/>
      <c r="AS1415" s="10976"/>
      <c r="AT1415" s="10977"/>
      <c r="AU1415" s="10978"/>
      <c r="AV1415" s="10978"/>
      <c r="AW1415" s="10978"/>
      <c r="AX1415" s="10970"/>
      <c r="AY1415" s="10973"/>
      <c r="AZ1415" s="10978"/>
      <c r="BA1415" s="10970"/>
      <c r="BB1415" s="10972"/>
      <c r="BC1415" s="10973"/>
      <c r="BD1415" s="10979"/>
      <c r="BF1415" s="14510"/>
      <c r="BG1415" s="14510"/>
      <c r="BH1415" s="14510"/>
      <c r="BI1415" s="14510"/>
      <c r="BJ1415" s="14510"/>
      <c r="BK1415" s="13072"/>
      <c r="BL1415" s="14510"/>
      <c r="BM1415" s="14510"/>
      <c r="BN1415" s="14510"/>
    </row>
    <row r="1416" spans="1:66" ht="15.75" hidden="1" customHeight="1">
      <c r="A1416" s="13530"/>
      <c r="B1416" s="14149"/>
      <c r="C1416" s="13610"/>
      <c r="D1416" s="12542" t="s">
        <v>4305</v>
      </c>
      <c r="E1416" s="14311"/>
      <c r="F1416" s="12412"/>
      <c r="G1416" s="14150"/>
      <c r="H1416" s="13401"/>
      <c r="I1416" s="14305"/>
      <c r="K1416" s="10970"/>
      <c r="L1416" s="10971"/>
      <c r="M1416" s="10971"/>
      <c r="N1416" s="10972"/>
      <c r="O1416" s="10972"/>
      <c r="P1416" s="10973"/>
      <c r="Q1416" s="10974"/>
      <c r="R1416" s="10975"/>
      <c r="S1416" s="10976"/>
      <c r="T1416" s="10977"/>
      <c r="U1416" s="10974"/>
      <c r="V1416" s="10975"/>
      <c r="W1416" s="10977"/>
      <c r="X1416" s="10975"/>
      <c r="Y1416" s="10977"/>
      <c r="Z1416" s="10975"/>
      <c r="AA1416" s="10976"/>
      <c r="AB1416" s="10976"/>
      <c r="AC1416" s="10976"/>
      <c r="AD1416" s="10976"/>
      <c r="AE1416" s="10976"/>
      <c r="AF1416" s="10977"/>
      <c r="AG1416" s="10975"/>
      <c r="AH1416" s="10976"/>
      <c r="AI1416" s="10976"/>
      <c r="AJ1416" s="10976"/>
      <c r="AK1416" s="10976"/>
      <c r="AL1416" s="10976"/>
      <c r="AM1416" s="10976"/>
      <c r="AN1416" s="10977"/>
      <c r="AO1416" s="10975"/>
      <c r="AP1416" s="10976"/>
      <c r="AQ1416" s="10976"/>
      <c r="AR1416" s="10976"/>
      <c r="AS1416" s="10976"/>
      <c r="AT1416" s="10977"/>
      <c r="AU1416" s="10978"/>
      <c r="AV1416" s="10978"/>
      <c r="AW1416" s="10978"/>
      <c r="AX1416" s="10970"/>
      <c r="AY1416" s="10973"/>
      <c r="AZ1416" s="10978"/>
      <c r="BA1416" s="10970"/>
      <c r="BB1416" s="10972"/>
      <c r="BC1416" s="10973"/>
      <c r="BD1416" s="10979"/>
      <c r="BF1416" s="14510"/>
      <c r="BG1416" s="14510"/>
      <c r="BH1416" s="14510"/>
      <c r="BI1416" s="14510"/>
      <c r="BJ1416" s="14510"/>
      <c r="BK1416" s="10036"/>
      <c r="BL1416" s="14510"/>
      <c r="BM1416" s="14510"/>
      <c r="BN1416" s="14510"/>
    </row>
    <row r="1417" spans="1:66" ht="15.75" hidden="1" customHeight="1">
      <c r="A1417" s="13530"/>
      <c r="B1417" s="14149"/>
      <c r="C1417" s="13610"/>
      <c r="D1417" s="12542" t="s">
        <v>4335</v>
      </c>
      <c r="E1417" s="14311"/>
      <c r="F1417" s="12412"/>
      <c r="G1417" s="14150"/>
      <c r="H1417" s="13401"/>
      <c r="I1417" s="14305"/>
      <c r="K1417" s="10970"/>
      <c r="L1417" s="10971"/>
      <c r="M1417" s="10971"/>
      <c r="N1417" s="10972"/>
      <c r="O1417" s="10972"/>
      <c r="P1417" s="10973"/>
      <c r="Q1417" s="10974"/>
      <c r="R1417" s="10975"/>
      <c r="S1417" s="10976"/>
      <c r="T1417" s="10977"/>
      <c r="U1417" s="10974"/>
      <c r="V1417" s="10975"/>
      <c r="W1417" s="10977"/>
      <c r="X1417" s="10975"/>
      <c r="Y1417" s="10977"/>
      <c r="Z1417" s="10975"/>
      <c r="AA1417" s="10976"/>
      <c r="AB1417" s="10976"/>
      <c r="AC1417" s="10976"/>
      <c r="AD1417" s="10976"/>
      <c r="AE1417" s="10976"/>
      <c r="AF1417" s="10977"/>
      <c r="AG1417" s="10975"/>
      <c r="AH1417" s="10976"/>
      <c r="AI1417" s="10976"/>
      <c r="AJ1417" s="10976"/>
      <c r="AK1417" s="10976"/>
      <c r="AL1417" s="10976"/>
      <c r="AM1417" s="10976"/>
      <c r="AN1417" s="10977"/>
      <c r="AO1417" s="10975"/>
      <c r="AP1417" s="10976"/>
      <c r="AQ1417" s="10976"/>
      <c r="AR1417" s="10976"/>
      <c r="AS1417" s="10976"/>
      <c r="AT1417" s="10977"/>
      <c r="AU1417" s="10978"/>
      <c r="AV1417" s="10978"/>
      <c r="AW1417" s="10978"/>
      <c r="AX1417" s="10970"/>
      <c r="AY1417" s="10973"/>
      <c r="AZ1417" s="10978"/>
      <c r="BA1417" s="10970"/>
      <c r="BB1417" s="10972"/>
      <c r="BC1417" s="10973"/>
      <c r="BD1417" s="10979"/>
      <c r="BF1417" s="14510"/>
      <c r="BG1417" s="14510"/>
      <c r="BH1417" s="14510"/>
      <c r="BI1417" s="14510"/>
      <c r="BJ1417" s="14510"/>
      <c r="BK1417" s="10036"/>
      <c r="BL1417" s="14510"/>
      <c r="BM1417" s="14510"/>
      <c r="BN1417" s="14510"/>
    </row>
    <row r="1418" spans="1:66" ht="15.75" hidden="1" customHeight="1">
      <c r="A1418" s="13530"/>
      <c r="B1418" s="14149"/>
      <c r="C1418" s="13610"/>
      <c r="D1418" s="12542" t="s">
        <v>4329</v>
      </c>
      <c r="E1418" s="14311"/>
      <c r="F1418" s="12412"/>
      <c r="G1418" s="14150"/>
      <c r="H1418" s="13401"/>
      <c r="I1418" s="14305"/>
      <c r="K1418" s="10970"/>
      <c r="L1418" s="10971"/>
      <c r="M1418" s="10971"/>
      <c r="N1418" s="10972"/>
      <c r="O1418" s="10972"/>
      <c r="P1418" s="10973"/>
      <c r="Q1418" s="10974"/>
      <c r="R1418" s="10975"/>
      <c r="S1418" s="10976"/>
      <c r="T1418" s="10977"/>
      <c r="U1418" s="10974"/>
      <c r="V1418" s="10975"/>
      <c r="W1418" s="10977"/>
      <c r="X1418" s="10975"/>
      <c r="Y1418" s="10977"/>
      <c r="Z1418" s="10975"/>
      <c r="AA1418" s="10976"/>
      <c r="AB1418" s="10976"/>
      <c r="AC1418" s="10976"/>
      <c r="AD1418" s="10976"/>
      <c r="AE1418" s="10976"/>
      <c r="AF1418" s="10977"/>
      <c r="AG1418" s="10975"/>
      <c r="AH1418" s="10976"/>
      <c r="AI1418" s="10976"/>
      <c r="AJ1418" s="10976"/>
      <c r="AK1418" s="10976"/>
      <c r="AL1418" s="10976"/>
      <c r="AM1418" s="10976"/>
      <c r="AN1418" s="10977"/>
      <c r="AO1418" s="10975"/>
      <c r="AP1418" s="10976"/>
      <c r="AQ1418" s="10976"/>
      <c r="AR1418" s="10976"/>
      <c r="AS1418" s="10976"/>
      <c r="AT1418" s="10977"/>
      <c r="AU1418" s="10978"/>
      <c r="AV1418" s="10978"/>
      <c r="AW1418" s="10978"/>
      <c r="AX1418" s="10970"/>
      <c r="AY1418" s="10973"/>
      <c r="AZ1418" s="10978"/>
      <c r="BA1418" s="10970"/>
      <c r="BB1418" s="10972"/>
      <c r="BC1418" s="10973"/>
      <c r="BD1418" s="10979"/>
      <c r="BF1418" s="14510"/>
      <c r="BG1418" s="14510"/>
      <c r="BH1418" s="14510"/>
      <c r="BI1418" s="14510"/>
      <c r="BJ1418" s="14510"/>
      <c r="BK1418" s="10036"/>
      <c r="BL1418" s="14510"/>
      <c r="BM1418" s="14510"/>
      <c r="BN1418" s="14510"/>
    </row>
    <row r="1419" spans="1:66" ht="15.75" hidden="1" customHeight="1">
      <c r="A1419" s="13530"/>
      <c r="B1419" s="14149"/>
      <c r="C1419" s="13610"/>
      <c r="D1419" s="12542" t="s">
        <v>2896</v>
      </c>
      <c r="E1419" s="14311"/>
      <c r="F1419" s="12412"/>
      <c r="G1419" s="14150"/>
      <c r="H1419" s="13401"/>
      <c r="I1419" s="14305"/>
      <c r="K1419" s="10970"/>
      <c r="L1419" s="10971"/>
      <c r="M1419" s="10971"/>
      <c r="N1419" s="10972"/>
      <c r="O1419" s="10972"/>
      <c r="P1419" s="10973"/>
      <c r="Q1419" s="10974"/>
      <c r="R1419" s="10975"/>
      <c r="S1419" s="10976"/>
      <c r="T1419" s="10977"/>
      <c r="U1419" s="10974"/>
      <c r="V1419" s="10975"/>
      <c r="W1419" s="10977"/>
      <c r="X1419" s="10975"/>
      <c r="Y1419" s="10977"/>
      <c r="Z1419" s="10975"/>
      <c r="AA1419" s="10976"/>
      <c r="AB1419" s="10976"/>
      <c r="AC1419" s="10976"/>
      <c r="AD1419" s="10976"/>
      <c r="AE1419" s="10976"/>
      <c r="AF1419" s="10977"/>
      <c r="AG1419" s="10975"/>
      <c r="AH1419" s="10976"/>
      <c r="AI1419" s="10976"/>
      <c r="AJ1419" s="10976"/>
      <c r="AK1419" s="10976"/>
      <c r="AL1419" s="10976"/>
      <c r="AM1419" s="10976"/>
      <c r="AN1419" s="10977"/>
      <c r="AO1419" s="10975"/>
      <c r="AP1419" s="10976"/>
      <c r="AQ1419" s="10976"/>
      <c r="AR1419" s="10976"/>
      <c r="AS1419" s="10976"/>
      <c r="AT1419" s="10977"/>
      <c r="AU1419" s="10978"/>
      <c r="AV1419" s="10978"/>
      <c r="AW1419" s="10978"/>
      <c r="AX1419" s="10970"/>
      <c r="AY1419" s="10973"/>
      <c r="AZ1419" s="10978"/>
      <c r="BA1419" s="10970"/>
      <c r="BB1419" s="10972"/>
      <c r="BC1419" s="10973"/>
      <c r="BD1419" s="10979"/>
      <c r="BF1419" s="14510"/>
      <c r="BG1419" s="14510"/>
      <c r="BH1419" s="14510"/>
      <c r="BI1419" s="14510"/>
      <c r="BJ1419" s="14510"/>
      <c r="BK1419" s="10036"/>
      <c r="BL1419" s="14510"/>
      <c r="BM1419" s="14510"/>
      <c r="BN1419" s="14510"/>
    </row>
    <row r="1420" spans="1:66" ht="15.75" hidden="1" customHeight="1">
      <c r="A1420" s="13530"/>
      <c r="B1420" s="14149"/>
      <c r="C1420" s="13610"/>
      <c r="D1420" s="12542" t="s">
        <v>2859</v>
      </c>
      <c r="E1420" s="14311"/>
      <c r="F1420" s="12412"/>
      <c r="G1420" s="14150"/>
      <c r="H1420" s="13401"/>
      <c r="I1420" s="14305"/>
      <c r="K1420" s="10970"/>
      <c r="L1420" s="10971"/>
      <c r="M1420" s="10971"/>
      <c r="N1420" s="10972"/>
      <c r="O1420" s="10972"/>
      <c r="P1420" s="10973"/>
      <c r="Q1420" s="10974"/>
      <c r="R1420" s="10975"/>
      <c r="S1420" s="10976"/>
      <c r="T1420" s="10977"/>
      <c r="U1420" s="10974"/>
      <c r="V1420" s="10975"/>
      <c r="W1420" s="10977"/>
      <c r="X1420" s="10975"/>
      <c r="Y1420" s="10977"/>
      <c r="Z1420" s="10975"/>
      <c r="AA1420" s="10976"/>
      <c r="AB1420" s="10976"/>
      <c r="AC1420" s="10976"/>
      <c r="AD1420" s="10976"/>
      <c r="AE1420" s="10976"/>
      <c r="AF1420" s="10977"/>
      <c r="AG1420" s="10975"/>
      <c r="AH1420" s="10976"/>
      <c r="AI1420" s="10976"/>
      <c r="AJ1420" s="10976"/>
      <c r="AK1420" s="10976"/>
      <c r="AL1420" s="10976"/>
      <c r="AM1420" s="10976"/>
      <c r="AN1420" s="10977"/>
      <c r="AO1420" s="10975"/>
      <c r="AP1420" s="10976"/>
      <c r="AQ1420" s="10976"/>
      <c r="AR1420" s="10976"/>
      <c r="AS1420" s="10976"/>
      <c r="AT1420" s="10977"/>
      <c r="AU1420" s="10978"/>
      <c r="AV1420" s="10978"/>
      <c r="AW1420" s="10978"/>
      <c r="AX1420" s="10970"/>
      <c r="AY1420" s="10973"/>
      <c r="AZ1420" s="10978"/>
      <c r="BA1420" s="10970"/>
      <c r="BB1420" s="10972"/>
      <c r="BC1420" s="10973"/>
      <c r="BD1420" s="10979"/>
      <c r="BF1420" s="14510"/>
      <c r="BG1420" s="14510"/>
      <c r="BH1420" s="14510"/>
      <c r="BI1420" s="14510"/>
      <c r="BJ1420" s="14510"/>
      <c r="BK1420" s="10036"/>
      <c r="BL1420" s="14510"/>
      <c r="BM1420" s="14510"/>
      <c r="BN1420" s="14510"/>
    </row>
    <row r="1421" spans="1:66" ht="15.75" hidden="1" customHeight="1">
      <c r="A1421" s="13530"/>
      <c r="B1421" s="14149"/>
      <c r="C1421" s="13610"/>
      <c r="D1421" s="12542" t="s">
        <v>8644</v>
      </c>
      <c r="E1421" s="14311"/>
      <c r="F1421" s="12412"/>
      <c r="G1421" s="14150"/>
      <c r="H1421" s="13401"/>
      <c r="I1421" s="14305"/>
      <c r="K1421" s="10970"/>
      <c r="L1421" s="10971"/>
      <c r="M1421" s="10971"/>
      <c r="N1421" s="10972"/>
      <c r="O1421" s="10972"/>
      <c r="P1421" s="10973"/>
      <c r="Q1421" s="10974"/>
      <c r="R1421" s="10975"/>
      <c r="S1421" s="10976"/>
      <c r="T1421" s="10977"/>
      <c r="U1421" s="10974"/>
      <c r="V1421" s="10975"/>
      <c r="W1421" s="10977"/>
      <c r="X1421" s="10975"/>
      <c r="Y1421" s="10977"/>
      <c r="Z1421" s="10975"/>
      <c r="AA1421" s="10976"/>
      <c r="AB1421" s="10976"/>
      <c r="AC1421" s="10976"/>
      <c r="AD1421" s="10976"/>
      <c r="AE1421" s="10976"/>
      <c r="AF1421" s="10977"/>
      <c r="AG1421" s="10975"/>
      <c r="AH1421" s="10976"/>
      <c r="AI1421" s="10976"/>
      <c r="AJ1421" s="10976"/>
      <c r="AK1421" s="10976"/>
      <c r="AL1421" s="10976"/>
      <c r="AM1421" s="10976"/>
      <c r="AN1421" s="10977"/>
      <c r="AO1421" s="10975"/>
      <c r="AP1421" s="10976"/>
      <c r="AQ1421" s="10976"/>
      <c r="AR1421" s="10976"/>
      <c r="AS1421" s="10976"/>
      <c r="AT1421" s="10977"/>
      <c r="AU1421" s="10978"/>
      <c r="AV1421" s="10978"/>
      <c r="AW1421" s="10978"/>
      <c r="AX1421" s="10970"/>
      <c r="AY1421" s="10973"/>
      <c r="AZ1421" s="10978"/>
      <c r="BA1421" s="10970"/>
      <c r="BB1421" s="10972"/>
      <c r="BC1421" s="10973"/>
      <c r="BD1421" s="10979"/>
      <c r="BF1421" s="14510"/>
      <c r="BG1421" s="14510"/>
      <c r="BH1421" s="14510"/>
      <c r="BI1421" s="14510"/>
      <c r="BJ1421" s="14510"/>
      <c r="BK1421" s="10036"/>
      <c r="BL1421" s="14510"/>
      <c r="BM1421" s="14510"/>
      <c r="BN1421" s="14510"/>
    </row>
    <row r="1422" spans="1:66" ht="30" hidden="1" customHeight="1">
      <c r="A1422" s="13530">
        <v>893</v>
      </c>
      <c r="B1422" s="14149" t="s">
        <v>8279</v>
      </c>
      <c r="C1422" s="13610"/>
      <c r="D1422" s="12542" t="s">
        <v>10063</v>
      </c>
      <c r="E1422" s="14311" t="s">
        <v>5922</v>
      </c>
      <c r="F1422" s="12412" t="s">
        <v>545</v>
      </c>
      <c r="G1422" s="14150" t="s">
        <v>5906</v>
      </c>
      <c r="H1422" s="13401" t="s">
        <v>5920</v>
      </c>
      <c r="I1422" s="14305" t="s">
        <v>5910</v>
      </c>
      <c r="K1422" s="10970"/>
      <c r="L1422" s="10971"/>
      <c r="M1422" s="10971"/>
      <c r="N1422" s="10972"/>
      <c r="O1422" s="10972"/>
      <c r="P1422" s="10973"/>
      <c r="Q1422" s="10974"/>
      <c r="R1422" s="10975"/>
      <c r="S1422" s="10976"/>
      <c r="T1422" s="10977"/>
      <c r="U1422" s="10974"/>
      <c r="V1422" s="10975"/>
      <c r="W1422" s="10977"/>
      <c r="X1422" s="10975"/>
      <c r="Y1422" s="10977"/>
      <c r="Z1422" s="10975"/>
      <c r="AA1422" s="10976"/>
      <c r="AB1422" s="10976"/>
      <c r="AC1422" s="10976"/>
      <c r="AD1422" s="10976"/>
      <c r="AE1422" s="10976"/>
      <c r="AF1422" s="10977"/>
      <c r="AG1422" s="10975"/>
      <c r="AH1422" s="10976"/>
      <c r="AI1422" s="10976"/>
      <c r="AJ1422" s="10976"/>
      <c r="AK1422" s="10976"/>
      <c r="AL1422" s="10976"/>
      <c r="AM1422" s="10976"/>
      <c r="AN1422" s="10977"/>
      <c r="AO1422" s="10975"/>
      <c r="AP1422" s="10976"/>
      <c r="AQ1422" s="10976"/>
      <c r="AR1422" s="10976"/>
      <c r="AS1422" s="10976"/>
      <c r="AT1422" s="10977"/>
      <c r="AU1422" s="10978"/>
      <c r="AV1422" s="10978"/>
      <c r="AW1422" s="10978"/>
      <c r="AX1422" s="10970"/>
      <c r="AY1422" s="10973"/>
      <c r="AZ1422" s="10978"/>
      <c r="BA1422" s="10970"/>
      <c r="BB1422" s="10972"/>
      <c r="BC1422" s="10973"/>
      <c r="BD1422" s="10979"/>
      <c r="BF1422" s="14510"/>
      <c r="BG1422" s="14510"/>
      <c r="BH1422" s="14510"/>
      <c r="BI1422" s="14510"/>
      <c r="BJ1422" s="14510"/>
      <c r="BK1422" s="10036"/>
      <c r="BL1422" s="14510"/>
      <c r="BM1422" s="14510"/>
      <c r="BN1422" s="14510"/>
    </row>
    <row r="1423" spans="1:66" ht="30" hidden="1" customHeight="1">
      <c r="A1423" s="13530"/>
      <c r="B1423" s="14149"/>
      <c r="C1423" s="13610"/>
      <c r="D1423" s="12542" t="s">
        <v>10238</v>
      </c>
      <c r="E1423" s="14311"/>
      <c r="F1423" s="12412"/>
      <c r="G1423" s="14150"/>
      <c r="H1423" s="13401"/>
      <c r="I1423" s="14305"/>
      <c r="K1423" s="10970"/>
      <c r="L1423" s="10971"/>
      <c r="M1423" s="10971"/>
      <c r="N1423" s="10972"/>
      <c r="O1423" s="10972"/>
      <c r="P1423" s="10973"/>
      <c r="Q1423" s="10974"/>
      <c r="R1423" s="10975"/>
      <c r="S1423" s="10976"/>
      <c r="T1423" s="10977"/>
      <c r="U1423" s="10974"/>
      <c r="V1423" s="10975"/>
      <c r="W1423" s="10977"/>
      <c r="X1423" s="10975"/>
      <c r="Y1423" s="10977"/>
      <c r="Z1423" s="10975"/>
      <c r="AA1423" s="10976"/>
      <c r="AB1423" s="10976"/>
      <c r="AC1423" s="10976"/>
      <c r="AD1423" s="10976"/>
      <c r="AE1423" s="10976"/>
      <c r="AF1423" s="10977"/>
      <c r="AG1423" s="10975"/>
      <c r="AH1423" s="10976"/>
      <c r="AI1423" s="10976"/>
      <c r="AJ1423" s="10976"/>
      <c r="AK1423" s="10976"/>
      <c r="AL1423" s="10976"/>
      <c r="AM1423" s="10976"/>
      <c r="AN1423" s="10977"/>
      <c r="AO1423" s="10975"/>
      <c r="AP1423" s="10976"/>
      <c r="AQ1423" s="10976"/>
      <c r="AR1423" s="10976"/>
      <c r="AS1423" s="10976"/>
      <c r="AT1423" s="10977"/>
      <c r="AU1423" s="10978"/>
      <c r="AV1423" s="10978"/>
      <c r="AW1423" s="10978"/>
      <c r="AX1423" s="10970"/>
      <c r="AY1423" s="10973"/>
      <c r="AZ1423" s="10978"/>
      <c r="BA1423" s="10970"/>
      <c r="BB1423" s="10972"/>
      <c r="BC1423" s="10973"/>
      <c r="BD1423" s="10979"/>
      <c r="BF1423" s="14510"/>
      <c r="BG1423" s="14510"/>
      <c r="BH1423" s="14510"/>
      <c r="BI1423" s="14510"/>
      <c r="BJ1423" s="14510"/>
      <c r="BK1423" s="10036"/>
      <c r="BL1423" s="14510"/>
      <c r="BM1423" s="14510"/>
      <c r="BN1423" s="14510"/>
    </row>
    <row r="1424" spans="1:66" ht="30" hidden="1" customHeight="1">
      <c r="A1424" s="7741">
        <v>894</v>
      </c>
      <c r="B1424" s="7792" t="s">
        <v>8280</v>
      </c>
      <c r="C1424" s="13610"/>
      <c r="D1424" s="11736" t="s">
        <v>10070</v>
      </c>
      <c r="E1424" s="12412" t="s">
        <v>5943</v>
      </c>
      <c r="F1424" s="7842" t="s">
        <v>5944</v>
      </c>
      <c r="G1424" s="12244" t="s">
        <v>5928</v>
      </c>
      <c r="H1424" s="12135" t="s">
        <v>5941</v>
      </c>
      <c r="I1424" s="12136" t="s">
        <v>5931</v>
      </c>
      <c r="K1424" s="8238"/>
      <c r="L1424" s="8240"/>
      <c r="M1424" s="8240"/>
      <c r="N1424" s="9649"/>
      <c r="O1424" s="9649"/>
      <c r="P1424" s="9650"/>
      <c r="Q1424" s="8243"/>
      <c r="R1424" s="8244"/>
      <c r="S1424" s="8245"/>
      <c r="T1424" s="8246"/>
      <c r="U1424" s="8243"/>
      <c r="V1424" s="8244"/>
      <c r="W1424" s="8246"/>
      <c r="X1424" s="8244"/>
      <c r="Y1424" s="8246"/>
      <c r="Z1424" s="8244"/>
      <c r="AA1424" s="8245"/>
      <c r="AB1424" s="8245"/>
      <c r="AC1424" s="8245"/>
      <c r="AD1424" s="8245"/>
      <c r="AE1424" s="8245"/>
      <c r="AF1424" s="8246"/>
      <c r="AG1424" s="8244"/>
      <c r="AH1424" s="8245"/>
      <c r="AI1424" s="8245"/>
      <c r="AJ1424" s="8245"/>
      <c r="AK1424" s="8245"/>
      <c r="AL1424" s="8245"/>
      <c r="AM1424" s="8245"/>
      <c r="AN1424" s="8246"/>
      <c r="AO1424" s="8244"/>
      <c r="AP1424" s="8245"/>
      <c r="AQ1424" s="8245"/>
      <c r="AR1424" s="8245"/>
      <c r="AS1424" s="8245"/>
      <c r="AT1424" s="8246"/>
      <c r="AU1424" s="9651"/>
      <c r="AV1424" s="9651"/>
      <c r="AW1424" s="9651"/>
      <c r="AX1424" s="8238"/>
      <c r="AY1424" s="9650"/>
      <c r="AZ1424" s="9651"/>
      <c r="BA1424" s="8238"/>
      <c r="BB1424" s="9649"/>
      <c r="BC1424" s="9650"/>
      <c r="BD1424" s="8652"/>
      <c r="BF1424" s="10036"/>
      <c r="BG1424" s="10036"/>
      <c r="BH1424" s="10036"/>
      <c r="BI1424" s="10036"/>
      <c r="BJ1424" s="10036"/>
      <c r="BK1424" s="10036"/>
      <c r="BL1424" s="10036"/>
      <c r="BM1424" s="10036"/>
      <c r="BN1424" s="10036"/>
    </row>
    <row r="1425" spans="1:66" ht="30" hidden="1" customHeight="1">
      <c r="A1425" s="7741">
        <v>895</v>
      </c>
      <c r="B1425" s="7792" t="s">
        <v>8281</v>
      </c>
      <c r="C1425" s="13610"/>
      <c r="D1425" s="11736" t="s">
        <v>10057</v>
      </c>
      <c r="E1425" s="7841" t="s">
        <v>5962</v>
      </c>
      <c r="F1425" s="7842" t="s">
        <v>5944</v>
      </c>
      <c r="G1425" s="12244" t="s">
        <v>5946</v>
      </c>
      <c r="H1425" s="12135" t="s">
        <v>5960</v>
      </c>
      <c r="I1425" s="12136" t="s">
        <v>5950</v>
      </c>
      <c r="K1425" s="8238"/>
      <c r="L1425" s="8240"/>
      <c r="M1425" s="8240"/>
      <c r="N1425" s="9649"/>
      <c r="O1425" s="9649"/>
      <c r="P1425" s="9650"/>
      <c r="Q1425" s="8243"/>
      <c r="R1425" s="8244"/>
      <c r="S1425" s="8245"/>
      <c r="T1425" s="8246"/>
      <c r="U1425" s="8243"/>
      <c r="V1425" s="8244"/>
      <c r="W1425" s="8246"/>
      <c r="X1425" s="8244"/>
      <c r="Y1425" s="8246"/>
      <c r="Z1425" s="8244"/>
      <c r="AA1425" s="8245"/>
      <c r="AB1425" s="8245"/>
      <c r="AC1425" s="8245"/>
      <c r="AD1425" s="8245"/>
      <c r="AE1425" s="8245"/>
      <c r="AF1425" s="8246"/>
      <c r="AG1425" s="8244"/>
      <c r="AH1425" s="8245"/>
      <c r="AI1425" s="8245"/>
      <c r="AJ1425" s="8245"/>
      <c r="AK1425" s="8245"/>
      <c r="AL1425" s="8245"/>
      <c r="AM1425" s="8245"/>
      <c r="AN1425" s="8246"/>
      <c r="AO1425" s="8244"/>
      <c r="AP1425" s="8245"/>
      <c r="AQ1425" s="8245"/>
      <c r="AR1425" s="8245"/>
      <c r="AS1425" s="8245"/>
      <c r="AT1425" s="8246"/>
      <c r="AU1425" s="9651"/>
      <c r="AV1425" s="9651"/>
      <c r="AW1425" s="9651"/>
      <c r="AX1425" s="8238"/>
      <c r="AY1425" s="9650"/>
      <c r="AZ1425" s="9651"/>
      <c r="BA1425" s="8238"/>
      <c r="BB1425" s="9649"/>
      <c r="BC1425" s="9650"/>
      <c r="BD1425" s="8652"/>
      <c r="BF1425" s="10036"/>
      <c r="BG1425" s="10036"/>
      <c r="BH1425" s="10036"/>
      <c r="BI1425" s="10036"/>
      <c r="BJ1425" s="10036"/>
      <c r="BK1425" s="10036"/>
      <c r="BL1425" s="10036"/>
      <c r="BM1425" s="10036"/>
      <c r="BN1425" s="10036"/>
    </row>
    <row r="1426" spans="1:66" ht="30" hidden="1" customHeight="1">
      <c r="A1426" s="7741">
        <v>896</v>
      </c>
      <c r="B1426" s="7792" t="s">
        <v>8282</v>
      </c>
      <c r="C1426" s="13610"/>
      <c r="D1426" s="11736" t="s">
        <v>4337</v>
      </c>
      <c r="E1426" s="7841" t="s">
        <v>5980</v>
      </c>
      <c r="F1426" s="7841" t="s">
        <v>545</v>
      </c>
      <c r="G1426" s="12244" t="s">
        <v>5964</v>
      </c>
      <c r="H1426" s="12135" t="s">
        <v>5978</v>
      </c>
      <c r="I1426" s="12136" t="s">
        <v>5968</v>
      </c>
      <c r="K1426" s="8238"/>
      <c r="L1426" s="8240"/>
      <c r="M1426" s="8240"/>
      <c r="N1426" s="9649"/>
      <c r="O1426" s="9649"/>
      <c r="P1426" s="9650"/>
      <c r="Q1426" s="8243"/>
      <c r="R1426" s="8244"/>
      <c r="S1426" s="8245"/>
      <c r="T1426" s="8246"/>
      <c r="U1426" s="8243"/>
      <c r="V1426" s="8244"/>
      <c r="W1426" s="8246"/>
      <c r="X1426" s="8244"/>
      <c r="Y1426" s="8246"/>
      <c r="Z1426" s="8244"/>
      <c r="AA1426" s="8245"/>
      <c r="AB1426" s="8245"/>
      <c r="AC1426" s="8245"/>
      <c r="AD1426" s="8245"/>
      <c r="AE1426" s="8245"/>
      <c r="AF1426" s="8246"/>
      <c r="AG1426" s="8244"/>
      <c r="AH1426" s="8245"/>
      <c r="AI1426" s="8245"/>
      <c r="AJ1426" s="8245"/>
      <c r="AK1426" s="8245"/>
      <c r="AL1426" s="8245"/>
      <c r="AM1426" s="8245"/>
      <c r="AN1426" s="8246"/>
      <c r="AO1426" s="8244"/>
      <c r="AP1426" s="8245"/>
      <c r="AQ1426" s="8245"/>
      <c r="AR1426" s="8245"/>
      <c r="AS1426" s="8245"/>
      <c r="AT1426" s="8246"/>
      <c r="AU1426" s="9651"/>
      <c r="AV1426" s="9651"/>
      <c r="AW1426" s="9651"/>
      <c r="AX1426" s="8238"/>
      <c r="AY1426" s="9650"/>
      <c r="AZ1426" s="9651"/>
      <c r="BA1426" s="8238"/>
      <c r="BB1426" s="9649"/>
      <c r="BC1426" s="9650"/>
      <c r="BD1426" s="8652"/>
      <c r="BF1426" s="10036"/>
      <c r="BG1426" s="10036"/>
      <c r="BH1426" s="10036"/>
      <c r="BI1426" s="10036"/>
      <c r="BJ1426" s="10036"/>
      <c r="BK1426" s="10036"/>
      <c r="BL1426" s="10036"/>
      <c r="BM1426" s="10036"/>
      <c r="BN1426" s="10036"/>
    </row>
    <row r="1427" spans="1:66" ht="30" hidden="1" customHeight="1">
      <c r="A1427" s="7741">
        <v>897</v>
      </c>
      <c r="B1427" s="7792" t="s">
        <v>8283</v>
      </c>
      <c r="C1427" s="13610"/>
      <c r="D1427" s="11736" t="s">
        <v>10063</v>
      </c>
      <c r="E1427" s="7841" t="s">
        <v>5997</v>
      </c>
      <c r="F1427" s="7841" t="s">
        <v>545</v>
      </c>
      <c r="G1427" s="12244" t="s">
        <v>5982</v>
      </c>
      <c r="H1427" s="12135" t="s">
        <v>5996</v>
      </c>
      <c r="I1427" s="12136" t="s">
        <v>5986</v>
      </c>
      <c r="K1427" s="8238"/>
      <c r="L1427" s="8240"/>
      <c r="M1427" s="8240"/>
      <c r="N1427" s="9649"/>
      <c r="O1427" s="9649"/>
      <c r="P1427" s="9650"/>
      <c r="Q1427" s="8243"/>
      <c r="R1427" s="8244"/>
      <c r="S1427" s="8245"/>
      <c r="T1427" s="8246"/>
      <c r="U1427" s="8243"/>
      <c r="V1427" s="8244"/>
      <c r="W1427" s="8246"/>
      <c r="X1427" s="8244"/>
      <c r="Y1427" s="8246"/>
      <c r="Z1427" s="8244"/>
      <c r="AA1427" s="8245"/>
      <c r="AB1427" s="8245"/>
      <c r="AC1427" s="8245"/>
      <c r="AD1427" s="8245"/>
      <c r="AE1427" s="8245"/>
      <c r="AF1427" s="8246"/>
      <c r="AG1427" s="8244"/>
      <c r="AH1427" s="8245"/>
      <c r="AI1427" s="8245"/>
      <c r="AJ1427" s="8245"/>
      <c r="AK1427" s="8245"/>
      <c r="AL1427" s="8245"/>
      <c r="AM1427" s="8245"/>
      <c r="AN1427" s="8246"/>
      <c r="AO1427" s="8244"/>
      <c r="AP1427" s="8245"/>
      <c r="AQ1427" s="8245"/>
      <c r="AR1427" s="8245"/>
      <c r="AS1427" s="8245"/>
      <c r="AT1427" s="8246"/>
      <c r="AU1427" s="9651"/>
      <c r="AV1427" s="9651"/>
      <c r="AW1427" s="9651"/>
      <c r="AX1427" s="8238"/>
      <c r="AY1427" s="9650"/>
      <c r="AZ1427" s="9651"/>
      <c r="BA1427" s="8238"/>
      <c r="BB1427" s="9649"/>
      <c r="BC1427" s="9650"/>
      <c r="BD1427" s="8652"/>
      <c r="BF1427" s="10036"/>
      <c r="BG1427" s="10036"/>
      <c r="BH1427" s="10036"/>
      <c r="BI1427" s="10036"/>
      <c r="BJ1427" s="10036"/>
      <c r="BK1427" s="10036"/>
      <c r="BL1427" s="10036"/>
      <c r="BM1427" s="10036"/>
      <c r="BN1427" s="10036"/>
    </row>
    <row r="1428" spans="1:66" ht="14.25" hidden="1" customHeight="1" thickBot="1">
      <c r="A1428" s="9979">
        <v>898</v>
      </c>
      <c r="B1428" s="9980" t="s">
        <v>8284</v>
      </c>
      <c r="C1428" s="13611"/>
      <c r="D1428" s="11742" t="s">
        <v>8575</v>
      </c>
      <c r="E1428" s="12416" t="s">
        <v>6014</v>
      </c>
      <c r="F1428" s="7843" t="s">
        <v>545</v>
      </c>
      <c r="G1428" s="12224" t="s">
        <v>5999</v>
      </c>
      <c r="H1428" s="12549" t="s">
        <v>6012</v>
      </c>
      <c r="I1428" s="12226" t="s">
        <v>6002</v>
      </c>
      <c r="K1428" s="8259"/>
      <c r="L1428" s="8261"/>
      <c r="M1428" s="8261"/>
      <c r="N1428" s="9982"/>
      <c r="O1428" s="9982"/>
      <c r="P1428" s="9983"/>
      <c r="Q1428" s="8264"/>
      <c r="R1428" s="8265"/>
      <c r="S1428" s="8266"/>
      <c r="T1428" s="8267"/>
      <c r="U1428" s="8264"/>
      <c r="V1428" s="8265"/>
      <c r="W1428" s="8267"/>
      <c r="X1428" s="8265"/>
      <c r="Y1428" s="8267"/>
      <c r="Z1428" s="8265"/>
      <c r="AA1428" s="8266"/>
      <c r="AB1428" s="8266"/>
      <c r="AC1428" s="8266"/>
      <c r="AD1428" s="8266"/>
      <c r="AE1428" s="8266"/>
      <c r="AF1428" s="8267"/>
      <c r="AG1428" s="8265"/>
      <c r="AH1428" s="8266"/>
      <c r="AI1428" s="8266"/>
      <c r="AJ1428" s="8266"/>
      <c r="AK1428" s="8266"/>
      <c r="AL1428" s="8266"/>
      <c r="AM1428" s="8266"/>
      <c r="AN1428" s="8267"/>
      <c r="AO1428" s="8265"/>
      <c r="AP1428" s="8266"/>
      <c r="AQ1428" s="8266"/>
      <c r="AR1428" s="8266"/>
      <c r="AS1428" s="8266"/>
      <c r="AT1428" s="8267"/>
      <c r="AU1428" s="9984"/>
      <c r="AV1428" s="9984"/>
      <c r="AW1428" s="9984"/>
      <c r="AX1428" s="8259"/>
      <c r="AY1428" s="9983"/>
      <c r="AZ1428" s="9984"/>
      <c r="BA1428" s="8259"/>
      <c r="BB1428" s="9982"/>
      <c r="BC1428" s="9983"/>
      <c r="BD1428" s="8675"/>
      <c r="BF1428" s="9981"/>
      <c r="BG1428" s="9981"/>
      <c r="BH1428" s="9981"/>
      <c r="BI1428" s="9981"/>
      <c r="BJ1428" s="9981"/>
      <c r="BK1428" s="9981"/>
      <c r="BL1428" s="9981"/>
      <c r="BM1428" s="9981"/>
      <c r="BN1428" s="9981"/>
    </row>
    <row r="1429" spans="1:66" ht="30" hidden="1" customHeight="1">
      <c r="A1429" s="10987">
        <v>899</v>
      </c>
      <c r="B1429" s="10988" t="s">
        <v>8285</v>
      </c>
      <c r="C1429" s="13612" t="s">
        <v>10347</v>
      </c>
      <c r="D1429" s="12550" t="s">
        <v>86</v>
      </c>
      <c r="E1429" s="12432" t="s">
        <v>1509</v>
      </c>
      <c r="F1429" s="12432"/>
      <c r="G1429" s="12551" t="s">
        <v>6044</v>
      </c>
      <c r="H1429" s="12552" t="s">
        <v>6057</v>
      </c>
      <c r="I1429" s="12553" t="s">
        <v>6047</v>
      </c>
      <c r="K1429" s="12834"/>
      <c r="L1429" s="12918"/>
      <c r="M1429" s="12836"/>
      <c r="N1429" s="12837" t="s">
        <v>10498</v>
      </c>
      <c r="O1429" s="12837" t="s">
        <v>10498</v>
      </c>
      <c r="P1429" s="12838"/>
      <c r="Q1429" s="12838"/>
      <c r="R1429" s="12838"/>
      <c r="S1429" s="12838"/>
      <c r="T1429" s="12838"/>
      <c r="U1429" s="12838"/>
      <c r="V1429" s="12838"/>
      <c r="W1429" s="12838"/>
      <c r="X1429" s="12838"/>
      <c r="Y1429" s="12838"/>
      <c r="Z1429" s="12838"/>
      <c r="AA1429" s="12838"/>
      <c r="AB1429" s="12838"/>
      <c r="AC1429" s="12838"/>
      <c r="AD1429" s="12838"/>
      <c r="AE1429" s="12838"/>
      <c r="AF1429" s="12838"/>
      <c r="AG1429" s="12838"/>
      <c r="AH1429" s="12838"/>
      <c r="AI1429" s="12838"/>
      <c r="AJ1429" s="12838"/>
      <c r="AK1429" s="12838"/>
      <c r="AL1429" s="12838"/>
      <c r="AM1429" s="12838"/>
      <c r="AN1429" s="12838"/>
      <c r="AO1429" s="12838"/>
      <c r="AP1429" s="12838"/>
      <c r="AQ1429" s="12838"/>
      <c r="AR1429" s="12838"/>
      <c r="AS1429" s="12838"/>
      <c r="AT1429" s="12837"/>
      <c r="AU1429" s="12837"/>
      <c r="AV1429" s="12837"/>
      <c r="AW1429" s="12837"/>
      <c r="AX1429" s="12837"/>
      <c r="AY1429" s="12837"/>
      <c r="AZ1429" s="12837"/>
      <c r="BA1429" s="12837"/>
      <c r="BB1429" s="12837"/>
      <c r="BC1429" s="12837"/>
      <c r="BD1429" s="13001"/>
      <c r="BF1429" s="10989"/>
      <c r="BG1429" s="10989"/>
      <c r="BH1429" s="10989"/>
      <c r="BI1429" s="10989"/>
      <c r="BJ1429" s="10989"/>
      <c r="BK1429" s="10989"/>
      <c r="BL1429" s="10989"/>
      <c r="BM1429" s="10989"/>
      <c r="BN1429" s="10989"/>
    </row>
    <row r="1430" spans="1:66" ht="30" hidden="1" customHeight="1">
      <c r="A1430" s="13556">
        <v>900</v>
      </c>
      <c r="B1430" s="14215" t="s">
        <v>8286</v>
      </c>
      <c r="C1430" s="13613"/>
      <c r="D1430" s="12342" t="s">
        <v>86</v>
      </c>
      <c r="E1430" s="14344" t="s">
        <v>6075</v>
      </c>
      <c r="F1430" s="14344" t="s">
        <v>6076</v>
      </c>
      <c r="G1430" s="14216" t="s">
        <v>6060</v>
      </c>
      <c r="H1430" s="13415" t="s">
        <v>6073</v>
      </c>
      <c r="I1430" s="14316" t="s">
        <v>6063</v>
      </c>
      <c r="K1430" s="12834"/>
      <c r="L1430" s="12918"/>
      <c r="M1430" s="12836"/>
      <c r="N1430" s="12837" t="s">
        <v>10605</v>
      </c>
      <c r="O1430" s="12837" t="s">
        <v>10499</v>
      </c>
      <c r="P1430" s="12838"/>
      <c r="Q1430" s="12838"/>
      <c r="R1430" s="12838"/>
      <c r="S1430" s="12838"/>
      <c r="T1430" s="12838"/>
      <c r="U1430" s="12838"/>
      <c r="V1430" s="12838"/>
      <c r="W1430" s="12838"/>
      <c r="X1430" s="12838"/>
      <c r="Y1430" s="12838"/>
      <c r="Z1430" s="12838"/>
      <c r="AA1430" s="12838"/>
      <c r="AB1430" s="12838"/>
      <c r="AC1430" s="12838"/>
      <c r="AD1430" s="12838"/>
      <c r="AE1430" s="12838"/>
      <c r="AF1430" s="12838"/>
      <c r="AG1430" s="12838"/>
      <c r="AH1430" s="12838"/>
      <c r="AI1430" s="12838"/>
      <c r="AJ1430" s="12838"/>
      <c r="AK1430" s="12838"/>
      <c r="AL1430" s="12838"/>
      <c r="AM1430" s="12838"/>
      <c r="AN1430" s="12838"/>
      <c r="AO1430" s="12838"/>
      <c r="AP1430" s="12838"/>
      <c r="AQ1430" s="12838"/>
      <c r="AR1430" s="12838"/>
      <c r="AS1430" s="12838"/>
      <c r="AT1430" s="12837"/>
      <c r="AU1430" s="12837"/>
      <c r="AV1430" s="12837"/>
      <c r="AW1430" s="12837"/>
      <c r="AX1430" s="12837"/>
      <c r="AY1430" s="12837"/>
      <c r="AZ1430" s="12837"/>
      <c r="BA1430" s="12837"/>
      <c r="BB1430" s="12837"/>
      <c r="BC1430" s="12837"/>
      <c r="BD1430" s="10381"/>
      <c r="BF1430" s="14534"/>
      <c r="BG1430" s="14534"/>
      <c r="BH1430" s="14534"/>
      <c r="BI1430" s="14534"/>
      <c r="BJ1430" s="14534"/>
      <c r="BK1430" s="13084"/>
      <c r="BL1430" s="14534"/>
      <c r="BM1430" s="14534"/>
      <c r="BN1430" s="14534"/>
    </row>
    <row r="1431" spans="1:66" ht="30" hidden="1" customHeight="1">
      <c r="A1431" s="13556"/>
      <c r="B1431" s="14215"/>
      <c r="C1431" s="13613"/>
      <c r="D1431" s="12342" t="s">
        <v>2896</v>
      </c>
      <c r="E1431" s="14344"/>
      <c r="F1431" s="14344"/>
      <c r="G1431" s="14216"/>
      <c r="H1431" s="13415"/>
      <c r="I1431" s="14316"/>
      <c r="K1431" s="12834" t="s">
        <v>2951</v>
      </c>
      <c r="L1431" s="12918"/>
      <c r="M1431" s="12844" t="s">
        <v>10500</v>
      </c>
      <c r="N1431" s="12837"/>
      <c r="O1431" s="12837" t="s">
        <v>10501</v>
      </c>
      <c r="P1431" s="12838"/>
      <c r="Q1431" s="12838"/>
      <c r="R1431" s="12838"/>
      <c r="S1431" s="12838"/>
      <c r="T1431" s="12838"/>
      <c r="U1431" s="12838"/>
      <c r="V1431" s="12838"/>
      <c r="W1431" s="12838"/>
      <c r="X1431" s="12838"/>
      <c r="Y1431" s="12838"/>
      <c r="Z1431" s="12838"/>
      <c r="AA1431" s="12838"/>
      <c r="AB1431" s="12838"/>
      <c r="AC1431" s="12838"/>
      <c r="AD1431" s="12838"/>
      <c r="AE1431" s="12838"/>
      <c r="AF1431" s="12838"/>
      <c r="AG1431" s="12838"/>
      <c r="AH1431" s="12838"/>
      <c r="AI1431" s="12838"/>
      <c r="AJ1431" s="12838"/>
      <c r="AK1431" s="12838"/>
      <c r="AL1431" s="12838"/>
      <c r="AM1431" s="12838"/>
      <c r="AN1431" s="12838"/>
      <c r="AO1431" s="12838"/>
      <c r="AP1431" s="12838"/>
      <c r="AQ1431" s="12838"/>
      <c r="AR1431" s="12838"/>
      <c r="AS1431" s="12838"/>
      <c r="AT1431" s="12837"/>
      <c r="AU1431" s="12837"/>
      <c r="AV1431" s="12837"/>
      <c r="AW1431" s="12837"/>
      <c r="AX1431" s="12837"/>
      <c r="AY1431" s="12837"/>
      <c r="AZ1431" s="12837"/>
      <c r="BA1431" s="12837"/>
      <c r="BB1431" s="12837"/>
      <c r="BC1431" s="12837"/>
      <c r="BD1431" s="10381"/>
      <c r="BF1431" s="14534"/>
      <c r="BG1431" s="14534"/>
      <c r="BH1431" s="14534"/>
      <c r="BI1431" s="14534"/>
      <c r="BJ1431" s="14534"/>
      <c r="BK1431" s="8859"/>
      <c r="BL1431" s="14534"/>
      <c r="BM1431" s="14534"/>
      <c r="BN1431" s="14534"/>
    </row>
    <row r="1432" spans="1:66" ht="30" hidden="1" customHeight="1">
      <c r="A1432" s="8857">
        <v>901</v>
      </c>
      <c r="B1432" s="10366" t="s">
        <v>8287</v>
      </c>
      <c r="C1432" s="13613"/>
      <c r="D1432" s="12342" t="s">
        <v>10063</v>
      </c>
      <c r="E1432" s="12303" t="s">
        <v>6094</v>
      </c>
      <c r="F1432" s="12303"/>
      <c r="G1432" s="11898" t="s">
        <v>6079</v>
      </c>
      <c r="H1432" s="12344" t="s">
        <v>6092</v>
      </c>
      <c r="I1432" s="12356" t="s">
        <v>6082</v>
      </c>
      <c r="K1432" s="12919" t="s">
        <v>10502</v>
      </c>
      <c r="L1432" s="12920">
        <v>0</v>
      </c>
      <c r="M1432" s="12921" t="s">
        <v>10503</v>
      </c>
      <c r="N1432" s="12921"/>
      <c r="O1432" s="12921"/>
      <c r="P1432" s="12922">
        <v>1328421</v>
      </c>
      <c r="Q1432" s="12922">
        <v>1328421</v>
      </c>
      <c r="R1432" s="12922"/>
      <c r="S1432" s="12922"/>
      <c r="T1432" s="12922" t="s">
        <v>2951</v>
      </c>
      <c r="U1432" s="12922" t="s">
        <v>2951</v>
      </c>
      <c r="V1432" s="12922" t="s">
        <v>2951</v>
      </c>
      <c r="W1432" s="12922" t="s">
        <v>2951</v>
      </c>
      <c r="X1432" s="12922" t="s">
        <v>2951</v>
      </c>
      <c r="Y1432" s="12922" t="s">
        <v>2951</v>
      </c>
      <c r="Z1432" s="12922" t="s">
        <v>2951</v>
      </c>
      <c r="AA1432" s="12922" t="s">
        <v>2951</v>
      </c>
      <c r="AB1432" s="12922" t="s">
        <v>2951</v>
      </c>
      <c r="AC1432" s="12922" t="s">
        <v>2951</v>
      </c>
      <c r="AD1432" s="12922" t="s">
        <v>2951</v>
      </c>
      <c r="AE1432" s="12922" t="s">
        <v>2951</v>
      </c>
      <c r="AF1432" s="12922" t="s">
        <v>2951</v>
      </c>
      <c r="AG1432" s="12922" t="s">
        <v>2951</v>
      </c>
      <c r="AH1432" s="12922" t="s">
        <v>2951</v>
      </c>
      <c r="AI1432" s="12922" t="s">
        <v>2951</v>
      </c>
      <c r="AJ1432" s="12922" t="s">
        <v>2951</v>
      </c>
      <c r="AK1432" s="12922" t="s">
        <v>2951</v>
      </c>
      <c r="AL1432" s="12922" t="s">
        <v>2951</v>
      </c>
      <c r="AM1432" s="12922" t="s">
        <v>2951</v>
      </c>
      <c r="AN1432" s="12922" t="s">
        <v>2951</v>
      </c>
      <c r="AO1432" s="12922" t="s">
        <v>2951</v>
      </c>
      <c r="AP1432" s="12922" t="s">
        <v>2951</v>
      </c>
      <c r="AQ1432" s="12922" t="s">
        <v>2951</v>
      </c>
      <c r="AR1432" s="12922" t="s">
        <v>2951</v>
      </c>
      <c r="AS1432" s="12922" t="s">
        <v>2951</v>
      </c>
      <c r="AT1432" s="12921" t="s">
        <v>3473</v>
      </c>
      <c r="AU1432" s="12921" t="s">
        <v>10504</v>
      </c>
      <c r="AV1432" s="12921">
        <v>15</v>
      </c>
      <c r="AW1432" s="12921" t="s">
        <v>3613</v>
      </c>
      <c r="AX1432" s="12921" t="s">
        <v>3613</v>
      </c>
      <c r="AY1432" s="12921"/>
      <c r="AZ1432" s="12921"/>
      <c r="BA1432" s="12921"/>
      <c r="BB1432" s="12921"/>
      <c r="BC1432" s="12921"/>
      <c r="BD1432" s="10339"/>
      <c r="BF1432" s="8859"/>
      <c r="BG1432" s="8859"/>
      <c r="BH1432" s="8859"/>
      <c r="BI1432" s="8859"/>
      <c r="BJ1432" s="8859"/>
      <c r="BK1432" s="8859"/>
      <c r="BL1432" s="8859"/>
      <c r="BM1432" s="8859"/>
      <c r="BN1432" s="8859"/>
    </row>
    <row r="1433" spans="1:66" ht="30" hidden="1" customHeight="1" thickBot="1">
      <c r="A1433" s="10231">
        <v>902</v>
      </c>
      <c r="B1433" s="10391" t="s">
        <v>8288</v>
      </c>
      <c r="C1433" s="13613"/>
      <c r="D1433" s="12472" t="s">
        <v>86</v>
      </c>
      <c r="E1433" s="12473" t="s">
        <v>1509</v>
      </c>
      <c r="F1433" s="12473"/>
      <c r="G1433" s="13037" t="s">
        <v>6095</v>
      </c>
      <c r="H1433" s="12308" t="s">
        <v>6108</v>
      </c>
      <c r="I1433" s="12359" t="s">
        <v>6098</v>
      </c>
      <c r="K1433" s="12834" t="s">
        <v>1732</v>
      </c>
      <c r="L1433" s="12918"/>
      <c r="M1433" s="12844"/>
      <c r="N1433" s="12837"/>
      <c r="O1433" s="12837"/>
      <c r="P1433" s="12838" t="s">
        <v>10606</v>
      </c>
      <c r="Q1433" s="12838"/>
      <c r="R1433" s="12838"/>
      <c r="S1433" s="12838"/>
      <c r="T1433" s="12838"/>
      <c r="U1433" s="12838"/>
      <c r="V1433" s="12838"/>
      <c r="W1433" s="12838"/>
      <c r="X1433" s="12838"/>
      <c r="Y1433" s="12838"/>
      <c r="Z1433" s="12838"/>
      <c r="AA1433" s="12838"/>
      <c r="AB1433" s="12838"/>
      <c r="AC1433" s="12838"/>
      <c r="AD1433" s="12838"/>
      <c r="AE1433" s="12838"/>
      <c r="AF1433" s="12838"/>
      <c r="AG1433" s="12838"/>
      <c r="AH1433" s="12838"/>
      <c r="AI1433" s="12838"/>
      <c r="AJ1433" s="12838"/>
      <c r="AK1433" s="12838"/>
      <c r="AL1433" s="12838"/>
      <c r="AM1433" s="12838"/>
      <c r="AN1433" s="12838"/>
      <c r="AO1433" s="12838"/>
      <c r="AP1433" s="12838"/>
      <c r="AQ1433" s="12838"/>
      <c r="AR1433" s="12838"/>
      <c r="AS1433" s="12838"/>
      <c r="AT1433" s="12837"/>
      <c r="AU1433" s="12837"/>
      <c r="AV1433" s="12837"/>
      <c r="AW1433" s="12837"/>
      <c r="AX1433" s="12837"/>
      <c r="AY1433" s="12837"/>
      <c r="AZ1433" s="12837"/>
      <c r="BA1433" s="12837"/>
      <c r="BB1433" s="12837"/>
      <c r="BC1433" s="12837"/>
      <c r="BD1433" s="10990"/>
      <c r="BF1433" s="10342"/>
      <c r="BG1433" s="10342"/>
      <c r="BH1433" s="10342"/>
      <c r="BI1433" s="10342"/>
      <c r="BJ1433" s="10342"/>
      <c r="BK1433" s="13085"/>
      <c r="BL1433" s="13085"/>
      <c r="BM1433" s="10342"/>
      <c r="BN1433" s="10342"/>
    </row>
    <row r="1434" spans="1:66" ht="30" hidden="1" customHeight="1">
      <c r="A1434" s="10991">
        <v>903</v>
      </c>
      <c r="B1434" s="10992" t="s">
        <v>8289</v>
      </c>
      <c r="C1434" s="13613"/>
      <c r="D1434" s="12539" t="s">
        <v>10066</v>
      </c>
      <c r="E1434" s="12408" t="s">
        <v>6130</v>
      </c>
      <c r="F1434" s="12408"/>
      <c r="G1434" s="12133" t="s">
        <v>6115</v>
      </c>
      <c r="H1434" s="12222" t="s">
        <v>6128</v>
      </c>
      <c r="I1434" s="12541" t="s">
        <v>6118</v>
      </c>
      <c r="K1434" s="12919" t="s">
        <v>10502</v>
      </c>
      <c r="L1434" s="12920">
        <v>0</v>
      </c>
      <c r="M1434" s="12921" t="s">
        <v>10503</v>
      </c>
      <c r="N1434" s="12921"/>
      <c r="O1434" s="12921"/>
      <c r="P1434" s="12922">
        <v>1328421</v>
      </c>
      <c r="Q1434" s="12922">
        <v>1328421</v>
      </c>
      <c r="R1434" s="12922"/>
      <c r="S1434" s="12922"/>
      <c r="T1434" s="12922" t="s">
        <v>2951</v>
      </c>
      <c r="U1434" s="12922" t="s">
        <v>2951</v>
      </c>
      <c r="V1434" s="12922" t="s">
        <v>2951</v>
      </c>
      <c r="W1434" s="12922" t="s">
        <v>2951</v>
      </c>
      <c r="X1434" s="12922" t="s">
        <v>2951</v>
      </c>
      <c r="Y1434" s="12922" t="s">
        <v>2951</v>
      </c>
      <c r="Z1434" s="12922" t="s">
        <v>2951</v>
      </c>
      <c r="AA1434" s="12922" t="s">
        <v>2951</v>
      </c>
      <c r="AB1434" s="12922" t="s">
        <v>2951</v>
      </c>
      <c r="AC1434" s="12922" t="s">
        <v>2951</v>
      </c>
      <c r="AD1434" s="12922" t="s">
        <v>2951</v>
      </c>
      <c r="AE1434" s="12922" t="s">
        <v>2951</v>
      </c>
      <c r="AF1434" s="12922" t="s">
        <v>2951</v>
      </c>
      <c r="AG1434" s="12922" t="s">
        <v>2951</v>
      </c>
      <c r="AH1434" s="12922" t="s">
        <v>2951</v>
      </c>
      <c r="AI1434" s="12922" t="s">
        <v>2951</v>
      </c>
      <c r="AJ1434" s="12922" t="s">
        <v>2951</v>
      </c>
      <c r="AK1434" s="12922" t="s">
        <v>2951</v>
      </c>
      <c r="AL1434" s="12922" t="s">
        <v>2951</v>
      </c>
      <c r="AM1434" s="12922" t="s">
        <v>2951</v>
      </c>
      <c r="AN1434" s="12922" t="s">
        <v>2951</v>
      </c>
      <c r="AO1434" s="12922" t="s">
        <v>2951</v>
      </c>
      <c r="AP1434" s="12922" t="s">
        <v>2951</v>
      </c>
      <c r="AQ1434" s="12922" t="s">
        <v>2951</v>
      </c>
      <c r="AR1434" s="12922" t="s">
        <v>2951</v>
      </c>
      <c r="AS1434" s="12922" t="s">
        <v>2951</v>
      </c>
      <c r="AT1434" s="12921" t="s">
        <v>3473</v>
      </c>
      <c r="AU1434" s="12921" t="s">
        <v>10504</v>
      </c>
      <c r="AV1434" s="12921">
        <v>15</v>
      </c>
      <c r="AW1434" s="12921" t="s">
        <v>3613</v>
      </c>
      <c r="AX1434" s="12921" t="s">
        <v>3613</v>
      </c>
      <c r="AY1434" s="12921"/>
      <c r="AZ1434" s="12921"/>
      <c r="BA1434" s="12921"/>
      <c r="BB1434" s="12921"/>
      <c r="BC1434" s="12921"/>
      <c r="BD1434" s="9976"/>
      <c r="BF1434" s="9645"/>
      <c r="BG1434" s="9645"/>
      <c r="BH1434" s="9645"/>
      <c r="BI1434" s="9645"/>
      <c r="BJ1434" s="9645"/>
      <c r="BK1434" s="9645"/>
      <c r="BL1434" s="9645"/>
      <c r="BM1434" s="9645"/>
      <c r="BN1434" s="9645"/>
    </row>
    <row r="1435" spans="1:66" ht="76.5" hidden="1" customHeight="1">
      <c r="A1435" s="13540">
        <v>904</v>
      </c>
      <c r="B1435" s="14096" t="s">
        <v>8290</v>
      </c>
      <c r="C1435" s="13613"/>
      <c r="D1435" s="12542" t="s">
        <v>86</v>
      </c>
      <c r="E1435" s="12412" t="s">
        <v>6147</v>
      </c>
      <c r="F1435" s="12412"/>
      <c r="G1435" s="14097" t="s">
        <v>6132</v>
      </c>
      <c r="H1435" s="13416" t="s">
        <v>6145</v>
      </c>
      <c r="I1435" s="14305" t="s">
        <v>6135</v>
      </c>
      <c r="K1435" s="12919" t="s">
        <v>10502</v>
      </c>
      <c r="L1435" s="12920"/>
      <c r="M1435" s="12921"/>
      <c r="N1435" s="12921" t="s">
        <v>10503</v>
      </c>
      <c r="O1435" s="12921"/>
      <c r="P1435" s="12922"/>
      <c r="Q1435" s="12922">
        <v>1328421</v>
      </c>
      <c r="R1435" s="12922"/>
      <c r="S1435" s="12922"/>
      <c r="T1435" s="12922" t="s">
        <v>2951</v>
      </c>
      <c r="U1435" s="12922" t="s">
        <v>2951</v>
      </c>
      <c r="V1435" s="12922" t="s">
        <v>2951</v>
      </c>
      <c r="W1435" s="12922" t="s">
        <v>2951</v>
      </c>
      <c r="X1435" s="12922" t="s">
        <v>2951</v>
      </c>
      <c r="Y1435" s="12922" t="s">
        <v>2951</v>
      </c>
      <c r="Z1435" s="12922" t="s">
        <v>2951</v>
      </c>
      <c r="AA1435" s="12922" t="s">
        <v>2951</v>
      </c>
      <c r="AB1435" s="12922" t="s">
        <v>2951</v>
      </c>
      <c r="AC1435" s="12922" t="s">
        <v>2951</v>
      </c>
      <c r="AD1435" s="12922" t="s">
        <v>2951</v>
      </c>
      <c r="AE1435" s="12922" t="s">
        <v>2951</v>
      </c>
      <c r="AF1435" s="12922" t="s">
        <v>2951</v>
      </c>
      <c r="AG1435" s="12922" t="s">
        <v>2951</v>
      </c>
      <c r="AH1435" s="12922" t="s">
        <v>2951</v>
      </c>
      <c r="AI1435" s="12922" t="s">
        <v>2951</v>
      </c>
      <c r="AJ1435" s="12922" t="s">
        <v>2951</v>
      </c>
      <c r="AK1435" s="12922" t="s">
        <v>2951</v>
      </c>
      <c r="AL1435" s="12922" t="s">
        <v>2951</v>
      </c>
      <c r="AM1435" s="12922" t="s">
        <v>2951</v>
      </c>
      <c r="AN1435" s="12922" t="s">
        <v>2951</v>
      </c>
      <c r="AO1435" s="12922" t="s">
        <v>2951</v>
      </c>
      <c r="AP1435" s="12922" t="s">
        <v>2951</v>
      </c>
      <c r="AQ1435" s="12922" t="s">
        <v>2951</v>
      </c>
      <c r="AR1435" s="12922" t="s">
        <v>2951</v>
      </c>
      <c r="AS1435" s="12922" t="s">
        <v>2951</v>
      </c>
      <c r="AT1435" s="12921" t="s">
        <v>3473</v>
      </c>
      <c r="AU1435" s="12921" t="s">
        <v>10504</v>
      </c>
      <c r="AV1435" s="12921">
        <v>15</v>
      </c>
      <c r="AW1435" s="12921" t="s">
        <v>3613</v>
      </c>
      <c r="AX1435" s="12921" t="s">
        <v>3613</v>
      </c>
      <c r="AY1435" s="12921"/>
      <c r="AZ1435" s="12921"/>
      <c r="BA1435" s="12921"/>
      <c r="BB1435" s="12921"/>
      <c r="BC1435" s="12921"/>
      <c r="BD1435" s="10979"/>
      <c r="BF1435" s="14494"/>
      <c r="BG1435" s="14494"/>
      <c r="BH1435" s="14494"/>
      <c r="BI1435" s="14494"/>
      <c r="BJ1435" s="14494"/>
      <c r="BK1435" s="13065"/>
      <c r="BL1435" s="14494"/>
      <c r="BM1435" s="14494"/>
      <c r="BN1435" s="14494"/>
    </row>
    <row r="1436" spans="1:66" ht="30" hidden="1" customHeight="1">
      <c r="A1436" s="13540"/>
      <c r="B1436" s="14096"/>
      <c r="C1436" s="13613"/>
      <c r="D1436" s="12542" t="s">
        <v>10063</v>
      </c>
      <c r="E1436" s="12412"/>
      <c r="F1436" s="12412"/>
      <c r="G1436" s="14097"/>
      <c r="H1436" s="13401"/>
      <c r="I1436" s="14305"/>
      <c r="K1436" s="12923"/>
      <c r="L1436" s="12924"/>
      <c r="M1436" s="12807"/>
      <c r="N1436" s="12807"/>
      <c r="O1436" s="12807"/>
      <c r="P1436" s="12808"/>
      <c r="Q1436" s="12808"/>
      <c r="R1436" s="12808"/>
      <c r="S1436" s="12808"/>
      <c r="T1436" s="12808"/>
      <c r="U1436" s="12808"/>
      <c r="V1436" s="12808"/>
      <c r="W1436" s="12808"/>
      <c r="X1436" s="12808"/>
      <c r="Y1436" s="12808"/>
      <c r="Z1436" s="12808"/>
      <c r="AA1436" s="12808"/>
      <c r="AB1436" s="12808"/>
      <c r="AC1436" s="12808"/>
      <c r="AD1436" s="12808"/>
      <c r="AE1436" s="12808"/>
      <c r="AF1436" s="12808"/>
      <c r="AG1436" s="12808"/>
      <c r="AH1436" s="12808"/>
      <c r="AI1436" s="12808"/>
      <c r="AJ1436" s="12808"/>
      <c r="AK1436" s="12808"/>
      <c r="AL1436" s="12808"/>
      <c r="AM1436" s="12808"/>
      <c r="AN1436" s="12808"/>
      <c r="AO1436" s="12808"/>
      <c r="AP1436" s="12808"/>
      <c r="AQ1436" s="12808"/>
      <c r="AR1436" s="12808"/>
      <c r="AS1436" s="12808"/>
      <c r="AT1436" s="12807"/>
      <c r="AU1436" s="12807"/>
      <c r="AV1436" s="12807"/>
      <c r="AW1436" s="12807"/>
      <c r="AX1436" s="12807"/>
      <c r="AY1436" s="12807"/>
      <c r="AZ1436" s="12807"/>
      <c r="BA1436" s="12807"/>
      <c r="BB1436" s="12807"/>
      <c r="BC1436" s="12807"/>
      <c r="BD1436" s="10979"/>
      <c r="BF1436" s="14494"/>
      <c r="BG1436" s="14494"/>
      <c r="BH1436" s="14494"/>
      <c r="BI1436" s="14494"/>
      <c r="BJ1436" s="14494"/>
      <c r="BK1436" s="8654"/>
      <c r="BL1436" s="14494"/>
      <c r="BM1436" s="14494"/>
      <c r="BN1436" s="14494"/>
    </row>
    <row r="1437" spans="1:66" ht="30" hidden="1" customHeight="1">
      <c r="A1437" s="13540"/>
      <c r="B1437" s="14096"/>
      <c r="C1437" s="13613"/>
      <c r="D1437" s="12542" t="s">
        <v>10301</v>
      </c>
      <c r="E1437" s="12412"/>
      <c r="F1437" s="12412" t="s">
        <v>6148</v>
      </c>
      <c r="G1437" s="14097"/>
      <c r="H1437" s="13401"/>
      <c r="I1437" s="14305"/>
      <c r="K1437" s="10970"/>
      <c r="L1437" s="10971"/>
      <c r="M1437" s="10971"/>
      <c r="N1437" s="10972"/>
      <c r="O1437" s="10972"/>
      <c r="P1437" s="10973"/>
      <c r="Q1437" s="10974"/>
      <c r="R1437" s="10975"/>
      <c r="S1437" s="10976"/>
      <c r="T1437" s="10977"/>
      <c r="U1437" s="10974"/>
      <c r="V1437" s="10975"/>
      <c r="W1437" s="10977"/>
      <c r="X1437" s="10975"/>
      <c r="Y1437" s="10977"/>
      <c r="Z1437" s="10975"/>
      <c r="AA1437" s="10976"/>
      <c r="AB1437" s="10976"/>
      <c r="AC1437" s="10976"/>
      <c r="AD1437" s="10976"/>
      <c r="AE1437" s="10976"/>
      <c r="AF1437" s="10977"/>
      <c r="AG1437" s="10975"/>
      <c r="AH1437" s="10976"/>
      <c r="AI1437" s="10976"/>
      <c r="AJ1437" s="10976"/>
      <c r="AK1437" s="10976"/>
      <c r="AL1437" s="10976"/>
      <c r="AM1437" s="10976"/>
      <c r="AN1437" s="10977"/>
      <c r="AO1437" s="10975"/>
      <c r="AP1437" s="10976"/>
      <c r="AQ1437" s="10976"/>
      <c r="AR1437" s="10976"/>
      <c r="AS1437" s="10976"/>
      <c r="AT1437" s="10977"/>
      <c r="AU1437" s="10978"/>
      <c r="AV1437" s="10978"/>
      <c r="AW1437" s="10978"/>
      <c r="AX1437" s="10970"/>
      <c r="AY1437" s="10973"/>
      <c r="AZ1437" s="10978"/>
      <c r="BA1437" s="10970"/>
      <c r="BB1437" s="10972"/>
      <c r="BC1437" s="10973"/>
      <c r="BD1437" s="10979"/>
      <c r="BF1437" s="14494"/>
      <c r="BG1437" s="14494"/>
      <c r="BH1437" s="14494"/>
      <c r="BI1437" s="14494"/>
      <c r="BJ1437" s="14494"/>
      <c r="BK1437" s="8654"/>
      <c r="BL1437" s="14494"/>
      <c r="BM1437" s="14494"/>
      <c r="BN1437" s="14494"/>
    </row>
    <row r="1438" spans="1:66" ht="30" hidden="1" customHeight="1">
      <c r="A1438" s="8652">
        <v>905</v>
      </c>
      <c r="B1438" s="8653" t="s">
        <v>8291</v>
      </c>
      <c r="C1438" s="13613"/>
      <c r="D1438" s="12542" t="s">
        <v>10063</v>
      </c>
      <c r="E1438" s="12412" t="s">
        <v>6164</v>
      </c>
      <c r="F1438" s="12412"/>
      <c r="G1438" s="11842" t="s">
        <v>6149</v>
      </c>
      <c r="H1438" s="11738" t="s">
        <v>6162</v>
      </c>
      <c r="I1438" s="12554" t="s">
        <v>6152</v>
      </c>
      <c r="K1438" s="10993"/>
      <c r="L1438" s="10971"/>
      <c r="M1438" s="10971"/>
      <c r="N1438" s="10994"/>
      <c r="O1438" s="10994"/>
      <c r="P1438" s="10995"/>
      <c r="Q1438" s="10974"/>
      <c r="R1438" s="10975"/>
      <c r="S1438" s="10976"/>
      <c r="T1438" s="10977"/>
      <c r="U1438" s="10974"/>
      <c r="V1438" s="10975"/>
      <c r="W1438" s="10977"/>
      <c r="X1438" s="10975"/>
      <c r="Y1438" s="10977"/>
      <c r="Z1438" s="10975"/>
      <c r="AA1438" s="10976"/>
      <c r="AB1438" s="10976"/>
      <c r="AC1438" s="10976"/>
      <c r="AD1438" s="10976"/>
      <c r="AE1438" s="10976"/>
      <c r="AF1438" s="10977"/>
      <c r="AG1438" s="10975"/>
      <c r="AH1438" s="10976"/>
      <c r="AI1438" s="10976"/>
      <c r="AJ1438" s="10976"/>
      <c r="AK1438" s="10976"/>
      <c r="AL1438" s="10976"/>
      <c r="AM1438" s="10976"/>
      <c r="AN1438" s="10977"/>
      <c r="AO1438" s="10975"/>
      <c r="AP1438" s="10976"/>
      <c r="AQ1438" s="10976"/>
      <c r="AR1438" s="10976"/>
      <c r="AS1438" s="10976"/>
      <c r="AT1438" s="10977"/>
      <c r="AU1438" s="10996"/>
      <c r="AV1438" s="10996"/>
      <c r="AW1438" s="10996"/>
      <c r="AX1438" s="10993"/>
      <c r="AY1438" s="10995"/>
      <c r="AZ1438" s="10996"/>
      <c r="BA1438" s="10993"/>
      <c r="BB1438" s="10994"/>
      <c r="BC1438" s="10995"/>
      <c r="BD1438" s="10997"/>
      <c r="BF1438" s="8654"/>
      <c r="BG1438" s="8654"/>
      <c r="BH1438" s="8654"/>
      <c r="BI1438" s="8654"/>
      <c r="BJ1438" s="8654"/>
      <c r="BK1438" s="8654"/>
      <c r="BL1438" s="8654"/>
      <c r="BM1438" s="8654"/>
      <c r="BN1438" s="8654"/>
    </row>
    <row r="1439" spans="1:66" ht="30" hidden="1" customHeight="1">
      <c r="A1439" s="13540">
        <v>906</v>
      </c>
      <c r="B1439" s="14096" t="s">
        <v>8292</v>
      </c>
      <c r="C1439" s="13613"/>
      <c r="D1439" s="12542" t="s">
        <v>10063</v>
      </c>
      <c r="E1439" s="14311" t="s">
        <v>6181</v>
      </c>
      <c r="F1439" s="12555"/>
      <c r="G1439" s="14097" t="s">
        <v>6166</v>
      </c>
      <c r="H1439" s="13401" t="s">
        <v>6179</v>
      </c>
      <c r="I1439" s="14305" t="s">
        <v>6169</v>
      </c>
      <c r="K1439" s="10970"/>
      <c r="L1439" s="10971"/>
      <c r="M1439" s="10971"/>
      <c r="N1439" s="10972"/>
      <c r="O1439" s="10972"/>
      <c r="P1439" s="10973"/>
      <c r="Q1439" s="10974"/>
      <c r="R1439" s="10975"/>
      <c r="S1439" s="10976"/>
      <c r="T1439" s="10977"/>
      <c r="U1439" s="10974"/>
      <c r="V1439" s="10975"/>
      <c r="W1439" s="10977"/>
      <c r="X1439" s="10975"/>
      <c r="Y1439" s="10977"/>
      <c r="Z1439" s="10975"/>
      <c r="AA1439" s="10976"/>
      <c r="AB1439" s="10976"/>
      <c r="AC1439" s="10976"/>
      <c r="AD1439" s="10976"/>
      <c r="AE1439" s="10976"/>
      <c r="AF1439" s="10977"/>
      <c r="AG1439" s="10975"/>
      <c r="AH1439" s="10976"/>
      <c r="AI1439" s="10976"/>
      <c r="AJ1439" s="10976"/>
      <c r="AK1439" s="10976"/>
      <c r="AL1439" s="10976"/>
      <c r="AM1439" s="10976"/>
      <c r="AN1439" s="10977"/>
      <c r="AO1439" s="10975"/>
      <c r="AP1439" s="10976"/>
      <c r="AQ1439" s="10976"/>
      <c r="AR1439" s="10976"/>
      <c r="AS1439" s="10976"/>
      <c r="AT1439" s="10977"/>
      <c r="AU1439" s="10978"/>
      <c r="AV1439" s="10978"/>
      <c r="AW1439" s="10978"/>
      <c r="AX1439" s="10970"/>
      <c r="AY1439" s="10973"/>
      <c r="AZ1439" s="10978"/>
      <c r="BA1439" s="10970"/>
      <c r="BB1439" s="10972"/>
      <c r="BC1439" s="10973"/>
      <c r="BD1439" s="10979"/>
      <c r="BF1439" s="14494"/>
      <c r="BG1439" s="14494"/>
      <c r="BH1439" s="14494"/>
      <c r="BI1439" s="14494"/>
      <c r="BJ1439" s="14494"/>
      <c r="BK1439" s="8654"/>
      <c r="BL1439" s="14494"/>
      <c r="BM1439" s="14494"/>
      <c r="BN1439" s="14494"/>
    </row>
    <row r="1440" spans="1:66" ht="30" hidden="1" customHeight="1">
      <c r="A1440" s="13540"/>
      <c r="B1440" s="14096"/>
      <c r="C1440" s="13613"/>
      <c r="D1440" s="12542" t="s">
        <v>10066</v>
      </c>
      <c r="E1440" s="14311"/>
      <c r="F1440" s="12555"/>
      <c r="G1440" s="14097"/>
      <c r="H1440" s="13401"/>
      <c r="I1440" s="14305"/>
      <c r="K1440" s="10970"/>
      <c r="L1440" s="10971"/>
      <c r="M1440" s="10971"/>
      <c r="N1440" s="10972"/>
      <c r="O1440" s="10972"/>
      <c r="P1440" s="10973"/>
      <c r="Q1440" s="10974"/>
      <c r="R1440" s="10975"/>
      <c r="S1440" s="10976"/>
      <c r="T1440" s="10977"/>
      <c r="U1440" s="10974"/>
      <c r="V1440" s="10975"/>
      <c r="W1440" s="10977"/>
      <c r="X1440" s="10975"/>
      <c r="Y1440" s="10977"/>
      <c r="Z1440" s="10975"/>
      <c r="AA1440" s="10976"/>
      <c r="AB1440" s="10976"/>
      <c r="AC1440" s="10976"/>
      <c r="AD1440" s="10976"/>
      <c r="AE1440" s="10976"/>
      <c r="AF1440" s="10977"/>
      <c r="AG1440" s="10975"/>
      <c r="AH1440" s="10976"/>
      <c r="AI1440" s="10976"/>
      <c r="AJ1440" s="10976"/>
      <c r="AK1440" s="10976"/>
      <c r="AL1440" s="10976"/>
      <c r="AM1440" s="10976"/>
      <c r="AN1440" s="10977"/>
      <c r="AO1440" s="10975"/>
      <c r="AP1440" s="10976"/>
      <c r="AQ1440" s="10976"/>
      <c r="AR1440" s="10976"/>
      <c r="AS1440" s="10976"/>
      <c r="AT1440" s="10977"/>
      <c r="AU1440" s="10978"/>
      <c r="AV1440" s="10978"/>
      <c r="AW1440" s="10978"/>
      <c r="AX1440" s="10970"/>
      <c r="AY1440" s="10973"/>
      <c r="AZ1440" s="10978"/>
      <c r="BA1440" s="10970"/>
      <c r="BB1440" s="10972"/>
      <c r="BC1440" s="10973"/>
      <c r="BD1440" s="10979"/>
      <c r="BF1440" s="14494"/>
      <c r="BG1440" s="14494"/>
      <c r="BH1440" s="14494"/>
      <c r="BI1440" s="14494"/>
      <c r="BJ1440" s="14494"/>
      <c r="BK1440" s="8654"/>
      <c r="BL1440" s="14494"/>
      <c r="BM1440" s="14494"/>
      <c r="BN1440" s="14494"/>
    </row>
    <row r="1441" spans="1:66" ht="30" hidden="1" customHeight="1">
      <c r="A1441" s="13540">
        <v>907</v>
      </c>
      <c r="B1441" s="14096" t="s">
        <v>8293</v>
      </c>
      <c r="C1441" s="13613"/>
      <c r="D1441" s="12542" t="s">
        <v>10066</v>
      </c>
      <c r="E1441" s="14311" t="s">
        <v>6198</v>
      </c>
      <c r="F1441" s="14311"/>
      <c r="G1441" s="14097" t="s">
        <v>6183</v>
      </c>
      <c r="H1441" s="13401" t="s">
        <v>6196</v>
      </c>
      <c r="I1441" s="14305" t="s">
        <v>6186</v>
      </c>
      <c r="K1441" s="10970"/>
      <c r="L1441" s="10971"/>
      <c r="M1441" s="10971"/>
      <c r="N1441" s="10972"/>
      <c r="O1441" s="10972"/>
      <c r="P1441" s="10973"/>
      <c r="Q1441" s="10974"/>
      <c r="R1441" s="10975"/>
      <c r="S1441" s="10976"/>
      <c r="T1441" s="10977"/>
      <c r="U1441" s="10974"/>
      <c r="V1441" s="10975"/>
      <c r="W1441" s="10977"/>
      <c r="X1441" s="10975"/>
      <c r="Y1441" s="10977"/>
      <c r="Z1441" s="10975"/>
      <c r="AA1441" s="10976"/>
      <c r="AB1441" s="10976"/>
      <c r="AC1441" s="10976"/>
      <c r="AD1441" s="10976"/>
      <c r="AE1441" s="10976"/>
      <c r="AF1441" s="10977"/>
      <c r="AG1441" s="10975"/>
      <c r="AH1441" s="10976"/>
      <c r="AI1441" s="10976"/>
      <c r="AJ1441" s="10976"/>
      <c r="AK1441" s="10976"/>
      <c r="AL1441" s="10976"/>
      <c r="AM1441" s="10976"/>
      <c r="AN1441" s="10977"/>
      <c r="AO1441" s="10975"/>
      <c r="AP1441" s="10976"/>
      <c r="AQ1441" s="10976"/>
      <c r="AR1441" s="10976"/>
      <c r="AS1441" s="10976"/>
      <c r="AT1441" s="10977"/>
      <c r="AU1441" s="10978"/>
      <c r="AV1441" s="10978"/>
      <c r="AW1441" s="10978"/>
      <c r="AX1441" s="10970"/>
      <c r="AY1441" s="10973"/>
      <c r="AZ1441" s="10978"/>
      <c r="BA1441" s="10970"/>
      <c r="BB1441" s="10972"/>
      <c r="BC1441" s="10973"/>
      <c r="BD1441" s="10979"/>
      <c r="BF1441" s="14494"/>
      <c r="BG1441" s="14494"/>
      <c r="BH1441" s="14494"/>
      <c r="BI1441" s="14494"/>
      <c r="BJ1441" s="14494"/>
      <c r="BK1441" s="8654"/>
      <c r="BL1441" s="14494"/>
      <c r="BM1441" s="14494"/>
      <c r="BN1441" s="14494"/>
    </row>
    <row r="1442" spans="1:66" ht="30" hidden="1" customHeight="1">
      <c r="A1442" s="13540"/>
      <c r="B1442" s="14096"/>
      <c r="C1442" s="13613"/>
      <c r="D1442" s="12542" t="s">
        <v>10290</v>
      </c>
      <c r="E1442" s="14311"/>
      <c r="F1442" s="14311"/>
      <c r="G1442" s="14097"/>
      <c r="H1442" s="13401"/>
      <c r="I1442" s="14305"/>
      <c r="K1442" s="10970"/>
      <c r="L1442" s="10971"/>
      <c r="M1442" s="10971"/>
      <c r="N1442" s="10972"/>
      <c r="O1442" s="10972"/>
      <c r="P1442" s="10973"/>
      <c r="Q1442" s="10974"/>
      <c r="R1442" s="10975"/>
      <c r="S1442" s="10976"/>
      <c r="T1442" s="10977"/>
      <c r="U1442" s="10974"/>
      <c r="V1442" s="10975"/>
      <c r="W1442" s="10977"/>
      <c r="X1442" s="10975"/>
      <c r="Y1442" s="10977"/>
      <c r="Z1442" s="10975"/>
      <c r="AA1442" s="10976"/>
      <c r="AB1442" s="10976"/>
      <c r="AC1442" s="10976"/>
      <c r="AD1442" s="10976"/>
      <c r="AE1442" s="10976"/>
      <c r="AF1442" s="10977"/>
      <c r="AG1442" s="10975"/>
      <c r="AH1442" s="10976"/>
      <c r="AI1442" s="10976"/>
      <c r="AJ1442" s="10976"/>
      <c r="AK1442" s="10976"/>
      <c r="AL1442" s="10976"/>
      <c r="AM1442" s="10976"/>
      <c r="AN1442" s="10977"/>
      <c r="AO1442" s="10975"/>
      <c r="AP1442" s="10976"/>
      <c r="AQ1442" s="10976"/>
      <c r="AR1442" s="10976"/>
      <c r="AS1442" s="10976"/>
      <c r="AT1442" s="10977"/>
      <c r="AU1442" s="10978"/>
      <c r="AV1442" s="10978"/>
      <c r="AW1442" s="10978"/>
      <c r="AX1442" s="10970"/>
      <c r="AY1442" s="10973"/>
      <c r="AZ1442" s="10978"/>
      <c r="BA1442" s="10970"/>
      <c r="BB1442" s="10972"/>
      <c r="BC1442" s="10973"/>
      <c r="BD1442" s="10979"/>
      <c r="BF1442" s="14494"/>
      <c r="BG1442" s="14494"/>
      <c r="BH1442" s="14494"/>
      <c r="BI1442" s="14494"/>
      <c r="BJ1442" s="14494"/>
      <c r="BK1442" s="8654"/>
      <c r="BL1442" s="14494"/>
      <c r="BM1442" s="14494"/>
      <c r="BN1442" s="14494"/>
    </row>
    <row r="1443" spans="1:66" ht="20.25" hidden="1" customHeight="1">
      <c r="A1443" s="13540">
        <v>908</v>
      </c>
      <c r="B1443" s="14096" t="s">
        <v>8294</v>
      </c>
      <c r="C1443" s="13613"/>
      <c r="D1443" s="12542" t="s">
        <v>10063</v>
      </c>
      <c r="E1443" s="14311" t="s">
        <v>6216</v>
      </c>
      <c r="F1443" s="14311"/>
      <c r="G1443" s="14097" t="s">
        <v>6201</v>
      </c>
      <c r="H1443" s="13401" t="s">
        <v>6214</v>
      </c>
      <c r="I1443" s="14317" t="s">
        <v>6204</v>
      </c>
      <c r="K1443" s="10998"/>
      <c r="L1443" s="10999"/>
      <c r="M1443" s="10999"/>
      <c r="N1443" s="11000"/>
      <c r="O1443" s="11000"/>
      <c r="P1443" s="11001"/>
      <c r="Q1443" s="11002"/>
      <c r="R1443" s="11003"/>
      <c r="S1443" s="11004"/>
      <c r="T1443" s="11005"/>
      <c r="U1443" s="11002"/>
      <c r="V1443" s="11003"/>
      <c r="W1443" s="11005"/>
      <c r="X1443" s="11003"/>
      <c r="Y1443" s="11005"/>
      <c r="Z1443" s="11003"/>
      <c r="AA1443" s="11004"/>
      <c r="AB1443" s="11004"/>
      <c r="AC1443" s="11004"/>
      <c r="AD1443" s="11004"/>
      <c r="AE1443" s="11004"/>
      <c r="AF1443" s="11005"/>
      <c r="AG1443" s="11003"/>
      <c r="AH1443" s="11004"/>
      <c r="AI1443" s="11004"/>
      <c r="AJ1443" s="11004"/>
      <c r="AK1443" s="11004"/>
      <c r="AL1443" s="11004"/>
      <c r="AM1443" s="11004"/>
      <c r="AN1443" s="11005"/>
      <c r="AO1443" s="11003"/>
      <c r="AP1443" s="11004"/>
      <c r="AQ1443" s="11004"/>
      <c r="AR1443" s="11004"/>
      <c r="AS1443" s="11004"/>
      <c r="AT1443" s="11005"/>
      <c r="AU1443" s="11006"/>
      <c r="AV1443" s="11006"/>
      <c r="AW1443" s="11006"/>
      <c r="AX1443" s="10998"/>
      <c r="AY1443" s="11001"/>
      <c r="AZ1443" s="11006"/>
      <c r="BA1443" s="10998"/>
      <c r="BB1443" s="11000"/>
      <c r="BC1443" s="11001"/>
      <c r="BD1443" s="11007"/>
      <c r="BF1443" s="14494"/>
      <c r="BG1443" s="14494"/>
      <c r="BH1443" s="14494"/>
      <c r="BI1443" s="14494"/>
      <c r="BJ1443" s="14494"/>
      <c r="BK1443" s="8654"/>
      <c r="BL1443" s="14494"/>
      <c r="BM1443" s="14494"/>
      <c r="BN1443" s="14494"/>
    </row>
    <row r="1444" spans="1:66" ht="20.25" hidden="1" customHeight="1">
      <c r="A1444" s="13540"/>
      <c r="B1444" s="14096"/>
      <c r="C1444" s="13613"/>
      <c r="D1444" s="12542" t="s">
        <v>10066</v>
      </c>
      <c r="E1444" s="14311"/>
      <c r="F1444" s="14311"/>
      <c r="G1444" s="14097"/>
      <c r="H1444" s="13401"/>
      <c r="I1444" s="14317"/>
      <c r="K1444" s="10998"/>
      <c r="L1444" s="10999"/>
      <c r="M1444" s="10999"/>
      <c r="N1444" s="11000"/>
      <c r="O1444" s="11000"/>
      <c r="P1444" s="11001"/>
      <c r="Q1444" s="11002"/>
      <c r="R1444" s="11003"/>
      <c r="S1444" s="11004"/>
      <c r="T1444" s="11005"/>
      <c r="U1444" s="11002"/>
      <c r="V1444" s="11003"/>
      <c r="W1444" s="11005"/>
      <c r="X1444" s="11003"/>
      <c r="Y1444" s="11005"/>
      <c r="Z1444" s="11003"/>
      <c r="AA1444" s="11004"/>
      <c r="AB1444" s="11004"/>
      <c r="AC1444" s="11004"/>
      <c r="AD1444" s="11004"/>
      <c r="AE1444" s="11004"/>
      <c r="AF1444" s="11005"/>
      <c r="AG1444" s="11003"/>
      <c r="AH1444" s="11004"/>
      <c r="AI1444" s="11004"/>
      <c r="AJ1444" s="11004"/>
      <c r="AK1444" s="11004"/>
      <c r="AL1444" s="11004"/>
      <c r="AM1444" s="11004"/>
      <c r="AN1444" s="11005"/>
      <c r="AO1444" s="11003"/>
      <c r="AP1444" s="11004"/>
      <c r="AQ1444" s="11004"/>
      <c r="AR1444" s="11004"/>
      <c r="AS1444" s="11004"/>
      <c r="AT1444" s="11005"/>
      <c r="AU1444" s="11006"/>
      <c r="AV1444" s="11006"/>
      <c r="AW1444" s="11006"/>
      <c r="AX1444" s="10998"/>
      <c r="AY1444" s="11001"/>
      <c r="AZ1444" s="11006"/>
      <c r="BA1444" s="10998"/>
      <c r="BB1444" s="11000"/>
      <c r="BC1444" s="11001"/>
      <c r="BD1444" s="11007"/>
      <c r="BF1444" s="14494"/>
      <c r="BG1444" s="14494"/>
      <c r="BH1444" s="14494"/>
      <c r="BI1444" s="14494"/>
      <c r="BJ1444" s="14494"/>
      <c r="BK1444" s="8654"/>
      <c r="BL1444" s="14494"/>
      <c r="BM1444" s="14494"/>
      <c r="BN1444" s="14494"/>
    </row>
    <row r="1445" spans="1:66" ht="63" hidden="1" customHeight="1">
      <c r="A1445" s="13540"/>
      <c r="B1445" s="14096"/>
      <c r="C1445" s="13613"/>
      <c r="D1445" s="12542" t="s">
        <v>86</v>
      </c>
      <c r="E1445" s="14311"/>
      <c r="F1445" s="12412"/>
      <c r="G1445" s="14097"/>
      <c r="H1445" s="13401"/>
      <c r="I1445" s="14317"/>
      <c r="K1445" s="13127"/>
      <c r="L1445" s="10999"/>
      <c r="M1445" s="10999"/>
      <c r="N1445" s="11000"/>
      <c r="O1445" s="11000"/>
      <c r="P1445" s="11001"/>
      <c r="Q1445" s="11002"/>
      <c r="R1445" s="11003"/>
      <c r="S1445" s="11004"/>
      <c r="T1445" s="11005"/>
      <c r="U1445" s="11002"/>
      <c r="V1445" s="11003"/>
      <c r="W1445" s="11005"/>
      <c r="X1445" s="11003"/>
      <c r="Y1445" s="11005"/>
      <c r="Z1445" s="11003"/>
      <c r="AA1445" s="11004"/>
      <c r="AB1445" s="11004"/>
      <c r="AC1445" s="11004"/>
      <c r="AD1445" s="11004"/>
      <c r="AE1445" s="11004"/>
      <c r="AF1445" s="11005"/>
      <c r="AG1445" s="11003"/>
      <c r="AH1445" s="11004"/>
      <c r="AI1445" s="11004"/>
      <c r="AJ1445" s="11004"/>
      <c r="AK1445" s="11004"/>
      <c r="AL1445" s="11004"/>
      <c r="AM1445" s="11004"/>
      <c r="AN1445" s="11005"/>
      <c r="AO1445" s="11003"/>
      <c r="AP1445" s="11004"/>
      <c r="AQ1445" s="11004"/>
      <c r="AR1445" s="11004"/>
      <c r="AS1445" s="11004"/>
      <c r="AT1445" s="11005"/>
      <c r="AU1445" s="11006"/>
      <c r="AV1445" s="11006"/>
      <c r="AW1445" s="11006"/>
      <c r="AX1445" s="10998"/>
      <c r="AY1445" s="11001"/>
      <c r="AZ1445" s="11006"/>
      <c r="BA1445" s="10998"/>
      <c r="BB1445" s="11000"/>
      <c r="BC1445" s="11001"/>
      <c r="BD1445" s="11007"/>
      <c r="BF1445" s="14494"/>
      <c r="BG1445" s="14494"/>
      <c r="BH1445" s="14494"/>
      <c r="BI1445" s="14494"/>
      <c r="BJ1445" s="14494"/>
      <c r="BK1445" s="13065"/>
      <c r="BL1445" s="14494"/>
      <c r="BM1445" s="14494"/>
      <c r="BN1445" s="14494"/>
    </row>
    <row r="1446" spans="1:66" ht="20.25" hidden="1" customHeight="1">
      <c r="A1446" s="13540"/>
      <c r="B1446" s="14096"/>
      <c r="C1446" s="13613"/>
      <c r="D1446" s="12542" t="s">
        <v>218</v>
      </c>
      <c r="E1446" s="14311"/>
      <c r="F1446" s="12412"/>
      <c r="G1446" s="14097"/>
      <c r="H1446" s="13401"/>
      <c r="I1446" s="14317"/>
      <c r="K1446" s="10998"/>
      <c r="L1446" s="10999"/>
      <c r="M1446" s="10999"/>
      <c r="N1446" s="11000"/>
      <c r="O1446" s="11000"/>
      <c r="P1446" s="11001"/>
      <c r="Q1446" s="11002"/>
      <c r="R1446" s="11003"/>
      <c r="S1446" s="11004"/>
      <c r="T1446" s="11005"/>
      <c r="U1446" s="11002"/>
      <c r="V1446" s="11003"/>
      <c r="W1446" s="11005"/>
      <c r="X1446" s="11003"/>
      <c r="Y1446" s="11005"/>
      <c r="Z1446" s="11003"/>
      <c r="AA1446" s="11004"/>
      <c r="AB1446" s="11004"/>
      <c r="AC1446" s="11004"/>
      <c r="AD1446" s="11004"/>
      <c r="AE1446" s="11004"/>
      <c r="AF1446" s="11005"/>
      <c r="AG1446" s="11003"/>
      <c r="AH1446" s="11004"/>
      <c r="AI1446" s="11004"/>
      <c r="AJ1446" s="11004"/>
      <c r="AK1446" s="11004"/>
      <c r="AL1446" s="11004"/>
      <c r="AM1446" s="11004"/>
      <c r="AN1446" s="11005"/>
      <c r="AO1446" s="11003"/>
      <c r="AP1446" s="11004"/>
      <c r="AQ1446" s="11004"/>
      <c r="AR1446" s="11004"/>
      <c r="AS1446" s="11004"/>
      <c r="AT1446" s="11005"/>
      <c r="AU1446" s="11006"/>
      <c r="AV1446" s="11006"/>
      <c r="AW1446" s="11006"/>
      <c r="AX1446" s="10998"/>
      <c r="AY1446" s="11001"/>
      <c r="AZ1446" s="11006"/>
      <c r="BA1446" s="10998"/>
      <c r="BB1446" s="11000"/>
      <c r="BC1446" s="11001"/>
      <c r="BD1446" s="11007"/>
      <c r="BF1446" s="14494"/>
      <c r="BG1446" s="14494"/>
      <c r="BH1446" s="14494"/>
      <c r="BI1446" s="14494"/>
      <c r="BJ1446" s="14494"/>
      <c r="BK1446" s="8654"/>
      <c r="BL1446" s="14494"/>
      <c r="BM1446" s="14494"/>
      <c r="BN1446" s="14494"/>
    </row>
    <row r="1447" spans="1:66" ht="20.25" hidden="1" customHeight="1">
      <c r="A1447" s="13540"/>
      <c r="B1447" s="14096"/>
      <c r="C1447" s="13613"/>
      <c r="D1447" s="12542" t="s">
        <v>2896</v>
      </c>
      <c r="E1447" s="14311"/>
      <c r="F1447" s="12412"/>
      <c r="G1447" s="14097"/>
      <c r="H1447" s="13401"/>
      <c r="I1447" s="14317"/>
      <c r="K1447" s="10998"/>
      <c r="L1447" s="10999"/>
      <c r="M1447" s="10999"/>
      <c r="N1447" s="11000"/>
      <c r="O1447" s="11000"/>
      <c r="P1447" s="11001"/>
      <c r="Q1447" s="11002"/>
      <c r="R1447" s="11003"/>
      <c r="S1447" s="11004"/>
      <c r="T1447" s="11005"/>
      <c r="U1447" s="11002"/>
      <c r="V1447" s="11003"/>
      <c r="W1447" s="11005"/>
      <c r="X1447" s="11003"/>
      <c r="Y1447" s="11005"/>
      <c r="Z1447" s="11003"/>
      <c r="AA1447" s="11004"/>
      <c r="AB1447" s="11004"/>
      <c r="AC1447" s="11004"/>
      <c r="AD1447" s="11004"/>
      <c r="AE1447" s="11004"/>
      <c r="AF1447" s="11005"/>
      <c r="AG1447" s="11003"/>
      <c r="AH1447" s="11004"/>
      <c r="AI1447" s="11004"/>
      <c r="AJ1447" s="11004"/>
      <c r="AK1447" s="11004"/>
      <c r="AL1447" s="11004"/>
      <c r="AM1447" s="11004"/>
      <c r="AN1447" s="11005"/>
      <c r="AO1447" s="11003"/>
      <c r="AP1447" s="11004"/>
      <c r="AQ1447" s="11004"/>
      <c r="AR1447" s="11004"/>
      <c r="AS1447" s="11004"/>
      <c r="AT1447" s="11005"/>
      <c r="AU1447" s="11006"/>
      <c r="AV1447" s="11006"/>
      <c r="AW1447" s="11006"/>
      <c r="AX1447" s="10998"/>
      <c r="AY1447" s="11001"/>
      <c r="AZ1447" s="11006"/>
      <c r="BA1447" s="10998"/>
      <c r="BB1447" s="11000"/>
      <c r="BC1447" s="11001"/>
      <c r="BD1447" s="11007"/>
      <c r="BF1447" s="14494"/>
      <c r="BG1447" s="14494"/>
      <c r="BH1447" s="14494"/>
      <c r="BI1447" s="14494"/>
      <c r="BJ1447" s="14494"/>
      <c r="BK1447" s="8654"/>
      <c r="BL1447" s="14494"/>
      <c r="BM1447" s="14494"/>
      <c r="BN1447" s="14494"/>
    </row>
    <row r="1448" spans="1:66" ht="20.25" hidden="1" customHeight="1">
      <c r="A1448" s="13540"/>
      <c r="B1448" s="14096"/>
      <c r="C1448" s="13613"/>
      <c r="D1448" s="12542" t="s">
        <v>208</v>
      </c>
      <c r="E1448" s="12412"/>
      <c r="F1448" s="12412" t="s">
        <v>208</v>
      </c>
      <c r="G1448" s="14097"/>
      <c r="H1448" s="13401"/>
      <c r="I1448" s="14317"/>
      <c r="K1448" s="10998"/>
      <c r="L1448" s="10999"/>
      <c r="M1448" s="10999"/>
      <c r="N1448" s="11000"/>
      <c r="O1448" s="11000"/>
      <c r="P1448" s="11001"/>
      <c r="Q1448" s="11002"/>
      <c r="R1448" s="11003"/>
      <c r="S1448" s="11004"/>
      <c r="T1448" s="11005"/>
      <c r="U1448" s="11002"/>
      <c r="V1448" s="11003"/>
      <c r="W1448" s="11005"/>
      <c r="X1448" s="11003"/>
      <c r="Y1448" s="11005"/>
      <c r="Z1448" s="11003"/>
      <c r="AA1448" s="11004"/>
      <c r="AB1448" s="11004"/>
      <c r="AC1448" s="11004"/>
      <c r="AD1448" s="11004"/>
      <c r="AE1448" s="11004"/>
      <c r="AF1448" s="11005"/>
      <c r="AG1448" s="11003"/>
      <c r="AH1448" s="11004"/>
      <c r="AI1448" s="11004"/>
      <c r="AJ1448" s="11004"/>
      <c r="AK1448" s="11004"/>
      <c r="AL1448" s="11004"/>
      <c r="AM1448" s="11004"/>
      <c r="AN1448" s="11005"/>
      <c r="AO1448" s="11003"/>
      <c r="AP1448" s="11004"/>
      <c r="AQ1448" s="11004"/>
      <c r="AR1448" s="11004"/>
      <c r="AS1448" s="11004"/>
      <c r="AT1448" s="11005"/>
      <c r="AU1448" s="11006"/>
      <c r="AV1448" s="11006"/>
      <c r="AW1448" s="11006"/>
      <c r="AX1448" s="10998"/>
      <c r="AY1448" s="11001"/>
      <c r="AZ1448" s="11006"/>
      <c r="BA1448" s="10998"/>
      <c r="BB1448" s="11000"/>
      <c r="BC1448" s="11001"/>
      <c r="BD1448" s="11007"/>
      <c r="BF1448" s="14494"/>
      <c r="BG1448" s="14494"/>
      <c r="BH1448" s="14494"/>
      <c r="BI1448" s="14494"/>
      <c r="BJ1448" s="14494"/>
      <c r="BK1448" s="8654"/>
      <c r="BL1448" s="14494"/>
      <c r="BM1448" s="14494"/>
      <c r="BN1448" s="14494"/>
    </row>
    <row r="1449" spans="1:66" ht="30" hidden="1" customHeight="1" thickBot="1">
      <c r="A1449" s="8675">
        <v>909</v>
      </c>
      <c r="B1449" s="8676" t="s">
        <v>8295</v>
      </c>
      <c r="C1449" s="13613"/>
      <c r="D1449" s="12556" t="s">
        <v>10063</v>
      </c>
      <c r="E1449" s="12416" t="s">
        <v>6232</v>
      </c>
      <c r="F1449" s="12557"/>
      <c r="G1449" s="11847" t="s">
        <v>5304</v>
      </c>
      <c r="H1449" s="12225" t="s">
        <v>5318</v>
      </c>
      <c r="I1449" s="12558" t="s">
        <v>6221</v>
      </c>
      <c r="K1449" s="11008"/>
      <c r="L1449" s="11009"/>
      <c r="M1449" s="11009"/>
      <c r="N1449" s="11010"/>
      <c r="O1449" s="11010"/>
      <c r="P1449" s="11011"/>
      <c r="Q1449" s="11012"/>
      <c r="R1449" s="11013"/>
      <c r="S1449" s="11014"/>
      <c r="T1449" s="11015"/>
      <c r="U1449" s="11012"/>
      <c r="V1449" s="11013"/>
      <c r="W1449" s="11015"/>
      <c r="X1449" s="11013"/>
      <c r="Y1449" s="11015"/>
      <c r="Z1449" s="11013"/>
      <c r="AA1449" s="11014"/>
      <c r="AB1449" s="11014"/>
      <c r="AC1449" s="11014"/>
      <c r="AD1449" s="11014"/>
      <c r="AE1449" s="11014"/>
      <c r="AF1449" s="11015"/>
      <c r="AG1449" s="11013"/>
      <c r="AH1449" s="11014"/>
      <c r="AI1449" s="11014"/>
      <c r="AJ1449" s="11014"/>
      <c r="AK1449" s="11014"/>
      <c r="AL1449" s="11014"/>
      <c r="AM1449" s="11014"/>
      <c r="AN1449" s="11015"/>
      <c r="AO1449" s="11013"/>
      <c r="AP1449" s="11014"/>
      <c r="AQ1449" s="11014"/>
      <c r="AR1449" s="11014"/>
      <c r="AS1449" s="11014"/>
      <c r="AT1449" s="11015"/>
      <c r="AU1449" s="11016"/>
      <c r="AV1449" s="11016"/>
      <c r="AW1449" s="11016"/>
      <c r="AX1449" s="11008"/>
      <c r="AY1449" s="11011"/>
      <c r="AZ1449" s="11016"/>
      <c r="BA1449" s="11008"/>
      <c r="BB1449" s="11010"/>
      <c r="BC1449" s="11011"/>
      <c r="BD1449" s="11017"/>
      <c r="BF1449" s="8677"/>
      <c r="BG1449" s="8677"/>
      <c r="BH1449" s="8677"/>
      <c r="BI1449" s="8677"/>
      <c r="BJ1449" s="8677"/>
      <c r="BK1449" s="8677"/>
      <c r="BL1449" s="8677"/>
      <c r="BM1449" s="8677"/>
      <c r="BN1449" s="8677"/>
    </row>
    <row r="1450" spans="1:66" ht="22.5" hidden="1" customHeight="1">
      <c r="A1450" s="13541">
        <v>910</v>
      </c>
      <c r="B1450" s="13881" t="s">
        <v>8296</v>
      </c>
      <c r="C1450" s="13613"/>
      <c r="D1450" s="12476" t="s">
        <v>10063</v>
      </c>
      <c r="E1450" s="12420" t="s">
        <v>724</v>
      </c>
      <c r="F1450" s="12421"/>
      <c r="G1450" s="13883" t="s">
        <v>6240</v>
      </c>
      <c r="H1450" s="13412" t="s">
        <v>6254</v>
      </c>
      <c r="I1450" s="14318" t="s">
        <v>6244</v>
      </c>
      <c r="K1450" s="11018"/>
      <c r="L1450" s="11019"/>
      <c r="M1450" s="11019"/>
      <c r="N1450" s="11020"/>
      <c r="O1450" s="11020"/>
      <c r="P1450" s="11021"/>
      <c r="Q1450" s="11022"/>
      <c r="R1450" s="11023"/>
      <c r="S1450" s="11024"/>
      <c r="T1450" s="11025"/>
      <c r="U1450" s="11022"/>
      <c r="V1450" s="11023"/>
      <c r="W1450" s="11025"/>
      <c r="X1450" s="11023"/>
      <c r="Y1450" s="11025"/>
      <c r="Z1450" s="11023"/>
      <c r="AA1450" s="11024"/>
      <c r="AB1450" s="11024"/>
      <c r="AC1450" s="11024"/>
      <c r="AD1450" s="11024"/>
      <c r="AE1450" s="11024"/>
      <c r="AF1450" s="11025"/>
      <c r="AG1450" s="11023"/>
      <c r="AH1450" s="11024"/>
      <c r="AI1450" s="11024"/>
      <c r="AJ1450" s="11024"/>
      <c r="AK1450" s="11024"/>
      <c r="AL1450" s="11024"/>
      <c r="AM1450" s="11024"/>
      <c r="AN1450" s="11025"/>
      <c r="AO1450" s="11023"/>
      <c r="AP1450" s="11024"/>
      <c r="AQ1450" s="11024"/>
      <c r="AR1450" s="11024"/>
      <c r="AS1450" s="11024"/>
      <c r="AT1450" s="11025"/>
      <c r="AU1450" s="11026"/>
      <c r="AV1450" s="11026"/>
      <c r="AW1450" s="11026"/>
      <c r="AX1450" s="11018"/>
      <c r="AY1450" s="11021"/>
      <c r="AZ1450" s="11026"/>
      <c r="BA1450" s="11018"/>
      <c r="BB1450" s="11020"/>
      <c r="BC1450" s="11021"/>
      <c r="BD1450" s="11027"/>
      <c r="BF1450" s="14429"/>
      <c r="BG1450" s="14429"/>
      <c r="BH1450" s="14429"/>
      <c r="BI1450" s="14429"/>
      <c r="BJ1450" s="14429"/>
      <c r="BK1450" s="8420"/>
      <c r="BL1450" s="14429"/>
      <c r="BM1450" s="14429"/>
      <c r="BN1450" s="14429"/>
    </row>
    <row r="1451" spans="1:66" ht="22.5" hidden="1" customHeight="1">
      <c r="A1451" s="13528"/>
      <c r="B1451" s="13882"/>
      <c r="C1451" s="13613"/>
      <c r="D1451" s="12478" t="s">
        <v>329</v>
      </c>
      <c r="E1451" s="12424"/>
      <c r="F1451" s="12425" t="s">
        <v>329</v>
      </c>
      <c r="G1451" s="13783"/>
      <c r="H1451" s="13399"/>
      <c r="I1451" s="14315"/>
      <c r="K1451" s="10980"/>
      <c r="L1451" s="10814"/>
      <c r="M1451" s="10814"/>
      <c r="N1451" s="10981"/>
      <c r="O1451" s="10981"/>
      <c r="P1451" s="10982"/>
      <c r="Q1451" s="10817"/>
      <c r="R1451" s="10818"/>
      <c r="S1451" s="10819"/>
      <c r="T1451" s="10820"/>
      <c r="U1451" s="10817"/>
      <c r="V1451" s="10818"/>
      <c r="W1451" s="10820"/>
      <c r="X1451" s="10818"/>
      <c r="Y1451" s="10820"/>
      <c r="Z1451" s="10818"/>
      <c r="AA1451" s="10819"/>
      <c r="AB1451" s="10819"/>
      <c r="AC1451" s="10819"/>
      <c r="AD1451" s="10819"/>
      <c r="AE1451" s="10819"/>
      <c r="AF1451" s="10820"/>
      <c r="AG1451" s="10818"/>
      <c r="AH1451" s="10819"/>
      <c r="AI1451" s="10819"/>
      <c r="AJ1451" s="10819"/>
      <c r="AK1451" s="10819"/>
      <c r="AL1451" s="10819"/>
      <c r="AM1451" s="10819"/>
      <c r="AN1451" s="10820"/>
      <c r="AO1451" s="10818"/>
      <c r="AP1451" s="10819"/>
      <c r="AQ1451" s="10819"/>
      <c r="AR1451" s="10819"/>
      <c r="AS1451" s="10819"/>
      <c r="AT1451" s="10820"/>
      <c r="AU1451" s="10983"/>
      <c r="AV1451" s="10983"/>
      <c r="AW1451" s="10983"/>
      <c r="AX1451" s="10980"/>
      <c r="AY1451" s="10982"/>
      <c r="AZ1451" s="10983"/>
      <c r="BA1451" s="10980"/>
      <c r="BB1451" s="10981"/>
      <c r="BC1451" s="10982"/>
      <c r="BD1451" s="10984"/>
      <c r="BF1451" s="14404"/>
      <c r="BG1451" s="14404"/>
      <c r="BH1451" s="14404"/>
      <c r="BI1451" s="14404"/>
      <c r="BJ1451" s="14404"/>
      <c r="BK1451" s="7946"/>
      <c r="BL1451" s="14404"/>
      <c r="BM1451" s="14404"/>
      <c r="BN1451" s="14404"/>
    </row>
    <row r="1452" spans="1:66" ht="22.5" hidden="1" customHeight="1">
      <c r="A1452" s="13528"/>
      <c r="B1452" s="13882"/>
      <c r="C1452" s="13613"/>
      <c r="D1452" s="12478" t="s">
        <v>10194</v>
      </c>
      <c r="E1452" s="12424"/>
      <c r="F1452" s="12425" t="s">
        <v>10303</v>
      </c>
      <c r="G1452" s="13783"/>
      <c r="H1452" s="13399"/>
      <c r="I1452" s="14315"/>
      <c r="K1452" s="10980"/>
      <c r="L1452" s="10814"/>
      <c r="M1452" s="10814"/>
      <c r="N1452" s="10981"/>
      <c r="O1452" s="10981"/>
      <c r="P1452" s="10982"/>
      <c r="Q1452" s="10817"/>
      <c r="R1452" s="10818"/>
      <c r="S1452" s="10819"/>
      <c r="T1452" s="10820"/>
      <c r="U1452" s="10817"/>
      <c r="V1452" s="10818"/>
      <c r="W1452" s="10820"/>
      <c r="X1452" s="10818"/>
      <c r="Y1452" s="10820"/>
      <c r="Z1452" s="10818"/>
      <c r="AA1452" s="10819"/>
      <c r="AB1452" s="10819"/>
      <c r="AC1452" s="10819"/>
      <c r="AD1452" s="10819"/>
      <c r="AE1452" s="10819"/>
      <c r="AF1452" s="10820"/>
      <c r="AG1452" s="10818"/>
      <c r="AH1452" s="10819"/>
      <c r="AI1452" s="10819"/>
      <c r="AJ1452" s="10819"/>
      <c r="AK1452" s="10819"/>
      <c r="AL1452" s="10819"/>
      <c r="AM1452" s="10819"/>
      <c r="AN1452" s="10820"/>
      <c r="AO1452" s="10818"/>
      <c r="AP1452" s="10819"/>
      <c r="AQ1452" s="10819"/>
      <c r="AR1452" s="10819"/>
      <c r="AS1452" s="10819"/>
      <c r="AT1452" s="10820"/>
      <c r="AU1452" s="10983"/>
      <c r="AV1452" s="10983"/>
      <c r="AW1452" s="10983"/>
      <c r="AX1452" s="10980"/>
      <c r="AY1452" s="10982"/>
      <c r="AZ1452" s="10983"/>
      <c r="BA1452" s="10980"/>
      <c r="BB1452" s="10981"/>
      <c r="BC1452" s="10982"/>
      <c r="BD1452" s="10984"/>
      <c r="BF1452" s="14404"/>
      <c r="BG1452" s="14404"/>
      <c r="BH1452" s="14404"/>
      <c r="BI1452" s="14404"/>
      <c r="BJ1452" s="14404"/>
      <c r="BK1452" s="7946"/>
      <c r="BL1452" s="14404"/>
      <c r="BM1452" s="14404"/>
      <c r="BN1452" s="14404"/>
    </row>
    <row r="1453" spans="1:66" ht="30" hidden="1" customHeight="1">
      <c r="A1453" s="7952">
        <v>911</v>
      </c>
      <c r="B1453" s="8437" t="s">
        <v>8297</v>
      </c>
      <c r="C1453" s="13613"/>
      <c r="D1453" s="12478" t="s">
        <v>10063</v>
      </c>
      <c r="E1453" s="12424" t="s">
        <v>6232</v>
      </c>
      <c r="F1453" s="12425" t="s">
        <v>6274</v>
      </c>
      <c r="G1453" s="11656" t="s">
        <v>6258</v>
      </c>
      <c r="H1453" s="12230" t="s">
        <v>6272</v>
      </c>
      <c r="I1453" s="12483" t="s">
        <v>6262</v>
      </c>
      <c r="K1453" s="10980"/>
      <c r="L1453" s="10814"/>
      <c r="M1453" s="10814"/>
      <c r="N1453" s="10981"/>
      <c r="O1453" s="10981"/>
      <c r="P1453" s="10982"/>
      <c r="Q1453" s="10817"/>
      <c r="R1453" s="10818"/>
      <c r="S1453" s="10819"/>
      <c r="T1453" s="10820"/>
      <c r="U1453" s="10817"/>
      <c r="V1453" s="10818"/>
      <c r="W1453" s="10820"/>
      <c r="X1453" s="10818"/>
      <c r="Y1453" s="10820"/>
      <c r="Z1453" s="10818"/>
      <c r="AA1453" s="10819"/>
      <c r="AB1453" s="10819"/>
      <c r="AC1453" s="10819"/>
      <c r="AD1453" s="10819"/>
      <c r="AE1453" s="10819"/>
      <c r="AF1453" s="10820"/>
      <c r="AG1453" s="10818"/>
      <c r="AH1453" s="10819"/>
      <c r="AI1453" s="10819"/>
      <c r="AJ1453" s="10819"/>
      <c r="AK1453" s="10819"/>
      <c r="AL1453" s="10819"/>
      <c r="AM1453" s="10819"/>
      <c r="AN1453" s="10820"/>
      <c r="AO1453" s="10818"/>
      <c r="AP1453" s="10819"/>
      <c r="AQ1453" s="10819"/>
      <c r="AR1453" s="10819"/>
      <c r="AS1453" s="10819"/>
      <c r="AT1453" s="10820"/>
      <c r="AU1453" s="10983"/>
      <c r="AV1453" s="10983"/>
      <c r="AW1453" s="10983"/>
      <c r="AX1453" s="10980"/>
      <c r="AY1453" s="10982"/>
      <c r="AZ1453" s="10983"/>
      <c r="BA1453" s="10980"/>
      <c r="BB1453" s="10981"/>
      <c r="BC1453" s="10982"/>
      <c r="BD1453" s="10984"/>
      <c r="BF1453" s="7946"/>
      <c r="BG1453" s="7946"/>
      <c r="BH1453" s="7946"/>
      <c r="BI1453" s="7946"/>
      <c r="BJ1453" s="7946"/>
      <c r="BK1453" s="7946"/>
      <c r="BL1453" s="7946"/>
      <c r="BM1453" s="7946"/>
      <c r="BN1453" s="7946"/>
    </row>
    <row r="1454" spans="1:66" ht="30" hidden="1" customHeight="1">
      <c r="A1454" s="7952">
        <v>912</v>
      </c>
      <c r="B1454" s="8437" t="s">
        <v>8298</v>
      </c>
      <c r="C1454" s="13613"/>
      <c r="D1454" s="12478" t="s">
        <v>10063</v>
      </c>
      <c r="E1454" s="12424" t="s">
        <v>144</v>
      </c>
      <c r="F1454" s="12425"/>
      <c r="G1454" s="11656" t="s">
        <v>6276</v>
      </c>
      <c r="H1454" s="12230" t="s">
        <v>6290</v>
      </c>
      <c r="I1454" s="12483" t="s">
        <v>6280</v>
      </c>
      <c r="K1454" s="10786"/>
      <c r="L1454" s="10665"/>
      <c r="M1454" s="10665"/>
      <c r="N1454" s="10800"/>
      <c r="O1454" s="10800"/>
      <c r="P1454" s="10801"/>
      <c r="Q1454" s="10666"/>
      <c r="R1454" s="10667"/>
      <c r="S1454" s="10668"/>
      <c r="T1454" s="10669"/>
      <c r="U1454" s="10666"/>
      <c r="V1454" s="10667"/>
      <c r="W1454" s="10669"/>
      <c r="X1454" s="10667"/>
      <c r="Y1454" s="10669"/>
      <c r="Z1454" s="10667"/>
      <c r="AA1454" s="10668"/>
      <c r="AB1454" s="10668"/>
      <c r="AC1454" s="10668"/>
      <c r="AD1454" s="10668"/>
      <c r="AE1454" s="10668"/>
      <c r="AF1454" s="10669"/>
      <c r="AG1454" s="10667"/>
      <c r="AH1454" s="10668"/>
      <c r="AI1454" s="10668"/>
      <c r="AJ1454" s="10668"/>
      <c r="AK1454" s="10668"/>
      <c r="AL1454" s="10668"/>
      <c r="AM1454" s="10668"/>
      <c r="AN1454" s="10669"/>
      <c r="AO1454" s="10667"/>
      <c r="AP1454" s="10668"/>
      <c r="AQ1454" s="10668"/>
      <c r="AR1454" s="10668"/>
      <c r="AS1454" s="10668"/>
      <c r="AT1454" s="10669"/>
      <c r="AU1454" s="10802"/>
      <c r="AV1454" s="10802"/>
      <c r="AW1454" s="10802"/>
      <c r="AX1454" s="10786"/>
      <c r="AY1454" s="10801"/>
      <c r="AZ1454" s="10802"/>
      <c r="BA1454" s="10786"/>
      <c r="BB1454" s="10800"/>
      <c r="BC1454" s="10801"/>
      <c r="BD1454" s="9985"/>
      <c r="BF1454" s="7946"/>
      <c r="BG1454" s="7946"/>
      <c r="BH1454" s="7946"/>
      <c r="BI1454" s="7946"/>
      <c r="BJ1454" s="7946"/>
      <c r="BK1454" s="7946"/>
      <c r="BL1454" s="7946"/>
      <c r="BM1454" s="7946"/>
      <c r="BN1454" s="7946"/>
    </row>
    <row r="1455" spans="1:66" ht="20.25" hidden="1" customHeight="1">
      <c r="A1455" s="13528">
        <v>913</v>
      </c>
      <c r="B1455" s="13882" t="s">
        <v>8299</v>
      </c>
      <c r="C1455" s="13613"/>
      <c r="D1455" s="12478" t="s">
        <v>10063</v>
      </c>
      <c r="E1455" s="14300" t="s">
        <v>6309</v>
      </c>
      <c r="F1455" s="12425"/>
      <c r="G1455" s="13783" t="s">
        <v>6293</v>
      </c>
      <c r="H1455" s="13399" t="s">
        <v>6307</v>
      </c>
      <c r="I1455" s="14315" t="s">
        <v>6297</v>
      </c>
      <c r="K1455" s="10980"/>
      <c r="L1455" s="10814"/>
      <c r="M1455" s="10814"/>
      <c r="N1455" s="10981"/>
      <c r="O1455" s="10981"/>
      <c r="P1455" s="10982"/>
      <c r="Q1455" s="10817"/>
      <c r="R1455" s="10818"/>
      <c r="S1455" s="10819"/>
      <c r="T1455" s="10820"/>
      <c r="U1455" s="10817"/>
      <c r="V1455" s="10818"/>
      <c r="W1455" s="10820"/>
      <c r="X1455" s="10818"/>
      <c r="Y1455" s="10820"/>
      <c r="Z1455" s="10818"/>
      <c r="AA1455" s="10819"/>
      <c r="AB1455" s="10819"/>
      <c r="AC1455" s="10819"/>
      <c r="AD1455" s="10819"/>
      <c r="AE1455" s="10819"/>
      <c r="AF1455" s="10820"/>
      <c r="AG1455" s="10818"/>
      <c r="AH1455" s="10819"/>
      <c r="AI1455" s="10819"/>
      <c r="AJ1455" s="10819"/>
      <c r="AK1455" s="10819"/>
      <c r="AL1455" s="10819"/>
      <c r="AM1455" s="10819"/>
      <c r="AN1455" s="10820"/>
      <c r="AO1455" s="10818"/>
      <c r="AP1455" s="10819"/>
      <c r="AQ1455" s="10819"/>
      <c r="AR1455" s="10819"/>
      <c r="AS1455" s="10819"/>
      <c r="AT1455" s="10820"/>
      <c r="AU1455" s="10983"/>
      <c r="AV1455" s="10983"/>
      <c r="AW1455" s="10983"/>
      <c r="AX1455" s="10980"/>
      <c r="AY1455" s="10982"/>
      <c r="AZ1455" s="10983"/>
      <c r="BA1455" s="10980"/>
      <c r="BB1455" s="10981"/>
      <c r="BC1455" s="10982"/>
      <c r="BD1455" s="10984"/>
      <c r="BF1455" s="14404"/>
      <c r="BG1455" s="14404"/>
      <c r="BH1455" s="14404"/>
      <c r="BI1455" s="14404"/>
      <c r="BJ1455" s="14404"/>
      <c r="BK1455" s="7946"/>
      <c r="BL1455" s="14404"/>
      <c r="BM1455" s="14404"/>
      <c r="BN1455" s="14404"/>
    </row>
    <row r="1456" spans="1:66" ht="75.75" hidden="1" customHeight="1" thickBot="1">
      <c r="A1456" s="13528"/>
      <c r="B1456" s="13882"/>
      <c r="C1456" s="13613"/>
      <c r="D1456" s="12478" t="s">
        <v>86</v>
      </c>
      <c r="E1456" s="14300"/>
      <c r="F1456" s="12424"/>
      <c r="G1456" s="13783"/>
      <c r="H1456" s="13399"/>
      <c r="I1456" s="14315"/>
      <c r="K1456" s="10786"/>
      <c r="L1456" s="10814"/>
      <c r="M1456" s="10814"/>
      <c r="N1456" s="10981"/>
      <c r="O1456" s="10981"/>
      <c r="P1456" s="10982"/>
      <c r="Q1456" s="10817"/>
      <c r="R1456" s="10818"/>
      <c r="S1456" s="10819"/>
      <c r="T1456" s="10820"/>
      <c r="U1456" s="10817"/>
      <c r="V1456" s="10818"/>
      <c r="W1456" s="10820"/>
      <c r="X1456" s="10818"/>
      <c r="Y1456" s="10820"/>
      <c r="Z1456" s="10818"/>
      <c r="AA1456" s="10819"/>
      <c r="AB1456" s="10819"/>
      <c r="AC1456" s="10819"/>
      <c r="AD1456" s="10819"/>
      <c r="AE1456" s="10819"/>
      <c r="AF1456" s="10820"/>
      <c r="AG1456" s="10818"/>
      <c r="AH1456" s="10819"/>
      <c r="AI1456" s="10819"/>
      <c r="AJ1456" s="10819"/>
      <c r="AK1456" s="10819"/>
      <c r="AL1456" s="10819"/>
      <c r="AM1456" s="10819"/>
      <c r="AN1456" s="10820"/>
      <c r="AO1456" s="10818"/>
      <c r="AP1456" s="10819"/>
      <c r="AQ1456" s="10819"/>
      <c r="AR1456" s="10819"/>
      <c r="AS1456" s="10819"/>
      <c r="AT1456" s="10820"/>
      <c r="AU1456" s="10983"/>
      <c r="AV1456" s="10983"/>
      <c r="AW1456" s="10983"/>
      <c r="AX1456" s="10980"/>
      <c r="AY1456" s="10982"/>
      <c r="AZ1456" s="10983"/>
      <c r="BA1456" s="10980"/>
      <c r="BB1456" s="10981"/>
      <c r="BC1456" s="10982"/>
      <c r="BD1456" s="10984"/>
      <c r="BF1456" s="14404"/>
      <c r="BG1456" s="14404"/>
      <c r="BH1456" s="14404"/>
      <c r="BI1456" s="14404"/>
      <c r="BJ1456" s="14404"/>
      <c r="BK1456" s="13047"/>
      <c r="BL1456" s="14404"/>
      <c r="BM1456" s="14404"/>
      <c r="BN1456" s="14404"/>
    </row>
    <row r="1457" spans="1:66" ht="20.25" hidden="1" customHeight="1">
      <c r="A1457" s="13528"/>
      <c r="B1457" s="13882"/>
      <c r="C1457" s="13613"/>
      <c r="D1457" s="12478" t="s">
        <v>218</v>
      </c>
      <c r="E1457" s="14300"/>
      <c r="F1457" s="12424"/>
      <c r="G1457" s="13783"/>
      <c r="H1457" s="13399"/>
      <c r="I1457" s="14315"/>
      <c r="K1457" s="10980"/>
      <c r="L1457" s="10814"/>
      <c r="M1457" s="10814"/>
      <c r="N1457" s="10981"/>
      <c r="O1457" s="10981"/>
      <c r="P1457" s="10982"/>
      <c r="Q1457" s="10817"/>
      <c r="R1457" s="10818"/>
      <c r="S1457" s="10819"/>
      <c r="T1457" s="10820"/>
      <c r="U1457" s="10817"/>
      <c r="V1457" s="10818"/>
      <c r="W1457" s="10820"/>
      <c r="X1457" s="10818"/>
      <c r="Y1457" s="10820"/>
      <c r="Z1457" s="10818"/>
      <c r="AA1457" s="10819"/>
      <c r="AB1457" s="10819"/>
      <c r="AC1457" s="10819"/>
      <c r="AD1457" s="10819"/>
      <c r="AE1457" s="10819"/>
      <c r="AF1457" s="10820"/>
      <c r="AG1457" s="10818"/>
      <c r="AH1457" s="10819"/>
      <c r="AI1457" s="10819"/>
      <c r="AJ1457" s="10819"/>
      <c r="AK1457" s="10819"/>
      <c r="AL1457" s="10819"/>
      <c r="AM1457" s="10819"/>
      <c r="AN1457" s="10820"/>
      <c r="AO1457" s="10818"/>
      <c r="AP1457" s="10819"/>
      <c r="AQ1457" s="10819"/>
      <c r="AR1457" s="10819"/>
      <c r="AS1457" s="10819"/>
      <c r="AT1457" s="10820"/>
      <c r="AU1457" s="10983"/>
      <c r="AV1457" s="10983"/>
      <c r="AW1457" s="10983"/>
      <c r="AX1457" s="10980"/>
      <c r="AY1457" s="10982"/>
      <c r="AZ1457" s="10983"/>
      <c r="BA1457" s="10980"/>
      <c r="BB1457" s="10981"/>
      <c r="BC1457" s="10982"/>
      <c r="BD1457" s="10984"/>
      <c r="BF1457" s="14404"/>
      <c r="BG1457" s="14404"/>
      <c r="BH1457" s="14404"/>
      <c r="BI1457" s="14404"/>
      <c r="BJ1457" s="14404"/>
      <c r="BK1457" s="7946"/>
      <c r="BL1457" s="14404"/>
      <c r="BM1457" s="14404"/>
      <c r="BN1457" s="14404"/>
    </row>
    <row r="1458" spans="1:66" ht="20.25" hidden="1" customHeight="1">
      <c r="A1458" s="13528"/>
      <c r="B1458" s="13882"/>
      <c r="C1458" s="13613"/>
      <c r="D1458" s="12478" t="s">
        <v>4321</v>
      </c>
      <c r="E1458" s="12424"/>
      <c r="F1458" s="12424" t="s">
        <v>6310</v>
      </c>
      <c r="G1458" s="13783"/>
      <c r="H1458" s="13399"/>
      <c r="I1458" s="14315"/>
      <c r="K1458" s="10980"/>
      <c r="L1458" s="10814"/>
      <c r="M1458" s="10814"/>
      <c r="N1458" s="10981"/>
      <c r="O1458" s="10981"/>
      <c r="P1458" s="10982"/>
      <c r="Q1458" s="10817"/>
      <c r="R1458" s="10818"/>
      <c r="S1458" s="10819"/>
      <c r="T1458" s="10820"/>
      <c r="U1458" s="10817"/>
      <c r="V1458" s="10818"/>
      <c r="W1458" s="10820"/>
      <c r="X1458" s="10818"/>
      <c r="Y1458" s="10820"/>
      <c r="Z1458" s="10818"/>
      <c r="AA1458" s="10819"/>
      <c r="AB1458" s="10819"/>
      <c r="AC1458" s="10819"/>
      <c r="AD1458" s="10819"/>
      <c r="AE1458" s="10819"/>
      <c r="AF1458" s="10820"/>
      <c r="AG1458" s="10818"/>
      <c r="AH1458" s="10819"/>
      <c r="AI1458" s="10819"/>
      <c r="AJ1458" s="10819"/>
      <c r="AK1458" s="10819"/>
      <c r="AL1458" s="10819"/>
      <c r="AM1458" s="10819"/>
      <c r="AN1458" s="10820"/>
      <c r="AO1458" s="10818"/>
      <c r="AP1458" s="10819"/>
      <c r="AQ1458" s="10819"/>
      <c r="AR1458" s="10819"/>
      <c r="AS1458" s="10819"/>
      <c r="AT1458" s="10820"/>
      <c r="AU1458" s="10983"/>
      <c r="AV1458" s="10983"/>
      <c r="AW1458" s="10983"/>
      <c r="AX1458" s="10980"/>
      <c r="AY1458" s="10982"/>
      <c r="AZ1458" s="10983"/>
      <c r="BA1458" s="10980"/>
      <c r="BB1458" s="10981"/>
      <c r="BC1458" s="10982"/>
      <c r="BD1458" s="10984"/>
      <c r="BF1458" s="14404"/>
      <c r="BG1458" s="14404"/>
      <c r="BH1458" s="14404"/>
      <c r="BI1458" s="14404"/>
      <c r="BJ1458" s="14404"/>
      <c r="BK1458" s="7946"/>
      <c r="BL1458" s="14404"/>
      <c r="BM1458" s="14404"/>
      <c r="BN1458" s="14404"/>
    </row>
    <row r="1459" spans="1:66" ht="45" hidden="1" customHeight="1" thickBot="1">
      <c r="A1459" s="8461">
        <v>914</v>
      </c>
      <c r="B1459" s="8462" t="s">
        <v>8300</v>
      </c>
      <c r="C1459" s="13613"/>
      <c r="D1459" s="12493" t="s">
        <v>10063</v>
      </c>
      <c r="E1459" s="12428" t="s">
        <v>6327</v>
      </c>
      <c r="F1459" s="12428"/>
      <c r="G1459" s="11790" t="s">
        <v>10361</v>
      </c>
      <c r="H1459" s="12298" t="s">
        <v>6326</v>
      </c>
      <c r="I1459" s="12495" t="s">
        <v>6316</v>
      </c>
      <c r="K1459" s="10840"/>
      <c r="L1459" s="10671"/>
      <c r="M1459" s="10671"/>
      <c r="N1459" s="7914"/>
      <c r="O1459" s="7914"/>
      <c r="P1459" s="10985"/>
      <c r="Q1459" s="10672"/>
      <c r="R1459" s="10673"/>
      <c r="S1459" s="10674"/>
      <c r="T1459" s="10675"/>
      <c r="U1459" s="10672"/>
      <c r="V1459" s="10673"/>
      <c r="W1459" s="10675"/>
      <c r="X1459" s="10673"/>
      <c r="Y1459" s="10675"/>
      <c r="Z1459" s="10673"/>
      <c r="AA1459" s="10674"/>
      <c r="AB1459" s="10674"/>
      <c r="AC1459" s="10674"/>
      <c r="AD1459" s="10674"/>
      <c r="AE1459" s="10674"/>
      <c r="AF1459" s="10675"/>
      <c r="AG1459" s="10673"/>
      <c r="AH1459" s="10674"/>
      <c r="AI1459" s="10674"/>
      <c r="AJ1459" s="10674"/>
      <c r="AK1459" s="10674"/>
      <c r="AL1459" s="10674"/>
      <c r="AM1459" s="10674"/>
      <c r="AN1459" s="10675"/>
      <c r="AO1459" s="10673"/>
      <c r="AP1459" s="10674"/>
      <c r="AQ1459" s="10674"/>
      <c r="AR1459" s="10674"/>
      <c r="AS1459" s="10674"/>
      <c r="AT1459" s="10675"/>
      <c r="AU1459" s="10986"/>
      <c r="AV1459" s="10986"/>
      <c r="AW1459" s="10986"/>
      <c r="AX1459" s="10840"/>
      <c r="AY1459" s="10985"/>
      <c r="AZ1459" s="10986"/>
      <c r="BA1459" s="10840"/>
      <c r="BB1459" s="7914"/>
      <c r="BC1459" s="10985"/>
      <c r="BD1459" s="10198"/>
      <c r="BF1459" s="7983"/>
      <c r="BG1459" s="7983"/>
      <c r="BH1459" s="7983"/>
      <c r="BI1459" s="7983"/>
      <c r="BJ1459" s="7983"/>
      <c r="BK1459" s="7983"/>
      <c r="BL1459" s="7983"/>
      <c r="BM1459" s="7983"/>
      <c r="BN1459" s="7983"/>
    </row>
    <row r="1460" spans="1:66" ht="30" hidden="1" customHeight="1">
      <c r="A1460" s="13542">
        <v>915</v>
      </c>
      <c r="B1460" s="14349" t="s">
        <v>8301</v>
      </c>
      <c r="C1460" s="13613"/>
      <c r="D1460" s="12559" t="s">
        <v>10290</v>
      </c>
      <c r="E1460" s="14328" t="s">
        <v>6349</v>
      </c>
      <c r="F1460" s="14330" t="s">
        <v>6350</v>
      </c>
      <c r="G1460" s="13570" t="s">
        <v>6333</v>
      </c>
      <c r="H1460" s="14337" t="s">
        <v>6347</v>
      </c>
      <c r="I1460" s="14363" t="s">
        <v>6337</v>
      </c>
      <c r="K1460" s="11028"/>
      <c r="L1460" s="11029"/>
      <c r="M1460" s="11029"/>
      <c r="N1460" s="11030"/>
      <c r="O1460" s="11030"/>
      <c r="P1460" s="11031"/>
      <c r="Q1460" s="11032"/>
      <c r="R1460" s="11033"/>
      <c r="S1460" s="11034"/>
      <c r="T1460" s="11035"/>
      <c r="U1460" s="11032"/>
      <c r="V1460" s="11033"/>
      <c r="W1460" s="11035"/>
      <c r="X1460" s="11033"/>
      <c r="Y1460" s="11035"/>
      <c r="Z1460" s="11033"/>
      <c r="AA1460" s="11034"/>
      <c r="AB1460" s="11034"/>
      <c r="AC1460" s="11034"/>
      <c r="AD1460" s="11034"/>
      <c r="AE1460" s="11034"/>
      <c r="AF1460" s="11035"/>
      <c r="AG1460" s="11033"/>
      <c r="AH1460" s="11034"/>
      <c r="AI1460" s="11034"/>
      <c r="AJ1460" s="11034"/>
      <c r="AK1460" s="11034"/>
      <c r="AL1460" s="11034"/>
      <c r="AM1460" s="11034"/>
      <c r="AN1460" s="11035"/>
      <c r="AO1460" s="11033"/>
      <c r="AP1460" s="11034"/>
      <c r="AQ1460" s="11034"/>
      <c r="AR1460" s="11034"/>
      <c r="AS1460" s="11034"/>
      <c r="AT1460" s="11035"/>
      <c r="AU1460" s="11036"/>
      <c r="AV1460" s="11036"/>
      <c r="AW1460" s="11036"/>
      <c r="AX1460" s="11028"/>
      <c r="AY1460" s="11031"/>
      <c r="AZ1460" s="11036"/>
      <c r="BA1460" s="11028"/>
      <c r="BB1460" s="11030"/>
      <c r="BC1460" s="11031"/>
      <c r="BD1460" s="11037"/>
      <c r="BF1460" s="14557"/>
      <c r="BG1460" s="14557"/>
      <c r="BH1460" s="14557"/>
      <c r="BI1460" s="14557"/>
      <c r="BJ1460" s="14557"/>
      <c r="BK1460" s="11038"/>
      <c r="BL1460" s="14557"/>
      <c r="BM1460" s="14557"/>
      <c r="BN1460" s="14557"/>
    </row>
    <row r="1461" spans="1:66" ht="30" hidden="1" customHeight="1">
      <c r="A1461" s="13543"/>
      <c r="B1461" s="14350"/>
      <c r="C1461" s="13613"/>
      <c r="D1461" s="12560" t="s">
        <v>10063</v>
      </c>
      <c r="E1461" s="14329"/>
      <c r="F1461" s="14331"/>
      <c r="G1461" s="14333"/>
      <c r="H1461" s="14338"/>
      <c r="I1461" s="14357"/>
      <c r="K1461" s="11039"/>
      <c r="L1461" s="9593"/>
      <c r="M1461" s="9593"/>
      <c r="N1461" s="11040"/>
      <c r="O1461" s="11040"/>
      <c r="P1461" s="11041"/>
      <c r="Q1461" s="9596"/>
      <c r="R1461" s="9597"/>
      <c r="S1461" s="9598"/>
      <c r="T1461" s="9599"/>
      <c r="U1461" s="9596"/>
      <c r="V1461" s="9597"/>
      <c r="W1461" s="9599"/>
      <c r="X1461" s="9597"/>
      <c r="Y1461" s="9599"/>
      <c r="Z1461" s="9597"/>
      <c r="AA1461" s="9598"/>
      <c r="AB1461" s="9598"/>
      <c r="AC1461" s="9598"/>
      <c r="AD1461" s="9598"/>
      <c r="AE1461" s="9598"/>
      <c r="AF1461" s="9599"/>
      <c r="AG1461" s="9597"/>
      <c r="AH1461" s="9598"/>
      <c r="AI1461" s="9598"/>
      <c r="AJ1461" s="9598"/>
      <c r="AK1461" s="9598"/>
      <c r="AL1461" s="9598"/>
      <c r="AM1461" s="9598"/>
      <c r="AN1461" s="9599"/>
      <c r="AO1461" s="9597"/>
      <c r="AP1461" s="9598"/>
      <c r="AQ1461" s="9598"/>
      <c r="AR1461" s="9598"/>
      <c r="AS1461" s="9598"/>
      <c r="AT1461" s="9599"/>
      <c r="AU1461" s="11042"/>
      <c r="AV1461" s="11042"/>
      <c r="AW1461" s="11042"/>
      <c r="AX1461" s="11039"/>
      <c r="AY1461" s="11041"/>
      <c r="AZ1461" s="11042"/>
      <c r="BA1461" s="11039"/>
      <c r="BB1461" s="11040"/>
      <c r="BC1461" s="11041"/>
      <c r="BD1461" s="11043"/>
      <c r="BF1461" s="14558"/>
      <c r="BG1461" s="14558"/>
      <c r="BH1461" s="14558"/>
      <c r="BI1461" s="14558"/>
      <c r="BJ1461" s="14558"/>
      <c r="BK1461" s="11044"/>
      <c r="BL1461" s="14558"/>
      <c r="BM1461" s="14558"/>
      <c r="BN1461" s="14558"/>
    </row>
    <row r="1462" spans="1:66" ht="30" hidden="1" customHeight="1">
      <c r="A1462" s="13543">
        <v>916</v>
      </c>
      <c r="B1462" s="14350" t="s">
        <v>8302</v>
      </c>
      <c r="C1462" s="13613"/>
      <c r="D1462" s="12560" t="s">
        <v>10290</v>
      </c>
      <c r="E1462" s="14329" t="s">
        <v>6362</v>
      </c>
      <c r="F1462" s="14329"/>
      <c r="G1462" s="14333" t="s">
        <v>6353</v>
      </c>
      <c r="H1462" s="14338" t="s">
        <v>6360</v>
      </c>
      <c r="I1462" s="14357" t="s">
        <v>545</v>
      </c>
      <c r="K1462" s="11039"/>
      <c r="L1462" s="9593"/>
      <c r="M1462" s="9593"/>
      <c r="N1462" s="11040"/>
      <c r="O1462" s="11040"/>
      <c r="P1462" s="11041"/>
      <c r="Q1462" s="9596"/>
      <c r="R1462" s="9597"/>
      <c r="S1462" s="9598"/>
      <c r="T1462" s="9599"/>
      <c r="U1462" s="9596"/>
      <c r="V1462" s="9597"/>
      <c r="W1462" s="9599"/>
      <c r="X1462" s="9597"/>
      <c r="Y1462" s="9599"/>
      <c r="Z1462" s="9597"/>
      <c r="AA1462" s="9598"/>
      <c r="AB1462" s="9598"/>
      <c r="AC1462" s="9598"/>
      <c r="AD1462" s="9598"/>
      <c r="AE1462" s="9598"/>
      <c r="AF1462" s="9599"/>
      <c r="AG1462" s="9597"/>
      <c r="AH1462" s="9598"/>
      <c r="AI1462" s="9598"/>
      <c r="AJ1462" s="9598"/>
      <c r="AK1462" s="9598"/>
      <c r="AL1462" s="9598"/>
      <c r="AM1462" s="9598"/>
      <c r="AN1462" s="9599"/>
      <c r="AO1462" s="9597"/>
      <c r="AP1462" s="9598"/>
      <c r="AQ1462" s="9598"/>
      <c r="AR1462" s="9598"/>
      <c r="AS1462" s="9598"/>
      <c r="AT1462" s="9599"/>
      <c r="AU1462" s="11042"/>
      <c r="AV1462" s="11042"/>
      <c r="AW1462" s="11042"/>
      <c r="AX1462" s="11039"/>
      <c r="AY1462" s="11041"/>
      <c r="AZ1462" s="11042"/>
      <c r="BA1462" s="11039"/>
      <c r="BB1462" s="11040"/>
      <c r="BC1462" s="11041"/>
      <c r="BD1462" s="11043"/>
      <c r="BF1462" s="14558"/>
      <c r="BG1462" s="14558"/>
      <c r="BH1462" s="14558"/>
      <c r="BI1462" s="14558"/>
      <c r="BJ1462" s="14558"/>
      <c r="BK1462" s="11044"/>
      <c r="BL1462" s="14558"/>
      <c r="BM1462" s="14558"/>
      <c r="BN1462" s="14558"/>
    </row>
    <row r="1463" spans="1:66" ht="30" hidden="1" customHeight="1" thickBot="1">
      <c r="A1463" s="13544"/>
      <c r="B1463" s="14351"/>
      <c r="C1463" s="13613"/>
      <c r="D1463" s="12561" t="s">
        <v>10066</v>
      </c>
      <c r="E1463" s="14332"/>
      <c r="F1463" s="14332"/>
      <c r="G1463" s="14334"/>
      <c r="H1463" s="14339"/>
      <c r="I1463" s="14358"/>
      <c r="K1463" s="11045"/>
      <c r="L1463" s="9604"/>
      <c r="M1463" s="9604"/>
      <c r="N1463" s="11046"/>
      <c r="O1463" s="11046"/>
      <c r="P1463" s="11047"/>
      <c r="Q1463" s="9607"/>
      <c r="R1463" s="9608"/>
      <c r="S1463" s="9609"/>
      <c r="T1463" s="9610"/>
      <c r="U1463" s="9607"/>
      <c r="V1463" s="9608"/>
      <c r="W1463" s="9610"/>
      <c r="X1463" s="9608"/>
      <c r="Y1463" s="9610"/>
      <c r="Z1463" s="9608"/>
      <c r="AA1463" s="9609"/>
      <c r="AB1463" s="9609"/>
      <c r="AC1463" s="9609"/>
      <c r="AD1463" s="9609"/>
      <c r="AE1463" s="9609"/>
      <c r="AF1463" s="9610"/>
      <c r="AG1463" s="9608"/>
      <c r="AH1463" s="9609"/>
      <c r="AI1463" s="9609"/>
      <c r="AJ1463" s="9609"/>
      <c r="AK1463" s="9609"/>
      <c r="AL1463" s="9609"/>
      <c r="AM1463" s="9609"/>
      <c r="AN1463" s="9610"/>
      <c r="AO1463" s="9608"/>
      <c r="AP1463" s="9609"/>
      <c r="AQ1463" s="9609"/>
      <c r="AR1463" s="9609"/>
      <c r="AS1463" s="9609"/>
      <c r="AT1463" s="9610"/>
      <c r="AU1463" s="11048"/>
      <c r="AV1463" s="11048"/>
      <c r="AW1463" s="11048"/>
      <c r="AX1463" s="11045"/>
      <c r="AY1463" s="11047"/>
      <c r="AZ1463" s="11048"/>
      <c r="BA1463" s="11045"/>
      <c r="BB1463" s="11046"/>
      <c r="BC1463" s="11047"/>
      <c r="BD1463" s="11049"/>
      <c r="BF1463" s="14559"/>
      <c r="BG1463" s="14559"/>
      <c r="BH1463" s="14559"/>
      <c r="BI1463" s="14559"/>
      <c r="BJ1463" s="14559"/>
      <c r="BK1463" s="11050"/>
      <c r="BL1463" s="14559"/>
      <c r="BM1463" s="14559"/>
      <c r="BN1463" s="14559"/>
    </row>
    <row r="1464" spans="1:66" ht="30" hidden="1" customHeight="1">
      <c r="A1464" s="13545">
        <v>917</v>
      </c>
      <c r="B1464" s="14352" t="s">
        <v>8303</v>
      </c>
      <c r="C1464" s="13613"/>
      <c r="D1464" s="12562" t="s">
        <v>10063</v>
      </c>
      <c r="E1464" s="12563" t="s">
        <v>724</v>
      </c>
      <c r="F1464" s="12564"/>
      <c r="G1464" s="14335" t="s">
        <v>6369</v>
      </c>
      <c r="H1464" s="14340" t="s">
        <v>6375</v>
      </c>
      <c r="I1464" s="14364" t="s">
        <v>6372</v>
      </c>
      <c r="K1464" s="11051"/>
      <c r="L1464" s="11052"/>
      <c r="M1464" s="11052"/>
      <c r="N1464" s="11053"/>
      <c r="O1464" s="11053"/>
      <c r="P1464" s="11054"/>
      <c r="Q1464" s="11055"/>
      <c r="R1464" s="11056"/>
      <c r="S1464" s="11057"/>
      <c r="T1464" s="11058"/>
      <c r="U1464" s="11055"/>
      <c r="V1464" s="11056"/>
      <c r="W1464" s="11058"/>
      <c r="X1464" s="11056"/>
      <c r="Y1464" s="11058"/>
      <c r="Z1464" s="11056"/>
      <c r="AA1464" s="11057"/>
      <c r="AB1464" s="11057"/>
      <c r="AC1464" s="11057"/>
      <c r="AD1464" s="11057"/>
      <c r="AE1464" s="11057"/>
      <c r="AF1464" s="11058"/>
      <c r="AG1464" s="11056"/>
      <c r="AH1464" s="11057"/>
      <c r="AI1464" s="11057"/>
      <c r="AJ1464" s="11057"/>
      <c r="AK1464" s="11057"/>
      <c r="AL1464" s="11057"/>
      <c r="AM1464" s="11057"/>
      <c r="AN1464" s="11058"/>
      <c r="AO1464" s="11056"/>
      <c r="AP1464" s="11057"/>
      <c r="AQ1464" s="11057"/>
      <c r="AR1464" s="11057"/>
      <c r="AS1464" s="11057"/>
      <c r="AT1464" s="11058"/>
      <c r="AU1464" s="11059"/>
      <c r="AV1464" s="11059"/>
      <c r="AW1464" s="11059"/>
      <c r="AX1464" s="11051"/>
      <c r="AY1464" s="11054"/>
      <c r="AZ1464" s="11059"/>
      <c r="BA1464" s="11051"/>
      <c r="BB1464" s="11053"/>
      <c r="BC1464" s="11054"/>
      <c r="BD1464" s="11060"/>
      <c r="BF1464" s="14560"/>
      <c r="BG1464" s="14560"/>
      <c r="BH1464" s="14560"/>
      <c r="BI1464" s="14560"/>
      <c r="BJ1464" s="14560"/>
      <c r="BK1464" s="11061"/>
      <c r="BL1464" s="14560"/>
      <c r="BM1464" s="14560"/>
      <c r="BN1464" s="14560"/>
    </row>
    <row r="1465" spans="1:66" ht="30" hidden="1" customHeight="1">
      <c r="A1465" s="13546"/>
      <c r="B1465" s="14353"/>
      <c r="C1465" s="13613"/>
      <c r="D1465" s="12565" t="s">
        <v>10194</v>
      </c>
      <c r="E1465" s="12566"/>
      <c r="F1465" s="12566" t="s">
        <v>6377</v>
      </c>
      <c r="G1465" s="14336"/>
      <c r="H1465" s="14341"/>
      <c r="I1465" s="14365"/>
      <c r="K1465" s="11063"/>
      <c r="L1465" s="11064"/>
      <c r="M1465" s="11064"/>
      <c r="N1465" s="11065"/>
      <c r="O1465" s="11065"/>
      <c r="P1465" s="11066"/>
      <c r="Q1465" s="11067"/>
      <c r="R1465" s="11068"/>
      <c r="S1465" s="11069"/>
      <c r="T1465" s="11070"/>
      <c r="U1465" s="11067"/>
      <c r="V1465" s="11068"/>
      <c r="W1465" s="11070"/>
      <c r="X1465" s="11068"/>
      <c r="Y1465" s="11070"/>
      <c r="Z1465" s="11068"/>
      <c r="AA1465" s="11069"/>
      <c r="AB1465" s="11069"/>
      <c r="AC1465" s="11069"/>
      <c r="AD1465" s="11069"/>
      <c r="AE1465" s="11069"/>
      <c r="AF1465" s="11070"/>
      <c r="AG1465" s="11068"/>
      <c r="AH1465" s="11069"/>
      <c r="AI1465" s="11069"/>
      <c r="AJ1465" s="11069"/>
      <c r="AK1465" s="11069"/>
      <c r="AL1465" s="11069"/>
      <c r="AM1465" s="11069"/>
      <c r="AN1465" s="11070"/>
      <c r="AO1465" s="11068"/>
      <c r="AP1465" s="11069"/>
      <c r="AQ1465" s="11069"/>
      <c r="AR1465" s="11069"/>
      <c r="AS1465" s="11069"/>
      <c r="AT1465" s="11070"/>
      <c r="AU1465" s="11071"/>
      <c r="AV1465" s="11071"/>
      <c r="AW1465" s="11071"/>
      <c r="AX1465" s="11063"/>
      <c r="AY1465" s="11066"/>
      <c r="AZ1465" s="11071"/>
      <c r="BA1465" s="11063"/>
      <c r="BB1465" s="11065"/>
      <c r="BC1465" s="11066"/>
      <c r="BD1465" s="11072"/>
      <c r="BF1465" s="14561"/>
      <c r="BG1465" s="14561"/>
      <c r="BH1465" s="14561"/>
      <c r="BI1465" s="14561"/>
      <c r="BJ1465" s="14561"/>
      <c r="BK1465" s="11073"/>
      <c r="BL1465" s="14561"/>
      <c r="BM1465" s="14561"/>
      <c r="BN1465" s="14561"/>
    </row>
    <row r="1466" spans="1:66" ht="22.5" hidden="1" customHeight="1">
      <c r="A1466" s="13547">
        <v>918</v>
      </c>
      <c r="B1466" s="14372" t="s">
        <v>8304</v>
      </c>
      <c r="C1466" s="13613"/>
      <c r="D1466" s="12565" t="s">
        <v>10057</v>
      </c>
      <c r="E1466" s="14319" t="s">
        <v>6394</v>
      </c>
      <c r="F1466" s="14319"/>
      <c r="G1466" s="14336" t="s">
        <v>6378</v>
      </c>
      <c r="H1466" s="14341" t="s">
        <v>6392</v>
      </c>
      <c r="I1466" s="14365" t="s">
        <v>6382</v>
      </c>
      <c r="K1466" s="11063"/>
      <c r="L1466" s="11064"/>
      <c r="M1466" s="11064"/>
      <c r="N1466" s="11065"/>
      <c r="O1466" s="11065"/>
      <c r="P1466" s="11066"/>
      <c r="Q1466" s="11067"/>
      <c r="R1466" s="11068"/>
      <c r="S1466" s="11069"/>
      <c r="T1466" s="11070"/>
      <c r="U1466" s="11067"/>
      <c r="V1466" s="11068"/>
      <c r="W1466" s="11070"/>
      <c r="X1466" s="11068"/>
      <c r="Y1466" s="11070"/>
      <c r="Z1466" s="11068"/>
      <c r="AA1466" s="11069"/>
      <c r="AB1466" s="11069"/>
      <c r="AC1466" s="11069"/>
      <c r="AD1466" s="11069"/>
      <c r="AE1466" s="11069"/>
      <c r="AF1466" s="11070"/>
      <c r="AG1466" s="11068"/>
      <c r="AH1466" s="11069"/>
      <c r="AI1466" s="11069"/>
      <c r="AJ1466" s="11069"/>
      <c r="AK1466" s="11069"/>
      <c r="AL1466" s="11069"/>
      <c r="AM1466" s="11069"/>
      <c r="AN1466" s="11070"/>
      <c r="AO1466" s="11068"/>
      <c r="AP1466" s="11069"/>
      <c r="AQ1466" s="11069"/>
      <c r="AR1466" s="11069"/>
      <c r="AS1466" s="11069"/>
      <c r="AT1466" s="11070"/>
      <c r="AU1466" s="11071"/>
      <c r="AV1466" s="11071"/>
      <c r="AW1466" s="11071"/>
      <c r="AX1466" s="11063"/>
      <c r="AY1466" s="11066"/>
      <c r="AZ1466" s="11071"/>
      <c r="BA1466" s="11063"/>
      <c r="BB1466" s="11065"/>
      <c r="BC1466" s="11066"/>
      <c r="BD1466" s="11072"/>
      <c r="BF1466" s="14561"/>
      <c r="BG1466" s="14561"/>
      <c r="BH1466" s="14561"/>
      <c r="BI1466" s="14561"/>
      <c r="BJ1466" s="14561"/>
      <c r="BK1466" s="11073"/>
      <c r="BL1466" s="14561"/>
      <c r="BM1466" s="14561"/>
      <c r="BN1466" s="14561"/>
    </row>
    <row r="1467" spans="1:66" ht="22.5" hidden="1" customHeight="1">
      <c r="A1467" s="13547"/>
      <c r="B1467" s="14372"/>
      <c r="C1467" s="13613"/>
      <c r="D1467" s="12565" t="s">
        <v>10063</v>
      </c>
      <c r="E1467" s="14319"/>
      <c r="F1467" s="14319"/>
      <c r="G1467" s="14336"/>
      <c r="H1467" s="14341"/>
      <c r="I1467" s="14365"/>
      <c r="K1467" s="11063"/>
      <c r="L1467" s="11064"/>
      <c r="M1467" s="11064"/>
      <c r="N1467" s="11065"/>
      <c r="O1467" s="11065"/>
      <c r="P1467" s="11066"/>
      <c r="Q1467" s="11067"/>
      <c r="R1467" s="11068"/>
      <c r="S1467" s="11069"/>
      <c r="T1467" s="11070"/>
      <c r="U1467" s="11067"/>
      <c r="V1467" s="11068"/>
      <c r="W1467" s="11070"/>
      <c r="X1467" s="11068"/>
      <c r="Y1467" s="11070"/>
      <c r="Z1467" s="11068"/>
      <c r="AA1467" s="11069"/>
      <c r="AB1467" s="11069"/>
      <c r="AC1467" s="11069"/>
      <c r="AD1467" s="11069"/>
      <c r="AE1467" s="11069"/>
      <c r="AF1467" s="11070"/>
      <c r="AG1467" s="11068"/>
      <c r="AH1467" s="11069"/>
      <c r="AI1467" s="11069"/>
      <c r="AJ1467" s="11069"/>
      <c r="AK1467" s="11069"/>
      <c r="AL1467" s="11069"/>
      <c r="AM1467" s="11069"/>
      <c r="AN1467" s="11070"/>
      <c r="AO1467" s="11068"/>
      <c r="AP1467" s="11069"/>
      <c r="AQ1467" s="11069"/>
      <c r="AR1467" s="11069"/>
      <c r="AS1467" s="11069"/>
      <c r="AT1467" s="11070"/>
      <c r="AU1467" s="11071"/>
      <c r="AV1467" s="11071"/>
      <c r="AW1467" s="11071"/>
      <c r="AX1467" s="11063"/>
      <c r="AY1467" s="11066"/>
      <c r="AZ1467" s="11071"/>
      <c r="BA1467" s="11063"/>
      <c r="BB1467" s="11065"/>
      <c r="BC1467" s="11066"/>
      <c r="BD1467" s="11072"/>
      <c r="BF1467" s="14561"/>
      <c r="BG1467" s="14561"/>
      <c r="BH1467" s="14561"/>
      <c r="BI1467" s="14561"/>
      <c r="BJ1467" s="14561"/>
      <c r="BK1467" s="11073"/>
      <c r="BL1467" s="14561"/>
      <c r="BM1467" s="14561"/>
      <c r="BN1467" s="14561"/>
    </row>
    <row r="1468" spans="1:66" ht="22.5" hidden="1" customHeight="1">
      <c r="A1468" s="13547"/>
      <c r="B1468" s="14372"/>
      <c r="C1468" s="13613"/>
      <c r="D1468" s="12565" t="s">
        <v>2896</v>
      </c>
      <c r="E1468" s="14319"/>
      <c r="F1468" s="14319"/>
      <c r="G1468" s="14336"/>
      <c r="H1468" s="14341"/>
      <c r="I1468" s="14365"/>
      <c r="K1468" s="11063"/>
      <c r="L1468" s="11064"/>
      <c r="M1468" s="11064"/>
      <c r="N1468" s="11065"/>
      <c r="O1468" s="11065"/>
      <c r="P1468" s="11066"/>
      <c r="Q1468" s="11067"/>
      <c r="R1468" s="11068"/>
      <c r="S1468" s="11069"/>
      <c r="T1468" s="11070"/>
      <c r="U1468" s="11067"/>
      <c r="V1468" s="11068"/>
      <c r="W1468" s="11070"/>
      <c r="X1468" s="11068"/>
      <c r="Y1468" s="11070"/>
      <c r="Z1468" s="11068"/>
      <c r="AA1468" s="11069"/>
      <c r="AB1468" s="11069"/>
      <c r="AC1468" s="11069"/>
      <c r="AD1468" s="11069"/>
      <c r="AE1468" s="11069"/>
      <c r="AF1468" s="11070"/>
      <c r="AG1468" s="11068"/>
      <c r="AH1468" s="11069"/>
      <c r="AI1468" s="11069"/>
      <c r="AJ1468" s="11069"/>
      <c r="AK1468" s="11069"/>
      <c r="AL1468" s="11069"/>
      <c r="AM1468" s="11069"/>
      <c r="AN1468" s="11070"/>
      <c r="AO1468" s="11068"/>
      <c r="AP1468" s="11069"/>
      <c r="AQ1468" s="11069"/>
      <c r="AR1468" s="11069"/>
      <c r="AS1468" s="11069"/>
      <c r="AT1468" s="11070"/>
      <c r="AU1468" s="11071"/>
      <c r="AV1468" s="11071"/>
      <c r="AW1468" s="11071"/>
      <c r="AX1468" s="11063"/>
      <c r="AY1468" s="11066"/>
      <c r="AZ1468" s="11071"/>
      <c r="BA1468" s="11063"/>
      <c r="BB1468" s="11065"/>
      <c r="BC1468" s="11066"/>
      <c r="BD1468" s="11072"/>
      <c r="BF1468" s="14561"/>
      <c r="BG1468" s="14561"/>
      <c r="BH1468" s="14561"/>
      <c r="BI1468" s="14561"/>
      <c r="BJ1468" s="14561"/>
      <c r="BK1468" s="11073"/>
      <c r="BL1468" s="14561"/>
      <c r="BM1468" s="14561"/>
      <c r="BN1468" s="14561"/>
    </row>
    <row r="1469" spans="1:66" ht="22.5" hidden="1" customHeight="1">
      <c r="A1469" s="13547"/>
      <c r="B1469" s="14372"/>
      <c r="C1469" s="13613"/>
      <c r="D1469" s="12565" t="s">
        <v>218</v>
      </c>
      <c r="E1469" s="14319"/>
      <c r="F1469" s="14319"/>
      <c r="G1469" s="14336"/>
      <c r="H1469" s="14341"/>
      <c r="I1469" s="14365"/>
      <c r="K1469" s="11063"/>
      <c r="L1469" s="11064"/>
      <c r="M1469" s="11064"/>
      <c r="N1469" s="11065"/>
      <c r="O1469" s="11065"/>
      <c r="P1469" s="11066"/>
      <c r="Q1469" s="11067"/>
      <c r="R1469" s="11068"/>
      <c r="S1469" s="11069"/>
      <c r="T1469" s="11070"/>
      <c r="U1469" s="11067"/>
      <c r="V1469" s="11068"/>
      <c r="W1469" s="11070"/>
      <c r="X1469" s="11068"/>
      <c r="Y1469" s="11070"/>
      <c r="Z1469" s="11068"/>
      <c r="AA1469" s="11069"/>
      <c r="AB1469" s="11069"/>
      <c r="AC1469" s="11069"/>
      <c r="AD1469" s="11069"/>
      <c r="AE1469" s="11069"/>
      <c r="AF1469" s="11070"/>
      <c r="AG1469" s="11068"/>
      <c r="AH1469" s="11069"/>
      <c r="AI1469" s="11069"/>
      <c r="AJ1469" s="11069"/>
      <c r="AK1469" s="11069"/>
      <c r="AL1469" s="11069"/>
      <c r="AM1469" s="11069"/>
      <c r="AN1469" s="11070"/>
      <c r="AO1469" s="11068"/>
      <c r="AP1469" s="11069"/>
      <c r="AQ1469" s="11069"/>
      <c r="AR1469" s="11069"/>
      <c r="AS1469" s="11069"/>
      <c r="AT1469" s="11070"/>
      <c r="AU1469" s="11071"/>
      <c r="AV1469" s="11071"/>
      <c r="AW1469" s="11071"/>
      <c r="AX1469" s="11063"/>
      <c r="AY1469" s="11066"/>
      <c r="AZ1469" s="11071"/>
      <c r="BA1469" s="11063"/>
      <c r="BB1469" s="11065"/>
      <c r="BC1469" s="11066"/>
      <c r="BD1469" s="11072"/>
      <c r="BF1469" s="14561"/>
      <c r="BG1469" s="14561"/>
      <c r="BH1469" s="14561"/>
      <c r="BI1469" s="14561"/>
      <c r="BJ1469" s="14561"/>
      <c r="BK1469" s="11073"/>
      <c r="BL1469" s="14561"/>
      <c r="BM1469" s="14561"/>
      <c r="BN1469" s="14561"/>
    </row>
    <row r="1470" spans="1:66" ht="22.5" hidden="1" customHeight="1">
      <c r="A1470" s="13547"/>
      <c r="B1470" s="14372"/>
      <c r="C1470" s="13613"/>
      <c r="D1470" s="12565" t="s">
        <v>10066</v>
      </c>
      <c r="E1470" s="14319"/>
      <c r="F1470" s="14319"/>
      <c r="G1470" s="14336"/>
      <c r="H1470" s="14341"/>
      <c r="I1470" s="14365"/>
      <c r="K1470" s="11063"/>
      <c r="L1470" s="11064"/>
      <c r="M1470" s="11064"/>
      <c r="N1470" s="11065"/>
      <c r="O1470" s="11065"/>
      <c r="P1470" s="11066"/>
      <c r="Q1470" s="11067"/>
      <c r="R1470" s="11068"/>
      <c r="S1470" s="11069"/>
      <c r="T1470" s="11070"/>
      <c r="U1470" s="11067"/>
      <c r="V1470" s="11068"/>
      <c r="W1470" s="11070"/>
      <c r="X1470" s="11068"/>
      <c r="Y1470" s="11070"/>
      <c r="Z1470" s="11068"/>
      <c r="AA1470" s="11069"/>
      <c r="AB1470" s="11069"/>
      <c r="AC1470" s="11069"/>
      <c r="AD1470" s="11069"/>
      <c r="AE1470" s="11069"/>
      <c r="AF1470" s="11070"/>
      <c r="AG1470" s="11068"/>
      <c r="AH1470" s="11069"/>
      <c r="AI1470" s="11069"/>
      <c r="AJ1470" s="11069"/>
      <c r="AK1470" s="11069"/>
      <c r="AL1470" s="11069"/>
      <c r="AM1470" s="11069"/>
      <c r="AN1470" s="11070"/>
      <c r="AO1470" s="11068"/>
      <c r="AP1470" s="11069"/>
      <c r="AQ1470" s="11069"/>
      <c r="AR1470" s="11069"/>
      <c r="AS1470" s="11069"/>
      <c r="AT1470" s="11070"/>
      <c r="AU1470" s="11071"/>
      <c r="AV1470" s="11071"/>
      <c r="AW1470" s="11071"/>
      <c r="AX1470" s="11063"/>
      <c r="AY1470" s="11066"/>
      <c r="AZ1470" s="11071"/>
      <c r="BA1470" s="11063"/>
      <c r="BB1470" s="11065"/>
      <c r="BC1470" s="11066"/>
      <c r="BD1470" s="11072"/>
      <c r="BF1470" s="14561"/>
      <c r="BG1470" s="14561"/>
      <c r="BH1470" s="14561"/>
      <c r="BI1470" s="14561"/>
      <c r="BJ1470" s="14561"/>
      <c r="BK1470" s="11073"/>
      <c r="BL1470" s="14561"/>
      <c r="BM1470" s="14561"/>
      <c r="BN1470" s="14561"/>
    </row>
    <row r="1471" spans="1:66" ht="30" hidden="1" customHeight="1">
      <c r="A1471" s="11074">
        <v>919</v>
      </c>
      <c r="B1471" s="11075" t="s">
        <v>8305</v>
      </c>
      <c r="C1471" s="13613"/>
      <c r="D1471" s="12565" t="s">
        <v>10063</v>
      </c>
      <c r="E1471" s="12566" t="s">
        <v>144</v>
      </c>
      <c r="F1471" s="12566"/>
      <c r="G1471" s="12567" t="s">
        <v>6397</v>
      </c>
      <c r="H1471" s="12568" t="s">
        <v>6411</v>
      </c>
      <c r="I1471" s="12569" t="s">
        <v>6401</v>
      </c>
      <c r="K1471" s="11076"/>
      <c r="L1471" s="11077"/>
      <c r="M1471" s="11077"/>
      <c r="N1471" s="11078"/>
      <c r="O1471" s="11078"/>
      <c r="P1471" s="11079"/>
      <c r="Q1471" s="11080"/>
      <c r="R1471" s="11081"/>
      <c r="S1471" s="11082"/>
      <c r="T1471" s="11083"/>
      <c r="U1471" s="11080"/>
      <c r="V1471" s="11081"/>
      <c r="W1471" s="11083"/>
      <c r="X1471" s="11081"/>
      <c r="Y1471" s="11083"/>
      <c r="Z1471" s="11081"/>
      <c r="AA1471" s="11082"/>
      <c r="AB1471" s="11082"/>
      <c r="AC1471" s="11082"/>
      <c r="AD1471" s="11082"/>
      <c r="AE1471" s="11082"/>
      <c r="AF1471" s="11083"/>
      <c r="AG1471" s="11081"/>
      <c r="AH1471" s="11082"/>
      <c r="AI1471" s="11082"/>
      <c r="AJ1471" s="11082"/>
      <c r="AK1471" s="11082"/>
      <c r="AL1471" s="11082"/>
      <c r="AM1471" s="11082"/>
      <c r="AN1471" s="11083"/>
      <c r="AO1471" s="11081"/>
      <c r="AP1471" s="11082"/>
      <c r="AQ1471" s="11082"/>
      <c r="AR1471" s="11082"/>
      <c r="AS1471" s="11082"/>
      <c r="AT1471" s="11083"/>
      <c r="AU1471" s="11084"/>
      <c r="AV1471" s="11084"/>
      <c r="AW1471" s="11084"/>
      <c r="AX1471" s="11076"/>
      <c r="AY1471" s="11079"/>
      <c r="AZ1471" s="11084"/>
      <c r="BA1471" s="11076"/>
      <c r="BB1471" s="11078"/>
      <c r="BC1471" s="11079"/>
      <c r="BD1471" s="11085"/>
      <c r="BF1471" s="11073"/>
      <c r="BG1471" s="11073"/>
      <c r="BH1471" s="11073"/>
      <c r="BI1471" s="11073"/>
      <c r="BJ1471" s="11073"/>
      <c r="BK1471" s="11073"/>
      <c r="BL1471" s="11073"/>
      <c r="BM1471" s="11073"/>
      <c r="BN1471" s="11073"/>
    </row>
    <row r="1472" spans="1:66" ht="30" hidden="1" customHeight="1">
      <c r="A1472" s="11074">
        <v>920</v>
      </c>
      <c r="B1472" s="11075" t="s">
        <v>8306</v>
      </c>
      <c r="C1472" s="13613"/>
      <c r="D1472" s="12565" t="s">
        <v>10063</v>
      </c>
      <c r="E1472" s="12566" t="s">
        <v>144</v>
      </c>
      <c r="F1472" s="12566" t="s">
        <v>6430</v>
      </c>
      <c r="G1472" s="12567" t="s">
        <v>6414</v>
      </c>
      <c r="H1472" s="12568" t="s">
        <v>6428</v>
      </c>
      <c r="I1472" s="12570" t="s">
        <v>6418</v>
      </c>
      <c r="K1472" s="11063"/>
      <c r="L1472" s="11064"/>
      <c r="M1472" s="11064"/>
      <c r="N1472" s="11065"/>
      <c r="O1472" s="11065"/>
      <c r="P1472" s="11066"/>
      <c r="Q1472" s="11067"/>
      <c r="R1472" s="11068"/>
      <c r="S1472" s="11069"/>
      <c r="T1472" s="11070"/>
      <c r="U1472" s="11067"/>
      <c r="V1472" s="11068"/>
      <c r="W1472" s="11070"/>
      <c r="X1472" s="11068"/>
      <c r="Y1472" s="11070"/>
      <c r="Z1472" s="11068"/>
      <c r="AA1472" s="11069"/>
      <c r="AB1472" s="11069"/>
      <c r="AC1472" s="11069"/>
      <c r="AD1472" s="11069"/>
      <c r="AE1472" s="11069"/>
      <c r="AF1472" s="11070"/>
      <c r="AG1472" s="11068"/>
      <c r="AH1472" s="11069"/>
      <c r="AI1472" s="11069"/>
      <c r="AJ1472" s="11069"/>
      <c r="AK1472" s="11069"/>
      <c r="AL1472" s="11069"/>
      <c r="AM1472" s="11069"/>
      <c r="AN1472" s="11070"/>
      <c r="AO1472" s="11068"/>
      <c r="AP1472" s="11069"/>
      <c r="AQ1472" s="11069"/>
      <c r="AR1472" s="11069"/>
      <c r="AS1472" s="11069"/>
      <c r="AT1472" s="11070"/>
      <c r="AU1472" s="11071"/>
      <c r="AV1472" s="11071"/>
      <c r="AW1472" s="11071"/>
      <c r="AX1472" s="11063"/>
      <c r="AY1472" s="11066"/>
      <c r="AZ1472" s="11071"/>
      <c r="BA1472" s="11063"/>
      <c r="BB1472" s="11065"/>
      <c r="BC1472" s="11066"/>
      <c r="BD1472" s="11072"/>
      <c r="BF1472" s="11073"/>
      <c r="BG1472" s="11073"/>
      <c r="BH1472" s="11073"/>
      <c r="BI1472" s="11073"/>
      <c r="BJ1472" s="11073"/>
      <c r="BK1472" s="11073"/>
      <c r="BL1472" s="11073"/>
      <c r="BM1472" s="11073"/>
      <c r="BN1472" s="11073"/>
    </row>
    <row r="1473" spans="1:66" ht="30" hidden="1" customHeight="1">
      <c r="A1473" s="11074">
        <v>921</v>
      </c>
      <c r="B1473" s="11075" t="s">
        <v>8307</v>
      </c>
      <c r="C1473" s="13613"/>
      <c r="D1473" s="12565" t="s">
        <v>10070</v>
      </c>
      <c r="E1473" s="12566" t="s">
        <v>6448</v>
      </c>
      <c r="F1473" s="12566"/>
      <c r="G1473" s="12567" t="s">
        <v>6432</v>
      </c>
      <c r="H1473" s="12568" t="s">
        <v>6446</v>
      </c>
      <c r="I1473" s="12570" t="s">
        <v>6436</v>
      </c>
      <c r="K1473" s="11062"/>
      <c r="L1473" s="11086"/>
      <c r="M1473" s="11086"/>
      <c r="N1473" s="11087"/>
      <c r="O1473" s="11087"/>
      <c r="P1473" s="11088"/>
      <c r="Q1473" s="11089"/>
      <c r="R1473" s="11090"/>
      <c r="S1473" s="11091"/>
      <c r="T1473" s="11092"/>
      <c r="U1473" s="11089"/>
      <c r="V1473" s="11090"/>
      <c r="W1473" s="11092"/>
      <c r="X1473" s="11090"/>
      <c r="Y1473" s="11092"/>
      <c r="Z1473" s="11090"/>
      <c r="AA1473" s="11091"/>
      <c r="AB1473" s="11091"/>
      <c r="AC1473" s="11091"/>
      <c r="AD1473" s="11091"/>
      <c r="AE1473" s="11091"/>
      <c r="AF1473" s="11092"/>
      <c r="AG1473" s="11090"/>
      <c r="AH1473" s="11091"/>
      <c r="AI1473" s="11091"/>
      <c r="AJ1473" s="11091"/>
      <c r="AK1473" s="11091"/>
      <c r="AL1473" s="11091"/>
      <c r="AM1473" s="11091"/>
      <c r="AN1473" s="11092"/>
      <c r="AO1473" s="11090"/>
      <c r="AP1473" s="11091"/>
      <c r="AQ1473" s="11091"/>
      <c r="AR1473" s="11091"/>
      <c r="AS1473" s="11091"/>
      <c r="AT1473" s="11092"/>
      <c r="AU1473" s="11093"/>
      <c r="AV1473" s="11093"/>
      <c r="AW1473" s="11093"/>
      <c r="AX1473" s="11062"/>
      <c r="AY1473" s="11088"/>
      <c r="AZ1473" s="11093"/>
      <c r="BA1473" s="11062"/>
      <c r="BB1473" s="11087"/>
      <c r="BC1473" s="11088"/>
      <c r="BD1473" s="11094"/>
      <c r="BF1473" s="11073"/>
      <c r="BG1473" s="11073"/>
      <c r="BH1473" s="11073"/>
      <c r="BI1473" s="11073"/>
      <c r="BJ1473" s="11073"/>
      <c r="BK1473" s="11073"/>
      <c r="BL1473" s="11073"/>
      <c r="BM1473" s="11073"/>
      <c r="BN1473" s="11073"/>
    </row>
    <row r="1474" spans="1:66" ht="30" hidden="1" customHeight="1" thickBot="1">
      <c r="A1474" s="11095">
        <v>922</v>
      </c>
      <c r="B1474" s="11096" t="s">
        <v>8308</v>
      </c>
      <c r="C1474" s="13613"/>
      <c r="D1474" s="12571" t="s">
        <v>10063</v>
      </c>
      <c r="E1474" s="12572" t="s">
        <v>6232</v>
      </c>
      <c r="F1474" s="12572"/>
      <c r="G1474" s="12573" t="s">
        <v>6450</v>
      </c>
      <c r="H1474" s="12574" t="s">
        <v>6464</v>
      </c>
      <c r="I1474" s="12575" t="s">
        <v>6454</v>
      </c>
      <c r="K1474" s="11098"/>
      <c r="L1474" s="11099"/>
      <c r="M1474" s="11099"/>
      <c r="N1474" s="11100"/>
      <c r="O1474" s="11100"/>
      <c r="P1474" s="11101"/>
      <c r="Q1474" s="11102"/>
      <c r="R1474" s="11103"/>
      <c r="S1474" s="11104"/>
      <c r="T1474" s="11105"/>
      <c r="U1474" s="11102"/>
      <c r="V1474" s="11103"/>
      <c r="W1474" s="11105"/>
      <c r="X1474" s="11103"/>
      <c r="Y1474" s="11105"/>
      <c r="Z1474" s="11103"/>
      <c r="AA1474" s="11104"/>
      <c r="AB1474" s="11104"/>
      <c r="AC1474" s="11104"/>
      <c r="AD1474" s="11104"/>
      <c r="AE1474" s="11104"/>
      <c r="AF1474" s="11105"/>
      <c r="AG1474" s="11103"/>
      <c r="AH1474" s="11104"/>
      <c r="AI1474" s="11104"/>
      <c r="AJ1474" s="11104"/>
      <c r="AK1474" s="11104"/>
      <c r="AL1474" s="11104"/>
      <c r="AM1474" s="11104"/>
      <c r="AN1474" s="11105"/>
      <c r="AO1474" s="11103"/>
      <c r="AP1474" s="11104"/>
      <c r="AQ1474" s="11104"/>
      <c r="AR1474" s="11104"/>
      <c r="AS1474" s="11104"/>
      <c r="AT1474" s="11105"/>
      <c r="AU1474" s="11106"/>
      <c r="AV1474" s="11106"/>
      <c r="AW1474" s="11106"/>
      <c r="AX1474" s="11098"/>
      <c r="AY1474" s="11101"/>
      <c r="AZ1474" s="11106"/>
      <c r="BA1474" s="11098"/>
      <c r="BB1474" s="11100"/>
      <c r="BC1474" s="11101"/>
      <c r="BD1474" s="11107"/>
      <c r="BF1474" s="11097"/>
      <c r="BG1474" s="11097"/>
      <c r="BH1474" s="11097"/>
      <c r="BI1474" s="11097"/>
      <c r="BJ1474" s="11097"/>
      <c r="BK1474" s="11097"/>
      <c r="BL1474" s="11097"/>
      <c r="BM1474" s="11097"/>
      <c r="BN1474" s="11097"/>
    </row>
    <row r="1475" spans="1:66" ht="30" hidden="1" customHeight="1">
      <c r="A1475" s="13548">
        <v>923</v>
      </c>
      <c r="B1475" s="14373" t="s">
        <v>8309</v>
      </c>
      <c r="C1475" s="13613"/>
      <c r="D1475" s="12576" t="s">
        <v>10070</v>
      </c>
      <c r="E1475" s="14320" t="s">
        <v>6487</v>
      </c>
      <c r="F1475" s="14322"/>
      <c r="G1475" s="13832" t="s">
        <v>6471</v>
      </c>
      <c r="H1475" s="14342" t="s">
        <v>6485</v>
      </c>
      <c r="I1475" s="14366" t="s">
        <v>6475</v>
      </c>
      <c r="K1475" s="7744"/>
      <c r="L1475" s="7745"/>
      <c r="M1475" s="7745"/>
      <c r="N1475" s="7746"/>
      <c r="O1475" s="7746"/>
      <c r="P1475" s="7747"/>
      <c r="Q1475" s="7748"/>
      <c r="R1475" s="7749"/>
      <c r="S1475" s="7750"/>
      <c r="T1475" s="7751"/>
      <c r="U1475" s="7748"/>
      <c r="V1475" s="7749"/>
      <c r="W1475" s="7751"/>
      <c r="X1475" s="7749"/>
      <c r="Y1475" s="7751"/>
      <c r="Z1475" s="7749"/>
      <c r="AA1475" s="7750"/>
      <c r="AB1475" s="7750"/>
      <c r="AC1475" s="7750"/>
      <c r="AD1475" s="7750"/>
      <c r="AE1475" s="7750"/>
      <c r="AF1475" s="7751"/>
      <c r="AG1475" s="7749"/>
      <c r="AH1475" s="7750"/>
      <c r="AI1475" s="7750"/>
      <c r="AJ1475" s="7750"/>
      <c r="AK1475" s="7750"/>
      <c r="AL1475" s="7750"/>
      <c r="AM1475" s="7750"/>
      <c r="AN1475" s="7751"/>
      <c r="AO1475" s="7749"/>
      <c r="AP1475" s="7750"/>
      <c r="AQ1475" s="7750"/>
      <c r="AR1475" s="7750"/>
      <c r="AS1475" s="7750"/>
      <c r="AT1475" s="7751"/>
      <c r="AU1475" s="7752"/>
      <c r="AV1475" s="7752"/>
      <c r="AW1475" s="7752"/>
      <c r="AX1475" s="7744"/>
      <c r="AY1475" s="7747"/>
      <c r="AZ1475" s="7752"/>
      <c r="BA1475" s="7744"/>
      <c r="BB1475" s="7746"/>
      <c r="BC1475" s="7747"/>
      <c r="BD1475" s="7753"/>
      <c r="BF1475" s="14406"/>
      <c r="BG1475" s="14406"/>
      <c r="BH1475" s="14406"/>
      <c r="BI1475" s="14406"/>
      <c r="BJ1475" s="14406"/>
      <c r="BK1475" s="7994"/>
      <c r="BL1475" s="14406"/>
      <c r="BM1475" s="14406"/>
      <c r="BN1475" s="14406"/>
    </row>
    <row r="1476" spans="1:66" ht="30" hidden="1" customHeight="1" thickBot="1">
      <c r="A1476" s="13549"/>
      <c r="B1476" s="14374"/>
      <c r="C1476" s="13613"/>
      <c r="D1476" s="12577" t="s">
        <v>10063</v>
      </c>
      <c r="E1476" s="14321"/>
      <c r="F1476" s="14323"/>
      <c r="G1476" s="14229"/>
      <c r="H1476" s="14343"/>
      <c r="I1476" s="14367"/>
      <c r="K1476" s="7764"/>
      <c r="L1476" s="7765"/>
      <c r="M1476" s="7765"/>
      <c r="N1476" s="7766"/>
      <c r="O1476" s="7766"/>
      <c r="P1476" s="7767"/>
      <c r="Q1476" s="7768"/>
      <c r="R1476" s="7769"/>
      <c r="S1476" s="7770"/>
      <c r="T1476" s="7771"/>
      <c r="U1476" s="7768"/>
      <c r="V1476" s="7769"/>
      <c r="W1476" s="7771"/>
      <c r="X1476" s="7769"/>
      <c r="Y1476" s="7771"/>
      <c r="Z1476" s="7769"/>
      <c r="AA1476" s="7770"/>
      <c r="AB1476" s="7770"/>
      <c r="AC1476" s="7770"/>
      <c r="AD1476" s="7770"/>
      <c r="AE1476" s="7770"/>
      <c r="AF1476" s="7771"/>
      <c r="AG1476" s="7769"/>
      <c r="AH1476" s="7770"/>
      <c r="AI1476" s="7770"/>
      <c r="AJ1476" s="7770"/>
      <c r="AK1476" s="7770"/>
      <c r="AL1476" s="7770"/>
      <c r="AM1476" s="7770"/>
      <c r="AN1476" s="7771"/>
      <c r="AO1476" s="7769"/>
      <c r="AP1476" s="7770"/>
      <c r="AQ1476" s="7770"/>
      <c r="AR1476" s="7770"/>
      <c r="AS1476" s="7770"/>
      <c r="AT1476" s="7771"/>
      <c r="AU1476" s="7772"/>
      <c r="AV1476" s="7772"/>
      <c r="AW1476" s="7772"/>
      <c r="AX1476" s="7764"/>
      <c r="AY1476" s="7767"/>
      <c r="AZ1476" s="7772"/>
      <c r="BA1476" s="7764"/>
      <c r="BB1476" s="7766"/>
      <c r="BC1476" s="7767"/>
      <c r="BD1476" s="7773"/>
      <c r="BF1476" s="14539"/>
      <c r="BG1476" s="14539"/>
      <c r="BH1476" s="14539"/>
      <c r="BI1476" s="14539"/>
      <c r="BJ1476" s="14539"/>
      <c r="BK1476" s="8030"/>
      <c r="BL1476" s="14539"/>
      <c r="BM1476" s="14539"/>
      <c r="BN1476" s="14539"/>
    </row>
    <row r="1477" spans="1:66" ht="18" hidden="1" customHeight="1">
      <c r="A1477" s="13542">
        <v>924</v>
      </c>
      <c r="B1477" s="14349" t="s">
        <v>8310</v>
      </c>
      <c r="C1477" s="13613"/>
      <c r="D1477" s="12578" t="s">
        <v>4337</v>
      </c>
      <c r="E1477" s="12579" t="s">
        <v>6512</v>
      </c>
      <c r="F1477" s="12579"/>
      <c r="G1477" s="14347" t="s">
        <v>6496</v>
      </c>
      <c r="H1477" s="14337" t="s">
        <v>6510</v>
      </c>
      <c r="I1477" s="14368" t="s">
        <v>6500</v>
      </c>
      <c r="K1477" s="11028"/>
      <c r="L1477" s="11029"/>
      <c r="M1477" s="11029"/>
      <c r="N1477" s="11030"/>
      <c r="O1477" s="11030"/>
      <c r="P1477" s="11031"/>
      <c r="Q1477" s="11032"/>
      <c r="R1477" s="11033"/>
      <c r="S1477" s="11034"/>
      <c r="T1477" s="11035"/>
      <c r="U1477" s="11032"/>
      <c r="V1477" s="11033"/>
      <c r="W1477" s="11035"/>
      <c r="X1477" s="11033"/>
      <c r="Y1477" s="11035"/>
      <c r="Z1477" s="11033"/>
      <c r="AA1477" s="11034"/>
      <c r="AB1477" s="11034"/>
      <c r="AC1477" s="11034"/>
      <c r="AD1477" s="11034"/>
      <c r="AE1477" s="11034"/>
      <c r="AF1477" s="11035"/>
      <c r="AG1477" s="11033"/>
      <c r="AH1477" s="11034"/>
      <c r="AI1477" s="11034"/>
      <c r="AJ1477" s="11034"/>
      <c r="AK1477" s="11034"/>
      <c r="AL1477" s="11034"/>
      <c r="AM1477" s="11034"/>
      <c r="AN1477" s="11035"/>
      <c r="AO1477" s="11033"/>
      <c r="AP1477" s="11034"/>
      <c r="AQ1477" s="11034"/>
      <c r="AR1477" s="11034"/>
      <c r="AS1477" s="11034"/>
      <c r="AT1477" s="11035"/>
      <c r="AU1477" s="11036"/>
      <c r="AV1477" s="11036"/>
      <c r="AW1477" s="11036"/>
      <c r="AX1477" s="11028"/>
      <c r="AY1477" s="11031"/>
      <c r="AZ1477" s="11036"/>
      <c r="BA1477" s="11028"/>
      <c r="BB1477" s="11030"/>
      <c r="BC1477" s="11031"/>
      <c r="BD1477" s="11037"/>
      <c r="BF1477" s="14562"/>
      <c r="BG1477" s="14562"/>
      <c r="BH1477" s="14562"/>
      <c r="BI1477" s="14562"/>
      <c r="BJ1477" s="14562"/>
      <c r="BK1477" s="11108"/>
      <c r="BL1477" s="14562"/>
      <c r="BM1477" s="14562"/>
      <c r="BN1477" s="14562"/>
    </row>
    <row r="1478" spans="1:66" ht="18" hidden="1" customHeight="1">
      <c r="A1478" s="13543"/>
      <c r="B1478" s="14350"/>
      <c r="C1478" s="13613"/>
      <c r="D1478" s="12560" t="s">
        <v>4305</v>
      </c>
      <c r="E1478" s="12580"/>
      <c r="F1478" s="12580"/>
      <c r="G1478" s="14333"/>
      <c r="H1478" s="14338"/>
      <c r="I1478" s="14357"/>
      <c r="K1478" s="11039"/>
      <c r="L1478" s="9593"/>
      <c r="M1478" s="9593"/>
      <c r="N1478" s="11040"/>
      <c r="O1478" s="11040"/>
      <c r="P1478" s="11041"/>
      <c r="Q1478" s="9596"/>
      <c r="R1478" s="9597"/>
      <c r="S1478" s="9598"/>
      <c r="T1478" s="9599"/>
      <c r="U1478" s="9596"/>
      <c r="V1478" s="9597"/>
      <c r="W1478" s="9599"/>
      <c r="X1478" s="9597"/>
      <c r="Y1478" s="9599"/>
      <c r="Z1478" s="9597"/>
      <c r="AA1478" s="9598"/>
      <c r="AB1478" s="9598"/>
      <c r="AC1478" s="9598"/>
      <c r="AD1478" s="9598"/>
      <c r="AE1478" s="9598"/>
      <c r="AF1478" s="9599"/>
      <c r="AG1478" s="9597"/>
      <c r="AH1478" s="9598"/>
      <c r="AI1478" s="9598"/>
      <c r="AJ1478" s="9598"/>
      <c r="AK1478" s="9598"/>
      <c r="AL1478" s="9598"/>
      <c r="AM1478" s="9598"/>
      <c r="AN1478" s="9599"/>
      <c r="AO1478" s="9597"/>
      <c r="AP1478" s="9598"/>
      <c r="AQ1478" s="9598"/>
      <c r="AR1478" s="9598"/>
      <c r="AS1478" s="9598"/>
      <c r="AT1478" s="9599"/>
      <c r="AU1478" s="11042"/>
      <c r="AV1478" s="11042"/>
      <c r="AW1478" s="11042"/>
      <c r="AX1478" s="11039"/>
      <c r="AY1478" s="11041"/>
      <c r="AZ1478" s="11042"/>
      <c r="BA1478" s="11039"/>
      <c r="BB1478" s="11040"/>
      <c r="BC1478" s="11041"/>
      <c r="BD1478" s="11043"/>
      <c r="BF1478" s="14558"/>
      <c r="BG1478" s="14558"/>
      <c r="BH1478" s="14558"/>
      <c r="BI1478" s="14558"/>
      <c r="BJ1478" s="14558"/>
      <c r="BK1478" s="11044"/>
      <c r="BL1478" s="14558"/>
      <c r="BM1478" s="14558"/>
      <c r="BN1478" s="14558"/>
    </row>
    <row r="1479" spans="1:66" ht="18" hidden="1" customHeight="1">
      <c r="A1479" s="13543"/>
      <c r="B1479" s="14350"/>
      <c r="C1479" s="13613"/>
      <c r="D1479" s="12560" t="s">
        <v>329</v>
      </c>
      <c r="E1479" s="12580"/>
      <c r="F1479" s="12580" t="s">
        <v>329</v>
      </c>
      <c r="G1479" s="14333"/>
      <c r="H1479" s="14338"/>
      <c r="I1479" s="14357"/>
      <c r="K1479" s="11039"/>
      <c r="L1479" s="9593"/>
      <c r="M1479" s="9593"/>
      <c r="N1479" s="11040"/>
      <c r="O1479" s="11040"/>
      <c r="P1479" s="11041"/>
      <c r="Q1479" s="9596"/>
      <c r="R1479" s="9597"/>
      <c r="S1479" s="9598"/>
      <c r="T1479" s="9599"/>
      <c r="U1479" s="9596"/>
      <c r="V1479" s="9597"/>
      <c r="W1479" s="9599"/>
      <c r="X1479" s="9597"/>
      <c r="Y1479" s="9599"/>
      <c r="Z1479" s="9597"/>
      <c r="AA1479" s="9598"/>
      <c r="AB1479" s="9598"/>
      <c r="AC1479" s="9598"/>
      <c r="AD1479" s="9598"/>
      <c r="AE1479" s="9598"/>
      <c r="AF1479" s="9599"/>
      <c r="AG1479" s="9597"/>
      <c r="AH1479" s="9598"/>
      <c r="AI1479" s="9598"/>
      <c r="AJ1479" s="9598"/>
      <c r="AK1479" s="9598"/>
      <c r="AL1479" s="9598"/>
      <c r="AM1479" s="9598"/>
      <c r="AN1479" s="9599"/>
      <c r="AO1479" s="9597"/>
      <c r="AP1479" s="9598"/>
      <c r="AQ1479" s="9598"/>
      <c r="AR1479" s="9598"/>
      <c r="AS1479" s="9598"/>
      <c r="AT1479" s="9599"/>
      <c r="AU1479" s="11042"/>
      <c r="AV1479" s="11042"/>
      <c r="AW1479" s="11042"/>
      <c r="AX1479" s="11039"/>
      <c r="AY1479" s="11041"/>
      <c r="AZ1479" s="11042"/>
      <c r="BA1479" s="11039"/>
      <c r="BB1479" s="11040"/>
      <c r="BC1479" s="11041"/>
      <c r="BD1479" s="11043"/>
      <c r="BF1479" s="14558"/>
      <c r="BG1479" s="14558"/>
      <c r="BH1479" s="14558"/>
      <c r="BI1479" s="14558"/>
      <c r="BJ1479" s="14558"/>
      <c r="BK1479" s="11044"/>
      <c r="BL1479" s="14558"/>
      <c r="BM1479" s="14558"/>
      <c r="BN1479" s="14558"/>
    </row>
    <row r="1480" spans="1:66" ht="18" hidden="1" customHeight="1">
      <c r="A1480" s="13543"/>
      <c r="B1480" s="14350"/>
      <c r="C1480" s="13613"/>
      <c r="D1480" s="12560" t="s">
        <v>10304</v>
      </c>
      <c r="E1480" s="12580"/>
      <c r="F1480" s="12580" t="s">
        <v>10304</v>
      </c>
      <c r="G1480" s="14333"/>
      <c r="H1480" s="14338"/>
      <c r="I1480" s="14357"/>
      <c r="K1480" s="11039"/>
      <c r="L1480" s="9593"/>
      <c r="M1480" s="9593"/>
      <c r="N1480" s="11040"/>
      <c r="O1480" s="11040"/>
      <c r="P1480" s="11041"/>
      <c r="Q1480" s="9596"/>
      <c r="R1480" s="9597"/>
      <c r="S1480" s="9598"/>
      <c r="T1480" s="9599"/>
      <c r="U1480" s="9596"/>
      <c r="V1480" s="9597"/>
      <c r="W1480" s="9599"/>
      <c r="X1480" s="9597"/>
      <c r="Y1480" s="9599"/>
      <c r="Z1480" s="9597"/>
      <c r="AA1480" s="9598"/>
      <c r="AB1480" s="9598"/>
      <c r="AC1480" s="9598"/>
      <c r="AD1480" s="9598"/>
      <c r="AE1480" s="9598"/>
      <c r="AF1480" s="9599"/>
      <c r="AG1480" s="9597"/>
      <c r="AH1480" s="9598"/>
      <c r="AI1480" s="9598"/>
      <c r="AJ1480" s="9598"/>
      <c r="AK1480" s="9598"/>
      <c r="AL1480" s="9598"/>
      <c r="AM1480" s="9598"/>
      <c r="AN1480" s="9599"/>
      <c r="AO1480" s="9597"/>
      <c r="AP1480" s="9598"/>
      <c r="AQ1480" s="9598"/>
      <c r="AR1480" s="9598"/>
      <c r="AS1480" s="9598"/>
      <c r="AT1480" s="9599"/>
      <c r="AU1480" s="11042"/>
      <c r="AV1480" s="11042"/>
      <c r="AW1480" s="11042"/>
      <c r="AX1480" s="11039"/>
      <c r="AY1480" s="11041"/>
      <c r="AZ1480" s="11042"/>
      <c r="BA1480" s="11039"/>
      <c r="BB1480" s="11040"/>
      <c r="BC1480" s="11041"/>
      <c r="BD1480" s="11043"/>
      <c r="BF1480" s="14558"/>
      <c r="BG1480" s="14558"/>
      <c r="BH1480" s="14558"/>
      <c r="BI1480" s="14558"/>
      <c r="BJ1480" s="14558"/>
      <c r="BK1480" s="11044"/>
      <c r="BL1480" s="14558"/>
      <c r="BM1480" s="14558"/>
      <c r="BN1480" s="14558"/>
    </row>
    <row r="1481" spans="1:66" ht="18" hidden="1" customHeight="1">
      <c r="A1481" s="13543">
        <v>925</v>
      </c>
      <c r="B1481" s="14350" t="s">
        <v>8311</v>
      </c>
      <c r="C1481" s="13613"/>
      <c r="D1481" s="12560" t="s">
        <v>4305</v>
      </c>
      <c r="E1481" s="12580" t="s">
        <v>1322</v>
      </c>
      <c r="F1481" s="12581"/>
      <c r="G1481" s="14333" t="s">
        <v>6514</v>
      </c>
      <c r="H1481" s="14338" t="s">
        <v>6527</v>
      </c>
      <c r="I1481" s="14357" t="s">
        <v>6517</v>
      </c>
      <c r="K1481" s="11039"/>
      <c r="L1481" s="9593"/>
      <c r="M1481" s="9593"/>
      <c r="N1481" s="11040"/>
      <c r="O1481" s="11040"/>
      <c r="P1481" s="11041"/>
      <c r="Q1481" s="9596"/>
      <c r="R1481" s="9597"/>
      <c r="S1481" s="9598"/>
      <c r="T1481" s="9599"/>
      <c r="U1481" s="9596"/>
      <c r="V1481" s="9597"/>
      <c r="W1481" s="9599"/>
      <c r="X1481" s="9597"/>
      <c r="Y1481" s="9599"/>
      <c r="Z1481" s="9597"/>
      <c r="AA1481" s="9598"/>
      <c r="AB1481" s="9598"/>
      <c r="AC1481" s="9598"/>
      <c r="AD1481" s="9598"/>
      <c r="AE1481" s="9598"/>
      <c r="AF1481" s="9599"/>
      <c r="AG1481" s="9597"/>
      <c r="AH1481" s="9598"/>
      <c r="AI1481" s="9598"/>
      <c r="AJ1481" s="9598"/>
      <c r="AK1481" s="9598"/>
      <c r="AL1481" s="9598"/>
      <c r="AM1481" s="9598"/>
      <c r="AN1481" s="9599"/>
      <c r="AO1481" s="9597"/>
      <c r="AP1481" s="9598"/>
      <c r="AQ1481" s="9598"/>
      <c r="AR1481" s="9598"/>
      <c r="AS1481" s="9598"/>
      <c r="AT1481" s="9599"/>
      <c r="AU1481" s="11042"/>
      <c r="AV1481" s="11042"/>
      <c r="AW1481" s="11042"/>
      <c r="AX1481" s="11039"/>
      <c r="AY1481" s="11041"/>
      <c r="AZ1481" s="11042"/>
      <c r="BA1481" s="11039"/>
      <c r="BB1481" s="11040"/>
      <c r="BC1481" s="11041"/>
      <c r="BD1481" s="11043"/>
      <c r="BF1481" s="14558"/>
      <c r="BG1481" s="14558"/>
      <c r="BH1481" s="14558"/>
      <c r="BI1481" s="14558"/>
      <c r="BJ1481" s="14558"/>
      <c r="BK1481" s="11044"/>
      <c r="BL1481" s="14558"/>
      <c r="BM1481" s="14558"/>
      <c r="BN1481" s="14558"/>
    </row>
    <row r="1482" spans="1:66" ht="18" hidden="1" customHeight="1">
      <c r="A1482" s="13543"/>
      <c r="B1482" s="14350"/>
      <c r="C1482" s="13613"/>
      <c r="D1482" s="12560" t="s">
        <v>329</v>
      </c>
      <c r="E1482" s="12580"/>
      <c r="F1482" s="12580" t="s">
        <v>329</v>
      </c>
      <c r="G1482" s="14333"/>
      <c r="H1482" s="14338"/>
      <c r="I1482" s="14357"/>
      <c r="K1482" s="11039"/>
      <c r="L1482" s="9593"/>
      <c r="M1482" s="9593"/>
      <c r="N1482" s="11040"/>
      <c r="O1482" s="11040"/>
      <c r="P1482" s="11041"/>
      <c r="Q1482" s="9596"/>
      <c r="R1482" s="9597"/>
      <c r="S1482" s="9598"/>
      <c r="T1482" s="9599"/>
      <c r="U1482" s="9596"/>
      <c r="V1482" s="9597"/>
      <c r="W1482" s="9599"/>
      <c r="X1482" s="9597"/>
      <c r="Y1482" s="9599"/>
      <c r="Z1482" s="9597"/>
      <c r="AA1482" s="9598"/>
      <c r="AB1482" s="9598"/>
      <c r="AC1482" s="9598"/>
      <c r="AD1482" s="9598"/>
      <c r="AE1482" s="9598"/>
      <c r="AF1482" s="9599"/>
      <c r="AG1482" s="9597"/>
      <c r="AH1482" s="9598"/>
      <c r="AI1482" s="9598"/>
      <c r="AJ1482" s="9598"/>
      <c r="AK1482" s="9598"/>
      <c r="AL1482" s="9598"/>
      <c r="AM1482" s="9598"/>
      <c r="AN1482" s="9599"/>
      <c r="AO1482" s="9597"/>
      <c r="AP1482" s="9598"/>
      <c r="AQ1482" s="9598"/>
      <c r="AR1482" s="9598"/>
      <c r="AS1482" s="9598"/>
      <c r="AT1482" s="9599"/>
      <c r="AU1482" s="11042"/>
      <c r="AV1482" s="11042"/>
      <c r="AW1482" s="11042"/>
      <c r="AX1482" s="11039"/>
      <c r="AY1482" s="11041"/>
      <c r="AZ1482" s="11042"/>
      <c r="BA1482" s="11039"/>
      <c r="BB1482" s="11040"/>
      <c r="BC1482" s="11041"/>
      <c r="BD1482" s="11043"/>
      <c r="BF1482" s="14558"/>
      <c r="BG1482" s="14558"/>
      <c r="BH1482" s="14558"/>
      <c r="BI1482" s="14558"/>
      <c r="BJ1482" s="14558"/>
      <c r="BK1482" s="11044"/>
      <c r="BL1482" s="14558"/>
      <c r="BM1482" s="14558"/>
      <c r="BN1482" s="14558"/>
    </row>
    <row r="1483" spans="1:66" ht="18" hidden="1" customHeight="1" thickBot="1">
      <c r="A1483" s="13544"/>
      <c r="B1483" s="14351"/>
      <c r="C1483" s="13613"/>
      <c r="D1483" s="12561" t="s">
        <v>10304</v>
      </c>
      <c r="E1483" s="12582"/>
      <c r="F1483" s="12582" t="s">
        <v>10304</v>
      </c>
      <c r="G1483" s="14334"/>
      <c r="H1483" s="14338"/>
      <c r="I1483" s="14358"/>
      <c r="K1483" s="11045"/>
      <c r="L1483" s="9604"/>
      <c r="M1483" s="9604"/>
      <c r="N1483" s="11046"/>
      <c r="O1483" s="11046"/>
      <c r="P1483" s="11047"/>
      <c r="Q1483" s="9607"/>
      <c r="R1483" s="9608"/>
      <c r="S1483" s="9609"/>
      <c r="T1483" s="9610"/>
      <c r="U1483" s="9607"/>
      <c r="V1483" s="9608"/>
      <c r="W1483" s="9610"/>
      <c r="X1483" s="9608"/>
      <c r="Y1483" s="9610"/>
      <c r="Z1483" s="9608"/>
      <c r="AA1483" s="9609"/>
      <c r="AB1483" s="9609"/>
      <c r="AC1483" s="9609"/>
      <c r="AD1483" s="9609"/>
      <c r="AE1483" s="9609"/>
      <c r="AF1483" s="9610"/>
      <c r="AG1483" s="9608"/>
      <c r="AH1483" s="9609"/>
      <c r="AI1483" s="9609"/>
      <c r="AJ1483" s="9609"/>
      <c r="AK1483" s="9609"/>
      <c r="AL1483" s="9609"/>
      <c r="AM1483" s="9609"/>
      <c r="AN1483" s="9610"/>
      <c r="AO1483" s="9608"/>
      <c r="AP1483" s="9609"/>
      <c r="AQ1483" s="9609"/>
      <c r="AR1483" s="9609"/>
      <c r="AS1483" s="9609"/>
      <c r="AT1483" s="9610"/>
      <c r="AU1483" s="11048"/>
      <c r="AV1483" s="11048"/>
      <c r="AW1483" s="11048"/>
      <c r="AX1483" s="11045"/>
      <c r="AY1483" s="11047"/>
      <c r="AZ1483" s="11048"/>
      <c r="BA1483" s="11045"/>
      <c r="BB1483" s="11046"/>
      <c r="BC1483" s="11047"/>
      <c r="BD1483" s="11049"/>
      <c r="BF1483" s="14559"/>
      <c r="BG1483" s="14559"/>
      <c r="BH1483" s="14559"/>
      <c r="BI1483" s="14559"/>
      <c r="BJ1483" s="14559"/>
      <c r="BK1483" s="11050"/>
      <c r="BL1483" s="14559"/>
      <c r="BM1483" s="14559"/>
      <c r="BN1483" s="14559"/>
    </row>
    <row r="1484" spans="1:66" ht="30" hidden="1" customHeight="1">
      <c r="A1484" s="13537">
        <v>926</v>
      </c>
      <c r="B1484" s="13538" t="s">
        <v>8312</v>
      </c>
      <c r="C1484" s="13613"/>
      <c r="D1484" s="12583" t="s">
        <v>4305</v>
      </c>
      <c r="E1484" s="14324" t="s">
        <v>6552</v>
      </c>
      <c r="F1484" s="14326"/>
      <c r="G1484" s="14345" t="s">
        <v>6536</v>
      </c>
      <c r="H1484" s="14354" t="s">
        <v>6550</v>
      </c>
      <c r="I1484" s="14359" t="s">
        <v>6540</v>
      </c>
      <c r="K1484" s="11109"/>
      <c r="L1484" s="11110"/>
      <c r="M1484" s="11110"/>
      <c r="N1484" s="11111"/>
      <c r="O1484" s="11111"/>
      <c r="P1484" s="11112"/>
      <c r="Q1484" s="11113"/>
      <c r="R1484" s="11114"/>
      <c r="S1484" s="11115"/>
      <c r="T1484" s="11116"/>
      <c r="U1484" s="11113"/>
      <c r="V1484" s="11114"/>
      <c r="W1484" s="11116"/>
      <c r="X1484" s="11114"/>
      <c r="Y1484" s="11116"/>
      <c r="Z1484" s="11114"/>
      <c r="AA1484" s="11115"/>
      <c r="AB1484" s="11115"/>
      <c r="AC1484" s="11115"/>
      <c r="AD1484" s="11115"/>
      <c r="AE1484" s="11115"/>
      <c r="AF1484" s="11116"/>
      <c r="AG1484" s="11114"/>
      <c r="AH1484" s="11115"/>
      <c r="AI1484" s="11115"/>
      <c r="AJ1484" s="11115"/>
      <c r="AK1484" s="11115"/>
      <c r="AL1484" s="11115"/>
      <c r="AM1484" s="11115"/>
      <c r="AN1484" s="11116"/>
      <c r="AO1484" s="11114"/>
      <c r="AP1484" s="11115"/>
      <c r="AQ1484" s="11115"/>
      <c r="AR1484" s="11115"/>
      <c r="AS1484" s="11115"/>
      <c r="AT1484" s="11116"/>
      <c r="AU1484" s="11117"/>
      <c r="AV1484" s="11117"/>
      <c r="AW1484" s="11117"/>
      <c r="AX1484" s="11109"/>
      <c r="AY1484" s="11112"/>
      <c r="AZ1484" s="11117"/>
      <c r="BA1484" s="11109"/>
      <c r="BB1484" s="11111"/>
      <c r="BC1484" s="11112"/>
      <c r="BD1484" s="11118"/>
      <c r="BF1484" s="14563"/>
      <c r="BG1484" s="14563"/>
      <c r="BH1484" s="14563"/>
      <c r="BI1484" s="14563"/>
      <c r="BJ1484" s="14563"/>
      <c r="BK1484" s="11119"/>
      <c r="BL1484" s="14563"/>
      <c r="BM1484" s="14563"/>
      <c r="BN1484" s="14563"/>
    </row>
    <row r="1485" spans="1:66" ht="30" hidden="1" customHeight="1">
      <c r="A1485" s="13524"/>
      <c r="B1485" s="13539"/>
      <c r="C1485" s="13613"/>
      <c r="D1485" s="12584" t="s">
        <v>10063</v>
      </c>
      <c r="E1485" s="14325"/>
      <c r="F1485" s="14327"/>
      <c r="G1485" s="14346"/>
      <c r="H1485" s="14354"/>
      <c r="I1485" s="14360"/>
      <c r="K1485" s="11120"/>
      <c r="L1485" s="11121"/>
      <c r="M1485" s="11121"/>
      <c r="N1485" s="11122"/>
      <c r="O1485" s="11122"/>
      <c r="P1485" s="11123"/>
      <c r="Q1485" s="11124"/>
      <c r="R1485" s="11125"/>
      <c r="S1485" s="11126"/>
      <c r="T1485" s="11127"/>
      <c r="U1485" s="11124"/>
      <c r="V1485" s="11125"/>
      <c r="W1485" s="11127"/>
      <c r="X1485" s="11125"/>
      <c r="Y1485" s="11127"/>
      <c r="Z1485" s="11125"/>
      <c r="AA1485" s="11126"/>
      <c r="AB1485" s="11126"/>
      <c r="AC1485" s="11126"/>
      <c r="AD1485" s="11126"/>
      <c r="AE1485" s="11126"/>
      <c r="AF1485" s="11127"/>
      <c r="AG1485" s="11125"/>
      <c r="AH1485" s="11126"/>
      <c r="AI1485" s="11126"/>
      <c r="AJ1485" s="11126"/>
      <c r="AK1485" s="11126"/>
      <c r="AL1485" s="11126"/>
      <c r="AM1485" s="11126"/>
      <c r="AN1485" s="11127"/>
      <c r="AO1485" s="11125"/>
      <c r="AP1485" s="11126"/>
      <c r="AQ1485" s="11126"/>
      <c r="AR1485" s="11126"/>
      <c r="AS1485" s="11126"/>
      <c r="AT1485" s="11127"/>
      <c r="AU1485" s="11128"/>
      <c r="AV1485" s="11128"/>
      <c r="AW1485" s="11128"/>
      <c r="AX1485" s="11120"/>
      <c r="AY1485" s="11123"/>
      <c r="AZ1485" s="11128"/>
      <c r="BA1485" s="11120"/>
      <c r="BB1485" s="11122"/>
      <c r="BC1485" s="11123"/>
      <c r="BD1485" s="11129"/>
      <c r="BF1485" s="14564"/>
      <c r="BG1485" s="14564"/>
      <c r="BH1485" s="14564"/>
      <c r="BI1485" s="14564"/>
      <c r="BJ1485" s="14564"/>
      <c r="BK1485" s="11130"/>
      <c r="BL1485" s="14564"/>
      <c r="BM1485" s="14564"/>
      <c r="BN1485" s="14564"/>
    </row>
    <row r="1486" spans="1:66" ht="30" hidden="1" customHeight="1">
      <c r="A1486" s="13524"/>
      <c r="B1486" s="13539"/>
      <c r="C1486" s="13613"/>
      <c r="D1486" s="12584" t="s">
        <v>10070</v>
      </c>
      <c r="E1486" s="14325"/>
      <c r="F1486" s="14327"/>
      <c r="G1486" s="14346"/>
      <c r="H1486" s="14354"/>
      <c r="I1486" s="14360"/>
      <c r="K1486" s="11120"/>
      <c r="L1486" s="11121"/>
      <c r="M1486" s="11121"/>
      <c r="N1486" s="11122"/>
      <c r="O1486" s="11122"/>
      <c r="P1486" s="11123"/>
      <c r="Q1486" s="11124"/>
      <c r="R1486" s="11125"/>
      <c r="S1486" s="11126"/>
      <c r="T1486" s="11127"/>
      <c r="U1486" s="11124"/>
      <c r="V1486" s="11125"/>
      <c r="W1486" s="11127"/>
      <c r="X1486" s="11125"/>
      <c r="Y1486" s="11127"/>
      <c r="Z1486" s="11125"/>
      <c r="AA1486" s="11126"/>
      <c r="AB1486" s="11126"/>
      <c r="AC1486" s="11126"/>
      <c r="AD1486" s="11126"/>
      <c r="AE1486" s="11126"/>
      <c r="AF1486" s="11127"/>
      <c r="AG1486" s="11125"/>
      <c r="AH1486" s="11126"/>
      <c r="AI1486" s="11126"/>
      <c r="AJ1486" s="11126"/>
      <c r="AK1486" s="11126"/>
      <c r="AL1486" s="11126"/>
      <c r="AM1486" s="11126"/>
      <c r="AN1486" s="11127"/>
      <c r="AO1486" s="11125"/>
      <c r="AP1486" s="11126"/>
      <c r="AQ1486" s="11126"/>
      <c r="AR1486" s="11126"/>
      <c r="AS1486" s="11126"/>
      <c r="AT1486" s="11127"/>
      <c r="AU1486" s="11128"/>
      <c r="AV1486" s="11128"/>
      <c r="AW1486" s="11128"/>
      <c r="AX1486" s="11120"/>
      <c r="AY1486" s="11123"/>
      <c r="AZ1486" s="11128"/>
      <c r="BA1486" s="11120"/>
      <c r="BB1486" s="11122"/>
      <c r="BC1486" s="11123"/>
      <c r="BD1486" s="11129"/>
      <c r="BF1486" s="14564"/>
      <c r="BG1486" s="14564"/>
      <c r="BH1486" s="14564"/>
      <c r="BI1486" s="14564"/>
      <c r="BJ1486" s="14564"/>
      <c r="BK1486" s="11130"/>
      <c r="BL1486" s="14564"/>
      <c r="BM1486" s="14564"/>
      <c r="BN1486" s="14564"/>
    </row>
    <row r="1487" spans="1:66" ht="30" hidden="1" customHeight="1" thickBot="1">
      <c r="A1487" s="11131">
        <v>927</v>
      </c>
      <c r="B1487" s="11132"/>
      <c r="C1487" s="13613"/>
      <c r="D1487" s="12585" t="s">
        <v>4305</v>
      </c>
      <c r="E1487" s="12586" t="s">
        <v>6572</v>
      </c>
      <c r="F1487" s="12586" t="s">
        <v>6573</v>
      </c>
      <c r="G1487" s="12587" t="s">
        <v>6556</v>
      </c>
      <c r="H1487" s="12588" t="s">
        <v>6570</v>
      </c>
      <c r="I1487" s="12589" t="s">
        <v>6560</v>
      </c>
      <c r="K1487" s="11135"/>
      <c r="L1487" s="11136"/>
      <c r="M1487" s="11136"/>
      <c r="N1487" s="11137"/>
      <c r="O1487" s="11137"/>
      <c r="P1487" s="11138"/>
      <c r="Q1487" s="11139"/>
      <c r="R1487" s="11140"/>
      <c r="S1487" s="11141"/>
      <c r="T1487" s="11142"/>
      <c r="U1487" s="11139"/>
      <c r="V1487" s="11140"/>
      <c r="W1487" s="11142"/>
      <c r="X1487" s="11140"/>
      <c r="Y1487" s="11142"/>
      <c r="Z1487" s="11140"/>
      <c r="AA1487" s="11141"/>
      <c r="AB1487" s="11141"/>
      <c r="AC1487" s="11141"/>
      <c r="AD1487" s="11141"/>
      <c r="AE1487" s="11141"/>
      <c r="AF1487" s="11142"/>
      <c r="AG1487" s="11140"/>
      <c r="AH1487" s="11141"/>
      <c r="AI1487" s="11141"/>
      <c r="AJ1487" s="11141"/>
      <c r="AK1487" s="11141"/>
      <c r="AL1487" s="11141"/>
      <c r="AM1487" s="11141"/>
      <c r="AN1487" s="11142"/>
      <c r="AO1487" s="11140"/>
      <c r="AP1487" s="11141"/>
      <c r="AQ1487" s="11141"/>
      <c r="AR1487" s="11141"/>
      <c r="AS1487" s="11141"/>
      <c r="AT1487" s="11142"/>
      <c r="AU1487" s="11143"/>
      <c r="AV1487" s="11143"/>
      <c r="AW1487" s="11143"/>
      <c r="AX1487" s="11135"/>
      <c r="AY1487" s="11138"/>
      <c r="AZ1487" s="11143"/>
      <c r="BA1487" s="11135"/>
      <c r="BB1487" s="11137"/>
      <c r="BC1487" s="11138"/>
      <c r="BD1487" s="11144"/>
      <c r="BF1487" s="11134"/>
      <c r="BG1487" s="11134"/>
      <c r="BH1487" s="11134"/>
      <c r="BI1487" s="11134"/>
      <c r="BJ1487" s="11134"/>
      <c r="BK1487" s="11134"/>
      <c r="BL1487" s="11134"/>
      <c r="BM1487" s="11134"/>
      <c r="BN1487" s="11134"/>
    </row>
    <row r="1488" spans="1:66" ht="30" hidden="1" customHeight="1">
      <c r="A1488" s="11145">
        <v>928</v>
      </c>
      <c r="B1488" s="11146" t="s">
        <v>8313</v>
      </c>
      <c r="C1488" s="13613"/>
      <c r="D1488" s="12590" t="s">
        <v>4305</v>
      </c>
      <c r="E1488" s="12591" t="s">
        <v>6595</v>
      </c>
      <c r="F1488" s="12592" t="s">
        <v>6596</v>
      </c>
      <c r="G1488" s="12593" t="s">
        <v>6579</v>
      </c>
      <c r="H1488" s="12594" t="s">
        <v>6593</v>
      </c>
      <c r="I1488" s="12595" t="s">
        <v>6583</v>
      </c>
      <c r="K1488" s="11147"/>
      <c r="L1488" s="11149"/>
      <c r="M1488" s="11149"/>
      <c r="N1488" s="11150"/>
      <c r="O1488" s="11150"/>
      <c r="P1488" s="11151"/>
      <c r="Q1488" s="11152"/>
      <c r="R1488" s="11153"/>
      <c r="S1488" s="11154"/>
      <c r="T1488" s="11155"/>
      <c r="U1488" s="11152"/>
      <c r="V1488" s="11153"/>
      <c r="W1488" s="11155"/>
      <c r="X1488" s="11153"/>
      <c r="Y1488" s="11155"/>
      <c r="Z1488" s="11153"/>
      <c r="AA1488" s="11154"/>
      <c r="AB1488" s="11154"/>
      <c r="AC1488" s="11154"/>
      <c r="AD1488" s="11154"/>
      <c r="AE1488" s="11154"/>
      <c r="AF1488" s="11155"/>
      <c r="AG1488" s="11153"/>
      <c r="AH1488" s="11154"/>
      <c r="AI1488" s="11154"/>
      <c r="AJ1488" s="11154"/>
      <c r="AK1488" s="11154"/>
      <c r="AL1488" s="11154"/>
      <c r="AM1488" s="11154"/>
      <c r="AN1488" s="11155"/>
      <c r="AO1488" s="11153"/>
      <c r="AP1488" s="11154"/>
      <c r="AQ1488" s="11154"/>
      <c r="AR1488" s="11154"/>
      <c r="AS1488" s="11154"/>
      <c r="AT1488" s="11155"/>
      <c r="AU1488" s="11156"/>
      <c r="AV1488" s="11156"/>
      <c r="AW1488" s="11156"/>
      <c r="AX1488" s="11147"/>
      <c r="AY1488" s="11151"/>
      <c r="AZ1488" s="11156"/>
      <c r="BA1488" s="11147"/>
      <c r="BB1488" s="11150"/>
      <c r="BC1488" s="11151"/>
      <c r="BD1488" s="11157"/>
      <c r="BF1488" s="11148"/>
      <c r="BG1488" s="11148"/>
      <c r="BH1488" s="11148"/>
      <c r="BI1488" s="11148"/>
      <c r="BJ1488" s="11148"/>
      <c r="BK1488" s="11148"/>
      <c r="BL1488" s="11148"/>
      <c r="BM1488" s="11148"/>
      <c r="BN1488" s="11148"/>
    </row>
    <row r="1489" spans="1:66" ht="30" hidden="1" customHeight="1">
      <c r="A1489" s="11158">
        <v>929</v>
      </c>
      <c r="B1489" s="11159" t="s">
        <v>8314</v>
      </c>
      <c r="C1489" s="13613"/>
      <c r="D1489" s="12596" t="s">
        <v>4305</v>
      </c>
      <c r="E1489" s="12597" t="s">
        <v>6614</v>
      </c>
      <c r="F1489" s="12598"/>
      <c r="G1489" s="12599" t="s">
        <v>6598</v>
      </c>
      <c r="H1489" s="12600" t="s">
        <v>6612</v>
      </c>
      <c r="I1489" s="12601" t="s">
        <v>6602</v>
      </c>
      <c r="K1489" s="11160"/>
      <c r="L1489" s="11162"/>
      <c r="M1489" s="11162"/>
      <c r="N1489" s="11163"/>
      <c r="O1489" s="11163"/>
      <c r="P1489" s="11164"/>
      <c r="Q1489" s="11165"/>
      <c r="R1489" s="11166"/>
      <c r="S1489" s="11167"/>
      <c r="T1489" s="11168"/>
      <c r="U1489" s="11165"/>
      <c r="V1489" s="11166"/>
      <c r="W1489" s="11168"/>
      <c r="X1489" s="11166"/>
      <c r="Y1489" s="11168"/>
      <c r="Z1489" s="11166"/>
      <c r="AA1489" s="11167"/>
      <c r="AB1489" s="11167"/>
      <c r="AC1489" s="11167"/>
      <c r="AD1489" s="11167"/>
      <c r="AE1489" s="11167"/>
      <c r="AF1489" s="11168"/>
      <c r="AG1489" s="11166"/>
      <c r="AH1489" s="11167"/>
      <c r="AI1489" s="11167"/>
      <c r="AJ1489" s="11167"/>
      <c r="AK1489" s="11167"/>
      <c r="AL1489" s="11167"/>
      <c r="AM1489" s="11167"/>
      <c r="AN1489" s="11168"/>
      <c r="AO1489" s="11166"/>
      <c r="AP1489" s="11167"/>
      <c r="AQ1489" s="11167"/>
      <c r="AR1489" s="11167"/>
      <c r="AS1489" s="11167"/>
      <c r="AT1489" s="11168"/>
      <c r="AU1489" s="11169"/>
      <c r="AV1489" s="11169"/>
      <c r="AW1489" s="11169"/>
      <c r="AX1489" s="11160"/>
      <c r="AY1489" s="11164"/>
      <c r="AZ1489" s="11169"/>
      <c r="BA1489" s="11160"/>
      <c r="BB1489" s="11163"/>
      <c r="BC1489" s="11164"/>
      <c r="BD1489" s="11170"/>
      <c r="BF1489" s="11161"/>
      <c r="BG1489" s="11161"/>
      <c r="BH1489" s="11161"/>
      <c r="BI1489" s="11161"/>
      <c r="BJ1489" s="11161"/>
      <c r="BK1489" s="11161"/>
      <c r="BL1489" s="11161"/>
      <c r="BM1489" s="11161"/>
      <c r="BN1489" s="11161"/>
    </row>
    <row r="1490" spans="1:66" ht="30" hidden="1" customHeight="1" thickBot="1">
      <c r="A1490" s="11171">
        <v>930</v>
      </c>
      <c r="B1490" s="11172" t="s">
        <v>8315</v>
      </c>
      <c r="C1490" s="13613"/>
      <c r="D1490" s="12602" t="s">
        <v>4305</v>
      </c>
      <c r="E1490" s="12603" t="s">
        <v>6632</v>
      </c>
      <c r="F1490" s="12604"/>
      <c r="G1490" s="12605" t="s">
        <v>6616</v>
      </c>
      <c r="H1490" s="12606" t="s">
        <v>6630</v>
      </c>
      <c r="I1490" s="12607" t="s">
        <v>6620</v>
      </c>
      <c r="K1490" s="11173"/>
      <c r="L1490" s="11175"/>
      <c r="M1490" s="11175"/>
      <c r="N1490" s="11176"/>
      <c r="O1490" s="11176"/>
      <c r="P1490" s="11177"/>
      <c r="Q1490" s="11178"/>
      <c r="R1490" s="11179"/>
      <c r="S1490" s="11180"/>
      <c r="T1490" s="11181"/>
      <c r="U1490" s="11178"/>
      <c r="V1490" s="11179"/>
      <c r="W1490" s="11181"/>
      <c r="X1490" s="11179"/>
      <c r="Y1490" s="11181"/>
      <c r="Z1490" s="11179"/>
      <c r="AA1490" s="11180"/>
      <c r="AB1490" s="11180"/>
      <c r="AC1490" s="11180"/>
      <c r="AD1490" s="11180"/>
      <c r="AE1490" s="11180"/>
      <c r="AF1490" s="11181"/>
      <c r="AG1490" s="11179"/>
      <c r="AH1490" s="11180"/>
      <c r="AI1490" s="11180"/>
      <c r="AJ1490" s="11180"/>
      <c r="AK1490" s="11180"/>
      <c r="AL1490" s="11180"/>
      <c r="AM1490" s="11180"/>
      <c r="AN1490" s="11181"/>
      <c r="AO1490" s="11179"/>
      <c r="AP1490" s="11180"/>
      <c r="AQ1490" s="11180"/>
      <c r="AR1490" s="11180"/>
      <c r="AS1490" s="11180"/>
      <c r="AT1490" s="11181"/>
      <c r="AU1490" s="11182"/>
      <c r="AV1490" s="11182"/>
      <c r="AW1490" s="11182"/>
      <c r="AX1490" s="11173"/>
      <c r="AY1490" s="11177"/>
      <c r="AZ1490" s="11182"/>
      <c r="BA1490" s="11173"/>
      <c r="BB1490" s="11176"/>
      <c r="BC1490" s="11177"/>
      <c r="BD1490" s="11183"/>
      <c r="BF1490" s="11174"/>
      <c r="BG1490" s="11174"/>
      <c r="BH1490" s="11174"/>
      <c r="BI1490" s="11174"/>
      <c r="BJ1490" s="11174"/>
      <c r="BK1490" s="11174"/>
      <c r="BL1490" s="11174"/>
      <c r="BM1490" s="11174"/>
      <c r="BN1490" s="11174"/>
    </row>
    <row r="1491" spans="1:66" ht="30" hidden="1" customHeight="1">
      <c r="A1491" s="11184">
        <v>931</v>
      </c>
      <c r="B1491" s="11185" t="s">
        <v>8316</v>
      </c>
      <c r="C1491" s="13613"/>
      <c r="D1491" s="12608" t="s">
        <v>10194</v>
      </c>
      <c r="E1491" s="12609"/>
      <c r="F1491" s="12609" t="s">
        <v>6653</v>
      </c>
      <c r="G1491" s="12610" t="s">
        <v>6638</v>
      </c>
      <c r="H1491" s="12611" t="s">
        <v>6652</v>
      </c>
      <c r="I1491" s="12612" t="s">
        <v>6642</v>
      </c>
      <c r="K1491" s="11186"/>
      <c r="L1491" s="11188"/>
      <c r="M1491" s="11188"/>
      <c r="N1491" s="11189"/>
      <c r="O1491" s="11189"/>
      <c r="P1491" s="11190"/>
      <c r="Q1491" s="11191"/>
      <c r="R1491" s="11192"/>
      <c r="S1491" s="11193"/>
      <c r="T1491" s="11194"/>
      <c r="U1491" s="11191"/>
      <c r="V1491" s="11192"/>
      <c r="W1491" s="11194"/>
      <c r="X1491" s="11192"/>
      <c r="Y1491" s="11194"/>
      <c r="Z1491" s="11192"/>
      <c r="AA1491" s="11193"/>
      <c r="AB1491" s="11193"/>
      <c r="AC1491" s="11193"/>
      <c r="AD1491" s="11193"/>
      <c r="AE1491" s="11193"/>
      <c r="AF1491" s="11194"/>
      <c r="AG1491" s="11192"/>
      <c r="AH1491" s="11193"/>
      <c r="AI1491" s="11193"/>
      <c r="AJ1491" s="11193"/>
      <c r="AK1491" s="11193"/>
      <c r="AL1491" s="11193"/>
      <c r="AM1491" s="11193"/>
      <c r="AN1491" s="11194"/>
      <c r="AO1491" s="11192"/>
      <c r="AP1491" s="11193"/>
      <c r="AQ1491" s="11193"/>
      <c r="AR1491" s="11193"/>
      <c r="AS1491" s="11193"/>
      <c r="AT1491" s="11194"/>
      <c r="AU1491" s="11195"/>
      <c r="AV1491" s="11195"/>
      <c r="AW1491" s="11195"/>
      <c r="AX1491" s="11186"/>
      <c r="AY1491" s="11190"/>
      <c r="AZ1491" s="11195"/>
      <c r="BA1491" s="11186"/>
      <c r="BB1491" s="11189"/>
      <c r="BC1491" s="11190"/>
      <c r="BD1491" s="11196"/>
      <c r="BF1491" s="11187"/>
      <c r="BG1491" s="11187"/>
      <c r="BH1491" s="11187"/>
      <c r="BI1491" s="11187"/>
      <c r="BJ1491" s="11187"/>
      <c r="BK1491" s="11187"/>
      <c r="BL1491" s="11187"/>
      <c r="BM1491" s="11187"/>
      <c r="BN1491" s="11187"/>
    </row>
    <row r="1492" spans="1:66" ht="30" hidden="1" customHeight="1">
      <c r="A1492" s="13523">
        <v>932</v>
      </c>
      <c r="B1492" s="14370" t="s">
        <v>8317</v>
      </c>
      <c r="C1492" s="13613"/>
      <c r="D1492" s="12613" t="s">
        <v>2896</v>
      </c>
      <c r="E1492" s="12614" t="s">
        <v>163</v>
      </c>
      <c r="F1492" s="12614"/>
      <c r="G1492" s="14371" t="s">
        <v>6655</v>
      </c>
      <c r="H1492" s="14355" t="s">
        <v>6668</v>
      </c>
      <c r="I1492" s="14361" t="s">
        <v>6658</v>
      </c>
      <c r="K1492" s="11197"/>
      <c r="L1492" s="11198"/>
      <c r="M1492" s="11198"/>
      <c r="N1492" s="11199"/>
      <c r="O1492" s="11199"/>
      <c r="P1492" s="11200"/>
      <c r="Q1492" s="11201"/>
      <c r="R1492" s="11202"/>
      <c r="S1492" s="11203"/>
      <c r="T1492" s="11204"/>
      <c r="U1492" s="11201"/>
      <c r="V1492" s="11202"/>
      <c r="W1492" s="11204"/>
      <c r="X1492" s="11202"/>
      <c r="Y1492" s="11204"/>
      <c r="Z1492" s="11202"/>
      <c r="AA1492" s="11203"/>
      <c r="AB1492" s="11203"/>
      <c r="AC1492" s="11203"/>
      <c r="AD1492" s="11203"/>
      <c r="AE1492" s="11203"/>
      <c r="AF1492" s="11204"/>
      <c r="AG1492" s="11202"/>
      <c r="AH1492" s="11203"/>
      <c r="AI1492" s="11203"/>
      <c r="AJ1492" s="11203"/>
      <c r="AK1492" s="11203"/>
      <c r="AL1492" s="11203"/>
      <c r="AM1492" s="11203"/>
      <c r="AN1492" s="11204"/>
      <c r="AO1492" s="11202"/>
      <c r="AP1492" s="11203"/>
      <c r="AQ1492" s="11203"/>
      <c r="AR1492" s="11203"/>
      <c r="AS1492" s="11203"/>
      <c r="AT1492" s="11204"/>
      <c r="AU1492" s="11205"/>
      <c r="AV1492" s="11205"/>
      <c r="AW1492" s="11205"/>
      <c r="AX1492" s="11197"/>
      <c r="AY1492" s="11200"/>
      <c r="AZ1492" s="11205"/>
      <c r="BA1492" s="11197"/>
      <c r="BB1492" s="11199"/>
      <c r="BC1492" s="11200"/>
      <c r="BD1492" s="11206"/>
      <c r="BF1492" s="14565"/>
      <c r="BG1492" s="14565"/>
      <c r="BH1492" s="14565"/>
      <c r="BI1492" s="14565"/>
      <c r="BJ1492" s="14565"/>
      <c r="BK1492" s="11207"/>
      <c r="BL1492" s="14565"/>
      <c r="BM1492" s="14565"/>
      <c r="BN1492" s="14565"/>
    </row>
    <row r="1493" spans="1:66" ht="30" hidden="1" customHeight="1">
      <c r="A1493" s="13523"/>
      <c r="B1493" s="14370"/>
      <c r="C1493" s="13613"/>
      <c r="D1493" s="12613" t="s">
        <v>10194</v>
      </c>
      <c r="E1493" s="12614"/>
      <c r="F1493" s="12614" t="s">
        <v>6670</v>
      </c>
      <c r="G1493" s="14371"/>
      <c r="H1493" s="14355"/>
      <c r="I1493" s="14361"/>
      <c r="K1493" s="11197"/>
      <c r="L1493" s="11198"/>
      <c r="M1493" s="11198"/>
      <c r="N1493" s="11199"/>
      <c r="O1493" s="11199"/>
      <c r="P1493" s="11200"/>
      <c r="Q1493" s="11201"/>
      <c r="R1493" s="11202"/>
      <c r="S1493" s="11203"/>
      <c r="T1493" s="11204"/>
      <c r="U1493" s="11201"/>
      <c r="V1493" s="11202"/>
      <c r="W1493" s="11204"/>
      <c r="X1493" s="11202"/>
      <c r="Y1493" s="11204"/>
      <c r="Z1493" s="11202"/>
      <c r="AA1493" s="11203"/>
      <c r="AB1493" s="11203"/>
      <c r="AC1493" s="11203"/>
      <c r="AD1493" s="11203"/>
      <c r="AE1493" s="11203"/>
      <c r="AF1493" s="11204"/>
      <c r="AG1493" s="11202"/>
      <c r="AH1493" s="11203"/>
      <c r="AI1493" s="11203"/>
      <c r="AJ1493" s="11203"/>
      <c r="AK1493" s="11203"/>
      <c r="AL1493" s="11203"/>
      <c r="AM1493" s="11203"/>
      <c r="AN1493" s="11204"/>
      <c r="AO1493" s="11202"/>
      <c r="AP1493" s="11203"/>
      <c r="AQ1493" s="11203"/>
      <c r="AR1493" s="11203"/>
      <c r="AS1493" s="11203"/>
      <c r="AT1493" s="11204"/>
      <c r="AU1493" s="11205"/>
      <c r="AV1493" s="11205"/>
      <c r="AW1493" s="11205"/>
      <c r="AX1493" s="11197"/>
      <c r="AY1493" s="11200"/>
      <c r="AZ1493" s="11205"/>
      <c r="BA1493" s="11197"/>
      <c r="BB1493" s="11199"/>
      <c r="BC1493" s="11200"/>
      <c r="BD1493" s="11206"/>
      <c r="BF1493" s="14565"/>
      <c r="BG1493" s="14565"/>
      <c r="BH1493" s="14565"/>
      <c r="BI1493" s="14565"/>
      <c r="BJ1493" s="14565"/>
      <c r="BK1493" s="11207"/>
      <c r="BL1493" s="14565"/>
      <c r="BM1493" s="14565"/>
      <c r="BN1493" s="14565"/>
    </row>
    <row r="1494" spans="1:66" ht="30" hidden="1" customHeight="1">
      <c r="A1494" s="13523">
        <v>933</v>
      </c>
      <c r="B1494" s="14370" t="s">
        <v>8318</v>
      </c>
      <c r="C1494" s="13613"/>
      <c r="D1494" s="12613" t="s">
        <v>2896</v>
      </c>
      <c r="E1494" s="14369" t="s">
        <v>6686</v>
      </c>
      <c r="F1494" s="12614"/>
      <c r="G1494" s="14371" t="s">
        <v>6671</v>
      </c>
      <c r="H1494" s="14355" t="s">
        <v>6685</v>
      </c>
      <c r="I1494" s="14362" t="s">
        <v>6675</v>
      </c>
      <c r="K1494" s="11208"/>
      <c r="L1494" s="11209"/>
      <c r="M1494" s="11209"/>
      <c r="N1494" s="11210"/>
      <c r="O1494" s="11210"/>
      <c r="P1494" s="11211"/>
      <c r="Q1494" s="11212"/>
      <c r="R1494" s="11213"/>
      <c r="S1494" s="11214"/>
      <c r="T1494" s="11215"/>
      <c r="U1494" s="11212"/>
      <c r="V1494" s="11213"/>
      <c r="W1494" s="11215"/>
      <c r="X1494" s="11213"/>
      <c r="Y1494" s="11215"/>
      <c r="Z1494" s="11213"/>
      <c r="AA1494" s="11214"/>
      <c r="AB1494" s="11214"/>
      <c r="AC1494" s="11214"/>
      <c r="AD1494" s="11214"/>
      <c r="AE1494" s="11214"/>
      <c r="AF1494" s="11215"/>
      <c r="AG1494" s="11213"/>
      <c r="AH1494" s="11214"/>
      <c r="AI1494" s="11214"/>
      <c r="AJ1494" s="11214"/>
      <c r="AK1494" s="11214"/>
      <c r="AL1494" s="11214"/>
      <c r="AM1494" s="11214"/>
      <c r="AN1494" s="11215"/>
      <c r="AO1494" s="11213"/>
      <c r="AP1494" s="11214"/>
      <c r="AQ1494" s="11214"/>
      <c r="AR1494" s="11214"/>
      <c r="AS1494" s="11214"/>
      <c r="AT1494" s="11215"/>
      <c r="AU1494" s="11216"/>
      <c r="AV1494" s="11216"/>
      <c r="AW1494" s="11216"/>
      <c r="AX1494" s="11208"/>
      <c r="AY1494" s="11211"/>
      <c r="AZ1494" s="11216"/>
      <c r="BA1494" s="11208"/>
      <c r="BB1494" s="11210"/>
      <c r="BC1494" s="11211"/>
      <c r="BD1494" s="11217"/>
      <c r="BF1494" s="14565"/>
      <c r="BG1494" s="14565"/>
      <c r="BH1494" s="14565"/>
      <c r="BI1494" s="14565"/>
      <c r="BJ1494" s="14565"/>
      <c r="BK1494" s="11207"/>
      <c r="BL1494" s="14565"/>
      <c r="BM1494" s="14565"/>
      <c r="BN1494" s="14565"/>
    </row>
    <row r="1495" spans="1:66" ht="30" hidden="1" customHeight="1">
      <c r="A1495" s="13523"/>
      <c r="B1495" s="14370"/>
      <c r="C1495" s="13613"/>
      <c r="D1495" s="12613" t="s">
        <v>10063</v>
      </c>
      <c r="E1495" s="14369"/>
      <c r="F1495" s="12614"/>
      <c r="G1495" s="14371"/>
      <c r="H1495" s="14355"/>
      <c r="I1495" s="14362"/>
      <c r="K1495" s="11208"/>
      <c r="L1495" s="11209"/>
      <c r="M1495" s="11209"/>
      <c r="N1495" s="11210"/>
      <c r="O1495" s="11210"/>
      <c r="P1495" s="11211"/>
      <c r="Q1495" s="11212"/>
      <c r="R1495" s="11213"/>
      <c r="S1495" s="11214"/>
      <c r="T1495" s="11215"/>
      <c r="U1495" s="11212"/>
      <c r="V1495" s="11213"/>
      <c r="W1495" s="11215"/>
      <c r="X1495" s="11213"/>
      <c r="Y1495" s="11215"/>
      <c r="Z1495" s="11213"/>
      <c r="AA1495" s="11214"/>
      <c r="AB1495" s="11214"/>
      <c r="AC1495" s="11214"/>
      <c r="AD1495" s="11214"/>
      <c r="AE1495" s="11214"/>
      <c r="AF1495" s="11215"/>
      <c r="AG1495" s="11213"/>
      <c r="AH1495" s="11214"/>
      <c r="AI1495" s="11214"/>
      <c r="AJ1495" s="11214"/>
      <c r="AK1495" s="11214"/>
      <c r="AL1495" s="11214"/>
      <c r="AM1495" s="11214"/>
      <c r="AN1495" s="11215"/>
      <c r="AO1495" s="11213"/>
      <c r="AP1495" s="11214"/>
      <c r="AQ1495" s="11214"/>
      <c r="AR1495" s="11214"/>
      <c r="AS1495" s="11214"/>
      <c r="AT1495" s="11215"/>
      <c r="AU1495" s="11216"/>
      <c r="AV1495" s="11216"/>
      <c r="AW1495" s="11216"/>
      <c r="AX1495" s="11208"/>
      <c r="AY1495" s="11211"/>
      <c r="AZ1495" s="11216"/>
      <c r="BA1495" s="11208"/>
      <c r="BB1495" s="11210"/>
      <c r="BC1495" s="11211"/>
      <c r="BD1495" s="11217"/>
      <c r="BF1495" s="14565"/>
      <c r="BG1495" s="14565"/>
      <c r="BH1495" s="14565"/>
      <c r="BI1495" s="14565"/>
      <c r="BJ1495" s="14565"/>
      <c r="BK1495" s="11207"/>
      <c r="BL1495" s="14565"/>
      <c r="BM1495" s="14565"/>
      <c r="BN1495" s="14565"/>
    </row>
    <row r="1496" spans="1:66" ht="30" hidden="1" customHeight="1">
      <c r="A1496" s="13523"/>
      <c r="B1496" s="14370"/>
      <c r="C1496" s="13613"/>
      <c r="D1496" s="12613" t="s">
        <v>10194</v>
      </c>
      <c r="E1496" s="12614"/>
      <c r="F1496" s="12614" t="s">
        <v>6687</v>
      </c>
      <c r="G1496" s="14371"/>
      <c r="H1496" s="14355"/>
      <c r="I1496" s="14362"/>
      <c r="K1496" s="11208"/>
      <c r="L1496" s="11209"/>
      <c r="M1496" s="11209"/>
      <c r="N1496" s="11210"/>
      <c r="O1496" s="11210"/>
      <c r="P1496" s="11211"/>
      <c r="Q1496" s="11212"/>
      <c r="R1496" s="11213"/>
      <c r="S1496" s="11214"/>
      <c r="T1496" s="11215"/>
      <c r="U1496" s="11212"/>
      <c r="V1496" s="11213"/>
      <c r="W1496" s="11215"/>
      <c r="X1496" s="11213"/>
      <c r="Y1496" s="11215"/>
      <c r="Z1496" s="11213"/>
      <c r="AA1496" s="11214"/>
      <c r="AB1496" s="11214"/>
      <c r="AC1496" s="11214"/>
      <c r="AD1496" s="11214"/>
      <c r="AE1496" s="11214"/>
      <c r="AF1496" s="11215"/>
      <c r="AG1496" s="11213"/>
      <c r="AH1496" s="11214"/>
      <c r="AI1496" s="11214"/>
      <c r="AJ1496" s="11214"/>
      <c r="AK1496" s="11214"/>
      <c r="AL1496" s="11214"/>
      <c r="AM1496" s="11214"/>
      <c r="AN1496" s="11215"/>
      <c r="AO1496" s="11213"/>
      <c r="AP1496" s="11214"/>
      <c r="AQ1496" s="11214"/>
      <c r="AR1496" s="11214"/>
      <c r="AS1496" s="11214"/>
      <c r="AT1496" s="11215"/>
      <c r="AU1496" s="11216"/>
      <c r="AV1496" s="11216"/>
      <c r="AW1496" s="11216"/>
      <c r="AX1496" s="11208"/>
      <c r="AY1496" s="11211"/>
      <c r="AZ1496" s="11216"/>
      <c r="BA1496" s="11208"/>
      <c r="BB1496" s="11210"/>
      <c r="BC1496" s="11211"/>
      <c r="BD1496" s="11217"/>
      <c r="BF1496" s="14565"/>
      <c r="BG1496" s="14565"/>
      <c r="BH1496" s="14565"/>
      <c r="BI1496" s="14565"/>
      <c r="BJ1496" s="14565"/>
      <c r="BK1496" s="11207"/>
      <c r="BL1496" s="14565"/>
      <c r="BM1496" s="14565"/>
      <c r="BN1496" s="14565"/>
    </row>
    <row r="1497" spans="1:66" ht="30" hidden="1" customHeight="1" thickBot="1">
      <c r="A1497" s="11218">
        <v>934</v>
      </c>
      <c r="B1497" s="11219" t="s">
        <v>8319</v>
      </c>
      <c r="C1497" s="13613"/>
      <c r="D1497" s="12615" t="s">
        <v>2896</v>
      </c>
      <c r="E1497" s="12616" t="s">
        <v>163</v>
      </c>
      <c r="F1497" s="12617"/>
      <c r="G1497" s="12618" t="s">
        <v>6689</v>
      </c>
      <c r="H1497" s="12619" t="s">
        <v>6703</v>
      </c>
      <c r="I1497" s="12620" t="s">
        <v>6693</v>
      </c>
      <c r="K1497" s="11221"/>
      <c r="L1497" s="11222"/>
      <c r="M1497" s="11222"/>
      <c r="N1497" s="11223"/>
      <c r="O1497" s="11223"/>
      <c r="P1497" s="11224"/>
      <c r="Q1497" s="11225"/>
      <c r="R1497" s="11226"/>
      <c r="S1497" s="11227"/>
      <c r="T1497" s="11228"/>
      <c r="U1497" s="11225"/>
      <c r="V1497" s="11226"/>
      <c r="W1497" s="11228"/>
      <c r="X1497" s="11226"/>
      <c r="Y1497" s="11228"/>
      <c r="Z1497" s="11226"/>
      <c r="AA1497" s="11227"/>
      <c r="AB1497" s="11227"/>
      <c r="AC1497" s="11227"/>
      <c r="AD1497" s="11227"/>
      <c r="AE1497" s="11227"/>
      <c r="AF1497" s="11228"/>
      <c r="AG1497" s="11226"/>
      <c r="AH1497" s="11227"/>
      <c r="AI1497" s="11227"/>
      <c r="AJ1497" s="11227"/>
      <c r="AK1497" s="11227"/>
      <c r="AL1497" s="11227"/>
      <c r="AM1497" s="11227"/>
      <c r="AN1497" s="11228"/>
      <c r="AO1497" s="11226"/>
      <c r="AP1497" s="11227"/>
      <c r="AQ1497" s="11227"/>
      <c r="AR1497" s="11227"/>
      <c r="AS1497" s="11227"/>
      <c r="AT1497" s="11228"/>
      <c r="AU1497" s="11229"/>
      <c r="AV1497" s="11229"/>
      <c r="AW1497" s="11229"/>
      <c r="AX1497" s="11221"/>
      <c r="AY1497" s="11224"/>
      <c r="AZ1497" s="11229"/>
      <c r="BA1497" s="11221"/>
      <c r="BB1497" s="11223"/>
      <c r="BC1497" s="11224"/>
      <c r="BD1497" s="11230"/>
      <c r="BF1497" s="11220"/>
      <c r="BG1497" s="11220"/>
      <c r="BH1497" s="11220"/>
      <c r="BI1497" s="11220"/>
      <c r="BJ1497" s="11220"/>
      <c r="BK1497" s="11220"/>
      <c r="BL1497" s="11220"/>
      <c r="BM1497" s="11220"/>
      <c r="BN1497" s="11220"/>
    </row>
    <row r="1498" spans="1:66" ht="30" hidden="1" customHeight="1">
      <c r="A1498" s="11231">
        <v>935</v>
      </c>
      <c r="B1498" s="11232" t="s">
        <v>8320</v>
      </c>
      <c r="C1498" s="13613"/>
      <c r="D1498" s="12583" t="s">
        <v>218</v>
      </c>
      <c r="E1498" s="12621" t="s">
        <v>6726</v>
      </c>
      <c r="F1498" s="12621" t="s">
        <v>6727</v>
      </c>
      <c r="G1498" s="12622" t="s">
        <v>6710</v>
      </c>
      <c r="H1498" s="12623" t="s">
        <v>6724</v>
      </c>
      <c r="I1498" s="12624" t="s">
        <v>6714</v>
      </c>
      <c r="K1498" s="11109"/>
      <c r="L1498" s="11110"/>
      <c r="M1498" s="11110"/>
      <c r="N1498" s="11111"/>
      <c r="O1498" s="11111"/>
      <c r="P1498" s="11112"/>
      <c r="Q1498" s="11113"/>
      <c r="R1498" s="11114"/>
      <c r="S1498" s="11115"/>
      <c r="T1498" s="11116"/>
      <c r="U1498" s="11113"/>
      <c r="V1498" s="11114"/>
      <c r="W1498" s="11116"/>
      <c r="X1498" s="11114"/>
      <c r="Y1498" s="11116"/>
      <c r="Z1498" s="11114"/>
      <c r="AA1498" s="11115"/>
      <c r="AB1498" s="11115"/>
      <c r="AC1498" s="11115"/>
      <c r="AD1498" s="11115"/>
      <c r="AE1498" s="11115"/>
      <c r="AF1498" s="11116"/>
      <c r="AG1498" s="11114"/>
      <c r="AH1498" s="11115"/>
      <c r="AI1498" s="11115"/>
      <c r="AJ1498" s="11115"/>
      <c r="AK1498" s="11115"/>
      <c r="AL1498" s="11115"/>
      <c r="AM1498" s="11115"/>
      <c r="AN1498" s="11116"/>
      <c r="AO1498" s="11114"/>
      <c r="AP1498" s="11115"/>
      <c r="AQ1498" s="11115"/>
      <c r="AR1498" s="11115"/>
      <c r="AS1498" s="11115"/>
      <c r="AT1498" s="11116"/>
      <c r="AU1498" s="11117"/>
      <c r="AV1498" s="11117"/>
      <c r="AW1498" s="11117"/>
      <c r="AX1498" s="11109"/>
      <c r="AY1498" s="11112"/>
      <c r="AZ1498" s="11117"/>
      <c r="BA1498" s="11109"/>
      <c r="BB1498" s="11111"/>
      <c r="BC1498" s="11112"/>
      <c r="BD1498" s="11118"/>
      <c r="BF1498" s="11119"/>
      <c r="BG1498" s="11119"/>
      <c r="BH1498" s="11119"/>
      <c r="BI1498" s="11119"/>
      <c r="BJ1498" s="11119"/>
      <c r="BK1498" s="11119"/>
      <c r="BL1498" s="11119"/>
      <c r="BM1498" s="11119"/>
      <c r="BN1498" s="11119"/>
    </row>
    <row r="1499" spans="1:66" ht="30" hidden="1" customHeight="1">
      <c r="A1499" s="13524">
        <v>936</v>
      </c>
      <c r="B1499" s="13539" t="s">
        <v>8321</v>
      </c>
      <c r="C1499" s="13613"/>
      <c r="D1499" s="12584" t="s">
        <v>10063</v>
      </c>
      <c r="E1499" s="14325" t="s">
        <v>6745</v>
      </c>
      <c r="F1499" s="14327"/>
      <c r="G1499" s="14346" t="s">
        <v>6729</v>
      </c>
      <c r="H1499" s="14354" t="s">
        <v>6743</v>
      </c>
      <c r="I1499" s="14360" t="s">
        <v>6733</v>
      </c>
      <c r="K1499" s="11120"/>
      <c r="L1499" s="11121"/>
      <c r="M1499" s="11121"/>
      <c r="N1499" s="11122"/>
      <c r="O1499" s="11122"/>
      <c r="P1499" s="11123"/>
      <c r="Q1499" s="11124"/>
      <c r="R1499" s="11125"/>
      <c r="S1499" s="11126"/>
      <c r="T1499" s="11127"/>
      <c r="U1499" s="11124"/>
      <c r="V1499" s="11125"/>
      <c r="W1499" s="11127"/>
      <c r="X1499" s="11125"/>
      <c r="Y1499" s="11127"/>
      <c r="Z1499" s="11125"/>
      <c r="AA1499" s="11126"/>
      <c r="AB1499" s="11126"/>
      <c r="AC1499" s="11126"/>
      <c r="AD1499" s="11126"/>
      <c r="AE1499" s="11126"/>
      <c r="AF1499" s="11127"/>
      <c r="AG1499" s="11125"/>
      <c r="AH1499" s="11126"/>
      <c r="AI1499" s="11126"/>
      <c r="AJ1499" s="11126"/>
      <c r="AK1499" s="11126"/>
      <c r="AL1499" s="11126"/>
      <c r="AM1499" s="11126"/>
      <c r="AN1499" s="11127"/>
      <c r="AO1499" s="11125"/>
      <c r="AP1499" s="11126"/>
      <c r="AQ1499" s="11126"/>
      <c r="AR1499" s="11126"/>
      <c r="AS1499" s="11126"/>
      <c r="AT1499" s="11127"/>
      <c r="AU1499" s="11128"/>
      <c r="AV1499" s="11128"/>
      <c r="AW1499" s="11128"/>
      <c r="AX1499" s="11120"/>
      <c r="AY1499" s="11123"/>
      <c r="AZ1499" s="11128"/>
      <c r="BA1499" s="11120"/>
      <c r="BB1499" s="11122"/>
      <c r="BC1499" s="11123"/>
      <c r="BD1499" s="11129"/>
      <c r="BF1499" s="14564"/>
      <c r="BG1499" s="14564"/>
      <c r="BH1499" s="14564"/>
      <c r="BI1499" s="14564"/>
      <c r="BJ1499" s="14564"/>
      <c r="BK1499" s="11130"/>
      <c r="BL1499" s="14564"/>
      <c r="BM1499" s="14564"/>
      <c r="BN1499" s="14564"/>
    </row>
    <row r="1500" spans="1:66" ht="30" hidden="1" customHeight="1">
      <c r="A1500" s="13524"/>
      <c r="B1500" s="13539"/>
      <c r="C1500" s="13613"/>
      <c r="D1500" s="12584" t="s">
        <v>218</v>
      </c>
      <c r="E1500" s="14325"/>
      <c r="F1500" s="14327"/>
      <c r="G1500" s="14346"/>
      <c r="H1500" s="14354"/>
      <c r="I1500" s="14360"/>
      <c r="K1500" s="11120"/>
      <c r="L1500" s="11121"/>
      <c r="M1500" s="11121"/>
      <c r="N1500" s="11122"/>
      <c r="O1500" s="11122"/>
      <c r="P1500" s="11123"/>
      <c r="Q1500" s="11124"/>
      <c r="R1500" s="11125"/>
      <c r="S1500" s="11126"/>
      <c r="T1500" s="11127"/>
      <c r="U1500" s="11124"/>
      <c r="V1500" s="11125"/>
      <c r="W1500" s="11127"/>
      <c r="X1500" s="11125"/>
      <c r="Y1500" s="11127"/>
      <c r="Z1500" s="11125"/>
      <c r="AA1500" s="11126"/>
      <c r="AB1500" s="11126"/>
      <c r="AC1500" s="11126"/>
      <c r="AD1500" s="11126"/>
      <c r="AE1500" s="11126"/>
      <c r="AF1500" s="11127"/>
      <c r="AG1500" s="11125"/>
      <c r="AH1500" s="11126"/>
      <c r="AI1500" s="11126"/>
      <c r="AJ1500" s="11126"/>
      <c r="AK1500" s="11126"/>
      <c r="AL1500" s="11126"/>
      <c r="AM1500" s="11126"/>
      <c r="AN1500" s="11127"/>
      <c r="AO1500" s="11125"/>
      <c r="AP1500" s="11126"/>
      <c r="AQ1500" s="11126"/>
      <c r="AR1500" s="11126"/>
      <c r="AS1500" s="11126"/>
      <c r="AT1500" s="11127"/>
      <c r="AU1500" s="11128"/>
      <c r="AV1500" s="11128"/>
      <c r="AW1500" s="11128"/>
      <c r="AX1500" s="11120"/>
      <c r="AY1500" s="11123"/>
      <c r="AZ1500" s="11128"/>
      <c r="BA1500" s="11120"/>
      <c r="BB1500" s="11122"/>
      <c r="BC1500" s="11123"/>
      <c r="BD1500" s="11129"/>
      <c r="BF1500" s="14564"/>
      <c r="BG1500" s="14564"/>
      <c r="BH1500" s="14564"/>
      <c r="BI1500" s="14564"/>
      <c r="BJ1500" s="14564"/>
      <c r="BK1500" s="11130"/>
      <c r="BL1500" s="14564"/>
      <c r="BM1500" s="14564"/>
      <c r="BN1500" s="14564"/>
    </row>
    <row r="1501" spans="1:66" ht="30" hidden="1" customHeight="1">
      <c r="A1501" s="13524"/>
      <c r="B1501" s="13539"/>
      <c r="C1501" s="13613"/>
      <c r="D1501" s="12584" t="s">
        <v>10072</v>
      </c>
      <c r="E1501" s="14325"/>
      <c r="F1501" s="14327"/>
      <c r="G1501" s="14346"/>
      <c r="H1501" s="14354"/>
      <c r="I1501" s="14360"/>
      <c r="K1501" s="11120"/>
      <c r="L1501" s="11121"/>
      <c r="M1501" s="11121"/>
      <c r="N1501" s="11122"/>
      <c r="O1501" s="11122"/>
      <c r="P1501" s="11123"/>
      <c r="Q1501" s="11124"/>
      <c r="R1501" s="11125"/>
      <c r="S1501" s="11126"/>
      <c r="T1501" s="11127"/>
      <c r="U1501" s="11124"/>
      <c r="V1501" s="11125"/>
      <c r="W1501" s="11127"/>
      <c r="X1501" s="11125"/>
      <c r="Y1501" s="11127"/>
      <c r="Z1501" s="11125"/>
      <c r="AA1501" s="11126"/>
      <c r="AB1501" s="11126"/>
      <c r="AC1501" s="11126"/>
      <c r="AD1501" s="11126"/>
      <c r="AE1501" s="11126"/>
      <c r="AF1501" s="11127"/>
      <c r="AG1501" s="11125"/>
      <c r="AH1501" s="11126"/>
      <c r="AI1501" s="11126"/>
      <c r="AJ1501" s="11126"/>
      <c r="AK1501" s="11126"/>
      <c r="AL1501" s="11126"/>
      <c r="AM1501" s="11126"/>
      <c r="AN1501" s="11127"/>
      <c r="AO1501" s="11125"/>
      <c r="AP1501" s="11126"/>
      <c r="AQ1501" s="11126"/>
      <c r="AR1501" s="11126"/>
      <c r="AS1501" s="11126"/>
      <c r="AT1501" s="11127"/>
      <c r="AU1501" s="11128"/>
      <c r="AV1501" s="11128"/>
      <c r="AW1501" s="11128"/>
      <c r="AX1501" s="11120"/>
      <c r="AY1501" s="11123"/>
      <c r="AZ1501" s="11128"/>
      <c r="BA1501" s="11120"/>
      <c r="BB1501" s="11122"/>
      <c r="BC1501" s="11123"/>
      <c r="BD1501" s="11129"/>
      <c r="BF1501" s="14564"/>
      <c r="BG1501" s="14564"/>
      <c r="BH1501" s="14564"/>
      <c r="BI1501" s="14564"/>
      <c r="BJ1501" s="14564"/>
      <c r="BK1501" s="11130"/>
      <c r="BL1501" s="14564"/>
      <c r="BM1501" s="14564"/>
      <c r="BN1501" s="14564"/>
    </row>
    <row r="1502" spans="1:66" ht="30" hidden="1" customHeight="1">
      <c r="A1502" s="13524"/>
      <c r="B1502" s="13539"/>
      <c r="C1502" s="13613"/>
      <c r="D1502" s="12584" t="s">
        <v>4305</v>
      </c>
      <c r="E1502" s="14325"/>
      <c r="F1502" s="14327"/>
      <c r="G1502" s="14346"/>
      <c r="H1502" s="14354"/>
      <c r="I1502" s="14360"/>
      <c r="K1502" s="11120"/>
      <c r="L1502" s="11121"/>
      <c r="M1502" s="11121"/>
      <c r="N1502" s="11122"/>
      <c r="O1502" s="11122"/>
      <c r="P1502" s="11123"/>
      <c r="Q1502" s="11124"/>
      <c r="R1502" s="11125"/>
      <c r="S1502" s="11126"/>
      <c r="T1502" s="11127"/>
      <c r="U1502" s="11124"/>
      <c r="V1502" s="11125"/>
      <c r="W1502" s="11127"/>
      <c r="X1502" s="11125"/>
      <c r="Y1502" s="11127"/>
      <c r="Z1502" s="11125"/>
      <c r="AA1502" s="11126"/>
      <c r="AB1502" s="11126"/>
      <c r="AC1502" s="11126"/>
      <c r="AD1502" s="11126"/>
      <c r="AE1502" s="11126"/>
      <c r="AF1502" s="11127"/>
      <c r="AG1502" s="11125"/>
      <c r="AH1502" s="11126"/>
      <c r="AI1502" s="11126"/>
      <c r="AJ1502" s="11126"/>
      <c r="AK1502" s="11126"/>
      <c r="AL1502" s="11126"/>
      <c r="AM1502" s="11126"/>
      <c r="AN1502" s="11127"/>
      <c r="AO1502" s="11125"/>
      <c r="AP1502" s="11126"/>
      <c r="AQ1502" s="11126"/>
      <c r="AR1502" s="11126"/>
      <c r="AS1502" s="11126"/>
      <c r="AT1502" s="11127"/>
      <c r="AU1502" s="11128"/>
      <c r="AV1502" s="11128"/>
      <c r="AW1502" s="11128"/>
      <c r="AX1502" s="11120"/>
      <c r="AY1502" s="11123"/>
      <c r="AZ1502" s="11128"/>
      <c r="BA1502" s="11120"/>
      <c r="BB1502" s="11122"/>
      <c r="BC1502" s="11123"/>
      <c r="BD1502" s="11129"/>
      <c r="BF1502" s="14564"/>
      <c r="BG1502" s="14564"/>
      <c r="BH1502" s="14564"/>
      <c r="BI1502" s="14564"/>
      <c r="BJ1502" s="14564"/>
      <c r="BK1502" s="11130"/>
      <c r="BL1502" s="14564"/>
      <c r="BM1502" s="14564"/>
      <c r="BN1502" s="14564"/>
    </row>
    <row r="1503" spans="1:66" ht="30" hidden="1" customHeight="1" thickBot="1">
      <c r="A1503" s="11131">
        <v>937</v>
      </c>
      <c r="B1503" s="11132" t="s">
        <v>8322</v>
      </c>
      <c r="C1503" s="13614"/>
      <c r="D1503" s="12585" t="s">
        <v>26</v>
      </c>
      <c r="E1503" s="12586" t="s">
        <v>6765</v>
      </c>
      <c r="F1503" s="12625" t="s">
        <v>6766</v>
      </c>
      <c r="G1503" s="12587" t="s">
        <v>6749</v>
      </c>
      <c r="H1503" s="12588" t="s">
        <v>6763</v>
      </c>
      <c r="I1503" s="12589" t="s">
        <v>6753</v>
      </c>
      <c r="K1503" s="11133"/>
      <c r="L1503" s="11233"/>
      <c r="M1503" s="11233"/>
      <c r="N1503" s="11234"/>
      <c r="O1503" s="11234"/>
      <c r="P1503" s="11235"/>
      <c r="Q1503" s="11236"/>
      <c r="R1503" s="11237"/>
      <c r="S1503" s="11238"/>
      <c r="T1503" s="11239"/>
      <c r="U1503" s="11236"/>
      <c r="V1503" s="11237"/>
      <c r="W1503" s="11239"/>
      <c r="X1503" s="11237"/>
      <c r="Y1503" s="11239"/>
      <c r="Z1503" s="11237"/>
      <c r="AA1503" s="11238"/>
      <c r="AB1503" s="11238"/>
      <c r="AC1503" s="11238"/>
      <c r="AD1503" s="11238"/>
      <c r="AE1503" s="11238"/>
      <c r="AF1503" s="11239"/>
      <c r="AG1503" s="11237"/>
      <c r="AH1503" s="11238"/>
      <c r="AI1503" s="11238"/>
      <c r="AJ1503" s="11238"/>
      <c r="AK1503" s="11238"/>
      <c r="AL1503" s="11238"/>
      <c r="AM1503" s="11238"/>
      <c r="AN1503" s="11239"/>
      <c r="AO1503" s="11237"/>
      <c r="AP1503" s="11238"/>
      <c r="AQ1503" s="11238"/>
      <c r="AR1503" s="11238"/>
      <c r="AS1503" s="11238"/>
      <c r="AT1503" s="11239"/>
      <c r="AU1503" s="11240"/>
      <c r="AV1503" s="11240"/>
      <c r="AW1503" s="11240"/>
      <c r="AX1503" s="11133"/>
      <c r="AY1503" s="11235"/>
      <c r="AZ1503" s="11240"/>
      <c r="BA1503" s="11133"/>
      <c r="BB1503" s="11234"/>
      <c r="BC1503" s="11235"/>
      <c r="BD1503" s="11241"/>
      <c r="BF1503" s="11134"/>
      <c r="BG1503" s="11134"/>
      <c r="BH1503" s="11134"/>
      <c r="BI1503" s="11134"/>
      <c r="BJ1503" s="11134"/>
      <c r="BK1503" s="11134"/>
      <c r="BL1503" s="11134"/>
      <c r="BM1503" s="11134"/>
      <c r="BN1503" s="11134"/>
    </row>
    <row r="1504" spans="1:66" ht="30" hidden="1" customHeight="1">
      <c r="A1504" s="13525">
        <v>938</v>
      </c>
      <c r="B1504" s="14348" t="s">
        <v>8323</v>
      </c>
      <c r="C1504" s="13589" t="s">
        <v>10348</v>
      </c>
      <c r="D1504" s="12626" t="s">
        <v>10066</v>
      </c>
      <c r="E1504" s="11907" t="s">
        <v>6787</v>
      </c>
      <c r="F1504" s="11907"/>
      <c r="G1504" s="13973" t="s">
        <v>6783</v>
      </c>
      <c r="H1504" s="13949" t="s">
        <v>6784</v>
      </c>
      <c r="I1504" s="13964">
        <v>6</v>
      </c>
      <c r="K1504" s="8883"/>
      <c r="L1504" s="8884"/>
      <c r="M1504" s="8884"/>
      <c r="N1504" s="8885"/>
      <c r="O1504" s="8885"/>
      <c r="P1504" s="8886"/>
      <c r="Q1504" s="8887"/>
      <c r="R1504" s="8888"/>
      <c r="S1504" s="8889"/>
      <c r="T1504" s="8890"/>
      <c r="U1504" s="8887"/>
      <c r="V1504" s="8888"/>
      <c r="W1504" s="8890"/>
      <c r="X1504" s="8888"/>
      <c r="Y1504" s="8890"/>
      <c r="Z1504" s="8888"/>
      <c r="AA1504" s="8889"/>
      <c r="AB1504" s="8889"/>
      <c r="AC1504" s="8889"/>
      <c r="AD1504" s="8889"/>
      <c r="AE1504" s="8889"/>
      <c r="AF1504" s="8890"/>
      <c r="AG1504" s="8888"/>
      <c r="AH1504" s="8889"/>
      <c r="AI1504" s="8889"/>
      <c r="AJ1504" s="8889"/>
      <c r="AK1504" s="8889"/>
      <c r="AL1504" s="8889"/>
      <c r="AM1504" s="8889"/>
      <c r="AN1504" s="8890"/>
      <c r="AO1504" s="8888"/>
      <c r="AP1504" s="8889"/>
      <c r="AQ1504" s="8889"/>
      <c r="AR1504" s="8889"/>
      <c r="AS1504" s="8889"/>
      <c r="AT1504" s="8890"/>
      <c r="AU1504" s="8891"/>
      <c r="AV1504" s="8891"/>
      <c r="AW1504" s="8891"/>
      <c r="AX1504" s="8883"/>
      <c r="AY1504" s="8886"/>
      <c r="AZ1504" s="8891"/>
      <c r="BA1504" s="8883"/>
      <c r="BB1504" s="8885"/>
      <c r="BC1504" s="8886"/>
      <c r="BD1504" s="8892"/>
      <c r="BF1504" s="14434"/>
      <c r="BG1504" s="14434"/>
      <c r="BH1504" s="14434"/>
      <c r="BI1504" s="14434"/>
      <c r="BJ1504" s="14434"/>
      <c r="BK1504" s="8893"/>
      <c r="BL1504" s="14434"/>
      <c r="BM1504" s="14434"/>
      <c r="BN1504" s="14434"/>
    </row>
    <row r="1505" spans="1:66" ht="30" hidden="1" customHeight="1">
      <c r="A1505" s="13526"/>
      <c r="B1505" s="13893"/>
      <c r="C1505" s="13588"/>
      <c r="D1505" s="11986" t="s">
        <v>10186</v>
      </c>
      <c r="E1505" s="7853"/>
      <c r="F1505" s="7852" t="s">
        <v>6793</v>
      </c>
      <c r="G1505" s="13919"/>
      <c r="H1505" s="13403"/>
      <c r="I1505" s="13966"/>
      <c r="K1505" s="7653"/>
      <c r="L1505" s="7654"/>
      <c r="M1505" s="7654"/>
      <c r="N1505" s="7655"/>
      <c r="O1505" s="7655"/>
      <c r="P1505" s="7684"/>
      <c r="Q1505" s="7674"/>
      <c r="R1505" s="7669"/>
      <c r="S1505" s="7656"/>
      <c r="T1505" s="7689"/>
      <c r="U1505" s="7674"/>
      <c r="V1505" s="7669"/>
      <c r="W1505" s="7689"/>
      <c r="X1505" s="7669"/>
      <c r="Y1505" s="7689"/>
      <c r="Z1505" s="7669"/>
      <c r="AA1505" s="7656"/>
      <c r="AB1505" s="7656"/>
      <c r="AC1505" s="7656"/>
      <c r="AD1505" s="7656"/>
      <c r="AE1505" s="7656"/>
      <c r="AF1505" s="7689"/>
      <c r="AG1505" s="7669"/>
      <c r="AH1505" s="7656"/>
      <c r="AI1505" s="7656"/>
      <c r="AJ1505" s="7656"/>
      <c r="AK1505" s="7656"/>
      <c r="AL1505" s="7656"/>
      <c r="AM1505" s="7656"/>
      <c r="AN1505" s="7689"/>
      <c r="AO1505" s="7669"/>
      <c r="AP1505" s="7656"/>
      <c r="AQ1505" s="7656"/>
      <c r="AR1505" s="7656"/>
      <c r="AS1505" s="7656"/>
      <c r="AT1505" s="7689"/>
      <c r="AU1505" s="7665"/>
      <c r="AV1505" s="7665"/>
      <c r="AW1505" s="7665"/>
      <c r="AX1505" s="7653"/>
      <c r="AY1505" s="7684"/>
      <c r="AZ1505" s="7665"/>
      <c r="BA1505" s="7653"/>
      <c r="BB1505" s="7655"/>
      <c r="BC1505" s="7684"/>
      <c r="BD1505" s="7694"/>
      <c r="BF1505" s="14435"/>
      <c r="BG1505" s="14435"/>
      <c r="BH1505" s="14435"/>
      <c r="BI1505" s="14435"/>
      <c r="BJ1505" s="14435"/>
      <c r="BK1505" s="7911"/>
      <c r="BL1505" s="14435"/>
      <c r="BM1505" s="14435"/>
      <c r="BN1505" s="14435"/>
    </row>
    <row r="1506" spans="1:66" ht="30" hidden="1" customHeight="1">
      <c r="A1506" s="7901">
        <v>939</v>
      </c>
      <c r="B1506" s="7910" t="s">
        <v>8324</v>
      </c>
      <c r="C1506" s="13588"/>
      <c r="D1506" s="11986" t="s">
        <v>10063</v>
      </c>
      <c r="E1506" s="7852" t="s">
        <v>6798</v>
      </c>
      <c r="F1506" s="7852"/>
      <c r="G1506" s="11909" t="s">
        <v>6794</v>
      </c>
      <c r="H1506" s="11910" t="s">
        <v>6795</v>
      </c>
      <c r="I1506" s="11987">
        <v>1</v>
      </c>
      <c r="K1506" s="9193"/>
      <c r="L1506" s="7658"/>
      <c r="M1506" s="7658"/>
      <c r="N1506" s="9194"/>
      <c r="O1506" s="9194"/>
      <c r="P1506" s="9195"/>
      <c r="Q1506" s="7675"/>
      <c r="R1506" s="7670"/>
      <c r="S1506" s="7660"/>
      <c r="T1506" s="7690"/>
      <c r="U1506" s="7675"/>
      <c r="V1506" s="7670"/>
      <c r="W1506" s="7690"/>
      <c r="X1506" s="7670"/>
      <c r="Y1506" s="7690"/>
      <c r="Z1506" s="7670"/>
      <c r="AA1506" s="7660"/>
      <c r="AB1506" s="7660"/>
      <c r="AC1506" s="7660"/>
      <c r="AD1506" s="7660"/>
      <c r="AE1506" s="7660"/>
      <c r="AF1506" s="7690"/>
      <c r="AG1506" s="7670"/>
      <c r="AH1506" s="7660"/>
      <c r="AI1506" s="7660"/>
      <c r="AJ1506" s="7660"/>
      <c r="AK1506" s="7660"/>
      <c r="AL1506" s="7660"/>
      <c r="AM1506" s="7660"/>
      <c r="AN1506" s="7690"/>
      <c r="AO1506" s="7670"/>
      <c r="AP1506" s="7660"/>
      <c r="AQ1506" s="7660"/>
      <c r="AR1506" s="7660"/>
      <c r="AS1506" s="7660"/>
      <c r="AT1506" s="7690"/>
      <c r="AU1506" s="9196"/>
      <c r="AV1506" s="9196"/>
      <c r="AW1506" s="9196"/>
      <c r="AX1506" s="9193"/>
      <c r="AY1506" s="9195"/>
      <c r="AZ1506" s="9196"/>
      <c r="BA1506" s="9193"/>
      <c r="BB1506" s="9194"/>
      <c r="BC1506" s="9195"/>
      <c r="BD1506" s="9197"/>
      <c r="BF1506" s="7911"/>
      <c r="BG1506" s="7911"/>
      <c r="BH1506" s="7911"/>
      <c r="BI1506" s="7911"/>
      <c r="BJ1506" s="7911"/>
      <c r="BK1506" s="7911"/>
      <c r="BL1506" s="7911"/>
      <c r="BM1506" s="7911"/>
      <c r="BN1506" s="7911"/>
    </row>
    <row r="1507" spans="1:66" ht="18" hidden="1" customHeight="1">
      <c r="A1507" s="13526">
        <v>940</v>
      </c>
      <c r="B1507" s="13893" t="s">
        <v>8325</v>
      </c>
      <c r="C1507" s="13588"/>
      <c r="D1507" s="11986" t="s">
        <v>10066</v>
      </c>
      <c r="E1507" s="7852" t="s">
        <v>6805</v>
      </c>
      <c r="F1507" s="7852"/>
      <c r="G1507" s="13919" t="s">
        <v>6802</v>
      </c>
      <c r="H1507" s="13403" t="s">
        <v>6803</v>
      </c>
      <c r="I1507" s="13966">
        <v>7</v>
      </c>
      <c r="K1507" s="7653"/>
      <c r="L1507" s="7654"/>
      <c r="M1507" s="7654"/>
      <c r="N1507" s="7655"/>
      <c r="O1507" s="7655"/>
      <c r="P1507" s="7684"/>
      <c r="Q1507" s="7674"/>
      <c r="R1507" s="7669"/>
      <c r="S1507" s="7656"/>
      <c r="T1507" s="7689"/>
      <c r="U1507" s="7674"/>
      <c r="V1507" s="7669"/>
      <c r="W1507" s="7689"/>
      <c r="X1507" s="7669"/>
      <c r="Y1507" s="7689"/>
      <c r="Z1507" s="7669"/>
      <c r="AA1507" s="7656"/>
      <c r="AB1507" s="7656"/>
      <c r="AC1507" s="7656"/>
      <c r="AD1507" s="7656"/>
      <c r="AE1507" s="7656"/>
      <c r="AF1507" s="7689"/>
      <c r="AG1507" s="7669"/>
      <c r="AH1507" s="7656"/>
      <c r="AI1507" s="7656"/>
      <c r="AJ1507" s="7656"/>
      <c r="AK1507" s="7656"/>
      <c r="AL1507" s="7656"/>
      <c r="AM1507" s="7656"/>
      <c r="AN1507" s="7689"/>
      <c r="AO1507" s="7669"/>
      <c r="AP1507" s="7656"/>
      <c r="AQ1507" s="7656"/>
      <c r="AR1507" s="7656"/>
      <c r="AS1507" s="7656"/>
      <c r="AT1507" s="7689"/>
      <c r="AU1507" s="7665"/>
      <c r="AV1507" s="7665"/>
      <c r="AW1507" s="7665"/>
      <c r="AX1507" s="7653"/>
      <c r="AY1507" s="7684"/>
      <c r="AZ1507" s="7665"/>
      <c r="BA1507" s="7653"/>
      <c r="BB1507" s="7655"/>
      <c r="BC1507" s="7684"/>
      <c r="BD1507" s="7694"/>
      <c r="BF1507" s="14435"/>
      <c r="BG1507" s="14435"/>
      <c r="BH1507" s="14435"/>
      <c r="BI1507" s="14435"/>
      <c r="BJ1507" s="14435"/>
      <c r="BK1507" s="7911"/>
      <c r="BL1507" s="14435"/>
      <c r="BM1507" s="14435"/>
      <c r="BN1507" s="14435"/>
    </row>
    <row r="1508" spans="1:66" ht="18" hidden="1" customHeight="1">
      <c r="A1508" s="13526"/>
      <c r="B1508" s="13893"/>
      <c r="C1508" s="13588"/>
      <c r="D1508" s="11986" t="s">
        <v>86</v>
      </c>
      <c r="E1508" s="7852" t="s">
        <v>1509</v>
      </c>
      <c r="F1508" s="7852"/>
      <c r="G1508" s="13919"/>
      <c r="H1508" s="13403"/>
      <c r="I1508" s="13966"/>
      <c r="K1508" s="7653"/>
      <c r="L1508" s="7654"/>
      <c r="M1508" s="7654"/>
      <c r="N1508" s="7655"/>
      <c r="O1508" s="7655"/>
      <c r="P1508" s="7684"/>
      <c r="Q1508" s="7674"/>
      <c r="R1508" s="7669"/>
      <c r="S1508" s="7656"/>
      <c r="T1508" s="7689"/>
      <c r="U1508" s="7674"/>
      <c r="V1508" s="7669"/>
      <c r="W1508" s="7689"/>
      <c r="X1508" s="7669"/>
      <c r="Y1508" s="7689"/>
      <c r="Z1508" s="7669"/>
      <c r="AA1508" s="7656"/>
      <c r="AB1508" s="7656"/>
      <c r="AC1508" s="7656"/>
      <c r="AD1508" s="7656"/>
      <c r="AE1508" s="7656"/>
      <c r="AF1508" s="7689"/>
      <c r="AG1508" s="7669"/>
      <c r="AH1508" s="7656"/>
      <c r="AI1508" s="7656"/>
      <c r="AJ1508" s="7656"/>
      <c r="AK1508" s="7656"/>
      <c r="AL1508" s="7656"/>
      <c r="AM1508" s="7656"/>
      <c r="AN1508" s="7689"/>
      <c r="AO1508" s="7669"/>
      <c r="AP1508" s="7656"/>
      <c r="AQ1508" s="7656"/>
      <c r="AR1508" s="7656"/>
      <c r="AS1508" s="7656"/>
      <c r="AT1508" s="7689"/>
      <c r="AU1508" s="7665"/>
      <c r="AV1508" s="7665"/>
      <c r="AW1508" s="7665"/>
      <c r="AX1508" s="7653"/>
      <c r="AY1508" s="7684"/>
      <c r="AZ1508" s="7665"/>
      <c r="BA1508" s="7653"/>
      <c r="BB1508" s="7655"/>
      <c r="BC1508" s="7684"/>
      <c r="BD1508" s="7694"/>
      <c r="BF1508" s="14435"/>
      <c r="BG1508" s="14435"/>
      <c r="BH1508" s="14435"/>
      <c r="BI1508" s="14435"/>
      <c r="BJ1508" s="14435"/>
      <c r="BK1508" s="7911"/>
      <c r="BL1508" s="14435"/>
      <c r="BM1508" s="14435"/>
      <c r="BN1508" s="14435"/>
    </row>
    <row r="1509" spans="1:66" ht="18" hidden="1" customHeight="1">
      <c r="A1509" s="13526"/>
      <c r="B1509" s="13893"/>
      <c r="C1509" s="13588"/>
      <c r="D1509" s="11986" t="s">
        <v>10072</v>
      </c>
      <c r="E1509" s="7852" t="s">
        <v>1293</v>
      </c>
      <c r="F1509" s="7852"/>
      <c r="G1509" s="13919"/>
      <c r="H1509" s="13403"/>
      <c r="I1509" s="13966"/>
      <c r="K1509" s="7653"/>
      <c r="L1509" s="7654"/>
      <c r="M1509" s="7654"/>
      <c r="N1509" s="7655"/>
      <c r="O1509" s="7655"/>
      <c r="P1509" s="7684"/>
      <c r="Q1509" s="7674"/>
      <c r="R1509" s="7669"/>
      <c r="S1509" s="7656"/>
      <c r="T1509" s="7689"/>
      <c r="U1509" s="7674"/>
      <c r="V1509" s="7669"/>
      <c r="W1509" s="7689"/>
      <c r="X1509" s="7669"/>
      <c r="Y1509" s="7689"/>
      <c r="Z1509" s="7669"/>
      <c r="AA1509" s="7656"/>
      <c r="AB1509" s="7656"/>
      <c r="AC1509" s="7656"/>
      <c r="AD1509" s="7656"/>
      <c r="AE1509" s="7656"/>
      <c r="AF1509" s="7689"/>
      <c r="AG1509" s="7669"/>
      <c r="AH1509" s="7656"/>
      <c r="AI1509" s="7656"/>
      <c r="AJ1509" s="7656"/>
      <c r="AK1509" s="7656"/>
      <c r="AL1509" s="7656"/>
      <c r="AM1509" s="7656"/>
      <c r="AN1509" s="7689"/>
      <c r="AO1509" s="7669"/>
      <c r="AP1509" s="7656"/>
      <c r="AQ1509" s="7656"/>
      <c r="AR1509" s="7656"/>
      <c r="AS1509" s="7656"/>
      <c r="AT1509" s="7689"/>
      <c r="AU1509" s="7665"/>
      <c r="AV1509" s="7665"/>
      <c r="AW1509" s="7665"/>
      <c r="AX1509" s="7653"/>
      <c r="AY1509" s="7684"/>
      <c r="AZ1509" s="7665"/>
      <c r="BA1509" s="7653"/>
      <c r="BB1509" s="7655"/>
      <c r="BC1509" s="7684"/>
      <c r="BD1509" s="7694"/>
      <c r="BF1509" s="14435"/>
      <c r="BG1509" s="14435"/>
      <c r="BH1509" s="14435"/>
      <c r="BI1509" s="14435"/>
      <c r="BJ1509" s="14435"/>
      <c r="BK1509" s="7911"/>
      <c r="BL1509" s="14435"/>
      <c r="BM1509" s="14435"/>
      <c r="BN1509" s="14435"/>
    </row>
    <row r="1510" spans="1:66" ht="18" hidden="1" customHeight="1">
      <c r="A1510" s="13526"/>
      <c r="B1510" s="13893"/>
      <c r="C1510" s="13588"/>
      <c r="D1510" s="11986" t="s">
        <v>2896</v>
      </c>
      <c r="E1510" s="7852" t="s">
        <v>172</v>
      </c>
      <c r="F1510" s="7852"/>
      <c r="G1510" s="13919"/>
      <c r="H1510" s="13403"/>
      <c r="I1510" s="13966"/>
      <c r="K1510" s="7653"/>
      <c r="L1510" s="7654"/>
      <c r="M1510" s="7654"/>
      <c r="N1510" s="7655"/>
      <c r="O1510" s="7655"/>
      <c r="P1510" s="7684"/>
      <c r="Q1510" s="7674"/>
      <c r="R1510" s="7669"/>
      <c r="S1510" s="7656"/>
      <c r="T1510" s="7689"/>
      <c r="U1510" s="7674"/>
      <c r="V1510" s="7669"/>
      <c r="W1510" s="7689"/>
      <c r="X1510" s="7669"/>
      <c r="Y1510" s="7689"/>
      <c r="Z1510" s="7669"/>
      <c r="AA1510" s="7656"/>
      <c r="AB1510" s="7656"/>
      <c r="AC1510" s="7656"/>
      <c r="AD1510" s="7656"/>
      <c r="AE1510" s="7656"/>
      <c r="AF1510" s="7689"/>
      <c r="AG1510" s="7669"/>
      <c r="AH1510" s="7656"/>
      <c r="AI1510" s="7656"/>
      <c r="AJ1510" s="7656"/>
      <c r="AK1510" s="7656"/>
      <c r="AL1510" s="7656"/>
      <c r="AM1510" s="7656"/>
      <c r="AN1510" s="7689"/>
      <c r="AO1510" s="7669"/>
      <c r="AP1510" s="7656"/>
      <c r="AQ1510" s="7656"/>
      <c r="AR1510" s="7656"/>
      <c r="AS1510" s="7656"/>
      <c r="AT1510" s="7689"/>
      <c r="AU1510" s="7665"/>
      <c r="AV1510" s="7665"/>
      <c r="AW1510" s="7665"/>
      <c r="AX1510" s="7653"/>
      <c r="AY1510" s="7684"/>
      <c r="AZ1510" s="7665"/>
      <c r="BA1510" s="7653"/>
      <c r="BB1510" s="7655"/>
      <c r="BC1510" s="7684"/>
      <c r="BD1510" s="7694"/>
      <c r="BF1510" s="14435"/>
      <c r="BG1510" s="14435"/>
      <c r="BH1510" s="14435"/>
      <c r="BI1510" s="14435"/>
      <c r="BJ1510" s="14435"/>
      <c r="BK1510" s="7911"/>
      <c r="BL1510" s="14435"/>
      <c r="BM1510" s="14435"/>
      <c r="BN1510" s="14435"/>
    </row>
    <row r="1511" spans="1:66" ht="18" hidden="1" customHeight="1">
      <c r="A1511" s="13526">
        <v>941</v>
      </c>
      <c r="B1511" s="13893" t="s">
        <v>8326</v>
      </c>
      <c r="C1511" s="13588"/>
      <c r="D1511" s="11986" t="s">
        <v>10066</v>
      </c>
      <c r="E1511" s="14385" t="s">
        <v>6813</v>
      </c>
      <c r="F1511" s="7852"/>
      <c r="G1511" s="13919" t="s">
        <v>6810</v>
      </c>
      <c r="H1511" s="13403" t="s">
        <v>6811</v>
      </c>
      <c r="I1511" s="13966">
        <v>1</v>
      </c>
      <c r="K1511" s="7653"/>
      <c r="L1511" s="7654"/>
      <c r="M1511" s="7654"/>
      <c r="N1511" s="7655"/>
      <c r="O1511" s="7655"/>
      <c r="P1511" s="7684"/>
      <c r="Q1511" s="7674"/>
      <c r="R1511" s="7669"/>
      <c r="S1511" s="7656"/>
      <c r="T1511" s="7689"/>
      <c r="U1511" s="7674"/>
      <c r="V1511" s="7669"/>
      <c r="W1511" s="7689"/>
      <c r="X1511" s="7669"/>
      <c r="Y1511" s="7689"/>
      <c r="Z1511" s="7669"/>
      <c r="AA1511" s="7656"/>
      <c r="AB1511" s="7656"/>
      <c r="AC1511" s="7656"/>
      <c r="AD1511" s="7656"/>
      <c r="AE1511" s="7656"/>
      <c r="AF1511" s="7689"/>
      <c r="AG1511" s="7669"/>
      <c r="AH1511" s="7656"/>
      <c r="AI1511" s="7656"/>
      <c r="AJ1511" s="7656"/>
      <c r="AK1511" s="7656"/>
      <c r="AL1511" s="7656"/>
      <c r="AM1511" s="7656"/>
      <c r="AN1511" s="7689"/>
      <c r="AO1511" s="7669"/>
      <c r="AP1511" s="7656"/>
      <c r="AQ1511" s="7656"/>
      <c r="AR1511" s="7656"/>
      <c r="AS1511" s="7656"/>
      <c r="AT1511" s="7689"/>
      <c r="AU1511" s="7665"/>
      <c r="AV1511" s="7665"/>
      <c r="AW1511" s="7665"/>
      <c r="AX1511" s="7653"/>
      <c r="AY1511" s="7684"/>
      <c r="AZ1511" s="7665"/>
      <c r="BA1511" s="7653"/>
      <c r="BB1511" s="7655"/>
      <c r="BC1511" s="7684"/>
      <c r="BD1511" s="7694"/>
      <c r="BF1511" s="14435"/>
      <c r="BG1511" s="14435"/>
      <c r="BH1511" s="14435"/>
      <c r="BI1511" s="14435"/>
      <c r="BJ1511" s="14435"/>
      <c r="BK1511" s="7911"/>
      <c r="BL1511" s="14435"/>
      <c r="BM1511" s="14435"/>
      <c r="BN1511" s="14435"/>
    </row>
    <row r="1512" spans="1:66" ht="18" hidden="1" customHeight="1">
      <c r="A1512" s="13526"/>
      <c r="B1512" s="13893"/>
      <c r="C1512" s="13588"/>
      <c r="D1512" s="11986" t="s">
        <v>10290</v>
      </c>
      <c r="E1512" s="14385"/>
      <c r="F1512" s="7852"/>
      <c r="G1512" s="13919"/>
      <c r="H1512" s="13403"/>
      <c r="I1512" s="13966"/>
      <c r="K1512" s="7653"/>
      <c r="L1512" s="7654"/>
      <c r="M1512" s="7654"/>
      <c r="N1512" s="7655"/>
      <c r="O1512" s="7655"/>
      <c r="P1512" s="7684"/>
      <c r="Q1512" s="7674"/>
      <c r="R1512" s="7669"/>
      <c r="S1512" s="7656"/>
      <c r="T1512" s="7689"/>
      <c r="U1512" s="7674"/>
      <c r="V1512" s="7669"/>
      <c r="W1512" s="7689"/>
      <c r="X1512" s="7669"/>
      <c r="Y1512" s="7689"/>
      <c r="Z1512" s="7669"/>
      <c r="AA1512" s="7656"/>
      <c r="AB1512" s="7656"/>
      <c r="AC1512" s="7656"/>
      <c r="AD1512" s="7656"/>
      <c r="AE1512" s="7656"/>
      <c r="AF1512" s="7689"/>
      <c r="AG1512" s="7669"/>
      <c r="AH1512" s="7656"/>
      <c r="AI1512" s="7656"/>
      <c r="AJ1512" s="7656"/>
      <c r="AK1512" s="7656"/>
      <c r="AL1512" s="7656"/>
      <c r="AM1512" s="7656"/>
      <c r="AN1512" s="7689"/>
      <c r="AO1512" s="7669"/>
      <c r="AP1512" s="7656"/>
      <c r="AQ1512" s="7656"/>
      <c r="AR1512" s="7656"/>
      <c r="AS1512" s="7656"/>
      <c r="AT1512" s="7689"/>
      <c r="AU1512" s="7665"/>
      <c r="AV1512" s="7665"/>
      <c r="AW1512" s="7665"/>
      <c r="AX1512" s="7653"/>
      <c r="AY1512" s="7684"/>
      <c r="AZ1512" s="7665"/>
      <c r="BA1512" s="7653"/>
      <c r="BB1512" s="7655"/>
      <c r="BC1512" s="7684"/>
      <c r="BD1512" s="7694"/>
      <c r="BF1512" s="14435"/>
      <c r="BG1512" s="14435"/>
      <c r="BH1512" s="14435"/>
      <c r="BI1512" s="14435"/>
      <c r="BJ1512" s="14435"/>
      <c r="BK1512" s="7911"/>
      <c r="BL1512" s="14435"/>
      <c r="BM1512" s="14435"/>
      <c r="BN1512" s="14435"/>
    </row>
    <row r="1513" spans="1:66" ht="18" hidden="1" customHeight="1">
      <c r="A1513" s="13526"/>
      <c r="B1513" s="13893"/>
      <c r="C1513" s="13588"/>
      <c r="D1513" s="11986" t="s">
        <v>10063</v>
      </c>
      <c r="E1513" s="14385"/>
      <c r="F1513" s="7852"/>
      <c r="G1513" s="13919"/>
      <c r="H1513" s="13403"/>
      <c r="I1513" s="13966"/>
      <c r="K1513" s="7653"/>
      <c r="L1513" s="7654"/>
      <c r="M1513" s="7654"/>
      <c r="N1513" s="7655"/>
      <c r="O1513" s="7655"/>
      <c r="P1513" s="7684"/>
      <c r="Q1513" s="7674"/>
      <c r="R1513" s="7669"/>
      <c r="S1513" s="7656"/>
      <c r="T1513" s="7689"/>
      <c r="U1513" s="7674"/>
      <c r="V1513" s="7669"/>
      <c r="W1513" s="7689"/>
      <c r="X1513" s="7669"/>
      <c r="Y1513" s="7689"/>
      <c r="Z1513" s="7669"/>
      <c r="AA1513" s="7656"/>
      <c r="AB1513" s="7656"/>
      <c r="AC1513" s="7656"/>
      <c r="AD1513" s="7656"/>
      <c r="AE1513" s="7656"/>
      <c r="AF1513" s="7689"/>
      <c r="AG1513" s="7669"/>
      <c r="AH1513" s="7656"/>
      <c r="AI1513" s="7656"/>
      <c r="AJ1513" s="7656"/>
      <c r="AK1513" s="7656"/>
      <c r="AL1513" s="7656"/>
      <c r="AM1513" s="7656"/>
      <c r="AN1513" s="7689"/>
      <c r="AO1513" s="7669"/>
      <c r="AP1513" s="7656"/>
      <c r="AQ1513" s="7656"/>
      <c r="AR1513" s="7656"/>
      <c r="AS1513" s="7656"/>
      <c r="AT1513" s="7689"/>
      <c r="AU1513" s="7665"/>
      <c r="AV1513" s="7665"/>
      <c r="AW1513" s="7665"/>
      <c r="AX1513" s="7653"/>
      <c r="AY1513" s="7684"/>
      <c r="AZ1513" s="7665"/>
      <c r="BA1513" s="7653"/>
      <c r="BB1513" s="7655"/>
      <c r="BC1513" s="7684"/>
      <c r="BD1513" s="7694"/>
      <c r="BF1513" s="14435"/>
      <c r="BG1513" s="14435"/>
      <c r="BH1513" s="14435"/>
      <c r="BI1513" s="14435"/>
      <c r="BJ1513" s="14435"/>
      <c r="BK1513" s="7911"/>
      <c r="BL1513" s="14435"/>
      <c r="BM1513" s="14435"/>
      <c r="BN1513" s="14435"/>
    </row>
    <row r="1514" spans="1:66" ht="18" hidden="1" customHeight="1">
      <c r="A1514" s="13526"/>
      <c r="B1514" s="13893"/>
      <c r="C1514" s="13588"/>
      <c r="D1514" s="11986" t="s">
        <v>218</v>
      </c>
      <c r="E1514" s="14385"/>
      <c r="F1514" s="7852"/>
      <c r="G1514" s="13919"/>
      <c r="H1514" s="13403"/>
      <c r="I1514" s="13966"/>
      <c r="K1514" s="7653"/>
      <c r="L1514" s="7654"/>
      <c r="M1514" s="7654"/>
      <c r="N1514" s="7655"/>
      <c r="O1514" s="7655"/>
      <c r="P1514" s="7684"/>
      <c r="Q1514" s="7674"/>
      <c r="R1514" s="7669"/>
      <c r="S1514" s="7656"/>
      <c r="T1514" s="7689"/>
      <c r="U1514" s="7674"/>
      <c r="V1514" s="7669"/>
      <c r="W1514" s="7689"/>
      <c r="X1514" s="7669"/>
      <c r="Y1514" s="7689"/>
      <c r="Z1514" s="7669"/>
      <c r="AA1514" s="7656"/>
      <c r="AB1514" s="7656"/>
      <c r="AC1514" s="7656"/>
      <c r="AD1514" s="7656"/>
      <c r="AE1514" s="7656"/>
      <c r="AF1514" s="7689"/>
      <c r="AG1514" s="7669"/>
      <c r="AH1514" s="7656"/>
      <c r="AI1514" s="7656"/>
      <c r="AJ1514" s="7656"/>
      <c r="AK1514" s="7656"/>
      <c r="AL1514" s="7656"/>
      <c r="AM1514" s="7656"/>
      <c r="AN1514" s="7689"/>
      <c r="AO1514" s="7669"/>
      <c r="AP1514" s="7656"/>
      <c r="AQ1514" s="7656"/>
      <c r="AR1514" s="7656"/>
      <c r="AS1514" s="7656"/>
      <c r="AT1514" s="7689"/>
      <c r="AU1514" s="7665"/>
      <c r="AV1514" s="7665"/>
      <c r="AW1514" s="7665"/>
      <c r="AX1514" s="7653"/>
      <c r="AY1514" s="7684"/>
      <c r="AZ1514" s="7665"/>
      <c r="BA1514" s="7653"/>
      <c r="BB1514" s="7655"/>
      <c r="BC1514" s="7684"/>
      <c r="BD1514" s="7694"/>
      <c r="BF1514" s="14435"/>
      <c r="BG1514" s="14435"/>
      <c r="BH1514" s="14435"/>
      <c r="BI1514" s="14435"/>
      <c r="BJ1514" s="14435"/>
      <c r="BK1514" s="7911"/>
      <c r="BL1514" s="14435"/>
      <c r="BM1514" s="14435"/>
      <c r="BN1514" s="14435"/>
    </row>
    <row r="1515" spans="1:66" ht="18" hidden="1" customHeight="1">
      <c r="A1515" s="13526"/>
      <c r="B1515" s="13893"/>
      <c r="C1515" s="13588"/>
      <c r="D1515" s="11986" t="s">
        <v>2896</v>
      </c>
      <c r="E1515" s="14385"/>
      <c r="F1515" s="7852"/>
      <c r="G1515" s="13919"/>
      <c r="H1515" s="13403"/>
      <c r="I1515" s="13966"/>
      <c r="K1515" s="7653"/>
      <c r="L1515" s="7654"/>
      <c r="M1515" s="7654"/>
      <c r="N1515" s="7655"/>
      <c r="O1515" s="7655"/>
      <c r="P1515" s="7684"/>
      <c r="Q1515" s="7674"/>
      <c r="R1515" s="7669"/>
      <c r="S1515" s="7656"/>
      <c r="T1515" s="7689"/>
      <c r="U1515" s="7674"/>
      <c r="V1515" s="7669"/>
      <c r="W1515" s="7689"/>
      <c r="X1515" s="7669"/>
      <c r="Y1515" s="7689"/>
      <c r="Z1515" s="7669"/>
      <c r="AA1515" s="7656"/>
      <c r="AB1515" s="7656"/>
      <c r="AC1515" s="7656"/>
      <c r="AD1515" s="7656"/>
      <c r="AE1515" s="7656"/>
      <c r="AF1515" s="7689"/>
      <c r="AG1515" s="7669"/>
      <c r="AH1515" s="7656"/>
      <c r="AI1515" s="7656"/>
      <c r="AJ1515" s="7656"/>
      <c r="AK1515" s="7656"/>
      <c r="AL1515" s="7656"/>
      <c r="AM1515" s="7656"/>
      <c r="AN1515" s="7689"/>
      <c r="AO1515" s="7669"/>
      <c r="AP1515" s="7656"/>
      <c r="AQ1515" s="7656"/>
      <c r="AR1515" s="7656"/>
      <c r="AS1515" s="7656"/>
      <c r="AT1515" s="7689"/>
      <c r="AU1515" s="7665"/>
      <c r="AV1515" s="7665"/>
      <c r="AW1515" s="7665"/>
      <c r="AX1515" s="7653"/>
      <c r="AY1515" s="7684"/>
      <c r="AZ1515" s="7665"/>
      <c r="BA1515" s="7653"/>
      <c r="BB1515" s="7655"/>
      <c r="BC1515" s="7684"/>
      <c r="BD1515" s="7694"/>
      <c r="BF1515" s="14435"/>
      <c r="BG1515" s="14435"/>
      <c r="BH1515" s="14435"/>
      <c r="BI1515" s="14435"/>
      <c r="BJ1515" s="14435"/>
      <c r="BK1515" s="7911"/>
      <c r="BL1515" s="14435"/>
      <c r="BM1515" s="14435"/>
      <c r="BN1515" s="14435"/>
    </row>
    <row r="1516" spans="1:66" ht="18" hidden="1" customHeight="1">
      <c r="A1516" s="13526">
        <v>942</v>
      </c>
      <c r="B1516" s="13893" t="s">
        <v>8327</v>
      </c>
      <c r="C1516" s="13588"/>
      <c r="D1516" s="11986" t="s">
        <v>10066</v>
      </c>
      <c r="E1516" s="14385" t="s">
        <v>10307</v>
      </c>
      <c r="F1516" s="7852"/>
      <c r="G1516" s="13919" t="s">
        <v>6815</v>
      </c>
      <c r="H1516" s="13403" t="s">
        <v>6816</v>
      </c>
      <c r="I1516" s="13966">
        <v>1</v>
      </c>
      <c r="K1516" s="7653"/>
      <c r="L1516" s="7654"/>
      <c r="M1516" s="7654"/>
      <c r="N1516" s="7655"/>
      <c r="O1516" s="7655"/>
      <c r="P1516" s="7684"/>
      <c r="Q1516" s="7674"/>
      <c r="R1516" s="7669"/>
      <c r="S1516" s="7656"/>
      <c r="T1516" s="7689"/>
      <c r="U1516" s="7674"/>
      <c r="V1516" s="7669"/>
      <c r="W1516" s="7689"/>
      <c r="X1516" s="7669"/>
      <c r="Y1516" s="7689"/>
      <c r="Z1516" s="7669"/>
      <c r="AA1516" s="7656"/>
      <c r="AB1516" s="7656"/>
      <c r="AC1516" s="7656"/>
      <c r="AD1516" s="7656"/>
      <c r="AE1516" s="7656"/>
      <c r="AF1516" s="7689"/>
      <c r="AG1516" s="7669"/>
      <c r="AH1516" s="7656"/>
      <c r="AI1516" s="7656"/>
      <c r="AJ1516" s="7656"/>
      <c r="AK1516" s="7656"/>
      <c r="AL1516" s="7656"/>
      <c r="AM1516" s="7656"/>
      <c r="AN1516" s="7689"/>
      <c r="AO1516" s="7669"/>
      <c r="AP1516" s="7656"/>
      <c r="AQ1516" s="7656"/>
      <c r="AR1516" s="7656"/>
      <c r="AS1516" s="7656"/>
      <c r="AT1516" s="7689"/>
      <c r="AU1516" s="7665"/>
      <c r="AV1516" s="7665"/>
      <c r="AW1516" s="7665"/>
      <c r="AX1516" s="7653"/>
      <c r="AY1516" s="7684"/>
      <c r="AZ1516" s="7665"/>
      <c r="BA1516" s="7653"/>
      <c r="BB1516" s="7655"/>
      <c r="BC1516" s="7684"/>
      <c r="BD1516" s="7694"/>
      <c r="BF1516" s="14435"/>
      <c r="BG1516" s="14435"/>
      <c r="BH1516" s="14435"/>
      <c r="BI1516" s="14435"/>
      <c r="BJ1516" s="14435"/>
      <c r="BK1516" s="7911"/>
      <c r="BL1516" s="14435"/>
      <c r="BM1516" s="14435"/>
      <c r="BN1516" s="14435"/>
    </row>
    <row r="1517" spans="1:66" ht="18" hidden="1" customHeight="1">
      <c r="A1517" s="13526"/>
      <c r="B1517" s="13893"/>
      <c r="C1517" s="13588"/>
      <c r="D1517" s="11986" t="s">
        <v>10290</v>
      </c>
      <c r="E1517" s="14385"/>
      <c r="F1517" s="7853"/>
      <c r="G1517" s="13919"/>
      <c r="H1517" s="13403"/>
      <c r="I1517" s="13966"/>
      <c r="K1517" s="7653"/>
      <c r="L1517" s="7654"/>
      <c r="M1517" s="7654"/>
      <c r="N1517" s="7655"/>
      <c r="O1517" s="7655"/>
      <c r="P1517" s="7684"/>
      <c r="Q1517" s="7674"/>
      <c r="R1517" s="7669"/>
      <c r="S1517" s="7656"/>
      <c r="T1517" s="7689"/>
      <c r="U1517" s="7674"/>
      <c r="V1517" s="7669"/>
      <c r="W1517" s="7689"/>
      <c r="X1517" s="7669"/>
      <c r="Y1517" s="7689"/>
      <c r="Z1517" s="7669"/>
      <c r="AA1517" s="7656"/>
      <c r="AB1517" s="7656"/>
      <c r="AC1517" s="7656"/>
      <c r="AD1517" s="7656"/>
      <c r="AE1517" s="7656"/>
      <c r="AF1517" s="7689"/>
      <c r="AG1517" s="7669"/>
      <c r="AH1517" s="7656"/>
      <c r="AI1517" s="7656"/>
      <c r="AJ1517" s="7656"/>
      <c r="AK1517" s="7656"/>
      <c r="AL1517" s="7656"/>
      <c r="AM1517" s="7656"/>
      <c r="AN1517" s="7689"/>
      <c r="AO1517" s="7669"/>
      <c r="AP1517" s="7656"/>
      <c r="AQ1517" s="7656"/>
      <c r="AR1517" s="7656"/>
      <c r="AS1517" s="7656"/>
      <c r="AT1517" s="7689"/>
      <c r="AU1517" s="7665"/>
      <c r="AV1517" s="7665"/>
      <c r="AW1517" s="7665"/>
      <c r="AX1517" s="7653"/>
      <c r="AY1517" s="7684"/>
      <c r="AZ1517" s="7665"/>
      <c r="BA1517" s="7653"/>
      <c r="BB1517" s="7655"/>
      <c r="BC1517" s="7684"/>
      <c r="BD1517" s="7694"/>
      <c r="BF1517" s="14435"/>
      <c r="BG1517" s="14435"/>
      <c r="BH1517" s="14435"/>
      <c r="BI1517" s="14435"/>
      <c r="BJ1517" s="14435"/>
      <c r="BK1517" s="7911"/>
      <c r="BL1517" s="14435"/>
      <c r="BM1517" s="14435"/>
      <c r="BN1517" s="14435"/>
    </row>
    <row r="1518" spans="1:66" ht="18" hidden="1" customHeight="1">
      <c r="A1518" s="13526"/>
      <c r="B1518" s="13893"/>
      <c r="C1518" s="13588"/>
      <c r="D1518" s="11986" t="s">
        <v>10309</v>
      </c>
      <c r="E1518" s="7852"/>
      <c r="F1518" s="7852" t="s">
        <v>10308</v>
      </c>
      <c r="G1518" s="13919"/>
      <c r="H1518" s="13403"/>
      <c r="I1518" s="13966"/>
      <c r="K1518" s="7653"/>
      <c r="L1518" s="7654"/>
      <c r="M1518" s="7654"/>
      <c r="N1518" s="7655"/>
      <c r="O1518" s="7655"/>
      <c r="P1518" s="7684"/>
      <c r="Q1518" s="7674"/>
      <c r="R1518" s="7669"/>
      <c r="S1518" s="7656"/>
      <c r="T1518" s="7689"/>
      <c r="U1518" s="7674"/>
      <c r="V1518" s="7669"/>
      <c r="W1518" s="7689"/>
      <c r="X1518" s="7669"/>
      <c r="Y1518" s="7689"/>
      <c r="Z1518" s="7669"/>
      <c r="AA1518" s="7656"/>
      <c r="AB1518" s="7656"/>
      <c r="AC1518" s="7656"/>
      <c r="AD1518" s="7656"/>
      <c r="AE1518" s="7656"/>
      <c r="AF1518" s="7689"/>
      <c r="AG1518" s="7669"/>
      <c r="AH1518" s="7656"/>
      <c r="AI1518" s="7656"/>
      <c r="AJ1518" s="7656"/>
      <c r="AK1518" s="7656"/>
      <c r="AL1518" s="7656"/>
      <c r="AM1518" s="7656"/>
      <c r="AN1518" s="7689"/>
      <c r="AO1518" s="7669"/>
      <c r="AP1518" s="7656"/>
      <c r="AQ1518" s="7656"/>
      <c r="AR1518" s="7656"/>
      <c r="AS1518" s="7656"/>
      <c r="AT1518" s="7689"/>
      <c r="AU1518" s="7665"/>
      <c r="AV1518" s="7665"/>
      <c r="AW1518" s="7665"/>
      <c r="AX1518" s="7653"/>
      <c r="AY1518" s="7684"/>
      <c r="AZ1518" s="7665"/>
      <c r="BA1518" s="7653"/>
      <c r="BB1518" s="7655"/>
      <c r="BC1518" s="7684"/>
      <c r="BD1518" s="7694"/>
      <c r="BF1518" s="14435"/>
      <c r="BG1518" s="14435"/>
      <c r="BH1518" s="14435"/>
      <c r="BI1518" s="14435"/>
      <c r="BJ1518" s="14435"/>
      <c r="BK1518" s="7911"/>
      <c r="BL1518" s="14435"/>
      <c r="BM1518" s="14435"/>
      <c r="BN1518" s="14435"/>
    </row>
    <row r="1519" spans="1:66" ht="30" hidden="1" customHeight="1">
      <c r="A1519" s="13526">
        <v>943</v>
      </c>
      <c r="B1519" s="13893" t="s">
        <v>8328</v>
      </c>
      <c r="C1519" s="13588"/>
      <c r="D1519" s="14375" t="s">
        <v>218</v>
      </c>
      <c r="E1519" s="7852" t="s">
        <v>6823</v>
      </c>
      <c r="F1519" s="7852"/>
      <c r="G1519" s="13919" t="s">
        <v>6820</v>
      </c>
      <c r="H1519" s="11910" t="s">
        <v>6821</v>
      </c>
      <c r="I1519" s="11911">
        <v>120</v>
      </c>
      <c r="K1519" s="7657"/>
      <c r="L1519" s="7658"/>
      <c r="M1519" s="7658"/>
      <c r="N1519" s="7659"/>
      <c r="O1519" s="7659"/>
      <c r="P1519" s="7685"/>
      <c r="Q1519" s="7675"/>
      <c r="R1519" s="7670"/>
      <c r="S1519" s="7660"/>
      <c r="T1519" s="7690"/>
      <c r="U1519" s="7675"/>
      <c r="V1519" s="7670"/>
      <c r="W1519" s="7690"/>
      <c r="X1519" s="7670"/>
      <c r="Y1519" s="7690"/>
      <c r="Z1519" s="7670"/>
      <c r="AA1519" s="7660"/>
      <c r="AB1519" s="7660"/>
      <c r="AC1519" s="7660"/>
      <c r="AD1519" s="7660"/>
      <c r="AE1519" s="7660"/>
      <c r="AF1519" s="7690"/>
      <c r="AG1519" s="7670"/>
      <c r="AH1519" s="7660"/>
      <c r="AI1519" s="7660"/>
      <c r="AJ1519" s="7660"/>
      <c r="AK1519" s="7660"/>
      <c r="AL1519" s="7660"/>
      <c r="AM1519" s="7660"/>
      <c r="AN1519" s="7690"/>
      <c r="AO1519" s="7670"/>
      <c r="AP1519" s="7660"/>
      <c r="AQ1519" s="7660"/>
      <c r="AR1519" s="7660"/>
      <c r="AS1519" s="7660"/>
      <c r="AT1519" s="7690"/>
      <c r="AU1519" s="7666"/>
      <c r="AV1519" s="7666"/>
      <c r="AW1519" s="7666"/>
      <c r="AX1519" s="7657"/>
      <c r="AY1519" s="7685"/>
      <c r="AZ1519" s="7666"/>
      <c r="BA1519" s="7657"/>
      <c r="BB1519" s="7659"/>
      <c r="BC1519" s="7685"/>
      <c r="BD1519" s="7901"/>
      <c r="BF1519" s="14435"/>
      <c r="BG1519" s="14435"/>
      <c r="BH1519" s="14435"/>
      <c r="BI1519" s="14435"/>
      <c r="BJ1519" s="14435"/>
      <c r="BK1519" s="7911"/>
      <c r="BL1519" s="14435"/>
      <c r="BM1519" s="14435"/>
      <c r="BN1519" s="14435"/>
    </row>
    <row r="1520" spans="1:66" ht="30" hidden="1" customHeight="1" thickBot="1">
      <c r="A1520" s="13652"/>
      <c r="B1520" s="13895"/>
      <c r="C1520" s="13588"/>
      <c r="D1520" s="14376"/>
      <c r="E1520" s="11913" t="s">
        <v>6823</v>
      </c>
      <c r="F1520" s="11913"/>
      <c r="G1520" s="13920"/>
      <c r="H1520" s="12627" t="s">
        <v>6825</v>
      </c>
      <c r="I1520" s="12628"/>
      <c r="K1520" s="9744"/>
      <c r="L1520" s="11242"/>
      <c r="M1520" s="11242"/>
      <c r="N1520" s="7915"/>
      <c r="O1520" s="7915"/>
      <c r="P1520" s="11243"/>
      <c r="Q1520" s="11244"/>
      <c r="R1520" s="11245"/>
      <c r="S1520" s="11246"/>
      <c r="T1520" s="11247"/>
      <c r="U1520" s="11244"/>
      <c r="V1520" s="11245"/>
      <c r="W1520" s="11247"/>
      <c r="X1520" s="11245"/>
      <c r="Y1520" s="11247"/>
      <c r="Z1520" s="11245"/>
      <c r="AA1520" s="11246"/>
      <c r="AB1520" s="11246"/>
      <c r="AC1520" s="11246"/>
      <c r="AD1520" s="11246"/>
      <c r="AE1520" s="11246"/>
      <c r="AF1520" s="11247"/>
      <c r="AG1520" s="11245"/>
      <c r="AH1520" s="11246"/>
      <c r="AI1520" s="11246"/>
      <c r="AJ1520" s="11246"/>
      <c r="AK1520" s="11246"/>
      <c r="AL1520" s="11246"/>
      <c r="AM1520" s="11246"/>
      <c r="AN1520" s="11247"/>
      <c r="AO1520" s="11245"/>
      <c r="AP1520" s="11246"/>
      <c r="AQ1520" s="11246"/>
      <c r="AR1520" s="11246"/>
      <c r="AS1520" s="11246"/>
      <c r="AT1520" s="11247"/>
      <c r="AU1520" s="11248"/>
      <c r="AV1520" s="11248"/>
      <c r="AW1520" s="11248"/>
      <c r="AX1520" s="9744"/>
      <c r="AY1520" s="11243"/>
      <c r="AZ1520" s="11248"/>
      <c r="BA1520" s="9744"/>
      <c r="BB1520" s="7915"/>
      <c r="BC1520" s="11243"/>
      <c r="BD1520" s="7902"/>
      <c r="BF1520" s="14436"/>
      <c r="BG1520" s="14436"/>
      <c r="BH1520" s="14436"/>
      <c r="BI1520" s="14436"/>
      <c r="BJ1520" s="14436"/>
      <c r="BK1520" s="7912"/>
      <c r="BL1520" s="14436"/>
      <c r="BM1520" s="14436"/>
      <c r="BN1520" s="14436"/>
    </row>
    <row r="1521" spans="1:66" ht="16.5" hidden="1" customHeight="1">
      <c r="A1521" s="13653">
        <v>944</v>
      </c>
      <c r="B1521" s="14378" t="s">
        <v>8329</v>
      </c>
      <c r="C1521" s="13588"/>
      <c r="D1521" s="12629" t="s">
        <v>10066</v>
      </c>
      <c r="E1521" s="12630" t="s">
        <v>6787</v>
      </c>
      <c r="F1521" s="12630"/>
      <c r="G1521" s="14379" t="s">
        <v>6833</v>
      </c>
      <c r="H1521" s="13404" t="s">
        <v>6834</v>
      </c>
      <c r="I1521" s="14397">
        <v>4</v>
      </c>
      <c r="K1521" s="10275"/>
      <c r="L1521" s="10276"/>
      <c r="M1521" s="10276"/>
      <c r="N1521" s="10277"/>
      <c r="O1521" s="10277"/>
      <c r="P1521" s="10278"/>
      <c r="Q1521" s="10279"/>
      <c r="R1521" s="10280"/>
      <c r="S1521" s="10281"/>
      <c r="T1521" s="10282"/>
      <c r="U1521" s="10279"/>
      <c r="V1521" s="10280"/>
      <c r="W1521" s="10282"/>
      <c r="X1521" s="10280"/>
      <c r="Y1521" s="10282"/>
      <c r="Z1521" s="10280"/>
      <c r="AA1521" s="10281"/>
      <c r="AB1521" s="10281"/>
      <c r="AC1521" s="10281"/>
      <c r="AD1521" s="10281"/>
      <c r="AE1521" s="10281"/>
      <c r="AF1521" s="10282"/>
      <c r="AG1521" s="10280"/>
      <c r="AH1521" s="10281"/>
      <c r="AI1521" s="10281"/>
      <c r="AJ1521" s="10281"/>
      <c r="AK1521" s="10281"/>
      <c r="AL1521" s="10281"/>
      <c r="AM1521" s="10281"/>
      <c r="AN1521" s="10282"/>
      <c r="AO1521" s="10280"/>
      <c r="AP1521" s="10281"/>
      <c r="AQ1521" s="10281"/>
      <c r="AR1521" s="10281"/>
      <c r="AS1521" s="10281"/>
      <c r="AT1521" s="10282"/>
      <c r="AU1521" s="10283"/>
      <c r="AV1521" s="10283"/>
      <c r="AW1521" s="10283"/>
      <c r="AX1521" s="10275"/>
      <c r="AY1521" s="10278"/>
      <c r="AZ1521" s="10283"/>
      <c r="BA1521" s="10275"/>
      <c r="BB1521" s="10277"/>
      <c r="BC1521" s="10278"/>
      <c r="BD1521" s="10284"/>
      <c r="BF1521" s="14566"/>
      <c r="BG1521" s="14566"/>
      <c r="BH1521" s="14566"/>
      <c r="BI1521" s="14566"/>
      <c r="BJ1521" s="14566"/>
      <c r="BK1521" s="11249"/>
      <c r="BL1521" s="14566"/>
      <c r="BM1521" s="14566"/>
      <c r="BN1521" s="14566"/>
    </row>
    <row r="1522" spans="1:66" ht="16.5" hidden="1" customHeight="1">
      <c r="A1522" s="13654"/>
      <c r="B1522" s="13951"/>
      <c r="C1522" s="13588"/>
      <c r="D1522" s="11975" t="s">
        <v>10213</v>
      </c>
      <c r="E1522" s="12631"/>
      <c r="F1522" s="14377" t="s">
        <v>6841</v>
      </c>
      <c r="G1522" s="13931"/>
      <c r="H1522" s="13405"/>
      <c r="I1522" s="13880"/>
      <c r="K1522" s="9162"/>
      <c r="L1522" s="9163"/>
      <c r="M1522" s="9163"/>
      <c r="N1522" s="9164"/>
      <c r="O1522" s="9164"/>
      <c r="P1522" s="9165"/>
      <c r="Q1522" s="9166"/>
      <c r="R1522" s="9167"/>
      <c r="S1522" s="9168"/>
      <c r="T1522" s="9169"/>
      <c r="U1522" s="9166"/>
      <c r="V1522" s="9167"/>
      <c r="W1522" s="9169"/>
      <c r="X1522" s="9167"/>
      <c r="Y1522" s="9169"/>
      <c r="Z1522" s="9167"/>
      <c r="AA1522" s="9168"/>
      <c r="AB1522" s="9168"/>
      <c r="AC1522" s="9168"/>
      <c r="AD1522" s="9168"/>
      <c r="AE1522" s="9168"/>
      <c r="AF1522" s="9169"/>
      <c r="AG1522" s="9167"/>
      <c r="AH1522" s="9168"/>
      <c r="AI1522" s="9168"/>
      <c r="AJ1522" s="9168"/>
      <c r="AK1522" s="9168"/>
      <c r="AL1522" s="9168"/>
      <c r="AM1522" s="9168"/>
      <c r="AN1522" s="9169"/>
      <c r="AO1522" s="9167"/>
      <c r="AP1522" s="9168"/>
      <c r="AQ1522" s="9168"/>
      <c r="AR1522" s="9168"/>
      <c r="AS1522" s="9168"/>
      <c r="AT1522" s="9169"/>
      <c r="AU1522" s="9170"/>
      <c r="AV1522" s="9170"/>
      <c r="AW1522" s="9170"/>
      <c r="AX1522" s="9162"/>
      <c r="AY1522" s="9165"/>
      <c r="AZ1522" s="9170"/>
      <c r="BA1522" s="9162"/>
      <c r="BB1522" s="9164"/>
      <c r="BC1522" s="9165"/>
      <c r="BD1522" s="9171"/>
      <c r="BF1522" s="14454"/>
      <c r="BG1522" s="14454"/>
      <c r="BH1522" s="14454"/>
      <c r="BI1522" s="14454"/>
      <c r="BJ1522" s="14454"/>
      <c r="BK1522" s="9153"/>
      <c r="BL1522" s="14454"/>
      <c r="BM1522" s="14454"/>
      <c r="BN1522" s="14454"/>
    </row>
    <row r="1523" spans="1:66" ht="16.5" hidden="1" customHeight="1">
      <c r="A1523" s="13654"/>
      <c r="B1523" s="13951"/>
      <c r="C1523" s="13588"/>
      <c r="D1523" s="11975" t="s">
        <v>10290</v>
      </c>
      <c r="E1523" s="12631"/>
      <c r="F1523" s="14377"/>
      <c r="G1523" s="13931"/>
      <c r="H1523" s="13405"/>
      <c r="I1523" s="13880"/>
      <c r="K1523" s="9162"/>
      <c r="L1523" s="9163"/>
      <c r="M1523" s="9163"/>
      <c r="N1523" s="9164"/>
      <c r="O1523" s="9164"/>
      <c r="P1523" s="9165"/>
      <c r="Q1523" s="9166"/>
      <c r="R1523" s="9167"/>
      <c r="S1523" s="9168"/>
      <c r="T1523" s="9169"/>
      <c r="U1523" s="9166"/>
      <c r="V1523" s="9167"/>
      <c r="W1523" s="9169"/>
      <c r="X1523" s="9167"/>
      <c r="Y1523" s="9169"/>
      <c r="Z1523" s="9167"/>
      <c r="AA1523" s="9168"/>
      <c r="AB1523" s="9168"/>
      <c r="AC1523" s="9168"/>
      <c r="AD1523" s="9168"/>
      <c r="AE1523" s="9168"/>
      <c r="AF1523" s="9169"/>
      <c r="AG1523" s="9167"/>
      <c r="AH1523" s="9168"/>
      <c r="AI1523" s="9168"/>
      <c r="AJ1523" s="9168"/>
      <c r="AK1523" s="9168"/>
      <c r="AL1523" s="9168"/>
      <c r="AM1523" s="9168"/>
      <c r="AN1523" s="9169"/>
      <c r="AO1523" s="9167"/>
      <c r="AP1523" s="9168"/>
      <c r="AQ1523" s="9168"/>
      <c r="AR1523" s="9168"/>
      <c r="AS1523" s="9168"/>
      <c r="AT1523" s="9169"/>
      <c r="AU1523" s="9170"/>
      <c r="AV1523" s="9170"/>
      <c r="AW1523" s="9170"/>
      <c r="AX1523" s="9162"/>
      <c r="AY1523" s="9165"/>
      <c r="AZ1523" s="9170"/>
      <c r="BA1523" s="9162"/>
      <c r="BB1523" s="9164"/>
      <c r="BC1523" s="9165"/>
      <c r="BD1523" s="9171"/>
      <c r="BF1523" s="14454"/>
      <c r="BG1523" s="14454"/>
      <c r="BH1523" s="14454"/>
      <c r="BI1523" s="14454"/>
      <c r="BJ1523" s="14454"/>
      <c r="BK1523" s="9153"/>
      <c r="BL1523" s="14454"/>
      <c r="BM1523" s="14454"/>
      <c r="BN1523" s="14454"/>
    </row>
    <row r="1524" spans="1:66" ht="16.5" hidden="1" customHeight="1">
      <c r="A1524" s="13654"/>
      <c r="B1524" s="13951"/>
      <c r="C1524" s="13588"/>
      <c r="D1524" s="11975" t="s">
        <v>10186</v>
      </c>
      <c r="E1524" s="12631"/>
      <c r="F1524" s="14377"/>
      <c r="G1524" s="13931"/>
      <c r="H1524" s="13405"/>
      <c r="I1524" s="13880"/>
      <c r="K1524" s="9162"/>
      <c r="L1524" s="9163"/>
      <c r="M1524" s="9163"/>
      <c r="N1524" s="9164"/>
      <c r="O1524" s="9164"/>
      <c r="P1524" s="9165"/>
      <c r="Q1524" s="9166"/>
      <c r="R1524" s="9167"/>
      <c r="S1524" s="9168"/>
      <c r="T1524" s="9169"/>
      <c r="U1524" s="9166"/>
      <c r="V1524" s="9167"/>
      <c r="W1524" s="9169"/>
      <c r="X1524" s="9167"/>
      <c r="Y1524" s="9169"/>
      <c r="Z1524" s="9167"/>
      <c r="AA1524" s="9168"/>
      <c r="AB1524" s="9168"/>
      <c r="AC1524" s="9168"/>
      <c r="AD1524" s="9168"/>
      <c r="AE1524" s="9168"/>
      <c r="AF1524" s="9169"/>
      <c r="AG1524" s="9167"/>
      <c r="AH1524" s="9168"/>
      <c r="AI1524" s="9168"/>
      <c r="AJ1524" s="9168"/>
      <c r="AK1524" s="9168"/>
      <c r="AL1524" s="9168"/>
      <c r="AM1524" s="9168"/>
      <c r="AN1524" s="9169"/>
      <c r="AO1524" s="9167"/>
      <c r="AP1524" s="9168"/>
      <c r="AQ1524" s="9168"/>
      <c r="AR1524" s="9168"/>
      <c r="AS1524" s="9168"/>
      <c r="AT1524" s="9169"/>
      <c r="AU1524" s="9170"/>
      <c r="AV1524" s="9170"/>
      <c r="AW1524" s="9170"/>
      <c r="AX1524" s="9162"/>
      <c r="AY1524" s="9165"/>
      <c r="AZ1524" s="9170"/>
      <c r="BA1524" s="9162"/>
      <c r="BB1524" s="9164"/>
      <c r="BC1524" s="9165"/>
      <c r="BD1524" s="9171"/>
      <c r="BF1524" s="14454"/>
      <c r="BG1524" s="14454"/>
      <c r="BH1524" s="14454"/>
      <c r="BI1524" s="14454"/>
      <c r="BJ1524" s="14454"/>
      <c r="BK1524" s="9153"/>
      <c r="BL1524" s="14454"/>
      <c r="BM1524" s="14454"/>
      <c r="BN1524" s="14454"/>
    </row>
    <row r="1525" spans="1:66" ht="16.5" hidden="1" customHeight="1">
      <c r="A1525" s="13654"/>
      <c r="B1525" s="13951"/>
      <c r="C1525" s="13588"/>
      <c r="D1525" s="11975" t="s">
        <v>10066</v>
      </c>
      <c r="E1525" s="7826" t="s">
        <v>6787</v>
      </c>
      <c r="F1525" s="7826"/>
      <c r="G1525" s="13931"/>
      <c r="H1525" s="13405" t="s">
        <v>6842</v>
      </c>
      <c r="I1525" s="13880">
        <v>1800</v>
      </c>
      <c r="K1525" s="9162"/>
      <c r="L1525" s="9163"/>
      <c r="M1525" s="9163"/>
      <c r="N1525" s="9164"/>
      <c r="O1525" s="9164"/>
      <c r="P1525" s="9165"/>
      <c r="Q1525" s="9166"/>
      <c r="R1525" s="9167"/>
      <c r="S1525" s="9168"/>
      <c r="T1525" s="9169"/>
      <c r="U1525" s="9166"/>
      <c r="V1525" s="9167"/>
      <c r="W1525" s="9169"/>
      <c r="X1525" s="9167"/>
      <c r="Y1525" s="9169"/>
      <c r="Z1525" s="9167"/>
      <c r="AA1525" s="9168"/>
      <c r="AB1525" s="9168"/>
      <c r="AC1525" s="9168"/>
      <c r="AD1525" s="9168"/>
      <c r="AE1525" s="9168"/>
      <c r="AF1525" s="9169"/>
      <c r="AG1525" s="9167"/>
      <c r="AH1525" s="9168"/>
      <c r="AI1525" s="9168"/>
      <c r="AJ1525" s="9168"/>
      <c r="AK1525" s="9168"/>
      <c r="AL1525" s="9168"/>
      <c r="AM1525" s="9168"/>
      <c r="AN1525" s="9169"/>
      <c r="AO1525" s="9167"/>
      <c r="AP1525" s="9168"/>
      <c r="AQ1525" s="9168"/>
      <c r="AR1525" s="9168"/>
      <c r="AS1525" s="9168"/>
      <c r="AT1525" s="9169"/>
      <c r="AU1525" s="9170"/>
      <c r="AV1525" s="9170"/>
      <c r="AW1525" s="9170"/>
      <c r="AX1525" s="9162"/>
      <c r="AY1525" s="9165"/>
      <c r="AZ1525" s="9170"/>
      <c r="BA1525" s="9162"/>
      <c r="BB1525" s="9164"/>
      <c r="BC1525" s="9165"/>
      <c r="BD1525" s="9171"/>
      <c r="BF1525" s="14454"/>
      <c r="BG1525" s="14454"/>
      <c r="BH1525" s="14454"/>
      <c r="BI1525" s="14454"/>
      <c r="BJ1525" s="14454"/>
      <c r="BK1525" s="9153"/>
      <c r="BL1525" s="14454"/>
      <c r="BM1525" s="14454"/>
      <c r="BN1525" s="14454"/>
    </row>
    <row r="1526" spans="1:66" ht="39.75" hidden="1" customHeight="1">
      <c r="A1526" s="13654"/>
      <c r="B1526" s="13951"/>
      <c r="C1526" s="13588"/>
      <c r="D1526" s="11975" t="s">
        <v>10310</v>
      </c>
      <c r="E1526" s="7826" t="s">
        <v>6845</v>
      </c>
      <c r="F1526" s="7826"/>
      <c r="G1526" s="13931"/>
      <c r="H1526" s="13405"/>
      <c r="I1526" s="13880"/>
      <c r="K1526" s="9162"/>
      <c r="L1526" s="9163"/>
      <c r="M1526" s="9163"/>
      <c r="N1526" s="9164"/>
      <c r="O1526" s="9164"/>
      <c r="P1526" s="9165"/>
      <c r="Q1526" s="9166"/>
      <c r="R1526" s="9167"/>
      <c r="S1526" s="9168"/>
      <c r="T1526" s="9169"/>
      <c r="U1526" s="9166"/>
      <c r="V1526" s="9167"/>
      <c r="W1526" s="9169"/>
      <c r="X1526" s="9167"/>
      <c r="Y1526" s="9169"/>
      <c r="Z1526" s="9167"/>
      <c r="AA1526" s="9168"/>
      <c r="AB1526" s="9168"/>
      <c r="AC1526" s="9168"/>
      <c r="AD1526" s="9168"/>
      <c r="AE1526" s="9168"/>
      <c r="AF1526" s="9169"/>
      <c r="AG1526" s="9167"/>
      <c r="AH1526" s="9168"/>
      <c r="AI1526" s="9168"/>
      <c r="AJ1526" s="9168"/>
      <c r="AK1526" s="9168"/>
      <c r="AL1526" s="9168"/>
      <c r="AM1526" s="9168"/>
      <c r="AN1526" s="9169"/>
      <c r="AO1526" s="9167"/>
      <c r="AP1526" s="9168"/>
      <c r="AQ1526" s="9168"/>
      <c r="AR1526" s="9168"/>
      <c r="AS1526" s="9168"/>
      <c r="AT1526" s="9169"/>
      <c r="AU1526" s="9170"/>
      <c r="AV1526" s="9170"/>
      <c r="AW1526" s="9170"/>
      <c r="AX1526" s="9162"/>
      <c r="AY1526" s="9165"/>
      <c r="AZ1526" s="9170"/>
      <c r="BA1526" s="9162"/>
      <c r="BB1526" s="9164"/>
      <c r="BC1526" s="9165"/>
      <c r="BD1526" s="9171"/>
      <c r="BF1526" s="14454"/>
      <c r="BG1526" s="14454"/>
      <c r="BH1526" s="14454"/>
      <c r="BI1526" s="14454"/>
      <c r="BJ1526" s="14454"/>
      <c r="BK1526" s="9153"/>
      <c r="BL1526" s="14454"/>
      <c r="BM1526" s="14454"/>
      <c r="BN1526" s="14454"/>
    </row>
    <row r="1527" spans="1:66" ht="16.5" hidden="1" customHeight="1">
      <c r="A1527" s="13654">
        <v>945</v>
      </c>
      <c r="B1527" s="13951" t="s">
        <v>8330</v>
      </c>
      <c r="C1527" s="13588"/>
      <c r="D1527" s="11975" t="s">
        <v>10066</v>
      </c>
      <c r="E1527" s="14356" t="s">
        <v>6850</v>
      </c>
      <c r="F1527" s="7826"/>
      <c r="G1527" s="13931" t="s">
        <v>6846</v>
      </c>
      <c r="H1527" s="13405" t="s">
        <v>6847</v>
      </c>
      <c r="I1527" s="14391">
        <v>1</v>
      </c>
      <c r="K1527" s="11250"/>
      <c r="L1527" s="9163"/>
      <c r="M1527" s="9163"/>
      <c r="N1527" s="11251"/>
      <c r="O1527" s="11251"/>
      <c r="P1527" s="11252"/>
      <c r="Q1527" s="9166"/>
      <c r="R1527" s="9167"/>
      <c r="S1527" s="9168"/>
      <c r="T1527" s="9169"/>
      <c r="U1527" s="9166"/>
      <c r="V1527" s="9167"/>
      <c r="W1527" s="9169"/>
      <c r="X1527" s="9167"/>
      <c r="Y1527" s="9169"/>
      <c r="Z1527" s="9167"/>
      <c r="AA1527" s="9168"/>
      <c r="AB1527" s="9168"/>
      <c r="AC1527" s="9168"/>
      <c r="AD1527" s="9168"/>
      <c r="AE1527" s="9168"/>
      <c r="AF1527" s="9169"/>
      <c r="AG1527" s="9167"/>
      <c r="AH1527" s="9168"/>
      <c r="AI1527" s="9168"/>
      <c r="AJ1527" s="9168"/>
      <c r="AK1527" s="9168"/>
      <c r="AL1527" s="9168"/>
      <c r="AM1527" s="9168"/>
      <c r="AN1527" s="9169"/>
      <c r="AO1527" s="9167"/>
      <c r="AP1527" s="9168"/>
      <c r="AQ1527" s="9168"/>
      <c r="AR1527" s="9168"/>
      <c r="AS1527" s="9168"/>
      <c r="AT1527" s="9169"/>
      <c r="AU1527" s="11253"/>
      <c r="AV1527" s="11253"/>
      <c r="AW1527" s="11253"/>
      <c r="AX1527" s="11250"/>
      <c r="AY1527" s="11252"/>
      <c r="AZ1527" s="11253"/>
      <c r="BA1527" s="11250"/>
      <c r="BB1527" s="11251"/>
      <c r="BC1527" s="11252"/>
      <c r="BD1527" s="11254"/>
      <c r="BF1527" s="14454"/>
      <c r="BG1527" s="14454"/>
      <c r="BH1527" s="14454"/>
      <c r="BI1527" s="14454"/>
      <c r="BJ1527" s="14454"/>
      <c r="BK1527" s="9153"/>
      <c r="BL1527" s="14454"/>
      <c r="BM1527" s="14454"/>
      <c r="BN1527" s="14454"/>
    </row>
    <row r="1528" spans="1:66" ht="16.5" hidden="1" customHeight="1">
      <c r="A1528" s="13654"/>
      <c r="B1528" s="13951"/>
      <c r="C1528" s="13588"/>
      <c r="D1528" s="11975" t="s">
        <v>2896</v>
      </c>
      <c r="E1528" s="14356"/>
      <c r="F1528" s="7826"/>
      <c r="G1528" s="13931"/>
      <c r="H1528" s="13405"/>
      <c r="I1528" s="14391"/>
      <c r="K1528" s="11250"/>
      <c r="L1528" s="9163"/>
      <c r="M1528" s="9163"/>
      <c r="N1528" s="11251"/>
      <c r="O1528" s="11251"/>
      <c r="P1528" s="11252"/>
      <c r="Q1528" s="9166"/>
      <c r="R1528" s="9167"/>
      <c r="S1528" s="9168"/>
      <c r="T1528" s="9169"/>
      <c r="U1528" s="9166"/>
      <c r="V1528" s="9167"/>
      <c r="W1528" s="9169"/>
      <c r="X1528" s="9167"/>
      <c r="Y1528" s="9169"/>
      <c r="Z1528" s="9167"/>
      <c r="AA1528" s="9168"/>
      <c r="AB1528" s="9168"/>
      <c r="AC1528" s="9168"/>
      <c r="AD1528" s="9168"/>
      <c r="AE1528" s="9168"/>
      <c r="AF1528" s="9169"/>
      <c r="AG1528" s="9167"/>
      <c r="AH1528" s="9168"/>
      <c r="AI1528" s="9168"/>
      <c r="AJ1528" s="9168"/>
      <c r="AK1528" s="9168"/>
      <c r="AL1528" s="9168"/>
      <c r="AM1528" s="9168"/>
      <c r="AN1528" s="9169"/>
      <c r="AO1528" s="9167"/>
      <c r="AP1528" s="9168"/>
      <c r="AQ1528" s="9168"/>
      <c r="AR1528" s="9168"/>
      <c r="AS1528" s="9168"/>
      <c r="AT1528" s="9169"/>
      <c r="AU1528" s="11253"/>
      <c r="AV1528" s="11253"/>
      <c r="AW1528" s="11253"/>
      <c r="AX1528" s="11250"/>
      <c r="AY1528" s="11252"/>
      <c r="AZ1528" s="11253"/>
      <c r="BA1528" s="11250"/>
      <c r="BB1528" s="11251"/>
      <c r="BC1528" s="11252"/>
      <c r="BD1528" s="11254"/>
      <c r="BF1528" s="14454"/>
      <c r="BG1528" s="14454"/>
      <c r="BH1528" s="14454"/>
      <c r="BI1528" s="14454"/>
      <c r="BJ1528" s="14454"/>
      <c r="BK1528" s="9153"/>
      <c r="BL1528" s="14454"/>
      <c r="BM1528" s="14454"/>
      <c r="BN1528" s="14454"/>
    </row>
    <row r="1529" spans="1:66" ht="16.5" hidden="1" customHeight="1">
      <c r="A1529" s="13654"/>
      <c r="B1529" s="13951"/>
      <c r="C1529" s="13588"/>
      <c r="D1529" s="11975" t="s">
        <v>218</v>
      </c>
      <c r="E1529" s="14356"/>
      <c r="F1529" s="7826"/>
      <c r="G1529" s="13931"/>
      <c r="H1529" s="13405"/>
      <c r="I1529" s="14391"/>
      <c r="K1529" s="11250"/>
      <c r="L1529" s="9163"/>
      <c r="M1529" s="9163"/>
      <c r="N1529" s="11251"/>
      <c r="O1529" s="11251"/>
      <c r="P1529" s="11252"/>
      <c r="Q1529" s="9166"/>
      <c r="R1529" s="9167"/>
      <c r="S1529" s="9168"/>
      <c r="T1529" s="9169"/>
      <c r="U1529" s="9166"/>
      <c r="V1529" s="9167"/>
      <c r="W1529" s="9169"/>
      <c r="X1529" s="9167"/>
      <c r="Y1529" s="9169"/>
      <c r="Z1529" s="9167"/>
      <c r="AA1529" s="9168"/>
      <c r="AB1529" s="9168"/>
      <c r="AC1529" s="9168"/>
      <c r="AD1529" s="9168"/>
      <c r="AE1529" s="9168"/>
      <c r="AF1529" s="9169"/>
      <c r="AG1529" s="9167"/>
      <c r="AH1529" s="9168"/>
      <c r="AI1529" s="9168"/>
      <c r="AJ1529" s="9168"/>
      <c r="AK1529" s="9168"/>
      <c r="AL1529" s="9168"/>
      <c r="AM1529" s="9168"/>
      <c r="AN1529" s="9169"/>
      <c r="AO1529" s="9167"/>
      <c r="AP1529" s="9168"/>
      <c r="AQ1529" s="9168"/>
      <c r="AR1529" s="9168"/>
      <c r="AS1529" s="9168"/>
      <c r="AT1529" s="9169"/>
      <c r="AU1529" s="11253"/>
      <c r="AV1529" s="11253"/>
      <c r="AW1529" s="11253"/>
      <c r="AX1529" s="11250"/>
      <c r="AY1529" s="11252"/>
      <c r="AZ1529" s="11253"/>
      <c r="BA1529" s="11250"/>
      <c r="BB1529" s="11251"/>
      <c r="BC1529" s="11252"/>
      <c r="BD1529" s="11254"/>
      <c r="BF1529" s="14454"/>
      <c r="BG1529" s="14454"/>
      <c r="BH1529" s="14454"/>
      <c r="BI1529" s="14454"/>
      <c r="BJ1529" s="14454"/>
      <c r="BK1529" s="9153"/>
      <c r="BL1529" s="14454"/>
      <c r="BM1529" s="14454"/>
      <c r="BN1529" s="14454"/>
    </row>
    <row r="1530" spans="1:66" ht="16.5" hidden="1" customHeight="1">
      <c r="A1530" s="13654"/>
      <c r="B1530" s="13951"/>
      <c r="C1530" s="13588"/>
      <c r="D1530" s="11975" t="s">
        <v>10063</v>
      </c>
      <c r="E1530" s="14356"/>
      <c r="F1530" s="7826"/>
      <c r="G1530" s="13931"/>
      <c r="H1530" s="13405"/>
      <c r="I1530" s="14391"/>
      <c r="K1530" s="11250"/>
      <c r="L1530" s="9163"/>
      <c r="M1530" s="9163"/>
      <c r="N1530" s="11251"/>
      <c r="O1530" s="11251"/>
      <c r="P1530" s="11252"/>
      <c r="Q1530" s="9166"/>
      <c r="R1530" s="9167"/>
      <c r="S1530" s="9168"/>
      <c r="T1530" s="9169"/>
      <c r="U1530" s="9166"/>
      <c r="V1530" s="9167"/>
      <c r="W1530" s="9169"/>
      <c r="X1530" s="9167"/>
      <c r="Y1530" s="9169"/>
      <c r="Z1530" s="9167"/>
      <c r="AA1530" s="9168"/>
      <c r="AB1530" s="9168"/>
      <c r="AC1530" s="9168"/>
      <c r="AD1530" s="9168"/>
      <c r="AE1530" s="9168"/>
      <c r="AF1530" s="9169"/>
      <c r="AG1530" s="9167"/>
      <c r="AH1530" s="9168"/>
      <c r="AI1530" s="9168"/>
      <c r="AJ1530" s="9168"/>
      <c r="AK1530" s="9168"/>
      <c r="AL1530" s="9168"/>
      <c r="AM1530" s="9168"/>
      <c r="AN1530" s="9169"/>
      <c r="AO1530" s="9167"/>
      <c r="AP1530" s="9168"/>
      <c r="AQ1530" s="9168"/>
      <c r="AR1530" s="9168"/>
      <c r="AS1530" s="9168"/>
      <c r="AT1530" s="9169"/>
      <c r="AU1530" s="11253"/>
      <c r="AV1530" s="11253"/>
      <c r="AW1530" s="11253"/>
      <c r="AX1530" s="11250"/>
      <c r="AY1530" s="11252"/>
      <c r="AZ1530" s="11253"/>
      <c r="BA1530" s="11250"/>
      <c r="BB1530" s="11251"/>
      <c r="BC1530" s="11252"/>
      <c r="BD1530" s="11254"/>
      <c r="BF1530" s="14454"/>
      <c r="BG1530" s="14454"/>
      <c r="BH1530" s="14454"/>
      <c r="BI1530" s="14454"/>
      <c r="BJ1530" s="14454"/>
      <c r="BK1530" s="9153"/>
      <c r="BL1530" s="14454"/>
      <c r="BM1530" s="14454"/>
      <c r="BN1530" s="14454"/>
    </row>
    <row r="1531" spans="1:66" ht="16.5" hidden="1" customHeight="1">
      <c r="A1531" s="13654"/>
      <c r="B1531" s="13951"/>
      <c r="C1531" s="13588"/>
      <c r="D1531" s="11975" t="s">
        <v>10290</v>
      </c>
      <c r="E1531" s="14356"/>
      <c r="F1531" s="7826"/>
      <c r="G1531" s="13931"/>
      <c r="H1531" s="13405"/>
      <c r="I1531" s="14391"/>
      <c r="K1531" s="11250"/>
      <c r="L1531" s="9163"/>
      <c r="M1531" s="9163"/>
      <c r="N1531" s="11251"/>
      <c r="O1531" s="11251"/>
      <c r="P1531" s="11252"/>
      <c r="Q1531" s="9166"/>
      <c r="R1531" s="9167"/>
      <c r="S1531" s="9168"/>
      <c r="T1531" s="9169"/>
      <c r="U1531" s="9166"/>
      <c r="V1531" s="9167"/>
      <c r="W1531" s="9169"/>
      <c r="X1531" s="9167"/>
      <c r="Y1531" s="9169"/>
      <c r="Z1531" s="9167"/>
      <c r="AA1531" s="9168"/>
      <c r="AB1531" s="9168"/>
      <c r="AC1531" s="9168"/>
      <c r="AD1531" s="9168"/>
      <c r="AE1531" s="9168"/>
      <c r="AF1531" s="9169"/>
      <c r="AG1531" s="9167"/>
      <c r="AH1531" s="9168"/>
      <c r="AI1531" s="9168"/>
      <c r="AJ1531" s="9168"/>
      <c r="AK1531" s="9168"/>
      <c r="AL1531" s="9168"/>
      <c r="AM1531" s="9168"/>
      <c r="AN1531" s="9169"/>
      <c r="AO1531" s="9167"/>
      <c r="AP1531" s="9168"/>
      <c r="AQ1531" s="9168"/>
      <c r="AR1531" s="9168"/>
      <c r="AS1531" s="9168"/>
      <c r="AT1531" s="9169"/>
      <c r="AU1531" s="11253"/>
      <c r="AV1531" s="11253"/>
      <c r="AW1531" s="11253"/>
      <c r="AX1531" s="11250"/>
      <c r="AY1531" s="11252"/>
      <c r="AZ1531" s="11253"/>
      <c r="BA1531" s="11250"/>
      <c r="BB1531" s="11251"/>
      <c r="BC1531" s="11252"/>
      <c r="BD1531" s="11254"/>
      <c r="BF1531" s="14454"/>
      <c r="BG1531" s="14454"/>
      <c r="BH1531" s="14454"/>
      <c r="BI1531" s="14454"/>
      <c r="BJ1531" s="14454"/>
      <c r="BK1531" s="9153"/>
      <c r="BL1531" s="14454"/>
      <c r="BM1531" s="14454"/>
      <c r="BN1531" s="14454"/>
    </row>
    <row r="1532" spans="1:66" ht="16.5" hidden="1" customHeight="1">
      <c r="A1532" s="13654"/>
      <c r="B1532" s="13951"/>
      <c r="C1532" s="13588"/>
      <c r="D1532" s="11975" t="s">
        <v>86</v>
      </c>
      <c r="E1532" s="14356"/>
      <c r="F1532" s="7826"/>
      <c r="G1532" s="13931"/>
      <c r="H1532" s="13405"/>
      <c r="I1532" s="14391"/>
      <c r="K1532" s="11250"/>
      <c r="L1532" s="9163"/>
      <c r="M1532" s="9163"/>
      <c r="N1532" s="11251"/>
      <c r="O1532" s="11251"/>
      <c r="P1532" s="11252"/>
      <c r="Q1532" s="9166"/>
      <c r="R1532" s="9167"/>
      <c r="S1532" s="9168"/>
      <c r="T1532" s="9169"/>
      <c r="U1532" s="9166"/>
      <c r="V1532" s="9167"/>
      <c r="W1532" s="9169"/>
      <c r="X1532" s="9167"/>
      <c r="Y1532" s="9169"/>
      <c r="Z1532" s="9167"/>
      <c r="AA1532" s="9168"/>
      <c r="AB1532" s="9168"/>
      <c r="AC1532" s="9168"/>
      <c r="AD1532" s="9168"/>
      <c r="AE1532" s="9168"/>
      <c r="AF1532" s="9169"/>
      <c r="AG1532" s="9167"/>
      <c r="AH1532" s="9168"/>
      <c r="AI1532" s="9168"/>
      <c r="AJ1532" s="9168"/>
      <c r="AK1532" s="9168"/>
      <c r="AL1532" s="9168"/>
      <c r="AM1532" s="9168"/>
      <c r="AN1532" s="9169"/>
      <c r="AO1532" s="9167"/>
      <c r="AP1532" s="9168"/>
      <c r="AQ1532" s="9168"/>
      <c r="AR1532" s="9168"/>
      <c r="AS1532" s="9168"/>
      <c r="AT1532" s="9169"/>
      <c r="AU1532" s="11253"/>
      <c r="AV1532" s="11253"/>
      <c r="AW1532" s="11253"/>
      <c r="AX1532" s="11250"/>
      <c r="AY1532" s="11252"/>
      <c r="AZ1532" s="11253"/>
      <c r="BA1532" s="11250"/>
      <c r="BB1532" s="11251"/>
      <c r="BC1532" s="11252"/>
      <c r="BD1532" s="11254"/>
      <c r="BF1532" s="14454"/>
      <c r="BG1532" s="14454"/>
      <c r="BH1532" s="14454"/>
      <c r="BI1532" s="14454"/>
      <c r="BJ1532" s="14454"/>
      <c r="BK1532" s="9153"/>
      <c r="BL1532" s="14454"/>
      <c r="BM1532" s="14454"/>
      <c r="BN1532" s="14454"/>
    </row>
    <row r="1533" spans="1:66" ht="30" hidden="1" customHeight="1">
      <c r="A1533" s="9150">
        <v>946</v>
      </c>
      <c r="B1533" s="9151" t="s">
        <v>8331</v>
      </c>
      <c r="C1533" s="13588"/>
      <c r="D1533" s="11975" t="s">
        <v>2896</v>
      </c>
      <c r="E1533" s="7826" t="s">
        <v>6854</v>
      </c>
      <c r="F1533" s="7826"/>
      <c r="G1533" s="11976" t="s">
        <v>6851</v>
      </c>
      <c r="H1533" s="11977" t="s">
        <v>6852</v>
      </c>
      <c r="I1533" s="11978">
        <v>1</v>
      </c>
      <c r="K1533" s="9152"/>
      <c r="L1533" s="9154"/>
      <c r="M1533" s="9154"/>
      <c r="N1533" s="9155"/>
      <c r="O1533" s="9155"/>
      <c r="P1533" s="9156"/>
      <c r="Q1533" s="9157"/>
      <c r="R1533" s="9158"/>
      <c r="S1533" s="9159"/>
      <c r="T1533" s="9160"/>
      <c r="U1533" s="9157"/>
      <c r="V1533" s="9158"/>
      <c r="W1533" s="9160"/>
      <c r="X1533" s="9158"/>
      <c r="Y1533" s="9160"/>
      <c r="Z1533" s="9158"/>
      <c r="AA1533" s="9159"/>
      <c r="AB1533" s="9159"/>
      <c r="AC1533" s="9159"/>
      <c r="AD1533" s="9159"/>
      <c r="AE1533" s="9159"/>
      <c r="AF1533" s="9160"/>
      <c r="AG1533" s="9158"/>
      <c r="AH1533" s="9159"/>
      <c r="AI1533" s="9159"/>
      <c r="AJ1533" s="9159"/>
      <c r="AK1533" s="9159"/>
      <c r="AL1533" s="9159"/>
      <c r="AM1533" s="9159"/>
      <c r="AN1533" s="9160"/>
      <c r="AO1533" s="9158"/>
      <c r="AP1533" s="9159"/>
      <c r="AQ1533" s="9159"/>
      <c r="AR1533" s="9159"/>
      <c r="AS1533" s="9159"/>
      <c r="AT1533" s="9160"/>
      <c r="AU1533" s="9161"/>
      <c r="AV1533" s="9161"/>
      <c r="AW1533" s="9161"/>
      <c r="AX1533" s="9152"/>
      <c r="AY1533" s="9156"/>
      <c r="AZ1533" s="9161"/>
      <c r="BA1533" s="9152"/>
      <c r="BB1533" s="9155"/>
      <c r="BC1533" s="9156"/>
      <c r="BD1533" s="9150"/>
      <c r="BF1533" s="9153"/>
      <c r="BG1533" s="9153"/>
      <c r="BH1533" s="9153"/>
      <c r="BI1533" s="9153"/>
      <c r="BJ1533" s="9153"/>
      <c r="BK1533" s="9153"/>
      <c r="BL1533" s="9153"/>
      <c r="BM1533" s="9153"/>
      <c r="BN1533" s="9153"/>
    </row>
    <row r="1534" spans="1:66" ht="16.5" hidden="1" customHeight="1">
      <c r="A1534" s="13654">
        <v>947</v>
      </c>
      <c r="B1534" s="13951" t="s">
        <v>8332</v>
      </c>
      <c r="C1534" s="13588"/>
      <c r="D1534" s="11975" t="s">
        <v>10063</v>
      </c>
      <c r="E1534" s="14356" t="s">
        <v>6858</v>
      </c>
      <c r="F1534" s="7826"/>
      <c r="G1534" s="13931" t="s">
        <v>6856</v>
      </c>
      <c r="H1534" s="13405" t="s">
        <v>6857</v>
      </c>
      <c r="I1534" s="13880">
        <v>2</v>
      </c>
      <c r="K1534" s="9162"/>
      <c r="L1534" s="9163"/>
      <c r="M1534" s="9163"/>
      <c r="N1534" s="9164"/>
      <c r="O1534" s="9164"/>
      <c r="P1534" s="9165"/>
      <c r="Q1534" s="9166"/>
      <c r="R1534" s="9167"/>
      <c r="S1534" s="9168"/>
      <c r="T1534" s="9169"/>
      <c r="U1534" s="9166"/>
      <c r="V1534" s="9167"/>
      <c r="W1534" s="9169"/>
      <c r="X1534" s="9167"/>
      <c r="Y1534" s="9169"/>
      <c r="Z1534" s="9167"/>
      <c r="AA1534" s="9168"/>
      <c r="AB1534" s="9168"/>
      <c r="AC1534" s="9168"/>
      <c r="AD1534" s="9168"/>
      <c r="AE1534" s="9168"/>
      <c r="AF1534" s="9169"/>
      <c r="AG1534" s="9167"/>
      <c r="AH1534" s="9168"/>
      <c r="AI1534" s="9168"/>
      <c r="AJ1534" s="9168"/>
      <c r="AK1534" s="9168"/>
      <c r="AL1534" s="9168"/>
      <c r="AM1534" s="9168"/>
      <c r="AN1534" s="9169"/>
      <c r="AO1534" s="9167"/>
      <c r="AP1534" s="9168"/>
      <c r="AQ1534" s="9168"/>
      <c r="AR1534" s="9168"/>
      <c r="AS1534" s="9168"/>
      <c r="AT1534" s="9169"/>
      <c r="AU1534" s="9170"/>
      <c r="AV1534" s="9170"/>
      <c r="AW1534" s="9170"/>
      <c r="AX1534" s="9162"/>
      <c r="AY1534" s="9165"/>
      <c r="AZ1534" s="9170"/>
      <c r="BA1534" s="9162"/>
      <c r="BB1534" s="9164"/>
      <c r="BC1534" s="9165"/>
      <c r="BD1534" s="9171"/>
      <c r="BF1534" s="14454"/>
      <c r="BG1534" s="14454"/>
      <c r="BH1534" s="14454"/>
      <c r="BI1534" s="14454"/>
      <c r="BJ1534" s="14454"/>
      <c r="BK1534" s="9153"/>
      <c r="BL1534" s="14454"/>
      <c r="BM1534" s="14454"/>
      <c r="BN1534" s="14454"/>
    </row>
    <row r="1535" spans="1:66" ht="16.5" hidden="1" customHeight="1">
      <c r="A1535" s="13654"/>
      <c r="B1535" s="13951"/>
      <c r="C1535" s="13588"/>
      <c r="D1535" s="11975" t="s">
        <v>10066</v>
      </c>
      <c r="E1535" s="14356"/>
      <c r="F1535" s="7826"/>
      <c r="G1535" s="13931"/>
      <c r="H1535" s="13405"/>
      <c r="I1535" s="13880"/>
      <c r="K1535" s="9162"/>
      <c r="L1535" s="9163"/>
      <c r="M1535" s="9163"/>
      <c r="N1535" s="9164"/>
      <c r="O1535" s="9164"/>
      <c r="P1535" s="9165"/>
      <c r="Q1535" s="9166"/>
      <c r="R1535" s="9167"/>
      <c r="S1535" s="9168"/>
      <c r="T1535" s="9169"/>
      <c r="U1535" s="9166"/>
      <c r="V1535" s="9167"/>
      <c r="W1535" s="9169"/>
      <c r="X1535" s="9167"/>
      <c r="Y1535" s="9169"/>
      <c r="Z1535" s="9167"/>
      <c r="AA1535" s="9168"/>
      <c r="AB1535" s="9168"/>
      <c r="AC1535" s="9168"/>
      <c r="AD1535" s="9168"/>
      <c r="AE1535" s="9168"/>
      <c r="AF1535" s="9169"/>
      <c r="AG1535" s="9167"/>
      <c r="AH1535" s="9168"/>
      <c r="AI1535" s="9168"/>
      <c r="AJ1535" s="9168"/>
      <c r="AK1535" s="9168"/>
      <c r="AL1535" s="9168"/>
      <c r="AM1535" s="9168"/>
      <c r="AN1535" s="9169"/>
      <c r="AO1535" s="9167"/>
      <c r="AP1535" s="9168"/>
      <c r="AQ1535" s="9168"/>
      <c r="AR1535" s="9168"/>
      <c r="AS1535" s="9168"/>
      <c r="AT1535" s="9169"/>
      <c r="AU1535" s="9170"/>
      <c r="AV1535" s="9170"/>
      <c r="AW1535" s="9170"/>
      <c r="AX1535" s="9162"/>
      <c r="AY1535" s="9165"/>
      <c r="AZ1535" s="9170"/>
      <c r="BA1535" s="9162"/>
      <c r="BB1535" s="9164"/>
      <c r="BC1535" s="9165"/>
      <c r="BD1535" s="9171"/>
      <c r="BF1535" s="14454"/>
      <c r="BG1535" s="14454"/>
      <c r="BH1535" s="14454"/>
      <c r="BI1535" s="14454"/>
      <c r="BJ1535" s="14454"/>
      <c r="BK1535" s="9153"/>
      <c r="BL1535" s="14454"/>
      <c r="BM1535" s="14454"/>
      <c r="BN1535" s="14454"/>
    </row>
    <row r="1536" spans="1:66" ht="16.5" hidden="1" customHeight="1">
      <c r="A1536" s="13654"/>
      <c r="B1536" s="13951"/>
      <c r="C1536" s="13588"/>
      <c r="D1536" s="11975" t="s">
        <v>10290</v>
      </c>
      <c r="E1536" s="14356"/>
      <c r="F1536" s="7826"/>
      <c r="G1536" s="13931"/>
      <c r="H1536" s="13405"/>
      <c r="I1536" s="13880"/>
      <c r="K1536" s="9162"/>
      <c r="L1536" s="9163"/>
      <c r="M1536" s="9163"/>
      <c r="N1536" s="9164"/>
      <c r="O1536" s="9164"/>
      <c r="P1536" s="9165"/>
      <c r="Q1536" s="9166"/>
      <c r="R1536" s="9167"/>
      <c r="S1536" s="9168"/>
      <c r="T1536" s="9169"/>
      <c r="U1536" s="9166"/>
      <c r="V1536" s="9167"/>
      <c r="W1536" s="9169"/>
      <c r="X1536" s="9167"/>
      <c r="Y1536" s="9169"/>
      <c r="Z1536" s="9167"/>
      <c r="AA1536" s="9168"/>
      <c r="AB1536" s="9168"/>
      <c r="AC1536" s="9168"/>
      <c r="AD1536" s="9168"/>
      <c r="AE1536" s="9168"/>
      <c r="AF1536" s="9169"/>
      <c r="AG1536" s="9167"/>
      <c r="AH1536" s="9168"/>
      <c r="AI1536" s="9168"/>
      <c r="AJ1536" s="9168"/>
      <c r="AK1536" s="9168"/>
      <c r="AL1536" s="9168"/>
      <c r="AM1536" s="9168"/>
      <c r="AN1536" s="9169"/>
      <c r="AO1536" s="9167"/>
      <c r="AP1536" s="9168"/>
      <c r="AQ1536" s="9168"/>
      <c r="AR1536" s="9168"/>
      <c r="AS1536" s="9168"/>
      <c r="AT1536" s="9169"/>
      <c r="AU1536" s="9170"/>
      <c r="AV1536" s="9170"/>
      <c r="AW1536" s="9170"/>
      <c r="AX1536" s="9162"/>
      <c r="AY1536" s="9165"/>
      <c r="AZ1536" s="9170"/>
      <c r="BA1536" s="9162"/>
      <c r="BB1536" s="9164"/>
      <c r="BC1536" s="9165"/>
      <c r="BD1536" s="9171"/>
      <c r="BF1536" s="14454"/>
      <c r="BG1536" s="14454"/>
      <c r="BH1536" s="14454"/>
      <c r="BI1536" s="14454"/>
      <c r="BJ1536" s="14454"/>
      <c r="BK1536" s="9153"/>
      <c r="BL1536" s="14454"/>
      <c r="BM1536" s="14454"/>
      <c r="BN1536" s="14454"/>
    </row>
    <row r="1537" spans="1:66" ht="16.5" hidden="1" customHeight="1">
      <c r="A1537" s="13654"/>
      <c r="B1537" s="13951"/>
      <c r="C1537" s="13588"/>
      <c r="D1537" s="11975" t="s">
        <v>218</v>
      </c>
      <c r="E1537" s="14356"/>
      <c r="F1537" s="7826"/>
      <c r="G1537" s="13931"/>
      <c r="H1537" s="13405"/>
      <c r="I1537" s="13880"/>
      <c r="K1537" s="9162"/>
      <c r="L1537" s="9163"/>
      <c r="M1537" s="9163"/>
      <c r="N1537" s="9164"/>
      <c r="O1537" s="9164"/>
      <c r="P1537" s="9165"/>
      <c r="Q1537" s="9166"/>
      <c r="R1537" s="9167"/>
      <c r="S1537" s="9168"/>
      <c r="T1537" s="9169"/>
      <c r="U1537" s="9166"/>
      <c r="V1537" s="9167"/>
      <c r="W1537" s="9169"/>
      <c r="X1537" s="9167"/>
      <c r="Y1537" s="9169"/>
      <c r="Z1537" s="9167"/>
      <c r="AA1537" s="9168"/>
      <c r="AB1537" s="9168"/>
      <c r="AC1537" s="9168"/>
      <c r="AD1537" s="9168"/>
      <c r="AE1537" s="9168"/>
      <c r="AF1537" s="9169"/>
      <c r="AG1537" s="9167"/>
      <c r="AH1537" s="9168"/>
      <c r="AI1537" s="9168"/>
      <c r="AJ1537" s="9168"/>
      <c r="AK1537" s="9168"/>
      <c r="AL1537" s="9168"/>
      <c r="AM1537" s="9168"/>
      <c r="AN1537" s="9169"/>
      <c r="AO1537" s="9167"/>
      <c r="AP1537" s="9168"/>
      <c r="AQ1537" s="9168"/>
      <c r="AR1537" s="9168"/>
      <c r="AS1537" s="9168"/>
      <c r="AT1537" s="9169"/>
      <c r="AU1537" s="9170"/>
      <c r="AV1537" s="9170"/>
      <c r="AW1537" s="9170"/>
      <c r="AX1537" s="9162"/>
      <c r="AY1537" s="9165"/>
      <c r="AZ1537" s="9170"/>
      <c r="BA1537" s="9162"/>
      <c r="BB1537" s="9164"/>
      <c r="BC1537" s="9165"/>
      <c r="BD1537" s="9171"/>
      <c r="BF1537" s="14454"/>
      <c r="BG1537" s="14454"/>
      <c r="BH1537" s="14454"/>
      <c r="BI1537" s="14454"/>
      <c r="BJ1537" s="14454"/>
      <c r="BK1537" s="9153"/>
      <c r="BL1537" s="14454"/>
      <c r="BM1537" s="14454"/>
      <c r="BN1537" s="14454"/>
    </row>
    <row r="1538" spans="1:66" ht="16.5" hidden="1" customHeight="1">
      <c r="A1538" s="13654">
        <v>948</v>
      </c>
      <c r="B1538" s="13951" t="s">
        <v>8333</v>
      </c>
      <c r="C1538" s="13588"/>
      <c r="D1538" s="11975" t="s">
        <v>10066</v>
      </c>
      <c r="E1538" s="14356" t="s">
        <v>6850</v>
      </c>
      <c r="F1538" s="7826"/>
      <c r="G1538" s="13931" t="s">
        <v>6861</v>
      </c>
      <c r="H1538" s="13405" t="s">
        <v>6862</v>
      </c>
      <c r="I1538" s="14391">
        <v>1</v>
      </c>
      <c r="K1538" s="11250"/>
      <c r="L1538" s="9163"/>
      <c r="M1538" s="9163"/>
      <c r="N1538" s="11251"/>
      <c r="O1538" s="11251"/>
      <c r="P1538" s="11252"/>
      <c r="Q1538" s="9166"/>
      <c r="R1538" s="9167"/>
      <c r="S1538" s="9168"/>
      <c r="T1538" s="9169"/>
      <c r="U1538" s="9166"/>
      <c r="V1538" s="9167"/>
      <c r="W1538" s="9169"/>
      <c r="X1538" s="9167"/>
      <c r="Y1538" s="9169"/>
      <c r="Z1538" s="9167"/>
      <c r="AA1538" s="9168"/>
      <c r="AB1538" s="9168"/>
      <c r="AC1538" s="9168"/>
      <c r="AD1538" s="9168"/>
      <c r="AE1538" s="9168"/>
      <c r="AF1538" s="9169"/>
      <c r="AG1538" s="9167"/>
      <c r="AH1538" s="9168"/>
      <c r="AI1538" s="9168"/>
      <c r="AJ1538" s="9168"/>
      <c r="AK1538" s="9168"/>
      <c r="AL1538" s="9168"/>
      <c r="AM1538" s="9168"/>
      <c r="AN1538" s="9169"/>
      <c r="AO1538" s="9167"/>
      <c r="AP1538" s="9168"/>
      <c r="AQ1538" s="9168"/>
      <c r="AR1538" s="9168"/>
      <c r="AS1538" s="9168"/>
      <c r="AT1538" s="9169"/>
      <c r="AU1538" s="11253"/>
      <c r="AV1538" s="11253"/>
      <c r="AW1538" s="11253"/>
      <c r="AX1538" s="11250"/>
      <c r="AY1538" s="11252"/>
      <c r="AZ1538" s="11253"/>
      <c r="BA1538" s="11250"/>
      <c r="BB1538" s="11251"/>
      <c r="BC1538" s="11252"/>
      <c r="BD1538" s="11254"/>
      <c r="BF1538" s="14454"/>
      <c r="BG1538" s="14454"/>
      <c r="BH1538" s="14454"/>
      <c r="BI1538" s="14454"/>
      <c r="BJ1538" s="14454"/>
      <c r="BK1538" s="9153"/>
      <c r="BL1538" s="14454"/>
      <c r="BM1538" s="14454"/>
      <c r="BN1538" s="14454"/>
    </row>
    <row r="1539" spans="1:66" ht="16.5" hidden="1" customHeight="1">
      <c r="A1539" s="13654"/>
      <c r="B1539" s="13951"/>
      <c r="C1539" s="13588"/>
      <c r="D1539" s="11975" t="s">
        <v>2896</v>
      </c>
      <c r="E1539" s="14356"/>
      <c r="F1539" s="7826"/>
      <c r="G1539" s="13931"/>
      <c r="H1539" s="13405"/>
      <c r="I1539" s="14391"/>
      <c r="K1539" s="11250"/>
      <c r="L1539" s="9163"/>
      <c r="M1539" s="9163"/>
      <c r="N1539" s="11251"/>
      <c r="O1539" s="11251"/>
      <c r="P1539" s="11252"/>
      <c r="Q1539" s="9166"/>
      <c r="R1539" s="9167"/>
      <c r="S1539" s="9168"/>
      <c r="T1539" s="9169"/>
      <c r="U1539" s="9166"/>
      <c r="V1539" s="9167"/>
      <c r="W1539" s="9169"/>
      <c r="X1539" s="9167"/>
      <c r="Y1539" s="9169"/>
      <c r="Z1539" s="9167"/>
      <c r="AA1539" s="9168"/>
      <c r="AB1539" s="9168"/>
      <c r="AC1539" s="9168"/>
      <c r="AD1539" s="9168"/>
      <c r="AE1539" s="9168"/>
      <c r="AF1539" s="9169"/>
      <c r="AG1539" s="9167"/>
      <c r="AH1539" s="9168"/>
      <c r="AI1539" s="9168"/>
      <c r="AJ1539" s="9168"/>
      <c r="AK1539" s="9168"/>
      <c r="AL1539" s="9168"/>
      <c r="AM1539" s="9168"/>
      <c r="AN1539" s="9169"/>
      <c r="AO1539" s="9167"/>
      <c r="AP1539" s="9168"/>
      <c r="AQ1539" s="9168"/>
      <c r="AR1539" s="9168"/>
      <c r="AS1539" s="9168"/>
      <c r="AT1539" s="9169"/>
      <c r="AU1539" s="11253"/>
      <c r="AV1539" s="11253"/>
      <c r="AW1539" s="11253"/>
      <c r="AX1539" s="11250"/>
      <c r="AY1539" s="11252"/>
      <c r="AZ1539" s="11253"/>
      <c r="BA1539" s="11250"/>
      <c r="BB1539" s="11251"/>
      <c r="BC1539" s="11252"/>
      <c r="BD1539" s="11254"/>
      <c r="BF1539" s="14454"/>
      <c r="BG1539" s="14454"/>
      <c r="BH1539" s="14454"/>
      <c r="BI1539" s="14454"/>
      <c r="BJ1539" s="14454"/>
      <c r="BK1539" s="9153"/>
      <c r="BL1539" s="14454"/>
      <c r="BM1539" s="14454"/>
      <c r="BN1539" s="14454"/>
    </row>
    <row r="1540" spans="1:66" ht="16.5" hidden="1" customHeight="1">
      <c r="A1540" s="13654"/>
      <c r="B1540" s="13951"/>
      <c r="C1540" s="13588"/>
      <c r="D1540" s="11975" t="s">
        <v>218</v>
      </c>
      <c r="E1540" s="14356"/>
      <c r="F1540" s="7826"/>
      <c r="G1540" s="13931"/>
      <c r="H1540" s="13405"/>
      <c r="I1540" s="14391"/>
      <c r="K1540" s="11250"/>
      <c r="L1540" s="9163"/>
      <c r="M1540" s="9163"/>
      <c r="N1540" s="11251"/>
      <c r="O1540" s="11251"/>
      <c r="P1540" s="11252"/>
      <c r="Q1540" s="9166"/>
      <c r="R1540" s="9167"/>
      <c r="S1540" s="9168"/>
      <c r="T1540" s="9169"/>
      <c r="U1540" s="9166"/>
      <c r="V1540" s="9167"/>
      <c r="W1540" s="9169"/>
      <c r="X1540" s="9167"/>
      <c r="Y1540" s="9169"/>
      <c r="Z1540" s="9167"/>
      <c r="AA1540" s="9168"/>
      <c r="AB1540" s="9168"/>
      <c r="AC1540" s="9168"/>
      <c r="AD1540" s="9168"/>
      <c r="AE1540" s="9168"/>
      <c r="AF1540" s="9169"/>
      <c r="AG1540" s="9167"/>
      <c r="AH1540" s="9168"/>
      <c r="AI1540" s="9168"/>
      <c r="AJ1540" s="9168"/>
      <c r="AK1540" s="9168"/>
      <c r="AL1540" s="9168"/>
      <c r="AM1540" s="9168"/>
      <c r="AN1540" s="9169"/>
      <c r="AO1540" s="9167"/>
      <c r="AP1540" s="9168"/>
      <c r="AQ1540" s="9168"/>
      <c r="AR1540" s="9168"/>
      <c r="AS1540" s="9168"/>
      <c r="AT1540" s="9169"/>
      <c r="AU1540" s="11253"/>
      <c r="AV1540" s="11253"/>
      <c r="AW1540" s="11253"/>
      <c r="AX1540" s="11250"/>
      <c r="AY1540" s="11252"/>
      <c r="AZ1540" s="11253"/>
      <c r="BA1540" s="11250"/>
      <c r="BB1540" s="11251"/>
      <c r="BC1540" s="11252"/>
      <c r="BD1540" s="11254"/>
      <c r="BF1540" s="14454"/>
      <c r="BG1540" s="14454"/>
      <c r="BH1540" s="14454"/>
      <c r="BI1540" s="14454"/>
      <c r="BJ1540" s="14454"/>
      <c r="BK1540" s="9153"/>
      <c r="BL1540" s="14454"/>
      <c r="BM1540" s="14454"/>
      <c r="BN1540" s="14454"/>
    </row>
    <row r="1541" spans="1:66" ht="16.5" hidden="1" customHeight="1">
      <c r="A1541" s="13654"/>
      <c r="B1541" s="13951"/>
      <c r="C1541" s="13588"/>
      <c r="D1541" s="11975" t="s">
        <v>10063</v>
      </c>
      <c r="E1541" s="14356"/>
      <c r="F1541" s="7826"/>
      <c r="G1541" s="13931"/>
      <c r="H1541" s="13405"/>
      <c r="I1541" s="14391"/>
      <c r="K1541" s="11250"/>
      <c r="L1541" s="9163"/>
      <c r="M1541" s="9163"/>
      <c r="N1541" s="11251"/>
      <c r="O1541" s="11251"/>
      <c r="P1541" s="11252"/>
      <c r="Q1541" s="9166"/>
      <c r="R1541" s="9167"/>
      <c r="S1541" s="9168"/>
      <c r="T1541" s="9169"/>
      <c r="U1541" s="9166"/>
      <c r="V1541" s="9167"/>
      <c r="W1541" s="9169"/>
      <c r="X1541" s="9167"/>
      <c r="Y1541" s="9169"/>
      <c r="Z1541" s="9167"/>
      <c r="AA1541" s="9168"/>
      <c r="AB1541" s="9168"/>
      <c r="AC1541" s="9168"/>
      <c r="AD1541" s="9168"/>
      <c r="AE1541" s="9168"/>
      <c r="AF1541" s="9169"/>
      <c r="AG1541" s="9167"/>
      <c r="AH1541" s="9168"/>
      <c r="AI1541" s="9168"/>
      <c r="AJ1541" s="9168"/>
      <c r="AK1541" s="9168"/>
      <c r="AL1541" s="9168"/>
      <c r="AM1541" s="9168"/>
      <c r="AN1541" s="9169"/>
      <c r="AO1541" s="9167"/>
      <c r="AP1541" s="9168"/>
      <c r="AQ1541" s="9168"/>
      <c r="AR1541" s="9168"/>
      <c r="AS1541" s="9168"/>
      <c r="AT1541" s="9169"/>
      <c r="AU1541" s="11253"/>
      <c r="AV1541" s="11253"/>
      <c r="AW1541" s="11253"/>
      <c r="AX1541" s="11250"/>
      <c r="AY1541" s="11252"/>
      <c r="AZ1541" s="11253"/>
      <c r="BA1541" s="11250"/>
      <c r="BB1541" s="11251"/>
      <c r="BC1541" s="11252"/>
      <c r="BD1541" s="11254"/>
      <c r="BF1541" s="14454"/>
      <c r="BG1541" s="14454"/>
      <c r="BH1541" s="14454"/>
      <c r="BI1541" s="14454"/>
      <c r="BJ1541" s="14454"/>
      <c r="BK1541" s="9153"/>
      <c r="BL1541" s="14454"/>
      <c r="BM1541" s="14454"/>
      <c r="BN1541" s="14454"/>
    </row>
    <row r="1542" spans="1:66" ht="16.5" hidden="1" customHeight="1">
      <c r="A1542" s="13654"/>
      <c r="B1542" s="13951"/>
      <c r="C1542" s="13588"/>
      <c r="D1542" s="11975" t="s">
        <v>10290</v>
      </c>
      <c r="E1542" s="14356"/>
      <c r="F1542" s="7826"/>
      <c r="G1542" s="13931"/>
      <c r="H1542" s="13405"/>
      <c r="I1542" s="14391"/>
      <c r="K1542" s="11250"/>
      <c r="L1542" s="9163"/>
      <c r="M1542" s="9163"/>
      <c r="N1542" s="11251"/>
      <c r="O1542" s="11251"/>
      <c r="P1542" s="11252"/>
      <c r="Q1542" s="9166"/>
      <c r="R1542" s="9167"/>
      <c r="S1542" s="9168"/>
      <c r="T1542" s="9169"/>
      <c r="U1542" s="9166"/>
      <c r="V1542" s="9167"/>
      <c r="W1542" s="9169"/>
      <c r="X1542" s="9167"/>
      <c r="Y1542" s="9169"/>
      <c r="Z1542" s="9167"/>
      <c r="AA1542" s="9168"/>
      <c r="AB1542" s="9168"/>
      <c r="AC1542" s="9168"/>
      <c r="AD1542" s="9168"/>
      <c r="AE1542" s="9168"/>
      <c r="AF1542" s="9169"/>
      <c r="AG1542" s="9167"/>
      <c r="AH1542" s="9168"/>
      <c r="AI1542" s="9168"/>
      <c r="AJ1542" s="9168"/>
      <c r="AK1542" s="9168"/>
      <c r="AL1542" s="9168"/>
      <c r="AM1542" s="9168"/>
      <c r="AN1542" s="9169"/>
      <c r="AO1542" s="9167"/>
      <c r="AP1542" s="9168"/>
      <c r="AQ1542" s="9168"/>
      <c r="AR1542" s="9168"/>
      <c r="AS1542" s="9168"/>
      <c r="AT1542" s="9169"/>
      <c r="AU1542" s="11253"/>
      <c r="AV1542" s="11253"/>
      <c r="AW1542" s="11253"/>
      <c r="AX1542" s="11250"/>
      <c r="AY1542" s="11252"/>
      <c r="AZ1542" s="11253"/>
      <c r="BA1542" s="11250"/>
      <c r="BB1542" s="11251"/>
      <c r="BC1542" s="11252"/>
      <c r="BD1542" s="11254"/>
      <c r="BF1542" s="14454"/>
      <c r="BG1542" s="14454"/>
      <c r="BH1542" s="14454"/>
      <c r="BI1542" s="14454"/>
      <c r="BJ1542" s="14454"/>
      <c r="BK1542" s="9153"/>
      <c r="BL1542" s="14454"/>
      <c r="BM1542" s="14454"/>
      <c r="BN1542" s="14454"/>
    </row>
    <row r="1543" spans="1:66" ht="16.5" hidden="1" customHeight="1">
      <c r="A1543" s="13654"/>
      <c r="B1543" s="13951"/>
      <c r="C1543" s="13588"/>
      <c r="D1543" s="11975" t="s">
        <v>86</v>
      </c>
      <c r="E1543" s="14356"/>
      <c r="F1543" s="7826"/>
      <c r="G1543" s="13931"/>
      <c r="H1543" s="13405"/>
      <c r="I1543" s="14391"/>
      <c r="K1543" s="11250"/>
      <c r="L1543" s="9163"/>
      <c r="M1543" s="9163"/>
      <c r="N1543" s="11251"/>
      <c r="O1543" s="11251"/>
      <c r="P1543" s="11252"/>
      <c r="Q1543" s="9166"/>
      <c r="R1543" s="9167"/>
      <c r="S1543" s="9168"/>
      <c r="T1543" s="9169"/>
      <c r="U1543" s="9166"/>
      <c r="V1543" s="9167"/>
      <c r="W1543" s="9169"/>
      <c r="X1543" s="9167"/>
      <c r="Y1543" s="9169"/>
      <c r="Z1543" s="9167"/>
      <c r="AA1543" s="9168"/>
      <c r="AB1543" s="9168"/>
      <c r="AC1543" s="9168"/>
      <c r="AD1543" s="9168"/>
      <c r="AE1543" s="9168"/>
      <c r="AF1543" s="9169"/>
      <c r="AG1543" s="9167"/>
      <c r="AH1543" s="9168"/>
      <c r="AI1543" s="9168"/>
      <c r="AJ1543" s="9168"/>
      <c r="AK1543" s="9168"/>
      <c r="AL1543" s="9168"/>
      <c r="AM1543" s="9168"/>
      <c r="AN1543" s="9169"/>
      <c r="AO1543" s="9167"/>
      <c r="AP1543" s="9168"/>
      <c r="AQ1543" s="9168"/>
      <c r="AR1543" s="9168"/>
      <c r="AS1543" s="9168"/>
      <c r="AT1543" s="9169"/>
      <c r="AU1543" s="11253"/>
      <c r="AV1543" s="11253"/>
      <c r="AW1543" s="11253"/>
      <c r="AX1543" s="11250"/>
      <c r="AY1543" s="11252"/>
      <c r="AZ1543" s="11253"/>
      <c r="BA1543" s="11250"/>
      <c r="BB1543" s="11251"/>
      <c r="BC1543" s="11252"/>
      <c r="BD1543" s="11254"/>
      <c r="BF1543" s="14454"/>
      <c r="BG1543" s="14454"/>
      <c r="BH1543" s="14454"/>
      <c r="BI1543" s="14454"/>
      <c r="BJ1543" s="14454"/>
      <c r="BK1543" s="9153"/>
      <c r="BL1543" s="14454"/>
      <c r="BM1543" s="14454"/>
      <c r="BN1543" s="14454"/>
    </row>
    <row r="1544" spans="1:66" ht="16.5" hidden="1" customHeight="1">
      <c r="A1544" s="13654">
        <v>949</v>
      </c>
      <c r="B1544" s="13951" t="s">
        <v>8334</v>
      </c>
      <c r="C1544" s="13588"/>
      <c r="D1544" s="11975" t="s">
        <v>10290</v>
      </c>
      <c r="E1544" s="14356" t="s">
        <v>10312</v>
      </c>
      <c r="F1544" s="12378"/>
      <c r="G1544" s="13931" t="s">
        <v>6863</v>
      </c>
      <c r="H1544" s="13405" t="s">
        <v>6864</v>
      </c>
      <c r="I1544" s="13880">
        <v>1</v>
      </c>
      <c r="K1544" s="9162"/>
      <c r="L1544" s="9163"/>
      <c r="M1544" s="9163"/>
      <c r="N1544" s="9164"/>
      <c r="O1544" s="9164"/>
      <c r="P1544" s="9165"/>
      <c r="Q1544" s="9166"/>
      <c r="R1544" s="9167"/>
      <c r="S1544" s="9168"/>
      <c r="T1544" s="9169"/>
      <c r="U1544" s="9166"/>
      <c r="V1544" s="9167"/>
      <c r="W1544" s="9169"/>
      <c r="X1544" s="9167"/>
      <c r="Y1544" s="9169"/>
      <c r="Z1544" s="9167"/>
      <c r="AA1544" s="9168"/>
      <c r="AB1544" s="9168"/>
      <c r="AC1544" s="9168"/>
      <c r="AD1544" s="9168"/>
      <c r="AE1544" s="9168"/>
      <c r="AF1544" s="9169"/>
      <c r="AG1544" s="9167"/>
      <c r="AH1544" s="9168"/>
      <c r="AI1544" s="9168"/>
      <c r="AJ1544" s="9168"/>
      <c r="AK1544" s="9168"/>
      <c r="AL1544" s="9168"/>
      <c r="AM1544" s="9168"/>
      <c r="AN1544" s="9169"/>
      <c r="AO1544" s="9167"/>
      <c r="AP1544" s="9168"/>
      <c r="AQ1544" s="9168"/>
      <c r="AR1544" s="9168"/>
      <c r="AS1544" s="9168"/>
      <c r="AT1544" s="9169"/>
      <c r="AU1544" s="9170"/>
      <c r="AV1544" s="9170"/>
      <c r="AW1544" s="9170"/>
      <c r="AX1544" s="9162"/>
      <c r="AY1544" s="9165"/>
      <c r="AZ1544" s="9170"/>
      <c r="BA1544" s="9162"/>
      <c r="BB1544" s="9164"/>
      <c r="BC1544" s="9165"/>
      <c r="BD1544" s="9171"/>
      <c r="BF1544" s="14454"/>
      <c r="BG1544" s="14454"/>
      <c r="BH1544" s="14454"/>
      <c r="BI1544" s="14454"/>
      <c r="BJ1544" s="14454"/>
      <c r="BK1544" s="9153"/>
      <c r="BL1544" s="14454"/>
      <c r="BM1544" s="14454"/>
      <c r="BN1544" s="14454"/>
    </row>
    <row r="1545" spans="1:66" ht="16.5" hidden="1" customHeight="1">
      <c r="A1545" s="13654"/>
      <c r="B1545" s="13951"/>
      <c r="C1545" s="13588"/>
      <c r="D1545" s="11975" t="s">
        <v>10066</v>
      </c>
      <c r="E1545" s="14356"/>
      <c r="F1545" s="7826"/>
      <c r="G1545" s="13931"/>
      <c r="H1545" s="13405"/>
      <c r="I1545" s="13880"/>
      <c r="K1545" s="9162"/>
      <c r="L1545" s="9163"/>
      <c r="M1545" s="9163"/>
      <c r="N1545" s="9164"/>
      <c r="O1545" s="9164"/>
      <c r="P1545" s="9165"/>
      <c r="Q1545" s="9166"/>
      <c r="R1545" s="9167"/>
      <c r="S1545" s="9168"/>
      <c r="T1545" s="9169"/>
      <c r="U1545" s="9166"/>
      <c r="V1545" s="9167"/>
      <c r="W1545" s="9169"/>
      <c r="X1545" s="9167"/>
      <c r="Y1545" s="9169"/>
      <c r="Z1545" s="9167"/>
      <c r="AA1545" s="9168"/>
      <c r="AB1545" s="9168"/>
      <c r="AC1545" s="9168"/>
      <c r="AD1545" s="9168"/>
      <c r="AE1545" s="9168"/>
      <c r="AF1545" s="9169"/>
      <c r="AG1545" s="9167"/>
      <c r="AH1545" s="9168"/>
      <c r="AI1545" s="9168"/>
      <c r="AJ1545" s="9168"/>
      <c r="AK1545" s="9168"/>
      <c r="AL1545" s="9168"/>
      <c r="AM1545" s="9168"/>
      <c r="AN1545" s="9169"/>
      <c r="AO1545" s="9167"/>
      <c r="AP1545" s="9168"/>
      <c r="AQ1545" s="9168"/>
      <c r="AR1545" s="9168"/>
      <c r="AS1545" s="9168"/>
      <c r="AT1545" s="9169"/>
      <c r="AU1545" s="9170"/>
      <c r="AV1545" s="9170"/>
      <c r="AW1545" s="9170"/>
      <c r="AX1545" s="9162"/>
      <c r="AY1545" s="9165"/>
      <c r="AZ1545" s="9170"/>
      <c r="BA1545" s="9162"/>
      <c r="BB1545" s="9164"/>
      <c r="BC1545" s="9165"/>
      <c r="BD1545" s="9171"/>
      <c r="BF1545" s="14454"/>
      <c r="BG1545" s="14454"/>
      <c r="BH1545" s="14454"/>
      <c r="BI1545" s="14454"/>
      <c r="BJ1545" s="14454"/>
      <c r="BK1545" s="9153"/>
      <c r="BL1545" s="14454"/>
      <c r="BM1545" s="14454"/>
      <c r="BN1545" s="14454"/>
    </row>
    <row r="1546" spans="1:66" ht="16.5" hidden="1" customHeight="1">
      <c r="A1546" s="13654"/>
      <c r="B1546" s="13951"/>
      <c r="C1546" s="13588"/>
      <c r="D1546" s="11975" t="s">
        <v>10194</v>
      </c>
      <c r="E1546" s="7826"/>
      <c r="F1546" s="7826" t="s">
        <v>10313</v>
      </c>
      <c r="G1546" s="13931"/>
      <c r="H1546" s="13405"/>
      <c r="I1546" s="13880"/>
      <c r="K1546" s="9162"/>
      <c r="L1546" s="9163"/>
      <c r="M1546" s="9163"/>
      <c r="N1546" s="9164"/>
      <c r="O1546" s="9164"/>
      <c r="P1546" s="9165"/>
      <c r="Q1546" s="9166"/>
      <c r="R1546" s="9167"/>
      <c r="S1546" s="9168"/>
      <c r="T1546" s="9169"/>
      <c r="U1546" s="9166"/>
      <c r="V1546" s="9167"/>
      <c r="W1546" s="9169"/>
      <c r="X1546" s="9167"/>
      <c r="Y1546" s="9169"/>
      <c r="Z1546" s="9167"/>
      <c r="AA1546" s="9168"/>
      <c r="AB1546" s="9168"/>
      <c r="AC1546" s="9168"/>
      <c r="AD1546" s="9168"/>
      <c r="AE1546" s="9168"/>
      <c r="AF1546" s="9169"/>
      <c r="AG1546" s="9167"/>
      <c r="AH1546" s="9168"/>
      <c r="AI1546" s="9168"/>
      <c r="AJ1546" s="9168"/>
      <c r="AK1546" s="9168"/>
      <c r="AL1546" s="9168"/>
      <c r="AM1546" s="9168"/>
      <c r="AN1546" s="9169"/>
      <c r="AO1546" s="9167"/>
      <c r="AP1546" s="9168"/>
      <c r="AQ1546" s="9168"/>
      <c r="AR1546" s="9168"/>
      <c r="AS1546" s="9168"/>
      <c r="AT1546" s="9169"/>
      <c r="AU1546" s="9170"/>
      <c r="AV1546" s="9170"/>
      <c r="AW1546" s="9170"/>
      <c r="AX1546" s="9162"/>
      <c r="AY1546" s="9165"/>
      <c r="AZ1546" s="9170"/>
      <c r="BA1546" s="9162"/>
      <c r="BB1546" s="9164"/>
      <c r="BC1546" s="9165"/>
      <c r="BD1546" s="9171"/>
      <c r="BF1546" s="14454"/>
      <c r="BG1546" s="14454"/>
      <c r="BH1546" s="14454"/>
      <c r="BI1546" s="14454"/>
      <c r="BJ1546" s="14454"/>
      <c r="BK1546" s="9153"/>
      <c r="BL1546" s="14454"/>
      <c r="BM1546" s="14454"/>
      <c r="BN1546" s="14454"/>
    </row>
    <row r="1547" spans="1:66" ht="27" hidden="1" customHeight="1">
      <c r="A1547" s="9150">
        <v>950</v>
      </c>
      <c r="B1547" s="9151" t="s">
        <v>8335</v>
      </c>
      <c r="C1547" s="13588"/>
      <c r="D1547" s="11975" t="s">
        <v>2896</v>
      </c>
      <c r="E1547" s="7826" t="s">
        <v>10314</v>
      </c>
      <c r="F1547" s="7827" t="s">
        <v>10315</v>
      </c>
      <c r="G1547" s="11976" t="s">
        <v>6867</v>
      </c>
      <c r="H1547" s="11977" t="s">
        <v>6868</v>
      </c>
      <c r="I1547" s="11978">
        <v>100</v>
      </c>
      <c r="K1547" s="9152"/>
      <c r="L1547" s="9154"/>
      <c r="M1547" s="9154"/>
      <c r="N1547" s="9155"/>
      <c r="O1547" s="9155"/>
      <c r="P1547" s="9156"/>
      <c r="Q1547" s="9157"/>
      <c r="R1547" s="9158"/>
      <c r="S1547" s="9159"/>
      <c r="T1547" s="9160"/>
      <c r="U1547" s="9157"/>
      <c r="V1547" s="9158"/>
      <c r="W1547" s="9160"/>
      <c r="X1547" s="9158"/>
      <c r="Y1547" s="9160"/>
      <c r="Z1547" s="9158"/>
      <c r="AA1547" s="9159"/>
      <c r="AB1547" s="9159"/>
      <c r="AC1547" s="9159"/>
      <c r="AD1547" s="9159"/>
      <c r="AE1547" s="9159"/>
      <c r="AF1547" s="9160"/>
      <c r="AG1547" s="9158"/>
      <c r="AH1547" s="9159"/>
      <c r="AI1547" s="9159"/>
      <c r="AJ1547" s="9159"/>
      <c r="AK1547" s="9159"/>
      <c r="AL1547" s="9159"/>
      <c r="AM1547" s="9159"/>
      <c r="AN1547" s="9160"/>
      <c r="AO1547" s="9158"/>
      <c r="AP1547" s="9159"/>
      <c r="AQ1547" s="9159"/>
      <c r="AR1547" s="9159"/>
      <c r="AS1547" s="9159"/>
      <c r="AT1547" s="9160"/>
      <c r="AU1547" s="9161"/>
      <c r="AV1547" s="9161"/>
      <c r="AW1547" s="9161"/>
      <c r="AX1547" s="9152"/>
      <c r="AY1547" s="9156"/>
      <c r="AZ1547" s="9161"/>
      <c r="BA1547" s="9152"/>
      <c r="BB1547" s="9155"/>
      <c r="BC1547" s="9156"/>
      <c r="BD1547" s="9150"/>
      <c r="BF1547" s="9153"/>
      <c r="BG1547" s="9153"/>
      <c r="BH1547" s="9153"/>
      <c r="BI1547" s="9153"/>
      <c r="BJ1547" s="9153"/>
      <c r="BK1547" s="9153"/>
      <c r="BL1547" s="9153"/>
      <c r="BM1547" s="9153"/>
      <c r="BN1547" s="9153"/>
    </row>
    <row r="1548" spans="1:66" ht="27" hidden="1" customHeight="1">
      <c r="A1548" s="13654">
        <v>951</v>
      </c>
      <c r="B1548" s="13951" t="s">
        <v>8336</v>
      </c>
      <c r="C1548" s="13588"/>
      <c r="D1548" s="11975" t="s">
        <v>10290</v>
      </c>
      <c r="E1548" s="7826" t="s">
        <v>6875</v>
      </c>
      <c r="F1548" s="7826"/>
      <c r="G1548" s="13931" t="s">
        <v>6872</v>
      </c>
      <c r="H1548" s="13405" t="s">
        <v>6873</v>
      </c>
      <c r="I1548" s="13880">
        <v>1</v>
      </c>
      <c r="K1548" s="9162"/>
      <c r="L1548" s="9163"/>
      <c r="M1548" s="9163"/>
      <c r="N1548" s="9164"/>
      <c r="O1548" s="9164"/>
      <c r="P1548" s="9165"/>
      <c r="Q1548" s="9166"/>
      <c r="R1548" s="9167"/>
      <c r="S1548" s="9168"/>
      <c r="T1548" s="9169"/>
      <c r="U1548" s="9166"/>
      <c r="V1548" s="9167"/>
      <c r="W1548" s="9169"/>
      <c r="X1548" s="9167"/>
      <c r="Y1548" s="9169"/>
      <c r="Z1548" s="9167"/>
      <c r="AA1548" s="9168"/>
      <c r="AB1548" s="9168"/>
      <c r="AC1548" s="9168"/>
      <c r="AD1548" s="9168"/>
      <c r="AE1548" s="9168"/>
      <c r="AF1548" s="9169"/>
      <c r="AG1548" s="9167"/>
      <c r="AH1548" s="9168"/>
      <c r="AI1548" s="9168"/>
      <c r="AJ1548" s="9168"/>
      <c r="AK1548" s="9168"/>
      <c r="AL1548" s="9168"/>
      <c r="AM1548" s="9168"/>
      <c r="AN1548" s="9169"/>
      <c r="AO1548" s="9167"/>
      <c r="AP1548" s="9168"/>
      <c r="AQ1548" s="9168"/>
      <c r="AR1548" s="9168"/>
      <c r="AS1548" s="9168"/>
      <c r="AT1548" s="9169"/>
      <c r="AU1548" s="9170"/>
      <c r="AV1548" s="9170"/>
      <c r="AW1548" s="9170"/>
      <c r="AX1548" s="9162"/>
      <c r="AY1548" s="9165"/>
      <c r="AZ1548" s="9170"/>
      <c r="BA1548" s="9162"/>
      <c r="BB1548" s="9164"/>
      <c r="BC1548" s="9165"/>
      <c r="BD1548" s="9171"/>
      <c r="BF1548" s="14454"/>
      <c r="BG1548" s="14454"/>
      <c r="BH1548" s="14454"/>
      <c r="BI1548" s="14454"/>
      <c r="BJ1548" s="14454"/>
      <c r="BK1548" s="9153"/>
      <c r="BL1548" s="14454"/>
      <c r="BM1548" s="14454"/>
      <c r="BN1548" s="14454"/>
    </row>
    <row r="1549" spans="1:66" ht="27" hidden="1" customHeight="1">
      <c r="A1549" s="13654"/>
      <c r="B1549" s="13951"/>
      <c r="C1549" s="13588"/>
      <c r="D1549" s="11975" t="s">
        <v>10194</v>
      </c>
      <c r="E1549" s="12378"/>
      <c r="F1549" s="7826" t="s">
        <v>6878</v>
      </c>
      <c r="G1549" s="13931"/>
      <c r="H1549" s="13405"/>
      <c r="I1549" s="13880"/>
      <c r="K1549" s="9162"/>
      <c r="L1549" s="9163"/>
      <c r="M1549" s="9163"/>
      <c r="N1549" s="9164"/>
      <c r="O1549" s="9164"/>
      <c r="P1549" s="9165"/>
      <c r="Q1549" s="9166"/>
      <c r="R1549" s="9167"/>
      <c r="S1549" s="9168"/>
      <c r="T1549" s="9169"/>
      <c r="U1549" s="9166"/>
      <c r="V1549" s="9167"/>
      <c r="W1549" s="9169"/>
      <c r="X1549" s="9167"/>
      <c r="Y1549" s="9169"/>
      <c r="Z1549" s="9167"/>
      <c r="AA1549" s="9168"/>
      <c r="AB1549" s="9168"/>
      <c r="AC1549" s="9168"/>
      <c r="AD1549" s="9168"/>
      <c r="AE1549" s="9168"/>
      <c r="AF1549" s="9169"/>
      <c r="AG1549" s="9167"/>
      <c r="AH1549" s="9168"/>
      <c r="AI1549" s="9168"/>
      <c r="AJ1549" s="9168"/>
      <c r="AK1549" s="9168"/>
      <c r="AL1549" s="9168"/>
      <c r="AM1549" s="9168"/>
      <c r="AN1549" s="9169"/>
      <c r="AO1549" s="9167"/>
      <c r="AP1549" s="9168"/>
      <c r="AQ1549" s="9168"/>
      <c r="AR1549" s="9168"/>
      <c r="AS1549" s="9168"/>
      <c r="AT1549" s="9169"/>
      <c r="AU1549" s="9170"/>
      <c r="AV1549" s="9170"/>
      <c r="AW1549" s="9170"/>
      <c r="AX1549" s="9162"/>
      <c r="AY1549" s="9165"/>
      <c r="AZ1549" s="9170"/>
      <c r="BA1549" s="9162"/>
      <c r="BB1549" s="9164"/>
      <c r="BC1549" s="9165"/>
      <c r="BD1549" s="9171"/>
      <c r="BF1549" s="14454"/>
      <c r="BG1549" s="14454"/>
      <c r="BH1549" s="14454"/>
      <c r="BI1549" s="14454"/>
      <c r="BJ1549" s="14454"/>
      <c r="BK1549" s="9153"/>
      <c r="BL1549" s="14454"/>
      <c r="BM1549" s="14454"/>
      <c r="BN1549" s="14454"/>
    </row>
    <row r="1550" spans="1:66" ht="27" hidden="1" customHeight="1">
      <c r="A1550" s="13654">
        <v>952</v>
      </c>
      <c r="B1550" s="13951" t="s">
        <v>8337</v>
      </c>
      <c r="C1550" s="13588"/>
      <c r="D1550" s="11975" t="s">
        <v>10290</v>
      </c>
      <c r="E1550" s="14356" t="s">
        <v>10316</v>
      </c>
      <c r="F1550" s="7826" t="s">
        <v>10317</v>
      </c>
      <c r="G1550" s="13931" t="s">
        <v>6879</v>
      </c>
      <c r="H1550" s="13405" t="s">
        <v>6880</v>
      </c>
      <c r="I1550" s="13880">
        <v>4</v>
      </c>
      <c r="K1550" s="9162"/>
      <c r="L1550" s="9163"/>
      <c r="M1550" s="9163"/>
      <c r="N1550" s="9164"/>
      <c r="O1550" s="9164"/>
      <c r="P1550" s="9165"/>
      <c r="Q1550" s="9166"/>
      <c r="R1550" s="9167"/>
      <c r="S1550" s="9168"/>
      <c r="T1550" s="9169"/>
      <c r="U1550" s="9166"/>
      <c r="V1550" s="9167"/>
      <c r="W1550" s="9169"/>
      <c r="X1550" s="9167"/>
      <c r="Y1550" s="9169"/>
      <c r="Z1550" s="9167"/>
      <c r="AA1550" s="9168"/>
      <c r="AB1550" s="9168"/>
      <c r="AC1550" s="9168"/>
      <c r="AD1550" s="9168"/>
      <c r="AE1550" s="9168"/>
      <c r="AF1550" s="9169"/>
      <c r="AG1550" s="9167"/>
      <c r="AH1550" s="9168"/>
      <c r="AI1550" s="9168"/>
      <c r="AJ1550" s="9168"/>
      <c r="AK1550" s="9168"/>
      <c r="AL1550" s="9168"/>
      <c r="AM1550" s="9168"/>
      <c r="AN1550" s="9169"/>
      <c r="AO1550" s="9167"/>
      <c r="AP1550" s="9168"/>
      <c r="AQ1550" s="9168"/>
      <c r="AR1550" s="9168"/>
      <c r="AS1550" s="9168"/>
      <c r="AT1550" s="9169"/>
      <c r="AU1550" s="9170"/>
      <c r="AV1550" s="9170"/>
      <c r="AW1550" s="9170"/>
      <c r="AX1550" s="9162"/>
      <c r="AY1550" s="9165"/>
      <c r="AZ1550" s="9170"/>
      <c r="BA1550" s="9162"/>
      <c r="BB1550" s="9164"/>
      <c r="BC1550" s="9165"/>
      <c r="BD1550" s="9171"/>
      <c r="BF1550" s="14454"/>
      <c r="BG1550" s="14454"/>
      <c r="BH1550" s="14454"/>
      <c r="BI1550" s="14454"/>
      <c r="BJ1550" s="14454"/>
      <c r="BK1550" s="9153"/>
      <c r="BL1550" s="14454"/>
      <c r="BM1550" s="14454"/>
      <c r="BN1550" s="14454"/>
    </row>
    <row r="1551" spans="1:66" ht="27" hidden="1" customHeight="1">
      <c r="A1551" s="13654"/>
      <c r="B1551" s="13951"/>
      <c r="C1551" s="13588"/>
      <c r="D1551" s="11975" t="s">
        <v>10066</v>
      </c>
      <c r="E1551" s="14356"/>
      <c r="F1551" s="7826"/>
      <c r="G1551" s="13931"/>
      <c r="H1551" s="13405"/>
      <c r="I1551" s="13880"/>
      <c r="K1551" s="9162"/>
      <c r="L1551" s="9163"/>
      <c r="M1551" s="9163"/>
      <c r="N1551" s="9164"/>
      <c r="O1551" s="9164"/>
      <c r="P1551" s="9165"/>
      <c r="Q1551" s="9166"/>
      <c r="R1551" s="9167"/>
      <c r="S1551" s="9168"/>
      <c r="T1551" s="9169"/>
      <c r="U1551" s="9166"/>
      <c r="V1551" s="9167"/>
      <c r="W1551" s="9169"/>
      <c r="X1551" s="9167"/>
      <c r="Y1551" s="9169"/>
      <c r="Z1551" s="9167"/>
      <c r="AA1551" s="9168"/>
      <c r="AB1551" s="9168"/>
      <c r="AC1551" s="9168"/>
      <c r="AD1551" s="9168"/>
      <c r="AE1551" s="9168"/>
      <c r="AF1551" s="9169"/>
      <c r="AG1551" s="9167"/>
      <c r="AH1551" s="9168"/>
      <c r="AI1551" s="9168"/>
      <c r="AJ1551" s="9168"/>
      <c r="AK1551" s="9168"/>
      <c r="AL1551" s="9168"/>
      <c r="AM1551" s="9168"/>
      <c r="AN1551" s="9169"/>
      <c r="AO1551" s="9167"/>
      <c r="AP1551" s="9168"/>
      <c r="AQ1551" s="9168"/>
      <c r="AR1551" s="9168"/>
      <c r="AS1551" s="9168"/>
      <c r="AT1551" s="9169"/>
      <c r="AU1551" s="9170"/>
      <c r="AV1551" s="9170"/>
      <c r="AW1551" s="9170"/>
      <c r="AX1551" s="9162"/>
      <c r="AY1551" s="9165"/>
      <c r="AZ1551" s="9170"/>
      <c r="BA1551" s="9162"/>
      <c r="BB1551" s="9164"/>
      <c r="BC1551" s="9165"/>
      <c r="BD1551" s="9171"/>
      <c r="BF1551" s="14454"/>
      <c r="BG1551" s="14454"/>
      <c r="BH1551" s="14454"/>
      <c r="BI1551" s="14454"/>
      <c r="BJ1551" s="14454"/>
      <c r="BK1551" s="9153"/>
      <c r="BL1551" s="14454"/>
      <c r="BM1551" s="14454"/>
      <c r="BN1551" s="14454"/>
    </row>
    <row r="1552" spans="1:66" ht="27" hidden="1" customHeight="1">
      <c r="A1552" s="9150">
        <v>953</v>
      </c>
      <c r="B1552" s="9151" t="s">
        <v>8338</v>
      </c>
      <c r="C1552" s="13588"/>
      <c r="D1552" s="11975" t="s">
        <v>10290</v>
      </c>
      <c r="E1552" s="7826" t="s">
        <v>6886</v>
      </c>
      <c r="F1552" s="7826" t="s">
        <v>6889</v>
      </c>
      <c r="G1552" s="11976" t="s">
        <v>6884</v>
      </c>
      <c r="H1552" s="11977" t="s">
        <v>6885</v>
      </c>
      <c r="I1552" s="11978">
        <v>8</v>
      </c>
      <c r="K1552" s="9152"/>
      <c r="L1552" s="9154"/>
      <c r="M1552" s="9154"/>
      <c r="N1552" s="9155"/>
      <c r="O1552" s="9155"/>
      <c r="P1552" s="9156"/>
      <c r="Q1552" s="9157"/>
      <c r="R1552" s="9158"/>
      <c r="S1552" s="9159"/>
      <c r="T1552" s="9160"/>
      <c r="U1552" s="9157"/>
      <c r="V1552" s="9158"/>
      <c r="W1552" s="9160"/>
      <c r="X1552" s="9158"/>
      <c r="Y1552" s="9160"/>
      <c r="Z1552" s="9158"/>
      <c r="AA1552" s="9159"/>
      <c r="AB1552" s="9159"/>
      <c r="AC1552" s="9159"/>
      <c r="AD1552" s="9159"/>
      <c r="AE1552" s="9159"/>
      <c r="AF1552" s="9160"/>
      <c r="AG1552" s="9158"/>
      <c r="AH1552" s="9159"/>
      <c r="AI1552" s="9159"/>
      <c r="AJ1552" s="9159"/>
      <c r="AK1552" s="9159"/>
      <c r="AL1552" s="9159"/>
      <c r="AM1552" s="9159"/>
      <c r="AN1552" s="9160"/>
      <c r="AO1552" s="9158"/>
      <c r="AP1552" s="9159"/>
      <c r="AQ1552" s="9159"/>
      <c r="AR1552" s="9159"/>
      <c r="AS1552" s="9159"/>
      <c r="AT1552" s="9160"/>
      <c r="AU1552" s="9161"/>
      <c r="AV1552" s="9161"/>
      <c r="AW1552" s="9161"/>
      <c r="AX1552" s="9152"/>
      <c r="AY1552" s="9156"/>
      <c r="AZ1552" s="9161"/>
      <c r="BA1552" s="9152"/>
      <c r="BB1552" s="9155"/>
      <c r="BC1552" s="9156"/>
      <c r="BD1552" s="9150"/>
      <c r="BF1552" s="9153"/>
      <c r="BG1552" s="9153"/>
      <c r="BH1552" s="9153"/>
      <c r="BI1552" s="9153"/>
      <c r="BJ1552" s="9153"/>
      <c r="BK1552" s="9153"/>
      <c r="BL1552" s="9153"/>
      <c r="BM1552" s="9153"/>
      <c r="BN1552" s="9153"/>
    </row>
    <row r="1553" spans="1:66" ht="27" hidden="1" customHeight="1">
      <c r="A1553" s="9150">
        <v>954</v>
      </c>
      <c r="B1553" s="9151" t="s">
        <v>8339</v>
      </c>
      <c r="C1553" s="13588"/>
      <c r="D1553" s="11975" t="s">
        <v>10290</v>
      </c>
      <c r="E1553" s="7826" t="s">
        <v>6893</v>
      </c>
      <c r="F1553" s="7826" t="s">
        <v>6894</v>
      </c>
      <c r="G1553" s="11976" t="s">
        <v>6890</v>
      </c>
      <c r="H1553" s="11977" t="s">
        <v>6891</v>
      </c>
      <c r="I1553" s="11978">
        <v>10</v>
      </c>
      <c r="K1553" s="9152"/>
      <c r="L1553" s="9154"/>
      <c r="M1553" s="9154"/>
      <c r="N1553" s="9155"/>
      <c r="O1553" s="9155"/>
      <c r="P1553" s="9156"/>
      <c r="Q1553" s="9157"/>
      <c r="R1553" s="9158"/>
      <c r="S1553" s="9159"/>
      <c r="T1553" s="9160"/>
      <c r="U1553" s="9157"/>
      <c r="V1553" s="9158"/>
      <c r="W1553" s="9160"/>
      <c r="X1553" s="9158"/>
      <c r="Y1553" s="9160"/>
      <c r="Z1553" s="9158"/>
      <c r="AA1553" s="9159"/>
      <c r="AB1553" s="9159"/>
      <c r="AC1553" s="9159"/>
      <c r="AD1553" s="9159"/>
      <c r="AE1553" s="9159"/>
      <c r="AF1553" s="9160"/>
      <c r="AG1553" s="9158"/>
      <c r="AH1553" s="9159"/>
      <c r="AI1553" s="9159"/>
      <c r="AJ1553" s="9159"/>
      <c r="AK1553" s="9159"/>
      <c r="AL1553" s="9159"/>
      <c r="AM1553" s="9159"/>
      <c r="AN1553" s="9160"/>
      <c r="AO1553" s="9158"/>
      <c r="AP1553" s="9159"/>
      <c r="AQ1553" s="9159"/>
      <c r="AR1553" s="9159"/>
      <c r="AS1553" s="9159"/>
      <c r="AT1553" s="9160"/>
      <c r="AU1553" s="9161"/>
      <c r="AV1553" s="9161"/>
      <c r="AW1553" s="9161"/>
      <c r="AX1553" s="9152"/>
      <c r="AY1553" s="9156"/>
      <c r="AZ1553" s="9161"/>
      <c r="BA1553" s="9152"/>
      <c r="BB1553" s="9155"/>
      <c r="BC1553" s="9156"/>
      <c r="BD1553" s="9150"/>
      <c r="BF1553" s="9153"/>
      <c r="BG1553" s="9153"/>
      <c r="BH1553" s="9153"/>
      <c r="BI1553" s="9153"/>
      <c r="BJ1553" s="9153"/>
      <c r="BK1553" s="9153"/>
      <c r="BL1553" s="9153"/>
      <c r="BM1553" s="9153"/>
      <c r="BN1553" s="9153"/>
    </row>
    <row r="1554" spans="1:66" ht="27" hidden="1" customHeight="1">
      <c r="A1554" s="9150">
        <v>955</v>
      </c>
      <c r="B1554" s="9151" t="s">
        <v>8340</v>
      </c>
      <c r="C1554" s="13588"/>
      <c r="D1554" s="11975" t="s">
        <v>10290</v>
      </c>
      <c r="E1554" s="7826" t="s">
        <v>6897</v>
      </c>
      <c r="F1554" s="7826" t="s">
        <v>6894</v>
      </c>
      <c r="G1554" s="11976" t="s">
        <v>6895</v>
      </c>
      <c r="H1554" s="11977" t="s">
        <v>6896</v>
      </c>
      <c r="I1554" s="11978">
        <v>150</v>
      </c>
      <c r="K1554" s="9152"/>
      <c r="L1554" s="9154"/>
      <c r="M1554" s="9154"/>
      <c r="N1554" s="9155"/>
      <c r="O1554" s="9155"/>
      <c r="P1554" s="9156"/>
      <c r="Q1554" s="9157"/>
      <c r="R1554" s="9158"/>
      <c r="S1554" s="9159"/>
      <c r="T1554" s="9160"/>
      <c r="U1554" s="9157"/>
      <c r="V1554" s="9158"/>
      <c r="W1554" s="9160"/>
      <c r="X1554" s="9158"/>
      <c r="Y1554" s="9160"/>
      <c r="Z1554" s="9158"/>
      <c r="AA1554" s="9159"/>
      <c r="AB1554" s="9159"/>
      <c r="AC1554" s="9159"/>
      <c r="AD1554" s="9159"/>
      <c r="AE1554" s="9159"/>
      <c r="AF1554" s="9160"/>
      <c r="AG1554" s="9158"/>
      <c r="AH1554" s="9159"/>
      <c r="AI1554" s="9159"/>
      <c r="AJ1554" s="9159"/>
      <c r="AK1554" s="9159"/>
      <c r="AL1554" s="9159"/>
      <c r="AM1554" s="9159"/>
      <c r="AN1554" s="9160"/>
      <c r="AO1554" s="9158"/>
      <c r="AP1554" s="9159"/>
      <c r="AQ1554" s="9159"/>
      <c r="AR1554" s="9159"/>
      <c r="AS1554" s="9159"/>
      <c r="AT1554" s="9160"/>
      <c r="AU1554" s="9161"/>
      <c r="AV1554" s="9161"/>
      <c r="AW1554" s="9161"/>
      <c r="AX1554" s="9152"/>
      <c r="AY1554" s="9156"/>
      <c r="AZ1554" s="9161"/>
      <c r="BA1554" s="9152"/>
      <c r="BB1554" s="9155"/>
      <c r="BC1554" s="9156"/>
      <c r="BD1554" s="9150"/>
      <c r="BF1554" s="9153"/>
      <c r="BG1554" s="9153"/>
      <c r="BH1554" s="9153"/>
      <c r="BI1554" s="9153"/>
      <c r="BJ1554" s="9153"/>
      <c r="BK1554" s="9153"/>
      <c r="BL1554" s="9153"/>
      <c r="BM1554" s="9153"/>
      <c r="BN1554" s="9153"/>
    </row>
    <row r="1555" spans="1:66" ht="27" hidden="1" customHeight="1">
      <c r="A1555" s="13654">
        <v>956</v>
      </c>
      <c r="B1555" s="13951" t="s">
        <v>8341</v>
      </c>
      <c r="C1555" s="13588"/>
      <c r="D1555" s="11975" t="s">
        <v>2896</v>
      </c>
      <c r="E1555" s="14356" t="s">
        <v>10318</v>
      </c>
      <c r="F1555" s="7826" t="s">
        <v>10319</v>
      </c>
      <c r="G1555" s="13931" t="s">
        <v>6900</v>
      </c>
      <c r="H1555" s="13405" t="s">
        <v>6901</v>
      </c>
      <c r="I1555" s="13880">
        <v>2</v>
      </c>
      <c r="K1555" s="9162"/>
      <c r="L1555" s="9163"/>
      <c r="M1555" s="9163"/>
      <c r="N1555" s="9164"/>
      <c r="O1555" s="9164"/>
      <c r="P1555" s="9165"/>
      <c r="Q1555" s="9166"/>
      <c r="R1555" s="9167"/>
      <c r="S1555" s="9168"/>
      <c r="T1555" s="9169"/>
      <c r="U1555" s="9166"/>
      <c r="V1555" s="9167"/>
      <c r="W1555" s="9169"/>
      <c r="X1555" s="9167"/>
      <c r="Y1555" s="9169"/>
      <c r="Z1555" s="9167"/>
      <c r="AA1555" s="9168"/>
      <c r="AB1555" s="9168"/>
      <c r="AC1555" s="9168"/>
      <c r="AD1555" s="9168"/>
      <c r="AE1555" s="9168"/>
      <c r="AF1555" s="9169"/>
      <c r="AG1555" s="9167"/>
      <c r="AH1555" s="9168"/>
      <c r="AI1555" s="9168"/>
      <c r="AJ1555" s="9168"/>
      <c r="AK1555" s="9168"/>
      <c r="AL1555" s="9168"/>
      <c r="AM1555" s="9168"/>
      <c r="AN1555" s="9169"/>
      <c r="AO1555" s="9167"/>
      <c r="AP1555" s="9168"/>
      <c r="AQ1555" s="9168"/>
      <c r="AR1555" s="9168"/>
      <c r="AS1555" s="9168"/>
      <c r="AT1555" s="9169"/>
      <c r="AU1555" s="9170"/>
      <c r="AV1555" s="9170"/>
      <c r="AW1555" s="9170"/>
      <c r="AX1555" s="9162"/>
      <c r="AY1555" s="9165"/>
      <c r="AZ1555" s="9170"/>
      <c r="BA1555" s="9162"/>
      <c r="BB1555" s="9164"/>
      <c r="BC1555" s="9165"/>
      <c r="BD1555" s="9171"/>
      <c r="BF1555" s="14454"/>
      <c r="BG1555" s="14454"/>
      <c r="BH1555" s="14454"/>
      <c r="BI1555" s="14454"/>
      <c r="BJ1555" s="14454"/>
      <c r="BK1555" s="9153"/>
      <c r="BL1555" s="14454"/>
      <c r="BM1555" s="14454"/>
      <c r="BN1555" s="14454"/>
    </row>
    <row r="1556" spans="1:66" ht="27" hidden="1" customHeight="1">
      <c r="A1556" s="13654"/>
      <c r="B1556" s="13951"/>
      <c r="C1556" s="13588"/>
      <c r="D1556" s="11975" t="s">
        <v>10290</v>
      </c>
      <c r="E1556" s="14356"/>
      <c r="F1556" s="7826"/>
      <c r="G1556" s="13931"/>
      <c r="H1556" s="13405"/>
      <c r="I1556" s="13880"/>
      <c r="K1556" s="9162"/>
      <c r="L1556" s="9163"/>
      <c r="M1556" s="9163"/>
      <c r="N1556" s="9164"/>
      <c r="O1556" s="9164"/>
      <c r="P1556" s="9165"/>
      <c r="Q1556" s="9166"/>
      <c r="R1556" s="9167"/>
      <c r="S1556" s="9168"/>
      <c r="T1556" s="9169"/>
      <c r="U1556" s="9166"/>
      <c r="V1556" s="9167"/>
      <c r="W1556" s="9169"/>
      <c r="X1556" s="9167"/>
      <c r="Y1556" s="9169"/>
      <c r="Z1556" s="9167"/>
      <c r="AA1556" s="9168"/>
      <c r="AB1556" s="9168"/>
      <c r="AC1556" s="9168"/>
      <c r="AD1556" s="9168"/>
      <c r="AE1556" s="9168"/>
      <c r="AF1556" s="9169"/>
      <c r="AG1556" s="9167"/>
      <c r="AH1556" s="9168"/>
      <c r="AI1556" s="9168"/>
      <c r="AJ1556" s="9168"/>
      <c r="AK1556" s="9168"/>
      <c r="AL1556" s="9168"/>
      <c r="AM1556" s="9168"/>
      <c r="AN1556" s="9169"/>
      <c r="AO1556" s="9167"/>
      <c r="AP1556" s="9168"/>
      <c r="AQ1556" s="9168"/>
      <c r="AR1556" s="9168"/>
      <c r="AS1556" s="9168"/>
      <c r="AT1556" s="9169"/>
      <c r="AU1556" s="9170"/>
      <c r="AV1556" s="9170"/>
      <c r="AW1556" s="9170"/>
      <c r="AX1556" s="9162"/>
      <c r="AY1556" s="9165"/>
      <c r="AZ1556" s="9170"/>
      <c r="BA1556" s="9162"/>
      <c r="BB1556" s="9164"/>
      <c r="BC1556" s="9165"/>
      <c r="BD1556" s="9171"/>
      <c r="BF1556" s="14454"/>
      <c r="BG1556" s="14454"/>
      <c r="BH1556" s="14454"/>
      <c r="BI1556" s="14454"/>
      <c r="BJ1556" s="14454"/>
      <c r="BK1556" s="9153"/>
      <c r="BL1556" s="14454"/>
      <c r="BM1556" s="14454"/>
      <c r="BN1556" s="14454"/>
    </row>
    <row r="1557" spans="1:66" ht="27" hidden="1" customHeight="1" thickBot="1">
      <c r="A1557" s="11255">
        <v>957</v>
      </c>
      <c r="B1557" s="11256" t="s">
        <v>8342</v>
      </c>
      <c r="C1557" s="13588"/>
      <c r="D1557" s="12326" t="s">
        <v>10290</v>
      </c>
      <c r="E1557" s="11981" t="s">
        <v>6907</v>
      </c>
      <c r="F1557" s="11981"/>
      <c r="G1557" s="12632" t="s">
        <v>6905</v>
      </c>
      <c r="H1557" s="12633" t="s">
        <v>6906</v>
      </c>
      <c r="I1557" s="12634">
        <v>150</v>
      </c>
      <c r="K1557" s="10285"/>
      <c r="L1557" s="11257"/>
      <c r="M1557" s="11257"/>
      <c r="N1557" s="11258"/>
      <c r="O1557" s="11258"/>
      <c r="P1557" s="11259"/>
      <c r="Q1557" s="11260"/>
      <c r="R1557" s="11261"/>
      <c r="S1557" s="11262"/>
      <c r="T1557" s="11263"/>
      <c r="U1557" s="11260"/>
      <c r="V1557" s="11261"/>
      <c r="W1557" s="11263"/>
      <c r="X1557" s="11261"/>
      <c r="Y1557" s="11263"/>
      <c r="Z1557" s="11261"/>
      <c r="AA1557" s="11262"/>
      <c r="AB1557" s="11262"/>
      <c r="AC1557" s="11262"/>
      <c r="AD1557" s="11262"/>
      <c r="AE1557" s="11262"/>
      <c r="AF1557" s="11263"/>
      <c r="AG1557" s="11261"/>
      <c r="AH1557" s="11262"/>
      <c r="AI1557" s="11262"/>
      <c r="AJ1557" s="11262"/>
      <c r="AK1557" s="11262"/>
      <c r="AL1557" s="11262"/>
      <c r="AM1557" s="11262"/>
      <c r="AN1557" s="11263"/>
      <c r="AO1557" s="11261"/>
      <c r="AP1557" s="11262"/>
      <c r="AQ1557" s="11262"/>
      <c r="AR1557" s="11262"/>
      <c r="AS1557" s="11262"/>
      <c r="AT1557" s="11263"/>
      <c r="AU1557" s="11264"/>
      <c r="AV1557" s="11264"/>
      <c r="AW1557" s="11264"/>
      <c r="AX1557" s="10285"/>
      <c r="AY1557" s="11259"/>
      <c r="AZ1557" s="11264"/>
      <c r="BA1557" s="10285"/>
      <c r="BB1557" s="11258"/>
      <c r="BC1557" s="11259"/>
      <c r="BD1557" s="11255"/>
      <c r="BF1557" s="9183"/>
      <c r="BG1557" s="9183"/>
      <c r="BH1557" s="9183"/>
      <c r="BI1557" s="9183"/>
      <c r="BJ1557" s="9183"/>
      <c r="BK1557" s="9183"/>
      <c r="BL1557" s="9183"/>
      <c r="BM1557" s="9183"/>
      <c r="BN1557" s="9183"/>
    </row>
    <row r="1558" spans="1:66" ht="16.5" hidden="1" customHeight="1">
      <c r="A1558" s="13655">
        <v>958</v>
      </c>
      <c r="B1558" s="14382" t="s">
        <v>8343</v>
      </c>
      <c r="C1558" s="13588"/>
      <c r="D1558" s="11933" t="s">
        <v>10057</v>
      </c>
      <c r="E1558" s="14386" t="s">
        <v>6917</v>
      </c>
      <c r="F1558" s="11934"/>
      <c r="G1558" s="14383" t="s">
        <v>6914</v>
      </c>
      <c r="H1558" s="13406" t="s">
        <v>6915</v>
      </c>
      <c r="I1558" s="14389">
        <v>1</v>
      </c>
      <c r="K1558" s="11265"/>
      <c r="L1558" s="11266"/>
      <c r="M1558" s="11266"/>
      <c r="N1558" s="11267"/>
      <c r="O1558" s="11267"/>
      <c r="P1558" s="11268"/>
      <c r="Q1558" s="11269"/>
      <c r="R1558" s="11270"/>
      <c r="S1558" s="11271"/>
      <c r="T1558" s="11272"/>
      <c r="U1558" s="11269"/>
      <c r="V1558" s="11270"/>
      <c r="W1558" s="11272"/>
      <c r="X1558" s="11270"/>
      <c r="Y1558" s="11272"/>
      <c r="Z1558" s="11270"/>
      <c r="AA1558" s="11271"/>
      <c r="AB1558" s="11271"/>
      <c r="AC1558" s="11271"/>
      <c r="AD1558" s="11271"/>
      <c r="AE1558" s="11271"/>
      <c r="AF1558" s="11272"/>
      <c r="AG1558" s="11270"/>
      <c r="AH1558" s="11271"/>
      <c r="AI1558" s="11271"/>
      <c r="AJ1558" s="11271"/>
      <c r="AK1558" s="11271"/>
      <c r="AL1558" s="11271"/>
      <c r="AM1558" s="11271"/>
      <c r="AN1558" s="11272"/>
      <c r="AO1558" s="11270"/>
      <c r="AP1558" s="11271"/>
      <c r="AQ1558" s="11271"/>
      <c r="AR1558" s="11271"/>
      <c r="AS1558" s="11271"/>
      <c r="AT1558" s="11272"/>
      <c r="AU1558" s="11273"/>
      <c r="AV1558" s="11273"/>
      <c r="AW1558" s="11273"/>
      <c r="AX1558" s="11265"/>
      <c r="AY1558" s="11268"/>
      <c r="AZ1558" s="11273"/>
      <c r="BA1558" s="11265"/>
      <c r="BB1558" s="11267"/>
      <c r="BC1558" s="11268"/>
      <c r="BD1558" s="11274"/>
      <c r="BF1558" s="14567"/>
      <c r="BG1558" s="14567"/>
      <c r="BH1558" s="14567"/>
      <c r="BI1558" s="14567"/>
      <c r="BJ1558" s="14567"/>
      <c r="BK1558" s="8998"/>
      <c r="BL1558" s="14567"/>
      <c r="BM1558" s="14567"/>
      <c r="BN1558" s="14567"/>
    </row>
    <row r="1559" spans="1:66" ht="16.5" hidden="1" customHeight="1">
      <c r="A1559" s="13656"/>
      <c r="B1559" s="14098"/>
      <c r="C1559" s="13588"/>
      <c r="D1559" s="11938" t="s">
        <v>218</v>
      </c>
      <c r="E1559" s="14387"/>
      <c r="F1559" s="11939"/>
      <c r="G1559" s="13935"/>
      <c r="H1559" s="13407"/>
      <c r="I1559" s="14390"/>
      <c r="K1559" s="11275"/>
      <c r="L1559" s="11276"/>
      <c r="M1559" s="11276"/>
      <c r="N1559" s="11277"/>
      <c r="O1559" s="11277"/>
      <c r="P1559" s="11278"/>
      <c r="Q1559" s="11279"/>
      <c r="R1559" s="11280"/>
      <c r="S1559" s="11281"/>
      <c r="T1559" s="11282"/>
      <c r="U1559" s="11279"/>
      <c r="V1559" s="11280"/>
      <c r="W1559" s="11282"/>
      <c r="X1559" s="11280"/>
      <c r="Y1559" s="11282"/>
      <c r="Z1559" s="11280"/>
      <c r="AA1559" s="11281"/>
      <c r="AB1559" s="11281"/>
      <c r="AC1559" s="11281"/>
      <c r="AD1559" s="11281"/>
      <c r="AE1559" s="11281"/>
      <c r="AF1559" s="11282"/>
      <c r="AG1559" s="11280"/>
      <c r="AH1559" s="11281"/>
      <c r="AI1559" s="11281"/>
      <c r="AJ1559" s="11281"/>
      <c r="AK1559" s="11281"/>
      <c r="AL1559" s="11281"/>
      <c r="AM1559" s="11281"/>
      <c r="AN1559" s="11282"/>
      <c r="AO1559" s="11280"/>
      <c r="AP1559" s="11281"/>
      <c r="AQ1559" s="11281"/>
      <c r="AR1559" s="11281"/>
      <c r="AS1559" s="11281"/>
      <c r="AT1559" s="11282"/>
      <c r="AU1559" s="11283"/>
      <c r="AV1559" s="11283"/>
      <c r="AW1559" s="11283"/>
      <c r="AX1559" s="11275"/>
      <c r="AY1559" s="11278"/>
      <c r="AZ1559" s="11283"/>
      <c r="BA1559" s="11275"/>
      <c r="BB1559" s="11277"/>
      <c r="BC1559" s="11278"/>
      <c r="BD1559" s="11284"/>
      <c r="BF1559" s="14443"/>
      <c r="BG1559" s="14443"/>
      <c r="BH1559" s="14443"/>
      <c r="BI1559" s="14443"/>
      <c r="BJ1559" s="14443"/>
      <c r="BK1559" s="7873"/>
      <c r="BL1559" s="14443"/>
      <c r="BM1559" s="14443"/>
      <c r="BN1559" s="14443"/>
    </row>
    <row r="1560" spans="1:66" ht="16.5" hidden="1" customHeight="1">
      <c r="A1560" s="13656"/>
      <c r="B1560" s="14098"/>
      <c r="C1560" s="13588"/>
      <c r="D1560" s="11938" t="s">
        <v>2896</v>
      </c>
      <c r="E1560" s="14387"/>
      <c r="F1560" s="11939"/>
      <c r="G1560" s="13935"/>
      <c r="H1560" s="13407"/>
      <c r="I1560" s="14390"/>
      <c r="K1560" s="11275"/>
      <c r="L1560" s="11276"/>
      <c r="M1560" s="11276"/>
      <c r="N1560" s="11277"/>
      <c r="O1560" s="11277"/>
      <c r="P1560" s="11278"/>
      <c r="Q1560" s="11279"/>
      <c r="R1560" s="11280"/>
      <c r="S1560" s="11281"/>
      <c r="T1560" s="11282"/>
      <c r="U1560" s="11279"/>
      <c r="V1560" s="11280"/>
      <c r="W1560" s="11282"/>
      <c r="X1560" s="11280"/>
      <c r="Y1560" s="11282"/>
      <c r="Z1560" s="11280"/>
      <c r="AA1560" s="11281"/>
      <c r="AB1560" s="11281"/>
      <c r="AC1560" s="11281"/>
      <c r="AD1560" s="11281"/>
      <c r="AE1560" s="11281"/>
      <c r="AF1560" s="11282"/>
      <c r="AG1560" s="11280"/>
      <c r="AH1560" s="11281"/>
      <c r="AI1560" s="11281"/>
      <c r="AJ1560" s="11281"/>
      <c r="AK1560" s="11281"/>
      <c r="AL1560" s="11281"/>
      <c r="AM1560" s="11281"/>
      <c r="AN1560" s="11282"/>
      <c r="AO1560" s="11280"/>
      <c r="AP1560" s="11281"/>
      <c r="AQ1560" s="11281"/>
      <c r="AR1560" s="11281"/>
      <c r="AS1560" s="11281"/>
      <c r="AT1560" s="11282"/>
      <c r="AU1560" s="11283"/>
      <c r="AV1560" s="11283"/>
      <c r="AW1560" s="11283"/>
      <c r="AX1560" s="11275"/>
      <c r="AY1560" s="11278"/>
      <c r="AZ1560" s="11283"/>
      <c r="BA1560" s="11275"/>
      <c r="BB1560" s="11277"/>
      <c r="BC1560" s="11278"/>
      <c r="BD1560" s="11284"/>
      <c r="BF1560" s="14443"/>
      <c r="BG1560" s="14443"/>
      <c r="BH1560" s="14443"/>
      <c r="BI1560" s="14443"/>
      <c r="BJ1560" s="14443"/>
      <c r="BK1560" s="7873"/>
      <c r="BL1560" s="14443"/>
      <c r="BM1560" s="14443"/>
      <c r="BN1560" s="14443"/>
    </row>
    <row r="1561" spans="1:66" ht="16.5" hidden="1" customHeight="1">
      <c r="A1561" s="13656"/>
      <c r="B1561" s="14098"/>
      <c r="C1561" s="13588"/>
      <c r="D1561" s="11938" t="s">
        <v>26</v>
      </c>
      <c r="E1561" s="14387"/>
      <c r="F1561" s="11939"/>
      <c r="G1561" s="13935"/>
      <c r="H1561" s="13407"/>
      <c r="I1561" s="14390"/>
      <c r="K1561" s="11275"/>
      <c r="L1561" s="11276"/>
      <c r="M1561" s="11276"/>
      <c r="N1561" s="11277"/>
      <c r="O1561" s="11277"/>
      <c r="P1561" s="11278"/>
      <c r="Q1561" s="11279"/>
      <c r="R1561" s="11280"/>
      <c r="S1561" s="11281"/>
      <c r="T1561" s="11282"/>
      <c r="U1561" s="11279"/>
      <c r="V1561" s="11280"/>
      <c r="W1561" s="11282"/>
      <c r="X1561" s="11280"/>
      <c r="Y1561" s="11282"/>
      <c r="Z1561" s="11280"/>
      <c r="AA1561" s="11281"/>
      <c r="AB1561" s="11281"/>
      <c r="AC1561" s="11281"/>
      <c r="AD1561" s="11281"/>
      <c r="AE1561" s="11281"/>
      <c r="AF1561" s="11282"/>
      <c r="AG1561" s="11280"/>
      <c r="AH1561" s="11281"/>
      <c r="AI1561" s="11281"/>
      <c r="AJ1561" s="11281"/>
      <c r="AK1561" s="11281"/>
      <c r="AL1561" s="11281"/>
      <c r="AM1561" s="11281"/>
      <c r="AN1561" s="11282"/>
      <c r="AO1561" s="11280"/>
      <c r="AP1561" s="11281"/>
      <c r="AQ1561" s="11281"/>
      <c r="AR1561" s="11281"/>
      <c r="AS1561" s="11281"/>
      <c r="AT1561" s="11282"/>
      <c r="AU1561" s="11283"/>
      <c r="AV1561" s="11283"/>
      <c r="AW1561" s="11283"/>
      <c r="AX1561" s="11275"/>
      <c r="AY1561" s="11278"/>
      <c r="AZ1561" s="11283"/>
      <c r="BA1561" s="11275"/>
      <c r="BB1561" s="11277"/>
      <c r="BC1561" s="11278"/>
      <c r="BD1561" s="11284"/>
      <c r="BF1561" s="14443"/>
      <c r="BG1561" s="14443"/>
      <c r="BH1561" s="14443"/>
      <c r="BI1561" s="14443"/>
      <c r="BJ1561" s="14443"/>
      <c r="BK1561" s="7873"/>
      <c r="BL1561" s="14443"/>
      <c r="BM1561" s="14443"/>
      <c r="BN1561" s="14443"/>
    </row>
    <row r="1562" spans="1:66" ht="16.5" hidden="1" customHeight="1">
      <c r="A1562" s="13656"/>
      <c r="B1562" s="14098"/>
      <c r="C1562" s="13588"/>
      <c r="D1562" s="11938" t="s">
        <v>10072</v>
      </c>
      <c r="E1562" s="14387"/>
      <c r="F1562" s="11939"/>
      <c r="G1562" s="13935"/>
      <c r="H1562" s="13407"/>
      <c r="I1562" s="14390"/>
      <c r="K1562" s="11275"/>
      <c r="L1562" s="11276"/>
      <c r="M1562" s="11276"/>
      <c r="N1562" s="11277"/>
      <c r="O1562" s="11277"/>
      <c r="P1562" s="11278"/>
      <c r="Q1562" s="11279"/>
      <c r="R1562" s="11280"/>
      <c r="S1562" s="11281"/>
      <c r="T1562" s="11282"/>
      <c r="U1562" s="11279"/>
      <c r="V1562" s="11280"/>
      <c r="W1562" s="11282"/>
      <c r="X1562" s="11280"/>
      <c r="Y1562" s="11282"/>
      <c r="Z1562" s="11280"/>
      <c r="AA1562" s="11281"/>
      <c r="AB1562" s="11281"/>
      <c r="AC1562" s="11281"/>
      <c r="AD1562" s="11281"/>
      <c r="AE1562" s="11281"/>
      <c r="AF1562" s="11282"/>
      <c r="AG1562" s="11280"/>
      <c r="AH1562" s="11281"/>
      <c r="AI1562" s="11281"/>
      <c r="AJ1562" s="11281"/>
      <c r="AK1562" s="11281"/>
      <c r="AL1562" s="11281"/>
      <c r="AM1562" s="11281"/>
      <c r="AN1562" s="11282"/>
      <c r="AO1562" s="11280"/>
      <c r="AP1562" s="11281"/>
      <c r="AQ1562" s="11281"/>
      <c r="AR1562" s="11281"/>
      <c r="AS1562" s="11281"/>
      <c r="AT1562" s="11282"/>
      <c r="AU1562" s="11283"/>
      <c r="AV1562" s="11283"/>
      <c r="AW1562" s="11283"/>
      <c r="AX1562" s="11275"/>
      <c r="AY1562" s="11278"/>
      <c r="AZ1562" s="11283"/>
      <c r="BA1562" s="11275"/>
      <c r="BB1562" s="11277"/>
      <c r="BC1562" s="11278"/>
      <c r="BD1562" s="11284"/>
      <c r="BF1562" s="14443"/>
      <c r="BG1562" s="14443"/>
      <c r="BH1562" s="14443"/>
      <c r="BI1562" s="14443"/>
      <c r="BJ1562" s="14443"/>
      <c r="BK1562" s="7873"/>
      <c r="BL1562" s="14443"/>
      <c r="BM1562" s="14443"/>
      <c r="BN1562" s="14443"/>
    </row>
    <row r="1563" spans="1:66" ht="16.5" hidden="1" customHeight="1">
      <c r="A1563" s="13656"/>
      <c r="B1563" s="14098"/>
      <c r="C1563" s="13588"/>
      <c r="D1563" s="11938" t="s">
        <v>86</v>
      </c>
      <c r="E1563" s="14387"/>
      <c r="F1563" s="11939"/>
      <c r="G1563" s="13935"/>
      <c r="H1563" s="13407"/>
      <c r="I1563" s="14390"/>
      <c r="K1563" s="11275"/>
      <c r="L1563" s="11276"/>
      <c r="M1563" s="11276"/>
      <c r="N1563" s="11277"/>
      <c r="O1563" s="11277"/>
      <c r="P1563" s="11278"/>
      <c r="Q1563" s="11279"/>
      <c r="R1563" s="11280"/>
      <c r="S1563" s="11281"/>
      <c r="T1563" s="11282"/>
      <c r="U1563" s="11279"/>
      <c r="V1563" s="11280"/>
      <c r="W1563" s="11282"/>
      <c r="X1563" s="11280"/>
      <c r="Y1563" s="11282"/>
      <c r="Z1563" s="11280"/>
      <c r="AA1563" s="11281"/>
      <c r="AB1563" s="11281"/>
      <c r="AC1563" s="11281"/>
      <c r="AD1563" s="11281"/>
      <c r="AE1563" s="11281"/>
      <c r="AF1563" s="11282"/>
      <c r="AG1563" s="11280"/>
      <c r="AH1563" s="11281"/>
      <c r="AI1563" s="11281"/>
      <c r="AJ1563" s="11281"/>
      <c r="AK1563" s="11281"/>
      <c r="AL1563" s="11281"/>
      <c r="AM1563" s="11281"/>
      <c r="AN1563" s="11282"/>
      <c r="AO1563" s="11280"/>
      <c r="AP1563" s="11281"/>
      <c r="AQ1563" s="11281"/>
      <c r="AR1563" s="11281"/>
      <c r="AS1563" s="11281"/>
      <c r="AT1563" s="11282"/>
      <c r="AU1563" s="11283"/>
      <c r="AV1563" s="11283"/>
      <c r="AW1563" s="11283"/>
      <c r="AX1563" s="11275"/>
      <c r="AY1563" s="11278"/>
      <c r="AZ1563" s="11283"/>
      <c r="BA1563" s="11275"/>
      <c r="BB1563" s="11277"/>
      <c r="BC1563" s="11278"/>
      <c r="BD1563" s="11284"/>
      <c r="BF1563" s="14443"/>
      <c r="BG1563" s="14443"/>
      <c r="BH1563" s="14443"/>
      <c r="BI1563" s="14443"/>
      <c r="BJ1563" s="14443"/>
      <c r="BK1563" s="7873"/>
      <c r="BL1563" s="14443"/>
      <c r="BM1563" s="14443"/>
      <c r="BN1563" s="14443"/>
    </row>
    <row r="1564" spans="1:66" ht="16.5" hidden="1" customHeight="1">
      <c r="A1564" s="13656"/>
      <c r="B1564" s="14098"/>
      <c r="C1564" s="13588"/>
      <c r="D1564" s="11938" t="s">
        <v>10063</v>
      </c>
      <c r="E1564" s="14387"/>
      <c r="F1564" s="11939"/>
      <c r="G1564" s="13935"/>
      <c r="H1564" s="13407"/>
      <c r="I1564" s="14390"/>
      <c r="K1564" s="11275"/>
      <c r="L1564" s="11276"/>
      <c r="M1564" s="11276"/>
      <c r="N1564" s="11277"/>
      <c r="O1564" s="11277"/>
      <c r="P1564" s="11278"/>
      <c r="Q1564" s="11279"/>
      <c r="R1564" s="11280"/>
      <c r="S1564" s="11281"/>
      <c r="T1564" s="11282"/>
      <c r="U1564" s="11279"/>
      <c r="V1564" s="11280"/>
      <c r="W1564" s="11282"/>
      <c r="X1564" s="11280"/>
      <c r="Y1564" s="11282"/>
      <c r="Z1564" s="11280"/>
      <c r="AA1564" s="11281"/>
      <c r="AB1564" s="11281"/>
      <c r="AC1564" s="11281"/>
      <c r="AD1564" s="11281"/>
      <c r="AE1564" s="11281"/>
      <c r="AF1564" s="11282"/>
      <c r="AG1564" s="11280"/>
      <c r="AH1564" s="11281"/>
      <c r="AI1564" s="11281"/>
      <c r="AJ1564" s="11281"/>
      <c r="AK1564" s="11281"/>
      <c r="AL1564" s="11281"/>
      <c r="AM1564" s="11281"/>
      <c r="AN1564" s="11282"/>
      <c r="AO1564" s="11280"/>
      <c r="AP1564" s="11281"/>
      <c r="AQ1564" s="11281"/>
      <c r="AR1564" s="11281"/>
      <c r="AS1564" s="11281"/>
      <c r="AT1564" s="11282"/>
      <c r="AU1564" s="11283"/>
      <c r="AV1564" s="11283"/>
      <c r="AW1564" s="11283"/>
      <c r="AX1564" s="11275"/>
      <c r="AY1564" s="11278"/>
      <c r="AZ1564" s="11283"/>
      <c r="BA1564" s="11275"/>
      <c r="BB1564" s="11277"/>
      <c r="BC1564" s="11278"/>
      <c r="BD1564" s="11284"/>
      <c r="BF1564" s="14443"/>
      <c r="BG1564" s="14443"/>
      <c r="BH1564" s="14443"/>
      <c r="BI1564" s="14443"/>
      <c r="BJ1564" s="14443"/>
      <c r="BK1564" s="7873"/>
      <c r="BL1564" s="14443"/>
      <c r="BM1564" s="14443"/>
      <c r="BN1564" s="14443"/>
    </row>
    <row r="1565" spans="1:66" ht="16.5" hidden="1" customHeight="1">
      <c r="A1565" s="13656"/>
      <c r="B1565" s="14098"/>
      <c r="C1565" s="13588"/>
      <c r="D1565" s="11938" t="s">
        <v>4305</v>
      </c>
      <c r="E1565" s="14387"/>
      <c r="F1565" s="11939"/>
      <c r="G1565" s="13935"/>
      <c r="H1565" s="13407"/>
      <c r="I1565" s="14390"/>
      <c r="K1565" s="11275"/>
      <c r="L1565" s="11276"/>
      <c r="M1565" s="11276"/>
      <c r="N1565" s="11277"/>
      <c r="O1565" s="11277"/>
      <c r="P1565" s="11278"/>
      <c r="Q1565" s="11279"/>
      <c r="R1565" s="11280"/>
      <c r="S1565" s="11281"/>
      <c r="T1565" s="11282"/>
      <c r="U1565" s="11279"/>
      <c r="V1565" s="11280"/>
      <c r="W1565" s="11282"/>
      <c r="X1565" s="11280"/>
      <c r="Y1565" s="11282"/>
      <c r="Z1565" s="11280"/>
      <c r="AA1565" s="11281"/>
      <c r="AB1565" s="11281"/>
      <c r="AC1565" s="11281"/>
      <c r="AD1565" s="11281"/>
      <c r="AE1565" s="11281"/>
      <c r="AF1565" s="11282"/>
      <c r="AG1565" s="11280"/>
      <c r="AH1565" s="11281"/>
      <c r="AI1565" s="11281"/>
      <c r="AJ1565" s="11281"/>
      <c r="AK1565" s="11281"/>
      <c r="AL1565" s="11281"/>
      <c r="AM1565" s="11281"/>
      <c r="AN1565" s="11282"/>
      <c r="AO1565" s="11280"/>
      <c r="AP1565" s="11281"/>
      <c r="AQ1565" s="11281"/>
      <c r="AR1565" s="11281"/>
      <c r="AS1565" s="11281"/>
      <c r="AT1565" s="11282"/>
      <c r="AU1565" s="11283"/>
      <c r="AV1565" s="11283"/>
      <c r="AW1565" s="11283"/>
      <c r="AX1565" s="11275"/>
      <c r="AY1565" s="11278"/>
      <c r="AZ1565" s="11283"/>
      <c r="BA1565" s="11275"/>
      <c r="BB1565" s="11277"/>
      <c r="BC1565" s="11278"/>
      <c r="BD1565" s="11284"/>
      <c r="BF1565" s="14443"/>
      <c r="BG1565" s="14443"/>
      <c r="BH1565" s="14443"/>
      <c r="BI1565" s="14443"/>
      <c r="BJ1565" s="14443"/>
      <c r="BK1565" s="7873"/>
      <c r="BL1565" s="14443"/>
      <c r="BM1565" s="14443"/>
      <c r="BN1565" s="14443"/>
    </row>
    <row r="1566" spans="1:66" ht="16.5" hidden="1" customHeight="1">
      <c r="A1566" s="13656"/>
      <c r="B1566" s="14098"/>
      <c r="C1566" s="13588"/>
      <c r="D1566" s="11938" t="s">
        <v>10066</v>
      </c>
      <c r="E1566" s="14387"/>
      <c r="F1566" s="11939"/>
      <c r="G1566" s="13935"/>
      <c r="H1566" s="13407"/>
      <c r="I1566" s="14390"/>
      <c r="K1566" s="11275"/>
      <c r="L1566" s="11276"/>
      <c r="M1566" s="11276"/>
      <c r="N1566" s="11277"/>
      <c r="O1566" s="11277"/>
      <c r="P1566" s="11278"/>
      <c r="Q1566" s="11279"/>
      <c r="R1566" s="11280"/>
      <c r="S1566" s="11281"/>
      <c r="T1566" s="11282"/>
      <c r="U1566" s="11279"/>
      <c r="V1566" s="11280"/>
      <c r="W1566" s="11282"/>
      <c r="X1566" s="11280"/>
      <c r="Y1566" s="11282"/>
      <c r="Z1566" s="11280"/>
      <c r="AA1566" s="11281"/>
      <c r="AB1566" s="11281"/>
      <c r="AC1566" s="11281"/>
      <c r="AD1566" s="11281"/>
      <c r="AE1566" s="11281"/>
      <c r="AF1566" s="11282"/>
      <c r="AG1566" s="11280"/>
      <c r="AH1566" s="11281"/>
      <c r="AI1566" s="11281"/>
      <c r="AJ1566" s="11281"/>
      <c r="AK1566" s="11281"/>
      <c r="AL1566" s="11281"/>
      <c r="AM1566" s="11281"/>
      <c r="AN1566" s="11282"/>
      <c r="AO1566" s="11280"/>
      <c r="AP1566" s="11281"/>
      <c r="AQ1566" s="11281"/>
      <c r="AR1566" s="11281"/>
      <c r="AS1566" s="11281"/>
      <c r="AT1566" s="11282"/>
      <c r="AU1566" s="11283"/>
      <c r="AV1566" s="11283"/>
      <c r="AW1566" s="11283"/>
      <c r="AX1566" s="11275"/>
      <c r="AY1566" s="11278"/>
      <c r="AZ1566" s="11283"/>
      <c r="BA1566" s="11275"/>
      <c r="BB1566" s="11277"/>
      <c r="BC1566" s="11278"/>
      <c r="BD1566" s="11284"/>
      <c r="BF1566" s="14443"/>
      <c r="BG1566" s="14443"/>
      <c r="BH1566" s="14443"/>
      <c r="BI1566" s="14443"/>
      <c r="BJ1566" s="14443"/>
      <c r="BK1566" s="7873"/>
      <c r="BL1566" s="14443"/>
      <c r="BM1566" s="14443"/>
      <c r="BN1566" s="14443"/>
    </row>
    <row r="1567" spans="1:66" ht="16.5" hidden="1" customHeight="1">
      <c r="A1567" s="13656"/>
      <c r="B1567" s="14098"/>
      <c r="C1567" s="13588"/>
      <c r="D1567" s="11938" t="s">
        <v>10290</v>
      </c>
      <c r="E1567" s="14387"/>
      <c r="F1567" s="11939"/>
      <c r="G1567" s="13935"/>
      <c r="H1567" s="13407"/>
      <c r="I1567" s="14390"/>
      <c r="K1567" s="11275"/>
      <c r="L1567" s="11276"/>
      <c r="M1567" s="11276"/>
      <c r="N1567" s="11277"/>
      <c r="O1567" s="11277"/>
      <c r="P1567" s="11278"/>
      <c r="Q1567" s="11279"/>
      <c r="R1567" s="11280"/>
      <c r="S1567" s="11281"/>
      <c r="T1567" s="11282"/>
      <c r="U1567" s="11279"/>
      <c r="V1567" s="11280"/>
      <c r="W1567" s="11282"/>
      <c r="X1567" s="11280"/>
      <c r="Y1567" s="11282"/>
      <c r="Z1567" s="11280"/>
      <c r="AA1567" s="11281"/>
      <c r="AB1567" s="11281"/>
      <c r="AC1567" s="11281"/>
      <c r="AD1567" s="11281"/>
      <c r="AE1567" s="11281"/>
      <c r="AF1567" s="11282"/>
      <c r="AG1567" s="11280"/>
      <c r="AH1567" s="11281"/>
      <c r="AI1567" s="11281"/>
      <c r="AJ1567" s="11281"/>
      <c r="AK1567" s="11281"/>
      <c r="AL1567" s="11281"/>
      <c r="AM1567" s="11281"/>
      <c r="AN1567" s="11282"/>
      <c r="AO1567" s="11280"/>
      <c r="AP1567" s="11281"/>
      <c r="AQ1567" s="11281"/>
      <c r="AR1567" s="11281"/>
      <c r="AS1567" s="11281"/>
      <c r="AT1567" s="11282"/>
      <c r="AU1567" s="11283"/>
      <c r="AV1567" s="11283"/>
      <c r="AW1567" s="11283"/>
      <c r="AX1567" s="11275"/>
      <c r="AY1567" s="11278"/>
      <c r="AZ1567" s="11283"/>
      <c r="BA1567" s="11275"/>
      <c r="BB1567" s="11277"/>
      <c r="BC1567" s="11278"/>
      <c r="BD1567" s="11284"/>
      <c r="BF1567" s="14443"/>
      <c r="BG1567" s="14443"/>
      <c r="BH1567" s="14443"/>
      <c r="BI1567" s="14443"/>
      <c r="BJ1567" s="14443"/>
      <c r="BK1567" s="7873"/>
      <c r="BL1567" s="14443"/>
      <c r="BM1567" s="14443"/>
      <c r="BN1567" s="14443"/>
    </row>
    <row r="1568" spans="1:66" ht="16.5" hidden="1" customHeight="1">
      <c r="A1568" s="13656">
        <v>959</v>
      </c>
      <c r="B1568" s="14098" t="s">
        <v>8344</v>
      </c>
      <c r="C1568" s="13588"/>
      <c r="D1568" s="11938" t="s">
        <v>10057</v>
      </c>
      <c r="E1568" s="14387" t="s">
        <v>6917</v>
      </c>
      <c r="F1568" s="11939"/>
      <c r="G1568" s="13935" t="s">
        <v>6919</v>
      </c>
      <c r="H1568" s="13407" t="s">
        <v>6920</v>
      </c>
      <c r="I1568" s="14390">
        <v>1</v>
      </c>
      <c r="K1568" s="11275"/>
      <c r="L1568" s="11276"/>
      <c r="M1568" s="11276"/>
      <c r="N1568" s="11277"/>
      <c r="O1568" s="11277"/>
      <c r="P1568" s="11278"/>
      <c r="Q1568" s="11279"/>
      <c r="R1568" s="11280"/>
      <c r="S1568" s="11281"/>
      <c r="T1568" s="11282"/>
      <c r="U1568" s="11279"/>
      <c r="V1568" s="11280"/>
      <c r="W1568" s="11282"/>
      <c r="X1568" s="11280"/>
      <c r="Y1568" s="11282"/>
      <c r="Z1568" s="11280"/>
      <c r="AA1568" s="11281"/>
      <c r="AB1568" s="11281"/>
      <c r="AC1568" s="11281"/>
      <c r="AD1568" s="11281"/>
      <c r="AE1568" s="11281"/>
      <c r="AF1568" s="11282"/>
      <c r="AG1568" s="11280"/>
      <c r="AH1568" s="11281"/>
      <c r="AI1568" s="11281"/>
      <c r="AJ1568" s="11281"/>
      <c r="AK1568" s="11281"/>
      <c r="AL1568" s="11281"/>
      <c r="AM1568" s="11281"/>
      <c r="AN1568" s="11282"/>
      <c r="AO1568" s="11280"/>
      <c r="AP1568" s="11281"/>
      <c r="AQ1568" s="11281"/>
      <c r="AR1568" s="11281"/>
      <c r="AS1568" s="11281"/>
      <c r="AT1568" s="11282"/>
      <c r="AU1568" s="11283"/>
      <c r="AV1568" s="11283"/>
      <c r="AW1568" s="11283"/>
      <c r="AX1568" s="11275"/>
      <c r="AY1568" s="11278"/>
      <c r="AZ1568" s="11283"/>
      <c r="BA1568" s="11275"/>
      <c r="BB1568" s="11277"/>
      <c r="BC1568" s="11278"/>
      <c r="BD1568" s="11284"/>
      <c r="BF1568" s="14443"/>
      <c r="BG1568" s="14443"/>
      <c r="BH1568" s="14443"/>
      <c r="BI1568" s="14443"/>
      <c r="BJ1568" s="14443"/>
      <c r="BK1568" s="7873"/>
      <c r="BL1568" s="14443"/>
      <c r="BM1568" s="14443"/>
      <c r="BN1568" s="14443"/>
    </row>
    <row r="1569" spans="1:66" ht="16.5" hidden="1" customHeight="1">
      <c r="A1569" s="13656"/>
      <c r="B1569" s="14098"/>
      <c r="C1569" s="13588"/>
      <c r="D1569" s="11938" t="s">
        <v>218</v>
      </c>
      <c r="E1569" s="14387"/>
      <c r="F1569" s="11939"/>
      <c r="G1569" s="13935"/>
      <c r="H1569" s="13407"/>
      <c r="I1569" s="14390"/>
      <c r="K1569" s="11275"/>
      <c r="L1569" s="11276"/>
      <c r="M1569" s="11276"/>
      <c r="N1569" s="11277"/>
      <c r="O1569" s="11277"/>
      <c r="P1569" s="11278"/>
      <c r="Q1569" s="11279"/>
      <c r="R1569" s="11280"/>
      <c r="S1569" s="11281"/>
      <c r="T1569" s="11282"/>
      <c r="U1569" s="11279"/>
      <c r="V1569" s="11280"/>
      <c r="W1569" s="11282"/>
      <c r="X1569" s="11280"/>
      <c r="Y1569" s="11282"/>
      <c r="Z1569" s="11280"/>
      <c r="AA1569" s="11281"/>
      <c r="AB1569" s="11281"/>
      <c r="AC1569" s="11281"/>
      <c r="AD1569" s="11281"/>
      <c r="AE1569" s="11281"/>
      <c r="AF1569" s="11282"/>
      <c r="AG1569" s="11280"/>
      <c r="AH1569" s="11281"/>
      <c r="AI1569" s="11281"/>
      <c r="AJ1569" s="11281"/>
      <c r="AK1569" s="11281"/>
      <c r="AL1569" s="11281"/>
      <c r="AM1569" s="11281"/>
      <c r="AN1569" s="11282"/>
      <c r="AO1569" s="11280"/>
      <c r="AP1569" s="11281"/>
      <c r="AQ1569" s="11281"/>
      <c r="AR1569" s="11281"/>
      <c r="AS1569" s="11281"/>
      <c r="AT1569" s="11282"/>
      <c r="AU1569" s="11283"/>
      <c r="AV1569" s="11283"/>
      <c r="AW1569" s="11283"/>
      <c r="AX1569" s="11275"/>
      <c r="AY1569" s="11278"/>
      <c r="AZ1569" s="11283"/>
      <c r="BA1569" s="11275"/>
      <c r="BB1569" s="11277"/>
      <c r="BC1569" s="11278"/>
      <c r="BD1569" s="11284"/>
      <c r="BF1569" s="14443"/>
      <c r="BG1569" s="14443"/>
      <c r="BH1569" s="14443"/>
      <c r="BI1569" s="14443"/>
      <c r="BJ1569" s="14443"/>
      <c r="BK1569" s="7873"/>
      <c r="BL1569" s="14443"/>
      <c r="BM1569" s="14443"/>
      <c r="BN1569" s="14443"/>
    </row>
    <row r="1570" spans="1:66" ht="16.5" hidden="1" customHeight="1">
      <c r="A1570" s="13656"/>
      <c r="B1570" s="14098"/>
      <c r="C1570" s="13588"/>
      <c r="D1570" s="11938" t="s">
        <v>2896</v>
      </c>
      <c r="E1570" s="14387"/>
      <c r="F1570" s="11939"/>
      <c r="G1570" s="13935"/>
      <c r="H1570" s="13407"/>
      <c r="I1570" s="14390"/>
      <c r="K1570" s="11275"/>
      <c r="L1570" s="11276"/>
      <c r="M1570" s="11276"/>
      <c r="N1570" s="11277"/>
      <c r="O1570" s="11277"/>
      <c r="P1570" s="11278"/>
      <c r="Q1570" s="11279"/>
      <c r="R1570" s="11280"/>
      <c r="S1570" s="11281"/>
      <c r="T1570" s="11282"/>
      <c r="U1570" s="11279"/>
      <c r="V1570" s="11280"/>
      <c r="W1570" s="11282"/>
      <c r="X1570" s="11280"/>
      <c r="Y1570" s="11282"/>
      <c r="Z1570" s="11280"/>
      <c r="AA1570" s="11281"/>
      <c r="AB1570" s="11281"/>
      <c r="AC1570" s="11281"/>
      <c r="AD1570" s="11281"/>
      <c r="AE1570" s="11281"/>
      <c r="AF1570" s="11282"/>
      <c r="AG1570" s="11280"/>
      <c r="AH1570" s="11281"/>
      <c r="AI1570" s="11281"/>
      <c r="AJ1570" s="11281"/>
      <c r="AK1570" s="11281"/>
      <c r="AL1570" s="11281"/>
      <c r="AM1570" s="11281"/>
      <c r="AN1570" s="11282"/>
      <c r="AO1570" s="11280"/>
      <c r="AP1570" s="11281"/>
      <c r="AQ1570" s="11281"/>
      <c r="AR1570" s="11281"/>
      <c r="AS1570" s="11281"/>
      <c r="AT1570" s="11282"/>
      <c r="AU1570" s="11283"/>
      <c r="AV1570" s="11283"/>
      <c r="AW1570" s="11283"/>
      <c r="AX1570" s="11275"/>
      <c r="AY1570" s="11278"/>
      <c r="AZ1570" s="11283"/>
      <c r="BA1570" s="11275"/>
      <c r="BB1570" s="11277"/>
      <c r="BC1570" s="11278"/>
      <c r="BD1570" s="11284"/>
      <c r="BF1570" s="14443"/>
      <c r="BG1570" s="14443"/>
      <c r="BH1570" s="14443"/>
      <c r="BI1570" s="14443"/>
      <c r="BJ1570" s="14443"/>
      <c r="BK1570" s="7873"/>
      <c r="BL1570" s="14443"/>
      <c r="BM1570" s="14443"/>
      <c r="BN1570" s="14443"/>
    </row>
    <row r="1571" spans="1:66" ht="16.5" hidden="1" customHeight="1">
      <c r="A1571" s="13656"/>
      <c r="B1571" s="14098"/>
      <c r="C1571" s="13588"/>
      <c r="D1571" s="11938" t="s">
        <v>26</v>
      </c>
      <c r="E1571" s="14387"/>
      <c r="F1571" s="11939"/>
      <c r="G1571" s="13935"/>
      <c r="H1571" s="13407"/>
      <c r="I1571" s="14390"/>
      <c r="K1571" s="11275"/>
      <c r="L1571" s="11276"/>
      <c r="M1571" s="11276"/>
      <c r="N1571" s="11277"/>
      <c r="O1571" s="11277"/>
      <c r="P1571" s="11278"/>
      <c r="Q1571" s="11279"/>
      <c r="R1571" s="11280"/>
      <c r="S1571" s="11281"/>
      <c r="T1571" s="11282"/>
      <c r="U1571" s="11279"/>
      <c r="V1571" s="11280"/>
      <c r="W1571" s="11282"/>
      <c r="X1571" s="11280"/>
      <c r="Y1571" s="11282"/>
      <c r="Z1571" s="11280"/>
      <c r="AA1571" s="11281"/>
      <c r="AB1571" s="11281"/>
      <c r="AC1571" s="11281"/>
      <c r="AD1571" s="11281"/>
      <c r="AE1571" s="11281"/>
      <c r="AF1571" s="11282"/>
      <c r="AG1571" s="11280"/>
      <c r="AH1571" s="11281"/>
      <c r="AI1571" s="11281"/>
      <c r="AJ1571" s="11281"/>
      <c r="AK1571" s="11281"/>
      <c r="AL1571" s="11281"/>
      <c r="AM1571" s="11281"/>
      <c r="AN1571" s="11282"/>
      <c r="AO1571" s="11280"/>
      <c r="AP1571" s="11281"/>
      <c r="AQ1571" s="11281"/>
      <c r="AR1571" s="11281"/>
      <c r="AS1571" s="11281"/>
      <c r="AT1571" s="11282"/>
      <c r="AU1571" s="11283"/>
      <c r="AV1571" s="11283"/>
      <c r="AW1571" s="11283"/>
      <c r="AX1571" s="11275"/>
      <c r="AY1571" s="11278"/>
      <c r="AZ1571" s="11283"/>
      <c r="BA1571" s="11275"/>
      <c r="BB1571" s="11277"/>
      <c r="BC1571" s="11278"/>
      <c r="BD1571" s="11284"/>
      <c r="BF1571" s="14443"/>
      <c r="BG1571" s="14443"/>
      <c r="BH1571" s="14443"/>
      <c r="BI1571" s="14443"/>
      <c r="BJ1571" s="14443"/>
      <c r="BK1571" s="7873"/>
      <c r="BL1571" s="14443"/>
      <c r="BM1571" s="14443"/>
      <c r="BN1571" s="14443"/>
    </row>
    <row r="1572" spans="1:66" ht="16.5" hidden="1" customHeight="1">
      <c r="A1572" s="13656"/>
      <c r="B1572" s="14098"/>
      <c r="C1572" s="13588"/>
      <c r="D1572" s="11938" t="s">
        <v>10072</v>
      </c>
      <c r="E1572" s="14387"/>
      <c r="F1572" s="11939"/>
      <c r="G1572" s="13935"/>
      <c r="H1572" s="13407"/>
      <c r="I1572" s="14390"/>
      <c r="K1572" s="11275"/>
      <c r="L1572" s="11276"/>
      <c r="M1572" s="11276"/>
      <c r="N1572" s="11277"/>
      <c r="O1572" s="11277"/>
      <c r="P1572" s="11278"/>
      <c r="Q1572" s="11279"/>
      <c r="R1572" s="11280"/>
      <c r="S1572" s="11281"/>
      <c r="T1572" s="11282"/>
      <c r="U1572" s="11279"/>
      <c r="V1572" s="11280"/>
      <c r="W1572" s="11282"/>
      <c r="X1572" s="11280"/>
      <c r="Y1572" s="11282"/>
      <c r="Z1572" s="11280"/>
      <c r="AA1572" s="11281"/>
      <c r="AB1572" s="11281"/>
      <c r="AC1572" s="11281"/>
      <c r="AD1572" s="11281"/>
      <c r="AE1572" s="11281"/>
      <c r="AF1572" s="11282"/>
      <c r="AG1572" s="11280"/>
      <c r="AH1572" s="11281"/>
      <c r="AI1572" s="11281"/>
      <c r="AJ1572" s="11281"/>
      <c r="AK1572" s="11281"/>
      <c r="AL1572" s="11281"/>
      <c r="AM1572" s="11281"/>
      <c r="AN1572" s="11282"/>
      <c r="AO1572" s="11280"/>
      <c r="AP1572" s="11281"/>
      <c r="AQ1572" s="11281"/>
      <c r="AR1572" s="11281"/>
      <c r="AS1572" s="11281"/>
      <c r="AT1572" s="11282"/>
      <c r="AU1572" s="11283"/>
      <c r="AV1572" s="11283"/>
      <c r="AW1572" s="11283"/>
      <c r="AX1572" s="11275"/>
      <c r="AY1572" s="11278"/>
      <c r="AZ1572" s="11283"/>
      <c r="BA1572" s="11275"/>
      <c r="BB1572" s="11277"/>
      <c r="BC1572" s="11278"/>
      <c r="BD1572" s="11284"/>
      <c r="BF1572" s="14443"/>
      <c r="BG1572" s="14443"/>
      <c r="BH1572" s="14443"/>
      <c r="BI1572" s="14443"/>
      <c r="BJ1572" s="14443"/>
      <c r="BK1572" s="7873"/>
      <c r="BL1572" s="14443"/>
      <c r="BM1572" s="14443"/>
      <c r="BN1572" s="14443"/>
    </row>
    <row r="1573" spans="1:66" ht="16.5" hidden="1" customHeight="1">
      <c r="A1573" s="13656"/>
      <c r="B1573" s="14098"/>
      <c r="C1573" s="13588"/>
      <c r="D1573" s="11938" t="s">
        <v>86</v>
      </c>
      <c r="E1573" s="14387"/>
      <c r="F1573" s="11939"/>
      <c r="G1573" s="13935"/>
      <c r="H1573" s="13407"/>
      <c r="I1573" s="14390"/>
      <c r="K1573" s="11275"/>
      <c r="L1573" s="11276"/>
      <c r="M1573" s="11276"/>
      <c r="N1573" s="11277"/>
      <c r="O1573" s="11277"/>
      <c r="P1573" s="11278"/>
      <c r="Q1573" s="11279"/>
      <c r="R1573" s="11280"/>
      <c r="S1573" s="11281"/>
      <c r="T1573" s="11282"/>
      <c r="U1573" s="11279"/>
      <c r="V1573" s="11280"/>
      <c r="W1573" s="11282"/>
      <c r="X1573" s="11280"/>
      <c r="Y1573" s="11282"/>
      <c r="Z1573" s="11280"/>
      <c r="AA1573" s="11281"/>
      <c r="AB1573" s="11281"/>
      <c r="AC1573" s="11281"/>
      <c r="AD1573" s="11281"/>
      <c r="AE1573" s="11281"/>
      <c r="AF1573" s="11282"/>
      <c r="AG1573" s="11280"/>
      <c r="AH1573" s="11281"/>
      <c r="AI1573" s="11281"/>
      <c r="AJ1573" s="11281"/>
      <c r="AK1573" s="11281"/>
      <c r="AL1573" s="11281"/>
      <c r="AM1573" s="11281"/>
      <c r="AN1573" s="11282"/>
      <c r="AO1573" s="11280"/>
      <c r="AP1573" s="11281"/>
      <c r="AQ1573" s="11281"/>
      <c r="AR1573" s="11281"/>
      <c r="AS1573" s="11281"/>
      <c r="AT1573" s="11282"/>
      <c r="AU1573" s="11283"/>
      <c r="AV1573" s="11283"/>
      <c r="AW1573" s="11283"/>
      <c r="AX1573" s="11275"/>
      <c r="AY1573" s="11278"/>
      <c r="AZ1573" s="11283"/>
      <c r="BA1573" s="11275"/>
      <c r="BB1573" s="11277"/>
      <c r="BC1573" s="11278"/>
      <c r="BD1573" s="11284"/>
      <c r="BF1573" s="14443"/>
      <c r="BG1573" s="14443"/>
      <c r="BH1573" s="14443"/>
      <c r="BI1573" s="14443"/>
      <c r="BJ1573" s="14443"/>
      <c r="BK1573" s="7873"/>
      <c r="BL1573" s="14443"/>
      <c r="BM1573" s="14443"/>
      <c r="BN1573" s="14443"/>
    </row>
    <row r="1574" spans="1:66" ht="16.5" hidden="1" customHeight="1">
      <c r="A1574" s="13656"/>
      <c r="B1574" s="14098"/>
      <c r="C1574" s="13588"/>
      <c r="D1574" s="11938" t="s">
        <v>10063</v>
      </c>
      <c r="E1574" s="14387"/>
      <c r="F1574" s="11939"/>
      <c r="G1574" s="13935"/>
      <c r="H1574" s="13407"/>
      <c r="I1574" s="14390"/>
      <c r="K1574" s="11275"/>
      <c r="L1574" s="11276"/>
      <c r="M1574" s="11276"/>
      <c r="N1574" s="11277"/>
      <c r="O1574" s="11277"/>
      <c r="P1574" s="11278"/>
      <c r="Q1574" s="11279"/>
      <c r="R1574" s="11280"/>
      <c r="S1574" s="11281"/>
      <c r="T1574" s="11282"/>
      <c r="U1574" s="11279"/>
      <c r="V1574" s="11280"/>
      <c r="W1574" s="11282"/>
      <c r="X1574" s="11280"/>
      <c r="Y1574" s="11282"/>
      <c r="Z1574" s="11280"/>
      <c r="AA1574" s="11281"/>
      <c r="AB1574" s="11281"/>
      <c r="AC1574" s="11281"/>
      <c r="AD1574" s="11281"/>
      <c r="AE1574" s="11281"/>
      <c r="AF1574" s="11282"/>
      <c r="AG1574" s="11280"/>
      <c r="AH1574" s="11281"/>
      <c r="AI1574" s="11281"/>
      <c r="AJ1574" s="11281"/>
      <c r="AK1574" s="11281"/>
      <c r="AL1574" s="11281"/>
      <c r="AM1574" s="11281"/>
      <c r="AN1574" s="11282"/>
      <c r="AO1574" s="11280"/>
      <c r="AP1574" s="11281"/>
      <c r="AQ1574" s="11281"/>
      <c r="AR1574" s="11281"/>
      <c r="AS1574" s="11281"/>
      <c r="AT1574" s="11282"/>
      <c r="AU1574" s="11283"/>
      <c r="AV1574" s="11283"/>
      <c r="AW1574" s="11283"/>
      <c r="AX1574" s="11275"/>
      <c r="AY1574" s="11278"/>
      <c r="AZ1574" s="11283"/>
      <c r="BA1574" s="11275"/>
      <c r="BB1574" s="11277"/>
      <c r="BC1574" s="11278"/>
      <c r="BD1574" s="11284"/>
      <c r="BF1574" s="14443"/>
      <c r="BG1574" s="14443"/>
      <c r="BH1574" s="14443"/>
      <c r="BI1574" s="14443"/>
      <c r="BJ1574" s="14443"/>
      <c r="BK1574" s="7873"/>
      <c r="BL1574" s="14443"/>
      <c r="BM1574" s="14443"/>
      <c r="BN1574" s="14443"/>
    </row>
    <row r="1575" spans="1:66" ht="16.5" hidden="1" customHeight="1">
      <c r="A1575" s="13656"/>
      <c r="B1575" s="14098"/>
      <c r="C1575" s="13588"/>
      <c r="D1575" s="11938" t="s">
        <v>4305</v>
      </c>
      <c r="E1575" s="14387"/>
      <c r="F1575" s="11939"/>
      <c r="G1575" s="13935"/>
      <c r="H1575" s="13407"/>
      <c r="I1575" s="14390"/>
      <c r="K1575" s="11275"/>
      <c r="L1575" s="11276"/>
      <c r="M1575" s="11276"/>
      <c r="N1575" s="11277"/>
      <c r="O1575" s="11277"/>
      <c r="P1575" s="11278"/>
      <c r="Q1575" s="11279"/>
      <c r="R1575" s="11280"/>
      <c r="S1575" s="11281"/>
      <c r="T1575" s="11282"/>
      <c r="U1575" s="11279"/>
      <c r="V1575" s="11280"/>
      <c r="W1575" s="11282"/>
      <c r="X1575" s="11280"/>
      <c r="Y1575" s="11282"/>
      <c r="Z1575" s="11280"/>
      <c r="AA1575" s="11281"/>
      <c r="AB1575" s="11281"/>
      <c r="AC1575" s="11281"/>
      <c r="AD1575" s="11281"/>
      <c r="AE1575" s="11281"/>
      <c r="AF1575" s="11282"/>
      <c r="AG1575" s="11280"/>
      <c r="AH1575" s="11281"/>
      <c r="AI1575" s="11281"/>
      <c r="AJ1575" s="11281"/>
      <c r="AK1575" s="11281"/>
      <c r="AL1575" s="11281"/>
      <c r="AM1575" s="11281"/>
      <c r="AN1575" s="11282"/>
      <c r="AO1575" s="11280"/>
      <c r="AP1575" s="11281"/>
      <c r="AQ1575" s="11281"/>
      <c r="AR1575" s="11281"/>
      <c r="AS1575" s="11281"/>
      <c r="AT1575" s="11282"/>
      <c r="AU1575" s="11283"/>
      <c r="AV1575" s="11283"/>
      <c r="AW1575" s="11283"/>
      <c r="AX1575" s="11275"/>
      <c r="AY1575" s="11278"/>
      <c r="AZ1575" s="11283"/>
      <c r="BA1575" s="11275"/>
      <c r="BB1575" s="11277"/>
      <c r="BC1575" s="11278"/>
      <c r="BD1575" s="11284"/>
      <c r="BF1575" s="14443"/>
      <c r="BG1575" s="14443"/>
      <c r="BH1575" s="14443"/>
      <c r="BI1575" s="14443"/>
      <c r="BJ1575" s="14443"/>
      <c r="BK1575" s="7873"/>
      <c r="BL1575" s="14443"/>
      <c r="BM1575" s="14443"/>
      <c r="BN1575" s="14443"/>
    </row>
    <row r="1576" spans="1:66" ht="16.5" hidden="1" customHeight="1">
      <c r="A1576" s="13656"/>
      <c r="B1576" s="14098"/>
      <c r="C1576" s="13588"/>
      <c r="D1576" s="11938" t="s">
        <v>10066</v>
      </c>
      <c r="E1576" s="14387"/>
      <c r="F1576" s="11939"/>
      <c r="G1576" s="13935"/>
      <c r="H1576" s="13407"/>
      <c r="I1576" s="14390"/>
      <c r="K1576" s="11275"/>
      <c r="L1576" s="11276"/>
      <c r="M1576" s="11276"/>
      <c r="N1576" s="11277"/>
      <c r="O1576" s="11277"/>
      <c r="P1576" s="11278"/>
      <c r="Q1576" s="11279"/>
      <c r="R1576" s="11280"/>
      <c r="S1576" s="11281"/>
      <c r="T1576" s="11282"/>
      <c r="U1576" s="11279"/>
      <c r="V1576" s="11280"/>
      <c r="W1576" s="11282"/>
      <c r="X1576" s="11280"/>
      <c r="Y1576" s="11282"/>
      <c r="Z1576" s="11280"/>
      <c r="AA1576" s="11281"/>
      <c r="AB1576" s="11281"/>
      <c r="AC1576" s="11281"/>
      <c r="AD1576" s="11281"/>
      <c r="AE1576" s="11281"/>
      <c r="AF1576" s="11282"/>
      <c r="AG1576" s="11280"/>
      <c r="AH1576" s="11281"/>
      <c r="AI1576" s="11281"/>
      <c r="AJ1576" s="11281"/>
      <c r="AK1576" s="11281"/>
      <c r="AL1576" s="11281"/>
      <c r="AM1576" s="11281"/>
      <c r="AN1576" s="11282"/>
      <c r="AO1576" s="11280"/>
      <c r="AP1576" s="11281"/>
      <c r="AQ1576" s="11281"/>
      <c r="AR1576" s="11281"/>
      <c r="AS1576" s="11281"/>
      <c r="AT1576" s="11282"/>
      <c r="AU1576" s="11283"/>
      <c r="AV1576" s="11283"/>
      <c r="AW1576" s="11283"/>
      <c r="AX1576" s="11275"/>
      <c r="AY1576" s="11278"/>
      <c r="AZ1576" s="11283"/>
      <c r="BA1576" s="11275"/>
      <c r="BB1576" s="11277"/>
      <c r="BC1576" s="11278"/>
      <c r="BD1576" s="11284"/>
      <c r="BF1576" s="14443"/>
      <c r="BG1576" s="14443"/>
      <c r="BH1576" s="14443"/>
      <c r="BI1576" s="14443"/>
      <c r="BJ1576" s="14443"/>
      <c r="BK1576" s="7873"/>
      <c r="BL1576" s="14443"/>
      <c r="BM1576" s="14443"/>
      <c r="BN1576" s="14443"/>
    </row>
    <row r="1577" spans="1:66" ht="16.5" hidden="1" customHeight="1">
      <c r="A1577" s="13656"/>
      <c r="B1577" s="14098"/>
      <c r="C1577" s="13588"/>
      <c r="D1577" s="11938" t="s">
        <v>10290</v>
      </c>
      <c r="E1577" s="14387"/>
      <c r="F1577" s="11939"/>
      <c r="G1577" s="13935"/>
      <c r="H1577" s="13407"/>
      <c r="I1577" s="14390"/>
      <c r="K1577" s="11275"/>
      <c r="L1577" s="11276"/>
      <c r="M1577" s="11276"/>
      <c r="N1577" s="11277"/>
      <c r="O1577" s="11277"/>
      <c r="P1577" s="11278"/>
      <c r="Q1577" s="11279"/>
      <c r="R1577" s="11280"/>
      <c r="S1577" s="11281"/>
      <c r="T1577" s="11282"/>
      <c r="U1577" s="11279"/>
      <c r="V1577" s="11280"/>
      <c r="W1577" s="11282"/>
      <c r="X1577" s="11280"/>
      <c r="Y1577" s="11282"/>
      <c r="Z1577" s="11280"/>
      <c r="AA1577" s="11281"/>
      <c r="AB1577" s="11281"/>
      <c r="AC1577" s="11281"/>
      <c r="AD1577" s="11281"/>
      <c r="AE1577" s="11281"/>
      <c r="AF1577" s="11282"/>
      <c r="AG1577" s="11280"/>
      <c r="AH1577" s="11281"/>
      <c r="AI1577" s="11281"/>
      <c r="AJ1577" s="11281"/>
      <c r="AK1577" s="11281"/>
      <c r="AL1577" s="11281"/>
      <c r="AM1577" s="11281"/>
      <c r="AN1577" s="11282"/>
      <c r="AO1577" s="11280"/>
      <c r="AP1577" s="11281"/>
      <c r="AQ1577" s="11281"/>
      <c r="AR1577" s="11281"/>
      <c r="AS1577" s="11281"/>
      <c r="AT1577" s="11282"/>
      <c r="AU1577" s="11283"/>
      <c r="AV1577" s="11283"/>
      <c r="AW1577" s="11283"/>
      <c r="AX1577" s="11275"/>
      <c r="AY1577" s="11278"/>
      <c r="AZ1577" s="11283"/>
      <c r="BA1577" s="11275"/>
      <c r="BB1577" s="11277"/>
      <c r="BC1577" s="11278"/>
      <c r="BD1577" s="11284"/>
      <c r="BF1577" s="14443"/>
      <c r="BG1577" s="14443"/>
      <c r="BH1577" s="14443"/>
      <c r="BI1577" s="14443"/>
      <c r="BJ1577" s="14443"/>
      <c r="BK1577" s="7873"/>
      <c r="BL1577" s="14443"/>
      <c r="BM1577" s="14443"/>
      <c r="BN1577" s="14443"/>
    </row>
    <row r="1578" spans="1:66" ht="30" hidden="1" customHeight="1">
      <c r="A1578" s="7742">
        <v>960</v>
      </c>
      <c r="B1578" s="7793" t="s">
        <v>8345</v>
      </c>
      <c r="C1578" s="13588"/>
      <c r="D1578" s="11938" t="s">
        <v>26</v>
      </c>
      <c r="E1578" s="11939" t="s">
        <v>6923</v>
      </c>
      <c r="F1578" s="11939"/>
      <c r="G1578" s="11737" t="s">
        <v>10360</v>
      </c>
      <c r="H1578" s="11740" t="s">
        <v>6921</v>
      </c>
      <c r="I1578" s="11940">
        <v>1</v>
      </c>
      <c r="K1578" s="9008"/>
      <c r="L1578" s="9009"/>
      <c r="M1578" s="9009"/>
      <c r="N1578" s="9010"/>
      <c r="O1578" s="9010"/>
      <c r="P1578" s="9011"/>
      <c r="Q1578" s="9012"/>
      <c r="R1578" s="9013"/>
      <c r="S1578" s="9014"/>
      <c r="T1578" s="9015"/>
      <c r="U1578" s="9012"/>
      <c r="V1578" s="9013"/>
      <c r="W1578" s="9015"/>
      <c r="X1578" s="9013"/>
      <c r="Y1578" s="9015"/>
      <c r="Z1578" s="9013"/>
      <c r="AA1578" s="9014"/>
      <c r="AB1578" s="9014"/>
      <c r="AC1578" s="9014"/>
      <c r="AD1578" s="9014"/>
      <c r="AE1578" s="9014"/>
      <c r="AF1578" s="9015"/>
      <c r="AG1578" s="9013"/>
      <c r="AH1578" s="9014"/>
      <c r="AI1578" s="9014"/>
      <c r="AJ1578" s="9014"/>
      <c r="AK1578" s="9014"/>
      <c r="AL1578" s="9014"/>
      <c r="AM1578" s="9014"/>
      <c r="AN1578" s="9015"/>
      <c r="AO1578" s="9013"/>
      <c r="AP1578" s="9014"/>
      <c r="AQ1578" s="9014"/>
      <c r="AR1578" s="9014"/>
      <c r="AS1578" s="9014"/>
      <c r="AT1578" s="9015"/>
      <c r="AU1578" s="9016"/>
      <c r="AV1578" s="9016"/>
      <c r="AW1578" s="9016"/>
      <c r="AX1578" s="9008"/>
      <c r="AY1578" s="9011"/>
      <c r="AZ1578" s="9016"/>
      <c r="BA1578" s="9008"/>
      <c r="BB1578" s="9010"/>
      <c r="BC1578" s="9011"/>
      <c r="BD1578" s="7742"/>
      <c r="BF1578" s="7873"/>
      <c r="BG1578" s="7873"/>
      <c r="BH1578" s="7873"/>
      <c r="BI1578" s="7873"/>
      <c r="BJ1578" s="7873"/>
      <c r="BK1578" s="7873"/>
      <c r="BL1578" s="7873"/>
      <c r="BM1578" s="7873"/>
      <c r="BN1578" s="7873"/>
    </row>
    <row r="1579" spans="1:66" ht="30" hidden="1" customHeight="1">
      <c r="A1579" s="8652">
        <v>961</v>
      </c>
      <c r="B1579" s="8653" t="s">
        <v>8346</v>
      </c>
      <c r="C1579" s="13588"/>
      <c r="D1579" s="11736" t="s">
        <v>2896</v>
      </c>
      <c r="E1579" s="7841" t="s">
        <v>6854</v>
      </c>
      <c r="F1579" s="7841"/>
      <c r="G1579" s="11842" t="s">
        <v>6929</v>
      </c>
      <c r="H1579" s="12135" t="s">
        <v>6930</v>
      </c>
      <c r="I1579" s="12136">
        <v>400</v>
      </c>
      <c r="K1579" s="8238"/>
      <c r="L1579" s="8240"/>
      <c r="M1579" s="8240"/>
      <c r="N1579" s="9649"/>
      <c r="O1579" s="9649"/>
      <c r="P1579" s="9650"/>
      <c r="Q1579" s="8243"/>
      <c r="R1579" s="8244"/>
      <c r="S1579" s="8245"/>
      <c r="T1579" s="8246"/>
      <c r="U1579" s="8243"/>
      <c r="V1579" s="8244"/>
      <c r="W1579" s="8246"/>
      <c r="X1579" s="8244"/>
      <c r="Y1579" s="8246"/>
      <c r="Z1579" s="8244"/>
      <c r="AA1579" s="8245"/>
      <c r="AB1579" s="8245"/>
      <c r="AC1579" s="8245"/>
      <c r="AD1579" s="8245"/>
      <c r="AE1579" s="8245"/>
      <c r="AF1579" s="8246"/>
      <c r="AG1579" s="8244"/>
      <c r="AH1579" s="8245"/>
      <c r="AI1579" s="8245"/>
      <c r="AJ1579" s="8245"/>
      <c r="AK1579" s="8245"/>
      <c r="AL1579" s="8245"/>
      <c r="AM1579" s="8245"/>
      <c r="AN1579" s="8246"/>
      <c r="AO1579" s="8244"/>
      <c r="AP1579" s="8245"/>
      <c r="AQ1579" s="8245"/>
      <c r="AR1579" s="8245"/>
      <c r="AS1579" s="8245"/>
      <c r="AT1579" s="8246"/>
      <c r="AU1579" s="9651"/>
      <c r="AV1579" s="9651"/>
      <c r="AW1579" s="9651"/>
      <c r="AX1579" s="8238"/>
      <c r="AY1579" s="9650"/>
      <c r="AZ1579" s="9651"/>
      <c r="BA1579" s="8238"/>
      <c r="BB1579" s="9649"/>
      <c r="BC1579" s="9650"/>
      <c r="BD1579" s="8652"/>
      <c r="BF1579" s="8654"/>
      <c r="BG1579" s="8654"/>
      <c r="BH1579" s="8654"/>
      <c r="BI1579" s="8654"/>
      <c r="BJ1579" s="8654"/>
      <c r="BK1579" s="8654"/>
      <c r="BL1579" s="8654"/>
      <c r="BM1579" s="8654"/>
      <c r="BN1579" s="8654"/>
    </row>
    <row r="1580" spans="1:66" ht="30" hidden="1" customHeight="1">
      <c r="A1580" s="7742">
        <v>962</v>
      </c>
      <c r="B1580" s="7793" t="s">
        <v>8347</v>
      </c>
      <c r="C1580" s="13588"/>
      <c r="D1580" s="11938" t="s">
        <v>26</v>
      </c>
      <c r="E1580" s="11939" t="s">
        <v>6939</v>
      </c>
      <c r="F1580" s="11939"/>
      <c r="G1580" s="11737" t="s">
        <v>6935</v>
      </c>
      <c r="H1580" s="11740" t="s">
        <v>6936</v>
      </c>
      <c r="I1580" s="11940">
        <v>1</v>
      </c>
      <c r="K1580" s="9008"/>
      <c r="L1580" s="9009"/>
      <c r="M1580" s="9009"/>
      <c r="N1580" s="9010"/>
      <c r="O1580" s="9010"/>
      <c r="P1580" s="9011"/>
      <c r="Q1580" s="9012"/>
      <c r="R1580" s="9013"/>
      <c r="S1580" s="9014"/>
      <c r="T1580" s="9015"/>
      <c r="U1580" s="9012"/>
      <c r="V1580" s="9013"/>
      <c r="W1580" s="9015"/>
      <c r="X1580" s="9013"/>
      <c r="Y1580" s="9015"/>
      <c r="Z1580" s="9013"/>
      <c r="AA1580" s="9014"/>
      <c r="AB1580" s="9014"/>
      <c r="AC1580" s="9014"/>
      <c r="AD1580" s="9014"/>
      <c r="AE1580" s="9014"/>
      <c r="AF1580" s="9015"/>
      <c r="AG1580" s="9013"/>
      <c r="AH1580" s="9014"/>
      <c r="AI1580" s="9014"/>
      <c r="AJ1580" s="9014"/>
      <c r="AK1580" s="9014"/>
      <c r="AL1580" s="9014"/>
      <c r="AM1580" s="9014"/>
      <c r="AN1580" s="9015"/>
      <c r="AO1580" s="9013"/>
      <c r="AP1580" s="9014"/>
      <c r="AQ1580" s="9014"/>
      <c r="AR1580" s="9014"/>
      <c r="AS1580" s="9014"/>
      <c r="AT1580" s="9015"/>
      <c r="AU1580" s="9016"/>
      <c r="AV1580" s="9016"/>
      <c r="AW1580" s="9016"/>
      <c r="AX1580" s="9008"/>
      <c r="AY1580" s="9011"/>
      <c r="AZ1580" s="9016"/>
      <c r="BA1580" s="9008"/>
      <c r="BB1580" s="9010"/>
      <c r="BC1580" s="9011"/>
      <c r="BD1580" s="7742"/>
      <c r="BF1580" s="7873"/>
      <c r="BG1580" s="7873"/>
      <c r="BH1580" s="7873"/>
      <c r="BI1580" s="7873"/>
      <c r="BJ1580" s="7873"/>
      <c r="BK1580" s="7873"/>
      <c r="BL1580" s="7873"/>
      <c r="BM1580" s="7873"/>
      <c r="BN1580" s="7873"/>
    </row>
    <row r="1581" spans="1:66" ht="30" hidden="1" customHeight="1">
      <c r="A1581" s="7742">
        <v>963</v>
      </c>
      <c r="B1581" s="11285" t="s">
        <v>8348</v>
      </c>
      <c r="C1581" s="13588"/>
      <c r="D1581" s="11938" t="s">
        <v>10063</v>
      </c>
      <c r="E1581" s="11939" t="s">
        <v>6798</v>
      </c>
      <c r="F1581" s="11939"/>
      <c r="G1581" s="11737" t="s">
        <v>6940</v>
      </c>
      <c r="H1581" s="11740" t="s">
        <v>6941</v>
      </c>
      <c r="I1581" s="11940">
        <v>12</v>
      </c>
      <c r="K1581" s="9008"/>
      <c r="L1581" s="9009"/>
      <c r="M1581" s="9009"/>
      <c r="N1581" s="9010"/>
      <c r="O1581" s="9010"/>
      <c r="P1581" s="9011"/>
      <c r="Q1581" s="9012"/>
      <c r="R1581" s="9013"/>
      <c r="S1581" s="9014"/>
      <c r="T1581" s="9015"/>
      <c r="U1581" s="9012"/>
      <c r="V1581" s="9013"/>
      <c r="W1581" s="9015"/>
      <c r="X1581" s="9013"/>
      <c r="Y1581" s="9015"/>
      <c r="Z1581" s="9013"/>
      <c r="AA1581" s="9014"/>
      <c r="AB1581" s="9014"/>
      <c r="AC1581" s="9014"/>
      <c r="AD1581" s="9014"/>
      <c r="AE1581" s="9014"/>
      <c r="AF1581" s="9015"/>
      <c r="AG1581" s="9013"/>
      <c r="AH1581" s="9014"/>
      <c r="AI1581" s="9014"/>
      <c r="AJ1581" s="9014"/>
      <c r="AK1581" s="9014"/>
      <c r="AL1581" s="9014"/>
      <c r="AM1581" s="9014"/>
      <c r="AN1581" s="9015"/>
      <c r="AO1581" s="9013"/>
      <c r="AP1581" s="9014"/>
      <c r="AQ1581" s="9014"/>
      <c r="AR1581" s="9014"/>
      <c r="AS1581" s="9014"/>
      <c r="AT1581" s="9015"/>
      <c r="AU1581" s="9016"/>
      <c r="AV1581" s="9016"/>
      <c r="AW1581" s="9016"/>
      <c r="AX1581" s="9008"/>
      <c r="AY1581" s="9011"/>
      <c r="AZ1581" s="9016"/>
      <c r="BA1581" s="9008"/>
      <c r="BB1581" s="9010"/>
      <c r="BC1581" s="9011"/>
      <c r="BD1581" s="7742"/>
      <c r="BF1581" s="7873"/>
      <c r="BG1581" s="7873"/>
      <c r="BH1581" s="7873"/>
      <c r="BI1581" s="7873"/>
      <c r="BJ1581" s="7873"/>
      <c r="BK1581" s="7873"/>
      <c r="BL1581" s="7873"/>
      <c r="BM1581" s="7873"/>
      <c r="BN1581" s="7873"/>
    </row>
    <row r="1582" spans="1:66" ht="30" hidden="1" customHeight="1">
      <c r="A1582" s="7742">
        <v>964</v>
      </c>
      <c r="B1582" s="8653" t="s">
        <v>8349</v>
      </c>
      <c r="C1582" s="13588"/>
      <c r="D1582" s="11938" t="s">
        <v>4305</v>
      </c>
      <c r="E1582" s="11939" t="s">
        <v>6947</v>
      </c>
      <c r="F1582" s="11939"/>
      <c r="G1582" s="11737" t="s">
        <v>6945</v>
      </c>
      <c r="H1582" s="11740" t="s">
        <v>6946</v>
      </c>
      <c r="I1582" s="12635">
        <v>1</v>
      </c>
      <c r="K1582" s="11286"/>
      <c r="L1582" s="9009"/>
      <c r="M1582" s="9009"/>
      <c r="N1582" s="11287"/>
      <c r="O1582" s="11287"/>
      <c r="P1582" s="11288"/>
      <c r="Q1582" s="9012"/>
      <c r="R1582" s="9013"/>
      <c r="S1582" s="9014"/>
      <c r="T1582" s="9015"/>
      <c r="U1582" s="9012"/>
      <c r="V1582" s="9013"/>
      <c r="W1582" s="9015"/>
      <c r="X1582" s="9013"/>
      <c r="Y1582" s="9015"/>
      <c r="Z1582" s="9013"/>
      <c r="AA1582" s="9014"/>
      <c r="AB1582" s="9014"/>
      <c r="AC1582" s="9014"/>
      <c r="AD1582" s="9014"/>
      <c r="AE1582" s="9014"/>
      <c r="AF1582" s="9015"/>
      <c r="AG1582" s="9013"/>
      <c r="AH1582" s="9014"/>
      <c r="AI1582" s="9014"/>
      <c r="AJ1582" s="9014"/>
      <c r="AK1582" s="9014"/>
      <c r="AL1582" s="9014"/>
      <c r="AM1582" s="9014"/>
      <c r="AN1582" s="9015"/>
      <c r="AO1582" s="9013"/>
      <c r="AP1582" s="9014"/>
      <c r="AQ1582" s="9014"/>
      <c r="AR1582" s="9014"/>
      <c r="AS1582" s="9014"/>
      <c r="AT1582" s="9015"/>
      <c r="AU1582" s="11289"/>
      <c r="AV1582" s="11289"/>
      <c r="AW1582" s="11289"/>
      <c r="AX1582" s="11286"/>
      <c r="AY1582" s="11288"/>
      <c r="AZ1582" s="11289"/>
      <c r="BA1582" s="11286"/>
      <c r="BB1582" s="11287"/>
      <c r="BC1582" s="11288"/>
      <c r="BD1582" s="11290"/>
      <c r="BF1582" s="7873"/>
      <c r="BG1582" s="7873"/>
      <c r="BH1582" s="7873"/>
      <c r="BI1582" s="7873"/>
      <c r="BJ1582" s="7873"/>
      <c r="BK1582" s="7873"/>
      <c r="BL1582" s="7873"/>
      <c r="BM1582" s="7873"/>
      <c r="BN1582" s="7873"/>
    </row>
    <row r="1583" spans="1:66" ht="30" hidden="1" customHeight="1">
      <c r="A1583" s="7742">
        <v>965</v>
      </c>
      <c r="B1583" s="7793" t="s">
        <v>8350</v>
      </c>
      <c r="C1583" s="13588"/>
      <c r="D1583" s="11938" t="s">
        <v>218</v>
      </c>
      <c r="E1583" s="11939" t="s">
        <v>6823</v>
      </c>
      <c r="F1583" s="11939"/>
      <c r="G1583" s="11737" t="s">
        <v>6948</v>
      </c>
      <c r="H1583" s="11740" t="s">
        <v>433</v>
      </c>
      <c r="I1583" s="12635">
        <v>1</v>
      </c>
      <c r="K1583" s="11286"/>
      <c r="L1583" s="9009"/>
      <c r="M1583" s="9009"/>
      <c r="N1583" s="11287"/>
      <c r="O1583" s="11287"/>
      <c r="P1583" s="11288"/>
      <c r="Q1583" s="9012"/>
      <c r="R1583" s="9013"/>
      <c r="S1583" s="9014"/>
      <c r="T1583" s="9015"/>
      <c r="U1583" s="9012"/>
      <c r="V1583" s="9013"/>
      <c r="W1583" s="9015"/>
      <c r="X1583" s="9013"/>
      <c r="Y1583" s="9015"/>
      <c r="Z1583" s="9013"/>
      <c r="AA1583" s="9014"/>
      <c r="AB1583" s="9014"/>
      <c r="AC1583" s="9014"/>
      <c r="AD1583" s="9014"/>
      <c r="AE1583" s="9014"/>
      <c r="AF1583" s="9015"/>
      <c r="AG1583" s="9013"/>
      <c r="AH1583" s="9014"/>
      <c r="AI1583" s="9014"/>
      <c r="AJ1583" s="9014"/>
      <c r="AK1583" s="9014"/>
      <c r="AL1583" s="9014"/>
      <c r="AM1583" s="9014"/>
      <c r="AN1583" s="9015"/>
      <c r="AO1583" s="9013"/>
      <c r="AP1583" s="9014"/>
      <c r="AQ1583" s="9014"/>
      <c r="AR1583" s="9014"/>
      <c r="AS1583" s="9014"/>
      <c r="AT1583" s="9015"/>
      <c r="AU1583" s="11289"/>
      <c r="AV1583" s="11289"/>
      <c r="AW1583" s="11289"/>
      <c r="AX1583" s="11286"/>
      <c r="AY1583" s="11288"/>
      <c r="AZ1583" s="11289"/>
      <c r="BA1583" s="11286"/>
      <c r="BB1583" s="11287"/>
      <c r="BC1583" s="11288"/>
      <c r="BD1583" s="11290"/>
      <c r="BF1583" s="7873"/>
      <c r="BG1583" s="7873"/>
      <c r="BH1583" s="7873"/>
      <c r="BI1583" s="7873"/>
      <c r="BJ1583" s="7873"/>
      <c r="BK1583" s="7873"/>
      <c r="BL1583" s="7873"/>
      <c r="BM1583" s="7873"/>
      <c r="BN1583" s="7873"/>
    </row>
    <row r="1584" spans="1:66" ht="30" hidden="1" customHeight="1">
      <c r="A1584" s="13657">
        <v>966</v>
      </c>
      <c r="B1584" s="14098" t="s">
        <v>8351</v>
      </c>
      <c r="C1584" s="13588"/>
      <c r="D1584" s="11938" t="s">
        <v>218</v>
      </c>
      <c r="E1584" s="14387" t="s">
        <v>6954</v>
      </c>
      <c r="F1584" s="11939"/>
      <c r="G1584" s="13935" t="s">
        <v>6951</v>
      </c>
      <c r="H1584" s="13407" t="s">
        <v>6952</v>
      </c>
      <c r="I1584" s="14390">
        <v>1</v>
      </c>
      <c r="K1584" s="11275"/>
      <c r="L1584" s="11276"/>
      <c r="M1584" s="11276"/>
      <c r="N1584" s="11277"/>
      <c r="O1584" s="11277"/>
      <c r="P1584" s="11278"/>
      <c r="Q1584" s="11279"/>
      <c r="R1584" s="11280"/>
      <c r="S1584" s="11281"/>
      <c r="T1584" s="11282"/>
      <c r="U1584" s="11279"/>
      <c r="V1584" s="11280"/>
      <c r="W1584" s="11282"/>
      <c r="X1584" s="11280"/>
      <c r="Y1584" s="11282"/>
      <c r="Z1584" s="11280"/>
      <c r="AA1584" s="11281"/>
      <c r="AB1584" s="11281"/>
      <c r="AC1584" s="11281"/>
      <c r="AD1584" s="11281"/>
      <c r="AE1584" s="11281"/>
      <c r="AF1584" s="11282"/>
      <c r="AG1584" s="11280"/>
      <c r="AH1584" s="11281"/>
      <c r="AI1584" s="11281"/>
      <c r="AJ1584" s="11281"/>
      <c r="AK1584" s="11281"/>
      <c r="AL1584" s="11281"/>
      <c r="AM1584" s="11281"/>
      <c r="AN1584" s="11282"/>
      <c r="AO1584" s="11280"/>
      <c r="AP1584" s="11281"/>
      <c r="AQ1584" s="11281"/>
      <c r="AR1584" s="11281"/>
      <c r="AS1584" s="11281"/>
      <c r="AT1584" s="11282"/>
      <c r="AU1584" s="11283"/>
      <c r="AV1584" s="11283"/>
      <c r="AW1584" s="11283"/>
      <c r="AX1584" s="11275"/>
      <c r="AY1584" s="11278"/>
      <c r="AZ1584" s="11283"/>
      <c r="BA1584" s="11275"/>
      <c r="BB1584" s="11277"/>
      <c r="BC1584" s="11278"/>
      <c r="BD1584" s="11284"/>
      <c r="BF1584" s="14443"/>
      <c r="BG1584" s="14443"/>
      <c r="BH1584" s="14443"/>
      <c r="BI1584" s="14443"/>
      <c r="BJ1584" s="14443"/>
      <c r="BK1584" s="7873"/>
      <c r="BL1584" s="14443"/>
      <c r="BM1584" s="14443"/>
      <c r="BN1584" s="14443"/>
    </row>
    <row r="1585" spans="1:66" ht="30" hidden="1" customHeight="1">
      <c r="A1585" s="13658"/>
      <c r="B1585" s="14098"/>
      <c r="C1585" s="13588"/>
      <c r="D1585" s="11938" t="s">
        <v>10070</v>
      </c>
      <c r="E1585" s="14387"/>
      <c r="F1585" s="11939"/>
      <c r="G1585" s="13935"/>
      <c r="H1585" s="13407"/>
      <c r="I1585" s="14390"/>
      <c r="K1585" s="11275"/>
      <c r="L1585" s="11276"/>
      <c r="M1585" s="11276"/>
      <c r="N1585" s="11277"/>
      <c r="O1585" s="11277"/>
      <c r="P1585" s="11278"/>
      <c r="Q1585" s="11279"/>
      <c r="R1585" s="11280"/>
      <c r="S1585" s="11281"/>
      <c r="T1585" s="11282"/>
      <c r="U1585" s="11279"/>
      <c r="V1585" s="11280"/>
      <c r="W1585" s="11282"/>
      <c r="X1585" s="11280"/>
      <c r="Y1585" s="11282"/>
      <c r="Z1585" s="11280"/>
      <c r="AA1585" s="11281"/>
      <c r="AB1585" s="11281"/>
      <c r="AC1585" s="11281"/>
      <c r="AD1585" s="11281"/>
      <c r="AE1585" s="11281"/>
      <c r="AF1585" s="11282"/>
      <c r="AG1585" s="11280"/>
      <c r="AH1585" s="11281"/>
      <c r="AI1585" s="11281"/>
      <c r="AJ1585" s="11281"/>
      <c r="AK1585" s="11281"/>
      <c r="AL1585" s="11281"/>
      <c r="AM1585" s="11281"/>
      <c r="AN1585" s="11282"/>
      <c r="AO1585" s="11280"/>
      <c r="AP1585" s="11281"/>
      <c r="AQ1585" s="11281"/>
      <c r="AR1585" s="11281"/>
      <c r="AS1585" s="11281"/>
      <c r="AT1585" s="11282"/>
      <c r="AU1585" s="11283"/>
      <c r="AV1585" s="11283"/>
      <c r="AW1585" s="11283"/>
      <c r="AX1585" s="11275"/>
      <c r="AY1585" s="11278"/>
      <c r="AZ1585" s="11283"/>
      <c r="BA1585" s="11275"/>
      <c r="BB1585" s="11277"/>
      <c r="BC1585" s="11278"/>
      <c r="BD1585" s="11284"/>
      <c r="BF1585" s="14443"/>
      <c r="BG1585" s="14443"/>
      <c r="BH1585" s="14443"/>
      <c r="BI1585" s="14443"/>
      <c r="BJ1585" s="14443"/>
      <c r="BK1585" s="7873"/>
      <c r="BL1585" s="14443"/>
      <c r="BM1585" s="14443"/>
      <c r="BN1585" s="14443"/>
    </row>
    <row r="1586" spans="1:66" ht="30" hidden="1" customHeight="1" thickBot="1">
      <c r="A1586" s="11291">
        <v>967</v>
      </c>
      <c r="B1586" s="11292" t="s">
        <v>8477</v>
      </c>
      <c r="C1586" s="13588"/>
      <c r="D1586" s="11941" t="s">
        <v>65</v>
      </c>
      <c r="E1586" s="11942" t="s">
        <v>6959</v>
      </c>
      <c r="F1586" s="11942"/>
      <c r="G1586" s="12636" t="s">
        <v>6956</v>
      </c>
      <c r="H1586" s="11743" t="s">
        <v>6957</v>
      </c>
      <c r="I1586" s="11943">
        <v>1</v>
      </c>
      <c r="K1586" s="9017"/>
      <c r="L1586" s="9018"/>
      <c r="M1586" s="9018"/>
      <c r="N1586" s="9019"/>
      <c r="O1586" s="9019"/>
      <c r="P1586" s="9020"/>
      <c r="Q1586" s="9021"/>
      <c r="R1586" s="9022"/>
      <c r="S1586" s="9023"/>
      <c r="T1586" s="9024"/>
      <c r="U1586" s="9021"/>
      <c r="V1586" s="9022"/>
      <c r="W1586" s="9024"/>
      <c r="X1586" s="9022"/>
      <c r="Y1586" s="9024"/>
      <c r="Z1586" s="9022"/>
      <c r="AA1586" s="9023"/>
      <c r="AB1586" s="9023"/>
      <c r="AC1586" s="9023"/>
      <c r="AD1586" s="9023"/>
      <c r="AE1586" s="9023"/>
      <c r="AF1586" s="9024"/>
      <c r="AG1586" s="9022"/>
      <c r="AH1586" s="9023"/>
      <c r="AI1586" s="9023"/>
      <c r="AJ1586" s="9023"/>
      <c r="AK1586" s="9023"/>
      <c r="AL1586" s="9023"/>
      <c r="AM1586" s="9023"/>
      <c r="AN1586" s="9024"/>
      <c r="AO1586" s="9022"/>
      <c r="AP1586" s="9023"/>
      <c r="AQ1586" s="9023"/>
      <c r="AR1586" s="9023"/>
      <c r="AS1586" s="9023"/>
      <c r="AT1586" s="9024"/>
      <c r="AU1586" s="9025"/>
      <c r="AV1586" s="9025"/>
      <c r="AW1586" s="9025"/>
      <c r="AX1586" s="9017"/>
      <c r="AY1586" s="9020"/>
      <c r="AZ1586" s="9025"/>
      <c r="BA1586" s="9017"/>
      <c r="BB1586" s="9019"/>
      <c r="BC1586" s="9020"/>
      <c r="BD1586" s="9026"/>
      <c r="BF1586" s="9027"/>
      <c r="BG1586" s="9027"/>
      <c r="BH1586" s="9027"/>
      <c r="BI1586" s="9027"/>
      <c r="BJ1586" s="9027"/>
      <c r="BK1586" s="9027"/>
      <c r="BL1586" s="9027"/>
      <c r="BM1586" s="9027"/>
      <c r="BN1586" s="9027"/>
    </row>
    <row r="1587" spans="1:66" ht="30" hidden="1" customHeight="1">
      <c r="A1587" s="7738">
        <v>968</v>
      </c>
      <c r="B1587" s="7789" t="s">
        <v>8352</v>
      </c>
      <c r="C1587" s="13588"/>
      <c r="D1587" s="12637" t="s">
        <v>10290</v>
      </c>
      <c r="E1587" s="7844" t="s">
        <v>7351</v>
      </c>
      <c r="F1587" s="7844"/>
      <c r="G1587" s="12638" t="s">
        <v>7348</v>
      </c>
      <c r="H1587" s="12639" t="s">
        <v>7349</v>
      </c>
      <c r="I1587" s="12640">
        <v>2</v>
      </c>
      <c r="K1587" s="11293"/>
      <c r="L1587" s="9617"/>
      <c r="M1587" s="9617"/>
      <c r="N1587" s="11294"/>
      <c r="O1587" s="11294"/>
      <c r="P1587" s="11295"/>
      <c r="Q1587" s="9620"/>
      <c r="R1587" s="9621"/>
      <c r="S1587" s="9622"/>
      <c r="T1587" s="9623"/>
      <c r="U1587" s="9620"/>
      <c r="V1587" s="9621"/>
      <c r="W1587" s="9623"/>
      <c r="X1587" s="9621"/>
      <c r="Y1587" s="9623"/>
      <c r="Z1587" s="9621"/>
      <c r="AA1587" s="9622"/>
      <c r="AB1587" s="9622"/>
      <c r="AC1587" s="9622"/>
      <c r="AD1587" s="9622"/>
      <c r="AE1587" s="9622"/>
      <c r="AF1587" s="9623"/>
      <c r="AG1587" s="9621"/>
      <c r="AH1587" s="9622"/>
      <c r="AI1587" s="9622"/>
      <c r="AJ1587" s="9622"/>
      <c r="AK1587" s="9622"/>
      <c r="AL1587" s="9622"/>
      <c r="AM1587" s="9622"/>
      <c r="AN1587" s="9623"/>
      <c r="AO1587" s="9621"/>
      <c r="AP1587" s="9622"/>
      <c r="AQ1587" s="9622"/>
      <c r="AR1587" s="9622"/>
      <c r="AS1587" s="9622"/>
      <c r="AT1587" s="9623"/>
      <c r="AU1587" s="11296"/>
      <c r="AV1587" s="11296"/>
      <c r="AW1587" s="11296"/>
      <c r="AX1587" s="11293"/>
      <c r="AY1587" s="11295"/>
      <c r="AZ1587" s="11296"/>
      <c r="BA1587" s="11293"/>
      <c r="BB1587" s="11294"/>
      <c r="BC1587" s="11295"/>
      <c r="BD1587" s="7738"/>
      <c r="BF1587" s="8962"/>
      <c r="BG1587" s="8962"/>
      <c r="BH1587" s="8962"/>
      <c r="BI1587" s="8962"/>
      <c r="BJ1587" s="8962"/>
      <c r="BK1587" s="8962"/>
      <c r="BL1587" s="8962"/>
      <c r="BM1587" s="8962"/>
      <c r="BN1587" s="8962"/>
    </row>
    <row r="1588" spans="1:66" ht="30" hidden="1" customHeight="1">
      <c r="A1588" s="13659">
        <v>969</v>
      </c>
      <c r="B1588" s="13887" t="s">
        <v>8353</v>
      </c>
      <c r="C1588" s="13588"/>
      <c r="D1588" s="11924" t="s">
        <v>10066</v>
      </c>
      <c r="E1588" s="14398" t="s">
        <v>7359</v>
      </c>
      <c r="F1588" s="7846"/>
      <c r="G1588" s="14077" t="s">
        <v>7357</v>
      </c>
      <c r="H1588" s="13408" t="s">
        <v>7358</v>
      </c>
      <c r="I1588" s="14109">
        <v>0.1</v>
      </c>
      <c r="K1588" s="9629"/>
      <c r="L1588" s="8965"/>
      <c r="M1588" s="8965"/>
      <c r="N1588" s="9630"/>
      <c r="O1588" s="9630"/>
      <c r="P1588" s="9631"/>
      <c r="Q1588" s="8968"/>
      <c r="R1588" s="8969"/>
      <c r="S1588" s="8970"/>
      <c r="T1588" s="8971"/>
      <c r="U1588" s="8968"/>
      <c r="V1588" s="8969"/>
      <c r="W1588" s="8971"/>
      <c r="X1588" s="8969"/>
      <c r="Y1588" s="8971"/>
      <c r="Z1588" s="8969"/>
      <c r="AA1588" s="8970"/>
      <c r="AB1588" s="8970"/>
      <c r="AC1588" s="8970"/>
      <c r="AD1588" s="8970"/>
      <c r="AE1588" s="8970"/>
      <c r="AF1588" s="8971"/>
      <c r="AG1588" s="8969"/>
      <c r="AH1588" s="8970"/>
      <c r="AI1588" s="8970"/>
      <c r="AJ1588" s="8970"/>
      <c r="AK1588" s="8970"/>
      <c r="AL1588" s="8970"/>
      <c r="AM1588" s="8970"/>
      <c r="AN1588" s="8971"/>
      <c r="AO1588" s="8969"/>
      <c r="AP1588" s="8970"/>
      <c r="AQ1588" s="8970"/>
      <c r="AR1588" s="8970"/>
      <c r="AS1588" s="8970"/>
      <c r="AT1588" s="8971"/>
      <c r="AU1588" s="9632"/>
      <c r="AV1588" s="9632"/>
      <c r="AW1588" s="9632"/>
      <c r="AX1588" s="9629"/>
      <c r="AY1588" s="9631"/>
      <c r="AZ1588" s="9632"/>
      <c r="BA1588" s="9629"/>
      <c r="BB1588" s="9630"/>
      <c r="BC1588" s="9631"/>
      <c r="BD1588" s="9633"/>
      <c r="BF1588" s="14442"/>
      <c r="BG1588" s="14442"/>
      <c r="BH1588" s="14442"/>
      <c r="BI1588" s="14442"/>
      <c r="BJ1588" s="14442"/>
      <c r="BK1588" s="8974"/>
      <c r="BL1588" s="14442"/>
      <c r="BM1588" s="14442"/>
      <c r="BN1588" s="14442"/>
    </row>
    <row r="1589" spans="1:66" ht="30" hidden="1" customHeight="1">
      <c r="A1589" s="13659"/>
      <c r="B1589" s="13887"/>
      <c r="C1589" s="13588"/>
      <c r="D1589" s="11924" t="s">
        <v>10290</v>
      </c>
      <c r="E1589" s="14398"/>
      <c r="F1589" s="7846"/>
      <c r="G1589" s="14077"/>
      <c r="H1589" s="13408"/>
      <c r="I1589" s="14109"/>
      <c r="K1589" s="9629"/>
      <c r="L1589" s="8965"/>
      <c r="M1589" s="8965"/>
      <c r="N1589" s="9630"/>
      <c r="O1589" s="9630"/>
      <c r="P1589" s="9631"/>
      <c r="Q1589" s="8968"/>
      <c r="R1589" s="8969"/>
      <c r="S1589" s="8970"/>
      <c r="T1589" s="8971"/>
      <c r="U1589" s="8968"/>
      <c r="V1589" s="8969"/>
      <c r="W1589" s="8971"/>
      <c r="X1589" s="8969"/>
      <c r="Y1589" s="8971"/>
      <c r="Z1589" s="8969"/>
      <c r="AA1589" s="8970"/>
      <c r="AB1589" s="8970"/>
      <c r="AC1589" s="8970"/>
      <c r="AD1589" s="8970"/>
      <c r="AE1589" s="8970"/>
      <c r="AF1589" s="8971"/>
      <c r="AG1589" s="8969"/>
      <c r="AH1589" s="8970"/>
      <c r="AI1589" s="8970"/>
      <c r="AJ1589" s="8970"/>
      <c r="AK1589" s="8970"/>
      <c r="AL1589" s="8970"/>
      <c r="AM1589" s="8970"/>
      <c r="AN1589" s="8971"/>
      <c r="AO1589" s="8969"/>
      <c r="AP1589" s="8970"/>
      <c r="AQ1589" s="8970"/>
      <c r="AR1589" s="8970"/>
      <c r="AS1589" s="8970"/>
      <c r="AT1589" s="8971"/>
      <c r="AU1589" s="9632"/>
      <c r="AV1589" s="9632"/>
      <c r="AW1589" s="9632"/>
      <c r="AX1589" s="9629"/>
      <c r="AY1589" s="9631"/>
      <c r="AZ1589" s="9632"/>
      <c r="BA1589" s="9629"/>
      <c r="BB1589" s="9630"/>
      <c r="BC1589" s="9631"/>
      <c r="BD1589" s="9633"/>
      <c r="BF1589" s="14442"/>
      <c r="BG1589" s="14442"/>
      <c r="BH1589" s="14442"/>
      <c r="BI1589" s="14442"/>
      <c r="BJ1589" s="14442"/>
      <c r="BK1589" s="8974"/>
      <c r="BL1589" s="14442"/>
      <c r="BM1589" s="14442"/>
      <c r="BN1589" s="14442"/>
    </row>
    <row r="1590" spans="1:66" ht="30" hidden="1" customHeight="1">
      <c r="A1590" s="13659">
        <v>970</v>
      </c>
      <c r="B1590" s="13887" t="s">
        <v>8354</v>
      </c>
      <c r="C1590" s="13588"/>
      <c r="D1590" s="11924" t="s">
        <v>2896</v>
      </c>
      <c r="E1590" s="7846" t="s">
        <v>10321</v>
      </c>
      <c r="F1590" s="12387"/>
      <c r="G1590" s="14077" t="s">
        <v>7362</v>
      </c>
      <c r="H1590" s="13408" t="s">
        <v>7363</v>
      </c>
      <c r="I1590" s="14109">
        <v>1</v>
      </c>
      <c r="K1590" s="9629"/>
      <c r="L1590" s="8965"/>
      <c r="M1590" s="8965"/>
      <c r="N1590" s="9630"/>
      <c r="O1590" s="9630"/>
      <c r="P1590" s="9631"/>
      <c r="Q1590" s="8968"/>
      <c r="R1590" s="8969"/>
      <c r="S1590" s="8970"/>
      <c r="T1590" s="8971"/>
      <c r="U1590" s="8968"/>
      <c r="V1590" s="8969"/>
      <c r="W1590" s="8971"/>
      <c r="X1590" s="8969"/>
      <c r="Y1590" s="8971"/>
      <c r="Z1590" s="8969"/>
      <c r="AA1590" s="8970"/>
      <c r="AB1590" s="8970"/>
      <c r="AC1590" s="8970"/>
      <c r="AD1590" s="8970"/>
      <c r="AE1590" s="8970"/>
      <c r="AF1590" s="8971"/>
      <c r="AG1590" s="8969"/>
      <c r="AH1590" s="8970"/>
      <c r="AI1590" s="8970"/>
      <c r="AJ1590" s="8970"/>
      <c r="AK1590" s="8970"/>
      <c r="AL1590" s="8970"/>
      <c r="AM1590" s="8970"/>
      <c r="AN1590" s="8971"/>
      <c r="AO1590" s="8969"/>
      <c r="AP1590" s="8970"/>
      <c r="AQ1590" s="8970"/>
      <c r="AR1590" s="8970"/>
      <c r="AS1590" s="8970"/>
      <c r="AT1590" s="8971"/>
      <c r="AU1590" s="9632"/>
      <c r="AV1590" s="9632"/>
      <c r="AW1590" s="9632"/>
      <c r="AX1590" s="9629"/>
      <c r="AY1590" s="9631"/>
      <c r="AZ1590" s="9632"/>
      <c r="BA1590" s="9629"/>
      <c r="BB1590" s="9630"/>
      <c r="BC1590" s="9631"/>
      <c r="BD1590" s="9633"/>
      <c r="BF1590" s="14442"/>
      <c r="BG1590" s="14442"/>
      <c r="BH1590" s="14442"/>
      <c r="BI1590" s="14442"/>
      <c r="BJ1590" s="14442"/>
      <c r="BK1590" s="8974"/>
      <c r="BL1590" s="14442"/>
      <c r="BM1590" s="14442"/>
      <c r="BN1590" s="14442"/>
    </row>
    <row r="1591" spans="1:66" ht="30" hidden="1" customHeight="1">
      <c r="A1591" s="13659"/>
      <c r="B1591" s="13887"/>
      <c r="C1591" s="13588"/>
      <c r="D1591" s="11924" t="s">
        <v>10199</v>
      </c>
      <c r="E1591" s="7846"/>
      <c r="F1591" s="7846" t="s">
        <v>10322</v>
      </c>
      <c r="G1591" s="14077"/>
      <c r="H1591" s="13408"/>
      <c r="I1591" s="14109"/>
      <c r="K1591" s="9629"/>
      <c r="L1591" s="8965"/>
      <c r="M1591" s="8965"/>
      <c r="N1591" s="9630"/>
      <c r="O1591" s="9630"/>
      <c r="P1591" s="9631"/>
      <c r="Q1591" s="8968"/>
      <c r="R1591" s="8969"/>
      <c r="S1591" s="8970"/>
      <c r="T1591" s="8971"/>
      <c r="U1591" s="8968"/>
      <c r="V1591" s="8969"/>
      <c r="W1591" s="8971"/>
      <c r="X1591" s="8969"/>
      <c r="Y1591" s="8971"/>
      <c r="Z1591" s="8969"/>
      <c r="AA1591" s="8970"/>
      <c r="AB1591" s="8970"/>
      <c r="AC1591" s="8970"/>
      <c r="AD1591" s="8970"/>
      <c r="AE1591" s="8970"/>
      <c r="AF1591" s="8971"/>
      <c r="AG1591" s="8969"/>
      <c r="AH1591" s="8970"/>
      <c r="AI1591" s="8970"/>
      <c r="AJ1591" s="8970"/>
      <c r="AK1591" s="8970"/>
      <c r="AL1591" s="8970"/>
      <c r="AM1591" s="8970"/>
      <c r="AN1591" s="8971"/>
      <c r="AO1591" s="8969"/>
      <c r="AP1591" s="8970"/>
      <c r="AQ1591" s="8970"/>
      <c r="AR1591" s="8970"/>
      <c r="AS1591" s="8970"/>
      <c r="AT1591" s="8971"/>
      <c r="AU1591" s="9632"/>
      <c r="AV1591" s="9632"/>
      <c r="AW1591" s="9632"/>
      <c r="AX1591" s="9629"/>
      <c r="AY1591" s="9631"/>
      <c r="AZ1591" s="9632"/>
      <c r="BA1591" s="9629"/>
      <c r="BB1591" s="9630"/>
      <c r="BC1591" s="9631"/>
      <c r="BD1591" s="9633"/>
      <c r="BF1591" s="14442"/>
      <c r="BG1591" s="14442"/>
      <c r="BH1591" s="14442"/>
      <c r="BI1591" s="14442"/>
      <c r="BJ1591" s="14442"/>
      <c r="BK1591" s="8974"/>
      <c r="BL1591" s="14442"/>
      <c r="BM1591" s="14442"/>
      <c r="BN1591" s="14442"/>
    </row>
    <row r="1592" spans="1:66" ht="30" hidden="1" customHeight="1">
      <c r="A1592" s="8975">
        <v>971</v>
      </c>
      <c r="B1592" s="8976" t="s">
        <v>8355</v>
      </c>
      <c r="C1592" s="13588"/>
      <c r="D1592" s="11924" t="s">
        <v>10066</v>
      </c>
      <c r="E1592" s="7846" t="s">
        <v>6787</v>
      </c>
      <c r="F1592" s="7846"/>
      <c r="G1592" s="11925" t="s">
        <v>7367</v>
      </c>
      <c r="H1592" s="11926" t="s">
        <v>7368</v>
      </c>
      <c r="I1592" s="12130">
        <v>1</v>
      </c>
      <c r="K1592" s="8963"/>
      <c r="L1592" s="8978"/>
      <c r="M1592" s="8978"/>
      <c r="N1592" s="9626"/>
      <c r="O1592" s="9626"/>
      <c r="P1592" s="9627"/>
      <c r="Q1592" s="8981"/>
      <c r="R1592" s="8982"/>
      <c r="S1592" s="8983"/>
      <c r="T1592" s="8984"/>
      <c r="U1592" s="8981"/>
      <c r="V1592" s="8982"/>
      <c r="W1592" s="8984"/>
      <c r="X1592" s="8982"/>
      <c r="Y1592" s="8984"/>
      <c r="Z1592" s="8982"/>
      <c r="AA1592" s="8983"/>
      <c r="AB1592" s="8983"/>
      <c r="AC1592" s="8983"/>
      <c r="AD1592" s="8983"/>
      <c r="AE1592" s="8983"/>
      <c r="AF1592" s="8984"/>
      <c r="AG1592" s="8982"/>
      <c r="AH1592" s="8983"/>
      <c r="AI1592" s="8983"/>
      <c r="AJ1592" s="8983"/>
      <c r="AK1592" s="8983"/>
      <c r="AL1592" s="8983"/>
      <c r="AM1592" s="8983"/>
      <c r="AN1592" s="8984"/>
      <c r="AO1592" s="8982"/>
      <c r="AP1592" s="8983"/>
      <c r="AQ1592" s="8983"/>
      <c r="AR1592" s="8983"/>
      <c r="AS1592" s="8983"/>
      <c r="AT1592" s="8984"/>
      <c r="AU1592" s="9628"/>
      <c r="AV1592" s="9628"/>
      <c r="AW1592" s="9628"/>
      <c r="AX1592" s="8963"/>
      <c r="AY1592" s="9627"/>
      <c r="AZ1592" s="9628"/>
      <c r="BA1592" s="8963"/>
      <c r="BB1592" s="9626"/>
      <c r="BC1592" s="9627"/>
      <c r="BD1592" s="8975"/>
      <c r="BF1592" s="8974"/>
      <c r="BG1592" s="8974"/>
      <c r="BH1592" s="8974"/>
      <c r="BI1592" s="8974"/>
      <c r="BJ1592" s="8974"/>
      <c r="BK1592" s="8974"/>
      <c r="BL1592" s="8974"/>
      <c r="BM1592" s="8974"/>
      <c r="BN1592" s="8974"/>
    </row>
    <row r="1593" spans="1:66" ht="30" hidden="1" customHeight="1">
      <c r="A1593" s="13659">
        <v>972</v>
      </c>
      <c r="B1593" s="13887" t="s">
        <v>8356</v>
      </c>
      <c r="C1593" s="13588"/>
      <c r="D1593" s="11924" t="s">
        <v>10066</v>
      </c>
      <c r="E1593" s="14398" t="s">
        <v>10323</v>
      </c>
      <c r="F1593" s="7846"/>
      <c r="G1593" s="14077" t="s">
        <v>7372</v>
      </c>
      <c r="H1593" s="13408" t="s">
        <v>7373</v>
      </c>
      <c r="I1593" s="14109">
        <v>4</v>
      </c>
      <c r="K1593" s="9629"/>
      <c r="L1593" s="8965"/>
      <c r="M1593" s="8965"/>
      <c r="N1593" s="9630"/>
      <c r="O1593" s="9630"/>
      <c r="P1593" s="9631"/>
      <c r="Q1593" s="8968"/>
      <c r="R1593" s="8969"/>
      <c r="S1593" s="8970"/>
      <c r="T1593" s="8971"/>
      <c r="U1593" s="8968"/>
      <c r="V1593" s="8969"/>
      <c r="W1593" s="8971"/>
      <c r="X1593" s="8969"/>
      <c r="Y1593" s="8971"/>
      <c r="Z1593" s="8969"/>
      <c r="AA1593" s="8970"/>
      <c r="AB1593" s="8970"/>
      <c r="AC1593" s="8970"/>
      <c r="AD1593" s="8970"/>
      <c r="AE1593" s="8970"/>
      <c r="AF1593" s="8971"/>
      <c r="AG1593" s="8969"/>
      <c r="AH1593" s="8970"/>
      <c r="AI1593" s="8970"/>
      <c r="AJ1593" s="8970"/>
      <c r="AK1593" s="8970"/>
      <c r="AL1593" s="8970"/>
      <c r="AM1593" s="8970"/>
      <c r="AN1593" s="8971"/>
      <c r="AO1593" s="8969"/>
      <c r="AP1593" s="8970"/>
      <c r="AQ1593" s="8970"/>
      <c r="AR1593" s="8970"/>
      <c r="AS1593" s="8970"/>
      <c r="AT1593" s="8971"/>
      <c r="AU1593" s="9632"/>
      <c r="AV1593" s="9632"/>
      <c r="AW1593" s="9632"/>
      <c r="AX1593" s="9629"/>
      <c r="AY1593" s="9631"/>
      <c r="AZ1593" s="9632"/>
      <c r="BA1593" s="9629"/>
      <c r="BB1593" s="9630"/>
      <c r="BC1593" s="9631"/>
      <c r="BD1593" s="9633"/>
      <c r="BF1593" s="14442"/>
      <c r="BG1593" s="14442"/>
      <c r="BH1593" s="14442"/>
      <c r="BI1593" s="14442"/>
      <c r="BJ1593" s="14442"/>
      <c r="BK1593" s="8974"/>
      <c r="BL1593" s="14442"/>
      <c r="BM1593" s="14442"/>
      <c r="BN1593" s="14442"/>
    </row>
    <row r="1594" spans="1:66" ht="30" hidden="1" customHeight="1" thickBot="1">
      <c r="A1594" s="13659"/>
      <c r="B1594" s="13887"/>
      <c r="C1594" s="13588"/>
      <c r="D1594" s="11924" t="s">
        <v>86</v>
      </c>
      <c r="E1594" s="14398"/>
      <c r="F1594" s="12387"/>
      <c r="G1594" s="14077"/>
      <c r="H1594" s="13408"/>
      <c r="I1594" s="14109"/>
      <c r="K1594" s="9629"/>
      <c r="L1594" s="8965"/>
      <c r="M1594" s="8965"/>
      <c r="N1594" s="9630"/>
      <c r="O1594" s="9630"/>
      <c r="P1594" s="9631"/>
      <c r="Q1594" s="8968"/>
      <c r="R1594" s="8969"/>
      <c r="S1594" s="8970"/>
      <c r="T1594" s="8971"/>
      <c r="U1594" s="8968"/>
      <c r="V1594" s="8969"/>
      <c r="W1594" s="8971"/>
      <c r="X1594" s="8969"/>
      <c r="Y1594" s="8971"/>
      <c r="Z1594" s="8969"/>
      <c r="AA1594" s="8970"/>
      <c r="AB1594" s="8970"/>
      <c r="AC1594" s="8970"/>
      <c r="AD1594" s="8970"/>
      <c r="AE1594" s="8970"/>
      <c r="AF1594" s="8971"/>
      <c r="AG1594" s="8969"/>
      <c r="AH1594" s="8970"/>
      <c r="AI1594" s="8970"/>
      <c r="AJ1594" s="8970"/>
      <c r="AK1594" s="8970"/>
      <c r="AL1594" s="8970"/>
      <c r="AM1594" s="8970"/>
      <c r="AN1594" s="8971"/>
      <c r="AO1594" s="8969"/>
      <c r="AP1594" s="8970"/>
      <c r="AQ1594" s="8970"/>
      <c r="AR1594" s="8970"/>
      <c r="AS1594" s="8970"/>
      <c r="AT1594" s="8971"/>
      <c r="AU1594" s="9632"/>
      <c r="AV1594" s="9632"/>
      <c r="AW1594" s="9632"/>
      <c r="AX1594" s="9629"/>
      <c r="AY1594" s="9631"/>
      <c r="AZ1594" s="9632"/>
      <c r="BA1594" s="9629"/>
      <c r="BB1594" s="9630"/>
      <c r="BC1594" s="9631"/>
      <c r="BD1594" s="9633"/>
      <c r="BF1594" s="14442"/>
      <c r="BG1594" s="14442"/>
      <c r="BH1594" s="14442"/>
      <c r="BI1594" s="14442"/>
      <c r="BJ1594" s="14442"/>
      <c r="BK1594" s="8974"/>
      <c r="BL1594" s="14442"/>
      <c r="BM1594" s="14442"/>
      <c r="BN1594" s="14442"/>
    </row>
    <row r="1595" spans="1:66" ht="30" hidden="1" customHeight="1">
      <c r="A1595" s="13659"/>
      <c r="B1595" s="13887"/>
      <c r="C1595" s="13588"/>
      <c r="D1595" s="11924" t="s">
        <v>2896</v>
      </c>
      <c r="E1595" s="14398"/>
      <c r="F1595" s="7846"/>
      <c r="G1595" s="14077"/>
      <c r="H1595" s="13408"/>
      <c r="I1595" s="14109"/>
      <c r="K1595" s="9629"/>
      <c r="L1595" s="8965"/>
      <c r="M1595" s="8965"/>
      <c r="N1595" s="9630"/>
      <c r="O1595" s="9630"/>
      <c r="P1595" s="9631"/>
      <c r="Q1595" s="8968"/>
      <c r="R1595" s="8969"/>
      <c r="S1595" s="8970"/>
      <c r="T1595" s="8971"/>
      <c r="U1595" s="8968"/>
      <c r="V1595" s="8969"/>
      <c r="W1595" s="8971"/>
      <c r="X1595" s="8969"/>
      <c r="Y1595" s="8971"/>
      <c r="Z1595" s="8969"/>
      <c r="AA1595" s="8970"/>
      <c r="AB1595" s="8970"/>
      <c r="AC1595" s="8970"/>
      <c r="AD1595" s="8970"/>
      <c r="AE1595" s="8970"/>
      <c r="AF1595" s="8971"/>
      <c r="AG1595" s="8969"/>
      <c r="AH1595" s="8970"/>
      <c r="AI1595" s="8970"/>
      <c r="AJ1595" s="8970"/>
      <c r="AK1595" s="8970"/>
      <c r="AL1595" s="8970"/>
      <c r="AM1595" s="8970"/>
      <c r="AN1595" s="8971"/>
      <c r="AO1595" s="8969"/>
      <c r="AP1595" s="8970"/>
      <c r="AQ1595" s="8970"/>
      <c r="AR1595" s="8970"/>
      <c r="AS1595" s="8970"/>
      <c r="AT1595" s="8971"/>
      <c r="AU1595" s="9632"/>
      <c r="AV1595" s="9632"/>
      <c r="AW1595" s="9632"/>
      <c r="AX1595" s="9629"/>
      <c r="AY1595" s="9631"/>
      <c r="AZ1595" s="9632"/>
      <c r="BA1595" s="9629"/>
      <c r="BB1595" s="9630"/>
      <c r="BC1595" s="9631"/>
      <c r="BD1595" s="9633"/>
      <c r="BF1595" s="14442"/>
      <c r="BG1595" s="14442"/>
      <c r="BH1595" s="14442"/>
      <c r="BI1595" s="14442"/>
      <c r="BJ1595" s="14442"/>
      <c r="BK1595" s="8974"/>
      <c r="BL1595" s="14442"/>
      <c r="BM1595" s="14442"/>
      <c r="BN1595" s="14442"/>
    </row>
    <row r="1596" spans="1:66" ht="30" hidden="1" customHeight="1">
      <c r="A1596" s="13659"/>
      <c r="B1596" s="13887"/>
      <c r="C1596" s="13588"/>
      <c r="D1596" s="11924" t="s">
        <v>10290</v>
      </c>
      <c r="E1596" s="14398"/>
      <c r="F1596" s="7846" t="s">
        <v>10324</v>
      </c>
      <c r="G1596" s="14077"/>
      <c r="H1596" s="13408"/>
      <c r="I1596" s="14109"/>
      <c r="K1596" s="9629"/>
      <c r="L1596" s="8965"/>
      <c r="M1596" s="8965"/>
      <c r="N1596" s="9630"/>
      <c r="O1596" s="9630"/>
      <c r="P1596" s="9631"/>
      <c r="Q1596" s="8968"/>
      <c r="R1596" s="8969"/>
      <c r="S1596" s="8970"/>
      <c r="T1596" s="8971"/>
      <c r="U1596" s="8968"/>
      <c r="V1596" s="8969"/>
      <c r="W1596" s="8971"/>
      <c r="X1596" s="8969"/>
      <c r="Y1596" s="8971"/>
      <c r="Z1596" s="8969"/>
      <c r="AA1596" s="8970"/>
      <c r="AB1596" s="8970"/>
      <c r="AC1596" s="8970"/>
      <c r="AD1596" s="8970"/>
      <c r="AE1596" s="8970"/>
      <c r="AF1596" s="8971"/>
      <c r="AG1596" s="8969"/>
      <c r="AH1596" s="8970"/>
      <c r="AI1596" s="8970"/>
      <c r="AJ1596" s="8970"/>
      <c r="AK1596" s="8970"/>
      <c r="AL1596" s="8970"/>
      <c r="AM1596" s="8970"/>
      <c r="AN1596" s="8971"/>
      <c r="AO1596" s="8969"/>
      <c r="AP1596" s="8970"/>
      <c r="AQ1596" s="8970"/>
      <c r="AR1596" s="8970"/>
      <c r="AS1596" s="8970"/>
      <c r="AT1596" s="8971"/>
      <c r="AU1596" s="9632"/>
      <c r="AV1596" s="9632"/>
      <c r="AW1596" s="9632"/>
      <c r="AX1596" s="9629"/>
      <c r="AY1596" s="9631"/>
      <c r="AZ1596" s="9632"/>
      <c r="BA1596" s="9629"/>
      <c r="BB1596" s="9630"/>
      <c r="BC1596" s="9631"/>
      <c r="BD1596" s="9633"/>
      <c r="BF1596" s="14442"/>
      <c r="BG1596" s="14442"/>
      <c r="BH1596" s="14442"/>
      <c r="BI1596" s="14442"/>
      <c r="BJ1596" s="14442"/>
      <c r="BK1596" s="8974"/>
      <c r="BL1596" s="14442"/>
      <c r="BM1596" s="14442"/>
      <c r="BN1596" s="14442"/>
    </row>
    <row r="1597" spans="1:66" ht="30" hidden="1" customHeight="1">
      <c r="A1597" s="8975">
        <v>973</v>
      </c>
      <c r="B1597" s="8976" t="s">
        <v>8357</v>
      </c>
      <c r="C1597" s="13588"/>
      <c r="D1597" s="11924" t="s">
        <v>10290</v>
      </c>
      <c r="E1597" s="7846" t="s">
        <v>6886</v>
      </c>
      <c r="F1597" s="7846" t="s">
        <v>6889</v>
      </c>
      <c r="G1597" s="11925" t="s">
        <v>7376</v>
      </c>
      <c r="H1597" s="11926" t="s">
        <v>7377</v>
      </c>
      <c r="I1597" s="11927">
        <v>1</v>
      </c>
      <c r="K1597" s="8977"/>
      <c r="L1597" s="8978"/>
      <c r="M1597" s="8978"/>
      <c r="N1597" s="8979"/>
      <c r="O1597" s="8979"/>
      <c r="P1597" s="8980"/>
      <c r="Q1597" s="8981"/>
      <c r="R1597" s="8982"/>
      <c r="S1597" s="8983"/>
      <c r="T1597" s="8984"/>
      <c r="U1597" s="8981"/>
      <c r="V1597" s="8982"/>
      <c r="W1597" s="8984"/>
      <c r="X1597" s="8982"/>
      <c r="Y1597" s="8984"/>
      <c r="Z1597" s="8982"/>
      <c r="AA1597" s="8983"/>
      <c r="AB1597" s="8983"/>
      <c r="AC1597" s="8983"/>
      <c r="AD1597" s="8983"/>
      <c r="AE1597" s="8983"/>
      <c r="AF1597" s="8984"/>
      <c r="AG1597" s="8982"/>
      <c r="AH1597" s="8983"/>
      <c r="AI1597" s="8983"/>
      <c r="AJ1597" s="8983"/>
      <c r="AK1597" s="8983"/>
      <c r="AL1597" s="8983"/>
      <c r="AM1597" s="8983"/>
      <c r="AN1597" s="8984"/>
      <c r="AO1597" s="8982"/>
      <c r="AP1597" s="8983"/>
      <c r="AQ1597" s="8983"/>
      <c r="AR1597" s="8983"/>
      <c r="AS1597" s="8983"/>
      <c r="AT1597" s="8984"/>
      <c r="AU1597" s="8985"/>
      <c r="AV1597" s="8985"/>
      <c r="AW1597" s="8985"/>
      <c r="AX1597" s="8977"/>
      <c r="AY1597" s="8980"/>
      <c r="AZ1597" s="8985"/>
      <c r="BA1597" s="8977"/>
      <c r="BB1597" s="8979"/>
      <c r="BC1597" s="8980"/>
      <c r="BD1597" s="8986"/>
      <c r="BF1597" s="8974"/>
      <c r="BG1597" s="8974"/>
      <c r="BH1597" s="8974"/>
      <c r="BI1597" s="8974"/>
      <c r="BJ1597" s="8974"/>
      <c r="BK1597" s="8974"/>
      <c r="BL1597" s="8974"/>
      <c r="BM1597" s="8974"/>
      <c r="BN1597" s="8974"/>
    </row>
    <row r="1598" spans="1:66" ht="30" hidden="1" customHeight="1">
      <c r="A1598" s="8975">
        <v>974</v>
      </c>
      <c r="B1598" s="8976" t="s">
        <v>8358</v>
      </c>
      <c r="C1598" s="13588"/>
      <c r="D1598" s="11924" t="s">
        <v>4337</v>
      </c>
      <c r="E1598" s="7846" t="s">
        <v>7381</v>
      </c>
      <c r="F1598" s="7846"/>
      <c r="G1598" s="11925" t="s">
        <v>7380</v>
      </c>
      <c r="H1598" s="11926" t="s">
        <v>433</v>
      </c>
      <c r="I1598" s="11927">
        <v>1</v>
      </c>
      <c r="K1598" s="8977"/>
      <c r="L1598" s="8978"/>
      <c r="M1598" s="8978"/>
      <c r="N1598" s="8979"/>
      <c r="O1598" s="8979"/>
      <c r="P1598" s="8980"/>
      <c r="Q1598" s="8981"/>
      <c r="R1598" s="8982"/>
      <c r="S1598" s="8983"/>
      <c r="T1598" s="8984"/>
      <c r="U1598" s="8981"/>
      <c r="V1598" s="8982"/>
      <c r="W1598" s="8984"/>
      <c r="X1598" s="8982"/>
      <c r="Y1598" s="8984"/>
      <c r="Z1598" s="8982"/>
      <c r="AA1598" s="8983"/>
      <c r="AB1598" s="8983"/>
      <c r="AC1598" s="8983"/>
      <c r="AD1598" s="8983"/>
      <c r="AE1598" s="8983"/>
      <c r="AF1598" s="8984"/>
      <c r="AG1598" s="8982"/>
      <c r="AH1598" s="8983"/>
      <c r="AI1598" s="8983"/>
      <c r="AJ1598" s="8983"/>
      <c r="AK1598" s="8983"/>
      <c r="AL1598" s="8983"/>
      <c r="AM1598" s="8983"/>
      <c r="AN1598" s="8984"/>
      <c r="AO1598" s="8982"/>
      <c r="AP1598" s="8983"/>
      <c r="AQ1598" s="8983"/>
      <c r="AR1598" s="8983"/>
      <c r="AS1598" s="8983"/>
      <c r="AT1598" s="8984"/>
      <c r="AU1598" s="8985"/>
      <c r="AV1598" s="8985"/>
      <c r="AW1598" s="8985"/>
      <c r="AX1598" s="8977"/>
      <c r="AY1598" s="8980"/>
      <c r="AZ1598" s="8985"/>
      <c r="BA1598" s="8977"/>
      <c r="BB1598" s="8979"/>
      <c r="BC1598" s="8980"/>
      <c r="BD1598" s="8986"/>
      <c r="BF1598" s="8974"/>
      <c r="BG1598" s="8974"/>
      <c r="BH1598" s="8974"/>
      <c r="BI1598" s="8974"/>
      <c r="BJ1598" s="8974"/>
      <c r="BK1598" s="8974"/>
      <c r="BL1598" s="8974"/>
      <c r="BM1598" s="8974"/>
      <c r="BN1598" s="8974"/>
    </row>
    <row r="1599" spans="1:66" ht="30" hidden="1" customHeight="1">
      <c r="A1599" s="8975">
        <v>975</v>
      </c>
      <c r="B1599" s="8976" t="s">
        <v>8359</v>
      </c>
      <c r="C1599" s="13588"/>
      <c r="D1599" s="11924" t="s">
        <v>10066</v>
      </c>
      <c r="E1599" s="7846" t="s">
        <v>6787</v>
      </c>
      <c r="F1599" s="7846" t="s">
        <v>6889</v>
      </c>
      <c r="G1599" s="11925" t="s">
        <v>7384</v>
      </c>
      <c r="H1599" s="11926" t="s">
        <v>7385</v>
      </c>
      <c r="I1599" s="12130">
        <v>50</v>
      </c>
      <c r="K1599" s="8963"/>
      <c r="L1599" s="8978"/>
      <c r="M1599" s="8978"/>
      <c r="N1599" s="9626"/>
      <c r="O1599" s="9626"/>
      <c r="P1599" s="9627"/>
      <c r="Q1599" s="8981"/>
      <c r="R1599" s="8982"/>
      <c r="S1599" s="8983"/>
      <c r="T1599" s="8984"/>
      <c r="U1599" s="8981"/>
      <c r="V1599" s="8982"/>
      <c r="W1599" s="8984"/>
      <c r="X1599" s="8982"/>
      <c r="Y1599" s="8984"/>
      <c r="Z1599" s="8982"/>
      <c r="AA1599" s="8983"/>
      <c r="AB1599" s="8983"/>
      <c r="AC1599" s="8983"/>
      <c r="AD1599" s="8983"/>
      <c r="AE1599" s="8983"/>
      <c r="AF1599" s="8984"/>
      <c r="AG1599" s="8982"/>
      <c r="AH1599" s="8983"/>
      <c r="AI1599" s="8983"/>
      <c r="AJ1599" s="8983"/>
      <c r="AK1599" s="8983"/>
      <c r="AL1599" s="8983"/>
      <c r="AM1599" s="8983"/>
      <c r="AN1599" s="8984"/>
      <c r="AO1599" s="8982"/>
      <c r="AP1599" s="8983"/>
      <c r="AQ1599" s="8983"/>
      <c r="AR1599" s="8983"/>
      <c r="AS1599" s="8983"/>
      <c r="AT1599" s="8984"/>
      <c r="AU1599" s="9628"/>
      <c r="AV1599" s="9628"/>
      <c r="AW1599" s="9628"/>
      <c r="AX1599" s="8963"/>
      <c r="AY1599" s="9627"/>
      <c r="AZ1599" s="9628"/>
      <c r="BA1599" s="8963"/>
      <c r="BB1599" s="9626"/>
      <c r="BC1599" s="9627"/>
      <c r="BD1599" s="8975"/>
      <c r="BF1599" s="8974"/>
      <c r="BG1599" s="8974"/>
      <c r="BH1599" s="8974"/>
      <c r="BI1599" s="8974"/>
      <c r="BJ1599" s="8974"/>
      <c r="BK1599" s="8974"/>
      <c r="BL1599" s="8974"/>
      <c r="BM1599" s="8974"/>
      <c r="BN1599" s="8974"/>
    </row>
    <row r="1600" spans="1:66" ht="30" hidden="1" customHeight="1" thickBot="1">
      <c r="A1600" s="7739">
        <v>976</v>
      </c>
      <c r="B1600" s="7790" t="s">
        <v>8360</v>
      </c>
      <c r="C1600" s="13588"/>
      <c r="D1600" s="12131" t="s">
        <v>10063</v>
      </c>
      <c r="E1600" s="12132" t="s">
        <v>9628</v>
      </c>
      <c r="F1600" s="12132"/>
      <c r="G1600" s="11728" t="s">
        <v>7386</v>
      </c>
      <c r="H1600" s="11729" t="s">
        <v>7387</v>
      </c>
      <c r="I1600" s="12641"/>
      <c r="K1600" s="9634"/>
      <c r="L1600" s="8989"/>
      <c r="M1600" s="8989"/>
      <c r="N1600" s="11297"/>
      <c r="O1600" s="11297"/>
      <c r="P1600" s="11298"/>
      <c r="Q1600" s="8992"/>
      <c r="R1600" s="8993"/>
      <c r="S1600" s="8994"/>
      <c r="T1600" s="8995"/>
      <c r="U1600" s="8992"/>
      <c r="V1600" s="8993"/>
      <c r="W1600" s="8995"/>
      <c r="X1600" s="8993"/>
      <c r="Y1600" s="8995"/>
      <c r="Z1600" s="8993"/>
      <c r="AA1600" s="8994"/>
      <c r="AB1600" s="8994"/>
      <c r="AC1600" s="8994"/>
      <c r="AD1600" s="8994"/>
      <c r="AE1600" s="8994"/>
      <c r="AF1600" s="8995"/>
      <c r="AG1600" s="8993"/>
      <c r="AH1600" s="8994"/>
      <c r="AI1600" s="8994"/>
      <c r="AJ1600" s="8994"/>
      <c r="AK1600" s="8994"/>
      <c r="AL1600" s="8994"/>
      <c r="AM1600" s="8994"/>
      <c r="AN1600" s="8995"/>
      <c r="AO1600" s="8993"/>
      <c r="AP1600" s="8994"/>
      <c r="AQ1600" s="8994"/>
      <c r="AR1600" s="8994"/>
      <c r="AS1600" s="8994"/>
      <c r="AT1600" s="8995"/>
      <c r="AU1600" s="11299"/>
      <c r="AV1600" s="11299"/>
      <c r="AW1600" s="11299"/>
      <c r="AX1600" s="9634"/>
      <c r="AY1600" s="11298"/>
      <c r="AZ1600" s="11299"/>
      <c r="BA1600" s="9634"/>
      <c r="BB1600" s="11297"/>
      <c r="BC1600" s="11298"/>
      <c r="BD1600" s="7739"/>
      <c r="BF1600" s="7871"/>
      <c r="BG1600" s="7871"/>
      <c r="BH1600" s="7871"/>
      <c r="BI1600" s="7871"/>
      <c r="BJ1600" s="7871"/>
      <c r="BK1600" s="7871"/>
      <c r="BL1600" s="7871"/>
      <c r="BM1600" s="7871"/>
      <c r="BN1600" s="7871"/>
    </row>
    <row r="1601" spans="1:66" ht="15" hidden="1" customHeight="1">
      <c r="A1601" s="13660">
        <v>977</v>
      </c>
      <c r="B1601" s="13892" t="s">
        <v>8361</v>
      </c>
      <c r="C1601" s="13588"/>
      <c r="D1601" s="11982" t="s">
        <v>10066</v>
      </c>
      <c r="E1601" s="14384" t="s">
        <v>7401</v>
      </c>
      <c r="F1601" s="7830"/>
      <c r="G1601" s="13974" t="s">
        <v>7393</v>
      </c>
      <c r="H1601" s="13409" t="s">
        <v>7400</v>
      </c>
      <c r="I1601" s="13965">
        <v>7</v>
      </c>
      <c r="K1601" s="8883"/>
      <c r="L1601" s="8884"/>
      <c r="M1601" s="8884"/>
      <c r="N1601" s="8885"/>
      <c r="O1601" s="8885"/>
      <c r="P1601" s="8886"/>
      <c r="Q1601" s="8887"/>
      <c r="R1601" s="8888"/>
      <c r="S1601" s="8889"/>
      <c r="T1601" s="8890"/>
      <c r="U1601" s="8887"/>
      <c r="V1601" s="8888"/>
      <c r="W1601" s="8890"/>
      <c r="X1601" s="8888"/>
      <c r="Y1601" s="8890"/>
      <c r="Z1601" s="8888"/>
      <c r="AA1601" s="8889"/>
      <c r="AB1601" s="8889"/>
      <c r="AC1601" s="8889"/>
      <c r="AD1601" s="8889"/>
      <c r="AE1601" s="8889"/>
      <c r="AF1601" s="8890"/>
      <c r="AG1601" s="8888"/>
      <c r="AH1601" s="8889"/>
      <c r="AI1601" s="8889"/>
      <c r="AJ1601" s="8889"/>
      <c r="AK1601" s="8889"/>
      <c r="AL1601" s="8889"/>
      <c r="AM1601" s="8889"/>
      <c r="AN1601" s="8890"/>
      <c r="AO1601" s="8888"/>
      <c r="AP1601" s="8889"/>
      <c r="AQ1601" s="8889"/>
      <c r="AR1601" s="8889"/>
      <c r="AS1601" s="8889"/>
      <c r="AT1601" s="8890"/>
      <c r="AU1601" s="8891"/>
      <c r="AV1601" s="8891"/>
      <c r="AW1601" s="8891"/>
      <c r="AX1601" s="8883"/>
      <c r="AY1601" s="8886"/>
      <c r="AZ1601" s="8891"/>
      <c r="BA1601" s="8883"/>
      <c r="BB1601" s="8885"/>
      <c r="BC1601" s="8886"/>
      <c r="BD1601" s="8892"/>
      <c r="BF1601" s="14568"/>
      <c r="BG1601" s="14568"/>
      <c r="BH1601" s="14568"/>
      <c r="BI1601" s="14568"/>
      <c r="BJ1601" s="14568"/>
      <c r="BK1601" s="7887"/>
      <c r="BL1601" s="14568"/>
      <c r="BM1601" s="14568"/>
      <c r="BN1601" s="14568"/>
    </row>
    <row r="1602" spans="1:66" ht="15" hidden="1" customHeight="1">
      <c r="A1602" s="13526"/>
      <c r="B1602" s="13893"/>
      <c r="C1602" s="13588"/>
      <c r="D1602" s="11986" t="s">
        <v>10290</v>
      </c>
      <c r="E1602" s="14385"/>
      <c r="F1602" s="7852"/>
      <c r="G1602" s="13919"/>
      <c r="H1602" s="13403"/>
      <c r="I1602" s="13966"/>
      <c r="K1602" s="7653"/>
      <c r="L1602" s="7654"/>
      <c r="M1602" s="7654"/>
      <c r="N1602" s="7655"/>
      <c r="O1602" s="7655"/>
      <c r="P1602" s="7684"/>
      <c r="Q1602" s="7674"/>
      <c r="R1602" s="7669"/>
      <c r="S1602" s="7656"/>
      <c r="T1602" s="7689"/>
      <c r="U1602" s="7674"/>
      <c r="V1602" s="7669"/>
      <c r="W1602" s="7689"/>
      <c r="X1602" s="7669"/>
      <c r="Y1602" s="7689"/>
      <c r="Z1602" s="7669"/>
      <c r="AA1602" s="7656"/>
      <c r="AB1602" s="7656"/>
      <c r="AC1602" s="7656"/>
      <c r="AD1602" s="7656"/>
      <c r="AE1602" s="7656"/>
      <c r="AF1602" s="7689"/>
      <c r="AG1602" s="7669"/>
      <c r="AH1602" s="7656"/>
      <c r="AI1602" s="7656"/>
      <c r="AJ1602" s="7656"/>
      <c r="AK1602" s="7656"/>
      <c r="AL1602" s="7656"/>
      <c r="AM1602" s="7656"/>
      <c r="AN1602" s="7689"/>
      <c r="AO1602" s="7669"/>
      <c r="AP1602" s="7656"/>
      <c r="AQ1602" s="7656"/>
      <c r="AR1602" s="7656"/>
      <c r="AS1602" s="7656"/>
      <c r="AT1602" s="7689"/>
      <c r="AU1602" s="7665"/>
      <c r="AV1602" s="7665"/>
      <c r="AW1602" s="7665"/>
      <c r="AX1602" s="7653"/>
      <c r="AY1602" s="7684"/>
      <c r="AZ1602" s="7665"/>
      <c r="BA1602" s="7653"/>
      <c r="BB1602" s="7655"/>
      <c r="BC1602" s="7684"/>
      <c r="BD1602" s="7694"/>
      <c r="BF1602" s="14435"/>
      <c r="BG1602" s="14435"/>
      <c r="BH1602" s="14435"/>
      <c r="BI1602" s="14435"/>
      <c r="BJ1602" s="14435"/>
      <c r="BK1602" s="7911"/>
      <c r="BL1602" s="14435"/>
      <c r="BM1602" s="14435"/>
      <c r="BN1602" s="14435"/>
    </row>
    <row r="1603" spans="1:66" ht="15" hidden="1" customHeight="1">
      <c r="A1603" s="13526"/>
      <c r="B1603" s="13893"/>
      <c r="C1603" s="13588"/>
      <c r="D1603" s="11986" t="s">
        <v>10063</v>
      </c>
      <c r="E1603" s="14385"/>
      <c r="F1603" s="7852"/>
      <c r="G1603" s="13919"/>
      <c r="H1603" s="13403"/>
      <c r="I1603" s="13966"/>
      <c r="K1603" s="7653"/>
      <c r="L1603" s="7654"/>
      <c r="M1603" s="7654"/>
      <c r="N1603" s="7655"/>
      <c r="O1603" s="7655"/>
      <c r="P1603" s="7684"/>
      <c r="Q1603" s="7674"/>
      <c r="R1603" s="7669"/>
      <c r="S1603" s="7656"/>
      <c r="T1603" s="7689"/>
      <c r="U1603" s="7674"/>
      <c r="V1603" s="7669"/>
      <c r="W1603" s="7689"/>
      <c r="X1603" s="7669"/>
      <c r="Y1603" s="7689"/>
      <c r="Z1603" s="7669"/>
      <c r="AA1603" s="7656"/>
      <c r="AB1603" s="7656"/>
      <c r="AC1603" s="7656"/>
      <c r="AD1603" s="7656"/>
      <c r="AE1603" s="7656"/>
      <c r="AF1603" s="7689"/>
      <c r="AG1603" s="7669"/>
      <c r="AH1603" s="7656"/>
      <c r="AI1603" s="7656"/>
      <c r="AJ1603" s="7656"/>
      <c r="AK1603" s="7656"/>
      <c r="AL1603" s="7656"/>
      <c r="AM1603" s="7656"/>
      <c r="AN1603" s="7689"/>
      <c r="AO1603" s="7669"/>
      <c r="AP1603" s="7656"/>
      <c r="AQ1603" s="7656"/>
      <c r="AR1603" s="7656"/>
      <c r="AS1603" s="7656"/>
      <c r="AT1603" s="7689"/>
      <c r="AU1603" s="7665"/>
      <c r="AV1603" s="7665"/>
      <c r="AW1603" s="7665"/>
      <c r="AX1603" s="7653"/>
      <c r="AY1603" s="7684"/>
      <c r="AZ1603" s="7665"/>
      <c r="BA1603" s="7653"/>
      <c r="BB1603" s="7655"/>
      <c r="BC1603" s="7684"/>
      <c r="BD1603" s="7694"/>
      <c r="BF1603" s="14435"/>
      <c r="BG1603" s="14435"/>
      <c r="BH1603" s="14435"/>
      <c r="BI1603" s="14435"/>
      <c r="BJ1603" s="14435"/>
      <c r="BK1603" s="7911"/>
      <c r="BL1603" s="14435"/>
      <c r="BM1603" s="14435"/>
      <c r="BN1603" s="14435"/>
    </row>
    <row r="1604" spans="1:66" ht="15" hidden="1" customHeight="1">
      <c r="A1604" s="13526"/>
      <c r="B1604" s="13893"/>
      <c r="C1604" s="13588"/>
      <c r="D1604" s="11986" t="s">
        <v>218</v>
      </c>
      <c r="E1604" s="14385"/>
      <c r="F1604" s="7852"/>
      <c r="G1604" s="13919"/>
      <c r="H1604" s="13403"/>
      <c r="I1604" s="13966"/>
      <c r="K1604" s="7653"/>
      <c r="L1604" s="7654"/>
      <c r="M1604" s="7654"/>
      <c r="N1604" s="7655"/>
      <c r="O1604" s="7655"/>
      <c r="P1604" s="7684"/>
      <c r="Q1604" s="7674"/>
      <c r="R1604" s="7669"/>
      <c r="S1604" s="7656"/>
      <c r="T1604" s="7689"/>
      <c r="U1604" s="7674"/>
      <c r="V1604" s="7669"/>
      <c r="W1604" s="7689"/>
      <c r="X1604" s="7669"/>
      <c r="Y1604" s="7689"/>
      <c r="Z1604" s="7669"/>
      <c r="AA1604" s="7656"/>
      <c r="AB1604" s="7656"/>
      <c r="AC1604" s="7656"/>
      <c r="AD1604" s="7656"/>
      <c r="AE1604" s="7656"/>
      <c r="AF1604" s="7689"/>
      <c r="AG1604" s="7669"/>
      <c r="AH1604" s="7656"/>
      <c r="AI1604" s="7656"/>
      <c r="AJ1604" s="7656"/>
      <c r="AK1604" s="7656"/>
      <c r="AL1604" s="7656"/>
      <c r="AM1604" s="7656"/>
      <c r="AN1604" s="7689"/>
      <c r="AO1604" s="7669"/>
      <c r="AP1604" s="7656"/>
      <c r="AQ1604" s="7656"/>
      <c r="AR1604" s="7656"/>
      <c r="AS1604" s="7656"/>
      <c r="AT1604" s="7689"/>
      <c r="AU1604" s="7665"/>
      <c r="AV1604" s="7665"/>
      <c r="AW1604" s="7665"/>
      <c r="AX1604" s="7653"/>
      <c r="AY1604" s="7684"/>
      <c r="AZ1604" s="7665"/>
      <c r="BA1604" s="7653"/>
      <c r="BB1604" s="7655"/>
      <c r="BC1604" s="7684"/>
      <c r="BD1604" s="7694"/>
      <c r="BF1604" s="14435"/>
      <c r="BG1604" s="14435"/>
      <c r="BH1604" s="14435"/>
      <c r="BI1604" s="14435"/>
      <c r="BJ1604" s="14435"/>
      <c r="BK1604" s="7911"/>
      <c r="BL1604" s="14435"/>
      <c r="BM1604" s="14435"/>
      <c r="BN1604" s="14435"/>
    </row>
    <row r="1605" spans="1:66" ht="15" hidden="1" customHeight="1">
      <c r="A1605" s="13526">
        <v>978</v>
      </c>
      <c r="B1605" s="13893" t="s">
        <v>8362</v>
      </c>
      <c r="C1605" s="13588"/>
      <c r="D1605" s="11986" t="s">
        <v>10066</v>
      </c>
      <c r="E1605" s="14385"/>
      <c r="F1605" s="7852"/>
      <c r="G1605" s="13919" t="s">
        <v>7394</v>
      </c>
      <c r="H1605" s="13403"/>
      <c r="I1605" s="13966"/>
      <c r="K1605" s="7653"/>
      <c r="L1605" s="7654"/>
      <c r="M1605" s="7654"/>
      <c r="N1605" s="7655"/>
      <c r="O1605" s="7655"/>
      <c r="P1605" s="7684"/>
      <c r="Q1605" s="7674"/>
      <c r="R1605" s="7669"/>
      <c r="S1605" s="7656"/>
      <c r="T1605" s="7689"/>
      <c r="U1605" s="7674"/>
      <c r="V1605" s="7669"/>
      <c r="W1605" s="7689"/>
      <c r="X1605" s="7669"/>
      <c r="Y1605" s="7689"/>
      <c r="Z1605" s="7669"/>
      <c r="AA1605" s="7656"/>
      <c r="AB1605" s="7656"/>
      <c r="AC1605" s="7656"/>
      <c r="AD1605" s="7656"/>
      <c r="AE1605" s="7656"/>
      <c r="AF1605" s="7689"/>
      <c r="AG1605" s="7669"/>
      <c r="AH1605" s="7656"/>
      <c r="AI1605" s="7656"/>
      <c r="AJ1605" s="7656"/>
      <c r="AK1605" s="7656"/>
      <c r="AL1605" s="7656"/>
      <c r="AM1605" s="7656"/>
      <c r="AN1605" s="7689"/>
      <c r="AO1605" s="7669"/>
      <c r="AP1605" s="7656"/>
      <c r="AQ1605" s="7656"/>
      <c r="AR1605" s="7656"/>
      <c r="AS1605" s="7656"/>
      <c r="AT1605" s="7689"/>
      <c r="AU1605" s="7665"/>
      <c r="AV1605" s="7665"/>
      <c r="AW1605" s="7665"/>
      <c r="AX1605" s="7653"/>
      <c r="AY1605" s="7684"/>
      <c r="AZ1605" s="7665"/>
      <c r="BA1605" s="7653"/>
      <c r="BB1605" s="7655"/>
      <c r="BC1605" s="7684"/>
      <c r="BD1605" s="7694"/>
      <c r="BF1605" s="14435"/>
      <c r="BG1605" s="14435"/>
      <c r="BH1605" s="14435"/>
      <c r="BI1605" s="14435"/>
      <c r="BJ1605" s="14435"/>
      <c r="BK1605" s="7911"/>
      <c r="BL1605" s="14435"/>
      <c r="BM1605" s="14435"/>
      <c r="BN1605" s="14435"/>
    </row>
    <row r="1606" spans="1:66" ht="15" hidden="1" customHeight="1">
      <c r="A1606" s="13526"/>
      <c r="B1606" s="13893"/>
      <c r="C1606" s="13588"/>
      <c r="D1606" s="11986" t="s">
        <v>10290</v>
      </c>
      <c r="E1606" s="14385"/>
      <c r="F1606" s="7852"/>
      <c r="G1606" s="13919"/>
      <c r="H1606" s="13403"/>
      <c r="I1606" s="13966"/>
      <c r="K1606" s="7653"/>
      <c r="L1606" s="7654"/>
      <c r="M1606" s="7654"/>
      <c r="N1606" s="7655"/>
      <c r="O1606" s="7655"/>
      <c r="P1606" s="7684"/>
      <c r="Q1606" s="7674"/>
      <c r="R1606" s="7669"/>
      <c r="S1606" s="7656"/>
      <c r="T1606" s="7689"/>
      <c r="U1606" s="7674"/>
      <c r="V1606" s="7669"/>
      <c r="W1606" s="7689"/>
      <c r="X1606" s="7669"/>
      <c r="Y1606" s="7689"/>
      <c r="Z1606" s="7669"/>
      <c r="AA1606" s="7656"/>
      <c r="AB1606" s="7656"/>
      <c r="AC1606" s="7656"/>
      <c r="AD1606" s="7656"/>
      <c r="AE1606" s="7656"/>
      <c r="AF1606" s="7689"/>
      <c r="AG1606" s="7669"/>
      <c r="AH1606" s="7656"/>
      <c r="AI1606" s="7656"/>
      <c r="AJ1606" s="7656"/>
      <c r="AK1606" s="7656"/>
      <c r="AL1606" s="7656"/>
      <c r="AM1606" s="7656"/>
      <c r="AN1606" s="7689"/>
      <c r="AO1606" s="7669"/>
      <c r="AP1606" s="7656"/>
      <c r="AQ1606" s="7656"/>
      <c r="AR1606" s="7656"/>
      <c r="AS1606" s="7656"/>
      <c r="AT1606" s="7689"/>
      <c r="AU1606" s="7665"/>
      <c r="AV1606" s="7665"/>
      <c r="AW1606" s="7665"/>
      <c r="AX1606" s="7653"/>
      <c r="AY1606" s="7684"/>
      <c r="AZ1606" s="7665"/>
      <c r="BA1606" s="7653"/>
      <c r="BB1606" s="7655"/>
      <c r="BC1606" s="7684"/>
      <c r="BD1606" s="7694"/>
      <c r="BF1606" s="14435"/>
      <c r="BG1606" s="14435"/>
      <c r="BH1606" s="14435"/>
      <c r="BI1606" s="14435"/>
      <c r="BJ1606" s="14435"/>
      <c r="BK1606" s="7911"/>
      <c r="BL1606" s="14435"/>
      <c r="BM1606" s="14435"/>
      <c r="BN1606" s="14435"/>
    </row>
    <row r="1607" spans="1:66" ht="15" hidden="1" customHeight="1">
      <c r="A1607" s="13526"/>
      <c r="B1607" s="13893"/>
      <c r="C1607" s="13588"/>
      <c r="D1607" s="11986" t="s">
        <v>10063</v>
      </c>
      <c r="E1607" s="14385"/>
      <c r="F1607" s="7852"/>
      <c r="G1607" s="13919"/>
      <c r="H1607" s="13403"/>
      <c r="I1607" s="13966"/>
      <c r="K1607" s="7653"/>
      <c r="L1607" s="7654"/>
      <c r="M1607" s="7654"/>
      <c r="N1607" s="7655"/>
      <c r="O1607" s="7655"/>
      <c r="P1607" s="7684"/>
      <c r="Q1607" s="7674"/>
      <c r="R1607" s="7669"/>
      <c r="S1607" s="7656"/>
      <c r="T1607" s="7689"/>
      <c r="U1607" s="7674"/>
      <c r="V1607" s="7669"/>
      <c r="W1607" s="7689"/>
      <c r="X1607" s="7669"/>
      <c r="Y1607" s="7689"/>
      <c r="Z1607" s="7669"/>
      <c r="AA1607" s="7656"/>
      <c r="AB1607" s="7656"/>
      <c r="AC1607" s="7656"/>
      <c r="AD1607" s="7656"/>
      <c r="AE1607" s="7656"/>
      <c r="AF1607" s="7689"/>
      <c r="AG1607" s="7669"/>
      <c r="AH1607" s="7656"/>
      <c r="AI1607" s="7656"/>
      <c r="AJ1607" s="7656"/>
      <c r="AK1607" s="7656"/>
      <c r="AL1607" s="7656"/>
      <c r="AM1607" s="7656"/>
      <c r="AN1607" s="7689"/>
      <c r="AO1607" s="7669"/>
      <c r="AP1607" s="7656"/>
      <c r="AQ1607" s="7656"/>
      <c r="AR1607" s="7656"/>
      <c r="AS1607" s="7656"/>
      <c r="AT1607" s="7689"/>
      <c r="AU1607" s="7665"/>
      <c r="AV1607" s="7665"/>
      <c r="AW1607" s="7665"/>
      <c r="AX1607" s="7653"/>
      <c r="AY1607" s="7684"/>
      <c r="AZ1607" s="7665"/>
      <c r="BA1607" s="7653"/>
      <c r="BB1607" s="7655"/>
      <c r="BC1607" s="7684"/>
      <c r="BD1607" s="7694"/>
      <c r="BF1607" s="14435"/>
      <c r="BG1607" s="14435"/>
      <c r="BH1607" s="14435"/>
      <c r="BI1607" s="14435"/>
      <c r="BJ1607" s="14435"/>
      <c r="BK1607" s="7911"/>
      <c r="BL1607" s="14435"/>
      <c r="BM1607" s="14435"/>
      <c r="BN1607" s="14435"/>
    </row>
    <row r="1608" spans="1:66" ht="15" hidden="1" customHeight="1">
      <c r="A1608" s="13526"/>
      <c r="B1608" s="13893"/>
      <c r="C1608" s="13588"/>
      <c r="D1608" s="11986" t="s">
        <v>218</v>
      </c>
      <c r="E1608" s="14385"/>
      <c r="F1608" s="7852"/>
      <c r="G1608" s="13919"/>
      <c r="H1608" s="13403"/>
      <c r="I1608" s="13966"/>
      <c r="K1608" s="7653"/>
      <c r="L1608" s="7654"/>
      <c r="M1608" s="7654"/>
      <c r="N1608" s="7655"/>
      <c r="O1608" s="7655"/>
      <c r="P1608" s="7684"/>
      <c r="Q1608" s="7674"/>
      <c r="R1608" s="7669"/>
      <c r="S1608" s="7656"/>
      <c r="T1608" s="7689"/>
      <c r="U1608" s="7674"/>
      <c r="V1608" s="7669"/>
      <c r="W1608" s="7689"/>
      <c r="X1608" s="7669"/>
      <c r="Y1608" s="7689"/>
      <c r="Z1608" s="7669"/>
      <c r="AA1608" s="7656"/>
      <c r="AB1608" s="7656"/>
      <c r="AC1608" s="7656"/>
      <c r="AD1608" s="7656"/>
      <c r="AE1608" s="7656"/>
      <c r="AF1608" s="7689"/>
      <c r="AG1608" s="7669"/>
      <c r="AH1608" s="7656"/>
      <c r="AI1608" s="7656"/>
      <c r="AJ1608" s="7656"/>
      <c r="AK1608" s="7656"/>
      <c r="AL1608" s="7656"/>
      <c r="AM1608" s="7656"/>
      <c r="AN1608" s="7689"/>
      <c r="AO1608" s="7669"/>
      <c r="AP1608" s="7656"/>
      <c r="AQ1608" s="7656"/>
      <c r="AR1608" s="7656"/>
      <c r="AS1608" s="7656"/>
      <c r="AT1608" s="7689"/>
      <c r="AU1608" s="7665"/>
      <c r="AV1608" s="7665"/>
      <c r="AW1608" s="7665"/>
      <c r="AX1608" s="7653"/>
      <c r="AY1608" s="7684"/>
      <c r="AZ1608" s="7665"/>
      <c r="BA1608" s="7653"/>
      <c r="BB1608" s="7655"/>
      <c r="BC1608" s="7684"/>
      <c r="BD1608" s="7694"/>
      <c r="BF1608" s="14435"/>
      <c r="BG1608" s="14435"/>
      <c r="BH1608" s="14435"/>
      <c r="BI1608" s="14435"/>
      <c r="BJ1608" s="14435"/>
      <c r="BK1608" s="7911"/>
      <c r="BL1608" s="14435"/>
      <c r="BM1608" s="14435"/>
      <c r="BN1608" s="14435"/>
    </row>
    <row r="1609" spans="1:66" ht="15" hidden="1" customHeight="1">
      <c r="A1609" s="13526">
        <v>979</v>
      </c>
      <c r="B1609" s="13893" t="s">
        <v>8363</v>
      </c>
      <c r="C1609" s="13588"/>
      <c r="D1609" s="11986" t="s">
        <v>10066</v>
      </c>
      <c r="E1609" s="14385"/>
      <c r="F1609" s="7852"/>
      <c r="G1609" s="13919" t="s">
        <v>7395</v>
      </c>
      <c r="H1609" s="13403"/>
      <c r="I1609" s="13966"/>
      <c r="K1609" s="7653"/>
      <c r="L1609" s="7654"/>
      <c r="M1609" s="7654"/>
      <c r="N1609" s="7655"/>
      <c r="O1609" s="7655"/>
      <c r="P1609" s="7684"/>
      <c r="Q1609" s="7674"/>
      <c r="R1609" s="7669"/>
      <c r="S1609" s="7656"/>
      <c r="T1609" s="7689"/>
      <c r="U1609" s="7674"/>
      <c r="V1609" s="7669"/>
      <c r="W1609" s="7689"/>
      <c r="X1609" s="7669"/>
      <c r="Y1609" s="7689"/>
      <c r="Z1609" s="7669"/>
      <c r="AA1609" s="7656"/>
      <c r="AB1609" s="7656"/>
      <c r="AC1609" s="7656"/>
      <c r="AD1609" s="7656"/>
      <c r="AE1609" s="7656"/>
      <c r="AF1609" s="7689"/>
      <c r="AG1609" s="7669"/>
      <c r="AH1609" s="7656"/>
      <c r="AI1609" s="7656"/>
      <c r="AJ1609" s="7656"/>
      <c r="AK1609" s="7656"/>
      <c r="AL1609" s="7656"/>
      <c r="AM1609" s="7656"/>
      <c r="AN1609" s="7689"/>
      <c r="AO1609" s="7669"/>
      <c r="AP1609" s="7656"/>
      <c r="AQ1609" s="7656"/>
      <c r="AR1609" s="7656"/>
      <c r="AS1609" s="7656"/>
      <c r="AT1609" s="7689"/>
      <c r="AU1609" s="7665"/>
      <c r="AV1609" s="7665"/>
      <c r="AW1609" s="7665"/>
      <c r="AX1609" s="7653"/>
      <c r="AY1609" s="7684"/>
      <c r="AZ1609" s="7665"/>
      <c r="BA1609" s="7653"/>
      <c r="BB1609" s="7655"/>
      <c r="BC1609" s="7684"/>
      <c r="BD1609" s="7694"/>
      <c r="BF1609" s="14435"/>
      <c r="BG1609" s="14435"/>
      <c r="BH1609" s="14435"/>
      <c r="BI1609" s="14435"/>
      <c r="BJ1609" s="14435"/>
      <c r="BK1609" s="7911"/>
      <c r="BL1609" s="14435"/>
      <c r="BM1609" s="14435"/>
      <c r="BN1609" s="14435"/>
    </row>
    <row r="1610" spans="1:66" ht="15" hidden="1" customHeight="1">
      <c r="A1610" s="13526"/>
      <c r="B1610" s="13893"/>
      <c r="C1610" s="13588"/>
      <c r="D1610" s="11986" t="s">
        <v>10290</v>
      </c>
      <c r="E1610" s="14385"/>
      <c r="F1610" s="7852"/>
      <c r="G1610" s="13919"/>
      <c r="H1610" s="13403"/>
      <c r="I1610" s="13966"/>
      <c r="K1610" s="7653"/>
      <c r="L1610" s="7654"/>
      <c r="M1610" s="7654"/>
      <c r="N1610" s="7655"/>
      <c r="O1610" s="7655"/>
      <c r="P1610" s="7684"/>
      <c r="Q1610" s="7674"/>
      <c r="R1610" s="7669"/>
      <c r="S1610" s="7656"/>
      <c r="T1610" s="7689"/>
      <c r="U1610" s="7674"/>
      <c r="V1610" s="7669"/>
      <c r="W1610" s="7689"/>
      <c r="X1610" s="7669"/>
      <c r="Y1610" s="7689"/>
      <c r="Z1610" s="7669"/>
      <c r="AA1610" s="7656"/>
      <c r="AB1610" s="7656"/>
      <c r="AC1610" s="7656"/>
      <c r="AD1610" s="7656"/>
      <c r="AE1610" s="7656"/>
      <c r="AF1610" s="7689"/>
      <c r="AG1610" s="7669"/>
      <c r="AH1610" s="7656"/>
      <c r="AI1610" s="7656"/>
      <c r="AJ1610" s="7656"/>
      <c r="AK1610" s="7656"/>
      <c r="AL1610" s="7656"/>
      <c r="AM1610" s="7656"/>
      <c r="AN1610" s="7689"/>
      <c r="AO1610" s="7669"/>
      <c r="AP1610" s="7656"/>
      <c r="AQ1610" s="7656"/>
      <c r="AR1610" s="7656"/>
      <c r="AS1610" s="7656"/>
      <c r="AT1610" s="7689"/>
      <c r="AU1610" s="7665"/>
      <c r="AV1610" s="7665"/>
      <c r="AW1610" s="7665"/>
      <c r="AX1610" s="7653"/>
      <c r="AY1610" s="7684"/>
      <c r="AZ1610" s="7665"/>
      <c r="BA1610" s="7653"/>
      <c r="BB1610" s="7655"/>
      <c r="BC1610" s="7684"/>
      <c r="BD1610" s="7694"/>
      <c r="BF1610" s="14435"/>
      <c r="BG1610" s="14435"/>
      <c r="BH1610" s="14435"/>
      <c r="BI1610" s="14435"/>
      <c r="BJ1610" s="14435"/>
      <c r="BK1610" s="7911"/>
      <c r="BL1610" s="14435"/>
      <c r="BM1610" s="14435"/>
      <c r="BN1610" s="14435"/>
    </row>
    <row r="1611" spans="1:66" ht="15" hidden="1" customHeight="1">
      <c r="A1611" s="13526"/>
      <c r="B1611" s="13893"/>
      <c r="C1611" s="13588"/>
      <c r="D1611" s="11986" t="s">
        <v>10063</v>
      </c>
      <c r="E1611" s="14385"/>
      <c r="F1611" s="7852"/>
      <c r="G1611" s="13919"/>
      <c r="H1611" s="13403"/>
      <c r="I1611" s="13966"/>
      <c r="K1611" s="7653"/>
      <c r="L1611" s="7654"/>
      <c r="M1611" s="7654"/>
      <c r="N1611" s="7655"/>
      <c r="O1611" s="7655"/>
      <c r="P1611" s="7684"/>
      <c r="Q1611" s="7674"/>
      <c r="R1611" s="7669"/>
      <c r="S1611" s="7656"/>
      <c r="T1611" s="7689"/>
      <c r="U1611" s="7674"/>
      <c r="V1611" s="7669"/>
      <c r="W1611" s="7689"/>
      <c r="X1611" s="7669"/>
      <c r="Y1611" s="7689"/>
      <c r="Z1611" s="7669"/>
      <c r="AA1611" s="7656"/>
      <c r="AB1611" s="7656"/>
      <c r="AC1611" s="7656"/>
      <c r="AD1611" s="7656"/>
      <c r="AE1611" s="7656"/>
      <c r="AF1611" s="7689"/>
      <c r="AG1611" s="7669"/>
      <c r="AH1611" s="7656"/>
      <c r="AI1611" s="7656"/>
      <c r="AJ1611" s="7656"/>
      <c r="AK1611" s="7656"/>
      <c r="AL1611" s="7656"/>
      <c r="AM1611" s="7656"/>
      <c r="AN1611" s="7689"/>
      <c r="AO1611" s="7669"/>
      <c r="AP1611" s="7656"/>
      <c r="AQ1611" s="7656"/>
      <c r="AR1611" s="7656"/>
      <c r="AS1611" s="7656"/>
      <c r="AT1611" s="7689"/>
      <c r="AU1611" s="7665"/>
      <c r="AV1611" s="7665"/>
      <c r="AW1611" s="7665"/>
      <c r="AX1611" s="7653"/>
      <c r="AY1611" s="7684"/>
      <c r="AZ1611" s="7665"/>
      <c r="BA1611" s="7653"/>
      <c r="BB1611" s="7655"/>
      <c r="BC1611" s="7684"/>
      <c r="BD1611" s="7694"/>
      <c r="BF1611" s="14435"/>
      <c r="BG1611" s="14435"/>
      <c r="BH1611" s="14435"/>
      <c r="BI1611" s="14435"/>
      <c r="BJ1611" s="14435"/>
      <c r="BK1611" s="7911"/>
      <c r="BL1611" s="14435"/>
      <c r="BM1611" s="14435"/>
      <c r="BN1611" s="14435"/>
    </row>
    <row r="1612" spans="1:66" ht="15" hidden="1" customHeight="1">
      <c r="A1612" s="13526"/>
      <c r="B1612" s="13893"/>
      <c r="C1612" s="13588"/>
      <c r="D1612" s="11986" t="s">
        <v>218</v>
      </c>
      <c r="E1612" s="14385"/>
      <c r="F1612" s="7852"/>
      <c r="G1612" s="13919"/>
      <c r="H1612" s="13403"/>
      <c r="I1612" s="13966"/>
      <c r="K1612" s="7653"/>
      <c r="L1612" s="7654"/>
      <c r="M1612" s="7654"/>
      <c r="N1612" s="7655"/>
      <c r="O1612" s="7655"/>
      <c r="P1612" s="7684"/>
      <c r="Q1612" s="7674"/>
      <c r="R1612" s="7669"/>
      <c r="S1612" s="7656"/>
      <c r="T1612" s="7689"/>
      <c r="U1612" s="7674"/>
      <c r="V1612" s="7669"/>
      <c r="W1612" s="7689"/>
      <c r="X1612" s="7669"/>
      <c r="Y1612" s="7689"/>
      <c r="Z1612" s="7669"/>
      <c r="AA1612" s="7656"/>
      <c r="AB1612" s="7656"/>
      <c r="AC1612" s="7656"/>
      <c r="AD1612" s="7656"/>
      <c r="AE1612" s="7656"/>
      <c r="AF1612" s="7689"/>
      <c r="AG1612" s="7669"/>
      <c r="AH1612" s="7656"/>
      <c r="AI1612" s="7656"/>
      <c r="AJ1612" s="7656"/>
      <c r="AK1612" s="7656"/>
      <c r="AL1612" s="7656"/>
      <c r="AM1612" s="7656"/>
      <c r="AN1612" s="7689"/>
      <c r="AO1612" s="7669"/>
      <c r="AP1612" s="7656"/>
      <c r="AQ1612" s="7656"/>
      <c r="AR1612" s="7656"/>
      <c r="AS1612" s="7656"/>
      <c r="AT1612" s="7689"/>
      <c r="AU1612" s="7665"/>
      <c r="AV1612" s="7665"/>
      <c r="AW1612" s="7665"/>
      <c r="AX1612" s="7653"/>
      <c r="AY1612" s="7684"/>
      <c r="AZ1612" s="7665"/>
      <c r="BA1612" s="7653"/>
      <c r="BB1612" s="7655"/>
      <c r="BC1612" s="7684"/>
      <c r="BD1612" s="7694"/>
      <c r="BF1612" s="14435"/>
      <c r="BG1612" s="14435"/>
      <c r="BH1612" s="14435"/>
      <c r="BI1612" s="14435"/>
      <c r="BJ1612" s="14435"/>
      <c r="BK1612" s="7911"/>
      <c r="BL1612" s="14435"/>
      <c r="BM1612" s="14435"/>
      <c r="BN1612" s="14435"/>
    </row>
    <row r="1613" spans="1:66" ht="15" hidden="1" customHeight="1">
      <c r="A1613" s="13526">
        <v>980</v>
      </c>
      <c r="B1613" s="13893" t="s">
        <v>8364</v>
      </c>
      <c r="C1613" s="13588"/>
      <c r="D1613" s="11986" t="s">
        <v>10066</v>
      </c>
      <c r="E1613" s="14385"/>
      <c r="F1613" s="7852"/>
      <c r="G1613" s="13919" t="s">
        <v>7396</v>
      </c>
      <c r="H1613" s="13403"/>
      <c r="I1613" s="13966"/>
      <c r="K1613" s="7653"/>
      <c r="L1613" s="7654"/>
      <c r="M1613" s="7654"/>
      <c r="N1613" s="7655"/>
      <c r="O1613" s="7655"/>
      <c r="P1613" s="7684"/>
      <c r="Q1613" s="7674"/>
      <c r="R1613" s="7669"/>
      <c r="S1613" s="7656"/>
      <c r="T1613" s="7689"/>
      <c r="U1613" s="7674"/>
      <c r="V1613" s="7669"/>
      <c r="W1613" s="7689"/>
      <c r="X1613" s="7669"/>
      <c r="Y1613" s="7689"/>
      <c r="Z1613" s="7669"/>
      <c r="AA1613" s="7656"/>
      <c r="AB1613" s="7656"/>
      <c r="AC1613" s="7656"/>
      <c r="AD1613" s="7656"/>
      <c r="AE1613" s="7656"/>
      <c r="AF1613" s="7689"/>
      <c r="AG1613" s="7669"/>
      <c r="AH1613" s="7656"/>
      <c r="AI1613" s="7656"/>
      <c r="AJ1613" s="7656"/>
      <c r="AK1613" s="7656"/>
      <c r="AL1613" s="7656"/>
      <c r="AM1613" s="7656"/>
      <c r="AN1613" s="7689"/>
      <c r="AO1613" s="7669"/>
      <c r="AP1613" s="7656"/>
      <c r="AQ1613" s="7656"/>
      <c r="AR1613" s="7656"/>
      <c r="AS1613" s="7656"/>
      <c r="AT1613" s="7689"/>
      <c r="AU1613" s="7665"/>
      <c r="AV1613" s="7665"/>
      <c r="AW1613" s="7665"/>
      <c r="AX1613" s="7653"/>
      <c r="AY1613" s="7684"/>
      <c r="AZ1613" s="7665"/>
      <c r="BA1613" s="7653"/>
      <c r="BB1613" s="7655"/>
      <c r="BC1613" s="7684"/>
      <c r="BD1613" s="7694"/>
      <c r="BF1613" s="14435"/>
      <c r="BG1613" s="14435"/>
      <c r="BH1613" s="14435"/>
      <c r="BI1613" s="14435"/>
      <c r="BJ1613" s="14435"/>
      <c r="BK1613" s="7911"/>
      <c r="BL1613" s="14435"/>
      <c r="BM1613" s="14435"/>
      <c r="BN1613" s="14435"/>
    </row>
    <row r="1614" spans="1:66" ht="15" hidden="1" customHeight="1">
      <c r="A1614" s="13526"/>
      <c r="B1614" s="13893"/>
      <c r="C1614" s="13588"/>
      <c r="D1614" s="11986" t="s">
        <v>10290</v>
      </c>
      <c r="E1614" s="14385"/>
      <c r="F1614" s="7852"/>
      <c r="G1614" s="13919"/>
      <c r="H1614" s="13403"/>
      <c r="I1614" s="13966"/>
      <c r="K1614" s="7653"/>
      <c r="L1614" s="7654"/>
      <c r="M1614" s="7654"/>
      <c r="N1614" s="7655"/>
      <c r="O1614" s="7655"/>
      <c r="P1614" s="7684"/>
      <c r="Q1614" s="7674"/>
      <c r="R1614" s="7669"/>
      <c r="S1614" s="7656"/>
      <c r="T1614" s="7689"/>
      <c r="U1614" s="7674"/>
      <c r="V1614" s="7669"/>
      <c r="W1614" s="7689"/>
      <c r="X1614" s="7669"/>
      <c r="Y1614" s="7689"/>
      <c r="Z1614" s="7669"/>
      <c r="AA1614" s="7656"/>
      <c r="AB1614" s="7656"/>
      <c r="AC1614" s="7656"/>
      <c r="AD1614" s="7656"/>
      <c r="AE1614" s="7656"/>
      <c r="AF1614" s="7689"/>
      <c r="AG1614" s="7669"/>
      <c r="AH1614" s="7656"/>
      <c r="AI1614" s="7656"/>
      <c r="AJ1614" s="7656"/>
      <c r="AK1614" s="7656"/>
      <c r="AL1614" s="7656"/>
      <c r="AM1614" s="7656"/>
      <c r="AN1614" s="7689"/>
      <c r="AO1614" s="7669"/>
      <c r="AP1614" s="7656"/>
      <c r="AQ1614" s="7656"/>
      <c r="AR1614" s="7656"/>
      <c r="AS1614" s="7656"/>
      <c r="AT1614" s="7689"/>
      <c r="AU1614" s="7665"/>
      <c r="AV1614" s="7665"/>
      <c r="AW1614" s="7665"/>
      <c r="AX1614" s="7653"/>
      <c r="AY1614" s="7684"/>
      <c r="AZ1614" s="7665"/>
      <c r="BA1614" s="7653"/>
      <c r="BB1614" s="7655"/>
      <c r="BC1614" s="7684"/>
      <c r="BD1614" s="7694"/>
      <c r="BF1614" s="14435"/>
      <c r="BG1614" s="14435"/>
      <c r="BH1614" s="14435"/>
      <c r="BI1614" s="14435"/>
      <c r="BJ1614" s="14435"/>
      <c r="BK1614" s="7911"/>
      <c r="BL1614" s="14435"/>
      <c r="BM1614" s="14435"/>
      <c r="BN1614" s="14435"/>
    </row>
    <row r="1615" spans="1:66" ht="15" hidden="1" customHeight="1">
      <c r="A1615" s="13526"/>
      <c r="B1615" s="13893"/>
      <c r="C1615" s="13588"/>
      <c r="D1615" s="11986" t="s">
        <v>10063</v>
      </c>
      <c r="E1615" s="14385"/>
      <c r="F1615" s="7852"/>
      <c r="G1615" s="13919"/>
      <c r="H1615" s="13403"/>
      <c r="I1615" s="13966"/>
      <c r="K1615" s="7653"/>
      <c r="L1615" s="7654"/>
      <c r="M1615" s="7654"/>
      <c r="N1615" s="7655"/>
      <c r="O1615" s="7655"/>
      <c r="P1615" s="7684"/>
      <c r="Q1615" s="7674"/>
      <c r="R1615" s="7669"/>
      <c r="S1615" s="7656"/>
      <c r="T1615" s="7689"/>
      <c r="U1615" s="7674"/>
      <c r="V1615" s="7669"/>
      <c r="W1615" s="7689"/>
      <c r="X1615" s="7669"/>
      <c r="Y1615" s="7689"/>
      <c r="Z1615" s="7669"/>
      <c r="AA1615" s="7656"/>
      <c r="AB1615" s="7656"/>
      <c r="AC1615" s="7656"/>
      <c r="AD1615" s="7656"/>
      <c r="AE1615" s="7656"/>
      <c r="AF1615" s="7689"/>
      <c r="AG1615" s="7669"/>
      <c r="AH1615" s="7656"/>
      <c r="AI1615" s="7656"/>
      <c r="AJ1615" s="7656"/>
      <c r="AK1615" s="7656"/>
      <c r="AL1615" s="7656"/>
      <c r="AM1615" s="7656"/>
      <c r="AN1615" s="7689"/>
      <c r="AO1615" s="7669"/>
      <c r="AP1615" s="7656"/>
      <c r="AQ1615" s="7656"/>
      <c r="AR1615" s="7656"/>
      <c r="AS1615" s="7656"/>
      <c r="AT1615" s="7689"/>
      <c r="AU1615" s="7665"/>
      <c r="AV1615" s="7665"/>
      <c r="AW1615" s="7665"/>
      <c r="AX1615" s="7653"/>
      <c r="AY1615" s="7684"/>
      <c r="AZ1615" s="7665"/>
      <c r="BA1615" s="7653"/>
      <c r="BB1615" s="7655"/>
      <c r="BC1615" s="7684"/>
      <c r="BD1615" s="7694"/>
      <c r="BF1615" s="14435"/>
      <c r="BG1615" s="14435"/>
      <c r="BH1615" s="14435"/>
      <c r="BI1615" s="14435"/>
      <c r="BJ1615" s="14435"/>
      <c r="BK1615" s="7911"/>
      <c r="BL1615" s="14435"/>
      <c r="BM1615" s="14435"/>
      <c r="BN1615" s="14435"/>
    </row>
    <row r="1616" spans="1:66" ht="15" hidden="1" customHeight="1">
      <c r="A1616" s="13526"/>
      <c r="B1616" s="13893"/>
      <c r="C1616" s="13588"/>
      <c r="D1616" s="11986" t="s">
        <v>218</v>
      </c>
      <c r="E1616" s="14385"/>
      <c r="F1616" s="7852"/>
      <c r="G1616" s="13919"/>
      <c r="H1616" s="13403"/>
      <c r="I1616" s="13966"/>
      <c r="K1616" s="7653"/>
      <c r="L1616" s="7654"/>
      <c r="M1616" s="7654"/>
      <c r="N1616" s="7655"/>
      <c r="O1616" s="7655"/>
      <c r="P1616" s="7684"/>
      <c r="Q1616" s="7674"/>
      <c r="R1616" s="7669"/>
      <c r="S1616" s="7656"/>
      <c r="T1616" s="7689"/>
      <c r="U1616" s="7674"/>
      <c r="V1616" s="7669"/>
      <c r="W1616" s="7689"/>
      <c r="X1616" s="7669"/>
      <c r="Y1616" s="7689"/>
      <c r="Z1616" s="7669"/>
      <c r="AA1616" s="7656"/>
      <c r="AB1616" s="7656"/>
      <c r="AC1616" s="7656"/>
      <c r="AD1616" s="7656"/>
      <c r="AE1616" s="7656"/>
      <c r="AF1616" s="7689"/>
      <c r="AG1616" s="7669"/>
      <c r="AH1616" s="7656"/>
      <c r="AI1616" s="7656"/>
      <c r="AJ1616" s="7656"/>
      <c r="AK1616" s="7656"/>
      <c r="AL1616" s="7656"/>
      <c r="AM1616" s="7656"/>
      <c r="AN1616" s="7689"/>
      <c r="AO1616" s="7669"/>
      <c r="AP1616" s="7656"/>
      <c r="AQ1616" s="7656"/>
      <c r="AR1616" s="7656"/>
      <c r="AS1616" s="7656"/>
      <c r="AT1616" s="7689"/>
      <c r="AU1616" s="7665"/>
      <c r="AV1616" s="7665"/>
      <c r="AW1616" s="7665"/>
      <c r="AX1616" s="7653"/>
      <c r="AY1616" s="7684"/>
      <c r="AZ1616" s="7665"/>
      <c r="BA1616" s="7653"/>
      <c r="BB1616" s="7655"/>
      <c r="BC1616" s="7684"/>
      <c r="BD1616" s="7694"/>
      <c r="BF1616" s="14435"/>
      <c r="BG1616" s="14435"/>
      <c r="BH1616" s="14435"/>
      <c r="BI1616" s="14435"/>
      <c r="BJ1616" s="14435"/>
      <c r="BK1616" s="7911"/>
      <c r="BL1616" s="14435"/>
      <c r="BM1616" s="14435"/>
      <c r="BN1616" s="14435"/>
    </row>
    <row r="1617" spans="1:66" ht="15" hidden="1" customHeight="1">
      <c r="A1617" s="13526">
        <v>981</v>
      </c>
      <c r="B1617" s="13893" t="s">
        <v>8365</v>
      </c>
      <c r="C1617" s="13588"/>
      <c r="D1617" s="11986" t="s">
        <v>10066</v>
      </c>
      <c r="E1617" s="14385"/>
      <c r="F1617" s="7852"/>
      <c r="G1617" s="13919" t="s">
        <v>7397</v>
      </c>
      <c r="H1617" s="13403"/>
      <c r="I1617" s="13966"/>
      <c r="K1617" s="7653"/>
      <c r="L1617" s="7654"/>
      <c r="M1617" s="7654"/>
      <c r="N1617" s="7655"/>
      <c r="O1617" s="7655"/>
      <c r="P1617" s="7684"/>
      <c r="Q1617" s="7674"/>
      <c r="R1617" s="7669"/>
      <c r="S1617" s="7656"/>
      <c r="T1617" s="7689"/>
      <c r="U1617" s="7674"/>
      <c r="V1617" s="7669"/>
      <c r="W1617" s="7689"/>
      <c r="X1617" s="7669"/>
      <c r="Y1617" s="7689"/>
      <c r="Z1617" s="7669"/>
      <c r="AA1617" s="7656"/>
      <c r="AB1617" s="7656"/>
      <c r="AC1617" s="7656"/>
      <c r="AD1617" s="7656"/>
      <c r="AE1617" s="7656"/>
      <c r="AF1617" s="7689"/>
      <c r="AG1617" s="7669"/>
      <c r="AH1617" s="7656"/>
      <c r="AI1617" s="7656"/>
      <c r="AJ1617" s="7656"/>
      <c r="AK1617" s="7656"/>
      <c r="AL1617" s="7656"/>
      <c r="AM1617" s="7656"/>
      <c r="AN1617" s="7689"/>
      <c r="AO1617" s="7669"/>
      <c r="AP1617" s="7656"/>
      <c r="AQ1617" s="7656"/>
      <c r="AR1617" s="7656"/>
      <c r="AS1617" s="7656"/>
      <c r="AT1617" s="7689"/>
      <c r="AU1617" s="7665"/>
      <c r="AV1617" s="7665"/>
      <c r="AW1617" s="7665"/>
      <c r="AX1617" s="7653"/>
      <c r="AY1617" s="7684"/>
      <c r="AZ1617" s="7665"/>
      <c r="BA1617" s="7653"/>
      <c r="BB1617" s="7655"/>
      <c r="BC1617" s="7684"/>
      <c r="BD1617" s="7694"/>
      <c r="BF1617" s="14435"/>
      <c r="BG1617" s="14435"/>
      <c r="BH1617" s="14435"/>
      <c r="BI1617" s="14435"/>
      <c r="BJ1617" s="14435"/>
      <c r="BK1617" s="7911"/>
      <c r="BL1617" s="14435"/>
      <c r="BM1617" s="14435"/>
      <c r="BN1617" s="14435"/>
    </row>
    <row r="1618" spans="1:66" ht="15" hidden="1" customHeight="1">
      <c r="A1618" s="13526"/>
      <c r="B1618" s="13893"/>
      <c r="C1618" s="13588"/>
      <c r="D1618" s="11986" t="s">
        <v>10290</v>
      </c>
      <c r="E1618" s="14385"/>
      <c r="F1618" s="7852"/>
      <c r="G1618" s="13919"/>
      <c r="H1618" s="13403"/>
      <c r="I1618" s="13966"/>
      <c r="K1618" s="7653"/>
      <c r="L1618" s="7654"/>
      <c r="M1618" s="7654"/>
      <c r="N1618" s="7655"/>
      <c r="O1618" s="7655"/>
      <c r="P1618" s="7684"/>
      <c r="Q1618" s="7674"/>
      <c r="R1618" s="7669"/>
      <c r="S1618" s="7656"/>
      <c r="T1618" s="7689"/>
      <c r="U1618" s="7674"/>
      <c r="V1618" s="7669"/>
      <c r="W1618" s="7689"/>
      <c r="X1618" s="7669"/>
      <c r="Y1618" s="7689"/>
      <c r="Z1618" s="7669"/>
      <c r="AA1618" s="7656"/>
      <c r="AB1618" s="7656"/>
      <c r="AC1618" s="7656"/>
      <c r="AD1618" s="7656"/>
      <c r="AE1618" s="7656"/>
      <c r="AF1618" s="7689"/>
      <c r="AG1618" s="7669"/>
      <c r="AH1618" s="7656"/>
      <c r="AI1618" s="7656"/>
      <c r="AJ1618" s="7656"/>
      <c r="AK1618" s="7656"/>
      <c r="AL1618" s="7656"/>
      <c r="AM1618" s="7656"/>
      <c r="AN1618" s="7689"/>
      <c r="AO1618" s="7669"/>
      <c r="AP1618" s="7656"/>
      <c r="AQ1618" s="7656"/>
      <c r="AR1618" s="7656"/>
      <c r="AS1618" s="7656"/>
      <c r="AT1618" s="7689"/>
      <c r="AU1618" s="7665"/>
      <c r="AV1618" s="7665"/>
      <c r="AW1618" s="7665"/>
      <c r="AX1618" s="7653"/>
      <c r="AY1618" s="7684"/>
      <c r="AZ1618" s="7665"/>
      <c r="BA1618" s="7653"/>
      <c r="BB1618" s="7655"/>
      <c r="BC1618" s="7684"/>
      <c r="BD1618" s="7694"/>
      <c r="BF1618" s="14435"/>
      <c r="BG1618" s="14435"/>
      <c r="BH1618" s="14435"/>
      <c r="BI1618" s="14435"/>
      <c r="BJ1618" s="14435"/>
      <c r="BK1618" s="7911"/>
      <c r="BL1618" s="14435"/>
      <c r="BM1618" s="14435"/>
      <c r="BN1618" s="14435"/>
    </row>
    <row r="1619" spans="1:66" ht="15" hidden="1" customHeight="1">
      <c r="A1619" s="13526"/>
      <c r="B1619" s="13893"/>
      <c r="C1619" s="13588"/>
      <c r="D1619" s="11986" t="s">
        <v>10063</v>
      </c>
      <c r="E1619" s="14385"/>
      <c r="F1619" s="7852"/>
      <c r="G1619" s="13919"/>
      <c r="H1619" s="13403"/>
      <c r="I1619" s="13966"/>
      <c r="K1619" s="7653"/>
      <c r="L1619" s="7654"/>
      <c r="M1619" s="7654"/>
      <c r="N1619" s="7655"/>
      <c r="O1619" s="7655"/>
      <c r="P1619" s="7684"/>
      <c r="Q1619" s="7674"/>
      <c r="R1619" s="7669"/>
      <c r="S1619" s="7656"/>
      <c r="T1619" s="7689"/>
      <c r="U1619" s="7674"/>
      <c r="V1619" s="7669"/>
      <c r="W1619" s="7689"/>
      <c r="X1619" s="7669"/>
      <c r="Y1619" s="7689"/>
      <c r="Z1619" s="7669"/>
      <c r="AA1619" s="7656"/>
      <c r="AB1619" s="7656"/>
      <c r="AC1619" s="7656"/>
      <c r="AD1619" s="7656"/>
      <c r="AE1619" s="7656"/>
      <c r="AF1619" s="7689"/>
      <c r="AG1619" s="7669"/>
      <c r="AH1619" s="7656"/>
      <c r="AI1619" s="7656"/>
      <c r="AJ1619" s="7656"/>
      <c r="AK1619" s="7656"/>
      <c r="AL1619" s="7656"/>
      <c r="AM1619" s="7656"/>
      <c r="AN1619" s="7689"/>
      <c r="AO1619" s="7669"/>
      <c r="AP1619" s="7656"/>
      <c r="AQ1619" s="7656"/>
      <c r="AR1619" s="7656"/>
      <c r="AS1619" s="7656"/>
      <c r="AT1619" s="7689"/>
      <c r="AU1619" s="7665"/>
      <c r="AV1619" s="7665"/>
      <c r="AW1619" s="7665"/>
      <c r="AX1619" s="7653"/>
      <c r="AY1619" s="7684"/>
      <c r="AZ1619" s="7665"/>
      <c r="BA1619" s="7653"/>
      <c r="BB1619" s="7655"/>
      <c r="BC1619" s="7684"/>
      <c r="BD1619" s="7694"/>
      <c r="BF1619" s="14435"/>
      <c r="BG1619" s="14435"/>
      <c r="BH1619" s="14435"/>
      <c r="BI1619" s="14435"/>
      <c r="BJ1619" s="14435"/>
      <c r="BK1619" s="7911"/>
      <c r="BL1619" s="14435"/>
      <c r="BM1619" s="14435"/>
      <c r="BN1619" s="14435"/>
    </row>
    <row r="1620" spans="1:66" ht="15" hidden="1" customHeight="1">
      <c r="A1620" s="13526"/>
      <c r="B1620" s="13893"/>
      <c r="C1620" s="13588"/>
      <c r="D1620" s="11986" t="s">
        <v>218</v>
      </c>
      <c r="E1620" s="14385"/>
      <c r="F1620" s="7852"/>
      <c r="G1620" s="13919"/>
      <c r="H1620" s="13403"/>
      <c r="I1620" s="13966"/>
      <c r="K1620" s="7653"/>
      <c r="L1620" s="7654"/>
      <c r="M1620" s="7654"/>
      <c r="N1620" s="7655"/>
      <c r="O1620" s="7655"/>
      <c r="P1620" s="7684"/>
      <c r="Q1620" s="7674"/>
      <c r="R1620" s="7669"/>
      <c r="S1620" s="7656"/>
      <c r="T1620" s="7689"/>
      <c r="U1620" s="7674"/>
      <c r="V1620" s="7669"/>
      <c r="W1620" s="7689"/>
      <c r="X1620" s="7669"/>
      <c r="Y1620" s="7689"/>
      <c r="Z1620" s="7669"/>
      <c r="AA1620" s="7656"/>
      <c r="AB1620" s="7656"/>
      <c r="AC1620" s="7656"/>
      <c r="AD1620" s="7656"/>
      <c r="AE1620" s="7656"/>
      <c r="AF1620" s="7689"/>
      <c r="AG1620" s="7669"/>
      <c r="AH1620" s="7656"/>
      <c r="AI1620" s="7656"/>
      <c r="AJ1620" s="7656"/>
      <c r="AK1620" s="7656"/>
      <c r="AL1620" s="7656"/>
      <c r="AM1620" s="7656"/>
      <c r="AN1620" s="7689"/>
      <c r="AO1620" s="7669"/>
      <c r="AP1620" s="7656"/>
      <c r="AQ1620" s="7656"/>
      <c r="AR1620" s="7656"/>
      <c r="AS1620" s="7656"/>
      <c r="AT1620" s="7689"/>
      <c r="AU1620" s="7665"/>
      <c r="AV1620" s="7665"/>
      <c r="AW1620" s="7665"/>
      <c r="AX1620" s="7653"/>
      <c r="AY1620" s="7684"/>
      <c r="AZ1620" s="7665"/>
      <c r="BA1620" s="7653"/>
      <c r="BB1620" s="7655"/>
      <c r="BC1620" s="7684"/>
      <c r="BD1620" s="7694"/>
      <c r="BF1620" s="14435"/>
      <c r="BG1620" s="14435"/>
      <c r="BH1620" s="14435"/>
      <c r="BI1620" s="14435"/>
      <c r="BJ1620" s="14435"/>
      <c r="BK1620" s="7911"/>
      <c r="BL1620" s="14435"/>
      <c r="BM1620" s="14435"/>
      <c r="BN1620" s="14435"/>
    </row>
    <row r="1621" spans="1:66" ht="15" hidden="1" customHeight="1">
      <c r="A1621" s="13526">
        <v>982</v>
      </c>
      <c r="B1621" s="13893" t="s">
        <v>8366</v>
      </c>
      <c r="C1621" s="13588"/>
      <c r="D1621" s="11986" t="s">
        <v>10066</v>
      </c>
      <c r="E1621" s="14385"/>
      <c r="F1621" s="7852"/>
      <c r="G1621" s="13919" t="s">
        <v>7398</v>
      </c>
      <c r="H1621" s="13403"/>
      <c r="I1621" s="13966"/>
      <c r="K1621" s="7653"/>
      <c r="L1621" s="7654"/>
      <c r="M1621" s="7654"/>
      <c r="N1621" s="7655"/>
      <c r="O1621" s="7655"/>
      <c r="P1621" s="7684"/>
      <c r="Q1621" s="7674"/>
      <c r="R1621" s="7669"/>
      <c r="S1621" s="7656"/>
      <c r="T1621" s="7689"/>
      <c r="U1621" s="7674"/>
      <c r="V1621" s="7669"/>
      <c r="W1621" s="7689"/>
      <c r="X1621" s="7669"/>
      <c r="Y1621" s="7689"/>
      <c r="Z1621" s="7669"/>
      <c r="AA1621" s="7656"/>
      <c r="AB1621" s="7656"/>
      <c r="AC1621" s="7656"/>
      <c r="AD1621" s="7656"/>
      <c r="AE1621" s="7656"/>
      <c r="AF1621" s="7689"/>
      <c r="AG1621" s="7669"/>
      <c r="AH1621" s="7656"/>
      <c r="AI1621" s="7656"/>
      <c r="AJ1621" s="7656"/>
      <c r="AK1621" s="7656"/>
      <c r="AL1621" s="7656"/>
      <c r="AM1621" s="7656"/>
      <c r="AN1621" s="7689"/>
      <c r="AO1621" s="7669"/>
      <c r="AP1621" s="7656"/>
      <c r="AQ1621" s="7656"/>
      <c r="AR1621" s="7656"/>
      <c r="AS1621" s="7656"/>
      <c r="AT1621" s="7689"/>
      <c r="AU1621" s="7665"/>
      <c r="AV1621" s="7665"/>
      <c r="AW1621" s="7665"/>
      <c r="AX1621" s="7653"/>
      <c r="AY1621" s="7684"/>
      <c r="AZ1621" s="7665"/>
      <c r="BA1621" s="7653"/>
      <c r="BB1621" s="7655"/>
      <c r="BC1621" s="7684"/>
      <c r="BD1621" s="7694"/>
      <c r="BF1621" s="14435"/>
      <c r="BG1621" s="14435"/>
      <c r="BH1621" s="14435"/>
      <c r="BI1621" s="14435"/>
      <c r="BJ1621" s="14435"/>
      <c r="BK1621" s="7911"/>
      <c r="BL1621" s="14435"/>
      <c r="BM1621" s="14435"/>
      <c r="BN1621" s="14435"/>
    </row>
    <row r="1622" spans="1:66" ht="15" hidden="1" customHeight="1">
      <c r="A1622" s="13526"/>
      <c r="B1622" s="13893"/>
      <c r="C1622" s="13588"/>
      <c r="D1622" s="11986" t="s">
        <v>10290</v>
      </c>
      <c r="E1622" s="14385"/>
      <c r="F1622" s="7852"/>
      <c r="G1622" s="13919"/>
      <c r="H1622" s="13403"/>
      <c r="I1622" s="13966"/>
      <c r="K1622" s="7653"/>
      <c r="L1622" s="7654"/>
      <c r="M1622" s="7654"/>
      <c r="N1622" s="7655"/>
      <c r="O1622" s="7655"/>
      <c r="P1622" s="7684"/>
      <c r="Q1622" s="7674"/>
      <c r="R1622" s="7669"/>
      <c r="S1622" s="7656"/>
      <c r="T1622" s="7689"/>
      <c r="U1622" s="7674"/>
      <c r="V1622" s="7669"/>
      <c r="W1622" s="7689"/>
      <c r="X1622" s="7669"/>
      <c r="Y1622" s="7689"/>
      <c r="Z1622" s="7669"/>
      <c r="AA1622" s="7656"/>
      <c r="AB1622" s="7656"/>
      <c r="AC1622" s="7656"/>
      <c r="AD1622" s="7656"/>
      <c r="AE1622" s="7656"/>
      <c r="AF1622" s="7689"/>
      <c r="AG1622" s="7669"/>
      <c r="AH1622" s="7656"/>
      <c r="AI1622" s="7656"/>
      <c r="AJ1622" s="7656"/>
      <c r="AK1622" s="7656"/>
      <c r="AL1622" s="7656"/>
      <c r="AM1622" s="7656"/>
      <c r="AN1622" s="7689"/>
      <c r="AO1622" s="7669"/>
      <c r="AP1622" s="7656"/>
      <c r="AQ1622" s="7656"/>
      <c r="AR1622" s="7656"/>
      <c r="AS1622" s="7656"/>
      <c r="AT1622" s="7689"/>
      <c r="AU1622" s="7665"/>
      <c r="AV1622" s="7665"/>
      <c r="AW1622" s="7665"/>
      <c r="AX1622" s="7653"/>
      <c r="AY1622" s="7684"/>
      <c r="AZ1622" s="7665"/>
      <c r="BA1622" s="7653"/>
      <c r="BB1622" s="7655"/>
      <c r="BC1622" s="7684"/>
      <c r="BD1622" s="7694"/>
      <c r="BF1622" s="14435"/>
      <c r="BG1622" s="14435"/>
      <c r="BH1622" s="14435"/>
      <c r="BI1622" s="14435"/>
      <c r="BJ1622" s="14435"/>
      <c r="BK1622" s="7911"/>
      <c r="BL1622" s="14435"/>
      <c r="BM1622" s="14435"/>
      <c r="BN1622" s="14435"/>
    </row>
    <row r="1623" spans="1:66" ht="15" hidden="1" customHeight="1">
      <c r="A1623" s="13526"/>
      <c r="B1623" s="13893"/>
      <c r="C1623" s="13588"/>
      <c r="D1623" s="11986" t="s">
        <v>10063</v>
      </c>
      <c r="E1623" s="14385"/>
      <c r="F1623" s="7852"/>
      <c r="G1623" s="13919"/>
      <c r="H1623" s="13403"/>
      <c r="I1623" s="13966"/>
      <c r="K1623" s="7653"/>
      <c r="L1623" s="7654"/>
      <c r="M1623" s="7654"/>
      <c r="N1623" s="7655"/>
      <c r="O1623" s="7655"/>
      <c r="P1623" s="7684"/>
      <c r="Q1623" s="7674"/>
      <c r="R1623" s="7669"/>
      <c r="S1623" s="7656"/>
      <c r="T1623" s="7689"/>
      <c r="U1623" s="7674"/>
      <c r="V1623" s="7669"/>
      <c r="W1623" s="7689"/>
      <c r="X1623" s="7669"/>
      <c r="Y1623" s="7689"/>
      <c r="Z1623" s="7669"/>
      <c r="AA1623" s="7656"/>
      <c r="AB1623" s="7656"/>
      <c r="AC1623" s="7656"/>
      <c r="AD1623" s="7656"/>
      <c r="AE1623" s="7656"/>
      <c r="AF1623" s="7689"/>
      <c r="AG1623" s="7669"/>
      <c r="AH1623" s="7656"/>
      <c r="AI1623" s="7656"/>
      <c r="AJ1623" s="7656"/>
      <c r="AK1623" s="7656"/>
      <c r="AL1623" s="7656"/>
      <c r="AM1623" s="7656"/>
      <c r="AN1623" s="7689"/>
      <c r="AO1623" s="7669"/>
      <c r="AP1623" s="7656"/>
      <c r="AQ1623" s="7656"/>
      <c r="AR1623" s="7656"/>
      <c r="AS1623" s="7656"/>
      <c r="AT1623" s="7689"/>
      <c r="AU1623" s="7665"/>
      <c r="AV1623" s="7665"/>
      <c r="AW1623" s="7665"/>
      <c r="AX1623" s="7653"/>
      <c r="AY1623" s="7684"/>
      <c r="AZ1623" s="7665"/>
      <c r="BA1623" s="7653"/>
      <c r="BB1623" s="7655"/>
      <c r="BC1623" s="7684"/>
      <c r="BD1623" s="7694"/>
      <c r="BF1623" s="14435"/>
      <c r="BG1623" s="14435"/>
      <c r="BH1623" s="14435"/>
      <c r="BI1623" s="14435"/>
      <c r="BJ1623" s="14435"/>
      <c r="BK1623" s="7911"/>
      <c r="BL1623" s="14435"/>
      <c r="BM1623" s="14435"/>
      <c r="BN1623" s="14435"/>
    </row>
    <row r="1624" spans="1:66" ht="15" hidden="1" customHeight="1">
      <c r="A1624" s="13526"/>
      <c r="B1624" s="13893"/>
      <c r="C1624" s="13588"/>
      <c r="D1624" s="11986" t="s">
        <v>218</v>
      </c>
      <c r="E1624" s="14385"/>
      <c r="F1624" s="7852"/>
      <c r="G1624" s="13919"/>
      <c r="H1624" s="13403"/>
      <c r="I1624" s="13966"/>
      <c r="K1624" s="7653"/>
      <c r="L1624" s="7654"/>
      <c r="M1624" s="7654"/>
      <c r="N1624" s="7655"/>
      <c r="O1624" s="7655"/>
      <c r="P1624" s="7684"/>
      <c r="Q1624" s="7674"/>
      <c r="R1624" s="7669"/>
      <c r="S1624" s="7656"/>
      <c r="T1624" s="7689"/>
      <c r="U1624" s="7674"/>
      <c r="V1624" s="7669"/>
      <c r="W1624" s="7689"/>
      <c r="X1624" s="7669"/>
      <c r="Y1624" s="7689"/>
      <c r="Z1624" s="7669"/>
      <c r="AA1624" s="7656"/>
      <c r="AB1624" s="7656"/>
      <c r="AC1624" s="7656"/>
      <c r="AD1624" s="7656"/>
      <c r="AE1624" s="7656"/>
      <c r="AF1624" s="7689"/>
      <c r="AG1624" s="7669"/>
      <c r="AH1624" s="7656"/>
      <c r="AI1624" s="7656"/>
      <c r="AJ1624" s="7656"/>
      <c r="AK1624" s="7656"/>
      <c r="AL1624" s="7656"/>
      <c r="AM1624" s="7656"/>
      <c r="AN1624" s="7689"/>
      <c r="AO1624" s="7669"/>
      <c r="AP1624" s="7656"/>
      <c r="AQ1624" s="7656"/>
      <c r="AR1624" s="7656"/>
      <c r="AS1624" s="7656"/>
      <c r="AT1624" s="7689"/>
      <c r="AU1624" s="7665"/>
      <c r="AV1624" s="7665"/>
      <c r="AW1624" s="7665"/>
      <c r="AX1624" s="7653"/>
      <c r="AY1624" s="7684"/>
      <c r="AZ1624" s="7665"/>
      <c r="BA1624" s="7653"/>
      <c r="BB1624" s="7655"/>
      <c r="BC1624" s="7684"/>
      <c r="BD1624" s="7694"/>
      <c r="BF1624" s="14435"/>
      <c r="BG1624" s="14435"/>
      <c r="BH1624" s="14435"/>
      <c r="BI1624" s="14435"/>
      <c r="BJ1624" s="14435"/>
      <c r="BK1624" s="7911"/>
      <c r="BL1624" s="14435"/>
      <c r="BM1624" s="14435"/>
      <c r="BN1624" s="14435"/>
    </row>
    <row r="1625" spans="1:66" ht="15" hidden="1" customHeight="1">
      <c r="A1625" s="13526">
        <v>983</v>
      </c>
      <c r="B1625" s="13893" t="s">
        <v>8367</v>
      </c>
      <c r="C1625" s="13588"/>
      <c r="D1625" s="11986" t="s">
        <v>10066</v>
      </c>
      <c r="E1625" s="14385"/>
      <c r="F1625" s="7852"/>
      <c r="G1625" s="13919" t="s">
        <v>7399</v>
      </c>
      <c r="H1625" s="13403"/>
      <c r="I1625" s="13966"/>
      <c r="K1625" s="7653"/>
      <c r="L1625" s="7654"/>
      <c r="M1625" s="7654"/>
      <c r="N1625" s="7655"/>
      <c r="O1625" s="7655"/>
      <c r="P1625" s="7684"/>
      <c r="Q1625" s="7674"/>
      <c r="R1625" s="7669"/>
      <c r="S1625" s="7656"/>
      <c r="T1625" s="7689"/>
      <c r="U1625" s="7674"/>
      <c r="V1625" s="7669"/>
      <c r="W1625" s="7689"/>
      <c r="X1625" s="7669"/>
      <c r="Y1625" s="7689"/>
      <c r="Z1625" s="7669"/>
      <c r="AA1625" s="7656"/>
      <c r="AB1625" s="7656"/>
      <c r="AC1625" s="7656"/>
      <c r="AD1625" s="7656"/>
      <c r="AE1625" s="7656"/>
      <c r="AF1625" s="7689"/>
      <c r="AG1625" s="7669"/>
      <c r="AH1625" s="7656"/>
      <c r="AI1625" s="7656"/>
      <c r="AJ1625" s="7656"/>
      <c r="AK1625" s="7656"/>
      <c r="AL1625" s="7656"/>
      <c r="AM1625" s="7656"/>
      <c r="AN1625" s="7689"/>
      <c r="AO1625" s="7669"/>
      <c r="AP1625" s="7656"/>
      <c r="AQ1625" s="7656"/>
      <c r="AR1625" s="7656"/>
      <c r="AS1625" s="7656"/>
      <c r="AT1625" s="7689"/>
      <c r="AU1625" s="7665"/>
      <c r="AV1625" s="7665"/>
      <c r="AW1625" s="7665"/>
      <c r="AX1625" s="7653"/>
      <c r="AY1625" s="7684"/>
      <c r="AZ1625" s="7665"/>
      <c r="BA1625" s="7653"/>
      <c r="BB1625" s="7655"/>
      <c r="BC1625" s="7684"/>
      <c r="BD1625" s="7694"/>
      <c r="BF1625" s="14435"/>
      <c r="BG1625" s="14435"/>
      <c r="BH1625" s="14435"/>
      <c r="BI1625" s="14435"/>
      <c r="BJ1625" s="14435"/>
      <c r="BK1625" s="7911"/>
      <c r="BL1625" s="14435"/>
      <c r="BM1625" s="14435"/>
      <c r="BN1625" s="14435"/>
    </row>
    <row r="1626" spans="1:66" ht="15" hidden="1" customHeight="1">
      <c r="A1626" s="13526"/>
      <c r="B1626" s="13893"/>
      <c r="C1626" s="13588"/>
      <c r="D1626" s="11986" t="s">
        <v>10290</v>
      </c>
      <c r="E1626" s="14385"/>
      <c r="F1626" s="7852"/>
      <c r="G1626" s="13919"/>
      <c r="H1626" s="13403"/>
      <c r="I1626" s="13966"/>
      <c r="K1626" s="7653"/>
      <c r="L1626" s="7654"/>
      <c r="M1626" s="7654"/>
      <c r="N1626" s="7655"/>
      <c r="O1626" s="7655"/>
      <c r="P1626" s="7684"/>
      <c r="Q1626" s="7674"/>
      <c r="R1626" s="7669"/>
      <c r="S1626" s="7656"/>
      <c r="T1626" s="7689"/>
      <c r="U1626" s="7674"/>
      <c r="V1626" s="7669"/>
      <c r="W1626" s="7689"/>
      <c r="X1626" s="7669"/>
      <c r="Y1626" s="7689"/>
      <c r="Z1626" s="7669"/>
      <c r="AA1626" s="7656"/>
      <c r="AB1626" s="7656"/>
      <c r="AC1626" s="7656"/>
      <c r="AD1626" s="7656"/>
      <c r="AE1626" s="7656"/>
      <c r="AF1626" s="7689"/>
      <c r="AG1626" s="7669"/>
      <c r="AH1626" s="7656"/>
      <c r="AI1626" s="7656"/>
      <c r="AJ1626" s="7656"/>
      <c r="AK1626" s="7656"/>
      <c r="AL1626" s="7656"/>
      <c r="AM1626" s="7656"/>
      <c r="AN1626" s="7689"/>
      <c r="AO1626" s="7669"/>
      <c r="AP1626" s="7656"/>
      <c r="AQ1626" s="7656"/>
      <c r="AR1626" s="7656"/>
      <c r="AS1626" s="7656"/>
      <c r="AT1626" s="7689"/>
      <c r="AU1626" s="7665"/>
      <c r="AV1626" s="7665"/>
      <c r="AW1626" s="7665"/>
      <c r="AX1626" s="7653"/>
      <c r="AY1626" s="7684"/>
      <c r="AZ1626" s="7665"/>
      <c r="BA1626" s="7653"/>
      <c r="BB1626" s="7655"/>
      <c r="BC1626" s="7684"/>
      <c r="BD1626" s="7694"/>
      <c r="BF1626" s="14435"/>
      <c r="BG1626" s="14435"/>
      <c r="BH1626" s="14435"/>
      <c r="BI1626" s="14435"/>
      <c r="BJ1626" s="14435"/>
      <c r="BK1626" s="7911"/>
      <c r="BL1626" s="14435"/>
      <c r="BM1626" s="14435"/>
      <c r="BN1626" s="14435"/>
    </row>
    <row r="1627" spans="1:66" ht="15" hidden="1" customHeight="1">
      <c r="A1627" s="13526"/>
      <c r="B1627" s="13893"/>
      <c r="C1627" s="13588"/>
      <c r="D1627" s="11986" t="s">
        <v>10063</v>
      </c>
      <c r="E1627" s="14385"/>
      <c r="F1627" s="7852"/>
      <c r="G1627" s="13919"/>
      <c r="H1627" s="13403"/>
      <c r="I1627" s="13966"/>
      <c r="K1627" s="7653"/>
      <c r="L1627" s="7654"/>
      <c r="M1627" s="7654"/>
      <c r="N1627" s="7655"/>
      <c r="O1627" s="7655"/>
      <c r="P1627" s="7684"/>
      <c r="Q1627" s="7674"/>
      <c r="R1627" s="7669"/>
      <c r="S1627" s="7656"/>
      <c r="T1627" s="7689"/>
      <c r="U1627" s="7674"/>
      <c r="V1627" s="7669"/>
      <c r="W1627" s="7689"/>
      <c r="X1627" s="7669"/>
      <c r="Y1627" s="7689"/>
      <c r="Z1627" s="7669"/>
      <c r="AA1627" s="7656"/>
      <c r="AB1627" s="7656"/>
      <c r="AC1627" s="7656"/>
      <c r="AD1627" s="7656"/>
      <c r="AE1627" s="7656"/>
      <c r="AF1627" s="7689"/>
      <c r="AG1627" s="7669"/>
      <c r="AH1627" s="7656"/>
      <c r="AI1627" s="7656"/>
      <c r="AJ1627" s="7656"/>
      <c r="AK1627" s="7656"/>
      <c r="AL1627" s="7656"/>
      <c r="AM1627" s="7656"/>
      <c r="AN1627" s="7689"/>
      <c r="AO1627" s="7669"/>
      <c r="AP1627" s="7656"/>
      <c r="AQ1627" s="7656"/>
      <c r="AR1627" s="7656"/>
      <c r="AS1627" s="7656"/>
      <c r="AT1627" s="7689"/>
      <c r="AU1627" s="7665"/>
      <c r="AV1627" s="7665"/>
      <c r="AW1627" s="7665"/>
      <c r="AX1627" s="7653"/>
      <c r="AY1627" s="7684"/>
      <c r="AZ1627" s="7665"/>
      <c r="BA1627" s="7653"/>
      <c r="BB1627" s="7655"/>
      <c r="BC1627" s="7684"/>
      <c r="BD1627" s="7694"/>
      <c r="BF1627" s="14435"/>
      <c r="BG1627" s="14435"/>
      <c r="BH1627" s="14435"/>
      <c r="BI1627" s="14435"/>
      <c r="BJ1627" s="14435"/>
      <c r="BK1627" s="7911"/>
      <c r="BL1627" s="14435"/>
      <c r="BM1627" s="14435"/>
      <c r="BN1627" s="14435"/>
    </row>
    <row r="1628" spans="1:66" ht="15" hidden="1" customHeight="1">
      <c r="A1628" s="13526"/>
      <c r="B1628" s="13893"/>
      <c r="C1628" s="13588"/>
      <c r="D1628" s="11986" t="s">
        <v>218</v>
      </c>
      <c r="E1628" s="14385"/>
      <c r="F1628" s="7852"/>
      <c r="G1628" s="13919"/>
      <c r="H1628" s="13403"/>
      <c r="I1628" s="13966"/>
      <c r="K1628" s="7653"/>
      <c r="L1628" s="7654"/>
      <c r="M1628" s="7654"/>
      <c r="N1628" s="7655"/>
      <c r="O1628" s="7655"/>
      <c r="P1628" s="7684"/>
      <c r="Q1628" s="7674"/>
      <c r="R1628" s="7669"/>
      <c r="S1628" s="7656"/>
      <c r="T1628" s="7689"/>
      <c r="U1628" s="7674"/>
      <c r="V1628" s="7669"/>
      <c r="W1628" s="7689"/>
      <c r="X1628" s="7669"/>
      <c r="Y1628" s="7689"/>
      <c r="Z1628" s="7669"/>
      <c r="AA1628" s="7656"/>
      <c r="AB1628" s="7656"/>
      <c r="AC1628" s="7656"/>
      <c r="AD1628" s="7656"/>
      <c r="AE1628" s="7656"/>
      <c r="AF1628" s="7689"/>
      <c r="AG1628" s="7669"/>
      <c r="AH1628" s="7656"/>
      <c r="AI1628" s="7656"/>
      <c r="AJ1628" s="7656"/>
      <c r="AK1628" s="7656"/>
      <c r="AL1628" s="7656"/>
      <c r="AM1628" s="7656"/>
      <c r="AN1628" s="7689"/>
      <c r="AO1628" s="7669"/>
      <c r="AP1628" s="7656"/>
      <c r="AQ1628" s="7656"/>
      <c r="AR1628" s="7656"/>
      <c r="AS1628" s="7656"/>
      <c r="AT1628" s="7689"/>
      <c r="AU1628" s="7665"/>
      <c r="AV1628" s="7665"/>
      <c r="AW1628" s="7665"/>
      <c r="AX1628" s="7653"/>
      <c r="AY1628" s="7684"/>
      <c r="AZ1628" s="7665"/>
      <c r="BA1628" s="7653"/>
      <c r="BB1628" s="7655"/>
      <c r="BC1628" s="7684"/>
      <c r="BD1628" s="7694"/>
      <c r="BF1628" s="14435"/>
      <c r="BG1628" s="14435"/>
      <c r="BH1628" s="14435"/>
      <c r="BI1628" s="14435"/>
      <c r="BJ1628" s="14435"/>
      <c r="BK1628" s="7911"/>
      <c r="BL1628" s="14435"/>
      <c r="BM1628" s="14435"/>
      <c r="BN1628" s="14435"/>
    </row>
    <row r="1629" spans="1:66" ht="30" hidden="1" customHeight="1">
      <c r="A1629" s="7901">
        <v>984</v>
      </c>
      <c r="B1629" s="7910" t="s">
        <v>8368</v>
      </c>
      <c r="C1629" s="13588"/>
      <c r="D1629" s="11986" t="s">
        <v>10290</v>
      </c>
      <c r="E1629" s="7852" t="s">
        <v>7351</v>
      </c>
      <c r="F1629" s="7852"/>
      <c r="G1629" s="11909" t="s">
        <v>7405</v>
      </c>
      <c r="H1629" s="11910" t="s">
        <v>7406</v>
      </c>
      <c r="I1629" s="11911">
        <v>1</v>
      </c>
      <c r="K1629" s="7657"/>
      <c r="L1629" s="7658"/>
      <c r="M1629" s="7658"/>
      <c r="N1629" s="7659"/>
      <c r="O1629" s="7659"/>
      <c r="P1629" s="7685"/>
      <c r="Q1629" s="7675"/>
      <c r="R1629" s="7670"/>
      <c r="S1629" s="7660"/>
      <c r="T1629" s="7690"/>
      <c r="U1629" s="7675"/>
      <c r="V1629" s="7670"/>
      <c r="W1629" s="7690"/>
      <c r="X1629" s="7670"/>
      <c r="Y1629" s="7690"/>
      <c r="Z1629" s="7670"/>
      <c r="AA1629" s="7660"/>
      <c r="AB1629" s="7660"/>
      <c r="AC1629" s="7660"/>
      <c r="AD1629" s="7660"/>
      <c r="AE1629" s="7660"/>
      <c r="AF1629" s="7690"/>
      <c r="AG1629" s="7670"/>
      <c r="AH1629" s="7660"/>
      <c r="AI1629" s="7660"/>
      <c r="AJ1629" s="7660"/>
      <c r="AK1629" s="7660"/>
      <c r="AL1629" s="7660"/>
      <c r="AM1629" s="7660"/>
      <c r="AN1629" s="7690"/>
      <c r="AO1629" s="7670"/>
      <c r="AP1629" s="7660"/>
      <c r="AQ1629" s="7660"/>
      <c r="AR1629" s="7660"/>
      <c r="AS1629" s="7660"/>
      <c r="AT1629" s="7690"/>
      <c r="AU1629" s="7666"/>
      <c r="AV1629" s="7666"/>
      <c r="AW1629" s="7666"/>
      <c r="AX1629" s="7657"/>
      <c r="AY1629" s="7685"/>
      <c r="AZ1629" s="7666"/>
      <c r="BA1629" s="7657"/>
      <c r="BB1629" s="7659"/>
      <c r="BC1629" s="7685"/>
      <c r="BD1629" s="7901"/>
      <c r="BF1629" s="7911"/>
      <c r="BG1629" s="7911"/>
      <c r="BH1629" s="7911"/>
      <c r="BI1629" s="7911"/>
      <c r="BJ1629" s="7911"/>
      <c r="BK1629" s="7911"/>
      <c r="BL1629" s="7911"/>
      <c r="BM1629" s="7911"/>
      <c r="BN1629" s="7911"/>
    </row>
    <row r="1630" spans="1:66" ht="30" hidden="1" customHeight="1">
      <c r="A1630" s="7901">
        <v>985</v>
      </c>
      <c r="B1630" s="7910" t="s">
        <v>8369</v>
      </c>
      <c r="C1630" s="13588"/>
      <c r="D1630" s="11986" t="s">
        <v>10290</v>
      </c>
      <c r="E1630" s="7852" t="s">
        <v>7410</v>
      </c>
      <c r="F1630" s="7852"/>
      <c r="G1630" s="11909" t="s">
        <v>7408</v>
      </c>
      <c r="H1630" s="11910" t="s">
        <v>7409</v>
      </c>
      <c r="I1630" s="11911">
        <v>1</v>
      </c>
      <c r="K1630" s="7657"/>
      <c r="L1630" s="7658"/>
      <c r="M1630" s="7658"/>
      <c r="N1630" s="7659"/>
      <c r="O1630" s="7659"/>
      <c r="P1630" s="7685"/>
      <c r="Q1630" s="7675"/>
      <c r="R1630" s="7670"/>
      <c r="S1630" s="7660"/>
      <c r="T1630" s="7690"/>
      <c r="U1630" s="7675"/>
      <c r="V1630" s="7670"/>
      <c r="W1630" s="7690"/>
      <c r="X1630" s="7670"/>
      <c r="Y1630" s="7690"/>
      <c r="Z1630" s="7670"/>
      <c r="AA1630" s="7660"/>
      <c r="AB1630" s="7660"/>
      <c r="AC1630" s="7660"/>
      <c r="AD1630" s="7660"/>
      <c r="AE1630" s="7660"/>
      <c r="AF1630" s="7690"/>
      <c r="AG1630" s="7670"/>
      <c r="AH1630" s="7660"/>
      <c r="AI1630" s="7660"/>
      <c r="AJ1630" s="7660"/>
      <c r="AK1630" s="7660"/>
      <c r="AL1630" s="7660"/>
      <c r="AM1630" s="7660"/>
      <c r="AN1630" s="7690"/>
      <c r="AO1630" s="7670"/>
      <c r="AP1630" s="7660"/>
      <c r="AQ1630" s="7660"/>
      <c r="AR1630" s="7660"/>
      <c r="AS1630" s="7660"/>
      <c r="AT1630" s="7690"/>
      <c r="AU1630" s="7666"/>
      <c r="AV1630" s="7666"/>
      <c r="AW1630" s="7666"/>
      <c r="AX1630" s="7657"/>
      <c r="AY1630" s="7685"/>
      <c r="AZ1630" s="7666"/>
      <c r="BA1630" s="7657"/>
      <c r="BB1630" s="7659"/>
      <c r="BC1630" s="7685"/>
      <c r="BD1630" s="7901"/>
      <c r="BF1630" s="7911"/>
      <c r="BG1630" s="7911"/>
      <c r="BH1630" s="7911"/>
      <c r="BI1630" s="7911"/>
      <c r="BJ1630" s="7911"/>
      <c r="BK1630" s="7911"/>
      <c r="BL1630" s="7911"/>
      <c r="BM1630" s="7911"/>
      <c r="BN1630" s="7911"/>
    </row>
    <row r="1631" spans="1:66" ht="30" hidden="1" customHeight="1">
      <c r="A1631" s="7901">
        <v>986</v>
      </c>
      <c r="B1631" s="7910" t="s">
        <v>8370</v>
      </c>
      <c r="C1631" s="13588"/>
      <c r="D1631" s="11986" t="s">
        <v>10066</v>
      </c>
      <c r="E1631" s="7852" t="s">
        <v>10325</v>
      </c>
      <c r="F1631" s="7852" t="s">
        <v>10326</v>
      </c>
      <c r="G1631" s="11656" t="s">
        <v>7412</v>
      </c>
      <c r="H1631" s="11910" t="s">
        <v>6957</v>
      </c>
      <c r="I1631" s="11987">
        <v>0.7</v>
      </c>
      <c r="K1631" s="9193"/>
      <c r="L1631" s="7658"/>
      <c r="M1631" s="7658"/>
      <c r="N1631" s="9194"/>
      <c r="O1631" s="9194"/>
      <c r="P1631" s="9195"/>
      <c r="Q1631" s="7675"/>
      <c r="R1631" s="7670"/>
      <c r="S1631" s="7660"/>
      <c r="T1631" s="7690"/>
      <c r="U1631" s="7675"/>
      <c r="V1631" s="7670"/>
      <c r="W1631" s="7690"/>
      <c r="X1631" s="7670"/>
      <c r="Y1631" s="7690"/>
      <c r="Z1631" s="7670"/>
      <c r="AA1631" s="7660"/>
      <c r="AB1631" s="7660"/>
      <c r="AC1631" s="7660"/>
      <c r="AD1631" s="7660"/>
      <c r="AE1631" s="7660"/>
      <c r="AF1631" s="7690"/>
      <c r="AG1631" s="7670"/>
      <c r="AH1631" s="7660"/>
      <c r="AI1631" s="7660"/>
      <c r="AJ1631" s="7660"/>
      <c r="AK1631" s="7660"/>
      <c r="AL1631" s="7660"/>
      <c r="AM1631" s="7660"/>
      <c r="AN1631" s="7690"/>
      <c r="AO1631" s="7670"/>
      <c r="AP1631" s="7660"/>
      <c r="AQ1631" s="7660"/>
      <c r="AR1631" s="7660"/>
      <c r="AS1631" s="7660"/>
      <c r="AT1631" s="7690"/>
      <c r="AU1631" s="9196"/>
      <c r="AV1631" s="9196"/>
      <c r="AW1631" s="9196"/>
      <c r="AX1631" s="9193"/>
      <c r="AY1631" s="9195"/>
      <c r="AZ1631" s="9196"/>
      <c r="BA1631" s="9193"/>
      <c r="BB1631" s="9194"/>
      <c r="BC1631" s="9195"/>
      <c r="BD1631" s="9197"/>
      <c r="BF1631" s="7946"/>
      <c r="BG1631" s="7946"/>
      <c r="BH1631" s="7946"/>
      <c r="BI1631" s="7946"/>
      <c r="BJ1631" s="7946"/>
      <c r="BK1631" s="7946"/>
      <c r="BL1631" s="7946"/>
      <c r="BM1631" s="7946"/>
      <c r="BN1631" s="7946"/>
    </row>
    <row r="1632" spans="1:66" ht="30" hidden="1" customHeight="1">
      <c r="A1632" s="13526">
        <v>987</v>
      </c>
      <c r="B1632" s="13893" t="s">
        <v>8371</v>
      </c>
      <c r="C1632" s="13588"/>
      <c r="D1632" s="11986" t="s">
        <v>10066</v>
      </c>
      <c r="E1632" s="14385" t="s">
        <v>7417</v>
      </c>
      <c r="F1632" s="7852"/>
      <c r="G1632" s="13919" t="s">
        <v>7415</v>
      </c>
      <c r="H1632" s="13403" t="s">
        <v>7416</v>
      </c>
      <c r="I1632" s="13966">
        <v>1</v>
      </c>
      <c r="K1632" s="7653"/>
      <c r="L1632" s="7654"/>
      <c r="M1632" s="7654"/>
      <c r="N1632" s="7655"/>
      <c r="O1632" s="7655"/>
      <c r="P1632" s="7684"/>
      <c r="Q1632" s="7674"/>
      <c r="R1632" s="7669"/>
      <c r="S1632" s="7656"/>
      <c r="T1632" s="7689"/>
      <c r="U1632" s="7674"/>
      <c r="V1632" s="7669"/>
      <c r="W1632" s="7689"/>
      <c r="X1632" s="7669"/>
      <c r="Y1632" s="7689"/>
      <c r="Z1632" s="7669"/>
      <c r="AA1632" s="7656"/>
      <c r="AB1632" s="7656"/>
      <c r="AC1632" s="7656"/>
      <c r="AD1632" s="7656"/>
      <c r="AE1632" s="7656"/>
      <c r="AF1632" s="7689"/>
      <c r="AG1632" s="7669"/>
      <c r="AH1632" s="7656"/>
      <c r="AI1632" s="7656"/>
      <c r="AJ1632" s="7656"/>
      <c r="AK1632" s="7656"/>
      <c r="AL1632" s="7656"/>
      <c r="AM1632" s="7656"/>
      <c r="AN1632" s="7689"/>
      <c r="AO1632" s="7669"/>
      <c r="AP1632" s="7656"/>
      <c r="AQ1632" s="7656"/>
      <c r="AR1632" s="7656"/>
      <c r="AS1632" s="7656"/>
      <c r="AT1632" s="7689"/>
      <c r="AU1632" s="7665"/>
      <c r="AV1632" s="7665"/>
      <c r="AW1632" s="7665"/>
      <c r="AX1632" s="7653"/>
      <c r="AY1632" s="7684"/>
      <c r="AZ1632" s="7665"/>
      <c r="BA1632" s="7653"/>
      <c r="BB1632" s="7655"/>
      <c r="BC1632" s="7684"/>
      <c r="BD1632" s="7694"/>
      <c r="BF1632" s="14435"/>
      <c r="BG1632" s="14435"/>
      <c r="BH1632" s="14435"/>
      <c r="BI1632" s="14435"/>
      <c r="BJ1632" s="14435"/>
      <c r="BK1632" s="7911"/>
      <c r="BL1632" s="14435"/>
      <c r="BM1632" s="14435"/>
      <c r="BN1632" s="14435"/>
    </row>
    <row r="1633" spans="1:66" ht="30" hidden="1" customHeight="1">
      <c r="A1633" s="13526"/>
      <c r="B1633" s="13893"/>
      <c r="C1633" s="13588"/>
      <c r="D1633" s="11986" t="s">
        <v>10290</v>
      </c>
      <c r="E1633" s="14385"/>
      <c r="F1633" s="7852" t="s">
        <v>7418</v>
      </c>
      <c r="G1633" s="13919"/>
      <c r="H1633" s="13403"/>
      <c r="I1633" s="13966"/>
      <c r="K1633" s="7653"/>
      <c r="L1633" s="7654"/>
      <c r="M1633" s="7654"/>
      <c r="N1633" s="7655"/>
      <c r="O1633" s="7655"/>
      <c r="P1633" s="7684"/>
      <c r="Q1633" s="7674"/>
      <c r="R1633" s="7669"/>
      <c r="S1633" s="7656"/>
      <c r="T1633" s="7689"/>
      <c r="U1633" s="7674"/>
      <c r="V1633" s="7669"/>
      <c r="W1633" s="7689"/>
      <c r="X1633" s="7669"/>
      <c r="Y1633" s="7689"/>
      <c r="Z1633" s="7669"/>
      <c r="AA1633" s="7656"/>
      <c r="AB1633" s="7656"/>
      <c r="AC1633" s="7656"/>
      <c r="AD1633" s="7656"/>
      <c r="AE1633" s="7656"/>
      <c r="AF1633" s="7689"/>
      <c r="AG1633" s="7669"/>
      <c r="AH1633" s="7656"/>
      <c r="AI1633" s="7656"/>
      <c r="AJ1633" s="7656"/>
      <c r="AK1633" s="7656"/>
      <c r="AL1633" s="7656"/>
      <c r="AM1633" s="7656"/>
      <c r="AN1633" s="7689"/>
      <c r="AO1633" s="7669"/>
      <c r="AP1633" s="7656"/>
      <c r="AQ1633" s="7656"/>
      <c r="AR1633" s="7656"/>
      <c r="AS1633" s="7656"/>
      <c r="AT1633" s="7689"/>
      <c r="AU1633" s="7665"/>
      <c r="AV1633" s="7665"/>
      <c r="AW1633" s="7665"/>
      <c r="AX1633" s="7653"/>
      <c r="AY1633" s="7684"/>
      <c r="AZ1633" s="7665"/>
      <c r="BA1633" s="7653"/>
      <c r="BB1633" s="7655"/>
      <c r="BC1633" s="7684"/>
      <c r="BD1633" s="7694"/>
      <c r="BF1633" s="14435"/>
      <c r="BG1633" s="14435"/>
      <c r="BH1633" s="14435"/>
      <c r="BI1633" s="14435"/>
      <c r="BJ1633" s="14435"/>
      <c r="BK1633" s="7911"/>
      <c r="BL1633" s="14435"/>
      <c r="BM1633" s="14435"/>
      <c r="BN1633" s="14435"/>
    </row>
    <row r="1634" spans="1:66" ht="30" hidden="1" customHeight="1">
      <c r="A1634" s="7901">
        <v>988</v>
      </c>
      <c r="B1634" s="7910" t="s">
        <v>8372</v>
      </c>
      <c r="C1634" s="13588"/>
      <c r="D1634" s="11986" t="s">
        <v>10290</v>
      </c>
      <c r="E1634" s="7852" t="s">
        <v>7423</v>
      </c>
      <c r="F1634" s="7852"/>
      <c r="G1634" s="11909" t="s">
        <v>7420</v>
      </c>
      <c r="H1634" s="11910" t="s">
        <v>7421</v>
      </c>
      <c r="I1634" s="11911">
        <v>4</v>
      </c>
      <c r="K1634" s="7657"/>
      <c r="L1634" s="7658"/>
      <c r="M1634" s="7658"/>
      <c r="N1634" s="7659"/>
      <c r="O1634" s="7659"/>
      <c r="P1634" s="7685"/>
      <c r="Q1634" s="7675"/>
      <c r="R1634" s="7670"/>
      <c r="S1634" s="7660"/>
      <c r="T1634" s="7690"/>
      <c r="U1634" s="7675"/>
      <c r="V1634" s="7670"/>
      <c r="W1634" s="7690"/>
      <c r="X1634" s="7670"/>
      <c r="Y1634" s="7690"/>
      <c r="Z1634" s="7670"/>
      <c r="AA1634" s="7660"/>
      <c r="AB1634" s="7660"/>
      <c r="AC1634" s="7660"/>
      <c r="AD1634" s="7660"/>
      <c r="AE1634" s="7660"/>
      <c r="AF1634" s="7690"/>
      <c r="AG1634" s="7670"/>
      <c r="AH1634" s="7660"/>
      <c r="AI1634" s="7660"/>
      <c r="AJ1634" s="7660"/>
      <c r="AK1634" s="7660"/>
      <c r="AL1634" s="7660"/>
      <c r="AM1634" s="7660"/>
      <c r="AN1634" s="7690"/>
      <c r="AO1634" s="7670"/>
      <c r="AP1634" s="7660"/>
      <c r="AQ1634" s="7660"/>
      <c r="AR1634" s="7660"/>
      <c r="AS1634" s="7660"/>
      <c r="AT1634" s="7690"/>
      <c r="AU1634" s="7666"/>
      <c r="AV1634" s="7666"/>
      <c r="AW1634" s="7666"/>
      <c r="AX1634" s="7657"/>
      <c r="AY1634" s="7685"/>
      <c r="AZ1634" s="7666"/>
      <c r="BA1634" s="7657"/>
      <c r="BB1634" s="7659"/>
      <c r="BC1634" s="7685"/>
      <c r="BD1634" s="7901"/>
      <c r="BF1634" s="7911"/>
      <c r="BG1634" s="7911"/>
      <c r="BH1634" s="7911"/>
      <c r="BI1634" s="7911"/>
      <c r="BJ1634" s="7911"/>
      <c r="BK1634" s="7911"/>
      <c r="BL1634" s="7911"/>
      <c r="BM1634" s="7911"/>
      <c r="BN1634" s="7911"/>
    </row>
    <row r="1635" spans="1:66" ht="30" hidden="1" customHeight="1">
      <c r="A1635" s="7901">
        <v>989</v>
      </c>
      <c r="B1635" s="7910" t="s">
        <v>8373</v>
      </c>
      <c r="C1635" s="13588"/>
      <c r="D1635" s="11986" t="s">
        <v>10066</v>
      </c>
      <c r="E1635" s="7852" t="s">
        <v>6787</v>
      </c>
      <c r="F1635" s="7852" t="s">
        <v>7428</v>
      </c>
      <c r="G1635" s="11909" t="s">
        <v>7425</v>
      </c>
      <c r="H1635" s="11910" t="s">
        <v>7426</v>
      </c>
      <c r="I1635" s="11987">
        <v>1</v>
      </c>
      <c r="K1635" s="9193"/>
      <c r="L1635" s="7658"/>
      <c r="M1635" s="7658"/>
      <c r="N1635" s="9194"/>
      <c r="O1635" s="9194"/>
      <c r="P1635" s="9195"/>
      <c r="Q1635" s="7675"/>
      <c r="R1635" s="7670"/>
      <c r="S1635" s="7660"/>
      <c r="T1635" s="7690"/>
      <c r="U1635" s="7675"/>
      <c r="V1635" s="7670"/>
      <c r="W1635" s="7690"/>
      <c r="X1635" s="7670"/>
      <c r="Y1635" s="7690"/>
      <c r="Z1635" s="7670"/>
      <c r="AA1635" s="7660"/>
      <c r="AB1635" s="7660"/>
      <c r="AC1635" s="7660"/>
      <c r="AD1635" s="7660"/>
      <c r="AE1635" s="7660"/>
      <c r="AF1635" s="7690"/>
      <c r="AG1635" s="7670"/>
      <c r="AH1635" s="7660"/>
      <c r="AI1635" s="7660"/>
      <c r="AJ1635" s="7660"/>
      <c r="AK1635" s="7660"/>
      <c r="AL1635" s="7660"/>
      <c r="AM1635" s="7660"/>
      <c r="AN1635" s="7690"/>
      <c r="AO1635" s="7670"/>
      <c r="AP1635" s="7660"/>
      <c r="AQ1635" s="7660"/>
      <c r="AR1635" s="7660"/>
      <c r="AS1635" s="7660"/>
      <c r="AT1635" s="7690"/>
      <c r="AU1635" s="9196"/>
      <c r="AV1635" s="9196"/>
      <c r="AW1635" s="9196"/>
      <c r="AX1635" s="9193"/>
      <c r="AY1635" s="9195"/>
      <c r="AZ1635" s="9196"/>
      <c r="BA1635" s="9193"/>
      <c r="BB1635" s="9194"/>
      <c r="BC1635" s="9195"/>
      <c r="BD1635" s="9197"/>
      <c r="BF1635" s="7911"/>
      <c r="BG1635" s="7911"/>
      <c r="BH1635" s="7911"/>
      <c r="BI1635" s="7911"/>
      <c r="BJ1635" s="7911"/>
      <c r="BK1635" s="7911"/>
      <c r="BL1635" s="7911"/>
      <c r="BM1635" s="7911"/>
      <c r="BN1635" s="7911"/>
    </row>
    <row r="1636" spans="1:66" ht="30" hidden="1" customHeight="1">
      <c r="A1636" s="7901">
        <v>990</v>
      </c>
      <c r="B1636" s="7910" t="s">
        <v>8374</v>
      </c>
      <c r="C1636" s="13588"/>
      <c r="D1636" s="11986" t="s">
        <v>10290</v>
      </c>
      <c r="E1636" s="7852" t="s">
        <v>7435</v>
      </c>
      <c r="F1636" s="7852"/>
      <c r="G1636" s="11909" t="s">
        <v>7431</v>
      </c>
      <c r="H1636" s="11910" t="s">
        <v>7432</v>
      </c>
      <c r="I1636" s="11987">
        <v>0.1</v>
      </c>
      <c r="K1636" s="9193"/>
      <c r="L1636" s="7658"/>
      <c r="M1636" s="7658"/>
      <c r="N1636" s="9194"/>
      <c r="O1636" s="9194"/>
      <c r="P1636" s="9195"/>
      <c r="Q1636" s="7675"/>
      <c r="R1636" s="7670"/>
      <c r="S1636" s="7660"/>
      <c r="T1636" s="7690"/>
      <c r="U1636" s="7675"/>
      <c r="V1636" s="7670"/>
      <c r="W1636" s="7690"/>
      <c r="X1636" s="7670"/>
      <c r="Y1636" s="7690"/>
      <c r="Z1636" s="7670"/>
      <c r="AA1636" s="7660"/>
      <c r="AB1636" s="7660"/>
      <c r="AC1636" s="7660"/>
      <c r="AD1636" s="7660"/>
      <c r="AE1636" s="7660"/>
      <c r="AF1636" s="7690"/>
      <c r="AG1636" s="7670"/>
      <c r="AH1636" s="7660"/>
      <c r="AI1636" s="7660"/>
      <c r="AJ1636" s="7660"/>
      <c r="AK1636" s="7660"/>
      <c r="AL1636" s="7660"/>
      <c r="AM1636" s="7660"/>
      <c r="AN1636" s="7690"/>
      <c r="AO1636" s="7670"/>
      <c r="AP1636" s="7660"/>
      <c r="AQ1636" s="7660"/>
      <c r="AR1636" s="7660"/>
      <c r="AS1636" s="7660"/>
      <c r="AT1636" s="7690"/>
      <c r="AU1636" s="9196"/>
      <c r="AV1636" s="9196"/>
      <c r="AW1636" s="9196"/>
      <c r="AX1636" s="9193"/>
      <c r="AY1636" s="9195"/>
      <c r="AZ1636" s="9196"/>
      <c r="BA1636" s="9193"/>
      <c r="BB1636" s="9194"/>
      <c r="BC1636" s="9195"/>
      <c r="BD1636" s="9197"/>
      <c r="BF1636" s="7911"/>
      <c r="BG1636" s="7911"/>
      <c r="BH1636" s="7911"/>
      <c r="BI1636" s="7911"/>
      <c r="BJ1636" s="7911"/>
      <c r="BK1636" s="7911"/>
      <c r="BL1636" s="7911"/>
      <c r="BM1636" s="7911"/>
      <c r="BN1636" s="7911"/>
    </row>
    <row r="1637" spans="1:66" ht="30" hidden="1" customHeight="1">
      <c r="A1637" s="7901">
        <v>991</v>
      </c>
      <c r="B1637" s="7910" t="s">
        <v>8375</v>
      </c>
      <c r="C1637" s="13588"/>
      <c r="D1637" s="11986" t="s">
        <v>10290</v>
      </c>
      <c r="E1637" s="7852" t="s">
        <v>7439</v>
      </c>
      <c r="F1637" s="7852"/>
      <c r="G1637" s="11909" t="s">
        <v>7436</v>
      </c>
      <c r="H1637" s="11910" t="s">
        <v>7437</v>
      </c>
      <c r="I1637" s="11987">
        <v>0.1</v>
      </c>
      <c r="K1637" s="9193"/>
      <c r="L1637" s="7658"/>
      <c r="M1637" s="7658"/>
      <c r="N1637" s="9194"/>
      <c r="O1637" s="9194"/>
      <c r="P1637" s="9195"/>
      <c r="Q1637" s="7675"/>
      <c r="R1637" s="7670"/>
      <c r="S1637" s="7660"/>
      <c r="T1637" s="7690"/>
      <c r="U1637" s="7675"/>
      <c r="V1637" s="7670"/>
      <c r="W1637" s="7690"/>
      <c r="X1637" s="7670"/>
      <c r="Y1637" s="7690"/>
      <c r="Z1637" s="7670"/>
      <c r="AA1637" s="7660"/>
      <c r="AB1637" s="7660"/>
      <c r="AC1637" s="7660"/>
      <c r="AD1637" s="7660"/>
      <c r="AE1637" s="7660"/>
      <c r="AF1637" s="7690"/>
      <c r="AG1637" s="7670"/>
      <c r="AH1637" s="7660"/>
      <c r="AI1637" s="7660"/>
      <c r="AJ1637" s="7660"/>
      <c r="AK1637" s="7660"/>
      <c r="AL1637" s="7660"/>
      <c r="AM1637" s="7660"/>
      <c r="AN1637" s="7690"/>
      <c r="AO1637" s="7670"/>
      <c r="AP1637" s="7660"/>
      <c r="AQ1637" s="7660"/>
      <c r="AR1637" s="7660"/>
      <c r="AS1637" s="7660"/>
      <c r="AT1637" s="7690"/>
      <c r="AU1637" s="9196"/>
      <c r="AV1637" s="9196"/>
      <c r="AW1637" s="9196"/>
      <c r="AX1637" s="9193"/>
      <c r="AY1637" s="9195"/>
      <c r="AZ1637" s="9196"/>
      <c r="BA1637" s="9193"/>
      <c r="BB1637" s="9194"/>
      <c r="BC1637" s="9195"/>
      <c r="BD1637" s="9197"/>
      <c r="BF1637" s="7911"/>
      <c r="BG1637" s="7911"/>
      <c r="BH1637" s="7911"/>
      <c r="BI1637" s="7911"/>
      <c r="BJ1637" s="7911"/>
      <c r="BK1637" s="7911"/>
      <c r="BL1637" s="7911"/>
      <c r="BM1637" s="7911"/>
      <c r="BN1637" s="7911"/>
    </row>
    <row r="1638" spans="1:66" ht="30" hidden="1" customHeight="1">
      <c r="A1638" s="7901">
        <v>992</v>
      </c>
      <c r="B1638" s="7910" t="s">
        <v>8376</v>
      </c>
      <c r="C1638" s="13588"/>
      <c r="D1638" s="11986" t="s">
        <v>10290</v>
      </c>
      <c r="E1638" s="7852" t="s">
        <v>7443</v>
      </c>
      <c r="F1638" s="7852"/>
      <c r="G1638" s="11909" t="s">
        <v>7440</v>
      </c>
      <c r="H1638" s="11910" t="s">
        <v>7441</v>
      </c>
      <c r="I1638" s="11987">
        <v>0.1</v>
      </c>
      <c r="K1638" s="9193"/>
      <c r="L1638" s="7658"/>
      <c r="M1638" s="7658"/>
      <c r="N1638" s="9194"/>
      <c r="O1638" s="9194"/>
      <c r="P1638" s="9195"/>
      <c r="Q1638" s="7675"/>
      <c r="R1638" s="7670"/>
      <c r="S1638" s="7660"/>
      <c r="T1638" s="7690"/>
      <c r="U1638" s="7675"/>
      <c r="V1638" s="7670"/>
      <c r="W1638" s="7690"/>
      <c r="X1638" s="7670"/>
      <c r="Y1638" s="7690"/>
      <c r="Z1638" s="7670"/>
      <c r="AA1638" s="7660"/>
      <c r="AB1638" s="7660"/>
      <c r="AC1638" s="7660"/>
      <c r="AD1638" s="7660"/>
      <c r="AE1638" s="7660"/>
      <c r="AF1638" s="7690"/>
      <c r="AG1638" s="7670"/>
      <c r="AH1638" s="7660"/>
      <c r="AI1638" s="7660"/>
      <c r="AJ1638" s="7660"/>
      <c r="AK1638" s="7660"/>
      <c r="AL1638" s="7660"/>
      <c r="AM1638" s="7660"/>
      <c r="AN1638" s="7690"/>
      <c r="AO1638" s="7670"/>
      <c r="AP1638" s="7660"/>
      <c r="AQ1638" s="7660"/>
      <c r="AR1638" s="7660"/>
      <c r="AS1638" s="7660"/>
      <c r="AT1638" s="7690"/>
      <c r="AU1638" s="9196"/>
      <c r="AV1638" s="9196"/>
      <c r="AW1638" s="9196"/>
      <c r="AX1638" s="9193"/>
      <c r="AY1638" s="9195"/>
      <c r="AZ1638" s="9196"/>
      <c r="BA1638" s="9193"/>
      <c r="BB1638" s="9194"/>
      <c r="BC1638" s="9195"/>
      <c r="BD1638" s="9197"/>
      <c r="BF1638" s="7911"/>
      <c r="BG1638" s="7911"/>
      <c r="BH1638" s="7911"/>
      <c r="BI1638" s="7911"/>
      <c r="BJ1638" s="7911"/>
      <c r="BK1638" s="7911"/>
      <c r="BL1638" s="7911"/>
      <c r="BM1638" s="7911"/>
      <c r="BN1638" s="7911"/>
    </row>
    <row r="1639" spans="1:66" ht="30" hidden="1" customHeight="1">
      <c r="A1639" s="13526">
        <v>993</v>
      </c>
      <c r="B1639" s="13893" t="s">
        <v>8377</v>
      </c>
      <c r="C1639" s="13588"/>
      <c r="D1639" s="11986" t="s">
        <v>10290</v>
      </c>
      <c r="E1639" s="14385" t="s">
        <v>7446</v>
      </c>
      <c r="F1639" s="7852"/>
      <c r="G1639" s="13919" t="s">
        <v>7444</v>
      </c>
      <c r="H1639" s="13403" t="s">
        <v>7445</v>
      </c>
      <c r="I1639" s="13966">
        <v>1</v>
      </c>
      <c r="K1639" s="7653"/>
      <c r="L1639" s="7654"/>
      <c r="M1639" s="7654"/>
      <c r="N1639" s="7655"/>
      <c r="O1639" s="7655"/>
      <c r="P1639" s="7684"/>
      <c r="Q1639" s="7674"/>
      <c r="R1639" s="7669"/>
      <c r="S1639" s="7656"/>
      <c r="T1639" s="7689"/>
      <c r="U1639" s="7674"/>
      <c r="V1639" s="7669"/>
      <c r="W1639" s="7689"/>
      <c r="X1639" s="7669"/>
      <c r="Y1639" s="7689"/>
      <c r="Z1639" s="7669"/>
      <c r="AA1639" s="7656"/>
      <c r="AB1639" s="7656"/>
      <c r="AC1639" s="7656"/>
      <c r="AD1639" s="7656"/>
      <c r="AE1639" s="7656"/>
      <c r="AF1639" s="7689"/>
      <c r="AG1639" s="7669"/>
      <c r="AH1639" s="7656"/>
      <c r="AI1639" s="7656"/>
      <c r="AJ1639" s="7656"/>
      <c r="AK1639" s="7656"/>
      <c r="AL1639" s="7656"/>
      <c r="AM1639" s="7656"/>
      <c r="AN1639" s="7689"/>
      <c r="AO1639" s="7669"/>
      <c r="AP1639" s="7656"/>
      <c r="AQ1639" s="7656"/>
      <c r="AR1639" s="7656"/>
      <c r="AS1639" s="7656"/>
      <c r="AT1639" s="7689"/>
      <c r="AU1639" s="7665"/>
      <c r="AV1639" s="7665"/>
      <c r="AW1639" s="7665"/>
      <c r="AX1639" s="7653"/>
      <c r="AY1639" s="7684"/>
      <c r="AZ1639" s="7665"/>
      <c r="BA1639" s="7653"/>
      <c r="BB1639" s="7655"/>
      <c r="BC1639" s="7684"/>
      <c r="BD1639" s="7694"/>
      <c r="BF1639" s="14435"/>
      <c r="BG1639" s="14435"/>
      <c r="BH1639" s="14435"/>
      <c r="BI1639" s="14435"/>
      <c r="BJ1639" s="14435"/>
      <c r="BK1639" s="7911"/>
      <c r="BL1639" s="14435"/>
      <c r="BM1639" s="14435"/>
      <c r="BN1639" s="14435"/>
    </row>
    <row r="1640" spans="1:66" ht="30" hidden="1" customHeight="1">
      <c r="A1640" s="13526"/>
      <c r="B1640" s="13893"/>
      <c r="C1640" s="13588"/>
      <c r="D1640" s="11986" t="s">
        <v>10057</v>
      </c>
      <c r="E1640" s="14385"/>
      <c r="F1640" s="7852"/>
      <c r="G1640" s="13919"/>
      <c r="H1640" s="13403"/>
      <c r="I1640" s="13966"/>
      <c r="K1640" s="7653"/>
      <c r="L1640" s="7654"/>
      <c r="M1640" s="7654"/>
      <c r="N1640" s="7655"/>
      <c r="O1640" s="7655"/>
      <c r="P1640" s="7684"/>
      <c r="Q1640" s="7674"/>
      <c r="R1640" s="7669"/>
      <c r="S1640" s="7656"/>
      <c r="T1640" s="7689"/>
      <c r="U1640" s="7674"/>
      <c r="V1640" s="7669"/>
      <c r="W1640" s="7689"/>
      <c r="X1640" s="7669"/>
      <c r="Y1640" s="7689"/>
      <c r="Z1640" s="7669"/>
      <c r="AA1640" s="7656"/>
      <c r="AB1640" s="7656"/>
      <c r="AC1640" s="7656"/>
      <c r="AD1640" s="7656"/>
      <c r="AE1640" s="7656"/>
      <c r="AF1640" s="7689"/>
      <c r="AG1640" s="7669"/>
      <c r="AH1640" s="7656"/>
      <c r="AI1640" s="7656"/>
      <c r="AJ1640" s="7656"/>
      <c r="AK1640" s="7656"/>
      <c r="AL1640" s="7656"/>
      <c r="AM1640" s="7656"/>
      <c r="AN1640" s="7689"/>
      <c r="AO1640" s="7669"/>
      <c r="AP1640" s="7656"/>
      <c r="AQ1640" s="7656"/>
      <c r="AR1640" s="7656"/>
      <c r="AS1640" s="7656"/>
      <c r="AT1640" s="7689"/>
      <c r="AU1640" s="7665"/>
      <c r="AV1640" s="7665"/>
      <c r="AW1640" s="7665"/>
      <c r="AX1640" s="7653"/>
      <c r="AY1640" s="7684"/>
      <c r="AZ1640" s="7665"/>
      <c r="BA1640" s="7653"/>
      <c r="BB1640" s="7655"/>
      <c r="BC1640" s="7684"/>
      <c r="BD1640" s="7694"/>
      <c r="BF1640" s="14435"/>
      <c r="BG1640" s="14435"/>
      <c r="BH1640" s="14435"/>
      <c r="BI1640" s="14435"/>
      <c r="BJ1640" s="14435"/>
      <c r="BK1640" s="7911"/>
      <c r="BL1640" s="14435"/>
      <c r="BM1640" s="14435"/>
      <c r="BN1640" s="14435"/>
    </row>
    <row r="1641" spans="1:66" ht="30" hidden="1" customHeight="1">
      <c r="A1641" s="7901">
        <v>994</v>
      </c>
      <c r="B1641" s="7910" t="s">
        <v>8378</v>
      </c>
      <c r="C1641" s="13588"/>
      <c r="D1641" s="11986" t="s">
        <v>10290</v>
      </c>
      <c r="E1641" s="7852" t="s">
        <v>7351</v>
      </c>
      <c r="F1641" s="7852"/>
      <c r="G1641" s="11909" t="s">
        <v>7447</v>
      </c>
      <c r="H1641" s="11910" t="s">
        <v>7448</v>
      </c>
      <c r="I1641" s="11911">
        <v>1</v>
      </c>
      <c r="K1641" s="7657"/>
      <c r="L1641" s="7658"/>
      <c r="M1641" s="7658"/>
      <c r="N1641" s="7659"/>
      <c r="O1641" s="7659"/>
      <c r="P1641" s="7685"/>
      <c r="Q1641" s="7675"/>
      <c r="R1641" s="7670"/>
      <c r="S1641" s="7660"/>
      <c r="T1641" s="7690"/>
      <c r="U1641" s="7675"/>
      <c r="V1641" s="7670"/>
      <c r="W1641" s="7690"/>
      <c r="X1641" s="7670"/>
      <c r="Y1641" s="7690"/>
      <c r="Z1641" s="7670"/>
      <c r="AA1641" s="7660"/>
      <c r="AB1641" s="7660"/>
      <c r="AC1641" s="7660"/>
      <c r="AD1641" s="7660"/>
      <c r="AE1641" s="7660"/>
      <c r="AF1641" s="7690"/>
      <c r="AG1641" s="7670"/>
      <c r="AH1641" s="7660"/>
      <c r="AI1641" s="7660"/>
      <c r="AJ1641" s="7660"/>
      <c r="AK1641" s="7660"/>
      <c r="AL1641" s="7660"/>
      <c r="AM1641" s="7660"/>
      <c r="AN1641" s="7690"/>
      <c r="AO1641" s="7670"/>
      <c r="AP1641" s="7660"/>
      <c r="AQ1641" s="7660"/>
      <c r="AR1641" s="7660"/>
      <c r="AS1641" s="7660"/>
      <c r="AT1641" s="7690"/>
      <c r="AU1641" s="7666"/>
      <c r="AV1641" s="7666"/>
      <c r="AW1641" s="7666"/>
      <c r="AX1641" s="7657"/>
      <c r="AY1641" s="7685"/>
      <c r="AZ1641" s="7666"/>
      <c r="BA1641" s="7657"/>
      <c r="BB1641" s="7659"/>
      <c r="BC1641" s="7685"/>
      <c r="BD1641" s="7901"/>
      <c r="BF1641" s="7911"/>
      <c r="BG1641" s="7911"/>
      <c r="BH1641" s="7911"/>
      <c r="BI1641" s="7911"/>
      <c r="BJ1641" s="7911"/>
      <c r="BK1641" s="7911"/>
      <c r="BL1641" s="7911"/>
      <c r="BM1641" s="7911"/>
      <c r="BN1641" s="7911"/>
    </row>
    <row r="1642" spans="1:66" ht="30" hidden="1" customHeight="1">
      <c r="A1642" s="13526">
        <v>995</v>
      </c>
      <c r="B1642" s="13893" t="s">
        <v>8379</v>
      </c>
      <c r="C1642" s="13588"/>
      <c r="D1642" s="11986" t="s">
        <v>10066</v>
      </c>
      <c r="E1642" s="14385" t="s">
        <v>7451</v>
      </c>
      <c r="F1642" s="7852"/>
      <c r="G1642" s="13919" t="s">
        <v>7449</v>
      </c>
      <c r="H1642" s="13403" t="s">
        <v>7450</v>
      </c>
      <c r="I1642" s="13966">
        <v>1</v>
      </c>
      <c r="K1642" s="7653"/>
      <c r="L1642" s="7654"/>
      <c r="M1642" s="7654"/>
      <c r="N1642" s="7655"/>
      <c r="O1642" s="7655"/>
      <c r="P1642" s="7684"/>
      <c r="Q1642" s="7674"/>
      <c r="R1642" s="7669"/>
      <c r="S1642" s="7656"/>
      <c r="T1642" s="7689"/>
      <c r="U1642" s="7674"/>
      <c r="V1642" s="7669"/>
      <c r="W1642" s="7689"/>
      <c r="X1642" s="7669"/>
      <c r="Y1642" s="7689"/>
      <c r="Z1642" s="7669"/>
      <c r="AA1642" s="7656"/>
      <c r="AB1642" s="7656"/>
      <c r="AC1642" s="7656"/>
      <c r="AD1642" s="7656"/>
      <c r="AE1642" s="7656"/>
      <c r="AF1642" s="7689"/>
      <c r="AG1642" s="7669"/>
      <c r="AH1642" s="7656"/>
      <c r="AI1642" s="7656"/>
      <c r="AJ1642" s="7656"/>
      <c r="AK1642" s="7656"/>
      <c r="AL1642" s="7656"/>
      <c r="AM1642" s="7656"/>
      <c r="AN1642" s="7689"/>
      <c r="AO1642" s="7669"/>
      <c r="AP1642" s="7656"/>
      <c r="AQ1642" s="7656"/>
      <c r="AR1642" s="7656"/>
      <c r="AS1642" s="7656"/>
      <c r="AT1642" s="7689"/>
      <c r="AU1642" s="7665"/>
      <c r="AV1642" s="7665"/>
      <c r="AW1642" s="7665"/>
      <c r="AX1642" s="7653"/>
      <c r="AY1642" s="7684"/>
      <c r="AZ1642" s="7665"/>
      <c r="BA1642" s="7653"/>
      <c r="BB1642" s="7655"/>
      <c r="BC1642" s="7684"/>
      <c r="BD1642" s="7694"/>
      <c r="BF1642" s="14435"/>
      <c r="BG1642" s="14435"/>
      <c r="BH1642" s="14435"/>
      <c r="BI1642" s="14435"/>
      <c r="BJ1642" s="14435"/>
      <c r="BK1642" s="7911"/>
      <c r="BL1642" s="14435"/>
      <c r="BM1642" s="14435"/>
      <c r="BN1642" s="14435"/>
    </row>
    <row r="1643" spans="1:66" ht="30" hidden="1" customHeight="1">
      <c r="A1643" s="13526"/>
      <c r="B1643" s="13893"/>
      <c r="C1643" s="13588"/>
      <c r="D1643" s="11986" t="s">
        <v>10290</v>
      </c>
      <c r="E1643" s="14385"/>
      <c r="F1643" s="7852"/>
      <c r="G1643" s="13919"/>
      <c r="H1643" s="13403"/>
      <c r="I1643" s="13966"/>
      <c r="K1643" s="7653"/>
      <c r="L1643" s="7654"/>
      <c r="M1643" s="7654"/>
      <c r="N1643" s="7655"/>
      <c r="O1643" s="7655"/>
      <c r="P1643" s="7684"/>
      <c r="Q1643" s="7674"/>
      <c r="R1643" s="7669"/>
      <c r="S1643" s="7656"/>
      <c r="T1643" s="7689"/>
      <c r="U1643" s="7674"/>
      <c r="V1643" s="7669"/>
      <c r="W1643" s="7689"/>
      <c r="X1643" s="7669"/>
      <c r="Y1643" s="7689"/>
      <c r="Z1643" s="7669"/>
      <c r="AA1643" s="7656"/>
      <c r="AB1643" s="7656"/>
      <c r="AC1643" s="7656"/>
      <c r="AD1643" s="7656"/>
      <c r="AE1643" s="7656"/>
      <c r="AF1643" s="7689"/>
      <c r="AG1643" s="7669"/>
      <c r="AH1643" s="7656"/>
      <c r="AI1643" s="7656"/>
      <c r="AJ1643" s="7656"/>
      <c r="AK1643" s="7656"/>
      <c r="AL1643" s="7656"/>
      <c r="AM1643" s="7656"/>
      <c r="AN1643" s="7689"/>
      <c r="AO1643" s="7669"/>
      <c r="AP1643" s="7656"/>
      <c r="AQ1643" s="7656"/>
      <c r="AR1643" s="7656"/>
      <c r="AS1643" s="7656"/>
      <c r="AT1643" s="7689"/>
      <c r="AU1643" s="7665"/>
      <c r="AV1643" s="7665"/>
      <c r="AW1643" s="7665"/>
      <c r="AX1643" s="7653"/>
      <c r="AY1643" s="7684"/>
      <c r="AZ1643" s="7665"/>
      <c r="BA1643" s="7653"/>
      <c r="BB1643" s="7655"/>
      <c r="BC1643" s="7684"/>
      <c r="BD1643" s="7694"/>
      <c r="BF1643" s="14435"/>
      <c r="BG1643" s="14435"/>
      <c r="BH1643" s="14435"/>
      <c r="BI1643" s="14435"/>
      <c r="BJ1643" s="14435"/>
      <c r="BK1643" s="7911"/>
      <c r="BL1643" s="14435"/>
      <c r="BM1643" s="14435"/>
      <c r="BN1643" s="14435"/>
    </row>
    <row r="1644" spans="1:66" ht="30" hidden="1" customHeight="1">
      <c r="A1644" s="13526">
        <v>996</v>
      </c>
      <c r="B1644" s="13893" t="s">
        <v>8380</v>
      </c>
      <c r="C1644" s="13588"/>
      <c r="D1644" s="11986" t="s">
        <v>10290</v>
      </c>
      <c r="E1644" s="7852" t="s">
        <v>10327</v>
      </c>
      <c r="F1644" s="7852"/>
      <c r="G1644" s="13919" t="s">
        <v>7453</v>
      </c>
      <c r="H1644" s="13403" t="s">
        <v>7454</v>
      </c>
      <c r="I1644" s="13966">
        <v>1</v>
      </c>
      <c r="K1644" s="7653"/>
      <c r="L1644" s="7654"/>
      <c r="M1644" s="7654"/>
      <c r="N1644" s="7655"/>
      <c r="O1644" s="7655"/>
      <c r="P1644" s="7684"/>
      <c r="Q1644" s="7674"/>
      <c r="R1644" s="7669"/>
      <c r="S1644" s="7656"/>
      <c r="T1644" s="7689"/>
      <c r="U1644" s="7674"/>
      <c r="V1644" s="7669"/>
      <c r="W1644" s="7689"/>
      <c r="X1644" s="7669"/>
      <c r="Y1644" s="7689"/>
      <c r="Z1644" s="7669"/>
      <c r="AA1644" s="7656"/>
      <c r="AB1644" s="7656"/>
      <c r="AC1644" s="7656"/>
      <c r="AD1644" s="7656"/>
      <c r="AE1644" s="7656"/>
      <c r="AF1644" s="7689"/>
      <c r="AG1644" s="7669"/>
      <c r="AH1644" s="7656"/>
      <c r="AI1644" s="7656"/>
      <c r="AJ1644" s="7656"/>
      <c r="AK1644" s="7656"/>
      <c r="AL1644" s="7656"/>
      <c r="AM1644" s="7656"/>
      <c r="AN1644" s="7689"/>
      <c r="AO1644" s="7669"/>
      <c r="AP1644" s="7656"/>
      <c r="AQ1644" s="7656"/>
      <c r="AR1644" s="7656"/>
      <c r="AS1644" s="7656"/>
      <c r="AT1644" s="7689"/>
      <c r="AU1644" s="7665"/>
      <c r="AV1644" s="7665"/>
      <c r="AW1644" s="7665"/>
      <c r="AX1644" s="7653"/>
      <c r="AY1644" s="7684"/>
      <c r="AZ1644" s="7665"/>
      <c r="BA1644" s="7653"/>
      <c r="BB1644" s="7655"/>
      <c r="BC1644" s="7684"/>
      <c r="BD1644" s="7694"/>
      <c r="BF1644" s="14435"/>
      <c r="BG1644" s="14435"/>
      <c r="BH1644" s="14435"/>
      <c r="BI1644" s="14435"/>
      <c r="BJ1644" s="14435"/>
      <c r="BK1644" s="7911"/>
      <c r="BL1644" s="14435"/>
      <c r="BM1644" s="14435"/>
      <c r="BN1644" s="14435"/>
    </row>
    <row r="1645" spans="1:66" ht="30" hidden="1" customHeight="1">
      <c r="A1645" s="13526"/>
      <c r="B1645" s="13893"/>
      <c r="C1645" s="13588"/>
      <c r="D1645" s="11986" t="s">
        <v>10194</v>
      </c>
      <c r="E1645" s="7852"/>
      <c r="F1645" s="7852" t="s">
        <v>6878</v>
      </c>
      <c r="G1645" s="13919"/>
      <c r="H1645" s="13403"/>
      <c r="I1645" s="13966"/>
      <c r="K1645" s="7653"/>
      <c r="L1645" s="7654"/>
      <c r="M1645" s="7654"/>
      <c r="N1645" s="7655"/>
      <c r="O1645" s="7655"/>
      <c r="P1645" s="7684"/>
      <c r="Q1645" s="7674"/>
      <c r="R1645" s="7669"/>
      <c r="S1645" s="7656"/>
      <c r="T1645" s="7689"/>
      <c r="U1645" s="7674"/>
      <c r="V1645" s="7669"/>
      <c r="W1645" s="7689"/>
      <c r="X1645" s="7669"/>
      <c r="Y1645" s="7689"/>
      <c r="Z1645" s="7669"/>
      <c r="AA1645" s="7656"/>
      <c r="AB1645" s="7656"/>
      <c r="AC1645" s="7656"/>
      <c r="AD1645" s="7656"/>
      <c r="AE1645" s="7656"/>
      <c r="AF1645" s="7689"/>
      <c r="AG1645" s="7669"/>
      <c r="AH1645" s="7656"/>
      <c r="AI1645" s="7656"/>
      <c r="AJ1645" s="7656"/>
      <c r="AK1645" s="7656"/>
      <c r="AL1645" s="7656"/>
      <c r="AM1645" s="7656"/>
      <c r="AN1645" s="7689"/>
      <c r="AO1645" s="7669"/>
      <c r="AP1645" s="7656"/>
      <c r="AQ1645" s="7656"/>
      <c r="AR1645" s="7656"/>
      <c r="AS1645" s="7656"/>
      <c r="AT1645" s="7689"/>
      <c r="AU1645" s="7665"/>
      <c r="AV1645" s="7665"/>
      <c r="AW1645" s="7665"/>
      <c r="AX1645" s="7653"/>
      <c r="AY1645" s="7684"/>
      <c r="AZ1645" s="7665"/>
      <c r="BA1645" s="7653"/>
      <c r="BB1645" s="7655"/>
      <c r="BC1645" s="7684"/>
      <c r="BD1645" s="7694"/>
      <c r="BF1645" s="14435"/>
      <c r="BG1645" s="14435"/>
      <c r="BH1645" s="14435"/>
      <c r="BI1645" s="14435"/>
      <c r="BJ1645" s="14435"/>
      <c r="BK1645" s="7911"/>
      <c r="BL1645" s="14435"/>
      <c r="BM1645" s="14435"/>
      <c r="BN1645" s="14435"/>
    </row>
    <row r="1646" spans="1:66" ht="30" hidden="1" customHeight="1">
      <c r="A1646" s="13526">
        <v>997</v>
      </c>
      <c r="B1646" s="13893" t="s">
        <v>8381</v>
      </c>
      <c r="C1646" s="13588"/>
      <c r="D1646" s="11986" t="s">
        <v>10066</v>
      </c>
      <c r="E1646" s="14385" t="s">
        <v>7457</v>
      </c>
      <c r="F1646" s="7852"/>
      <c r="G1646" s="13919" t="s">
        <v>7455</v>
      </c>
      <c r="H1646" s="13403" t="s">
        <v>7456</v>
      </c>
      <c r="I1646" s="13966">
        <v>1</v>
      </c>
      <c r="K1646" s="7653"/>
      <c r="L1646" s="7654"/>
      <c r="M1646" s="7654"/>
      <c r="N1646" s="7655"/>
      <c r="O1646" s="7655"/>
      <c r="P1646" s="7684"/>
      <c r="Q1646" s="7674"/>
      <c r="R1646" s="7669"/>
      <c r="S1646" s="7656"/>
      <c r="T1646" s="7689"/>
      <c r="U1646" s="7674"/>
      <c r="V1646" s="7669"/>
      <c r="W1646" s="7689"/>
      <c r="X1646" s="7669"/>
      <c r="Y1646" s="7689"/>
      <c r="Z1646" s="7669"/>
      <c r="AA1646" s="7656"/>
      <c r="AB1646" s="7656"/>
      <c r="AC1646" s="7656"/>
      <c r="AD1646" s="7656"/>
      <c r="AE1646" s="7656"/>
      <c r="AF1646" s="7689"/>
      <c r="AG1646" s="7669"/>
      <c r="AH1646" s="7656"/>
      <c r="AI1646" s="7656"/>
      <c r="AJ1646" s="7656"/>
      <c r="AK1646" s="7656"/>
      <c r="AL1646" s="7656"/>
      <c r="AM1646" s="7656"/>
      <c r="AN1646" s="7689"/>
      <c r="AO1646" s="7669"/>
      <c r="AP1646" s="7656"/>
      <c r="AQ1646" s="7656"/>
      <c r="AR1646" s="7656"/>
      <c r="AS1646" s="7656"/>
      <c r="AT1646" s="7689"/>
      <c r="AU1646" s="7665"/>
      <c r="AV1646" s="7665"/>
      <c r="AW1646" s="7665"/>
      <c r="AX1646" s="7653"/>
      <c r="AY1646" s="7684"/>
      <c r="AZ1646" s="7665"/>
      <c r="BA1646" s="7653"/>
      <c r="BB1646" s="7655"/>
      <c r="BC1646" s="7684"/>
      <c r="BD1646" s="7694"/>
      <c r="BF1646" s="14435"/>
      <c r="BG1646" s="14435"/>
      <c r="BH1646" s="14435"/>
      <c r="BI1646" s="14435"/>
      <c r="BJ1646" s="14435"/>
      <c r="BK1646" s="7911"/>
      <c r="BL1646" s="14435"/>
      <c r="BM1646" s="14435"/>
      <c r="BN1646" s="14435"/>
    </row>
    <row r="1647" spans="1:66" ht="30" hidden="1" customHeight="1">
      <c r="A1647" s="13526"/>
      <c r="B1647" s="13893"/>
      <c r="C1647" s="13588"/>
      <c r="D1647" s="11986" t="s">
        <v>10290</v>
      </c>
      <c r="E1647" s="14385"/>
      <c r="F1647" s="7852" t="s">
        <v>7458</v>
      </c>
      <c r="G1647" s="13919"/>
      <c r="H1647" s="13403"/>
      <c r="I1647" s="13966"/>
      <c r="K1647" s="7653"/>
      <c r="L1647" s="7654"/>
      <c r="M1647" s="7654"/>
      <c r="N1647" s="7655"/>
      <c r="O1647" s="7655"/>
      <c r="P1647" s="7684"/>
      <c r="Q1647" s="7674"/>
      <c r="R1647" s="7669"/>
      <c r="S1647" s="7656"/>
      <c r="T1647" s="7689"/>
      <c r="U1647" s="7674"/>
      <c r="V1647" s="7669"/>
      <c r="W1647" s="7689"/>
      <c r="X1647" s="7669"/>
      <c r="Y1647" s="7689"/>
      <c r="Z1647" s="7669"/>
      <c r="AA1647" s="7656"/>
      <c r="AB1647" s="7656"/>
      <c r="AC1647" s="7656"/>
      <c r="AD1647" s="7656"/>
      <c r="AE1647" s="7656"/>
      <c r="AF1647" s="7689"/>
      <c r="AG1647" s="7669"/>
      <c r="AH1647" s="7656"/>
      <c r="AI1647" s="7656"/>
      <c r="AJ1647" s="7656"/>
      <c r="AK1647" s="7656"/>
      <c r="AL1647" s="7656"/>
      <c r="AM1647" s="7656"/>
      <c r="AN1647" s="7689"/>
      <c r="AO1647" s="7669"/>
      <c r="AP1647" s="7656"/>
      <c r="AQ1647" s="7656"/>
      <c r="AR1647" s="7656"/>
      <c r="AS1647" s="7656"/>
      <c r="AT1647" s="7689"/>
      <c r="AU1647" s="7665"/>
      <c r="AV1647" s="7665"/>
      <c r="AW1647" s="7665"/>
      <c r="AX1647" s="7653"/>
      <c r="AY1647" s="7684"/>
      <c r="AZ1647" s="7665"/>
      <c r="BA1647" s="7653"/>
      <c r="BB1647" s="7655"/>
      <c r="BC1647" s="7684"/>
      <c r="BD1647" s="7694"/>
      <c r="BF1647" s="14435"/>
      <c r="BG1647" s="14435"/>
      <c r="BH1647" s="14435"/>
      <c r="BI1647" s="14435"/>
      <c r="BJ1647" s="14435"/>
      <c r="BK1647" s="7911"/>
      <c r="BL1647" s="14435"/>
      <c r="BM1647" s="14435"/>
      <c r="BN1647" s="14435"/>
    </row>
    <row r="1648" spans="1:66" ht="30" hidden="1" customHeight="1">
      <c r="A1648" s="13526">
        <v>998</v>
      </c>
      <c r="B1648" s="13893" t="s">
        <v>8382</v>
      </c>
      <c r="C1648" s="13588"/>
      <c r="D1648" s="11986" t="s">
        <v>10066</v>
      </c>
      <c r="E1648" s="7852" t="s">
        <v>6787</v>
      </c>
      <c r="F1648" s="7852"/>
      <c r="G1648" s="13919" t="s">
        <v>7460</v>
      </c>
      <c r="H1648" s="13403" t="s">
        <v>7461</v>
      </c>
      <c r="I1648" s="13966">
        <v>10</v>
      </c>
      <c r="K1648" s="7653"/>
      <c r="L1648" s="7654"/>
      <c r="M1648" s="7654"/>
      <c r="N1648" s="7655"/>
      <c r="O1648" s="7655"/>
      <c r="P1648" s="7684"/>
      <c r="Q1648" s="7674"/>
      <c r="R1648" s="7669"/>
      <c r="S1648" s="7656"/>
      <c r="T1648" s="7689"/>
      <c r="U1648" s="7674"/>
      <c r="V1648" s="7669"/>
      <c r="W1648" s="7689"/>
      <c r="X1648" s="7669"/>
      <c r="Y1648" s="7689"/>
      <c r="Z1648" s="7669"/>
      <c r="AA1648" s="7656"/>
      <c r="AB1648" s="7656"/>
      <c r="AC1648" s="7656"/>
      <c r="AD1648" s="7656"/>
      <c r="AE1648" s="7656"/>
      <c r="AF1648" s="7689"/>
      <c r="AG1648" s="7669"/>
      <c r="AH1648" s="7656"/>
      <c r="AI1648" s="7656"/>
      <c r="AJ1648" s="7656"/>
      <c r="AK1648" s="7656"/>
      <c r="AL1648" s="7656"/>
      <c r="AM1648" s="7656"/>
      <c r="AN1648" s="7689"/>
      <c r="AO1648" s="7669"/>
      <c r="AP1648" s="7656"/>
      <c r="AQ1648" s="7656"/>
      <c r="AR1648" s="7656"/>
      <c r="AS1648" s="7656"/>
      <c r="AT1648" s="7689"/>
      <c r="AU1648" s="7665"/>
      <c r="AV1648" s="7665"/>
      <c r="AW1648" s="7665"/>
      <c r="AX1648" s="7653"/>
      <c r="AY1648" s="7684"/>
      <c r="AZ1648" s="7665"/>
      <c r="BA1648" s="7653"/>
      <c r="BB1648" s="7655"/>
      <c r="BC1648" s="7684"/>
      <c r="BD1648" s="7694"/>
      <c r="BF1648" s="14435"/>
      <c r="BG1648" s="14435"/>
      <c r="BH1648" s="14435"/>
      <c r="BI1648" s="14435"/>
      <c r="BJ1648" s="14435"/>
      <c r="BK1648" s="7911"/>
      <c r="BL1648" s="14435"/>
      <c r="BM1648" s="14435"/>
      <c r="BN1648" s="14435"/>
    </row>
    <row r="1649" spans="1:66" ht="30" hidden="1" customHeight="1">
      <c r="A1649" s="13526"/>
      <c r="B1649" s="13893"/>
      <c r="C1649" s="13588"/>
      <c r="D1649" s="11986" t="s">
        <v>10309</v>
      </c>
      <c r="E1649" s="7853"/>
      <c r="F1649" s="7852" t="s">
        <v>7463</v>
      </c>
      <c r="G1649" s="13919"/>
      <c r="H1649" s="13403"/>
      <c r="I1649" s="13966"/>
      <c r="K1649" s="7653"/>
      <c r="L1649" s="7654"/>
      <c r="M1649" s="7654"/>
      <c r="N1649" s="7655"/>
      <c r="O1649" s="7655"/>
      <c r="P1649" s="7684"/>
      <c r="Q1649" s="7674"/>
      <c r="R1649" s="7669"/>
      <c r="S1649" s="7656"/>
      <c r="T1649" s="7689"/>
      <c r="U1649" s="7674"/>
      <c r="V1649" s="7669"/>
      <c r="W1649" s="7689"/>
      <c r="X1649" s="7669"/>
      <c r="Y1649" s="7689"/>
      <c r="Z1649" s="7669"/>
      <c r="AA1649" s="7656"/>
      <c r="AB1649" s="7656"/>
      <c r="AC1649" s="7656"/>
      <c r="AD1649" s="7656"/>
      <c r="AE1649" s="7656"/>
      <c r="AF1649" s="7689"/>
      <c r="AG1649" s="7669"/>
      <c r="AH1649" s="7656"/>
      <c r="AI1649" s="7656"/>
      <c r="AJ1649" s="7656"/>
      <c r="AK1649" s="7656"/>
      <c r="AL1649" s="7656"/>
      <c r="AM1649" s="7656"/>
      <c r="AN1649" s="7689"/>
      <c r="AO1649" s="7669"/>
      <c r="AP1649" s="7656"/>
      <c r="AQ1649" s="7656"/>
      <c r="AR1649" s="7656"/>
      <c r="AS1649" s="7656"/>
      <c r="AT1649" s="7689"/>
      <c r="AU1649" s="7665"/>
      <c r="AV1649" s="7665"/>
      <c r="AW1649" s="7665"/>
      <c r="AX1649" s="7653"/>
      <c r="AY1649" s="7684"/>
      <c r="AZ1649" s="7665"/>
      <c r="BA1649" s="7653"/>
      <c r="BB1649" s="7655"/>
      <c r="BC1649" s="7684"/>
      <c r="BD1649" s="7694"/>
      <c r="BF1649" s="14435"/>
      <c r="BG1649" s="14435"/>
      <c r="BH1649" s="14435"/>
      <c r="BI1649" s="14435"/>
      <c r="BJ1649" s="14435"/>
      <c r="BK1649" s="7911"/>
      <c r="BL1649" s="14435"/>
      <c r="BM1649" s="14435"/>
      <c r="BN1649" s="14435"/>
    </row>
    <row r="1650" spans="1:66" ht="30" hidden="1" customHeight="1">
      <c r="A1650" s="7901">
        <v>999</v>
      </c>
      <c r="B1650" s="7910" t="s">
        <v>8383</v>
      </c>
      <c r="C1650" s="13588"/>
      <c r="D1650" s="11986" t="s">
        <v>10066</v>
      </c>
      <c r="E1650" s="7852" t="s">
        <v>6787</v>
      </c>
      <c r="F1650" s="7852"/>
      <c r="G1650" s="11909" t="s">
        <v>7465</v>
      </c>
      <c r="H1650" s="11910" t="s">
        <v>7466</v>
      </c>
      <c r="I1650" s="11987">
        <v>1</v>
      </c>
      <c r="K1650" s="9193"/>
      <c r="L1650" s="7658"/>
      <c r="M1650" s="7658"/>
      <c r="N1650" s="9194"/>
      <c r="O1650" s="9194"/>
      <c r="P1650" s="9195"/>
      <c r="Q1650" s="7675"/>
      <c r="R1650" s="7670"/>
      <c r="S1650" s="7660"/>
      <c r="T1650" s="7690"/>
      <c r="U1650" s="7675"/>
      <c r="V1650" s="7670"/>
      <c r="W1650" s="7690"/>
      <c r="X1650" s="7670"/>
      <c r="Y1650" s="7690"/>
      <c r="Z1650" s="7670"/>
      <c r="AA1650" s="7660"/>
      <c r="AB1650" s="7660"/>
      <c r="AC1650" s="7660"/>
      <c r="AD1650" s="7660"/>
      <c r="AE1650" s="7660"/>
      <c r="AF1650" s="7690"/>
      <c r="AG1650" s="7670"/>
      <c r="AH1650" s="7660"/>
      <c r="AI1650" s="7660"/>
      <c r="AJ1650" s="7660"/>
      <c r="AK1650" s="7660"/>
      <c r="AL1650" s="7660"/>
      <c r="AM1650" s="7660"/>
      <c r="AN1650" s="7690"/>
      <c r="AO1650" s="7670"/>
      <c r="AP1650" s="7660"/>
      <c r="AQ1650" s="7660"/>
      <c r="AR1650" s="7660"/>
      <c r="AS1650" s="7660"/>
      <c r="AT1650" s="7690"/>
      <c r="AU1650" s="9196"/>
      <c r="AV1650" s="9196"/>
      <c r="AW1650" s="9196"/>
      <c r="AX1650" s="9193"/>
      <c r="AY1650" s="9195"/>
      <c r="AZ1650" s="9196"/>
      <c r="BA1650" s="9193"/>
      <c r="BB1650" s="9194"/>
      <c r="BC1650" s="9195"/>
      <c r="BD1650" s="9197"/>
      <c r="BF1650" s="7911"/>
      <c r="BG1650" s="7911"/>
      <c r="BH1650" s="7911"/>
      <c r="BI1650" s="7911"/>
      <c r="BJ1650" s="7911"/>
      <c r="BK1650" s="7911"/>
      <c r="BL1650" s="7911"/>
      <c r="BM1650" s="7911"/>
      <c r="BN1650" s="7911"/>
    </row>
    <row r="1651" spans="1:66" ht="30" hidden="1" customHeight="1">
      <c r="A1651" s="13526">
        <v>1000</v>
      </c>
      <c r="B1651" s="13893" t="s">
        <v>8384</v>
      </c>
      <c r="C1651" s="13588"/>
      <c r="D1651" s="11986" t="s">
        <v>10290</v>
      </c>
      <c r="E1651" s="7852" t="s">
        <v>6886</v>
      </c>
      <c r="F1651" s="7852"/>
      <c r="G1651" s="13919" t="s">
        <v>7468</v>
      </c>
      <c r="H1651" s="13403" t="s">
        <v>7469</v>
      </c>
      <c r="I1651" s="13966">
        <v>3</v>
      </c>
      <c r="K1651" s="7653"/>
      <c r="L1651" s="7654"/>
      <c r="M1651" s="7654"/>
      <c r="N1651" s="7655"/>
      <c r="O1651" s="7655"/>
      <c r="P1651" s="7684"/>
      <c r="Q1651" s="7674"/>
      <c r="R1651" s="7669"/>
      <c r="S1651" s="7656"/>
      <c r="T1651" s="7689"/>
      <c r="U1651" s="7674"/>
      <c r="V1651" s="7669"/>
      <c r="W1651" s="7689"/>
      <c r="X1651" s="7669"/>
      <c r="Y1651" s="7689"/>
      <c r="Z1651" s="7669"/>
      <c r="AA1651" s="7656"/>
      <c r="AB1651" s="7656"/>
      <c r="AC1651" s="7656"/>
      <c r="AD1651" s="7656"/>
      <c r="AE1651" s="7656"/>
      <c r="AF1651" s="7689"/>
      <c r="AG1651" s="7669"/>
      <c r="AH1651" s="7656"/>
      <c r="AI1651" s="7656"/>
      <c r="AJ1651" s="7656"/>
      <c r="AK1651" s="7656"/>
      <c r="AL1651" s="7656"/>
      <c r="AM1651" s="7656"/>
      <c r="AN1651" s="7689"/>
      <c r="AO1651" s="7669"/>
      <c r="AP1651" s="7656"/>
      <c r="AQ1651" s="7656"/>
      <c r="AR1651" s="7656"/>
      <c r="AS1651" s="7656"/>
      <c r="AT1651" s="7689"/>
      <c r="AU1651" s="7665"/>
      <c r="AV1651" s="7665"/>
      <c r="AW1651" s="7665"/>
      <c r="AX1651" s="7653"/>
      <c r="AY1651" s="7684"/>
      <c r="AZ1651" s="7665"/>
      <c r="BA1651" s="7653"/>
      <c r="BB1651" s="7655"/>
      <c r="BC1651" s="7684"/>
      <c r="BD1651" s="7694"/>
      <c r="BF1651" s="14435"/>
      <c r="BG1651" s="14435"/>
      <c r="BH1651" s="14435"/>
      <c r="BI1651" s="14435"/>
      <c r="BJ1651" s="14435"/>
      <c r="BK1651" s="7911"/>
      <c r="BL1651" s="14435"/>
      <c r="BM1651" s="14435"/>
      <c r="BN1651" s="14435"/>
    </row>
    <row r="1652" spans="1:66" ht="30" hidden="1" customHeight="1" thickBot="1">
      <c r="A1652" s="13652"/>
      <c r="B1652" s="13895"/>
      <c r="C1652" s="13588"/>
      <c r="D1652" s="12146" t="s">
        <v>10199</v>
      </c>
      <c r="E1652" s="7854"/>
      <c r="F1652" s="11913" t="s">
        <v>7470</v>
      </c>
      <c r="G1652" s="13920"/>
      <c r="H1652" s="13476"/>
      <c r="I1652" s="14001"/>
      <c r="K1652" s="7661"/>
      <c r="L1652" s="7628"/>
      <c r="M1652" s="7628"/>
      <c r="N1652" s="7626"/>
      <c r="O1652" s="7626"/>
      <c r="P1652" s="7697"/>
      <c r="Q1652" s="7676"/>
      <c r="R1652" s="7671"/>
      <c r="S1652" s="7627"/>
      <c r="T1652" s="7698"/>
      <c r="U1652" s="7676"/>
      <c r="V1652" s="7671"/>
      <c r="W1652" s="7698"/>
      <c r="X1652" s="7671"/>
      <c r="Y1652" s="7698"/>
      <c r="Z1652" s="7671"/>
      <c r="AA1652" s="7627"/>
      <c r="AB1652" s="7627"/>
      <c r="AC1652" s="7627"/>
      <c r="AD1652" s="7627"/>
      <c r="AE1652" s="7627"/>
      <c r="AF1652" s="7698"/>
      <c r="AG1652" s="7671"/>
      <c r="AH1652" s="7627"/>
      <c r="AI1652" s="7627"/>
      <c r="AJ1652" s="7627"/>
      <c r="AK1652" s="7627"/>
      <c r="AL1652" s="7627"/>
      <c r="AM1652" s="7627"/>
      <c r="AN1652" s="7698"/>
      <c r="AO1652" s="7671"/>
      <c r="AP1652" s="7627"/>
      <c r="AQ1652" s="7627"/>
      <c r="AR1652" s="7627"/>
      <c r="AS1652" s="7627"/>
      <c r="AT1652" s="7698"/>
      <c r="AU1652" s="7667"/>
      <c r="AV1652" s="7667"/>
      <c r="AW1652" s="7667"/>
      <c r="AX1652" s="7661"/>
      <c r="AY1652" s="7697"/>
      <c r="AZ1652" s="7667"/>
      <c r="BA1652" s="7661"/>
      <c r="BB1652" s="7626"/>
      <c r="BC1652" s="7697"/>
      <c r="BD1652" s="7699"/>
      <c r="BF1652" s="14436"/>
      <c r="BG1652" s="14436"/>
      <c r="BH1652" s="14436"/>
      <c r="BI1652" s="14436"/>
      <c r="BJ1652" s="14436"/>
      <c r="BK1652" s="7912"/>
      <c r="BL1652" s="14436"/>
      <c r="BM1652" s="14436"/>
      <c r="BN1652" s="14436"/>
    </row>
    <row r="1653" spans="1:66" ht="30" hidden="1" customHeight="1">
      <c r="A1653" s="9771">
        <v>1001</v>
      </c>
      <c r="B1653" s="9772" t="s">
        <v>8361</v>
      </c>
      <c r="C1653" s="13588"/>
      <c r="D1653" s="11914" t="s">
        <v>10066</v>
      </c>
      <c r="E1653" s="7820" t="s">
        <v>6787</v>
      </c>
      <c r="F1653" s="7820"/>
      <c r="G1653" s="12153" t="s">
        <v>7475</v>
      </c>
      <c r="H1653" s="12154" t="s">
        <v>7476</v>
      </c>
      <c r="I1653" s="12642">
        <v>1</v>
      </c>
      <c r="K1653" s="11300"/>
      <c r="L1653" s="9773"/>
      <c r="M1653" s="9773"/>
      <c r="N1653" s="11301"/>
      <c r="O1653" s="11301"/>
      <c r="P1653" s="11302"/>
      <c r="Q1653" s="9775"/>
      <c r="R1653" s="9776"/>
      <c r="S1653" s="9777"/>
      <c r="T1653" s="9778"/>
      <c r="U1653" s="9775"/>
      <c r="V1653" s="9776"/>
      <c r="W1653" s="9778"/>
      <c r="X1653" s="9776"/>
      <c r="Y1653" s="9778"/>
      <c r="Z1653" s="9776"/>
      <c r="AA1653" s="9777"/>
      <c r="AB1653" s="9777"/>
      <c r="AC1653" s="9777"/>
      <c r="AD1653" s="9777"/>
      <c r="AE1653" s="9777"/>
      <c r="AF1653" s="9778"/>
      <c r="AG1653" s="9776"/>
      <c r="AH1653" s="9777"/>
      <c r="AI1653" s="9777"/>
      <c r="AJ1653" s="9777"/>
      <c r="AK1653" s="9777"/>
      <c r="AL1653" s="9777"/>
      <c r="AM1653" s="9777"/>
      <c r="AN1653" s="9778"/>
      <c r="AO1653" s="9776"/>
      <c r="AP1653" s="9777"/>
      <c r="AQ1653" s="9777"/>
      <c r="AR1653" s="9777"/>
      <c r="AS1653" s="9777"/>
      <c r="AT1653" s="9778"/>
      <c r="AU1653" s="11303"/>
      <c r="AV1653" s="11303"/>
      <c r="AW1653" s="11303"/>
      <c r="AX1653" s="11300"/>
      <c r="AY1653" s="11302"/>
      <c r="AZ1653" s="11303"/>
      <c r="BA1653" s="11300"/>
      <c r="BB1653" s="11301"/>
      <c r="BC1653" s="11302"/>
      <c r="BD1653" s="11304"/>
      <c r="BF1653" s="8929"/>
      <c r="BG1653" s="8929"/>
      <c r="BH1653" s="8929"/>
      <c r="BI1653" s="8929"/>
      <c r="BJ1653" s="8929"/>
      <c r="BK1653" s="8929"/>
      <c r="BL1653" s="8929"/>
      <c r="BM1653" s="8929"/>
      <c r="BN1653" s="8929"/>
    </row>
    <row r="1654" spans="1:66" ht="30" hidden="1" customHeight="1">
      <c r="A1654" s="8566">
        <v>1002</v>
      </c>
      <c r="B1654" s="8567" t="s">
        <v>8362</v>
      </c>
      <c r="C1654" s="13588"/>
      <c r="D1654" s="11915" t="s">
        <v>10066</v>
      </c>
      <c r="E1654" s="7822" t="s">
        <v>6787</v>
      </c>
      <c r="F1654" s="7822"/>
      <c r="G1654" s="11917" t="s">
        <v>7480</v>
      </c>
      <c r="H1654" s="11815" t="s">
        <v>7481</v>
      </c>
      <c r="I1654" s="12156">
        <v>3</v>
      </c>
      <c r="K1654" s="8917"/>
      <c r="L1654" s="8933"/>
      <c r="M1654" s="8933"/>
      <c r="N1654" s="8934"/>
      <c r="O1654" s="8934"/>
      <c r="P1654" s="8935"/>
      <c r="Q1654" s="8936"/>
      <c r="R1654" s="8937"/>
      <c r="S1654" s="8938"/>
      <c r="T1654" s="8939"/>
      <c r="U1654" s="8936"/>
      <c r="V1654" s="8937"/>
      <c r="W1654" s="8939"/>
      <c r="X1654" s="8937"/>
      <c r="Y1654" s="8939"/>
      <c r="Z1654" s="8937"/>
      <c r="AA1654" s="8938"/>
      <c r="AB1654" s="8938"/>
      <c r="AC1654" s="8938"/>
      <c r="AD1654" s="8938"/>
      <c r="AE1654" s="8938"/>
      <c r="AF1654" s="8939"/>
      <c r="AG1654" s="8937"/>
      <c r="AH1654" s="8938"/>
      <c r="AI1654" s="8938"/>
      <c r="AJ1654" s="8938"/>
      <c r="AK1654" s="8938"/>
      <c r="AL1654" s="8938"/>
      <c r="AM1654" s="8938"/>
      <c r="AN1654" s="8939"/>
      <c r="AO1654" s="8937"/>
      <c r="AP1654" s="8938"/>
      <c r="AQ1654" s="8938"/>
      <c r="AR1654" s="8938"/>
      <c r="AS1654" s="8938"/>
      <c r="AT1654" s="8939"/>
      <c r="AU1654" s="8940"/>
      <c r="AV1654" s="8940"/>
      <c r="AW1654" s="8940"/>
      <c r="AX1654" s="8917"/>
      <c r="AY1654" s="8935"/>
      <c r="AZ1654" s="8940"/>
      <c r="BA1654" s="8917"/>
      <c r="BB1654" s="8934"/>
      <c r="BC1654" s="8935"/>
      <c r="BD1654" s="8930"/>
      <c r="BF1654" s="8932"/>
      <c r="BG1654" s="8932"/>
      <c r="BH1654" s="8932"/>
      <c r="BI1654" s="8932"/>
      <c r="BJ1654" s="8932"/>
      <c r="BK1654" s="8932"/>
      <c r="BL1654" s="8932"/>
      <c r="BM1654" s="8932"/>
      <c r="BN1654" s="8932"/>
    </row>
    <row r="1655" spans="1:66" ht="30" hidden="1" customHeight="1">
      <c r="A1655" s="13557">
        <v>1003</v>
      </c>
      <c r="B1655" s="13908" t="s">
        <v>8363</v>
      </c>
      <c r="C1655" s="13588"/>
      <c r="D1655" s="11915" t="s">
        <v>10290</v>
      </c>
      <c r="E1655" s="14380" t="s">
        <v>7486</v>
      </c>
      <c r="F1655" s="7822"/>
      <c r="G1655" s="13930" t="s">
        <v>7483</v>
      </c>
      <c r="H1655" s="13387" t="s">
        <v>7484</v>
      </c>
      <c r="I1655" s="13944">
        <v>1</v>
      </c>
      <c r="K1655" s="8561"/>
      <c r="L1655" s="7679"/>
      <c r="M1655" s="7679"/>
      <c r="N1655" s="8562"/>
      <c r="O1655" s="8562"/>
      <c r="P1655" s="8563"/>
      <c r="Q1655" s="7687"/>
      <c r="R1655" s="7686"/>
      <c r="S1655" s="7680"/>
      <c r="T1655" s="7688"/>
      <c r="U1655" s="7687"/>
      <c r="V1655" s="7686"/>
      <c r="W1655" s="7688"/>
      <c r="X1655" s="7686"/>
      <c r="Y1655" s="7688"/>
      <c r="Z1655" s="7686"/>
      <c r="AA1655" s="7680"/>
      <c r="AB1655" s="7680"/>
      <c r="AC1655" s="7680"/>
      <c r="AD1655" s="7680"/>
      <c r="AE1655" s="7680"/>
      <c r="AF1655" s="7688"/>
      <c r="AG1655" s="7686"/>
      <c r="AH1655" s="7680"/>
      <c r="AI1655" s="7680"/>
      <c r="AJ1655" s="7680"/>
      <c r="AK1655" s="7680"/>
      <c r="AL1655" s="7680"/>
      <c r="AM1655" s="7680"/>
      <c r="AN1655" s="7688"/>
      <c r="AO1655" s="7686"/>
      <c r="AP1655" s="7680"/>
      <c r="AQ1655" s="7680"/>
      <c r="AR1655" s="7680"/>
      <c r="AS1655" s="7680"/>
      <c r="AT1655" s="7688"/>
      <c r="AU1655" s="8564"/>
      <c r="AV1655" s="8564"/>
      <c r="AW1655" s="8564"/>
      <c r="AX1655" s="8561"/>
      <c r="AY1655" s="8563"/>
      <c r="AZ1655" s="8564"/>
      <c r="BA1655" s="8561"/>
      <c r="BB1655" s="8562"/>
      <c r="BC1655" s="8563"/>
      <c r="BD1655" s="8565"/>
      <c r="BF1655" s="14439"/>
      <c r="BG1655" s="14439"/>
      <c r="BH1655" s="14439"/>
      <c r="BI1655" s="14439"/>
      <c r="BJ1655" s="14439"/>
      <c r="BK1655" s="8932"/>
      <c r="BL1655" s="14439"/>
      <c r="BM1655" s="14439"/>
      <c r="BN1655" s="14439"/>
    </row>
    <row r="1656" spans="1:66" ht="30" hidden="1" customHeight="1">
      <c r="A1656" s="13557"/>
      <c r="B1656" s="13908"/>
      <c r="C1656" s="13588"/>
      <c r="D1656" s="11915" t="s">
        <v>10066</v>
      </c>
      <c r="E1656" s="14380"/>
      <c r="F1656" s="7822"/>
      <c r="G1656" s="13930"/>
      <c r="H1656" s="13387"/>
      <c r="I1656" s="13944"/>
      <c r="K1656" s="8561"/>
      <c r="L1656" s="7679"/>
      <c r="M1656" s="7679"/>
      <c r="N1656" s="8562"/>
      <c r="O1656" s="8562"/>
      <c r="P1656" s="8563"/>
      <c r="Q1656" s="7687"/>
      <c r="R1656" s="7686"/>
      <c r="S1656" s="7680"/>
      <c r="T1656" s="7688"/>
      <c r="U1656" s="7687"/>
      <c r="V1656" s="7686"/>
      <c r="W1656" s="7688"/>
      <c r="X1656" s="7686"/>
      <c r="Y1656" s="7688"/>
      <c r="Z1656" s="7686"/>
      <c r="AA1656" s="7680"/>
      <c r="AB1656" s="7680"/>
      <c r="AC1656" s="7680"/>
      <c r="AD1656" s="7680"/>
      <c r="AE1656" s="7680"/>
      <c r="AF1656" s="7688"/>
      <c r="AG1656" s="7686"/>
      <c r="AH1656" s="7680"/>
      <c r="AI1656" s="7680"/>
      <c r="AJ1656" s="7680"/>
      <c r="AK1656" s="7680"/>
      <c r="AL1656" s="7680"/>
      <c r="AM1656" s="7680"/>
      <c r="AN1656" s="7688"/>
      <c r="AO1656" s="7686"/>
      <c r="AP1656" s="7680"/>
      <c r="AQ1656" s="7680"/>
      <c r="AR1656" s="7680"/>
      <c r="AS1656" s="7680"/>
      <c r="AT1656" s="7688"/>
      <c r="AU1656" s="8564"/>
      <c r="AV1656" s="8564"/>
      <c r="AW1656" s="8564"/>
      <c r="AX1656" s="8561"/>
      <c r="AY1656" s="8563"/>
      <c r="AZ1656" s="8564"/>
      <c r="BA1656" s="8561"/>
      <c r="BB1656" s="8562"/>
      <c r="BC1656" s="8563"/>
      <c r="BD1656" s="8565"/>
      <c r="BF1656" s="14439"/>
      <c r="BG1656" s="14439"/>
      <c r="BH1656" s="14439"/>
      <c r="BI1656" s="14439"/>
      <c r="BJ1656" s="14439"/>
      <c r="BK1656" s="8932"/>
      <c r="BL1656" s="14439"/>
      <c r="BM1656" s="14439"/>
      <c r="BN1656" s="14439"/>
    </row>
    <row r="1657" spans="1:66" ht="30" hidden="1" customHeight="1">
      <c r="A1657" s="13557">
        <v>1004</v>
      </c>
      <c r="B1657" s="13908" t="s">
        <v>8364</v>
      </c>
      <c r="C1657" s="13588"/>
      <c r="D1657" s="11915" t="s">
        <v>8575</v>
      </c>
      <c r="E1657" s="14380" t="s">
        <v>7490</v>
      </c>
      <c r="F1657" s="7822"/>
      <c r="G1657" s="13930" t="s">
        <v>7487</v>
      </c>
      <c r="H1657" s="13387" t="s">
        <v>7488</v>
      </c>
      <c r="I1657" s="13944">
        <v>1</v>
      </c>
      <c r="K1657" s="8561"/>
      <c r="L1657" s="7679"/>
      <c r="M1657" s="7679"/>
      <c r="N1657" s="8562"/>
      <c r="O1657" s="8562"/>
      <c r="P1657" s="8563"/>
      <c r="Q1657" s="7687"/>
      <c r="R1657" s="7686"/>
      <c r="S1657" s="7680"/>
      <c r="T1657" s="7688"/>
      <c r="U1657" s="7687"/>
      <c r="V1657" s="7686"/>
      <c r="W1657" s="7688"/>
      <c r="X1657" s="7686"/>
      <c r="Y1657" s="7688"/>
      <c r="Z1657" s="7686"/>
      <c r="AA1657" s="7680"/>
      <c r="AB1657" s="7680"/>
      <c r="AC1657" s="7680"/>
      <c r="AD1657" s="7680"/>
      <c r="AE1657" s="7680"/>
      <c r="AF1657" s="7688"/>
      <c r="AG1657" s="7686"/>
      <c r="AH1657" s="7680"/>
      <c r="AI1657" s="7680"/>
      <c r="AJ1657" s="7680"/>
      <c r="AK1657" s="7680"/>
      <c r="AL1657" s="7680"/>
      <c r="AM1657" s="7680"/>
      <c r="AN1657" s="7688"/>
      <c r="AO1657" s="7686"/>
      <c r="AP1657" s="7680"/>
      <c r="AQ1657" s="7680"/>
      <c r="AR1657" s="7680"/>
      <c r="AS1657" s="7680"/>
      <c r="AT1657" s="7688"/>
      <c r="AU1657" s="8564"/>
      <c r="AV1657" s="8564"/>
      <c r="AW1657" s="8564"/>
      <c r="AX1657" s="8561"/>
      <c r="AY1657" s="8563"/>
      <c r="AZ1657" s="8564"/>
      <c r="BA1657" s="8561"/>
      <c r="BB1657" s="8562"/>
      <c r="BC1657" s="8563"/>
      <c r="BD1657" s="8565"/>
      <c r="BF1657" s="14439"/>
      <c r="BG1657" s="14439"/>
      <c r="BH1657" s="14439"/>
      <c r="BI1657" s="14439"/>
      <c r="BJ1657" s="14439"/>
      <c r="BK1657" s="8932"/>
      <c r="BL1657" s="14439"/>
      <c r="BM1657" s="14439"/>
      <c r="BN1657" s="14439"/>
    </row>
    <row r="1658" spans="1:66" ht="30" hidden="1" customHeight="1">
      <c r="A1658" s="13557"/>
      <c r="B1658" s="13908"/>
      <c r="C1658" s="13588"/>
      <c r="D1658" s="11915" t="s">
        <v>10070</v>
      </c>
      <c r="E1658" s="14380"/>
      <c r="F1658" s="7822"/>
      <c r="G1658" s="13930"/>
      <c r="H1658" s="13387"/>
      <c r="I1658" s="13944"/>
      <c r="K1658" s="8561"/>
      <c r="L1658" s="7679"/>
      <c r="M1658" s="7679"/>
      <c r="N1658" s="8562"/>
      <c r="O1658" s="8562"/>
      <c r="P1658" s="8563"/>
      <c r="Q1658" s="7687"/>
      <c r="R1658" s="7686"/>
      <c r="S1658" s="7680"/>
      <c r="T1658" s="7688"/>
      <c r="U1658" s="7687"/>
      <c r="V1658" s="7686"/>
      <c r="W1658" s="7688"/>
      <c r="X1658" s="7686"/>
      <c r="Y1658" s="7688"/>
      <c r="Z1658" s="7686"/>
      <c r="AA1658" s="7680"/>
      <c r="AB1658" s="7680"/>
      <c r="AC1658" s="7680"/>
      <c r="AD1658" s="7680"/>
      <c r="AE1658" s="7680"/>
      <c r="AF1658" s="7688"/>
      <c r="AG1658" s="7686"/>
      <c r="AH1658" s="7680"/>
      <c r="AI1658" s="7680"/>
      <c r="AJ1658" s="7680"/>
      <c r="AK1658" s="7680"/>
      <c r="AL1658" s="7680"/>
      <c r="AM1658" s="7680"/>
      <c r="AN1658" s="7688"/>
      <c r="AO1658" s="7686"/>
      <c r="AP1658" s="7680"/>
      <c r="AQ1658" s="7680"/>
      <c r="AR1658" s="7680"/>
      <c r="AS1658" s="7680"/>
      <c r="AT1658" s="7688"/>
      <c r="AU1658" s="8564"/>
      <c r="AV1658" s="8564"/>
      <c r="AW1658" s="8564"/>
      <c r="AX1658" s="8561"/>
      <c r="AY1658" s="8563"/>
      <c r="AZ1658" s="8564"/>
      <c r="BA1658" s="8561"/>
      <c r="BB1658" s="8562"/>
      <c r="BC1658" s="8563"/>
      <c r="BD1658" s="8565"/>
      <c r="BF1658" s="14439"/>
      <c r="BG1658" s="14439"/>
      <c r="BH1658" s="14439"/>
      <c r="BI1658" s="14439"/>
      <c r="BJ1658" s="14439"/>
      <c r="BK1658" s="8932"/>
      <c r="BL1658" s="14439"/>
      <c r="BM1658" s="14439"/>
      <c r="BN1658" s="14439"/>
    </row>
    <row r="1659" spans="1:66" ht="30" hidden="1" customHeight="1">
      <c r="A1659" s="13648">
        <v>1005</v>
      </c>
      <c r="B1659" s="13884" t="s">
        <v>8365</v>
      </c>
      <c r="C1659" s="13588"/>
      <c r="D1659" s="11915" t="s">
        <v>10066</v>
      </c>
      <c r="E1659" s="14380" t="s">
        <v>7493</v>
      </c>
      <c r="F1659" s="7822"/>
      <c r="G1659" s="13930" t="s">
        <v>7491</v>
      </c>
      <c r="H1659" s="13395" t="s">
        <v>7492</v>
      </c>
      <c r="I1659" s="13975">
        <v>1</v>
      </c>
      <c r="K1659" s="8919"/>
      <c r="L1659" s="8920"/>
      <c r="M1659" s="8920"/>
      <c r="N1659" s="8921"/>
      <c r="O1659" s="8921"/>
      <c r="P1659" s="8922"/>
      <c r="Q1659" s="8923"/>
      <c r="R1659" s="8924"/>
      <c r="S1659" s="8925"/>
      <c r="T1659" s="8926"/>
      <c r="U1659" s="8923"/>
      <c r="V1659" s="8924"/>
      <c r="W1659" s="8926"/>
      <c r="X1659" s="8924"/>
      <c r="Y1659" s="8926"/>
      <c r="Z1659" s="8924"/>
      <c r="AA1659" s="8925"/>
      <c r="AB1659" s="8925"/>
      <c r="AC1659" s="8925"/>
      <c r="AD1659" s="8925"/>
      <c r="AE1659" s="8925"/>
      <c r="AF1659" s="8926"/>
      <c r="AG1659" s="8924"/>
      <c r="AH1659" s="8925"/>
      <c r="AI1659" s="8925"/>
      <c r="AJ1659" s="8925"/>
      <c r="AK1659" s="8925"/>
      <c r="AL1659" s="8925"/>
      <c r="AM1659" s="8925"/>
      <c r="AN1659" s="8926"/>
      <c r="AO1659" s="8924"/>
      <c r="AP1659" s="8925"/>
      <c r="AQ1659" s="8925"/>
      <c r="AR1659" s="8925"/>
      <c r="AS1659" s="8925"/>
      <c r="AT1659" s="8926"/>
      <c r="AU1659" s="8927"/>
      <c r="AV1659" s="8927"/>
      <c r="AW1659" s="8927"/>
      <c r="AX1659" s="8919"/>
      <c r="AY1659" s="8922"/>
      <c r="AZ1659" s="8927"/>
      <c r="BA1659" s="8919"/>
      <c r="BB1659" s="8921"/>
      <c r="BC1659" s="8922"/>
      <c r="BD1659" s="8928"/>
      <c r="BF1659" s="14439"/>
      <c r="BG1659" s="14439"/>
      <c r="BH1659" s="14439"/>
      <c r="BI1659" s="14439"/>
      <c r="BJ1659" s="14439"/>
      <c r="BK1659" s="8932"/>
      <c r="BL1659" s="14439"/>
      <c r="BM1659" s="14439"/>
      <c r="BN1659" s="14439"/>
    </row>
    <row r="1660" spans="1:66" ht="30" hidden="1" customHeight="1">
      <c r="A1660" s="13648"/>
      <c r="B1660" s="13884"/>
      <c r="C1660" s="13588"/>
      <c r="D1660" s="11915" t="s">
        <v>10290</v>
      </c>
      <c r="E1660" s="14380"/>
      <c r="F1660" s="7822"/>
      <c r="G1660" s="13930"/>
      <c r="H1660" s="13395"/>
      <c r="I1660" s="13975"/>
      <c r="K1660" s="8919"/>
      <c r="L1660" s="8920"/>
      <c r="M1660" s="8920"/>
      <c r="N1660" s="8921"/>
      <c r="O1660" s="8921"/>
      <c r="P1660" s="8922"/>
      <c r="Q1660" s="8923"/>
      <c r="R1660" s="8924"/>
      <c r="S1660" s="8925"/>
      <c r="T1660" s="8926"/>
      <c r="U1660" s="8923"/>
      <c r="V1660" s="8924"/>
      <c r="W1660" s="8926"/>
      <c r="X1660" s="8924"/>
      <c r="Y1660" s="8926"/>
      <c r="Z1660" s="8924"/>
      <c r="AA1660" s="8925"/>
      <c r="AB1660" s="8925"/>
      <c r="AC1660" s="8925"/>
      <c r="AD1660" s="8925"/>
      <c r="AE1660" s="8925"/>
      <c r="AF1660" s="8926"/>
      <c r="AG1660" s="8924"/>
      <c r="AH1660" s="8925"/>
      <c r="AI1660" s="8925"/>
      <c r="AJ1660" s="8925"/>
      <c r="AK1660" s="8925"/>
      <c r="AL1660" s="8925"/>
      <c r="AM1660" s="8925"/>
      <c r="AN1660" s="8926"/>
      <c r="AO1660" s="8924"/>
      <c r="AP1660" s="8925"/>
      <c r="AQ1660" s="8925"/>
      <c r="AR1660" s="8925"/>
      <c r="AS1660" s="8925"/>
      <c r="AT1660" s="8926"/>
      <c r="AU1660" s="8927"/>
      <c r="AV1660" s="8927"/>
      <c r="AW1660" s="8927"/>
      <c r="AX1660" s="8919"/>
      <c r="AY1660" s="8922"/>
      <c r="AZ1660" s="8927"/>
      <c r="BA1660" s="8919"/>
      <c r="BB1660" s="8921"/>
      <c r="BC1660" s="8922"/>
      <c r="BD1660" s="8928"/>
      <c r="BF1660" s="14439"/>
      <c r="BG1660" s="14439"/>
      <c r="BH1660" s="14439"/>
      <c r="BI1660" s="14439"/>
      <c r="BJ1660" s="14439"/>
      <c r="BK1660" s="8932"/>
      <c r="BL1660" s="14439"/>
      <c r="BM1660" s="14439"/>
      <c r="BN1660" s="14439"/>
    </row>
    <row r="1661" spans="1:66" ht="19.5" hidden="1" customHeight="1">
      <c r="A1661" s="13648">
        <v>1006</v>
      </c>
      <c r="B1661" s="13884" t="s">
        <v>8366</v>
      </c>
      <c r="C1661" s="13588"/>
      <c r="D1661" s="11915" t="s">
        <v>10290</v>
      </c>
      <c r="E1661" s="7822" t="s">
        <v>10328</v>
      </c>
      <c r="F1661" s="7822"/>
      <c r="G1661" s="13930" t="s">
        <v>7496</v>
      </c>
      <c r="H1661" s="13395" t="s">
        <v>479</v>
      </c>
      <c r="I1661" s="13975">
        <v>1</v>
      </c>
      <c r="K1661" s="8919"/>
      <c r="L1661" s="8920"/>
      <c r="M1661" s="8920"/>
      <c r="N1661" s="8921"/>
      <c r="O1661" s="8921"/>
      <c r="P1661" s="8922"/>
      <c r="Q1661" s="8923"/>
      <c r="R1661" s="8924"/>
      <c r="S1661" s="8925"/>
      <c r="T1661" s="8926"/>
      <c r="U1661" s="8923"/>
      <c r="V1661" s="8924"/>
      <c r="W1661" s="8926"/>
      <c r="X1661" s="8924"/>
      <c r="Y1661" s="8926"/>
      <c r="Z1661" s="8924"/>
      <c r="AA1661" s="8925"/>
      <c r="AB1661" s="8925"/>
      <c r="AC1661" s="8925"/>
      <c r="AD1661" s="8925"/>
      <c r="AE1661" s="8925"/>
      <c r="AF1661" s="8926"/>
      <c r="AG1661" s="8924"/>
      <c r="AH1661" s="8925"/>
      <c r="AI1661" s="8925"/>
      <c r="AJ1661" s="8925"/>
      <c r="AK1661" s="8925"/>
      <c r="AL1661" s="8925"/>
      <c r="AM1661" s="8925"/>
      <c r="AN1661" s="8926"/>
      <c r="AO1661" s="8924"/>
      <c r="AP1661" s="8925"/>
      <c r="AQ1661" s="8925"/>
      <c r="AR1661" s="8925"/>
      <c r="AS1661" s="8925"/>
      <c r="AT1661" s="8926"/>
      <c r="AU1661" s="8927"/>
      <c r="AV1661" s="8927"/>
      <c r="AW1661" s="8927"/>
      <c r="AX1661" s="8919"/>
      <c r="AY1661" s="8922"/>
      <c r="AZ1661" s="8927"/>
      <c r="BA1661" s="8919"/>
      <c r="BB1661" s="8921"/>
      <c r="BC1661" s="8922"/>
      <c r="BD1661" s="8928"/>
      <c r="BF1661" s="14439"/>
      <c r="BG1661" s="14439"/>
      <c r="BH1661" s="14439"/>
      <c r="BI1661" s="14439"/>
      <c r="BJ1661" s="14439"/>
      <c r="BK1661" s="8932"/>
      <c r="BL1661" s="14439"/>
      <c r="BM1661" s="14439"/>
      <c r="BN1661" s="14439"/>
    </row>
    <row r="1662" spans="1:66" ht="19.5" hidden="1" customHeight="1">
      <c r="A1662" s="13648"/>
      <c r="B1662" s="13884"/>
      <c r="C1662" s="13588"/>
      <c r="D1662" s="11915" t="s">
        <v>10309</v>
      </c>
      <c r="E1662" s="7822"/>
      <c r="F1662" s="7822" t="s">
        <v>10329</v>
      </c>
      <c r="G1662" s="13930"/>
      <c r="H1662" s="13395"/>
      <c r="I1662" s="13975"/>
      <c r="K1662" s="8919"/>
      <c r="L1662" s="8920"/>
      <c r="M1662" s="8920"/>
      <c r="N1662" s="8921"/>
      <c r="O1662" s="8921"/>
      <c r="P1662" s="8922"/>
      <c r="Q1662" s="8923"/>
      <c r="R1662" s="8924"/>
      <c r="S1662" s="8925"/>
      <c r="T1662" s="8926"/>
      <c r="U1662" s="8923"/>
      <c r="V1662" s="8924"/>
      <c r="W1662" s="8926"/>
      <c r="X1662" s="8924"/>
      <c r="Y1662" s="8926"/>
      <c r="Z1662" s="8924"/>
      <c r="AA1662" s="8925"/>
      <c r="AB1662" s="8925"/>
      <c r="AC1662" s="8925"/>
      <c r="AD1662" s="8925"/>
      <c r="AE1662" s="8925"/>
      <c r="AF1662" s="8926"/>
      <c r="AG1662" s="8924"/>
      <c r="AH1662" s="8925"/>
      <c r="AI1662" s="8925"/>
      <c r="AJ1662" s="8925"/>
      <c r="AK1662" s="8925"/>
      <c r="AL1662" s="8925"/>
      <c r="AM1662" s="8925"/>
      <c r="AN1662" s="8926"/>
      <c r="AO1662" s="8924"/>
      <c r="AP1662" s="8925"/>
      <c r="AQ1662" s="8925"/>
      <c r="AR1662" s="8925"/>
      <c r="AS1662" s="8925"/>
      <c r="AT1662" s="8926"/>
      <c r="AU1662" s="8927"/>
      <c r="AV1662" s="8927"/>
      <c r="AW1662" s="8927"/>
      <c r="AX1662" s="8919"/>
      <c r="AY1662" s="8922"/>
      <c r="AZ1662" s="8927"/>
      <c r="BA1662" s="8919"/>
      <c r="BB1662" s="8921"/>
      <c r="BC1662" s="8922"/>
      <c r="BD1662" s="8928"/>
      <c r="BF1662" s="14439"/>
      <c r="BG1662" s="14439"/>
      <c r="BH1662" s="14439"/>
      <c r="BI1662" s="14439"/>
      <c r="BJ1662" s="14439"/>
      <c r="BK1662" s="8932"/>
      <c r="BL1662" s="14439"/>
      <c r="BM1662" s="14439"/>
      <c r="BN1662" s="14439"/>
    </row>
    <row r="1663" spans="1:66" ht="19.5" hidden="1" customHeight="1">
      <c r="A1663" s="13648">
        <v>1007</v>
      </c>
      <c r="B1663" s="13884" t="s">
        <v>8367</v>
      </c>
      <c r="C1663" s="13588"/>
      <c r="D1663" s="11915" t="s">
        <v>10063</v>
      </c>
      <c r="E1663" s="14380" t="s">
        <v>7500</v>
      </c>
      <c r="F1663" s="14380" t="s">
        <v>7501</v>
      </c>
      <c r="G1663" s="13930" t="s">
        <v>7498</v>
      </c>
      <c r="H1663" s="13395" t="s">
        <v>7499</v>
      </c>
      <c r="I1663" s="13975">
        <v>1</v>
      </c>
      <c r="K1663" s="8919"/>
      <c r="L1663" s="8920"/>
      <c r="M1663" s="8920"/>
      <c r="N1663" s="8921"/>
      <c r="O1663" s="8921"/>
      <c r="P1663" s="8922"/>
      <c r="Q1663" s="8923"/>
      <c r="R1663" s="8924"/>
      <c r="S1663" s="8925"/>
      <c r="T1663" s="8926"/>
      <c r="U1663" s="8923"/>
      <c r="V1663" s="8924"/>
      <c r="W1663" s="8926"/>
      <c r="X1663" s="8924"/>
      <c r="Y1663" s="8926"/>
      <c r="Z1663" s="8924"/>
      <c r="AA1663" s="8925"/>
      <c r="AB1663" s="8925"/>
      <c r="AC1663" s="8925"/>
      <c r="AD1663" s="8925"/>
      <c r="AE1663" s="8925"/>
      <c r="AF1663" s="8926"/>
      <c r="AG1663" s="8924"/>
      <c r="AH1663" s="8925"/>
      <c r="AI1663" s="8925"/>
      <c r="AJ1663" s="8925"/>
      <c r="AK1663" s="8925"/>
      <c r="AL1663" s="8925"/>
      <c r="AM1663" s="8925"/>
      <c r="AN1663" s="8926"/>
      <c r="AO1663" s="8924"/>
      <c r="AP1663" s="8925"/>
      <c r="AQ1663" s="8925"/>
      <c r="AR1663" s="8925"/>
      <c r="AS1663" s="8925"/>
      <c r="AT1663" s="8926"/>
      <c r="AU1663" s="8927"/>
      <c r="AV1663" s="8927"/>
      <c r="AW1663" s="8927"/>
      <c r="AX1663" s="8919"/>
      <c r="AY1663" s="8922"/>
      <c r="AZ1663" s="8927"/>
      <c r="BA1663" s="8919"/>
      <c r="BB1663" s="8921"/>
      <c r="BC1663" s="8922"/>
      <c r="BD1663" s="8928"/>
      <c r="BF1663" s="14439"/>
      <c r="BG1663" s="14439"/>
      <c r="BH1663" s="14439"/>
      <c r="BI1663" s="14439"/>
      <c r="BJ1663" s="14439"/>
      <c r="BK1663" s="8932"/>
      <c r="BL1663" s="14439"/>
      <c r="BM1663" s="14439"/>
      <c r="BN1663" s="14439"/>
    </row>
    <row r="1664" spans="1:66" ht="19.5" hidden="1" customHeight="1">
      <c r="A1664" s="13648"/>
      <c r="B1664" s="13884"/>
      <c r="C1664" s="13588"/>
      <c r="D1664" s="11915" t="s">
        <v>10290</v>
      </c>
      <c r="E1664" s="14380"/>
      <c r="F1664" s="14380"/>
      <c r="G1664" s="13930"/>
      <c r="H1664" s="13395"/>
      <c r="I1664" s="13975"/>
      <c r="K1664" s="8919"/>
      <c r="L1664" s="8920"/>
      <c r="M1664" s="8920"/>
      <c r="N1664" s="8921"/>
      <c r="O1664" s="8921"/>
      <c r="P1664" s="8922"/>
      <c r="Q1664" s="8923"/>
      <c r="R1664" s="8924"/>
      <c r="S1664" s="8925"/>
      <c r="T1664" s="8926"/>
      <c r="U1664" s="8923"/>
      <c r="V1664" s="8924"/>
      <c r="W1664" s="8926"/>
      <c r="X1664" s="8924"/>
      <c r="Y1664" s="8926"/>
      <c r="Z1664" s="8924"/>
      <c r="AA1664" s="8925"/>
      <c r="AB1664" s="8925"/>
      <c r="AC1664" s="8925"/>
      <c r="AD1664" s="8925"/>
      <c r="AE1664" s="8925"/>
      <c r="AF1664" s="8926"/>
      <c r="AG1664" s="8924"/>
      <c r="AH1664" s="8925"/>
      <c r="AI1664" s="8925"/>
      <c r="AJ1664" s="8925"/>
      <c r="AK1664" s="8925"/>
      <c r="AL1664" s="8925"/>
      <c r="AM1664" s="8925"/>
      <c r="AN1664" s="8926"/>
      <c r="AO1664" s="8924"/>
      <c r="AP1664" s="8925"/>
      <c r="AQ1664" s="8925"/>
      <c r="AR1664" s="8925"/>
      <c r="AS1664" s="8925"/>
      <c r="AT1664" s="8926"/>
      <c r="AU1664" s="8927"/>
      <c r="AV1664" s="8927"/>
      <c r="AW1664" s="8927"/>
      <c r="AX1664" s="8919"/>
      <c r="AY1664" s="8922"/>
      <c r="AZ1664" s="8927"/>
      <c r="BA1664" s="8919"/>
      <c r="BB1664" s="8921"/>
      <c r="BC1664" s="8922"/>
      <c r="BD1664" s="8928"/>
      <c r="BF1664" s="14439"/>
      <c r="BG1664" s="14439"/>
      <c r="BH1664" s="14439"/>
      <c r="BI1664" s="14439"/>
      <c r="BJ1664" s="14439"/>
      <c r="BK1664" s="8932"/>
      <c r="BL1664" s="14439"/>
      <c r="BM1664" s="14439"/>
      <c r="BN1664" s="14439"/>
    </row>
    <row r="1665" spans="1:66" ht="19.5" hidden="1" customHeight="1">
      <c r="A1665" s="13648"/>
      <c r="B1665" s="13884"/>
      <c r="C1665" s="13588"/>
      <c r="D1665" s="11915" t="s">
        <v>10066</v>
      </c>
      <c r="E1665" s="14380"/>
      <c r="F1665" s="14380"/>
      <c r="G1665" s="13930"/>
      <c r="H1665" s="13395"/>
      <c r="I1665" s="13975"/>
      <c r="K1665" s="8919"/>
      <c r="L1665" s="8920"/>
      <c r="M1665" s="8920"/>
      <c r="N1665" s="8921"/>
      <c r="O1665" s="8921"/>
      <c r="P1665" s="8922"/>
      <c r="Q1665" s="8923"/>
      <c r="R1665" s="8924"/>
      <c r="S1665" s="8925"/>
      <c r="T1665" s="8926"/>
      <c r="U1665" s="8923"/>
      <c r="V1665" s="8924"/>
      <c r="W1665" s="8926"/>
      <c r="X1665" s="8924"/>
      <c r="Y1665" s="8926"/>
      <c r="Z1665" s="8924"/>
      <c r="AA1665" s="8925"/>
      <c r="AB1665" s="8925"/>
      <c r="AC1665" s="8925"/>
      <c r="AD1665" s="8925"/>
      <c r="AE1665" s="8925"/>
      <c r="AF1665" s="8926"/>
      <c r="AG1665" s="8924"/>
      <c r="AH1665" s="8925"/>
      <c r="AI1665" s="8925"/>
      <c r="AJ1665" s="8925"/>
      <c r="AK1665" s="8925"/>
      <c r="AL1665" s="8925"/>
      <c r="AM1665" s="8925"/>
      <c r="AN1665" s="8926"/>
      <c r="AO1665" s="8924"/>
      <c r="AP1665" s="8925"/>
      <c r="AQ1665" s="8925"/>
      <c r="AR1665" s="8925"/>
      <c r="AS1665" s="8925"/>
      <c r="AT1665" s="8926"/>
      <c r="AU1665" s="8927"/>
      <c r="AV1665" s="8927"/>
      <c r="AW1665" s="8927"/>
      <c r="AX1665" s="8919"/>
      <c r="AY1665" s="8922"/>
      <c r="AZ1665" s="8927"/>
      <c r="BA1665" s="8919"/>
      <c r="BB1665" s="8921"/>
      <c r="BC1665" s="8922"/>
      <c r="BD1665" s="8928"/>
      <c r="BF1665" s="14439"/>
      <c r="BG1665" s="14439"/>
      <c r="BH1665" s="14439"/>
      <c r="BI1665" s="14439"/>
      <c r="BJ1665" s="14439"/>
      <c r="BK1665" s="8932"/>
      <c r="BL1665" s="14439"/>
      <c r="BM1665" s="14439"/>
      <c r="BN1665" s="14439"/>
    </row>
    <row r="1666" spans="1:66" ht="19.5" hidden="1" customHeight="1">
      <c r="A1666" s="13648">
        <v>1008</v>
      </c>
      <c r="B1666" s="13884" t="s">
        <v>8368</v>
      </c>
      <c r="C1666" s="13588"/>
      <c r="D1666" s="11915" t="s">
        <v>10290</v>
      </c>
      <c r="E1666" s="7822" t="s">
        <v>6886</v>
      </c>
      <c r="F1666" s="7822"/>
      <c r="G1666" s="13930" t="s">
        <v>7503</v>
      </c>
      <c r="H1666" s="13395" t="s">
        <v>7504</v>
      </c>
      <c r="I1666" s="13975">
        <v>0</v>
      </c>
      <c r="K1666" s="8919"/>
      <c r="L1666" s="8920"/>
      <c r="M1666" s="8920"/>
      <c r="N1666" s="8921"/>
      <c r="O1666" s="8921"/>
      <c r="P1666" s="8922"/>
      <c r="Q1666" s="8923"/>
      <c r="R1666" s="8924"/>
      <c r="S1666" s="8925"/>
      <c r="T1666" s="8926"/>
      <c r="U1666" s="8923"/>
      <c r="V1666" s="8924"/>
      <c r="W1666" s="8926"/>
      <c r="X1666" s="8924"/>
      <c r="Y1666" s="8926"/>
      <c r="Z1666" s="8924"/>
      <c r="AA1666" s="8925"/>
      <c r="AB1666" s="8925"/>
      <c r="AC1666" s="8925"/>
      <c r="AD1666" s="8925"/>
      <c r="AE1666" s="8925"/>
      <c r="AF1666" s="8926"/>
      <c r="AG1666" s="8924"/>
      <c r="AH1666" s="8925"/>
      <c r="AI1666" s="8925"/>
      <c r="AJ1666" s="8925"/>
      <c r="AK1666" s="8925"/>
      <c r="AL1666" s="8925"/>
      <c r="AM1666" s="8925"/>
      <c r="AN1666" s="8926"/>
      <c r="AO1666" s="8924"/>
      <c r="AP1666" s="8925"/>
      <c r="AQ1666" s="8925"/>
      <c r="AR1666" s="8925"/>
      <c r="AS1666" s="8925"/>
      <c r="AT1666" s="8926"/>
      <c r="AU1666" s="8927"/>
      <c r="AV1666" s="8927"/>
      <c r="AW1666" s="8927"/>
      <c r="AX1666" s="8919"/>
      <c r="AY1666" s="8922"/>
      <c r="AZ1666" s="8927"/>
      <c r="BA1666" s="8919"/>
      <c r="BB1666" s="8921"/>
      <c r="BC1666" s="8922"/>
      <c r="BD1666" s="8928"/>
      <c r="BF1666" s="14439"/>
      <c r="BG1666" s="14439"/>
      <c r="BH1666" s="14439"/>
      <c r="BI1666" s="14439"/>
      <c r="BJ1666" s="14439"/>
      <c r="BK1666" s="8932"/>
      <c r="BL1666" s="14439"/>
      <c r="BM1666" s="14439"/>
      <c r="BN1666" s="14439"/>
    </row>
    <row r="1667" spans="1:66" ht="19.5" hidden="1" customHeight="1">
      <c r="A1667" s="13648"/>
      <c r="B1667" s="13884"/>
      <c r="C1667" s="13588"/>
      <c r="D1667" s="11915" t="s">
        <v>10194</v>
      </c>
      <c r="E1667" s="12520"/>
      <c r="F1667" s="7822" t="s">
        <v>6878</v>
      </c>
      <c r="G1667" s="13930"/>
      <c r="H1667" s="13395"/>
      <c r="I1667" s="13975"/>
      <c r="K1667" s="8919"/>
      <c r="L1667" s="8920"/>
      <c r="M1667" s="8920"/>
      <c r="N1667" s="8921"/>
      <c r="O1667" s="8921"/>
      <c r="P1667" s="8922"/>
      <c r="Q1667" s="8923"/>
      <c r="R1667" s="8924"/>
      <c r="S1667" s="8925"/>
      <c r="T1667" s="8926"/>
      <c r="U1667" s="8923"/>
      <c r="V1667" s="8924"/>
      <c r="W1667" s="8926"/>
      <c r="X1667" s="8924"/>
      <c r="Y1667" s="8926"/>
      <c r="Z1667" s="8924"/>
      <c r="AA1667" s="8925"/>
      <c r="AB1667" s="8925"/>
      <c r="AC1667" s="8925"/>
      <c r="AD1667" s="8925"/>
      <c r="AE1667" s="8925"/>
      <c r="AF1667" s="8926"/>
      <c r="AG1667" s="8924"/>
      <c r="AH1667" s="8925"/>
      <c r="AI1667" s="8925"/>
      <c r="AJ1667" s="8925"/>
      <c r="AK1667" s="8925"/>
      <c r="AL1667" s="8925"/>
      <c r="AM1667" s="8925"/>
      <c r="AN1667" s="8926"/>
      <c r="AO1667" s="8924"/>
      <c r="AP1667" s="8925"/>
      <c r="AQ1667" s="8925"/>
      <c r="AR1667" s="8925"/>
      <c r="AS1667" s="8925"/>
      <c r="AT1667" s="8926"/>
      <c r="AU1667" s="8927"/>
      <c r="AV1667" s="8927"/>
      <c r="AW1667" s="8927"/>
      <c r="AX1667" s="8919"/>
      <c r="AY1667" s="8922"/>
      <c r="AZ1667" s="8927"/>
      <c r="BA1667" s="8919"/>
      <c r="BB1667" s="8921"/>
      <c r="BC1667" s="8922"/>
      <c r="BD1667" s="8928"/>
      <c r="BF1667" s="14439"/>
      <c r="BG1667" s="14439"/>
      <c r="BH1667" s="14439"/>
      <c r="BI1667" s="14439"/>
      <c r="BJ1667" s="14439"/>
      <c r="BK1667" s="8932"/>
      <c r="BL1667" s="14439"/>
      <c r="BM1667" s="14439"/>
      <c r="BN1667" s="14439"/>
    </row>
    <row r="1668" spans="1:66" ht="30" hidden="1" customHeight="1">
      <c r="A1668" s="8930">
        <v>1009</v>
      </c>
      <c r="B1668" s="8931" t="s">
        <v>8369</v>
      </c>
      <c r="C1668" s="13588"/>
      <c r="D1668" s="11915" t="s">
        <v>10070</v>
      </c>
      <c r="E1668" s="7822" t="s">
        <v>7509</v>
      </c>
      <c r="F1668" s="7822"/>
      <c r="G1668" s="11917" t="s">
        <v>7506</v>
      </c>
      <c r="H1668" s="11918" t="s">
        <v>7507</v>
      </c>
      <c r="I1668" s="12156">
        <v>1</v>
      </c>
      <c r="K1668" s="8917"/>
      <c r="L1668" s="8933"/>
      <c r="M1668" s="8933"/>
      <c r="N1668" s="8934"/>
      <c r="O1668" s="8934"/>
      <c r="P1668" s="8935"/>
      <c r="Q1668" s="8936"/>
      <c r="R1668" s="8937"/>
      <c r="S1668" s="8938"/>
      <c r="T1668" s="8939"/>
      <c r="U1668" s="8936"/>
      <c r="V1668" s="8937"/>
      <c r="W1668" s="8939"/>
      <c r="X1668" s="8937"/>
      <c r="Y1668" s="8939"/>
      <c r="Z1668" s="8937"/>
      <c r="AA1668" s="8938"/>
      <c r="AB1668" s="8938"/>
      <c r="AC1668" s="8938"/>
      <c r="AD1668" s="8938"/>
      <c r="AE1668" s="8938"/>
      <c r="AF1668" s="8939"/>
      <c r="AG1668" s="8937"/>
      <c r="AH1668" s="8938"/>
      <c r="AI1668" s="8938"/>
      <c r="AJ1668" s="8938"/>
      <c r="AK1668" s="8938"/>
      <c r="AL1668" s="8938"/>
      <c r="AM1668" s="8938"/>
      <c r="AN1668" s="8939"/>
      <c r="AO1668" s="8937"/>
      <c r="AP1668" s="8938"/>
      <c r="AQ1668" s="8938"/>
      <c r="AR1668" s="8938"/>
      <c r="AS1668" s="8938"/>
      <c r="AT1668" s="8939"/>
      <c r="AU1668" s="8940"/>
      <c r="AV1668" s="8940"/>
      <c r="AW1668" s="8940"/>
      <c r="AX1668" s="8917"/>
      <c r="AY1668" s="8935"/>
      <c r="AZ1668" s="8940"/>
      <c r="BA1668" s="8917"/>
      <c r="BB1668" s="8934"/>
      <c r="BC1668" s="8935"/>
      <c r="BD1668" s="8930"/>
      <c r="BF1668" s="8932"/>
      <c r="BG1668" s="8932"/>
      <c r="BH1668" s="8932"/>
      <c r="BI1668" s="8932"/>
      <c r="BJ1668" s="8932"/>
      <c r="BK1668" s="8932"/>
      <c r="BL1668" s="8932"/>
      <c r="BM1668" s="8932"/>
      <c r="BN1668" s="8932"/>
    </row>
    <row r="1669" spans="1:66" ht="30" hidden="1" customHeight="1">
      <c r="A1669" s="8930">
        <v>1010</v>
      </c>
      <c r="B1669" s="8931" t="s">
        <v>8370</v>
      </c>
      <c r="C1669" s="13588"/>
      <c r="D1669" s="11915" t="s">
        <v>10070</v>
      </c>
      <c r="E1669" s="7822" t="s">
        <v>7509</v>
      </c>
      <c r="F1669" s="7822"/>
      <c r="G1669" s="11917" t="s">
        <v>7512</v>
      </c>
      <c r="H1669" s="11918" t="s">
        <v>7513</v>
      </c>
      <c r="I1669" s="12156">
        <v>0</v>
      </c>
      <c r="K1669" s="8917"/>
      <c r="L1669" s="8933"/>
      <c r="M1669" s="8933"/>
      <c r="N1669" s="8934"/>
      <c r="O1669" s="8934"/>
      <c r="P1669" s="8935"/>
      <c r="Q1669" s="8936"/>
      <c r="R1669" s="8937"/>
      <c r="S1669" s="8938"/>
      <c r="T1669" s="8939"/>
      <c r="U1669" s="8936"/>
      <c r="V1669" s="8937"/>
      <c r="W1669" s="8939"/>
      <c r="X1669" s="8937"/>
      <c r="Y1669" s="8939"/>
      <c r="Z1669" s="8937"/>
      <c r="AA1669" s="8938"/>
      <c r="AB1669" s="8938"/>
      <c r="AC1669" s="8938"/>
      <c r="AD1669" s="8938"/>
      <c r="AE1669" s="8938"/>
      <c r="AF1669" s="8939"/>
      <c r="AG1669" s="8937"/>
      <c r="AH1669" s="8938"/>
      <c r="AI1669" s="8938"/>
      <c r="AJ1669" s="8938"/>
      <c r="AK1669" s="8938"/>
      <c r="AL1669" s="8938"/>
      <c r="AM1669" s="8938"/>
      <c r="AN1669" s="8939"/>
      <c r="AO1669" s="8937"/>
      <c r="AP1669" s="8938"/>
      <c r="AQ1669" s="8938"/>
      <c r="AR1669" s="8938"/>
      <c r="AS1669" s="8938"/>
      <c r="AT1669" s="8939"/>
      <c r="AU1669" s="8940"/>
      <c r="AV1669" s="8940"/>
      <c r="AW1669" s="8940"/>
      <c r="AX1669" s="8917"/>
      <c r="AY1669" s="8935"/>
      <c r="AZ1669" s="8940"/>
      <c r="BA1669" s="8917"/>
      <c r="BB1669" s="8934"/>
      <c r="BC1669" s="8935"/>
      <c r="BD1669" s="8930"/>
      <c r="BF1669" s="8932"/>
      <c r="BG1669" s="8932"/>
      <c r="BH1669" s="8932"/>
      <c r="BI1669" s="8932"/>
      <c r="BJ1669" s="8932"/>
      <c r="BK1669" s="8932"/>
      <c r="BL1669" s="8932"/>
      <c r="BM1669" s="8932"/>
      <c r="BN1669" s="8932"/>
    </row>
    <row r="1670" spans="1:66" ht="19.5" hidden="1" customHeight="1">
      <c r="A1670" s="13648">
        <v>1011</v>
      </c>
      <c r="B1670" s="13884" t="s">
        <v>8385</v>
      </c>
      <c r="C1670" s="13588"/>
      <c r="D1670" s="11915" t="s">
        <v>10066</v>
      </c>
      <c r="E1670" s="14380" t="s">
        <v>7518</v>
      </c>
      <c r="F1670" s="7822"/>
      <c r="G1670" s="13930" t="s">
        <v>7515</v>
      </c>
      <c r="H1670" s="13395" t="s">
        <v>7516</v>
      </c>
      <c r="I1670" s="13975">
        <v>0</v>
      </c>
      <c r="K1670" s="8919"/>
      <c r="L1670" s="8920"/>
      <c r="M1670" s="8920"/>
      <c r="N1670" s="8921"/>
      <c r="O1670" s="8921"/>
      <c r="P1670" s="8922"/>
      <c r="Q1670" s="8923"/>
      <c r="R1670" s="8924"/>
      <c r="S1670" s="8925"/>
      <c r="T1670" s="8926"/>
      <c r="U1670" s="8923"/>
      <c r="V1670" s="8924"/>
      <c r="W1670" s="8926"/>
      <c r="X1670" s="8924"/>
      <c r="Y1670" s="8926"/>
      <c r="Z1670" s="8924"/>
      <c r="AA1670" s="8925"/>
      <c r="AB1670" s="8925"/>
      <c r="AC1670" s="8925"/>
      <c r="AD1670" s="8925"/>
      <c r="AE1670" s="8925"/>
      <c r="AF1670" s="8926"/>
      <c r="AG1670" s="8924"/>
      <c r="AH1670" s="8925"/>
      <c r="AI1670" s="8925"/>
      <c r="AJ1670" s="8925"/>
      <c r="AK1670" s="8925"/>
      <c r="AL1670" s="8925"/>
      <c r="AM1670" s="8925"/>
      <c r="AN1670" s="8926"/>
      <c r="AO1670" s="8924"/>
      <c r="AP1670" s="8925"/>
      <c r="AQ1670" s="8925"/>
      <c r="AR1670" s="8925"/>
      <c r="AS1670" s="8925"/>
      <c r="AT1670" s="8926"/>
      <c r="AU1670" s="8927"/>
      <c r="AV1670" s="8927"/>
      <c r="AW1670" s="8927"/>
      <c r="AX1670" s="8919"/>
      <c r="AY1670" s="8922"/>
      <c r="AZ1670" s="8927"/>
      <c r="BA1670" s="8919"/>
      <c r="BB1670" s="8921"/>
      <c r="BC1670" s="8922"/>
      <c r="BD1670" s="8928"/>
      <c r="BF1670" s="14439"/>
      <c r="BG1670" s="14439"/>
      <c r="BH1670" s="14439"/>
      <c r="BI1670" s="14439"/>
      <c r="BJ1670" s="14439"/>
      <c r="BK1670" s="8932"/>
      <c r="BL1670" s="14439"/>
      <c r="BM1670" s="14439"/>
      <c r="BN1670" s="14439"/>
    </row>
    <row r="1671" spans="1:66" ht="19.5" hidden="1" customHeight="1">
      <c r="A1671" s="13648"/>
      <c r="B1671" s="13884"/>
      <c r="C1671" s="13588"/>
      <c r="D1671" s="11915" t="s">
        <v>10290</v>
      </c>
      <c r="E1671" s="14380"/>
      <c r="F1671" s="7822"/>
      <c r="G1671" s="13930"/>
      <c r="H1671" s="13395"/>
      <c r="I1671" s="13975"/>
      <c r="K1671" s="8919"/>
      <c r="L1671" s="8920"/>
      <c r="M1671" s="8920"/>
      <c r="N1671" s="8921"/>
      <c r="O1671" s="8921"/>
      <c r="P1671" s="8922"/>
      <c r="Q1671" s="8923"/>
      <c r="R1671" s="8924"/>
      <c r="S1671" s="8925"/>
      <c r="T1671" s="8926"/>
      <c r="U1671" s="8923"/>
      <c r="V1671" s="8924"/>
      <c r="W1671" s="8926"/>
      <c r="X1671" s="8924"/>
      <c r="Y1671" s="8926"/>
      <c r="Z1671" s="8924"/>
      <c r="AA1671" s="8925"/>
      <c r="AB1671" s="8925"/>
      <c r="AC1671" s="8925"/>
      <c r="AD1671" s="8925"/>
      <c r="AE1671" s="8925"/>
      <c r="AF1671" s="8926"/>
      <c r="AG1671" s="8924"/>
      <c r="AH1671" s="8925"/>
      <c r="AI1671" s="8925"/>
      <c r="AJ1671" s="8925"/>
      <c r="AK1671" s="8925"/>
      <c r="AL1671" s="8925"/>
      <c r="AM1671" s="8925"/>
      <c r="AN1671" s="8926"/>
      <c r="AO1671" s="8924"/>
      <c r="AP1671" s="8925"/>
      <c r="AQ1671" s="8925"/>
      <c r="AR1671" s="8925"/>
      <c r="AS1671" s="8925"/>
      <c r="AT1671" s="8926"/>
      <c r="AU1671" s="8927"/>
      <c r="AV1671" s="8927"/>
      <c r="AW1671" s="8927"/>
      <c r="AX1671" s="8919"/>
      <c r="AY1671" s="8922"/>
      <c r="AZ1671" s="8927"/>
      <c r="BA1671" s="8919"/>
      <c r="BB1671" s="8921"/>
      <c r="BC1671" s="8922"/>
      <c r="BD1671" s="8928"/>
      <c r="BF1671" s="14439"/>
      <c r="BG1671" s="14439"/>
      <c r="BH1671" s="14439"/>
      <c r="BI1671" s="14439"/>
      <c r="BJ1671" s="14439"/>
      <c r="BK1671" s="8932"/>
      <c r="BL1671" s="14439"/>
      <c r="BM1671" s="14439"/>
      <c r="BN1671" s="14439"/>
    </row>
    <row r="1672" spans="1:66" ht="19.5" hidden="1" customHeight="1">
      <c r="A1672" s="13648"/>
      <c r="B1672" s="13884"/>
      <c r="C1672" s="13588"/>
      <c r="D1672" s="11915" t="s">
        <v>10070</v>
      </c>
      <c r="E1672" s="14380"/>
      <c r="F1672" s="7822"/>
      <c r="G1672" s="13930"/>
      <c r="H1672" s="13395"/>
      <c r="I1672" s="13975"/>
      <c r="K1672" s="8919"/>
      <c r="L1672" s="8920"/>
      <c r="M1672" s="8920"/>
      <c r="N1672" s="8921"/>
      <c r="O1672" s="8921"/>
      <c r="P1672" s="8922"/>
      <c r="Q1672" s="8923"/>
      <c r="R1672" s="8924"/>
      <c r="S1672" s="8925"/>
      <c r="T1672" s="8926"/>
      <c r="U1672" s="8923"/>
      <c r="V1672" s="8924"/>
      <c r="W1672" s="8926"/>
      <c r="X1672" s="8924"/>
      <c r="Y1672" s="8926"/>
      <c r="Z1672" s="8924"/>
      <c r="AA1672" s="8925"/>
      <c r="AB1672" s="8925"/>
      <c r="AC1672" s="8925"/>
      <c r="AD1672" s="8925"/>
      <c r="AE1672" s="8925"/>
      <c r="AF1672" s="8926"/>
      <c r="AG1672" s="8924"/>
      <c r="AH1672" s="8925"/>
      <c r="AI1672" s="8925"/>
      <c r="AJ1672" s="8925"/>
      <c r="AK1672" s="8925"/>
      <c r="AL1672" s="8925"/>
      <c r="AM1672" s="8925"/>
      <c r="AN1672" s="8926"/>
      <c r="AO1672" s="8924"/>
      <c r="AP1672" s="8925"/>
      <c r="AQ1672" s="8925"/>
      <c r="AR1672" s="8925"/>
      <c r="AS1672" s="8925"/>
      <c r="AT1672" s="8926"/>
      <c r="AU1672" s="8927"/>
      <c r="AV1672" s="8927"/>
      <c r="AW1672" s="8927"/>
      <c r="AX1672" s="8919"/>
      <c r="AY1672" s="8922"/>
      <c r="AZ1672" s="8927"/>
      <c r="BA1672" s="8919"/>
      <c r="BB1672" s="8921"/>
      <c r="BC1672" s="8922"/>
      <c r="BD1672" s="8928"/>
      <c r="BF1672" s="14439"/>
      <c r="BG1672" s="14439"/>
      <c r="BH1672" s="14439"/>
      <c r="BI1672" s="14439"/>
      <c r="BJ1672" s="14439"/>
      <c r="BK1672" s="8932"/>
      <c r="BL1672" s="14439"/>
      <c r="BM1672" s="14439"/>
      <c r="BN1672" s="14439"/>
    </row>
    <row r="1673" spans="1:66" ht="30" hidden="1" customHeight="1">
      <c r="A1673" s="8566">
        <v>1012</v>
      </c>
      <c r="B1673" s="8567" t="s">
        <v>8386</v>
      </c>
      <c r="C1673" s="13588"/>
      <c r="D1673" s="11915" t="s">
        <v>10066</v>
      </c>
      <c r="E1673" s="7822" t="s">
        <v>6787</v>
      </c>
      <c r="F1673" s="7822"/>
      <c r="G1673" s="11812" t="s">
        <v>7519</v>
      </c>
      <c r="H1673" s="11815" t="s">
        <v>7520</v>
      </c>
      <c r="I1673" s="12156">
        <v>1</v>
      </c>
      <c r="K1673" s="8917"/>
      <c r="L1673" s="8933"/>
      <c r="M1673" s="8933"/>
      <c r="N1673" s="8934"/>
      <c r="O1673" s="8934"/>
      <c r="P1673" s="8935"/>
      <c r="Q1673" s="8936"/>
      <c r="R1673" s="8937"/>
      <c r="S1673" s="8938"/>
      <c r="T1673" s="8939"/>
      <c r="U1673" s="8936"/>
      <c r="V1673" s="8937"/>
      <c r="W1673" s="8939"/>
      <c r="X1673" s="8937"/>
      <c r="Y1673" s="8939"/>
      <c r="Z1673" s="8937"/>
      <c r="AA1673" s="8938"/>
      <c r="AB1673" s="8938"/>
      <c r="AC1673" s="8938"/>
      <c r="AD1673" s="8938"/>
      <c r="AE1673" s="8938"/>
      <c r="AF1673" s="8939"/>
      <c r="AG1673" s="8937"/>
      <c r="AH1673" s="8938"/>
      <c r="AI1673" s="8938"/>
      <c r="AJ1673" s="8938"/>
      <c r="AK1673" s="8938"/>
      <c r="AL1673" s="8938"/>
      <c r="AM1673" s="8938"/>
      <c r="AN1673" s="8939"/>
      <c r="AO1673" s="8937"/>
      <c r="AP1673" s="8938"/>
      <c r="AQ1673" s="8938"/>
      <c r="AR1673" s="8938"/>
      <c r="AS1673" s="8938"/>
      <c r="AT1673" s="8939"/>
      <c r="AU1673" s="8940"/>
      <c r="AV1673" s="8940"/>
      <c r="AW1673" s="8940"/>
      <c r="AX1673" s="8917"/>
      <c r="AY1673" s="8935"/>
      <c r="AZ1673" s="8940"/>
      <c r="BA1673" s="8917"/>
      <c r="BB1673" s="8934"/>
      <c r="BC1673" s="8935"/>
      <c r="BD1673" s="8930"/>
      <c r="BF1673" s="8549"/>
      <c r="BG1673" s="8549"/>
      <c r="BH1673" s="8549"/>
      <c r="BI1673" s="8549"/>
      <c r="BJ1673" s="8549"/>
      <c r="BK1673" s="8549"/>
      <c r="BL1673" s="8549"/>
      <c r="BM1673" s="8549"/>
      <c r="BN1673" s="8549"/>
    </row>
    <row r="1674" spans="1:66" ht="30" hidden="1" customHeight="1">
      <c r="A1674" s="13557">
        <v>1013</v>
      </c>
      <c r="B1674" s="13908" t="s">
        <v>8387</v>
      </c>
      <c r="C1674" s="13588"/>
      <c r="D1674" s="11915" t="s">
        <v>10057</v>
      </c>
      <c r="E1674" s="14380" t="s">
        <v>7525</v>
      </c>
      <c r="F1674" s="7822"/>
      <c r="G1674" s="13909" t="s">
        <v>7523</v>
      </c>
      <c r="H1674" s="13387" t="s">
        <v>7466</v>
      </c>
      <c r="I1674" s="13944">
        <v>1</v>
      </c>
      <c r="K1674" s="8561"/>
      <c r="L1674" s="7679"/>
      <c r="M1674" s="7679"/>
      <c r="N1674" s="8562"/>
      <c r="O1674" s="8562"/>
      <c r="P1674" s="8563"/>
      <c r="Q1674" s="7687"/>
      <c r="R1674" s="7686"/>
      <c r="S1674" s="7680"/>
      <c r="T1674" s="7688"/>
      <c r="U1674" s="7687"/>
      <c r="V1674" s="7686"/>
      <c r="W1674" s="7688"/>
      <c r="X1674" s="7686"/>
      <c r="Y1674" s="7688"/>
      <c r="Z1674" s="7686"/>
      <c r="AA1674" s="7680"/>
      <c r="AB1674" s="7680"/>
      <c r="AC1674" s="7680"/>
      <c r="AD1674" s="7680"/>
      <c r="AE1674" s="7680"/>
      <c r="AF1674" s="7688"/>
      <c r="AG1674" s="7686"/>
      <c r="AH1674" s="7680"/>
      <c r="AI1674" s="7680"/>
      <c r="AJ1674" s="7680"/>
      <c r="AK1674" s="7680"/>
      <c r="AL1674" s="7680"/>
      <c r="AM1674" s="7680"/>
      <c r="AN1674" s="7688"/>
      <c r="AO1674" s="7686"/>
      <c r="AP1674" s="7680"/>
      <c r="AQ1674" s="7680"/>
      <c r="AR1674" s="7680"/>
      <c r="AS1674" s="7680"/>
      <c r="AT1674" s="7688"/>
      <c r="AU1674" s="8564"/>
      <c r="AV1674" s="8564"/>
      <c r="AW1674" s="8564"/>
      <c r="AX1674" s="8561"/>
      <c r="AY1674" s="8563"/>
      <c r="AZ1674" s="8564"/>
      <c r="BA1674" s="8561"/>
      <c r="BB1674" s="8562"/>
      <c r="BC1674" s="8563"/>
      <c r="BD1674" s="8565"/>
      <c r="BF1674" s="14432"/>
      <c r="BG1674" s="14432"/>
      <c r="BH1674" s="14432"/>
      <c r="BI1674" s="14432"/>
      <c r="BJ1674" s="14432"/>
      <c r="BK1674" s="8549"/>
      <c r="BL1674" s="14432"/>
      <c r="BM1674" s="14432"/>
      <c r="BN1674" s="14432"/>
    </row>
    <row r="1675" spans="1:66" ht="30" hidden="1" customHeight="1">
      <c r="A1675" s="13557"/>
      <c r="B1675" s="13908"/>
      <c r="C1675" s="13588"/>
      <c r="D1675" s="11915" t="s">
        <v>10238</v>
      </c>
      <c r="E1675" s="14380"/>
      <c r="F1675" s="7822"/>
      <c r="G1675" s="13909"/>
      <c r="H1675" s="13387"/>
      <c r="I1675" s="13944"/>
      <c r="K1675" s="8561"/>
      <c r="L1675" s="7679"/>
      <c r="M1675" s="7679"/>
      <c r="N1675" s="8562"/>
      <c r="O1675" s="8562"/>
      <c r="P1675" s="8563"/>
      <c r="Q1675" s="7687"/>
      <c r="R1675" s="7686"/>
      <c r="S1675" s="7680"/>
      <c r="T1675" s="7688"/>
      <c r="U1675" s="7687"/>
      <c r="V1675" s="7686"/>
      <c r="W1675" s="7688"/>
      <c r="X1675" s="7686"/>
      <c r="Y1675" s="7688"/>
      <c r="Z1675" s="7686"/>
      <c r="AA1675" s="7680"/>
      <c r="AB1675" s="7680"/>
      <c r="AC1675" s="7680"/>
      <c r="AD1675" s="7680"/>
      <c r="AE1675" s="7680"/>
      <c r="AF1675" s="7688"/>
      <c r="AG1675" s="7686"/>
      <c r="AH1675" s="7680"/>
      <c r="AI1675" s="7680"/>
      <c r="AJ1675" s="7680"/>
      <c r="AK1675" s="7680"/>
      <c r="AL1675" s="7680"/>
      <c r="AM1675" s="7680"/>
      <c r="AN1675" s="7688"/>
      <c r="AO1675" s="7686"/>
      <c r="AP1675" s="7680"/>
      <c r="AQ1675" s="7680"/>
      <c r="AR1675" s="7680"/>
      <c r="AS1675" s="7680"/>
      <c r="AT1675" s="7688"/>
      <c r="AU1675" s="8564"/>
      <c r="AV1675" s="8564"/>
      <c r="AW1675" s="8564"/>
      <c r="AX1675" s="8561"/>
      <c r="AY1675" s="8563"/>
      <c r="AZ1675" s="8564"/>
      <c r="BA1675" s="8561"/>
      <c r="BB1675" s="8562"/>
      <c r="BC1675" s="8563"/>
      <c r="BD1675" s="8565"/>
      <c r="BF1675" s="14432"/>
      <c r="BG1675" s="14432"/>
      <c r="BH1675" s="14432"/>
      <c r="BI1675" s="14432"/>
      <c r="BJ1675" s="14432"/>
      <c r="BK1675" s="8549"/>
      <c r="BL1675" s="14432"/>
      <c r="BM1675" s="14432"/>
      <c r="BN1675" s="14432"/>
    </row>
    <row r="1676" spans="1:66" ht="30" hidden="1" customHeight="1">
      <c r="A1676" s="13557"/>
      <c r="B1676" s="13908"/>
      <c r="C1676" s="13588"/>
      <c r="D1676" s="11915" t="s">
        <v>10290</v>
      </c>
      <c r="E1676" s="14380"/>
      <c r="F1676" s="7822"/>
      <c r="G1676" s="13909"/>
      <c r="H1676" s="13387"/>
      <c r="I1676" s="13944"/>
      <c r="K1676" s="8561"/>
      <c r="L1676" s="7679"/>
      <c r="M1676" s="7679"/>
      <c r="N1676" s="8562"/>
      <c r="O1676" s="8562"/>
      <c r="P1676" s="8563"/>
      <c r="Q1676" s="7687"/>
      <c r="R1676" s="7686"/>
      <c r="S1676" s="7680"/>
      <c r="T1676" s="7688"/>
      <c r="U1676" s="7687"/>
      <c r="V1676" s="7686"/>
      <c r="W1676" s="7688"/>
      <c r="X1676" s="7686"/>
      <c r="Y1676" s="7688"/>
      <c r="Z1676" s="7686"/>
      <c r="AA1676" s="7680"/>
      <c r="AB1676" s="7680"/>
      <c r="AC1676" s="7680"/>
      <c r="AD1676" s="7680"/>
      <c r="AE1676" s="7680"/>
      <c r="AF1676" s="7688"/>
      <c r="AG1676" s="7686"/>
      <c r="AH1676" s="7680"/>
      <c r="AI1676" s="7680"/>
      <c r="AJ1676" s="7680"/>
      <c r="AK1676" s="7680"/>
      <c r="AL1676" s="7680"/>
      <c r="AM1676" s="7680"/>
      <c r="AN1676" s="7688"/>
      <c r="AO1676" s="7686"/>
      <c r="AP1676" s="7680"/>
      <c r="AQ1676" s="7680"/>
      <c r="AR1676" s="7680"/>
      <c r="AS1676" s="7680"/>
      <c r="AT1676" s="7688"/>
      <c r="AU1676" s="8564"/>
      <c r="AV1676" s="8564"/>
      <c r="AW1676" s="8564"/>
      <c r="AX1676" s="8561"/>
      <c r="AY1676" s="8563"/>
      <c r="AZ1676" s="8564"/>
      <c r="BA1676" s="8561"/>
      <c r="BB1676" s="8562"/>
      <c r="BC1676" s="8563"/>
      <c r="BD1676" s="8565"/>
      <c r="BF1676" s="14432"/>
      <c r="BG1676" s="14432"/>
      <c r="BH1676" s="14432"/>
      <c r="BI1676" s="14432"/>
      <c r="BJ1676" s="14432"/>
      <c r="BK1676" s="8549"/>
      <c r="BL1676" s="14432"/>
      <c r="BM1676" s="14432"/>
      <c r="BN1676" s="14432"/>
    </row>
    <row r="1677" spans="1:66" ht="30" hidden="1" customHeight="1">
      <c r="A1677" s="13557">
        <v>1014</v>
      </c>
      <c r="B1677" s="13908" t="s">
        <v>8388</v>
      </c>
      <c r="C1677" s="13588"/>
      <c r="D1677" s="11915" t="s">
        <v>10057</v>
      </c>
      <c r="E1677" s="14380" t="s">
        <v>7528</v>
      </c>
      <c r="F1677" s="7822"/>
      <c r="G1677" s="13909" t="s">
        <v>7526</v>
      </c>
      <c r="H1677" s="13387" t="s">
        <v>7527</v>
      </c>
      <c r="I1677" s="13944">
        <v>1</v>
      </c>
      <c r="K1677" s="8561"/>
      <c r="L1677" s="7679"/>
      <c r="M1677" s="7679"/>
      <c r="N1677" s="8562"/>
      <c r="O1677" s="8562"/>
      <c r="P1677" s="8563"/>
      <c r="Q1677" s="7687"/>
      <c r="R1677" s="7686"/>
      <c r="S1677" s="7680"/>
      <c r="T1677" s="7688"/>
      <c r="U1677" s="7687"/>
      <c r="V1677" s="7686"/>
      <c r="W1677" s="7688"/>
      <c r="X1677" s="7686"/>
      <c r="Y1677" s="7688"/>
      <c r="Z1677" s="7686"/>
      <c r="AA1677" s="7680"/>
      <c r="AB1677" s="7680"/>
      <c r="AC1677" s="7680"/>
      <c r="AD1677" s="7680"/>
      <c r="AE1677" s="7680"/>
      <c r="AF1677" s="7688"/>
      <c r="AG1677" s="7686"/>
      <c r="AH1677" s="7680"/>
      <c r="AI1677" s="7680"/>
      <c r="AJ1677" s="7680"/>
      <c r="AK1677" s="7680"/>
      <c r="AL1677" s="7680"/>
      <c r="AM1677" s="7680"/>
      <c r="AN1677" s="7688"/>
      <c r="AO1677" s="7686"/>
      <c r="AP1677" s="7680"/>
      <c r="AQ1677" s="7680"/>
      <c r="AR1677" s="7680"/>
      <c r="AS1677" s="7680"/>
      <c r="AT1677" s="7688"/>
      <c r="AU1677" s="8564"/>
      <c r="AV1677" s="8564"/>
      <c r="AW1677" s="8564"/>
      <c r="AX1677" s="8561"/>
      <c r="AY1677" s="8563"/>
      <c r="AZ1677" s="8564"/>
      <c r="BA1677" s="8561"/>
      <c r="BB1677" s="8562"/>
      <c r="BC1677" s="8563"/>
      <c r="BD1677" s="8565"/>
      <c r="BF1677" s="14432"/>
      <c r="BG1677" s="14432"/>
      <c r="BH1677" s="14432"/>
      <c r="BI1677" s="14432"/>
      <c r="BJ1677" s="14432"/>
      <c r="BK1677" s="8549"/>
      <c r="BL1677" s="14432"/>
      <c r="BM1677" s="14432"/>
      <c r="BN1677" s="14432"/>
    </row>
    <row r="1678" spans="1:66" ht="30" hidden="1" customHeight="1">
      <c r="A1678" s="13557"/>
      <c r="B1678" s="13908"/>
      <c r="C1678" s="13588"/>
      <c r="D1678" s="11915" t="s">
        <v>10238</v>
      </c>
      <c r="E1678" s="14380"/>
      <c r="F1678" s="12520"/>
      <c r="G1678" s="13909"/>
      <c r="H1678" s="13387"/>
      <c r="I1678" s="13944"/>
      <c r="K1678" s="8561"/>
      <c r="L1678" s="7679"/>
      <c r="M1678" s="7679"/>
      <c r="N1678" s="8562"/>
      <c r="O1678" s="8562"/>
      <c r="P1678" s="8563"/>
      <c r="Q1678" s="7687"/>
      <c r="R1678" s="7686"/>
      <c r="S1678" s="7680"/>
      <c r="T1678" s="7688"/>
      <c r="U1678" s="7687"/>
      <c r="V1678" s="7686"/>
      <c r="W1678" s="7688"/>
      <c r="X1678" s="7686"/>
      <c r="Y1678" s="7688"/>
      <c r="Z1678" s="7686"/>
      <c r="AA1678" s="7680"/>
      <c r="AB1678" s="7680"/>
      <c r="AC1678" s="7680"/>
      <c r="AD1678" s="7680"/>
      <c r="AE1678" s="7680"/>
      <c r="AF1678" s="7688"/>
      <c r="AG1678" s="7686"/>
      <c r="AH1678" s="7680"/>
      <c r="AI1678" s="7680"/>
      <c r="AJ1678" s="7680"/>
      <c r="AK1678" s="7680"/>
      <c r="AL1678" s="7680"/>
      <c r="AM1678" s="7680"/>
      <c r="AN1678" s="7688"/>
      <c r="AO1678" s="7686"/>
      <c r="AP1678" s="7680"/>
      <c r="AQ1678" s="7680"/>
      <c r="AR1678" s="7680"/>
      <c r="AS1678" s="7680"/>
      <c r="AT1678" s="7688"/>
      <c r="AU1678" s="8564"/>
      <c r="AV1678" s="8564"/>
      <c r="AW1678" s="8564"/>
      <c r="AX1678" s="8561"/>
      <c r="AY1678" s="8563"/>
      <c r="AZ1678" s="8564"/>
      <c r="BA1678" s="8561"/>
      <c r="BB1678" s="8562"/>
      <c r="BC1678" s="8563"/>
      <c r="BD1678" s="8565"/>
      <c r="BF1678" s="14432"/>
      <c r="BG1678" s="14432"/>
      <c r="BH1678" s="14432"/>
      <c r="BI1678" s="14432"/>
      <c r="BJ1678" s="14432"/>
      <c r="BK1678" s="8549"/>
      <c r="BL1678" s="14432"/>
      <c r="BM1678" s="14432"/>
      <c r="BN1678" s="14432"/>
    </row>
    <row r="1679" spans="1:66" ht="30" hidden="1" customHeight="1" thickBot="1">
      <c r="A1679" s="13649"/>
      <c r="B1679" s="13910"/>
      <c r="C1679" s="13590"/>
      <c r="D1679" s="12157" t="s">
        <v>10290</v>
      </c>
      <c r="E1679" s="14381"/>
      <c r="F1679" s="12643"/>
      <c r="G1679" s="14388"/>
      <c r="H1679" s="13396"/>
      <c r="I1679" s="14205"/>
      <c r="K1679" s="8577"/>
      <c r="L1679" s="7701"/>
      <c r="M1679" s="7701"/>
      <c r="N1679" s="8578"/>
      <c r="O1679" s="8578"/>
      <c r="P1679" s="8579"/>
      <c r="Q1679" s="7704"/>
      <c r="R1679" s="7705"/>
      <c r="S1679" s="7706"/>
      <c r="T1679" s="7707"/>
      <c r="U1679" s="7704"/>
      <c r="V1679" s="7705"/>
      <c r="W1679" s="7707"/>
      <c r="X1679" s="7705"/>
      <c r="Y1679" s="7707"/>
      <c r="Z1679" s="7705"/>
      <c r="AA1679" s="7706"/>
      <c r="AB1679" s="7706"/>
      <c r="AC1679" s="7706"/>
      <c r="AD1679" s="7706"/>
      <c r="AE1679" s="7706"/>
      <c r="AF1679" s="7707"/>
      <c r="AG1679" s="7705"/>
      <c r="AH1679" s="7706"/>
      <c r="AI1679" s="7706"/>
      <c r="AJ1679" s="7706"/>
      <c r="AK1679" s="7706"/>
      <c r="AL1679" s="7706"/>
      <c r="AM1679" s="7706"/>
      <c r="AN1679" s="7707"/>
      <c r="AO1679" s="7705"/>
      <c r="AP1679" s="7706"/>
      <c r="AQ1679" s="7706"/>
      <c r="AR1679" s="7706"/>
      <c r="AS1679" s="7706"/>
      <c r="AT1679" s="7707"/>
      <c r="AU1679" s="8580"/>
      <c r="AV1679" s="8580"/>
      <c r="AW1679" s="8580"/>
      <c r="AX1679" s="8577"/>
      <c r="AY1679" s="8579"/>
      <c r="AZ1679" s="8580"/>
      <c r="BA1679" s="8577"/>
      <c r="BB1679" s="8578"/>
      <c r="BC1679" s="8579"/>
      <c r="BD1679" s="8581"/>
      <c r="BF1679" s="14569"/>
      <c r="BG1679" s="14569"/>
      <c r="BH1679" s="14569"/>
      <c r="BI1679" s="14569"/>
      <c r="BJ1679" s="14569"/>
      <c r="BK1679" s="10482"/>
      <c r="BL1679" s="14569"/>
      <c r="BM1679" s="14569"/>
      <c r="BN1679" s="14569"/>
    </row>
    <row r="1680" spans="1:66" ht="30" hidden="1" customHeight="1">
      <c r="A1680" s="13650">
        <v>1015</v>
      </c>
      <c r="B1680" s="14188" t="s">
        <v>8390</v>
      </c>
      <c r="C1680" s="13615" t="s">
        <v>10349</v>
      </c>
      <c r="D1680" s="12644" t="s">
        <v>86</v>
      </c>
      <c r="E1680" s="12645" t="s">
        <v>6996</v>
      </c>
      <c r="F1680" s="12645"/>
      <c r="G1680" s="14392" t="s">
        <v>6991</v>
      </c>
      <c r="H1680" s="13397" t="s">
        <v>6994</v>
      </c>
      <c r="I1680" s="12646">
        <v>1</v>
      </c>
      <c r="K1680" s="13260" t="s">
        <v>1732</v>
      </c>
      <c r="L1680" s="12925"/>
      <c r="M1680" s="12806"/>
      <c r="N1680" s="12807"/>
      <c r="O1680" s="12807"/>
      <c r="P1680" s="12808" t="s">
        <v>10607</v>
      </c>
      <c r="Q1680" s="12808"/>
      <c r="R1680" s="12808"/>
      <c r="S1680" s="12808"/>
      <c r="T1680" s="12808"/>
      <c r="U1680" s="12808"/>
      <c r="V1680" s="12808"/>
      <c r="W1680" s="12808"/>
      <c r="X1680" s="12808"/>
      <c r="Y1680" s="12808"/>
      <c r="Z1680" s="12808"/>
      <c r="AA1680" s="12808"/>
      <c r="AB1680" s="12808"/>
      <c r="AC1680" s="12808"/>
      <c r="AD1680" s="12808"/>
      <c r="AE1680" s="12808"/>
      <c r="AF1680" s="12808"/>
      <c r="AG1680" s="12808"/>
      <c r="AH1680" s="12808"/>
      <c r="AI1680" s="12808"/>
      <c r="AJ1680" s="12808"/>
      <c r="AK1680" s="12808"/>
      <c r="AL1680" s="12808"/>
      <c r="AM1680" s="12808"/>
      <c r="AN1680" s="12808"/>
      <c r="AO1680" s="12808"/>
      <c r="AP1680" s="12808"/>
      <c r="AQ1680" s="12808"/>
      <c r="AR1680" s="12808"/>
      <c r="AS1680" s="12808"/>
      <c r="AT1680" s="12807"/>
      <c r="AU1680" s="12807"/>
      <c r="AV1680" s="12807"/>
      <c r="AW1680" s="12807"/>
      <c r="AX1680" s="12807"/>
      <c r="AY1680" s="12807"/>
      <c r="AZ1680" s="12807"/>
      <c r="BA1680" s="12807"/>
      <c r="BB1680" s="12807"/>
      <c r="BC1680" s="12807"/>
      <c r="BD1680" s="11305"/>
      <c r="BF1680" s="14570"/>
      <c r="BG1680" s="14570"/>
      <c r="BH1680" s="14570"/>
      <c r="BI1680" s="14570"/>
      <c r="BJ1680" s="14570"/>
      <c r="BK1680" s="13097"/>
      <c r="BL1680" s="14570"/>
      <c r="BM1680" s="14570"/>
      <c r="BN1680" s="14570"/>
    </row>
    <row r="1681" spans="1:66" ht="30" hidden="1" customHeight="1">
      <c r="A1681" s="13527"/>
      <c r="B1681" s="14127"/>
      <c r="C1681" s="13616"/>
      <c r="D1681" s="12647" t="s">
        <v>10063</v>
      </c>
      <c r="E1681" s="12648"/>
      <c r="F1681" s="12648" t="s">
        <v>6997</v>
      </c>
      <c r="G1681" s="14129"/>
      <c r="H1681" s="13398"/>
      <c r="I1681" s="12649"/>
      <c r="K1681" s="12923" t="s">
        <v>10505</v>
      </c>
      <c r="L1681" s="12806" t="s">
        <v>2951</v>
      </c>
      <c r="M1681" s="12807" t="s">
        <v>10506</v>
      </c>
      <c r="N1681" s="12807" t="s">
        <v>10507</v>
      </c>
      <c r="O1681" s="12806" t="s">
        <v>10506</v>
      </c>
      <c r="P1681" s="12807">
        <v>120000</v>
      </c>
      <c r="Q1681" s="12807">
        <v>120000</v>
      </c>
      <c r="R1681" s="12808"/>
      <c r="S1681" s="12808"/>
      <c r="T1681" s="12808" t="s">
        <v>2951</v>
      </c>
      <c r="U1681" s="12808" t="s">
        <v>2951</v>
      </c>
      <c r="V1681" s="12808" t="s">
        <v>2951</v>
      </c>
      <c r="W1681" s="12808" t="s">
        <v>2951</v>
      </c>
      <c r="X1681" s="12808" t="s">
        <v>2951</v>
      </c>
      <c r="Y1681" s="12808" t="s">
        <v>2951</v>
      </c>
      <c r="Z1681" s="12808" t="s">
        <v>2951</v>
      </c>
      <c r="AA1681" s="12808" t="s">
        <v>2951</v>
      </c>
      <c r="AB1681" s="12808" t="s">
        <v>2951</v>
      </c>
      <c r="AC1681" s="12808" t="s">
        <v>2951</v>
      </c>
      <c r="AD1681" s="12808" t="s">
        <v>2951</v>
      </c>
      <c r="AE1681" s="12808" t="s">
        <v>2951</v>
      </c>
      <c r="AF1681" s="12808" t="s">
        <v>2951</v>
      </c>
      <c r="AG1681" s="12808" t="s">
        <v>2951</v>
      </c>
      <c r="AH1681" s="12808" t="s">
        <v>2951</v>
      </c>
      <c r="AI1681" s="12808" t="s">
        <v>2951</v>
      </c>
      <c r="AJ1681" s="12808" t="s">
        <v>2951</v>
      </c>
      <c r="AK1681" s="12808" t="s">
        <v>2951</v>
      </c>
      <c r="AL1681" s="12808" t="s">
        <v>2951</v>
      </c>
      <c r="AM1681" s="12808" t="s">
        <v>2951</v>
      </c>
      <c r="AN1681" s="12808" t="s">
        <v>2951</v>
      </c>
      <c r="AO1681" s="12808" t="s">
        <v>2951</v>
      </c>
      <c r="AP1681" s="12808" t="s">
        <v>2951</v>
      </c>
      <c r="AQ1681" s="12808" t="s">
        <v>2951</v>
      </c>
      <c r="AR1681" s="12808" t="s">
        <v>2951</v>
      </c>
      <c r="AS1681" s="12808" t="s">
        <v>2951</v>
      </c>
      <c r="AT1681" s="12808" t="s">
        <v>10508</v>
      </c>
      <c r="AU1681" s="12808" t="s">
        <v>10509</v>
      </c>
      <c r="AV1681" s="12808">
        <v>21</v>
      </c>
      <c r="AW1681" s="12807" t="s">
        <v>10510</v>
      </c>
      <c r="AX1681" s="12807" t="s">
        <v>10510</v>
      </c>
      <c r="AY1681" s="12807"/>
      <c r="AZ1681" s="12807"/>
      <c r="BA1681" s="12807"/>
      <c r="BB1681" s="12807"/>
      <c r="BC1681" s="12807"/>
      <c r="BD1681" s="11315"/>
      <c r="BF1681" s="14502"/>
      <c r="BG1681" s="14502"/>
      <c r="BH1681" s="14502"/>
      <c r="BI1681" s="14502"/>
      <c r="BJ1681" s="14502"/>
      <c r="BK1681" s="9895"/>
      <c r="BL1681" s="14502"/>
      <c r="BM1681" s="14502"/>
      <c r="BN1681" s="14502"/>
    </row>
    <row r="1682" spans="1:66" ht="30" hidden="1" customHeight="1">
      <c r="A1682" s="9985">
        <v>1016</v>
      </c>
      <c r="B1682" s="9986" t="s">
        <v>8391</v>
      </c>
      <c r="C1682" s="13616"/>
      <c r="D1682" s="12647" t="s">
        <v>86</v>
      </c>
      <c r="E1682" s="12648" t="s">
        <v>6996</v>
      </c>
      <c r="F1682" s="12648"/>
      <c r="G1682" s="13023" t="s">
        <v>6999</v>
      </c>
      <c r="H1682" s="12975" t="s">
        <v>7001</v>
      </c>
      <c r="I1682" s="12649">
        <v>10</v>
      </c>
      <c r="K1682" s="12923" t="s">
        <v>10505</v>
      </c>
      <c r="L1682" s="12924"/>
      <c r="M1682" s="12806"/>
      <c r="N1682" s="12807" t="s">
        <v>10506</v>
      </c>
      <c r="O1682" s="12807" t="s">
        <v>10608</v>
      </c>
      <c r="P1682" s="12808"/>
      <c r="Q1682" s="12808"/>
      <c r="R1682" s="12808"/>
      <c r="S1682" s="12808"/>
      <c r="T1682" s="12808"/>
      <c r="U1682" s="12808"/>
      <c r="V1682" s="12808"/>
      <c r="W1682" s="12808"/>
      <c r="X1682" s="12808"/>
      <c r="Y1682" s="12808"/>
      <c r="Z1682" s="12808"/>
      <c r="AA1682" s="12808"/>
      <c r="AB1682" s="12808"/>
      <c r="AC1682" s="12808"/>
      <c r="AD1682" s="12808"/>
      <c r="AE1682" s="12808"/>
      <c r="AF1682" s="12808"/>
      <c r="AG1682" s="12808"/>
      <c r="AH1682" s="12808"/>
      <c r="AI1682" s="12808"/>
      <c r="AJ1682" s="12808"/>
      <c r="AK1682" s="12808"/>
      <c r="AL1682" s="12808"/>
      <c r="AM1682" s="12808"/>
      <c r="AN1682" s="12808"/>
      <c r="AO1682" s="12808"/>
      <c r="AP1682" s="12808"/>
      <c r="AQ1682" s="12808"/>
      <c r="AR1682" s="12808"/>
      <c r="AS1682" s="12808"/>
      <c r="AT1682" s="12924"/>
      <c r="AU1682" s="12924"/>
      <c r="AV1682" s="12924"/>
      <c r="AW1682" s="12924"/>
      <c r="AX1682" s="12924"/>
      <c r="AY1682" s="12924"/>
      <c r="AZ1682" s="12924"/>
      <c r="BA1682" s="12924"/>
      <c r="BB1682" s="12924"/>
      <c r="BC1682" s="12924"/>
      <c r="BD1682" s="11315"/>
      <c r="BF1682" s="9895"/>
      <c r="BG1682" s="9895"/>
      <c r="BH1682" s="9895"/>
      <c r="BI1682" s="9895"/>
      <c r="BJ1682" s="9895"/>
      <c r="BK1682" s="13069"/>
      <c r="BL1682" s="13069"/>
      <c r="BM1682" s="9895"/>
      <c r="BN1682" s="9895"/>
    </row>
    <row r="1683" spans="1:66" ht="30" hidden="1" customHeight="1">
      <c r="A1683" s="9985">
        <v>1017</v>
      </c>
      <c r="B1683" s="9986" t="s">
        <v>8392</v>
      </c>
      <c r="C1683" s="13616"/>
      <c r="D1683" s="12647" t="s">
        <v>10063</v>
      </c>
      <c r="E1683" s="12648" t="s">
        <v>144</v>
      </c>
      <c r="F1683" s="12651"/>
      <c r="G1683" s="12229" t="s">
        <v>7004</v>
      </c>
      <c r="H1683" s="12650" t="s">
        <v>7006</v>
      </c>
      <c r="I1683" s="12652">
        <v>1</v>
      </c>
      <c r="K1683" s="12923"/>
      <c r="L1683" s="12924"/>
      <c r="M1683" s="12926" t="s">
        <v>10513</v>
      </c>
      <c r="N1683" s="12807"/>
      <c r="O1683" s="12807"/>
      <c r="P1683" s="12808"/>
      <c r="Q1683" s="12808"/>
      <c r="R1683" s="12808"/>
      <c r="S1683" s="12808"/>
      <c r="T1683" s="12808"/>
      <c r="U1683" s="12808"/>
      <c r="V1683" s="12808"/>
      <c r="W1683" s="12808"/>
      <c r="X1683" s="12808"/>
      <c r="Y1683" s="12808"/>
      <c r="Z1683" s="12808"/>
      <c r="AA1683" s="12808"/>
      <c r="AB1683" s="12808"/>
      <c r="AC1683" s="12808"/>
      <c r="AD1683" s="12808"/>
      <c r="AE1683" s="12808"/>
      <c r="AF1683" s="12808"/>
      <c r="AG1683" s="12808"/>
      <c r="AH1683" s="12808"/>
      <c r="AI1683" s="12808"/>
      <c r="AJ1683" s="12808"/>
      <c r="AK1683" s="12808"/>
      <c r="AL1683" s="12808"/>
      <c r="AM1683" s="12808"/>
      <c r="AN1683" s="12808"/>
      <c r="AO1683" s="12808"/>
      <c r="AP1683" s="12808"/>
      <c r="AQ1683" s="12808"/>
      <c r="AR1683" s="12808"/>
      <c r="AS1683" s="12808"/>
      <c r="AT1683" s="12807"/>
      <c r="AU1683" s="12807"/>
      <c r="AV1683" s="12807"/>
      <c r="AW1683" s="12807"/>
      <c r="AX1683" s="12807"/>
      <c r="AY1683" s="12807"/>
      <c r="AZ1683" s="12807"/>
      <c r="BA1683" s="12807"/>
      <c r="BB1683" s="12807"/>
      <c r="BC1683" s="12807"/>
      <c r="BD1683" s="11316"/>
      <c r="BF1683" s="9895"/>
      <c r="BG1683" s="9895"/>
      <c r="BH1683" s="9895"/>
      <c r="BI1683" s="9895"/>
      <c r="BJ1683" s="9895"/>
      <c r="BK1683" s="9895"/>
      <c r="BL1683" s="9895"/>
      <c r="BM1683" s="9895"/>
      <c r="BN1683" s="9895"/>
    </row>
    <row r="1684" spans="1:66" ht="30" hidden="1" customHeight="1">
      <c r="A1684" s="13527">
        <v>1018</v>
      </c>
      <c r="B1684" s="14127" t="s">
        <v>8393</v>
      </c>
      <c r="C1684" s="13616"/>
      <c r="D1684" s="12647" t="s">
        <v>86</v>
      </c>
      <c r="E1684" s="14399" t="s">
        <v>7013</v>
      </c>
      <c r="F1684" s="12651"/>
      <c r="G1684" s="14129" t="s">
        <v>7009</v>
      </c>
      <c r="H1684" s="13399" t="s">
        <v>7011</v>
      </c>
      <c r="I1684" s="12652">
        <v>1</v>
      </c>
      <c r="K1684" s="12923" t="s">
        <v>10416</v>
      </c>
      <c r="L1684" s="12924"/>
      <c r="M1684" s="12926"/>
      <c r="N1684" s="12924" t="s">
        <v>10511</v>
      </c>
      <c r="O1684" s="12924" t="s">
        <v>10512</v>
      </c>
      <c r="P1684" s="12808"/>
      <c r="Q1684" s="12808"/>
      <c r="R1684" s="12808"/>
      <c r="S1684" s="12808"/>
      <c r="T1684" s="12808"/>
      <c r="U1684" s="12808"/>
      <c r="V1684" s="12808"/>
      <c r="W1684" s="12808"/>
      <c r="X1684" s="12808"/>
      <c r="Y1684" s="12808"/>
      <c r="Z1684" s="12808"/>
      <c r="AA1684" s="12808"/>
      <c r="AB1684" s="12808"/>
      <c r="AC1684" s="12808"/>
      <c r="AD1684" s="12808"/>
      <c r="AE1684" s="12808"/>
      <c r="AF1684" s="12808"/>
      <c r="AG1684" s="12808"/>
      <c r="AH1684" s="12808"/>
      <c r="AI1684" s="12808"/>
      <c r="AJ1684" s="12808"/>
      <c r="AK1684" s="12808"/>
      <c r="AL1684" s="12808"/>
      <c r="AM1684" s="12808"/>
      <c r="AN1684" s="12808"/>
      <c r="AO1684" s="12808"/>
      <c r="AP1684" s="12808"/>
      <c r="AQ1684" s="12808"/>
      <c r="AR1684" s="12808"/>
      <c r="AS1684" s="12808"/>
      <c r="AT1684" s="12924"/>
      <c r="AU1684" s="12924"/>
      <c r="AV1684" s="12924"/>
      <c r="AW1684" s="12924"/>
      <c r="AX1684" s="12924"/>
      <c r="AY1684" s="12924"/>
      <c r="AZ1684" s="12924"/>
      <c r="BA1684" s="12924"/>
      <c r="BB1684" s="12924"/>
      <c r="BC1684" s="12924"/>
      <c r="BD1684" s="11316"/>
      <c r="BF1684" s="14502"/>
      <c r="BG1684" s="14502"/>
      <c r="BH1684" s="14502"/>
      <c r="BI1684" s="14502"/>
      <c r="BJ1684" s="14502"/>
      <c r="BK1684" s="13069"/>
      <c r="BL1684" s="14502"/>
      <c r="BM1684" s="14502"/>
      <c r="BN1684" s="14502"/>
    </row>
    <row r="1685" spans="1:66" ht="30" hidden="1" customHeight="1">
      <c r="A1685" s="13527"/>
      <c r="B1685" s="14127"/>
      <c r="C1685" s="13616"/>
      <c r="D1685" s="12647" t="s">
        <v>10063</v>
      </c>
      <c r="E1685" s="14399"/>
      <c r="F1685" s="12651"/>
      <c r="G1685" s="14129"/>
      <c r="H1685" s="13399"/>
      <c r="I1685" s="12652"/>
      <c r="K1685" s="12927">
        <v>12</v>
      </c>
      <c r="L1685" s="12927" t="s">
        <v>2951</v>
      </c>
      <c r="M1685" s="12928" t="s">
        <v>10439</v>
      </c>
      <c r="N1685" s="12927" t="s">
        <v>3537</v>
      </c>
      <c r="O1685" s="12929"/>
      <c r="P1685" s="12930">
        <v>5994500</v>
      </c>
      <c r="Q1685" s="12930">
        <v>5994500</v>
      </c>
      <c r="R1685" s="12931">
        <v>0</v>
      </c>
      <c r="S1685" s="12932">
        <v>0</v>
      </c>
      <c r="T1685" s="12933">
        <v>201</v>
      </c>
      <c r="U1685" s="12934">
        <v>94</v>
      </c>
      <c r="V1685" s="12934">
        <v>107</v>
      </c>
      <c r="W1685" s="12934">
        <v>186</v>
      </c>
      <c r="X1685" s="12934">
        <v>15</v>
      </c>
      <c r="Y1685" s="12934">
        <v>0</v>
      </c>
      <c r="Z1685" s="12934">
        <v>0</v>
      </c>
      <c r="AA1685" s="12934">
        <v>0</v>
      </c>
      <c r="AB1685" s="12934">
        <v>5</v>
      </c>
      <c r="AC1685" s="12934">
        <v>106</v>
      </c>
      <c r="AD1685" s="12934">
        <v>70</v>
      </c>
      <c r="AE1685" s="12934">
        <v>20</v>
      </c>
      <c r="AF1685" s="12932">
        <v>112</v>
      </c>
      <c r="AG1685" s="12932">
        <v>2</v>
      </c>
      <c r="AH1685" s="12932">
        <v>14</v>
      </c>
      <c r="AI1685" s="12932">
        <v>5</v>
      </c>
      <c r="AJ1685" s="12932">
        <v>2</v>
      </c>
      <c r="AK1685" s="12932">
        <v>0</v>
      </c>
      <c r="AL1685" s="12932">
        <v>133</v>
      </c>
      <c r="AM1685" s="12932">
        <v>47</v>
      </c>
      <c r="AN1685" s="12932">
        <v>295</v>
      </c>
      <c r="AO1685" s="12932">
        <v>4</v>
      </c>
      <c r="AP1685" s="12932">
        <v>16</v>
      </c>
      <c r="AQ1685" s="12932">
        <v>0</v>
      </c>
      <c r="AR1685" s="12935">
        <v>0</v>
      </c>
      <c r="AS1685" s="12936"/>
      <c r="AT1685" s="12936"/>
      <c r="AU1685" s="12936"/>
      <c r="AV1685" s="12936"/>
      <c r="AW1685" s="12936"/>
      <c r="AX1685" s="12936"/>
      <c r="AY1685" s="12807"/>
      <c r="AZ1685" s="12807"/>
      <c r="BA1685" s="12807"/>
      <c r="BB1685" s="12807"/>
      <c r="BC1685" s="12807"/>
      <c r="BD1685" s="11316"/>
      <c r="BF1685" s="14502"/>
      <c r="BG1685" s="14502"/>
      <c r="BH1685" s="14502"/>
      <c r="BI1685" s="14502"/>
      <c r="BJ1685" s="14502"/>
      <c r="BK1685" s="9895"/>
      <c r="BL1685" s="14502"/>
      <c r="BM1685" s="14502"/>
      <c r="BN1685" s="14502"/>
    </row>
    <row r="1686" spans="1:66" ht="30" hidden="1" customHeight="1">
      <c r="A1686" s="9985">
        <v>1019</v>
      </c>
      <c r="B1686" s="9986" t="s">
        <v>8394</v>
      </c>
      <c r="C1686" s="13616"/>
      <c r="D1686" s="12647" t="s">
        <v>86</v>
      </c>
      <c r="E1686" s="12648" t="s">
        <v>6996</v>
      </c>
      <c r="F1686" s="12651"/>
      <c r="G1686" s="13023" t="s">
        <v>7015</v>
      </c>
      <c r="H1686" s="12975" t="s">
        <v>7018</v>
      </c>
      <c r="I1686" s="12649">
        <v>4</v>
      </c>
      <c r="K1686" s="12923" t="s">
        <v>10598</v>
      </c>
      <c r="L1686" s="12924"/>
      <c r="M1686" s="12807"/>
      <c r="N1686" s="12807" t="s">
        <v>10609</v>
      </c>
      <c r="O1686" s="12807" t="s">
        <v>10610</v>
      </c>
      <c r="P1686" s="12808" t="s">
        <v>10611</v>
      </c>
      <c r="Q1686" s="12808"/>
      <c r="R1686" s="12808"/>
      <c r="S1686" s="12808"/>
      <c r="T1686" s="12808"/>
      <c r="U1686" s="12808"/>
      <c r="V1686" s="12808"/>
      <c r="W1686" s="12808"/>
      <c r="X1686" s="12808"/>
      <c r="Y1686" s="12808"/>
      <c r="Z1686" s="12808"/>
      <c r="AA1686" s="12808"/>
      <c r="AB1686" s="12808"/>
      <c r="AC1686" s="12808"/>
      <c r="AD1686" s="12808"/>
      <c r="AE1686" s="12808"/>
      <c r="AF1686" s="12808"/>
      <c r="AG1686" s="12808"/>
      <c r="AH1686" s="12808"/>
      <c r="AI1686" s="12808"/>
      <c r="AJ1686" s="12808"/>
      <c r="AK1686" s="12808"/>
      <c r="AL1686" s="12808"/>
      <c r="AM1686" s="12808"/>
      <c r="AN1686" s="12808"/>
      <c r="AO1686" s="12808"/>
      <c r="AP1686" s="12808"/>
      <c r="AQ1686" s="12808"/>
      <c r="AR1686" s="12808"/>
      <c r="AS1686" s="12808"/>
      <c r="AT1686" s="12807"/>
      <c r="AU1686" s="12807"/>
      <c r="AV1686" s="12807"/>
      <c r="AW1686" s="12807"/>
      <c r="AX1686" s="12807"/>
      <c r="AY1686" s="12807"/>
      <c r="AZ1686" s="12807"/>
      <c r="BA1686" s="12807"/>
      <c r="BB1686" s="12807"/>
      <c r="BC1686" s="12807"/>
      <c r="BD1686" s="11315"/>
      <c r="BF1686" s="9895"/>
      <c r="BG1686" s="9895"/>
      <c r="BH1686" s="9895"/>
      <c r="BI1686" s="9895"/>
      <c r="BJ1686" s="9895"/>
      <c r="BK1686" s="13069"/>
      <c r="BL1686" s="13069"/>
      <c r="BM1686" s="9895"/>
      <c r="BN1686" s="9895"/>
    </row>
    <row r="1687" spans="1:66" ht="30" hidden="1" customHeight="1">
      <c r="A1687" s="9985">
        <v>1020</v>
      </c>
      <c r="B1687" s="9986" t="s">
        <v>8395</v>
      </c>
      <c r="C1687" s="13616"/>
      <c r="D1687" s="12647" t="s">
        <v>10063</v>
      </c>
      <c r="E1687" s="12648" t="s">
        <v>144</v>
      </c>
      <c r="F1687" s="12651" t="s">
        <v>7025</v>
      </c>
      <c r="G1687" s="12229" t="s">
        <v>7021</v>
      </c>
      <c r="H1687" s="12650" t="s">
        <v>7023</v>
      </c>
      <c r="I1687" s="12652">
        <v>1</v>
      </c>
      <c r="K1687" s="12923"/>
      <c r="L1687" s="12924"/>
      <c r="M1687" s="12924"/>
      <c r="N1687" s="12924"/>
      <c r="O1687" s="12924"/>
      <c r="P1687" s="12808"/>
      <c r="Q1687" s="12808"/>
      <c r="R1687" s="12808"/>
      <c r="S1687" s="12808"/>
      <c r="T1687" s="12808"/>
      <c r="U1687" s="12808"/>
      <c r="V1687" s="12808"/>
      <c r="W1687" s="12808"/>
      <c r="X1687" s="12808"/>
      <c r="Y1687" s="12808"/>
      <c r="Z1687" s="12808"/>
      <c r="AA1687" s="12808"/>
      <c r="AB1687" s="12808"/>
      <c r="AC1687" s="12808"/>
      <c r="AD1687" s="12808"/>
      <c r="AE1687" s="12808"/>
      <c r="AF1687" s="12808"/>
      <c r="AG1687" s="12808"/>
      <c r="AH1687" s="12808"/>
      <c r="AI1687" s="12808"/>
      <c r="AJ1687" s="12808"/>
      <c r="AK1687" s="12808"/>
      <c r="AL1687" s="12808"/>
      <c r="AM1687" s="12808"/>
      <c r="AN1687" s="12808"/>
      <c r="AO1687" s="12808"/>
      <c r="AP1687" s="12808"/>
      <c r="AQ1687" s="12808"/>
      <c r="AR1687" s="12808"/>
      <c r="AS1687" s="12808"/>
      <c r="AT1687" s="12924"/>
      <c r="AU1687" s="12924"/>
      <c r="AV1687" s="12924"/>
      <c r="AW1687" s="12924"/>
      <c r="AX1687" s="12924"/>
      <c r="AY1687" s="12924"/>
      <c r="AZ1687" s="12924"/>
      <c r="BA1687" s="12924"/>
      <c r="BB1687" s="12924"/>
      <c r="BC1687" s="12924"/>
      <c r="BD1687" s="11316"/>
      <c r="BF1687" s="9895"/>
      <c r="BG1687" s="9895"/>
      <c r="BH1687" s="9895"/>
      <c r="BI1687" s="9895"/>
      <c r="BJ1687" s="9895"/>
      <c r="BK1687" s="9895"/>
      <c r="BL1687" s="9895"/>
      <c r="BM1687" s="9895"/>
      <c r="BN1687" s="9895"/>
    </row>
    <row r="1688" spans="1:66" ht="30" hidden="1" customHeight="1">
      <c r="A1688" s="9985">
        <v>1021</v>
      </c>
      <c r="B1688" s="9986" t="s">
        <v>8396</v>
      </c>
      <c r="C1688" s="13616"/>
      <c r="D1688" s="12478" t="s">
        <v>86</v>
      </c>
      <c r="E1688" s="12424" t="s">
        <v>6996</v>
      </c>
      <c r="F1688" s="12425"/>
      <c r="G1688" s="13023" t="s">
        <v>7027</v>
      </c>
      <c r="H1688" s="12976" t="s">
        <v>7030</v>
      </c>
      <c r="I1688" s="12652">
        <v>0.2</v>
      </c>
      <c r="K1688" s="12923" t="s">
        <v>10514</v>
      </c>
      <c r="L1688" s="12807"/>
      <c r="M1688" s="12937"/>
      <c r="N1688" s="13261" t="s">
        <v>2022</v>
      </c>
      <c r="O1688" s="13262" t="s">
        <v>10515</v>
      </c>
      <c r="P1688" s="13263"/>
      <c r="Q1688" s="13263">
        <v>1328421</v>
      </c>
      <c r="R1688" s="13263" t="s">
        <v>2951</v>
      </c>
      <c r="S1688" s="13263" t="s">
        <v>2951</v>
      </c>
      <c r="T1688" s="13263" t="s">
        <v>2951</v>
      </c>
      <c r="U1688" s="13263" t="s">
        <v>2951</v>
      </c>
      <c r="V1688" s="13263" t="s">
        <v>2951</v>
      </c>
      <c r="W1688" s="13263" t="s">
        <v>2951</v>
      </c>
      <c r="X1688" s="13263" t="s">
        <v>2951</v>
      </c>
      <c r="Y1688" s="13263" t="s">
        <v>2951</v>
      </c>
      <c r="Z1688" s="13263" t="s">
        <v>2951</v>
      </c>
      <c r="AA1688" s="13263" t="s">
        <v>2951</v>
      </c>
      <c r="AB1688" s="13263" t="s">
        <v>2951</v>
      </c>
      <c r="AC1688" s="13263" t="s">
        <v>2951</v>
      </c>
      <c r="AD1688" s="13263" t="s">
        <v>2951</v>
      </c>
      <c r="AE1688" s="13263" t="s">
        <v>2951</v>
      </c>
      <c r="AF1688" s="13263" t="s">
        <v>2951</v>
      </c>
      <c r="AG1688" s="13263" t="s">
        <v>2951</v>
      </c>
      <c r="AH1688" s="13263" t="s">
        <v>2951</v>
      </c>
      <c r="AI1688" s="13263" t="s">
        <v>2951</v>
      </c>
      <c r="AJ1688" s="13263" t="s">
        <v>2951</v>
      </c>
      <c r="AK1688" s="13263" t="s">
        <v>2951</v>
      </c>
      <c r="AL1688" s="13263" t="s">
        <v>2951</v>
      </c>
      <c r="AM1688" s="13263" t="s">
        <v>2951</v>
      </c>
      <c r="AN1688" s="13263" t="s">
        <v>2951</v>
      </c>
      <c r="AO1688" s="13263" t="s">
        <v>2951</v>
      </c>
      <c r="AP1688" s="13263" t="s">
        <v>2951</v>
      </c>
      <c r="AQ1688" s="13263" t="s">
        <v>2951</v>
      </c>
      <c r="AR1688" s="13263" t="s">
        <v>2951</v>
      </c>
      <c r="AS1688" s="13263" t="s">
        <v>2951</v>
      </c>
      <c r="AT1688" s="13262" t="s">
        <v>3473</v>
      </c>
      <c r="AU1688" s="13262" t="s">
        <v>10429</v>
      </c>
      <c r="AV1688" s="13262" t="s">
        <v>10430</v>
      </c>
      <c r="AW1688" s="13262" t="s">
        <v>3613</v>
      </c>
      <c r="AX1688" s="13262" t="s">
        <v>3613</v>
      </c>
      <c r="AY1688" s="12807"/>
      <c r="AZ1688" s="12807"/>
      <c r="BA1688" s="12807"/>
      <c r="BB1688" s="12807"/>
      <c r="BC1688" s="12807"/>
      <c r="BD1688" s="11316"/>
      <c r="BF1688" s="9895"/>
      <c r="BG1688" s="9895"/>
      <c r="BH1688" s="9895"/>
      <c r="BI1688" s="9895"/>
      <c r="BJ1688" s="9895"/>
      <c r="BK1688" s="13069"/>
      <c r="BL1688" s="13069"/>
      <c r="BM1688" s="9895"/>
      <c r="BN1688" s="9895"/>
    </row>
    <row r="1689" spans="1:66" ht="30" hidden="1" customHeight="1">
      <c r="A1689" s="9985">
        <v>1022</v>
      </c>
      <c r="B1689" s="9986" t="s">
        <v>8397</v>
      </c>
      <c r="C1689" s="13616"/>
      <c r="D1689" s="12647" t="s">
        <v>86</v>
      </c>
      <c r="E1689" s="12648" t="s">
        <v>6996</v>
      </c>
      <c r="F1689" s="12651"/>
      <c r="G1689" s="13023" t="s">
        <v>7034</v>
      </c>
      <c r="H1689" s="12975" t="s">
        <v>7037</v>
      </c>
      <c r="I1689" s="12649">
        <v>12</v>
      </c>
      <c r="J1689" s="6075"/>
      <c r="K1689" s="13102" t="s">
        <v>10514</v>
      </c>
      <c r="L1689" s="13103"/>
      <c r="M1689" s="13104"/>
      <c r="N1689" s="13103" t="s">
        <v>10439</v>
      </c>
      <c r="O1689" s="13103" t="s">
        <v>3537</v>
      </c>
      <c r="P1689" s="13105"/>
      <c r="Q1689" s="13105"/>
      <c r="R1689" s="13105"/>
      <c r="S1689" s="13105"/>
      <c r="T1689" s="13105"/>
      <c r="U1689" s="13105"/>
      <c r="V1689" s="13105"/>
      <c r="W1689" s="13105"/>
      <c r="X1689" s="13105"/>
      <c r="Y1689" s="13105"/>
      <c r="Z1689" s="13105"/>
      <c r="AA1689" s="13105"/>
      <c r="AB1689" s="13105"/>
      <c r="AC1689" s="13105"/>
      <c r="AD1689" s="13105"/>
      <c r="AE1689" s="13105"/>
      <c r="AF1689" s="13105"/>
      <c r="AG1689" s="13105"/>
      <c r="AH1689" s="13105"/>
      <c r="AI1689" s="13105"/>
      <c r="AJ1689" s="13105"/>
      <c r="AK1689" s="13105"/>
      <c r="AL1689" s="13105"/>
      <c r="AM1689" s="13105"/>
      <c r="AN1689" s="13105"/>
      <c r="AO1689" s="13105"/>
      <c r="AP1689" s="13105"/>
      <c r="AQ1689" s="13105"/>
      <c r="AR1689" s="13105"/>
      <c r="AS1689" s="13105"/>
      <c r="AT1689" s="13103"/>
      <c r="AU1689" s="13103"/>
      <c r="AV1689" s="13103"/>
      <c r="AW1689" s="13103"/>
      <c r="AX1689" s="13103"/>
      <c r="AY1689" s="13103"/>
      <c r="AZ1689" s="13103"/>
      <c r="BA1689" s="13103"/>
      <c r="BB1689" s="13103"/>
      <c r="BC1689" s="13103"/>
      <c r="BD1689" s="11315"/>
      <c r="BF1689" s="9895"/>
      <c r="BG1689" s="9895"/>
      <c r="BH1689" s="9895"/>
      <c r="BI1689" s="9895"/>
      <c r="BJ1689" s="9895"/>
      <c r="BK1689" s="13069"/>
      <c r="BL1689" s="13069"/>
      <c r="BM1689" s="9895"/>
      <c r="BN1689" s="9895"/>
    </row>
    <row r="1690" spans="1:66" ht="30" hidden="1" customHeight="1">
      <c r="A1690" s="13527">
        <v>1023</v>
      </c>
      <c r="B1690" s="14127" t="s">
        <v>8398</v>
      </c>
      <c r="C1690" s="13616"/>
      <c r="D1690" s="12647" t="s">
        <v>10063</v>
      </c>
      <c r="E1690" s="14399" t="s">
        <v>7044</v>
      </c>
      <c r="F1690" s="12651"/>
      <c r="G1690" s="14129" t="s">
        <v>7040</v>
      </c>
      <c r="H1690" s="13398" t="s">
        <v>7042</v>
      </c>
      <c r="I1690" s="12649">
        <v>300</v>
      </c>
      <c r="K1690" s="11306"/>
      <c r="L1690" s="11307"/>
      <c r="M1690" s="11307"/>
      <c r="N1690" s="11308"/>
      <c r="O1690" s="11308"/>
      <c r="P1690" s="11309"/>
      <c r="Q1690" s="11310"/>
      <c r="R1690" s="11311"/>
      <c r="S1690" s="11312"/>
      <c r="T1690" s="11313"/>
      <c r="U1690" s="11310"/>
      <c r="V1690" s="11311"/>
      <c r="W1690" s="11313"/>
      <c r="X1690" s="11311"/>
      <c r="Y1690" s="11313"/>
      <c r="Z1690" s="11311"/>
      <c r="AA1690" s="11312"/>
      <c r="AB1690" s="11312"/>
      <c r="AC1690" s="11312"/>
      <c r="AD1690" s="11312"/>
      <c r="AE1690" s="11312"/>
      <c r="AF1690" s="11313"/>
      <c r="AG1690" s="11311"/>
      <c r="AH1690" s="11312"/>
      <c r="AI1690" s="11312"/>
      <c r="AJ1690" s="11312"/>
      <c r="AK1690" s="11312"/>
      <c r="AL1690" s="11312"/>
      <c r="AM1690" s="11312"/>
      <c r="AN1690" s="11313"/>
      <c r="AO1690" s="11311"/>
      <c r="AP1690" s="11312"/>
      <c r="AQ1690" s="11312"/>
      <c r="AR1690" s="11312"/>
      <c r="AS1690" s="11312"/>
      <c r="AT1690" s="11313"/>
      <c r="AU1690" s="11314"/>
      <c r="AV1690" s="11314"/>
      <c r="AW1690" s="11314"/>
      <c r="AX1690" s="11306"/>
      <c r="AY1690" s="11309"/>
      <c r="AZ1690" s="11314"/>
      <c r="BA1690" s="11306"/>
      <c r="BB1690" s="11308"/>
      <c r="BC1690" s="11309"/>
      <c r="BD1690" s="11315"/>
      <c r="BF1690" s="14502"/>
      <c r="BG1690" s="14502"/>
      <c r="BH1690" s="14502"/>
      <c r="BI1690" s="14502"/>
      <c r="BJ1690" s="14502"/>
      <c r="BK1690" s="9895"/>
      <c r="BL1690" s="14502"/>
      <c r="BM1690" s="14502"/>
      <c r="BN1690" s="14502"/>
    </row>
    <row r="1691" spans="1:66" ht="30" hidden="1" customHeight="1">
      <c r="A1691" s="13527"/>
      <c r="B1691" s="14127"/>
      <c r="C1691" s="13616"/>
      <c r="D1691" s="12647" t="s">
        <v>86</v>
      </c>
      <c r="E1691" s="14399"/>
      <c r="F1691" s="12651"/>
      <c r="G1691" s="14129"/>
      <c r="H1691" s="13398"/>
      <c r="I1691" s="12649"/>
      <c r="J1691" s="6075"/>
      <c r="K1691" s="11306"/>
      <c r="L1691" s="11307"/>
      <c r="M1691" s="11307"/>
      <c r="N1691" s="11308"/>
      <c r="O1691" s="11308"/>
      <c r="P1691" s="11309"/>
      <c r="Q1691" s="11310"/>
      <c r="R1691" s="11311"/>
      <c r="S1691" s="11312"/>
      <c r="T1691" s="11313"/>
      <c r="U1691" s="11310"/>
      <c r="V1691" s="11311"/>
      <c r="W1691" s="11313"/>
      <c r="X1691" s="11311"/>
      <c r="Y1691" s="11313"/>
      <c r="Z1691" s="11311"/>
      <c r="AA1691" s="11312"/>
      <c r="AB1691" s="11312"/>
      <c r="AC1691" s="11312"/>
      <c r="AD1691" s="11312"/>
      <c r="AE1691" s="11312"/>
      <c r="AF1691" s="11313"/>
      <c r="AG1691" s="11311"/>
      <c r="AH1691" s="11312"/>
      <c r="AI1691" s="11312"/>
      <c r="AJ1691" s="11312"/>
      <c r="AK1691" s="11312"/>
      <c r="AL1691" s="11312"/>
      <c r="AM1691" s="11312"/>
      <c r="AN1691" s="11313"/>
      <c r="AO1691" s="11311"/>
      <c r="AP1691" s="11312"/>
      <c r="AQ1691" s="11312"/>
      <c r="AR1691" s="11312"/>
      <c r="AS1691" s="11312"/>
      <c r="AT1691" s="11313"/>
      <c r="AU1691" s="11314"/>
      <c r="AV1691" s="11314"/>
      <c r="AW1691" s="11314"/>
      <c r="AX1691" s="11306"/>
      <c r="AY1691" s="11309"/>
      <c r="AZ1691" s="11314"/>
      <c r="BA1691" s="11306"/>
      <c r="BB1691" s="11308"/>
      <c r="BC1691" s="11309"/>
      <c r="BD1691" s="11315"/>
      <c r="BF1691" s="14502"/>
      <c r="BG1691" s="14502"/>
      <c r="BH1691" s="14502"/>
      <c r="BI1691" s="14502"/>
      <c r="BJ1691" s="14502"/>
      <c r="BK1691" s="13069"/>
      <c r="BL1691" s="14502"/>
      <c r="BM1691" s="14502"/>
      <c r="BN1691" s="14502"/>
    </row>
    <row r="1692" spans="1:66" ht="30" hidden="1" customHeight="1">
      <c r="A1692" s="13527">
        <v>1024</v>
      </c>
      <c r="B1692" s="14127" t="s">
        <v>8399</v>
      </c>
      <c r="C1692" s="13616"/>
      <c r="D1692" s="12647" t="s">
        <v>10063</v>
      </c>
      <c r="E1692" s="14399" t="s">
        <v>7049</v>
      </c>
      <c r="F1692" s="12651"/>
      <c r="G1692" s="14129" t="s">
        <v>7045</v>
      </c>
      <c r="H1692" s="13398" t="s">
        <v>7047</v>
      </c>
      <c r="I1692" s="12652">
        <v>1</v>
      </c>
      <c r="K1692" s="11317"/>
      <c r="L1692" s="11318"/>
      <c r="M1692" s="11318"/>
      <c r="N1692" s="11318"/>
      <c r="O1692" s="11318"/>
      <c r="P1692" s="11319"/>
      <c r="Q1692" s="11320"/>
      <c r="R1692" s="11321"/>
      <c r="S1692" s="11322"/>
      <c r="T1692" s="11323"/>
      <c r="U1692" s="11320"/>
      <c r="V1692" s="11321"/>
      <c r="W1692" s="11323"/>
      <c r="X1692" s="11321"/>
      <c r="Y1692" s="11323"/>
      <c r="Z1692" s="11321"/>
      <c r="AA1692" s="11322"/>
      <c r="AB1692" s="11322"/>
      <c r="AC1692" s="11322"/>
      <c r="AD1692" s="11322"/>
      <c r="AE1692" s="11322"/>
      <c r="AF1692" s="11323"/>
      <c r="AG1692" s="11321"/>
      <c r="AH1692" s="11322"/>
      <c r="AI1692" s="11322"/>
      <c r="AJ1692" s="11322"/>
      <c r="AK1692" s="11322"/>
      <c r="AL1692" s="11322"/>
      <c r="AM1692" s="11322"/>
      <c r="AN1692" s="11323"/>
      <c r="AO1692" s="11321"/>
      <c r="AP1692" s="11322"/>
      <c r="AQ1692" s="11322"/>
      <c r="AR1692" s="11322"/>
      <c r="AS1692" s="11322"/>
      <c r="AT1692" s="11323"/>
      <c r="AU1692" s="11324"/>
      <c r="AV1692" s="11324"/>
      <c r="AW1692" s="11324"/>
      <c r="AX1692" s="11317"/>
      <c r="AY1692" s="11319"/>
      <c r="AZ1692" s="11324"/>
      <c r="BA1692" s="11317"/>
      <c r="BB1692" s="11318"/>
      <c r="BC1692" s="11319"/>
      <c r="BD1692" s="11325"/>
      <c r="BF1692" s="14502"/>
      <c r="BG1692" s="14502"/>
      <c r="BH1692" s="14502"/>
      <c r="BI1692" s="14502"/>
      <c r="BJ1692" s="14502"/>
      <c r="BK1692" s="9895"/>
      <c r="BL1692" s="14502"/>
      <c r="BM1692" s="14502"/>
      <c r="BN1692" s="14502"/>
    </row>
    <row r="1693" spans="1:66" ht="30" hidden="1" customHeight="1">
      <c r="A1693" s="13527"/>
      <c r="B1693" s="14127"/>
      <c r="C1693" s="13616"/>
      <c r="D1693" s="12647" t="s">
        <v>86</v>
      </c>
      <c r="E1693" s="14399"/>
      <c r="F1693" s="12651"/>
      <c r="G1693" s="14129"/>
      <c r="H1693" s="13398"/>
      <c r="I1693" s="12652"/>
      <c r="J1693" s="6075"/>
      <c r="K1693" s="13106"/>
      <c r="L1693" s="13107"/>
      <c r="M1693" s="13108"/>
      <c r="N1693" s="13264"/>
      <c r="O1693" s="13265"/>
      <c r="P1693" s="13266"/>
      <c r="Q1693" s="13266"/>
      <c r="R1693" s="13266"/>
      <c r="S1693" s="13266"/>
      <c r="T1693" s="13266"/>
      <c r="U1693" s="13266"/>
      <c r="V1693" s="13266"/>
      <c r="W1693" s="13266"/>
      <c r="X1693" s="13266"/>
      <c r="Y1693" s="13266"/>
      <c r="Z1693" s="13266"/>
      <c r="AA1693" s="13266"/>
      <c r="AB1693" s="13266"/>
      <c r="AC1693" s="13266"/>
      <c r="AD1693" s="13266"/>
      <c r="AE1693" s="13266"/>
      <c r="AF1693" s="13266"/>
      <c r="AG1693" s="13266"/>
      <c r="AH1693" s="13266"/>
      <c r="AI1693" s="13266"/>
      <c r="AJ1693" s="13266"/>
      <c r="AK1693" s="13266"/>
      <c r="AL1693" s="13266"/>
      <c r="AM1693" s="13266"/>
      <c r="AN1693" s="13266"/>
      <c r="AO1693" s="13266"/>
      <c r="AP1693" s="13266"/>
      <c r="AQ1693" s="13266"/>
      <c r="AR1693" s="13266"/>
      <c r="AS1693" s="13266"/>
      <c r="AT1693" s="13265"/>
      <c r="AU1693" s="13265"/>
      <c r="AV1693" s="13265"/>
      <c r="AW1693" s="13265"/>
      <c r="AX1693" s="13265"/>
      <c r="AY1693" s="13107"/>
      <c r="AZ1693" s="13107"/>
      <c r="BA1693" s="13107"/>
      <c r="BB1693" s="13107"/>
      <c r="BC1693" s="13107"/>
      <c r="BD1693" s="11325"/>
      <c r="BF1693" s="14502"/>
      <c r="BG1693" s="14502"/>
      <c r="BH1693" s="14502"/>
      <c r="BI1693" s="14502"/>
      <c r="BJ1693" s="14502"/>
      <c r="BK1693" s="13069"/>
      <c r="BL1693" s="14502"/>
      <c r="BM1693" s="14502"/>
      <c r="BN1693" s="14502"/>
    </row>
    <row r="1694" spans="1:66" ht="30" hidden="1" customHeight="1" thickBot="1">
      <c r="A1694" s="10198">
        <v>1025</v>
      </c>
      <c r="B1694" s="10199" t="s">
        <v>8400</v>
      </c>
      <c r="C1694" s="13616"/>
      <c r="D1694" s="12653" t="s">
        <v>86</v>
      </c>
      <c r="E1694" s="12654" t="s">
        <v>6996</v>
      </c>
      <c r="F1694" s="12655"/>
      <c r="G1694" s="13024" t="s">
        <v>7051</v>
      </c>
      <c r="H1694" s="12656" t="s">
        <v>7054</v>
      </c>
      <c r="I1694" s="12657">
        <v>10</v>
      </c>
      <c r="J1694" s="6075"/>
      <c r="K1694" s="11326">
        <v>12</v>
      </c>
      <c r="L1694" s="11327"/>
      <c r="M1694" s="11327"/>
      <c r="N1694" s="13267" t="s">
        <v>10434</v>
      </c>
      <c r="O1694" s="13131" t="s">
        <v>2022</v>
      </c>
      <c r="P1694" s="11329"/>
      <c r="Q1694" s="11330"/>
      <c r="R1694" s="11331"/>
      <c r="S1694" s="11332"/>
      <c r="T1694" s="11333"/>
      <c r="U1694" s="11330"/>
      <c r="V1694" s="11331"/>
      <c r="W1694" s="11333"/>
      <c r="X1694" s="11331"/>
      <c r="Y1694" s="11333"/>
      <c r="Z1694" s="11331"/>
      <c r="AA1694" s="11332"/>
      <c r="AB1694" s="11332"/>
      <c r="AC1694" s="11332"/>
      <c r="AD1694" s="11332"/>
      <c r="AE1694" s="11332"/>
      <c r="AF1694" s="11333"/>
      <c r="AG1694" s="11331"/>
      <c r="AH1694" s="11332"/>
      <c r="AI1694" s="11332"/>
      <c r="AJ1694" s="11332"/>
      <c r="AK1694" s="11332"/>
      <c r="AL1694" s="11332"/>
      <c r="AM1694" s="11332"/>
      <c r="AN1694" s="11333"/>
      <c r="AO1694" s="11331"/>
      <c r="AP1694" s="11332"/>
      <c r="AQ1694" s="11332"/>
      <c r="AR1694" s="11332"/>
      <c r="AS1694" s="11332"/>
      <c r="AT1694" s="11333"/>
      <c r="AU1694" s="11334"/>
      <c r="AV1694" s="11334"/>
      <c r="AW1694" s="11334"/>
      <c r="AX1694" s="11326"/>
      <c r="AY1694" s="11329"/>
      <c r="AZ1694" s="11334"/>
      <c r="BA1694" s="11326"/>
      <c r="BB1694" s="11328"/>
      <c r="BC1694" s="11329"/>
      <c r="BD1694" s="11335"/>
      <c r="BF1694" s="9906"/>
      <c r="BG1694" s="9906"/>
      <c r="BH1694" s="9906"/>
      <c r="BI1694" s="9906"/>
      <c r="BJ1694" s="9906"/>
      <c r="BK1694" s="13070"/>
      <c r="BL1694" s="13070"/>
      <c r="BM1694" s="9906"/>
      <c r="BN1694" s="9906"/>
    </row>
    <row r="1695" spans="1:66" ht="30" hidden="1" customHeight="1">
      <c r="A1695" s="9976">
        <v>1026</v>
      </c>
      <c r="B1695" s="9977" t="s">
        <v>8401</v>
      </c>
      <c r="C1695" s="13616"/>
      <c r="D1695" s="12658" t="s">
        <v>10063</v>
      </c>
      <c r="E1695" s="12408" t="s">
        <v>144</v>
      </c>
      <c r="F1695" s="12659" t="s">
        <v>7067</v>
      </c>
      <c r="G1695" s="12221" t="s">
        <v>7062</v>
      </c>
      <c r="H1695" s="12660" t="s">
        <v>7065</v>
      </c>
      <c r="I1695" s="12661">
        <v>1</v>
      </c>
      <c r="K1695" s="11336"/>
      <c r="L1695" s="11337"/>
      <c r="M1695" s="11337"/>
      <c r="N1695" s="11338"/>
      <c r="O1695" s="11338"/>
      <c r="P1695" s="11339"/>
      <c r="Q1695" s="11340"/>
      <c r="R1695" s="11341"/>
      <c r="S1695" s="11342"/>
      <c r="T1695" s="11343"/>
      <c r="U1695" s="11340"/>
      <c r="V1695" s="11341"/>
      <c r="W1695" s="11343"/>
      <c r="X1695" s="11341"/>
      <c r="Y1695" s="11343"/>
      <c r="Z1695" s="11341"/>
      <c r="AA1695" s="11342"/>
      <c r="AB1695" s="11342"/>
      <c r="AC1695" s="11342"/>
      <c r="AD1695" s="11342"/>
      <c r="AE1695" s="11342"/>
      <c r="AF1695" s="11343"/>
      <c r="AG1695" s="11341"/>
      <c r="AH1695" s="11342"/>
      <c r="AI1695" s="11342"/>
      <c r="AJ1695" s="11342"/>
      <c r="AK1695" s="11342"/>
      <c r="AL1695" s="11342"/>
      <c r="AM1695" s="11342"/>
      <c r="AN1695" s="11343"/>
      <c r="AO1695" s="11341"/>
      <c r="AP1695" s="11342"/>
      <c r="AQ1695" s="11342"/>
      <c r="AR1695" s="11342"/>
      <c r="AS1695" s="11342"/>
      <c r="AT1695" s="11343"/>
      <c r="AU1695" s="11344"/>
      <c r="AV1695" s="11344"/>
      <c r="AW1695" s="11344"/>
      <c r="AX1695" s="11336"/>
      <c r="AY1695" s="11339"/>
      <c r="AZ1695" s="11344"/>
      <c r="BA1695" s="11336"/>
      <c r="BB1695" s="11338"/>
      <c r="BC1695" s="11339"/>
      <c r="BD1695" s="11345"/>
      <c r="BF1695" s="9978"/>
      <c r="BG1695" s="9978"/>
      <c r="BH1695" s="9978"/>
      <c r="BI1695" s="9978"/>
      <c r="BJ1695" s="9978"/>
      <c r="BK1695" s="9978"/>
      <c r="BL1695" s="9978"/>
      <c r="BM1695" s="9978"/>
      <c r="BN1695" s="9978"/>
    </row>
    <row r="1696" spans="1:66" ht="30" hidden="1" customHeight="1">
      <c r="A1696" s="7741">
        <v>1027</v>
      </c>
      <c r="B1696" s="7792" t="s">
        <v>8402</v>
      </c>
      <c r="C1696" s="13616"/>
      <c r="D1696" s="12662" t="s">
        <v>10063</v>
      </c>
      <c r="E1696" s="12663" t="s">
        <v>7073</v>
      </c>
      <c r="F1696" s="12664"/>
      <c r="G1696" s="12244" t="s">
        <v>7069</v>
      </c>
      <c r="H1696" s="12665" t="s">
        <v>7071</v>
      </c>
      <c r="I1696" s="12666">
        <v>1</v>
      </c>
      <c r="K1696" s="11346"/>
      <c r="L1696" s="11347"/>
      <c r="M1696" s="11347"/>
      <c r="N1696" s="11348"/>
      <c r="O1696" s="11348"/>
      <c r="P1696" s="11349"/>
      <c r="Q1696" s="11350"/>
      <c r="R1696" s="11351"/>
      <c r="S1696" s="11352"/>
      <c r="T1696" s="11353"/>
      <c r="U1696" s="11350"/>
      <c r="V1696" s="11351"/>
      <c r="W1696" s="11353"/>
      <c r="X1696" s="11351"/>
      <c r="Y1696" s="11353"/>
      <c r="Z1696" s="11351"/>
      <c r="AA1696" s="11352"/>
      <c r="AB1696" s="11352"/>
      <c r="AC1696" s="11352"/>
      <c r="AD1696" s="11352"/>
      <c r="AE1696" s="11352"/>
      <c r="AF1696" s="11353"/>
      <c r="AG1696" s="11351"/>
      <c r="AH1696" s="11352"/>
      <c r="AI1696" s="11352"/>
      <c r="AJ1696" s="11352"/>
      <c r="AK1696" s="11352"/>
      <c r="AL1696" s="11352"/>
      <c r="AM1696" s="11352"/>
      <c r="AN1696" s="11353"/>
      <c r="AO1696" s="11351"/>
      <c r="AP1696" s="11352"/>
      <c r="AQ1696" s="11352"/>
      <c r="AR1696" s="11352"/>
      <c r="AS1696" s="11352"/>
      <c r="AT1696" s="11353"/>
      <c r="AU1696" s="11354"/>
      <c r="AV1696" s="11354"/>
      <c r="AW1696" s="11354"/>
      <c r="AX1696" s="11346"/>
      <c r="AY1696" s="11349"/>
      <c r="AZ1696" s="11354"/>
      <c r="BA1696" s="11346"/>
      <c r="BB1696" s="11348"/>
      <c r="BC1696" s="11349"/>
      <c r="BD1696" s="11355"/>
      <c r="BF1696" s="10036"/>
      <c r="BG1696" s="10036"/>
      <c r="BH1696" s="10036"/>
      <c r="BI1696" s="10036"/>
      <c r="BJ1696" s="10036"/>
      <c r="BK1696" s="10036"/>
      <c r="BL1696" s="10036"/>
      <c r="BM1696" s="10036"/>
      <c r="BN1696" s="10036"/>
    </row>
    <row r="1697" spans="1:66" ht="30" hidden="1" customHeight="1">
      <c r="A1697" s="7741">
        <v>1028</v>
      </c>
      <c r="B1697" s="7792" t="s">
        <v>8403</v>
      </c>
      <c r="C1697" s="13616"/>
      <c r="D1697" s="12667" t="s">
        <v>10063</v>
      </c>
      <c r="E1697" s="12663" t="s">
        <v>7073</v>
      </c>
      <c r="F1697" s="12664"/>
      <c r="G1697" s="12244" t="s">
        <v>7075</v>
      </c>
      <c r="H1697" s="12665" t="s">
        <v>7077</v>
      </c>
      <c r="I1697" s="12666">
        <v>1</v>
      </c>
      <c r="K1697" s="11346"/>
      <c r="L1697" s="11347"/>
      <c r="M1697" s="11347"/>
      <c r="N1697" s="11348"/>
      <c r="O1697" s="11348"/>
      <c r="P1697" s="11349"/>
      <c r="Q1697" s="11350"/>
      <c r="R1697" s="11351"/>
      <c r="S1697" s="11352"/>
      <c r="T1697" s="11353"/>
      <c r="U1697" s="11350"/>
      <c r="V1697" s="11351"/>
      <c r="W1697" s="11353"/>
      <c r="X1697" s="11351"/>
      <c r="Y1697" s="11353"/>
      <c r="Z1697" s="11351"/>
      <c r="AA1697" s="11352"/>
      <c r="AB1697" s="11352"/>
      <c r="AC1697" s="11352"/>
      <c r="AD1697" s="11352"/>
      <c r="AE1697" s="11352"/>
      <c r="AF1697" s="11353"/>
      <c r="AG1697" s="11351"/>
      <c r="AH1697" s="11352"/>
      <c r="AI1697" s="11352"/>
      <c r="AJ1697" s="11352"/>
      <c r="AK1697" s="11352"/>
      <c r="AL1697" s="11352"/>
      <c r="AM1697" s="11352"/>
      <c r="AN1697" s="11353"/>
      <c r="AO1697" s="11351"/>
      <c r="AP1697" s="11352"/>
      <c r="AQ1697" s="11352"/>
      <c r="AR1697" s="11352"/>
      <c r="AS1697" s="11352"/>
      <c r="AT1697" s="11353"/>
      <c r="AU1697" s="11354"/>
      <c r="AV1697" s="11354"/>
      <c r="AW1697" s="11354"/>
      <c r="AX1697" s="11346"/>
      <c r="AY1697" s="11349"/>
      <c r="AZ1697" s="11354"/>
      <c r="BA1697" s="11346"/>
      <c r="BB1697" s="11348"/>
      <c r="BC1697" s="11349"/>
      <c r="BD1697" s="11355"/>
      <c r="BF1697" s="10036"/>
      <c r="BG1697" s="10036"/>
      <c r="BH1697" s="10036"/>
      <c r="BI1697" s="10036"/>
      <c r="BJ1697" s="10036"/>
      <c r="BK1697" s="10036"/>
      <c r="BL1697" s="10036"/>
      <c r="BM1697" s="10036"/>
      <c r="BN1697" s="10036"/>
    </row>
    <row r="1698" spans="1:66" ht="30" hidden="1" customHeight="1">
      <c r="A1698" s="7741">
        <v>1029</v>
      </c>
      <c r="B1698" s="7792" t="s">
        <v>8404</v>
      </c>
      <c r="C1698" s="13616"/>
      <c r="D1698" s="12542" t="s">
        <v>10063</v>
      </c>
      <c r="E1698" s="12412" t="s">
        <v>724</v>
      </c>
      <c r="F1698" s="12664"/>
      <c r="G1698" s="12244" t="s">
        <v>7080</v>
      </c>
      <c r="H1698" s="11738" t="s">
        <v>7082</v>
      </c>
      <c r="I1698" s="12668">
        <v>1</v>
      </c>
      <c r="K1698" s="11356"/>
      <c r="L1698" s="11347"/>
      <c r="M1698" s="11347"/>
      <c r="N1698" s="11347"/>
      <c r="O1698" s="11347"/>
      <c r="P1698" s="11357"/>
      <c r="Q1698" s="11350"/>
      <c r="R1698" s="11351"/>
      <c r="S1698" s="11352"/>
      <c r="T1698" s="11353"/>
      <c r="U1698" s="11350"/>
      <c r="V1698" s="11351"/>
      <c r="W1698" s="11353"/>
      <c r="X1698" s="11351"/>
      <c r="Y1698" s="11353"/>
      <c r="Z1698" s="11351"/>
      <c r="AA1698" s="11352"/>
      <c r="AB1698" s="11352"/>
      <c r="AC1698" s="11352"/>
      <c r="AD1698" s="11352"/>
      <c r="AE1698" s="11352"/>
      <c r="AF1698" s="11353"/>
      <c r="AG1698" s="11351"/>
      <c r="AH1698" s="11352"/>
      <c r="AI1698" s="11352"/>
      <c r="AJ1698" s="11352"/>
      <c r="AK1698" s="11352"/>
      <c r="AL1698" s="11352"/>
      <c r="AM1698" s="11352"/>
      <c r="AN1698" s="11353"/>
      <c r="AO1698" s="11351"/>
      <c r="AP1698" s="11352"/>
      <c r="AQ1698" s="11352"/>
      <c r="AR1698" s="11352"/>
      <c r="AS1698" s="11352"/>
      <c r="AT1698" s="11353"/>
      <c r="AU1698" s="11358"/>
      <c r="AV1698" s="11358"/>
      <c r="AW1698" s="11358"/>
      <c r="AX1698" s="11356"/>
      <c r="AY1698" s="11357"/>
      <c r="AZ1698" s="11358"/>
      <c r="BA1698" s="11356"/>
      <c r="BB1698" s="11347"/>
      <c r="BC1698" s="11357"/>
      <c r="BD1698" s="11359"/>
      <c r="BF1698" s="10036"/>
      <c r="BG1698" s="10036"/>
      <c r="BH1698" s="10036"/>
      <c r="BI1698" s="10036"/>
      <c r="BJ1698" s="10036"/>
      <c r="BK1698" s="10036"/>
      <c r="BL1698" s="10036"/>
      <c r="BM1698" s="10036"/>
      <c r="BN1698" s="10036"/>
    </row>
    <row r="1699" spans="1:66" ht="30" hidden="1" customHeight="1">
      <c r="A1699" s="7741">
        <v>1030</v>
      </c>
      <c r="B1699" s="7792" t="s">
        <v>8405</v>
      </c>
      <c r="C1699" s="13616"/>
      <c r="D1699" s="12667" t="s">
        <v>10063</v>
      </c>
      <c r="E1699" s="12663" t="s">
        <v>724</v>
      </c>
      <c r="F1699" s="12664"/>
      <c r="G1699" s="12244" t="s">
        <v>7085</v>
      </c>
      <c r="H1699" s="12665" t="s">
        <v>7087</v>
      </c>
      <c r="I1699" s="12668">
        <v>1</v>
      </c>
      <c r="K1699" s="11356"/>
      <c r="L1699" s="11347"/>
      <c r="M1699" s="11347"/>
      <c r="N1699" s="11347"/>
      <c r="O1699" s="11347"/>
      <c r="P1699" s="11357"/>
      <c r="Q1699" s="11350"/>
      <c r="R1699" s="11351"/>
      <c r="S1699" s="11352"/>
      <c r="T1699" s="11353"/>
      <c r="U1699" s="11350"/>
      <c r="V1699" s="11351"/>
      <c r="W1699" s="11353"/>
      <c r="X1699" s="11351"/>
      <c r="Y1699" s="11353"/>
      <c r="Z1699" s="11351"/>
      <c r="AA1699" s="11352"/>
      <c r="AB1699" s="11352"/>
      <c r="AC1699" s="11352"/>
      <c r="AD1699" s="11352"/>
      <c r="AE1699" s="11352"/>
      <c r="AF1699" s="11353"/>
      <c r="AG1699" s="11351"/>
      <c r="AH1699" s="11352"/>
      <c r="AI1699" s="11352"/>
      <c r="AJ1699" s="11352"/>
      <c r="AK1699" s="11352"/>
      <c r="AL1699" s="11352"/>
      <c r="AM1699" s="11352"/>
      <c r="AN1699" s="11353"/>
      <c r="AO1699" s="11351"/>
      <c r="AP1699" s="11352"/>
      <c r="AQ1699" s="11352"/>
      <c r="AR1699" s="11352"/>
      <c r="AS1699" s="11352"/>
      <c r="AT1699" s="11353"/>
      <c r="AU1699" s="11358"/>
      <c r="AV1699" s="11358"/>
      <c r="AW1699" s="11358"/>
      <c r="AX1699" s="11356"/>
      <c r="AY1699" s="11357"/>
      <c r="AZ1699" s="11358"/>
      <c r="BA1699" s="11356"/>
      <c r="BB1699" s="11347"/>
      <c r="BC1699" s="11357"/>
      <c r="BD1699" s="11359"/>
      <c r="BF1699" s="10036"/>
      <c r="BG1699" s="10036"/>
      <c r="BH1699" s="10036"/>
      <c r="BI1699" s="10036"/>
      <c r="BJ1699" s="10036"/>
      <c r="BK1699" s="10036"/>
      <c r="BL1699" s="10036"/>
      <c r="BM1699" s="10036"/>
      <c r="BN1699" s="10036"/>
    </row>
    <row r="1700" spans="1:66" ht="30" hidden="1" customHeight="1">
      <c r="A1700" s="11360">
        <v>1031</v>
      </c>
      <c r="B1700" s="11361" t="s">
        <v>8406</v>
      </c>
      <c r="C1700" s="13616"/>
      <c r="D1700" s="12667" t="s">
        <v>10063</v>
      </c>
      <c r="E1700" s="12663" t="s">
        <v>724</v>
      </c>
      <c r="F1700" s="12664"/>
      <c r="G1700" s="12244" t="s">
        <v>8389</v>
      </c>
      <c r="H1700" s="12665" t="s">
        <v>7090</v>
      </c>
      <c r="I1700" s="12668">
        <v>1</v>
      </c>
      <c r="K1700" s="11356"/>
      <c r="L1700" s="11347"/>
      <c r="M1700" s="11347"/>
      <c r="N1700" s="11347"/>
      <c r="O1700" s="11347"/>
      <c r="P1700" s="11357"/>
      <c r="Q1700" s="11350"/>
      <c r="R1700" s="11351"/>
      <c r="S1700" s="11352"/>
      <c r="T1700" s="11353"/>
      <c r="U1700" s="11350"/>
      <c r="V1700" s="11351"/>
      <c r="W1700" s="11353"/>
      <c r="X1700" s="11351"/>
      <c r="Y1700" s="11353"/>
      <c r="Z1700" s="11351"/>
      <c r="AA1700" s="11352"/>
      <c r="AB1700" s="11352"/>
      <c r="AC1700" s="11352"/>
      <c r="AD1700" s="11352"/>
      <c r="AE1700" s="11352"/>
      <c r="AF1700" s="11353"/>
      <c r="AG1700" s="11351"/>
      <c r="AH1700" s="11352"/>
      <c r="AI1700" s="11352"/>
      <c r="AJ1700" s="11352"/>
      <c r="AK1700" s="11352"/>
      <c r="AL1700" s="11352"/>
      <c r="AM1700" s="11352"/>
      <c r="AN1700" s="11353"/>
      <c r="AO1700" s="11351"/>
      <c r="AP1700" s="11352"/>
      <c r="AQ1700" s="11352"/>
      <c r="AR1700" s="11352"/>
      <c r="AS1700" s="11352"/>
      <c r="AT1700" s="11353"/>
      <c r="AU1700" s="11358"/>
      <c r="AV1700" s="11358"/>
      <c r="AW1700" s="11358"/>
      <c r="AX1700" s="11356"/>
      <c r="AY1700" s="11357"/>
      <c r="AZ1700" s="11358"/>
      <c r="BA1700" s="11356"/>
      <c r="BB1700" s="11347"/>
      <c r="BC1700" s="11357"/>
      <c r="BD1700" s="11359"/>
      <c r="BF1700" s="10036"/>
      <c r="BG1700" s="10036"/>
      <c r="BH1700" s="10036"/>
      <c r="BI1700" s="10036"/>
      <c r="BJ1700" s="10036"/>
      <c r="BK1700" s="10036"/>
      <c r="BL1700" s="10036"/>
      <c r="BM1700" s="10036"/>
      <c r="BN1700" s="10036"/>
    </row>
    <row r="1701" spans="1:66" ht="28.5" hidden="1" customHeight="1">
      <c r="A1701" s="13530">
        <v>1032</v>
      </c>
      <c r="B1701" s="14149" t="s">
        <v>8407</v>
      </c>
      <c r="C1701" s="13616"/>
      <c r="D1701" s="12647" t="s">
        <v>86</v>
      </c>
      <c r="E1701" s="14400" t="s">
        <v>7098</v>
      </c>
      <c r="F1701" s="12664"/>
      <c r="G1701" s="14129" t="s">
        <v>7093</v>
      </c>
      <c r="H1701" s="13398" t="s">
        <v>7096</v>
      </c>
      <c r="I1701" s="12652">
        <v>1</v>
      </c>
      <c r="J1701" s="6075"/>
      <c r="K1701" s="13109" t="s">
        <v>1732</v>
      </c>
      <c r="L1701" s="11307"/>
      <c r="M1701" s="11307"/>
      <c r="N1701" s="13267"/>
      <c r="O1701" s="11307"/>
      <c r="P1701" s="10794" t="s">
        <v>10607</v>
      </c>
      <c r="Q1701" s="11310"/>
      <c r="R1701" s="11311"/>
      <c r="S1701" s="11312"/>
      <c r="T1701" s="11313"/>
      <c r="U1701" s="11310"/>
      <c r="V1701" s="11311"/>
      <c r="W1701" s="11313"/>
      <c r="X1701" s="11311"/>
      <c r="Y1701" s="11313"/>
      <c r="Z1701" s="11311"/>
      <c r="AA1701" s="11312"/>
      <c r="AB1701" s="11312"/>
      <c r="AC1701" s="11312"/>
      <c r="AD1701" s="11312"/>
      <c r="AE1701" s="11312"/>
      <c r="AF1701" s="11313"/>
      <c r="AG1701" s="11311"/>
      <c r="AH1701" s="11312"/>
      <c r="AI1701" s="11312"/>
      <c r="AJ1701" s="11312"/>
      <c r="AK1701" s="11312"/>
      <c r="AL1701" s="11312"/>
      <c r="AM1701" s="11312"/>
      <c r="AN1701" s="11313"/>
      <c r="AO1701" s="11311"/>
      <c r="AP1701" s="11312"/>
      <c r="AQ1701" s="11312"/>
      <c r="AR1701" s="11312"/>
      <c r="AS1701" s="11312"/>
      <c r="AT1701" s="11313"/>
      <c r="AU1701" s="13111"/>
      <c r="AV1701" s="13111"/>
      <c r="AW1701" s="13111"/>
      <c r="AX1701" s="13109"/>
      <c r="AY1701" s="13110"/>
      <c r="AZ1701" s="13111"/>
      <c r="BA1701" s="13109"/>
      <c r="BB1701" s="11307"/>
      <c r="BC1701" s="13110"/>
      <c r="BD1701" s="11316"/>
      <c r="BF1701" s="14510"/>
      <c r="BG1701" s="14510"/>
      <c r="BH1701" s="14510"/>
      <c r="BI1701" s="14510"/>
      <c r="BJ1701" s="14510"/>
      <c r="BK1701" s="13072"/>
      <c r="BL1701" s="14510"/>
      <c r="BM1701" s="14510"/>
      <c r="BN1701" s="14510"/>
    </row>
    <row r="1702" spans="1:66" ht="20.25" hidden="1" customHeight="1">
      <c r="A1702" s="13530"/>
      <c r="B1702" s="14149"/>
      <c r="C1702" s="13616"/>
      <c r="D1702" s="12667" t="s">
        <v>10066</v>
      </c>
      <c r="E1702" s="14400"/>
      <c r="F1702" s="12664"/>
      <c r="G1702" s="14150"/>
      <c r="H1702" s="13400"/>
      <c r="I1702" s="12668"/>
      <c r="K1702" s="11356"/>
      <c r="L1702" s="11347"/>
      <c r="M1702" s="11347"/>
      <c r="N1702" s="11347"/>
      <c r="O1702" s="11347"/>
      <c r="P1702" s="11357"/>
      <c r="Q1702" s="11350"/>
      <c r="R1702" s="11351"/>
      <c r="S1702" s="11352"/>
      <c r="T1702" s="11353"/>
      <c r="U1702" s="11350"/>
      <c r="V1702" s="11351"/>
      <c r="W1702" s="11353"/>
      <c r="X1702" s="11351"/>
      <c r="Y1702" s="11353"/>
      <c r="Z1702" s="11351"/>
      <c r="AA1702" s="11352"/>
      <c r="AB1702" s="11352"/>
      <c r="AC1702" s="11352"/>
      <c r="AD1702" s="11352"/>
      <c r="AE1702" s="11352"/>
      <c r="AF1702" s="11353"/>
      <c r="AG1702" s="11351"/>
      <c r="AH1702" s="11352"/>
      <c r="AI1702" s="11352"/>
      <c r="AJ1702" s="11352"/>
      <c r="AK1702" s="11352"/>
      <c r="AL1702" s="11352"/>
      <c r="AM1702" s="11352"/>
      <c r="AN1702" s="11353"/>
      <c r="AO1702" s="11351"/>
      <c r="AP1702" s="11352"/>
      <c r="AQ1702" s="11352"/>
      <c r="AR1702" s="11352"/>
      <c r="AS1702" s="11352"/>
      <c r="AT1702" s="11353"/>
      <c r="AU1702" s="11358"/>
      <c r="AV1702" s="11358"/>
      <c r="AW1702" s="11358"/>
      <c r="AX1702" s="11356"/>
      <c r="AY1702" s="11357"/>
      <c r="AZ1702" s="11358"/>
      <c r="BA1702" s="11356"/>
      <c r="BB1702" s="11347"/>
      <c r="BC1702" s="11357"/>
      <c r="BD1702" s="11359"/>
      <c r="BF1702" s="14510"/>
      <c r="BG1702" s="14510"/>
      <c r="BH1702" s="14510"/>
      <c r="BI1702" s="14510"/>
      <c r="BJ1702" s="14510"/>
      <c r="BK1702" s="10036"/>
      <c r="BL1702" s="14510"/>
      <c r="BM1702" s="14510"/>
      <c r="BN1702" s="14510"/>
    </row>
    <row r="1703" spans="1:66" ht="20.25" hidden="1" customHeight="1">
      <c r="A1703" s="13530"/>
      <c r="B1703" s="14149"/>
      <c r="C1703" s="13616"/>
      <c r="D1703" s="12667" t="s">
        <v>10330</v>
      </c>
      <c r="E1703" s="12663"/>
      <c r="F1703" s="12664" t="s">
        <v>7099</v>
      </c>
      <c r="G1703" s="14150"/>
      <c r="H1703" s="13400"/>
      <c r="I1703" s="12668"/>
      <c r="K1703" s="11356"/>
      <c r="L1703" s="11347"/>
      <c r="M1703" s="11347"/>
      <c r="N1703" s="11347"/>
      <c r="O1703" s="11347"/>
      <c r="P1703" s="11357"/>
      <c r="Q1703" s="11350"/>
      <c r="R1703" s="11351"/>
      <c r="S1703" s="11352"/>
      <c r="T1703" s="11353"/>
      <c r="U1703" s="11350"/>
      <c r="V1703" s="11351"/>
      <c r="W1703" s="11353"/>
      <c r="X1703" s="11351"/>
      <c r="Y1703" s="11353"/>
      <c r="Z1703" s="11351"/>
      <c r="AA1703" s="11352"/>
      <c r="AB1703" s="11352"/>
      <c r="AC1703" s="11352"/>
      <c r="AD1703" s="11352"/>
      <c r="AE1703" s="11352"/>
      <c r="AF1703" s="11353"/>
      <c r="AG1703" s="11351"/>
      <c r="AH1703" s="11352"/>
      <c r="AI1703" s="11352"/>
      <c r="AJ1703" s="11352"/>
      <c r="AK1703" s="11352"/>
      <c r="AL1703" s="11352"/>
      <c r="AM1703" s="11352"/>
      <c r="AN1703" s="11353"/>
      <c r="AO1703" s="11351"/>
      <c r="AP1703" s="11352"/>
      <c r="AQ1703" s="11352"/>
      <c r="AR1703" s="11352"/>
      <c r="AS1703" s="11352"/>
      <c r="AT1703" s="11353"/>
      <c r="AU1703" s="11358"/>
      <c r="AV1703" s="11358"/>
      <c r="AW1703" s="11358"/>
      <c r="AX1703" s="11356"/>
      <c r="AY1703" s="11357"/>
      <c r="AZ1703" s="11358"/>
      <c r="BA1703" s="11356"/>
      <c r="BB1703" s="11347"/>
      <c r="BC1703" s="11357"/>
      <c r="BD1703" s="11359"/>
      <c r="BF1703" s="14510"/>
      <c r="BG1703" s="14510"/>
      <c r="BH1703" s="14510"/>
      <c r="BI1703" s="14510"/>
      <c r="BJ1703" s="14510"/>
      <c r="BK1703" s="10036"/>
      <c r="BL1703" s="14510"/>
      <c r="BM1703" s="14510"/>
      <c r="BN1703" s="14510"/>
    </row>
    <row r="1704" spans="1:66" ht="20.25" hidden="1" customHeight="1">
      <c r="A1704" s="13530">
        <v>1033</v>
      </c>
      <c r="B1704" s="14149" t="s">
        <v>8408</v>
      </c>
      <c r="C1704" s="13616"/>
      <c r="D1704" s="12667" t="s">
        <v>10063</v>
      </c>
      <c r="E1704" s="12663" t="s">
        <v>144</v>
      </c>
      <c r="F1704" s="12663"/>
      <c r="G1704" s="14150" t="s">
        <v>7102</v>
      </c>
      <c r="H1704" s="13400" t="s">
        <v>7105</v>
      </c>
      <c r="I1704" s="14411">
        <v>0</v>
      </c>
      <c r="K1704" s="11362"/>
      <c r="L1704" s="11363"/>
      <c r="M1704" s="11363"/>
      <c r="N1704" s="11364"/>
      <c r="O1704" s="11364"/>
      <c r="P1704" s="11365"/>
      <c r="Q1704" s="11366"/>
      <c r="R1704" s="11367"/>
      <c r="S1704" s="11368"/>
      <c r="T1704" s="11369"/>
      <c r="U1704" s="11366"/>
      <c r="V1704" s="11367"/>
      <c r="W1704" s="11369"/>
      <c r="X1704" s="11367"/>
      <c r="Y1704" s="11369"/>
      <c r="Z1704" s="11367"/>
      <c r="AA1704" s="11368"/>
      <c r="AB1704" s="11368"/>
      <c r="AC1704" s="11368"/>
      <c r="AD1704" s="11368"/>
      <c r="AE1704" s="11368"/>
      <c r="AF1704" s="11369"/>
      <c r="AG1704" s="11367"/>
      <c r="AH1704" s="11368"/>
      <c r="AI1704" s="11368"/>
      <c r="AJ1704" s="11368"/>
      <c r="AK1704" s="11368"/>
      <c r="AL1704" s="11368"/>
      <c r="AM1704" s="11368"/>
      <c r="AN1704" s="11369"/>
      <c r="AO1704" s="11367"/>
      <c r="AP1704" s="11368"/>
      <c r="AQ1704" s="11368"/>
      <c r="AR1704" s="11368"/>
      <c r="AS1704" s="11368"/>
      <c r="AT1704" s="11369"/>
      <c r="AU1704" s="11370"/>
      <c r="AV1704" s="11370"/>
      <c r="AW1704" s="11370"/>
      <c r="AX1704" s="11362"/>
      <c r="AY1704" s="11365"/>
      <c r="AZ1704" s="11370"/>
      <c r="BA1704" s="11362"/>
      <c r="BB1704" s="11364"/>
      <c r="BC1704" s="11365"/>
      <c r="BD1704" s="11371"/>
      <c r="BF1704" s="14510"/>
      <c r="BG1704" s="14510"/>
      <c r="BH1704" s="14510"/>
      <c r="BI1704" s="14510"/>
      <c r="BJ1704" s="14510"/>
      <c r="BK1704" s="10036"/>
      <c r="BL1704" s="14510"/>
      <c r="BM1704" s="14510"/>
      <c r="BN1704" s="14510"/>
    </row>
    <row r="1705" spans="1:66" ht="20.25" hidden="1" customHeight="1">
      <c r="A1705" s="13530"/>
      <c r="B1705" s="14149"/>
      <c r="C1705" s="13616"/>
      <c r="D1705" s="12667" t="s">
        <v>8575</v>
      </c>
      <c r="E1705" s="12663"/>
      <c r="F1705" s="12663" t="s">
        <v>7107</v>
      </c>
      <c r="G1705" s="14150"/>
      <c r="H1705" s="13400"/>
      <c r="I1705" s="14411"/>
      <c r="K1705" s="11362"/>
      <c r="L1705" s="11363"/>
      <c r="M1705" s="11363"/>
      <c r="N1705" s="11364"/>
      <c r="O1705" s="11364"/>
      <c r="P1705" s="11365"/>
      <c r="Q1705" s="11366"/>
      <c r="R1705" s="11367"/>
      <c r="S1705" s="11368"/>
      <c r="T1705" s="11369"/>
      <c r="U1705" s="11366"/>
      <c r="V1705" s="11367"/>
      <c r="W1705" s="11369"/>
      <c r="X1705" s="11367"/>
      <c r="Y1705" s="11369"/>
      <c r="Z1705" s="11367"/>
      <c r="AA1705" s="11368"/>
      <c r="AB1705" s="11368"/>
      <c r="AC1705" s="11368"/>
      <c r="AD1705" s="11368"/>
      <c r="AE1705" s="11368"/>
      <c r="AF1705" s="11369"/>
      <c r="AG1705" s="11367"/>
      <c r="AH1705" s="11368"/>
      <c r="AI1705" s="11368"/>
      <c r="AJ1705" s="11368"/>
      <c r="AK1705" s="11368"/>
      <c r="AL1705" s="11368"/>
      <c r="AM1705" s="11368"/>
      <c r="AN1705" s="11369"/>
      <c r="AO1705" s="11367"/>
      <c r="AP1705" s="11368"/>
      <c r="AQ1705" s="11368"/>
      <c r="AR1705" s="11368"/>
      <c r="AS1705" s="11368"/>
      <c r="AT1705" s="11369"/>
      <c r="AU1705" s="11370"/>
      <c r="AV1705" s="11370"/>
      <c r="AW1705" s="11370"/>
      <c r="AX1705" s="11362"/>
      <c r="AY1705" s="11365"/>
      <c r="AZ1705" s="11370"/>
      <c r="BA1705" s="11362"/>
      <c r="BB1705" s="11364"/>
      <c r="BC1705" s="11365"/>
      <c r="BD1705" s="11371"/>
      <c r="BF1705" s="14510"/>
      <c r="BG1705" s="14510"/>
      <c r="BH1705" s="14510"/>
      <c r="BI1705" s="14510"/>
      <c r="BJ1705" s="14510"/>
      <c r="BK1705" s="10036"/>
      <c r="BL1705" s="14510"/>
      <c r="BM1705" s="14510"/>
      <c r="BN1705" s="14510"/>
    </row>
    <row r="1706" spans="1:66" ht="15" hidden="1" customHeight="1">
      <c r="A1706" s="13530">
        <v>1034</v>
      </c>
      <c r="B1706" s="14149" t="s">
        <v>8409</v>
      </c>
      <c r="C1706" s="13616"/>
      <c r="D1706" s="12542" t="s">
        <v>10063</v>
      </c>
      <c r="E1706" s="14311" t="s">
        <v>7114</v>
      </c>
      <c r="F1706" s="12412"/>
      <c r="G1706" s="14150" t="s">
        <v>7110</v>
      </c>
      <c r="H1706" s="13401" t="s">
        <v>7112</v>
      </c>
      <c r="I1706" s="14412">
        <v>8</v>
      </c>
      <c r="K1706" s="11372"/>
      <c r="L1706" s="11363"/>
      <c r="M1706" s="11363"/>
      <c r="N1706" s="11373"/>
      <c r="O1706" s="11373"/>
      <c r="P1706" s="11374"/>
      <c r="Q1706" s="11366"/>
      <c r="R1706" s="11367"/>
      <c r="S1706" s="11368"/>
      <c r="T1706" s="11369"/>
      <c r="U1706" s="11366"/>
      <c r="V1706" s="11367"/>
      <c r="W1706" s="11369"/>
      <c r="X1706" s="11367"/>
      <c r="Y1706" s="11369"/>
      <c r="Z1706" s="11367"/>
      <c r="AA1706" s="11368"/>
      <c r="AB1706" s="11368"/>
      <c r="AC1706" s="11368"/>
      <c r="AD1706" s="11368"/>
      <c r="AE1706" s="11368"/>
      <c r="AF1706" s="11369"/>
      <c r="AG1706" s="11367"/>
      <c r="AH1706" s="11368"/>
      <c r="AI1706" s="11368"/>
      <c r="AJ1706" s="11368"/>
      <c r="AK1706" s="11368"/>
      <c r="AL1706" s="11368"/>
      <c r="AM1706" s="11368"/>
      <c r="AN1706" s="11369"/>
      <c r="AO1706" s="11367"/>
      <c r="AP1706" s="11368"/>
      <c r="AQ1706" s="11368"/>
      <c r="AR1706" s="11368"/>
      <c r="AS1706" s="11368"/>
      <c r="AT1706" s="11369"/>
      <c r="AU1706" s="11375"/>
      <c r="AV1706" s="11375"/>
      <c r="AW1706" s="11375"/>
      <c r="AX1706" s="11372"/>
      <c r="AY1706" s="11374"/>
      <c r="AZ1706" s="11375"/>
      <c r="BA1706" s="11372"/>
      <c r="BB1706" s="11373"/>
      <c r="BC1706" s="11374"/>
      <c r="BD1706" s="11376"/>
      <c r="BF1706" s="14510"/>
      <c r="BG1706" s="14510"/>
      <c r="BH1706" s="14510"/>
      <c r="BI1706" s="14510"/>
      <c r="BJ1706" s="14510"/>
      <c r="BK1706" s="10036"/>
      <c r="BL1706" s="14510"/>
      <c r="BM1706" s="14510"/>
      <c r="BN1706" s="14510"/>
    </row>
    <row r="1707" spans="1:66" ht="15" hidden="1" customHeight="1">
      <c r="A1707" s="13530"/>
      <c r="B1707" s="14149"/>
      <c r="C1707" s="13616"/>
      <c r="D1707" s="12542" t="s">
        <v>10066</v>
      </c>
      <c r="E1707" s="14311"/>
      <c r="F1707" s="12412"/>
      <c r="G1707" s="14150"/>
      <c r="H1707" s="13401"/>
      <c r="I1707" s="14412"/>
      <c r="K1707" s="11372"/>
      <c r="L1707" s="11363"/>
      <c r="M1707" s="11363"/>
      <c r="N1707" s="11373"/>
      <c r="O1707" s="11373"/>
      <c r="P1707" s="11374"/>
      <c r="Q1707" s="11366"/>
      <c r="R1707" s="11367"/>
      <c r="S1707" s="11368"/>
      <c r="T1707" s="11369"/>
      <c r="U1707" s="11366"/>
      <c r="V1707" s="11367"/>
      <c r="W1707" s="11369"/>
      <c r="X1707" s="11367"/>
      <c r="Y1707" s="11369"/>
      <c r="Z1707" s="11367"/>
      <c r="AA1707" s="11368"/>
      <c r="AB1707" s="11368"/>
      <c r="AC1707" s="11368"/>
      <c r="AD1707" s="11368"/>
      <c r="AE1707" s="11368"/>
      <c r="AF1707" s="11369"/>
      <c r="AG1707" s="11367"/>
      <c r="AH1707" s="11368"/>
      <c r="AI1707" s="11368"/>
      <c r="AJ1707" s="11368"/>
      <c r="AK1707" s="11368"/>
      <c r="AL1707" s="11368"/>
      <c r="AM1707" s="11368"/>
      <c r="AN1707" s="11369"/>
      <c r="AO1707" s="11367"/>
      <c r="AP1707" s="11368"/>
      <c r="AQ1707" s="11368"/>
      <c r="AR1707" s="11368"/>
      <c r="AS1707" s="11368"/>
      <c r="AT1707" s="11369"/>
      <c r="AU1707" s="11375"/>
      <c r="AV1707" s="11375"/>
      <c r="AW1707" s="11375"/>
      <c r="AX1707" s="11372"/>
      <c r="AY1707" s="11374"/>
      <c r="AZ1707" s="11375"/>
      <c r="BA1707" s="11372"/>
      <c r="BB1707" s="11373"/>
      <c r="BC1707" s="11374"/>
      <c r="BD1707" s="11376"/>
      <c r="BF1707" s="14510"/>
      <c r="BG1707" s="14510"/>
      <c r="BH1707" s="14510"/>
      <c r="BI1707" s="14510"/>
      <c r="BJ1707" s="14510"/>
      <c r="BK1707" s="10036"/>
      <c r="BL1707" s="14510"/>
      <c r="BM1707" s="14510"/>
      <c r="BN1707" s="14510"/>
    </row>
    <row r="1708" spans="1:66" ht="15" hidden="1" customHeight="1">
      <c r="A1708" s="13530"/>
      <c r="B1708" s="14149"/>
      <c r="C1708" s="13616"/>
      <c r="D1708" s="12542" t="s">
        <v>10330</v>
      </c>
      <c r="E1708" s="12412"/>
      <c r="F1708" s="12412"/>
      <c r="G1708" s="14150"/>
      <c r="H1708" s="13401"/>
      <c r="I1708" s="14412"/>
      <c r="K1708" s="11372"/>
      <c r="L1708" s="11363"/>
      <c r="M1708" s="11363"/>
      <c r="N1708" s="11373"/>
      <c r="O1708" s="11373"/>
      <c r="P1708" s="11374"/>
      <c r="Q1708" s="11366"/>
      <c r="R1708" s="11367"/>
      <c r="S1708" s="11368"/>
      <c r="T1708" s="11369"/>
      <c r="U1708" s="11366"/>
      <c r="V1708" s="11367"/>
      <c r="W1708" s="11369"/>
      <c r="X1708" s="11367"/>
      <c r="Y1708" s="11369"/>
      <c r="Z1708" s="11367"/>
      <c r="AA1708" s="11368"/>
      <c r="AB1708" s="11368"/>
      <c r="AC1708" s="11368"/>
      <c r="AD1708" s="11368"/>
      <c r="AE1708" s="11368"/>
      <c r="AF1708" s="11369"/>
      <c r="AG1708" s="11367"/>
      <c r="AH1708" s="11368"/>
      <c r="AI1708" s="11368"/>
      <c r="AJ1708" s="11368"/>
      <c r="AK1708" s="11368"/>
      <c r="AL1708" s="11368"/>
      <c r="AM1708" s="11368"/>
      <c r="AN1708" s="11369"/>
      <c r="AO1708" s="11367"/>
      <c r="AP1708" s="11368"/>
      <c r="AQ1708" s="11368"/>
      <c r="AR1708" s="11368"/>
      <c r="AS1708" s="11368"/>
      <c r="AT1708" s="11369"/>
      <c r="AU1708" s="11375"/>
      <c r="AV1708" s="11375"/>
      <c r="AW1708" s="11375"/>
      <c r="AX1708" s="11372"/>
      <c r="AY1708" s="11374"/>
      <c r="AZ1708" s="11375"/>
      <c r="BA1708" s="11372"/>
      <c r="BB1708" s="11373"/>
      <c r="BC1708" s="11374"/>
      <c r="BD1708" s="11376"/>
      <c r="BF1708" s="14510"/>
      <c r="BG1708" s="14510"/>
      <c r="BH1708" s="14510"/>
      <c r="BI1708" s="14510"/>
      <c r="BJ1708" s="14510"/>
      <c r="BK1708" s="10036"/>
      <c r="BL1708" s="14510"/>
      <c r="BM1708" s="14510"/>
      <c r="BN1708" s="14510"/>
    </row>
    <row r="1709" spans="1:66" ht="15" hidden="1" customHeight="1">
      <c r="A1709" s="13530"/>
      <c r="B1709" s="14149"/>
      <c r="C1709" s="13616"/>
      <c r="D1709" s="12542" t="s">
        <v>10330</v>
      </c>
      <c r="E1709" s="12412"/>
      <c r="F1709" s="12412" t="s">
        <v>10331</v>
      </c>
      <c r="G1709" s="14150"/>
      <c r="H1709" s="13401"/>
      <c r="I1709" s="14412"/>
      <c r="K1709" s="11372"/>
      <c r="L1709" s="11363"/>
      <c r="M1709" s="11363"/>
      <c r="N1709" s="11373"/>
      <c r="O1709" s="11373"/>
      <c r="P1709" s="11374"/>
      <c r="Q1709" s="11366"/>
      <c r="R1709" s="11367"/>
      <c r="S1709" s="11368"/>
      <c r="T1709" s="11369"/>
      <c r="U1709" s="11366"/>
      <c r="V1709" s="11367"/>
      <c r="W1709" s="11369"/>
      <c r="X1709" s="11367"/>
      <c r="Y1709" s="11369"/>
      <c r="Z1709" s="11367"/>
      <c r="AA1709" s="11368"/>
      <c r="AB1709" s="11368"/>
      <c r="AC1709" s="11368"/>
      <c r="AD1709" s="11368"/>
      <c r="AE1709" s="11368"/>
      <c r="AF1709" s="11369"/>
      <c r="AG1709" s="11367"/>
      <c r="AH1709" s="11368"/>
      <c r="AI1709" s="11368"/>
      <c r="AJ1709" s="11368"/>
      <c r="AK1709" s="11368"/>
      <c r="AL1709" s="11368"/>
      <c r="AM1709" s="11368"/>
      <c r="AN1709" s="11369"/>
      <c r="AO1709" s="11367"/>
      <c r="AP1709" s="11368"/>
      <c r="AQ1709" s="11368"/>
      <c r="AR1709" s="11368"/>
      <c r="AS1709" s="11368"/>
      <c r="AT1709" s="11369"/>
      <c r="AU1709" s="11375"/>
      <c r="AV1709" s="11375"/>
      <c r="AW1709" s="11375"/>
      <c r="AX1709" s="11372"/>
      <c r="AY1709" s="11374"/>
      <c r="AZ1709" s="11375"/>
      <c r="BA1709" s="11372"/>
      <c r="BB1709" s="11373"/>
      <c r="BC1709" s="11374"/>
      <c r="BD1709" s="11376"/>
      <c r="BF1709" s="14510"/>
      <c r="BG1709" s="14510"/>
      <c r="BH1709" s="14510"/>
      <c r="BI1709" s="14510"/>
      <c r="BJ1709" s="14510"/>
      <c r="BK1709" s="10036"/>
      <c r="BL1709" s="14510"/>
      <c r="BM1709" s="14510"/>
      <c r="BN1709" s="14510"/>
    </row>
    <row r="1710" spans="1:66" ht="15" hidden="1" customHeight="1">
      <c r="A1710" s="13530"/>
      <c r="B1710" s="14149"/>
      <c r="C1710" s="13616"/>
      <c r="D1710" s="12542" t="s">
        <v>10199</v>
      </c>
      <c r="E1710" s="12412"/>
      <c r="F1710" s="12412" t="s">
        <v>10332</v>
      </c>
      <c r="G1710" s="14150"/>
      <c r="H1710" s="13401"/>
      <c r="I1710" s="14412"/>
      <c r="K1710" s="11372"/>
      <c r="L1710" s="11363"/>
      <c r="M1710" s="11363"/>
      <c r="N1710" s="11373"/>
      <c r="O1710" s="11373"/>
      <c r="P1710" s="11374"/>
      <c r="Q1710" s="11366"/>
      <c r="R1710" s="11367"/>
      <c r="S1710" s="11368"/>
      <c r="T1710" s="11369"/>
      <c r="U1710" s="11366"/>
      <c r="V1710" s="11367"/>
      <c r="W1710" s="11369"/>
      <c r="X1710" s="11367"/>
      <c r="Y1710" s="11369"/>
      <c r="Z1710" s="11367"/>
      <c r="AA1710" s="11368"/>
      <c r="AB1710" s="11368"/>
      <c r="AC1710" s="11368"/>
      <c r="AD1710" s="11368"/>
      <c r="AE1710" s="11368"/>
      <c r="AF1710" s="11369"/>
      <c r="AG1710" s="11367"/>
      <c r="AH1710" s="11368"/>
      <c r="AI1710" s="11368"/>
      <c r="AJ1710" s="11368"/>
      <c r="AK1710" s="11368"/>
      <c r="AL1710" s="11368"/>
      <c r="AM1710" s="11368"/>
      <c r="AN1710" s="11369"/>
      <c r="AO1710" s="11367"/>
      <c r="AP1710" s="11368"/>
      <c r="AQ1710" s="11368"/>
      <c r="AR1710" s="11368"/>
      <c r="AS1710" s="11368"/>
      <c r="AT1710" s="11369"/>
      <c r="AU1710" s="11375"/>
      <c r="AV1710" s="11375"/>
      <c r="AW1710" s="11375"/>
      <c r="AX1710" s="11372"/>
      <c r="AY1710" s="11374"/>
      <c r="AZ1710" s="11375"/>
      <c r="BA1710" s="11372"/>
      <c r="BB1710" s="11373"/>
      <c r="BC1710" s="11374"/>
      <c r="BD1710" s="11376"/>
      <c r="BF1710" s="14510"/>
      <c r="BG1710" s="14510"/>
      <c r="BH1710" s="14510"/>
      <c r="BI1710" s="14510"/>
      <c r="BJ1710" s="14510"/>
      <c r="BK1710" s="10036"/>
      <c r="BL1710" s="14510"/>
      <c r="BM1710" s="14510"/>
      <c r="BN1710" s="14510"/>
    </row>
    <row r="1711" spans="1:66" ht="15" hidden="1" customHeight="1">
      <c r="A1711" s="13530"/>
      <c r="B1711" s="14149"/>
      <c r="C1711" s="13616"/>
      <c r="D1711" s="12542" t="s">
        <v>10213</v>
      </c>
      <c r="E1711" s="12412"/>
      <c r="F1711" s="12412" t="s">
        <v>10333</v>
      </c>
      <c r="G1711" s="14150"/>
      <c r="H1711" s="13401"/>
      <c r="I1711" s="14412"/>
      <c r="K1711" s="11372"/>
      <c r="L1711" s="11363"/>
      <c r="M1711" s="11363"/>
      <c r="N1711" s="11373"/>
      <c r="O1711" s="11373"/>
      <c r="P1711" s="11374"/>
      <c r="Q1711" s="11366"/>
      <c r="R1711" s="11367"/>
      <c r="S1711" s="11368"/>
      <c r="T1711" s="11369"/>
      <c r="U1711" s="11366"/>
      <c r="V1711" s="11367"/>
      <c r="W1711" s="11369"/>
      <c r="X1711" s="11367"/>
      <c r="Y1711" s="11369"/>
      <c r="Z1711" s="11367"/>
      <c r="AA1711" s="11368"/>
      <c r="AB1711" s="11368"/>
      <c r="AC1711" s="11368"/>
      <c r="AD1711" s="11368"/>
      <c r="AE1711" s="11368"/>
      <c r="AF1711" s="11369"/>
      <c r="AG1711" s="11367"/>
      <c r="AH1711" s="11368"/>
      <c r="AI1711" s="11368"/>
      <c r="AJ1711" s="11368"/>
      <c r="AK1711" s="11368"/>
      <c r="AL1711" s="11368"/>
      <c r="AM1711" s="11368"/>
      <c r="AN1711" s="11369"/>
      <c r="AO1711" s="11367"/>
      <c r="AP1711" s="11368"/>
      <c r="AQ1711" s="11368"/>
      <c r="AR1711" s="11368"/>
      <c r="AS1711" s="11368"/>
      <c r="AT1711" s="11369"/>
      <c r="AU1711" s="11375"/>
      <c r="AV1711" s="11375"/>
      <c r="AW1711" s="11375"/>
      <c r="AX1711" s="11372"/>
      <c r="AY1711" s="11374"/>
      <c r="AZ1711" s="11375"/>
      <c r="BA1711" s="11372"/>
      <c r="BB1711" s="11373"/>
      <c r="BC1711" s="11374"/>
      <c r="BD1711" s="11376"/>
      <c r="BF1711" s="14510"/>
      <c r="BG1711" s="14510"/>
      <c r="BH1711" s="14510"/>
      <c r="BI1711" s="14510"/>
      <c r="BJ1711" s="14510"/>
      <c r="BK1711" s="10036"/>
      <c r="BL1711" s="14510"/>
      <c r="BM1711" s="14510"/>
      <c r="BN1711" s="14510"/>
    </row>
    <row r="1712" spans="1:66" ht="30" hidden="1" customHeight="1">
      <c r="A1712" s="7741">
        <v>1035</v>
      </c>
      <c r="B1712" s="7792" t="s">
        <v>8410</v>
      </c>
      <c r="C1712" s="13616"/>
      <c r="D1712" s="12667" t="s">
        <v>2896</v>
      </c>
      <c r="E1712" s="12664" t="s">
        <v>172</v>
      </c>
      <c r="F1712" s="12412" t="s">
        <v>7124</v>
      </c>
      <c r="G1712" s="12244" t="s">
        <v>7120</v>
      </c>
      <c r="H1712" s="12665" t="s">
        <v>7122</v>
      </c>
      <c r="I1712" s="12668">
        <v>1</v>
      </c>
      <c r="K1712" s="11356"/>
      <c r="L1712" s="11347"/>
      <c r="M1712" s="11347"/>
      <c r="N1712" s="11347"/>
      <c r="O1712" s="11347"/>
      <c r="P1712" s="11357"/>
      <c r="Q1712" s="11350"/>
      <c r="R1712" s="11351"/>
      <c r="S1712" s="11352"/>
      <c r="T1712" s="11353"/>
      <c r="U1712" s="11350"/>
      <c r="V1712" s="11351"/>
      <c r="W1712" s="11353"/>
      <c r="X1712" s="11351"/>
      <c r="Y1712" s="11353"/>
      <c r="Z1712" s="11351"/>
      <c r="AA1712" s="11352"/>
      <c r="AB1712" s="11352"/>
      <c r="AC1712" s="11352"/>
      <c r="AD1712" s="11352"/>
      <c r="AE1712" s="11352"/>
      <c r="AF1712" s="11353"/>
      <c r="AG1712" s="11351"/>
      <c r="AH1712" s="11352"/>
      <c r="AI1712" s="11352"/>
      <c r="AJ1712" s="11352"/>
      <c r="AK1712" s="11352"/>
      <c r="AL1712" s="11352"/>
      <c r="AM1712" s="11352"/>
      <c r="AN1712" s="11353"/>
      <c r="AO1712" s="11351"/>
      <c r="AP1712" s="11352"/>
      <c r="AQ1712" s="11352"/>
      <c r="AR1712" s="11352"/>
      <c r="AS1712" s="11352"/>
      <c r="AT1712" s="11353"/>
      <c r="AU1712" s="11358"/>
      <c r="AV1712" s="11358"/>
      <c r="AW1712" s="11358"/>
      <c r="AX1712" s="11356"/>
      <c r="AY1712" s="11357"/>
      <c r="AZ1712" s="11358"/>
      <c r="BA1712" s="11356"/>
      <c r="BB1712" s="11347"/>
      <c r="BC1712" s="11357"/>
      <c r="BD1712" s="11359"/>
      <c r="BF1712" s="10036"/>
      <c r="BG1712" s="10036"/>
      <c r="BH1712" s="10036"/>
      <c r="BI1712" s="10036"/>
      <c r="BJ1712" s="10036"/>
      <c r="BK1712" s="10036"/>
      <c r="BL1712" s="10036"/>
      <c r="BM1712" s="10036"/>
      <c r="BN1712" s="10036"/>
    </row>
    <row r="1713" spans="1:66" ht="30" hidden="1" customHeight="1">
      <c r="A1713" s="7741">
        <v>1036</v>
      </c>
      <c r="B1713" s="7792" t="s">
        <v>8411</v>
      </c>
      <c r="C1713" s="13616"/>
      <c r="D1713" s="12667" t="s">
        <v>218</v>
      </c>
      <c r="E1713" s="12664" t="s">
        <v>7130</v>
      </c>
      <c r="F1713" s="12412"/>
      <c r="G1713" s="12244" t="s">
        <v>7126</v>
      </c>
      <c r="H1713" s="12665" t="s">
        <v>7128</v>
      </c>
      <c r="I1713" s="12669">
        <v>1</v>
      </c>
      <c r="K1713" s="11377"/>
      <c r="L1713" s="11347"/>
      <c r="M1713" s="11347"/>
      <c r="N1713" s="11378"/>
      <c r="O1713" s="11378"/>
      <c r="P1713" s="11379"/>
      <c r="Q1713" s="11350"/>
      <c r="R1713" s="11351"/>
      <c r="S1713" s="11352"/>
      <c r="T1713" s="11353"/>
      <c r="U1713" s="11350"/>
      <c r="V1713" s="11351"/>
      <c r="W1713" s="11353"/>
      <c r="X1713" s="11351"/>
      <c r="Y1713" s="11353"/>
      <c r="Z1713" s="11351"/>
      <c r="AA1713" s="11352"/>
      <c r="AB1713" s="11352"/>
      <c r="AC1713" s="11352"/>
      <c r="AD1713" s="11352"/>
      <c r="AE1713" s="11352"/>
      <c r="AF1713" s="11353"/>
      <c r="AG1713" s="11351"/>
      <c r="AH1713" s="11352"/>
      <c r="AI1713" s="11352"/>
      <c r="AJ1713" s="11352"/>
      <c r="AK1713" s="11352"/>
      <c r="AL1713" s="11352"/>
      <c r="AM1713" s="11352"/>
      <c r="AN1713" s="11353"/>
      <c r="AO1713" s="11351"/>
      <c r="AP1713" s="11352"/>
      <c r="AQ1713" s="11352"/>
      <c r="AR1713" s="11352"/>
      <c r="AS1713" s="11352"/>
      <c r="AT1713" s="11353"/>
      <c r="AU1713" s="11380"/>
      <c r="AV1713" s="11380"/>
      <c r="AW1713" s="11380"/>
      <c r="AX1713" s="11377"/>
      <c r="AY1713" s="11379"/>
      <c r="AZ1713" s="11380"/>
      <c r="BA1713" s="11377"/>
      <c r="BB1713" s="11378"/>
      <c r="BC1713" s="11379"/>
      <c r="BD1713" s="11381"/>
      <c r="BF1713" s="10036"/>
      <c r="BG1713" s="10036"/>
      <c r="BH1713" s="10036"/>
      <c r="BI1713" s="10036"/>
      <c r="BJ1713" s="10036"/>
      <c r="BK1713" s="10036"/>
      <c r="BL1713" s="10036"/>
      <c r="BM1713" s="10036"/>
      <c r="BN1713" s="10036"/>
    </row>
    <row r="1714" spans="1:66" ht="30" hidden="1" customHeight="1">
      <c r="A1714" s="7741">
        <v>1037</v>
      </c>
      <c r="B1714" s="7792" t="s">
        <v>8412</v>
      </c>
      <c r="C1714" s="13616"/>
      <c r="D1714" s="12667" t="s">
        <v>218</v>
      </c>
      <c r="E1714" s="12663" t="s">
        <v>7137</v>
      </c>
      <c r="F1714" s="12412"/>
      <c r="G1714" s="12244" t="s">
        <v>7132</v>
      </c>
      <c r="H1714" s="12665" t="s">
        <v>7135</v>
      </c>
      <c r="I1714" s="12670">
        <v>2</v>
      </c>
      <c r="K1714" s="11382"/>
      <c r="L1714" s="11383"/>
      <c r="M1714" s="11383"/>
      <c r="N1714" s="11384"/>
      <c r="O1714" s="11384"/>
      <c r="P1714" s="11385"/>
      <c r="Q1714" s="11386"/>
      <c r="R1714" s="11387"/>
      <c r="S1714" s="11388"/>
      <c r="T1714" s="11389"/>
      <c r="U1714" s="11386"/>
      <c r="V1714" s="11387"/>
      <c r="W1714" s="11389"/>
      <c r="X1714" s="11387"/>
      <c r="Y1714" s="11389"/>
      <c r="Z1714" s="11387"/>
      <c r="AA1714" s="11388"/>
      <c r="AB1714" s="11388"/>
      <c r="AC1714" s="11388"/>
      <c r="AD1714" s="11388"/>
      <c r="AE1714" s="11388"/>
      <c r="AF1714" s="11389"/>
      <c r="AG1714" s="11387"/>
      <c r="AH1714" s="11388"/>
      <c r="AI1714" s="11388"/>
      <c r="AJ1714" s="11388"/>
      <c r="AK1714" s="11388"/>
      <c r="AL1714" s="11388"/>
      <c r="AM1714" s="11388"/>
      <c r="AN1714" s="11389"/>
      <c r="AO1714" s="11387"/>
      <c r="AP1714" s="11388"/>
      <c r="AQ1714" s="11388"/>
      <c r="AR1714" s="11388"/>
      <c r="AS1714" s="11388"/>
      <c r="AT1714" s="11389"/>
      <c r="AU1714" s="11390"/>
      <c r="AV1714" s="11390"/>
      <c r="AW1714" s="11390"/>
      <c r="AX1714" s="11382"/>
      <c r="AY1714" s="11385"/>
      <c r="AZ1714" s="11390"/>
      <c r="BA1714" s="11382"/>
      <c r="BB1714" s="11384"/>
      <c r="BC1714" s="11385"/>
      <c r="BD1714" s="11391"/>
      <c r="BF1714" s="10036"/>
      <c r="BG1714" s="10036"/>
      <c r="BH1714" s="10036"/>
      <c r="BI1714" s="10036"/>
      <c r="BJ1714" s="10036"/>
      <c r="BK1714" s="10036"/>
      <c r="BL1714" s="10036"/>
      <c r="BM1714" s="10036"/>
      <c r="BN1714" s="10036"/>
    </row>
    <row r="1715" spans="1:66" ht="30" hidden="1" customHeight="1">
      <c r="A1715" s="13530">
        <v>1038</v>
      </c>
      <c r="B1715" s="14149" t="s">
        <v>8413</v>
      </c>
      <c r="C1715" s="13616"/>
      <c r="D1715" s="12667" t="s">
        <v>218</v>
      </c>
      <c r="E1715" s="12663" t="s">
        <v>768</v>
      </c>
      <c r="F1715" s="12412"/>
      <c r="G1715" s="14150" t="s">
        <v>7138</v>
      </c>
      <c r="H1715" s="12665" t="s">
        <v>7141</v>
      </c>
      <c r="I1715" s="12669">
        <v>3</v>
      </c>
      <c r="K1715" s="11377"/>
      <c r="L1715" s="11347"/>
      <c r="M1715" s="11347"/>
      <c r="N1715" s="11378"/>
      <c r="O1715" s="11378"/>
      <c r="P1715" s="11379"/>
      <c r="Q1715" s="11350"/>
      <c r="R1715" s="11351"/>
      <c r="S1715" s="11352"/>
      <c r="T1715" s="11353"/>
      <c r="U1715" s="11350"/>
      <c r="V1715" s="11351"/>
      <c r="W1715" s="11353"/>
      <c r="X1715" s="11351"/>
      <c r="Y1715" s="11353"/>
      <c r="Z1715" s="11351"/>
      <c r="AA1715" s="11352"/>
      <c r="AB1715" s="11352"/>
      <c r="AC1715" s="11352"/>
      <c r="AD1715" s="11352"/>
      <c r="AE1715" s="11352"/>
      <c r="AF1715" s="11353"/>
      <c r="AG1715" s="11351"/>
      <c r="AH1715" s="11352"/>
      <c r="AI1715" s="11352"/>
      <c r="AJ1715" s="11352"/>
      <c r="AK1715" s="11352"/>
      <c r="AL1715" s="11352"/>
      <c r="AM1715" s="11352"/>
      <c r="AN1715" s="11353"/>
      <c r="AO1715" s="11351"/>
      <c r="AP1715" s="11352"/>
      <c r="AQ1715" s="11352"/>
      <c r="AR1715" s="11352"/>
      <c r="AS1715" s="11352"/>
      <c r="AT1715" s="11353"/>
      <c r="AU1715" s="11380"/>
      <c r="AV1715" s="11380"/>
      <c r="AW1715" s="11380"/>
      <c r="AX1715" s="11377"/>
      <c r="AY1715" s="11379"/>
      <c r="AZ1715" s="11380"/>
      <c r="BA1715" s="11377"/>
      <c r="BB1715" s="11378"/>
      <c r="BC1715" s="11379"/>
      <c r="BD1715" s="11381"/>
      <c r="BF1715" s="14510"/>
      <c r="BG1715" s="14510"/>
      <c r="BH1715" s="14510"/>
      <c r="BI1715" s="14510"/>
      <c r="BJ1715" s="14510"/>
      <c r="BK1715" s="10036"/>
      <c r="BL1715" s="14510"/>
      <c r="BM1715" s="14510"/>
      <c r="BN1715" s="14510"/>
    </row>
    <row r="1716" spans="1:66" ht="30" hidden="1" customHeight="1">
      <c r="A1716" s="13530"/>
      <c r="B1716" s="14149"/>
      <c r="C1716" s="13616"/>
      <c r="D1716" s="12667" t="s">
        <v>218</v>
      </c>
      <c r="E1716" s="12663" t="s">
        <v>768</v>
      </c>
      <c r="F1716" s="12412"/>
      <c r="G1716" s="14150"/>
      <c r="H1716" s="12665" t="s">
        <v>7144</v>
      </c>
      <c r="I1716" s="12669">
        <v>3</v>
      </c>
      <c r="K1716" s="11377"/>
      <c r="L1716" s="11347"/>
      <c r="M1716" s="11347"/>
      <c r="N1716" s="11378"/>
      <c r="O1716" s="11378"/>
      <c r="P1716" s="11379"/>
      <c r="Q1716" s="11350"/>
      <c r="R1716" s="11351"/>
      <c r="S1716" s="11352"/>
      <c r="T1716" s="11353"/>
      <c r="U1716" s="11350"/>
      <c r="V1716" s="11351"/>
      <c r="W1716" s="11353"/>
      <c r="X1716" s="11351"/>
      <c r="Y1716" s="11353"/>
      <c r="Z1716" s="11351"/>
      <c r="AA1716" s="11352"/>
      <c r="AB1716" s="11352"/>
      <c r="AC1716" s="11352"/>
      <c r="AD1716" s="11352"/>
      <c r="AE1716" s="11352"/>
      <c r="AF1716" s="11353"/>
      <c r="AG1716" s="11351"/>
      <c r="AH1716" s="11352"/>
      <c r="AI1716" s="11352"/>
      <c r="AJ1716" s="11352"/>
      <c r="AK1716" s="11352"/>
      <c r="AL1716" s="11352"/>
      <c r="AM1716" s="11352"/>
      <c r="AN1716" s="11353"/>
      <c r="AO1716" s="11351"/>
      <c r="AP1716" s="11352"/>
      <c r="AQ1716" s="11352"/>
      <c r="AR1716" s="11352"/>
      <c r="AS1716" s="11352"/>
      <c r="AT1716" s="11353"/>
      <c r="AU1716" s="11380"/>
      <c r="AV1716" s="11380"/>
      <c r="AW1716" s="11380"/>
      <c r="AX1716" s="11377"/>
      <c r="AY1716" s="11379"/>
      <c r="AZ1716" s="11380"/>
      <c r="BA1716" s="11377"/>
      <c r="BB1716" s="11378"/>
      <c r="BC1716" s="11379"/>
      <c r="BD1716" s="11381"/>
      <c r="BF1716" s="14510"/>
      <c r="BG1716" s="14510"/>
      <c r="BH1716" s="14510"/>
      <c r="BI1716" s="14510"/>
      <c r="BJ1716" s="14510"/>
      <c r="BK1716" s="10036"/>
      <c r="BL1716" s="14510"/>
      <c r="BM1716" s="14510"/>
      <c r="BN1716" s="14510"/>
    </row>
    <row r="1717" spans="1:66" ht="30" hidden="1" customHeight="1">
      <c r="A1717" s="11360">
        <v>1039</v>
      </c>
      <c r="B1717" s="11361" t="s">
        <v>8414</v>
      </c>
      <c r="C1717" s="13616"/>
      <c r="D1717" s="12667" t="s">
        <v>10072</v>
      </c>
      <c r="E1717" s="12663" t="s">
        <v>4269</v>
      </c>
      <c r="F1717" s="12412"/>
      <c r="G1717" s="12244" t="s">
        <v>8444</v>
      </c>
      <c r="H1717" s="12665" t="s">
        <v>7147</v>
      </c>
      <c r="I1717" s="12669">
        <v>24</v>
      </c>
      <c r="K1717" s="11377"/>
      <c r="L1717" s="11347"/>
      <c r="M1717" s="11347"/>
      <c r="N1717" s="11378"/>
      <c r="O1717" s="11378"/>
      <c r="P1717" s="11379"/>
      <c r="Q1717" s="11350"/>
      <c r="R1717" s="11351"/>
      <c r="S1717" s="11352"/>
      <c r="T1717" s="11353"/>
      <c r="U1717" s="11350"/>
      <c r="V1717" s="11351"/>
      <c r="W1717" s="11353"/>
      <c r="X1717" s="11351"/>
      <c r="Y1717" s="11353"/>
      <c r="Z1717" s="11351"/>
      <c r="AA1717" s="11352"/>
      <c r="AB1717" s="11352"/>
      <c r="AC1717" s="11352"/>
      <c r="AD1717" s="11352"/>
      <c r="AE1717" s="11352"/>
      <c r="AF1717" s="11353"/>
      <c r="AG1717" s="11351"/>
      <c r="AH1717" s="11352"/>
      <c r="AI1717" s="11352"/>
      <c r="AJ1717" s="11352"/>
      <c r="AK1717" s="11352"/>
      <c r="AL1717" s="11352"/>
      <c r="AM1717" s="11352"/>
      <c r="AN1717" s="11353"/>
      <c r="AO1717" s="11351"/>
      <c r="AP1717" s="11352"/>
      <c r="AQ1717" s="11352"/>
      <c r="AR1717" s="11352"/>
      <c r="AS1717" s="11352"/>
      <c r="AT1717" s="11353"/>
      <c r="AU1717" s="11380"/>
      <c r="AV1717" s="11380"/>
      <c r="AW1717" s="11380"/>
      <c r="AX1717" s="11377"/>
      <c r="AY1717" s="11379"/>
      <c r="AZ1717" s="11380"/>
      <c r="BA1717" s="11377"/>
      <c r="BB1717" s="11378"/>
      <c r="BC1717" s="11379"/>
      <c r="BD1717" s="11381"/>
      <c r="BF1717" s="10036"/>
      <c r="BG1717" s="10036"/>
      <c r="BH1717" s="10036"/>
      <c r="BI1717" s="10036"/>
      <c r="BJ1717" s="10036"/>
      <c r="BK1717" s="10036"/>
      <c r="BL1717" s="10036"/>
      <c r="BM1717" s="10036"/>
      <c r="BN1717" s="10036"/>
    </row>
    <row r="1718" spans="1:66" ht="30" hidden="1" customHeight="1">
      <c r="A1718" s="7741">
        <v>1040</v>
      </c>
      <c r="B1718" s="7792" t="s">
        <v>8415</v>
      </c>
      <c r="C1718" s="13616"/>
      <c r="D1718" s="12667" t="s">
        <v>10072</v>
      </c>
      <c r="E1718" s="12663" t="s">
        <v>4269</v>
      </c>
      <c r="F1718" s="12412"/>
      <c r="G1718" s="12244" t="s">
        <v>7149</v>
      </c>
      <c r="H1718" s="12665" t="s">
        <v>7151</v>
      </c>
      <c r="I1718" s="12669">
        <v>12</v>
      </c>
      <c r="K1718" s="11377"/>
      <c r="L1718" s="11347"/>
      <c r="M1718" s="11347"/>
      <c r="N1718" s="11378"/>
      <c r="O1718" s="11378"/>
      <c r="P1718" s="11379"/>
      <c r="Q1718" s="11350"/>
      <c r="R1718" s="11351"/>
      <c r="S1718" s="11352"/>
      <c r="T1718" s="11353"/>
      <c r="U1718" s="11350"/>
      <c r="V1718" s="11351"/>
      <c r="W1718" s="11353"/>
      <c r="X1718" s="11351"/>
      <c r="Y1718" s="11353"/>
      <c r="Z1718" s="11351"/>
      <c r="AA1718" s="11352"/>
      <c r="AB1718" s="11352"/>
      <c r="AC1718" s="11352"/>
      <c r="AD1718" s="11352"/>
      <c r="AE1718" s="11352"/>
      <c r="AF1718" s="11353"/>
      <c r="AG1718" s="11351"/>
      <c r="AH1718" s="11352"/>
      <c r="AI1718" s="11352"/>
      <c r="AJ1718" s="11352"/>
      <c r="AK1718" s="11352"/>
      <c r="AL1718" s="11352"/>
      <c r="AM1718" s="11352"/>
      <c r="AN1718" s="11353"/>
      <c r="AO1718" s="11351"/>
      <c r="AP1718" s="11352"/>
      <c r="AQ1718" s="11352"/>
      <c r="AR1718" s="11352"/>
      <c r="AS1718" s="11352"/>
      <c r="AT1718" s="11353"/>
      <c r="AU1718" s="11380"/>
      <c r="AV1718" s="11380"/>
      <c r="AW1718" s="11380"/>
      <c r="AX1718" s="11377"/>
      <c r="AY1718" s="11379"/>
      <c r="AZ1718" s="11380"/>
      <c r="BA1718" s="11377"/>
      <c r="BB1718" s="11378"/>
      <c r="BC1718" s="11379"/>
      <c r="BD1718" s="11381"/>
      <c r="BF1718" s="10036"/>
      <c r="BG1718" s="10036"/>
      <c r="BH1718" s="10036"/>
      <c r="BI1718" s="10036"/>
      <c r="BJ1718" s="10036"/>
      <c r="BK1718" s="10036"/>
      <c r="BL1718" s="10036"/>
      <c r="BM1718" s="10036"/>
      <c r="BN1718" s="10036"/>
    </row>
    <row r="1719" spans="1:66" ht="30" hidden="1" customHeight="1">
      <c r="A1719" s="7741">
        <v>1041</v>
      </c>
      <c r="B1719" s="7792" t="s">
        <v>8416</v>
      </c>
      <c r="C1719" s="13616"/>
      <c r="D1719" s="12542" t="s">
        <v>10063</v>
      </c>
      <c r="E1719" s="12412" t="s">
        <v>724</v>
      </c>
      <c r="F1719" s="12547"/>
      <c r="G1719" s="12244" t="s">
        <v>7154</v>
      </c>
      <c r="H1719" s="11738" t="s">
        <v>7157</v>
      </c>
      <c r="I1719" s="12669">
        <v>10</v>
      </c>
      <c r="K1719" s="11377"/>
      <c r="L1719" s="11347"/>
      <c r="M1719" s="11347"/>
      <c r="N1719" s="11378"/>
      <c r="O1719" s="11378"/>
      <c r="P1719" s="11379"/>
      <c r="Q1719" s="11350"/>
      <c r="R1719" s="11351"/>
      <c r="S1719" s="11352"/>
      <c r="T1719" s="11353"/>
      <c r="U1719" s="11350"/>
      <c r="V1719" s="11351"/>
      <c r="W1719" s="11353"/>
      <c r="X1719" s="11351"/>
      <c r="Y1719" s="11353"/>
      <c r="Z1719" s="11351"/>
      <c r="AA1719" s="11352"/>
      <c r="AB1719" s="11352"/>
      <c r="AC1719" s="11352"/>
      <c r="AD1719" s="11352"/>
      <c r="AE1719" s="11352"/>
      <c r="AF1719" s="11353"/>
      <c r="AG1719" s="11351"/>
      <c r="AH1719" s="11352"/>
      <c r="AI1719" s="11352"/>
      <c r="AJ1719" s="11352"/>
      <c r="AK1719" s="11352"/>
      <c r="AL1719" s="11352"/>
      <c r="AM1719" s="11352"/>
      <c r="AN1719" s="11353"/>
      <c r="AO1719" s="11351"/>
      <c r="AP1719" s="11352"/>
      <c r="AQ1719" s="11352"/>
      <c r="AR1719" s="11352"/>
      <c r="AS1719" s="11352"/>
      <c r="AT1719" s="11353"/>
      <c r="AU1719" s="11380"/>
      <c r="AV1719" s="11380"/>
      <c r="AW1719" s="11380"/>
      <c r="AX1719" s="11377"/>
      <c r="AY1719" s="11379"/>
      <c r="AZ1719" s="11380"/>
      <c r="BA1719" s="11377"/>
      <c r="BB1719" s="11378"/>
      <c r="BC1719" s="11379"/>
      <c r="BD1719" s="11381"/>
      <c r="BF1719" s="10036"/>
      <c r="BG1719" s="10036"/>
      <c r="BH1719" s="10036"/>
      <c r="BI1719" s="10036"/>
      <c r="BJ1719" s="10036"/>
      <c r="BK1719" s="10036"/>
      <c r="BL1719" s="10036"/>
      <c r="BM1719" s="10036"/>
      <c r="BN1719" s="10036"/>
    </row>
    <row r="1720" spans="1:66" ht="30" hidden="1" customHeight="1">
      <c r="A1720" s="13530">
        <v>1042</v>
      </c>
      <c r="B1720" s="14149" t="s">
        <v>8417</v>
      </c>
      <c r="C1720" s="13616"/>
      <c r="D1720" s="12542" t="s">
        <v>10063</v>
      </c>
      <c r="E1720" s="14311" t="s">
        <v>7114</v>
      </c>
      <c r="F1720" s="12547"/>
      <c r="G1720" s="14150" t="s">
        <v>7160</v>
      </c>
      <c r="H1720" s="13401" t="s">
        <v>7163</v>
      </c>
      <c r="I1720" s="12669">
        <v>1</v>
      </c>
      <c r="K1720" s="11377"/>
      <c r="L1720" s="11347"/>
      <c r="M1720" s="11347"/>
      <c r="N1720" s="11378"/>
      <c r="O1720" s="11378"/>
      <c r="P1720" s="11379"/>
      <c r="Q1720" s="11350"/>
      <c r="R1720" s="11351"/>
      <c r="S1720" s="11352"/>
      <c r="T1720" s="11353"/>
      <c r="U1720" s="11350"/>
      <c r="V1720" s="11351"/>
      <c r="W1720" s="11353"/>
      <c r="X1720" s="11351"/>
      <c r="Y1720" s="11353"/>
      <c r="Z1720" s="11351"/>
      <c r="AA1720" s="11352"/>
      <c r="AB1720" s="11352"/>
      <c r="AC1720" s="11352"/>
      <c r="AD1720" s="11352"/>
      <c r="AE1720" s="11352"/>
      <c r="AF1720" s="11353"/>
      <c r="AG1720" s="11351"/>
      <c r="AH1720" s="11352"/>
      <c r="AI1720" s="11352"/>
      <c r="AJ1720" s="11352"/>
      <c r="AK1720" s="11352"/>
      <c r="AL1720" s="11352"/>
      <c r="AM1720" s="11352"/>
      <c r="AN1720" s="11353"/>
      <c r="AO1720" s="11351"/>
      <c r="AP1720" s="11352"/>
      <c r="AQ1720" s="11352"/>
      <c r="AR1720" s="11352"/>
      <c r="AS1720" s="11352"/>
      <c r="AT1720" s="11353"/>
      <c r="AU1720" s="11380"/>
      <c r="AV1720" s="11380"/>
      <c r="AW1720" s="11380"/>
      <c r="AX1720" s="11377"/>
      <c r="AY1720" s="11379"/>
      <c r="AZ1720" s="11380"/>
      <c r="BA1720" s="11377"/>
      <c r="BB1720" s="11378"/>
      <c r="BC1720" s="11379"/>
      <c r="BD1720" s="11381"/>
      <c r="BF1720" s="14510"/>
      <c r="BG1720" s="14510"/>
      <c r="BH1720" s="14510"/>
      <c r="BI1720" s="14510"/>
      <c r="BJ1720" s="14510"/>
      <c r="BK1720" s="10036"/>
      <c r="BL1720" s="14510"/>
      <c r="BM1720" s="14510"/>
      <c r="BN1720" s="14510"/>
    </row>
    <row r="1721" spans="1:66" ht="30" hidden="1" customHeight="1">
      <c r="A1721" s="13530"/>
      <c r="B1721" s="14149"/>
      <c r="C1721" s="13616"/>
      <c r="D1721" s="12542" t="s">
        <v>10066</v>
      </c>
      <c r="E1721" s="14311"/>
      <c r="F1721" s="12547"/>
      <c r="G1721" s="14150"/>
      <c r="H1721" s="13401"/>
      <c r="I1721" s="12669"/>
      <c r="K1721" s="11377"/>
      <c r="L1721" s="11347"/>
      <c r="M1721" s="11347"/>
      <c r="N1721" s="11378"/>
      <c r="O1721" s="11378"/>
      <c r="P1721" s="11379"/>
      <c r="Q1721" s="11350"/>
      <c r="R1721" s="11351"/>
      <c r="S1721" s="11352"/>
      <c r="T1721" s="11353"/>
      <c r="U1721" s="11350"/>
      <c r="V1721" s="11351"/>
      <c r="W1721" s="11353"/>
      <c r="X1721" s="11351"/>
      <c r="Y1721" s="11353"/>
      <c r="Z1721" s="11351"/>
      <c r="AA1721" s="11352"/>
      <c r="AB1721" s="11352"/>
      <c r="AC1721" s="11352"/>
      <c r="AD1721" s="11352"/>
      <c r="AE1721" s="11352"/>
      <c r="AF1721" s="11353"/>
      <c r="AG1721" s="11351"/>
      <c r="AH1721" s="11352"/>
      <c r="AI1721" s="11352"/>
      <c r="AJ1721" s="11352"/>
      <c r="AK1721" s="11352"/>
      <c r="AL1721" s="11352"/>
      <c r="AM1721" s="11352"/>
      <c r="AN1721" s="11353"/>
      <c r="AO1721" s="11351"/>
      <c r="AP1721" s="11352"/>
      <c r="AQ1721" s="11352"/>
      <c r="AR1721" s="11352"/>
      <c r="AS1721" s="11352"/>
      <c r="AT1721" s="11353"/>
      <c r="AU1721" s="11380"/>
      <c r="AV1721" s="11380"/>
      <c r="AW1721" s="11380"/>
      <c r="AX1721" s="11377"/>
      <c r="AY1721" s="11379"/>
      <c r="AZ1721" s="11380"/>
      <c r="BA1721" s="11377"/>
      <c r="BB1721" s="11378"/>
      <c r="BC1721" s="11379"/>
      <c r="BD1721" s="11381"/>
      <c r="BF1721" s="14510"/>
      <c r="BG1721" s="14510"/>
      <c r="BH1721" s="14510"/>
      <c r="BI1721" s="14510"/>
      <c r="BJ1721" s="14510"/>
      <c r="BK1721" s="10036"/>
      <c r="BL1721" s="14510"/>
      <c r="BM1721" s="14510"/>
      <c r="BN1721" s="14510"/>
    </row>
    <row r="1722" spans="1:66" ht="30" hidden="1" customHeight="1">
      <c r="A1722" s="7741">
        <v>1043</v>
      </c>
      <c r="B1722" s="7792" t="s">
        <v>8418</v>
      </c>
      <c r="C1722" s="13616"/>
      <c r="D1722" s="12542" t="s">
        <v>10063</v>
      </c>
      <c r="E1722" s="12412" t="s">
        <v>724</v>
      </c>
      <c r="F1722" s="12547"/>
      <c r="G1722" s="12244" t="s">
        <v>7167</v>
      </c>
      <c r="H1722" s="11738" t="s">
        <v>7170</v>
      </c>
      <c r="I1722" s="12668">
        <v>0.5</v>
      </c>
      <c r="K1722" s="11356"/>
      <c r="L1722" s="11347"/>
      <c r="M1722" s="11347"/>
      <c r="N1722" s="11347"/>
      <c r="O1722" s="11347"/>
      <c r="P1722" s="11357"/>
      <c r="Q1722" s="11350"/>
      <c r="R1722" s="11351"/>
      <c r="S1722" s="11352"/>
      <c r="T1722" s="11353"/>
      <c r="U1722" s="11350"/>
      <c r="V1722" s="11351"/>
      <c r="W1722" s="11353"/>
      <c r="X1722" s="11351"/>
      <c r="Y1722" s="11353"/>
      <c r="Z1722" s="11351"/>
      <c r="AA1722" s="11352"/>
      <c r="AB1722" s="11352"/>
      <c r="AC1722" s="11352"/>
      <c r="AD1722" s="11352"/>
      <c r="AE1722" s="11352"/>
      <c r="AF1722" s="11353"/>
      <c r="AG1722" s="11351"/>
      <c r="AH1722" s="11352"/>
      <c r="AI1722" s="11352"/>
      <c r="AJ1722" s="11352"/>
      <c r="AK1722" s="11352"/>
      <c r="AL1722" s="11352"/>
      <c r="AM1722" s="11352"/>
      <c r="AN1722" s="11353"/>
      <c r="AO1722" s="11351"/>
      <c r="AP1722" s="11352"/>
      <c r="AQ1722" s="11352"/>
      <c r="AR1722" s="11352"/>
      <c r="AS1722" s="11352"/>
      <c r="AT1722" s="11353"/>
      <c r="AU1722" s="11358"/>
      <c r="AV1722" s="11358"/>
      <c r="AW1722" s="11358"/>
      <c r="AX1722" s="11356"/>
      <c r="AY1722" s="11357"/>
      <c r="AZ1722" s="11358"/>
      <c r="BA1722" s="11356"/>
      <c r="BB1722" s="11347"/>
      <c r="BC1722" s="11357"/>
      <c r="BD1722" s="11359"/>
      <c r="BF1722" s="10036"/>
      <c r="BG1722" s="10036"/>
      <c r="BH1722" s="10036"/>
      <c r="BI1722" s="10036"/>
      <c r="BJ1722" s="10036"/>
      <c r="BK1722" s="10036"/>
      <c r="BL1722" s="10036"/>
      <c r="BM1722" s="10036"/>
      <c r="BN1722" s="10036"/>
    </row>
    <row r="1723" spans="1:66" ht="30" hidden="1" customHeight="1">
      <c r="A1723" s="13530">
        <v>1044</v>
      </c>
      <c r="B1723" s="14149" t="s">
        <v>8419</v>
      </c>
      <c r="C1723" s="13616"/>
      <c r="D1723" s="12542" t="s">
        <v>10063</v>
      </c>
      <c r="E1723" s="14311" t="s">
        <v>7114</v>
      </c>
      <c r="F1723" s="12547"/>
      <c r="G1723" s="14150" t="s">
        <v>7173</v>
      </c>
      <c r="H1723" s="13401" t="s">
        <v>7175</v>
      </c>
      <c r="I1723" s="12671">
        <v>2</v>
      </c>
      <c r="K1723" s="11392"/>
      <c r="L1723" s="11347"/>
      <c r="M1723" s="11347"/>
      <c r="N1723" s="11393"/>
      <c r="O1723" s="11393"/>
      <c r="P1723" s="11394"/>
      <c r="Q1723" s="11350"/>
      <c r="R1723" s="11351"/>
      <c r="S1723" s="11352"/>
      <c r="T1723" s="11353"/>
      <c r="U1723" s="11350"/>
      <c r="V1723" s="11351"/>
      <c r="W1723" s="11353"/>
      <c r="X1723" s="11351"/>
      <c r="Y1723" s="11353"/>
      <c r="Z1723" s="11351"/>
      <c r="AA1723" s="11352"/>
      <c r="AB1723" s="11352"/>
      <c r="AC1723" s="11352"/>
      <c r="AD1723" s="11352"/>
      <c r="AE1723" s="11352"/>
      <c r="AF1723" s="11353"/>
      <c r="AG1723" s="11351"/>
      <c r="AH1723" s="11352"/>
      <c r="AI1723" s="11352"/>
      <c r="AJ1723" s="11352"/>
      <c r="AK1723" s="11352"/>
      <c r="AL1723" s="11352"/>
      <c r="AM1723" s="11352"/>
      <c r="AN1723" s="11353"/>
      <c r="AO1723" s="11351"/>
      <c r="AP1723" s="11352"/>
      <c r="AQ1723" s="11352"/>
      <c r="AR1723" s="11352"/>
      <c r="AS1723" s="11352"/>
      <c r="AT1723" s="11353"/>
      <c r="AU1723" s="11395"/>
      <c r="AV1723" s="11395"/>
      <c r="AW1723" s="11395"/>
      <c r="AX1723" s="11392"/>
      <c r="AY1723" s="11394"/>
      <c r="AZ1723" s="11395"/>
      <c r="BA1723" s="11392"/>
      <c r="BB1723" s="11393"/>
      <c r="BC1723" s="11394"/>
      <c r="BD1723" s="11396"/>
      <c r="BF1723" s="14510"/>
      <c r="BG1723" s="14510"/>
      <c r="BH1723" s="14510"/>
      <c r="BI1723" s="14510"/>
      <c r="BJ1723" s="14510"/>
      <c r="BK1723" s="10036"/>
      <c r="BL1723" s="14510"/>
      <c r="BM1723" s="14510"/>
      <c r="BN1723" s="14510"/>
    </row>
    <row r="1724" spans="1:66" ht="30" hidden="1" customHeight="1" thickBot="1">
      <c r="A1724" s="13651"/>
      <c r="B1724" s="14151"/>
      <c r="C1724" s="13616"/>
      <c r="D1724" s="12556" t="s">
        <v>10066</v>
      </c>
      <c r="E1724" s="14414"/>
      <c r="F1724" s="12417"/>
      <c r="G1724" s="14152"/>
      <c r="H1724" s="13402"/>
      <c r="I1724" s="12672"/>
      <c r="K1724" s="11397"/>
      <c r="L1724" s="11398"/>
      <c r="M1724" s="11398"/>
      <c r="N1724" s="11399"/>
      <c r="O1724" s="11399"/>
      <c r="P1724" s="11400"/>
      <c r="Q1724" s="11401"/>
      <c r="R1724" s="11402"/>
      <c r="S1724" s="11403"/>
      <c r="T1724" s="11404"/>
      <c r="U1724" s="11401"/>
      <c r="V1724" s="11402"/>
      <c r="W1724" s="11404"/>
      <c r="X1724" s="11402"/>
      <c r="Y1724" s="11404"/>
      <c r="Z1724" s="11402"/>
      <c r="AA1724" s="11403"/>
      <c r="AB1724" s="11403"/>
      <c r="AC1724" s="11403"/>
      <c r="AD1724" s="11403"/>
      <c r="AE1724" s="11403"/>
      <c r="AF1724" s="11404"/>
      <c r="AG1724" s="11402"/>
      <c r="AH1724" s="11403"/>
      <c r="AI1724" s="11403"/>
      <c r="AJ1724" s="11403"/>
      <c r="AK1724" s="11403"/>
      <c r="AL1724" s="11403"/>
      <c r="AM1724" s="11403"/>
      <c r="AN1724" s="11404"/>
      <c r="AO1724" s="11402"/>
      <c r="AP1724" s="11403"/>
      <c r="AQ1724" s="11403"/>
      <c r="AR1724" s="11403"/>
      <c r="AS1724" s="11403"/>
      <c r="AT1724" s="11404"/>
      <c r="AU1724" s="11405"/>
      <c r="AV1724" s="11405"/>
      <c r="AW1724" s="11405"/>
      <c r="AX1724" s="11397"/>
      <c r="AY1724" s="11400"/>
      <c r="AZ1724" s="11405"/>
      <c r="BA1724" s="11397"/>
      <c r="BB1724" s="11399"/>
      <c r="BC1724" s="11400"/>
      <c r="BD1724" s="11406"/>
      <c r="BF1724" s="14511"/>
      <c r="BG1724" s="14511"/>
      <c r="BH1724" s="14511"/>
      <c r="BI1724" s="14511"/>
      <c r="BJ1724" s="14511"/>
      <c r="BK1724" s="9981"/>
      <c r="BL1724" s="14511"/>
      <c r="BM1724" s="14511"/>
      <c r="BN1724" s="14511"/>
    </row>
    <row r="1725" spans="1:66" ht="30" hidden="1" customHeight="1">
      <c r="A1725" s="11407">
        <v>1045</v>
      </c>
      <c r="B1725" s="11408" t="s">
        <v>8420</v>
      </c>
      <c r="C1725" s="13616"/>
      <c r="D1725" s="12673" t="s">
        <v>4305</v>
      </c>
      <c r="E1725" s="12674" t="s">
        <v>311</v>
      </c>
      <c r="F1725" s="12675"/>
      <c r="G1725" s="12676" t="s">
        <v>7183</v>
      </c>
      <c r="H1725" s="12677" t="s">
        <v>7186</v>
      </c>
      <c r="I1725" s="12678">
        <v>1</v>
      </c>
      <c r="K1725" s="11410"/>
      <c r="L1725" s="11411"/>
      <c r="M1725" s="11411"/>
      <c r="N1725" s="11411"/>
      <c r="O1725" s="11411"/>
      <c r="P1725" s="11412"/>
      <c r="Q1725" s="11413"/>
      <c r="R1725" s="11414"/>
      <c r="S1725" s="11415"/>
      <c r="T1725" s="11416"/>
      <c r="U1725" s="11413"/>
      <c r="V1725" s="11414"/>
      <c r="W1725" s="11416"/>
      <c r="X1725" s="11414"/>
      <c r="Y1725" s="11416"/>
      <c r="Z1725" s="11414"/>
      <c r="AA1725" s="11415"/>
      <c r="AB1725" s="11415"/>
      <c r="AC1725" s="11415"/>
      <c r="AD1725" s="11415"/>
      <c r="AE1725" s="11415"/>
      <c r="AF1725" s="11416"/>
      <c r="AG1725" s="11414"/>
      <c r="AH1725" s="11415"/>
      <c r="AI1725" s="11415"/>
      <c r="AJ1725" s="11415"/>
      <c r="AK1725" s="11415"/>
      <c r="AL1725" s="11415"/>
      <c r="AM1725" s="11415"/>
      <c r="AN1725" s="11416"/>
      <c r="AO1725" s="11414"/>
      <c r="AP1725" s="11415"/>
      <c r="AQ1725" s="11415"/>
      <c r="AR1725" s="11415"/>
      <c r="AS1725" s="11415"/>
      <c r="AT1725" s="11416"/>
      <c r="AU1725" s="11417"/>
      <c r="AV1725" s="11417"/>
      <c r="AW1725" s="11417"/>
      <c r="AX1725" s="11410"/>
      <c r="AY1725" s="11412"/>
      <c r="AZ1725" s="11417"/>
      <c r="BA1725" s="11410"/>
      <c r="BB1725" s="11411"/>
      <c r="BC1725" s="11412"/>
      <c r="BD1725" s="11418"/>
      <c r="BF1725" s="11409"/>
      <c r="BG1725" s="11409"/>
      <c r="BH1725" s="11409"/>
      <c r="BI1725" s="11409"/>
      <c r="BJ1725" s="11409"/>
      <c r="BK1725" s="11409"/>
      <c r="BL1725" s="11409"/>
      <c r="BM1725" s="11409"/>
      <c r="BN1725" s="11409"/>
    </row>
    <row r="1726" spans="1:66" ht="30" hidden="1" customHeight="1">
      <c r="A1726" s="10856">
        <v>1046</v>
      </c>
      <c r="B1726" s="10857" t="s">
        <v>8421</v>
      </c>
      <c r="C1726" s="13616"/>
      <c r="D1726" s="12679" t="s">
        <v>4305</v>
      </c>
      <c r="E1726" s="12535" t="s">
        <v>311</v>
      </c>
      <c r="F1726" s="12680"/>
      <c r="G1726" s="12503" t="s">
        <v>7189</v>
      </c>
      <c r="H1726" s="12504" t="s">
        <v>7192</v>
      </c>
      <c r="I1726" s="12681">
        <v>4</v>
      </c>
      <c r="K1726" s="11419"/>
      <c r="L1726" s="11420"/>
      <c r="M1726" s="11420"/>
      <c r="N1726" s="11421"/>
      <c r="O1726" s="11421"/>
      <c r="P1726" s="11422"/>
      <c r="Q1726" s="11423"/>
      <c r="R1726" s="11424"/>
      <c r="S1726" s="11425"/>
      <c r="T1726" s="11426"/>
      <c r="U1726" s="11423"/>
      <c r="V1726" s="11424"/>
      <c r="W1726" s="11426"/>
      <c r="X1726" s="11424"/>
      <c r="Y1726" s="11426"/>
      <c r="Z1726" s="11424"/>
      <c r="AA1726" s="11425"/>
      <c r="AB1726" s="11425"/>
      <c r="AC1726" s="11425"/>
      <c r="AD1726" s="11425"/>
      <c r="AE1726" s="11425"/>
      <c r="AF1726" s="11426"/>
      <c r="AG1726" s="11424"/>
      <c r="AH1726" s="11425"/>
      <c r="AI1726" s="11425"/>
      <c r="AJ1726" s="11425"/>
      <c r="AK1726" s="11425"/>
      <c r="AL1726" s="11425"/>
      <c r="AM1726" s="11425"/>
      <c r="AN1726" s="11426"/>
      <c r="AO1726" s="11424"/>
      <c r="AP1726" s="11425"/>
      <c r="AQ1726" s="11425"/>
      <c r="AR1726" s="11425"/>
      <c r="AS1726" s="11425"/>
      <c r="AT1726" s="11426"/>
      <c r="AU1726" s="11427"/>
      <c r="AV1726" s="11427"/>
      <c r="AW1726" s="11427"/>
      <c r="AX1726" s="11419"/>
      <c r="AY1726" s="11422"/>
      <c r="AZ1726" s="11427"/>
      <c r="BA1726" s="11419"/>
      <c r="BB1726" s="11421"/>
      <c r="BC1726" s="11422"/>
      <c r="BD1726" s="11428"/>
      <c r="BF1726" s="10858"/>
      <c r="BG1726" s="10858"/>
      <c r="BH1726" s="10858"/>
      <c r="BI1726" s="10858"/>
      <c r="BJ1726" s="10858"/>
      <c r="BK1726" s="10858"/>
      <c r="BL1726" s="10858"/>
      <c r="BM1726" s="10858"/>
      <c r="BN1726" s="10858"/>
    </row>
    <row r="1727" spans="1:66" ht="30" hidden="1" customHeight="1">
      <c r="A1727" s="13560">
        <v>1047</v>
      </c>
      <c r="B1727" s="14276" t="s">
        <v>8422</v>
      </c>
      <c r="C1727" s="13616"/>
      <c r="D1727" s="12534" t="s">
        <v>26</v>
      </c>
      <c r="E1727" s="14310" t="s">
        <v>7199</v>
      </c>
      <c r="F1727" s="12535" t="s">
        <v>7200</v>
      </c>
      <c r="G1727" s="14277" t="s">
        <v>7195</v>
      </c>
      <c r="H1727" s="13388" t="s">
        <v>7197</v>
      </c>
      <c r="I1727" s="12682">
        <v>1</v>
      </c>
      <c r="K1727" s="11429"/>
      <c r="L1727" s="11430"/>
      <c r="M1727" s="11430"/>
      <c r="N1727" s="11430"/>
      <c r="O1727" s="11430"/>
      <c r="P1727" s="11431"/>
      <c r="Q1727" s="11432"/>
      <c r="R1727" s="11433"/>
      <c r="S1727" s="11434"/>
      <c r="T1727" s="11435"/>
      <c r="U1727" s="11432"/>
      <c r="V1727" s="11433"/>
      <c r="W1727" s="11435"/>
      <c r="X1727" s="11433"/>
      <c r="Y1727" s="11435"/>
      <c r="Z1727" s="11433"/>
      <c r="AA1727" s="11434"/>
      <c r="AB1727" s="11434"/>
      <c r="AC1727" s="11434"/>
      <c r="AD1727" s="11434"/>
      <c r="AE1727" s="11434"/>
      <c r="AF1727" s="11435"/>
      <c r="AG1727" s="11433"/>
      <c r="AH1727" s="11434"/>
      <c r="AI1727" s="11434"/>
      <c r="AJ1727" s="11434"/>
      <c r="AK1727" s="11434"/>
      <c r="AL1727" s="11434"/>
      <c r="AM1727" s="11434"/>
      <c r="AN1727" s="11435"/>
      <c r="AO1727" s="11433"/>
      <c r="AP1727" s="11434"/>
      <c r="AQ1727" s="11434"/>
      <c r="AR1727" s="11434"/>
      <c r="AS1727" s="11434"/>
      <c r="AT1727" s="11435"/>
      <c r="AU1727" s="11436"/>
      <c r="AV1727" s="11436"/>
      <c r="AW1727" s="11436"/>
      <c r="AX1727" s="11429"/>
      <c r="AY1727" s="11431"/>
      <c r="AZ1727" s="11436"/>
      <c r="BA1727" s="11429"/>
      <c r="BB1727" s="11430"/>
      <c r="BC1727" s="11431"/>
      <c r="BD1727" s="11437"/>
      <c r="BF1727" s="14553"/>
      <c r="BG1727" s="14553"/>
      <c r="BH1727" s="14553"/>
      <c r="BI1727" s="14553"/>
      <c r="BJ1727" s="14553"/>
      <c r="BK1727" s="10858"/>
      <c r="BL1727" s="14553"/>
      <c r="BM1727" s="14553"/>
      <c r="BN1727" s="14553"/>
    </row>
    <row r="1728" spans="1:66" ht="30" hidden="1" customHeight="1">
      <c r="A1728" s="13560"/>
      <c r="B1728" s="14276"/>
      <c r="C1728" s="13616"/>
      <c r="D1728" s="12534" t="s">
        <v>10063</v>
      </c>
      <c r="E1728" s="14310"/>
      <c r="F1728" s="12535"/>
      <c r="G1728" s="14277"/>
      <c r="H1728" s="13388"/>
      <c r="I1728" s="12682"/>
      <c r="K1728" s="11429"/>
      <c r="L1728" s="11430"/>
      <c r="M1728" s="11430"/>
      <c r="N1728" s="11430"/>
      <c r="O1728" s="11430"/>
      <c r="P1728" s="11431"/>
      <c r="Q1728" s="11432"/>
      <c r="R1728" s="11433"/>
      <c r="S1728" s="11434"/>
      <c r="T1728" s="11435"/>
      <c r="U1728" s="11432"/>
      <c r="V1728" s="11433"/>
      <c r="W1728" s="11435"/>
      <c r="X1728" s="11433"/>
      <c r="Y1728" s="11435"/>
      <c r="Z1728" s="11433"/>
      <c r="AA1728" s="11434"/>
      <c r="AB1728" s="11434"/>
      <c r="AC1728" s="11434"/>
      <c r="AD1728" s="11434"/>
      <c r="AE1728" s="11434"/>
      <c r="AF1728" s="11435"/>
      <c r="AG1728" s="11433"/>
      <c r="AH1728" s="11434"/>
      <c r="AI1728" s="11434"/>
      <c r="AJ1728" s="11434"/>
      <c r="AK1728" s="11434"/>
      <c r="AL1728" s="11434"/>
      <c r="AM1728" s="11434"/>
      <c r="AN1728" s="11435"/>
      <c r="AO1728" s="11433"/>
      <c r="AP1728" s="11434"/>
      <c r="AQ1728" s="11434"/>
      <c r="AR1728" s="11434"/>
      <c r="AS1728" s="11434"/>
      <c r="AT1728" s="11435"/>
      <c r="AU1728" s="11436"/>
      <c r="AV1728" s="11436"/>
      <c r="AW1728" s="11436"/>
      <c r="AX1728" s="11429"/>
      <c r="AY1728" s="11431"/>
      <c r="AZ1728" s="11436"/>
      <c r="BA1728" s="11429"/>
      <c r="BB1728" s="11430"/>
      <c r="BC1728" s="11431"/>
      <c r="BD1728" s="11437"/>
      <c r="BF1728" s="14553"/>
      <c r="BG1728" s="14553"/>
      <c r="BH1728" s="14553"/>
      <c r="BI1728" s="14553"/>
      <c r="BJ1728" s="14553"/>
      <c r="BK1728" s="10858"/>
      <c r="BL1728" s="14553"/>
      <c r="BM1728" s="14553"/>
      <c r="BN1728" s="14553"/>
    </row>
    <row r="1729" spans="1:66" ht="30" hidden="1" customHeight="1">
      <c r="A1729" s="13560">
        <v>1048</v>
      </c>
      <c r="B1729" s="14276" t="s">
        <v>8423</v>
      </c>
      <c r="C1729" s="13616"/>
      <c r="D1729" s="12534" t="s">
        <v>4305</v>
      </c>
      <c r="E1729" s="14310" t="s">
        <v>7207</v>
      </c>
      <c r="F1729" s="12680"/>
      <c r="G1729" s="14277" t="s">
        <v>7203</v>
      </c>
      <c r="H1729" s="13388" t="s">
        <v>7205</v>
      </c>
      <c r="I1729" s="12682">
        <v>1</v>
      </c>
      <c r="K1729" s="11429"/>
      <c r="L1729" s="11430"/>
      <c r="M1729" s="11430"/>
      <c r="N1729" s="11430"/>
      <c r="O1729" s="11430"/>
      <c r="P1729" s="11431"/>
      <c r="Q1729" s="11432"/>
      <c r="R1729" s="11433"/>
      <c r="S1729" s="11434"/>
      <c r="T1729" s="11435"/>
      <c r="U1729" s="11432"/>
      <c r="V1729" s="11433"/>
      <c r="W1729" s="11435"/>
      <c r="X1729" s="11433"/>
      <c r="Y1729" s="11435"/>
      <c r="Z1729" s="11433"/>
      <c r="AA1729" s="11434"/>
      <c r="AB1729" s="11434"/>
      <c r="AC1729" s="11434"/>
      <c r="AD1729" s="11434"/>
      <c r="AE1729" s="11434"/>
      <c r="AF1729" s="11435"/>
      <c r="AG1729" s="11433"/>
      <c r="AH1729" s="11434"/>
      <c r="AI1729" s="11434"/>
      <c r="AJ1729" s="11434"/>
      <c r="AK1729" s="11434"/>
      <c r="AL1729" s="11434"/>
      <c r="AM1729" s="11434"/>
      <c r="AN1729" s="11435"/>
      <c r="AO1729" s="11433"/>
      <c r="AP1729" s="11434"/>
      <c r="AQ1729" s="11434"/>
      <c r="AR1729" s="11434"/>
      <c r="AS1729" s="11434"/>
      <c r="AT1729" s="11435"/>
      <c r="AU1729" s="11436"/>
      <c r="AV1729" s="11436"/>
      <c r="AW1729" s="11436"/>
      <c r="AX1729" s="11429"/>
      <c r="AY1729" s="11431"/>
      <c r="AZ1729" s="11436"/>
      <c r="BA1729" s="11429"/>
      <c r="BB1729" s="11430"/>
      <c r="BC1729" s="11431"/>
      <c r="BD1729" s="11437"/>
      <c r="BF1729" s="14553"/>
      <c r="BG1729" s="14553"/>
      <c r="BH1729" s="14553"/>
      <c r="BI1729" s="14553"/>
      <c r="BJ1729" s="14553"/>
      <c r="BK1729" s="10858"/>
      <c r="BL1729" s="14553"/>
      <c r="BM1729" s="14553"/>
      <c r="BN1729" s="14553"/>
    </row>
    <row r="1730" spans="1:66" ht="30" hidden="1" customHeight="1">
      <c r="A1730" s="13560"/>
      <c r="B1730" s="14276"/>
      <c r="C1730" s="13616"/>
      <c r="D1730" s="12534" t="s">
        <v>4337</v>
      </c>
      <c r="E1730" s="14310"/>
      <c r="F1730" s="12680"/>
      <c r="G1730" s="14277"/>
      <c r="H1730" s="13388"/>
      <c r="I1730" s="12682"/>
      <c r="K1730" s="11429"/>
      <c r="L1730" s="11430"/>
      <c r="M1730" s="11430"/>
      <c r="N1730" s="11430"/>
      <c r="O1730" s="11430"/>
      <c r="P1730" s="11431"/>
      <c r="Q1730" s="11432"/>
      <c r="R1730" s="11433"/>
      <c r="S1730" s="11434"/>
      <c r="T1730" s="11435"/>
      <c r="U1730" s="11432"/>
      <c r="V1730" s="11433"/>
      <c r="W1730" s="11435"/>
      <c r="X1730" s="11433"/>
      <c r="Y1730" s="11435"/>
      <c r="Z1730" s="11433"/>
      <c r="AA1730" s="11434"/>
      <c r="AB1730" s="11434"/>
      <c r="AC1730" s="11434"/>
      <c r="AD1730" s="11434"/>
      <c r="AE1730" s="11434"/>
      <c r="AF1730" s="11435"/>
      <c r="AG1730" s="11433"/>
      <c r="AH1730" s="11434"/>
      <c r="AI1730" s="11434"/>
      <c r="AJ1730" s="11434"/>
      <c r="AK1730" s="11434"/>
      <c r="AL1730" s="11434"/>
      <c r="AM1730" s="11434"/>
      <c r="AN1730" s="11435"/>
      <c r="AO1730" s="11433"/>
      <c r="AP1730" s="11434"/>
      <c r="AQ1730" s="11434"/>
      <c r="AR1730" s="11434"/>
      <c r="AS1730" s="11434"/>
      <c r="AT1730" s="11435"/>
      <c r="AU1730" s="11436"/>
      <c r="AV1730" s="11436"/>
      <c r="AW1730" s="11436"/>
      <c r="AX1730" s="11429"/>
      <c r="AY1730" s="11431"/>
      <c r="AZ1730" s="11436"/>
      <c r="BA1730" s="11429"/>
      <c r="BB1730" s="11430"/>
      <c r="BC1730" s="11431"/>
      <c r="BD1730" s="11437"/>
      <c r="BF1730" s="14553"/>
      <c r="BG1730" s="14553"/>
      <c r="BH1730" s="14553"/>
      <c r="BI1730" s="14553"/>
      <c r="BJ1730" s="14553"/>
      <c r="BK1730" s="10858"/>
      <c r="BL1730" s="14553"/>
      <c r="BM1730" s="14553"/>
      <c r="BN1730" s="14553"/>
    </row>
    <row r="1731" spans="1:66" ht="30" hidden="1" customHeight="1">
      <c r="A1731" s="10856">
        <v>1049</v>
      </c>
      <c r="B1731" s="10857" t="s">
        <v>8424</v>
      </c>
      <c r="C1731" s="13616"/>
      <c r="D1731" s="12534" t="s">
        <v>4305</v>
      </c>
      <c r="E1731" s="12535" t="s">
        <v>7213</v>
      </c>
      <c r="F1731" s="12680" t="s">
        <v>7214</v>
      </c>
      <c r="G1731" s="12503" t="s">
        <v>7209</v>
      </c>
      <c r="H1731" s="12504" t="s">
        <v>7211</v>
      </c>
      <c r="I1731" s="12682">
        <v>1</v>
      </c>
      <c r="K1731" s="11429"/>
      <c r="L1731" s="11430"/>
      <c r="M1731" s="11430"/>
      <c r="N1731" s="11430"/>
      <c r="O1731" s="11430"/>
      <c r="P1731" s="11431"/>
      <c r="Q1731" s="11432"/>
      <c r="R1731" s="11433"/>
      <c r="S1731" s="11434"/>
      <c r="T1731" s="11435"/>
      <c r="U1731" s="11432"/>
      <c r="V1731" s="11433"/>
      <c r="W1731" s="11435"/>
      <c r="X1731" s="11433"/>
      <c r="Y1731" s="11435"/>
      <c r="Z1731" s="11433"/>
      <c r="AA1731" s="11434"/>
      <c r="AB1731" s="11434"/>
      <c r="AC1731" s="11434"/>
      <c r="AD1731" s="11434"/>
      <c r="AE1731" s="11434"/>
      <c r="AF1731" s="11435"/>
      <c r="AG1731" s="11433"/>
      <c r="AH1731" s="11434"/>
      <c r="AI1731" s="11434"/>
      <c r="AJ1731" s="11434"/>
      <c r="AK1731" s="11434"/>
      <c r="AL1731" s="11434"/>
      <c r="AM1731" s="11434"/>
      <c r="AN1731" s="11435"/>
      <c r="AO1731" s="11433"/>
      <c r="AP1731" s="11434"/>
      <c r="AQ1731" s="11434"/>
      <c r="AR1731" s="11434"/>
      <c r="AS1731" s="11434"/>
      <c r="AT1731" s="11435"/>
      <c r="AU1731" s="11436"/>
      <c r="AV1731" s="11436"/>
      <c r="AW1731" s="11436"/>
      <c r="AX1731" s="11429"/>
      <c r="AY1731" s="11431"/>
      <c r="AZ1731" s="11436"/>
      <c r="BA1731" s="11429"/>
      <c r="BB1731" s="11430"/>
      <c r="BC1731" s="11431"/>
      <c r="BD1731" s="11437"/>
      <c r="BF1731" s="10858"/>
      <c r="BG1731" s="10858"/>
      <c r="BH1731" s="10858"/>
      <c r="BI1731" s="10858"/>
      <c r="BJ1731" s="10858"/>
      <c r="BK1731" s="10858"/>
      <c r="BL1731" s="10858"/>
      <c r="BM1731" s="10858"/>
      <c r="BN1731" s="10858"/>
    </row>
    <row r="1732" spans="1:66" ht="30" hidden="1" customHeight="1">
      <c r="A1732" s="10856">
        <v>1050</v>
      </c>
      <c r="B1732" s="10857" t="s">
        <v>8425</v>
      </c>
      <c r="C1732" s="13616"/>
      <c r="D1732" s="12534" t="s">
        <v>4305</v>
      </c>
      <c r="E1732" s="12535" t="s">
        <v>311</v>
      </c>
      <c r="F1732" s="12680"/>
      <c r="G1732" s="12503" t="s">
        <v>7217</v>
      </c>
      <c r="H1732" s="12504" t="s">
        <v>7220</v>
      </c>
      <c r="I1732" s="12682">
        <v>1</v>
      </c>
      <c r="K1732" s="11429"/>
      <c r="L1732" s="11430"/>
      <c r="M1732" s="11430"/>
      <c r="N1732" s="11430"/>
      <c r="O1732" s="11430"/>
      <c r="P1732" s="11431"/>
      <c r="Q1732" s="11432"/>
      <c r="R1732" s="11433"/>
      <c r="S1732" s="11434"/>
      <c r="T1732" s="11435"/>
      <c r="U1732" s="11432"/>
      <c r="V1732" s="11433"/>
      <c r="W1732" s="11435"/>
      <c r="X1732" s="11433"/>
      <c r="Y1732" s="11435"/>
      <c r="Z1732" s="11433"/>
      <c r="AA1732" s="11434"/>
      <c r="AB1732" s="11434"/>
      <c r="AC1732" s="11434"/>
      <c r="AD1732" s="11434"/>
      <c r="AE1732" s="11434"/>
      <c r="AF1732" s="11435"/>
      <c r="AG1732" s="11433"/>
      <c r="AH1732" s="11434"/>
      <c r="AI1732" s="11434"/>
      <c r="AJ1732" s="11434"/>
      <c r="AK1732" s="11434"/>
      <c r="AL1732" s="11434"/>
      <c r="AM1732" s="11434"/>
      <c r="AN1732" s="11435"/>
      <c r="AO1732" s="11433"/>
      <c r="AP1732" s="11434"/>
      <c r="AQ1732" s="11434"/>
      <c r="AR1732" s="11434"/>
      <c r="AS1732" s="11434"/>
      <c r="AT1732" s="11435"/>
      <c r="AU1732" s="11436"/>
      <c r="AV1732" s="11436"/>
      <c r="AW1732" s="11436"/>
      <c r="AX1732" s="11429"/>
      <c r="AY1732" s="11431"/>
      <c r="AZ1732" s="11436"/>
      <c r="BA1732" s="11429"/>
      <c r="BB1732" s="11430"/>
      <c r="BC1732" s="11431"/>
      <c r="BD1732" s="11437"/>
      <c r="BF1732" s="10858"/>
      <c r="BG1732" s="10858"/>
      <c r="BH1732" s="10858"/>
      <c r="BI1732" s="10858"/>
      <c r="BJ1732" s="10858"/>
      <c r="BK1732" s="10858"/>
      <c r="BL1732" s="10858"/>
      <c r="BM1732" s="10858"/>
      <c r="BN1732" s="10858"/>
    </row>
    <row r="1733" spans="1:66" ht="30" hidden="1" customHeight="1">
      <c r="A1733" s="10856">
        <v>1051</v>
      </c>
      <c r="B1733" s="10857" t="s">
        <v>8426</v>
      </c>
      <c r="C1733" s="13616"/>
      <c r="D1733" s="12534" t="s">
        <v>4305</v>
      </c>
      <c r="E1733" s="12535" t="s">
        <v>1322</v>
      </c>
      <c r="F1733" s="12680"/>
      <c r="G1733" s="12503" t="s">
        <v>7224</v>
      </c>
      <c r="H1733" s="12504" t="s">
        <v>7227</v>
      </c>
      <c r="I1733" s="12682">
        <v>1</v>
      </c>
      <c r="K1733" s="11429"/>
      <c r="L1733" s="11430"/>
      <c r="M1733" s="11430"/>
      <c r="N1733" s="11430"/>
      <c r="O1733" s="11430"/>
      <c r="P1733" s="11431"/>
      <c r="Q1733" s="11432"/>
      <c r="R1733" s="11433"/>
      <c r="S1733" s="11434"/>
      <c r="T1733" s="11435"/>
      <c r="U1733" s="11432"/>
      <c r="V1733" s="11433"/>
      <c r="W1733" s="11435"/>
      <c r="X1733" s="11433"/>
      <c r="Y1733" s="11435"/>
      <c r="Z1733" s="11433"/>
      <c r="AA1733" s="11434"/>
      <c r="AB1733" s="11434"/>
      <c r="AC1733" s="11434"/>
      <c r="AD1733" s="11434"/>
      <c r="AE1733" s="11434"/>
      <c r="AF1733" s="11435"/>
      <c r="AG1733" s="11433"/>
      <c r="AH1733" s="11434"/>
      <c r="AI1733" s="11434"/>
      <c r="AJ1733" s="11434"/>
      <c r="AK1733" s="11434"/>
      <c r="AL1733" s="11434"/>
      <c r="AM1733" s="11434"/>
      <c r="AN1733" s="11435"/>
      <c r="AO1733" s="11433"/>
      <c r="AP1733" s="11434"/>
      <c r="AQ1733" s="11434"/>
      <c r="AR1733" s="11434"/>
      <c r="AS1733" s="11434"/>
      <c r="AT1733" s="11435"/>
      <c r="AU1733" s="11436"/>
      <c r="AV1733" s="11436"/>
      <c r="AW1733" s="11436"/>
      <c r="AX1733" s="11429"/>
      <c r="AY1733" s="11431"/>
      <c r="AZ1733" s="11436"/>
      <c r="BA1733" s="11429"/>
      <c r="BB1733" s="11430"/>
      <c r="BC1733" s="11431"/>
      <c r="BD1733" s="11437"/>
      <c r="BF1733" s="10858"/>
      <c r="BG1733" s="10858"/>
      <c r="BH1733" s="10858"/>
      <c r="BI1733" s="10858"/>
      <c r="BJ1733" s="10858"/>
      <c r="BK1733" s="10858"/>
      <c r="BL1733" s="10858"/>
      <c r="BM1733" s="10858"/>
      <c r="BN1733" s="10858"/>
    </row>
    <row r="1734" spans="1:66" ht="30" hidden="1" customHeight="1">
      <c r="A1734" s="10856">
        <v>1052</v>
      </c>
      <c r="B1734" s="10857" t="s">
        <v>8427</v>
      </c>
      <c r="C1734" s="13616"/>
      <c r="D1734" s="12534" t="s">
        <v>10063</v>
      </c>
      <c r="E1734" s="12535" t="s">
        <v>144</v>
      </c>
      <c r="F1734" s="12680"/>
      <c r="G1734" s="12503" t="s">
        <v>7229</v>
      </c>
      <c r="H1734" s="12504" t="s">
        <v>7232</v>
      </c>
      <c r="I1734" s="12682">
        <v>1</v>
      </c>
      <c r="K1734" s="11429"/>
      <c r="L1734" s="11430"/>
      <c r="M1734" s="11430"/>
      <c r="N1734" s="11430"/>
      <c r="O1734" s="11430"/>
      <c r="P1734" s="11431"/>
      <c r="Q1734" s="11432"/>
      <c r="R1734" s="11433"/>
      <c r="S1734" s="11434"/>
      <c r="T1734" s="11435"/>
      <c r="U1734" s="11432"/>
      <c r="V1734" s="11433"/>
      <c r="W1734" s="11435"/>
      <c r="X1734" s="11433"/>
      <c r="Y1734" s="11435"/>
      <c r="Z1734" s="11433"/>
      <c r="AA1734" s="11434"/>
      <c r="AB1734" s="11434"/>
      <c r="AC1734" s="11434"/>
      <c r="AD1734" s="11434"/>
      <c r="AE1734" s="11434"/>
      <c r="AF1734" s="11435"/>
      <c r="AG1734" s="11433"/>
      <c r="AH1734" s="11434"/>
      <c r="AI1734" s="11434"/>
      <c r="AJ1734" s="11434"/>
      <c r="AK1734" s="11434"/>
      <c r="AL1734" s="11434"/>
      <c r="AM1734" s="11434"/>
      <c r="AN1734" s="11435"/>
      <c r="AO1734" s="11433"/>
      <c r="AP1734" s="11434"/>
      <c r="AQ1734" s="11434"/>
      <c r="AR1734" s="11434"/>
      <c r="AS1734" s="11434"/>
      <c r="AT1734" s="11435"/>
      <c r="AU1734" s="11436"/>
      <c r="AV1734" s="11436"/>
      <c r="AW1734" s="11436"/>
      <c r="AX1734" s="11429"/>
      <c r="AY1734" s="11431"/>
      <c r="AZ1734" s="11436"/>
      <c r="BA1734" s="11429"/>
      <c r="BB1734" s="11430"/>
      <c r="BC1734" s="11431"/>
      <c r="BD1734" s="11437"/>
      <c r="BF1734" s="10858"/>
      <c r="BG1734" s="10858"/>
      <c r="BH1734" s="10858"/>
      <c r="BI1734" s="10858"/>
      <c r="BJ1734" s="10858"/>
      <c r="BK1734" s="10858"/>
      <c r="BL1734" s="10858"/>
      <c r="BM1734" s="10858"/>
      <c r="BN1734" s="10858"/>
    </row>
    <row r="1735" spans="1:66" ht="30" hidden="1" customHeight="1">
      <c r="A1735" s="13560">
        <v>1053</v>
      </c>
      <c r="B1735" s="14276" t="s">
        <v>8428</v>
      </c>
      <c r="C1735" s="13616"/>
      <c r="D1735" s="12534" t="s">
        <v>10063</v>
      </c>
      <c r="E1735" s="14310" t="s">
        <v>7240</v>
      </c>
      <c r="F1735" s="12680"/>
      <c r="G1735" s="14277" t="s">
        <v>7236</v>
      </c>
      <c r="H1735" s="13388" t="s">
        <v>7238</v>
      </c>
      <c r="I1735" s="12681">
        <v>40</v>
      </c>
      <c r="K1735" s="11438"/>
      <c r="L1735" s="11430"/>
      <c r="M1735" s="11430"/>
      <c r="N1735" s="11439"/>
      <c r="O1735" s="11439"/>
      <c r="P1735" s="11440"/>
      <c r="Q1735" s="11432"/>
      <c r="R1735" s="11433"/>
      <c r="S1735" s="11434"/>
      <c r="T1735" s="11435"/>
      <c r="U1735" s="11432"/>
      <c r="V1735" s="11433"/>
      <c r="W1735" s="11435"/>
      <c r="X1735" s="11433"/>
      <c r="Y1735" s="11435"/>
      <c r="Z1735" s="11433"/>
      <c r="AA1735" s="11434"/>
      <c r="AB1735" s="11434"/>
      <c r="AC1735" s="11434"/>
      <c r="AD1735" s="11434"/>
      <c r="AE1735" s="11434"/>
      <c r="AF1735" s="11435"/>
      <c r="AG1735" s="11433"/>
      <c r="AH1735" s="11434"/>
      <c r="AI1735" s="11434"/>
      <c r="AJ1735" s="11434"/>
      <c r="AK1735" s="11434"/>
      <c r="AL1735" s="11434"/>
      <c r="AM1735" s="11434"/>
      <c r="AN1735" s="11435"/>
      <c r="AO1735" s="11433"/>
      <c r="AP1735" s="11434"/>
      <c r="AQ1735" s="11434"/>
      <c r="AR1735" s="11434"/>
      <c r="AS1735" s="11434"/>
      <c r="AT1735" s="11435"/>
      <c r="AU1735" s="11441"/>
      <c r="AV1735" s="11441"/>
      <c r="AW1735" s="11441"/>
      <c r="AX1735" s="11438"/>
      <c r="AY1735" s="11440"/>
      <c r="AZ1735" s="11441"/>
      <c r="BA1735" s="11438"/>
      <c r="BB1735" s="11439"/>
      <c r="BC1735" s="11440"/>
      <c r="BD1735" s="11442"/>
      <c r="BF1735" s="14553"/>
      <c r="BG1735" s="14553"/>
      <c r="BH1735" s="14553"/>
      <c r="BI1735" s="14553"/>
      <c r="BJ1735" s="14553"/>
      <c r="BK1735" s="10858"/>
      <c r="BL1735" s="14553"/>
      <c r="BM1735" s="14553"/>
      <c r="BN1735" s="14553"/>
    </row>
    <row r="1736" spans="1:66" ht="30" hidden="1" customHeight="1">
      <c r="A1736" s="13560"/>
      <c r="B1736" s="14276"/>
      <c r="C1736" s="13616"/>
      <c r="D1736" s="12534" t="s">
        <v>4305</v>
      </c>
      <c r="E1736" s="14310"/>
      <c r="F1736" s="12680"/>
      <c r="G1736" s="14277"/>
      <c r="H1736" s="13388"/>
      <c r="I1736" s="12681"/>
      <c r="K1736" s="11438"/>
      <c r="L1736" s="11430"/>
      <c r="M1736" s="11430"/>
      <c r="N1736" s="11439"/>
      <c r="O1736" s="11439"/>
      <c r="P1736" s="11440"/>
      <c r="Q1736" s="11432"/>
      <c r="R1736" s="11433"/>
      <c r="S1736" s="11434"/>
      <c r="T1736" s="11435"/>
      <c r="U1736" s="11432"/>
      <c r="V1736" s="11433"/>
      <c r="W1736" s="11435"/>
      <c r="X1736" s="11433"/>
      <c r="Y1736" s="11435"/>
      <c r="Z1736" s="11433"/>
      <c r="AA1736" s="11434"/>
      <c r="AB1736" s="11434"/>
      <c r="AC1736" s="11434"/>
      <c r="AD1736" s="11434"/>
      <c r="AE1736" s="11434"/>
      <c r="AF1736" s="11435"/>
      <c r="AG1736" s="11433"/>
      <c r="AH1736" s="11434"/>
      <c r="AI1736" s="11434"/>
      <c r="AJ1736" s="11434"/>
      <c r="AK1736" s="11434"/>
      <c r="AL1736" s="11434"/>
      <c r="AM1736" s="11434"/>
      <c r="AN1736" s="11435"/>
      <c r="AO1736" s="11433"/>
      <c r="AP1736" s="11434"/>
      <c r="AQ1736" s="11434"/>
      <c r="AR1736" s="11434"/>
      <c r="AS1736" s="11434"/>
      <c r="AT1736" s="11435"/>
      <c r="AU1736" s="11441"/>
      <c r="AV1736" s="11441"/>
      <c r="AW1736" s="11441"/>
      <c r="AX1736" s="11438"/>
      <c r="AY1736" s="11440"/>
      <c r="AZ1736" s="11441"/>
      <c r="BA1736" s="11438"/>
      <c r="BB1736" s="11439"/>
      <c r="BC1736" s="11440"/>
      <c r="BD1736" s="11442"/>
      <c r="BF1736" s="14553"/>
      <c r="BG1736" s="14553"/>
      <c r="BH1736" s="14553"/>
      <c r="BI1736" s="14553"/>
      <c r="BJ1736" s="14553"/>
      <c r="BK1736" s="10858"/>
      <c r="BL1736" s="14553"/>
      <c r="BM1736" s="14553"/>
      <c r="BN1736" s="14553"/>
    </row>
    <row r="1737" spans="1:66" ht="30" hidden="1" customHeight="1">
      <c r="A1737" s="10856">
        <v>1054</v>
      </c>
      <c r="B1737" s="10857" t="s">
        <v>8429</v>
      </c>
      <c r="C1737" s="13616"/>
      <c r="D1737" s="12534" t="s">
        <v>10070</v>
      </c>
      <c r="E1737" s="12680" t="s">
        <v>512</v>
      </c>
      <c r="F1737" s="12680"/>
      <c r="G1737" s="12503" t="s">
        <v>7243</v>
      </c>
      <c r="H1737" s="12504" t="s">
        <v>7245</v>
      </c>
      <c r="I1737" s="12683">
        <v>1</v>
      </c>
      <c r="K1737" s="11443"/>
      <c r="L1737" s="11430"/>
      <c r="M1737" s="11430"/>
      <c r="N1737" s="11444"/>
      <c r="O1737" s="11444"/>
      <c r="P1737" s="11445"/>
      <c r="Q1737" s="11432"/>
      <c r="R1737" s="11433"/>
      <c r="S1737" s="11434"/>
      <c r="T1737" s="11435"/>
      <c r="U1737" s="11432"/>
      <c r="V1737" s="11433"/>
      <c r="W1737" s="11435"/>
      <c r="X1737" s="11433"/>
      <c r="Y1737" s="11435"/>
      <c r="Z1737" s="11433"/>
      <c r="AA1737" s="11434"/>
      <c r="AB1737" s="11434"/>
      <c r="AC1737" s="11434"/>
      <c r="AD1737" s="11434"/>
      <c r="AE1737" s="11434"/>
      <c r="AF1737" s="11435"/>
      <c r="AG1737" s="11433"/>
      <c r="AH1737" s="11434"/>
      <c r="AI1737" s="11434"/>
      <c r="AJ1737" s="11434"/>
      <c r="AK1737" s="11434"/>
      <c r="AL1737" s="11434"/>
      <c r="AM1737" s="11434"/>
      <c r="AN1737" s="11435"/>
      <c r="AO1737" s="11433"/>
      <c r="AP1737" s="11434"/>
      <c r="AQ1737" s="11434"/>
      <c r="AR1737" s="11434"/>
      <c r="AS1737" s="11434"/>
      <c r="AT1737" s="11435"/>
      <c r="AU1737" s="11446"/>
      <c r="AV1737" s="11446"/>
      <c r="AW1737" s="11446"/>
      <c r="AX1737" s="11443"/>
      <c r="AY1737" s="11445"/>
      <c r="AZ1737" s="11446"/>
      <c r="BA1737" s="11443"/>
      <c r="BB1737" s="11444"/>
      <c r="BC1737" s="11445"/>
      <c r="BD1737" s="11447"/>
      <c r="BF1737" s="10858"/>
      <c r="BG1737" s="10858"/>
      <c r="BH1737" s="10858"/>
      <c r="BI1737" s="10858"/>
      <c r="BJ1737" s="10858"/>
      <c r="BK1737" s="10858"/>
      <c r="BL1737" s="10858"/>
      <c r="BM1737" s="10858"/>
      <c r="BN1737" s="10858"/>
    </row>
    <row r="1738" spans="1:66" ht="30" hidden="1" customHeight="1">
      <c r="A1738" s="10856">
        <v>1055</v>
      </c>
      <c r="B1738" s="10857" t="s">
        <v>8430</v>
      </c>
      <c r="C1738" s="13616"/>
      <c r="D1738" s="12534" t="s">
        <v>4305</v>
      </c>
      <c r="E1738" s="12535" t="s">
        <v>311</v>
      </c>
      <c r="F1738" s="12680"/>
      <c r="G1738" s="12503" t="s">
        <v>7249</v>
      </c>
      <c r="H1738" s="12504" t="s">
        <v>7252</v>
      </c>
      <c r="I1738" s="12682">
        <v>1</v>
      </c>
      <c r="K1738" s="11429"/>
      <c r="L1738" s="11430"/>
      <c r="M1738" s="11430"/>
      <c r="N1738" s="11430"/>
      <c r="O1738" s="11430"/>
      <c r="P1738" s="11431"/>
      <c r="Q1738" s="11432"/>
      <c r="R1738" s="11433"/>
      <c r="S1738" s="11434"/>
      <c r="T1738" s="11435"/>
      <c r="U1738" s="11432"/>
      <c r="V1738" s="11433"/>
      <c r="W1738" s="11435"/>
      <c r="X1738" s="11433"/>
      <c r="Y1738" s="11435"/>
      <c r="Z1738" s="11433"/>
      <c r="AA1738" s="11434"/>
      <c r="AB1738" s="11434"/>
      <c r="AC1738" s="11434"/>
      <c r="AD1738" s="11434"/>
      <c r="AE1738" s="11434"/>
      <c r="AF1738" s="11435"/>
      <c r="AG1738" s="11433"/>
      <c r="AH1738" s="11434"/>
      <c r="AI1738" s="11434"/>
      <c r="AJ1738" s="11434"/>
      <c r="AK1738" s="11434"/>
      <c r="AL1738" s="11434"/>
      <c r="AM1738" s="11434"/>
      <c r="AN1738" s="11435"/>
      <c r="AO1738" s="11433"/>
      <c r="AP1738" s="11434"/>
      <c r="AQ1738" s="11434"/>
      <c r="AR1738" s="11434"/>
      <c r="AS1738" s="11434"/>
      <c r="AT1738" s="11435"/>
      <c r="AU1738" s="11436"/>
      <c r="AV1738" s="11436"/>
      <c r="AW1738" s="11436"/>
      <c r="AX1738" s="11429"/>
      <c r="AY1738" s="11431"/>
      <c r="AZ1738" s="11436"/>
      <c r="BA1738" s="11429"/>
      <c r="BB1738" s="11430"/>
      <c r="BC1738" s="11431"/>
      <c r="BD1738" s="11437"/>
      <c r="BF1738" s="10858"/>
      <c r="BG1738" s="10858"/>
      <c r="BH1738" s="10858"/>
      <c r="BI1738" s="10858"/>
      <c r="BJ1738" s="10858"/>
      <c r="BK1738" s="10858"/>
      <c r="BL1738" s="10858"/>
      <c r="BM1738" s="10858"/>
      <c r="BN1738" s="10858"/>
    </row>
    <row r="1739" spans="1:66" ht="30" hidden="1" customHeight="1" thickBot="1">
      <c r="A1739" s="10883">
        <v>1056</v>
      </c>
      <c r="B1739" s="10884" t="s">
        <v>8431</v>
      </c>
      <c r="C1739" s="13616"/>
      <c r="D1739" s="12537" t="s">
        <v>4305</v>
      </c>
      <c r="E1739" s="12684" t="s">
        <v>311</v>
      </c>
      <c r="F1739" s="12684" t="s">
        <v>7259</v>
      </c>
      <c r="G1739" s="12510" t="s">
        <v>7255</v>
      </c>
      <c r="H1739" s="12511" t="s">
        <v>7257</v>
      </c>
      <c r="I1739" s="12685">
        <v>1</v>
      </c>
      <c r="K1739" s="11448"/>
      <c r="L1739" s="11449"/>
      <c r="M1739" s="11449"/>
      <c r="N1739" s="11449"/>
      <c r="O1739" s="11449"/>
      <c r="P1739" s="11450"/>
      <c r="Q1739" s="11451"/>
      <c r="R1739" s="11452"/>
      <c r="S1739" s="11453"/>
      <c r="T1739" s="11454"/>
      <c r="U1739" s="11451"/>
      <c r="V1739" s="11452"/>
      <c r="W1739" s="11454"/>
      <c r="X1739" s="11452"/>
      <c r="Y1739" s="11454"/>
      <c r="Z1739" s="11452"/>
      <c r="AA1739" s="11453"/>
      <c r="AB1739" s="11453"/>
      <c r="AC1739" s="11453"/>
      <c r="AD1739" s="11453"/>
      <c r="AE1739" s="11453"/>
      <c r="AF1739" s="11454"/>
      <c r="AG1739" s="11452"/>
      <c r="AH1739" s="11453"/>
      <c r="AI1739" s="11453"/>
      <c r="AJ1739" s="11453"/>
      <c r="AK1739" s="11453"/>
      <c r="AL1739" s="11453"/>
      <c r="AM1739" s="11453"/>
      <c r="AN1739" s="11454"/>
      <c r="AO1739" s="11452"/>
      <c r="AP1739" s="11453"/>
      <c r="AQ1739" s="11453"/>
      <c r="AR1739" s="11453"/>
      <c r="AS1739" s="11453"/>
      <c r="AT1739" s="11454"/>
      <c r="AU1739" s="11455"/>
      <c r="AV1739" s="11455"/>
      <c r="AW1739" s="11455"/>
      <c r="AX1739" s="11448"/>
      <c r="AY1739" s="11450"/>
      <c r="AZ1739" s="11455"/>
      <c r="BA1739" s="11448"/>
      <c r="BB1739" s="11449"/>
      <c r="BC1739" s="11450"/>
      <c r="BD1739" s="11456"/>
      <c r="BF1739" s="10885"/>
      <c r="BG1739" s="10885"/>
      <c r="BH1739" s="10885"/>
      <c r="BI1739" s="10885"/>
      <c r="BJ1739" s="10885"/>
      <c r="BK1739" s="10885"/>
      <c r="BL1739" s="10885"/>
      <c r="BM1739" s="10885"/>
      <c r="BN1739" s="10885"/>
    </row>
    <row r="1740" spans="1:66" ht="30" hidden="1" customHeight="1">
      <c r="A1740" s="13646">
        <v>1057</v>
      </c>
      <c r="B1740" s="14393" t="s">
        <v>8432</v>
      </c>
      <c r="C1740" s="13616"/>
      <c r="D1740" s="12686" t="s">
        <v>10063</v>
      </c>
      <c r="E1740" s="14415" t="s">
        <v>7272</v>
      </c>
      <c r="F1740" s="12687"/>
      <c r="G1740" s="14395" t="s">
        <v>7267</v>
      </c>
      <c r="H1740" s="13389" t="s">
        <v>7270</v>
      </c>
      <c r="I1740" s="12688">
        <v>80</v>
      </c>
      <c r="K1740" s="11457"/>
      <c r="L1740" s="11458"/>
      <c r="M1740" s="11458"/>
      <c r="N1740" s="11459"/>
      <c r="O1740" s="11459"/>
      <c r="P1740" s="11460"/>
      <c r="Q1740" s="11461"/>
      <c r="R1740" s="11462"/>
      <c r="S1740" s="11463"/>
      <c r="T1740" s="11464"/>
      <c r="U1740" s="11461"/>
      <c r="V1740" s="11462"/>
      <c r="W1740" s="11464"/>
      <c r="X1740" s="11462"/>
      <c r="Y1740" s="11464"/>
      <c r="Z1740" s="11462"/>
      <c r="AA1740" s="11463"/>
      <c r="AB1740" s="11463"/>
      <c r="AC1740" s="11463"/>
      <c r="AD1740" s="11463"/>
      <c r="AE1740" s="11463"/>
      <c r="AF1740" s="11464"/>
      <c r="AG1740" s="11462"/>
      <c r="AH1740" s="11463"/>
      <c r="AI1740" s="11463"/>
      <c r="AJ1740" s="11463"/>
      <c r="AK1740" s="11463"/>
      <c r="AL1740" s="11463"/>
      <c r="AM1740" s="11463"/>
      <c r="AN1740" s="11464"/>
      <c r="AO1740" s="11462"/>
      <c r="AP1740" s="11463"/>
      <c r="AQ1740" s="11463"/>
      <c r="AR1740" s="11463"/>
      <c r="AS1740" s="11463"/>
      <c r="AT1740" s="11464"/>
      <c r="AU1740" s="11465"/>
      <c r="AV1740" s="11465"/>
      <c r="AW1740" s="11465"/>
      <c r="AX1740" s="11457"/>
      <c r="AY1740" s="11460"/>
      <c r="AZ1740" s="11465"/>
      <c r="BA1740" s="11457"/>
      <c r="BB1740" s="11459"/>
      <c r="BC1740" s="11460"/>
      <c r="BD1740" s="11466"/>
      <c r="BF1740" s="14571"/>
      <c r="BG1740" s="14571"/>
      <c r="BH1740" s="14571"/>
      <c r="BI1740" s="14571"/>
      <c r="BJ1740" s="14571"/>
      <c r="BK1740" s="11467"/>
      <c r="BL1740" s="14571"/>
      <c r="BM1740" s="14571"/>
      <c r="BN1740" s="14571"/>
    </row>
    <row r="1741" spans="1:66" ht="30" hidden="1" customHeight="1">
      <c r="A1741" s="13647"/>
      <c r="B1741" s="14394"/>
      <c r="C1741" s="13616"/>
      <c r="D1741" s="12689" t="s">
        <v>10066</v>
      </c>
      <c r="E1741" s="14410"/>
      <c r="F1741" s="12690"/>
      <c r="G1741" s="14396"/>
      <c r="H1741" s="13390"/>
      <c r="I1741" s="12691"/>
      <c r="K1741" s="11469"/>
      <c r="L1741" s="11470"/>
      <c r="M1741" s="11470"/>
      <c r="N1741" s="11471"/>
      <c r="O1741" s="11471"/>
      <c r="P1741" s="11472"/>
      <c r="Q1741" s="11473"/>
      <c r="R1741" s="11474"/>
      <c r="S1741" s="11475"/>
      <c r="T1741" s="11476"/>
      <c r="U1741" s="11473"/>
      <c r="V1741" s="11474"/>
      <c r="W1741" s="11476"/>
      <c r="X1741" s="11474"/>
      <c r="Y1741" s="11476"/>
      <c r="Z1741" s="11474"/>
      <c r="AA1741" s="11475"/>
      <c r="AB1741" s="11475"/>
      <c r="AC1741" s="11475"/>
      <c r="AD1741" s="11475"/>
      <c r="AE1741" s="11475"/>
      <c r="AF1741" s="11476"/>
      <c r="AG1741" s="11474"/>
      <c r="AH1741" s="11475"/>
      <c r="AI1741" s="11475"/>
      <c r="AJ1741" s="11475"/>
      <c r="AK1741" s="11475"/>
      <c r="AL1741" s="11475"/>
      <c r="AM1741" s="11475"/>
      <c r="AN1741" s="11476"/>
      <c r="AO1741" s="11474"/>
      <c r="AP1741" s="11475"/>
      <c r="AQ1741" s="11475"/>
      <c r="AR1741" s="11475"/>
      <c r="AS1741" s="11475"/>
      <c r="AT1741" s="11476"/>
      <c r="AU1741" s="11477"/>
      <c r="AV1741" s="11477"/>
      <c r="AW1741" s="11477"/>
      <c r="AX1741" s="11469"/>
      <c r="AY1741" s="11472"/>
      <c r="AZ1741" s="11477"/>
      <c r="BA1741" s="11469"/>
      <c r="BB1741" s="11471"/>
      <c r="BC1741" s="11472"/>
      <c r="BD1741" s="11478"/>
      <c r="BF1741" s="14572"/>
      <c r="BG1741" s="14572"/>
      <c r="BH1741" s="14572"/>
      <c r="BI1741" s="14572"/>
      <c r="BJ1741" s="14572"/>
      <c r="BK1741" s="11479"/>
      <c r="BL1741" s="14572"/>
      <c r="BM1741" s="14572"/>
      <c r="BN1741" s="14572"/>
    </row>
    <row r="1742" spans="1:66" ht="30" hidden="1" customHeight="1">
      <c r="A1742" s="13647">
        <v>1058</v>
      </c>
      <c r="B1742" s="14394" t="s">
        <v>8433</v>
      </c>
      <c r="C1742" s="13616"/>
      <c r="D1742" s="12692" t="s">
        <v>10063</v>
      </c>
      <c r="E1742" s="14410" t="s">
        <v>7272</v>
      </c>
      <c r="F1742" s="12690"/>
      <c r="G1742" s="14396" t="s">
        <v>7274</v>
      </c>
      <c r="H1742" s="13390" t="s">
        <v>7277</v>
      </c>
      <c r="I1742" s="12691">
        <v>1</v>
      </c>
      <c r="K1742" s="11469"/>
      <c r="L1742" s="11470"/>
      <c r="M1742" s="11470"/>
      <c r="N1742" s="11471"/>
      <c r="O1742" s="11471"/>
      <c r="P1742" s="11472"/>
      <c r="Q1742" s="11473"/>
      <c r="R1742" s="11474"/>
      <c r="S1742" s="11475"/>
      <c r="T1742" s="11476"/>
      <c r="U1742" s="11473"/>
      <c r="V1742" s="11474"/>
      <c r="W1742" s="11476"/>
      <c r="X1742" s="11474"/>
      <c r="Y1742" s="11476"/>
      <c r="Z1742" s="11474"/>
      <c r="AA1742" s="11475"/>
      <c r="AB1742" s="11475"/>
      <c r="AC1742" s="11475"/>
      <c r="AD1742" s="11475"/>
      <c r="AE1742" s="11475"/>
      <c r="AF1742" s="11476"/>
      <c r="AG1742" s="11474"/>
      <c r="AH1742" s="11475"/>
      <c r="AI1742" s="11475"/>
      <c r="AJ1742" s="11475"/>
      <c r="AK1742" s="11475"/>
      <c r="AL1742" s="11475"/>
      <c r="AM1742" s="11475"/>
      <c r="AN1742" s="11476"/>
      <c r="AO1742" s="11474"/>
      <c r="AP1742" s="11475"/>
      <c r="AQ1742" s="11475"/>
      <c r="AR1742" s="11475"/>
      <c r="AS1742" s="11475"/>
      <c r="AT1742" s="11476"/>
      <c r="AU1742" s="11477"/>
      <c r="AV1742" s="11477"/>
      <c r="AW1742" s="11477"/>
      <c r="AX1742" s="11469"/>
      <c r="AY1742" s="11472"/>
      <c r="AZ1742" s="11477"/>
      <c r="BA1742" s="11469"/>
      <c r="BB1742" s="11471"/>
      <c r="BC1742" s="11472"/>
      <c r="BD1742" s="11478"/>
      <c r="BF1742" s="14572"/>
      <c r="BG1742" s="14572"/>
      <c r="BH1742" s="14572"/>
      <c r="BI1742" s="14572"/>
      <c r="BJ1742" s="14572"/>
      <c r="BK1742" s="11479"/>
      <c r="BL1742" s="14572"/>
      <c r="BM1742" s="14572"/>
      <c r="BN1742" s="14572"/>
    </row>
    <row r="1743" spans="1:66" ht="30" hidden="1" customHeight="1">
      <c r="A1743" s="13647"/>
      <c r="B1743" s="14394"/>
      <c r="C1743" s="13616"/>
      <c r="D1743" s="12692" t="s">
        <v>10066</v>
      </c>
      <c r="E1743" s="14410"/>
      <c r="F1743" s="12690"/>
      <c r="G1743" s="14396"/>
      <c r="H1743" s="13390"/>
      <c r="I1743" s="12691"/>
      <c r="K1743" s="11469"/>
      <c r="L1743" s="11470"/>
      <c r="M1743" s="11470"/>
      <c r="N1743" s="11471"/>
      <c r="O1743" s="11471"/>
      <c r="P1743" s="11472"/>
      <c r="Q1743" s="11473"/>
      <c r="R1743" s="11474"/>
      <c r="S1743" s="11475"/>
      <c r="T1743" s="11476"/>
      <c r="U1743" s="11473"/>
      <c r="V1743" s="11474"/>
      <c r="W1743" s="11476"/>
      <c r="X1743" s="11474"/>
      <c r="Y1743" s="11476"/>
      <c r="Z1743" s="11474"/>
      <c r="AA1743" s="11475"/>
      <c r="AB1743" s="11475"/>
      <c r="AC1743" s="11475"/>
      <c r="AD1743" s="11475"/>
      <c r="AE1743" s="11475"/>
      <c r="AF1743" s="11476"/>
      <c r="AG1743" s="11474"/>
      <c r="AH1743" s="11475"/>
      <c r="AI1743" s="11475"/>
      <c r="AJ1743" s="11475"/>
      <c r="AK1743" s="11475"/>
      <c r="AL1743" s="11475"/>
      <c r="AM1743" s="11475"/>
      <c r="AN1743" s="11476"/>
      <c r="AO1743" s="11474"/>
      <c r="AP1743" s="11475"/>
      <c r="AQ1743" s="11475"/>
      <c r="AR1743" s="11475"/>
      <c r="AS1743" s="11475"/>
      <c r="AT1743" s="11476"/>
      <c r="AU1743" s="11477"/>
      <c r="AV1743" s="11477"/>
      <c r="AW1743" s="11477"/>
      <c r="AX1743" s="11469"/>
      <c r="AY1743" s="11472"/>
      <c r="AZ1743" s="11477"/>
      <c r="BA1743" s="11469"/>
      <c r="BB1743" s="11471"/>
      <c r="BC1743" s="11472"/>
      <c r="BD1743" s="11478"/>
      <c r="BF1743" s="14572"/>
      <c r="BG1743" s="14572"/>
      <c r="BH1743" s="14572"/>
      <c r="BI1743" s="14572"/>
      <c r="BJ1743" s="14572"/>
      <c r="BK1743" s="11479"/>
      <c r="BL1743" s="14572"/>
      <c r="BM1743" s="14572"/>
      <c r="BN1743" s="14572"/>
    </row>
    <row r="1744" spans="1:66" ht="30" hidden="1" customHeight="1">
      <c r="A1744" s="11480">
        <v>1059</v>
      </c>
      <c r="B1744" s="11481" t="s">
        <v>8434</v>
      </c>
      <c r="C1744" s="13616"/>
      <c r="D1744" s="12692" t="s">
        <v>10063</v>
      </c>
      <c r="E1744" s="12693" t="s">
        <v>144</v>
      </c>
      <c r="F1744" s="12690"/>
      <c r="G1744" s="12694" t="s">
        <v>7279</v>
      </c>
      <c r="H1744" s="12695" t="s">
        <v>7282</v>
      </c>
      <c r="I1744" s="12696">
        <v>1</v>
      </c>
      <c r="K1744" s="11482"/>
      <c r="L1744" s="11470"/>
      <c r="M1744" s="11470"/>
      <c r="N1744" s="11470"/>
      <c r="O1744" s="11470"/>
      <c r="P1744" s="11483"/>
      <c r="Q1744" s="11473"/>
      <c r="R1744" s="11474"/>
      <c r="S1744" s="11475"/>
      <c r="T1744" s="11476"/>
      <c r="U1744" s="11473"/>
      <c r="V1744" s="11474"/>
      <c r="W1744" s="11476"/>
      <c r="X1744" s="11474"/>
      <c r="Y1744" s="11476"/>
      <c r="Z1744" s="11474"/>
      <c r="AA1744" s="11475"/>
      <c r="AB1744" s="11475"/>
      <c r="AC1744" s="11475"/>
      <c r="AD1744" s="11475"/>
      <c r="AE1744" s="11475"/>
      <c r="AF1744" s="11476"/>
      <c r="AG1744" s="11474"/>
      <c r="AH1744" s="11475"/>
      <c r="AI1744" s="11475"/>
      <c r="AJ1744" s="11475"/>
      <c r="AK1744" s="11475"/>
      <c r="AL1744" s="11475"/>
      <c r="AM1744" s="11475"/>
      <c r="AN1744" s="11476"/>
      <c r="AO1744" s="11474"/>
      <c r="AP1744" s="11475"/>
      <c r="AQ1744" s="11475"/>
      <c r="AR1744" s="11475"/>
      <c r="AS1744" s="11475"/>
      <c r="AT1744" s="11476"/>
      <c r="AU1744" s="11484"/>
      <c r="AV1744" s="11484"/>
      <c r="AW1744" s="11484"/>
      <c r="AX1744" s="11482"/>
      <c r="AY1744" s="11483"/>
      <c r="AZ1744" s="11484"/>
      <c r="BA1744" s="11482"/>
      <c r="BB1744" s="11470"/>
      <c r="BC1744" s="11483"/>
      <c r="BD1744" s="11485"/>
      <c r="BF1744" s="11479"/>
      <c r="BG1744" s="11479"/>
      <c r="BH1744" s="11479"/>
      <c r="BI1744" s="11479"/>
      <c r="BJ1744" s="11479"/>
      <c r="BK1744" s="11479"/>
      <c r="BL1744" s="11479"/>
      <c r="BM1744" s="11479"/>
      <c r="BN1744" s="11479"/>
    </row>
    <row r="1745" spans="1:66" ht="30" hidden="1" customHeight="1">
      <c r="A1745" s="11480">
        <v>1060</v>
      </c>
      <c r="B1745" s="11481" t="s">
        <v>8435</v>
      </c>
      <c r="C1745" s="13616"/>
      <c r="D1745" s="12692" t="s">
        <v>10066</v>
      </c>
      <c r="E1745" s="12693" t="s">
        <v>298</v>
      </c>
      <c r="F1745" s="12693" t="s">
        <v>7289</v>
      </c>
      <c r="G1745" s="12694" t="s">
        <v>7284</v>
      </c>
      <c r="H1745" s="12695" t="s">
        <v>7287</v>
      </c>
      <c r="I1745" s="12691">
        <v>5</v>
      </c>
      <c r="K1745" s="11469"/>
      <c r="L1745" s="11470"/>
      <c r="M1745" s="11470"/>
      <c r="N1745" s="11471"/>
      <c r="O1745" s="11471"/>
      <c r="P1745" s="11472"/>
      <c r="Q1745" s="11473"/>
      <c r="R1745" s="11474"/>
      <c r="S1745" s="11475"/>
      <c r="T1745" s="11476"/>
      <c r="U1745" s="11473"/>
      <c r="V1745" s="11474"/>
      <c r="W1745" s="11476"/>
      <c r="X1745" s="11474"/>
      <c r="Y1745" s="11476"/>
      <c r="Z1745" s="11474"/>
      <c r="AA1745" s="11475"/>
      <c r="AB1745" s="11475"/>
      <c r="AC1745" s="11475"/>
      <c r="AD1745" s="11475"/>
      <c r="AE1745" s="11475"/>
      <c r="AF1745" s="11476"/>
      <c r="AG1745" s="11474"/>
      <c r="AH1745" s="11475"/>
      <c r="AI1745" s="11475"/>
      <c r="AJ1745" s="11475"/>
      <c r="AK1745" s="11475"/>
      <c r="AL1745" s="11475"/>
      <c r="AM1745" s="11475"/>
      <c r="AN1745" s="11476"/>
      <c r="AO1745" s="11474"/>
      <c r="AP1745" s="11475"/>
      <c r="AQ1745" s="11475"/>
      <c r="AR1745" s="11475"/>
      <c r="AS1745" s="11475"/>
      <c r="AT1745" s="11476"/>
      <c r="AU1745" s="11477"/>
      <c r="AV1745" s="11477"/>
      <c r="AW1745" s="11477"/>
      <c r="AX1745" s="11469"/>
      <c r="AY1745" s="11472"/>
      <c r="AZ1745" s="11477"/>
      <c r="BA1745" s="11469"/>
      <c r="BB1745" s="11471"/>
      <c r="BC1745" s="11472"/>
      <c r="BD1745" s="11478"/>
      <c r="BF1745" s="11479"/>
      <c r="BG1745" s="11479"/>
      <c r="BH1745" s="11479"/>
      <c r="BI1745" s="11479"/>
      <c r="BJ1745" s="11479"/>
      <c r="BK1745" s="11479"/>
      <c r="BL1745" s="11479"/>
      <c r="BM1745" s="11479"/>
      <c r="BN1745" s="11479"/>
    </row>
    <row r="1746" spans="1:66" ht="30" hidden="1" customHeight="1">
      <c r="A1746" s="11480">
        <v>1061</v>
      </c>
      <c r="B1746" s="11481" t="s">
        <v>8436</v>
      </c>
      <c r="C1746" s="13616"/>
      <c r="D1746" s="12692" t="s">
        <v>10063</v>
      </c>
      <c r="E1746" s="12693" t="s">
        <v>144</v>
      </c>
      <c r="F1746" s="12693"/>
      <c r="G1746" s="12694" t="s">
        <v>7291</v>
      </c>
      <c r="H1746" s="12695" t="s">
        <v>7294</v>
      </c>
      <c r="I1746" s="12691">
        <v>8</v>
      </c>
      <c r="K1746" s="11469"/>
      <c r="L1746" s="11470"/>
      <c r="M1746" s="11470"/>
      <c r="N1746" s="11471"/>
      <c r="O1746" s="11471"/>
      <c r="P1746" s="11472"/>
      <c r="Q1746" s="11473"/>
      <c r="R1746" s="11474"/>
      <c r="S1746" s="11475"/>
      <c r="T1746" s="11476"/>
      <c r="U1746" s="11473"/>
      <c r="V1746" s="11474"/>
      <c r="W1746" s="11476"/>
      <c r="X1746" s="11474"/>
      <c r="Y1746" s="11476"/>
      <c r="Z1746" s="11474"/>
      <c r="AA1746" s="11475"/>
      <c r="AB1746" s="11475"/>
      <c r="AC1746" s="11475"/>
      <c r="AD1746" s="11475"/>
      <c r="AE1746" s="11475"/>
      <c r="AF1746" s="11476"/>
      <c r="AG1746" s="11474"/>
      <c r="AH1746" s="11475"/>
      <c r="AI1746" s="11475"/>
      <c r="AJ1746" s="11475"/>
      <c r="AK1746" s="11475"/>
      <c r="AL1746" s="11475"/>
      <c r="AM1746" s="11475"/>
      <c r="AN1746" s="11476"/>
      <c r="AO1746" s="11474"/>
      <c r="AP1746" s="11475"/>
      <c r="AQ1746" s="11475"/>
      <c r="AR1746" s="11475"/>
      <c r="AS1746" s="11475"/>
      <c r="AT1746" s="11476"/>
      <c r="AU1746" s="11477"/>
      <c r="AV1746" s="11477"/>
      <c r="AW1746" s="11477"/>
      <c r="AX1746" s="11469"/>
      <c r="AY1746" s="11472"/>
      <c r="AZ1746" s="11477"/>
      <c r="BA1746" s="11469"/>
      <c r="BB1746" s="11471"/>
      <c r="BC1746" s="11472"/>
      <c r="BD1746" s="11478"/>
      <c r="BF1746" s="11479"/>
      <c r="BG1746" s="11479"/>
      <c r="BH1746" s="11479"/>
      <c r="BI1746" s="11479"/>
      <c r="BJ1746" s="11479"/>
      <c r="BK1746" s="11479"/>
      <c r="BL1746" s="11479"/>
      <c r="BM1746" s="11479"/>
      <c r="BN1746" s="11479"/>
    </row>
    <row r="1747" spans="1:66" ht="30" hidden="1" customHeight="1">
      <c r="A1747" s="11480">
        <v>1062</v>
      </c>
      <c r="B1747" s="11481" t="s">
        <v>8437</v>
      </c>
      <c r="C1747" s="13616"/>
      <c r="D1747" s="12692" t="s">
        <v>26</v>
      </c>
      <c r="E1747" s="12693" t="s">
        <v>7302</v>
      </c>
      <c r="F1747" s="12693" t="s">
        <v>7303</v>
      </c>
      <c r="G1747" s="12694" t="s">
        <v>7297</v>
      </c>
      <c r="H1747" s="12695" t="s">
        <v>7300</v>
      </c>
      <c r="I1747" s="12691">
        <v>6</v>
      </c>
      <c r="K1747" s="11469"/>
      <c r="L1747" s="11470"/>
      <c r="M1747" s="11470"/>
      <c r="N1747" s="11471"/>
      <c r="O1747" s="11471"/>
      <c r="P1747" s="11472"/>
      <c r="Q1747" s="11473"/>
      <c r="R1747" s="11474"/>
      <c r="S1747" s="11475"/>
      <c r="T1747" s="11476"/>
      <c r="U1747" s="11473"/>
      <c r="V1747" s="11474"/>
      <c r="W1747" s="11476"/>
      <c r="X1747" s="11474"/>
      <c r="Y1747" s="11476"/>
      <c r="Z1747" s="11474"/>
      <c r="AA1747" s="11475"/>
      <c r="AB1747" s="11475"/>
      <c r="AC1747" s="11475"/>
      <c r="AD1747" s="11475"/>
      <c r="AE1747" s="11475"/>
      <c r="AF1747" s="11476"/>
      <c r="AG1747" s="11474"/>
      <c r="AH1747" s="11475"/>
      <c r="AI1747" s="11475"/>
      <c r="AJ1747" s="11475"/>
      <c r="AK1747" s="11475"/>
      <c r="AL1747" s="11475"/>
      <c r="AM1747" s="11475"/>
      <c r="AN1747" s="11476"/>
      <c r="AO1747" s="11474"/>
      <c r="AP1747" s="11475"/>
      <c r="AQ1747" s="11475"/>
      <c r="AR1747" s="11475"/>
      <c r="AS1747" s="11475"/>
      <c r="AT1747" s="11476"/>
      <c r="AU1747" s="11477"/>
      <c r="AV1747" s="11477"/>
      <c r="AW1747" s="11477"/>
      <c r="AX1747" s="11469"/>
      <c r="AY1747" s="11472"/>
      <c r="AZ1747" s="11477"/>
      <c r="BA1747" s="11469"/>
      <c r="BB1747" s="11471"/>
      <c r="BC1747" s="11472"/>
      <c r="BD1747" s="11478"/>
      <c r="BF1747" s="11479"/>
      <c r="BG1747" s="11479"/>
      <c r="BH1747" s="11479"/>
      <c r="BI1747" s="11479"/>
      <c r="BJ1747" s="11479"/>
      <c r="BK1747" s="11479"/>
      <c r="BL1747" s="11479"/>
      <c r="BM1747" s="11479"/>
      <c r="BN1747" s="11479"/>
    </row>
    <row r="1748" spans="1:66" ht="30" hidden="1" customHeight="1">
      <c r="A1748" s="11480">
        <v>1063</v>
      </c>
      <c r="B1748" s="11481" t="s">
        <v>8438</v>
      </c>
      <c r="C1748" s="13616"/>
      <c r="D1748" s="12692" t="s">
        <v>10063</v>
      </c>
      <c r="E1748" s="12693" t="s">
        <v>144</v>
      </c>
      <c r="F1748" s="12690" t="s">
        <v>507</v>
      </c>
      <c r="G1748" s="12694" t="s">
        <v>7305</v>
      </c>
      <c r="H1748" s="12695" t="s">
        <v>7308</v>
      </c>
      <c r="I1748" s="12691">
        <v>1</v>
      </c>
      <c r="K1748" s="11468"/>
      <c r="L1748" s="11486"/>
      <c r="M1748" s="11486"/>
      <c r="N1748" s="11487"/>
      <c r="O1748" s="11487"/>
      <c r="P1748" s="11488"/>
      <c r="Q1748" s="11489"/>
      <c r="R1748" s="11490"/>
      <c r="S1748" s="11491"/>
      <c r="T1748" s="11492"/>
      <c r="U1748" s="11489"/>
      <c r="V1748" s="11490"/>
      <c r="W1748" s="11492"/>
      <c r="X1748" s="11490"/>
      <c r="Y1748" s="11492"/>
      <c r="Z1748" s="11490"/>
      <c r="AA1748" s="11491"/>
      <c r="AB1748" s="11491"/>
      <c r="AC1748" s="11491"/>
      <c r="AD1748" s="11491"/>
      <c r="AE1748" s="11491"/>
      <c r="AF1748" s="11492"/>
      <c r="AG1748" s="11490"/>
      <c r="AH1748" s="11491"/>
      <c r="AI1748" s="11491"/>
      <c r="AJ1748" s="11491"/>
      <c r="AK1748" s="11491"/>
      <c r="AL1748" s="11491"/>
      <c r="AM1748" s="11491"/>
      <c r="AN1748" s="11492"/>
      <c r="AO1748" s="11490"/>
      <c r="AP1748" s="11491"/>
      <c r="AQ1748" s="11491"/>
      <c r="AR1748" s="11491"/>
      <c r="AS1748" s="11491"/>
      <c r="AT1748" s="11492"/>
      <c r="AU1748" s="11493"/>
      <c r="AV1748" s="11493"/>
      <c r="AW1748" s="11493"/>
      <c r="AX1748" s="11468"/>
      <c r="AY1748" s="11488"/>
      <c r="AZ1748" s="11493"/>
      <c r="BA1748" s="11468"/>
      <c r="BB1748" s="11487"/>
      <c r="BC1748" s="11488"/>
      <c r="BD1748" s="11494"/>
      <c r="BF1748" s="11479"/>
      <c r="BG1748" s="11479"/>
      <c r="BH1748" s="11479"/>
      <c r="BI1748" s="11479"/>
      <c r="BJ1748" s="11479"/>
      <c r="BK1748" s="11479"/>
      <c r="BL1748" s="11479"/>
      <c r="BM1748" s="11479"/>
      <c r="BN1748" s="11479"/>
    </row>
    <row r="1749" spans="1:66" ht="30" hidden="1" customHeight="1">
      <c r="A1749" s="13647">
        <v>1064</v>
      </c>
      <c r="B1749" s="14394" t="s">
        <v>8439</v>
      </c>
      <c r="C1749" s="13616"/>
      <c r="D1749" s="12692" t="s">
        <v>10066</v>
      </c>
      <c r="E1749" s="12693" t="s">
        <v>7315</v>
      </c>
      <c r="F1749" s="12690"/>
      <c r="G1749" s="14396" t="s">
        <v>7311</v>
      </c>
      <c r="H1749" s="13390" t="s">
        <v>7313</v>
      </c>
      <c r="I1749" s="14413">
        <v>1</v>
      </c>
      <c r="K1749" s="11469"/>
      <c r="L1749" s="11470"/>
      <c r="M1749" s="11470"/>
      <c r="N1749" s="11471"/>
      <c r="O1749" s="11471"/>
      <c r="P1749" s="11472"/>
      <c r="Q1749" s="11473"/>
      <c r="R1749" s="11474"/>
      <c r="S1749" s="11475"/>
      <c r="T1749" s="11476"/>
      <c r="U1749" s="11473"/>
      <c r="V1749" s="11474"/>
      <c r="W1749" s="11476"/>
      <c r="X1749" s="11474"/>
      <c r="Y1749" s="11476"/>
      <c r="Z1749" s="11474"/>
      <c r="AA1749" s="11475"/>
      <c r="AB1749" s="11475"/>
      <c r="AC1749" s="11475"/>
      <c r="AD1749" s="11475"/>
      <c r="AE1749" s="11475"/>
      <c r="AF1749" s="11476"/>
      <c r="AG1749" s="11474"/>
      <c r="AH1749" s="11475"/>
      <c r="AI1749" s="11475"/>
      <c r="AJ1749" s="11475"/>
      <c r="AK1749" s="11475"/>
      <c r="AL1749" s="11475"/>
      <c r="AM1749" s="11475"/>
      <c r="AN1749" s="11476"/>
      <c r="AO1749" s="11474"/>
      <c r="AP1749" s="11475"/>
      <c r="AQ1749" s="11475"/>
      <c r="AR1749" s="11475"/>
      <c r="AS1749" s="11475"/>
      <c r="AT1749" s="11476"/>
      <c r="AU1749" s="11477"/>
      <c r="AV1749" s="11477"/>
      <c r="AW1749" s="11477"/>
      <c r="AX1749" s="11469"/>
      <c r="AY1749" s="11472"/>
      <c r="AZ1749" s="11477"/>
      <c r="BA1749" s="11469"/>
      <c r="BB1749" s="11471"/>
      <c r="BC1749" s="11472"/>
      <c r="BD1749" s="11478"/>
      <c r="BF1749" s="14572"/>
      <c r="BG1749" s="14572"/>
      <c r="BH1749" s="14572"/>
      <c r="BI1749" s="14572"/>
      <c r="BJ1749" s="14572"/>
      <c r="BK1749" s="11479"/>
      <c r="BL1749" s="14572"/>
      <c r="BM1749" s="14572"/>
      <c r="BN1749" s="14572"/>
    </row>
    <row r="1750" spans="1:66" ht="30" hidden="1" customHeight="1">
      <c r="A1750" s="13647"/>
      <c r="B1750" s="14394"/>
      <c r="C1750" s="13616"/>
      <c r="D1750" s="12692" t="s">
        <v>10186</v>
      </c>
      <c r="E1750" s="12693"/>
      <c r="F1750" s="12690" t="s">
        <v>10334</v>
      </c>
      <c r="G1750" s="14396"/>
      <c r="H1750" s="13390"/>
      <c r="I1750" s="14413"/>
      <c r="K1750" s="11469"/>
      <c r="L1750" s="11470"/>
      <c r="M1750" s="11470"/>
      <c r="N1750" s="11471"/>
      <c r="O1750" s="11471"/>
      <c r="P1750" s="11472"/>
      <c r="Q1750" s="11473"/>
      <c r="R1750" s="11474"/>
      <c r="S1750" s="11475"/>
      <c r="T1750" s="11476"/>
      <c r="U1750" s="11473"/>
      <c r="V1750" s="11474"/>
      <c r="W1750" s="11476"/>
      <c r="X1750" s="11474"/>
      <c r="Y1750" s="11476"/>
      <c r="Z1750" s="11474"/>
      <c r="AA1750" s="11475"/>
      <c r="AB1750" s="11475"/>
      <c r="AC1750" s="11475"/>
      <c r="AD1750" s="11475"/>
      <c r="AE1750" s="11475"/>
      <c r="AF1750" s="11476"/>
      <c r="AG1750" s="11474"/>
      <c r="AH1750" s="11475"/>
      <c r="AI1750" s="11475"/>
      <c r="AJ1750" s="11475"/>
      <c r="AK1750" s="11475"/>
      <c r="AL1750" s="11475"/>
      <c r="AM1750" s="11475"/>
      <c r="AN1750" s="11476"/>
      <c r="AO1750" s="11474"/>
      <c r="AP1750" s="11475"/>
      <c r="AQ1750" s="11475"/>
      <c r="AR1750" s="11475"/>
      <c r="AS1750" s="11475"/>
      <c r="AT1750" s="11476"/>
      <c r="AU1750" s="11477"/>
      <c r="AV1750" s="11477"/>
      <c r="AW1750" s="11477"/>
      <c r="AX1750" s="11469"/>
      <c r="AY1750" s="11472"/>
      <c r="AZ1750" s="11477"/>
      <c r="BA1750" s="11469"/>
      <c r="BB1750" s="11471"/>
      <c r="BC1750" s="11472"/>
      <c r="BD1750" s="11478"/>
      <c r="BF1750" s="14572"/>
      <c r="BG1750" s="14572"/>
      <c r="BH1750" s="14572"/>
      <c r="BI1750" s="14572"/>
      <c r="BJ1750" s="14572"/>
      <c r="BK1750" s="11479"/>
      <c r="BL1750" s="14572"/>
      <c r="BM1750" s="14572"/>
      <c r="BN1750" s="14572"/>
    </row>
    <row r="1751" spans="1:66" ht="30" hidden="1" customHeight="1">
      <c r="A1751" s="13647"/>
      <c r="B1751" s="14394"/>
      <c r="C1751" s="13616"/>
      <c r="D1751" s="12692" t="s">
        <v>10194</v>
      </c>
      <c r="E1751" s="12693"/>
      <c r="F1751" s="12690" t="s">
        <v>733</v>
      </c>
      <c r="G1751" s="14396"/>
      <c r="H1751" s="13390"/>
      <c r="I1751" s="14413"/>
      <c r="K1751" s="11469"/>
      <c r="L1751" s="11470"/>
      <c r="M1751" s="11470"/>
      <c r="N1751" s="11471"/>
      <c r="O1751" s="11471"/>
      <c r="P1751" s="11472"/>
      <c r="Q1751" s="11473"/>
      <c r="R1751" s="11474"/>
      <c r="S1751" s="11475"/>
      <c r="T1751" s="11476"/>
      <c r="U1751" s="11473"/>
      <c r="V1751" s="11474"/>
      <c r="W1751" s="11476"/>
      <c r="X1751" s="11474"/>
      <c r="Y1751" s="11476"/>
      <c r="Z1751" s="11474"/>
      <c r="AA1751" s="11475"/>
      <c r="AB1751" s="11475"/>
      <c r="AC1751" s="11475"/>
      <c r="AD1751" s="11475"/>
      <c r="AE1751" s="11475"/>
      <c r="AF1751" s="11476"/>
      <c r="AG1751" s="11474"/>
      <c r="AH1751" s="11475"/>
      <c r="AI1751" s="11475"/>
      <c r="AJ1751" s="11475"/>
      <c r="AK1751" s="11475"/>
      <c r="AL1751" s="11475"/>
      <c r="AM1751" s="11475"/>
      <c r="AN1751" s="11476"/>
      <c r="AO1751" s="11474"/>
      <c r="AP1751" s="11475"/>
      <c r="AQ1751" s="11475"/>
      <c r="AR1751" s="11475"/>
      <c r="AS1751" s="11475"/>
      <c r="AT1751" s="11476"/>
      <c r="AU1751" s="11477"/>
      <c r="AV1751" s="11477"/>
      <c r="AW1751" s="11477"/>
      <c r="AX1751" s="11469"/>
      <c r="AY1751" s="11472"/>
      <c r="AZ1751" s="11477"/>
      <c r="BA1751" s="11469"/>
      <c r="BB1751" s="11471"/>
      <c r="BC1751" s="11472"/>
      <c r="BD1751" s="11478"/>
      <c r="BF1751" s="14572"/>
      <c r="BG1751" s="14572"/>
      <c r="BH1751" s="14572"/>
      <c r="BI1751" s="14572"/>
      <c r="BJ1751" s="14572"/>
      <c r="BK1751" s="11479"/>
      <c r="BL1751" s="14572"/>
      <c r="BM1751" s="14572"/>
      <c r="BN1751" s="14572"/>
    </row>
    <row r="1752" spans="1:66" ht="30" hidden="1" customHeight="1">
      <c r="A1752" s="13647">
        <v>1065</v>
      </c>
      <c r="B1752" s="14394" t="s">
        <v>8440</v>
      </c>
      <c r="C1752" s="13616"/>
      <c r="D1752" s="12692" t="s">
        <v>10066</v>
      </c>
      <c r="E1752" s="12690" t="s">
        <v>7315</v>
      </c>
      <c r="F1752" s="12690"/>
      <c r="G1752" s="14396" t="s">
        <v>7320</v>
      </c>
      <c r="H1752" s="13390" t="s">
        <v>7323</v>
      </c>
      <c r="I1752" s="12691">
        <v>2</v>
      </c>
      <c r="K1752" s="11469"/>
      <c r="L1752" s="11470"/>
      <c r="M1752" s="11470"/>
      <c r="N1752" s="11471"/>
      <c r="O1752" s="11471"/>
      <c r="P1752" s="11472"/>
      <c r="Q1752" s="11473"/>
      <c r="R1752" s="11474"/>
      <c r="S1752" s="11475"/>
      <c r="T1752" s="11476"/>
      <c r="U1752" s="11473"/>
      <c r="V1752" s="11474"/>
      <c r="W1752" s="11476"/>
      <c r="X1752" s="11474"/>
      <c r="Y1752" s="11476"/>
      <c r="Z1752" s="11474"/>
      <c r="AA1752" s="11475"/>
      <c r="AB1752" s="11475"/>
      <c r="AC1752" s="11475"/>
      <c r="AD1752" s="11475"/>
      <c r="AE1752" s="11475"/>
      <c r="AF1752" s="11476"/>
      <c r="AG1752" s="11474"/>
      <c r="AH1752" s="11475"/>
      <c r="AI1752" s="11475"/>
      <c r="AJ1752" s="11475"/>
      <c r="AK1752" s="11475"/>
      <c r="AL1752" s="11475"/>
      <c r="AM1752" s="11475"/>
      <c r="AN1752" s="11476"/>
      <c r="AO1752" s="11474"/>
      <c r="AP1752" s="11475"/>
      <c r="AQ1752" s="11475"/>
      <c r="AR1752" s="11475"/>
      <c r="AS1752" s="11475"/>
      <c r="AT1752" s="11476"/>
      <c r="AU1752" s="11477"/>
      <c r="AV1752" s="11477"/>
      <c r="AW1752" s="11477"/>
      <c r="AX1752" s="11469"/>
      <c r="AY1752" s="11472"/>
      <c r="AZ1752" s="11477"/>
      <c r="BA1752" s="11469"/>
      <c r="BB1752" s="11471"/>
      <c r="BC1752" s="11472"/>
      <c r="BD1752" s="11478"/>
      <c r="BF1752" s="14572"/>
      <c r="BG1752" s="14572"/>
      <c r="BH1752" s="14572"/>
      <c r="BI1752" s="14572"/>
      <c r="BJ1752" s="14572"/>
      <c r="BK1752" s="11479"/>
      <c r="BL1752" s="14572"/>
      <c r="BM1752" s="14572"/>
      <c r="BN1752" s="14572"/>
    </row>
    <row r="1753" spans="1:66" ht="30" hidden="1" customHeight="1">
      <c r="A1753" s="13647"/>
      <c r="B1753" s="14394"/>
      <c r="C1753" s="13616"/>
      <c r="D1753" s="12692" t="s">
        <v>10186</v>
      </c>
      <c r="E1753" s="12690"/>
      <c r="F1753" s="12690" t="s">
        <v>2091</v>
      </c>
      <c r="G1753" s="14396"/>
      <c r="H1753" s="13390"/>
      <c r="I1753" s="12691"/>
      <c r="K1753" s="11469"/>
      <c r="L1753" s="11470"/>
      <c r="M1753" s="11470"/>
      <c r="N1753" s="11471"/>
      <c r="O1753" s="11471"/>
      <c r="P1753" s="11472"/>
      <c r="Q1753" s="11473"/>
      <c r="R1753" s="11474"/>
      <c r="S1753" s="11475"/>
      <c r="T1753" s="11476"/>
      <c r="U1753" s="11473"/>
      <c r="V1753" s="11474"/>
      <c r="W1753" s="11476"/>
      <c r="X1753" s="11474"/>
      <c r="Y1753" s="11476"/>
      <c r="Z1753" s="11474"/>
      <c r="AA1753" s="11475"/>
      <c r="AB1753" s="11475"/>
      <c r="AC1753" s="11475"/>
      <c r="AD1753" s="11475"/>
      <c r="AE1753" s="11475"/>
      <c r="AF1753" s="11476"/>
      <c r="AG1753" s="11474"/>
      <c r="AH1753" s="11475"/>
      <c r="AI1753" s="11475"/>
      <c r="AJ1753" s="11475"/>
      <c r="AK1753" s="11475"/>
      <c r="AL1753" s="11475"/>
      <c r="AM1753" s="11475"/>
      <c r="AN1753" s="11476"/>
      <c r="AO1753" s="11474"/>
      <c r="AP1753" s="11475"/>
      <c r="AQ1753" s="11475"/>
      <c r="AR1753" s="11475"/>
      <c r="AS1753" s="11475"/>
      <c r="AT1753" s="11476"/>
      <c r="AU1753" s="11477"/>
      <c r="AV1753" s="11477"/>
      <c r="AW1753" s="11477"/>
      <c r="AX1753" s="11469"/>
      <c r="AY1753" s="11472"/>
      <c r="AZ1753" s="11477"/>
      <c r="BA1753" s="11469"/>
      <c r="BB1753" s="11471"/>
      <c r="BC1753" s="11472"/>
      <c r="BD1753" s="11478"/>
      <c r="BF1753" s="14572"/>
      <c r="BG1753" s="14572"/>
      <c r="BH1753" s="14572"/>
      <c r="BI1753" s="14572"/>
      <c r="BJ1753" s="14572"/>
      <c r="BK1753" s="11479"/>
      <c r="BL1753" s="14572"/>
      <c r="BM1753" s="14572"/>
      <c r="BN1753" s="14572"/>
    </row>
    <row r="1754" spans="1:66" ht="30" hidden="1" customHeight="1">
      <c r="A1754" s="11480">
        <v>1066</v>
      </c>
      <c r="B1754" s="11481" t="s">
        <v>8441</v>
      </c>
      <c r="C1754" s="13616"/>
      <c r="D1754" s="12692" t="s">
        <v>10057</v>
      </c>
      <c r="E1754" s="12693" t="s">
        <v>7332</v>
      </c>
      <c r="F1754" s="12693" t="s">
        <v>7333</v>
      </c>
      <c r="G1754" s="12694" t="s">
        <v>7327</v>
      </c>
      <c r="H1754" s="12695" t="s">
        <v>7330</v>
      </c>
      <c r="I1754" s="12691">
        <v>1</v>
      </c>
      <c r="K1754" s="11468"/>
      <c r="L1754" s="11486"/>
      <c r="M1754" s="11486"/>
      <c r="N1754" s="11487"/>
      <c r="O1754" s="11487"/>
      <c r="P1754" s="11488"/>
      <c r="Q1754" s="11489"/>
      <c r="R1754" s="11490"/>
      <c r="S1754" s="11491"/>
      <c r="T1754" s="11492"/>
      <c r="U1754" s="11489"/>
      <c r="V1754" s="11490"/>
      <c r="W1754" s="11492"/>
      <c r="X1754" s="11490"/>
      <c r="Y1754" s="11492"/>
      <c r="Z1754" s="11490"/>
      <c r="AA1754" s="11491"/>
      <c r="AB1754" s="11491"/>
      <c r="AC1754" s="11491"/>
      <c r="AD1754" s="11491"/>
      <c r="AE1754" s="11491"/>
      <c r="AF1754" s="11492"/>
      <c r="AG1754" s="11490"/>
      <c r="AH1754" s="11491"/>
      <c r="AI1754" s="11491"/>
      <c r="AJ1754" s="11491"/>
      <c r="AK1754" s="11491"/>
      <c r="AL1754" s="11491"/>
      <c r="AM1754" s="11491"/>
      <c r="AN1754" s="11492"/>
      <c r="AO1754" s="11490"/>
      <c r="AP1754" s="11491"/>
      <c r="AQ1754" s="11491"/>
      <c r="AR1754" s="11491"/>
      <c r="AS1754" s="11491"/>
      <c r="AT1754" s="11492"/>
      <c r="AU1754" s="11493"/>
      <c r="AV1754" s="11493"/>
      <c r="AW1754" s="11493"/>
      <c r="AX1754" s="11468"/>
      <c r="AY1754" s="11488"/>
      <c r="AZ1754" s="11493"/>
      <c r="BA1754" s="11468"/>
      <c r="BB1754" s="11487"/>
      <c r="BC1754" s="11488"/>
      <c r="BD1754" s="11494"/>
      <c r="BF1754" s="11479"/>
      <c r="BG1754" s="11479"/>
      <c r="BH1754" s="11479"/>
      <c r="BI1754" s="11479"/>
      <c r="BJ1754" s="11479"/>
      <c r="BK1754" s="11479"/>
      <c r="BL1754" s="11479"/>
      <c r="BM1754" s="11479"/>
      <c r="BN1754" s="11479"/>
    </row>
    <row r="1755" spans="1:66" ht="30" hidden="1" customHeight="1">
      <c r="A1755" s="13647">
        <v>1067</v>
      </c>
      <c r="B1755" s="14394" t="s">
        <v>8442</v>
      </c>
      <c r="C1755" s="13616"/>
      <c r="D1755" s="12692" t="s">
        <v>10063</v>
      </c>
      <c r="E1755" s="14410" t="s">
        <v>7340</v>
      </c>
      <c r="F1755" s="14410"/>
      <c r="G1755" s="14396" t="s">
        <v>7335</v>
      </c>
      <c r="H1755" s="13390" t="s">
        <v>7338</v>
      </c>
      <c r="I1755" s="14413">
        <v>300</v>
      </c>
      <c r="K1755" s="11469"/>
      <c r="L1755" s="11470"/>
      <c r="M1755" s="11470"/>
      <c r="N1755" s="11471"/>
      <c r="O1755" s="11471"/>
      <c r="P1755" s="11472"/>
      <c r="Q1755" s="11473"/>
      <c r="R1755" s="11474"/>
      <c r="S1755" s="11475"/>
      <c r="T1755" s="11476"/>
      <c r="U1755" s="11473"/>
      <c r="V1755" s="11474"/>
      <c r="W1755" s="11476"/>
      <c r="X1755" s="11474"/>
      <c r="Y1755" s="11476"/>
      <c r="Z1755" s="11474"/>
      <c r="AA1755" s="11475"/>
      <c r="AB1755" s="11475"/>
      <c r="AC1755" s="11475"/>
      <c r="AD1755" s="11475"/>
      <c r="AE1755" s="11475"/>
      <c r="AF1755" s="11476"/>
      <c r="AG1755" s="11474"/>
      <c r="AH1755" s="11475"/>
      <c r="AI1755" s="11475"/>
      <c r="AJ1755" s="11475"/>
      <c r="AK1755" s="11475"/>
      <c r="AL1755" s="11475"/>
      <c r="AM1755" s="11475"/>
      <c r="AN1755" s="11476"/>
      <c r="AO1755" s="11474"/>
      <c r="AP1755" s="11475"/>
      <c r="AQ1755" s="11475"/>
      <c r="AR1755" s="11475"/>
      <c r="AS1755" s="11475"/>
      <c r="AT1755" s="11476"/>
      <c r="AU1755" s="11477"/>
      <c r="AV1755" s="11477"/>
      <c r="AW1755" s="11477"/>
      <c r="AX1755" s="11469"/>
      <c r="AY1755" s="11472"/>
      <c r="AZ1755" s="11477"/>
      <c r="BA1755" s="11469"/>
      <c r="BB1755" s="11471"/>
      <c r="BC1755" s="11472"/>
      <c r="BD1755" s="11478"/>
      <c r="BF1755" s="14572"/>
      <c r="BG1755" s="14572"/>
      <c r="BH1755" s="14572"/>
      <c r="BI1755" s="14572"/>
      <c r="BJ1755" s="14572"/>
      <c r="BK1755" s="11479"/>
      <c r="BL1755" s="14572"/>
      <c r="BM1755" s="14572"/>
      <c r="BN1755" s="14572"/>
    </row>
    <row r="1756" spans="1:66" ht="30" hidden="1" customHeight="1">
      <c r="A1756" s="13647"/>
      <c r="B1756" s="14394"/>
      <c r="C1756" s="13616"/>
      <c r="D1756" s="12692" t="s">
        <v>10066</v>
      </c>
      <c r="E1756" s="14410"/>
      <c r="F1756" s="14410"/>
      <c r="G1756" s="14396"/>
      <c r="H1756" s="13390"/>
      <c r="I1756" s="14413"/>
      <c r="K1756" s="11469"/>
      <c r="L1756" s="11470"/>
      <c r="M1756" s="11470"/>
      <c r="N1756" s="11471"/>
      <c r="O1756" s="11471"/>
      <c r="P1756" s="11472"/>
      <c r="Q1756" s="11473"/>
      <c r="R1756" s="11474"/>
      <c r="S1756" s="11475"/>
      <c r="T1756" s="11476"/>
      <c r="U1756" s="11473"/>
      <c r="V1756" s="11474"/>
      <c r="W1756" s="11476"/>
      <c r="X1756" s="11474"/>
      <c r="Y1756" s="11476"/>
      <c r="Z1756" s="11474"/>
      <c r="AA1756" s="11475"/>
      <c r="AB1756" s="11475"/>
      <c r="AC1756" s="11475"/>
      <c r="AD1756" s="11475"/>
      <c r="AE1756" s="11475"/>
      <c r="AF1756" s="11476"/>
      <c r="AG1756" s="11474"/>
      <c r="AH1756" s="11475"/>
      <c r="AI1756" s="11475"/>
      <c r="AJ1756" s="11475"/>
      <c r="AK1756" s="11475"/>
      <c r="AL1756" s="11475"/>
      <c r="AM1756" s="11475"/>
      <c r="AN1756" s="11476"/>
      <c r="AO1756" s="11474"/>
      <c r="AP1756" s="11475"/>
      <c r="AQ1756" s="11475"/>
      <c r="AR1756" s="11475"/>
      <c r="AS1756" s="11475"/>
      <c r="AT1756" s="11476"/>
      <c r="AU1756" s="11477"/>
      <c r="AV1756" s="11477"/>
      <c r="AW1756" s="11477"/>
      <c r="AX1756" s="11469"/>
      <c r="AY1756" s="11472"/>
      <c r="AZ1756" s="11477"/>
      <c r="BA1756" s="11469"/>
      <c r="BB1756" s="11471"/>
      <c r="BC1756" s="11472"/>
      <c r="BD1756" s="11478"/>
      <c r="BF1756" s="14572"/>
      <c r="BG1756" s="14572"/>
      <c r="BH1756" s="14572"/>
      <c r="BI1756" s="14572"/>
      <c r="BJ1756" s="14572"/>
      <c r="BK1756" s="11479"/>
      <c r="BL1756" s="14572"/>
      <c r="BM1756" s="14572"/>
      <c r="BN1756" s="14572"/>
    </row>
    <row r="1757" spans="1:66" ht="30" hidden="1" customHeight="1" thickBot="1">
      <c r="A1757" s="11495">
        <v>1068</v>
      </c>
      <c r="B1757" s="11496" t="s">
        <v>8443</v>
      </c>
      <c r="C1757" s="13617"/>
      <c r="D1757" s="12697" t="s">
        <v>10063</v>
      </c>
      <c r="E1757" s="12698" t="s">
        <v>144</v>
      </c>
      <c r="F1757" s="12699"/>
      <c r="G1757" s="12700" t="s">
        <v>7344</v>
      </c>
      <c r="H1757" s="12701" t="s">
        <v>7346</v>
      </c>
      <c r="I1757" s="12702">
        <v>1</v>
      </c>
      <c r="K1757" s="11498"/>
      <c r="L1757" s="11499"/>
      <c r="M1757" s="11499"/>
      <c r="N1757" s="11500"/>
      <c r="O1757" s="11500"/>
      <c r="P1757" s="11501"/>
      <c r="Q1757" s="11502"/>
      <c r="R1757" s="11503"/>
      <c r="S1757" s="11504"/>
      <c r="T1757" s="11505"/>
      <c r="U1757" s="11502"/>
      <c r="V1757" s="11503"/>
      <c r="W1757" s="11505"/>
      <c r="X1757" s="11503"/>
      <c r="Y1757" s="11505"/>
      <c r="Z1757" s="11503"/>
      <c r="AA1757" s="11504"/>
      <c r="AB1757" s="11504"/>
      <c r="AC1757" s="11504"/>
      <c r="AD1757" s="11504"/>
      <c r="AE1757" s="11504"/>
      <c r="AF1757" s="11505"/>
      <c r="AG1757" s="11503"/>
      <c r="AH1757" s="11504"/>
      <c r="AI1757" s="11504"/>
      <c r="AJ1757" s="11504"/>
      <c r="AK1757" s="11504"/>
      <c r="AL1757" s="11504"/>
      <c r="AM1757" s="11504"/>
      <c r="AN1757" s="11505"/>
      <c r="AO1757" s="11503"/>
      <c r="AP1757" s="11504"/>
      <c r="AQ1757" s="11504"/>
      <c r="AR1757" s="11504"/>
      <c r="AS1757" s="11504"/>
      <c r="AT1757" s="11505"/>
      <c r="AU1757" s="11506"/>
      <c r="AV1757" s="11506"/>
      <c r="AW1757" s="11506"/>
      <c r="AX1757" s="11498"/>
      <c r="AY1757" s="11501"/>
      <c r="AZ1757" s="11506"/>
      <c r="BA1757" s="11498"/>
      <c r="BB1757" s="11500"/>
      <c r="BC1757" s="11501"/>
      <c r="BD1757" s="11507"/>
      <c r="BF1757" s="11497"/>
      <c r="BG1757" s="11497"/>
      <c r="BH1757" s="11497"/>
      <c r="BI1757" s="11497"/>
      <c r="BJ1757" s="11497"/>
      <c r="BK1757" s="11497"/>
      <c r="BL1757" s="11497"/>
      <c r="BM1757" s="11497"/>
      <c r="BN1757" s="11497"/>
    </row>
    <row r="1758" spans="1:66" ht="30" hidden="1" customHeight="1">
      <c r="A1758" s="11508">
        <v>1069</v>
      </c>
      <c r="B1758" s="11509" t="s">
        <v>7597</v>
      </c>
      <c r="C1758" s="13571" t="s">
        <v>10352</v>
      </c>
      <c r="D1758" s="12703" t="s">
        <v>10066</v>
      </c>
      <c r="E1758" s="12704" t="s">
        <v>2308</v>
      </c>
      <c r="F1758" s="12704"/>
      <c r="G1758" s="12705" t="s">
        <v>4339</v>
      </c>
      <c r="H1758" s="12706" t="s">
        <v>4343</v>
      </c>
      <c r="I1758" s="12707">
        <v>1</v>
      </c>
      <c r="K1758" s="11511"/>
      <c r="L1758" s="11512"/>
      <c r="M1758" s="11512"/>
      <c r="N1758" s="11513"/>
      <c r="O1758" s="11513"/>
      <c r="P1758" s="11514"/>
      <c r="Q1758" s="11515"/>
      <c r="R1758" s="11516"/>
      <c r="S1758" s="11517"/>
      <c r="T1758" s="11518"/>
      <c r="U1758" s="11515"/>
      <c r="V1758" s="11516"/>
      <c r="W1758" s="11518"/>
      <c r="X1758" s="11516"/>
      <c r="Y1758" s="11518"/>
      <c r="Z1758" s="11516"/>
      <c r="AA1758" s="11517"/>
      <c r="AB1758" s="11517"/>
      <c r="AC1758" s="11517"/>
      <c r="AD1758" s="11517"/>
      <c r="AE1758" s="11517"/>
      <c r="AF1758" s="11518"/>
      <c r="AG1758" s="11516"/>
      <c r="AH1758" s="11517"/>
      <c r="AI1758" s="11517"/>
      <c r="AJ1758" s="11517"/>
      <c r="AK1758" s="11517"/>
      <c r="AL1758" s="11517"/>
      <c r="AM1758" s="11517"/>
      <c r="AN1758" s="11518"/>
      <c r="AO1758" s="11516"/>
      <c r="AP1758" s="11517"/>
      <c r="AQ1758" s="11517"/>
      <c r="AR1758" s="11517"/>
      <c r="AS1758" s="11517"/>
      <c r="AT1758" s="11518"/>
      <c r="AU1758" s="11519"/>
      <c r="AV1758" s="11519"/>
      <c r="AW1758" s="11519"/>
      <c r="AX1758" s="11511"/>
      <c r="AY1758" s="11514"/>
      <c r="AZ1758" s="11519"/>
      <c r="BA1758" s="11511"/>
      <c r="BB1758" s="11513"/>
      <c r="BC1758" s="11514"/>
      <c r="BD1758" s="11520"/>
      <c r="BF1758" s="11510"/>
      <c r="BG1758" s="11510"/>
      <c r="BH1758" s="11510"/>
      <c r="BI1758" s="11510"/>
      <c r="BJ1758" s="11510"/>
      <c r="BK1758" s="11510"/>
      <c r="BL1758" s="11510"/>
      <c r="BM1758" s="11510"/>
      <c r="BN1758" s="11510"/>
    </row>
    <row r="1759" spans="1:66" ht="30" hidden="1" customHeight="1">
      <c r="A1759" s="11521">
        <v>1070</v>
      </c>
      <c r="B1759" s="11522" t="s">
        <v>7598</v>
      </c>
      <c r="C1759" s="13571"/>
      <c r="D1759" s="12708" t="s">
        <v>10066</v>
      </c>
      <c r="E1759" s="12709" t="s">
        <v>2308</v>
      </c>
      <c r="F1759" s="12709"/>
      <c r="G1759" s="12710" t="s">
        <v>2314</v>
      </c>
      <c r="H1759" s="12711" t="s">
        <v>2316</v>
      </c>
      <c r="I1759" s="12712">
        <v>1</v>
      </c>
      <c r="K1759" s="11524"/>
      <c r="L1759" s="11525"/>
      <c r="M1759" s="11525"/>
      <c r="N1759" s="11526"/>
      <c r="O1759" s="11526"/>
      <c r="P1759" s="11527"/>
      <c r="Q1759" s="11528"/>
      <c r="R1759" s="11529"/>
      <c r="S1759" s="11530"/>
      <c r="T1759" s="11531"/>
      <c r="U1759" s="11528"/>
      <c r="V1759" s="11529"/>
      <c r="W1759" s="11531"/>
      <c r="X1759" s="11529"/>
      <c r="Y1759" s="11531"/>
      <c r="Z1759" s="11529"/>
      <c r="AA1759" s="11530"/>
      <c r="AB1759" s="11530"/>
      <c r="AC1759" s="11530"/>
      <c r="AD1759" s="11530"/>
      <c r="AE1759" s="11530"/>
      <c r="AF1759" s="11531"/>
      <c r="AG1759" s="11529"/>
      <c r="AH1759" s="11530"/>
      <c r="AI1759" s="11530"/>
      <c r="AJ1759" s="11530"/>
      <c r="AK1759" s="11530"/>
      <c r="AL1759" s="11530"/>
      <c r="AM1759" s="11530"/>
      <c r="AN1759" s="11531"/>
      <c r="AO1759" s="11529"/>
      <c r="AP1759" s="11530"/>
      <c r="AQ1759" s="11530"/>
      <c r="AR1759" s="11530"/>
      <c r="AS1759" s="11530"/>
      <c r="AT1759" s="11531"/>
      <c r="AU1759" s="11532"/>
      <c r="AV1759" s="11532"/>
      <c r="AW1759" s="11532"/>
      <c r="AX1759" s="11524"/>
      <c r="AY1759" s="11527"/>
      <c r="AZ1759" s="11532"/>
      <c r="BA1759" s="11524"/>
      <c r="BB1759" s="11526"/>
      <c r="BC1759" s="11527"/>
      <c r="BD1759" s="11533"/>
      <c r="BF1759" s="11523"/>
      <c r="BG1759" s="11523"/>
      <c r="BH1759" s="11523"/>
      <c r="BI1759" s="11523"/>
      <c r="BJ1759" s="11523"/>
      <c r="BK1759" s="11523"/>
      <c r="BL1759" s="11523"/>
      <c r="BM1759" s="11523"/>
      <c r="BN1759" s="11523"/>
    </row>
    <row r="1760" spans="1:66" ht="30" hidden="1" customHeight="1">
      <c r="A1760" s="11521">
        <v>1071</v>
      </c>
      <c r="B1760" s="11522" t="s">
        <v>7599</v>
      </c>
      <c r="C1760" s="13571"/>
      <c r="D1760" s="12708" t="s">
        <v>10066</v>
      </c>
      <c r="E1760" s="12709" t="s">
        <v>2308</v>
      </c>
      <c r="F1760" s="12709"/>
      <c r="G1760" s="12710" t="s">
        <v>2317</v>
      </c>
      <c r="H1760" s="12711" t="s">
        <v>2318</v>
      </c>
      <c r="I1760" s="12712">
        <v>1</v>
      </c>
      <c r="K1760" s="11524"/>
      <c r="L1760" s="11525"/>
      <c r="M1760" s="11525"/>
      <c r="N1760" s="11526"/>
      <c r="O1760" s="11526"/>
      <c r="P1760" s="11527"/>
      <c r="Q1760" s="11528"/>
      <c r="R1760" s="11529"/>
      <c r="S1760" s="11530"/>
      <c r="T1760" s="11531"/>
      <c r="U1760" s="11528"/>
      <c r="V1760" s="11529"/>
      <c r="W1760" s="11531"/>
      <c r="X1760" s="11529"/>
      <c r="Y1760" s="11531"/>
      <c r="Z1760" s="11529"/>
      <c r="AA1760" s="11530"/>
      <c r="AB1760" s="11530"/>
      <c r="AC1760" s="11530"/>
      <c r="AD1760" s="11530"/>
      <c r="AE1760" s="11530"/>
      <c r="AF1760" s="11531"/>
      <c r="AG1760" s="11529"/>
      <c r="AH1760" s="11530"/>
      <c r="AI1760" s="11530"/>
      <c r="AJ1760" s="11530"/>
      <c r="AK1760" s="11530"/>
      <c r="AL1760" s="11530"/>
      <c r="AM1760" s="11530"/>
      <c r="AN1760" s="11531"/>
      <c r="AO1760" s="11529"/>
      <c r="AP1760" s="11530"/>
      <c r="AQ1760" s="11530"/>
      <c r="AR1760" s="11530"/>
      <c r="AS1760" s="11530"/>
      <c r="AT1760" s="11531"/>
      <c r="AU1760" s="11532"/>
      <c r="AV1760" s="11532"/>
      <c r="AW1760" s="11532"/>
      <c r="AX1760" s="11524"/>
      <c r="AY1760" s="11527"/>
      <c r="AZ1760" s="11532"/>
      <c r="BA1760" s="11524"/>
      <c r="BB1760" s="11526"/>
      <c r="BC1760" s="11527"/>
      <c r="BD1760" s="11533"/>
      <c r="BF1760" s="11523"/>
      <c r="BG1760" s="11523"/>
      <c r="BH1760" s="11523"/>
      <c r="BI1760" s="11523"/>
      <c r="BJ1760" s="11523"/>
      <c r="BK1760" s="11523"/>
      <c r="BL1760" s="11523"/>
      <c r="BM1760" s="11523"/>
      <c r="BN1760" s="11523"/>
    </row>
    <row r="1761" spans="1:66" ht="30" hidden="1" customHeight="1">
      <c r="A1761" s="11521">
        <v>1072</v>
      </c>
      <c r="B1761" s="11522" t="s">
        <v>7600</v>
      </c>
      <c r="C1761" s="13571"/>
      <c r="D1761" s="12708" t="s">
        <v>10063</v>
      </c>
      <c r="E1761" s="12709" t="s">
        <v>2323</v>
      </c>
      <c r="F1761" s="12709"/>
      <c r="G1761" s="12710" t="s">
        <v>2322</v>
      </c>
      <c r="H1761" s="12711" t="s">
        <v>2325</v>
      </c>
      <c r="I1761" s="12712">
        <v>1</v>
      </c>
      <c r="K1761" s="11524"/>
      <c r="L1761" s="11525"/>
      <c r="M1761" s="11525"/>
      <c r="N1761" s="11526"/>
      <c r="O1761" s="11526"/>
      <c r="P1761" s="11527"/>
      <c r="Q1761" s="11528"/>
      <c r="R1761" s="11529"/>
      <c r="S1761" s="11530"/>
      <c r="T1761" s="11531"/>
      <c r="U1761" s="11528"/>
      <c r="V1761" s="11529"/>
      <c r="W1761" s="11531"/>
      <c r="X1761" s="11529"/>
      <c r="Y1761" s="11531"/>
      <c r="Z1761" s="11529"/>
      <c r="AA1761" s="11530"/>
      <c r="AB1761" s="11530"/>
      <c r="AC1761" s="11530"/>
      <c r="AD1761" s="11530"/>
      <c r="AE1761" s="11530"/>
      <c r="AF1761" s="11531"/>
      <c r="AG1761" s="11529"/>
      <c r="AH1761" s="11530"/>
      <c r="AI1761" s="11530"/>
      <c r="AJ1761" s="11530"/>
      <c r="AK1761" s="11530"/>
      <c r="AL1761" s="11530"/>
      <c r="AM1761" s="11530"/>
      <c r="AN1761" s="11531"/>
      <c r="AO1761" s="11529"/>
      <c r="AP1761" s="11530"/>
      <c r="AQ1761" s="11530"/>
      <c r="AR1761" s="11530"/>
      <c r="AS1761" s="11530"/>
      <c r="AT1761" s="11531"/>
      <c r="AU1761" s="11532"/>
      <c r="AV1761" s="11532"/>
      <c r="AW1761" s="11532"/>
      <c r="AX1761" s="11524"/>
      <c r="AY1761" s="11527"/>
      <c r="AZ1761" s="11532"/>
      <c r="BA1761" s="11524"/>
      <c r="BB1761" s="11526"/>
      <c r="BC1761" s="11527"/>
      <c r="BD1761" s="11533"/>
      <c r="BF1761" s="11523"/>
      <c r="BG1761" s="11523"/>
      <c r="BH1761" s="11523"/>
      <c r="BI1761" s="11523"/>
      <c r="BJ1761" s="11523"/>
      <c r="BK1761" s="11523"/>
      <c r="BL1761" s="11523"/>
      <c r="BM1761" s="11523"/>
      <c r="BN1761" s="11523"/>
    </row>
    <row r="1762" spans="1:66" ht="30" hidden="1" customHeight="1">
      <c r="A1762" s="11521">
        <v>1073</v>
      </c>
      <c r="B1762" s="11522" t="s">
        <v>7601</v>
      </c>
      <c r="C1762" s="13571"/>
      <c r="D1762" s="12708" t="s">
        <v>10066</v>
      </c>
      <c r="E1762" s="12709" t="s">
        <v>2308</v>
      </c>
      <c r="F1762" s="12709"/>
      <c r="G1762" s="12710" t="s">
        <v>2326</v>
      </c>
      <c r="H1762" s="12711" t="s">
        <v>2327</v>
      </c>
      <c r="I1762" s="12713">
        <v>1</v>
      </c>
      <c r="K1762" s="11524"/>
      <c r="L1762" s="11525"/>
      <c r="M1762" s="11525"/>
      <c r="N1762" s="11526"/>
      <c r="O1762" s="11526"/>
      <c r="P1762" s="11527"/>
      <c r="Q1762" s="11528"/>
      <c r="R1762" s="11529"/>
      <c r="S1762" s="11530"/>
      <c r="T1762" s="11531"/>
      <c r="U1762" s="11528"/>
      <c r="V1762" s="11529"/>
      <c r="W1762" s="11531"/>
      <c r="X1762" s="11529"/>
      <c r="Y1762" s="11531"/>
      <c r="Z1762" s="11529"/>
      <c r="AA1762" s="11530"/>
      <c r="AB1762" s="11530"/>
      <c r="AC1762" s="11530"/>
      <c r="AD1762" s="11530"/>
      <c r="AE1762" s="11530"/>
      <c r="AF1762" s="11531"/>
      <c r="AG1762" s="11529"/>
      <c r="AH1762" s="11530"/>
      <c r="AI1762" s="11530"/>
      <c r="AJ1762" s="11530"/>
      <c r="AK1762" s="11530"/>
      <c r="AL1762" s="11530"/>
      <c r="AM1762" s="11530"/>
      <c r="AN1762" s="11531"/>
      <c r="AO1762" s="11529"/>
      <c r="AP1762" s="11530"/>
      <c r="AQ1762" s="11530"/>
      <c r="AR1762" s="11530"/>
      <c r="AS1762" s="11530"/>
      <c r="AT1762" s="11531"/>
      <c r="AU1762" s="11532"/>
      <c r="AV1762" s="11532"/>
      <c r="AW1762" s="11532"/>
      <c r="AX1762" s="11524"/>
      <c r="AY1762" s="11527"/>
      <c r="AZ1762" s="11532"/>
      <c r="BA1762" s="11524"/>
      <c r="BB1762" s="11526"/>
      <c r="BC1762" s="11527"/>
      <c r="BD1762" s="11533"/>
      <c r="BF1762" s="11523"/>
      <c r="BG1762" s="11523"/>
      <c r="BH1762" s="11523"/>
      <c r="BI1762" s="11523"/>
      <c r="BJ1762" s="11523"/>
      <c r="BK1762" s="11523"/>
      <c r="BL1762" s="11523"/>
      <c r="BM1762" s="11523"/>
      <c r="BN1762" s="11523"/>
    </row>
    <row r="1763" spans="1:66" ht="30" hidden="1" customHeight="1">
      <c r="A1763" s="11521">
        <v>1074</v>
      </c>
      <c r="B1763" s="11522" t="s">
        <v>7602</v>
      </c>
      <c r="C1763" s="13571"/>
      <c r="D1763" s="12708" t="s">
        <v>10066</v>
      </c>
      <c r="E1763" s="12709" t="s">
        <v>2308</v>
      </c>
      <c r="F1763" s="12709"/>
      <c r="G1763" s="12710" t="s">
        <v>2328</v>
      </c>
      <c r="H1763" s="12711" t="s">
        <v>2329</v>
      </c>
      <c r="I1763" s="12714">
        <v>1</v>
      </c>
      <c r="K1763" s="11524"/>
      <c r="L1763" s="11525"/>
      <c r="M1763" s="11525"/>
      <c r="N1763" s="11526"/>
      <c r="O1763" s="11526"/>
      <c r="P1763" s="11527"/>
      <c r="Q1763" s="11528"/>
      <c r="R1763" s="11529"/>
      <c r="S1763" s="11530"/>
      <c r="T1763" s="11531"/>
      <c r="U1763" s="11528"/>
      <c r="V1763" s="11529"/>
      <c r="W1763" s="11531"/>
      <c r="X1763" s="11529"/>
      <c r="Y1763" s="11531"/>
      <c r="Z1763" s="11529"/>
      <c r="AA1763" s="11530"/>
      <c r="AB1763" s="11530"/>
      <c r="AC1763" s="11530"/>
      <c r="AD1763" s="11530"/>
      <c r="AE1763" s="11530"/>
      <c r="AF1763" s="11531"/>
      <c r="AG1763" s="11529"/>
      <c r="AH1763" s="11530"/>
      <c r="AI1763" s="11530"/>
      <c r="AJ1763" s="11530"/>
      <c r="AK1763" s="11530"/>
      <c r="AL1763" s="11530"/>
      <c r="AM1763" s="11530"/>
      <c r="AN1763" s="11531"/>
      <c r="AO1763" s="11529"/>
      <c r="AP1763" s="11530"/>
      <c r="AQ1763" s="11530"/>
      <c r="AR1763" s="11530"/>
      <c r="AS1763" s="11530"/>
      <c r="AT1763" s="11531"/>
      <c r="AU1763" s="11532"/>
      <c r="AV1763" s="11532"/>
      <c r="AW1763" s="11532"/>
      <c r="AX1763" s="11524"/>
      <c r="AY1763" s="11527"/>
      <c r="AZ1763" s="11532"/>
      <c r="BA1763" s="11524"/>
      <c r="BB1763" s="11526"/>
      <c r="BC1763" s="11527"/>
      <c r="BD1763" s="11533"/>
      <c r="BF1763" s="11523"/>
      <c r="BG1763" s="11523"/>
      <c r="BH1763" s="11523"/>
      <c r="BI1763" s="11523"/>
      <c r="BJ1763" s="11523"/>
      <c r="BK1763" s="11523"/>
      <c r="BL1763" s="11523"/>
      <c r="BM1763" s="11523"/>
      <c r="BN1763" s="11523"/>
    </row>
    <row r="1764" spans="1:66" ht="30" hidden="1" customHeight="1" thickBot="1">
      <c r="A1764" s="11534">
        <v>1075</v>
      </c>
      <c r="B1764" s="11535" t="s">
        <v>7603</v>
      </c>
      <c r="C1764" s="13571"/>
      <c r="D1764" s="12715" t="s">
        <v>10066</v>
      </c>
      <c r="E1764" s="12582" t="s">
        <v>2308</v>
      </c>
      <c r="F1764" s="12582"/>
      <c r="G1764" s="12716" t="s">
        <v>2332</v>
      </c>
      <c r="H1764" s="12717" t="s">
        <v>2334</v>
      </c>
      <c r="I1764" s="12718">
        <v>1</v>
      </c>
      <c r="K1764" s="11537"/>
      <c r="L1764" s="11538"/>
      <c r="M1764" s="11538"/>
      <c r="N1764" s="11539"/>
      <c r="O1764" s="11539"/>
      <c r="P1764" s="11540"/>
      <c r="Q1764" s="11541"/>
      <c r="R1764" s="11542"/>
      <c r="S1764" s="11543"/>
      <c r="T1764" s="11544"/>
      <c r="U1764" s="11541"/>
      <c r="V1764" s="11542"/>
      <c r="W1764" s="11544"/>
      <c r="X1764" s="11542"/>
      <c r="Y1764" s="11544"/>
      <c r="Z1764" s="11542"/>
      <c r="AA1764" s="11543"/>
      <c r="AB1764" s="11543"/>
      <c r="AC1764" s="11543"/>
      <c r="AD1764" s="11543"/>
      <c r="AE1764" s="11543"/>
      <c r="AF1764" s="11544"/>
      <c r="AG1764" s="11542"/>
      <c r="AH1764" s="11543"/>
      <c r="AI1764" s="11543"/>
      <c r="AJ1764" s="11543"/>
      <c r="AK1764" s="11543"/>
      <c r="AL1764" s="11543"/>
      <c r="AM1764" s="11543"/>
      <c r="AN1764" s="11544"/>
      <c r="AO1764" s="11542"/>
      <c r="AP1764" s="11543"/>
      <c r="AQ1764" s="11543"/>
      <c r="AR1764" s="11543"/>
      <c r="AS1764" s="11543"/>
      <c r="AT1764" s="11544"/>
      <c r="AU1764" s="11545"/>
      <c r="AV1764" s="11545"/>
      <c r="AW1764" s="11545"/>
      <c r="AX1764" s="11537"/>
      <c r="AY1764" s="11540"/>
      <c r="AZ1764" s="11545"/>
      <c r="BA1764" s="11537"/>
      <c r="BB1764" s="11539"/>
      <c r="BC1764" s="11540"/>
      <c r="BD1764" s="11546"/>
      <c r="BF1764" s="11536"/>
      <c r="BG1764" s="11536"/>
      <c r="BH1764" s="11536"/>
      <c r="BI1764" s="11536"/>
      <c r="BJ1764" s="11536"/>
      <c r="BK1764" s="11536"/>
      <c r="BL1764" s="11536"/>
      <c r="BM1764" s="11536"/>
      <c r="BN1764" s="11536"/>
    </row>
    <row r="1765" spans="1:66" ht="30" hidden="1" customHeight="1" thickBot="1">
      <c r="A1765" s="11547">
        <v>1076</v>
      </c>
      <c r="B1765" s="11548" t="s">
        <v>7604</v>
      </c>
      <c r="C1765" s="13571"/>
      <c r="D1765" s="12719" t="s">
        <v>10063</v>
      </c>
      <c r="E1765" s="12720" t="s">
        <v>2323</v>
      </c>
      <c r="F1765" s="12720"/>
      <c r="G1765" s="12721" t="s">
        <v>2338</v>
      </c>
      <c r="H1765" s="12722" t="s">
        <v>2339</v>
      </c>
      <c r="I1765" s="12723">
        <v>1</v>
      </c>
      <c r="K1765" s="11550"/>
      <c r="L1765" s="11551"/>
      <c r="M1765" s="11551"/>
      <c r="N1765" s="11552"/>
      <c r="O1765" s="11552"/>
      <c r="P1765" s="11553"/>
      <c r="Q1765" s="11554"/>
      <c r="R1765" s="11555"/>
      <c r="S1765" s="11556"/>
      <c r="T1765" s="11557"/>
      <c r="U1765" s="11554"/>
      <c r="V1765" s="11555"/>
      <c r="W1765" s="11557"/>
      <c r="X1765" s="11555"/>
      <c r="Y1765" s="11557"/>
      <c r="Z1765" s="11555"/>
      <c r="AA1765" s="11556"/>
      <c r="AB1765" s="11556"/>
      <c r="AC1765" s="11556"/>
      <c r="AD1765" s="11556"/>
      <c r="AE1765" s="11556"/>
      <c r="AF1765" s="11557"/>
      <c r="AG1765" s="11555"/>
      <c r="AH1765" s="11556"/>
      <c r="AI1765" s="11556"/>
      <c r="AJ1765" s="11556"/>
      <c r="AK1765" s="11556"/>
      <c r="AL1765" s="11556"/>
      <c r="AM1765" s="11556"/>
      <c r="AN1765" s="11557"/>
      <c r="AO1765" s="11555"/>
      <c r="AP1765" s="11556"/>
      <c r="AQ1765" s="11556"/>
      <c r="AR1765" s="11556"/>
      <c r="AS1765" s="11556"/>
      <c r="AT1765" s="11557"/>
      <c r="AU1765" s="11558"/>
      <c r="AV1765" s="11558"/>
      <c r="AW1765" s="11558"/>
      <c r="AX1765" s="11550"/>
      <c r="AY1765" s="11553"/>
      <c r="AZ1765" s="11558"/>
      <c r="BA1765" s="11550"/>
      <c r="BB1765" s="11552"/>
      <c r="BC1765" s="11553"/>
      <c r="BD1765" s="11559"/>
      <c r="BF1765" s="11549"/>
      <c r="BG1765" s="11549"/>
      <c r="BH1765" s="11549"/>
      <c r="BI1765" s="11549"/>
      <c r="BJ1765" s="11549"/>
      <c r="BK1765" s="11549"/>
      <c r="BL1765" s="11549"/>
      <c r="BM1765" s="11549"/>
      <c r="BN1765" s="11549"/>
    </row>
    <row r="1766" spans="1:66" ht="30" hidden="1" customHeight="1">
      <c r="A1766" s="11145">
        <v>1077</v>
      </c>
      <c r="B1766" s="11146" t="s">
        <v>7605</v>
      </c>
      <c r="C1766" s="13571"/>
      <c r="D1766" s="12724" t="s">
        <v>10063</v>
      </c>
      <c r="E1766" s="12725" t="s">
        <v>2323</v>
      </c>
      <c r="F1766" s="12725"/>
      <c r="G1766" s="12726" t="s">
        <v>2343</v>
      </c>
      <c r="H1766" s="12727" t="s">
        <v>2344</v>
      </c>
      <c r="I1766" s="12728">
        <v>1</v>
      </c>
      <c r="K1766" s="11561"/>
      <c r="L1766" s="11562"/>
      <c r="M1766" s="11562"/>
      <c r="N1766" s="11563"/>
      <c r="O1766" s="11563"/>
      <c r="P1766" s="11564"/>
      <c r="Q1766" s="11565"/>
      <c r="R1766" s="11566"/>
      <c r="S1766" s="11567"/>
      <c r="T1766" s="11568"/>
      <c r="U1766" s="11565"/>
      <c r="V1766" s="11566"/>
      <c r="W1766" s="11568"/>
      <c r="X1766" s="11566"/>
      <c r="Y1766" s="11568"/>
      <c r="Z1766" s="11566"/>
      <c r="AA1766" s="11567"/>
      <c r="AB1766" s="11567"/>
      <c r="AC1766" s="11567"/>
      <c r="AD1766" s="11567"/>
      <c r="AE1766" s="11567"/>
      <c r="AF1766" s="11568"/>
      <c r="AG1766" s="11566"/>
      <c r="AH1766" s="11567"/>
      <c r="AI1766" s="11567"/>
      <c r="AJ1766" s="11567"/>
      <c r="AK1766" s="11567"/>
      <c r="AL1766" s="11567"/>
      <c r="AM1766" s="11567"/>
      <c r="AN1766" s="11568"/>
      <c r="AO1766" s="11566"/>
      <c r="AP1766" s="11567"/>
      <c r="AQ1766" s="11567"/>
      <c r="AR1766" s="11567"/>
      <c r="AS1766" s="11567"/>
      <c r="AT1766" s="11568"/>
      <c r="AU1766" s="11569"/>
      <c r="AV1766" s="11569"/>
      <c r="AW1766" s="11569"/>
      <c r="AX1766" s="11561"/>
      <c r="AY1766" s="11564"/>
      <c r="AZ1766" s="11569"/>
      <c r="BA1766" s="11561"/>
      <c r="BB1766" s="11563"/>
      <c r="BC1766" s="11564"/>
      <c r="BD1766" s="11570"/>
      <c r="BF1766" s="11560"/>
      <c r="BG1766" s="11560"/>
      <c r="BH1766" s="11560"/>
      <c r="BI1766" s="11560"/>
      <c r="BJ1766" s="11560"/>
      <c r="BK1766" s="11560"/>
      <c r="BL1766" s="11560"/>
      <c r="BM1766" s="11560"/>
      <c r="BN1766" s="11560"/>
    </row>
    <row r="1767" spans="1:66" ht="30" hidden="1" customHeight="1">
      <c r="A1767" s="11158">
        <v>1078</v>
      </c>
      <c r="B1767" s="11159" t="s">
        <v>7606</v>
      </c>
      <c r="C1767" s="13571"/>
      <c r="D1767" s="12729" t="s">
        <v>10063</v>
      </c>
      <c r="E1767" s="12730" t="s">
        <v>2323</v>
      </c>
      <c r="F1767" s="12730"/>
      <c r="G1767" s="12731" t="s">
        <v>2346</v>
      </c>
      <c r="H1767" s="12732" t="s">
        <v>2347</v>
      </c>
      <c r="I1767" s="12733">
        <v>1</v>
      </c>
      <c r="K1767" s="11572"/>
      <c r="L1767" s="11573"/>
      <c r="M1767" s="11573"/>
      <c r="N1767" s="11574"/>
      <c r="O1767" s="11574"/>
      <c r="P1767" s="11575"/>
      <c r="Q1767" s="11576"/>
      <c r="R1767" s="11577"/>
      <c r="S1767" s="11578"/>
      <c r="T1767" s="11579"/>
      <c r="U1767" s="11576"/>
      <c r="V1767" s="11577"/>
      <c r="W1767" s="11579"/>
      <c r="X1767" s="11577"/>
      <c r="Y1767" s="11579"/>
      <c r="Z1767" s="11577"/>
      <c r="AA1767" s="11578"/>
      <c r="AB1767" s="11578"/>
      <c r="AC1767" s="11578"/>
      <c r="AD1767" s="11578"/>
      <c r="AE1767" s="11578"/>
      <c r="AF1767" s="11579"/>
      <c r="AG1767" s="11577"/>
      <c r="AH1767" s="11578"/>
      <c r="AI1767" s="11578"/>
      <c r="AJ1767" s="11578"/>
      <c r="AK1767" s="11578"/>
      <c r="AL1767" s="11578"/>
      <c r="AM1767" s="11578"/>
      <c r="AN1767" s="11579"/>
      <c r="AO1767" s="11577"/>
      <c r="AP1767" s="11578"/>
      <c r="AQ1767" s="11578"/>
      <c r="AR1767" s="11578"/>
      <c r="AS1767" s="11578"/>
      <c r="AT1767" s="11579"/>
      <c r="AU1767" s="11580"/>
      <c r="AV1767" s="11580"/>
      <c r="AW1767" s="11580"/>
      <c r="AX1767" s="11572"/>
      <c r="AY1767" s="11575"/>
      <c r="AZ1767" s="11580"/>
      <c r="BA1767" s="11572"/>
      <c r="BB1767" s="11574"/>
      <c r="BC1767" s="11575"/>
      <c r="BD1767" s="11581"/>
      <c r="BF1767" s="11571"/>
      <c r="BG1767" s="11571"/>
      <c r="BH1767" s="11571"/>
      <c r="BI1767" s="11571"/>
      <c r="BJ1767" s="11571"/>
      <c r="BK1767" s="11571"/>
      <c r="BL1767" s="11571"/>
      <c r="BM1767" s="11571"/>
      <c r="BN1767" s="11571"/>
    </row>
    <row r="1768" spans="1:66" ht="30" hidden="1" customHeight="1">
      <c r="A1768" s="11158">
        <v>1079</v>
      </c>
      <c r="B1768" s="11159" t="s">
        <v>7607</v>
      </c>
      <c r="C1768" s="13571"/>
      <c r="D1768" s="12729" t="s">
        <v>10063</v>
      </c>
      <c r="E1768" s="12730" t="s">
        <v>2350</v>
      </c>
      <c r="F1768" s="12730"/>
      <c r="G1768" s="12731" t="s">
        <v>2349</v>
      </c>
      <c r="H1768" s="12732" t="s">
        <v>2351</v>
      </c>
      <c r="I1768" s="12734">
        <v>1</v>
      </c>
      <c r="K1768" s="11572"/>
      <c r="L1768" s="11573"/>
      <c r="M1768" s="11573"/>
      <c r="N1768" s="11574"/>
      <c r="O1768" s="11574"/>
      <c r="P1768" s="11575"/>
      <c r="Q1768" s="11576"/>
      <c r="R1768" s="11577"/>
      <c r="S1768" s="11578"/>
      <c r="T1768" s="11579"/>
      <c r="U1768" s="11576"/>
      <c r="V1768" s="11577"/>
      <c r="W1768" s="11579"/>
      <c r="X1768" s="11577"/>
      <c r="Y1768" s="11579"/>
      <c r="Z1768" s="11577"/>
      <c r="AA1768" s="11578"/>
      <c r="AB1768" s="11578"/>
      <c r="AC1768" s="11578"/>
      <c r="AD1768" s="11578"/>
      <c r="AE1768" s="11578"/>
      <c r="AF1768" s="11579"/>
      <c r="AG1768" s="11577"/>
      <c r="AH1768" s="11578"/>
      <c r="AI1768" s="11578"/>
      <c r="AJ1768" s="11578"/>
      <c r="AK1768" s="11578"/>
      <c r="AL1768" s="11578"/>
      <c r="AM1768" s="11578"/>
      <c r="AN1768" s="11579"/>
      <c r="AO1768" s="11577"/>
      <c r="AP1768" s="11578"/>
      <c r="AQ1768" s="11578"/>
      <c r="AR1768" s="11578"/>
      <c r="AS1768" s="11578"/>
      <c r="AT1768" s="11579"/>
      <c r="AU1768" s="11580"/>
      <c r="AV1768" s="11580"/>
      <c r="AW1768" s="11580"/>
      <c r="AX1768" s="11572"/>
      <c r="AY1768" s="11575"/>
      <c r="AZ1768" s="11580"/>
      <c r="BA1768" s="11572"/>
      <c r="BB1768" s="11574"/>
      <c r="BC1768" s="11575"/>
      <c r="BD1768" s="11581"/>
      <c r="BF1768" s="11571"/>
      <c r="BG1768" s="11571"/>
      <c r="BH1768" s="11571"/>
      <c r="BI1768" s="11571"/>
      <c r="BJ1768" s="11571"/>
      <c r="BK1768" s="11571"/>
      <c r="BL1768" s="11571"/>
      <c r="BM1768" s="11571"/>
      <c r="BN1768" s="11571"/>
    </row>
    <row r="1769" spans="1:66" ht="30" hidden="1" customHeight="1">
      <c r="A1769" s="11158">
        <v>1080</v>
      </c>
      <c r="B1769" s="11159" t="s">
        <v>7608</v>
      </c>
      <c r="C1769" s="13571"/>
      <c r="D1769" s="12729" t="s">
        <v>10063</v>
      </c>
      <c r="E1769" s="12730" t="s">
        <v>2323</v>
      </c>
      <c r="F1769" s="12730"/>
      <c r="G1769" s="12731" t="s">
        <v>2353</v>
      </c>
      <c r="H1769" s="12732" t="s">
        <v>2354</v>
      </c>
      <c r="I1769" s="12734">
        <v>1</v>
      </c>
      <c r="K1769" s="11572"/>
      <c r="L1769" s="11573"/>
      <c r="M1769" s="11573"/>
      <c r="N1769" s="11574"/>
      <c r="O1769" s="11574"/>
      <c r="P1769" s="11575"/>
      <c r="Q1769" s="11576"/>
      <c r="R1769" s="11577"/>
      <c r="S1769" s="11578"/>
      <c r="T1769" s="11579"/>
      <c r="U1769" s="11576"/>
      <c r="V1769" s="11577"/>
      <c r="W1769" s="11579"/>
      <c r="X1769" s="11577"/>
      <c r="Y1769" s="11579"/>
      <c r="Z1769" s="11577"/>
      <c r="AA1769" s="11578"/>
      <c r="AB1769" s="11578"/>
      <c r="AC1769" s="11578"/>
      <c r="AD1769" s="11578"/>
      <c r="AE1769" s="11578"/>
      <c r="AF1769" s="11579"/>
      <c r="AG1769" s="11577"/>
      <c r="AH1769" s="11578"/>
      <c r="AI1769" s="11578"/>
      <c r="AJ1769" s="11578"/>
      <c r="AK1769" s="11578"/>
      <c r="AL1769" s="11578"/>
      <c r="AM1769" s="11578"/>
      <c r="AN1769" s="11579"/>
      <c r="AO1769" s="11577"/>
      <c r="AP1769" s="11578"/>
      <c r="AQ1769" s="11578"/>
      <c r="AR1769" s="11578"/>
      <c r="AS1769" s="11578"/>
      <c r="AT1769" s="11579"/>
      <c r="AU1769" s="11580"/>
      <c r="AV1769" s="11580"/>
      <c r="AW1769" s="11580"/>
      <c r="AX1769" s="11572"/>
      <c r="AY1769" s="11575"/>
      <c r="AZ1769" s="11580"/>
      <c r="BA1769" s="11572"/>
      <c r="BB1769" s="11574"/>
      <c r="BC1769" s="11575"/>
      <c r="BD1769" s="11581"/>
      <c r="BF1769" s="11571"/>
      <c r="BG1769" s="11571"/>
      <c r="BH1769" s="11571"/>
      <c r="BI1769" s="11571"/>
      <c r="BJ1769" s="11571"/>
      <c r="BK1769" s="11571"/>
      <c r="BL1769" s="11571"/>
      <c r="BM1769" s="11571"/>
      <c r="BN1769" s="11571"/>
    </row>
    <row r="1770" spans="1:66" ht="30" hidden="1" customHeight="1">
      <c r="A1770" s="11158">
        <v>1081</v>
      </c>
      <c r="B1770" s="11159" t="s">
        <v>7609</v>
      </c>
      <c r="C1770" s="13571"/>
      <c r="D1770" s="12729" t="s">
        <v>65</v>
      </c>
      <c r="E1770" s="12730" t="s">
        <v>2360</v>
      </c>
      <c r="F1770" s="12730"/>
      <c r="G1770" s="12731" t="s">
        <v>2359</v>
      </c>
      <c r="H1770" s="12732" t="s">
        <v>2361</v>
      </c>
      <c r="I1770" s="12734">
        <v>0.05</v>
      </c>
      <c r="K1770" s="11572"/>
      <c r="L1770" s="11573"/>
      <c r="M1770" s="11573"/>
      <c r="N1770" s="11574"/>
      <c r="O1770" s="11574"/>
      <c r="P1770" s="11575"/>
      <c r="Q1770" s="11576"/>
      <c r="R1770" s="11577"/>
      <c r="S1770" s="11578"/>
      <c r="T1770" s="11579"/>
      <c r="U1770" s="11576"/>
      <c r="V1770" s="11577"/>
      <c r="W1770" s="11579"/>
      <c r="X1770" s="11577"/>
      <c r="Y1770" s="11579"/>
      <c r="Z1770" s="11577"/>
      <c r="AA1770" s="11578"/>
      <c r="AB1770" s="11578"/>
      <c r="AC1770" s="11578"/>
      <c r="AD1770" s="11578"/>
      <c r="AE1770" s="11578"/>
      <c r="AF1770" s="11579"/>
      <c r="AG1770" s="11577"/>
      <c r="AH1770" s="11578"/>
      <c r="AI1770" s="11578"/>
      <c r="AJ1770" s="11578"/>
      <c r="AK1770" s="11578"/>
      <c r="AL1770" s="11578"/>
      <c r="AM1770" s="11578"/>
      <c r="AN1770" s="11579"/>
      <c r="AO1770" s="11577"/>
      <c r="AP1770" s="11578"/>
      <c r="AQ1770" s="11578"/>
      <c r="AR1770" s="11578"/>
      <c r="AS1770" s="11578"/>
      <c r="AT1770" s="11579"/>
      <c r="AU1770" s="11580"/>
      <c r="AV1770" s="11580"/>
      <c r="AW1770" s="11580"/>
      <c r="AX1770" s="11572"/>
      <c r="AY1770" s="11575"/>
      <c r="AZ1770" s="11580"/>
      <c r="BA1770" s="11572"/>
      <c r="BB1770" s="11574"/>
      <c r="BC1770" s="11575"/>
      <c r="BD1770" s="11581"/>
      <c r="BF1770" s="11571"/>
      <c r="BG1770" s="11571"/>
      <c r="BH1770" s="11571"/>
      <c r="BI1770" s="11571"/>
      <c r="BJ1770" s="11571"/>
      <c r="BK1770" s="11571"/>
      <c r="BL1770" s="11571"/>
      <c r="BM1770" s="11571"/>
      <c r="BN1770" s="11571"/>
    </row>
    <row r="1771" spans="1:66" ht="30" hidden="1" customHeight="1">
      <c r="A1771" s="11158">
        <v>1082</v>
      </c>
      <c r="B1771" s="11159" t="s">
        <v>7610</v>
      </c>
      <c r="C1771" s="13571"/>
      <c r="D1771" s="12729" t="s">
        <v>65</v>
      </c>
      <c r="E1771" s="12730" t="s">
        <v>2360</v>
      </c>
      <c r="F1771" s="12730"/>
      <c r="G1771" s="12731" t="s">
        <v>2363</v>
      </c>
      <c r="H1771" s="12732" t="s">
        <v>2364</v>
      </c>
      <c r="I1771" s="12735">
        <v>75</v>
      </c>
      <c r="K1771" s="11572"/>
      <c r="L1771" s="11573"/>
      <c r="M1771" s="11573"/>
      <c r="N1771" s="11574"/>
      <c r="O1771" s="11574"/>
      <c r="P1771" s="11575"/>
      <c r="Q1771" s="11576"/>
      <c r="R1771" s="11577"/>
      <c r="S1771" s="11578"/>
      <c r="T1771" s="11579"/>
      <c r="U1771" s="11576"/>
      <c r="V1771" s="11577"/>
      <c r="W1771" s="11579"/>
      <c r="X1771" s="11577"/>
      <c r="Y1771" s="11579"/>
      <c r="Z1771" s="11577"/>
      <c r="AA1771" s="11578"/>
      <c r="AB1771" s="11578"/>
      <c r="AC1771" s="11578"/>
      <c r="AD1771" s="11578"/>
      <c r="AE1771" s="11578"/>
      <c r="AF1771" s="11579"/>
      <c r="AG1771" s="11577"/>
      <c r="AH1771" s="11578"/>
      <c r="AI1771" s="11578"/>
      <c r="AJ1771" s="11578"/>
      <c r="AK1771" s="11578"/>
      <c r="AL1771" s="11578"/>
      <c r="AM1771" s="11578"/>
      <c r="AN1771" s="11579"/>
      <c r="AO1771" s="11577"/>
      <c r="AP1771" s="11578"/>
      <c r="AQ1771" s="11578"/>
      <c r="AR1771" s="11578"/>
      <c r="AS1771" s="11578"/>
      <c r="AT1771" s="11579"/>
      <c r="AU1771" s="11580"/>
      <c r="AV1771" s="11580"/>
      <c r="AW1771" s="11580"/>
      <c r="AX1771" s="11572"/>
      <c r="AY1771" s="11575"/>
      <c r="AZ1771" s="11580"/>
      <c r="BA1771" s="11572"/>
      <c r="BB1771" s="11574"/>
      <c r="BC1771" s="11575"/>
      <c r="BD1771" s="11581"/>
      <c r="BF1771" s="11571"/>
      <c r="BG1771" s="11571"/>
      <c r="BH1771" s="11571"/>
      <c r="BI1771" s="11571"/>
      <c r="BJ1771" s="11571"/>
      <c r="BK1771" s="11571"/>
      <c r="BL1771" s="11571"/>
      <c r="BM1771" s="11571"/>
      <c r="BN1771" s="11571"/>
    </row>
    <row r="1772" spans="1:66" ht="30" hidden="1" customHeight="1">
      <c r="A1772" s="11158">
        <v>1083</v>
      </c>
      <c r="B1772" s="11159" t="s">
        <v>7611</v>
      </c>
      <c r="C1772" s="13571"/>
      <c r="D1772" s="12729" t="s">
        <v>65</v>
      </c>
      <c r="E1772" s="12730" t="s">
        <v>2360</v>
      </c>
      <c r="F1772" s="12730"/>
      <c r="G1772" s="12731" t="s">
        <v>2365</v>
      </c>
      <c r="H1772" s="12732" t="s">
        <v>2366</v>
      </c>
      <c r="I1772" s="12735">
        <v>5</v>
      </c>
      <c r="K1772" s="11572"/>
      <c r="L1772" s="11573"/>
      <c r="M1772" s="11573"/>
      <c r="N1772" s="11574"/>
      <c r="O1772" s="11574"/>
      <c r="P1772" s="11575"/>
      <c r="Q1772" s="11576"/>
      <c r="R1772" s="11577"/>
      <c r="S1772" s="11578"/>
      <c r="T1772" s="11579"/>
      <c r="U1772" s="11576"/>
      <c r="V1772" s="11577"/>
      <c r="W1772" s="11579"/>
      <c r="X1772" s="11577"/>
      <c r="Y1772" s="11579"/>
      <c r="Z1772" s="11577"/>
      <c r="AA1772" s="11578"/>
      <c r="AB1772" s="11578"/>
      <c r="AC1772" s="11578"/>
      <c r="AD1772" s="11578"/>
      <c r="AE1772" s="11578"/>
      <c r="AF1772" s="11579"/>
      <c r="AG1772" s="11577"/>
      <c r="AH1772" s="11578"/>
      <c r="AI1772" s="11578"/>
      <c r="AJ1772" s="11578"/>
      <c r="AK1772" s="11578"/>
      <c r="AL1772" s="11578"/>
      <c r="AM1772" s="11578"/>
      <c r="AN1772" s="11579"/>
      <c r="AO1772" s="11577"/>
      <c r="AP1772" s="11578"/>
      <c r="AQ1772" s="11578"/>
      <c r="AR1772" s="11578"/>
      <c r="AS1772" s="11578"/>
      <c r="AT1772" s="11579"/>
      <c r="AU1772" s="11580"/>
      <c r="AV1772" s="11580"/>
      <c r="AW1772" s="11580"/>
      <c r="AX1772" s="11572"/>
      <c r="AY1772" s="11575"/>
      <c r="AZ1772" s="11580"/>
      <c r="BA1772" s="11572"/>
      <c r="BB1772" s="11574"/>
      <c r="BC1772" s="11575"/>
      <c r="BD1772" s="11581"/>
      <c r="BF1772" s="11571"/>
      <c r="BG1772" s="11571"/>
      <c r="BH1772" s="11571"/>
      <c r="BI1772" s="11571"/>
      <c r="BJ1772" s="11571"/>
      <c r="BK1772" s="11571"/>
      <c r="BL1772" s="11571"/>
      <c r="BM1772" s="11571"/>
      <c r="BN1772" s="11571"/>
    </row>
    <row r="1773" spans="1:66" ht="30" hidden="1" customHeight="1">
      <c r="A1773" s="11158">
        <v>1084</v>
      </c>
      <c r="B1773" s="11159" t="s">
        <v>7612</v>
      </c>
      <c r="C1773" s="13571"/>
      <c r="D1773" s="12729" t="s">
        <v>65</v>
      </c>
      <c r="E1773" s="12730" t="s">
        <v>2360</v>
      </c>
      <c r="F1773" s="12730"/>
      <c r="G1773" s="12731" t="s">
        <v>2367</v>
      </c>
      <c r="H1773" s="12732" t="s">
        <v>2368</v>
      </c>
      <c r="I1773" s="12735">
        <v>0</v>
      </c>
      <c r="K1773" s="11572"/>
      <c r="L1773" s="11573"/>
      <c r="M1773" s="11573"/>
      <c r="N1773" s="11574"/>
      <c r="O1773" s="11574"/>
      <c r="P1773" s="11575"/>
      <c r="Q1773" s="11576"/>
      <c r="R1773" s="11577"/>
      <c r="S1773" s="11578"/>
      <c r="T1773" s="11579"/>
      <c r="U1773" s="11576"/>
      <c r="V1773" s="11577"/>
      <c r="W1773" s="11579"/>
      <c r="X1773" s="11577"/>
      <c r="Y1773" s="11579"/>
      <c r="Z1773" s="11577"/>
      <c r="AA1773" s="11578"/>
      <c r="AB1773" s="11578"/>
      <c r="AC1773" s="11578"/>
      <c r="AD1773" s="11578"/>
      <c r="AE1773" s="11578"/>
      <c r="AF1773" s="11579"/>
      <c r="AG1773" s="11577"/>
      <c r="AH1773" s="11578"/>
      <c r="AI1773" s="11578"/>
      <c r="AJ1773" s="11578"/>
      <c r="AK1773" s="11578"/>
      <c r="AL1773" s="11578"/>
      <c r="AM1773" s="11578"/>
      <c r="AN1773" s="11579"/>
      <c r="AO1773" s="11577"/>
      <c r="AP1773" s="11578"/>
      <c r="AQ1773" s="11578"/>
      <c r="AR1773" s="11578"/>
      <c r="AS1773" s="11578"/>
      <c r="AT1773" s="11579"/>
      <c r="AU1773" s="11580"/>
      <c r="AV1773" s="11580"/>
      <c r="AW1773" s="11580"/>
      <c r="AX1773" s="11572"/>
      <c r="AY1773" s="11575"/>
      <c r="AZ1773" s="11580"/>
      <c r="BA1773" s="11572"/>
      <c r="BB1773" s="11574"/>
      <c r="BC1773" s="11575"/>
      <c r="BD1773" s="11581"/>
      <c r="BF1773" s="11571"/>
      <c r="BG1773" s="11571"/>
      <c r="BH1773" s="11571"/>
      <c r="BI1773" s="11571"/>
      <c r="BJ1773" s="11571"/>
      <c r="BK1773" s="11571"/>
      <c r="BL1773" s="11571"/>
      <c r="BM1773" s="11571"/>
      <c r="BN1773" s="11571"/>
    </row>
    <row r="1774" spans="1:66" ht="30" hidden="1" customHeight="1">
      <c r="A1774" s="11158">
        <v>1085</v>
      </c>
      <c r="B1774" s="11159" t="s">
        <v>7613</v>
      </c>
      <c r="C1774" s="13571"/>
      <c r="D1774" s="12729" t="s">
        <v>65</v>
      </c>
      <c r="E1774" s="12730" t="s">
        <v>2360</v>
      </c>
      <c r="F1774" s="12730"/>
      <c r="G1774" s="12731" t="s">
        <v>2369</v>
      </c>
      <c r="H1774" s="12732" t="s">
        <v>4374</v>
      </c>
      <c r="I1774" s="12735">
        <v>2</v>
      </c>
      <c r="K1774" s="11572"/>
      <c r="L1774" s="11573"/>
      <c r="M1774" s="11573"/>
      <c r="N1774" s="11574"/>
      <c r="O1774" s="11574"/>
      <c r="P1774" s="11575"/>
      <c r="Q1774" s="11576"/>
      <c r="R1774" s="11577"/>
      <c r="S1774" s="11578"/>
      <c r="T1774" s="11579"/>
      <c r="U1774" s="11576"/>
      <c r="V1774" s="11577"/>
      <c r="W1774" s="11579"/>
      <c r="X1774" s="11577"/>
      <c r="Y1774" s="11579"/>
      <c r="Z1774" s="11577"/>
      <c r="AA1774" s="11578"/>
      <c r="AB1774" s="11578"/>
      <c r="AC1774" s="11578"/>
      <c r="AD1774" s="11578"/>
      <c r="AE1774" s="11578"/>
      <c r="AF1774" s="11579"/>
      <c r="AG1774" s="11577"/>
      <c r="AH1774" s="11578"/>
      <c r="AI1774" s="11578"/>
      <c r="AJ1774" s="11578"/>
      <c r="AK1774" s="11578"/>
      <c r="AL1774" s="11578"/>
      <c r="AM1774" s="11578"/>
      <c r="AN1774" s="11579"/>
      <c r="AO1774" s="11577"/>
      <c r="AP1774" s="11578"/>
      <c r="AQ1774" s="11578"/>
      <c r="AR1774" s="11578"/>
      <c r="AS1774" s="11578"/>
      <c r="AT1774" s="11579"/>
      <c r="AU1774" s="11580"/>
      <c r="AV1774" s="11580"/>
      <c r="AW1774" s="11580"/>
      <c r="AX1774" s="11572"/>
      <c r="AY1774" s="11575"/>
      <c r="AZ1774" s="11580"/>
      <c r="BA1774" s="11572"/>
      <c r="BB1774" s="11574"/>
      <c r="BC1774" s="11575"/>
      <c r="BD1774" s="11581"/>
      <c r="BF1774" s="11571"/>
      <c r="BG1774" s="11571"/>
      <c r="BH1774" s="11571"/>
      <c r="BI1774" s="11571"/>
      <c r="BJ1774" s="11571"/>
      <c r="BK1774" s="11571"/>
      <c r="BL1774" s="11571"/>
      <c r="BM1774" s="11571"/>
      <c r="BN1774" s="11571"/>
    </row>
    <row r="1775" spans="1:66" ht="30" hidden="1" customHeight="1">
      <c r="A1775" s="11158">
        <v>1086</v>
      </c>
      <c r="B1775" s="11159" t="s">
        <v>7614</v>
      </c>
      <c r="C1775" s="13571"/>
      <c r="D1775" s="12729" t="s">
        <v>10063</v>
      </c>
      <c r="E1775" s="12730" t="s">
        <v>2323</v>
      </c>
      <c r="F1775" s="12730"/>
      <c r="G1775" s="12731" t="s">
        <v>2371</v>
      </c>
      <c r="H1775" s="12732" t="s">
        <v>2372</v>
      </c>
      <c r="I1775" s="12736">
        <v>2</v>
      </c>
      <c r="K1775" s="11572"/>
      <c r="L1775" s="11573"/>
      <c r="M1775" s="11573"/>
      <c r="N1775" s="11574"/>
      <c r="O1775" s="11574"/>
      <c r="P1775" s="11575"/>
      <c r="Q1775" s="11576"/>
      <c r="R1775" s="11577"/>
      <c r="S1775" s="11578"/>
      <c r="T1775" s="11579"/>
      <c r="U1775" s="11576"/>
      <c r="V1775" s="11577"/>
      <c r="W1775" s="11579"/>
      <c r="X1775" s="11577"/>
      <c r="Y1775" s="11579"/>
      <c r="Z1775" s="11577"/>
      <c r="AA1775" s="11578"/>
      <c r="AB1775" s="11578"/>
      <c r="AC1775" s="11578"/>
      <c r="AD1775" s="11578"/>
      <c r="AE1775" s="11578"/>
      <c r="AF1775" s="11579"/>
      <c r="AG1775" s="11577"/>
      <c r="AH1775" s="11578"/>
      <c r="AI1775" s="11578"/>
      <c r="AJ1775" s="11578"/>
      <c r="AK1775" s="11578"/>
      <c r="AL1775" s="11578"/>
      <c r="AM1775" s="11578"/>
      <c r="AN1775" s="11579"/>
      <c r="AO1775" s="11577"/>
      <c r="AP1775" s="11578"/>
      <c r="AQ1775" s="11578"/>
      <c r="AR1775" s="11578"/>
      <c r="AS1775" s="11578"/>
      <c r="AT1775" s="11579"/>
      <c r="AU1775" s="11580"/>
      <c r="AV1775" s="11580"/>
      <c r="AW1775" s="11580"/>
      <c r="AX1775" s="11572"/>
      <c r="AY1775" s="11575"/>
      <c r="AZ1775" s="11580"/>
      <c r="BA1775" s="11572"/>
      <c r="BB1775" s="11574"/>
      <c r="BC1775" s="11575"/>
      <c r="BD1775" s="11581"/>
      <c r="BF1775" s="11571"/>
      <c r="BG1775" s="11571"/>
      <c r="BH1775" s="11571"/>
      <c r="BI1775" s="11571"/>
      <c r="BJ1775" s="11571"/>
      <c r="BK1775" s="11571"/>
      <c r="BL1775" s="11571"/>
      <c r="BM1775" s="11571"/>
      <c r="BN1775" s="11571"/>
    </row>
    <row r="1776" spans="1:66" ht="30" hidden="1" customHeight="1">
      <c r="A1776" s="11158">
        <v>1087</v>
      </c>
      <c r="B1776" s="11159" t="s">
        <v>7615</v>
      </c>
      <c r="C1776" s="13571"/>
      <c r="D1776" s="12729" t="s">
        <v>86</v>
      </c>
      <c r="E1776" s="12737" t="s">
        <v>2379</v>
      </c>
      <c r="F1776" s="12737"/>
      <c r="G1776" s="12731" t="s">
        <v>2378</v>
      </c>
      <c r="H1776" s="12732" t="s">
        <v>2380</v>
      </c>
      <c r="I1776" s="12734" t="s">
        <v>2381</v>
      </c>
      <c r="K1776" s="12906" t="s">
        <v>10416</v>
      </c>
      <c r="L1776" s="12910"/>
      <c r="M1776" s="12908"/>
      <c r="N1776" s="13268" t="s">
        <v>10492</v>
      </c>
      <c r="O1776" s="12907" t="s">
        <v>10612</v>
      </c>
      <c r="P1776" s="12909"/>
      <c r="Q1776" s="12909"/>
      <c r="R1776" s="12909"/>
      <c r="S1776" s="12909"/>
      <c r="T1776" s="12909"/>
      <c r="U1776" s="12909"/>
      <c r="V1776" s="12909"/>
      <c r="W1776" s="12909"/>
      <c r="X1776" s="12909"/>
      <c r="Y1776" s="12909"/>
      <c r="Z1776" s="12909"/>
      <c r="AA1776" s="12909"/>
      <c r="AB1776" s="12909"/>
      <c r="AC1776" s="12909"/>
      <c r="AD1776" s="12909"/>
      <c r="AE1776" s="12909"/>
      <c r="AF1776" s="12909"/>
      <c r="AG1776" s="12909"/>
      <c r="AH1776" s="12909"/>
      <c r="AI1776" s="12909"/>
      <c r="AJ1776" s="12909"/>
      <c r="AK1776" s="12909"/>
      <c r="AL1776" s="12909"/>
      <c r="AM1776" s="12909"/>
      <c r="AN1776" s="12909"/>
      <c r="AO1776" s="12909"/>
      <c r="AP1776" s="12909"/>
      <c r="AQ1776" s="12909"/>
      <c r="AR1776" s="12909"/>
      <c r="AS1776" s="12909"/>
      <c r="AT1776" s="12907"/>
      <c r="AU1776" s="12907"/>
      <c r="AV1776" s="12907"/>
      <c r="AW1776" s="12907"/>
      <c r="AX1776" s="12907"/>
      <c r="AY1776" s="12907"/>
      <c r="AZ1776" s="12907"/>
      <c r="BA1776" s="12907"/>
      <c r="BB1776" s="12907"/>
      <c r="BC1776" s="12907"/>
      <c r="BD1776" s="11581"/>
      <c r="BF1776" s="11571"/>
      <c r="BG1776" s="11571"/>
      <c r="BH1776" s="11571"/>
      <c r="BI1776" s="11571"/>
      <c r="BJ1776" s="11571"/>
      <c r="BK1776" s="11571"/>
      <c r="BL1776" s="11571"/>
      <c r="BM1776" s="11571"/>
      <c r="BN1776" s="11571"/>
    </row>
    <row r="1777" spans="1:66" ht="30" hidden="1" customHeight="1">
      <c r="A1777" s="11158">
        <v>1088</v>
      </c>
      <c r="B1777" s="11159" t="s">
        <v>7616</v>
      </c>
      <c r="C1777" s="13571"/>
      <c r="D1777" s="12729" t="s">
        <v>86</v>
      </c>
      <c r="E1777" s="12737" t="s">
        <v>2379</v>
      </c>
      <c r="F1777" s="12737"/>
      <c r="G1777" s="12731" t="s">
        <v>2385</v>
      </c>
      <c r="H1777" s="12732" t="s">
        <v>2386</v>
      </c>
      <c r="I1777" s="12735">
        <v>4</v>
      </c>
      <c r="K1777" s="12906" t="s">
        <v>10598</v>
      </c>
      <c r="L1777" s="12910"/>
      <c r="M1777" s="12911"/>
      <c r="N1777" s="12907" t="s">
        <v>10613</v>
      </c>
      <c r="O1777" s="12907" t="s">
        <v>4141</v>
      </c>
      <c r="P1777" s="12909" t="s">
        <v>10614</v>
      </c>
      <c r="Q1777" s="12909"/>
      <c r="R1777" s="12909"/>
      <c r="S1777" s="12909"/>
      <c r="T1777" s="12909"/>
      <c r="U1777" s="12909"/>
      <c r="V1777" s="12909"/>
      <c r="W1777" s="12909"/>
      <c r="X1777" s="12909"/>
      <c r="Y1777" s="12909"/>
      <c r="Z1777" s="12909"/>
      <c r="AA1777" s="12909"/>
      <c r="AB1777" s="12909"/>
      <c r="AC1777" s="12909"/>
      <c r="AD1777" s="12909"/>
      <c r="AE1777" s="12909"/>
      <c r="AF1777" s="12909"/>
      <c r="AG1777" s="12909"/>
      <c r="AH1777" s="12909"/>
      <c r="AI1777" s="12909"/>
      <c r="AJ1777" s="12909"/>
      <c r="AK1777" s="12909"/>
      <c r="AL1777" s="12909"/>
      <c r="AM1777" s="12909"/>
      <c r="AN1777" s="12909"/>
      <c r="AO1777" s="12909"/>
      <c r="AP1777" s="12909"/>
      <c r="AQ1777" s="12909"/>
      <c r="AR1777" s="12909"/>
      <c r="AS1777" s="12909"/>
      <c r="AT1777" s="12907"/>
      <c r="AU1777" s="12907"/>
      <c r="AV1777" s="12907"/>
      <c r="AW1777" s="12907"/>
      <c r="AX1777" s="12907"/>
      <c r="AY1777" s="12907"/>
      <c r="AZ1777" s="12907"/>
      <c r="BA1777" s="12907"/>
      <c r="BB1777" s="12907"/>
      <c r="BC1777" s="12907"/>
      <c r="BD1777" s="11581"/>
      <c r="BF1777" s="11571"/>
      <c r="BG1777" s="11571"/>
      <c r="BH1777" s="11571"/>
      <c r="BI1777" s="11571"/>
      <c r="BJ1777" s="11571"/>
      <c r="BK1777" s="11571"/>
      <c r="BL1777" s="11571"/>
      <c r="BM1777" s="11571"/>
      <c r="BN1777" s="11571"/>
    </row>
    <row r="1778" spans="1:66" ht="30" hidden="1" customHeight="1">
      <c r="A1778" s="11158">
        <v>1089</v>
      </c>
      <c r="B1778" s="11159" t="s">
        <v>7617</v>
      </c>
      <c r="C1778" s="13571"/>
      <c r="D1778" s="12729" t="s">
        <v>86</v>
      </c>
      <c r="E1778" s="12737" t="s">
        <v>2379</v>
      </c>
      <c r="F1778" s="12737"/>
      <c r="G1778" s="12731" t="s">
        <v>2390</v>
      </c>
      <c r="H1778" s="12732" t="s">
        <v>2391</v>
      </c>
      <c r="I1778" s="12736">
        <v>10</v>
      </c>
      <c r="K1778" s="12906" t="s">
        <v>10575</v>
      </c>
      <c r="L1778" s="12907"/>
      <c r="M1778" s="12907"/>
      <c r="N1778" s="13269" t="s">
        <v>10372</v>
      </c>
      <c r="O1778" s="12907" t="s">
        <v>3575</v>
      </c>
      <c r="P1778" s="12907"/>
      <c r="Q1778" s="12907"/>
      <c r="R1778" s="12907"/>
      <c r="S1778" s="12907"/>
      <c r="T1778" s="12907">
        <v>136</v>
      </c>
      <c r="U1778" s="12907">
        <v>32</v>
      </c>
      <c r="V1778" s="12907">
        <v>104</v>
      </c>
      <c r="W1778" s="12907">
        <v>136</v>
      </c>
      <c r="X1778" s="12907"/>
      <c r="Y1778" s="12907">
        <v>3</v>
      </c>
      <c r="Z1778" s="12907">
        <v>19</v>
      </c>
      <c r="AA1778" s="12907">
        <v>4</v>
      </c>
      <c r="AB1778" s="12907">
        <v>26</v>
      </c>
      <c r="AC1778" s="12907">
        <v>34</v>
      </c>
      <c r="AD1778" s="12907">
        <v>36</v>
      </c>
      <c r="AE1778" s="12907">
        <v>14</v>
      </c>
      <c r="AF1778" s="12907">
        <v>107</v>
      </c>
      <c r="AG1778" s="12907">
        <v>1</v>
      </c>
      <c r="AH1778" s="12907">
        <v>12</v>
      </c>
      <c r="AI1778" s="12907">
        <v>1</v>
      </c>
      <c r="AJ1778" s="12907">
        <v>14</v>
      </c>
      <c r="AK1778" s="12907"/>
      <c r="AL1778" s="12907"/>
      <c r="AM1778" s="12907">
        <v>1</v>
      </c>
      <c r="AN1778" s="12907">
        <v>128</v>
      </c>
      <c r="AO1778" s="12907">
        <v>6</v>
      </c>
      <c r="AP1778" s="12907">
        <v>2</v>
      </c>
      <c r="AQ1778" s="12907"/>
      <c r="AR1778" s="12907"/>
      <c r="AS1778" s="12907"/>
      <c r="AT1778" s="12907"/>
      <c r="AU1778" s="12907"/>
      <c r="AV1778" s="12907"/>
      <c r="AW1778" s="12907"/>
      <c r="AX1778" s="12907"/>
      <c r="AY1778" s="12907"/>
      <c r="AZ1778" s="12907"/>
      <c r="BA1778" s="12907"/>
      <c r="BB1778" s="12907"/>
      <c r="BC1778" s="12907"/>
      <c r="BD1778" s="11581"/>
      <c r="BF1778" s="11571"/>
      <c r="BG1778" s="11571"/>
      <c r="BH1778" s="11571"/>
      <c r="BI1778" s="11571"/>
      <c r="BJ1778" s="11571"/>
      <c r="BK1778" s="11571"/>
      <c r="BL1778" s="11571"/>
      <c r="BM1778" s="11571"/>
      <c r="BN1778" s="11571"/>
    </row>
    <row r="1779" spans="1:66" ht="30" hidden="1" customHeight="1">
      <c r="A1779" s="11158">
        <v>1090</v>
      </c>
      <c r="B1779" s="11159" t="s">
        <v>7618</v>
      </c>
      <c r="C1779" s="13571"/>
      <c r="D1779" s="12729" t="s">
        <v>86</v>
      </c>
      <c r="E1779" s="12737" t="s">
        <v>2379</v>
      </c>
      <c r="F1779" s="12737"/>
      <c r="G1779" s="12731" t="s">
        <v>2395</v>
      </c>
      <c r="H1779" s="12732" t="s">
        <v>2396</v>
      </c>
      <c r="I1779" s="12736">
        <v>165</v>
      </c>
      <c r="K1779" s="12906" t="s">
        <v>10576</v>
      </c>
      <c r="L1779" s="12910"/>
      <c r="M1779" s="12907"/>
      <c r="N1779" s="13269" t="s">
        <v>10493</v>
      </c>
      <c r="O1779" s="12907" t="s">
        <v>10494</v>
      </c>
      <c r="P1779" s="12909"/>
      <c r="Q1779" s="12909"/>
      <c r="R1779" s="12909"/>
      <c r="S1779" s="12909"/>
      <c r="T1779" s="12909">
        <v>901</v>
      </c>
      <c r="U1779" s="12909">
        <v>295</v>
      </c>
      <c r="V1779" s="12909">
        <v>606</v>
      </c>
      <c r="W1779" s="12909">
        <v>585</v>
      </c>
      <c r="X1779" s="12909">
        <v>316</v>
      </c>
      <c r="Y1779" s="12909">
        <v>59</v>
      </c>
      <c r="Z1779" s="12909">
        <v>110</v>
      </c>
      <c r="AA1779" s="12909">
        <v>93</v>
      </c>
      <c r="AB1779" s="12909">
        <v>161</v>
      </c>
      <c r="AC1779" s="12909">
        <v>212</v>
      </c>
      <c r="AD1779" s="12909">
        <v>192</v>
      </c>
      <c r="AE1779" s="12909">
        <v>74</v>
      </c>
      <c r="AF1779" s="12909"/>
      <c r="AG1779" s="12909"/>
      <c r="AH1779" s="12909">
        <v>901</v>
      </c>
      <c r="AI1779" s="12909"/>
      <c r="AJ1779" s="12909"/>
      <c r="AK1779" s="12909"/>
      <c r="AL1779" s="12909"/>
      <c r="AM1779" s="12909"/>
      <c r="AN1779" s="12909">
        <v>600</v>
      </c>
      <c r="AO1779" s="12909">
        <v>266</v>
      </c>
      <c r="AP1779" s="12909">
        <v>35</v>
      </c>
      <c r="AQ1779" s="12909"/>
      <c r="AR1779" s="12909"/>
      <c r="AS1779" s="12909"/>
      <c r="AT1779" s="12907"/>
      <c r="AU1779" s="12907"/>
      <c r="AV1779" s="12907"/>
      <c r="AW1779" s="12907"/>
      <c r="AX1779" s="12907"/>
      <c r="AY1779" s="12907"/>
      <c r="AZ1779" s="12907"/>
      <c r="BA1779" s="12907"/>
      <c r="BB1779" s="12907"/>
      <c r="BC1779" s="12907"/>
      <c r="BD1779" s="11581"/>
      <c r="BF1779" s="11571"/>
      <c r="BG1779" s="11571"/>
      <c r="BH1779" s="11571"/>
      <c r="BI1779" s="11571"/>
      <c r="BJ1779" s="11571"/>
      <c r="BK1779" s="11571"/>
      <c r="BL1779" s="11571"/>
      <c r="BM1779" s="11571"/>
      <c r="BN1779" s="11571"/>
    </row>
    <row r="1780" spans="1:66" ht="30" hidden="1" customHeight="1">
      <c r="A1780" s="11158">
        <v>1091</v>
      </c>
      <c r="B1780" s="11159" t="s">
        <v>7619</v>
      </c>
      <c r="C1780" s="13571"/>
      <c r="D1780" s="12729" t="s">
        <v>2896</v>
      </c>
      <c r="E1780" s="12730" t="s">
        <v>2402</v>
      </c>
      <c r="F1780" s="12730"/>
      <c r="G1780" s="12731" t="s">
        <v>2401</v>
      </c>
      <c r="H1780" s="12732" t="s">
        <v>2403</v>
      </c>
      <c r="I1780" s="12734">
        <v>1</v>
      </c>
      <c r="K1780" s="12912" t="s">
        <v>10385</v>
      </c>
      <c r="L1780" s="12913">
        <v>280</v>
      </c>
      <c r="M1780" s="12913" t="s">
        <v>10495</v>
      </c>
      <c r="N1780" s="12913"/>
      <c r="O1780" s="12913" t="s">
        <v>2911</v>
      </c>
      <c r="P1780" s="12914" t="s">
        <v>2911</v>
      </c>
      <c r="Q1780" s="12914"/>
      <c r="R1780" s="12914"/>
      <c r="S1780" s="12914">
        <v>280</v>
      </c>
      <c r="T1780" s="12914">
        <v>91</v>
      </c>
      <c r="U1780" s="12914">
        <v>189</v>
      </c>
      <c r="V1780" s="12914">
        <v>245</v>
      </c>
      <c r="W1780" s="12914">
        <v>35</v>
      </c>
      <c r="X1780" s="12914">
        <v>0</v>
      </c>
      <c r="Y1780" s="12914">
        <v>0</v>
      </c>
      <c r="Z1780" s="12914">
        <v>1</v>
      </c>
      <c r="AA1780" s="12914">
        <v>48</v>
      </c>
      <c r="AB1780" s="12914">
        <v>76</v>
      </c>
      <c r="AC1780" s="12914">
        <v>108</v>
      </c>
      <c r="AD1780" s="12914">
        <v>47</v>
      </c>
      <c r="AE1780" s="12914">
        <v>0</v>
      </c>
      <c r="AF1780" s="12914">
        <v>0</v>
      </c>
      <c r="AG1780" s="12914">
        <v>248</v>
      </c>
      <c r="AH1780" s="12914">
        <v>32</v>
      </c>
      <c r="AI1780" s="12914">
        <v>0</v>
      </c>
      <c r="AJ1780" s="12914">
        <v>0</v>
      </c>
      <c r="AK1780" s="12914">
        <v>0</v>
      </c>
      <c r="AL1780" s="12914">
        <v>0</v>
      </c>
      <c r="AM1780" s="12914">
        <v>239</v>
      </c>
      <c r="AN1780" s="12914">
        <v>31</v>
      </c>
      <c r="AO1780" s="12914">
        <v>10</v>
      </c>
      <c r="AP1780" s="12914">
        <v>0</v>
      </c>
      <c r="AQ1780" s="12914">
        <v>0</v>
      </c>
      <c r="AR1780" s="12914">
        <v>0</v>
      </c>
      <c r="AS1780" s="12915"/>
      <c r="AT1780" s="12916"/>
      <c r="AU1780" s="12916"/>
      <c r="AV1780" s="12916"/>
      <c r="AW1780" s="12916"/>
      <c r="AX1780" s="12916"/>
      <c r="AY1780" s="12916"/>
      <c r="AZ1780" s="12916"/>
      <c r="BA1780" s="12916"/>
      <c r="BB1780" s="12916"/>
      <c r="BC1780" s="12916"/>
      <c r="BD1780" s="11581"/>
      <c r="BF1780" s="11571"/>
      <c r="BG1780" s="11571"/>
      <c r="BH1780" s="11571"/>
      <c r="BI1780" s="11571"/>
      <c r="BJ1780" s="11571"/>
      <c r="BK1780" s="11571"/>
      <c r="BL1780" s="11571"/>
      <c r="BM1780" s="11571"/>
      <c r="BN1780" s="11571"/>
    </row>
    <row r="1781" spans="1:66" ht="30" hidden="1" customHeight="1">
      <c r="A1781" s="11158">
        <v>1092</v>
      </c>
      <c r="B1781" s="11159" t="s">
        <v>7620</v>
      </c>
      <c r="C1781" s="13571"/>
      <c r="D1781" s="12729" t="s">
        <v>2896</v>
      </c>
      <c r="E1781" s="12730" t="s">
        <v>2402</v>
      </c>
      <c r="F1781" s="12730"/>
      <c r="G1781" s="12731" t="s">
        <v>2404</v>
      </c>
      <c r="H1781" s="12732" t="s">
        <v>2405</v>
      </c>
      <c r="I1781" s="12734">
        <v>1</v>
      </c>
      <c r="K1781" s="12912" t="s">
        <v>10385</v>
      </c>
      <c r="L1781" s="12913">
        <v>72</v>
      </c>
      <c r="M1781" s="12913" t="s">
        <v>10496</v>
      </c>
      <c r="N1781" s="12913"/>
      <c r="O1781" s="12913" t="s">
        <v>2911</v>
      </c>
      <c r="P1781" s="12914" t="s">
        <v>2911</v>
      </c>
      <c r="Q1781" s="12914"/>
      <c r="R1781" s="12914"/>
      <c r="S1781" s="12914">
        <v>72</v>
      </c>
      <c r="T1781" s="12914">
        <v>24</v>
      </c>
      <c r="U1781" s="12914">
        <v>48</v>
      </c>
      <c r="V1781" s="12914">
        <v>52</v>
      </c>
      <c r="W1781" s="12914">
        <v>20</v>
      </c>
      <c r="X1781" s="12914">
        <v>0</v>
      </c>
      <c r="Y1781" s="12914">
        <v>0</v>
      </c>
      <c r="Z1781" s="12914">
        <v>4</v>
      </c>
      <c r="AA1781" s="12914">
        <v>22</v>
      </c>
      <c r="AB1781" s="12914">
        <v>21</v>
      </c>
      <c r="AC1781" s="12914">
        <v>24</v>
      </c>
      <c r="AD1781" s="12914">
        <v>1</v>
      </c>
      <c r="AE1781" s="12914">
        <v>0</v>
      </c>
      <c r="AF1781" s="12914">
        <v>0</v>
      </c>
      <c r="AG1781" s="12914">
        <v>63</v>
      </c>
      <c r="AH1781" s="12914">
        <v>14</v>
      </c>
      <c r="AI1781" s="12914">
        <v>0</v>
      </c>
      <c r="AJ1781" s="12914">
        <v>0</v>
      </c>
      <c r="AK1781" s="12914">
        <v>0</v>
      </c>
      <c r="AL1781" s="12914">
        <v>0</v>
      </c>
      <c r="AM1781" s="12914">
        <v>68</v>
      </c>
      <c r="AN1781" s="12914">
        <v>1</v>
      </c>
      <c r="AO1781" s="12914">
        <v>3</v>
      </c>
      <c r="AP1781" s="12914">
        <v>0</v>
      </c>
      <c r="AQ1781" s="12914">
        <v>0</v>
      </c>
      <c r="AR1781" s="12914">
        <v>0</v>
      </c>
      <c r="AS1781" s="12915"/>
      <c r="AT1781" s="12916"/>
      <c r="AU1781" s="12916"/>
      <c r="AV1781" s="12916"/>
      <c r="AW1781" s="12916"/>
      <c r="AX1781" s="12916"/>
      <c r="AY1781" s="12916"/>
      <c r="AZ1781" s="12916"/>
      <c r="BA1781" s="12916"/>
      <c r="BB1781" s="12916"/>
      <c r="BC1781" s="12916"/>
      <c r="BD1781" s="11581"/>
      <c r="BF1781" s="11571"/>
      <c r="BG1781" s="11571"/>
      <c r="BH1781" s="11571"/>
      <c r="BI1781" s="11571"/>
      <c r="BJ1781" s="11571"/>
      <c r="BK1781" s="11571"/>
      <c r="BL1781" s="11571"/>
      <c r="BM1781" s="11571"/>
      <c r="BN1781" s="11571"/>
    </row>
    <row r="1782" spans="1:66" ht="30" hidden="1" customHeight="1">
      <c r="A1782" s="11158">
        <v>1093</v>
      </c>
      <c r="B1782" s="11159" t="s">
        <v>7621</v>
      </c>
      <c r="C1782" s="13571"/>
      <c r="D1782" s="12729" t="s">
        <v>2896</v>
      </c>
      <c r="E1782" s="12730" t="s">
        <v>2402</v>
      </c>
      <c r="F1782" s="12730"/>
      <c r="G1782" s="12731" t="s">
        <v>2406</v>
      </c>
      <c r="H1782" s="12732" t="s">
        <v>2407</v>
      </c>
      <c r="I1782" s="12734">
        <v>1</v>
      </c>
      <c r="K1782" s="12912" t="s">
        <v>10385</v>
      </c>
      <c r="L1782" s="12917">
        <v>1</v>
      </c>
      <c r="M1782" s="12913" t="s">
        <v>10497</v>
      </c>
      <c r="N1782" s="12913"/>
      <c r="O1782" s="12913" t="s">
        <v>2911</v>
      </c>
      <c r="P1782" s="12914" t="s">
        <v>2911</v>
      </c>
      <c r="Q1782" s="12914"/>
      <c r="R1782" s="12914"/>
      <c r="S1782" s="12914">
        <v>95</v>
      </c>
      <c r="T1782" s="12914">
        <v>49</v>
      </c>
      <c r="U1782" s="12914">
        <v>46</v>
      </c>
      <c r="V1782" s="12914">
        <v>80</v>
      </c>
      <c r="W1782" s="12914">
        <v>15</v>
      </c>
      <c r="X1782" s="12914">
        <v>0</v>
      </c>
      <c r="Y1782" s="12914">
        <v>1</v>
      </c>
      <c r="Z1782" s="12914">
        <v>43</v>
      </c>
      <c r="AA1782" s="12914">
        <v>25</v>
      </c>
      <c r="AB1782" s="12914">
        <v>18</v>
      </c>
      <c r="AC1782" s="12914">
        <v>8</v>
      </c>
      <c r="AD1782" s="12914">
        <v>0</v>
      </c>
      <c r="AE1782" s="12914">
        <v>0</v>
      </c>
      <c r="AF1782" s="12914">
        <v>0</v>
      </c>
      <c r="AG1782" s="12914">
        <v>22</v>
      </c>
      <c r="AH1782" s="12914">
        <v>6</v>
      </c>
      <c r="AI1782" s="12914">
        <v>0</v>
      </c>
      <c r="AJ1782" s="12914">
        <v>0</v>
      </c>
      <c r="AK1782" s="12914">
        <v>0</v>
      </c>
      <c r="AL1782" s="12914">
        <v>0</v>
      </c>
      <c r="AM1782" s="12914">
        <v>37</v>
      </c>
      <c r="AN1782" s="12914">
        <v>58</v>
      </c>
      <c r="AO1782" s="12914">
        <v>0</v>
      </c>
      <c r="AP1782" s="12914">
        <v>0</v>
      </c>
      <c r="AQ1782" s="12914">
        <v>0</v>
      </c>
      <c r="AR1782" s="12914">
        <v>0</v>
      </c>
      <c r="AS1782" s="12915"/>
      <c r="AT1782" s="12916"/>
      <c r="AU1782" s="12916"/>
      <c r="AV1782" s="12916"/>
      <c r="AW1782" s="12916"/>
      <c r="AX1782" s="12916"/>
      <c r="AY1782" s="12916"/>
      <c r="AZ1782" s="12916"/>
      <c r="BA1782" s="12916"/>
      <c r="BB1782" s="12916"/>
      <c r="BC1782" s="12916"/>
      <c r="BD1782" s="11581"/>
      <c r="BF1782" s="11571"/>
      <c r="BG1782" s="11571"/>
      <c r="BH1782" s="11571"/>
      <c r="BI1782" s="11571"/>
      <c r="BJ1782" s="11571"/>
      <c r="BK1782" s="11571"/>
      <c r="BL1782" s="11571"/>
      <c r="BM1782" s="11571"/>
      <c r="BN1782" s="11571"/>
    </row>
    <row r="1783" spans="1:66" ht="30" hidden="1" customHeight="1">
      <c r="A1783" s="11158">
        <v>1094</v>
      </c>
      <c r="B1783" s="11159" t="s">
        <v>7622</v>
      </c>
      <c r="C1783" s="13571"/>
      <c r="D1783" s="12729" t="s">
        <v>2896</v>
      </c>
      <c r="E1783" s="12730" t="s">
        <v>2402</v>
      </c>
      <c r="F1783" s="12730"/>
      <c r="G1783" s="12731" t="s">
        <v>2408</v>
      </c>
      <c r="H1783" s="12732" t="s">
        <v>2409</v>
      </c>
      <c r="I1783" s="12734">
        <v>1</v>
      </c>
      <c r="K1783" s="11572"/>
      <c r="L1783" s="11573"/>
      <c r="M1783" s="11573"/>
      <c r="N1783" s="11574"/>
      <c r="O1783" s="11574"/>
      <c r="P1783" s="11575"/>
      <c r="Q1783" s="11576"/>
      <c r="R1783" s="11577"/>
      <c r="S1783" s="11578"/>
      <c r="T1783" s="11579"/>
      <c r="U1783" s="11576"/>
      <c r="V1783" s="11577"/>
      <c r="W1783" s="11579"/>
      <c r="X1783" s="11577"/>
      <c r="Y1783" s="11579"/>
      <c r="Z1783" s="11577"/>
      <c r="AA1783" s="11578"/>
      <c r="AB1783" s="11578"/>
      <c r="AC1783" s="11578"/>
      <c r="AD1783" s="11578"/>
      <c r="AE1783" s="11578"/>
      <c r="AF1783" s="11579"/>
      <c r="AG1783" s="11577"/>
      <c r="AH1783" s="11578"/>
      <c r="AI1783" s="11578"/>
      <c r="AJ1783" s="11578"/>
      <c r="AK1783" s="11578"/>
      <c r="AL1783" s="11578"/>
      <c r="AM1783" s="11578"/>
      <c r="AN1783" s="11579"/>
      <c r="AO1783" s="11577"/>
      <c r="AP1783" s="11578"/>
      <c r="AQ1783" s="11578"/>
      <c r="AR1783" s="11578"/>
      <c r="AS1783" s="11578"/>
      <c r="AT1783" s="11579"/>
      <c r="AU1783" s="11580"/>
      <c r="AV1783" s="11580"/>
      <c r="AW1783" s="11580"/>
      <c r="AX1783" s="11572"/>
      <c r="AY1783" s="11575"/>
      <c r="AZ1783" s="11580"/>
      <c r="BA1783" s="11572"/>
      <c r="BB1783" s="11574"/>
      <c r="BC1783" s="11575"/>
      <c r="BD1783" s="11581"/>
      <c r="BF1783" s="11571"/>
      <c r="BG1783" s="11571"/>
      <c r="BH1783" s="11571"/>
      <c r="BI1783" s="11571"/>
      <c r="BJ1783" s="11571"/>
      <c r="BK1783" s="11571"/>
      <c r="BL1783" s="11571"/>
      <c r="BM1783" s="11571"/>
      <c r="BN1783" s="11571"/>
    </row>
    <row r="1784" spans="1:66" ht="30" hidden="1" customHeight="1">
      <c r="A1784" s="11158">
        <v>1095</v>
      </c>
      <c r="B1784" s="11159" t="s">
        <v>7623</v>
      </c>
      <c r="C1784" s="13571"/>
      <c r="D1784" s="12729" t="s">
        <v>2896</v>
      </c>
      <c r="E1784" s="12730" t="s">
        <v>2402</v>
      </c>
      <c r="F1784" s="12730"/>
      <c r="G1784" s="12731" t="s">
        <v>4340</v>
      </c>
      <c r="H1784" s="12732" t="s">
        <v>2410</v>
      </c>
      <c r="I1784" s="12736">
        <v>15</v>
      </c>
      <c r="K1784" s="11572"/>
      <c r="L1784" s="11573"/>
      <c r="M1784" s="11573"/>
      <c r="N1784" s="11574"/>
      <c r="O1784" s="11574"/>
      <c r="P1784" s="11575"/>
      <c r="Q1784" s="11576"/>
      <c r="R1784" s="11577"/>
      <c r="S1784" s="11578"/>
      <c r="T1784" s="11579"/>
      <c r="U1784" s="11576"/>
      <c r="V1784" s="11577"/>
      <c r="W1784" s="11579"/>
      <c r="X1784" s="11577"/>
      <c r="Y1784" s="11579"/>
      <c r="Z1784" s="11577"/>
      <c r="AA1784" s="11578"/>
      <c r="AB1784" s="11578"/>
      <c r="AC1784" s="11578"/>
      <c r="AD1784" s="11578"/>
      <c r="AE1784" s="11578"/>
      <c r="AF1784" s="11579"/>
      <c r="AG1784" s="11577"/>
      <c r="AH1784" s="11578"/>
      <c r="AI1784" s="11578"/>
      <c r="AJ1784" s="11578"/>
      <c r="AK1784" s="11578"/>
      <c r="AL1784" s="11578"/>
      <c r="AM1784" s="11578"/>
      <c r="AN1784" s="11579"/>
      <c r="AO1784" s="11577"/>
      <c r="AP1784" s="11578"/>
      <c r="AQ1784" s="11578"/>
      <c r="AR1784" s="11578"/>
      <c r="AS1784" s="11578"/>
      <c r="AT1784" s="11579"/>
      <c r="AU1784" s="11580"/>
      <c r="AV1784" s="11580"/>
      <c r="AW1784" s="11580"/>
      <c r="AX1784" s="11572"/>
      <c r="AY1784" s="11575"/>
      <c r="AZ1784" s="11580"/>
      <c r="BA1784" s="11572"/>
      <c r="BB1784" s="11574"/>
      <c r="BC1784" s="11575"/>
      <c r="BD1784" s="11581"/>
      <c r="BF1784" s="11571"/>
      <c r="BG1784" s="11571"/>
      <c r="BH1784" s="11571"/>
      <c r="BI1784" s="11571"/>
      <c r="BJ1784" s="11571"/>
      <c r="BK1784" s="11571"/>
      <c r="BL1784" s="11571"/>
      <c r="BM1784" s="11571"/>
      <c r="BN1784" s="11571"/>
    </row>
    <row r="1785" spans="1:66" ht="30" hidden="1" customHeight="1">
      <c r="A1785" s="11158">
        <v>1096</v>
      </c>
      <c r="B1785" s="11159" t="s">
        <v>7624</v>
      </c>
      <c r="C1785" s="13571"/>
      <c r="D1785" s="12729" t="s">
        <v>2896</v>
      </c>
      <c r="E1785" s="12730" t="s">
        <v>2402</v>
      </c>
      <c r="F1785" s="12730"/>
      <c r="G1785" s="12731" t="s">
        <v>2411</v>
      </c>
      <c r="H1785" s="12732" t="s">
        <v>2412</v>
      </c>
      <c r="I1785" s="12736">
        <v>1</v>
      </c>
      <c r="K1785" s="11572"/>
      <c r="L1785" s="11573"/>
      <c r="M1785" s="11573"/>
      <c r="N1785" s="11574"/>
      <c r="O1785" s="11574"/>
      <c r="P1785" s="11575"/>
      <c r="Q1785" s="11576"/>
      <c r="R1785" s="11577"/>
      <c r="S1785" s="11578"/>
      <c r="T1785" s="11579"/>
      <c r="U1785" s="11576"/>
      <c r="V1785" s="11577"/>
      <c r="W1785" s="11579"/>
      <c r="X1785" s="11577"/>
      <c r="Y1785" s="11579"/>
      <c r="Z1785" s="11577"/>
      <c r="AA1785" s="11578"/>
      <c r="AB1785" s="11578"/>
      <c r="AC1785" s="11578"/>
      <c r="AD1785" s="11578"/>
      <c r="AE1785" s="11578"/>
      <c r="AF1785" s="11579"/>
      <c r="AG1785" s="11577"/>
      <c r="AH1785" s="11578"/>
      <c r="AI1785" s="11578"/>
      <c r="AJ1785" s="11578"/>
      <c r="AK1785" s="11578"/>
      <c r="AL1785" s="11578"/>
      <c r="AM1785" s="11578"/>
      <c r="AN1785" s="11579"/>
      <c r="AO1785" s="11577"/>
      <c r="AP1785" s="11578"/>
      <c r="AQ1785" s="11578"/>
      <c r="AR1785" s="11578"/>
      <c r="AS1785" s="11578"/>
      <c r="AT1785" s="11579"/>
      <c r="AU1785" s="11580"/>
      <c r="AV1785" s="11580"/>
      <c r="AW1785" s="11580"/>
      <c r="AX1785" s="11572"/>
      <c r="AY1785" s="11575"/>
      <c r="AZ1785" s="11580"/>
      <c r="BA1785" s="11572"/>
      <c r="BB1785" s="11574"/>
      <c r="BC1785" s="11575"/>
      <c r="BD1785" s="11581"/>
      <c r="BF1785" s="11571"/>
      <c r="BG1785" s="11571"/>
      <c r="BH1785" s="11571"/>
      <c r="BI1785" s="11571"/>
      <c r="BJ1785" s="11571"/>
      <c r="BK1785" s="11571"/>
      <c r="BL1785" s="11571"/>
      <c r="BM1785" s="11571"/>
      <c r="BN1785" s="11571"/>
    </row>
    <row r="1786" spans="1:66" ht="30" hidden="1" customHeight="1">
      <c r="A1786" s="11158">
        <v>1097</v>
      </c>
      <c r="B1786" s="11159" t="s">
        <v>7625</v>
      </c>
      <c r="C1786" s="13571"/>
      <c r="D1786" s="12729" t="s">
        <v>2896</v>
      </c>
      <c r="E1786" s="12730" t="s">
        <v>2402</v>
      </c>
      <c r="F1786" s="12730"/>
      <c r="G1786" s="12731" t="s">
        <v>2413</v>
      </c>
      <c r="H1786" s="12732" t="s">
        <v>2414</v>
      </c>
      <c r="I1786" s="12736">
        <v>4589</v>
      </c>
      <c r="K1786" s="11572"/>
      <c r="L1786" s="11573"/>
      <c r="M1786" s="11573"/>
      <c r="N1786" s="11574"/>
      <c r="O1786" s="11574"/>
      <c r="P1786" s="11575"/>
      <c r="Q1786" s="11576"/>
      <c r="R1786" s="11577"/>
      <c r="S1786" s="11578"/>
      <c r="T1786" s="11579"/>
      <c r="U1786" s="11576"/>
      <c r="V1786" s="11577"/>
      <c r="W1786" s="11579"/>
      <c r="X1786" s="11577"/>
      <c r="Y1786" s="11579"/>
      <c r="Z1786" s="11577"/>
      <c r="AA1786" s="11578"/>
      <c r="AB1786" s="11578"/>
      <c r="AC1786" s="11578"/>
      <c r="AD1786" s="11578"/>
      <c r="AE1786" s="11578"/>
      <c r="AF1786" s="11579"/>
      <c r="AG1786" s="11577"/>
      <c r="AH1786" s="11578"/>
      <c r="AI1786" s="11578"/>
      <c r="AJ1786" s="11578"/>
      <c r="AK1786" s="11578"/>
      <c r="AL1786" s="11578"/>
      <c r="AM1786" s="11578"/>
      <c r="AN1786" s="11579"/>
      <c r="AO1786" s="11577"/>
      <c r="AP1786" s="11578"/>
      <c r="AQ1786" s="11578"/>
      <c r="AR1786" s="11578"/>
      <c r="AS1786" s="11578"/>
      <c r="AT1786" s="11579"/>
      <c r="AU1786" s="11580"/>
      <c r="AV1786" s="11580"/>
      <c r="AW1786" s="11580"/>
      <c r="AX1786" s="11572"/>
      <c r="AY1786" s="11575"/>
      <c r="AZ1786" s="11580"/>
      <c r="BA1786" s="11572"/>
      <c r="BB1786" s="11574"/>
      <c r="BC1786" s="11575"/>
      <c r="BD1786" s="11581"/>
      <c r="BF1786" s="11571"/>
      <c r="BG1786" s="11571"/>
      <c r="BH1786" s="11571"/>
      <c r="BI1786" s="11571"/>
      <c r="BJ1786" s="11571"/>
      <c r="BK1786" s="11571"/>
      <c r="BL1786" s="11571"/>
      <c r="BM1786" s="11571"/>
      <c r="BN1786" s="11571"/>
    </row>
    <row r="1787" spans="1:66" ht="30" hidden="1" customHeight="1">
      <c r="A1787" s="11158">
        <v>1098</v>
      </c>
      <c r="B1787" s="11159" t="s">
        <v>7626</v>
      </c>
      <c r="C1787" s="13571"/>
      <c r="D1787" s="12729" t="s">
        <v>2896</v>
      </c>
      <c r="E1787" s="12730" t="s">
        <v>2402</v>
      </c>
      <c r="F1787" s="12730"/>
      <c r="G1787" s="12731" t="s">
        <v>2415</v>
      </c>
      <c r="H1787" s="12732" t="s">
        <v>2416</v>
      </c>
      <c r="I1787" s="12736">
        <v>1</v>
      </c>
      <c r="K1787" s="11572"/>
      <c r="L1787" s="11573"/>
      <c r="M1787" s="11573"/>
      <c r="N1787" s="11574"/>
      <c r="O1787" s="11574"/>
      <c r="P1787" s="11575"/>
      <c r="Q1787" s="11576"/>
      <c r="R1787" s="11577"/>
      <c r="S1787" s="11578"/>
      <c r="T1787" s="11579"/>
      <c r="U1787" s="11576"/>
      <c r="V1787" s="11577"/>
      <c r="W1787" s="11579"/>
      <c r="X1787" s="11577"/>
      <c r="Y1787" s="11579"/>
      <c r="Z1787" s="11577"/>
      <c r="AA1787" s="11578"/>
      <c r="AB1787" s="11578"/>
      <c r="AC1787" s="11578"/>
      <c r="AD1787" s="11578"/>
      <c r="AE1787" s="11578"/>
      <c r="AF1787" s="11579"/>
      <c r="AG1787" s="11577"/>
      <c r="AH1787" s="11578"/>
      <c r="AI1787" s="11578"/>
      <c r="AJ1787" s="11578"/>
      <c r="AK1787" s="11578"/>
      <c r="AL1787" s="11578"/>
      <c r="AM1787" s="11578"/>
      <c r="AN1787" s="11579"/>
      <c r="AO1787" s="11577"/>
      <c r="AP1787" s="11578"/>
      <c r="AQ1787" s="11578"/>
      <c r="AR1787" s="11578"/>
      <c r="AS1787" s="11578"/>
      <c r="AT1787" s="11579"/>
      <c r="AU1787" s="11580"/>
      <c r="AV1787" s="11580"/>
      <c r="AW1787" s="11580"/>
      <c r="AX1787" s="11572"/>
      <c r="AY1787" s="11575"/>
      <c r="AZ1787" s="11580"/>
      <c r="BA1787" s="11572"/>
      <c r="BB1787" s="11574"/>
      <c r="BC1787" s="11575"/>
      <c r="BD1787" s="11581"/>
      <c r="BF1787" s="11571"/>
      <c r="BG1787" s="11571"/>
      <c r="BH1787" s="11571"/>
      <c r="BI1787" s="11571"/>
      <c r="BJ1787" s="11571"/>
      <c r="BK1787" s="11571"/>
      <c r="BL1787" s="11571"/>
      <c r="BM1787" s="11571"/>
      <c r="BN1787" s="11571"/>
    </row>
    <row r="1788" spans="1:66" ht="30" hidden="1" customHeight="1">
      <c r="A1788" s="11158">
        <v>1099</v>
      </c>
      <c r="B1788" s="11159" t="s">
        <v>7627</v>
      </c>
      <c r="C1788" s="13571"/>
      <c r="D1788" s="12729" t="s">
        <v>2896</v>
      </c>
      <c r="E1788" s="12730" t="s">
        <v>2402</v>
      </c>
      <c r="F1788" s="12730"/>
      <c r="G1788" s="12731" t="s">
        <v>2417</v>
      </c>
      <c r="H1788" s="12732" t="s">
        <v>2418</v>
      </c>
      <c r="I1788" s="12736">
        <v>4</v>
      </c>
      <c r="K1788" s="11572"/>
      <c r="L1788" s="11573"/>
      <c r="M1788" s="11573"/>
      <c r="N1788" s="11574"/>
      <c r="O1788" s="11574"/>
      <c r="P1788" s="11575"/>
      <c r="Q1788" s="11576"/>
      <c r="R1788" s="11577"/>
      <c r="S1788" s="11578"/>
      <c r="T1788" s="11579"/>
      <c r="U1788" s="11576"/>
      <c r="V1788" s="11577"/>
      <c r="W1788" s="11579"/>
      <c r="X1788" s="11577"/>
      <c r="Y1788" s="11579"/>
      <c r="Z1788" s="11577"/>
      <c r="AA1788" s="11578"/>
      <c r="AB1788" s="11578"/>
      <c r="AC1788" s="11578"/>
      <c r="AD1788" s="11578"/>
      <c r="AE1788" s="11578"/>
      <c r="AF1788" s="11579"/>
      <c r="AG1788" s="11577"/>
      <c r="AH1788" s="11578"/>
      <c r="AI1788" s="11578"/>
      <c r="AJ1788" s="11578"/>
      <c r="AK1788" s="11578"/>
      <c r="AL1788" s="11578"/>
      <c r="AM1788" s="11578"/>
      <c r="AN1788" s="11579"/>
      <c r="AO1788" s="11577"/>
      <c r="AP1788" s="11578"/>
      <c r="AQ1788" s="11578"/>
      <c r="AR1788" s="11578"/>
      <c r="AS1788" s="11578"/>
      <c r="AT1788" s="11579"/>
      <c r="AU1788" s="11580"/>
      <c r="AV1788" s="11580"/>
      <c r="AW1788" s="11580"/>
      <c r="AX1788" s="11572"/>
      <c r="AY1788" s="11575"/>
      <c r="AZ1788" s="11580"/>
      <c r="BA1788" s="11572"/>
      <c r="BB1788" s="11574"/>
      <c r="BC1788" s="11575"/>
      <c r="BD1788" s="11581"/>
      <c r="BF1788" s="11571"/>
      <c r="BG1788" s="11571"/>
      <c r="BH1788" s="11571"/>
      <c r="BI1788" s="11571"/>
      <c r="BJ1788" s="11571"/>
      <c r="BK1788" s="11571"/>
      <c r="BL1788" s="11571"/>
      <c r="BM1788" s="11571"/>
      <c r="BN1788" s="11571"/>
    </row>
    <row r="1789" spans="1:66" ht="30" hidden="1" customHeight="1">
      <c r="A1789" s="11158">
        <v>1100</v>
      </c>
      <c r="B1789" s="11159" t="s">
        <v>7628</v>
      </c>
      <c r="C1789" s="13571"/>
      <c r="D1789" s="12729" t="s">
        <v>2896</v>
      </c>
      <c r="E1789" s="12730" t="s">
        <v>2402</v>
      </c>
      <c r="F1789" s="12730"/>
      <c r="G1789" s="12731" t="s">
        <v>2421</v>
      </c>
      <c r="H1789" s="12732" t="s">
        <v>2422</v>
      </c>
      <c r="I1789" s="12736">
        <v>15</v>
      </c>
      <c r="K1789" s="11572"/>
      <c r="L1789" s="11573"/>
      <c r="M1789" s="11573"/>
      <c r="N1789" s="11574"/>
      <c r="O1789" s="11574"/>
      <c r="P1789" s="11575"/>
      <c r="Q1789" s="11576"/>
      <c r="R1789" s="11577"/>
      <c r="S1789" s="11578"/>
      <c r="T1789" s="11579"/>
      <c r="U1789" s="11576"/>
      <c r="V1789" s="11577"/>
      <c r="W1789" s="11579"/>
      <c r="X1789" s="11577"/>
      <c r="Y1789" s="11579"/>
      <c r="Z1789" s="11577"/>
      <c r="AA1789" s="11578"/>
      <c r="AB1789" s="11578"/>
      <c r="AC1789" s="11578"/>
      <c r="AD1789" s="11578"/>
      <c r="AE1789" s="11578"/>
      <c r="AF1789" s="11579"/>
      <c r="AG1789" s="11577"/>
      <c r="AH1789" s="11578"/>
      <c r="AI1789" s="11578"/>
      <c r="AJ1789" s="11578"/>
      <c r="AK1789" s="11578"/>
      <c r="AL1789" s="11578"/>
      <c r="AM1789" s="11578"/>
      <c r="AN1789" s="11579"/>
      <c r="AO1789" s="11577"/>
      <c r="AP1789" s="11578"/>
      <c r="AQ1789" s="11578"/>
      <c r="AR1789" s="11578"/>
      <c r="AS1789" s="11578"/>
      <c r="AT1789" s="11579"/>
      <c r="AU1789" s="11580"/>
      <c r="AV1789" s="11580"/>
      <c r="AW1789" s="11580"/>
      <c r="AX1789" s="11572"/>
      <c r="AY1789" s="11575"/>
      <c r="AZ1789" s="11580"/>
      <c r="BA1789" s="11572"/>
      <c r="BB1789" s="11574"/>
      <c r="BC1789" s="11575"/>
      <c r="BD1789" s="11581"/>
      <c r="BF1789" s="11571"/>
      <c r="BG1789" s="11571"/>
      <c r="BH1789" s="11571"/>
      <c r="BI1789" s="11571"/>
      <c r="BJ1789" s="11571"/>
      <c r="BK1789" s="11571"/>
      <c r="BL1789" s="11571"/>
      <c r="BM1789" s="11571"/>
      <c r="BN1789" s="11571"/>
    </row>
    <row r="1790" spans="1:66" ht="30" hidden="1" customHeight="1">
      <c r="A1790" s="11158">
        <v>1101</v>
      </c>
      <c r="B1790" s="11159" t="s">
        <v>7629</v>
      </c>
      <c r="C1790" s="13571"/>
      <c r="D1790" s="12729" t="s">
        <v>2896</v>
      </c>
      <c r="E1790" s="12730" t="s">
        <v>2402</v>
      </c>
      <c r="F1790" s="12730"/>
      <c r="G1790" s="12731" t="s">
        <v>2423</v>
      </c>
      <c r="H1790" s="12732" t="s">
        <v>2424</v>
      </c>
      <c r="I1790" s="12736">
        <v>9</v>
      </c>
      <c r="K1790" s="11572"/>
      <c r="L1790" s="11573"/>
      <c r="M1790" s="11573"/>
      <c r="N1790" s="11574"/>
      <c r="O1790" s="11574"/>
      <c r="P1790" s="11575"/>
      <c r="Q1790" s="11576"/>
      <c r="R1790" s="11577"/>
      <c r="S1790" s="11578"/>
      <c r="T1790" s="11579"/>
      <c r="U1790" s="11576"/>
      <c r="V1790" s="11577"/>
      <c r="W1790" s="11579"/>
      <c r="X1790" s="11577"/>
      <c r="Y1790" s="11579"/>
      <c r="Z1790" s="11577"/>
      <c r="AA1790" s="11578"/>
      <c r="AB1790" s="11578"/>
      <c r="AC1790" s="11578"/>
      <c r="AD1790" s="11578"/>
      <c r="AE1790" s="11578"/>
      <c r="AF1790" s="11579"/>
      <c r="AG1790" s="11577"/>
      <c r="AH1790" s="11578"/>
      <c r="AI1790" s="11578"/>
      <c r="AJ1790" s="11578"/>
      <c r="AK1790" s="11578"/>
      <c r="AL1790" s="11578"/>
      <c r="AM1790" s="11578"/>
      <c r="AN1790" s="11579"/>
      <c r="AO1790" s="11577"/>
      <c r="AP1790" s="11578"/>
      <c r="AQ1790" s="11578"/>
      <c r="AR1790" s="11578"/>
      <c r="AS1790" s="11578"/>
      <c r="AT1790" s="11579"/>
      <c r="AU1790" s="11580"/>
      <c r="AV1790" s="11580"/>
      <c r="AW1790" s="11580"/>
      <c r="AX1790" s="11572"/>
      <c r="AY1790" s="11575"/>
      <c r="AZ1790" s="11580"/>
      <c r="BA1790" s="11572"/>
      <c r="BB1790" s="11574"/>
      <c r="BC1790" s="11575"/>
      <c r="BD1790" s="11581"/>
      <c r="BF1790" s="11571"/>
      <c r="BG1790" s="11571"/>
      <c r="BH1790" s="11571"/>
      <c r="BI1790" s="11571"/>
      <c r="BJ1790" s="11571"/>
      <c r="BK1790" s="11571"/>
      <c r="BL1790" s="11571"/>
      <c r="BM1790" s="11571"/>
      <c r="BN1790" s="11571"/>
    </row>
    <row r="1791" spans="1:66" ht="30" hidden="1" customHeight="1">
      <c r="A1791" s="11158">
        <v>1102</v>
      </c>
      <c r="B1791" s="11159" t="s">
        <v>7630</v>
      </c>
      <c r="C1791" s="13571"/>
      <c r="D1791" s="12729" t="s">
        <v>2896</v>
      </c>
      <c r="E1791" s="12730" t="s">
        <v>2402</v>
      </c>
      <c r="F1791" s="12730"/>
      <c r="G1791" s="12731" t="s">
        <v>2425</v>
      </c>
      <c r="H1791" s="12732" t="s">
        <v>2426</v>
      </c>
      <c r="I1791" s="12734">
        <v>0.6</v>
      </c>
      <c r="K1791" s="11572"/>
      <c r="L1791" s="11573"/>
      <c r="M1791" s="11573"/>
      <c r="N1791" s="11574"/>
      <c r="O1791" s="11574"/>
      <c r="P1791" s="11575"/>
      <c r="Q1791" s="11576"/>
      <c r="R1791" s="11577"/>
      <c r="S1791" s="11578"/>
      <c r="T1791" s="11579"/>
      <c r="U1791" s="11576"/>
      <c r="V1791" s="11577"/>
      <c r="W1791" s="11579"/>
      <c r="X1791" s="11577"/>
      <c r="Y1791" s="11579"/>
      <c r="Z1791" s="11577"/>
      <c r="AA1791" s="11578"/>
      <c r="AB1791" s="11578"/>
      <c r="AC1791" s="11578"/>
      <c r="AD1791" s="11578"/>
      <c r="AE1791" s="11578"/>
      <c r="AF1791" s="11579"/>
      <c r="AG1791" s="11577"/>
      <c r="AH1791" s="11578"/>
      <c r="AI1791" s="11578"/>
      <c r="AJ1791" s="11578"/>
      <c r="AK1791" s="11578"/>
      <c r="AL1791" s="11578"/>
      <c r="AM1791" s="11578"/>
      <c r="AN1791" s="11579"/>
      <c r="AO1791" s="11577"/>
      <c r="AP1791" s="11578"/>
      <c r="AQ1791" s="11578"/>
      <c r="AR1791" s="11578"/>
      <c r="AS1791" s="11578"/>
      <c r="AT1791" s="11579"/>
      <c r="AU1791" s="11580"/>
      <c r="AV1791" s="11580"/>
      <c r="AW1791" s="11580"/>
      <c r="AX1791" s="11572"/>
      <c r="AY1791" s="11575"/>
      <c r="AZ1791" s="11580"/>
      <c r="BA1791" s="11572"/>
      <c r="BB1791" s="11574"/>
      <c r="BC1791" s="11575"/>
      <c r="BD1791" s="11581"/>
      <c r="BF1791" s="11571"/>
      <c r="BG1791" s="11571"/>
      <c r="BH1791" s="11571"/>
      <c r="BI1791" s="11571"/>
      <c r="BJ1791" s="11571"/>
      <c r="BK1791" s="11571"/>
      <c r="BL1791" s="11571"/>
      <c r="BM1791" s="11571"/>
      <c r="BN1791" s="11571"/>
    </row>
    <row r="1792" spans="1:66" ht="30" hidden="1" customHeight="1">
      <c r="A1792" s="11158">
        <v>1103</v>
      </c>
      <c r="B1792" s="11159" t="s">
        <v>7631</v>
      </c>
      <c r="C1792" s="13571"/>
      <c r="D1792" s="12729" t="s">
        <v>2896</v>
      </c>
      <c r="E1792" s="12730" t="s">
        <v>2402</v>
      </c>
      <c r="F1792" s="12730"/>
      <c r="G1792" s="12731" t="s">
        <v>2428</v>
      </c>
      <c r="H1792" s="12732" t="s">
        <v>2429</v>
      </c>
      <c r="I1792" s="12738">
        <v>1</v>
      </c>
      <c r="K1792" s="11572"/>
      <c r="L1792" s="11573"/>
      <c r="M1792" s="11573"/>
      <c r="N1792" s="11574"/>
      <c r="O1792" s="11574"/>
      <c r="P1792" s="11575"/>
      <c r="Q1792" s="11576"/>
      <c r="R1792" s="11577"/>
      <c r="S1792" s="11578"/>
      <c r="T1792" s="11579"/>
      <c r="U1792" s="11576"/>
      <c r="V1792" s="11577"/>
      <c r="W1792" s="11579"/>
      <c r="X1792" s="11577"/>
      <c r="Y1792" s="11579"/>
      <c r="Z1792" s="11577"/>
      <c r="AA1792" s="11578"/>
      <c r="AB1792" s="11578"/>
      <c r="AC1792" s="11578"/>
      <c r="AD1792" s="11578"/>
      <c r="AE1792" s="11578"/>
      <c r="AF1792" s="11579"/>
      <c r="AG1792" s="11577"/>
      <c r="AH1792" s="11578"/>
      <c r="AI1792" s="11578"/>
      <c r="AJ1792" s="11578"/>
      <c r="AK1792" s="11578"/>
      <c r="AL1792" s="11578"/>
      <c r="AM1792" s="11578"/>
      <c r="AN1792" s="11579"/>
      <c r="AO1792" s="11577"/>
      <c r="AP1792" s="11578"/>
      <c r="AQ1792" s="11578"/>
      <c r="AR1792" s="11578"/>
      <c r="AS1792" s="11578"/>
      <c r="AT1792" s="11579"/>
      <c r="AU1792" s="11580"/>
      <c r="AV1792" s="11580"/>
      <c r="AW1792" s="11580"/>
      <c r="AX1792" s="11572"/>
      <c r="AY1792" s="11575"/>
      <c r="AZ1792" s="11580"/>
      <c r="BA1792" s="11572"/>
      <c r="BB1792" s="11574"/>
      <c r="BC1792" s="11575"/>
      <c r="BD1792" s="11581"/>
      <c r="BF1792" s="11571"/>
      <c r="BG1792" s="11571"/>
      <c r="BH1792" s="11571"/>
      <c r="BI1792" s="11571"/>
      <c r="BJ1792" s="11571"/>
      <c r="BK1792" s="11571"/>
      <c r="BL1792" s="11571"/>
      <c r="BM1792" s="11571"/>
      <c r="BN1792" s="11571"/>
    </row>
    <row r="1793" spans="1:66" ht="30" hidden="1" customHeight="1">
      <c r="A1793" s="11158">
        <v>1104</v>
      </c>
      <c r="B1793" s="11159" t="s">
        <v>7632</v>
      </c>
      <c r="C1793" s="13571"/>
      <c r="D1793" s="12729" t="s">
        <v>10072</v>
      </c>
      <c r="E1793" s="12730" t="s">
        <v>2434</v>
      </c>
      <c r="F1793" s="12730"/>
      <c r="G1793" s="12731" t="s">
        <v>2433</v>
      </c>
      <c r="H1793" s="12732" t="s">
        <v>2435</v>
      </c>
      <c r="I1793" s="12736">
        <v>2</v>
      </c>
      <c r="K1793" s="11572"/>
      <c r="L1793" s="11573"/>
      <c r="M1793" s="11573"/>
      <c r="N1793" s="11574"/>
      <c r="O1793" s="11574"/>
      <c r="P1793" s="11575"/>
      <c r="Q1793" s="11576"/>
      <c r="R1793" s="11577"/>
      <c r="S1793" s="11578"/>
      <c r="T1793" s="11579"/>
      <c r="U1793" s="11576"/>
      <c r="V1793" s="11577"/>
      <c r="W1793" s="11579"/>
      <c r="X1793" s="11577"/>
      <c r="Y1793" s="11579"/>
      <c r="Z1793" s="11577"/>
      <c r="AA1793" s="11578"/>
      <c r="AB1793" s="11578"/>
      <c r="AC1793" s="11578"/>
      <c r="AD1793" s="11578"/>
      <c r="AE1793" s="11578"/>
      <c r="AF1793" s="11579"/>
      <c r="AG1793" s="11577"/>
      <c r="AH1793" s="11578"/>
      <c r="AI1793" s="11578"/>
      <c r="AJ1793" s="11578"/>
      <c r="AK1793" s="11578"/>
      <c r="AL1793" s="11578"/>
      <c r="AM1793" s="11578"/>
      <c r="AN1793" s="11579"/>
      <c r="AO1793" s="11577"/>
      <c r="AP1793" s="11578"/>
      <c r="AQ1793" s="11578"/>
      <c r="AR1793" s="11578"/>
      <c r="AS1793" s="11578"/>
      <c r="AT1793" s="11579"/>
      <c r="AU1793" s="11580"/>
      <c r="AV1793" s="11580"/>
      <c r="AW1793" s="11580"/>
      <c r="AX1793" s="11572"/>
      <c r="AY1793" s="11575"/>
      <c r="AZ1793" s="11580"/>
      <c r="BA1793" s="11572"/>
      <c r="BB1793" s="11574"/>
      <c r="BC1793" s="11575"/>
      <c r="BD1793" s="11581"/>
      <c r="BF1793" s="11571"/>
      <c r="BG1793" s="11571"/>
      <c r="BH1793" s="11571"/>
      <c r="BI1793" s="11571"/>
      <c r="BJ1793" s="11571"/>
      <c r="BK1793" s="11571"/>
      <c r="BL1793" s="11571"/>
      <c r="BM1793" s="11571"/>
      <c r="BN1793" s="11571"/>
    </row>
    <row r="1794" spans="1:66" ht="30" hidden="1" customHeight="1">
      <c r="A1794" s="11158">
        <v>1105</v>
      </c>
      <c r="B1794" s="11159" t="s">
        <v>7633</v>
      </c>
      <c r="C1794" s="13571"/>
      <c r="D1794" s="12729" t="s">
        <v>10072</v>
      </c>
      <c r="E1794" s="12730" t="s">
        <v>2434</v>
      </c>
      <c r="F1794" s="12730"/>
      <c r="G1794" s="12731" t="s">
        <v>2436</v>
      </c>
      <c r="H1794" s="12732" t="s">
        <v>2437</v>
      </c>
      <c r="I1794" s="12736">
        <v>1</v>
      </c>
      <c r="K1794" s="11572"/>
      <c r="L1794" s="11573"/>
      <c r="M1794" s="11573"/>
      <c r="N1794" s="11574"/>
      <c r="O1794" s="11574"/>
      <c r="P1794" s="11575"/>
      <c r="Q1794" s="11576"/>
      <c r="R1794" s="11577"/>
      <c r="S1794" s="11578"/>
      <c r="T1794" s="11579"/>
      <c r="U1794" s="11576"/>
      <c r="V1794" s="11577"/>
      <c r="W1794" s="11579"/>
      <c r="X1794" s="11577"/>
      <c r="Y1794" s="11579"/>
      <c r="Z1794" s="11577"/>
      <c r="AA1794" s="11578"/>
      <c r="AB1794" s="11578"/>
      <c r="AC1794" s="11578"/>
      <c r="AD1794" s="11578"/>
      <c r="AE1794" s="11578"/>
      <c r="AF1794" s="11579"/>
      <c r="AG1794" s="11577"/>
      <c r="AH1794" s="11578"/>
      <c r="AI1794" s="11578"/>
      <c r="AJ1794" s="11578"/>
      <c r="AK1794" s="11578"/>
      <c r="AL1794" s="11578"/>
      <c r="AM1794" s="11578"/>
      <c r="AN1794" s="11579"/>
      <c r="AO1794" s="11577"/>
      <c r="AP1794" s="11578"/>
      <c r="AQ1794" s="11578"/>
      <c r="AR1794" s="11578"/>
      <c r="AS1794" s="11578"/>
      <c r="AT1794" s="11579"/>
      <c r="AU1794" s="11580"/>
      <c r="AV1794" s="11580"/>
      <c r="AW1794" s="11580"/>
      <c r="AX1794" s="11572"/>
      <c r="AY1794" s="11575"/>
      <c r="AZ1794" s="11580"/>
      <c r="BA1794" s="11572"/>
      <c r="BB1794" s="11574"/>
      <c r="BC1794" s="11575"/>
      <c r="BD1794" s="11581"/>
      <c r="BF1794" s="11571"/>
      <c r="BG1794" s="11571"/>
      <c r="BH1794" s="11571"/>
      <c r="BI1794" s="11571"/>
      <c r="BJ1794" s="11571"/>
      <c r="BK1794" s="11571"/>
      <c r="BL1794" s="11571"/>
      <c r="BM1794" s="11571"/>
      <c r="BN1794" s="11571"/>
    </row>
    <row r="1795" spans="1:66" ht="30" hidden="1" customHeight="1">
      <c r="A1795" s="11158">
        <v>1106</v>
      </c>
      <c r="B1795" s="11159" t="s">
        <v>7634</v>
      </c>
      <c r="C1795" s="13571"/>
      <c r="D1795" s="12729" t="s">
        <v>10072</v>
      </c>
      <c r="E1795" s="12730" t="s">
        <v>2434</v>
      </c>
      <c r="F1795" s="12730"/>
      <c r="G1795" s="12731" t="s">
        <v>2438</v>
      </c>
      <c r="H1795" s="12732" t="s">
        <v>2439</v>
      </c>
      <c r="I1795" s="12736">
        <v>4</v>
      </c>
      <c r="K1795" s="11572"/>
      <c r="L1795" s="11573"/>
      <c r="M1795" s="11573"/>
      <c r="N1795" s="11574"/>
      <c r="O1795" s="11574"/>
      <c r="P1795" s="11575"/>
      <c r="Q1795" s="11576"/>
      <c r="R1795" s="11577"/>
      <c r="S1795" s="11578"/>
      <c r="T1795" s="11579"/>
      <c r="U1795" s="11576"/>
      <c r="V1795" s="11577"/>
      <c r="W1795" s="11579"/>
      <c r="X1795" s="11577"/>
      <c r="Y1795" s="11579"/>
      <c r="Z1795" s="11577"/>
      <c r="AA1795" s="11578"/>
      <c r="AB1795" s="11578"/>
      <c r="AC1795" s="11578"/>
      <c r="AD1795" s="11578"/>
      <c r="AE1795" s="11578"/>
      <c r="AF1795" s="11579"/>
      <c r="AG1795" s="11577"/>
      <c r="AH1795" s="11578"/>
      <c r="AI1795" s="11578"/>
      <c r="AJ1795" s="11578"/>
      <c r="AK1795" s="11578"/>
      <c r="AL1795" s="11578"/>
      <c r="AM1795" s="11578"/>
      <c r="AN1795" s="11579"/>
      <c r="AO1795" s="11577"/>
      <c r="AP1795" s="11578"/>
      <c r="AQ1795" s="11578"/>
      <c r="AR1795" s="11578"/>
      <c r="AS1795" s="11578"/>
      <c r="AT1795" s="11579"/>
      <c r="AU1795" s="11580"/>
      <c r="AV1795" s="11580"/>
      <c r="AW1795" s="11580"/>
      <c r="AX1795" s="11572"/>
      <c r="AY1795" s="11575"/>
      <c r="AZ1795" s="11580"/>
      <c r="BA1795" s="11572"/>
      <c r="BB1795" s="11574"/>
      <c r="BC1795" s="11575"/>
      <c r="BD1795" s="11581"/>
      <c r="BF1795" s="11571"/>
      <c r="BG1795" s="11571"/>
      <c r="BH1795" s="11571"/>
      <c r="BI1795" s="11571"/>
      <c r="BJ1795" s="11571"/>
      <c r="BK1795" s="11571"/>
      <c r="BL1795" s="11571"/>
      <c r="BM1795" s="11571"/>
      <c r="BN1795" s="11571"/>
    </row>
    <row r="1796" spans="1:66" ht="30" hidden="1" customHeight="1">
      <c r="A1796" s="11158">
        <v>1107</v>
      </c>
      <c r="B1796" s="11159" t="s">
        <v>7635</v>
      </c>
      <c r="C1796" s="13571"/>
      <c r="D1796" s="12729" t="s">
        <v>10072</v>
      </c>
      <c r="E1796" s="12730" t="s">
        <v>2434</v>
      </c>
      <c r="F1796" s="12730"/>
      <c r="G1796" s="12731" t="s">
        <v>2440</v>
      </c>
      <c r="H1796" s="12732" t="s">
        <v>2441</v>
      </c>
      <c r="I1796" s="12736">
        <v>0</v>
      </c>
      <c r="K1796" s="11572"/>
      <c r="L1796" s="11573"/>
      <c r="M1796" s="11573"/>
      <c r="N1796" s="11574"/>
      <c r="O1796" s="11574"/>
      <c r="P1796" s="11575"/>
      <c r="Q1796" s="11576"/>
      <c r="R1796" s="11577"/>
      <c r="S1796" s="11578"/>
      <c r="T1796" s="11579"/>
      <c r="U1796" s="11576"/>
      <c r="V1796" s="11577"/>
      <c r="W1796" s="11579"/>
      <c r="X1796" s="11577"/>
      <c r="Y1796" s="11579"/>
      <c r="Z1796" s="11577"/>
      <c r="AA1796" s="11578"/>
      <c r="AB1796" s="11578"/>
      <c r="AC1796" s="11578"/>
      <c r="AD1796" s="11578"/>
      <c r="AE1796" s="11578"/>
      <c r="AF1796" s="11579"/>
      <c r="AG1796" s="11577"/>
      <c r="AH1796" s="11578"/>
      <c r="AI1796" s="11578"/>
      <c r="AJ1796" s="11578"/>
      <c r="AK1796" s="11578"/>
      <c r="AL1796" s="11578"/>
      <c r="AM1796" s="11578"/>
      <c r="AN1796" s="11579"/>
      <c r="AO1796" s="11577"/>
      <c r="AP1796" s="11578"/>
      <c r="AQ1796" s="11578"/>
      <c r="AR1796" s="11578"/>
      <c r="AS1796" s="11578"/>
      <c r="AT1796" s="11579"/>
      <c r="AU1796" s="11580"/>
      <c r="AV1796" s="11580"/>
      <c r="AW1796" s="11580"/>
      <c r="AX1796" s="11572"/>
      <c r="AY1796" s="11575"/>
      <c r="AZ1796" s="11580"/>
      <c r="BA1796" s="11572"/>
      <c r="BB1796" s="11574"/>
      <c r="BC1796" s="11575"/>
      <c r="BD1796" s="11581"/>
      <c r="BF1796" s="11571"/>
      <c r="BG1796" s="11571"/>
      <c r="BH1796" s="11571"/>
      <c r="BI1796" s="11571"/>
      <c r="BJ1796" s="11571"/>
      <c r="BK1796" s="11571"/>
      <c r="BL1796" s="11571"/>
      <c r="BM1796" s="11571"/>
      <c r="BN1796" s="11571"/>
    </row>
    <row r="1797" spans="1:66" ht="30" hidden="1" customHeight="1">
      <c r="A1797" s="11158">
        <v>1108</v>
      </c>
      <c r="B1797" s="11159" t="s">
        <v>7636</v>
      </c>
      <c r="C1797" s="13571"/>
      <c r="D1797" s="12729" t="s">
        <v>10072</v>
      </c>
      <c r="E1797" s="12730" t="s">
        <v>2434</v>
      </c>
      <c r="F1797" s="12730"/>
      <c r="G1797" s="12731" t="s">
        <v>2442</v>
      </c>
      <c r="H1797" s="12732" t="s">
        <v>2443</v>
      </c>
      <c r="I1797" s="12735">
        <v>2</v>
      </c>
      <c r="K1797" s="11572"/>
      <c r="L1797" s="11573"/>
      <c r="M1797" s="11573"/>
      <c r="N1797" s="11574"/>
      <c r="O1797" s="11574"/>
      <c r="P1797" s="11575"/>
      <c r="Q1797" s="11576"/>
      <c r="R1797" s="11577"/>
      <c r="S1797" s="11578"/>
      <c r="T1797" s="11579"/>
      <c r="U1797" s="11576"/>
      <c r="V1797" s="11577"/>
      <c r="W1797" s="11579"/>
      <c r="X1797" s="11577"/>
      <c r="Y1797" s="11579"/>
      <c r="Z1797" s="11577"/>
      <c r="AA1797" s="11578"/>
      <c r="AB1797" s="11578"/>
      <c r="AC1797" s="11578"/>
      <c r="AD1797" s="11578"/>
      <c r="AE1797" s="11578"/>
      <c r="AF1797" s="11579"/>
      <c r="AG1797" s="11577"/>
      <c r="AH1797" s="11578"/>
      <c r="AI1797" s="11578"/>
      <c r="AJ1797" s="11578"/>
      <c r="AK1797" s="11578"/>
      <c r="AL1797" s="11578"/>
      <c r="AM1797" s="11578"/>
      <c r="AN1797" s="11579"/>
      <c r="AO1797" s="11577"/>
      <c r="AP1797" s="11578"/>
      <c r="AQ1797" s="11578"/>
      <c r="AR1797" s="11578"/>
      <c r="AS1797" s="11578"/>
      <c r="AT1797" s="11579"/>
      <c r="AU1797" s="11580"/>
      <c r="AV1797" s="11580"/>
      <c r="AW1797" s="11580"/>
      <c r="AX1797" s="11572"/>
      <c r="AY1797" s="11575"/>
      <c r="AZ1797" s="11580"/>
      <c r="BA1797" s="11572"/>
      <c r="BB1797" s="11574"/>
      <c r="BC1797" s="11575"/>
      <c r="BD1797" s="11581"/>
      <c r="BF1797" s="11571"/>
      <c r="BG1797" s="11571"/>
      <c r="BH1797" s="11571"/>
      <c r="BI1797" s="11571"/>
      <c r="BJ1797" s="11571"/>
      <c r="BK1797" s="11571"/>
      <c r="BL1797" s="11571"/>
      <c r="BM1797" s="11571"/>
      <c r="BN1797" s="11571"/>
    </row>
    <row r="1798" spans="1:66" ht="30" hidden="1" customHeight="1">
      <c r="A1798" s="11158">
        <v>1109</v>
      </c>
      <c r="B1798" s="11159" t="s">
        <v>7637</v>
      </c>
      <c r="C1798" s="13571"/>
      <c r="D1798" s="12729" t="s">
        <v>26</v>
      </c>
      <c r="E1798" s="12730" t="s">
        <v>2449</v>
      </c>
      <c r="F1798" s="12730"/>
      <c r="G1798" s="12731" t="s">
        <v>2448</v>
      </c>
      <c r="H1798" s="12732" t="s">
        <v>2450</v>
      </c>
      <c r="I1798" s="12736">
        <v>5</v>
      </c>
      <c r="K1798" s="11572"/>
      <c r="L1798" s="11573"/>
      <c r="M1798" s="11573"/>
      <c r="N1798" s="11574"/>
      <c r="O1798" s="11574"/>
      <c r="P1798" s="11575"/>
      <c r="Q1798" s="11576"/>
      <c r="R1798" s="11577"/>
      <c r="S1798" s="11578"/>
      <c r="T1798" s="11579"/>
      <c r="U1798" s="11576"/>
      <c r="V1798" s="11577"/>
      <c r="W1798" s="11579"/>
      <c r="X1798" s="11577"/>
      <c r="Y1798" s="11579"/>
      <c r="Z1798" s="11577"/>
      <c r="AA1798" s="11578"/>
      <c r="AB1798" s="11578"/>
      <c r="AC1798" s="11578"/>
      <c r="AD1798" s="11578"/>
      <c r="AE1798" s="11578"/>
      <c r="AF1798" s="11579"/>
      <c r="AG1798" s="11577"/>
      <c r="AH1798" s="11578"/>
      <c r="AI1798" s="11578"/>
      <c r="AJ1798" s="11578"/>
      <c r="AK1798" s="11578"/>
      <c r="AL1798" s="11578"/>
      <c r="AM1798" s="11578"/>
      <c r="AN1798" s="11579"/>
      <c r="AO1798" s="11577"/>
      <c r="AP1798" s="11578"/>
      <c r="AQ1798" s="11578"/>
      <c r="AR1798" s="11578"/>
      <c r="AS1798" s="11578"/>
      <c r="AT1798" s="11579"/>
      <c r="AU1798" s="11580"/>
      <c r="AV1798" s="11580"/>
      <c r="AW1798" s="11580"/>
      <c r="AX1798" s="11572"/>
      <c r="AY1798" s="11575"/>
      <c r="AZ1798" s="11580"/>
      <c r="BA1798" s="11572"/>
      <c r="BB1798" s="11574"/>
      <c r="BC1798" s="11575"/>
      <c r="BD1798" s="11581"/>
      <c r="BF1798" s="11571"/>
      <c r="BG1798" s="11571"/>
      <c r="BH1798" s="11571"/>
      <c r="BI1798" s="11571"/>
      <c r="BJ1798" s="11571"/>
      <c r="BK1798" s="11571"/>
      <c r="BL1798" s="11571"/>
      <c r="BM1798" s="11571"/>
      <c r="BN1798" s="11571"/>
    </row>
    <row r="1799" spans="1:66" ht="30" hidden="1" customHeight="1">
      <c r="A1799" s="11158">
        <v>1110</v>
      </c>
      <c r="B1799" s="11159" t="s">
        <v>7638</v>
      </c>
      <c r="C1799" s="13571"/>
      <c r="D1799" s="12729" t="s">
        <v>4305</v>
      </c>
      <c r="E1799" s="12730" t="s">
        <v>2456</v>
      </c>
      <c r="F1799" s="12730"/>
      <c r="G1799" s="12731" t="s">
        <v>2455</v>
      </c>
      <c r="H1799" s="12732" t="s">
        <v>2457</v>
      </c>
      <c r="I1799" s="12736">
        <v>3</v>
      </c>
      <c r="K1799" s="11572"/>
      <c r="L1799" s="11573"/>
      <c r="M1799" s="11573"/>
      <c r="N1799" s="11574"/>
      <c r="O1799" s="11574"/>
      <c r="P1799" s="11575"/>
      <c r="Q1799" s="11576"/>
      <c r="R1799" s="11577"/>
      <c r="S1799" s="11578"/>
      <c r="T1799" s="11579"/>
      <c r="U1799" s="11576"/>
      <c r="V1799" s="11577"/>
      <c r="W1799" s="11579"/>
      <c r="X1799" s="11577"/>
      <c r="Y1799" s="11579"/>
      <c r="Z1799" s="11577"/>
      <c r="AA1799" s="11578"/>
      <c r="AB1799" s="11578"/>
      <c r="AC1799" s="11578"/>
      <c r="AD1799" s="11578"/>
      <c r="AE1799" s="11578"/>
      <c r="AF1799" s="11579"/>
      <c r="AG1799" s="11577"/>
      <c r="AH1799" s="11578"/>
      <c r="AI1799" s="11578"/>
      <c r="AJ1799" s="11578"/>
      <c r="AK1799" s="11578"/>
      <c r="AL1799" s="11578"/>
      <c r="AM1799" s="11578"/>
      <c r="AN1799" s="11579"/>
      <c r="AO1799" s="11577"/>
      <c r="AP1799" s="11578"/>
      <c r="AQ1799" s="11578"/>
      <c r="AR1799" s="11578"/>
      <c r="AS1799" s="11578"/>
      <c r="AT1799" s="11579"/>
      <c r="AU1799" s="11580"/>
      <c r="AV1799" s="11580"/>
      <c r="AW1799" s="11580"/>
      <c r="AX1799" s="11572"/>
      <c r="AY1799" s="11575"/>
      <c r="AZ1799" s="11580"/>
      <c r="BA1799" s="11572"/>
      <c r="BB1799" s="11574"/>
      <c r="BC1799" s="11575"/>
      <c r="BD1799" s="11581"/>
      <c r="BF1799" s="11571"/>
      <c r="BG1799" s="11571"/>
      <c r="BH1799" s="11571"/>
      <c r="BI1799" s="11571"/>
      <c r="BJ1799" s="11571"/>
      <c r="BK1799" s="11571"/>
      <c r="BL1799" s="11571"/>
      <c r="BM1799" s="11571"/>
      <c r="BN1799" s="11571"/>
    </row>
    <row r="1800" spans="1:66" ht="30" hidden="1" customHeight="1">
      <c r="A1800" s="11158">
        <v>1111</v>
      </c>
      <c r="B1800" s="11159" t="s">
        <v>7639</v>
      </c>
      <c r="C1800" s="13571"/>
      <c r="D1800" s="12729" t="s">
        <v>4305</v>
      </c>
      <c r="E1800" s="12730" t="s">
        <v>2456</v>
      </c>
      <c r="F1800" s="12730"/>
      <c r="G1800" s="12731" t="s">
        <v>2462</v>
      </c>
      <c r="H1800" s="12732" t="s">
        <v>2463</v>
      </c>
      <c r="I1800" s="12739">
        <v>1.25E-3</v>
      </c>
      <c r="K1800" s="11572"/>
      <c r="L1800" s="11573"/>
      <c r="M1800" s="11573"/>
      <c r="N1800" s="11574"/>
      <c r="O1800" s="11574"/>
      <c r="P1800" s="11575"/>
      <c r="Q1800" s="11576"/>
      <c r="R1800" s="11577"/>
      <c r="S1800" s="11578"/>
      <c r="T1800" s="11579"/>
      <c r="U1800" s="11576"/>
      <c r="V1800" s="11577"/>
      <c r="W1800" s="11579"/>
      <c r="X1800" s="11577"/>
      <c r="Y1800" s="11579"/>
      <c r="Z1800" s="11577"/>
      <c r="AA1800" s="11578"/>
      <c r="AB1800" s="11578"/>
      <c r="AC1800" s="11578"/>
      <c r="AD1800" s="11578"/>
      <c r="AE1800" s="11578"/>
      <c r="AF1800" s="11579"/>
      <c r="AG1800" s="11577"/>
      <c r="AH1800" s="11578"/>
      <c r="AI1800" s="11578"/>
      <c r="AJ1800" s="11578"/>
      <c r="AK1800" s="11578"/>
      <c r="AL1800" s="11578"/>
      <c r="AM1800" s="11578"/>
      <c r="AN1800" s="11579"/>
      <c r="AO1800" s="11577"/>
      <c r="AP1800" s="11578"/>
      <c r="AQ1800" s="11578"/>
      <c r="AR1800" s="11578"/>
      <c r="AS1800" s="11578"/>
      <c r="AT1800" s="11579"/>
      <c r="AU1800" s="11580"/>
      <c r="AV1800" s="11580"/>
      <c r="AW1800" s="11580"/>
      <c r="AX1800" s="11572"/>
      <c r="AY1800" s="11575"/>
      <c r="AZ1800" s="11580"/>
      <c r="BA1800" s="11572"/>
      <c r="BB1800" s="11574"/>
      <c r="BC1800" s="11575"/>
      <c r="BD1800" s="11581"/>
      <c r="BF1800" s="11571"/>
      <c r="BG1800" s="11571"/>
      <c r="BH1800" s="11571"/>
      <c r="BI1800" s="11571"/>
      <c r="BJ1800" s="11571"/>
      <c r="BK1800" s="11571"/>
      <c r="BL1800" s="11571"/>
      <c r="BM1800" s="11571"/>
      <c r="BN1800" s="11571"/>
    </row>
    <row r="1801" spans="1:66" ht="30" hidden="1" customHeight="1">
      <c r="A1801" s="11158">
        <v>1112</v>
      </c>
      <c r="B1801" s="11159" t="s">
        <v>7640</v>
      </c>
      <c r="C1801" s="13571"/>
      <c r="D1801" s="12729" t="s">
        <v>4305</v>
      </c>
      <c r="E1801" s="12730" t="s">
        <v>2456</v>
      </c>
      <c r="F1801" s="12730"/>
      <c r="G1801" s="12731" t="s">
        <v>2466</v>
      </c>
      <c r="H1801" s="12732" t="s">
        <v>2467</v>
      </c>
      <c r="I1801" s="12736">
        <v>12</v>
      </c>
      <c r="K1801" s="11572"/>
      <c r="L1801" s="11573"/>
      <c r="M1801" s="11573"/>
      <c r="N1801" s="11574"/>
      <c r="O1801" s="11574"/>
      <c r="P1801" s="11575"/>
      <c r="Q1801" s="11576"/>
      <c r="R1801" s="11577"/>
      <c r="S1801" s="11578"/>
      <c r="T1801" s="11579"/>
      <c r="U1801" s="11576"/>
      <c r="V1801" s="11577"/>
      <c r="W1801" s="11579"/>
      <c r="X1801" s="11577"/>
      <c r="Y1801" s="11579"/>
      <c r="Z1801" s="11577"/>
      <c r="AA1801" s="11578"/>
      <c r="AB1801" s="11578"/>
      <c r="AC1801" s="11578"/>
      <c r="AD1801" s="11578"/>
      <c r="AE1801" s="11578"/>
      <c r="AF1801" s="11579"/>
      <c r="AG1801" s="11577"/>
      <c r="AH1801" s="11578"/>
      <c r="AI1801" s="11578"/>
      <c r="AJ1801" s="11578"/>
      <c r="AK1801" s="11578"/>
      <c r="AL1801" s="11578"/>
      <c r="AM1801" s="11578"/>
      <c r="AN1801" s="11579"/>
      <c r="AO1801" s="11577"/>
      <c r="AP1801" s="11578"/>
      <c r="AQ1801" s="11578"/>
      <c r="AR1801" s="11578"/>
      <c r="AS1801" s="11578"/>
      <c r="AT1801" s="11579"/>
      <c r="AU1801" s="11580"/>
      <c r="AV1801" s="11580"/>
      <c r="AW1801" s="11580"/>
      <c r="AX1801" s="11572"/>
      <c r="AY1801" s="11575"/>
      <c r="AZ1801" s="11580"/>
      <c r="BA1801" s="11572"/>
      <c r="BB1801" s="11574"/>
      <c r="BC1801" s="11575"/>
      <c r="BD1801" s="11581"/>
      <c r="BF1801" s="11571"/>
      <c r="BG1801" s="11571"/>
      <c r="BH1801" s="11571"/>
      <c r="BI1801" s="11571"/>
      <c r="BJ1801" s="11571"/>
      <c r="BK1801" s="11571"/>
      <c r="BL1801" s="11571"/>
      <c r="BM1801" s="11571"/>
      <c r="BN1801" s="11571"/>
    </row>
    <row r="1802" spans="1:66" ht="30" hidden="1" customHeight="1">
      <c r="A1802" s="11158">
        <v>1113</v>
      </c>
      <c r="B1802" s="11159" t="s">
        <v>7641</v>
      </c>
      <c r="C1802" s="13571"/>
      <c r="D1802" s="12729" t="s">
        <v>4305</v>
      </c>
      <c r="E1802" s="12730" t="s">
        <v>2456</v>
      </c>
      <c r="F1802" s="12730"/>
      <c r="G1802" s="12731" t="s">
        <v>2468</v>
      </c>
      <c r="H1802" s="12732" t="s">
        <v>2469</v>
      </c>
      <c r="I1802" s="12736">
        <v>8</v>
      </c>
      <c r="K1802" s="11572"/>
      <c r="L1802" s="11573"/>
      <c r="M1802" s="11573"/>
      <c r="N1802" s="11574"/>
      <c r="O1802" s="11574"/>
      <c r="P1802" s="11575"/>
      <c r="Q1802" s="11576"/>
      <c r="R1802" s="11577"/>
      <c r="S1802" s="11578"/>
      <c r="T1802" s="11579"/>
      <c r="U1802" s="11576"/>
      <c r="V1802" s="11577"/>
      <c r="W1802" s="11579"/>
      <c r="X1802" s="11577"/>
      <c r="Y1802" s="11579"/>
      <c r="Z1802" s="11577"/>
      <c r="AA1802" s="11578"/>
      <c r="AB1802" s="11578"/>
      <c r="AC1802" s="11578"/>
      <c r="AD1802" s="11578"/>
      <c r="AE1802" s="11578"/>
      <c r="AF1802" s="11579"/>
      <c r="AG1802" s="11577"/>
      <c r="AH1802" s="11578"/>
      <c r="AI1802" s="11578"/>
      <c r="AJ1802" s="11578"/>
      <c r="AK1802" s="11578"/>
      <c r="AL1802" s="11578"/>
      <c r="AM1802" s="11578"/>
      <c r="AN1802" s="11579"/>
      <c r="AO1802" s="11577"/>
      <c r="AP1802" s="11578"/>
      <c r="AQ1802" s="11578"/>
      <c r="AR1802" s="11578"/>
      <c r="AS1802" s="11578"/>
      <c r="AT1802" s="11579"/>
      <c r="AU1802" s="11580"/>
      <c r="AV1802" s="11580"/>
      <c r="AW1802" s="11580"/>
      <c r="AX1802" s="11572"/>
      <c r="AY1802" s="11575"/>
      <c r="AZ1802" s="11580"/>
      <c r="BA1802" s="11572"/>
      <c r="BB1802" s="11574"/>
      <c r="BC1802" s="11575"/>
      <c r="BD1802" s="11581"/>
      <c r="BF1802" s="11571"/>
      <c r="BG1802" s="11571"/>
      <c r="BH1802" s="11571"/>
      <c r="BI1802" s="11571"/>
      <c r="BJ1802" s="11571"/>
      <c r="BK1802" s="11571"/>
      <c r="BL1802" s="11571"/>
      <c r="BM1802" s="11571"/>
      <c r="BN1802" s="11571"/>
    </row>
    <row r="1803" spans="1:66" ht="30" hidden="1" customHeight="1">
      <c r="A1803" s="11158">
        <v>1114</v>
      </c>
      <c r="B1803" s="11159" t="s">
        <v>7642</v>
      </c>
      <c r="C1803" s="13571"/>
      <c r="D1803" s="12729" t="s">
        <v>4305</v>
      </c>
      <c r="E1803" s="12730" t="s">
        <v>2456</v>
      </c>
      <c r="F1803" s="12730"/>
      <c r="G1803" s="12731" t="s">
        <v>2470</v>
      </c>
      <c r="H1803" s="12732" t="s">
        <v>2471</v>
      </c>
      <c r="I1803" s="12740">
        <v>250</v>
      </c>
      <c r="K1803" s="11572"/>
      <c r="L1803" s="11573"/>
      <c r="M1803" s="11573"/>
      <c r="N1803" s="11574"/>
      <c r="O1803" s="11574"/>
      <c r="P1803" s="11575"/>
      <c r="Q1803" s="11576"/>
      <c r="R1803" s="11577"/>
      <c r="S1803" s="11578"/>
      <c r="T1803" s="11579"/>
      <c r="U1803" s="11576"/>
      <c r="V1803" s="11577"/>
      <c r="W1803" s="11579"/>
      <c r="X1803" s="11577"/>
      <c r="Y1803" s="11579"/>
      <c r="Z1803" s="11577"/>
      <c r="AA1803" s="11578"/>
      <c r="AB1803" s="11578"/>
      <c r="AC1803" s="11578"/>
      <c r="AD1803" s="11578"/>
      <c r="AE1803" s="11578"/>
      <c r="AF1803" s="11579"/>
      <c r="AG1803" s="11577"/>
      <c r="AH1803" s="11578"/>
      <c r="AI1803" s="11578"/>
      <c r="AJ1803" s="11578"/>
      <c r="AK1803" s="11578"/>
      <c r="AL1803" s="11578"/>
      <c r="AM1803" s="11578"/>
      <c r="AN1803" s="11579"/>
      <c r="AO1803" s="11577"/>
      <c r="AP1803" s="11578"/>
      <c r="AQ1803" s="11578"/>
      <c r="AR1803" s="11578"/>
      <c r="AS1803" s="11578"/>
      <c r="AT1803" s="11579"/>
      <c r="AU1803" s="11580"/>
      <c r="AV1803" s="11580"/>
      <c r="AW1803" s="11580"/>
      <c r="AX1803" s="11572"/>
      <c r="AY1803" s="11575"/>
      <c r="AZ1803" s="11580"/>
      <c r="BA1803" s="11572"/>
      <c r="BB1803" s="11574"/>
      <c r="BC1803" s="11575"/>
      <c r="BD1803" s="11581"/>
      <c r="BF1803" s="11571"/>
      <c r="BG1803" s="11571"/>
      <c r="BH1803" s="11571"/>
      <c r="BI1803" s="11571"/>
      <c r="BJ1803" s="11571"/>
      <c r="BK1803" s="11571"/>
      <c r="BL1803" s="11571"/>
      <c r="BM1803" s="11571"/>
      <c r="BN1803" s="11571"/>
    </row>
    <row r="1804" spans="1:66" ht="30" hidden="1" customHeight="1">
      <c r="A1804" s="11158">
        <v>1115</v>
      </c>
      <c r="B1804" s="11159" t="s">
        <v>7643</v>
      </c>
      <c r="C1804" s="13571"/>
      <c r="D1804" s="12729" t="s">
        <v>4305</v>
      </c>
      <c r="E1804" s="12730" t="s">
        <v>2456</v>
      </c>
      <c r="F1804" s="12730"/>
      <c r="G1804" s="12731" t="s">
        <v>2473</v>
      </c>
      <c r="H1804" s="12732" t="s">
        <v>2474</v>
      </c>
      <c r="I1804" s="12741">
        <v>1.25E-3</v>
      </c>
      <c r="K1804" s="11572"/>
      <c r="L1804" s="11573"/>
      <c r="M1804" s="11573"/>
      <c r="N1804" s="11574"/>
      <c r="O1804" s="11574"/>
      <c r="P1804" s="11575"/>
      <c r="Q1804" s="11576"/>
      <c r="R1804" s="11577"/>
      <c r="S1804" s="11578"/>
      <c r="T1804" s="11579"/>
      <c r="U1804" s="11576"/>
      <c r="V1804" s="11577"/>
      <c r="W1804" s="11579"/>
      <c r="X1804" s="11577"/>
      <c r="Y1804" s="11579"/>
      <c r="Z1804" s="11577"/>
      <c r="AA1804" s="11578"/>
      <c r="AB1804" s="11578"/>
      <c r="AC1804" s="11578"/>
      <c r="AD1804" s="11578"/>
      <c r="AE1804" s="11578"/>
      <c r="AF1804" s="11579"/>
      <c r="AG1804" s="11577"/>
      <c r="AH1804" s="11578"/>
      <c r="AI1804" s="11578"/>
      <c r="AJ1804" s="11578"/>
      <c r="AK1804" s="11578"/>
      <c r="AL1804" s="11578"/>
      <c r="AM1804" s="11578"/>
      <c r="AN1804" s="11579"/>
      <c r="AO1804" s="11577"/>
      <c r="AP1804" s="11578"/>
      <c r="AQ1804" s="11578"/>
      <c r="AR1804" s="11578"/>
      <c r="AS1804" s="11578"/>
      <c r="AT1804" s="11579"/>
      <c r="AU1804" s="11580"/>
      <c r="AV1804" s="11580"/>
      <c r="AW1804" s="11580"/>
      <c r="AX1804" s="11572"/>
      <c r="AY1804" s="11575"/>
      <c r="AZ1804" s="11580"/>
      <c r="BA1804" s="11572"/>
      <c r="BB1804" s="11574"/>
      <c r="BC1804" s="11575"/>
      <c r="BD1804" s="11581"/>
      <c r="BF1804" s="11571"/>
      <c r="BG1804" s="11571"/>
      <c r="BH1804" s="11571"/>
      <c r="BI1804" s="11571"/>
      <c r="BJ1804" s="11571"/>
      <c r="BK1804" s="11571"/>
      <c r="BL1804" s="11571"/>
      <c r="BM1804" s="11571"/>
      <c r="BN1804" s="11571"/>
    </row>
    <row r="1805" spans="1:66" ht="30" hidden="1" customHeight="1">
      <c r="A1805" s="11158">
        <v>1116</v>
      </c>
      <c r="B1805" s="11159" t="s">
        <v>7644</v>
      </c>
      <c r="C1805" s="13571"/>
      <c r="D1805" s="12729" t="s">
        <v>4337</v>
      </c>
      <c r="E1805" s="12730" t="s">
        <v>2479</v>
      </c>
      <c r="F1805" s="12730"/>
      <c r="G1805" s="12731" t="s">
        <v>2478</v>
      </c>
      <c r="H1805" s="12732" t="s">
        <v>2480</v>
      </c>
      <c r="I1805" s="12736">
        <v>10</v>
      </c>
      <c r="K1805" s="11572"/>
      <c r="L1805" s="11573"/>
      <c r="M1805" s="11573"/>
      <c r="N1805" s="11574"/>
      <c r="O1805" s="11574"/>
      <c r="P1805" s="11575"/>
      <c r="Q1805" s="11576"/>
      <c r="R1805" s="11577"/>
      <c r="S1805" s="11578"/>
      <c r="T1805" s="11579"/>
      <c r="U1805" s="11576"/>
      <c r="V1805" s="11577"/>
      <c r="W1805" s="11579"/>
      <c r="X1805" s="11577"/>
      <c r="Y1805" s="11579"/>
      <c r="Z1805" s="11577"/>
      <c r="AA1805" s="11578"/>
      <c r="AB1805" s="11578"/>
      <c r="AC1805" s="11578"/>
      <c r="AD1805" s="11578"/>
      <c r="AE1805" s="11578"/>
      <c r="AF1805" s="11579"/>
      <c r="AG1805" s="11577"/>
      <c r="AH1805" s="11578"/>
      <c r="AI1805" s="11578"/>
      <c r="AJ1805" s="11578"/>
      <c r="AK1805" s="11578"/>
      <c r="AL1805" s="11578"/>
      <c r="AM1805" s="11578"/>
      <c r="AN1805" s="11579"/>
      <c r="AO1805" s="11577"/>
      <c r="AP1805" s="11578"/>
      <c r="AQ1805" s="11578"/>
      <c r="AR1805" s="11578"/>
      <c r="AS1805" s="11578"/>
      <c r="AT1805" s="11579"/>
      <c r="AU1805" s="11580"/>
      <c r="AV1805" s="11580"/>
      <c r="AW1805" s="11580"/>
      <c r="AX1805" s="11572"/>
      <c r="AY1805" s="11575"/>
      <c r="AZ1805" s="11580"/>
      <c r="BA1805" s="11572"/>
      <c r="BB1805" s="11574"/>
      <c r="BC1805" s="11575"/>
      <c r="BD1805" s="11581"/>
      <c r="BF1805" s="11571"/>
      <c r="BG1805" s="11571"/>
      <c r="BH1805" s="11571"/>
      <c r="BI1805" s="11571"/>
      <c r="BJ1805" s="11571"/>
      <c r="BK1805" s="11571"/>
      <c r="BL1805" s="11571"/>
      <c r="BM1805" s="11571"/>
      <c r="BN1805" s="11571"/>
    </row>
    <row r="1806" spans="1:66" ht="30" hidden="1" customHeight="1">
      <c r="A1806" s="11158">
        <v>1117</v>
      </c>
      <c r="B1806" s="11159" t="s">
        <v>7645</v>
      </c>
      <c r="C1806" s="13571"/>
      <c r="D1806" s="12729" t="s">
        <v>4337</v>
      </c>
      <c r="E1806" s="12730" t="s">
        <v>2479</v>
      </c>
      <c r="F1806" s="12730"/>
      <c r="G1806" s="12731" t="s">
        <v>2483</v>
      </c>
      <c r="H1806" s="12732" t="s">
        <v>2484</v>
      </c>
      <c r="I1806" s="12736">
        <v>5</v>
      </c>
      <c r="K1806" s="11572"/>
      <c r="L1806" s="11573"/>
      <c r="M1806" s="11573"/>
      <c r="N1806" s="11574"/>
      <c r="O1806" s="11574"/>
      <c r="P1806" s="11575"/>
      <c r="Q1806" s="11576"/>
      <c r="R1806" s="11577"/>
      <c r="S1806" s="11578"/>
      <c r="T1806" s="11579"/>
      <c r="U1806" s="11576"/>
      <c r="V1806" s="11577"/>
      <c r="W1806" s="11579"/>
      <c r="X1806" s="11577"/>
      <c r="Y1806" s="11579"/>
      <c r="Z1806" s="11577"/>
      <c r="AA1806" s="11578"/>
      <c r="AB1806" s="11578"/>
      <c r="AC1806" s="11578"/>
      <c r="AD1806" s="11578"/>
      <c r="AE1806" s="11578"/>
      <c r="AF1806" s="11579"/>
      <c r="AG1806" s="11577"/>
      <c r="AH1806" s="11578"/>
      <c r="AI1806" s="11578"/>
      <c r="AJ1806" s="11578"/>
      <c r="AK1806" s="11578"/>
      <c r="AL1806" s="11578"/>
      <c r="AM1806" s="11578"/>
      <c r="AN1806" s="11579"/>
      <c r="AO1806" s="11577"/>
      <c r="AP1806" s="11578"/>
      <c r="AQ1806" s="11578"/>
      <c r="AR1806" s="11578"/>
      <c r="AS1806" s="11578"/>
      <c r="AT1806" s="11579"/>
      <c r="AU1806" s="11580"/>
      <c r="AV1806" s="11580"/>
      <c r="AW1806" s="11580"/>
      <c r="AX1806" s="11572"/>
      <c r="AY1806" s="11575"/>
      <c r="AZ1806" s="11580"/>
      <c r="BA1806" s="11572"/>
      <c r="BB1806" s="11574"/>
      <c r="BC1806" s="11575"/>
      <c r="BD1806" s="11581"/>
      <c r="BF1806" s="11571"/>
      <c r="BG1806" s="11571"/>
      <c r="BH1806" s="11571"/>
      <c r="BI1806" s="11571"/>
      <c r="BJ1806" s="11571"/>
      <c r="BK1806" s="11571"/>
      <c r="BL1806" s="11571"/>
      <c r="BM1806" s="11571"/>
      <c r="BN1806" s="11571"/>
    </row>
    <row r="1807" spans="1:66" ht="30" hidden="1" customHeight="1">
      <c r="A1807" s="11158">
        <v>1118</v>
      </c>
      <c r="B1807" s="11159" t="s">
        <v>7646</v>
      </c>
      <c r="C1807" s="13571"/>
      <c r="D1807" s="12729" t="s">
        <v>4337</v>
      </c>
      <c r="E1807" s="12730" t="s">
        <v>2479</v>
      </c>
      <c r="F1807" s="12730"/>
      <c r="G1807" s="12731" t="s">
        <v>2485</v>
      </c>
      <c r="H1807" s="12732" t="s">
        <v>2486</v>
      </c>
      <c r="I1807" s="12736">
        <v>5</v>
      </c>
      <c r="K1807" s="11572"/>
      <c r="L1807" s="11573"/>
      <c r="M1807" s="11573"/>
      <c r="N1807" s="11574"/>
      <c r="O1807" s="11574"/>
      <c r="P1807" s="11575"/>
      <c r="Q1807" s="11576"/>
      <c r="R1807" s="11577"/>
      <c r="S1807" s="11578"/>
      <c r="T1807" s="11579"/>
      <c r="U1807" s="11576"/>
      <c r="V1807" s="11577"/>
      <c r="W1807" s="11579"/>
      <c r="X1807" s="11577"/>
      <c r="Y1807" s="11579"/>
      <c r="Z1807" s="11577"/>
      <c r="AA1807" s="11578"/>
      <c r="AB1807" s="11578"/>
      <c r="AC1807" s="11578"/>
      <c r="AD1807" s="11578"/>
      <c r="AE1807" s="11578"/>
      <c r="AF1807" s="11579"/>
      <c r="AG1807" s="11577"/>
      <c r="AH1807" s="11578"/>
      <c r="AI1807" s="11578"/>
      <c r="AJ1807" s="11578"/>
      <c r="AK1807" s="11578"/>
      <c r="AL1807" s="11578"/>
      <c r="AM1807" s="11578"/>
      <c r="AN1807" s="11579"/>
      <c r="AO1807" s="11577"/>
      <c r="AP1807" s="11578"/>
      <c r="AQ1807" s="11578"/>
      <c r="AR1807" s="11578"/>
      <c r="AS1807" s="11578"/>
      <c r="AT1807" s="11579"/>
      <c r="AU1807" s="11580"/>
      <c r="AV1807" s="11580"/>
      <c r="AW1807" s="11580"/>
      <c r="AX1807" s="11572"/>
      <c r="AY1807" s="11575"/>
      <c r="AZ1807" s="11580"/>
      <c r="BA1807" s="11572"/>
      <c r="BB1807" s="11574"/>
      <c r="BC1807" s="11575"/>
      <c r="BD1807" s="11581"/>
      <c r="BF1807" s="11571"/>
      <c r="BG1807" s="11571"/>
      <c r="BH1807" s="11571"/>
      <c r="BI1807" s="11571"/>
      <c r="BJ1807" s="11571"/>
      <c r="BK1807" s="11571"/>
      <c r="BL1807" s="11571"/>
      <c r="BM1807" s="11571"/>
      <c r="BN1807" s="11571"/>
    </row>
    <row r="1808" spans="1:66" ht="30" hidden="1" customHeight="1">
      <c r="A1808" s="11158">
        <v>1119</v>
      </c>
      <c r="B1808" s="11159" t="s">
        <v>7647</v>
      </c>
      <c r="C1808" s="13571"/>
      <c r="D1808" s="12729" t="s">
        <v>10063</v>
      </c>
      <c r="E1808" s="12730" t="s">
        <v>2350</v>
      </c>
      <c r="F1808" s="12730"/>
      <c r="G1808" s="12731" t="s">
        <v>2492</v>
      </c>
      <c r="H1808" s="12732" t="s">
        <v>2493</v>
      </c>
      <c r="I1808" s="12740">
        <v>500</v>
      </c>
      <c r="K1808" s="11572"/>
      <c r="L1808" s="11573"/>
      <c r="M1808" s="11573"/>
      <c r="N1808" s="11574"/>
      <c r="O1808" s="11574"/>
      <c r="P1808" s="11575"/>
      <c r="Q1808" s="11576"/>
      <c r="R1808" s="11577"/>
      <c r="S1808" s="11578"/>
      <c r="T1808" s="11579"/>
      <c r="U1808" s="11576"/>
      <c r="V1808" s="11577"/>
      <c r="W1808" s="11579"/>
      <c r="X1808" s="11577"/>
      <c r="Y1808" s="11579"/>
      <c r="Z1808" s="11577"/>
      <c r="AA1808" s="11578"/>
      <c r="AB1808" s="11578"/>
      <c r="AC1808" s="11578"/>
      <c r="AD1808" s="11578"/>
      <c r="AE1808" s="11578"/>
      <c r="AF1808" s="11579"/>
      <c r="AG1808" s="11577"/>
      <c r="AH1808" s="11578"/>
      <c r="AI1808" s="11578"/>
      <c r="AJ1808" s="11578"/>
      <c r="AK1808" s="11578"/>
      <c r="AL1808" s="11578"/>
      <c r="AM1808" s="11578"/>
      <c r="AN1808" s="11579"/>
      <c r="AO1808" s="11577"/>
      <c r="AP1808" s="11578"/>
      <c r="AQ1808" s="11578"/>
      <c r="AR1808" s="11578"/>
      <c r="AS1808" s="11578"/>
      <c r="AT1808" s="11579"/>
      <c r="AU1808" s="11580"/>
      <c r="AV1808" s="11580"/>
      <c r="AW1808" s="11580"/>
      <c r="AX1808" s="11572"/>
      <c r="AY1808" s="11575"/>
      <c r="AZ1808" s="11580"/>
      <c r="BA1808" s="11572"/>
      <c r="BB1808" s="11574"/>
      <c r="BC1808" s="11575"/>
      <c r="BD1808" s="11581"/>
      <c r="BF1808" s="11571"/>
      <c r="BG1808" s="11571"/>
      <c r="BH1808" s="11571"/>
      <c r="BI1808" s="11571"/>
      <c r="BJ1808" s="11571"/>
      <c r="BK1808" s="11571"/>
      <c r="BL1808" s="11571"/>
      <c r="BM1808" s="11571"/>
      <c r="BN1808" s="11571"/>
    </row>
    <row r="1809" spans="1:66" ht="30" hidden="1" customHeight="1">
      <c r="A1809" s="11158">
        <v>1120</v>
      </c>
      <c r="B1809" s="11582" t="s">
        <v>7648</v>
      </c>
      <c r="C1809" s="13571"/>
      <c r="D1809" s="12742" t="s">
        <v>10063</v>
      </c>
      <c r="E1809" s="12743" t="s">
        <v>2323</v>
      </c>
      <c r="F1809" s="12743"/>
      <c r="G1809" s="12744" t="s">
        <v>4341</v>
      </c>
      <c r="H1809" s="12745">
        <v>1</v>
      </c>
      <c r="I1809" s="12734"/>
      <c r="K1809" s="11572"/>
      <c r="L1809" s="11573"/>
      <c r="M1809" s="11573"/>
      <c r="N1809" s="11574"/>
      <c r="O1809" s="11574"/>
      <c r="P1809" s="11575"/>
      <c r="Q1809" s="11576"/>
      <c r="R1809" s="11577"/>
      <c r="S1809" s="11578"/>
      <c r="T1809" s="11579"/>
      <c r="U1809" s="11576"/>
      <c r="V1809" s="11577"/>
      <c r="W1809" s="11579"/>
      <c r="X1809" s="11577"/>
      <c r="Y1809" s="11579"/>
      <c r="Z1809" s="11577"/>
      <c r="AA1809" s="11578"/>
      <c r="AB1809" s="11578"/>
      <c r="AC1809" s="11578"/>
      <c r="AD1809" s="11578"/>
      <c r="AE1809" s="11578"/>
      <c r="AF1809" s="11579"/>
      <c r="AG1809" s="11577"/>
      <c r="AH1809" s="11578"/>
      <c r="AI1809" s="11578"/>
      <c r="AJ1809" s="11578"/>
      <c r="AK1809" s="11578"/>
      <c r="AL1809" s="11578"/>
      <c r="AM1809" s="11578"/>
      <c r="AN1809" s="11579"/>
      <c r="AO1809" s="11577"/>
      <c r="AP1809" s="11578"/>
      <c r="AQ1809" s="11578"/>
      <c r="AR1809" s="11578"/>
      <c r="AS1809" s="11578"/>
      <c r="AT1809" s="11579"/>
      <c r="AU1809" s="11580"/>
      <c r="AV1809" s="11580"/>
      <c r="AW1809" s="11580"/>
      <c r="AX1809" s="11572"/>
      <c r="AY1809" s="11575"/>
      <c r="AZ1809" s="11580"/>
      <c r="BA1809" s="11572"/>
      <c r="BB1809" s="11574"/>
      <c r="BC1809" s="11575"/>
      <c r="BD1809" s="11581"/>
      <c r="BF1809" s="11583"/>
      <c r="BG1809" s="11583"/>
      <c r="BH1809" s="11583"/>
      <c r="BI1809" s="11583"/>
      <c r="BJ1809" s="11583"/>
      <c r="BK1809" s="11583"/>
      <c r="BL1809" s="11583"/>
      <c r="BM1809" s="11583"/>
      <c r="BN1809" s="11583"/>
    </row>
    <row r="1810" spans="1:66" ht="30" hidden="1" customHeight="1" thickBot="1">
      <c r="A1810" s="11171">
        <v>1121</v>
      </c>
      <c r="B1810" s="11172" t="s">
        <v>7649</v>
      </c>
      <c r="C1810" s="13571"/>
      <c r="D1810" s="12746" t="s">
        <v>10063</v>
      </c>
      <c r="E1810" s="12747" t="s">
        <v>2323</v>
      </c>
      <c r="F1810" s="12747"/>
      <c r="G1810" s="12748" t="s">
        <v>2502</v>
      </c>
      <c r="H1810" s="12749" t="s">
        <v>2503</v>
      </c>
      <c r="I1810" s="12750">
        <v>1</v>
      </c>
      <c r="K1810" s="11585"/>
      <c r="L1810" s="11586"/>
      <c r="M1810" s="11586"/>
      <c r="N1810" s="11587"/>
      <c r="O1810" s="11587"/>
      <c r="P1810" s="11588"/>
      <c r="Q1810" s="11589"/>
      <c r="R1810" s="11590"/>
      <c r="S1810" s="11591"/>
      <c r="T1810" s="11592"/>
      <c r="U1810" s="11589"/>
      <c r="V1810" s="11590"/>
      <c r="W1810" s="11592"/>
      <c r="X1810" s="11590"/>
      <c r="Y1810" s="11592"/>
      <c r="Z1810" s="11590"/>
      <c r="AA1810" s="11591"/>
      <c r="AB1810" s="11591"/>
      <c r="AC1810" s="11591"/>
      <c r="AD1810" s="11591"/>
      <c r="AE1810" s="11591"/>
      <c r="AF1810" s="11592"/>
      <c r="AG1810" s="11590"/>
      <c r="AH1810" s="11591"/>
      <c r="AI1810" s="11591"/>
      <c r="AJ1810" s="11591"/>
      <c r="AK1810" s="11591"/>
      <c r="AL1810" s="11591"/>
      <c r="AM1810" s="11591"/>
      <c r="AN1810" s="11592"/>
      <c r="AO1810" s="11590"/>
      <c r="AP1810" s="11591"/>
      <c r="AQ1810" s="11591"/>
      <c r="AR1810" s="11591"/>
      <c r="AS1810" s="11591"/>
      <c r="AT1810" s="11592"/>
      <c r="AU1810" s="11593"/>
      <c r="AV1810" s="11593"/>
      <c r="AW1810" s="11593"/>
      <c r="AX1810" s="11585"/>
      <c r="AY1810" s="11588"/>
      <c r="AZ1810" s="11593"/>
      <c r="BA1810" s="11585"/>
      <c r="BB1810" s="11587"/>
      <c r="BC1810" s="11588"/>
      <c r="BD1810" s="11594"/>
      <c r="BF1810" s="11584"/>
      <c r="BG1810" s="11584"/>
      <c r="BH1810" s="11584"/>
      <c r="BI1810" s="11584"/>
      <c r="BJ1810" s="11584"/>
      <c r="BK1810" s="11584"/>
      <c r="BL1810" s="11584"/>
      <c r="BM1810" s="11584"/>
      <c r="BN1810" s="11584"/>
    </row>
    <row r="1811" spans="1:66" ht="30" hidden="1" customHeight="1" thickBot="1">
      <c r="A1811" s="11595">
        <v>1122</v>
      </c>
      <c r="B1811" s="11596" t="s">
        <v>7650</v>
      </c>
      <c r="C1811" s="13571"/>
      <c r="D1811" s="12751" t="s">
        <v>10063</v>
      </c>
      <c r="E1811" s="12752" t="s">
        <v>2323</v>
      </c>
      <c r="F1811" s="12752"/>
      <c r="G1811" s="12753" t="s">
        <v>2508</v>
      </c>
      <c r="H1811" s="12754" t="s">
        <v>2509</v>
      </c>
      <c r="I1811" s="12755">
        <v>1</v>
      </c>
      <c r="K1811" s="11598"/>
      <c r="L1811" s="11599"/>
      <c r="M1811" s="11599"/>
      <c r="N1811" s="11600"/>
      <c r="O1811" s="11600"/>
      <c r="P1811" s="11601"/>
      <c r="Q1811" s="11602"/>
      <c r="R1811" s="11603"/>
      <c r="S1811" s="11604"/>
      <c r="T1811" s="11605"/>
      <c r="U1811" s="11602"/>
      <c r="V1811" s="11603"/>
      <c r="W1811" s="11605"/>
      <c r="X1811" s="11603"/>
      <c r="Y1811" s="11605"/>
      <c r="Z1811" s="11603"/>
      <c r="AA1811" s="11604"/>
      <c r="AB1811" s="11604"/>
      <c r="AC1811" s="11604"/>
      <c r="AD1811" s="11604"/>
      <c r="AE1811" s="11604"/>
      <c r="AF1811" s="11605"/>
      <c r="AG1811" s="11603"/>
      <c r="AH1811" s="11604"/>
      <c r="AI1811" s="11604"/>
      <c r="AJ1811" s="11604"/>
      <c r="AK1811" s="11604"/>
      <c r="AL1811" s="11604"/>
      <c r="AM1811" s="11604"/>
      <c r="AN1811" s="11605"/>
      <c r="AO1811" s="11603"/>
      <c r="AP1811" s="11604"/>
      <c r="AQ1811" s="11604"/>
      <c r="AR1811" s="11604"/>
      <c r="AS1811" s="11604"/>
      <c r="AT1811" s="11605"/>
      <c r="AU1811" s="11606"/>
      <c r="AV1811" s="11606"/>
      <c r="AW1811" s="11606"/>
      <c r="AX1811" s="11598"/>
      <c r="AY1811" s="11601"/>
      <c r="AZ1811" s="11606"/>
      <c r="BA1811" s="11598"/>
      <c r="BB1811" s="11600"/>
      <c r="BC1811" s="11601"/>
      <c r="BD1811" s="11607"/>
      <c r="BF1811" s="11597"/>
      <c r="BG1811" s="11597"/>
      <c r="BH1811" s="11597"/>
      <c r="BI1811" s="11597"/>
      <c r="BJ1811" s="11597"/>
      <c r="BK1811" s="11597"/>
      <c r="BL1811" s="11597"/>
      <c r="BM1811" s="11597"/>
      <c r="BN1811" s="11597"/>
    </row>
    <row r="1812" spans="1:66" ht="30" hidden="1" customHeight="1">
      <c r="A1812" s="13575">
        <v>1123</v>
      </c>
      <c r="B1812" s="13577" t="s">
        <v>7651</v>
      </c>
      <c r="C1812" s="13571"/>
      <c r="D1812" s="13561" t="s">
        <v>4332</v>
      </c>
      <c r="E1812" s="13563" t="s">
        <v>2515</v>
      </c>
      <c r="F1812" s="12756"/>
      <c r="G1812" s="13567" t="s">
        <v>2514</v>
      </c>
      <c r="H1812" s="13391" t="s">
        <v>2516</v>
      </c>
      <c r="I1812" s="12757">
        <v>1005</v>
      </c>
      <c r="K1812" s="11608"/>
      <c r="L1812" s="11609"/>
      <c r="M1812" s="11609"/>
      <c r="N1812" s="11610"/>
      <c r="O1812" s="11610"/>
      <c r="P1812" s="11611"/>
      <c r="Q1812" s="11612"/>
      <c r="R1812" s="11613"/>
      <c r="S1812" s="11614"/>
      <c r="T1812" s="11615"/>
      <c r="U1812" s="11612"/>
      <c r="V1812" s="11613"/>
      <c r="W1812" s="11615"/>
      <c r="X1812" s="11613"/>
      <c r="Y1812" s="11615"/>
      <c r="Z1812" s="11613"/>
      <c r="AA1812" s="11614"/>
      <c r="AB1812" s="11614"/>
      <c r="AC1812" s="11614"/>
      <c r="AD1812" s="11614"/>
      <c r="AE1812" s="11614"/>
      <c r="AF1812" s="11615"/>
      <c r="AG1812" s="11613"/>
      <c r="AH1812" s="11614"/>
      <c r="AI1812" s="11614"/>
      <c r="AJ1812" s="11614"/>
      <c r="AK1812" s="11614"/>
      <c r="AL1812" s="11614"/>
      <c r="AM1812" s="11614"/>
      <c r="AN1812" s="11615"/>
      <c r="AO1812" s="11613"/>
      <c r="AP1812" s="11614"/>
      <c r="AQ1812" s="11614"/>
      <c r="AR1812" s="11614"/>
      <c r="AS1812" s="11614"/>
      <c r="AT1812" s="11615"/>
      <c r="AU1812" s="11616"/>
      <c r="AV1812" s="11616"/>
      <c r="AW1812" s="11616"/>
      <c r="AX1812" s="11608"/>
      <c r="AY1812" s="11611"/>
      <c r="AZ1812" s="11616"/>
      <c r="BA1812" s="11608"/>
      <c r="BB1812" s="11610"/>
      <c r="BC1812" s="11611"/>
      <c r="BD1812" s="11617"/>
      <c r="BF1812" s="14573"/>
      <c r="BG1812" s="14573"/>
      <c r="BH1812" s="14573"/>
      <c r="BI1812" s="14573"/>
      <c r="BJ1812" s="14573"/>
      <c r="BK1812" s="11618"/>
      <c r="BL1812" s="14573"/>
      <c r="BM1812" s="14573"/>
      <c r="BN1812" s="14573"/>
    </row>
    <row r="1813" spans="1:66" ht="30" hidden="1" customHeight="1">
      <c r="A1813" s="13576"/>
      <c r="B1813" s="13578"/>
      <c r="C1813" s="13571"/>
      <c r="D1813" s="13562"/>
      <c r="E1813" s="13564"/>
      <c r="F1813" s="11675"/>
      <c r="G1813" s="13568"/>
      <c r="H1813" s="13392"/>
      <c r="I1813" s="11678">
        <v>1</v>
      </c>
      <c r="K1813" s="11619"/>
      <c r="L1813" s="11620"/>
      <c r="M1813" s="11620"/>
      <c r="N1813" s="11621"/>
      <c r="O1813" s="11621"/>
      <c r="P1813" s="11622"/>
      <c r="Q1813" s="11623"/>
      <c r="R1813" s="11624"/>
      <c r="S1813" s="11625"/>
      <c r="T1813" s="11626"/>
      <c r="U1813" s="11623"/>
      <c r="V1813" s="11624"/>
      <c r="W1813" s="11626"/>
      <c r="X1813" s="11624"/>
      <c r="Y1813" s="11626"/>
      <c r="Z1813" s="11624"/>
      <c r="AA1813" s="11625"/>
      <c r="AB1813" s="11625"/>
      <c r="AC1813" s="11625"/>
      <c r="AD1813" s="11625"/>
      <c r="AE1813" s="11625"/>
      <c r="AF1813" s="11626"/>
      <c r="AG1813" s="11624"/>
      <c r="AH1813" s="11625"/>
      <c r="AI1813" s="11625"/>
      <c r="AJ1813" s="11625"/>
      <c r="AK1813" s="11625"/>
      <c r="AL1813" s="11625"/>
      <c r="AM1813" s="11625"/>
      <c r="AN1813" s="11626"/>
      <c r="AO1813" s="11624"/>
      <c r="AP1813" s="11625"/>
      <c r="AQ1813" s="11625"/>
      <c r="AR1813" s="11625"/>
      <c r="AS1813" s="11625"/>
      <c r="AT1813" s="11626"/>
      <c r="AU1813" s="11627"/>
      <c r="AV1813" s="11627"/>
      <c r="AW1813" s="11627"/>
      <c r="AX1813" s="11619"/>
      <c r="AY1813" s="11622"/>
      <c r="AZ1813" s="11627"/>
      <c r="BA1813" s="11619"/>
      <c r="BB1813" s="11621"/>
      <c r="BC1813" s="11622"/>
      <c r="BD1813" s="11628"/>
      <c r="BF1813" s="14408"/>
      <c r="BG1813" s="14408"/>
      <c r="BH1813" s="14408"/>
      <c r="BI1813" s="14408"/>
      <c r="BJ1813" s="14408"/>
      <c r="BK1813" s="8051"/>
      <c r="BL1813" s="14408"/>
      <c r="BM1813" s="14408"/>
      <c r="BN1813" s="14408"/>
    </row>
    <row r="1814" spans="1:66" ht="30" hidden="1" customHeight="1">
      <c r="A1814" s="8072">
        <v>1124</v>
      </c>
      <c r="B1814" s="11629" t="s">
        <v>7652</v>
      </c>
      <c r="C1814" s="13571"/>
      <c r="D1814" s="12501" t="s">
        <v>4305</v>
      </c>
      <c r="E1814" s="11675" t="s">
        <v>2456</v>
      </c>
      <c r="F1814" s="11675"/>
      <c r="G1814" s="12758" t="s">
        <v>2519</v>
      </c>
      <c r="H1814" s="11677" t="s">
        <v>2520</v>
      </c>
      <c r="I1814" s="12759">
        <v>25</v>
      </c>
      <c r="K1814" s="11619"/>
      <c r="L1814" s="11620"/>
      <c r="M1814" s="11620"/>
      <c r="N1814" s="11621"/>
      <c r="O1814" s="11621"/>
      <c r="P1814" s="11622"/>
      <c r="Q1814" s="11623"/>
      <c r="R1814" s="11624"/>
      <c r="S1814" s="11625"/>
      <c r="T1814" s="11626"/>
      <c r="U1814" s="11623"/>
      <c r="V1814" s="11624"/>
      <c r="W1814" s="11626"/>
      <c r="X1814" s="11624"/>
      <c r="Y1814" s="11626"/>
      <c r="Z1814" s="11624"/>
      <c r="AA1814" s="11625"/>
      <c r="AB1814" s="11625"/>
      <c r="AC1814" s="11625"/>
      <c r="AD1814" s="11625"/>
      <c r="AE1814" s="11625"/>
      <c r="AF1814" s="11626"/>
      <c r="AG1814" s="11624"/>
      <c r="AH1814" s="11625"/>
      <c r="AI1814" s="11625"/>
      <c r="AJ1814" s="11625"/>
      <c r="AK1814" s="11625"/>
      <c r="AL1814" s="11625"/>
      <c r="AM1814" s="11625"/>
      <c r="AN1814" s="11626"/>
      <c r="AO1814" s="11624"/>
      <c r="AP1814" s="11625"/>
      <c r="AQ1814" s="11625"/>
      <c r="AR1814" s="11625"/>
      <c r="AS1814" s="11625"/>
      <c r="AT1814" s="11626"/>
      <c r="AU1814" s="11627"/>
      <c r="AV1814" s="11627"/>
      <c r="AW1814" s="11627"/>
      <c r="AX1814" s="11619"/>
      <c r="AY1814" s="11622"/>
      <c r="AZ1814" s="11627"/>
      <c r="BA1814" s="11619"/>
      <c r="BB1814" s="11621"/>
      <c r="BC1814" s="11622"/>
      <c r="BD1814" s="11628"/>
      <c r="BF1814" s="11630"/>
      <c r="BG1814" s="11630"/>
      <c r="BH1814" s="11630"/>
      <c r="BI1814" s="11630"/>
      <c r="BJ1814" s="11630"/>
      <c r="BK1814" s="11630"/>
      <c r="BL1814" s="11630"/>
      <c r="BM1814" s="11630"/>
      <c r="BN1814" s="11630"/>
    </row>
    <row r="1815" spans="1:66" ht="30" hidden="1" customHeight="1">
      <c r="A1815" s="8072">
        <v>1125</v>
      </c>
      <c r="B1815" s="11629" t="s">
        <v>7653</v>
      </c>
      <c r="C1815" s="13571"/>
      <c r="D1815" s="12501" t="s">
        <v>4305</v>
      </c>
      <c r="E1815" s="11675" t="s">
        <v>2456</v>
      </c>
      <c r="F1815" s="11675"/>
      <c r="G1815" s="12758" t="s">
        <v>2521</v>
      </c>
      <c r="H1815" s="11677" t="s">
        <v>2522</v>
      </c>
      <c r="I1815" s="12760">
        <v>0.75</v>
      </c>
      <c r="K1815" s="11619"/>
      <c r="L1815" s="11620"/>
      <c r="M1815" s="11620"/>
      <c r="N1815" s="11621"/>
      <c r="O1815" s="11621"/>
      <c r="P1815" s="11622"/>
      <c r="Q1815" s="11623"/>
      <c r="R1815" s="11624"/>
      <c r="S1815" s="11625"/>
      <c r="T1815" s="11626"/>
      <c r="U1815" s="11623"/>
      <c r="V1815" s="11624"/>
      <c r="W1815" s="11626"/>
      <c r="X1815" s="11624"/>
      <c r="Y1815" s="11626"/>
      <c r="Z1815" s="11624"/>
      <c r="AA1815" s="11625"/>
      <c r="AB1815" s="11625"/>
      <c r="AC1815" s="11625"/>
      <c r="AD1815" s="11625"/>
      <c r="AE1815" s="11625"/>
      <c r="AF1815" s="11626"/>
      <c r="AG1815" s="11624"/>
      <c r="AH1815" s="11625"/>
      <c r="AI1815" s="11625"/>
      <c r="AJ1815" s="11625"/>
      <c r="AK1815" s="11625"/>
      <c r="AL1815" s="11625"/>
      <c r="AM1815" s="11625"/>
      <c r="AN1815" s="11626"/>
      <c r="AO1815" s="11624"/>
      <c r="AP1815" s="11625"/>
      <c r="AQ1815" s="11625"/>
      <c r="AR1815" s="11625"/>
      <c r="AS1815" s="11625"/>
      <c r="AT1815" s="11626"/>
      <c r="AU1815" s="11627"/>
      <c r="AV1815" s="11627"/>
      <c r="AW1815" s="11627"/>
      <c r="AX1815" s="11619"/>
      <c r="AY1815" s="11622"/>
      <c r="AZ1815" s="11627"/>
      <c r="BA1815" s="11619"/>
      <c r="BB1815" s="11621"/>
      <c r="BC1815" s="11622"/>
      <c r="BD1815" s="11628"/>
      <c r="BF1815" s="11630"/>
      <c r="BG1815" s="11630"/>
      <c r="BH1815" s="11630"/>
      <c r="BI1815" s="11630"/>
      <c r="BJ1815" s="11630"/>
      <c r="BK1815" s="11630"/>
      <c r="BL1815" s="11630"/>
      <c r="BM1815" s="11630"/>
      <c r="BN1815" s="11630"/>
    </row>
    <row r="1816" spans="1:66" ht="30" hidden="1" customHeight="1">
      <c r="A1816" s="8072">
        <v>1126</v>
      </c>
      <c r="B1816" s="11629" t="s">
        <v>7654</v>
      </c>
      <c r="C1816" s="13571"/>
      <c r="D1816" s="12501" t="s">
        <v>4305</v>
      </c>
      <c r="E1816" s="11675" t="s">
        <v>2456</v>
      </c>
      <c r="F1816" s="11675"/>
      <c r="G1816" s="12758" t="s">
        <v>2523</v>
      </c>
      <c r="H1816" s="11677" t="s">
        <v>2524</v>
      </c>
      <c r="I1816" s="11680">
        <v>0.125</v>
      </c>
      <c r="K1816" s="11619"/>
      <c r="L1816" s="11620"/>
      <c r="M1816" s="11620"/>
      <c r="N1816" s="11621"/>
      <c r="O1816" s="11621"/>
      <c r="P1816" s="11622"/>
      <c r="Q1816" s="11623"/>
      <c r="R1816" s="11624"/>
      <c r="S1816" s="11625"/>
      <c r="T1816" s="11626"/>
      <c r="U1816" s="11623"/>
      <c r="V1816" s="11624"/>
      <c r="W1816" s="11626"/>
      <c r="X1816" s="11624"/>
      <c r="Y1816" s="11626"/>
      <c r="Z1816" s="11624"/>
      <c r="AA1816" s="11625"/>
      <c r="AB1816" s="11625"/>
      <c r="AC1816" s="11625"/>
      <c r="AD1816" s="11625"/>
      <c r="AE1816" s="11625"/>
      <c r="AF1816" s="11626"/>
      <c r="AG1816" s="11624"/>
      <c r="AH1816" s="11625"/>
      <c r="AI1816" s="11625"/>
      <c r="AJ1816" s="11625"/>
      <c r="AK1816" s="11625"/>
      <c r="AL1816" s="11625"/>
      <c r="AM1816" s="11625"/>
      <c r="AN1816" s="11626"/>
      <c r="AO1816" s="11624"/>
      <c r="AP1816" s="11625"/>
      <c r="AQ1816" s="11625"/>
      <c r="AR1816" s="11625"/>
      <c r="AS1816" s="11625"/>
      <c r="AT1816" s="11626"/>
      <c r="AU1816" s="11627"/>
      <c r="AV1816" s="11627"/>
      <c r="AW1816" s="11627"/>
      <c r="AX1816" s="11619"/>
      <c r="AY1816" s="11622"/>
      <c r="AZ1816" s="11627"/>
      <c r="BA1816" s="11619"/>
      <c r="BB1816" s="11621"/>
      <c r="BC1816" s="11622"/>
      <c r="BD1816" s="11628"/>
      <c r="BF1816" s="11630"/>
      <c r="BG1816" s="11630"/>
      <c r="BH1816" s="11630"/>
      <c r="BI1816" s="11630"/>
      <c r="BJ1816" s="11630"/>
      <c r="BK1816" s="11630"/>
      <c r="BL1816" s="11630"/>
      <c r="BM1816" s="11630"/>
      <c r="BN1816" s="11630"/>
    </row>
    <row r="1817" spans="1:66" ht="30" hidden="1" customHeight="1">
      <c r="A1817" s="8072">
        <v>1127</v>
      </c>
      <c r="B1817" s="11629" t="s">
        <v>7655</v>
      </c>
      <c r="C1817" s="13571"/>
      <c r="D1817" s="12501" t="s">
        <v>26</v>
      </c>
      <c r="E1817" s="11675" t="s">
        <v>2449</v>
      </c>
      <c r="F1817" s="11675"/>
      <c r="G1817" s="12758" t="s">
        <v>2525</v>
      </c>
      <c r="H1817" s="11677" t="s">
        <v>2526</v>
      </c>
      <c r="I1817" s="12761" t="s">
        <v>2527</v>
      </c>
      <c r="K1817" s="11619"/>
      <c r="L1817" s="11620"/>
      <c r="M1817" s="11620"/>
      <c r="N1817" s="11621"/>
      <c r="O1817" s="11621"/>
      <c r="P1817" s="11622"/>
      <c r="Q1817" s="11623"/>
      <c r="R1817" s="11624"/>
      <c r="S1817" s="11625"/>
      <c r="T1817" s="11626"/>
      <c r="U1817" s="11623"/>
      <c r="V1817" s="11624"/>
      <c r="W1817" s="11626"/>
      <c r="X1817" s="11624"/>
      <c r="Y1817" s="11626"/>
      <c r="Z1817" s="11624"/>
      <c r="AA1817" s="11625"/>
      <c r="AB1817" s="11625"/>
      <c r="AC1817" s="11625"/>
      <c r="AD1817" s="11625"/>
      <c r="AE1817" s="11625"/>
      <c r="AF1817" s="11626"/>
      <c r="AG1817" s="11624"/>
      <c r="AH1817" s="11625"/>
      <c r="AI1817" s="11625"/>
      <c r="AJ1817" s="11625"/>
      <c r="AK1817" s="11625"/>
      <c r="AL1817" s="11625"/>
      <c r="AM1817" s="11625"/>
      <c r="AN1817" s="11626"/>
      <c r="AO1817" s="11624"/>
      <c r="AP1817" s="11625"/>
      <c r="AQ1817" s="11625"/>
      <c r="AR1817" s="11625"/>
      <c r="AS1817" s="11625"/>
      <c r="AT1817" s="11626"/>
      <c r="AU1817" s="11627"/>
      <c r="AV1817" s="11627"/>
      <c r="AW1817" s="11627"/>
      <c r="AX1817" s="11619"/>
      <c r="AY1817" s="11622"/>
      <c r="AZ1817" s="11627"/>
      <c r="BA1817" s="11619"/>
      <c r="BB1817" s="11621"/>
      <c r="BC1817" s="11622"/>
      <c r="BD1817" s="11628"/>
      <c r="BF1817" s="11630"/>
      <c r="BG1817" s="11630"/>
      <c r="BH1817" s="11630"/>
      <c r="BI1817" s="11630"/>
      <c r="BJ1817" s="11630"/>
      <c r="BK1817" s="11630"/>
      <c r="BL1817" s="11630"/>
      <c r="BM1817" s="11630"/>
      <c r="BN1817" s="11630"/>
    </row>
    <row r="1818" spans="1:66" ht="98.25" hidden="1" customHeight="1">
      <c r="A1818" s="8072">
        <v>1128</v>
      </c>
      <c r="B1818" s="11629" t="s">
        <v>7656</v>
      </c>
      <c r="C1818" s="13571"/>
      <c r="D1818" s="12501" t="s">
        <v>8575</v>
      </c>
      <c r="E1818" s="11675" t="s">
        <v>2531</v>
      </c>
      <c r="F1818" s="11675"/>
      <c r="G1818" s="12758" t="s">
        <v>2530</v>
      </c>
      <c r="H1818" s="11677" t="s">
        <v>2532</v>
      </c>
      <c r="I1818" s="11678">
        <v>1</v>
      </c>
      <c r="K1818" s="11619"/>
      <c r="L1818" s="11620"/>
      <c r="M1818" s="11620"/>
      <c r="N1818" s="11621"/>
      <c r="O1818" s="11621"/>
      <c r="P1818" s="11622"/>
      <c r="Q1818" s="11623"/>
      <c r="R1818" s="11624"/>
      <c r="S1818" s="11625"/>
      <c r="T1818" s="11626"/>
      <c r="U1818" s="11623"/>
      <c r="V1818" s="11624"/>
      <c r="W1818" s="11626"/>
      <c r="X1818" s="11624"/>
      <c r="Y1818" s="11626"/>
      <c r="Z1818" s="11624"/>
      <c r="AA1818" s="11625"/>
      <c r="AB1818" s="11625"/>
      <c r="AC1818" s="11625"/>
      <c r="AD1818" s="11625"/>
      <c r="AE1818" s="11625"/>
      <c r="AF1818" s="11626"/>
      <c r="AG1818" s="11624"/>
      <c r="AH1818" s="11625"/>
      <c r="AI1818" s="11625"/>
      <c r="AJ1818" s="11625"/>
      <c r="AK1818" s="11625"/>
      <c r="AL1818" s="11625"/>
      <c r="AM1818" s="11625"/>
      <c r="AN1818" s="11626"/>
      <c r="AO1818" s="11624"/>
      <c r="AP1818" s="11625"/>
      <c r="AQ1818" s="11625"/>
      <c r="AR1818" s="11625"/>
      <c r="AS1818" s="11625"/>
      <c r="AT1818" s="11626"/>
      <c r="AU1818" s="11627"/>
      <c r="AV1818" s="11627"/>
      <c r="AW1818" s="11627"/>
      <c r="AX1818" s="11619"/>
      <c r="AY1818" s="11622"/>
      <c r="AZ1818" s="11627"/>
      <c r="BA1818" s="11619"/>
      <c r="BB1818" s="11621"/>
      <c r="BC1818" s="11622"/>
      <c r="BD1818" s="11628"/>
      <c r="BF1818" s="11630"/>
      <c r="BG1818" s="11630"/>
      <c r="BH1818" s="11630"/>
      <c r="BI1818" s="11630"/>
      <c r="BJ1818" s="11630"/>
      <c r="BK1818" s="11630"/>
      <c r="BL1818" s="11630"/>
      <c r="BM1818" s="11630"/>
      <c r="BN1818" s="11630"/>
    </row>
    <row r="1819" spans="1:66" ht="30" hidden="1" customHeight="1">
      <c r="A1819" s="8072">
        <v>1129</v>
      </c>
      <c r="B1819" s="11629" t="s">
        <v>7657</v>
      </c>
      <c r="C1819" s="13571"/>
      <c r="D1819" s="12501" t="s">
        <v>10063</v>
      </c>
      <c r="E1819" s="11675" t="s">
        <v>2323</v>
      </c>
      <c r="F1819" s="11675"/>
      <c r="G1819" s="12758" t="s">
        <v>2534</v>
      </c>
      <c r="H1819" s="11677" t="s">
        <v>2535</v>
      </c>
      <c r="I1819" s="11680">
        <v>1</v>
      </c>
      <c r="K1819" s="11619"/>
      <c r="L1819" s="11620"/>
      <c r="M1819" s="11620"/>
      <c r="N1819" s="11621"/>
      <c r="O1819" s="11621"/>
      <c r="P1819" s="11622"/>
      <c r="Q1819" s="11623"/>
      <c r="R1819" s="11624"/>
      <c r="S1819" s="11625"/>
      <c r="T1819" s="11626"/>
      <c r="U1819" s="11623"/>
      <c r="V1819" s="11624"/>
      <c r="W1819" s="11626"/>
      <c r="X1819" s="11624"/>
      <c r="Y1819" s="11626"/>
      <c r="Z1819" s="11624"/>
      <c r="AA1819" s="11625"/>
      <c r="AB1819" s="11625"/>
      <c r="AC1819" s="11625"/>
      <c r="AD1819" s="11625"/>
      <c r="AE1819" s="11625"/>
      <c r="AF1819" s="11626"/>
      <c r="AG1819" s="11624"/>
      <c r="AH1819" s="11625"/>
      <c r="AI1819" s="11625"/>
      <c r="AJ1819" s="11625"/>
      <c r="AK1819" s="11625"/>
      <c r="AL1819" s="11625"/>
      <c r="AM1819" s="11625"/>
      <c r="AN1819" s="11626"/>
      <c r="AO1819" s="11624"/>
      <c r="AP1819" s="11625"/>
      <c r="AQ1819" s="11625"/>
      <c r="AR1819" s="11625"/>
      <c r="AS1819" s="11625"/>
      <c r="AT1819" s="11626"/>
      <c r="AU1819" s="11627"/>
      <c r="AV1819" s="11627"/>
      <c r="AW1819" s="11627"/>
      <c r="AX1819" s="11619"/>
      <c r="AY1819" s="11622"/>
      <c r="AZ1819" s="11627"/>
      <c r="BA1819" s="11619"/>
      <c r="BB1819" s="11621"/>
      <c r="BC1819" s="11622"/>
      <c r="BD1819" s="11628"/>
      <c r="BF1819" s="11630"/>
      <c r="BG1819" s="11630"/>
      <c r="BH1819" s="11630"/>
      <c r="BI1819" s="11630"/>
      <c r="BJ1819" s="11630"/>
      <c r="BK1819" s="11630"/>
      <c r="BL1819" s="11630"/>
      <c r="BM1819" s="11630"/>
      <c r="BN1819" s="11630"/>
    </row>
    <row r="1820" spans="1:66" ht="30" hidden="1" customHeight="1">
      <c r="A1820" s="8072">
        <v>1130</v>
      </c>
      <c r="B1820" s="11629" t="s">
        <v>7658</v>
      </c>
      <c r="C1820" s="13571"/>
      <c r="D1820" s="12501" t="s">
        <v>10063</v>
      </c>
      <c r="E1820" s="11675" t="s">
        <v>2323</v>
      </c>
      <c r="F1820" s="11675"/>
      <c r="G1820" s="12758" t="s">
        <v>2536</v>
      </c>
      <c r="H1820" s="11677" t="s">
        <v>2537</v>
      </c>
      <c r="I1820" s="11678">
        <v>1</v>
      </c>
      <c r="K1820" s="11619"/>
      <c r="L1820" s="11620"/>
      <c r="M1820" s="11620"/>
      <c r="N1820" s="11621"/>
      <c r="O1820" s="11621"/>
      <c r="P1820" s="11622"/>
      <c r="Q1820" s="11623"/>
      <c r="R1820" s="11624"/>
      <c r="S1820" s="11625"/>
      <c r="T1820" s="11626"/>
      <c r="U1820" s="11623"/>
      <c r="V1820" s="11624"/>
      <c r="W1820" s="11626"/>
      <c r="X1820" s="11624"/>
      <c r="Y1820" s="11626"/>
      <c r="Z1820" s="11624"/>
      <c r="AA1820" s="11625"/>
      <c r="AB1820" s="11625"/>
      <c r="AC1820" s="11625"/>
      <c r="AD1820" s="11625"/>
      <c r="AE1820" s="11625"/>
      <c r="AF1820" s="11626"/>
      <c r="AG1820" s="11624"/>
      <c r="AH1820" s="11625"/>
      <c r="AI1820" s="11625"/>
      <c r="AJ1820" s="11625"/>
      <c r="AK1820" s="11625"/>
      <c r="AL1820" s="11625"/>
      <c r="AM1820" s="11625"/>
      <c r="AN1820" s="11626"/>
      <c r="AO1820" s="11624"/>
      <c r="AP1820" s="11625"/>
      <c r="AQ1820" s="11625"/>
      <c r="AR1820" s="11625"/>
      <c r="AS1820" s="11625"/>
      <c r="AT1820" s="11626"/>
      <c r="AU1820" s="11627"/>
      <c r="AV1820" s="11627"/>
      <c r="AW1820" s="11627"/>
      <c r="AX1820" s="11619"/>
      <c r="AY1820" s="11622"/>
      <c r="AZ1820" s="11627"/>
      <c r="BA1820" s="11619"/>
      <c r="BB1820" s="11621"/>
      <c r="BC1820" s="11622"/>
      <c r="BD1820" s="11628"/>
      <c r="BF1820" s="11630"/>
      <c r="BG1820" s="11630"/>
      <c r="BH1820" s="11630"/>
      <c r="BI1820" s="11630"/>
      <c r="BJ1820" s="11630"/>
      <c r="BK1820" s="11630"/>
      <c r="BL1820" s="11630"/>
      <c r="BM1820" s="11630"/>
      <c r="BN1820" s="11630"/>
    </row>
    <row r="1821" spans="1:66" ht="30" hidden="1" customHeight="1">
      <c r="A1821" s="8072">
        <v>1131</v>
      </c>
      <c r="B1821" s="11629" t="s">
        <v>7659</v>
      </c>
      <c r="C1821" s="13571"/>
      <c r="D1821" s="12501" t="s">
        <v>86</v>
      </c>
      <c r="E1821" s="11679" t="s">
        <v>2379</v>
      </c>
      <c r="F1821" s="11679"/>
      <c r="G1821" s="12758" t="s">
        <v>2543</v>
      </c>
      <c r="H1821" s="12994" t="s">
        <v>2544</v>
      </c>
      <c r="I1821" s="13010">
        <v>0.05</v>
      </c>
      <c r="K1821" s="13270" t="s">
        <v>10615</v>
      </c>
      <c r="L1821" s="12913"/>
      <c r="M1821" s="12913"/>
      <c r="N1821" s="13271" t="s">
        <v>10495</v>
      </c>
      <c r="O1821" s="13272"/>
      <c r="P1821" s="13273" t="s">
        <v>2911</v>
      </c>
      <c r="Q1821" s="13273"/>
      <c r="R1821" s="13273"/>
      <c r="S1821" s="13273">
        <v>280</v>
      </c>
      <c r="T1821" s="13273">
        <v>91</v>
      </c>
      <c r="U1821" s="13273">
        <v>189</v>
      </c>
      <c r="V1821" s="13273">
        <v>245</v>
      </c>
      <c r="W1821" s="13273">
        <v>35</v>
      </c>
      <c r="X1821" s="13273">
        <v>0</v>
      </c>
      <c r="Y1821" s="13273">
        <v>0</v>
      </c>
      <c r="Z1821" s="13273">
        <v>1</v>
      </c>
      <c r="AA1821" s="13273">
        <v>48</v>
      </c>
      <c r="AB1821" s="13273">
        <v>76</v>
      </c>
      <c r="AC1821" s="13273">
        <v>108</v>
      </c>
      <c r="AD1821" s="13273">
        <v>47</v>
      </c>
      <c r="AE1821" s="13273">
        <v>0</v>
      </c>
      <c r="AF1821" s="13273">
        <v>0</v>
      </c>
      <c r="AG1821" s="13273">
        <v>248</v>
      </c>
      <c r="AH1821" s="13273">
        <v>32</v>
      </c>
      <c r="AI1821" s="13273">
        <v>0</v>
      </c>
      <c r="AJ1821" s="13273">
        <v>0</v>
      </c>
      <c r="AK1821" s="13273">
        <v>0</v>
      </c>
      <c r="AL1821" s="13273">
        <v>0</v>
      </c>
      <c r="AM1821" s="13273">
        <v>239</v>
      </c>
      <c r="AN1821" s="13273">
        <v>31</v>
      </c>
      <c r="AO1821" s="13273">
        <v>10</v>
      </c>
      <c r="AP1821" s="13273">
        <v>0</v>
      </c>
      <c r="AQ1821" s="13273">
        <v>0</v>
      </c>
      <c r="AR1821" s="13273">
        <v>0</v>
      </c>
      <c r="AS1821" s="12915"/>
      <c r="AT1821" s="12916"/>
      <c r="AU1821" s="12916"/>
      <c r="AV1821" s="12916"/>
      <c r="AW1821" s="12916"/>
      <c r="AX1821" s="12916"/>
      <c r="AY1821" s="12916"/>
      <c r="AZ1821" s="12916"/>
      <c r="BA1821" s="12916"/>
      <c r="BB1821" s="12916"/>
      <c r="BC1821" s="12916"/>
      <c r="BD1821" s="11628"/>
      <c r="BF1821" s="11630"/>
      <c r="BG1821" s="11630"/>
      <c r="BH1821" s="11630"/>
      <c r="BI1821" s="11630"/>
      <c r="BJ1821" s="11630"/>
      <c r="BK1821" s="11630"/>
      <c r="BL1821" s="11630"/>
      <c r="BM1821" s="11630"/>
      <c r="BN1821" s="11630"/>
    </row>
    <row r="1822" spans="1:66" ht="30" hidden="1" customHeight="1">
      <c r="A1822" s="8072">
        <v>1132</v>
      </c>
      <c r="B1822" s="11629" t="s">
        <v>7660</v>
      </c>
      <c r="C1822" s="13571"/>
      <c r="D1822" s="12501" t="s">
        <v>86</v>
      </c>
      <c r="E1822" s="11679" t="s">
        <v>2379</v>
      </c>
      <c r="F1822" s="11679"/>
      <c r="G1822" s="12758" t="s">
        <v>2543</v>
      </c>
      <c r="H1822" s="12994" t="s">
        <v>2544</v>
      </c>
      <c r="I1822" s="13010">
        <v>0.05</v>
      </c>
      <c r="K1822" s="13270" t="s">
        <v>10616</v>
      </c>
      <c r="L1822" s="12913"/>
      <c r="M1822" s="12913"/>
      <c r="N1822" s="13271" t="s">
        <v>10496</v>
      </c>
      <c r="O1822" s="13274"/>
      <c r="P1822" s="13273" t="s">
        <v>2911</v>
      </c>
      <c r="Q1822" s="13273"/>
      <c r="R1822" s="13273"/>
      <c r="S1822" s="13273">
        <v>72</v>
      </c>
      <c r="T1822" s="13273">
        <v>24</v>
      </c>
      <c r="U1822" s="13273">
        <v>48</v>
      </c>
      <c r="V1822" s="13273">
        <v>52</v>
      </c>
      <c r="W1822" s="13273">
        <v>20</v>
      </c>
      <c r="X1822" s="13273">
        <v>0</v>
      </c>
      <c r="Y1822" s="13273">
        <v>0</v>
      </c>
      <c r="Z1822" s="13273">
        <v>4</v>
      </c>
      <c r="AA1822" s="13273">
        <v>22</v>
      </c>
      <c r="AB1822" s="13273">
        <v>21</v>
      </c>
      <c r="AC1822" s="13273">
        <v>24</v>
      </c>
      <c r="AD1822" s="13273">
        <v>1</v>
      </c>
      <c r="AE1822" s="13273">
        <v>0</v>
      </c>
      <c r="AF1822" s="13273">
        <v>0</v>
      </c>
      <c r="AG1822" s="13273">
        <v>63</v>
      </c>
      <c r="AH1822" s="13273">
        <v>14</v>
      </c>
      <c r="AI1822" s="13273">
        <v>0</v>
      </c>
      <c r="AJ1822" s="13273">
        <v>0</v>
      </c>
      <c r="AK1822" s="13273">
        <v>0</v>
      </c>
      <c r="AL1822" s="13273">
        <v>0</v>
      </c>
      <c r="AM1822" s="13273">
        <v>68</v>
      </c>
      <c r="AN1822" s="13273">
        <v>1</v>
      </c>
      <c r="AO1822" s="13273">
        <v>3</v>
      </c>
      <c r="AP1822" s="13273">
        <v>0</v>
      </c>
      <c r="AQ1822" s="13273">
        <v>0</v>
      </c>
      <c r="AR1822" s="13273">
        <v>0</v>
      </c>
      <c r="AS1822" s="12915"/>
      <c r="AT1822" s="12916"/>
      <c r="AU1822" s="12916"/>
      <c r="AV1822" s="12916"/>
      <c r="AW1822" s="12916"/>
      <c r="AX1822" s="12916"/>
      <c r="AY1822" s="12916"/>
      <c r="AZ1822" s="12916"/>
      <c r="BA1822" s="12916"/>
      <c r="BB1822" s="12916"/>
      <c r="BC1822" s="12916"/>
      <c r="BD1822" s="11628"/>
      <c r="BF1822" s="11630"/>
      <c r="BG1822" s="11630"/>
      <c r="BH1822" s="11630"/>
      <c r="BI1822" s="11630"/>
      <c r="BJ1822" s="11630"/>
      <c r="BK1822" s="11630"/>
      <c r="BL1822" s="11630"/>
      <c r="BM1822" s="11630"/>
      <c r="BN1822" s="11630"/>
    </row>
    <row r="1823" spans="1:66" ht="30" hidden="1" customHeight="1">
      <c r="A1823" s="8072">
        <v>1133</v>
      </c>
      <c r="B1823" s="11629" t="s">
        <v>7661</v>
      </c>
      <c r="C1823" s="13571"/>
      <c r="D1823" s="12501" t="s">
        <v>86</v>
      </c>
      <c r="E1823" s="11679" t="s">
        <v>2379</v>
      </c>
      <c r="F1823" s="11679"/>
      <c r="G1823" s="12758" t="s">
        <v>2543</v>
      </c>
      <c r="H1823" s="12994" t="s">
        <v>2544</v>
      </c>
      <c r="I1823" s="13010">
        <v>0.05</v>
      </c>
      <c r="K1823" s="13270" t="s">
        <v>10617</v>
      </c>
      <c r="L1823" s="12917"/>
      <c r="M1823" s="12913"/>
      <c r="N1823" s="13271" t="s">
        <v>10497</v>
      </c>
      <c r="O1823" s="13274"/>
      <c r="P1823" s="13273" t="s">
        <v>2911</v>
      </c>
      <c r="Q1823" s="13273"/>
      <c r="R1823" s="13273"/>
      <c r="S1823" s="13273">
        <v>95</v>
      </c>
      <c r="T1823" s="13273">
        <v>49</v>
      </c>
      <c r="U1823" s="13273">
        <v>46</v>
      </c>
      <c r="V1823" s="13273">
        <v>80</v>
      </c>
      <c r="W1823" s="13273">
        <v>15</v>
      </c>
      <c r="X1823" s="13273">
        <v>0</v>
      </c>
      <c r="Y1823" s="13273">
        <v>1</v>
      </c>
      <c r="Z1823" s="13273">
        <v>43</v>
      </c>
      <c r="AA1823" s="13273">
        <v>25</v>
      </c>
      <c r="AB1823" s="13273">
        <v>18</v>
      </c>
      <c r="AC1823" s="13273">
        <v>8</v>
      </c>
      <c r="AD1823" s="13273">
        <v>0</v>
      </c>
      <c r="AE1823" s="13273">
        <v>0</v>
      </c>
      <c r="AF1823" s="13273">
        <v>0</v>
      </c>
      <c r="AG1823" s="13273">
        <v>22</v>
      </c>
      <c r="AH1823" s="13273">
        <v>6</v>
      </c>
      <c r="AI1823" s="13273">
        <v>0</v>
      </c>
      <c r="AJ1823" s="13273">
        <v>0</v>
      </c>
      <c r="AK1823" s="13273">
        <v>0</v>
      </c>
      <c r="AL1823" s="13273">
        <v>0</v>
      </c>
      <c r="AM1823" s="13273">
        <v>37</v>
      </c>
      <c r="AN1823" s="13273">
        <v>58</v>
      </c>
      <c r="AO1823" s="13273">
        <v>0</v>
      </c>
      <c r="AP1823" s="13273">
        <v>0</v>
      </c>
      <c r="AQ1823" s="13273">
        <v>0</v>
      </c>
      <c r="AR1823" s="13273">
        <v>0</v>
      </c>
      <c r="AS1823" s="12915"/>
      <c r="AT1823" s="12916"/>
      <c r="AU1823" s="12916"/>
      <c r="AV1823" s="12916"/>
      <c r="AW1823" s="12916"/>
      <c r="AX1823" s="12916"/>
      <c r="AY1823" s="12916"/>
      <c r="AZ1823" s="12916"/>
      <c r="BA1823" s="12916"/>
      <c r="BB1823" s="12916"/>
      <c r="BC1823" s="12916"/>
      <c r="BD1823" s="11628"/>
      <c r="BF1823" s="11630"/>
      <c r="BG1823" s="11630"/>
      <c r="BH1823" s="11630"/>
      <c r="BI1823" s="11630"/>
      <c r="BJ1823" s="11630"/>
      <c r="BK1823" s="11630"/>
      <c r="BL1823" s="11630"/>
      <c r="BM1823" s="11630"/>
      <c r="BN1823" s="11630"/>
    </row>
    <row r="1824" spans="1:66" ht="30" hidden="1" customHeight="1">
      <c r="A1824" s="8072">
        <v>1134</v>
      </c>
      <c r="B1824" s="11629" t="s">
        <v>7662</v>
      </c>
      <c r="C1824" s="13571"/>
      <c r="D1824" s="12501" t="s">
        <v>10066</v>
      </c>
      <c r="E1824" s="11675" t="s">
        <v>2308</v>
      </c>
      <c r="F1824" s="11675"/>
      <c r="G1824" s="12758" t="s">
        <v>2549</v>
      </c>
      <c r="H1824" s="11677" t="s">
        <v>2550</v>
      </c>
      <c r="I1824" s="12762">
        <v>0.25</v>
      </c>
      <c r="K1824" s="11619"/>
      <c r="L1824" s="11620"/>
      <c r="M1824" s="11620"/>
      <c r="N1824" s="11621"/>
      <c r="O1824" s="11621"/>
      <c r="P1824" s="11622"/>
      <c r="Q1824" s="11623"/>
      <c r="R1824" s="11624"/>
      <c r="S1824" s="11625"/>
      <c r="T1824" s="11626"/>
      <c r="U1824" s="11623"/>
      <c r="V1824" s="11624"/>
      <c r="W1824" s="11626"/>
      <c r="X1824" s="11624"/>
      <c r="Y1824" s="11626"/>
      <c r="Z1824" s="11624"/>
      <c r="AA1824" s="11625"/>
      <c r="AB1824" s="11625"/>
      <c r="AC1824" s="11625"/>
      <c r="AD1824" s="11625"/>
      <c r="AE1824" s="11625"/>
      <c r="AF1824" s="11626"/>
      <c r="AG1824" s="11624"/>
      <c r="AH1824" s="11625"/>
      <c r="AI1824" s="11625"/>
      <c r="AJ1824" s="11625"/>
      <c r="AK1824" s="11625"/>
      <c r="AL1824" s="11625"/>
      <c r="AM1824" s="11625"/>
      <c r="AN1824" s="11626"/>
      <c r="AO1824" s="11624"/>
      <c r="AP1824" s="11625"/>
      <c r="AQ1824" s="11625"/>
      <c r="AR1824" s="11625"/>
      <c r="AS1824" s="11625"/>
      <c r="AT1824" s="11626"/>
      <c r="AU1824" s="11627"/>
      <c r="AV1824" s="11627"/>
      <c r="AW1824" s="11627"/>
      <c r="AX1824" s="11619"/>
      <c r="AY1824" s="11622"/>
      <c r="AZ1824" s="11627"/>
      <c r="BA1824" s="11619"/>
      <c r="BB1824" s="11621"/>
      <c r="BC1824" s="11622"/>
      <c r="BD1824" s="11628"/>
      <c r="BF1824" s="11630"/>
      <c r="BG1824" s="11630"/>
      <c r="BH1824" s="11630"/>
      <c r="BI1824" s="11630"/>
      <c r="BJ1824" s="11630"/>
      <c r="BK1824" s="11630"/>
      <c r="BL1824" s="11630"/>
      <c r="BM1824" s="11630"/>
      <c r="BN1824" s="11630"/>
    </row>
    <row r="1825" spans="1:66" ht="30" hidden="1" customHeight="1">
      <c r="A1825" s="8072">
        <v>1135</v>
      </c>
      <c r="B1825" s="11629" t="s">
        <v>7663</v>
      </c>
      <c r="C1825" s="13571"/>
      <c r="D1825" s="12501" t="s">
        <v>10066</v>
      </c>
      <c r="E1825" s="11675" t="s">
        <v>2308</v>
      </c>
      <c r="F1825" s="11675"/>
      <c r="G1825" s="12758" t="s">
        <v>2551</v>
      </c>
      <c r="H1825" s="11677" t="s">
        <v>2552</v>
      </c>
      <c r="I1825" s="12762">
        <v>1</v>
      </c>
      <c r="K1825" s="11619"/>
      <c r="L1825" s="11620"/>
      <c r="M1825" s="11620"/>
      <c r="N1825" s="11621"/>
      <c r="O1825" s="11621"/>
      <c r="P1825" s="11622"/>
      <c r="Q1825" s="11623"/>
      <c r="R1825" s="11624"/>
      <c r="S1825" s="11625"/>
      <c r="T1825" s="11626"/>
      <c r="U1825" s="11623"/>
      <c r="V1825" s="11624"/>
      <c r="W1825" s="11626"/>
      <c r="X1825" s="11624"/>
      <c r="Y1825" s="11626"/>
      <c r="Z1825" s="11624"/>
      <c r="AA1825" s="11625"/>
      <c r="AB1825" s="11625"/>
      <c r="AC1825" s="11625"/>
      <c r="AD1825" s="11625"/>
      <c r="AE1825" s="11625"/>
      <c r="AF1825" s="11626"/>
      <c r="AG1825" s="11624"/>
      <c r="AH1825" s="11625"/>
      <c r="AI1825" s="11625"/>
      <c r="AJ1825" s="11625"/>
      <c r="AK1825" s="11625"/>
      <c r="AL1825" s="11625"/>
      <c r="AM1825" s="11625"/>
      <c r="AN1825" s="11626"/>
      <c r="AO1825" s="11624"/>
      <c r="AP1825" s="11625"/>
      <c r="AQ1825" s="11625"/>
      <c r="AR1825" s="11625"/>
      <c r="AS1825" s="11625"/>
      <c r="AT1825" s="11626"/>
      <c r="AU1825" s="11627"/>
      <c r="AV1825" s="11627"/>
      <c r="AW1825" s="11627"/>
      <c r="AX1825" s="11619"/>
      <c r="AY1825" s="11622"/>
      <c r="AZ1825" s="11627"/>
      <c r="BA1825" s="11619"/>
      <c r="BB1825" s="11621"/>
      <c r="BC1825" s="11622"/>
      <c r="BD1825" s="11628"/>
      <c r="BF1825" s="11630"/>
      <c r="BG1825" s="11630"/>
      <c r="BH1825" s="11630"/>
      <c r="BI1825" s="11630"/>
      <c r="BJ1825" s="11630"/>
      <c r="BK1825" s="11630"/>
      <c r="BL1825" s="11630"/>
      <c r="BM1825" s="11630"/>
      <c r="BN1825" s="11630"/>
    </row>
    <row r="1826" spans="1:66" ht="30" hidden="1" customHeight="1">
      <c r="A1826" s="8072">
        <v>1136</v>
      </c>
      <c r="B1826" s="11629" t="s">
        <v>7664</v>
      </c>
      <c r="C1826" s="13571"/>
      <c r="D1826" s="12501" t="s">
        <v>10063</v>
      </c>
      <c r="E1826" s="11675" t="s">
        <v>2323</v>
      </c>
      <c r="F1826" s="11675"/>
      <c r="G1826" s="12758" t="s">
        <v>2508</v>
      </c>
      <c r="H1826" s="11677" t="s">
        <v>2509</v>
      </c>
      <c r="I1826" s="11680">
        <v>1</v>
      </c>
      <c r="K1826" s="11619"/>
      <c r="L1826" s="11620"/>
      <c r="M1826" s="11620"/>
      <c r="N1826" s="11621"/>
      <c r="O1826" s="11621"/>
      <c r="P1826" s="11622"/>
      <c r="Q1826" s="11623"/>
      <c r="R1826" s="11624"/>
      <c r="S1826" s="11625"/>
      <c r="T1826" s="11626"/>
      <c r="U1826" s="11623"/>
      <c r="V1826" s="11624"/>
      <c r="W1826" s="11626"/>
      <c r="X1826" s="11624"/>
      <c r="Y1826" s="11626"/>
      <c r="Z1826" s="11624"/>
      <c r="AA1826" s="11625"/>
      <c r="AB1826" s="11625"/>
      <c r="AC1826" s="11625"/>
      <c r="AD1826" s="11625"/>
      <c r="AE1826" s="11625"/>
      <c r="AF1826" s="11626"/>
      <c r="AG1826" s="11624"/>
      <c r="AH1826" s="11625"/>
      <c r="AI1826" s="11625"/>
      <c r="AJ1826" s="11625"/>
      <c r="AK1826" s="11625"/>
      <c r="AL1826" s="11625"/>
      <c r="AM1826" s="11625"/>
      <c r="AN1826" s="11626"/>
      <c r="AO1826" s="11624"/>
      <c r="AP1826" s="11625"/>
      <c r="AQ1826" s="11625"/>
      <c r="AR1826" s="11625"/>
      <c r="AS1826" s="11625"/>
      <c r="AT1826" s="11626"/>
      <c r="AU1826" s="11627"/>
      <c r="AV1826" s="11627"/>
      <c r="AW1826" s="11627"/>
      <c r="AX1826" s="11619"/>
      <c r="AY1826" s="11622"/>
      <c r="AZ1826" s="11627"/>
      <c r="BA1826" s="11619"/>
      <c r="BB1826" s="11621"/>
      <c r="BC1826" s="11622"/>
      <c r="BD1826" s="11628"/>
      <c r="BF1826" s="11630"/>
      <c r="BG1826" s="11630"/>
      <c r="BH1826" s="11630"/>
      <c r="BI1826" s="11630"/>
      <c r="BJ1826" s="11630"/>
      <c r="BK1826" s="11630"/>
      <c r="BL1826" s="11630"/>
      <c r="BM1826" s="11630"/>
      <c r="BN1826" s="11630"/>
    </row>
    <row r="1827" spans="1:66" ht="30" hidden="1" customHeight="1">
      <c r="A1827" s="8072">
        <v>1137</v>
      </c>
      <c r="B1827" s="11629" t="s">
        <v>7665</v>
      </c>
      <c r="C1827" s="13571"/>
      <c r="D1827" s="12501" t="s">
        <v>10063</v>
      </c>
      <c r="E1827" s="11675" t="s">
        <v>2323</v>
      </c>
      <c r="F1827" s="11675"/>
      <c r="G1827" s="12758" t="s">
        <v>2554</v>
      </c>
      <c r="H1827" s="11677" t="s">
        <v>4456</v>
      </c>
      <c r="I1827" s="11678">
        <v>1</v>
      </c>
      <c r="K1827" s="11619"/>
      <c r="L1827" s="11620"/>
      <c r="M1827" s="11620"/>
      <c r="N1827" s="11621"/>
      <c r="O1827" s="11621"/>
      <c r="P1827" s="11622"/>
      <c r="Q1827" s="11623"/>
      <c r="R1827" s="11624"/>
      <c r="S1827" s="11625"/>
      <c r="T1827" s="11626"/>
      <c r="U1827" s="11623"/>
      <c r="V1827" s="11624"/>
      <c r="W1827" s="11626"/>
      <c r="X1827" s="11624"/>
      <c r="Y1827" s="11626"/>
      <c r="Z1827" s="11624"/>
      <c r="AA1827" s="11625"/>
      <c r="AB1827" s="11625"/>
      <c r="AC1827" s="11625"/>
      <c r="AD1827" s="11625"/>
      <c r="AE1827" s="11625"/>
      <c r="AF1827" s="11626"/>
      <c r="AG1827" s="11624"/>
      <c r="AH1827" s="11625"/>
      <c r="AI1827" s="11625"/>
      <c r="AJ1827" s="11625"/>
      <c r="AK1827" s="11625"/>
      <c r="AL1827" s="11625"/>
      <c r="AM1827" s="11625"/>
      <c r="AN1827" s="11626"/>
      <c r="AO1827" s="11624"/>
      <c r="AP1827" s="11625"/>
      <c r="AQ1827" s="11625"/>
      <c r="AR1827" s="11625"/>
      <c r="AS1827" s="11625"/>
      <c r="AT1827" s="11626"/>
      <c r="AU1827" s="11627"/>
      <c r="AV1827" s="11627"/>
      <c r="AW1827" s="11627"/>
      <c r="AX1827" s="11619"/>
      <c r="AY1827" s="11622"/>
      <c r="AZ1827" s="11627"/>
      <c r="BA1827" s="11619"/>
      <c r="BB1827" s="11621"/>
      <c r="BC1827" s="11622"/>
      <c r="BD1827" s="11628"/>
      <c r="BF1827" s="11630"/>
      <c r="BG1827" s="11630"/>
      <c r="BH1827" s="11630"/>
      <c r="BI1827" s="11630"/>
      <c r="BJ1827" s="11630"/>
      <c r="BK1827" s="11630"/>
      <c r="BL1827" s="11630"/>
      <c r="BM1827" s="11630"/>
      <c r="BN1827" s="11630"/>
    </row>
    <row r="1828" spans="1:66" ht="30" hidden="1" customHeight="1" thickBot="1">
      <c r="A1828" s="11631">
        <v>1138</v>
      </c>
      <c r="B1828" s="11632" t="s">
        <v>7666</v>
      </c>
      <c r="C1828" s="13571"/>
      <c r="D1828" s="12508" t="s">
        <v>10063</v>
      </c>
      <c r="E1828" s="12538" t="s">
        <v>2323</v>
      </c>
      <c r="F1828" s="12538"/>
      <c r="G1828" s="12763" t="s">
        <v>2556</v>
      </c>
      <c r="H1828" s="12764" t="s">
        <v>2557</v>
      </c>
      <c r="I1828" s="12765">
        <v>1</v>
      </c>
      <c r="K1828" s="11634"/>
      <c r="L1828" s="11635"/>
      <c r="M1828" s="11635"/>
      <c r="N1828" s="11636"/>
      <c r="O1828" s="11636"/>
      <c r="P1828" s="11637"/>
      <c r="Q1828" s="11638"/>
      <c r="R1828" s="11639"/>
      <c r="S1828" s="11640"/>
      <c r="T1828" s="11641"/>
      <c r="U1828" s="11638"/>
      <c r="V1828" s="11639"/>
      <c r="W1828" s="11641"/>
      <c r="X1828" s="11639"/>
      <c r="Y1828" s="11641"/>
      <c r="Z1828" s="11639"/>
      <c r="AA1828" s="11640"/>
      <c r="AB1828" s="11640"/>
      <c r="AC1828" s="11640"/>
      <c r="AD1828" s="11640"/>
      <c r="AE1828" s="11640"/>
      <c r="AF1828" s="11641"/>
      <c r="AG1828" s="11639"/>
      <c r="AH1828" s="11640"/>
      <c r="AI1828" s="11640"/>
      <c r="AJ1828" s="11640"/>
      <c r="AK1828" s="11640"/>
      <c r="AL1828" s="11640"/>
      <c r="AM1828" s="11640"/>
      <c r="AN1828" s="11641"/>
      <c r="AO1828" s="11639"/>
      <c r="AP1828" s="11640"/>
      <c r="AQ1828" s="11640"/>
      <c r="AR1828" s="11640"/>
      <c r="AS1828" s="11640"/>
      <c r="AT1828" s="11641"/>
      <c r="AU1828" s="11642"/>
      <c r="AV1828" s="11642"/>
      <c r="AW1828" s="11642"/>
      <c r="AX1828" s="11634"/>
      <c r="AY1828" s="11637"/>
      <c r="AZ1828" s="11642"/>
      <c r="BA1828" s="11634"/>
      <c r="BB1828" s="11636"/>
      <c r="BC1828" s="11637"/>
      <c r="BD1828" s="11643"/>
      <c r="BF1828" s="11633"/>
      <c r="BG1828" s="11633"/>
      <c r="BH1828" s="11633"/>
      <c r="BI1828" s="11633"/>
      <c r="BJ1828" s="11633"/>
      <c r="BK1828" s="11633"/>
      <c r="BL1828" s="11633"/>
      <c r="BM1828" s="11633"/>
      <c r="BN1828" s="11633"/>
    </row>
    <row r="1829" spans="1:66" ht="30" hidden="1" customHeight="1">
      <c r="A1829" s="11508">
        <v>1139</v>
      </c>
      <c r="B1829" s="11509" t="s">
        <v>7667</v>
      </c>
      <c r="C1829" s="13571"/>
      <c r="D1829" s="12703" t="s">
        <v>10063</v>
      </c>
      <c r="E1829" s="12766" t="s">
        <v>2323</v>
      </c>
      <c r="F1829" s="12766"/>
      <c r="G1829" s="12705" t="s">
        <v>2560</v>
      </c>
      <c r="H1829" s="12706" t="s">
        <v>2561</v>
      </c>
      <c r="I1829" s="12767">
        <v>6</v>
      </c>
      <c r="K1829" s="11511"/>
      <c r="L1829" s="11512"/>
      <c r="M1829" s="11512"/>
      <c r="N1829" s="11513"/>
      <c r="O1829" s="11513"/>
      <c r="P1829" s="11514"/>
      <c r="Q1829" s="11515"/>
      <c r="R1829" s="11516"/>
      <c r="S1829" s="11517"/>
      <c r="T1829" s="11518"/>
      <c r="U1829" s="11515"/>
      <c r="V1829" s="11516"/>
      <c r="W1829" s="11518"/>
      <c r="X1829" s="11516"/>
      <c r="Y1829" s="11518"/>
      <c r="Z1829" s="11516"/>
      <c r="AA1829" s="11517"/>
      <c r="AB1829" s="11517"/>
      <c r="AC1829" s="11517"/>
      <c r="AD1829" s="11517"/>
      <c r="AE1829" s="11517"/>
      <c r="AF1829" s="11518"/>
      <c r="AG1829" s="11516"/>
      <c r="AH1829" s="11517"/>
      <c r="AI1829" s="11517"/>
      <c r="AJ1829" s="11517"/>
      <c r="AK1829" s="11517"/>
      <c r="AL1829" s="11517"/>
      <c r="AM1829" s="11517"/>
      <c r="AN1829" s="11518"/>
      <c r="AO1829" s="11516"/>
      <c r="AP1829" s="11517"/>
      <c r="AQ1829" s="11517"/>
      <c r="AR1829" s="11517"/>
      <c r="AS1829" s="11517"/>
      <c r="AT1829" s="11518"/>
      <c r="AU1829" s="11519"/>
      <c r="AV1829" s="11519"/>
      <c r="AW1829" s="11519"/>
      <c r="AX1829" s="11511"/>
      <c r="AY1829" s="11514"/>
      <c r="AZ1829" s="11519"/>
      <c r="BA1829" s="11511"/>
      <c r="BB1829" s="11513"/>
      <c r="BC1829" s="11514"/>
      <c r="BD1829" s="11520"/>
      <c r="BF1829" s="11510"/>
      <c r="BG1829" s="11510"/>
      <c r="BH1829" s="11510"/>
      <c r="BI1829" s="11510"/>
      <c r="BJ1829" s="11510"/>
      <c r="BK1829" s="11510"/>
      <c r="BL1829" s="11510"/>
      <c r="BM1829" s="11510"/>
      <c r="BN1829" s="11510"/>
    </row>
    <row r="1830" spans="1:66" ht="30" hidden="1" customHeight="1">
      <c r="A1830" s="11521">
        <v>1140</v>
      </c>
      <c r="B1830" s="11522" t="s">
        <v>7668</v>
      </c>
      <c r="C1830" s="13571"/>
      <c r="D1830" s="12708" t="s">
        <v>10063</v>
      </c>
      <c r="E1830" s="12768" t="s">
        <v>2323</v>
      </c>
      <c r="F1830" s="12768"/>
      <c r="G1830" s="12710" t="s">
        <v>2562</v>
      </c>
      <c r="H1830" s="12711" t="s">
        <v>2563</v>
      </c>
      <c r="I1830" s="12769">
        <v>1</v>
      </c>
      <c r="K1830" s="11524"/>
      <c r="L1830" s="11525"/>
      <c r="M1830" s="11525"/>
      <c r="N1830" s="11526"/>
      <c r="O1830" s="11526"/>
      <c r="P1830" s="11527"/>
      <c r="Q1830" s="11528"/>
      <c r="R1830" s="11529"/>
      <c r="S1830" s="11530"/>
      <c r="T1830" s="11531"/>
      <c r="U1830" s="11528"/>
      <c r="V1830" s="11529"/>
      <c r="W1830" s="11531"/>
      <c r="X1830" s="11529"/>
      <c r="Y1830" s="11531"/>
      <c r="Z1830" s="11529"/>
      <c r="AA1830" s="11530"/>
      <c r="AB1830" s="11530"/>
      <c r="AC1830" s="11530"/>
      <c r="AD1830" s="11530"/>
      <c r="AE1830" s="11530"/>
      <c r="AF1830" s="11531"/>
      <c r="AG1830" s="11529"/>
      <c r="AH1830" s="11530"/>
      <c r="AI1830" s="11530"/>
      <c r="AJ1830" s="11530"/>
      <c r="AK1830" s="11530"/>
      <c r="AL1830" s="11530"/>
      <c r="AM1830" s="11530"/>
      <c r="AN1830" s="11531"/>
      <c r="AO1830" s="11529"/>
      <c r="AP1830" s="11530"/>
      <c r="AQ1830" s="11530"/>
      <c r="AR1830" s="11530"/>
      <c r="AS1830" s="11530"/>
      <c r="AT1830" s="11531"/>
      <c r="AU1830" s="11532"/>
      <c r="AV1830" s="11532"/>
      <c r="AW1830" s="11532"/>
      <c r="AX1830" s="11524"/>
      <c r="AY1830" s="11527"/>
      <c r="AZ1830" s="11532"/>
      <c r="BA1830" s="11524"/>
      <c r="BB1830" s="11526"/>
      <c r="BC1830" s="11527"/>
      <c r="BD1830" s="11533"/>
      <c r="BF1830" s="11523"/>
      <c r="BG1830" s="11523"/>
      <c r="BH1830" s="11523"/>
      <c r="BI1830" s="11523"/>
      <c r="BJ1830" s="11523"/>
      <c r="BK1830" s="11523"/>
      <c r="BL1830" s="11523"/>
      <c r="BM1830" s="11523"/>
      <c r="BN1830" s="11523"/>
    </row>
    <row r="1831" spans="1:66" ht="30" hidden="1" customHeight="1">
      <c r="A1831" s="11521">
        <v>1141</v>
      </c>
      <c r="B1831" s="11522" t="s">
        <v>7669</v>
      </c>
      <c r="C1831" s="13571"/>
      <c r="D1831" s="12708" t="s">
        <v>10063</v>
      </c>
      <c r="E1831" s="12709" t="s">
        <v>2323</v>
      </c>
      <c r="F1831" s="12709"/>
      <c r="G1831" s="12710" t="s">
        <v>2569</v>
      </c>
      <c r="H1831" s="12711" t="s">
        <v>2570</v>
      </c>
      <c r="I1831" s="12770">
        <v>1</v>
      </c>
      <c r="K1831" s="11524"/>
      <c r="L1831" s="11525"/>
      <c r="M1831" s="11525"/>
      <c r="N1831" s="11526"/>
      <c r="O1831" s="11526"/>
      <c r="P1831" s="11527"/>
      <c r="Q1831" s="11528"/>
      <c r="R1831" s="11529"/>
      <c r="S1831" s="11530"/>
      <c r="T1831" s="11531"/>
      <c r="U1831" s="11528"/>
      <c r="V1831" s="11529"/>
      <c r="W1831" s="11531"/>
      <c r="X1831" s="11529"/>
      <c r="Y1831" s="11531"/>
      <c r="Z1831" s="11529"/>
      <c r="AA1831" s="11530"/>
      <c r="AB1831" s="11530"/>
      <c r="AC1831" s="11530"/>
      <c r="AD1831" s="11530"/>
      <c r="AE1831" s="11530"/>
      <c r="AF1831" s="11531"/>
      <c r="AG1831" s="11529"/>
      <c r="AH1831" s="11530"/>
      <c r="AI1831" s="11530"/>
      <c r="AJ1831" s="11530"/>
      <c r="AK1831" s="11530"/>
      <c r="AL1831" s="11530"/>
      <c r="AM1831" s="11530"/>
      <c r="AN1831" s="11531"/>
      <c r="AO1831" s="11529"/>
      <c r="AP1831" s="11530"/>
      <c r="AQ1831" s="11530"/>
      <c r="AR1831" s="11530"/>
      <c r="AS1831" s="11530"/>
      <c r="AT1831" s="11531"/>
      <c r="AU1831" s="11532"/>
      <c r="AV1831" s="11532"/>
      <c r="AW1831" s="11532"/>
      <c r="AX1831" s="11524"/>
      <c r="AY1831" s="11527"/>
      <c r="AZ1831" s="11532"/>
      <c r="BA1831" s="11524"/>
      <c r="BB1831" s="11526"/>
      <c r="BC1831" s="11527"/>
      <c r="BD1831" s="11533"/>
      <c r="BF1831" s="11523"/>
      <c r="BG1831" s="11523"/>
      <c r="BH1831" s="11523"/>
      <c r="BI1831" s="11523"/>
      <c r="BJ1831" s="11523"/>
      <c r="BK1831" s="11523"/>
      <c r="BL1831" s="11523"/>
      <c r="BM1831" s="11523"/>
      <c r="BN1831" s="11523"/>
    </row>
    <row r="1832" spans="1:66" ht="30" hidden="1" customHeight="1">
      <c r="A1832" s="11521">
        <v>1142</v>
      </c>
      <c r="B1832" s="11522" t="s">
        <v>7670</v>
      </c>
      <c r="C1832" s="13571"/>
      <c r="D1832" s="12708" t="s">
        <v>10063</v>
      </c>
      <c r="E1832" s="12709" t="s">
        <v>2323</v>
      </c>
      <c r="F1832" s="12709"/>
      <c r="G1832" s="12710" t="s">
        <v>2572</v>
      </c>
      <c r="H1832" s="12711" t="s">
        <v>2575</v>
      </c>
      <c r="I1832" s="12770">
        <v>3</v>
      </c>
      <c r="K1832" s="11524"/>
      <c r="L1832" s="11525"/>
      <c r="M1832" s="11525"/>
      <c r="N1832" s="11526"/>
      <c r="O1832" s="11526"/>
      <c r="P1832" s="11527"/>
      <c r="Q1832" s="11528"/>
      <c r="R1832" s="11529"/>
      <c r="S1832" s="11530"/>
      <c r="T1832" s="11531"/>
      <c r="U1832" s="11528"/>
      <c r="V1832" s="11529"/>
      <c r="W1832" s="11531"/>
      <c r="X1832" s="11529"/>
      <c r="Y1832" s="11531"/>
      <c r="Z1832" s="11529"/>
      <c r="AA1832" s="11530"/>
      <c r="AB1832" s="11530"/>
      <c r="AC1832" s="11530"/>
      <c r="AD1832" s="11530"/>
      <c r="AE1832" s="11530"/>
      <c r="AF1832" s="11531"/>
      <c r="AG1832" s="11529"/>
      <c r="AH1832" s="11530"/>
      <c r="AI1832" s="11530"/>
      <c r="AJ1832" s="11530"/>
      <c r="AK1832" s="11530"/>
      <c r="AL1832" s="11530"/>
      <c r="AM1832" s="11530"/>
      <c r="AN1832" s="11531"/>
      <c r="AO1832" s="11529"/>
      <c r="AP1832" s="11530"/>
      <c r="AQ1832" s="11530"/>
      <c r="AR1832" s="11530"/>
      <c r="AS1832" s="11530"/>
      <c r="AT1832" s="11531"/>
      <c r="AU1832" s="11532"/>
      <c r="AV1832" s="11532"/>
      <c r="AW1832" s="11532"/>
      <c r="AX1832" s="11524"/>
      <c r="AY1832" s="11527"/>
      <c r="AZ1832" s="11532"/>
      <c r="BA1832" s="11524"/>
      <c r="BB1832" s="11526"/>
      <c r="BC1832" s="11527"/>
      <c r="BD1832" s="11533"/>
      <c r="BF1832" s="11523"/>
      <c r="BG1832" s="11523"/>
      <c r="BH1832" s="11523"/>
      <c r="BI1832" s="11523"/>
      <c r="BJ1832" s="11523"/>
      <c r="BK1832" s="11523"/>
      <c r="BL1832" s="11523"/>
      <c r="BM1832" s="11523"/>
      <c r="BN1832" s="11523"/>
    </row>
    <row r="1833" spans="1:66" ht="30" hidden="1" customHeight="1">
      <c r="A1833" s="11521">
        <v>1143</v>
      </c>
      <c r="B1833" s="11522" t="s">
        <v>7671</v>
      </c>
      <c r="C1833" s="13571"/>
      <c r="D1833" s="12708" t="s">
        <v>10063</v>
      </c>
      <c r="E1833" s="12709" t="s">
        <v>2323</v>
      </c>
      <c r="F1833" s="12709"/>
      <c r="G1833" s="12710" t="s">
        <v>4342</v>
      </c>
      <c r="H1833" s="12711" t="s">
        <v>2579</v>
      </c>
      <c r="I1833" s="12713">
        <v>1</v>
      </c>
      <c r="K1833" s="11524"/>
      <c r="L1833" s="11525"/>
      <c r="M1833" s="11525"/>
      <c r="N1833" s="11526"/>
      <c r="O1833" s="11526"/>
      <c r="P1833" s="11527"/>
      <c r="Q1833" s="11528"/>
      <c r="R1833" s="11529"/>
      <c r="S1833" s="11530"/>
      <c r="T1833" s="11531"/>
      <c r="U1833" s="11528"/>
      <c r="V1833" s="11529"/>
      <c r="W1833" s="11531"/>
      <c r="X1833" s="11529"/>
      <c r="Y1833" s="11531"/>
      <c r="Z1833" s="11529"/>
      <c r="AA1833" s="11530"/>
      <c r="AB1833" s="11530"/>
      <c r="AC1833" s="11530"/>
      <c r="AD1833" s="11530"/>
      <c r="AE1833" s="11530"/>
      <c r="AF1833" s="11531"/>
      <c r="AG1833" s="11529"/>
      <c r="AH1833" s="11530"/>
      <c r="AI1833" s="11530"/>
      <c r="AJ1833" s="11530"/>
      <c r="AK1833" s="11530"/>
      <c r="AL1833" s="11530"/>
      <c r="AM1833" s="11530"/>
      <c r="AN1833" s="11531"/>
      <c r="AO1833" s="11529"/>
      <c r="AP1833" s="11530"/>
      <c r="AQ1833" s="11530"/>
      <c r="AR1833" s="11530"/>
      <c r="AS1833" s="11530"/>
      <c r="AT1833" s="11531"/>
      <c r="AU1833" s="11532"/>
      <c r="AV1833" s="11532"/>
      <c r="AW1833" s="11532"/>
      <c r="AX1833" s="11524"/>
      <c r="AY1833" s="11527"/>
      <c r="AZ1833" s="11532"/>
      <c r="BA1833" s="11524"/>
      <c r="BB1833" s="11526"/>
      <c r="BC1833" s="11527"/>
      <c r="BD1833" s="11533"/>
      <c r="BF1833" s="11523"/>
      <c r="BG1833" s="11523"/>
      <c r="BH1833" s="11523"/>
      <c r="BI1833" s="11523"/>
      <c r="BJ1833" s="11523"/>
      <c r="BK1833" s="11523"/>
      <c r="BL1833" s="11523"/>
      <c r="BM1833" s="11523"/>
      <c r="BN1833" s="11523"/>
    </row>
    <row r="1834" spans="1:66" ht="30" hidden="1" customHeight="1">
      <c r="A1834" s="11521">
        <v>1144</v>
      </c>
      <c r="B1834" s="11522" t="s">
        <v>7672</v>
      </c>
      <c r="C1834" s="13571"/>
      <c r="D1834" s="12708" t="s">
        <v>10063</v>
      </c>
      <c r="E1834" s="12709" t="s">
        <v>2323</v>
      </c>
      <c r="F1834" s="12709"/>
      <c r="G1834" s="12710" t="s">
        <v>2584</v>
      </c>
      <c r="H1834" s="12711" t="s">
        <v>2585</v>
      </c>
      <c r="I1834" s="12771">
        <v>1</v>
      </c>
      <c r="K1834" s="11524"/>
      <c r="L1834" s="11525"/>
      <c r="M1834" s="11525"/>
      <c r="N1834" s="11526"/>
      <c r="O1834" s="11526"/>
      <c r="P1834" s="11527"/>
      <c r="Q1834" s="11528"/>
      <c r="R1834" s="11529"/>
      <c r="S1834" s="11530"/>
      <c r="T1834" s="11531"/>
      <c r="U1834" s="11528"/>
      <c r="V1834" s="11529"/>
      <c r="W1834" s="11531"/>
      <c r="X1834" s="11529"/>
      <c r="Y1834" s="11531"/>
      <c r="Z1834" s="11529"/>
      <c r="AA1834" s="11530"/>
      <c r="AB1834" s="11530"/>
      <c r="AC1834" s="11530"/>
      <c r="AD1834" s="11530"/>
      <c r="AE1834" s="11530"/>
      <c r="AF1834" s="11531"/>
      <c r="AG1834" s="11529"/>
      <c r="AH1834" s="11530"/>
      <c r="AI1834" s="11530"/>
      <c r="AJ1834" s="11530"/>
      <c r="AK1834" s="11530"/>
      <c r="AL1834" s="11530"/>
      <c r="AM1834" s="11530"/>
      <c r="AN1834" s="11531"/>
      <c r="AO1834" s="11529"/>
      <c r="AP1834" s="11530"/>
      <c r="AQ1834" s="11530"/>
      <c r="AR1834" s="11530"/>
      <c r="AS1834" s="11530"/>
      <c r="AT1834" s="11531"/>
      <c r="AU1834" s="11532"/>
      <c r="AV1834" s="11532"/>
      <c r="AW1834" s="11532"/>
      <c r="AX1834" s="11524"/>
      <c r="AY1834" s="11527"/>
      <c r="AZ1834" s="11532"/>
      <c r="BA1834" s="11524"/>
      <c r="BB1834" s="11526"/>
      <c r="BC1834" s="11527"/>
      <c r="BD1834" s="11533"/>
      <c r="BF1834" s="11523"/>
      <c r="BG1834" s="11523"/>
      <c r="BH1834" s="11523"/>
      <c r="BI1834" s="11523"/>
      <c r="BJ1834" s="11523"/>
      <c r="BK1834" s="11523"/>
      <c r="BL1834" s="11523"/>
      <c r="BM1834" s="11523"/>
      <c r="BN1834" s="11523"/>
    </row>
    <row r="1835" spans="1:66" ht="30" hidden="1" customHeight="1">
      <c r="A1835" s="11521">
        <v>1145</v>
      </c>
      <c r="B1835" s="11522" t="s">
        <v>7673</v>
      </c>
      <c r="C1835" s="13571"/>
      <c r="D1835" s="12708" t="s">
        <v>10063</v>
      </c>
      <c r="E1835" s="12709" t="s">
        <v>2323</v>
      </c>
      <c r="F1835" s="12709"/>
      <c r="G1835" s="12710" t="s">
        <v>2591</v>
      </c>
      <c r="H1835" s="12711" t="s">
        <v>2592</v>
      </c>
      <c r="I1835" s="12772">
        <v>1</v>
      </c>
      <c r="K1835" s="11524"/>
      <c r="L1835" s="11525"/>
      <c r="M1835" s="11525"/>
      <c r="N1835" s="11526"/>
      <c r="O1835" s="11526"/>
      <c r="P1835" s="11527"/>
      <c r="Q1835" s="11528"/>
      <c r="R1835" s="11529"/>
      <c r="S1835" s="11530"/>
      <c r="T1835" s="11531"/>
      <c r="U1835" s="11528"/>
      <c r="V1835" s="11529"/>
      <c r="W1835" s="11531"/>
      <c r="X1835" s="11529"/>
      <c r="Y1835" s="11531"/>
      <c r="Z1835" s="11529"/>
      <c r="AA1835" s="11530"/>
      <c r="AB1835" s="11530"/>
      <c r="AC1835" s="11530"/>
      <c r="AD1835" s="11530"/>
      <c r="AE1835" s="11530"/>
      <c r="AF1835" s="11531"/>
      <c r="AG1835" s="11529"/>
      <c r="AH1835" s="11530"/>
      <c r="AI1835" s="11530"/>
      <c r="AJ1835" s="11530"/>
      <c r="AK1835" s="11530"/>
      <c r="AL1835" s="11530"/>
      <c r="AM1835" s="11530"/>
      <c r="AN1835" s="11531"/>
      <c r="AO1835" s="11529"/>
      <c r="AP1835" s="11530"/>
      <c r="AQ1835" s="11530"/>
      <c r="AR1835" s="11530"/>
      <c r="AS1835" s="11530"/>
      <c r="AT1835" s="11531"/>
      <c r="AU1835" s="11532"/>
      <c r="AV1835" s="11532"/>
      <c r="AW1835" s="11532"/>
      <c r="AX1835" s="11524"/>
      <c r="AY1835" s="11527"/>
      <c r="AZ1835" s="11532"/>
      <c r="BA1835" s="11524"/>
      <c r="BB1835" s="11526"/>
      <c r="BC1835" s="11527"/>
      <c r="BD1835" s="11533"/>
      <c r="BF1835" s="11523"/>
      <c r="BG1835" s="11523"/>
      <c r="BH1835" s="11523"/>
      <c r="BI1835" s="11523"/>
      <c r="BJ1835" s="11523"/>
      <c r="BK1835" s="11523"/>
      <c r="BL1835" s="11523"/>
      <c r="BM1835" s="11523"/>
      <c r="BN1835" s="11523"/>
    </row>
    <row r="1836" spans="1:66" ht="30" hidden="1" customHeight="1">
      <c r="A1836" s="11521">
        <v>1146</v>
      </c>
      <c r="B1836" s="11522" t="s">
        <v>7674</v>
      </c>
      <c r="C1836" s="13571"/>
      <c r="D1836" s="12708" t="s">
        <v>10063</v>
      </c>
      <c r="E1836" s="12709" t="s">
        <v>2323</v>
      </c>
      <c r="F1836" s="12709"/>
      <c r="G1836" s="12710" t="s">
        <v>2594</v>
      </c>
      <c r="H1836" s="12711" t="s">
        <v>2595</v>
      </c>
      <c r="I1836" s="12714">
        <v>1</v>
      </c>
      <c r="K1836" s="11524"/>
      <c r="L1836" s="11525"/>
      <c r="M1836" s="11525"/>
      <c r="N1836" s="11526"/>
      <c r="O1836" s="11526"/>
      <c r="P1836" s="11527"/>
      <c r="Q1836" s="11528"/>
      <c r="R1836" s="11529"/>
      <c r="S1836" s="11530"/>
      <c r="T1836" s="11531"/>
      <c r="U1836" s="11528"/>
      <c r="V1836" s="11529"/>
      <c r="W1836" s="11531"/>
      <c r="X1836" s="11529"/>
      <c r="Y1836" s="11531"/>
      <c r="Z1836" s="11529"/>
      <c r="AA1836" s="11530"/>
      <c r="AB1836" s="11530"/>
      <c r="AC1836" s="11530"/>
      <c r="AD1836" s="11530"/>
      <c r="AE1836" s="11530"/>
      <c r="AF1836" s="11531"/>
      <c r="AG1836" s="11529"/>
      <c r="AH1836" s="11530"/>
      <c r="AI1836" s="11530"/>
      <c r="AJ1836" s="11530"/>
      <c r="AK1836" s="11530"/>
      <c r="AL1836" s="11530"/>
      <c r="AM1836" s="11530"/>
      <c r="AN1836" s="11531"/>
      <c r="AO1836" s="11529"/>
      <c r="AP1836" s="11530"/>
      <c r="AQ1836" s="11530"/>
      <c r="AR1836" s="11530"/>
      <c r="AS1836" s="11530"/>
      <c r="AT1836" s="11531"/>
      <c r="AU1836" s="11532"/>
      <c r="AV1836" s="11532"/>
      <c r="AW1836" s="11532"/>
      <c r="AX1836" s="11524"/>
      <c r="AY1836" s="11527"/>
      <c r="AZ1836" s="11532"/>
      <c r="BA1836" s="11524"/>
      <c r="BB1836" s="11526"/>
      <c r="BC1836" s="11527"/>
      <c r="BD1836" s="11533"/>
      <c r="BF1836" s="11523"/>
      <c r="BG1836" s="11523"/>
      <c r="BH1836" s="11523"/>
      <c r="BI1836" s="11523"/>
      <c r="BJ1836" s="11523"/>
      <c r="BK1836" s="11523"/>
      <c r="BL1836" s="11523"/>
      <c r="BM1836" s="11523"/>
      <c r="BN1836" s="11523"/>
    </row>
    <row r="1837" spans="1:66" ht="30" hidden="1" customHeight="1">
      <c r="A1837" s="11521">
        <v>1147</v>
      </c>
      <c r="B1837" s="11522" t="s">
        <v>7675</v>
      </c>
      <c r="C1837" s="13571"/>
      <c r="D1837" s="12708" t="s">
        <v>10063</v>
      </c>
      <c r="E1837" s="12709" t="s">
        <v>2323</v>
      </c>
      <c r="F1837" s="12709"/>
      <c r="G1837" s="12710" t="s">
        <v>2596</v>
      </c>
      <c r="H1837" s="12711" t="s">
        <v>2597</v>
      </c>
      <c r="I1837" s="12714">
        <v>1</v>
      </c>
      <c r="K1837" s="11524"/>
      <c r="L1837" s="11525"/>
      <c r="M1837" s="11525"/>
      <c r="N1837" s="11526"/>
      <c r="O1837" s="11526"/>
      <c r="P1837" s="11527"/>
      <c r="Q1837" s="11528"/>
      <c r="R1837" s="11529"/>
      <c r="S1837" s="11530"/>
      <c r="T1837" s="11531"/>
      <c r="U1837" s="11528"/>
      <c r="V1837" s="11529"/>
      <c r="W1837" s="11531"/>
      <c r="X1837" s="11529"/>
      <c r="Y1837" s="11531"/>
      <c r="Z1837" s="11529"/>
      <c r="AA1837" s="11530"/>
      <c r="AB1837" s="11530"/>
      <c r="AC1837" s="11530"/>
      <c r="AD1837" s="11530"/>
      <c r="AE1837" s="11530"/>
      <c r="AF1837" s="11531"/>
      <c r="AG1837" s="11529"/>
      <c r="AH1837" s="11530"/>
      <c r="AI1837" s="11530"/>
      <c r="AJ1837" s="11530"/>
      <c r="AK1837" s="11530"/>
      <c r="AL1837" s="11530"/>
      <c r="AM1837" s="11530"/>
      <c r="AN1837" s="11531"/>
      <c r="AO1837" s="11529"/>
      <c r="AP1837" s="11530"/>
      <c r="AQ1837" s="11530"/>
      <c r="AR1837" s="11530"/>
      <c r="AS1837" s="11530"/>
      <c r="AT1837" s="11531"/>
      <c r="AU1837" s="11532"/>
      <c r="AV1837" s="11532"/>
      <c r="AW1837" s="11532"/>
      <c r="AX1837" s="11524"/>
      <c r="AY1837" s="11527"/>
      <c r="AZ1837" s="11532"/>
      <c r="BA1837" s="11524"/>
      <c r="BB1837" s="11526"/>
      <c r="BC1837" s="11527"/>
      <c r="BD1837" s="11533"/>
      <c r="BF1837" s="11523"/>
      <c r="BG1837" s="11523"/>
      <c r="BH1837" s="11523"/>
      <c r="BI1837" s="11523"/>
      <c r="BJ1837" s="11523"/>
      <c r="BK1837" s="11523"/>
      <c r="BL1837" s="11523"/>
      <c r="BM1837" s="11523"/>
      <c r="BN1837" s="11523"/>
    </row>
    <row r="1838" spans="1:66" ht="30" hidden="1" customHeight="1">
      <c r="A1838" s="11521">
        <v>1148</v>
      </c>
      <c r="B1838" s="11522" t="s">
        <v>7676</v>
      </c>
      <c r="C1838" s="13571"/>
      <c r="D1838" s="12708" t="s">
        <v>10063</v>
      </c>
      <c r="E1838" s="12709" t="s">
        <v>2323</v>
      </c>
      <c r="F1838" s="12709"/>
      <c r="G1838" s="12710" t="s">
        <v>2598</v>
      </c>
      <c r="H1838" s="12711" t="s">
        <v>2599</v>
      </c>
      <c r="I1838" s="12770">
        <v>1</v>
      </c>
      <c r="K1838" s="11524"/>
      <c r="L1838" s="11525"/>
      <c r="M1838" s="11525"/>
      <c r="N1838" s="11526"/>
      <c r="O1838" s="11526"/>
      <c r="P1838" s="11527"/>
      <c r="Q1838" s="11528"/>
      <c r="R1838" s="11529"/>
      <c r="S1838" s="11530"/>
      <c r="T1838" s="11531"/>
      <c r="U1838" s="11528"/>
      <c r="V1838" s="11529"/>
      <c r="W1838" s="11531"/>
      <c r="X1838" s="11529"/>
      <c r="Y1838" s="11531"/>
      <c r="Z1838" s="11529"/>
      <c r="AA1838" s="11530"/>
      <c r="AB1838" s="11530"/>
      <c r="AC1838" s="11530"/>
      <c r="AD1838" s="11530"/>
      <c r="AE1838" s="11530"/>
      <c r="AF1838" s="11531"/>
      <c r="AG1838" s="11529"/>
      <c r="AH1838" s="11530"/>
      <c r="AI1838" s="11530"/>
      <c r="AJ1838" s="11530"/>
      <c r="AK1838" s="11530"/>
      <c r="AL1838" s="11530"/>
      <c r="AM1838" s="11530"/>
      <c r="AN1838" s="11531"/>
      <c r="AO1838" s="11529"/>
      <c r="AP1838" s="11530"/>
      <c r="AQ1838" s="11530"/>
      <c r="AR1838" s="11530"/>
      <c r="AS1838" s="11530"/>
      <c r="AT1838" s="11531"/>
      <c r="AU1838" s="11532"/>
      <c r="AV1838" s="11532"/>
      <c r="AW1838" s="11532"/>
      <c r="AX1838" s="11524"/>
      <c r="AY1838" s="11527"/>
      <c r="AZ1838" s="11532"/>
      <c r="BA1838" s="11524"/>
      <c r="BB1838" s="11526"/>
      <c r="BC1838" s="11527"/>
      <c r="BD1838" s="11533"/>
      <c r="BF1838" s="11523"/>
      <c r="BG1838" s="11523"/>
      <c r="BH1838" s="11523"/>
      <c r="BI1838" s="11523"/>
      <c r="BJ1838" s="11523"/>
      <c r="BK1838" s="11523"/>
      <c r="BL1838" s="11523"/>
      <c r="BM1838" s="11523"/>
      <c r="BN1838" s="11523"/>
    </row>
    <row r="1839" spans="1:66" ht="30" hidden="1" customHeight="1">
      <c r="A1839" s="13573">
        <v>1149</v>
      </c>
      <c r="B1839" s="13565" t="s">
        <v>7677</v>
      </c>
      <c r="C1839" s="13571"/>
      <c r="D1839" s="12708" t="s">
        <v>10063</v>
      </c>
      <c r="E1839" s="12709" t="s">
        <v>2323</v>
      </c>
      <c r="F1839" s="12773"/>
      <c r="G1839" s="13569" t="s">
        <v>2600</v>
      </c>
      <c r="H1839" s="13393" t="s">
        <v>2602</v>
      </c>
      <c r="I1839" s="12769">
        <v>1</v>
      </c>
      <c r="K1839" s="11524"/>
      <c r="L1839" s="11525"/>
      <c r="M1839" s="11525"/>
      <c r="N1839" s="11526"/>
      <c r="O1839" s="11526"/>
      <c r="P1839" s="11527"/>
      <c r="Q1839" s="11528"/>
      <c r="R1839" s="11529"/>
      <c r="S1839" s="11530"/>
      <c r="T1839" s="11531"/>
      <c r="U1839" s="11528"/>
      <c r="V1839" s="11529"/>
      <c r="W1839" s="11531"/>
      <c r="X1839" s="11529"/>
      <c r="Y1839" s="11531"/>
      <c r="Z1839" s="11529"/>
      <c r="AA1839" s="11530"/>
      <c r="AB1839" s="11530"/>
      <c r="AC1839" s="11530"/>
      <c r="AD1839" s="11530"/>
      <c r="AE1839" s="11530"/>
      <c r="AF1839" s="11531"/>
      <c r="AG1839" s="11529"/>
      <c r="AH1839" s="11530"/>
      <c r="AI1839" s="11530"/>
      <c r="AJ1839" s="11530"/>
      <c r="AK1839" s="11530"/>
      <c r="AL1839" s="11530"/>
      <c r="AM1839" s="11530"/>
      <c r="AN1839" s="11531"/>
      <c r="AO1839" s="11529"/>
      <c r="AP1839" s="11530"/>
      <c r="AQ1839" s="11530"/>
      <c r="AR1839" s="11530"/>
      <c r="AS1839" s="11530"/>
      <c r="AT1839" s="11531"/>
      <c r="AU1839" s="11532"/>
      <c r="AV1839" s="11532"/>
      <c r="AW1839" s="11532"/>
      <c r="AX1839" s="11524"/>
      <c r="AY1839" s="11527"/>
      <c r="AZ1839" s="11532"/>
      <c r="BA1839" s="11524"/>
      <c r="BB1839" s="11526"/>
      <c r="BC1839" s="11527"/>
      <c r="BD1839" s="11533"/>
      <c r="BF1839" s="14574"/>
      <c r="BG1839" s="14574"/>
      <c r="BH1839" s="14574"/>
      <c r="BI1839" s="14574"/>
      <c r="BJ1839" s="14574"/>
      <c r="BK1839" s="11644"/>
      <c r="BL1839" s="14574"/>
      <c r="BM1839" s="14574"/>
      <c r="BN1839" s="14574"/>
    </row>
    <row r="1840" spans="1:66" ht="30" hidden="1" customHeight="1">
      <c r="A1840" s="13574"/>
      <c r="B1840" s="13566"/>
      <c r="C1840" s="13571"/>
      <c r="D1840" s="12708" t="s">
        <v>10070</v>
      </c>
      <c r="E1840" s="12709"/>
      <c r="F1840" s="12709" t="s">
        <v>10097</v>
      </c>
      <c r="G1840" s="13570"/>
      <c r="H1840" s="13394"/>
      <c r="I1840" s="12769"/>
      <c r="K1840" s="11524"/>
      <c r="L1840" s="11525"/>
      <c r="M1840" s="11525"/>
      <c r="N1840" s="11526"/>
      <c r="O1840" s="11526"/>
      <c r="P1840" s="11527"/>
      <c r="Q1840" s="11528"/>
      <c r="R1840" s="11529"/>
      <c r="S1840" s="11530"/>
      <c r="T1840" s="11531"/>
      <c r="U1840" s="11528"/>
      <c r="V1840" s="11529"/>
      <c r="W1840" s="11531"/>
      <c r="X1840" s="11529"/>
      <c r="Y1840" s="11531"/>
      <c r="Z1840" s="11529"/>
      <c r="AA1840" s="11530"/>
      <c r="AB1840" s="11530"/>
      <c r="AC1840" s="11530"/>
      <c r="AD1840" s="11530"/>
      <c r="AE1840" s="11530"/>
      <c r="AF1840" s="11531"/>
      <c r="AG1840" s="11529"/>
      <c r="AH1840" s="11530"/>
      <c r="AI1840" s="11530"/>
      <c r="AJ1840" s="11530"/>
      <c r="AK1840" s="11530"/>
      <c r="AL1840" s="11530"/>
      <c r="AM1840" s="11530"/>
      <c r="AN1840" s="11531"/>
      <c r="AO1840" s="11529"/>
      <c r="AP1840" s="11530"/>
      <c r="AQ1840" s="11530"/>
      <c r="AR1840" s="11530"/>
      <c r="AS1840" s="11530"/>
      <c r="AT1840" s="11531"/>
      <c r="AU1840" s="11532"/>
      <c r="AV1840" s="11532"/>
      <c r="AW1840" s="11532"/>
      <c r="AX1840" s="11524"/>
      <c r="AY1840" s="11527"/>
      <c r="AZ1840" s="11532"/>
      <c r="BA1840" s="11524"/>
      <c r="BB1840" s="11526"/>
      <c r="BC1840" s="11527"/>
      <c r="BD1840" s="11533"/>
      <c r="BF1840" s="14557"/>
      <c r="BG1840" s="14557"/>
      <c r="BH1840" s="14557"/>
      <c r="BI1840" s="14557"/>
      <c r="BJ1840" s="14557"/>
      <c r="BK1840" s="11038"/>
      <c r="BL1840" s="14557"/>
      <c r="BM1840" s="14557"/>
      <c r="BN1840" s="14557"/>
    </row>
    <row r="1841" spans="1:66" ht="30" hidden="1" customHeight="1">
      <c r="A1841" s="11521">
        <v>1150</v>
      </c>
      <c r="B1841" s="11522" t="s">
        <v>7678</v>
      </c>
      <c r="C1841" s="13571"/>
      <c r="D1841" s="12708" t="s">
        <v>10063</v>
      </c>
      <c r="E1841" s="12709" t="s">
        <v>2323</v>
      </c>
      <c r="F1841" s="12709"/>
      <c r="G1841" s="12710" t="s">
        <v>2608</v>
      </c>
      <c r="H1841" s="12711" t="s">
        <v>2609</v>
      </c>
      <c r="I1841" s="12714">
        <v>1</v>
      </c>
      <c r="K1841" s="11524"/>
      <c r="L1841" s="11525"/>
      <c r="M1841" s="11525"/>
      <c r="N1841" s="11526"/>
      <c r="O1841" s="11526"/>
      <c r="P1841" s="11527"/>
      <c r="Q1841" s="11528"/>
      <c r="R1841" s="11529"/>
      <c r="S1841" s="11530"/>
      <c r="T1841" s="11531"/>
      <c r="U1841" s="11528"/>
      <c r="V1841" s="11529"/>
      <c r="W1841" s="11531"/>
      <c r="X1841" s="11529"/>
      <c r="Y1841" s="11531"/>
      <c r="Z1841" s="11529"/>
      <c r="AA1841" s="11530"/>
      <c r="AB1841" s="11530"/>
      <c r="AC1841" s="11530"/>
      <c r="AD1841" s="11530"/>
      <c r="AE1841" s="11530"/>
      <c r="AF1841" s="11531"/>
      <c r="AG1841" s="11529"/>
      <c r="AH1841" s="11530"/>
      <c r="AI1841" s="11530"/>
      <c r="AJ1841" s="11530"/>
      <c r="AK1841" s="11530"/>
      <c r="AL1841" s="11530"/>
      <c r="AM1841" s="11530"/>
      <c r="AN1841" s="11531"/>
      <c r="AO1841" s="11529"/>
      <c r="AP1841" s="11530"/>
      <c r="AQ1841" s="11530"/>
      <c r="AR1841" s="11530"/>
      <c r="AS1841" s="11530"/>
      <c r="AT1841" s="11531"/>
      <c r="AU1841" s="11532"/>
      <c r="AV1841" s="11532"/>
      <c r="AW1841" s="11532"/>
      <c r="AX1841" s="11524"/>
      <c r="AY1841" s="11527"/>
      <c r="AZ1841" s="11532"/>
      <c r="BA1841" s="11524"/>
      <c r="BB1841" s="11526"/>
      <c r="BC1841" s="11527"/>
      <c r="BD1841" s="11533"/>
      <c r="BF1841" s="11523"/>
      <c r="BG1841" s="11523"/>
      <c r="BH1841" s="11523"/>
      <c r="BI1841" s="11523"/>
      <c r="BJ1841" s="11523"/>
      <c r="BK1841" s="11523"/>
      <c r="BL1841" s="11523"/>
      <c r="BM1841" s="11523"/>
      <c r="BN1841" s="11523"/>
    </row>
    <row r="1842" spans="1:66" ht="30" hidden="1" customHeight="1" thickBot="1">
      <c r="A1842" s="11534">
        <v>1151</v>
      </c>
      <c r="B1842" s="11535" t="s">
        <v>7679</v>
      </c>
      <c r="C1842" s="13572"/>
      <c r="D1842" s="12715" t="s">
        <v>10063</v>
      </c>
      <c r="E1842" s="12774" t="s">
        <v>2323</v>
      </c>
      <c r="F1842" s="12774"/>
      <c r="G1842" s="12716" t="s">
        <v>2610</v>
      </c>
      <c r="H1842" s="12717" t="s">
        <v>2611</v>
      </c>
      <c r="I1842" s="12775">
        <v>1</v>
      </c>
      <c r="K1842" s="11537"/>
      <c r="L1842" s="11538"/>
      <c r="M1842" s="11538"/>
      <c r="N1842" s="11539"/>
      <c r="O1842" s="11539"/>
      <c r="P1842" s="11540"/>
      <c r="Q1842" s="11541"/>
      <c r="R1842" s="11542"/>
      <c r="S1842" s="11543"/>
      <c r="T1842" s="11544"/>
      <c r="U1842" s="11541"/>
      <c r="V1842" s="11542"/>
      <c r="W1842" s="11544"/>
      <c r="X1842" s="11542"/>
      <c r="Y1842" s="11544"/>
      <c r="Z1842" s="11542"/>
      <c r="AA1842" s="11543"/>
      <c r="AB1842" s="11543"/>
      <c r="AC1842" s="11543"/>
      <c r="AD1842" s="11543"/>
      <c r="AE1842" s="11543"/>
      <c r="AF1842" s="11544"/>
      <c r="AG1842" s="11542"/>
      <c r="AH1842" s="11543"/>
      <c r="AI1842" s="11543"/>
      <c r="AJ1842" s="11543"/>
      <c r="AK1842" s="11543"/>
      <c r="AL1842" s="11543"/>
      <c r="AM1842" s="11543"/>
      <c r="AN1842" s="11544"/>
      <c r="AO1842" s="11542"/>
      <c r="AP1842" s="11543"/>
      <c r="AQ1842" s="11543"/>
      <c r="AR1842" s="11543"/>
      <c r="AS1842" s="11543"/>
      <c r="AT1842" s="11544"/>
      <c r="AU1842" s="11545"/>
      <c r="AV1842" s="11545"/>
      <c r="AW1842" s="11545"/>
      <c r="AX1842" s="11537"/>
      <c r="AY1842" s="11540"/>
      <c r="AZ1842" s="11545"/>
      <c r="BA1842" s="11537"/>
      <c r="BB1842" s="11539"/>
      <c r="BC1842" s="11540"/>
      <c r="BD1842" s="11546"/>
      <c r="BF1842" s="11536"/>
      <c r="BG1842" s="11536"/>
      <c r="BH1842" s="11536"/>
      <c r="BI1842" s="11536"/>
      <c r="BJ1842" s="11536"/>
      <c r="BK1842" s="11536"/>
      <c r="BL1842" s="11536"/>
      <c r="BM1842" s="11536"/>
      <c r="BN1842" s="11536"/>
    </row>
    <row r="1843" spans="1:66" ht="30" customHeight="1">
      <c r="BF1843" s="7919"/>
      <c r="BG1843" s="7919"/>
      <c r="BH1843" s="7919"/>
      <c r="BI1843" s="7919"/>
      <c r="BJ1843" s="7919"/>
      <c r="BK1843" s="7919"/>
      <c r="BL1843" s="7919"/>
      <c r="BM1843" s="7919"/>
      <c r="BN1843" s="7919"/>
    </row>
    <row r="1844" spans="1:66" ht="30" customHeight="1">
      <c r="BF1844" s="7919"/>
      <c r="BG1844" s="7919"/>
      <c r="BH1844" s="7919"/>
      <c r="BI1844" s="7919"/>
      <c r="BJ1844" s="7919"/>
      <c r="BK1844" s="7919"/>
      <c r="BL1844" s="7919"/>
      <c r="BM1844" s="7919"/>
      <c r="BN1844" s="7919"/>
    </row>
    <row r="1845" spans="1:66" ht="30" customHeight="1">
      <c r="BF1845" s="7919"/>
      <c r="BG1845" s="7919"/>
      <c r="BH1845" s="7919"/>
      <c r="BI1845" s="7919"/>
      <c r="BJ1845" s="7919"/>
      <c r="BK1845" s="7919"/>
      <c r="BL1845" s="7919"/>
      <c r="BM1845" s="7919"/>
      <c r="BN1845" s="7919"/>
    </row>
    <row r="1846" spans="1:66" ht="30" customHeight="1">
      <c r="BF1846" s="7919"/>
      <c r="BG1846" s="7919"/>
      <c r="BH1846" s="7919"/>
      <c r="BI1846" s="7919"/>
      <c r="BJ1846" s="7919"/>
      <c r="BK1846" s="7919"/>
      <c r="BL1846" s="7919"/>
      <c r="BM1846" s="7919"/>
      <c r="BN1846" s="7919"/>
    </row>
    <row r="1847" spans="1:66" ht="30" customHeight="1">
      <c r="BF1847" s="7919"/>
      <c r="BG1847" s="7919"/>
      <c r="BH1847" s="7919"/>
      <c r="BI1847" s="7919"/>
      <c r="BJ1847" s="7919"/>
      <c r="BK1847" s="7919"/>
      <c r="BL1847" s="7919"/>
      <c r="BM1847" s="7919"/>
      <c r="BN1847" s="7919"/>
    </row>
    <row r="1848" spans="1:66" ht="30" customHeight="1">
      <c r="BF1848" s="7919"/>
      <c r="BG1848" s="7919"/>
      <c r="BH1848" s="7919"/>
      <c r="BI1848" s="7919"/>
      <c r="BJ1848" s="7919"/>
      <c r="BK1848" s="7919"/>
      <c r="BL1848" s="7919"/>
      <c r="BM1848" s="7919"/>
      <c r="BN1848" s="7919"/>
    </row>
    <row r="1849" spans="1:66" ht="30" customHeight="1">
      <c r="BF1849" s="7919"/>
      <c r="BG1849" s="7919"/>
      <c r="BH1849" s="7919"/>
      <c r="BI1849" s="7919"/>
      <c r="BJ1849" s="7919"/>
      <c r="BK1849" s="7919"/>
      <c r="BL1849" s="7919"/>
      <c r="BM1849" s="7919"/>
      <c r="BN1849" s="7919"/>
    </row>
    <row r="1850" spans="1:66" ht="30" customHeight="1">
      <c r="BF1850" s="7919"/>
      <c r="BG1850" s="7919"/>
      <c r="BH1850" s="7919"/>
      <c r="BI1850" s="7919"/>
      <c r="BJ1850" s="7919"/>
      <c r="BK1850" s="7919"/>
      <c r="BL1850" s="7919"/>
      <c r="BM1850" s="7919"/>
      <c r="BN1850" s="7919"/>
    </row>
    <row r="1851" spans="1:66" ht="30" customHeight="1">
      <c r="BF1851" s="7919"/>
      <c r="BG1851" s="7919"/>
      <c r="BH1851" s="7919"/>
      <c r="BI1851" s="7919"/>
      <c r="BJ1851" s="7919"/>
      <c r="BK1851" s="7919"/>
      <c r="BL1851" s="7919"/>
      <c r="BM1851" s="7919"/>
      <c r="BN1851" s="7919"/>
    </row>
    <row r="1852" spans="1:66" ht="30" customHeight="1">
      <c r="BF1852" s="7919"/>
      <c r="BG1852" s="7919"/>
      <c r="BH1852" s="7919"/>
      <c r="BI1852" s="7919"/>
      <c r="BJ1852" s="7919"/>
      <c r="BK1852" s="7919"/>
      <c r="BL1852" s="7919"/>
      <c r="BM1852" s="7919"/>
      <c r="BN1852" s="7919"/>
    </row>
    <row r="1853" spans="1:66" ht="30" customHeight="1">
      <c r="BF1853" s="7919"/>
      <c r="BG1853" s="7919"/>
      <c r="BH1853" s="7919"/>
      <c r="BI1853" s="7919"/>
      <c r="BJ1853" s="7919"/>
      <c r="BK1853" s="7919"/>
      <c r="BL1853" s="7919"/>
      <c r="BM1853" s="7919"/>
      <c r="BN1853" s="7919"/>
    </row>
    <row r="1854" spans="1:66" ht="30" customHeight="1">
      <c r="BF1854" s="7919"/>
      <c r="BG1854" s="7919"/>
      <c r="BH1854" s="7919"/>
      <c r="BI1854" s="7919"/>
      <c r="BJ1854" s="7919"/>
      <c r="BK1854" s="7919"/>
      <c r="BL1854" s="7919"/>
      <c r="BM1854" s="7919"/>
      <c r="BN1854" s="7919"/>
    </row>
    <row r="1855" spans="1:66" ht="30" customHeight="1">
      <c r="BF1855" s="7919"/>
      <c r="BG1855" s="7919"/>
      <c r="BH1855" s="7919"/>
      <c r="BI1855" s="7919"/>
      <c r="BJ1855" s="7919"/>
      <c r="BK1855" s="7919"/>
      <c r="BL1855" s="7919"/>
      <c r="BM1855" s="7919"/>
      <c r="BN1855" s="7919"/>
    </row>
    <row r="1856" spans="1:66" ht="30" customHeight="1">
      <c r="BF1856" s="7919"/>
      <c r="BG1856" s="7919"/>
      <c r="BH1856" s="7919"/>
      <c r="BI1856" s="7919"/>
      <c r="BJ1856" s="7919"/>
      <c r="BK1856" s="7919"/>
      <c r="BL1856" s="7919"/>
      <c r="BM1856" s="7919"/>
      <c r="BN1856" s="7919"/>
    </row>
    <row r="1857" spans="58:66" ht="30" customHeight="1">
      <c r="BF1857" s="7919"/>
      <c r="BG1857" s="7919"/>
      <c r="BH1857" s="7919"/>
      <c r="BI1857" s="7919"/>
      <c r="BJ1857" s="7919"/>
      <c r="BK1857" s="7919"/>
      <c r="BL1857" s="7919"/>
      <c r="BM1857" s="7919"/>
      <c r="BN1857" s="7919"/>
    </row>
    <row r="1858" spans="58:66" ht="30" customHeight="1">
      <c r="BF1858" s="7919"/>
      <c r="BG1858" s="7919"/>
      <c r="BH1858" s="7919"/>
      <c r="BI1858" s="7919"/>
      <c r="BJ1858" s="7919"/>
      <c r="BK1858" s="7919"/>
      <c r="BL1858" s="7919"/>
      <c r="BM1858" s="7919"/>
      <c r="BN1858" s="7919"/>
    </row>
    <row r="1859" spans="58:66" ht="30" customHeight="1">
      <c r="BF1859" s="7919"/>
      <c r="BG1859" s="7919"/>
      <c r="BH1859" s="7919"/>
      <c r="BI1859" s="7919"/>
      <c r="BJ1859" s="7919"/>
      <c r="BK1859" s="7919"/>
      <c r="BL1859" s="7919"/>
      <c r="BM1859" s="7919"/>
      <c r="BN1859" s="7919"/>
    </row>
    <row r="1860" spans="58:66" ht="30" customHeight="1">
      <c r="BF1860" s="7919"/>
      <c r="BG1860" s="7919"/>
      <c r="BH1860" s="7919"/>
      <c r="BI1860" s="7919"/>
      <c r="BJ1860" s="7919"/>
      <c r="BK1860" s="7919"/>
      <c r="BL1860" s="7919"/>
      <c r="BM1860" s="7919"/>
      <c r="BN1860" s="7919"/>
    </row>
    <row r="1861" spans="58:66" ht="30" customHeight="1">
      <c r="BF1861" s="7919"/>
      <c r="BG1861" s="7919"/>
      <c r="BH1861" s="7919"/>
      <c r="BI1861" s="7919"/>
      <c r="BJ1861" s="7919"/>
      <c r="BK1861" s="7919"/>
      <c r="BL1861" s="7919"/>
      <c r="BM1861" s="7919"/>
      <c r="BN1861" s="7919"/>
    </row>
    <row r="1862" spans="58:66" ht="30" customHeight="1">
      <c r="BF1862" s="7919"/>
      <c r="BG1862" s="7919"/>
      <c r="BH1862" s="7919"/>
      <c r="BI1862" s="7919"/>
      <c r="BJ1862" s="7919"/>
      <c r="BK1862" s="7919"/>
      <c r="BL1862" s="7919"/>
      <c r="BM1862" s="7919"/>
      <c r="BN1862" s="7919"/>
    </row>
    <row r="1863" spans="58:66" ht="30" customHeight="1">
      <c r="BF1863" s="7919"/>
      <c r="BG1863" s="7919"/>
      <c r="BH1863" s="7919"/>
      <c r="BI1863" s="7919"/>
      <c r="BJ1863" s="7919"/>
      <c r="BK1863" s="7919"/>
      <c r="BL1863" s="7919"/>
      <c r="BM1863" s="7919"/>
      <c r="BN1863" s="7919"/>
    </row>
    <row r="1864" spans="58:66" ht="30" customHeight="1">
      <c r="BF1864" s="7919"/>
      <c r="BG1864" s="7919"/>
      <c r="BH1864" s="7919"/>
      <c r="BI1864" s="7919"/>
      <c r="BJ1864" s="7919"/>
      <c r="BK1864" s="7919"/>
      <c r="BL1864" s="7919"/>
      <c r="BM1864" s="7919"/>
      <c r="BN1864" s="7919"/>
    </row>
    <row r="1865" spans="58:66" ht="30" customHeight="1">
      <c r="BF1865" s="7919"/>
      <c r="BG1865" s="7919"/>
      <c r="BH1865" s="7919"/>
      <c r="BI1865" s="7919"/>
      <c r="BJ1865" s="7919"/>
      <c r="BK1865" s="7919"/>
      <c r="BL1865" s="7919"/>
      <c r="BM1865" s="7919"/>
      <c r="BN1865" s="7919"/>
    </row>
    <row r="1866" spans="58:66" ht="30" customHeight="1">
      <c r="BF1866" s="7919"/>
      <c r="BG1866" s="7919"/>
      <c r="BH1866" s="7919"/>
      <c r="BI1866" s="7919"/>
      <c r="BJ1866" s="7919"/>
      <c r="BK1866" s="7919"/>
      <c r="BL1866" s="7919"/>
      <c r="BM1866" s="7919"/>
      <c r="BN1866" s="7919"/>
    </row>
    <row r="1867" spans="58:66" ht="30" customHeight="1">
      <c r="BF1867" s="7919"/>
      <c r="BG1867" s="7919"/>
      <c r="BH1867" s="7919"/>
      <c r="BI1867" s="7919"/>
      <c r="BJ1867" s="7919"/>
      <c r="BK1867" s="7919"/>
      <c r="BL1867" s="7919"/>
      <c r="BM1867" s="7919"/>
      <c r="BN1867" s="7919"/>
    </row>
    <row r="1868" spans="58:66" ht="30" customHeight="1">
      <c r="BF1868" s="7919"/>
      <c r="BG1868" s="7919"/>
      <c r="BH1868" s="7919"/>
      <c r="BI1868" s="7919"/>
      <c r="BJ1868" s="7919"/>
      <c r="BK1868" s="7919"/>
      <c r="BL1868" s="7919"/>
      <c r="BM1868" s="7919"/>
      <c r="BN1868" s="7919"/>
    </row>
    <row r="1869" spans="58:66" ht="30" customHeight="1">
      <c r="BF1869" s="7919"/>
      <c r="BG1869" s="7919"/>
      <c r="BH1869" s="7919"/>
      <c r="BI1869" s="7919"/>
      <c r="BJ1869" s="7919"/>
      <c r="BK1869" s="7919"/>
      <c r="BL1869" s="7919"/>
      <c r="BM1869" s="7919"/>
      <c r="BN1869" s="7919"/>
    </row>
    <row r="1870" spans="58:66" ht="30" customHeight="1">
      <c r="BF1870" s="7919"/>
      <c r="BG1870" s="7919"/>
      <c r="BH1870" s="7919"/>
      <c r="BI1870" s="7919"/>
      <c r="BJ1870" s="7919"/>
      <c r="BK1870" s="7919"/>
      <c r="BL1870" s="7919"/>
      <c r="BM1870" s="7919"/>
      <c r="BN1870" s="7919"/>
    </row>
    <row r="1871" spans="58:66" ht="30" customHeight="1">
      <c r="BF1871" s="7919"/>
      <c r="BG1871" s="7919"/>
      <c r="BH1871" s="7919"/>
      <c r="BI1871" s="7919"/>
      <c r="BJ1871" s="7919"/>
      <c r="BK1871" s="7919"/>
      <c r="BL1871" s="7919"/>
      <c r="BM1871" s="7919"/>
      <c r="BN1871" s="7919"/>
    </row>
    <row r="1872" spans="58:66" ht="30" customHeight="1">
      <c r="BF1872" s="7919"/>
      <c r="BG1872" s="7919"/>
      <c r="BH1872" s="7919"/>
      <c r="BI1872" s="7919"/>
      <c r="BJ1872" s="7919"/>
      <c r="BK1872" s="7919"/>
      <c r="BL1872" s="7919"/>
      <c r="BM1872" s="7919"/>
      <c r="BN1872" s="7919"/>
    </row>
    <row r="1873" spans="58:66" ht="30" customHeight="1">
      <c r="BF1873" s="7919"/>
      <c r="BG1873" s="7919"/>
      <c r="BH1873" s="7919"/>
      <c r="BI1873" s="7919"/>
      <c r="BJ1873" s="7919"/>
      <c r="BK1873" s="7919"/>
      <c r="BL1873" s="7919"/>
      <c r="BM1873" s="7919"/>
      <c r="BN1873" s="7919"/>
    </row>
    <row r="1874" spans="58:66" ht="30" customHeight="1">
      <c r="BF1874" s="7919"/>
      <c r="BG1874" s="7919"/>
      <c r="BH1874" s="7919"/>
      <c r="BI1874" s="7919"/>
      <c r="BJ1874" s="7919"/>
      <c r="BK1874" s="7919"/>
      <c r="BL1874" s="7919"/>
      <c r="BM1874" s="7919"/>
      <c r="BN1874" s="7919"/>
    </row>
    <row r="1875" spans="58:66" ht="30" customHeight="1">
      <c r="BF1875" s="7919"/>
      <c r="BG1875" s="7919"/>
      <c r="BH1875" s="7919"/>
      <c r="BI1875" s="7919"/>
      <c r="BJ1875" s="7919"/>
      <c r="BK1875" s="7919"/>
      <c r="BL1875" s="7919"/>
      <c r="BM1875" s="7919"/>
      <c r="BN1875" s="7919"/>
    </row>
    <row r="1876" spans="58:66" ht="30" customHeight="1">
      <c r="BF1876" s="7919"/>
      <c r="BG1876" s="7919"/>
      <c r="BH1876" s="7919"/>
      <c r="BI1876" s="7919"/>
      <c r="BJ1876" s="7919"/>
      <c r="BK1876" s="7919"/>
      <c r="BL1876" s="7919"/>
      <c r="BM1876" s="7919"/>
      <c r="BN1876" s="7919"/>
    </row>
    <row r="1877" spans="58:66" ht="30" customHeight="1">
      <c r="BF1877" s="7919"/>
      <c r="BG1877" s="7919"/>
      <c r="BH1877" s="7919"/>
      <c r="BI1877" s="7919"/>
      <c r="BJ1877" s="7919"/>
      <c r="BK1877" s="7919"/>
      <c r="BL1877" s="7919"/>
      <c r="BM1877" s="7919"/>
      <c r="BN1877" s="7919"/>
    </row>
    <row r="1878" spans="58:66" ht="30" customHeight="1">
      <c r="BF1878" s="7919"/>
      <c r="BG1878" s="7919"/>
      <c r="BH1878" s="7919"/>
      <c r="BI1878" s="7919"/>
      <c r="BJ1878" s="7919"/>
      <c r="BK1878" s="7919"/>
      <c r="BL1878" s="7919"/>
      <c r="BM1878" s="7919"/>
      <c r="BN1878" s="7919"/>
    </row>
    <row r="1879" spans="58:66" ht="30" customHeight="1">
      <c r="BF1879" s="7919"/>
      <c r="BG1879" s="7919"/>
      <c r="BH1879" s="7919"/>
      <c r="BI1879" s="7919"/>
      <c r="BJ1879" s="7919"/>
      <c r="BK1879" s="7919"/>
      <c r="BL1879" s="7919"/>
      <c r="BM1879" s="7919"/>
      <c r="BN1879" s="7919"/>
    </row>
    <row r="1880" spans="58:66" ht="30" customHeight="1">
      <c r="BF1880" s="7919"/>
      <c r="BG1880" s="7919"/>
      <c r="BH1880" s="7919"/>
      <c r="BI1880" s="7919"/>
      <c r="BJ1880" s="7919"/>
      <c r="BK1880" s="7919"/>
      <c r="BL1880" s="7919"/>
      <c r="BM1880" s="7919"/>
      <c r="BN1880" s="7919"/>
    </row>
    <row r="1881" spans="58:66" ht="30" customHeight="1">
      <c r="BF1881" s="7919"/>
      <c r="BG1881" s="7919"/>
      <c r="BH1881" s="7919"/>
      <c r="BI1881" s="7919"/>
      <c r="BJ1881" s="7919"/>
      <c r="BK1881" s="7919"/>
      <c r="BL1881" s="7919"/>
      <c r="BM1881" s="7919"/>
      <c r="BN1881" s="7919"/>
    </row>
    <row r="1882" spans="58:66" ht="30" customHeight="1">
      <c r="BF1882" s="7919"/>
      <c r="BG1882" s="7919"/>
      <c r="BH1882" s="7919"/>
      <c r="BI1882" s="7919"/>
      <c r="BJ1882" s="7919"/>
      <c r="BK1882" s="7919"/>
      <c r="BL1882" s="7919"/>
      <c r="BM1882" s="7919"/>
      <c r="BN1882" s="7919"/>
    </row>
    <row r="1883" spans="58:66" ht="30" customHeight="1">
      <c r="BF1883" s="7919"/>
      <c r="BG1883" s="7919"/>
      <c r="BH1883" s="7919"/>
      <c r="BI1883" s="7919"/>
      <c r="BJ1883" s="7919"/>
      <c r="BK1883" s="7919"/>
      <c r="BL1883" s="7919"/>
      <c r="BM1883" s="7919"/>
      <c r="BN1883" s="7919"/>
    </row>
    <row r="1884" spans="58:66" ht="30" customHeight="1">
      <c r="BF1884" s="7919"/>
      <c r="BG1884" s="7919"/>
      <c r="BH1884" s="7919"/>
      <c r="BI1884" s="7919"/>
      <c r="BJ1884" s="7919"/>
      <c r="BK1884" s="7919"/>
      <c r="BL1884" s="7919"/>
      <c r="BM1884" s="7919"/>
      <c r="BN1884" s="7919"/>
    </row>
    <row r="1885" spans="58:66" ht="30" customHeight="1">
      <c r="BF1885" s="7919"/>
      <c r="BG1885" s="7919"/>
      <c r="BH1885" s="7919"/>
      <c r="BI1885" s="7919"/>
      <c r="BJ1885" s="7919"/>
      <c r="BK1885" s="7919"/>
      <c r="BL1885" s="7919"/>
      <c r="BM1885" s="7919"/>
      <c r="BN1885" s="7919"/>
    </row>
    <row r="1886" spans="58:66" ht="30" customHeight="1">
      <c r="BF1886" s="7919"/>
      <c r="BG1886" s="7919"/>
      <c r="BH1886" s="7919"/>
      <c r="BI1886" s="7919"/>
      <c r="BJ1886" s="7919"/>
      <c r="BK1886" s="7919"/>
      <c r="BL1886" s="7919"/>
      <c r="BM1886" s="7919"/>
      <c r="BN1886" s="7919"/>
    </row>
    <row r="1887" spans="58:66" ht="30" customHeight="1">
      <c r="BF1887" s="7919"/>
      <c r="BG1887" s="7919"/>
      <c r="BH1887" s="7919"/>
      <c r="BI1887" s="7919"/>
      <c r="BJ1887" s="7919"/>
      <c r="BK1887" s="7919"/>
      <c r="BL1887" s="7919"/>
      <c r="BM1887" s="7919"/>
      <c r="BN1887" s="7919"/>
    </row>
    <row r="1888" spans="58:66" ht="30" customHeight="1">
      <c r="BF1888" s="7919"/>
      <c r="BG1888" s="7919"/>
      <c r="BH1888" s="7919"/>
      <c r="BI1888" s="7919"/>
      <c r="BJ1888" s="7919"/>
      <c r="BK1888" s="7919"/>
      <c r="BL1888" s="7919"/>
      <c r="BM1888" s="7919"/>
      <c r="BN1888" s="7919"/>
    </row>
    <row r="1889" spans="58:66" ht="30" customHeight="1">
      <c r="BF1889" s="7919"/>
      <c r="BG1889" s="7919"/>
      <c r="BH1889" s="7919"/>
      <c r="BI1889" s="7919"/>
      <c r="BJ1889" s="7919"/>
      <c r="BK1889" s="7919"/>
      <c r="BL1889" s="7919"/>
      <c r="BM1889" s="7919"/>
      <c r="BN1889" s="7919"/>
    </row>
    <row r="1890" spans="58:66" ht="30" customHeight="1">
      <c r="BF1890" s="7919"/>
      <c r="BG1890" s="7919"/>
      <c r="BH1890" s="7919"/>
      <c r="BI1890" s="7919"/>
      <c r="BJ1890" s="7919"/>
      <c r="BK1890" s="7919"/>
      <c r="BL1890" s="7919"/>
      <c r="BM1890" s="7919"/>
      <c r="BN1890" s="7919"/>
    </row>
    <row r="1891" spans="58:66" ht="30" customHeight="1">
      <c r="BF1891" s="7919"/>
      <c r="BG1891" s="7919"/>
      <c r="BH1891" s="7919"/>
      <c r="BI1891" s="7919"/>
      <c r="BJ1891" s="7919"/>
      <c r="BK1891" s="7919"/>
      <c r="BL1891" s="7919"/>
      <c r="BM1891" s="7919"/>
      <c r="BN1891" s="7919"/>
    </row>
    <row r="1892" spans="58:66" ht="30" customHeight="1">
      <c r="BF1892" s="7919"/>
      <c r="BG1892" s="7919"/>
      <c r="BH1892" s="7919"/>
      <c r="BI1892" s="7919"/>
      <c r="BJ1892" s="7919"/>
      <c r="BK1892" s="7919"/>
      <c r="BL1892" s="7919"/>
      <c r="BM1892" s="7919"/>
      <c r="BN1892" s="7919"/>
    </row>
    <row r="1893" spans="58:66" ht="30" customHeight="1">
      <c r="BF1893" s="7919"/>
      <c r="BG1893" s="7919"/>
      <c r="BH1893" s="7919"/>
      <c r="BI1893" s="7919"/>
      <c r="BJ1893" s="7919"/>
      <c r="BK1893" s="7919"/>
      <c r="BL1893" s="7919"/>
      <c r="BM1893" s="7919"/>
      <c r="BN1893" s="7919"/>
    </row>
    <row r="1894" spans="58:66" ht="30" customHeight="1">
      <c r="BF1894" s="7919"/>
      <c r="BG1894" s="7919"/>
      <c r="BH1894" s="7919"/>
      <c r="BI1894" s="7919"/>
      <c r="BJ1894" s="7919"/>
      <c r="BK1894" s="7919"/>
      <c r="BL1894" s="7919"/>
      <c r="BM1894" s="7919"/>
      <c r="BN1894" s="7919"/>
    </row>
    <row r="1895" spans="58:66" ht="30" customHeight="1">
      <c r="BF1895" s="7919"/>
      <c r="BG1895" s="7919"/>
      <c r="BH1895" s="7919"/>
      <c r="BI1895" s="7919"/>
      <c r="BJ1895" s="7919"/>
      <c r="BK1895" s="7919"/>
      <c r="BL1895" s="7919"/>
      <c r="BM1895" s="7919"/>
      <c r="BN1895" s="7919"/>
    </row>
    <row r="1896" spans="58:66" ht="30" customHeight="1">
      <c r="BF1896" s="7919"/>
      <c r="BG1896" s="7919"/>
      <c r="BH1896" s="7919"/>
      <c r="BI1896" s="7919"/>
      <c r="BJ1896" s="7919"/>
      <c r="BK1896" s="7919"/>
      <c r="BL1896" s="7919"/>
      <c r="BM1896" s="7919"/>
      <c r="BN1896" s="7919"/>
    </row>
    <row r="1897" spans="58:66" ht="30" customHeight="1">
      <c r="BF1897" s="7919"/>
      <c r="BG1897" s="7919"/>
      <c r="BH1897" s="7919"/>
      <c r="BI1897" s="7919"/>
      <c r="BJ1897" s="7919"/>
      <c r="BK1897" s="7919"/>
      <c r="BL1897" s="7919"/>
      <c r="BM1897" s="7919"/>
      <c r="BN1897" s="7919"/>
    </row>
    <row r="1898" spans="58:66" ht="30" customHeight="1">
      <c r="BF1898" s="7919"/>
      <c r="BG1898" s="7919"/>
      <c r="BH1898" s="7919"/>
      <c r="BI1898" s="7919"/>
      <c r="BJ1898" s="7919"/>
      <c r="BK1898" s="7919"/>
      <c r="BL1898" s="7919"/>
      <c r="BM1898" s="7919"/>
      <c r="BN1898" s="7919"/>
    </row>
    <row r="1899" spans="58:66" ht="30" customHeight="1">
      <c r="BF1899" s="7919"/>
      <c r="BG1899" s="7919"/>
      <c r="BH1899" s="7919"/>
      <c r="BI1899" s="7919"/>
      <c r="BJ1899" s="7919"/>
      <c r="BK1899" s="7919"/>
      <c r="BL1899" s="7919"/>
      <c r="BM1899" s="7919"/>
      <c r="BN1899" s="7919"/>
    </row>
    <row r="1900" spans="58:66" ht="30" customHeight="1">
      <c r="BF1900" s="7919"/>
      <c r="BG1900" s="7919"/>
      <c r="BH1900" s="7919"/>
      <c r="BI1900" s="7919"/>
      <c r="BJ1900" s="7919"/>
      <c r="BK1900" s="7919"/>
      <c r="BL1900" s="7919"/>
      <c r="BM1900" s="7919"/>
      <c r="BN1900" s="7919"/>
    </row>
    <row r="1901" spans="58:66" ht="30" customHeight="1">
      <c r="BF1901" s="7919"/>
      <c r="BG1901" s="7919"/>
      <c r="BH1901" s="7919"/>
      <c r="BI1901" s="7919"/>
      <c r="BJ1901" s="7919"/>
      <c r="BK1901" s="7919"/>
      <c r="BL1901" s="7919"/>
      <c r="BM1901" s="7919"/>
      <c r="BN1901" s="7919"/>
    </row>
    <row r="1902" spans="58:66" ht="30" customHeight="1">
      <c r="BF1902" s="7919"/>
      <c r="BG1902" s="7919"/>
      <c r="BH1902" s="7919"/>
      <c r="BI1902" s="7919"/>
      <c r="BJ1902" s="7919"/>
      <c r="BK1902" s="7919"/>
      <c r="BL1902" s="7919"/>
      <c r="BM1902" s="7919"/>
      <c r="BN1902" s="7919"/>
    </row>
    <row r="1903" spans="58:66" ht="30" customHeight="1">
      <c r="BF1903" s="7919"/>
      <c r="BG1903" s="7919"/>
      <c r="BH1903" s="7919"/>
      <c r="BI1903" s="7919"/>
      <c r="BJ1903" s="7919"/>
      <c r="BK1903" s="7919"/>
      <c r="BL1903" s="7919"/>
      <c r="BM1903" s="7919"/>
      <c r="BN1903" s="7919"/>
    </row>
    <row r="1904" spans="58:66" ht="30" customHeight="1">
      <c r="BF1904" s="7919"/>
      <c r="BG1904" s="7919"/>
      <c r="BH1904" s="7919"/>
      <c r="BI1904" s="7919"/>
      <c r="BJ1904" s="7919"/>
      <c r="BK1904" s="7919"/>
      <c r="BL1904" s="7919"/>
      <c r="BM1904" s="7919"/>
      <c r="BN1904" s="7919"/>
    </row>
    <row r="1905" spans="58:66" ht="30" customHeight="1">
      <c r="BF1905" s="7919"/>
      <c r="BG1905" s="7919"/>
      <c r="BH1905" s="7919"/>
      <c r="BI1905" s="7919"/>
      <c r="BJ1905" s="7919"/>
      <c r="BK1905" s="7919"/>
      <c r="BL1905" s="7919"/>
      <c r="BM1905" s="7919"/>
      <c r="BN1905" s="7919"/>
    </row>
    <row r="1906" spans="58:66" ht="30" customHeight="1">
      <c r="BF1906" s="7919"/>
      <c r="BG1906" s="7919"/>
      <c r="BH1906" s="7919"/>
      <c r="BI1906" s="7919"/>
      <c r="BJ1906" s="7919"/>
      <c r="BK1906" s="7919"/>
      <c r="BL1906" s="7919"/>
      <c r="BM1906" s="7919"/>
      <c r="BN1906" s="7919"/>
    </row>
    <row r="1907" spans="58:66" ht="30" customHeight="1">
      <c r="BF1907" s="7919"/>
      <c r="BG1907" s="7919"/>
      <c r="BH1907" s="7919"/>
      <c r="BI1907" s="7919"/>
      <c r="BJ1907" s="7919"/>
      <c r="BK1907" s="7919"/>
      <c r="BL1907" s="7919"/>
      <c r="BM1907" s="7919"/>
      <c r="BN1907" s="7919"/>
    </row>
    <row r="1908" spans="58:66" ht="30" customHeight="1">
      <c r="BF1908" s="7919"/>
      <c r="BG1908" s="7919"/>
      <c r="BH1908" s="7919"/>
      <c r="BI1908" s="7919"/>
      <c r="BJ1908" s="7919"/>
      <c r="BK1908" s="7919"/>
      <c r="BL1908" s="7919"/>
      <c r="BM1908" s="7919"/>
      <c r="BN1908" s="7919"/>
    </row>
    <row r="1909" spans="58:66" ht="30" customHeight="1">
      <c r="BF1909" s="7919"/>
      <c r="BG1909" s="7919"/>
      <c r="BH1909" s="7919"/>
      <c r="BI1909" s="7919"/>
      <c r="BJ1909" s="7919"/>
      <c r="BK1909" s="7919"/>
      <c r="BL1909" s="7919"/>
      <c r="BM1909" s="7919"/>
      <c r="BN1909" s="7919"/>
    </row>
    <row r="1910" spans="58:66" ht="30" customHeight="1">
      <c r="BF1910" s="7919"/>
      <c r="BG1910" s="7919"/>
      <c r="BH1910" s="7919"/>
      <c r="BI1910" s="7919"/>
      <c r="BJ1910" s="7919"/>
      <c r="BK1910" s="7919"/>
      <c r="BL1910" s="7919"/>
      <c r="BM1910" s="7919"/>
      <c r="BN1910" s="7919"/>
    </row>
    <row r="1911" spans="58:66" ht="30" customHeight="1">
      <c r="BF1911" s="7919"/>
      <c r="BG1911" s="7919"/>
      <c r="BH1911" s="7919"/>
      <c r="BI1911" s="7919"/>
      <c r="BJ1911" s="7919"/>
      <c r="BK1911" s="7919"/>
      <c r="BL1911" s="7919"/>
      <c r="BM1911" s="7919"/>
      <c r="BN1911" s="7919"/>
    </row>
    <row r="1912" spans="58:66" ht="30" customHeight="1">
      <c r="BF1912" s="7919"/>
      <c r="BG1912" s="7919"/>
      <c r="BH1912" s="7919"/>
      <c r="BI1912" s="7919"/>
      <c r="BJ1912" s="7919"/>
      <c r="BK1912" s="7919"/>
      <c r="BL1912" s="7919"/>
      <c r="BM1912" s="7919"/>
      <c r="BN1912" s="7919"/>
    </row>
    <row r="1913" spans="58:66" ht="30" customHeight="1">
      <c r="BF1913" s="7919"/>
      <c r="BG1913" s="7919"/>
      <c r="BH1913" s="7919"/>
      <c r="BI1913" s="7919"/>
      <c r="BJ1913" s="7919"/>
      <c r="BK1913" s="7919"/>
      <c r="BL1913" s="7919"/>
      <c r="BM1913" s="7919"/>
      <c r="BN1913" s="7919"/>
    </row>
    <row r="1914" spans="58:66" ht="30" customHeight="1">
      <c r="BF1914" s="7919"/>
      <c r="BG1914" s="7919"/>
      <c r="BH1914" s="7919"/>
      <c r="BI1914" s="7919"/>
      <c r="BJ1914" s="7919"/>
      <c r="BK1914" s="7919"/>
      <c r="BL1914" s="7919"/>
      <c r="BM1914" s="7919"/>
      <c r="BN1914" s="7919"/>
    </row>
    <row r="1915" spans="58:66" ht="30" customHeight="1">
      <c r="BF1915" s="7919"/>
      <c r="BG1915" s="7919"/>
      <c r="BH1915" s="7919"/>
      <c r="BI1915" s="7919"/>
      <c r="BJ1915" s="7919"/>
      <c r="BK1915" s="7919"/>
      <c r="BL1915" s="7919"/>
      <c r="BM1915" s="7919"/>
      <c r="BN1915" s="7919"/>
    </row>
    <row r="1916" spans="58:66" ht="30" customHeight="1">
      <c r="BF1916" s="7919"/>
      <c r="BG1916" s="7919"/>
      <c r="BH1916" s="7919"/>
      <c r="BI1916" s="7919"/>
      <c r="BJ1916" s="7919"/>
      <c r="BK1916" s="7919"/>
      <c r="BL1916" s="7919"/>
      <c r="BM1916" s="7919"/>
      <c r="BN1916" s="7919"/>
    </row>
    <row r="1917" spans="58:66" ht="30" customHeight="1">
      <c r="BF1917" s="7919"/>
      <c r="BG1917" s="7919"/>
      <c r="BH1917" s="7919"/>
      <c r="BI1917" s="7919"/>
      <c r="BJ1917" s="7919"/>
      <c r="BK1917" s="7919"/>
      <c r="BL1917" s="7919"/>
      <c r="BM1917" s="7919"/>
      <c r="BN1917" s="7919"/>
    </row>
    <row r="1918" spans="58:66" ht="30" customHeight="1">
      <c r="BF1918" s="7919"/>
      <c r="BG1918" s="7919"/>
      <c r="BH1918" s="7919"/>
      <c r="BI1918" s="7919"/>
      <c r="BJ1918" s="7919"/>
      <c r="BK1918" s="7919"/>
      <c r="BL1918" s="7919"/>
      <c r="BM1918" s="7919"/>
      <c r="BN1918" s="7919"/>
    </row>
    <row r="1919" spans="58:66" ht="30" customHeight="1">
      <c r="BF1919" s="7919"/>
      <c r="BG1919" s="7919"/>
      <c r="BH1919" s="7919"/>
      <c r="BI1919" s="7919"/>
      <c r="BJ1919" s="7919"/>
      <c r="BK1919" s="7919"/>
      <c r="BL1919" s="7919"/>
      <c r="BM1919" s="7919"/>
      <c r="BN1919" s="7919"/>
    </row>
    <row r="1920" spans="58:66" ht="30" customHeight="1">
      <c r="BF1920" s="7919"/>
      <c r="BG1920" s="7919"/>
      <c r="BH1920" s="7919"/>
      <c r="BI1920" s="7919"/>
      <c r="BJ1920" s="7919"/>
      <c r="BK1920" s="7919"/>
      <c r="BL1920" s="7919"/>
      <c r="BM1920" s="7919"/>
      <c r="BN1920" s="7919"/>
    </row>
    <row r="1921" spans="58:66" ht="30" customHeight="1">
      <c r="BF1921" s="7919"/>
      <c r="BG1921" s="7919"/>
      <c r="BH1921" s="7919"/>
      <c r="BI1921" s="7919"/>
      <c r="BJ1921" s="7919"/>
      <c r="BK1921" s="7919"/>
      <c r="BL1921" s="7919"/>
      <c r="BM1921" s="7919"/>
      <c r="BN1921" s="7919"/>
    </row>
    <row r="1922" spans="58:66" ht="30" customHeight="1">
      <c r="BF1922" s="7919"/>
      <c r="BG1922" s="7919"/>
      <c r="BH1922" s="7919"/>
      <c r="BI1922" s="7919"/>
      <c r="BJ1922" s="7919"/>
      <c r="BK1922" s="7919"/>
      <c r="BL1922" s="7919"/>
      <c r="BM1922" s="7919"/>
      <c r="BN1922" s="7919"/>
    </row>
    <row r="1923" spans="58:66" ht="30" customHeight="1">
      <c r="BF1923" s="7919"/>
      <c r="BG1923" s="7919"/>
      <c r="BH1923" s="7919"/>
      <c r="BI1923" s="7919"/>
      <c r="BJ1923" s="7919"/>
      <c r="BK1923" s="7919"/>
      <c r="BL1923" s="7919"/>
      <c r="BM1923" s="7919"/>
      <c r="BN1923" s="7919"/>
    </row>
    <row r="1924" spans="58:66" ht="30" customHeight="1">
      <c r="BF1924" s="7919"/>
      <c r="BG1924" s="7919"/>
      <c r="BH1924" s="7919"/>
      <c r="BI1924" s="7919"/>
      <c r="BJ1924" s="7919"/>
      <c r="BK1924" s="7919"/>
      <c r="BL1924" s="7919"/>
      <c r="BM1924" s="7919"/>
      <c r="BN1924" s="7919"/>
    </row>
    <row r="1925" spans="58:66" ht="30" customHeight="1">
      <c r="BF1925" s="7919"/>
      <c r="BG1925" s="7919"/>
      <c r="BH1925" s="7919"/>
      <c r="BI1925" s="7919"/>
      <c r="BJ1925" s="7919"/>
      <c r="BK1925" s="7919"/>
      <c r="BL1925" s="7919"/>
      <c r="BM1925" s="7919"/>
      <c r="BN1925" s="7919"/>
    </row>
    <row r="1926" spans="58:66" ht="30" customHeight="1">
      <c r="BF1926" s="7919"/>
      <c r="BG1926" s="7919"/>
      <c r="BH1926" s="7919"/>
      <c r="BI1926" s="7919"/>
      <c r="BJ1926" s="7919"/>
      <c r="BK1926" s="7919"/>
      <c r="BL1926" s="7919"/>
      <c r="BM1926" s="7919"/>
      <c r="BN1926" s="7919"/>
    </row>
    <row r="1927" spans="58:66" ht="30" customHeight="1">
      <c r="BF1927" s="7919"/>
      <c r="BG1927" s="7919"/>
      <c r="BH1927" s="7919"/>
      <c r="BI1927" s="7919"/>
      <c r="BJ1927" s="7919"/>
      <c r="BK1927" s="7919"/>
      <c r="BL1927" s="7919"/>
      <c r="BM1927" s="7919"/>
      <c r="BN1927" s="7919"/>
    </row>
    <row r="1928" spans="58:66" ht="30" customHeight="1">
      <c r="BF1928" s="7919"/>
      <c r="BG1928" s="7919"/>
      <c r="BH1928" s="7919"/>
      <c r="BI1928" s="7919"/>
      <c r="BJ1928" s="7919"/>
      <c r="BK1928" s="7919"/>
      <c r="BL1928" s="7919"/>
      <c r="BM1928" s="7919"/>
      <c r="BN1928" s="7919"/>
    </row>
    <row r="1929" spans="58:66" ht="30" customHeight="1">
      <c r="BF1929" s="7919"/>
      <c r="BG1929" s="7919"/>
      <c r="BH1929" s="7919"/>
      <c r="BI1929" s="7919"/>
      <c r="BJ1929" s="7919"/>
      <c r="BK1929" s="7919"/>
      <c r="BL1929" s="7919"/>
      <c r="BM1929" s="7919"/>
      <c r="BN1929" s="7919"/>
    </row>
    <row r="1930" spans="58:66" ht="30" customHeight="1">
      <c r="BF1930" s="7919"/>
      <c r="BG1930" s="7919"/>
      <c r="BH1930" s="7919"/>
      <c r="BI1930" s="7919"/>
      <c r="BJ1930" s="7919"/>
      <c r="BK1930" s="7919"/>
      <c r="BL1930" s="7919"/>
      <c r="BM1930" s="7919"/>
      <c r="BN1930" s="7919"/>
    </row>
    <row r="1931" spans="58:66" ht="30" customHeight="1">
      <c r="BF1931" s="7919"/>
      <c r="BG1931" s="7919"/>
      <c r="BH1931" s="7919"/>
      <c r="BI1931" s="7919"/>
      <c r="BJ1931" s="7919"/>
      <c r="BK1931" s="7919"/>
      <c r="BL1931" s="7919"/>
      <c r="BM1931" s="7919"/>
      <c r="BN1931" s="7919"/>
    </row>
    <row r="1932" spans="58:66" ht="30" customHeight="1">
      <c r="BF1932" s="7919"/>
      <c r="BG1932" s="7919"/>
      <c r="BH1932" s="7919"/>
      <c r="BI1932" s="7919"/>
      <c r="BJ1932" s="7919"/>
      <c r="BK1932" s="7919"/>
      <c r="BL1932" s="7919"/>
      <c r="BM1932" s="7919"/>
      <c r="BN1932" s="7919"/>
    </row>
    <row r="1933" spans="58:66" ht="30" customHeight="1">
      <c r="BF1933" s="7919"/>
      <c r="BG1933" s="7919"/>
      <c r="BH1933" s="7919"/>
      <c r="BI1933" s="7919"/>
      <c r="BJ1933" s="7919"/>
      <c r="BK1933" s="7919"/>
      <c r="BL1933" s="7919"/>
      <c r="BM1933" s="7919"/>
      <c r="BN1933" s="7919"/>
    </row>
    <row r="1934" spans="58:66" ht="30" customHeight="1">
      <c r="BF1934" s="7919"/>
      <c r="BG1934" s="7919"/>
      <c r="BH1934" s="7919"/>
      <c r="BI1934" s="7919"/>
      <c r="BJ1934" s="7919"/>
      <c r="BK1934" s="7919"/>
      <c r="BL1934" s="7919"/>
      <c r="BM1934" s="7919"/>
      <c r="BN1934" s="7919"/>
    </row>
    <row r="1935" spans="58:66" ht="30" customHeight="1">
      <c r="BF1935" s="7919"/>
      <c r="BG1935" s="7919"/>
      <c r="BH1935" s="7919"/>
      <c r="BI1935" s="7919"/>
      <c r="BJ1935" s="7919"/>
      <c r="BK1935" s="7919"/>
      <c r="BL1935" s="7919"/>
      <c r="BM1935" s="7919"/>
      <c r="BN1935" s="7919"/>
    </row>
    <row r="1936" spans="58:66" ht="30" customHeight="1">
      <c r="BF1936" s="7919"/>
      <c r="BG1936" s="7919"/>
      <c r="BH1936" s="7919"/>
      <c r="BI1936" s="7919"/>
      <c r="BJ1936" s="7919"/>
      <c r="BK1936" s="7919"/>
      <c r="BL1936" s="7919"/>
      <c r="BM1936" s="7919"/>
      <c r="BN1936" s="7919"/>
    </row>
    <row r="1937" spans="58:66" ht="30" customHeight="1">
      <c r="BF1937" s="7919"/>
      <c r="BG1937" s="7919"/>
      <c r="BH1937" s="7919"/>
      <c r="BI1937" s="7919"/>
      <c r="BJ1937" s="7919"/>
      <c r="BK1937" s="7919"/>
      <c r="BL1937" s="7919"/>
      <c r="BM1937" s="7919"/>
      <c r="BN1937" s="7919"/>
    </row>
    <row r="1938" spans="58:66" ht="30" customHeight="1">
      <c r="BF1938" s="7919"/>
      <c r="BG1938" s="7919"/>
      <c r="BH1938" s="7919"/>
      <c r="BI1938" s="7919"/>
      <c r="BJ1938" s="7919"/>
      <c r="BK1938" s="7919"/>
      <c r="BL1938" s="7919"/>
      <c r="BM1938" s="7919"/>
      <c r="BN1938" s="7919"/>
    </row>
    <row r="1939" spans="58:66" ht="30" customHeight="1">
      <c r="BF1939" s="7919"/>
      <c r="BG1939" s="7919"/>
      <c r="BH1939" s="7919"/>
      <c r="BI1939" s="7919"/>
      <c r="BJ1939" s="7919"/>
      <c r="BK1939" s="7919"/>
      <c r="BL1939" s="7919"/>
      <c r="BM1939" s="7919"/>
      <c r="BN1939" s="7919"/>
    </row>
    <row r="1940" spans="58:66" ht="30" customHeight="1">
      <c r="BF1940" s="7919"/>
      <c r="BG1940" s="7919"/>
      <c r="BH1940" s="7919"/>
      <c r="BI1940" s="7919"/>
      <c r="BJ1940" s="7919"/>
      <c r="BK1940" s="7919"/>
      <c r="BL1940" s="7919"/>
      <c r="BM1940" s="7919"/>
      <c r="BN1940" s="7919"/>
    </row>
    <row r="1941" spans="58:66" ht="30" customHeight="1">
      <c r="BF1941" s="7919"/>
      <c r="BG1941" s="7919"/>
      <c r="BH1941" s="7919"/>
      <c r="BI1941" s="7919"/>
      <c r="BJ1941" s="7919"/>
      <c r="BK1941" s="7919"/>
      <c r="BL1941" s="7919"/>
      <c r="BM1941" s="7919"/>
      <c r="BN1941" s="7919"/>
    </row>
    <row r="1942" spans="58:66" ht="30" customHeight="1">
      <c r="BF1942" s="7919"/>
      <c r="BG1942" s="7919"/>
      <c r="BH1942" s="7919"/>
      <c r="BI1942" s="7919"/>
      <c r="BJ1942" s="7919"/>
      <c r="BK1942" s="7919"/>
      <c r="BL1942" s="7919"/>
      <c r="BM1942" s="7919"/>
      <c r="BN1942" s="7919"/>
    </row>
    <row r="1943" spans="58:66" ht="30" customHeight="1">
      <c r="BF1943" s="7919"/>
      <c r="BG1943" s="7919"/>
      <c r="BH1943" s="7919"/>
      <c r="BI1943" s="7919"/>
      <c r="BJ1943" s="7919"/>
      <c r="BK1943" s="7919"/>
      <c r="BL1943" s="7919"/>
      <c r="BM1943" s="7919"/>
      <c r="BN1943" s="7919"/>
    </row>
    <row r="1944" spans="58:66" ht="30" customHeight="1">
      <c r="BF1944" s="7919"/>
      <c r="BG1944" s="7919"/>
      <c r="BH1944" s="7919"/>
      <c r="BI1944" s="7919"/>
      <c r="BJ1944" s="7919"/>
      <c r="BK1944" s="7919"/>
      <c r="BL1944" s="7919"/>
      <c r="BM1944" s="7919"/>
      <c r="BN1944" s="7919"/>
    </row>
    <row r="1945" spans="58:66" ht="30" customHeight="1">
      <c r="BF1945" s="7919"/>
      <c r="BG1945" s="7919"/>
      <c r="BH1945" s="7919"/>
      <c r="BI1945" s="7919"/>
      <c r="BJ1945" s="7919"/>
      <c r="BK1945" s="7919"/>
      <c r="BL1945" s="7919"/>
      <c r="BM1945" s="7919"/>
      <c r="BN1945" s="7919"/>
    </row>
    <row r="1946" spans="58:66" ht="30" customHeight="1">
      <c r="BF1946" s="7919"/>
      <c r="BG1946" s="7919"/>
      <c r="BH1946" s="7919"/>
      <c r="BI1946" s="7919"/>
      <c r="BJ1946" s="7919"/>
      <c r="BK1946" s="7919"/>
      <c r="BL1946" s="7919"/>
      <c r="BM1946" s="7919"/>
      <c r="BN1946" s="7919"/>
    </row>
    <row r="1947" spans="58:66" ht="30" customHeight="1">
      <c r="BF1947" s="7919"/>
      <c r="BG1947" s="7919"/>
      <c r="BH1947" s="7919"/>
      <c r="BI1947" s="7919"/>
      <c r="BJ1947" s="7919"/>
      <c r="BK1947" s="7919"/>
      <c r="BL1947" s="7919"/>
      <c r="BM1947" s="7919"/>
      <c r="BN1947" s="7919"/>
    </row>
    <row r="1948" spans="58:66" ht="30" customHeight="1">
      <c r="BF1948" s="7919"/>
      <c r="BG1948" s="7919"/>
      <c r="BH1948" s="7919"/>
      <c r="BI1948" s="7919"/>
      <c r="BJ1948" s="7919"/>
      <c r="BK1948" s="7919"/>
      <c r="BL1948" s="7919"/>
      <c r="BM1948" s="7919"/>
      <c r="BN1948" s="7919"/>
    </row>
    <row r="1949" spans="58:66" ht="30" customHeight="1">
      <c r="BF1949" s="7919"/>
      <c r="BG1949" s="7919"/>
      <c r="BH1949" s="7919"/>
      <c r="BI1949" s="7919"/>
      <c r="BJ1949" s="7919"/>
      <c r="BK1949" s="7919"/>
      <c r="BL1949" s="7919"/>
      <c r="BM1949" s="7919"/>
      <c r="BN1949" s="7919"/>
    </row>
    <row r="1950" spans="58:66" ht="30" customHeight="1">
      <c r="BF1950" s="7919"/>
      <c r="BG1950" s="7919"/>
      <c r="BH1950" s="7919"/>
      <c r="BI1950" s="7919"/>
      <c r="BJ1950" s="7919"/>
      <c r="BK1950" s="7919"/>
      <c r="BL1950" s="7919"/>
      <c r="BM1950" s="7919"/>
      <c r="BN1950" s="7919"/>
    </row>
    <row r="1951" spans="58:66" ht="30" customHeight="1">
      <c r="BF1951" s="7919"/>
      <c r="BG1951" s="7919"/>
      <c r="BH1951" s="7919"/>
      <c r="BI1951" s="7919"/>
      <c r="BJ1951" s="7919"/>
      <c r="BK1951" s="7919"/>
      <c r="BL1951" s="7919"/>
      <c r="BM1951" s="7919"/>
      <c r="BN1951" s="7919"/>
    </row>
    <row r="1952" spans="58:66" ht="30" customHeight="1">
      <c r="BF1952" s="7919"/>
      <c r="BG1952" s="7919"/>
      <c r="BH1952" s="7919"/>
      <c r="BI1952" s="7919"/>
      <c r="BJ1952" s="7919"/>
      <c r="BK1952" s="7919"/>
      <c r="BL1952" s="7919"/>
      <c r="BM1952" s="7919"/>
      <c r="BN1952" s="7919"/>
    </row>
    <row r="1953" spans="58:66" ht="30" customHeight="1">
      <c r="BF1953" s="7919"/>
      <c r="BG1953" s="7919"/>
      <c r="BH1953" s="7919"/>
      <c r="BI1953" s="7919"/>
      <c r="BJ1953" s="7919"/>
      <c r="BK1953" s="7919"/>
      <c r="BL1953" s="7919"/>
      <c r="BM1953" s="7919"/>
      <c r="BN1953" s="7919"/>
    </row>
    <row r="1954" spans="58:66" ht="30" customHeight="1">
      <c r="BF1954" s="7919"/>
      <c r="BG1954" s="7919"/>
      <c r="BH1954" s="7919"/>
      <c r="BI1954" s="7919"/>
      <c r="BJ1954" s="7919"/>
      <c r="BK1954" s="7919"/>
      <c r="BL1954" s="7919"/>
      <c r="BM1954" s="7919"/>
      <c r="BN1954" s="7919"/>
    </row>
    <row r="1955" spans="58:66" ht="30" customHeight="1">
      <c r="BF1955" s="7919"/>
      <c r="BG1955" s="7919"/>
      <c r="BH1955" s="7919"/>
      <c r="BI1955" s="7919"/>
      <c r="BJ1955" s="7919"/>
      <c r="BK1955" s="7919"/>
      <c r="BL1955" s="7919"/>
      <c r="BM1955" s="7919"/>
      <c r="BN1955" s="7919"/>
    </row>
    <row r="1956" spans="58:66" ht="30" customHeight="1">
      <c r="BF1956" s="7919"/>
      <c r="BG1956" s="7919"/>
      <c r="BH1956" s="7919"/>
      <c r="BI1956" s="7919"/>
      <c r="BJ1956" s="7919"/>
      <c r="BK1956" s="7919"/>
      <c r="BL1956" s="7919"/>
      <c r="BM1956" s="7919"/>
      <c r="BN1956" s="7919"/>
    </row>
    <row r="1957" spans="58:66" ht="30" customHeight="1">
      <c r="BF1957" s="7919"/>
      <c r="BG1957" s="7919"/>
      <c r="BH1957" s="7919"/>
      <c r="BI1957" s="7919"/>
      <c r="BJ1957" s="7919"/>
      <c r="BK1957" s="7919"/>
      <c r="BL1957" s="7919"/>
      <c r="BM1957" s="7919"/>
      <c r="BN1957" s="7919"/>
    </row>
    <row r="1958" spans="58:66" ht="30" customHeight="1">
      <c r="BF1958" s="7919"/>
      <c r="BG1958" s="7919"/>
      <c r="BH1958" s="7919"/>
      <c r="BI1958" s="7919"/>
      <c r="BJ1958" s="7919"/>
      <c r="BK1958" s="7919"/>
      <c r="BL1958" s="7919"/>
      <c r="BM1958" s="7919"/>
      <c r="BN1958" s="7919"/>
    </row>
    <row r="1959" spans="58:66" ht="30" customHeight="1">
      <c r="BF1959" s="7919"/>
      <c r="BG1959" s="7919"/>
      <c r="BH1959" s="7919"/>
      <c r="BI1959" s="7919"/>
      <c r="BJ1959" s="7919"/>
      <c r="BK1959" s="7919"/>
      <c r="BL1959" s="7919"/>
      <c r="BM1959" s="7919"/>
      <c r="BN1959" s="7919"/>
    </row>
    <row r="1960" spans="58:66" ht="30" customHeight="1">
      <c r="BF1960" s="7919"/>
      <c r="BG1960" s="7919"/>
      <c r="BH1960" s="7919"/>
      <c r="BI1960" s="7919"/>
      <c r="BJ1960" s="7919"/>
      <c r="BK1960" s="7919"/>
      <c r="BL1960" s="7919"/>
      <c r="BM1960" s="7919"/>
      <c r="BN1960" s="7919"/>
    </row>
    <row r="1961" spans="58:66" ht="30" customHeight="1">
      <c r="BF1961" s="7919"/>
      <c r="BG1961" s="7919"/>
      <c r="BH1961" s="7919"/>
      <c r="BI1961" s="7919"/>
      <c r="BJ1961" s="7919"/>
      <c r="BK1961" s="7919"/>
      <c r="BL1961" s="7919"/>
      <c r="BM1961" s="7919"/>
      <c r="BN1961" s="7919"/>
    </row>
    <row r="1962" spans="58:66" ht="30" customHeight="1">
      <c r="BF1962" s="7919"/>
      <c r="BG1962" s="7919"/>
      <c r="BH1962" s="7919"/>
      <c r="BI1962" s="7919"/>
      <c r="BJ1962" s="7919"/>
      <c r="BK1962" s="7919"/>
      <c r="BL1962" s="7919"/>
      <c r="BM1962" s="7919"/>
      <c r="BN1962" s="7919"/>
    </row>
    <row r="1963" spans="58:66" ht="30" customHeight="1">
      <c r="BF1963" s="7919"/>
      <c r="BG1963" s="7919"/>
      <c r="BH1963" s="7919"/>
      <c r="BI1963" s="7919"/>
      <c r="BJ1963" s="7919"/>
      <c r="BK1963" s="7919"/>
      <c r="BL1963" s="7919"/>
      <c r="BM1963" s="7919"/>
      <c r="BN1963" s="7919"/>
    </row>
    <row r="1964" spans="58:66" ht="30" customHeight="1">
      <c r="BF1964" s="7919"/>
      <c r="BG1964" s="7919"/>
      <c r="BH1964" s="7919"/>
      <c r="BI1964" s="7919"/>
      <c r="BJ1964" s="7919"/>
      <c r="BK1964" s="7919"/>
      <c r="BL1964" s="7919"/>
      <c r="BM1964" s="7919"/>
      <c r="BN1964" s="7919"/>
    </row>
    <row r="1965" spans="58:66" ht="30" customHeight="1">
      <c r="BF1965" s="7919"/>
      <c r="BG1965" s="7919"/>
      <c r="BH1965" s="7919"/>
      <c r="BI1965" s="7919"/>
      <c r="BJ1965" s="7919"/>
      <c r="BK1965" s="7919"/>
      <c r="BL1965" s="7919"/>
      <c r="BM1965" s="7919"/>
      <c r="BN1965" s="7919"/>
    </row>
    <row r="1966" spans="58:66" ht="30" customHeight="1">
      <c r="BF1966" s="7919"/>
      <c r="BG1966" s="7919"/>
      <c r="BH1966" s="7919"/>
      <c r="BI1966" s="7919"/>
      <c r="BJ1966" s="7919"/>
      <c r="BK1966" s="7919"/>
      <c r="BL1966" s="7919"/>
      <c r="BM1966" s="7919"/>
      <c r="BN1966" s="7919"/>
    </row>
    <row r="1967" spans="58:66" ht="30" customHeight="1">
      <c r="BF1967" s="7919"/>
      <c r="BG1967" s="7919"/>
      <c r="BH1967" s="7919"/>
      <c r="BI1967" s="7919"/>
      <c r="BJ1967" s="7919"/>
      <c r="BK1967" s="7919"/>
      <c r="BL1967" s="7919"/>
      <c r="BM1967" s="7919"/>
      <c r="BN1967" s="7919"/>
    </row>
    <row r="1968" spans="58:66" ht="30" customHeight="1">
      <c r="BF1968" s="7919"/>
      <c r="BG1968" s="7919"/>
      <c r="BH1968" s="7919"/>
      <c r="BI1968" s="7919"/>
      <c r="BJ1968" s="7919"/>
      <c r="BK1968" s="7919"/>
      <c r="BL1968" s="7919"/>
      <c r="BM1968" s="7919"/>
      <c r="BN1968" s="7919"/>
    </row>
    <row r="1969" spans="58:66" ht="30" customHeight="1">
      <c r="BF1969" s="7919"/>
      <c r="BG1969" s="7919"/>
      <c r="BH1969" s="7919"/>
      <c r="BI1969" s="7919"/>
      <c r="BJ1969" s="7919"/>
      <c r="BK1969" s="7919"/>
      <c r="BL1969" s="7919"/>
      <c r="BM1969" s="7919"/>
      <c r="BN1969" s="7919"/>
    </row>
    <row r="1970" spans="58:66" ht="30" customHeight="1">
      <c r="BF1970" s="7919"/>
      <c r="BG1970" s="7919"/>
      <c r="BH1970" s="7919"/>
      <c r="BI1970" s="7919"/>
      <c r="BJ1970" s="7919"/>
      <c r="BK1970" s="7919"/>
      <c r="BL1970" s="7919"/>
      <c r="BM1970" s="7919"/>
      <c r="BN1970" s="7919"/>
    </row>
    <row r="1971" spans="58:66" ht="30" customHeight="1">
      <c r="BF1971" s="7919"/>
      <c r="BG1971" s="7919"/>
      <c r="BH1971" s="7919"/>
      <c r="BI1971" s="7919"/>
      <c r="BJ1971" s="7919"/>
      <c r="BK1971" s="7919"/>
      <c r="BL1971" s="7919"/>
      <c r="BM1971" s="7919"/>
      <c r="BN1971" s="7919"/>
    </row>
    <row r="1972" spans="58:66" ht="30" customHeight="1">
      <c r="BF1972" s="7919"/>
      <c r="BG1972" s="7919"/>
      <c r="BH1972" s="7919"/>
      <c r="BI1972" s="7919"/>
      <c r="BJ1972" s="7919"/>
      <c r="BK1972" s="7919"/>
      <c r="BL1972" s="7919"/>
      <c r="BM1972" s="7919"/>
      <c r="BN1972" s="7919"/>
    </row>
    <row r="1973" spans="58:66" ht="30" customHeight="1">
      <c r="BF1973" s="7919"/>
      <c r="BG1973" s="7919"/>
      <c r="BH1973" s="7919"/>
      <c r="BI1973" s="7919"/>
      <c r="BJ1973" s="7919"/>
      <c r="BK1973" s="7919"/>
      <c r="BL1973" s="7919"/>
      <c r="BM1973" s="7919"/>
      <c r="BN1973" s="7919"/>
    </row>
    <row r="1974" spans="58:66" ht="30" customHeight="1">
      <c r="BF1974" s="7919"/>
      <c r="BG1974" s="7919"/>
      <c r="BH1974" s="7919"/>
      <c r="BI1974" s="7919"/>
      <c r="BJ1974" s="7919"/>
      <c r="BK1974" s="7919"/>
      <c r="BL1974" s="7919"/>
      <c r="BM1974" s="7919"/>
      <c r="BN1974" s="7919"/>
    </row>
    <row r="1975" spans="58:66" ht="30" customHeight="1">
      <c r="BF1975" s="7919"/>
      <c r="BG1975" s="7919"/>
      <c r="BH1975" s="7919"/>
      <c r="BI1975" s="7919"/>
      <c r="BJ1975" s="7919"/>
      <c r="BK1975" s="7919"/>
      <c r="BL1975" s="7919"/>
      <c r="BM1975" s="7919"/>
      <c r="BN1975" s="7919"/>
    </row>
    <row r="1976" spans="58:66" ht="30" customHeight="1">
      <c r="BF1976" s="7919"/>
      <c r="BG1976" s="7919"/>
      <c r="BH1976" s="7919"/>
      <c r="BI1976" s="7919"/>
      <c r="BJ1976" s="7919"/>
      <c r="BK1976" s="7919"/>
      <c r="BL1976" s="7919"/>
      <c r="BM1976" s="7919"/>
      <c r="BN1976" s="7919"/>
    </row>
    <row r="1977" spans="58:66" ht="30" customHeight="1">
      <c r="BF1977" s="7919"/>
      <c r="BG1977" s="7919"/>
      <c r="BH1977" s="7919"/>
      <c r="BI1977" s="7919"/>
      <c r="BJ1977" s="7919"/>
      <c r="BK1977" s="7919"/>
      <c r="BL1977" s="7919"/>
      <c r="BM1977" s="7919"/>
      <c r="BN1977" s="7919"/>
    </row>
    <row r="1978" spans="58:66" ht="30" customHeight="1">
      <c r="BF1978" s="7919"/>
      <c r="BG1978" s="7919"/>
      <c r="BH1978" s="7919"/>
      <c r="BI1978" s="7919"/>
      <c r="BJ1978" s="7919"/>
      <c r="BK1978" s="7919"/>
      <c r="BL1978" s="7919"/>
      <c r="BM1978" s="7919"/>
      <c r="BN1978" s="7919"/>
    </row>
    <row r="1979" spans="58:66" ht="30" customHeight="1">
      <c r="BF1979" s="7919"/>
      <c r="BG1979" s="7919"/>
      <c r="BH1979" s="7919"/>
      <c r="BI1979" s="7919"/>
      <c r="BJ1979" s="7919"/>
      <c r="BK1979" s="7919"/>
      <c r="BL1979" s="7919"/>
      <c r="BM1979" s="7919"/>
      <c r="BN1979" s="7919"/>
    </row>
    <row r="1980" spans="58:66" ht="30" customHeight="1">
      <c r="BF1980" s="7919"/>
      <c r="BG1980" s="7919"/>
      <c r="BH1980" s="7919"/>
      <c r="BI1980" s="7919"/>
      <c r="BJ1980" s="7919"/>
      <c r="BK1980" s="7919"/>
      <c r="BL1980" s="7919"/>
      <c r="BM1980" s="7919"/>
      <c r="BN1980" s="7919"/>
    </row>
    <row r="1981" spans="58:66" ht="30" customHeight="1">
      <c r="BF1981" s="7919"/>
      <c r="BG1981" s="7919"/>
      <c r="BH1981" s="7919"/>
      <c r="BI1981" s="7919"/>
      <c r="BJ1981" s="7919"/>
      <c r="BK1981" s="7919"/>
      <c r="BL1981" s="7919"/>
      <c r="BM1981" s="7919"/>
      <c r="BN1981" s="7919"/>
    </row>
    <row r="1982" spans="58:66" ht="30" customHeight="1">
      <c r="BF1982" s="7919"/>
      <c r="BG1982" s="7919"/>
      <c r="BH1982" s="7919"/>
      <c r="BI1982" s="7919"/>
      <c r="BJ1982" s="7919"/>
      <c r="BK1982" s="7919"/>
      <c r="BL1982" s="7919"/>
      <c r="BM1982" s="7919"/>
      <c r="BN1982" s="7919"/>
    </row>
    <row r="1983" spans="58:66" ht="30" customHeight="1">
      <c r="BF1983" s="7919"/>
      <c r="BG1983" s="7919"/>
      <c r="BH1983" s="7919"/>
      <c r="BI1983" s="7919"/>
      <c r="BJ1983" s="7919"/>
      <c r="BK1983" s="7919"/>
      <c r="BL1983" s="7919"/>
      <c r="BM1983" s="7919"/>
      <c r="BN1983" s="7919"/>
    </row>
    <row r="1984" spans="58:66" ht="30" customHeight="1">
      <c r="BF1984" s="7919"/>
      <c r="BG1984" s="7919"/>
      <c r="BH1984" s="7919"/>
      <c r="BI1984" s="7919"/>
      <c r="BJ1984" s="7919"/>
      <c r="BK1984" s="7919"/>
      <c r="BL1984" s="7919"/>
      <c r="BM1984" s="7919"/>
      <c r="BN1984" s="7919"/>
    </row>
    <row r="1985" spans="58:66" ht="30" customHeight="1">
      <c r="BF1985" s="7919"/>
      <c r="BG1985" s="7919"/>
      <c r="BH1985" s="7919"/>
      <c r="BI1985" s="7919"/>
      <c r="BJ1985" s="7919"/>
      <c r="BK1985" s="7919"/>
      <c r="BL1985" s="7919"/>
      <c r="BM1985" s="7919"/>
      <c r="BN1985" s="7919"/>
    </row>
    <row r="1986" spans="58:66" ht="30" customHeight="1">
      <c r="BF1986" s="7919"/>
      <c r="BG1986" s="7919"/>
      <c r="BH1986" s="7919"/>
      <c r="BI1986" s="7919"/>
      <c r="BJ1986" s="7919"/>
      <c r="BK1986" s="7919"/>
      <c r="BL1986" s="7919"/>
      <c r="BM1986" s="7919"/>
      <c r="BN1986" s="7919"/>
    </row>
    <row r="1987" spans="58:66" ht="30" customHeight="1">
      <c r="BF1987" s="7919"/>
      <c r="BG1987" s="7919"/>
      <c r="BH1987" s="7919"/>
      <c r="BI1987" s="7919"/>
      <c r="BJ1987" s="7919"/>
      <c r="BK1987" s="7919"/>
      <c r="BL1987" s="7919"/>
      <c r="BM1987" s="7919"/>
      <c r="BN1987" s="7919"/>
    </row>
    <row r="1988" spans="58:66" ht="30" customHeight="1">
      <c r="BF1988" s="7919"/>
      <c r="BG1988" s="7919"/>
      <c r="BH1988" s="7919"/>
      <c r="BI1988" s="7919"/>
      <c r="BJ1988" s="7919"/>
      <c r="BK1988" s="7919"/>
      <c r="BL1988" s="7919"/>
      <c r="BM1988" s="7919"/>
      <c r="BN1988" s="7919"/>
    </row>
    <row r="1989" spans="58:66" ht="30" customHeight="1">
      <c r="BF1989" s="7919"/>
      <c r="BG1989" s="7919"/>
      <c r="BH1989" s="7919"/>
      <c r="BI1989" s="7919"/>
      <c r="BJ1989" s="7919"/>
      <c r="BK1989" s="7919"/>
      <c r="BL1989" s="7919"/>
      <c r="BM1989" s="7919"/>
      <c r="BN1989" s="7919"/>
    </row>
    <row r="1990" spans="58:66" ht="30" customHeight="1">
      <c r="BF1990" s="7919"/>
      <c r="BG1990" s="7919"/>
      <c r="BH1990" s="7919"/>
      <c r="BI1990" s="7919"/>
      <c r="BJ1990" s="7919"/>
      <c r="BK1990" s="7919"/>
      <c r="BL1990" s="7919"/>
      <c r="BM1990" s="7919"/>
      <c r="BN1990" s="7919"/>
    </row>
    <row r="1991" spans="58:66" ht="30" customHeight="1">
      <c r="BF1991" s="7919"/>
      <c r="BG1991" s="7919"/>
      <c r="BH1991" s="7919"/>
      <c r="BI1991" s="7919"/>
      <c r="BJ1991" s="7919"/>
      <c r="BK1991" s="7919"/>
      <c r="BL1991" s="7919"/>
      <c r="BM1991" s="7919"/>
      <c r="BN1991" s="7919"/>
    </row>
    <row r="1992" spans="58:66" ht="30" customHeight="1">
      <c r="BF1992" s="7919"/>
      <c r="BG1992" s="7919"/>
      <c r="BH1992" s="7919"/>
      <c r="BI1992" s="7919"/>
      <c r="BJ1992" s="7919"/>
      <c r="BK1992" s="7919"/>
      <c r="BL1992" s="7919"/>
      <c r="BM1992" s="7919"/>
      <c r="BN1992" s="7919"/>
    </row>
    <row r="1993" spans="58:66" ht="30" customHeight="1">
      <c r="BF1993" s="7919"/>
      <c r="BG1993" s="7919"/>
      <c r="BH1993" s="7919"/>
      <c r="BI1993" s="7919"/>
      <c r="BJ1993" s="7919"/>
      <c r="BK1993" s="7919"/>
      <c r="BL1993" s="7919"/>
      <c r="BM1993" s="7919"/>
      <c r="BN1993" s="7919"/>
    </row>
    <row r="1994" spans="58:66" ht="30" customHeight="1">
      <c r="BF1994" s="7919"/>
      <c r="BG1994" s="7919"/>
      <c r="BH1994" s="7919"/>
      <c r="BI1994" s="7919"/>
      <c r="BJ1994" s="7919"/>
      <c r="BK1994" s="7919"/>
      <c r="BL1994" s="7919"/>
      <c r="BM1994" s="7919"/>
      <c r="BN1994" s="7919"/>
    </row>
    <row r="1995" spans="58:66" ht="30" customHeight="1">
      <c r="BF1995" s="7919"/>
      <c r="BG1995" s="7919"/>
      <c r="BH1995" s="7919"/>
      <c r="BI1995" s="7919"/>
      <c r="BJ1995" s="7919"/>
      <c r="BK1995" s="7919"/>
      <c r="BL1995" s="7919"/>
      <c r="BM1995" s="7919"/>
      <c r="BN1995" s="7919"/>
    </row>
    <row r="1996" spans="58:66" ht="30" customHeight="1">
      <c r="BF1996" s="7919"/>
      <c r="BG1996" s="7919"/>
      <c r="BH1996" s="7919"/>
      <c r="BI1996" s="7919"/>
      <c r="BJ1996" s="7919"/>
      <c r="BK1996" s="7919"/>
      <c r="BL1996" s="7919"/>
      <c r="BM1996" s="7919"/>
      <c r="BN1996" s="7919"/>
    </row>
    <row r="1997" spans="58:66" ht="30" customHeight="1">
      <c r="BF1997" s="7919"/>
      <c r="BG1997" s="7919"/>
      <c r="BH1997" s="7919"/>
      <c r="BI1997" s="7919"/>
      <c r="BJ1997" s="7919"/>
      <c r="BK1997" s="7919"/>
      <c r="BL1997" s="7919"/>
      <c r="BM1997" s="7919"/>
      <c r="BN1997" s="7919"/>
    </row>
    <row r="1998" spans="58:66" ht="30" customHeight="1">
      <c r="BF1998" s="7919"/>
      <c r="BG1998" s="7919"/>
      <c r="BH1998" s="7919"/>
      <c r="BI1998" s="7919"/>
      <c r="BJ1998" s="7919"/>
      <c r="BK1998" s="7919"/>
      <c r="BL1998" s="7919"/>
      <c r="BM1998" s="7919"/>
      <c r="BN1998" s="7919"/>
    </row>
    <row r="1999" spans="58:66" ht="30" customHeight="1">
      <c r="BF1999" s="7919"/>
      <c r="BG1999" s="7919"/>
      <c r="BH1999" s="7919"/>
      <c r="BI1999" s="7919"/>
      <c r="BJ1999" s="7919"/>
      <c r="BK1999" s="7919"/>
      <c r="BL1999" s="7919"/>
      <c r="BM1999" s="7919"/>
      <c r="BN1999" s="7919"/>
    </row>
    <row r="2000" spans="58:66" ht="30" customHeight="1">
      <c r="BF2000" s="7919"/>
      <c r="BG2000" s="7919"/>
      <c r="BH2000" s="7919"/>
      <c r="BI2000" s="7919"/>
      <c r="BJ2000" s="7919"/>
      <c r="BK2000" s="7919"/>
      <c r="BL2000" s="7919"/>
      <c r="BM2000" s="7919"/>
      <c r="BN2000" s="7919"/>
    </row>
    <row r="2001" spans="58:66" ht="30" customHeight="1">
      <c r="BF2001" s="7919"/>
      <c r="BG2001" s="7919"/>
      <c r="BH2001" s="7919"/>
      <c r="BI2001" s="7919"/>
      <c r="BJ2001" s="7919"/>
      <c r="BK2001" s="7919"/>
      <c r="BL2001" s="7919"/>
      <c r="BM2001" s="7919"/>
      <c r="BN2001" s="7919"/>
    </row>
    <row r="2002" spans="58:66" ht="30" customHeight="1">
      <c r="BF2002" s="7919"/>
      <c r="BG2002" s="7919"/>
      <c r="BH2002" s="7919"/>
      <c r="BI2002" s="7919"/>
      <c r="BJ2002" s="7919"/>
      <c r="BK2002" s="7919"/>
      <c r="BL2002" s="7919"/>
      <c r="BM2002" s="7919"/>
      <c r="BN2002" s="7919"/>
    </row>
    <row r="2003" spans="58:66" ht="30" customHeight="1">
      <c r="BF2003" s="7919"/>
      <c r="BG2003" s="7919"/>
      <c r="BH2003" s="7919"/>
      <c r="BI2003" s="7919"/>
      <c r="BJ2003" s="7919"/>
      <c r="BK2003" s="7919"/>
      <c r="BL2003" s="7919"/>
      <c r="BM2003" s="7919"/>
      <c r="BN2003" s="7919"/>
    </row>
    <row r="2004" spans="58:66" ht="30" customHeight="1">
      <c r="BF2004" s="7919"/>
      <c r="BG2004" s="7919"/>
      <c r="BH2004" s="7919"/>
      <c r="BI2004" s="7919"/>
      <c r="BJ2004" s="7919"/>
      <c r="BK2004" s="7919"/>
      <c r="BL2004" s="7919"/>
      <c r="BM2004" s="7919"/>
      <c r="BN2004" s="7919"/>
    </row>
    <row r="2005" spans="58:66" ht="30" customHeight="1">
      <c r="BF2005" s="7919"/>
      <c r="BG2005" s="7919"/>
      <c r="BH2005" s="7919"/>
      <c r="BI2005" s="7919"/>
      <c r="BJ2005" s="7919"/>
      <c r="BK2005" s="7919"/>
      <c r="BL2005" s="7919"/>
      <c r="BM2005" s="7919"/>
      <c r="BN2005" s="7919"/>
    </row>
    <row r="2006" spans="58:66" ht="30" customHeight="1">
      <c r="BF2006" s="7919"/>
      <c r="BG2006" s="7919"/>
      <c r="BH2006" s="7919"/>
      <c r="BI2006" s="7919"/>
      <c r="BJ2006" s="7919"/>
      <c r="BK2006" s="7919"/>
      <c r="BL2006" s="7919"/>
      <c r="BM2006" s="7919"/>
      <c r="BN2006" s="7919"/>
    </row>
    <row r="2007" spans="58:66" ht="30" customHeight="1">
      <c r="BF2007" s="7919"/>
      <c r="BG2007" s="7919"/>
      <c r="BH2007" s="7919"/>
      <c r="BI2007" s="7919"/>
      <c r="BJ2007" s="7919"/>
      <c r="BK2007" s="7919"/>
      <c r="BL2007" s="7919"/>
      <c r="BM2007" s="7919"/>
      <c r="BN2007" s="7919"/>
    </row>
    <row r="2008" spans="58:66" ht="30" customHeight="1">
      <c r="BF2008" s="7919"/>
      <c r="BG2008" s="7919"/>
      <c r="BH2008" s="7919"/>
      <c r="BI2008" s="7919"/>
      <c r="BJ2008" s="7919"/>
      <c r="BK2008" s="7919"/>
      <c r="BL2008" s="7919"/>
      <c r="BM2008" s="7919"/>
      <c r="BN2008" s="7919"/>
    </row>
    <row r="2009" spans="58:66" ht="30" customHeight="1">
      <c r="BF2009" s="7919"/>
      <c r="BG2009" s="7919"/>
      <c r="BH2009" s="7919"/>
      <c r="BI2009" s="7919"/>
      <c r="BJ2009" s="7919"/>
      <c r="BK2009" s="7919"/>
      <c r="BL2009" s="7919"/>
      <c r="BM2009" s="7919"/>
      <c r="BN2009" s="7919"/>
    </row>
    <row r="2010" spans="58:66" ht="30" customHeight="1">
      <c r="BF2010" s="7919"/>
      <c r="BG2010" s="7919"/>
      <c r="BH2010" s="7919"/>
      <c r="BI2010" s="7919"/>
      <c r="BJ2010" s="7919"/>
      <c r="BK2010" s="7919"/>
      <c r="BL2010" s="7919"/>
      <c r="BM2010" s="7919"/>
      <c r="BN2010" s="7919"/>
    </row>
    <row r="2011" spans="58:66" ht="30" customHeight="1">
      <c r="BF2011" s="7919"/>
      <c r="BG2011" s="7919"/>
      <c r="BH2011" s="7919"/>
      <c r="BI2011" s="7919"/>
      <c r="BJ2011" s="7919"/>
      <c r="BK2011" s="7919"/>
      <c r="BL2011" s="7919"/>
      <c r="BM2011" s="7919"/>
      <c r="BN2011" s="7919"/>
    </row>
    <row r="2012" spans="58:66" ht="30" customHeight="1">
      <c r="BF2012" s="7919"/>
      <c r="BG2012" s="7919"/>
      <c r="BH2012" s="7919"/>
      <c r="BI2012" s="7919"/>
      <c r="BJ2012" s="7919"/>
      <c r="BK2012" s="7919"/>
      <c r="BL2012" s="7919"/>
      <c r="BM2012" s="7919"/>
      <c r="BN2012" s="7919"/>
    </row>
    <row r="2013" spans="58:66" ht="30" customHeight="1">
      <c r="BF2013" s="7919"/>
      <c r="BG2013" s="7919"/>
      <c r="BH2013" s="7919"/>
      <c r="BI2013" s="7919"/>
      <c r="BJ2013" s="7919"/>
      <c r="BK2013" s="7919"/>
      <c r="BL2013" s="7919"/>
      <c r="BM2013" s="7919"/>
      <c r="BN2013" s="7919"/>
    </row>
    <row r="2014" spans="58:66" ht="30" customHeight="1">
      <c r="BF2014" s="7919"/>
      <c r="BG2014" s="7919"/>
      <c r="BH2014" s="7919"/>
      <c r="BI2014" s="7919"/>
      <c r="BJ2014" s="7919"/>
      <c r="BK2014" s="7919"/>
      <c r="BL2014" s="7919"/>
      <c r="BM2014" s="7919"/>
      <c r="BN2014" s="7919"/>
    </row>
    <row r="2015" spans="58:66" ht="30" customHeight="1">
      <c r="BF2015" s="7919"/>
      <c r="BG2015" s="7919"/>
      <c r="BH2015" s="7919"/>
      <c r="BI2015" s="7919"/>
      <c r="BJ2015" s="7919"/>
      <c r="BK2015" s="7919"/>
      <c r="BL2015" s="7919"/>
      <c r="BM2015" s="7919"/>
      <c r="BN2015" s="7919"/>
    </row>
    <row r="2016" spans="58:66" ht="30" customHeight="1">
      <c r="BF2016" s="7919"/>
      <c r="BG2016" s="7919"/>
      <c r="BH2016" s="7919"/>
      <c r="BI2016" s="7919"/>
      <c r="BJ2016" s="7919"/>
      <c r="BK2016" s="7919"/>
      <c r="BL2016" s="7919"/>
      <c r="BM2016" s="7919"/>
      <c r="BN2016" s="7919"/>
    </row>
    <row r="2017" spans="58:66" ht="30" customHeight="1">
      <c r="BF2017" s="7919"/>
      <c r="BG2017" s="7919"/>
      <c r="BH2017" s="7919"/>
      <c r="BI2017" s="7919"/>
      <c r="BJ2017" s="7919"/>
      <c r="BK2017" s="7919"/>
      <c r="BL2017" s="7919"/>
      <c r="BM2017" s="7919"/>
      <c r="BN2017" s="7919"/>
    </row>
    <row r="2018" spans="58:66" ht="30" customHeight="1">
      <c r="BF2018" s="7919"/>
      <c r="BG2018" s="7919"/>
      <c r="BH2018" s="7919"/>
      <c r="BI2018" s="7919"/>
      <c r="BJ2018" s="7919"/>
      <c r="BK2018" s="7919"/>
      <c r="BL2018" s="7919"/>
      <c r="BM2018" s="7919"/>
      <c r="BN2018" s="7919"/>
    </row>
    <row r="2019" spans="58:66" ht="30" customHeight="1">
      <c r="BF2019" s="7919"/>
      <c r="BG2019" s="7919"/>
      <c r="BH2019" s="7919"/>
      <c r="BI2019" s="7919"/>
      <c r="BJ2019" s="7919"/>
      <c r="BK2019" s="7919"/>
      <c r="BL2019" s="7919"/>
      <c r="BM2019" s="7919"/>
      <c r="BN2019" s="7919"/>
    </row>
    <row r="2020" spans="58:66" ht="30" customHeight="1">
      <c r="BF2020" s="7919"/>
      <c r="BG2020" s="7919"/>
      <c r="BH2020" s="7919"/>
      <c r="BI2020" s="7919"/>
      <c r="BJ2020" s="7919"/>
      <c r="BK2020" s="7919"/>
      <c r="BL2020" s="7919"/>
      <c r="BM2020" s="7919"/>
      <c r="BN2020" s="7919"/>
    </row>
    <row r="2021" spans="58:66" ht="30" customHeight="1">
      <c r="BF2021" s="7919"/>
      <c r="BG2021" s="7919"/>
      <c r="BH2021" s="7919"/>
      <c r="BI2021" s="7919"/>
      <c r="BJ2021" s="7919"/>
      <c r="BK2021" s="7919"/>
      <c r="BL2021" s="7919"/>
      <c r="BM2021" s="7919"/>
      <c r="BN2021" s="7919"/>
    </row>
    <row r="2022" spans="58:66" ht="30" customHeight="1">
      <c r="BF2022" s="7919"/>
      <c r="BG2022" s="7919"/>
      <c r="BH2022" s="7919"/>
      <c r="BI2022" s="7919"/>
      <c r="BJ2022" s="7919"/>
      <c r="BK2022" s="7919"/>
      <c r="BL2022" s="7919"/>
      <c r="BM2022" s="7919"/>
      <c r="BN2022" s="7919"/>
    </row>
    <row r="2023" spans="58:66" ht="30" customHeight="1">
      <c r="BF2023" s="7919"/>
      <c r="BG2023" s="7919"/>
      <c r="BH2023" s="7919"/>
      <c r="BI2023" s="7919"/>
      <c r="BJ2023" s="7919"/>
      <c r="BK2023" s="7919"/>
      <c r="BL2023" s="7919"/>
      <c r="BM2023" s="7919"/>
      <c r="BN2023" s="7919"/>
    </row>
    <row r="2024" spans="58:66" ht="30" customHeight="1">
      <c r="BF2024" s="7919"/>
      <c r="BG2024" s="7919"/>
      <c r="BH2024" s="7919"/>
      <c r="BI2024" s="7919"/>
      <c r="BJ2024" s="7919"/>
      <c r="BK2024" s="7919"/>
      <c r="BL2024" s="7919"/>
      <c r="BM2024" s="7919"/>
      <c r="BN2024" s="7919"/>
    </row>
    <row r="2025" spans="58:66" ht="30" customHeight="1">
      <c r="BF2025" s="7919"/>
      <c r="BG2025" s="7919"/>
      <c r="BH2025" s="7919"/>
      <c r="BI2025" s="7919"/>
      <c r="BJ2025" s="7919"/>
      <c r="BK2025" s="7919"/>
      <c r="BL2025" s="7919"/>
      <c r="BM2025" s="7919"/>
      <c r="BN2025" s="7919"/>
    </row>
    <row r="2026" spans="58:66" ht="30" customHeight="1">
      <c r="BF2026" s="7919"/>
      <c r="BG2026" s="7919"/>
      <c r="BH2026" s="7919"/>
      <c r="BI2026" s="7919"/>
      <c r="BJ2026" s="7919"/>
      <c r="BK2026" s="7919"/>
      <c r="BL2026" s="7919"/>
      <c r="BM2026" s="7919"/>
      <c r="BN2026" s="7919"/>
    </row>
    <row r="2027" spans="58:66" ht="30" customHeight="1">
      <c r="BF2027" s="7919"/>
      <c r="BG2027" s="7919"/>
      <c r="BH2027" s="7919"/>
      <c r="BI2027" s="7919"/>
      <c r="BJ2027" s="7919"/>
      <c r="BK2027" s="7919"/>
      <c r="BL2027" s="7919"/>
      <c r="BM2027" s="7919"/>
      <c r="BN2027" s="7919"/>
    </row>
    <row r="2028" spans="58:66" ht="30" customHeight="1">
      <c r="BF2028" s="7919"/>
      <c r="BG2028" s="7919"/>
      <c r="BH2028" s="7919"/>
      <c r="BI2028" s="7919"/>
      <c r="BJ2028" s="7919"/>
      <c r="BK2028" s="7919"/>
      <c r="BL2028" s="7919"/>
      <c r="BM2028" s="7919"/>
      <c r="BN2028" s="7919"/>
    </row>
    <row r="2029" spans="58:66" ht="30" customHeight="1">
      <c r="BF2029" s="7919"/>
      <c r="BG2029" s="7919"/>
      <c r="BH2029" s="7919"/>
      <c r="BI2029" s="7919"/>
      <c r="BJ2029" s="7919"/>
      <c r="BK2029" s="7919"/>
      <c r="BL2029" s="7919"/>
      <c r="BM2029" s="7919"/>
      <c r="BN2029" s="7919"/>
    </row>
    <row r="2030" spans="58:66" ht="30" customHeight="1">
      <c r="BF2030" s="7919"/>
      <c r="BG2030" s="7919"/>
      <c r="BH2030" s="7919"/>
      <c r="BI2030" s="7919"/>
      <c r="BJ2030" s="7919"/>
      <c r="BK2030" s="7919"/>
      <c r="BL2030" s="7919"/>
      <c r="BM2030" s="7919"/>
      <c r="BN2030" s="7919"/>
    </row>
    <row r="2031" spans="58:66" ht="30" customHeight="1">
      <c r="BF2031" s="7919"/>
      <c r="BG2031" s="7919"/>
      <c r="BH2031" s="7919"/>
      <c r="BI2031" s="7919"/>
      <c r="BJ2031" s="7919"/>
      <c r="BK2031" s="7919"/>
      <c r="BL2031" s="7919"/>
      <c r="BM2031" s="7919"/>
      <c r="BN2031" s="7919"/>
    </row>
    <row r="2032" spans="58:66" ht="30" customHeight="1">
      <c r="BF2032" s="7919"/>
      <c r="BG2032" s="7919"/>
      <c r="BH2032" s="7919"/>
      <c r="BI2032" s="7919"/>
      <c r="BJ2032" s="7919"/>
      <c r="BK2032" s="7919"/>
      <c r="BL2032" s="7919"/>
      <c r="BM2032" s="7919"/>
      <c r="BN2032" s="7919"/>
    </row>
    <row r="2033" spans="58:66" ht="30" customHeight="1">
      <c r="BF2033" s="7919"/>
      <c r="BG2033" s="7919"/>
      <c r="BH2033" s="7919"/>
      <c r="BI2033" s="7919"/>
      <c r="BJ2033" s="7919"/>
      <c r="BK2033" s="7919"/>
      <c r="BL2033" s="7919"/>
      <c r="BM2033" s="7919"/>
      <c r="BN2033" s="7919"/>
    </row>
    <row r="2034" spans="58:66" ht="30" customHeight="1">
      <c r="BF2034" s="7919"/>
      <c r="BG2034" s="7919"/>
      <c r="BH2034" s="7919"/>
      <c r="BI2034" s="7919"/>
      <c r="BJ2034" s="7919"/>
      <c r="BK2034" s="7919"/>
      <c r="BL2034" s="7919"/>
      <c r="BM2034" s="7919"/>
      <c r="BN2034" s="7919"/>
    </row>
    <row r="2035" spans="58:66" ht="30" customHeight="1">
      <c r="BF2035" s="7919"/>
      <c r="BG2035" s="7919"/>
      <c r="BH2035" s="7919"/>
      <c r="BI2035" s="7919"/>
      <c r="BJ2035" s="7919"/>
      <c r="BK2035" s="7919"/>
      <c r="BL2035" s="7919"/>
      <c r="BM2035" s="7919"/>
      <c r="BN2035" s="7919"/>
    </row>
    <row r="2036" spans="58:66" ht="30" customHeight="1">
      <c r="BF2036" s="7919"/>
      <c r="BG2036" s="7919"/>
      <c r="BH2036" s="7919"/>
      <c r="BI2036" s="7919"/>
      <c r="BJ2036" s="7919"/>
      <c r="BK2036" s="7919"/>
      <c r="BL2036" s="7919"/>
      <c r="BM2036" s="7919"/>
      <c r="BN2036" s="7919"/>
    </row>
    <row r="2037" spans="58:66" ht="30" customHeight="1">
      <c r="BF2037" s="7919"/>
      <c r="BG2037" s="7919"/>
      <c r="BH2037" s="7919"/>
      <c r="BI2037" s="7919"/>
      <c r="BJ2037" s="7919"/>
      <c r="BK2037" s="7919"/>
      <c r="BL2037" s="7919"/>
      <c r="BM2037" s="7919"/>
      <c r="BN2037" s="7919"/>
    </row>
    <row r="2038" spans="58:66" ht="30" customHeight="1">
      <c r="BF2038" s="7919"/>
      <c r="BG2038" s="7919"/>
      <c r="BH2038" s="7919"/>
      <c r="BI2038" s="7919"/>
      <c r="BJ2038" s="7919"/>
      <c r="BK2038" s="7919"/>
      <c r="BL2038" s="7919"/>
      <c r="BM2038" s="7919"/>
      <c r="BN2038" s="7919"/>
    </row>
    <row r="2039" spans="58:66" ht="30" customHeight="1">
      <c r="BF2039" s="7919"/>
      <c r="BG2039" s="7919"/>
      <c r="BH2039" s="7919"/>
      <c r="BI2039" s="7919"/>
      <c r="BJ2039" s="7919"/>
      <c r="BK2039" s="7919"/>
      <c r="BL2039" s="7919"/>
      <c r="BM2039" s="7919"/>
      <c r="BN2039" s="7919"/>
    </row>
    <row r="2040" spans="58:66" ht="30" customHeight="1">
      <c r="BF2040" s="7919"/>
      <c r="BG2040" s="7919"/>
      <c r="BH2040" s="7919"/>
      <c r="BI2040" s="7919"/>
      <c r="BJ2040" s="7919"/>
      <c r="BK2040" s="7919"/>
      <c r="BL2040" s="7919"/>
      <c r="BM2040" s="7919"/>
      <c r="BN2040" s="7919"/>
    </row>
    <row r="2041" spans="58:66" ht="30" customHeight="1">
      <c r="BF2041" s="7919"/>
      <c r="BG2041" s="7919"/>
      <c r="BH2041" s="7919"/>
      <c r="BI2041" s="7919"/>
      <c r="BJ2041" s="7919"/>
      <c r="BK2041" s="7919"/>
      <c r="BL2041" s="7919"/>
      <c r="BM2041" s="7919"/>
      <c r="BN2041" s="7919"/>
    </row>
    <row r="2042" spans="58:66" ht="30" customHeight="1">
      <c r="BF2042" s="7919"/>
      <c r="BG2042" s="7919"/>
      <c r="BH2042" s="7919"/>
      <c r="BI2042" s="7919"/>
      <c r="BJ2042" s="7919"/>
      <c r="BK2042" s="7919"/>
      <c r="BL2042" s="7919"/>
      <c r="BM2042" s="7919"/>
      <c r="BN2042" s="7919"/>
    </row>
    <row r="2043" spans="58:66" ht="30" customHeight="1">
      <c r="BF2043" s="7919"/>
      <c r="BG2043" s="7919"/>
      <c r="BH2043" s="7919"/>
      <c r="BI2043" s="7919"/>
      <c r="BJ2043" s="7919"/>
      <c r="BK2043" s="7919"/>
      <c r="BL2043" s="7919"/>
      <c r="BM2043" s="7919"/>
      <c r="BN2043" s="7919"/>
    </row>
    <row r="2044" spans="58:66" ht="30" customHeight="1">
      <c r="BF2044" s="7919"/>
      <c r="BG2044" s="7919"/>
      <c r="BH2044" s="7919"/>
      <c r="BI2044" s="7919"/>
      <c r="BJ2044" s="7919"/>
      <c r="BK2044" s="7919"/>
      <c r="BL2044" s="7919"/>
      <c r="BM2044" s="7919"/>
      <c r="BN2044" s="7919"/>
    </row>
    <row r="2045" spans="58:66" ht="30" customHeight="1">
      <c r="BF2045" s="7919"/>
      <c r="BG2045" s="7919"/>
      <c r="BH2045" s="7919"/>
      <c r="BI2045" s="7919"/>
      <c r="BJ2045" s="7919"/>
      <c r="BK2045" s="7919"/>
      <c r="BL2045" s="7919"/>
      <c r="BM2045" s="7919"/>
      <c r="BN2045" s="7919"/>
    </row>
    <row r="2046" spans="58:66" ht="30" customHeight="1">
      <c r="BF2046" s="7919"/>
      <c r="BG2046" s="7919"/>
      <c r="BH2046" s="7919"/>
      <c r="BI2046" s="7919"/>
      <c r="BJ2046" s="7919"/>
      <c r="BK2046" s="7919"/>
      <c r="BL2046" s="7919"/>
      <c r="BM2046" s="7919"/>
      <c r="BN2046" s="7919"/>
    </row>
    <row r="2047" spans="58:66" ht="30" customHeight="1">
      <c r="BF2047" s="7919"/>
      <c r="BG2047" s="7919"/>
      <c r="BH2047" s="7919"/>
      <c r="BI2047" s="7919"/>
      <c r="BJ2047" s="7919"/>
      <c r="BK2047" s="7919"/>
      <c r="BL2047" s="7919"/>
      <c r="BM2047" s="7919"/>
      <c r="BN2047" s="7919"/>
    </row>
    <row r="2048" spans="58:66" ht="30" customHeight="1">
      <c r="BF2048" s="7919"/>
      <c r="BG2048" s="7919"/>
      <c r="BH2048" s="7919"/>
      <c r="BI2048" s="7919"/>
      <c r="BJ2048" s="7919"/>
      <c r="BK2048" s="7919"/>
      <c r="BL2048" s="7919"/>
      <c r="BM2048" s="7919"/>
      <c r="BN2048" s="7919"/>
    </row>
    <row r="2049" spans="58:66" ht="30" customHeight="1">
      <c r="BF2049" s="7919"/>
      <c r="BG2049" s="7919"/>
      <c r="BH2049" s="7919"/>
      <c r="BI2049" s="7919"/>
      <c r="BJ2049" s="7919"/>
      <c r="BK2049" s="7919"/>
      <c r="BL2049" s="7919"/>
      <c r="BM2049" s="7919"/>
      <c r="BN2049" s="7919"/>
    </row>
    <row r="2050" spans="58:66" ht="30" customHeight="1">
      <c r="BF2050" s="7919"/>
      <c r="BG2050" s="7919"/>
      <c r="BH2050" s="7919"/>
      <c r="BI2050" s="7919"/>
      <c r="BJ2050" s="7919"/>
      <c r="BK2050" s="7919"/>
      <c r="BL2050" s="7919"/>
      <c r="BM2050" s="7919"/>
      <c r="BN2050" s="7919"/>
    </row>
    <row r="2051" spans="58:66" ht="30" customHeight="1">
      <c r="BF2051" s="7919"/>
      <c r="BG2051" s="7919"/>
      <c r="BH2051" s="7919"/>
      <c r="BI2051" s="7919"/>
      <c r="BJ2051" s="7919"/>
      <c r="BK2051" s="7919"/>
      <c r="BL2051" s="7919"/>
      <c r="BM2051" s="7919"/>
      <c r="BN2051" s="7919"/>
    </row>
    <row r="2052" spans="58:66" ht="30" customHeight="1">
      <c r="BF2052" s="7919"/>
      <c r="BG2052" s="7919"/>
      <c r="BH2052" s="7919"/>
      <c r="BI2052" s="7919"/>
      <c r="BJ2052" s="7919"/>
      <c r="BK2052" s="7919"/>
      <c r="BL2052" s="7919"/>
      <c r="BM2052" s="7919"/>
      <c r="BN2052" s="7919"/>
    </row>
    <row r="2053" spans="58:66" ht="30" customHeight="1">
      <c r="BF2053" s="7919"/>
      <c r="BG2053" s="7919"/>
      <c r="BH2053" s="7919"/>
      <c r="BI2053" s="7919"/>
      <c r="BJ2053" s="7919"/>
      <c r="BK2053" s="7919"/>
      <c r="BL2053" s="7919"/>
      <c r="BM2053" s="7919"/>
      <c r="BN2053" s="7919"/>
    </row>
    <row r="2054" spans="58:66" ht="30" customHeight="1">
      <c r="BF2054" s="7919"/>
      <c r="BG2054" s="7919"/>
      <c r="BH2054" s="7919"/>
      <c r="BI2054" s="7919"/>
      <c r="BJ2054" s="7919"/>
      <c r="BK2054" s="7919"/>
      <c r="BL2054" s="7919"/>
      <c r="BM2054" s="7919"/>
      <c r="BN2054" s="7919"/>
    </row>
    <row r="2055" spans="58:66" ht="30" customHeight="1">
      <c r="BF2055" s="7919"/>
      <c r="BG2055" s="7919"/>
      <c r="BH2055" s="7919"/>
      <c r="BI2055" s="7919"/>
      <c r="BJ2055" s="7919"/>
      <c r="BK2055" s="7919"/>
      <c r="BL2055" s="7919"/>
      <c r="BM2055" s="7919"/>
      <c r="BN2055" s="7919"/>
    </row>
    <row r="2056" spans="58:66" ht="30" customHeight="1">
      <c r="BF2056" s="7919"/>
      <c r="BG2056" s="7919"/>
      <c r="BH2056" s="7919"/>
      <c r="BI2056" s="7919"/>
      <c r="BJ2056" s="7919"/>
      <c r="BK2056" s="7919"/>
      <c r="BL2056" s="7919"/>
      <c r="BM2056" s="7919"/>
      <c r="BN2056" s="7919"/>
    </row>
    <row r="2057" spans="58:66" ht="30" customHeight="1">
      <c r="BF2057" s="7919"/>
      <c r="BG2057" s="7919"/>
      <c r="BH2057" s="7919"/>
      <c r="BI2057" s="7919"/>
      <c r="BJ2057" s="7919"/>
      <c r="BK2057" s="7919"/>
      <c r="BL2057" s="7919"/>
      <c r="BM2057" s="7919"/>
      <c r="BN2057" s="7919"/>
    </row>
    <row r="2058" spans="58:66" ht="30" customHeight="1">
      <c r="BF2058" s="7919"/>
      <c r="BG2058" s="7919"/>
      <c r="BH2058" s="7919"/>
      <c r="BI2058" s="7919"/>
      <c r="BJ2058" s="7919"/>
      <c r="BK2058" s="7919"/>
      <c r="BL2058" s="7919"/>
      <c r="BM2058" s="7919"/>
      <c r="BN2058" s="7919"/>
    </row>
    <row r="2059" spans="58:66" ht="30" customHeight="1">
      <c r="BF2059" s="7919"/>
      <c r="BG2059" s="7919"/>
      <c r="BH2059" s="7919"/>
      <c r="BI2059" s="7919"/>
      <c r="BJ2059" s="7919"/>
      <c r="BK2059" s="7919"/>
      <c r="BL2059" s="7919"/>
      <c r="BM2059" s="7919"/>
      <c r="BN2059" s="7919"/>
    </row>
    <row r="2060" spans="58:66" ht="30" customHeight="1">
      <c r="BF2060" s="7919"/>
      <c r="BG2060" s="7919"/>
      <c r="BH2060" s="7919"/>
      <c r="BI2060" s="7919"/>
      <c r="BJ2060" s="7919"/>
      <c r="BK2060" s="7919"/>
      <c r="BL2060" s="7919"/>
      <c r="BM2060" s="7919"/>
      <c r="BN2060" s="7919"/>
    </row>
    <row r="2061" spans="58:66" ht="30" customHeight="1">
      <c r="BF2061" s="7919"/>
      <c r="BG2061" s="7919"/>
      <c r="BH2061" s="7919"/>
      <c r="BI2061" s="7919"/>
      <c r="BJ2061" s="7919"/>
      <c r="BK2061" s="7919"/>
      <c r="BL2061" s="7919"/>
      <c r="BM2061" s="7919"/>
      <c r="BN2061" s="7919"/>
    </row>
    <row r="2062" spans="58:66" ht="30" customHeight="1">
      <c r="BF2062" s="7919"/>
      <c r="BG2062" s="7919"/>
      <c r="BH2062" s="7919"/>
      <c r="BI2062" s="7919"/>
      <c r="BJ2062" s="7919"/>
      <c r="BK2062" s="7919"/>
      <c r="BL2062" s="7919"/>
      <c r="BM2062" s="7919"/>
      <c r="BN2062" s="7919"/>
    </row>
    <row r="2063" spans="58:66" ht="30" customHeight="1">
      <c r="BF2063" s="7919"/>
      <c r="BG2063" s="7919"/>
      <c r="BH2063" s="7919"/>
      <c r="BI2063" s="7919"/>
      <c r="BJ2063" s="7919"/>
      <c r="BK2063" s="7919"/>
      <c r="BL2063" s="7919"/>
      <c r="BM2063" s="7919"/>
      <c r="BN2063" s="7919"/>
    </row>
    <row r="2064" spans="58:66" ht="30" customHeight="1">
      <c r="BF2064" s="7919"/>
      <c r="BG2064" s="7919"/>
      <c r="BH2064" s="7919"/>
      <c r="BI2064" s="7919"/>
      <c r="BJ2064" s="7919"/>
      <c r="BK2064" s="7919"/>
      <c r="BL2064" s="7919"/>
      <c r="BM2064" s="7919"/>
      <c r="BN2064" s="7919"/>
    </row>
    <row r="2065" spans="58:66" ht="30" customHeight="1">
      <c r="BF2065" s="7919"/>
      <c r="BG2065" s="7919"/>
      <c r="BH2065" s="7919"/>
      <c r="BI2065" s="7919"/>
      <c r="BJ2065" s="7919"/>
      <c r="BK2065" s="7919"/>
      <c r="BL2065" s="7919"/>
      <c r="BM2065" s="7919"/>
      <c r="BN2065" s="7919"/>
    </row>
    <row r="2066" spans="58:66" ht="30" customHeight="1">
      <c r="BF2066" s="7919"/>
      <c r="BG2066" s="7919"/>
      <c r="BH2066" s="7919"/>
      <c r="BI2066" s="7919"/>
      <c r="BJ2066" s="7919"/>
      <c r="BK2066" s="7919"/>
      <c r="BL2066" s="7919"/>
      <c r="BM2066" s="7919"/>
      <c r="BN2066" s="7919"/>
    </row>
    <row r="2067" spans="58:66" ht="30" customHeight="1">
      <c r="BF2067" s="7919"/>
      <c r="BG2067" s="7919"/>
      <c r="BH2067" s="7919"/>
      <c r="BI2067" s="7919"/>
      <c r="BJ2067" s="7919"/>
      <c r="BK2067" s="7919"/>
      <c r="BL2067" s="7919"/>
      <c r="BM2067" s="7919"/>
      <c r="BN2067" s="7919"/>
    </row>
    <row r="2068" spans="58:66" ht="30" customHeight="1">
      <c r="BF2068" s="7919"/>
      <c r="BG2068" s="7919"/>
      <c r="BH2068" s="7919"/>
      <c r="BI2068" s="7919"/>
      <c r="BJ2068" s="7919"/>
      <c r="BK2068" s="7919"/>
      <c r="BL2068" s="7919"/>
      <c r="BM2068" s="7919"/>
      <c r="BN2068" s="7919"/>
    </row>
    <row r="2069" spans="58:66" ht="30" customHeight="1">
      <c r="BF2069" s="7919"/>
      <c r="BG2069" s="7919"/>
      <c r="BH2069" s="7919"/>
      <c r="BI2069" s="7919"/>
      <c r="BJ2069" s="7919"/>
      <c r="BK2069" s="7919"/>
      <c r="BL2069" s="7919"/>
      <c r="BM2069" s="7919"/>
      <c r="BN2069" s="7919"/>
    </row>
    <row r="2070" spans="58:66" ht="30" customHeight="1">
      <c r="BF2070" s="7919"/>
      <c r="BG2070" s="7919"/>
      <c r="BH2070" s="7919"/>
      <c r="BI2070" s="7919"/>
      <c r="BJ2070" s="7919"/>
      <c r="BK2070" s="7919"/>
      <c r="BL2070" s="7919"/>
      <c r="BM2070" s="7919"/>
      <c r="BN2070" s="7919"/>
    </row>
    <row r="2071" spans="58:66" ht="30" customHeight="1">
      <c r="BF2071" s="7919"/>
      <c r="BG2071" s="7919"/>
      <c r="BH2071" s="7919"/>
      <c r="BI2071" s="7919"/>
      <c r="BJ2071" s="7919"/>
      <c r="BK2071" s="7919"/>
      <c r="BL2071" s="7919"/>
      <c r="BM2071" s="7919"/>
      <c r="BN2071" s="7919"/>
    </row>
    <row r="2072" spans="58:66" ht="30" customHeight="1">
      <c r="BF2072" s="7919"/>
      <c r="BG2072" s="7919"/>
      <c r="BH2072" s="7919"/>
      <c r="BI2072" s="7919"/>
      <c r="BJ2072" s="7919"/>
      <c r="BK2072" s="7919"/>
      <c r="BL2072" s="7919"/>
      <c r="BM2072" s="7919"/>
      <c r="BN2072" s="7919"/>
    </row>
    <row r="2073" spans="58:66" ht="30" customHeight="1">
      <c r="BF2073" s="7919"/>
      <c r="BG2073" s="7919"/>
      <c r="BH2073" s="7919"/>
      <c r="BI2073" s="7919"/>
      <c r="BJ2073" s="7919"/>
      <c r="BK2073" s="7919"/>
      <c r="BL2073" s="7919"/>
      <c r="BM2073" s="7919"/>
      <c r="BN2073" s="7919"/>
    </row>
    <row r="2074" spans="58:66" ht="30" customHeight="1">
      <c r="BF2074" s="7919"/>
      <c r="BG2074" s="7919"/>
      <c r="BH2074" s="7919"/>
      <c r="BI2074" s="7919"/>
      <c r="BJ2074" s="7919"/>
      <c r="BK2074" s="7919"/>
      <c r="BL2074" s="7919"/>
      <c r="BM2074" s="7919"/>
      <c r="BN2074" s="7919"/>
    </row>
    <row r="2075" spans="58:66" ht="30" customHeight="1">
      <c r="BF2075" s="7919"/>
      <c r="BG2075" s="7919"/>
      <c r="BH2075" s="7919"/>
      <c r="BI2075" s="7919"/>
      <c r="BJ2075" s="7919"/>
      <c r="BK2075" s="7919"/>
      <c r="BL2075" s="7919"/>
      <c r="BM2075" s="7919"/>
      <c r="BN2075" s="7919"/>
    </row>
    <row r="2076" spans="58:66" ht="30" customHeight="1">
      <c r="BF2076" s="7919"/>
      <c r="BG2076" s="7919"/>
      <c r="BH2076" s="7919"/>
      <c r="BI2076" s="7919"/>
      <c r="BJ2076" s="7919"/>
      <c r="BK2076" s="7919"/>
      <c r="BL2076" s="7919"/>
      <c r="BM2076" s="7919"/>
      <c r="BN2076" s="7919"/>
    </row>
    <row r="2077" spans="58:66" ht="30" customHeight="1">
      <c r="BF2077" s="7919"/>
      <c r="BG2077" s="7919"/>
      <c r="BH2077" s="7919"/>
      <c r="BI2077" s="7919"/>
      <c r="BJ2077" s="7919"/>
      <c r="BK2077" s="7919"/>
      <c r="BL2077" s="7919"/>
      <c r="BM2077" s="7919"/>
      <c r="BN2077" s="7919"/>
    </row>
    <row r="2078" spans="58:66" ht="30" customHeight="1">
      <c r="BF2078" s="7919"/>
      <c r="BG2078" s="7919"/>
      <c r="BH2078" s="7919"/>
      <c r="BI2078" s="7919"/>
      <c r="BJ2078" s="7919"/>
      <c r="BK2078" s="7919"/>
      <c r="BL2078" s="7919"/>
      <c r="BM2078" s="7919"/>
      <c r="BN2078" s="7919"/>
    </row>
    <row r="2079" spans="58:66" ht="30" customHeight="1">
      <c r="BF2079" s="7919"/>
      <c r="BG2079" s="7919"/>
      <c r="BH2079" s="7919"/>
      <c r="BI2079" s="7919"/>
      <c r="BJ2079" s="7919"/>
      <c r="BK2079" s="7919"/>
      <c r="BL2079" s="7919"/>
      <c r="BM2079" s="7919"/>
      <c r="BN2079" s="7919"/>
    </row>
    <row r="2080" spans="58:66" ht="30" customHeight="1">
      <c r="BF2080" s="7919"/>
      <c r="BG2080" s="7919"/>
      <c r="BH2080" s="7919"/>
      <c r="BI2080" s="7919"/>
      <c r="BJ2080" s="7919"/>
      <c r="BK2080" s="7919"/>
      <c r="BL2080" s="7919"/>
      <c r="BM2080" s="7919"/>
      <c r="BN2080" s="7919"/>
    </row>
    <row r="2081" spans="58:66" ht="30" customHeight="1">
      <c r="BF2081" s="7919"/>
      <c r="BG2081" s="7919"/>
      <c r="BH2081" s="7919"/>
      <c r="BI2081" s="7919"/>
      <c r="BJ2081" s="7919"/>
      <c r="BK2081" s="7919"/>
      <c r="BL2081" s="7919"/>
      <c r="BM2081" s="7919"/>
      <c r="BN2081" s="7919"/>
    </row>
    <row r="2082" spans="58:66" ht="30" customHeight="1">
      <c r="BF2082" s="7919"/>
      <c r="BG2082" s="7919"/>
      <c r="BH2082" s="7919"/>
      <c r="BI2082" s="7919"/>
      <c r="BJ2082" s="7919"/>
      <c r="BK2082" s="7919"/>
      <c r="BL2082" s="7919"/>
      <c r="BM2082" s="7919"/>
      <c r="BN2082" s="7919"/>
    </row>
    <row r="2083" spans="58:66" ht="30" customHeight="1">
      <c r="BF2083" s="7919"/>
      <c r="BG2083" s="7919"/>
      <c r="BH2083" s="7919"/>
      <c r="BI2083" s="7919"/>
      <c r="BJ2083" s="7919"/>
      <c r="BK2083" s="7919"/>
      <c r="BL2083" s="7919"/>
      <c r="BM2083" s="7919"/>
      <c r="BN2083" s="7919"/>
    </row>
    <row r="2084" spans="58:66" ht="30" customHeight="1">
      <c r="BF2084" s="7919"/>
      <c r="BG2084" s="7919"/>
      <c r="BH2084" s="7919"/>
      <c r="BI2084" s="7919"/>
      <c r="BJ2084" s="7919"/>
      <c r="BK2084" s="7919"/>
      <c r="BL2084" s="7919"/>
      <c r="BM2084" s="7919"/>
      <c r="BN2084" s="7919"/>
    </row>
    <row r="2085" spans="58:66" ht="30" customHeight="1">
      <c r="BF2085" s="7919"/>
      <c r="BG2085" s="7919"/>
      <c r="BH2085" s="7919"/>
      <c r="BI2085" s="7919"/>
      <c r="BJ2085" s="7919"/>
      <c r="BK2085" s="7919"/>
      <c r="BL2085" s="7919"/>
      <c r="BM2085" s="7919"/>
      <c r="BN2085" s="7919"/>
    </row>
    <row r="2086" spans="58:66" ht="30" customHeight="1">
      <c r="BF2086" s="7919"/>
      <c r="BG2086" s="7919"/>
      <c r="BH2086" s="7919"/>
      <c r="BI2086" s="7919"/>
      <c r="BJ2086" s="7919"/>
      <c r="BK2086" s="7919"/>
      <c r="BL2086" s="7919"/>
      <c r="BM2086" s="7919"/>
      <c r="BN2086" s="7919"/>
    </row>
    <row r="2087" spans="58:66" ht="30" customHeight="1">
      <c r="BF2087" s="7919"/>
      <c r="BG2087" s="7919"/>
      <c r="BH2087" s="7919"/>
      <c r="BI2087" s="7919"/>
      <c r="BJ2087" s="7919"/>
      <c r="BK2087" s="7919"/>
      <c r="BL2087" s="7919"/>
      <c r="BM2087" s="7919"/>
      <c r="BN2087" s="7919"/>
    </row>
    <row r="2088" spans="58:66" ht="30" customHeight="1">
      <c r="BF2088" s="7919"/>
      <c r="BG2088" s="7919"/>
      <c r="BH2088" s="7919"/>
      <c r="BI2088" s="7919"/>
      <c r="BJ2088" s="7919"/>
      <c r="BK2088" s="7919"/>
      <c r="BL2088" s="7919"/>
      <c r="BM2088" s="7919"/>
      <c r="BN2088" s="7919"/>
    </row>
  </sheetData>
  <sheetProtection formatCells="0" formatColumns="0" formatRows="0"/>
  <autoFilter ref="A4:BD1842" xr:uid="{00000000-0009-0000-0000-000007000000}">
    <filterColumn colId="3">
      <filters>
        <filter val="SALUD"/>
      </filters>
    </filterColumn>
  </autoFilter>
  <mergeCells count="5745">
    <mergeCell ref="BN1812:BN1813"/>
    <mergeCell ref="BN1839:BN1840"/>
    <mergeCell ref="BN1684:BN1685"/>
    <mergeCell ref="BN1690:BN1691"/>
    <mergeCell ref="BN1692:BN1693"/>
    <mergeCell ref="BN1701:BN1703"/>
    <mergeCell ref="BN1704:BN1705"/>
    <mergeCell ref="BN1706:BN1711"/>
    <mergeCell ref="BN1715:BN1716"/>
    <mergeCell ref="BN1720:BN1721"/>
    <mergeCell ref="BN1723:BN1724"/>
    <mergeCell ref="BN1727:BN1728"/>
    <mergeCell ref="BN1729:BN1730"/>
    <mergeCell ref="BN1735:BN1736"/>
    <mergeCell ref="BN1740:BN1741"/>
    <mergeCell ref="BN1742:BN1743"/>
    <mergeCell ref="BN1749:BN1751"/>
    <mergeCell ref="BN1752:BN1753"/>
    <mergeCell ref="BN1755:BN1756"/>
    <mergeCell ref="BN1632:BN1633"/>
    <mergeCell ref="BN1639:BN1640"/>
    <mergeCell ref="BN1642:BN1643"/>
    <mergeCell ref="BN1644:BN1645"/>
    <mergeCell ref="BN1646:BN1647"/>
    <mergeCell ref="BN1648:BN1649"/>
    <mergeCell ref="BN1651:BN1652"/>
    <mergeCell ref="BN1655:BN1656"/>
    <mergeCell ref="BN1657:BN1658"/>
    <mergeCell ref="BN1659:BN1660"/>
    <mergeCell ref="BN1661:BN1662"/>
    <mergeCell ref="BN1663:BN1665"/>
    <mergeCell ref="BN1666:BN1667"/>
    <mergeCell ref="BN1670:BN1672"/>
    <mergeCell ref="BN1674:BN1676"/>
    <mergeCell ref="BN1677:BN1679"/>
    <mergeCell ref="BN1680:BN1681"/>
    <mergeCell ref="BN1544:BN1546"/>
    <mergeCell ref="BN1548:BN1549"/>
    <mergeCell ref="BN1550:BN1551"/>
    <mergeCell ref="BN1555:BN1556"/>
    <mergeCell ref="BN1558:BN1567"/>
    <mergeCell ref="BN1568:BN1577"/>
    <mergeCell ref="BN1584:BN1585"/>
    <mergeCell ref="BN1588:BN1589"/>
    <mergeCell ref="BN1590:BN1591"/>
    <mergeCell ref="BN1593:BN1596"/>
    <mergeCell ref="BN1601:BN1604"/>
    <mergeCell ref="BN1605:BN1608"/>
    <mergeCell ref="BN1609:BN1612"/>
    <mergeCell ref="BN1613:BN1616"/>
    <mergeCell ref="BN1617:BN1620"/>
    <mergeCell ref="BN1621:BN1624"/>
    <mergeCell ref="BN1625:BN1628"/>
    <mergeCell ref="BN1466:BN1470"/>
    <mergeCell ref="BN1475:BN1476"/>
    <mergeCell ref="BN1477:BN1480"/>
    <mergeCell ref="BN1481:BN1483"/>
    <mergeCell ref="BN1484:BN1486"/>
    <mergeCell ref="BN1492:BN1493"/>
    <mergeCell ref="BN1494:BN1496"/>
    <mergeCell ref="BN1499:BN1502"/>
    <mergeCell ref="BN1504:BN1505"/>
    <mergeCell ref="BN1507:BN1510"/>
    <mergeCell ref="BN1511:BN1515"/>
    <mergeCell ref="BN1516:BN1518"/>
    <mergeCell ref="BN1519:BN1520"/>
    <mergeCell ref="BN1521:BN1526"/>
    <mergeCell ref="BN1527:BN1532"/>
    <mergeCell ref="BN1534:BN1537"/>
    <mergeCell ref="BN1538:BN1543"/>
    <mergeCell ref="BN1392:BN1393"/>
    <mergeCell ref="BN1398:BN1399"/>
    <mergeCell ref="BN1403:BN1404"/>
    <mergeCell ref="BN1405:BN1406"/>
    <mergeCell ref="BN1407:BN1411"/>
    <mergeCell ref="BN1412:BN1421"/>
    <mergeCell ref="BN1422:BN1423"/>
    <mergeCell ref="BN1430:BN1431"/>
    <mergeCell ref="BN1435:BN1437"/>
    <mergeCell ref="BN1439:BN1440"/>
    <mergeCell ref="BN1441:BN1442"/>
    <mergeCell ref="BN1443:BN1448"/>
    <mergeCell ref="BN1450:BN1452"/>
    <mergeCell ref="BN1455:BN1458"/>
    <mergeCell ref="BN1460:BN1461"/>
    <mergeCell ref="BN1462:BN1463"/>
    <mergeCell ref="BN1464:BN1465"/>
    <mergeCell ref="BN1329:BN1330"/>
    <mergeCell ref="BN1335:BN1336"/>
    <mergeCell ref="BN1337:BN1340"/>
    <mergeCell ref="BN1341:BN1342"/>
    <mergeCell ref="BN1344:BN1345"/>
    <mergeCell ref="BN1346:BN1347"/>
    <mergeCell ref="BN1349:BN1350"/>
    <mergeCell ref="BN1351:BN1353"/>
    <mergeCell ref="BN1356:BN1359"/>
    <mergeCell ref="BN1360:BN1361"/>
    <mergeCell ref="BN1362:BN1363"/>
    <mergeCell ref="BN1365:BN1369"/>
    <mergeCell ref="BN1372:BN1374"/>
    <mergeCell ref="BN1375:BN1379"/>
    <mergeCell ref="BN1381:BN1384"/>
    <mergeCell ref="BN1385:BN1387"/>
    <mergeCell ref="BN1389:BN1391"/>
    <mergeCell ref="BN1214:BN1215"/>
    <mergeCell ref="BN1249:BN1250"/>
    <mergeCell ref="BN1261:BN1262"/>
    <mergeCell ref="BN1275:BN1276"/>
    <mergeCell ref="BN1278:BN1281"/>
    <mergeCell ref="BN1283:BN1284"/>
    <mergeCell ref="BN1289:BN1290"/>
    <mergeCell ref="BN1291:BN1293"/>
    <mergeCell ref="BN1296:BN1297"/>
    <mergeCell ref="BN1298:BN1299"/>
    <mergeCell ref="BN1301:BN1303"/>
    <mergeCell ref="BN1309:BN1310"/>
    <mergeCell ref="BN1311:BN1312"/>
    <mergeCell ref="BN1314:BN1316"/>
    <mergeCell ref="BN1317:BN1319"/>
    <mergeCell ref="BN1323:BN1324"/>
    <mergeCell ref="BN1325:BN1326"/>
    <mergeCell ref="BN1141:BN1143"/>
    <mergeCell ref="BN1144:BN1145"/>
    <mergeCell ref="BN1146:BN1148"/>
    <mergeCell ref="BN1150:BN1151"/>
    <mergeCell ref="BN1152:BN1155"/>
    <mergeCell ref="BN1157:BN1158"/>
    <mergeCell ref="BN1165:BN1166"/>
    <mergeCell ref="BN1174:BN1175"/>
    <mergeCell ref="BN1183:BN1184"/>
    <mergeCell ref="BN1187:BN1188"/>
    <mergeCell ref="BN1189:BN1190"/>
    <mergeCell ref="BN1192:BN1193"/>
    <mergeCell ref="BN1194:BN1195"/>
    <mergeCell ref="BN1196:BN1197"/>
    <mergeCell ref="BN1200:BN1202"/>
    <mergeCell ref="BN1203:BN1206"/>
    <mergeCell ref="BN1208:BN1209"/>
    <mergeCell ref="BN1091:BN1092"/>
    <mergeCell ref="BN1093:BN1094"/>
    <mergeCell ref="BN1096:BN1097"/>
    <mergeCell ref="BN1098:BN1099"/>
    <mergeCell ref="BN1100:BN1101"/>
    <mergeCell ref="BN1102:BN1103"/>
    <mergeCell ref="BN1107:BN1108"/>
    <mergeCell ref="BN1110:BN1111"/>
    <mergeCell ref="BN1120:BN1121"/>
    <mergeCell ref="BN1122:BN1124"/>
    <mergeCell ref="BN1125:BN1126"/>
    <mergeCell ref="BN1127:BN1128"/>
    <mergeCell ref="BN1129:BN1130"/>
    <mergeCell ref="BN1132:BN1133"/>
    <mergeCell ref="BN1134:BN1135"/>
    <mergeCell ref="BN1137:BN1138"/>
    <mergeCell ref="BN1139:BN1140"/>
    <mergeCell ref="BN1012:BN1013"/>
    <mergeCell ref="BN1014:BN1015"/>
    <mergeCell ref="BN1016:BN1017"/>
    <mergeCell ref="BN1019:BN1020"/>
    <mergeCell ref="BN1042:BN1044"/>
    <mergeCell ref="BN1046:BN1048"/>
    <mergeCell ref="BN1053:BN1054"/>
    <mergeCell ref="BN1056:BN1057"/>
    <mergeCell ref="BN1059:BN1060"/>
    <mergeCell ref="BN1061:BN1062"/>
    <mergeCell ref="BN1063:BN1064"/>
    <mergeCell ref="BN1065:BN1066"/>
    <mergeCell ref="BN1067:BN1068"/>
    <mergeCell ref="BN1071:BN1073"/>
    <mergeCell ref="BN1074:BN1075"/>
    <mergeCell ref="BN1076:BN1078"/>
    <mergeCell ref="BN1080:BN1081"/>
    <mergeCell ref="BN958:BN960"/>
    <mergeCell ref="BN961:BN963"/>
    <mergeCell ref="BN964:BN966"/>
    <mergeCell ref="BN967:BN969"/>
    <mergeCell ref="BN970:BN972"/>
    <mergeCell ref="BN973:BN975"/>
    <mergeCell ref="BN978:BN979"/>
    <mergeCell ref="BN980:BN981"/>
    <mergeCell ref="BN983:BN984"/>
    <mergeCell ref="BN985:BN986"/>
    <mergeCell ref="BN987:BN988"/>
    <mergeCell ref="BN989:BN990"/>
    <mergeCell ref="BN991:BN992"/>
    <mergeCell ref="BN1004:BN1005"/>
    <mergeCell ref="BN1006:BN1007"/>
    <mergeCell ref="BN1008:BN1009"/>
    <mergeCell ref="BN1010:BN1011"/>
    <mergeCell ref="BN923:BN924"/>
    <mergeCell ref="BN925:BN926"/>
    <mergeCell ref="BN927:BN928"/>
    <mergeCell ref="BN929:BN930"/>
    <mergeCell ref="BN931:BN932"/>
    <mergeCell ref="BN933:BN934"/>
    <mergeCell ref="BN935:BN936"/>
    <mergeCell ref="BN937:BN938"/>
    <mergeCell ref="BN939:BN940"/>
    <mergeCell ref="BN941:BN942"/>
    <mergeCell ref="BN943:BN944"/>
    <mergeCell ref="BN945:BN946"/>
    <mergeCell ref="BN947:BN948"/>
    <mergeCell ref="BN949:BN950"/>
    <mergeCell ref="BN951:BN952"/>
    <mergeCell ref="BN953:BN954"/>
    <mergeCell ref="BN955:BN957"/>
    <mergeCell ref="BN876:BN877"/>
    <mergeCell ref="BN879:BN880"/>
    <mergeCell ref="BN884:BN885"/>
    <mergeCell ref="BN887:BN888"/>
    <mergeCell ref="BN889:BN890"/>
    <mergeCell ref="BN891:BN892"/>
    <mergeCell ref="BN894:BN895"/>
    <mergeCell ref="BN899:BN900"/>
    <mergeCell ref="BN903:BN904"/>
    <mergeCell ref="BN905:BN906"/>
    <mergeCell ref="BN907:BN908"/>
    <mergeCell ref="BN909:BN910"/>
    <mergeCell ref="BN913:BN914"/>
    <mergeCell ref="BN915:BN916"/>
    <mergeCell ref="BN917:BN918"/>
    <mergeCell ref="BN919:BN920"/>
    <mergeCell ref="BN921:BN922"/>
    <mergeCell ref="BN818:BN820"/>
    <mergeCell ref="BN831:BN832"/>
    <mergeCell ref="BN833:BN835"/>
    <mergeCell ref="BN836:BN837"/>
    <mergeCell ref="BN838:BN840"/>
    <mergeCell ref="BN841:BN842"/>
    <mergeCell ref="BN843:BN844"/>
    <mergeCell ref="BN845:BN846"/>
    <mergeCell ref="BN847:BN849"/>
    <mergeCell ref="BN853:BN856"/>
    <mergeCell ref="BN858:BN859"/>
    <mergeCell ref="BN860:BN862"/>
    <mergeCell ref="BN863:BN864"/>
    <mergeCell ref="BN865:BN866"/>
    <mergeCell ref="BN867:BN868"/>
    <mergeCell ref="BN869:BN870"/>
    <mergeCell ref="BN872:BN875"/>
    <mergeCell ref="BN753:BN754"/>
    <mergeCell ref="BN756:BN757"/>
    <mergeCell ref="BN766:BN767"/>
    <mergeCell ref="BN768:BN769"/>
    <mergeCell ref="BN770:BN771"/>
    <mergeCell ref="BN776:BN778"/>
    <mergeCell ref="BN779:BN781"/>
    <mergeCell ref="BN782:BN783"/>
    <mergeCell ref="BN784:BN785"/>
    <mergeCell ref="BN788:BN791"/>
    <mergeCell ref="BN792:BN795"/>
    <mergeCell ref="BN796:BN797"/>
    <mergeCell ref="BN798:BN801"/>
    <mergeCell ref="BN808:BN809"/>
    <mergeCell ref="BN810:BN811"/>
    <mergeCell ref="BN814:BN815"/>
    <mergeCell ref="BN816:BN817"/>
    <mergeCell ref="BN692:BN693"/>
    <mergeCell ref="BN694:BN697"/>
    <mergeCell ref="BN698:BN699"/>
    <mergeCell ref="BN700:BN701"/>
    <mergeCell ref="BN702:BN704"/>
    <mergeCell ref="BN705:BN707"/>
    <mergeCell ref="BN708:BN711"/>
    <mergeCell ref="BN713:BN714"/>
    <mergeCell ref="BN716:BN721"/>
    <mergeCell ref="BN724:BN726"/>
    <mergeCell ref="BN727:BN728"/>
    <mergeCell ref="BN729:BN730"/>
    <mergeCell ref="BN731:BN732"/>
    <mergeCell ref="BN735:BN737"/>
    <mergeCell ref="BN746:BN747"/>
    <mergeCell ref="BN749:BN750"/>
    <mergeCell ref="BN751:BN752"/>
    <mergeCell ref="BN633:BN634"/>
    <mergeCell ref="BN635:BN636"/>
    <mergeCell ref="BN637:BN638"/>
    <mergeCell ref="BN639:BN640"/>
    <mergeCell ref="BN641:BN643"/>
    <mergeCell ref="BN648:BN649"/>
    <mergeCell ref="BN654:BN655"/>
    <mergeCell ref="BN659:BN660"/>
    <mergeCell ref="BN661:BN662"/>
    <mergeCell ref="BN666:BN667"/>
    <mergeCell ref="BN668:BN670"/>
    <mergeCell ref="BN671:BN672"/>
    <mergeCell ref="BN673:BN675"/>
    <mergeCell ref="BN678:BN679"/>
    <mergeCell ref="BN680:BN681"/>
    <mergeCell ref="BN687:BN688"/>
    <mergeCell ref="BN690:BN691"/>
    <mergeCell ref="BN578:BN579"/>
    <mergeCell ref="BN580:BN581"/>
    <mergeCell ref="BN582:BN583"/>
    <mergeCell ref="BN585:BN586"/>
    <mergeCell ref="BN587:BN588"/>
    <mergeCell ref="BN589:BN590"/>
    <mergeCell ref="BN591:BN592"/>
    <mergeCell ref="BN593:BN594"/>
    <mergeCell ref="BN595:BN596"/>
    <mergeCell ref="BN597:BN598"/>
    <mergeCell ref="BN602:BN603"/>
    <mergeCell ref="BN609:BN610"/>
    <mergeCell ref="BN612:BN613"/>
    <mergeCell ref="BN617:BN618"/>
    <mergeCell ref="BN619:BN620"/>
    <mergeCell ref="BN626:BN627"/>
    <mergeCell ref="BN630:BN632"/>
    <mergeCell ref="BN515:BN516"/>
    <mergeCell ref="BN517:BN518"/>
    <mergeCell ref="BN519:BN520"/>
    <mergeCell ref="BN521:BN522"/>
    <mergeCell ref="BN523:BN524"/>
    <mergeCell ref="BN525:BN526"/>
    <mergeCell ref="BN527:BN528"/>
    <mergeCell ref="BN534:BN535"/>
    <mergeCell ref="BN536:BN538"/>
    <mergeCell ref="BN539:BN545"/>
    <mergeCell ref="BN550:BN551"/>
    <mergeCell ref="BN554:BN556"/>
    <mergeCell ref="BN557:BN559"/>
    <mergeCell ref="BN567:BN569"/>
    <mergeCell ref="BN570:BN571"/>
    <mergeCell ref="BN572:BN573"/>
    <mergeCell ref="BN576:BN577"/>
    <mergeCell ref="BN473:BN475"/>
    <mergeCell ref="BN477:BN478"/>
    <mergeCell ref="BN479:BN481"/>
    <mergeCell ref="BN482:BN484"/>
    <mergeCell ref="BN485:BN486"/>
    <mergeCell ref="BN487:BN488"/>
    <mergeCell ref="BN491:BN492"/>
    <mergeCell ref="BN493:BN494"/>
    <mergeCell ref="BN495:BN496"/>
    <mergeCell ref="BN497:BN498"/>
    <mergeCell ref="BN499:BN500"/>
    <mergeCell ref="BN501:BN502"/>
    <mergeCell ref="BN503:BN504"/>
    <mergeCell ref="BN505:BN507"/>
    <mergeCell ref="BN508:BN509"/>
    <mergeCell ref="BN510:BN511"/>
    <mergeCell ref="BN512:BN514"/>
    <mergeCell ref="BN411:BN412"/>
    <mergeCell ref="BN413:BN416"/>
    <mergeCell ref="BN418:BN420"/>
    <mergeCell ref="BN421:BN422"/>
    <mergeCell ref="BN423:BN427"/>
    <mergeCell ref="BN428:BN429"/>
    <mergeCell ref="BN431:BN433"/>
    <mergeCell ref="BN434:BN437"/>
    <mergeCell ref="BN438:BN442"/>
    <mergeCell ref="BN443:BN445"/>
    <mergeCell ref="BN446:BN447"/>
    <mergeCell ref="BN448:BN449"/>
    <mergeCell ref="BN452:BN454"/>
    <mergeCell ref="BN461:BN462"/>
    <mergeCell ref="BN465:BN466"/>
    <mergeCell ref="BN467:BN469"/>
    <mergeCell ref="BN470:BN472"/>
    <mergeCell ref="BN361:BN362"/>
    <mergeCell ref="BN363:BN364"/>
    <mergeCell ref="BN368:BN369"/>
    <mergeCell ref="BN375:BN376"/>
    <mergeCell ref="BN377:BN378"/>
    <mergeCell ref="BN379:BN380"/>
    <mergeCell ref="BN381:BN383"/>
    <mergeCell ref="BN384:BN386"/>
    <mergeCell ref="BN387:BN388"/>
    <mergeCell ref="BN391:BN392"/>
    <mergeCell ref="BN393:BN394"/>
    <mergeCell ref="BN396:BN397"/>
    <mergeCell ref="BN398:BN399"/>
    <mergeCell ref="BN400:BN402"/>
    <mergeCell ref="BN403:BN405"/>
    <mergeCell ref="BN406:BN408"/>
    <mergeCell ref="BN409:BN410"/>
    <mergeCell ref="BN297:BN300"/>
    <mergeCell ref="BN302:BN303"/>
    <mergeCell ref="BN305:BN307"/>
    <mergeCell ref="BN308:BN309"/>
    <mergeCell ref="BN310:BN311"/>
    <mergeCell ref="BN312:BN313"/>
    <mergeCell ref="BN318:BN320"/>
    <mergeCell ref="BN327:BN329"/>
    <mergeCell ref="BN331:BN333"/>
    <mergeCell ref="BN334:BN337"/>
    <mergeCell ref="BN338:BN339"/>
    <mergeCell ref="BN342:BN343"/>
    <mergeCell ref="BN345:BN346"/>
    <mergeCell ref="BN350:BN351"/>
    <mergeCell ref="BN352:BN353"/>
    <mergeCell ref="BN354:BN355"/>
    <mergeCell ref="BN359:BN360"/>
    <mergeCell ref="BN138:BN139"/>
    <mergeCell ref="BN143:BN144"/>
    <mergeCell ref="BN146:BN148"/>
    <mergeCell ref="BN149:BN152"/>
    <mergeCell ref="BN155:BN156"/>
    <mergeCell ref="BN157:BN158"/>
    <mergeCell ref="BN168:BN169"/>
    <mergeCell ref="BN170:BN171"/>
    <mergeCell ref="BN173:BN174"/>
    <mergeCell ref="BN176:BN177"/>
    <mergeCell ref="BN178:BN179"/>
    <mergeCell ref="BN184:BN185"/>
    <mergeCell ref="BN186:BN187"/>
    <mergeCell ref="BN286:BN288"/>
    <mergeCell ref="BN290:BN291"/>
    <mergeCell ref="BN292:BN293"/>
    <mergeCell ref="BN294:BN296"/>
    <mergeCell ref="BM1752:BM1753"/>
    <mergeCell ref="BM1755:BM1756"/>
    <mergeCell ref="BM1812:BM1813"/>
    <mergeCell ref="BM1839:BM1840"/>
    <mergeCell ref="BN5:BN6"/>
    <mergeCell ref="BN7:BN8"/>
    <mergeCell ref="BN10:BN11"/>
    <mergeCell ref="BN12:BN15"/>
    <mergeCell ref="BN16:BN17"/>
    <mergeCell ref="BN18:BN21"/>
    <mergeCell ref="BN23:BN24"/>
    <mergeCell ref="BN25:BN26"/>
    <mergeCell ref="BN27:BN30"/>
    <mergeCell ref="BN32:BN35"/>
    <mergeCell ref="BN36:BN39"/>
    <mergeCell ref="BN40:BN43"/>
    <mergeCell ref="BN44:BN45"/>
    <mergeCell ref="BN47:BN48"/>
    <mergeCell ref="BN51:BN52"/>
    <mergeCell ref="BN53:BN55"/>
    <mergeCell ref="BN56:BN60"/>
    <mergeCell ref="BN61:BN64"/>
    <mergeCell ref="BN65:BN67"/>
    <mergeCell ref="BN68:BN71"/>
    <mergeCell ref="BN72:BN77"/>
    <mergeCell ref="BN79:BN85"/>
    <mergeCell ref="BN86:BN91"/>
    <mergeCell ref="BN100:BN101"/>
    <mergeCell ref="BN102:BN103"/>
    <mergeCell ref="BN127:BN128"/>
    <mergeCell ref="BN132:BN134"/>
    <mergeCell ref="BN136:BN137"/>
    <mergeCell ref="BM1677:BM1679"/>
    <mergeCell ref="BM1680:BM1681"/>
    <mergeCell ref="BM1684:BM1685"/>
    <mergeCell ref="BM1690:BM1691"/>
    <mergeCell ref="BM1692:BM1693"/>
    <mergeCell ref="BM1701:BM1703"/>
    <mergeCell ref="BM1704:BM1705"/>
    <mergeCell ref="BM1706:BM1711"/>
    <mergeCell ref="BM1715:BM1716"/>
    <mergeCell ref="BM1720:BM1721"/>
    <mergeCell ref="BM1723:BM1724"/>
    <mergeCell ref="BM1727:BM1728"/>
    <mergeCell ref="BM1729:BM1730"/>
    <mergeCell ref="BM1735:BM1736"/>
    <mergeCell ref="BM1740:BM1741"/>
    <mergeCell ref="BM1742:BM1743"/>
    <mergeCell ref="BM1749:BM1751"/>
    <mergeCell ref="BM1621:BM1624"/>
    <mergeCell ref="BM1625:BM1628"/>
    <mergeCell ref="BM1632:BM1633"/>
    <mergeCell ref="BM1639:BM1640"/>
    <mergeCell ref="BM1642:BM1643"/>
    <mergeCell ref="BM1644:BM1645"/>
    <mergeCell ref="BM1646:BM1647"/>
    <mergeCell ref="BM1648:BM1649"/>
    <mergeCell ref="BM1651:BM1652"/>
    <mergeCell ref="BM1655:BM1656"/>
    <mergeCell ref="BM1657:BM1658"/>
    <mergeCell ref="BM1659:BM1660"/>
    <mergeCell ref="BM1661:BM1662"/>
    <mergeCell ref="BM1663:BM1665"/>
    <mergeCell ref="BM1666:BM1667"/>
    <mergeCell ref="BM1670:BM1672"/>
    <mergeCell ref="BM1674:BM1676"/>
    <mergeCell ref="BM1534:BM1537"/>
    <mergeCell ref="BM1538:BM1543"/>
    <mergeCell ref="BM1544:BM1546"/>
    <mergeCell ref="BM1548:BM1549"/>
    <mergeCell ref="BM1550:BM1551"/>
    <mergeCell ref="BM1555:BM1556"/>
    <mergeCell ref="BM1558:BM1567"/>
    <mergeCell ref="BM1568:BM1577"/>
    <mergeCell ref="BM1584:BM1585"/>
    <mergeCell ref="BM1588:BM1589"/>
    <mergeCell ref="BM1590:BM1591"/>
    <mergeCell ref="BM1593:BM1596"/>
    <mergeCell ref="BM1601:BM1604"/>
    <mergeCell ref="BM1605:BM1608"/>
    <mergeCell ref="BM1609:BM1612"/>
    <mergeCell ref="BM1613:BM1616"/>
    <mergeCell ref="BM1617:BM1620"/>
    <mergeCell ref="BM1462:BM1463"/>
    <mergeCell ref="BM1464:BM1465"/>
    <mergeCell ref="BM1466:BM1470"/>
    <mergeCell ref="BM1475:BM1476"/>
    <mergeCell ref="BM1477:BM1480"/>
    <mergeCell ref="BM1481:BM1483"/>
    <mergeCell ref="BM1484:BM1486"/>
    <mergeCell ref="BM1492:BM1493"/>
    <mergeCell ref="BM1494:BM1496"/>
    <mergeCell ref="BM1499:BM1502"/>
    <mergeCell ref="BM1504:BM1505"/>
    <mergeCell ref="BM1507:BM1510"/>
    <mergeCell ref="BM1511:BM1515"/>
    <mergeCell ref="BM1516:BM1518"/>
    <mergeCell ref="BM1519:BM1520"/>
    <mergeCell ref="BM1521:BM1526"/>
    <mergeCell ref="BM1527:BM1532"/>
    <mergeCell ref="BM1385:BM1387"/>
    <mergeCell ref="BM1389:BM1391"/>
    <mergeCell ref="BM1392:BM1393"/>
    <mergeCell ref="BM1398:BM1399"/>
    <mergeCell ref="BM1403:BM1404"/>
    <mergeCell ref="BM1405:BM1406"/>
    <mergeCell ref="BM1407:BM1411"/>
    <mergeCell ref="BM1412:BM1421"/>
    <mergeCell ref="BM1422:BM1423"/>
    <mergeCell ref="BM1430:BM1431"/>
    <mergeCell ref="BM1435:BM1437"/>
    <mergeCell ref="BM1439:BM1440"/>
    <mergeCell ref="BM1441:BM1442"/>
    <mergeCell ref="BM1443:BM1448"/>
    <mergeCell ref="BM1450:BM1452"/>
    <mergeCell ref="BM1455:BM1458"/>
    <mergeCell ref="BM1460:BM1461"/>
    <mergeCell ref="BM1323:BM1324"/>
    <mergeCell ref="BM1325:BM1326"/>
    <mergeCell ref="BM1329:BM1330"/>
    <mergeCell ref="BM1335:BM1336"/>
    <mergeCell ref="BM1337:BM1340"/>
    <mergeCell ref="BM1341:BM1342"/>
    <mergeCell ref="BM1344:BM1345"/>
    <mergeCell ref="BM1346:BM1347"/>
    <mergeCell ref="BM1349:BM1350"/>
    <mergeCell ref="BM1351:BM1353"/>
    <mergeCell ref="BM1356:BM1359"/>
    <mergeCell ref="BM1360:BM1361"/>
    <mergeCell ref="BM1362:BM1363"/>
    <mergeCell ref="BM1365:BM1369"/>
    <mergeCell ref="BM1372:BM1374"/>
    <mergeCell ref="BM1375:BM1379"/>
    <mergeCell ref="BM1381:BM1384"/>
    <mergeCell ref="BM1203:BM1206"/>
    <mergeCell ref="BM1208:BM1209"/>
    <mergeCell ref="BM1214:BM1215"/>
    <mergeCell ref="BM1249:BM1250"/>
    <mergeCell ref="BM1261:BM1262"/>
    <mergeCell ref="BM1275:BM1276"/>
    <mergeCell ref="BM1278:BM1281"/>
    <mergeCell ref="BM1283:BM1284"/>
    <mergeCell ref="BM1289:BM1290"/>
    <mergeCell ref="BM1291:BM1293"/>
    <mergeCell ref="BM1296:BM1297"/>
    <mergeCell ref="BM1298:BM1299"/>
    <mergeCell ref="BM1301:BM1303"/>
    <mergeCell ref="BM1309:BM1310"/>
    <mergeCell ref="BM1311:BM1312"/>
    <mergeCell ref="BM1314:BM1316"/>
    <mergeCell ref="BM1317:BM1319"/>
    <mergeCell ref="BM1137:BM1138"/>
    <mergeCell ref="BM1139:BM1140"/>
    <mergeCell ref="BM1141:BM1143"/>
    <mergeCell ref="BM1144:BM1145"/>
    <mergeCell ref="BM1146:BM1148"/>
    <mergeCell ref="BM1150:BM1151"/>
    <mergeCell ref="BM1152:BM1155"/>
    <mergeCell ref="BM1157:BM1158"/>
    <mergeCell ref="BM1165:BM1166"/>
    <mergeCell ref="BM1174:BM1175"/>
    <mergeCell ref="BM1183:BM1184"/>
    <mergeCell ref="BM1187:BM1188"/>
    <mergeCell ref="BM1189:BM1190"/>
    <mergeCell ref="BM1192:BM1193"/>
    <mergeCell ref="BM1194:BM1195"/>
    <mergeCell ref="BM1196:BM1197"/>
    <mergeCell ref="BM1200:BM1202"/>
    <mergeCell ref="BM1076:BM1078"/>
    <mergeCell ref="BM1080:BM1081"/>
    <mergeCell ref="BM1091:BM1092"/>
    <mergeCell ref="BM1093:BM1094"/>
    <mergeCell ref="BM1096:BM1097"/>
    <mergeCell ref="BM1098:BM1099"/>
    <mergeCell ref="BM1100:BM1101"/>
    <mergeCell ref="BM1102:BM1103"/>
    <mergeCell ref="BM1107:BM1108"/>
    <mergeCell ref="BM1110:BM1111"/>
    <mergeCell ref="BM1120:BM1121"/>
    <mergeCell ref="BM1122:BM1124"/>
    <mergeCell ref="BM1125:BM1126"/>
    <mergeCell ref="BM1127:BM1128"/>
    <mergeCell ref="BM1129:BM1130"/>
    <mergeCell ref="BM1132:BM1133"/>
    <mergeCell ref="BM1134:BM1135"/>
    <mergeCell ref="BM1008:BM1009"/>
    <mergeCell ref="BM1010:BM1011"/>
    <mergeCell ref="BM1012:BM1013"/>
    <mergeCell ref="BM1014:BM1015"/>
    <mergeCell ref="BM1016:BM1017"/>
    <mergeCell ref="BM1019:BM1020"/>
    <mergeCell ref="BM1042:BM1044"/>
    <mergeCell ref="BM1046:BM1048"/>
    <mergeCell ref="BM1053:BM1054"/>
    <mergeCell ref="BM1056:BM1057"/>
    <mergeCell ref="BM1059:BM1060"/>
    <mergeCell ref="BM1061:BM1062"/>
    <mergeCell ref="BM1063:BM1064"/>
    <mergeCell ref="BM1065:BM1066"/>
    <mergeCell ref="BM1067:BM1068"/>
    <mergeCell ref="BM1071:BM1073"/>
    <mergeCell ref="BM1074:BM1075"/>
    <mergeCell ref="BM953:BM954"/>
    <mergeCell ref="BM955:BM957"/>
    <mergeCell ref="BM958:BM960"/>
    <mergeCell ref="BM961:BM963"/>
    <mergeCell ref="BM964:BM966"/>
    <mergeCell ref="BM967:BM969"/>
    <mergeCell ref="BM970:BM972"/>
    <mergeCell ref="BM973:BM975"/>
    <mergeCell ref="BM978:BM979"/>
    <mergeCell ref="BM980:BM981"/>
    <mergeCell ref="BM983:BM984"/>
    <mergeCell ref="BM985:BM986"/>
    <mergeCell ref="BM987:BM988"/>
    <mergeCell ref="BM989:BM990"/>
    <mergeCell ref="BM991:BM992"/>
    <mergeCell ref="BM1004:BM1005"/>
    <mergeCell ref="BM1006:BM1007"/>
    <mergeCell ref="BM919:BM920"/>
    <mergeCell ref="BM921:BM922"/>
    <mergeCell ref="BM923:BM924"/>
    <mergeCell ref="BM925:BM926"/>
    <mergeCell ref="BM927:BM928"/>
    <mergeCell ref="BM929:BM930"/>
    <mergeCell ref="BM931:BM932"/>
    <mergeCell ref="BM933:BM934"/>
    <mergeCell ref="BM935:BM936"/>
    <mergeCell ref="BM937:BM938"/>
    <mergeCell ref="BM939:BM940"/>
    <mergeCell ref="BM941:BM942"/>
    <mergeCell ref="BM943:BM944"/>
    <mergeCell ref="BM945:BM946"/>
    <mergeCell ref="BM947:BM948"/>
    <mergeCell ref="BM949:BM950"/>
    <mergeCell ref="BM951:BM952"/>
    <mergeCell ref="BM869:BM870"/>
    <mergeCell ref="BM872:BM875"/>
    <mergeCell ref="BM876:BM877"/>
    <mergeCell ref="BM879:BM880"/>
    <mergeCell ref="BM884:BM885"/>
    <mergeCell ref="BM887:BM888"/>
    <mergeCell ref="BM889:BM890"/>
    <mergeCell ref="BM891:BM892"/>
    <mergeCell ref="BM894:BM895"/>
    <mergeCell ref="BM899:BM900"/>
    <mergeCell ref="BM903:BM904"/>
    <mergeCell ref="BM905:BM906"/>
    <mergeCell ref="BM907:BM908"/>
    <mergeCell ref="BM909:BM910"/>
    <mergeCell ref="BM913:BM914"/>
    <mergeCell ref="BM915:BM916"/>
    <mergeCell ref="BM917:BM918"/>
    <mergeCell ref="BM814:BM815"/>
    <mergeCell ref="BM816:BM817"/>
    <mergeCell ref="BM818:BM820"/>
    <mergeCell ref="BM831:BM832"/>
    <mergeCell ref="BM833:BM835"/>
    <mergeCell ref="BM836:BM837"/>
    <mergeCell ref="BM838:BM840"/>
    <mergeCell ref="BM841:BM842"/>
    <mergeCell ref="BM843:BM844"/>
    <mergeCell ref="BM845:BM846"/>
    <mergeCell ref="BM847:BM849"/>
    <mergeCell ref="BM853:BM856"/>
    <mergeCell ref="BM858:BM859"/>
    <mergeCell ref="BM860:BM862"/>
    <mergeCell ref="BM863:BM864"/>
    <mergeCell ref="BM865:BM866"/>
    <mergeCell ref="BM867:BM868"/>
    <mergeCell ref="BM749:BM750"/>
    <mergeCell ref="BM751:BM752"/>
    <mergeCell ref="BM753:BM754"/>
    <mergeCell ref="BM756:BM757"/>
    <mergeCell ref="BM766:BM767"/>
    <mergeCell ref="BM768:BM769"/>
    <mergeCell ref="BM770:BM771"/>
    <mergeCell ref="BM776:BM778"/>
    <mergeCell ref="BM779:BM781"/>
    <mergeCell ref="BM782:BM783"/>
    <mergeCell ref="BM784:BM785"/>
    <mergeCell ref="BM788:BM791"/>
    <mergeCell ref="BM792:BM795"/>
    <mergeCell ref="BM796:BM797"/>
    <mergeCell ref="BM798:BM801"/>
    <mergeCell ref="BM808:BM809"/>
    <mergeCell ref="BM810:BM811"/>
    <mergeCell ref="BM687:BM688"/>
    <mergeCell ref="BM690:BM691"/>
    <mergeCell ref="BM692:BM693"/>
    <mergeCell ref="BM694:BM697"/>
    <mergeCell ref="BM698:BM699"/>
    <mergeCell ref="BM700:BM701"/>
    <mergeCell ref="BM702:BM704"/>
    <mergeCell ref="BM705:BM707"/>
    <mergeCell ref="BM708:BM711"/>
    <mergeCell ref="BM713:BM714"/>
    <mergeCell ref="BM716:BM721"/>
    <mergeCell ref="BM724:BM726"/>
    <mergeCell ref="BM727:BM728"/>
    <mergeCell ref="BM729:BM730"/>
    <mergeCell ref="BM731:BM732"/>
    <mergeCell ref="BM735:BM737"/>
    <mergeCell ref="BM746:BM747"/>
    <mergeCell ref="BM626:BM627"/>
    <mergeCell ref="BM630:BM632"/>
    <mergeCell ref="BM633:BM634"/>
    <mergeCell ref="BM635:BM636"/>
    <mergeCell ref="BM637:BM638"/>
    <mergeCell ref="BM639:BM640"/>
    <mergeCell ref="BM641:BM643"/>
    <mergeCell ref="BM648:BM649"/>
    <mergeCell ref="BM654:BM655"/>
    <mergeCell ref="BM659:BM660"/>
    <mergeCell ref="BM661:BM662"/>
    <mergeCell ref="BM666:BM667"/>
    <mergeCell ref="BM668:BM670"/>
    <mergeCell ref="BM671:BM672"/>
    <mergeCell ref="BM673:BM675"/>
    <mergeCell ref="BM678:BM679"/>
    <mergeCell ref="BM680:BM681"/>
    <mergeCell ref="BM572:BM573"/>
    <mergeCell ref="BM576:BM577"/>
    <mergeCell ref="BM578:BM579"/>
    <mergeCell ref="BM580:BM581"/>
    <mergeCell ref="BM582:BM583"/>
    <mergeCell ref="BM585:BM586"/>
    <mergeCell ref="BM587:BM588"/>
    <mergeCell ref="BM589:BM590"/>
    <mergeCell ref="BM591:BM592"/>
    <mergeCell ref="BM593:BM594"/>
    <mergeCell ref="BM595:BM596"/>
    <mergeCell ref="BM597:BM598"/>
    <mergeCell ref="BM602:BM603"/>
    <mergeCell ref="BM609:BM610"/>
    <mergeCell ref="BM612:BM613"/>
    <mergeCell ref="BM617:BM618"/>
    <mergeCell ref="BM619:BM620"/>
    <mergeCell ref="BM510:BM511"/>
    <mergeCell ref="BM512:BM514"/>
    <mergeCell ref="BM515:BM516"/>
    <mergeCell ref="BM517:BM518"/>
    <mergeCell ref="BM519:BM520"/>
    <mergeCell ref="BM521:BM522"/>
    <mergeCell ref="BM523:BM524"/>
    <mergeCell ref="BM525:BM526"/>
    <mergeCell ref="BM527:BM528"/>
    <mergeCell ref="BM534:BM535"/>
    <mergeCell ref="BM536:BM538"/>
    <mergeCell ref="BM539:BM545"/>
    <mergeCell ref="BM550:BM551"/>
    <mergeCell ref="BM554:BM556"/>
    <mergeCell ref="BM557:BM559"/>
    <mergeCell ref="BM567:BM569"/>
    <mergeCell ref="BM570:BM571"/>
    <mergeCell ref="BM467:BM469"/>
    <mergeCell ref="BM470:BM472"/>
    <mergeCell ref="BM473:BM475"/>
    <mergeCell ref="BM477:BM478"/>
    <mergeCell ref="BM479:BM481"/>
    <mergeCell ref="BM482:BM484"/>
    <mergeCell ref="BM485:BM486"/>
    <mergeCell ref="BM487:BM488"/>
    <mergeCell ref="BM491:BM492"/>
    <mergeCell ref="BM493:BM494"/>
    <mergeCell ref="BM495:BM496"/>
    <mergeCell ref="BM497:BM498"/>
    <mergeCell ref="BM499:BM500"/>
    <mergeCell ref="BM501:BM502"/>
    <mergeCell ref="BM503:BM504"/>
    <mergeCell ref="BM505:BM507"/>
    <mergeCell ref="BM508:BM509"/>
    <mergeCell ref="BM406:BM408"/>
    <mergeCell ref="BM409:BM410"/>
    <mergeCell ref="BM411:BM412"/>
    <mergeCell ref="BM413:BM416"/>
    <mergeCell ref="BM418:BM420"/>
    <mergeCell ref="BM421:BM422"/>
    <mergeCell ref="BM423:BM427"/>
    <mergeCell ref="BM428:BM429"/>
    <mergeCell ref="BM431:BM433"/>
    <mergeCell ref="BM434:BM437"/>
    <mergeCell ref="BM438:BM442"/>
    <mergeCell ref="BM443:BM445"/>
    <mergeCell ref="BM446:BM447"/>
    <mergeCell ref="BM448:BM449"/>
    <mergeCell ref="BM452:BM454"/>
    <mergeCell ref="BM461:BM462"/>
    <mergeCell ref="BM465:BM466"/>
    <mergeCell ref="BM354:BM355"/>
    <mergeCell ref="BM359:BM360"/>
    <mergeCell ref="BM361:BM362"/>
    <mergeCell ref="BM363:BM364"/>
    <mergeCell ref="BM368:BM369"/>
    <mergeCell ref="BM375:BM376"/>
    <mergeCell ref="BM377:BM378"/>
    <mergeCell ref="BM379:BM380"/>
    <mergeCell ref="BM381:BM383"/>
    <mergeCell ref="BM384:BM386"/>
    <mergeCell ref="BM387:BM388"/>
    <mergeCell ref="BM391:BM392"/>
    <mergeCell ref="BM393:BM394"/>
    <mergeCell ref="BM396:BM397"/>
    <mergeCell ref="BM398:BM399"/>
    <mergeCell ref="BM400:BM402"/>
    <mergeCell ref="BM403:BM405"/>
    <mergeCell ref="BM292:BM293"/>
    <mergeCell ref="BM294:BM296"/>
    <mergeCell ref="BM297:BM300"/>
    <mergeCell ref="BM302:BM303"/>
    <mergeCell ref="BM305:BM307"/>
    <mergeCell ref="BM308:BM309"/>
    <mergeCell ref="BM310:BM311"/>
    <mergeCell ref="BM312:BM313"/>
    <mergeCell ref="BM318:BM320"/>
    <mergeCell ref="BM327:BM329"/>
    <mergeCell ref="BM331:BM333"/>
    <mergeCell ref="BM334:BM337"/>
    <mergeCell ref="BM338:BM339"/>
    <mergeCell ref="BM342:BM343"/>
    <mergeCell ref="BM345:BM346"/>
    <mergeCell ref="BM350:BM351"/>
    <mergeCell ref="BM352:BM353"/>
    <mergeCell ref="BM132:BM134"/>
    <mergeCell ref="BM136:BM137"/>
    <mergeCell ref="BM138:BM139"/>
    <mergeCell ref="BM143:BM144"/>
    <mergeCell ref="BM146:BM148"/>
    <mergeCell ref="BM149:BM152"/>
    <mergeCell ref="BM155:BM156"/>
    <mergeCell ref="BM157:BM158"/>
    <mergeCell ref="BM168:BM169"/>
    <mergeCell ref="BM170:BM171"/>
    <mergeCell ref="BM173:BM174"/>
    <mergeCell ref="BM176:BM177"/>
    <mergeCell ref="BM178:BM179"/>
    <mergeCell ref="BM184:BM185"/>
    <mergeCell ref="BM186:BM187"/>
    <mergeCell ref="BM286:BM288"/>
    <mergeCell ref="BM290:BM291"/>
    <mergeCell ref="BL1742:BL1743"/>
    <mergeCell ref="BL1749:BL1751"/>
    <mergeCell ref="BL1752:BL1753"/>
    <mergeCell ref="BL1755:BL1756"/>
    <mergeCell ref="BL1812:BL1813"/>
    <mergeCell ref="BL1839:BL1840"/>
    <mergeCell ref="BM5:BM6"/>
    <mergeCell ref="BM7:BM8"/>
    <mergeCell ref="BM10:BM11"/>
    <mergeCell ref="BM12:BM15"/>
    <mergeCell ref="BM16:BM17"/>
    <mergeCell ref="BM18:BM21"/>
    <mergeCell ref="BM23:BM24"/>
    <mergeCell ref="BM25:BM26"/>
    <mergeCell ref="BM27:BM30"/>
    <mergeCell ref="BM32:BM35"/>
    <mergeCell ref="BM36:BM39"/>
    <mergeCell ref="BM40:BM43"/>
    <mergeCell ref="BM44:BM45"/>
    <mergeCell ref="BM47:BM48"/>
    <mergeCell ref="BM51:BM52"/>
    <mergeCell ref="BM53:BM55"/>
    <mergeCell ref="BM56:BM60"/>
    <mergeCell ref="BM61:BM64"/>
    <mergeCell ref="BM65:BM67"/>
    <mergeCell ref="BM68:BM71"/>
    <mergeCell ref="BM72:BM77"/>
    <mergeCell ref="BM79:BM85"/>
    <mergeCell ref="BM86:BM91"/>
    <mergeCell ref="BM100:BM101"/>
    <mergeCell ref="BM102:BM103"/>
    <mergeCell ref="BM127:BM128"/>
    <mergeCell ref="BL1670:BL1672"/>
    <mergeCell ref="BL1674:BL1676"/>
    <mergeCell ref="BL1677:BL1679"/>
    <mergeCell ref="BL1680:BL1681"/>
    <mergeCell ref="BL1684:BL1685"/>
    <mergeCell ref="BL1690:BL1691"/>
    <mergeCell ref="BL1692:BL1693"/>
    <mergeCell ref="BL1701:BL1703"/>
    <mergeCell ref="BL1704:BL1705"/>
    <mergeCell ref="BL1706:BL1711"/>
    <mergeCell ref="BL1715:BL1716"/>
    <mergeCell ref="BL1720:BL1721"/>
    <mergeCell ref="BL1723:BL1724"/>
    <mergeCell ref="BL1727:BL1728"/>
    <mergeCell ref="BL1729:BL1730"/>
    <mergeCell ref="BL1735:BL1736"/>
    <mergeCell ref="BL1740:BL1741"/>
    <mergeCell ref="BL1613:BL1616"/>
    <mergeCell ref="BL1617:BL1620"/>
    <mergeCell ref="BL1621:BL1624"/>
    <mergeCell ref="BL1625:BL1628"/>
    <mergeCell ref="BL1632:BL1633"/>
    <mergeCell ref="BL1639:BL1640"/>
    <mergeCell ref="BL1642:BL1643"/>
    <mergeCell ref="BL1644:BL1645"/>
    <mergeCell ref="BL1646:BL1647"/>
    <mergeCell ref="BL1648:BL1649"/>
    <mergeCell ref="BL1651:BL1652"/>
    <mergeCell ref="BL1655:BL1656"/>
    <mergeCell ref="BL1657:BL1658"/>
    <mergeCell ref="BL1659:BL1660"/>
    <mergeCell ref="BL1661:BL1662"/>
    <mergeCell ref="BL1663:BL1665"/>
    <mergeCell ref="BL1666:BL1667"/>
    <mergeCell ref="BL1521:BL1526"/>
    <mergeCell ref="BL1527:BL1532"/>
    <mergeCell ref="BL1534:BL1537"/>
    <mergeCell ref="BL1538:BL1543"/>
    <mergeCell ref="BL1544:BL1546"/>
    <mergeCell ref="BL1548:BL1549"/>
    <mergeCell ref="BL1550:BL1551"/>
    <mergeCell ref="BL1555:BL1556"/>
    <mergeCell ref="BL1558:BL1567"/>
    <mergeCell ref="BL1568:BL1577"/>
    <mergeCell ref="BL1584:BL1585"/>
    <mergeCell ref="BL1588:BL1589"/>
    <mergeCell ref="BL1590:BL1591"/>
    <mergeCell ref="BL1593:BL1596"/>
    <mergeCell ref="BL1601:BL1604"/>
    <mergeCell ref="BL1605:BL1608"/>
    <mergeCell ref="BL1609:BL1612"/>
    <mergeCell ref="BL1455:BL1458"/>
    <mergeCell ref="BL1460:BL1461"/>
    <mergeCell ref="BL1462:BL1463"/>
    <mergeCell ref="BL1464:BL1465"/>
    <mergeCell ref="BL1466:BL1470"/>
    <mergeCell ref="BL1475:BL1476"/>
    <mergeCell ref="BL1477:BL1480"/>
    <mergeCell ref="BL1481:BL1483"/>
    <mergeCell ref="BL1484:BL1486"/>
    <mergeCell ref="BL1492:BL1493"/>
    <mergeCell ref="BL1494:BL1496"/>
    <mergeCell ref="BL1499:BL1502"/>
    <mergeCell ref="BL1504:BL1505"/>
    <mergeCell ref="BL1507:BL1510"/>
    <mergeCell ref="BL1511:BL1515"/>
    <mergeCell ref="BL1516:BL1518"/>
    <mergeCell ref="BL1519:BL1520"/>
    <mergeCell ref="BL1375:BL1379"/>
    <mergeCell ref="BL1381:BL1384"/>
    <mergeCell ref="BL1385:BL1387"/>
    <mergeCell ref="BL1389:BL1391"/>
    <mergeCell ref="BL1392:BL1393"/>
    <mergeCell ref="BL1398:BL1399"/>
    <mergeCell ref="BL1403:BL1404"/>
    <mergeCell ref="BL1405:BL1406"/>
    <mergeCell ref="BL1407:BL1411"/>
    <mergeCell ref="BL1412:BL1421"/>
    <mergeCell ref="BL1422:BL1423"/>
    <mergeCell ref="BL1430:BL1431"/>
    <mergeCell ref="BL1435:BL1437"/>
    <mergeCell ref="BL1439:BL1440"/>
    <mergeCell ref="BL1441:BL1442"/>
    <mergeCell ref="BL1443:BL1448"/>
    <mergeCell ref="BL1450:BL1452"/>
    <mergeCell ref="BL1314:BL1316"/>
    <mergeCell ref="BL1317:BL1319"/>
    <mergeCell ref="BL1323:BL1324"/>
    <mergeCell ref="BL1325:BL1326"/>
    <mergeCell ref="BL1329:BL1330"/>
    <mergeCell ref="BL1335:BL1336"/>
    <mergeCell ref="BL1337:BL1340"/>
    <mergeCell ref="BL1341:BL1342"/>
    <mergeCell ref="BL1344:BL1345"/>
    <mergeCell ref="BL1346:BL1347"/>
    <mergeCell ref="BL1349:BL1350"/>
    <mergeCell ref="BL1351:BL1353"/>
    <mergeCell ref="BL1356:BL1359"/>
    <mergeCell ref="BL1360:BL1361"/>
    <mergeCell ref="BL1362:BL1363"/>
    <mergeCell ref="BL1365:BL1369"/>
    <mergeCell ref="BL1372:BL1374"/>
    <mergeCell ref="BL1196:BL1197"/>
    <mergeCell ref="BL1200:BL1202"/>
    <mergeCell ref="BL1203:BL1206"/>
    <mergeCell ref="BL1208:BL1209"/>
    <mergeCell ref="BL1214:BL1215"/>
    <mergeCell ref="BL1249:BL1250"/>
    <mergeCell ref="BL1261:BL1262"/>
    <mergeCell ref="BL1275:BL1276"/>
    <mergeCell ref="BL1278:BL1281"/>
    <mergeCell ref="BL1283:BL1284"/>
    <mergeCell ref="BL1289:BL1290"/>
    <mergeCell ref="BL1291:BL1293"/>
    <mergeCell ref="BL1296:BL1297"/>
    <mergeCell ref="BL1298:BL1299"/>
    <mergeCell ref="BL1301:BL1303"/>
    <mergeCell ref="BL1309:BL1310"/>
    <mergeCell ref="BL1311:BL1312"/>
    <mergeCell ref="BL1132:BL1133"/>
    <mergeCell ref="BL1134:BL1135"/>
    <mergeCell ref="BL1137:BL1138"/>
    <mergeCell ref="BL1139:BL1140"/>
    <mergeCell ref="BL1141:BL1143"/>
    <mergeCell ref="BL1144:BL1145"/>
    <mergeCell ref="BL1146:BL1148"/>
    <mergeCell ref="BL1150:BL1151"/>
    <mergeCell ref="BL1152:BL1155"/>
    <mergeCell ref="BL1157:BL1158"/>
    <mergeCell ref="BL1165:BL1166"/>
    <mergeCell ref="BL1174:BL1175"/>
    <mergeCell ref="BL1183:BL1184"/>
    <mergeCell ref="BL1187:BL1188"/>
    <mergeCell ref="BL1189:BL1190"/>
    <mergeCell ref="BL1192:BL1193"/>
    <mergeCell ref="BL1194:BL1195"/>
    <mergeCell ref="BL1071:BL1073"/>
    <mergeCell ref="BL1074:BL1075"/>
    <mergeCell ref="BL1076:BL1078"/>
    <mergeCell ref="BL1080:BL1081"/>
    <mergeCell ref="BL1091:BL1092"/>
    <mergeCell ref="BL1093:BL1094"/>
    <mergeCell ref="BL1096:BL1097"/>
    <mergeCell ref="BL1098:BL1099"/>
    <mergeCell ref="BL1100:BL1101"/>
    <mergeCell ref="BL1102:BL1103"/>
    <mergeCell ref="BL1107:BL1108"/>
    <mergeCell ref="BL1110:BL1111"/>
    <mergeCell ref="BL1120:BL1121"/>
    <mergeCell ref="BL1122:BL1124"/>
    <mergeCell ref="BL1125:BL1126"/>
    <mergeCell ref="BL1127:BL1128"/>
    <mergeCell ref="BL1129:BL1130"/>
    <mergeCell ref="BL1004:BL1005"/>
    <mergeCell ref="BL1006:BL1007"/>
    <mergeCell ref="BL1008:BL1009"/>
    <mergeCell ref="BL1010:BL1011"/>
    <mergeCell ref="BL1012:BL1013"/>
    <mergeCell ref="BL1014:BL1015"/>
    <mergeCell ref="BL1016:BL1017"/>
    <mergeCell ref="BL1019:BL1020"/>
    <mergeCell ref="BL1042:BL1044"/>
    <mergeCell ref="BL1046:BL1048"/>
    <mergeCell ref="BL1053:BL1054"/>
    <mergeCell ref="BL1056:BL1057"/>
    <mergeCell ref="BL1059:BL1060"/>
    <mergeCell ref="BL1061:BL1062"/>
    <mergeCell ref="BL1063:BL1064"/>
    <mergeCell ref="BL1065:BL1066"/>
    <mergeCell ref="BL1067:BL1068"/>
    <mergeCell ref="BL949:BL950"/>
    <mergeCell ref="BL951:BL952"/>
    <mergeCell ref="BL953:BL954"/>
    <mergeCell ref="BL955:BL957"/>
    <mergeCell ref="BL958:BL960"/>
    <mergeCell ref="BL961:BL963"/>
    <mergeCell ref="BL964:BL966"/>
    <mergeCell ref="BL967:BL969"/>
    <mergeCell ref="BL970:BL972"/>
    <mergeCell ref="BL973:BL975"/>
    <mergeCell ref="BL978:BL979"/>
    <mergeCell ref="BL980:BL981"/>
    <mergeCell ref="BL983:BL984"/>
    <mergeCell ref="BL985:BL986"/>
    <mergeCell ref="BL987:BL988"/>
    <mergeCell ref="BL989:BL990"/>
    <mergeCell ref="BL991:BL992"/>
    <mergeCell ref="BL915:BL916"/>
    <mergeCell ref="BL917:BL918"/>
    <mergeCell ref="BL919:BL920"/>
    <mergeCell ref="BL921:BL922"/>
    <mergeCell ref="BL923:BL924"/>
    <mergeCell ref="BL925:BL926"/>
    <mergeCell ref="BL927:BL928"/>
    <mergeCell ref="BL929:BL930"/>
    <mergeCell ref="BL931:BL932"/>
    <mergeCell ref="BL933:BL934"/>
    <mergeCell ref="BL935:BL936"/>
    <mergeCell ref="BL937:BL938"/>
    <mergeCell ref="BL939:BL940"/>
    <mergeCell ref="BL941:BL942"/>
    <mergeCell ref="BL943:BL944"/>
    <mergeCell ref="BL945:BL946"/>
    <mergeCell ref="BL947:BL948"/>
    <mergeCell ref="BL865:BL866"/>
    <mergeCell ref="BL867:BL868"/>
    <mergeCell ref="BL869:BL870"/>
    <mergeCell ref="BL872:BL875"/>
    <mergeCell ref="BL876:BL877"/>
    <mergeCell ref="BL879:BL880"/>
    <mergeCell ref="BL884:BL885"/>
    <mergeCell ref="BL887:BL888"/>
    <mergeCell ref="BL889:BL890"/>
    <mergeCell ref="BL891:BL892"/>
    <mergeCell ref="BL894:BL895"/>
    <mergeCell ref="BL899:BL900"/>
    <mergeCell ref="BL903:BL904"/>
    <mergeCell ref="BL905:BL906"/>
    <mergeCell ref="BL907:BL908"/>
    <mergeCell ref="BL909:BL910"/>
    <mergeCell ref="BL913:BL914"/>
    <mergeCell ref="BL808:BL809"/>
    <mergeCell ref="BL810:BL811"/>
    <mergeCell ref="BL814:BL815"/>
    <mergeCell ref="BL816:BL817"/>
    <mergeCell ref="BL818:BL820"/>
    <mergeCell ref="BL831:BL832"/>
    <mergeCell ref="BL833:BL835"/>
    <mergeCell ref="BL836:BL837"/>
    <mergeCell ref="BL838:BL840"/>
    <mergeCell ref="BL841:BL842"/>
    <mergeCell ref="BL843:BL844"/>
    <mergeCell ref="BL845:BL846"/>
    <mergeCell ref="BL847:BL849"/>
    <mergeCell ref="BL853:BL856"/>
    <mergeCell ref="BL858:BL859"/>
    <mergeCell ref="BL860:BL862"/>
    <mergeCell ref="BL863:BL864"/>
    <mergeCell ref="BL735:BL737"/>
    <mergeCell ref="BL746:BL747"/>
    <mergeCell ref="BL749:BL750"/>
    <mergeCell ref="BL751:BL752"/>
    <mergeCell ref="BL753:BL754"/>
    <mergeCell ref="BL756:BL757"/>
    <mergeCell ref="BL766:BL767"/>
    <mergeCell ref="BL768:BL769"/>
    <mergeCell ref="BL770:BL771"/>
    <mergeCell ref="BL776:BL778"/>
    <mergeCell ref="BL779:BL781"/>
    <mergeCell ref="BL782:BL783"/>
    <mergeCell ref="BL784:BL785"/>
    <mergeCell ref="BL788:BL791"/>
    <mergeCell ref="BL792:BL795"/>
    <mergeCell ref="BL796:BL797"/>
    <mergeCell ref="BL798:BL801"/>
    <mergeCell ref="BL678:BL679"/>
    <mergeCell ref="BL680:BL681"/>
    <mergeCell ref="BL687:BL688"/>
    <mergeCell ref="BL690:BL691"/>
    <mergeCell ref="BL692:BL693"/>
    <mergeCell ref="BL694:BL697"/>
    <mergeCell ref="BL698:BL699"/>
    <mergeCell ref="BL700:BL701"/>
    <mergeCell ref="BL702:BL704"/>
    <mergeCell ref="BL705:BL707"/>
    <mergeCell ref="BL708:BL711"/>
    <mergeCell ref="BL713:BL714"/>
    <mergeCell ref="BL716:BL721"/>
    <mergeCell ref="BL724:BL726"/>
    <mergeCell ref="BL727:BL728"/>
    <mergeCell ref="BL729:BL730"/>
    <mergeCell ref="BL731:BL732"/>
    <mergeCell ref="BL617:BL618"/>
    <mergeCell ref="BL619:BL620"/>
    <mergeCell ref="BL626:BL627"/>
    <mergeCell ref="BL630:BL632"/>
    <mergeCell ref="BL633:BL634"/>
    <mergeCell ref="BL635:BL636"/>
    <mergeCell ref="BL637:BL638"/>
    <mergeCell ref="BL639:BL640"/>
    <mergeCell ref="BL641:BL643"/>
    <mergeCell ref="BL648:BL649"/>
    <mergeCell ref="BL654:BL655"/>
    <mergeCell ref="BL659:BL660"/>
    <mergeCell ref="BL661:BL662"/>
    <mergeCell ref="BL666:BL667"/>
    <mergeCell ref="BL668:BL670"/>
    <mergeCell ref="BL671:BL672"/>
    <mergeCell ref="BL673:BL675"/>
    <mergeCell ref="BL567:BL569"/>
    <mergeCell ref="BL570:BL571"/>
    <mergeCell ref="BL572:BL573"/>
    <mergeCell ref="BL576:BL577"/>
    <mergeCell ref="BL578:BL579"/>
    <mergeCell ref="BL580:BL581"/>
    <mergeCell ref="BL582:BL583"/>
    <mergeCell ref="BL585:BL586"/>
    <mergeCell ref="BL587:BL588"/>
    <mergeCell ref="BL589:BL590"/>
    <mergeCell ref="BL591:BL592"/>
    <mergeCell ref="BL593:BL594"/>
    <mergeCell ref="BL595:BL596"/>
    <mergeCell ref="BL597:BL598"/>
    <mergeCell ref="BL602:BL603"/>
    <mergeCell ref="BL609:BL610"/>
    <mergeCell ref="BL612:BL613"/>
    <mergeCell ref="BL505:BL507"/>
    <mergeCell ref="BL508:BL509"/>
    <mergeCell ref="BL510:BL511"/>
    <mergeCell ref="BL512:BL514"/>
    <mergeCell ref="BL515:BL516"/>
    <mergeCell ref="BL517:BL518"/>
    <mergeCell ref="BL519:BL520"/>
    <mergeCell ref="BL521:BL522"/>
    <mergeCell ref="BL523:BL524"/>
    <mergeCell ref="BL525:BL526"/>
    <mergeCell ref="BL527:BL528"/>
    <mergeCell ref="BL534:BL535"/>
    <mergeCell ref="BL536:BL538"/>
    <mergeCell ref="BL539:BL545"/>
    <mergeCell ref="BL550:BL551"/>
    <mergeCell ref="BL554:BL556"/>
    <mergeCell ref="BL557:BL559"/>
    <mergeCell ref="BL461:BL462"/>
    <mergeCell ref="BL465:BL466"/>
    <mergeCell ref="BL467:BL469"/>
    <mergeCell ref="BL470:BL472"/>
    <mergeCell ref="BL473:BL475"/>
    <mergeCell ref="BL477:BL478"/>
    <mergeCell ref="BL479:BL481"/>
    <mergeCell ref="BL482:BL484"/>
    <mergeCell ref="BL485:BL486"/>
    <mergeCell ref="BL487:BL488"/>
    <mergeCell ref="BL491:BL492"/>
    <mergeCell ref="BL493:BL494"/>
    <mergeCell ref="BL495:BL496"/>
    <mergeCell ref="BL497:BL498"/>
    <mergeCell ref="BL499:BL500"/>
    <mergeCell ref="BL501:BL502"/>
    <mergeCell ref="BL503:BL504"/>
    <mergeCell ref="BL400:BL402"/>
    <mergeCell ref="BL403:BL405"/>
    <mergeCell ref="BL406:BL408"/>
    <mergeCell ref="BL409:BL410"/>
    <mergeCell ref="BL411:BL412"/>
    <mergeCell ref="BL413:BL416"/>
    <mergeCell ref="BL418:BL420"/>
    <mergeCell ref="BL421:BL422"/>
    <mergeCell ref="BL423:BL427"/>
    <mergeCell ref="BL428:BL429"/>
    <mergeCell ref="BL431:BL433"/>
    <mergeCell ref="BL434:BL437"/>
    <mergeCell ref="BL438:BL442"/>
    <mergeCell ref="BL443:BL445"/>
    <mergeCell ref="BL446:BL447"/>
    <mergeCell ref="BL448:BL449"/>
    <mergeCell ref="BL452:BL454"/>
    <mergeCell ref="BL350:BL351"/>
    <mergeCell ref="BL352:BL353"/>
    <mergeCell ref="BL354:BL355"/>
    <mergeCell ref="BL359:BL360"/>
    <mergeCell ref="BL361:BL362"/>
    <mergeCell ref="BL363:BL364"/>
    <mergeCell ref="BL368:BL369"/>
    <mergeCell ref="BL375:BL376"/>
    <mergeCell ref="BL377:BL378"/>
    <mergeCell ref="BL379:BL380"/>
    <mergeCell ref="BL381:BL383"/>
    <mergeCell ref="BL384:BL386"/>
    <mergeCell ref="BL387:BL388"/>
    <mergeCell ref="BL391:BL392"/>
    <mergeCell ref="BL393:BL394"/>
    <mergeCell ref="BL396:BL397"/>
    <mergeCell ref="BL398:BL399"/>
    <mergeCell ref="BL286:BL288"/>
    <mergeCell ref="BL290:BL291"/>
    <mergeCell ref="BL292:BL293"/>
    <mergeCell ref="BL294:BL296"/>
    <mergeCell ref="BL297:BL300"/>
    <mergeCell ref="BL302:BL303"/>
    <mergeCell ref="BL305:BL307"/>
    <mergeCell ref="BL308:BL309"/>
    <mergeCell ref="BL310:BL311"/>
    <mergeCell ref="BL312:BL313"/>
    <mergeCell ref="BL318:BL320"/>
    <mergeCell ref="BL327:BL329"/>
    <mergeCell ref="BL331:BL333"/>
    <mergeCell ref="BL334:BL337"/>
    <mergeCell ref="BL338:BL339"/>
    <mergeCell ref="BL342:BL343"/>
    <mergeCell ref="BL345:BL346"/>
    <mergeCell ref="BL102:BL103"/>
    <mergeCell ref="BL127:BL128"/>
    <mergeCell ref="BL132:BL134"/>
    <mergeCell ref="BL136:BL137"/>
    <mergeCell ref="BL138:BL139"/>
    <mergeCell ref="BL143:BL144"/>
    <mergeCell ref="BL146:BL148"/>
    <mergeCell ref="BL149:BL152"/>
    <mergeCell ref="BL155:BL156"/>
    <mergeCell ref="BL157:BL158"/>
    <mergeCell ref="BL168:BL169"/>
    <mergeCell ref="BL170:BL171"/>
    <mergeCell ref="BL173:BL174"/>
    <mergeCell ref="BL176:BL177"/>
    <mergeCell ref="BL178:BL179"/>
    <mergeCell ref="BL184:BL185"/>
    <mergeCell ref="BL186:BL187"/>
    <mergeCell ref="BJ1735:BJ1736"/>
    <mergeCell ref="BJ1740:BJ1741"/>
    <mergeCell ref="BJ1742:BJ1743"/>
    <mergeCell ref="BJ1749:BJ1751"/>
    <mergeCell ref="BJ1752:BJ1753"/>
    <mergeCell ref="BJ1755:BJ1756"/>
    <mergeCell ref="BJ1812:BJ1813"/>
    <mergeCell ref="BJ1839:BJ1840"/>
    <mergeCell ref="BL5:BL6"/>
    <mergeCell ref="BL7:BL8"/>
    <mergeCell ref="BL10:BL11"/>
    <mergeCell ref="BL12:BL15"/>
    <mergeCell ref="BL16:BL17"/>
    <mergeCell ref="BL18:BL21"/>
    <mergeCell ref="BL23:BL24"/>
    <mergeCell ref="BL25:BL26"/>
    <mergeCell ref="BL27:BL30"/>
    <mergeCell ref="BL32:BL35"/>
    <mergeCell ref="BL36:BL39"/>
    <mergeCell ref="BL40:BL43"/>
    <mergeCell ref="BL44:BL45"/>
    <mergeCell ref="BL47:BL48"/>
    <mergeCell ref="BL51:BL52"/>
    <mergeCell ref="BL53:BL55"/>
    <mergeCell ref="BL56:BL60"/>
    <mergeCell ref="BL61:BL64"/>
    <mergeCell ref="BL65:BL67"/>
    <mergeCell ref="BL68:BL71"/>
    <mergeCell ref="BL72:BL77"/>
    <mergeCell ref="BL79:BL85"/>
    <mergeCell ref="BL86:BL91"/>
    <mergeCell ref="BL100:BL101"/>
    <mergeCell ref="BJ1663:BJ1665"/>
    <mergeCell ref="BJ1666:BJ1667"/>
    <mergeCell ref="BJ1670:BJ1672"/>
    <mergeCell ref="BJ1674:BJ1676"/>
    <mergeCell ref="BJ1677:BJ1679"/>
    <mergeCell ref="BJ1680:BJ1681"/>
    <mergeCell ref="BJ1684:BJ1685"/>
    <mergeCell ref="BJ1690:BJ1691"/>
    <mergeCell ref="BJ1692:BJ1693"/>
    <mergeCell ref="BJ1701:BJ1703"/>
    <mergeCell ref="BJ1704:BJ1705"/>
    <mergeCell ref="BJ1706:BJ1711"/>
    <mergeCell ref="BJ1715:BJ1716"/>
    <mergeCell ref="BJ1720:BJ1721"/>
    <mergeCell ref="BJ1723:BJ1724"/>
    <mergeCell ref="BJ1727:BJ1728"/>
    <mergeCell ref="BJ1729:BJ1730"/>
    <mergeCell ref="BJ1605:BJ1608"/>
    <mergeCell ref="BJ1609:BJ1612"/>
    <mergeCell ref="BJ1613:BJ1616"/>
    <mergeCell ref="BJ1617:BJ1620"/>
    <mergeCell ref="BJ1621:BJ1624"/>
    <mergeCell ref="BJ1625:BJ1628"/>
    <mergeCell ref="BJ1632:BJ1633"/>
    <mergeCell ref="BJ1639:BJ1640"/>
    <mergeCell ref="BJ1642:BJ1643"/>
    <mergeCell ref="BJ1644:BJ1645"/>
    <mergeCell ref="BJ1646:BJ1647"/>
    <mergeCell ref="BJ1648:BJ1649"/>
    <mergeCell ref="BJ1651:BJ1652"/>
    <mergeCell ref="BJ1655:BJ1656"/>
    <mergeCell ref="BJ1657:BJ1658"/>
    <mergeCell ref="BJ1659:BJ1660"/>
    <mergeCell ref="BJ1661:BJ1662"/>
    <mergeCell ref="BJ1516:BJ1518"/>
    <mergeCell ref="BJ1519:BJ1520"/>
    <mergeCell ref="BJ1521:BJ1526"/>
    <mergeCell ref="BJ1527:BJ1532"/>
    <mergeCell ref="BJ1534:BJ1537"/>
    <mergeCell ref="BJ1538:BJ1543"/>
    <mergeCell ref="BJ1544:BJ1546"/>
    <mergeCell ref="BJ1548:BJ1549"/>
    <mergeCell ref="BJ1550:BJ1551"/>
    <mergeCell ref="BJ1555:BJ1556"/>
    <mergeCell ref="BJ1558:BJ1567"/>
    <mergeCell ref="BJ1568:BJ1577"/>
    <mergeCell ref="BJ1584:BJ1585"/>
    <mergeCell ref="BJ1588:BJ1589"/>
    <mergeCell ref="BJ1590:BJ1591"/>
    <mergeCell ref="BJ1593:BJ1596"/>
    <mergeCell ref="BJ1601:BJ1604"/>
    <mergeCell ref="BJ1443:BJ1448"/>
    <mergeCell ref="BJ1450:BJ1452"/>
    <mergeCell ref="BJ1455:BJ1458"/>
    <mergeCell ref="BJ1460:BJ1461"/>
    <mergeCell ref="BJ1462:BJ1463"/>
    <mergeCell ref="BJ1464:BJ1465"/>
    <mergeCell ref="BJ1466:BJ1470"/>
    <mergeCell ref="BJ1475:BJ1476"/>
    <mergeCell ref="BJ1477:BJ1480"/>
    <mergeCell ref="BJ1481:BJ1483"/>
    <mergeCell ref="BJ1484:BJ1486"/>
    <mergeCell ref="BJ1492:BJ1493"/>
    <mergeCell ref="BJ1494:BJ1496"/>
    <mergeCell ref="BJ1499:BJ1502"/>
    <mergeCell ref="BJ1504:BJ1505"/>
    <mergeCell ref="BJ1507:BJ1510"/>
    <mergeCell ref="BJ1511:BJ1515"/>
    <mergeCell ref="BJ1365:BJ1369"/>
    <mergeCell ref="BJ1372:BJ1374"/>
    <mergeCell ref="BJ1375:BJ1379"/>
    <mergeCell ref="BJ1381:BJ1384"/>
    <mergeCell ref="BJ1385:BJ1387"/>
    <mergeCell ref="BJ1389:BJ1391"/>
    <mergeCell ref="BJ1392:BJ1393"/>
    <mergeCell ref="BJ1398:BJ1399"/>
    <mergeCell ref="BJ1403:BJ1404"/>
    <mergeCell ref="BJ1405:BJ1406"/>
    <mergeCell ref="BJ1407:BJ1411"/>
    <mergeCell ref="BJ1412:BJ1421"/>
    <mergeCell ref="BJ1422:BJ1423"/>
    <mergeCell ref="BJ1430:BJ1431"/>
    <mergeCell ref="BJ1435:BJ1437"/>
    <mergeCell ref="BJ1439:BJ1440"/>
    <mergeCell ref="BJ1441:BJ1442"/>
    <mergeCell ref="BJ1309:BJ1310"/>
    <mergeCell ref="BJ1311:BJ1312"/>
    <mergeCell ref="BJ1314:BJ1316"/>
    <mergeCell ref="BJ1317:BJ1319"/>
    <mergeCell ref="BJ1323:BJ1324"/>
    <mergeCell ref="BJ1325:BJ1326"/>
    <mergeCell ref="BJ1329:BJ1330"/>
    <mergeCell ref="BJ1335:BJ1336"/>
    <mergeCell ref="BJ1337:BJ1340"/>
    <mergeCell ref="BJ1341:BJ1342"/>
    <mergeCell ref="BJ1344:BJ1345"/>
    <mergeCell ref="BJ1346:BJ1347"/>
    <mergeCell ref="BJ1349:BJ1350"/>
    <mergeCell ref="BJ1351:BJ1353"/>
    <mergeCell ref="BJ1356:BJ1359"/>
    <mergeCell ref="BJ1360:BJ1361"/>
    <mergeCell ref="BJ1362:BJ1363"/>
    <mergeCell ref="BJ1192:BJ1193"/>
    <mergeCell ref="BJ1194:BJ1195"/>
    <mergeCell ref="BJ1196:BJ1197"/>
    <mergeCell ref="BJ1200:BJ1202"/>
    <mergeCell ref="BJ1203:BJ1206"/>
    <mergeCell ref="BJ1208:BJ1209"/>
    <mergeCell ref="BJ1214:BJ1215"/>
    <mergeCell ref="BJ1249:BJ1250"/>
    <mergeCell ref="BJ1261:BJ1262"/>
    <mergeCell ref="BJ1275:BJ1276"/>
    <mergeCell ref="BJ1278:BJ1281"/>
    <mergeCell ref="BJ1283:BJ1284"/>
    <mergeCell ref="BJ1289:BJ1290"/>
    <mergeCell ref="BJ1291:BJ1293"/>
    <mergeCell ref="BJ1296:BJ1297"/>
    <mergeCell ref="BJ1298:BJ1299"/>
    <mergeCell ref="BJ1301:BJ1303"/>
    <mergeCell ref="BJ1127:BJ1128"/>
    <mergeCell ref="BJ1129:BJ1130"/>
    <mergeCell ref="BJ1132:BJ1133"/>
    <mergeCell ref="BJ1134:BJ1135"/>
    <mergeCell ref="BJ1137:BJ1138"/>
    <mergeCell ref="BJ1139:BJ1140"/>
    <mergeCell ref="BJ1141:BJ1143"/>
    <mergeCell ref="BJ1144:BJ1145"/>
    <mergeCell ref="BJ1146:BJ1148"/>
    <mergeCell ref="BJ1150:BJ1151"/>
    <mergeCell ref="BJ1152:BJ1155"/>
    <mergeCell ref="BJ1157:BJ1158"/>
    <mergeCell ref="BJ1165:BJ1166"/>
    <mergeCell ref="BJ1174:BJ1175"/>
    <mergeCell ref="BJ1183:BJ1184"/>
    <mergeCell ref="BJ1187:BJ1188"/>
    <mergeCell ref="BJ1189:BJ1190"/>
    <mergeCell ref="BJ1065:BJ1066"/>
    <mergeCell ref="BJ1067:BJ1068"/>
    <mergeCell ref="BJ1071:BJ1073"/>
    <mergeCell ref="BJ1074:BJ1075"/>
    <mergeCell ref="BJ1076:BJ1078"/>
    <mergeCell ref="BJ1080:BJ1081"/>
    <mergeCell ref="BJ1091:BJ1092"/>
    <mergeCell ref="BJ1093:BJ1094"/>
    <mergeCell ref="BJ1096:BJ1097"/>
    <mergeCell ref="BJ1098:BJ1099"/>
    <mergeCell ref="BJ1100:BJ1101"/>
    <mergeCell ref="BJ1102:BJ1103"/>
    <mergeCell ref="BJ1107:BJ1108"/>
    <mergeCell ref="BJ1110:BJ1111"/>
    <mergeCell ref="BJ1120:BJ1121"/>
    <mergeCell ref="BJ1122:BJ1124"/>
    <mergeCell ref="BJ1125:BJ1126"/>
    <mergeCell ref="BJ989:BJ990"/>
    <mergeCell ref="BJ991:BJ992"/>
    <mergeCell ref="BJ1004:BJ1005"/>
    <mergeCell ref="BJ1006:BJ1007"/>
    <mergeCell ref="BJ1008:BJ1009"/>
    <mergeCell ref="BJ1010:BJ1011"/>
    <mergeCell ref="BJ1012:BJ1013"/>
    <mergeCell ref="BJ1014:BJ1015"/>
    <mergeCell ref="BJ1016:BJ1017"/>
    <mergeCell ref="BJ1019:BJ1020"/>
    <mergeCell ref="BJ1042:BJ1044"/>
    <mergeCell ref="BJ1046:BJ1048"/>
    <mergeCell ref="BJ1053:BJ1054"/>
    <mergeCell ref="BJ1056:BJ1057"/>
    <mergeCell ref="BJ1059:BJ1060"/>
    <mergeCell ref="BJ1061:BJ1062"/>
    <mergeCell ref="BJ1063:BJ1064"/>
    <mergeCell ref="BJ945:BJ946"/>
    <mergeCell ref="BJ947:BJ948"/>
    <mergeCell ref="BJ949:BJ950"/>
    <mergeCell ref="BJ951:BJ952"/>
    <mergeCell ref="BJ953:BJ954"/>
    <mergeCell ref="BJ955:BJ957"/>
    <mergeCell ref="BJ958:BJ960"/>
    <mergeCell ref="BJ961:BJ963"/>
    <mergeCell ref="BJ964:BJ966"/>
    <mergeCell ref="BJ967:BJ969"/>
    <mergeCell ref="BJ970:BJ972"/>
    <mergeCell ref="BJ973:BJ975"/>
    <mergeCell ref="BJ978:BJ979"/>
    <mergeCell ref="BJ980:BJ981"/>
    <mergeCell ref="BJ983:BJ984"/>
    <mergeCell ref="BJ985:BJ986"/>
    <mergeCell ref="BJ987:BJ988"/>
    <mergeCell ref="BJ909:BJ910"/>
    <mergeCell ref="BJ913:BJ914"/>
    <mergeCell ref="BJ915:BJ916"/>
    <mergeCell ref="BJ917:BJ918"/>
    <mergeCell ref="BJ919:BJ920"/>
    <mergeCell ref="BJ921:BJ922"/>
    <mergeCell ref="BJ923:BJ924"/>
    <mergeCell ref="BJ925:BJ926"/>
    <mergeCell ref="BJ927:BJ928"/>
    <mergeCell ref="BJ929:BJ930"/>
    <mergeCell ref="BJ931:BJ932"/>
    <mergeCell ref="BJ933:BJ934"/>
    <mergeCell ref="BJ935:BJ936"/>
    <mergeCell ref="BJ937:BJ938"/>
    <mergeCell ref="BJ939:BJ940"/>
    <mergeCell ref="BJ941:BJ942"/>
    <mergeCell ref="BJ943:BJ944"/>
    <mergeCell ref="BJ860:BJ862"/>
    <mergeCell ref="BJ863:BJ864"/>
    <mergeCell ref="BJ865:BJ866"/>
    <mergeCell ref="BJ867:BJ868"/>
    <mergeCell ref="BJ869:BJ870"/>
    <mergeCell ref="BJ872:BJ875"/>
    <mergeCell ref="BJ876:BJ877"/>
    <mergeCell ref="BJ879:BJ880"/>
    <mergeCell ref="BJ884:BJ885"/>
    <mergeCell ref="BJ887:BJ888"/>
    <mergeCell ref="BJ889:BJ890"/>
    <mergeCell ref="BJ891:BJ892"/>
    <mergeCell ref="BJ894:BJ895"/>
    <mergeCell ref="BJ899:BJ900"/>
    <mergeCell ref="BJ903:BJ904"/>
    <mergeCell ref="BJ905:BJ906"/>
    <mergeCell ref="BJ907:BJ908"/>
    <mergeCell ref="BJ796:BJ797"/>
    <mergeCell ref="BJ798:BJ801"/>
    <mergeCell ref="BJ808:BJ809"/>
    <mergeCell ref="BJ810:BJ811"/>
    <mergeCell ref="BJ814:BJ815"/>
    <mergeCell ref="BJ816:BJ817"/>
    <mergeCell ref="BJ818:BJ820"/>
    <mergeCell ref="BJ831:BJ832"/>
    <mergeCell ref="BJ833:BJ835"/>
    <mergeCell ref="BJ836:BJ837"/>
    <mergeCell ref="BJ838:BJ840"/>
    <mergeCell ref="BJ841:BJ842"/>
    <mergeCell ref="BJ843:BJ844"/>
    <mergeCell ref="BJ845:BJ846"/>
    <mergeCell ref="BJ847:BJ849"/>
    <mergeCell ref="BJ853:BJ856"/>
    <mergeCell ref="BJ858:BJ859"/>
    <mergeCell ref="BJ729:BJ730"/>
    <mergeCell ref="BJ731:BJ732"/>
    <mergeCell ref="BJ735:BJ737"/>
    <mergeCell ref="BJ746:BJ747"/>
    <mergeCell ref="BJ749:BJ750"/>
    <mergeCell ref="BJ751:BJ752"/>
    <mergeCell ref="BJ753:BJ754"/>
    <mergeCell ref="BJ756:BJ757"/>
    <mergeCell ref="BJ766:BJ767"/>
    <mergeCell ref="BJ768:BJ769"/>
    <mergeCell ref="BJ770:BJ771"/>
    <mergeCell ref="BJ776:BJ778"/>
    <mergeCell ref="BJ779:BJ781"/>
    <mergeCell ref="BJ782:BJ783"/>
    <mergeCell ref="BJ784:BJ785"/>
    <mergeCell ref="BJ788:BJ791"/>
    <mergeCell ref="BJ792:BJ795"/>
    <mergeCell ref="BJ671:BJ672"/>
    <mergeCell ref="BJ673:BJ675"/>
    <mergeCell ref="BJ678:BJ679"/>
    <mergeCell ref="BJ680:BJ681"/>
    <mergeCell ref="BJ687:BJ688"/>
    <mergeCell ref="BJ690:BJ691"/>
    <mergeCell ref="BJ692:BJ693"/>
    <mergeCell ref="BJ694:BJ697"/>
    <mergeCell ref="BJ698:BJ699"/>
    <mergeCell ref="BJ700:BJ701"/>
    <mergeCell ref="BJ702:BJ704"/>
    <mergeCell ref="BJ705:BJ707"/>
    <mergeCell ref="BJ708:BJ711"/>
    <mergeCell ref="BJ713:BJ714"/>
    <mergeCell ref="BJ716:BJ721"/>
    <mergeCell ref="BJ724:BJ726"/>
    <mergeCell ref="BJ727:BJ728"/>
    <mergeCell ref="BJ609:BJ610"/>
    <mergeCell ref="BJ612:BJ613"/>
    <mergeCell ref="BJ617:BJ618"/>
    <mergeCell ref="BJ619:BJ620"/>
    <mergeCell ref="BJ626:BJ627"/>
    <mergeCell ref="BJ630:BJ632"/>
    <mergeCell ref="BJ633:BJ634"/>
    <mergeCell ref="BJ635:BJ636"/>
    <mergeCell ref="BJ637:BJ638"/>
    <mergeCell ref="BJ639:BJ640"/>
    <mergeCell ref="BJ641:BJ643"/>
    <mergeCell ref="BJ648:BJ649"/>
    <mergeCell ref="BJ654:BJ655"/>
    <mergeCell ref="BJ659:BJ660"/>
    <mergeCell ref="BJ661:BJ662"/>
    <mergeCell ref="BJ666:BJ667"/>
    <mergeCell ref="BJ668:BJ670"/>
    <mergeCell ref="BJ554:BJ556"/>
    <mergeCell ref="BJ557:BJ559"/>
    <mergeCell ref="BJ567:BJ569"/>
    <mergeCell ref="BJ570:BJ571"/>
    <mergeCell ref="BJ572:BJ573"/>
    <mergeCell ref="BJ576:BJ577"/>
    <mergeCell ref="BJ578:BJ579"/>
    <mergeCell ref="BJ580:BJ581"/>
    <mergeCell ref="BJ582:BJ583"/>
    <mergeCell ref="BJ585:BJ586"/>
    <mergeCell ref="BJ587:BJ588"/>
    <mergeCell ref="BJ589:BJ590"/>
    <mergeCell ref="BJ591:BJ592"/>
    <mergeCell ref="BJ593:BJ594"/>
    <mergeCell ref="BJ595:BJ596"/>
    <mergeCell ref="BJ597:BJ598"/>
    <mergeCell ref="BJ602:BJ603"/>
    <mergeCell ref="BJ501:BJ502"/>
    <mergeCell ref="BJ503:BJ504"/>
    <mergeCell ref="BJ505:BJ507"/>
    <mergeCell ref="BJ508:BJ509"/>
    <mergeCell ref="BJ510:BJ511"/>
    <mergeCell ref="BJ512:BJ514"/>
    <mergeCell ref="BJ515:BJ516"/>
    <mergeCell ref="BJ517:BJ518"/>
    <mergeCell ref="BJ519:BJ520"/>
    <mergeCell ref="BJ521:BJ522"/>
    <mergeCell ref="BJ523:BJ524"/>
    <mergeCell ref="BJ525:BJ526"/>
    <mergeCell ref="BJ527:BJ528"/>
    <mergeCell ref="BJ534:BJ535"/>
    <mergeCell ref="BJ536:BJ538"/>
    <mergeCell ref="BJ539:BJ545"/>
    <mergeCell ref="BJ550:BJ551"/>
    <mergeCell ref="BJ448:BJ449"/>
    <mergeCell ref="BJ452:BJ454"/>
    <mergeCell ref="BJ461:BJ462"/>
    <mergeCell ref="BJ465:BJ466"/>
    <mergeCell ref="BJ467:BJ469"/>
    <mergeCell ref="BJ470:BJ472"/>
    <mergeCell ref="BJ473:BJ475"/>
    <mergeCell ref="BJ477:BJ478"/>
    <mergeCell ref="BJ479:BJ481"/>
    <mergeCell ref="BJ482:BJ484"/>
    <mergeCell ref="BJ485:BJ486"/>
    <mergeCell ref="BJ487:BJ488"/>
    <mergeCell ref="BJ491:BJ492"/>
    <mergeCell ref="BJ493:BJ494"/>
    <mergeCell ref="BJ495:BJ496"/>
    <mergeCell ref="BJ497:BJ498"/>
    <mergeCell ref="BJ499:BJ500"/>
    <mergeCell ref="BJ396:BJ397"/>
    <mergeCell ref="BJ398:BJ399"/>
    <mergeCell ref="BJ400:BJ402"/>
    <mergeCell ref="BJ403:BJ405"/>
    <mergeCell ref="BJ406:BJ408"/>
    <mergeCell ref="BJ409:BJ410"/>
    <mergeCell ref="BJ411:BJ412"/>
    <mergeCell ref="BJ413:BJ416"/>
    <mergeCell ref="BJ418:BJ420"/>
    <mergeCell ref="BJ421:BJ422"/>
    <mergeCell ref="BJ423:BJ427"/>
    <mergeCell ref="BJ428:BJ429"/>
    <mergeCell ref="BJ431:BJ433"/>
    <mergeCell ref="BJ434:BJ437"/>
    <mergeCell ref="BJ438:BJ442"/>
    <mergeCell ref="BJ443:BJ445"/>
    <mergeCell ref="BJ446:BJ447"/>
    <mergeCell ref="BJ342:BJ343"/>
    <mergeCell ref="BJ345:BJ346"/>
    <mergeCell ref="BJ350:BJ351"/>
    <mergeCell ref="BJ352:BJ353"/>
    <mergeCell ref="BJ354:BJ355"/>
    <mergeCell ref="BJ359:BJ360"/>
    <mergeCell ref="BJ361:BJ362"/>
    <mergeCell ref="BJ363:BJ364"/>
    <mergeCell ref="BJ368:BJ369"/>
    <mergeCell ref="BJ375:BJ376"/>
    <mergeCell ref="BJ377:BJ378"/>
    <mergeCell ref="BJ379:BJ380"/>
    <mergeCell ref="BJ381:BJ383"/>
    <mergeCell ref="BJ384:BJ386"/>
    <mergeCell ref="BJ387:BJ388"/>
    <mergeCell ref="BJ391:BJ392"/>
    <mergeCell ref="BJ393:BJ394"/>
    <mergeCell ref="BJ184:BJ185"/>
    <mergeCell ref="BJ186:BJ187"/>
    <mergeCell ref="BJ286:BJ288"/>
    <mergeCell ref="BJ290:BJ291"/>
    <mergeCell ref="BJ292:BJ293"/>
    <mergeCell ref="BJ294:BJ296"/>
    <mergeCell ref="BJ297:BJ300"/>
    <mergeCell ref="BJ302:BJ303"/>
    <mergeCell ref="BJ305:BJ307"/>
    <mergeCell ref="BJ308:BJ309"/>
    <mergeCell ref="BJ310:BJ311"/>
    <mergeCell ref="BJ312:BJ313"/>
    <mergeCell ref="BJ318:BJ320"/>
    <mergeCell ref="BJ327:BJ329"/>
    <mergeCell ref="BJ331:BJ333"/>
    <mergeCell ref="BJ334:BJ337"/>
    <mergeCell ref="BJ338:BJ339"/>
    <mergeCell ref="BJ86:BJ91"/>
    <mergeCell ref="BJ100:BJ101"/>
    <mergeCell ref="BJ102:BJ103"/>
    <mergeCell ref="BJ127:BJ128"/>
    <mergeCell ref="BJ132:BJ134"/>
    <mergeCell ref="BJ136:BJ137"/>
    <mergeCell ref="BJ138:BJ139"/>
    <mergeCell ref="BJ143:BJ144"/>
    <mergeCell ref="BJ146:BJ148"/>
    <mergeCell ref="BJ149:BJ152"/>
    <mergeCell ref="BJ155:BJ156"/>
    <mergeCell ref="BJ157:BJ158"/>
    <mergeCell ref="BJ168:BJ169"/>
    <mergeCell ref="BJ170:BJ171"/>
    <mergeCell ref="BJ173:BJ174"/>
    <mergeCell ref="BJ176:BJ177"/>
    <mergeCell ref="BJ178:BJ179"/>
    <mergeCell ref="BI1727:BI1728"/>
    <mergeCell ref="BI1729:BI1730"/>
    <mergeCell ref="BI1735:BI1736"/>
    <mergeCell ref="BI1740:BI1741"/>
    <mergeCell ref="BI1742:BI1743"/>
    <mergeCell ref="BI1749:BI1751"/>
    <mergeCell ref="BI1752:BI1753"/>
    <mergeCell ref="BI1755:BI1756"/>
    <mergeCell ref="BI1812:BI1813"/>
    <mergeCell ref="BI1839:BI1840"/>
    <mergeCell ref="BJ5:BJ6"/>
    <mergeCell ref="BJ7:BJ8"/>
    <mergeCell ref="BJ10:BJ11"/>
    <mergeCell ref="BJ12:BJ15"/>
    <mergeCell ref="BJ16:BJ17"/>
    <mergeCell ref="BJ18:BJ21"/>
    <mergeCell ref="BJ23:BJ24"/>
    <mergeCell ref="BJ25:BJ26"/>
    <mergeCell ref="BJ27:BJ30"/>
    <mergeCell ref="BJ32:BJ35"/>
    <mergeCell ref="BJ36:BJ39"/>
    <mergeCell ref="BJ40:BJ43"/>
    <mergeCell ref="BJ44:BJ45"/>
    <mergeCell ref="BJ47:BJ48"/>
    <mergeCell ref="BJ51:BJ52"/>
    <mergeCell ref="BJ53:BJ55"/>
    <mergeCell ref="BJ56:BJ60"/>
    <mergeCell ref="BJ61:BJ64"/>
    <mergeCell ref="BJ65:BJ67"/>
    <mergeCell ref="BJ68:BJ71"/>
    <mergeCell ref="BJ72:BJ77"/>
    <mergeCell ref="BJ79:BJ85"/>
    <mergeCell ref="BI1659:BI1660"/>
    <mergeCell ref="BI1661:BI1662"/>
    <mergeCell ref="BI1663:BI1665"/>
    <mergeCell ref="BI1666:BI1667"/>
    <mergeCell ref="BI1670:BI1672"/>
    <mergeCell ref="BI1674:BI1676"/>
    <mergeCell ref="BI1677:BI1679"/>
    <mergeCell ref="BI1680:BI1681"/>
    <mergeCell ref="BI1684:BI1685"/>
    <mergeCell ref="BI1690:BI1691"/>
    <mergeCell ref="BI1692:BI1693"/>
    <mergeCell ref="BI1701:BI1703"/>
    <mergeCell ref="BI1704:BI1705"/>
    <mergeCell ref="BI1706:BI1711"/>
    <mergeCell ref="BI1715:BI1716"/>
    <mergeCell ref="BI1720:BI1721"/>
    <mergeCell ref="BI1723:BI1724"/>
    <mergeCell ref="BI1593:BI1596"/>
    <mergeCell ref="BI1601:BI1604"/>
    <mergeCell ref="BI1605:BI1608"/>
    <mergeCell ref="BI1609:BI1612"/>
    <mergeCell ref="BI1613:BI1616"/>
    <mergeCell ref="BI1617:BI1620"/>
    <mergeCell ref="BI1621:BI1624"/>
    <mergeCell ref="BI1625:BI1628"/>
    <mergeCell ref="BI1632:BI1633"/>
    <mergeCell ref="BI1639:BI1640"/>
    <mergeCell ref="BI1642:BI1643"/>
    <mergeCell ref="BI1644:BI1645"/>
    <mergeCell ref="BI1646:BI1647"/>
    <mergeCell ref="BI1648:BI1649"/>
    <mergeCell ref="BI1651:BI1652"/>
    <mergeCell ref="BI1655:BI1656"/>
    <mergeCell ref="BI1657:BI1658"/>
    <mergeCell ref="BI1507:BI1510"/>
    <mergeCell ref="BI1511:BI1515"/>
    <mergeCell ref="BI1516:BI1518"/>
    <mergeCell ref="BI1519:BI1520"/>
    <mergeCell ref="BI1521:BI1526"/>
    <mergeCell ref="BI1527:BI1532"/>
    <mergeCell ref="BI1534:BI1537"/>
    <mergeCell ref="BI1538:BI1543"/>
    <mergeCell ref="BI1544:BI1546"/>
    <mergeCell ref="BI1548:BI1549"/>
    <mergeCell ref="BI1550:BI1551"/>
    <mergeCell ref="BI1555:BI1556"/>
    <mergeCell ref="BI1558:BI1567"/>
    <mergeCell ref="BI1568:BI1577"/>
    <mergeCell ref="BI1584:BI1585"/>
    <mergeCell ref="BI1588:BI1589"/>
    <mergeCell ref="BI1590:BI1591"/>
    <mergeCell ref="BI1439:BI1440"/>
    <mergeCell ref="BI1441:BI1442"/>
    <mergeCell ref="BI1443:BI1448"/>
    <mergeCell ref="BI1450:BI1452"/>
    <mergeCell ref="BI1455:BI1458"/>
    <mergeCell ref="BI1460:BI1461"/>
    <mergeCell ref="BI1462:BI1463"/>
    <mergeCell ref="BI1464:BI1465"/>
    <mergeCell ref="BI1466:BI1470"/>
    <mergeCell ref="BI1475:BI1476"/>
    <mergeCell ref="BI1477:BI1480"/>
    <mergeCell ref="BI1481:BI1483"/>
    <mergeCell ref="BI1484:BI1486"/>
    <mergeCell ref="BI1492:BI1493"/>
    <mergeCell ref="BI1494:BI1496"/>
    <mergeCell ref="BI1499:BI1502"/>
    <mergeCell ref="BI1504:BI1505"/>
    <mergeCell ref="BI1360:BI1361"/>
    <mergeCell ref="BI1362:BI1363"/>
    <mergeCell ref="BI1365:BI1369"/>
    <mergeCell ref="BI1372:BI1374"/>
    <mergeCell ref="BI1375:BI1379"/>
    <mergeCell ref="BI1381:BI1384"/>
    <mergeCell ref="BI1385:BI1387"/>
    <mergeCell ref="BI1389:BI1391"/>
    <mergeCell ref="BI1392:BI1393"/>
    <mergeCell ref="BI1398:BI1399"/>
    <mergeCell ref="BI1403:BI1404"/>
    <mergeCell ref="BI1405:BI1406"/>
    <mergeCell ref="BI1407:BI1411"/>
    <mergeCell ref="BI1412:BI1421"/>
    <mergeCell ref="BI1422:BI1423"/>
    <mergeCell ref="BI1430:BI1431"/>
    <mergeCell ref="BI1435:BI1437"/>
    <mergeCell ref="BI1298:BI1299"/>
    <mergeCell ref="BI1301:BI1303"/>
    <mergeCell ref="BI1309:BI1310"/>
    <mergeCell ref="BI1311:BI1312"/>
    <mergeCell ref="BI1314:BI1316"/>
    <mergeCell ref="BI1317:BI1319"/>
    <mergeCell ref="BI1323:BI1324"/>
    <mergeCell ref="BI1325:BI1326"/>
    <mergeCell ref="BI1329:BI1330"/>
    <mergeCell ref="BI1335:BI1336"/>
    <mergeCell ref="BI1337:BI1340"/>
    <mergeCell ref="BI1341:BI1342"/>
    <mergeCell ref="BI1344:BI1345"/>
    <mergeCell ref="BI1346:BI1347"/>
    <mergeCell ref="BI1349:BI1350"/>
    <mergeCell ref="BI1351:BI1353"/>
    <mergeCell ref="BI1356:BI1359"/>
    <mergeCell ref="BI1187:BI1188"/>
    <mergeCell ref="BI1189:BI1190"/>
    <mergeCell ref="BI1192:BI1193"/>
    <mergeCell ref="BI1194:BI1195"/>
    <mergeCell ref="BI1196:BI1197"/>
    <mergeCell ref="BI1200:BI1202"/>
    <mergeCell ref="BI1203:BI1206"/>
    <mergeCell ref="BI1208:BI1209"/>
    <mergeCell ref="BI1214:BI1215"/>
    <mergeCell ref="BI1249:BI1250"/>
    <mergeCell ref="BI1261:BI1262"/>
    <mergeCell ref="BI1275:BI1276"/>
    <mergeCell ref="BI1278:BI1281"/>
    <mergeCell ref="BI1283:BI1284"/>
    <mergeCell ref="BI1289:BI1290"/>
    <mergeCell ref="BI1291:BI1293"/>
    <mergeCell ref="BI1296:BI1297"/>
    <mergeCell ref="BI1122:BI1124"/>
    <mergeCell ref="BI1125:BI1126"/>
    <mergeCell ref="BI1127:BI1128"/>
    <mergeCell ref="BI1129:BI1130"/>
    <mergeCell ref="BI1132:BI1133"/>
    <mergeCell ref="BI1134:BI1135"/>
    <mergeCell ref="BI1137:BI1138"/>
    <mergeCell ref="BI1139:BI1140"/>
    <mergeCell ref="BI1141:BI1143"/>
    <mergeCell ref="BI1144:BI1145"/>
    <mergeCell ref="BI1146:BI1148"/>
    <mergeCell ref="BI1150:BI1151"/>
    <mergeCell ref="BI1152:BI1155"/>
    <mergeCell ref="BI1157:BI1158"/>
    <mergeCell ref="BI1165:BI1166"/>
    <mergeCell ref="BI1174:BI1175"/>
    <mergeCell ref="BI1183:BI1184"/>
    <mergeCell ref="BI1061:BI1062"/>
    <mergeCell ref="BI1063:BI1064"/>
    <mergeCell ref="BI1065:BI1066"/>
    <mergeCell ref="BI1067:BI1068"/>
    <mergeCell ref="BI1071:BI1073"/>
    <mergeCell ref="BI1074:BI1075"/>
    <mergeCell ref="BI1076:BI1078"/>
    <mergeCell ref="BI1080:BI1081"/>
    <mergeCell ref="BI1091:BI1092"/>
    <mergeCell ref="BI1093:BI1094"/>
    <mergeCell ref="BI1096:BI1097"/>
    <mergeCell ref="BI1098:BI1099"/>
    <mergeCell ref="BI1100:BI1101"/>
    <mergeCell ref="BI1102:BI1103"/>
    <mergeCell ref="BI1107:BI1108"/>
    <mergeCell ref="BI1110:BI1111"/>
    <mergeCell ref="BI1120:BI1121"/>
    <mergeCell ref="BI985:BI986"/>
    <mergeCell ref="BI987:BI988"/>
    <mergeCell ref="BI989:BI990"/>
    <mergeCell ref="BI991:BI992"/>
    <mergeCell ref="BI1004:BI1005"/>
    <mergeCell ref="BI1006:BI1007"/>
    <mergeCell ref="BI1008:BI1009"/>
    <mergeCell ref="BI1010:BI1011"/>
    <mergeCell ref="BI1012:BI1013"/>
    <mergeCell ref="BI1014:BI1015"/>
    <mergeCell ref="BI1016:BI1017"/>
    <mergeCell ref="BI1019:BI1020"/>
    <mergeCell ref="BI1042:BI1044"/>
    <mergeCell ref="BI1046:BI1048"/>
    <mergeCell ref="BI1053:BI1054"/>
    <mergeCell ref="BI1056:BI1057"/>
    <mergeCell ref="BI1059:BI1060"/>
    <mergeCell ref="BI941:BI942"/>
    <mergeCell ref="BI943:BI944"/>
    <mergeCell ref="BI945:BI946"/>
    <mergeCell ref="BI947:BI948"/>
    <mergeCell ref="BI949:BI950"/>
    <mergeCell ref="BI951:BI952"/>
    <mergeCell ref="BI953:BI954"/>
    <mergeCell ref="BI955:BI957"/>
    <mergeCell ref="BI958:BI960"/>
    <mergeCell ref="BI961:BI963"/>
    <mergeCell ref="BI964:BI966"/>
    <mergeCell ref="BI967:BI969"/>
    <mergeCell ref="BI970:BI972"/>
    <mergeCell ref="BI973:BI975"/>
    <mergeCell ref="BI978:BI979"/>
    <mergeCell ref="BI980:BI981"/>
    <mergeCell ref="BI983:BI984"/>
    <mergeCell ref="BI905:BI906"/>
    <mergeCell ref="BI907:BI908"/>
    <mergeCell ref="BI909:BI910"/>
    <mergeCell ref="BI913:BI914"/>
    <mergeCell ref="BI915:BI916"/>
    <mergeCell ref="BI917:BI918"/>
    <mergeCell ref="BI919:BI920"/>
    <mergeCell ref="BI921:BI922"/>
    <mergeCell ref="BI923:BI924"/>
    <mergeCell ref="BI925:BI926"/>
    <mergeCell ref="BI927:BI928"/>
    <mergeCell ref="BI929:BI930"/>
    <mergeCell ref="BI931:BI932"/>
    <mergeCell ref="BI933:BI934"/>
    <mergeCell ref="BI935:BI936"/>
    <mergeCell ref="BI937:BI938"/>
    <mergeCell ref="BI939:BI940"/>
    <mergeCell ref="BI853:BI856"/>
    <mergeCell ref="BI858:BI859"/>
    <mergeCell ref="BI860:BI862"/>
    <mergeCell ref="BI863:BI864"/>
    <mergeCell ref="BI865:BI866"/>
    <mergeCell ref="BI867:BI868"/>
    <mergeCell ref="BI869:BI870"/>
    <mergeCell ref="BI872:BI875"/>
    <mergeCell ref="BI876:BI877"/>
    <mergeCell ref="BI879:BI880"/>
    <mergeCell ref="BI884:BI885"/>
    <mergeCell ref="BI887:BI888"/>
    <mergeCell ref="BI889:BI890"/>
    <mergeCell ref="BI891:BI892"/>
    <mergeCell ref="BI894:BI895"/>
    <mergeCell ref="BI899:BI900"/>
    <mergeCell ref="BI903:BI904"/>
    <mergeCell ref="BI788:BI791"/>
    <mergeCell ref="BI792:BI795"/>
    <mergeCell ref="BI796:BI797"/>
    <mergeCell ref="BI798:BI801"/>
    <mergeCell ref="BI808:BI809"/>
    <mergeCell ref="BI810:BI811"/>
    <mergeCell ref="BI814:BI815"/>
    <mergeCell ref="BI816:BI817"/>
    <mergeCell ref="BI818:BI820"/>
    <mergeCell ref="BI831:BI832"/>
    <mergeCell ref="BI833:BI835"/>
    <mergeCell ref="BI836:BI837"/>
    <mergeCell ref="BI838:BI840"/>
    <mergeCell ref="BI841:BI842"/>
    <mergeCell ref="BI843:BI844"/>
    <mergeCell ref="BI845:BI846"/>
    <mergeCell ref="BI847:BI849"/>
    <mergeCell ref="BI724:BI726"/>
    <mergeCell ref="BI727:BI728"/>
    <mergeCell ref="BI729:BI730"/>
    <mergeCell ref="BI731:BI732"/>
    <mergeCell ref="BI735:BI737"/>
    <mergeCell ref="BI746:BI747"/>
    <mergeCell ref="BI749:BI750"/>
    <mergeCell ref="BI751:BI752"/>
    <mergeCell ref="BI753:BI754"/>
    <mergeCell ref="BI756:BI757"/>
    <mergeCell ref="BI766:BI767"/>
    <mergeCell ref="BI768:BI769"/>
    <mergeCell ref="BI770:BI771"/>
    <mergeCell ref="BI776:BI778"/>
    <mergeCell ref="BI779:BI781"/>
    <mergeCell ref="BI782:BI783"/>
    <mergeCell ref="BI784:BI785"/>
    <mergeCell ref="BI666:BI667"/>
    <mergeCell ref="BI668:BI670"/>
    <mergeCell ref="BI671:BI672"/>
    <mergeCell ref="BI673:BI675"/>
    <mergeCell ref="BI678:BI679"/>
    <mergeCell ref="BI680:BI681"/>
    <mergeCell ref="BI687:BI688"/>
    <mergeCell ref="BI690:BI691"/>
    <mergeCell ref="BI692:BI693"/>
    <mergeCell ref="BI694:BI697"/>
    <mergeCell ref="BI698:BI699"/>
    <mergeCell ref="BI700:BI701"/>
    <mergeCell ref="BI702:BI704"/>
    <mergeCell ref="BI705:BI707"/>
    <mergeCell ref="BI708:BI711"/>
    <mergeCell ref="BI713:BI714"/>
    <mergeCell ref="BI716:BI721"/>
    <mergeCell ref="BI597:BI598"/>
    <mergeCell ref="BI602:BI603"/>
    <mergeCell ref="BI609:BI610"/>
    <mergeCell ref="BI612:BI613"/>
    <mergeCell ref="BI617:BI618"/>
    <mergeCell ref="BI619:BI620"/>
    <mergeCell ref="BI626:BI627"/>
    <mergeCell ref="BI630:BI632"/>
    <mergeCell ref="BI633:BI634"/>
    <mergeCell ref="BI635:BI636"/>
    <mergeCell ref="BI637:BI638"/>
    <mergeCell ref="BI639:BI640"/>
    <mergeCell ref="BI641:BI643"/>
    <mergeCell ref="BI648:BI649"/>
    <mergeCell ref="BI654:BI655"/>
    <mergeCell ref="BI659:BI660"/>
    <mergeCell ref="BI661:BI662"/>
    <mergeCell ref="BI539:BI545"/>
    <mergeCell ref="BI550:BI551"/>
    <mergeCell ref="BI554:BI556"/>
    <mergeCell ref="BI557:BI559"/>
    <mergeCell ref="BI567:BI569"/>
    <mergeCell ref="BI570:BI571"/>
    <mergeCell ref="BI572:BI573"/>
    <mergeCell ref="BI576:BI577"/>
    <mergeCell ref="BI578:BI579"/>
    <mergeCell ref="BI580:BI581"/>
    <mergeCell ref="BI582:BI583"/>
    <mergeCell ref="BI585:BI586"/>
    <mergeCell ref="BI587:BI588"/>
    <mergeCell ref="BI589:BI590"/>
    <mergeCell ref="BI591:BI592"/>
    <mergeCell ref="BI593:BI594"/>
    <mergeCell ref="BI595:BI596"/>
    <mergeCell ref="BI497:BI498"/>
    <mergeCell ref="BI499:BI500"/>
    <mergeCell ref="BI501:BI502"/>
    <mergeCell ref="BI503:BI504"/>
    <mergeCell ref="BI505:BI507"/>
    <mergeCell ref="BI508:BI509"/>
    <mergeCell ref="BI510:BI511"/>
    <mergeCell ref="BI512:BI514"/>
    <mergeCell ref="BI515:BI516"/>
    <mergeCell ref="BI517:BI518"/>
    <mergeCell ref="BI519:BI520"/>
    <mergeCell ref="BI521:BI522"/>
    <mergeCell ref="BI523:BI524"/>
    <mergeCell ref="BI525:BI526"/>
    <mergeCell ref="BI527:BI528"/>
    <mergeCell ref="BI534:BI535"/>
    <mergeCell ref="BI536:BI538"/>
    <mergeCell ref="BI443:BI445"/>
    <mergeCell ref="BI446:BI447"/>
    <mergeCell ref="BI448:BI449"/>
    <mergeCell ref="BI452:BI454"/>
    <mergeCell ref="BI461:BI462"/>
    <mergeCell ref="BI465:BI466"/>
    <mergeCell ref="BI467:BI469"/>
    <mergeCell ref="BI470:BI472"/>
    <mergeCell ref="BI473:BI475"/>
    <mergeCell ref="BI477:BI478"/>
    <mergeCell ref="BI479:BI481"/>
    <mergeCell ref="BI482:BI484"/>
    <mergeCell ref="BI485:BI486"/>
    <mergeCell ref="BI487:BI488"/>
    <mergeCell ref="BI491:BI492"/>
    <mergeCell ref="BI493:BI494"/>
    <mergeCell ref="BI495:BI496"/>
    <mergeCell ref="BI391:BI392"/>
    <mergeCell ref="BI393:BI394"/>
    <mergeCell ref="BI396:BI397"/>
    <mergeCell ref="BI398:BI399"/>
    <mergeCell ref="BI400:BI402"/>
    <mergeCell ref="BI403:BI405"/>
    <mergeCell ref="BI406:BI408"/>
    <mergeCell ref="BI409:BI410"/>
    <mergeCell ref="BI411:BI412"/>
    <mergeCell ref="BI413:BI416"/>
    <mergeCell ref="BI418:BI420"/>
    <mergeCell ref="BI421:BI422"/>
    <mergeCell ref="BI423:BI427"/>
    <mergeCell ref="BI428:BI429"/>
    <mergeCell ref="BI431:BI433"/>
    <mergeCell ref="BI434:BI437"/>
    <mergeCell ref="BI438:BI442"/>
    <mergeCell ref="BI334:BI337"/>
    <mergeCell ref="BI338:BI339"/>
    <mergeCell ref="BI342:BI343"/>
    <mergeCell ref="BI345:BI346"/>
    <mergeCell ref="BI350:BI351"/>
    <mergeCell ref="BI352:BI353"/>
    <mergeCell ref="BI354:BI355"/>
    <mergeCell ref="BI359:BI360"/>
    <mergeCell ref="BI361:BI362"/>
    <mergeCell ref="BI363:BI364"/>
    <mergeCell ref="BI368:BI369"/>
    <mergeCell ref="BI375:BI376"/>
    <mergeCell ref="BI377:BI378"/>
    <mergeCell ref="BI379:BI380"/>
    <mergeCell ref="BI381:BI383"/>
    <mergeCell ref="BI384:BI386"/>
    <mergeCell ref="BI387:BI388"/>
    <mergeCell ref="BI176:BI177"/>
    <mergeCell ref="BI178:BI179"/>
    <mergeCell ref="BI184:BI185"/>
    <mergeCell ref="BI186:BI187"/>
    <mergeCell ref="BI286:BI288"/>
    <mergeCell ref="BI290:BI291"/>
    <mergeCell ref="BI292:BI293"/>
    <mergeCell ref="BI294:BI296"/>
    <mergeCell ref="BI297:BI300"/>
    <mergeCell ref="BI302:BI303"/>
    <mergeCell ref="BI305:BI307"/>
    <mergeCell ref="BI308:BI309"/>
    <mergeCell ref="BI310:BI311"/>
    <mergeCell ref="BI312:BI313"/>
    <mergeCell ref="BI318:BI320"/>
    <mergeCell ref="BI327:BI329"/>
    <mergeCell ref="BI331:BI333"/>
    <mergeCell ref="BI72:BI77"/>
    <mergeCell ref="BI79:BI85"/>
    <mergeCell ref="BI86:BI91"/>
    <mergeCell ref="BI100:BI101"/>
    <mergeCell ref="BI102:BI103"/>
    <mergeCell ref="BI127:BI128"/>
    <mergeCell ref="BI132:BI134"/>
    <mergeCell ref="BI136:BI137"/>
    <mergeCell ref="BI138:BI139"/>
    <mergeCell ref="BI143:BI144"/>
    <mergeCell ref="BI146:BI148"/>
    <mergeCell ref="BI149:BI152"/>
    <mergeCell ref="BI155:BI156"/>
    <mergeCell ref="BI157:BI158"/>
    <mergeCell ref="BI168:BI169"/>
    <mergeCell ref="BI170:BI171"/>
    <mergeCell ref="BI173:BI174"/>
    <mergeCell ref="BH1720:BH1721"/>
    <mergeCell ref="BH1723:BH1724"/>
    <mergeCell ref="BH1727:BH1728"/>
    <mergeCell ref="BH1729:BH1730"/>
    <mergeCell ref="BH1735:BH1736"/>
    <mergeCell ref="BH1740:BH1741"/>
    <mergeCell ref="BH1742:BH1743"/>
    <mergeCell ref="BH1749:BH1751"/>
    <mergeCell ref="BH1752:BH1753"/>
    <mergeCell ref="BH1755:BH1756"/>
    <mergeCell ref="BH1812:BH1813"/>
    <mergeCell ref="BH1839:BH1840"/>
    <mergeCell ref="BI5:BI6"/>
    <mergeCell ref="BI7:BI8"/>
    <mergeCell ref="BI10:BI11"/>
    <mergeCell ref="BI12:BI15"/>
    <mergeCell ref="BI16:BI17"/>
    <mergeCell ref="BI18:BI21"/>
    <mergeCell ref="BI23:BI24"/>
    <mergeCell ref="BI25:BI26"/>
    <mergeCell ref="BI27:BI30"/>
    <mergeCell ref="BI32:BI35"/>
    <mergeCell ref="BI36:BI39"/>
    <mergeCell ref="BI40:BI43"/>
    <mergeCell ref="BI44:BI45"/>
    <mergeCell ref="BI47:BI48"/>
    <mergeCell ref="BI51:BI52"/>
    <mergeCell ref="BI53:BI55"/>
    <mergeCell ref="BI56:BI60"/>
    <mergeCell ref="BI61:BI64"/>
    <mergeCell ref="BI65:BI67"/>
    <mergeCell ref="BI68:BI71"/>
    <mergeCell ref="BH1655:BH1656"/>
    <mergeCell ref="BH1657:BH1658"/>
    <mergeCell ref="BH1659:BH1660"/>
    <mergeCell ref="BH1661:BH1662"/>
    <mergeCell ref="BH1663:BH1665"/>
    <mergeCell ref="BH1666:BH1667"/>
    <mergeCell ref="BH1670:BH1672"/>
    <mergeCell ref="BH1674:BH1676"/>
    <mergeCell ref="BH1677:BH1679"/>
    <mergeCell ref="BH1680:BH1681"/>
    <mergeCell ref="BH1684:BH1685"/>
    <mergeCell ref="BH1690:BH1691"/>
    <mergeCell ref="BH1692:BH1693"/>
    <mergeCell ref="BH1701:BH1703"/>
    <mergeCell ref="BH1704:BH1705"/>
    <mergeCell ref="BH1706:BH1711"/>
    <mergeCell ref="BH1715:BH1716"/>
    <mergeCell ref="BH1588:BH1589"/>
    <mergeCell ref="BH1590:BH1591"/>
    <mergeCell ref="BH1593:BH1596"/>
    <mergeCell ref="BH1601:BH1604"/>
    <mergeCell ref="BH1605:BH1608"/>
    <mergeCell ref="BH1609:BH1612"/>
    <mergeCell ref="BH1613:BH1616"/>
    <mergeCell ref="BH1617:BH1620"/>
    <mergeCell ref="BH1621:BH1624"/>
    <mergeCell ref="BH1625:BH1628"/>
    <mergeCell ref="BH1632:BH1633"/>
    <mergeCell ref="BH1639:BH1640"/>
    <mergeCell ref="BH1642:BH1643"/>
    <mergeCell ref="BH1644:BH1645"/>
    <mergeCell ref="BH1646:BH1647"/>
    <mergeCell ref="BH1648:BH1649"/>
    <mergeCell ref="BH1651:BH1652"/>
    <mergeCell ref="BH1499:BH1502"/>
    <mergeCell ref="BH1504:BH1505"/>
    <mergeCell ref="BH1507:BH1510"/>
    <mergeCell ref="BH1511:BH1515"/>
    <mergeCell ref="BH1516:BH1518"/>
    <mergeCell ref="BH1519:BH1520"/>
    <mergeCell ref="BH1521:BH1526"/>
    <mergeCell ref="BH1527:BH1532"/>
    <mergeCell ref="BH1534:BH1537"/>
    <mergeCell ref="BH1538:BH1543"/>
    <mergeCell ref="BH1544:BH1546"/>
    <mergeCell ref="BH1548:BH1549"/>
    <mergeCell ref="BH1550:BH1551"/>
    <mergeCell ref="BH1555:BH1556"/>
    <mergeCell ref="BH1558:BH1567"/>
    <mergeCell ref="BH1568:BH1577"/>
    <mergeCell ref="BH1584:BH1585"/>
    <mergeCell ref="BH1430:BH1431"/>
    <mergeCell ref="BH1435:BH1437"/>
    <mergeCell ref="BH1439:BH1440"/>
    <mergeCell ref="BH1441:BH1442"/>
    <mergeCell ref="BH1443:BH1448"/>
    <mergeCell ref="BH1450:BH1452"/>
    <mergeCell ref="BH1455:BH1458"/>
    <mergeCell ref="BH1460:BH1461"/>
    <mergeCell ref="BH1462:BH1463"/>
    <mergeCell ref="BH1464:BH1465"/>
    <mergeCell ref="BH1466:BH1470"/>
    <mergeCell ref="BH1475:BH1476"/>
    <mergeCell ref="BH1477:BH1480"/>
    <mergeCell ref="BH1481:BH1483"/>
    <mergeCell ref="BH1484:BH1486"/>
    <mergeCell ref="BH1492:BH1493"/>
    <mergeCell ref="BH1494:BH1496"/>
    <mergeCell ref="BH1351:BH1353"/>
    <mergeCell ref="BH1356:BH1359"/>
    <mergeCell ref="BH1360:BH1361"/>
    <mergeCell ref="BH1362:BH1363"/>
    <mergeCell ref="BH1365:BH1369"/>
    <mergeCell ref="BH1372:BH1374"/>
    <mergeCell ref="BH1375:BH1379"/>
    <mergeCell ref="BH1381:BH1384"/>
    <mergeCell ref="BH1385:BH1387"/>
    <mergeCell ref="BH1389:BH1391"/>
    <mergeCell ref="BH1392:BH1393"/>
    <mergeCell ref="BH1398:BH1399"/>
    <mergeCell ref="BH1403:BH1404"/>
    <mergeCell ref="BH1405:BH1406"/>
    <mergeCell ref="BH1407:BH1411"/>
    <mergeCell ref="BH1412:BH1421"/>
    <mergeCell ref="BH1422:BH1423"/>
    <mergeCell ref="BH1291:BH1293"/>
    <mergeCell ref="BH1296:BH1297"/>
    <mergeCell ref="BH1298:BH1299"/>
    <mergeCell ref="BH1301:BH1303"/>
    <mergeCell ref="BH1309:BH1310"/>
    <mergeCell ref="BH1311:BH1312"/>
    <mergeCell ref="BH1314:BH1316"/>
    <mergeCell ref="BH1317:BH1319"/>
    <mergeCell ref="BH1323:BH1324"/>
    <mergeCell ref="BH1325:BH1326"/>
    <mergeCell ref="BH1329:BH1330"/>
    <mergeCell ref="BH1335:BH1336"/>
    <mergeCell ref="BH1337:BH1340"/>
    <mergeCell ref="BH1341:BH1342"/>
    <mergeCell ref="BH1344:BH1345"/>
    <mergeCell ref="BH1346:BH1347"/>
    <mergeCell ref="BH1349:BH1350"/>
    <mergeCell ref="BH1174:BH1175"/>
    <mergeCell ref="BH1183:BH1184"/>
    <mergeCell ref="BH1187:BH1188"/>
    <mergeCell ref="BH1189:BH1190"/>
    <mergeCell ref="BH1192:BH1193"/>
    <mergeCell ref="BH1194:BH1195"/>
    <mergeCell ref="BH1196:BH1197"/>
    <mergeCell ref="BH1200:BH1202"/>
    <mergeCell ref="BH1203:BH1206"/>
    <mergeCell ref="BH1208:BH1209"/>
    <mergeCell ref="BH1214:BH1215"/>
    <mergeCell ref="BH1249:BH1250"/>
    <mergeCell ref="BH1261:BH1262"/>
    <mergeCell ref="BH1275:BH1276"/>
    <mergeCell ref="BH1278:BH1281"/>
    <mergeCell ref="BH1283:BH1284"/>
    <mergeCell ref="BH1289:BH1290"/>
    <mergeCell ref="BH1110:BH1111"/>
    <mergeCell ref="BH1120:BH1121"/>
    <mergeCell ref="BH1122:BH1124"/>
    <mergeCell ref="BH1125:BH1126"/>
    <mergeCell ref="BH1127:BH1128"/>
    <mergeCell ref="BH1129:BH1130"/>
    <mergeCell ref="BH1132:BH1133"/>
    <mergeCell ref="BH1134:BH1135"/>
    <mergeCell ref="BH1137:BH1138"/>
    <mergeCell ref="BH1139:BH1140"/>
    <mergeCell ref="BH1141:BH1143"/>
    <mergeCell ref="BH1144:BH1145"/>
    <mergeCell ref="BH1146:BH1148"/>
    <mergeCell ref="BH1150:BH1151"/>
    <mergeCell ref="BH1152:BH1155"/>
    <mergeCell ref="BH1157:BH1158"/>
    <mergeCell ref="BH1165:BH1166"/>
    <mergeCell ref="BH1056:BH1057"/>
    <mergeCell ref="BH1059:BH1060"/>
    <mergeCell ref="BH1061:BH1062"/>
    <mergeCell ref="BH1063:BH1064"/>
    <mergeCell ref="BH1065:BH1066"/>
    <mergeCell ref="BH1067:BH1068"/>
    <mergeCell ref="BH1071:BH1073"/>
    <mergeCell ref="BH1074:BH1075"/>
    <mergeCell ref="BH1076:BH1078"/>
    <mergeCell ref="BH1080:BH1081"/>
    <mergeCell ref="BH1091:BH1092"/>
    <mergeCell ref="BH1093:BH1094"/>
    <mergeCell ref="BH1096:BH1097"/>
    <mergeCell ref="BH1098:BH1099"/>
    <mergeCell ref="BH1100:BH1101"/>
    <mergeCell ref="BH1102:BH1103"/>
    <mergeCell ref="BH1107:BH1108"/>
    <mergeCell ref="BH980:BH981"/>
    <mergeCell ref="BH983:BH984"/>
    <mergeCell ref="BH985:BH986"/>
    <mergeCell ref="BH987:BH988"/>
    <mergeCell ref="BH989:BH990"/>
    <mergeCell ref="BH991:BH992"/>
    <mergeCell ref="BH1004:BH1005"/>
    <mergeCell ref="BH1006:BH1007"/>
    <mergeCell ref="BH1008:BH1009"/>
    <mergeCell ref="BH1010:BH1011"/>
    <mergeCell ref="BH1012:BH1013"/>
    <mergeCell ref="BH1014:BH1015"/>
    <mergeCell ref="BH1016:BH1017"/>
    <mergeCell ref="BH1019:BH1020"/>
    <mergeCell ref="BH1042:BH1044"/>
    <mergeCell ref="BH1046:BH1048"/>
    <mergeCell ref="BH1053:BH1054"/>
    <mergeCell ref="BH937:BH938"/>
    <mergeCell ref="BH939:BH940"/>
    <mergeCell ref="BH941:BH942"/>
    <mergeCell ref="BH943:BH944"/>
    <mergeCell ref="BH945:BH946"/>
    <mergeCell ref="BH947:BH948"/>
    <mergeCell ref="BH949:BH950"/>
    <mergeCell ref="BH951:BH952"/>
    <mergeCell ref="BH953:BH954"/>
    <mergeCell ref="BH955:BH957"/>
    <mergeCell ref="BH958:BH960"/>
    <mergeCell ref="BH961:BH963"/>
    <mergeCell ref="BH964:BH966"/>
    <mergeCell ref="BH967:BH969"/>
    <mergeCell ref="BH970:BH972"/>
    <mergeCell ref="BH973:BH975"/>
    <mergeCell ref="BH978:BH979"/>
    <mergeCell ref="BH899:BH900"/>
    <mergeCell ref="BH903:BH904"/>
    <mergeCell ref="BH905:BH906"/>
    <mergeCell ref="BH907:BH908"/>
    <mergeCell ref="BH909:BH910"/>
    <mergeCell ref="BH913:BH914"/>
    <mergeCell ref="BH915:BH916"/>
    <mergeCell ref="BH917:BH918"/>
    <mergeCell ref="BH919:BH920"/>
    <mergeCell ref="BH921:BH922"/>
    <mergeCell ref="BH923:BH924"/>
    <mergeCell ref="BH925:BH926"/>
    <mergeCell ref="BH927:BH928"/>
    <mergeCell ref="BH929:BH930"/>
    <mergeCell ref="BH931:BH932"/>
    <mergeCell ref="BH933:BH934"/>
    <mergeCell ref="BH935:BH936"/>
    <mergeCell ref="BH845:BH846"/>
    <mergeCell ref="BH847:BH849"/>
    <mergeCell ref="BH853:BH856"/>
    <mergeCell ref="BH858:BH859"/>
    <mergeCell ref="BH860:BH862"/>
    <mergeCell ref="BH863:BH864"/>
    <mergeCell ref="BH865:BH866"/>
    <mergeCell ref="BH867:BH868"/>
    <mergeCell ref="BH869:BH870"/>
    <mergeCell ref="BH872:BH875"/>
    <mergeCell ref="BH876:BH877"/>
    <mergeCell ref="BH879:BH880"/>
    <mergeCell ref="BH884:BH885"/>
    <mergeCell ref="BH887:BH888"/>
    <mergeCell ref="BH889:BH890"/>
    <mergeCell ref="BH891:BH892"/>
    <mergeCell ref="BH894:BH895"/>
    <mergeCell ref="BH782:BH783"/>
    <mergeCell ref="BH784:BH785"/>
    <mergeCell ref="BH788:BH791"/>
    <mergeCell ref="BH792:BH795"/>
    <mergeCell ref="BH796:BH797"/>
    <mergeCell ref="BH798:BH801"/>
    <mergeCell ref="BH808:BH809"/>
    <mergeCell ref="BH810:BH811"/>
    <mergeCell ref="BH814:BH815"/>
    <mergeCell ref="BH816:BH817"/>
    <mergeCell ref="BH818:BH820"/>
    <mergeCell ref="BH831:BH832"/>
    <mergeCell ref="BH833:BH835"/>
    <mergeCell ref="BH836:BH837"/>
    <mergeCell ref="BH838:BH840"/>
    <mergeCell ref="BH841:BH842"/>
    <mergeCell ref="BH843:BH844"/>
    <mergeCell ref="BH713:BH714"/>
    <mergeCell ref="BH716:BH721"/>
    <mergeCell ref="BH724:BH726"/>
    <mergeCell ref="BH727:BH728"/>
    <mergeCell ref="BH729:BH730"/>
    <mergeCell ref="BH731:BH732"/>
    <mergeCell ref="BH735:BH737"/>
    <mergeCell ref="BH746:BH747"/>
    <mergeCell ref="BH749:BH750"/>
    <mergeCell ref="BH751:BH752"/>
    <mergeCell ref="BH753:BH754"/>
    <mergeCell ref="BH756:BH757"/>
    <mergeCell ref="BH766:BH767"/>
    <mergeCell ref="BH768:BH769"/>
    <mergeCell ref="BH770:BH771"/>
    <mergeCell ref="BH776:BH778"/>
    <mergeCell ref="BH779:BH781"/>
    <mergeCell ref="BH659:BH660"/>
    <mergeCell ref="BH661:BH662"/>
    <mergeCell ref="BH666:BH667"/>
    <mergeCell ref="BH668:BH670"/>
    <mergeCell ref="BH671:BH672"/>
    <mergeCell ref="BH673:BH675"/>
    <mergeCell ref="BH678:BH679"/>
    <mergeCell ref="BH680:BH681"/>
    <mergeCell ref="BH687:BH688"/>
    <mergeCell ref="BH690:BH691"/>
    <mergeCell ref="BH692:BH693"/>
    <mergeCell ref="BH694:BH697"/>
    <mergeCell ref="BH698:BH699"/>
    <mergeCell ref="BH700:BH701"/>
    <mergeCell ref="BH702:BH704"/>
    <mergeCell ref="BH705:BH707"/>
    <mergeCell ref="BH708:BH711"/>
    <mergeCell ref="BH593:BH594"/>
    <mergeCell ref="BH595:BH596"/>
    <mergeCell ref="BH597:BH598"/>
    <mergeCell ref="BH602:BH603"/>
    <mergeCell ref="BH609:BH610"/>
    <mergeCell ref="BH612:BH613"/>
    <mergeCell ref="BH617:BH618"/>
    <mergeCell ref="BH619:BH620"/>
    <mergeCell ref="BH626:BH627"/>
    <mergeCell ref="BH630:BH632"/>
    <mergeCell ref="BH633:BH634"/>
    <mergeCell ref="BH635:BH636"/>
    <mergeCell ref="BH637:BH638"/>
    <mergeCell ref="BH639:BH640"/>
    <mergeCell ref="BH641:BH643"/>
    <mergeCell ref="BH648:BH649"/>
    <mergeCell ref="BH654:BH655"/>
    <mergeCell ref="BH534:BH535"/>
    <mergeCell ref="BH536:BH538"/>
    <mergeCell ref="BH539:BH545"/>
    <mergeCell ref="BH550:BH551"/>
    <mergeCell ref="BH554:BH556"/>
    <mergeCell ref="BH557:BH559"/>
    <mergeCell ref="BH567:BH569"/>
    <mergeCell ref="BH570:BH571"/>
    <mergeCell ref="BH572:BH573"/>
    <mergeCell ref="BH576:BH577"/>
    <mergeCell ref="BH578:BH579"/>
    <mergeCell ref="BH580:BH581"/>
    <mergeCell ref="BH582:BH583"/>
    <mergeCell ref="BH585:BH586"/>
    <mergeCell ref="BH587:BH588"/>
    <mergeCell ref="BH589:BH590"/>
    <mergeCell ref="BH591:BH592"/>
    <mergeCell ref="BH493:BH494"/>
    <mergeCell ref="BH495:BH496"/>
    <mergeCell ref="BH497:BH498"/>
    <mergeCell ref="BH499:BH500"/>
    <mergeCell ref="BH501:BH502"/>
    <mergeCell ref="BH503:BH504"/>
    <mergeCell ref="BH505:BH507"/>
    <mergeCell ref="BH508:BH509"/>
    <mergeCell ref="BH510:BH511"/>
    <mergeCell ref="BH512:BH514"/>
    <mergeCell ref="BH515:BH516"/>
    <mergeCell ref="BH517:BH518"/>
    <mergeCell ref="BH519:BH520"/>
    <mergeCell ref="BH521:BH522"/>
    <mergeCell ref="BH523:BH524"/>
    <mergeCell ref="BH525:BH526"/>
    <mergeCell ref="BH527:BH528"/>
    <mergeCell ref="BH434:BH437"/>
    <mergeCell ref="BH438:BH442"/>
    <mergeCell ref="BH443:BH445"/>
    <mergeCell ref="BH446:BH447"/>
    <mergeCell ref="BH448:BH449"/>
    <mergeCell ref="BH452:BH454"/>
    <mergeCell ref="BH461:BH462"/>
    <mergeCell ref="BH465:BH466"/>
    <mergeCell ref="BH467:BH469"/>
    <mergeCell ref="BH470:BH472"/>
    <mergeCell ref="BH473:BH475"/>
    <mergeCell ref="BH477:BH478"/>
    <mergeCell ref="BH479:BH481"/>
    <mergeCell ref="BH482:BH484"/>
    <mergeCell ref="BH485:BH486"/>
    <mergeCell ref="BH487:BH488"/>
    <mergeCell ref="BH491:BH492"/>
    <mergeCell ref="BH384:BH386"/>
    <mergeCell ref="BH387:BH388"/>
    <mergeCell ref="BH391:BH392"/>
    <mergeCell ref="BH393:BH394"/>
    <mergeCell ref="BH396:BH397"/>
    <mergeCell ref="BH398:BH399"/>
    <mergeCell ref="BH400:BH402"/>
    <mergeCell ref="BH403:BH405"/>
    <mergeCell ref="BH406:BH408"/>
    <mergeCell ref="BH409:BH410"/>
    <mergeCell ref="BH411:BH412"/>
    <mergeCell ref="BH413:BH416"/>
    <mergeCell ref="BH418:BH420"/>
    <mergeCell ref="BH421:BH422"/>
    <mergeCell ref="BH423:BH427"/>
    <mergeCell ref="BH428:BH429"/>
    <mergeCell ref="BH431:BH433"/>
    <mergeCell ref="BH327:BH329"/>
    <mergeCell ref="BH331:BH333"/>
    <mergeCell ref="BH334:BH337"/>
    <mergeCell ref="BH338:BH339"/>
    <mergeCell ref="BH342:BH343"/>
    <mergeCell ref="BH345:BH346"/>
    <mergeCell ref="BH350:BH351"/>
    <mergeCell ref="BH352:BH353"/>
    <mergeCell ref="BH354:BH355"/>
    <mergeCell ref="BH359:BH360"/>
    <mergeCell ref="BH361:BH362"/>
    <mergeCell ref="BH363:BH364"/>
    <mergeCell ref="BH368:BH369"/>
    <mergeCell ref="BH375:BH376"/>
    <mergeCell ref="BH377:BH378"/>
    <mergeCell ref="BH379:BH380"/>
    <mergeCell ref="BH381:BH383"/>
    <mergeCell ref="BH170:BH171"/>
    <mergeCell ref="BH173:BH174"/>
    <mergeCell ref="BH176:BH177"/>
    <mergeCell ref="BH178:BH179"/>
    <mergeCell ref="BH184:BH185"/>
    <mergeCell ref="BH186:BH187"/>
    <mergeCell ref="BH286:BH288"/>
    <mergeCell ref="BH290:BH291"/>
    <mergeCell ref="BH292:BH293"/>
    <mergeCell ref="BH294:BH296"/>
    <mergeCell ref="BH297:BH300"/>
    <mergeCell ref="BH302:BH303"/>
    <mergeCell ref="BH305:BH307"/>
    <mergeCell ref="BH308:BH309"/>
    <mergeCell ref="BH310:BH311"/>
    <mergeCell ref="BH312:BH313"/>
    <mergeCell ref="BH318:BH320"/>
    <mergeCell ref="BH65:BH67"/>
    <mergeCell ref="BH68:BH71"/>
    <mergeCell ref="BH72:BH77"/>
    <mergeCell ref="BH79:BH85"/>
    <mergeCell ref="BH86:BH91"/>
    <mergeCell ref="BH100:BH101"/>
    <mergeCell ref="BH102:BH103"/>
    <mergeCell ref="BH127:BH128"/>
    <mergeCell ref="BH132:BH134"/>
    <mergeCell ref="BH136:BH137"/>
    <mergeCell ref="BH138:BH139"/>
    <mergeCell ref="BH143:BH144"/>
    <mergeCell ref="BH146:BH148"/>
    <mergeCell ref="BH149:BH152"/>
    <mergeCell ref="BH155:BH156"/>
    <mergeCell ref="BH157:BH158"/>
    <mergeCell ref="BH168:BH169"/>
    <mergeCell ref="BG1706:BG1711"/>
    <mergeCell ref="BG1715:BG1716"/>
    <mergeCell ref="BG1720:BG1721"/>
    <mergeCell ref="BG1723:BG1724"/>
    <mergeCell ref="BG1727:BG1728"/>
    <mergeCell ref="BG1729:BG1730"/>
    <mergeCell ref="BG1735:BG1736"/>
    <mergeCell ref="BG1740:BG1741"/>
    <mergeCell ref="BG1742:BG1743"/>
    <mergeCell ref="BG1749:BG1751"/>
    <mergeCell ref="BG1752:BG1753"/>
    <mergeCell ref="BG1755:BG1756"/>
    <mergeCell ref="BG1812:BG1813"/>
    <mergeCell ref="BG1839:BG1840"/>
    <mergeCell ref="BH5:BH6"/>
    <mergeCell ref="BH7:BH8"/>
    <mergeCell ref="BH10:BH11"/>
    <mergeCell ref="BH12:BH15"/>
    <mergeCell ref="BH16:BH17"/>
    <mergeCell ref="BH18:BH21"/>
    <mergeCell ref="BH23:BH24"/>
    <mergeCell ref="BH25:BH26"/>
    <mergeCell ref="BH27:BH30"/>
    <mergeCell ref="BH32:BH35"/>
    <mergeCell ref="BH36:BH39"/>
    <mergeCell ref="BH40:BH43"/>
    <mergeCell ref="BH44:BH45"/>
    <mergeCell ref="BH47:BH48"/>
    <mergeCell ref="BH51:BH52"/>
    <mergeCell ref="BH53:BH55"/>
    <mergeCell ref="BH56:BH60"/>
    <mergeCell ref="BH61:BH64"/>
    <mergeCell ref="BG1648:BG1649"/>
    <mergeCell ref="BG1651:BG1652"/>
    <mergeCell ref="BG1655:BG1656"/>
    <mergeCell ref="BG1657:BG1658"/>
    <mergeCell ref="BG1659:BG1660"/>
    <mergeCell ref="BG1661:BG1662"/>
    <mergeCell ref="BG1663:BG1665"/>
    <mergeCell ref="BG1666:BG1667"/>
    <mergeCell ref="BG1670:BG1672"/>
    <mergeCell ref="BG1674:BG1676"/>
    <mergeCell ref="BG1677:BG1679"/>
    <mergeCell ref="BG1680:BG1681"/>
    <mergeCell ref="BG1684:BG1685"/>
    <mergeCell ref="BG1690:BG1691"/>
    <mergeCell ref="BG1692:BG1693"/>
    <mergeCell ref="BG1701:BG1703"/>
    <mergeCell ref="BG1704:BG1705"/>
    <mergeCell ref="BG1568:BG1577"/>
    <mergeCell ref="BG1584:BG1585"/>
    <mergeCell ref="BG1588:BG1589"/>
    <mergeCell ref="BG1590:BG1591"/>
    <mergeCell ref="BG1593:BG1596"/>
    <mergeCell ref="BG1601:BG1604"/>
    <mergeCell ref="BG1605:BG1608"/>
    <mergeCell ref="BG1609:BG1612"/>
    <mergeCell ref="BG1613:BG1616"/>
    <mergeCell ref="BG1617:BG1620"/>
    <mergeCell ref="BG1621:BG1624"/>
    <mergeCell ref="BG1625:BG1628"/>
    <mergeCell ref="BG1632:BG1633"/>
    <mergeCell ref="BG1639:BG1640"/>
    <mergeCell ref="BG1642:BG1643"/>
    <mergeCell ref="BG1644:BG1645"/>
    <mergeCell ref="BG1646:BG1647"/>
    <mergeCell ref="BG1492:BG1493"/>
    <mergeCell ref="BG1494:BG1496"/>
    <mergeCell ref="BG1499:BG1502"/>
    <mergeCell ref="BG1504:BG1505"/>
    <mergeCell ref="BG1507:BG1510"/>
    <mergeCell ref="BG1511:BG1515"/>
    <mergeCell ref="BG1516:BG1518"/>
    <mergeCell ref="BG1519:BG1520"/>
    <mergeCell ref="BG1521:BG1526"/>
    <mergeCell ref="BG1527:BG1532"/>
    <mergeCell ref="BG1534:BG1537"/>
    <mergeCell ref="BG1538:BG1543"/>
    <mergeCell ref="BG1544:BG1546"/>
    <mergeCell ref="BG1548:BG1549"/>
    <mergeCell ref="BG1550:BG1551"/>
    <mergeCell ref="BG1555:BG1556"/>
    <mergeCell ref="BG1558:BG1567"/>
    <mergeCell ref="BG1412:BG1421"/>
    <mergeCell ref="BG1422:BG1423"/>
    <mergeCell ref="BG1430:BG1431"/>
    <mergeCell ref="BG1435:BG1437"/>
    <mergeCell ref="BG1439:BG1440"/>
    <mergeCell ref="BG1441:BG1442"/>
    <mergeCell ref="BG1443:BG1448"/>
    <mergeCell ref="BG1450:BG1452"/>
    <mergeCell ref="BG1455:BG1458"/>
    <mergeCell ref="BG1460:BG1461"/>
    <mergeCell ref="BG1462:BG1463"/>
    <mergeCell ref="BG1464:BG1465"/>
    <mergeCell ref="BG1466:BG1470"/>
    <mergeCell ref="BG1475:BG1476"/>
    <mergeCell ref="BG1477:BG1480"/>
    <mergeCell ref="BG1481:BG1483"/>
    <mergeCell ref="BG1484:BG1486"/>
    <mergeCell ref="BG1346:BG1347"/>
    <mergeCell ref="BG1349:BG1350"/>
    <mergeCell ref="BG1351:BG1353"/>
    <mergeCell ref="BG1356:BG1359"/>
    <mergeCell ref="BG1360:BG1361"/>
    <mergeCell ref="BG1362:BG1363"/>
    <mergeCell ref="BG1365:BG1369"/>
    <mergeCell ref="BG1372:BG1374"/>
    <mergeCell ref="BG1375:BG1379"/>
    <mergeCell ref="BG1381:BG1384"/>
    <mergeCell ref="BG1385:BG1387"/>
    <mergeCell ref="BG1389:BG1391"/>
    <mergeCell ref="BG1392:BG1393"/>
    <mergeCell ref="BG1398:BG1399"/>
    <mergeCell ref="BG1403:BG1404"/>
    <mergeCell ref="BG1405:BG1406"/>
    <mergeCell ref="BG1407:BG1411"/>
    <mergeCell ref="BG1283:BG1284"/>
    <mergeCell ref="BG1289:BG1290"/>
    <mergeCell ref="BG1291:BG1293"/>
    <mergeCell ref="BG1296:BG1297"/>
    <mergeCell ref="BG1298:BG1299"/>
    <mergeCell ref="BG1301:BG1303"/>
    <mergeCell ref="BG1309:BG1310"/>
    <mergeCell ref="BG1311:BG1312"/>
    <mergeCell ref="BG1314:BG1316"/>
    <mergeCell ref="BG1317:BG1319"/>
    <mergeCell ref="BG1323:BG1324"/>
    <mergeCell ref="BG1325:BG1326"/>
    <mergeCell ref="BG1329:BG1330"/>
    <mergeCell ref="BG1335:BG1336"/>
    <mergeCell ref="BG1337:BG1340"/>
    <mergeCell ref="BG1341:BG1342"/>
    <mergeCell ref="BG1344:BG1345"/>
    <mergeCell ref="BG1157:BG1158"/>
    <mergeCell ref="BG1165:BG1166"/>
    <mergeCell ref="BG1174:BG1175"/>
    <mergeCell ref="BG1183:BG1184"/>
    <mergeCell ref="BG1187:BG1188"/>
    <mergeCell ref="BG1189:BG1190"/>
    <mergeCell ref="BG1192:BG1193"/>
    <mergeCell ref="BG1194:BG1195"/>
    <mergeCell ref="BG1196:BG1197"/>
    <mergeCell ref="BG1200:BG1202"/>
    <mergeCell ref="BG1203:BG1206"/>
    <mergeCell ref="BG1208:BG1209"/>
    <mergeCell ref="BG1214:BG1215"/>
    <mergeCell ref="BG1249:BG1250"/>
    <mergeCell ref="BG1261:BG1262"/>
    <mergeCell ref="BG1275:BG1276"/>
    <mergeCell ref="BG1278:BG1281"/>
    <mergeCell ref="BG1102:BG1103"/>
    <mergeCell ref="BG1107:BG1108"/>
    <mergeCell ref="BG1110:BG1111"/>
    <mergeCell ref="BG1120:BG1121"/>
    <mergeCell ref="BG1122:BG1124"/>
    <mergeCell ref="BG1125:BG1126"/>
    <mergeCell ref="BG1127:BG1128"/>
    <mergeCell ref="BG1129:BG1130"/>
    <mergeCell ref="BG1132:BG1133"/>
    <mergeCell ref="BG1134:BG1135"/>
    <mergeCell ref="BG1137:BG1138"/>
    <mergeCell ref="BG1139:BG1140"/>
    <mergeCell ref="BG1141:BG1143"/>
    <mergeCell ref="BG1144:BG1145"/>
    <mergeCell ref="BG1146:BG1148"/>
    <mergeCell ref="BG1150:BG1151"/>
    <mergeCell ref="BG1152:BG1155"/>
    <mergeCell ref="BG1046:BG1048"/>
    <mergeCell ref="BG1053:BG1054"/>
    <mergeCell ref="BG1056:BG1057"/>
    <mergeCell ref="BG1059:BG1060"/>
    <mergeCell ref="BG1061:BG1062"/>
    <mergeCell ref="BG1063:BG1064"/>
    <mergeCell ref="BG1065:BG1066"/>
    <mergeCell ref="BG1067:BG1068"/>
    <mergeCell ref="BG1071:BG1073"/>
    <mergeCell ref="BG1074:BG1075"/>
    <mergeCell ref="BG1076:BG1078"/>
    <mergeCell ref="BG1080:BG1081"/>
    <mergeCell ref="BG1091:BG1092"/>
    <mergeCell ref="BG1093:BG1094"/>
    <mergeCell ref="BG1096:BG1097"/>
    <mergeCell ref="BG1098:BG1099"/>
    <mergeCell ref="BG1100:BG1101"/>
    <mergeCell ref="BG973:BG975"/>
    <mergeCell ref="BG978:BG979"/>
    <mergeCell ref="BG980:BG981"/>
    <mergeCell ref="BG983:BG984"/>
    <mergeCell ref="BG985:BG986"/>
    <mergeCell ref="BG987:BG988"/>
    <mergeCell ref="BG989:BG990"/>
    <mergeCell ref="BG991:BG992"/>
    <mergeCell ref="BG1004:BG1005"/>
    <mergeCell ref="BG1006:BG1007"/>
    <mergeCell ref="BG1008:BG1009"/>
    <mergeCell ref="BG1010:BG1011"/>
    <mergeCell ref="BG1012:BG1013"/>
    <mergeCell ref="BG1014:BG1015"/>
    <mergeCell ref="BG1016:BG1017"/>
    <mergeCell ref="BG1019:BG1020"/>
    <mergeCell ref="BG1042:BG1044"/>
    <mergeCell ref="BG933:BG934"/>
    <mergeCell ref="BG935:BG936"/>
    <mergeCell ref="BG937:BG938"/>
    <mergeCell ref="BG939:BG940"/>
    <mergeCell ref="BG941:BG942"/>
    <mergeCell ref="BG943:BG944"/>
    <mergeCell ref="BG945:BG946"/>
    <mergeCell ref="BG947:BG948"/>
    <mergeCell ref="BG949:BG950"/>
    <mergeCell ref="BG951:BG952"/>
    <mergeCell ref="BG953:BG954"/>
    <mergeCell ref="BG955:BG957"/>
    <mergeCell ref="BG958:BG960"/>
    <mergeCell ref="BG961:BG963"/>
    <mergeCell ref="BG964:BG966"/>
    <mergeCell ref="BG967:BG969"/>
    <mergeCell ref="BG970:BG972"/>
    <mergeCell ref="BG891:BG892"/>
    <mergeCell ref="BG894:BG895"/>
    <mergeCell ref="BG899:BG900"/>
    <mergeCell ref="BG903:BG904"/>
    <mergeCell ref="BG905:BG906"/>
    <mergeCell ref="BG907:BG908"/>
    <mergeCell ref="BG909:BG910"/>
    <mergeCell ref="BG913:BG914"/>
    <mergeCell ref="BG915:BG916"/>
    <mergeCell ref="BG917:BG918"/>
    <mergeCell ref="BG919:BG920"/>
    <mergeCell ref="BG921:BG922"/>
    <mergeCell ref="BG923:BG924"/>
    <mergeCell ref="BG925:BG926"/>
    <mergeCell ref="BG927:BG928"/>
    <mergeCell ref="BG929:BG930"/>
    <mergeCell ref="BG931:BG932"/>
    <mergeCell ref="BG841:BG842"/>
    <mergeCell ref="BG843:BG844"/>
    <mergeCell ref="BG845:BG846"/>
    <mergeCell ref="BG847:BG849"/>
    <mergeCell ref="BG853:BG856"/>
    <mergeCell ref="BG858:BG859"/>
    <mergeCell ref="BG860:BG862"/>
    <mergeCell ref="BG863:BG864"/>
    <mergeCell ref="BG865:BG866"/>
    <mergeCell ref="BG867:BG868"/>
    <mergeCell ref="BG869:BG870"/>
    <mergeCell ref="BG872:BG875"/>
    <mergeCell ref="BG876:BG877"/>
    <mergeCell ref="BG879:BG880"/>
    <mergeCell ref="BG884:BG885"/>
    <mergeCell ref="BG887:BG888"/>
    <mergeCell ref="BG889:BG890"/>
    <mergeCell ref="BG776:BG778"/>
    <mergeCell ref="BG779:BG781"/>
    <mergeCell ref="BG782:BG783"/>
    <mergeCell ref="BG784:BG785"/>
    <mergeCell ref="BG788:BG791"/>
    <mergeCell ref="BG792:BG795"/>
    <mergeCell ref="BG796:BG797"/>
    <mergeCell ref="BG798:BG801"/>
    <mergeCell ref="BG808:BG809"/>
    <mergeCell ref="BG810:BG811"/>
    <mergeCell ref="BG814:BG815"/>
    <mergeCell ref="BG816:BG817"/>
    <mergeCell ref="BG818:BG820"/>
    <mergeCell ref="BG831:BG832"/>
    <mergeCell ref="BG833:BG835"/>
    <mergeCell ref="BG836:BG837"/>
    <mergeCell ref="BG838:BG840"/>
    <mergeCell ref="BG705:BG707"/>
    <mergeCell ref="BG708:BG711"/>
    <mergeCell ref="BG713:BG714"/>
    <mergeCell ref="BG716:BG721"/>
    <mergeCell ref="BG724:BG726"/>
    <mergeCell ref="BG727:BG728"/>
    <mergeCell ref="BG729:BG730"/>
    <mergeCell ref="BG731:BG732"/>
    <mergeCell ref="BG735:BG737"/>
    <mergeCell ref="BG746:BG747"/>
    <mergeCell ref="BG749:BG750"/>
    <mergeCell ref="BG751:BG752"/>
    <mergeCell ref="BG753:BG754"/>
    <mergeCell ref="BG756:BG757"/>
    <mergeCell ref="BG766:BG767"/>
    <mergeCell ref="BG768:BG769"/>
    <mergeCell ref="BG770:BG771"/>
    <mergeCell ref="BG648:BG649"/>
    <mergeCell ref="BG654:BG655"/>
    <mergeCell ref="BG659:BG660"/>
    <mergeCell ref="BG661:BG662"/>
    <mergeCell ref="BG666:BG667"/>
    <mergeCell ref="BG668:BG670"/>
    <mergeCell ref="BG671:BG672"/>
    <mergeCell ref="BG673:BG675"/>
    <mergeCell ref="BG678:BG679"/>
    <mergeCell ref="BG680:BG681"/>
    <mergeCell ref="BG687:BG688"/>
    <mergeCell ref="BG690:BG691"/>
    <mergeCell ref="BG692:BG693"/>
    <mergeCell ref="BG694:BG697"/>
    <mergeCell ref="BG698:BG699"/>
    <mergeCell ref="BG700:BG701"/>
    <mergeCell ref="BG702:BG704"/>
    <mergeCell ref="BG589:BG590"/>
    <mergeCell ref="BG591:BG592"/>
    <mergeCell ref="BG593:BG594"/>
    <mergeCell ref="BG595:BG596"/>
    <mergeCell ref="BG597:BG598"/>
    <mergeCell ref="BG602:BG603"/>
    <mergeCell ref="BG609:BG610"/>
    <mergeCell ref="BG612:BG613"/>
    <mergeCell ref="BG617:BG618"/>
    <mergeCell ref="BG619:BG620"/>
    <mergeCell ref="BG626:BG627"/>
    <mergeCell ref="BG630:BG632"/>
    <mergeCell ref="BG633:BG634"/>
    <mergeCell ref="BG635:BG636"/>
    <mergeCell ref="BG637:BG638"/>
    <mergeCell ref="BG639:BG640"/>
    <mergeCell ref="BG641:BG643"/>
    <mergeCell ref="BG525:BG526"/>
    <mergeCell ref="BG527:BG528"/>
    <mergeCell ref="BG534:BG535"/>
    <mergeCell ref="BG536:BG538"/>
    <mergeCell ref="BG539:BG545"/>
    <mergeCell ref="BG550:BG551"/>
    <mergeCell ref="BG554:BG556"/>
    <mergeCell ref="BG557:BG559"/>
    <mergeCell ref="BG567:BG569"/>
    <mergeCell ref="BG570:BG571"/>
    <mergeCell ref="BG572:BG573"/>
    <mergeCell ref="BG576:BG577"/>
    <mergeCell ref="BG578:BG579"/>
    <mergeCell ref="BG580:BG581"/>
    <mergeCell ref="BG582:BG583"/>
    <mergeCell ref="BG585:BG586"/>
    <mergeCell ref="BG587:BG588"/>
    <mergeCell ref="BG487:BG488"/>
    <mergeCell ref="BG491:BG492"/>
    <mergeCell ref="BG493:BG494"/>
    <mergeCell ref="BG495:BG496"/>
    <mergeCell ref="BG497:BG498"/>
    <mergeCell ref="BG499:BG500"/>
    <mergeCell ref="BG501:BG502"/>
    <mergeCell ref="BG503:BG504"/>
    <mergeCell ref="BG505:BG507"/>
    <mergeCell ref="BG508:BG509"/>
    <mergeCell ref="BG510:BG511"/>
    <mergeCell ref="BG512:BG514"/>
    <mergeCell ref="BG515:BG516"/>
    <mergeCell ref="BG517:BG518"/>
    <mergeCell ref="BG519:BG520"/>
    <mergeCell ref="BG521:BG522"/>
    <mergeCell ref="BG523:BG524"/>
    <mergeCell ref="BG428:BG429"/>
    <mergeCell ref="BG431:BG433"/>
    <mergeCell ref="BG434:BG437"/>
    <mergeCell ref="BG438:BG442"/>
    <mergeCell ref="BG443:BG445"/>
    <mergeCell ref="BG446:BG447"/>
    <mergeCell ref="BG448:BG449"/>
    <mergeCell ref="BG452:BG454"/>
    <mergeCell ref="BG461:BG462"/>
    <mergeCell ref="BG465:BG466"/>
    <mergeCell ref="BG467:BG469"/>
    <mergeCell ref="BG470:BG472"/>
    <mergeCell ref="BG473:BG475"/>
    <mergeCell ref="BG477:BG478"/>
    <mergeCell ref="BG479:BG481"/>
    <mergeCell ref="BG482:BG484"/>
    <mergeCell ref="BG485:BG486"/>
    <mergeCell ref="BG379:BG380"/>
    <mergeCell ref="BG381:BG383"/>
    <mergeCell ref="BG384:BG386"/>
    <mergeCell ref="BG387:BG388"/>
    <mergeCell ref="BG391:BG392"/>
    <mergeCell ref="BG393:BG394"/>
    <mergeCell ref="BG396:BG397"/>
    <mergeCell ref="BG398:BG399"/>
    <mergeCell ref="BG400:BG402"/>
    <mergeCell ref="BG403:BG405"/>
    <mergeCell ref="BG406:BG408"/>
    <mergeCell ref="BG409:BG410"/>
    <mergeCell ref="BG411:BG412"/>
    <mergeCell ref="BG413:BG416"/>
    <mergeCell ref="BG418:BG420"/>
    <mergeCell ref="BG421:BG422"/>
    <mergeCell ref="BG423:BG427"/>
    <mergeCell ref="BG312:BG313"/>
    <mergeCell ref="BG318:BG320"/>
    <mergeCell ref="BG327:BG329"/>
    <mergeCell ref="BG331:BG333"/>
    <mergeCell ref="BG334:BG337"/>
    <mergeCell ref="BG338:BG339"/>
    <mergeCell ref="BG342:BG343"/>
    <mergeCell ref="BG345:BG346"/>
    <mergeCell ref="BG350:BG351"/>
    <mergeCell ref="BG352:BG353"/>
    <mergeCell ref="BG354:BG355"/>
    <mergeCell ref="BG359:BG360"/>
    <mergeCell ref="BG361:BG362"/>
    <mergeCell ref="BG363:BG364"/>
    <mergeCell ref="BG368:BG369"/>
    <mergeCell ref="BG375:BG376"/>
    <mergeCell ref="BG377:BG378"/>
    <mergeCell ref="BG157:BG158"/>
    <mergeCell ref="BG168:BG169"/>
    <mergeCell ref="BG170:BG171"/>
    <mergeCell ref="BG173:BG174"/>
    <mergeCell ref="BG176:BG177"/>
    <mergeCell ref="BG178:BG179"/>
    <mergeCell ref="BG184:BG185"/>
    <mergeCell ref="BG186:BG187"/>
    <mergeCell ref="BG286:BG288"/>
    <mergeCell ref="BG290:BG291"/>
    <mergeCell ref="BG292:BG293"/>
    <mergeCell ref="BG294:BG296"/>
    <mergeCell ref="BG297:BG300"/>
    <mergeCell ref="BG302:BG303"/>
    <mergeCell ref="BG305:BG307"/>
    <mergeCell ref="BG308:BG309"/>
    <mergeCell ref="BG310:BG311"/>
    <mergeCell ref="BG56:BG60"/>
    <mergeCell ref="BG61:BG64"/>
    <mergeCell ref="BG65:BG67"/>
    <mergeCell ref="BG68:BG71"/>
    <mergeCell ref="BG72:BG77"/>
    <mergeCell ref="BG79:BG85"/>
    <mergeCell ref="BG86:BG91"/>
    <mergeCell ref="BG100:BG101"/>
    <mergeCell ref="BG102:BG103"/>
    <mergeCell ref="BG127:BG128"/>
    <mergeCell ref="BG132:BG134"/>
    <mergeCell ref="BG136:BG137"/>
    <mergeCell ref="BG138:BG139"/>
    <mergeCell ref="BG143:BG144"/>
    <mergeCell ref="BG146:BG148"/>
    <mergeCell ref="BG149:BG152"/>
    <mergeCell ref="BG155:BG156"/>
    <mergeCell ref="BF1701:BF1703"/>
    <mergeCell ref="BF1704:BF1705"/>
    <mergeCell ref="BF1706:BF1711"/>
    <mergeCell ref="BF1715:BF1716"/>
    <mergeCell ref="BF1720:BF1721"/>
    <mergeCell ref="BF1723:BF1724"/>
    <mergeCell ref="BF1727:BF1728"/>
    <mergeCell ref="BF1729:BF1730"/>
    <mergeCell ref="BF1735:BF1736"/>
    <mergeCell ref="BF1740:BF1741"/>
    <mergeCell ref="BF1742:BF1743"/>
    <mergeCell ref="BF1749:BF1751"/>
    <mergeCell ref="BF1752:BF1753"/>
    <mergeCell ref="BF1755:BF1756"/>
    <mergeCell ref="BF1812:BF1813"/>
    <mergeCell ref="BF1839:BF1840"/>
    <mergeCell ref="BG5:BG6"/>
    <mergeCell ref="BG7:BG8"/>
    <mergeCell ref="BG10:BG11"/>
    <mergeCell ref="BG12:BG15"/>
    <mergeCell ref="BG16:BG17"/>
    <mergeCell ref="BG18:BG21"/>
    <mergeCell ref="BG23:BG24"/>
    <mergeCell ref="BG25:BG26"/>
    <mergeCell ref="BG27:BG30"/>
    <mergeCell ref="BG32:BG35"/>
    <mergeCell ref="BG36:BG39"/>
    <mergeCell ref="BG40:BG43"/>
    <mergeCell ref="BG44:BG45"/>
    <mergeCell ref="BG47:BG48"/>
    <mergeCell ref="BG51:BG52"/>
    <mergeCell ref="BG53:BG55"/>
    <mergeCell ref="BF1644:BF1645"/>
    <mergeCell ref="BF1646:BF1647"/>
    <mergeCell ref="BF1648:BF1649"/>
    <mergeCell ref="BF1651:BF1652"/>
    <mergeCell ref="BF1655:BF1656"/>
    <mergeCell ref="BF1657:BF1658"/>
    <mergeCell ref="BF1659:BF1660"/>
    <mergeCell ref="BF1661:BF1662"/>
    <mergeCell ref="BF1663:BF1665"/>
    <mergeCell ref="BF1666:BF1667"/>
    <mergeCell ref="BF1670:BF1672"/>
    <mergeCell ref="BF1674:BF1676"/>
    <mergeCell ref="BF1677:BF1679"/>
    <mergeCell ref="BF1680:BF1681"/>
    <mergeCell ref="BF1684:BF1685"/>
    <mergeCell ref="BF1690:BF1691"/>
    <mergeCell ref="BF1692:BF1693"/>
    <mergeCell ref="BF1555:BF1556"/>
    <mergeCell ref="BF1558:BF1567"/>
    <mergeCell ref="BF1568:BF1577"/>
    <mergeCell ref="BF1584:BF1585"/>
    <mergeCell ref="BF1588:BF1589"/>
    <mergeCell ref="BF1590:BF1591"/>
    <mergeCell ref="BF1593:BF1596"/>
    <mergeCell ref="BF1601:BF1604"/>
    <mergeCell ref="BF1605:BF1608"/>
    <mergeCell ref="BF1609:BF1612"/>
    <mergeCell ref="BF1613:BF1616"/>
    <mergeCell ref="BF1617:BF1620"/>
    <mergeCell ref="BF1621:BF1624"/>
    <mergeCell ref="BF1625:BF1628"/>
    <mergeCell ref="BF1632:BF1633"/>
    <mergeCell ref="BF1639:BF1640"/>
    <mergeCell ref="BF1642:BF1643"/>
    <mergeCell ref="BF1481:BF1483"/>
    <mergeCell ref="BF1484:BF1486"/>
    <mergeCell ref="BF1492:BF1493"/>
    <mergeCell ref="BF1494:BF1496"/>
    <mergeCell ref="BF1499:BF1502"/>
    <mergeCell ref="BF1504:BF1505"/>
    <mergeCell ref="BF1507:BF1510"/>
    <mergeCell ref="BF1511:BF1515"/>
    <mergeCell ref="BF1516:BF1518"/>
    <mergeCell ref="BF1519:BF1520"/>
    <mergeCell ref="BF1521:BF1526"/>
    <mergeCell ref="BF1527:BF1532"/>
    <mergeCell ref="BF1534:BF1537"/>
    <mergeCell ref="BF1538:BF1543"/>
    <mergeCell ref="BF1544:BF1546"/>
    <mergeCell ref="BF1548:BF1549"/>
    <mergeCell ref="BF1550:BF1551"/>
    <mergeCell ref="BF1405:BF1406"/>
    <mergeCell ref="BF1407:BF1411"/>
    <mergeCell ref="BF1412:BF1421"/>
    <mergeCell ref="BF1422:BF1423"/>
    <mergeCell ref="BF1430:BF1431"/>
    <mergeCell ref="BF1435:BF1437"/>
    <mergeCell ref="BF1439:BF1440"/>
    <mergeCell ref="BF1441:BF1442"/>
    <mergeCell ref="BF1443:BF1448"/>
    <mergeCell ref="BF1450:BF1452"/>
    <mergeCell ref="BF1455:BF1458"/>
    <mergeCell ref="BF1460:BF1461"/>
    <mergeCell ref="BF1462:BF1463"/>
    <mergeCell ref="BF1464:BF1465"/>
    <mergeCell ref="BF1466:BF1470"/>
    <mergeCell ref="BF1475:BF1476"/>
    <mergeCell ref="BF1477:BF1480"/>
    <mergeCell ref="BF1341:BF1342"/>
    <mergeCell ref="BF1344:BF1345"/>
    <mergeCell ref="BF1346:BF1347"/>
    <mergeCell ref="BF1349:BF1350"/>
    <mergeCell ref="BF1351:BF1353"/>
    <mergeCell ref="BF1356:BF1359"/>
    <mergeCell ref="BF1360:BF1361"/>
    <mergeCell ref="BF1362:BF1363"/>
    <mergeCell ref="BF1365:BF1369"/>
    <mergeCell ref="BF1372:BF1374"/>
    <mergeCell ref="BF1375:BF1379"/>
    <mergeCell ref="BF1381:BF1384"/>
    <mergeCell ref="BF1385:BF1387"/>
    <mergeCell ref="BF1389:BF1391"/>
    <mergeCell ref="BF1392:BF1393"/>
    <mergeCell ref="BF1398:BF1399"/>
    <mergeCell ref="BF1403:BF1404"/>
    <mergeCell ref="BF1275:BF1276"/>
    <mergeCell ref="BF1278:BF1281"/>
    <mergeCell ref="BF1283:BF1284"/>
    <mergeCell ref="BF1289:BF1290"/>
    <mergeCell ref="BF1291:BF1293"/>
    <mergeCell ref="BF1296:BF1297"/>
    <mergeCell ref="BF1298:BF1299"/>
    <mergeCell ref="BF1301:BF1303"/>
    <mergeCell ref="BF1309:BF1310"/>
    <mergeCell ref="BF1311:BF1312"/>
    <mergeCell ref="BF1314:BF1316"/>
    <mergeCell ref="BF1317:BF1319"/>
    <mergeCell ref="BF1323:BF1324"/>
    <mergeCell ref="BF1325:BF1326"/>
    <mergeCell ref="BF1329:BF1330"/>
    <mergeCell ref="BF1335:BF1336"/>
    <mergeCell ref="BF1337:BF1340"/>
    <mergeCell ref="BF1150:BF1151"/>
    <mergeCell ref="BF1152:BF1155"/>
    <mergeCell ref="BF1157:BF1158"/>
    <mergeCell ref="BF1165:BF1166"/>
    <mergeCell ref="BF1174:BF1175"/>
    <mergeCell ref="BF1183:BF1184"/>
    <mergeCell ref="BF1187:BF1188"/>
    <mergeCell ref="BF1189:BF1190"/>
    <mergeCell ref="BF1192:BF1193"/>
    <mergeCell ref="BF1194:BF1195"/>
    <mergeCell ref="BF1196:BF1197"/>
    <mergeCell ref="BF1200:BF1202"/>
    <mergeCell ref="BF1203:BF1206"/>
    <mergeCell ref="BF1208:BF1209"/>
    <mergeCell ref="BF1214:BF1215"/>
    <mergeCell ref="BF1249:BF1250"/>
    <mergeCell ref="BF1261:BF1262"/>
    <mergeCell ref="BF1098:BF1099"/>
    <mergeCell ref="BF1100:BF1101"/>
    <mergeCell ref="BF1102:BF1103"/>
    <mergeCell ref="BF1107:BF1108"/>
    <mergeCell ref="BF1110:BF1111"/>
    <mergeCell ref="BF1120:BF1121"/>
    <mergeCell ref="BF1122:BF1124"/>
    <mergeCell ref="BF1125:BF1126"/>
    <mergeCell ref="BF1127:BF1128"/>
    <mergeCell ref="BF1129:BF1130"/>
    <mergeCell ref="BF1132:BF1133"/>
    <mergeCell ref="BF1134:BF1135"/>
    <mergeCell ref="BF1137:BF1138"/>
    <mergeCell ref="BF1139:BF1140"/>
    <mergeCell ref="BF1141:BF1143"/>
    <mergeCell ref="BF1144:BF1145"/>
    <mergeCell ref="BF1146:BF1148"/>
    <mergeCell ref="BF1019:BF1020"/>
    <mergeCell ref="BF1042:BF1044"/>
    <mergeCell ref="BF1046:BF1048"/>
    <mergeCell ref="BF1053:BF1054"/>
    <mergeCell ref="BF1056:BF1057"/>
    <mergeCell ref="BF1059:BF1060"/>
    <mergeCell ref="BF1061:BF1062"/>
    <mergeCell ref="BF1063:BF1064"/>
    <mergeCell ref="BF1065:BF1066"/>
    <mergeCell ref="BF1067:BF1068"/>
    <mergeCell ref="BF1071:BF1073"/>
    <mergeCell ref="BF1074:BF1075"/>
    <mergeCell ref="BF1076:BF1078"/>
    <mergeCell ref="BF1080:BF1081"/>
    <mergeCell ref="BF1091:BF1092"/>
    <mergeCell ref="BF1093:BF1094"/>
    <mergeCell ref="BF1096:BF1097"/>
    <mergeCell ref="BF967:BF969"/>
    <mergeCell ref="BF970:BF972"/>
    <mergeCell ref="BF973:BF975"/>
    <mergeCell ref="BF978:BF979"/>
    <mergeCell ref="BF980:BF981"/>
    <mergeCell ref="BF983:BF984"/>
    <mergeCell ref="BF985:BF986"/>
    <mergeCell ref="BF987:BF988"/>
    <mergeCell ref="BF989:BF990"/>
    <mergeCell ref="BF991:BF992"/>
    <mergeCell ref="BF1004:BF1005"/>
    <mergeCell ref="BF1006:BF1007"/>
    <mergeCell ref="BF1008:BF1009"/>
    <mergeCell ref="BF1010:BF1011"/>
    <mergeCell ref="BF1012:BF1013"/>
    <mergeCell ref="BF1014:BF1015"/>
    <mergeCell ref="BF1016:BF1017"/>
    <mergeCell ref="BF929:BF930"/>
    <mergeCell ref="BF931:BF932"/>
    <mergeCell ref="BF933:BF934"/>
    <mergeCell ref="BF935:BF936"/>
    <mergeCell ref="BF937:BF938"/>
    <mergeCell ref="BF939:BF940"/>
    <mergeCell ref="BF941:BF942"/>
    <mergeCell ref="BF943:BF944"/>
    <mergeCell ref="BF945:BF946"/>
    <mergeCell ref="BF947:BF948"/>
    <mergeCell ref="BF949:BF950"/>
    <mergeCell ref="BF951:BF952"/>
    <mergeCell ref="BF953:BF954"/>
    <mergeCell ref="BF955:BF957"/>
    <mergeCell ref="BF958:BF960"/>
    <mergeCell ref="BF961:BF963"/>
    <mergeCell ref="BF964:BF966"/>
    <mergeCell ref="BF887:BF888"/>
    <mergeCell ref="BF889:BF890"/>
    <mergeCell ref="BF891:BF892"/>
    <mergeCell ref="BF894:BF895"/>
    <mergeCell ref="BF899:BF900"/>
    <mergeCell ref="BF903:BF904"/>
    <mergeCell ref="BF905:BF906"/>
    <mergeCell ref="BF907:BF908"/>
    <mergeCell ref="BF909:BF910"/>
    <mergeCell ref="BF913:BF914"/>
    <mergeCell ref="BF915:BF916"/>
    <mergeCell ref="BF917:BF918"/>
    <mergeCell ref="BF919:BF920"/>
    <mergeCell ref="BF921:BF922"/>
    <mergeCell ref="BF923:BF924"/>
    <mergeCell ref="BF925:BF926"/>
    <mergeCell ref="BF927:BF928"/>
    <mergeCell ref="BF836:BF837"/>
    <mergeCell ref="BF838:BF840"/>
    <mergeCell ref="BF841:BF842"/>
    <mergeCell ref="BF843:BF844"/>
    <mergeCell ref="BF845:BF846"/>
    <mergeCell ref="BF847:BF849"/>
    <mergeCell ref="BF853:BF856"/>
    <mergeCell ref="BF858:BF859"/>
    <mergeCell ref="BF860:BF862"/>
    <mergeCell ref="BF863:BF864"/>
    <mergeCell ref="BF865:BF866"/>
    <mergeCell ref="BF867:BF868"/>
    <mergeCell ref="BF869:BF870"/>
    <mergeCell ref="BF872:BF875"/>
    <mergeCell ref="BF876:BF877"/>
    <mergeCell ref="BF879:BF880"/>
    <mergeCell ref="BF884:BF885"/>
    <mergeCell ref="BF768:BF769"/>
    <mergeCell ref="BF770:BF771"/>
    <mergeCell ref="BF776:BF778"/>
    <mergeCell ref="BF779:BF781"/>
    <mergeCell ref="BF782:BF783"/>
    <mergeCell ref="BF784:BF785"/>
    <mergeCell ref="BF788:BF791"/>
    <mergeCell ref="BF792:BF795"/>
    <mergeCell ref="BF796:BF797"/>
    <mergeCell ref="BF798:BF801"/>
    <mergeCell ref="BF808:BF809"/>
    <mergeCell ref="BF810:BF811"/>
    <mergeCell ref="BF814:BF815"/>
    <mergeCell ref="BF816:BF817"/>
    <mergeCell ref="BF818:BF820"/>
    <mergeCell ref="BF831:BF832"/>
    <mergeCell ref="BF833:BF835"/>
    <mergeCell ref="BF700:BF701"/>
    <mergeCell ref="BF702:BF704"/>
    <mergeCell ref="BF705:BF707"/>
    <mergeCell ref="BF708:BF711"/>
    <mergeCell ref="BF713:BF714"/>
    <mergeCell ref="BF716:BF721"/>
    <mergeCell ref="BF724:BF726"/>
    <mergeCell ref="BF727:BF728"/>
    <mergeCell ref="BF729:BF730"/>
    <mergeCell ref="BF731:BF732"/>
    <mergeCell ref="BF735:BF737"/>
    <mergeCell ref="BF746:BF747"/>
    <mergeCell ref="BF749:BF750"/>
    <mergeCell ref="BF751:BF752"/>
    <mergeCell ref="BF753:BF754"/>
    <mergeCell ref="BF756:BF757"/>
    <mergeCell ref="BF766:BF767"/>
    <mergeCell ref="BF639:BF640"/>
    <mergeCell ref="BF641:BF643"/>
    <mergeCell ref="BF648:BF649"/>
    <mergeCell ref="BF654:BF655"/>
    <mergeCell ref="BF659:BF660"/>
    <mergeCell ref="BF661:BF662"/>
    <mergeCell ref="BF666:BF667"/>
    <mergeCell ref="BF668:BF670"/>
    <mergeCell ref="BF671:BF672"/>
    <mergeCell ref="BF673:BF675"/>
    <mergeCell ref="BF678:BF679"/>
    <mergeCell ref="BF680:BF681"/>
    <mergeCell ref="BF687:BF688"/>
    <mergeCell ref="BF690:BF691"/>
    <mergeCell ref="BF692:BF693"/>
    <mergeCell ref="BF694:BF697"/>
    <mergeCell ref="BF698:BF699"/>
    <mergeCell ref="BF585:BF586"/>
    <mergeCell ref="BF587:BF588"/>
    <mergeCell ref="BF589:BF590"/>
    <mergeCell ref="BF591:BF592"/>
    <mergeCell ref="BF593:BF594"/>
    <mergeCell ref="BF595:BF596"/>
    <mergeCell ref="BF597:BF598"/>
    <mergeCell ref="BF602:BF603"/>
    <mergeCell ref="BF609:BF610"/>
    <mergeCell ref="BF612:BF613"/>
    <mergeCell ref="BF617:BF618"/>
    <mergeCell ref="BF619:BF620"/>
    <mergeCell ref="BF626:BF627"/>
    <mergeCell ref="BF630:BF632"/>
    <mergeCell ref="BF633:BF634"/>
    <mergeCell ref="BF635:BF636"/>
    <mergeCell ref="BF637:BF638"/>
    <mergeCell ref="BF521:BF522"/>
    <mergeCell ref="BF523:BF524"/>
    <mergeCell ref="BF525:BF526"/>
    <mergeCell ref="BF527:BF528"/>
    <mergeCell ref="BF534:BF535"/>
    <mergeCell ref="BF536:BF538"/>
    <mergeCell ref="BF539:BF545"/>
    <mergeCell ref="BF550:BF551"/>
    <mergeCell ref="BF554:BF556"/>
    <mergeCell ref="BF557:BF559"/>
    <mergeCell ref="BF567:BF569"/>
    <mergeCell ref="BF570:BF571"/>
    <mergeCell ref="BF572:BF573"/>
    <mergeCell ref="BF576:BF577"/>
    <mergeCell ref="BF578:BF579"/>
    <mergeCell ref="BF580:BF581"/>
    <mergeCell ref="BF582:BF583"/>
    <mergeCell ref="BF482:BF484"/>
    <mergeCell ref="BF485:BF486"/>
    <mergeCell ref="BF487:BF488"/>
    <mergeCell ref="BF491:BF492"/>
    <mergeCell ref="BF493:BF494"/>
    <mergeCell ref="BF495:BF496"/>
    <mergeCell ref="BF497:BF498"/>
    <mergeCell ref="BF499:BF500"/>
    <mergeCell ref="BF501:BF502"/>
    <mergeCell ref="BF503:BF504"/>
    <mergeCell ref="BF505:BF507"/>
    <mergeCell ref="BF508:BF509"/>
    <mergeCell ref="BF510:BF511"/>
    <mergeCell ref="BF512:BF514"/>
    <mergeCell ref="BF515:BF516"/>
    <mergeCell ref="BF517:BF518"/>
    <mergeCell ref="BF519:BF520"/>
    <mergeCell ref="BF421:BF422"/>
    <mergeCell ref="BF423:BF427"/>
    <mergeCell ref="BF428:BF429"/>
    <mergeCell ref="BF431:BF433"/>
    <mergeCell ref="BF434:BF437"/>
    <mergeCell ref="BF438:BF442"/>
    <mergeCell ref="BF443:BF445"/>
    <mergeCell ref="BF446:BF447"/>
    <mergeCell ref="BF448:BF449"/>
    <mergeCell ref="BF452:BF454"/>
    <mergeCell ref="BF461:BF462"/>
    <mergeCell ref="BF465:BF466"/>
    <mergeCell ref="BF467:BF469"/>
    <mergeCell ref="BF470:BF472"/>
    <mergeCell ref="BF473:BF475"/>
    <mergeCell ref="BF477:BF478"/>
    <mergeCell ref="BF479:BF481"/>
    <mergeCell ref="BF375:BF376"/>
    <mergeCell ref="BF377:BF378"/>
    <mergeCell ref="BF379:BF380"/>
    <mergeCell ref="BF381:BF383"/>
    <mergeCell ref="BF384:BF386"/>
    <mergeCell ref="BF387:BF388"/>
    <mergeCell ref="BF391:BF392"/>
    <mergeCell ref="BF393:BF394"/>
    <mergeCell ref="BF396:BF397"/>
    <mergeCell ref="BF398:BF399"/>
    <mergeCell ref="BF400:BF402"/>
    <mergeCell ref="BF403:BF405"/>
    <mergeCell ref="BF406:BF408"/>
    <mergeCell ref="BF409:BF410"/>
    <mergeCell ref="BF411:BF412"/>
    <mergeCell ref="BF413:BF416"/>
    <mergeCell ref="BF418:BF420"/>
    <mergeCell ref="BF308:BF309"/>
    <mergeCell ref="BF310:BF311"/>
    <mergeCell ref="BF312:BF313"/>
    <mergeCell ref="BF318:BF320"/>
    <mergeCell ref="BF327:BF329"/>
    <mergeCell ref="BF331:BF333"/>
    <mergeCell ref="BF334:BF337"/>
    <mergeCell ref="BF338:BF339"/>
    <mergeCell ref="BF342:BF343"/>
    <mergeCell ref="BF345:BF346"/>
    <mergeCell ref="BF350:BF351"/>
    <mergeCell ref="BF352:BF353"/>
    <mergeCell ref="BF354:BF355"/>
    <mergeCell ref="BF359:BF360"/>
    <mergeCell ref="BF361:BF362"/>
    <mergeCell ref="BF363:BF364"/>
    <mergeCell ref="BF368:BF369"/>
    <mergeCell ref="BF149:BF152"/>
    <mergeCell ref="BF155:BF156"/>
    <mergeCell ref="BF157:BF158"/>
    <mergeCell ref="BF168:BF169"/>
    <mergeCell ref="BF170:BF171"/>
    <mergeCell ref="BF173:BF174"/>
    <mergeCell ref="BF176:BF177"/>
    <mergeCell ref="BF178:BF179"/>
    <mergeCell ref="BF184:BF185"/>
    <mergeCell ref="BF186:BF187"/>
    <mergeCell ref="BF286:BF288"/>
    <mergeCell ref="BF290:BF291"/>
    <mergeCell ref="BF292:BF293"/>
    <mergeCell ref="BF294:BF296"/>
    <mergeCell ref="BF297:BF300"/>
    <mergeCell ref="BF302:BF303"/>
    <mergeCell ref="BF305:BF307"/>
    <mergeCell ref="BF51:BF52"/>
    <mergeCell ref="BF53:BF55"/>
    <mergeCell ref="BF56:BF60"/>
    <mergeCell ref="BF61:BF64"/>
    <mergeCell ref="BF65:BF67"/>
    <mergeCell ref="BF68:BF71"/>
    <mergeCell ref="BF72:BF77"/>
    <mergeCell ref="BF79:BF85"/>
    <mergeCell ref="BF86:BF91"/>
    <mergeCell ref="BF100:BF101"/>
    <mergeCell ref="BF102:BF103"/>
    <mergeCell ref="BF127:BF128"/>
    <mergeCell ref="BF132:BF134"/>
    <mergeCell ref="BF136:BF137"/>
    <mergeCell ref="BF138:BF139"/>
    <mergeCell ref="BF143:BF144"/>
    <mergeCell ref="BF146:BF148"/>
    <mergeCell ref="BF2:BN3"/>
    <mergeCell ref="BF5:BF6"/>
    <mergeCell ref="BF7:BF8"/>
    <mergeCell ref="BF10:BF11"/>
    <mergeCell ref="BF12:BF15"/>
    <mergeCell ref="BF16:BF17"/>
    <mergeCell ref="BF18:BF21"/>
    <mergeCell ref="BF23:BF24"/>
    <mergeCell ref="BF25:BF26"/>
    <mergeCell ref="BF27:BF30"/>
    <mergeCell ref="BF32:BF35"/>
    <mergeCell ref="BF36:BF39"/>
    <mergeCell ref="BF40:BF43"/>
    <mergeCell ref="BF44:BF45"/>
    <mergeCell ref="BF47:BF48"/>
    <mergeCell ref="E1742:E1743"/>
    <mergeCell ref="E1755:E1756"/>
    <mergeCell ref="F1755:F1756"/>
    <mergeCell ref="I1704:I1705"/>
    <mergeCell ref="I1706:I1711"/>
    <mergeCell ref="I1749:I1751"/>
    <mergeCell ref="I1755:I1756"/>
    <mergeCell ref="E1720:E1721"/>
    <mergeCell ref="E1723:E1724"/>
    <mergeCell ref="E1727:E1728"/>
    <mergeCell ref="E1729:E1730"/>
    <mergeCell ref="E1735:E1736"/>
    <mergeCell ref="E1740:E1741"/>
    <mergeCell ref="G1690:G1691"/>
    <mergeCell ref="I1504:I1505"/>
    <mergeCell ref="I1507:I1510"/>
    <mergeCell ref="I1511:I1515"/>
    <mergeCell ref="I1516:I1518"/>
    <mergeCell ref="I1521:I1524"/>
    <mergeCell ref="E1646:E1647"/>
    <mergeCell ref="E1655:E1656"/>
    <mergeCell ref="E1657:E1658"/>
    <mergeCell ref="E1659:E1660"/>
    <mergeCell ref="E1568:E1577"/>
    <mergeCell ref="E1584:E1585"/>
    <mergeCell ref="E1588:E1589"/>
    <mergeCell ref="E1593:E1596"/>
    <mergeCell ref="E1511:E1515"/>
    <mergeCell ref="E1516:E1517"/>
    <mergeCell ref="G1609:G1612"/>
    <mergeCell ref="G1613:G1616"/>
    <mergeCell ref="G1617:G1620"/>
    <mergeCell ref="B1755:B1756"/>
    <mergeCell ref="G1755:G1756"/>
    <mergeCell ref="E1684:E1685"/>
    <mergeCell ref="E1690:E1691"/>
    <mergeCell ref="E1692:E1693"/>
    <mergeCell ref="E1701:E1702"/>
    <mergeCell ref="E1706:E1707"/>
    <mergeCell ref="B1742:B1743"/>
    <mergeCell ref="G1742:G1743"/>
    <mergeCell ref="B1749:B1751"/>
    <mergeCell ref="G1749:G1751"/>
    <mergeCell ref="B1752:B1753"/>
    <mergeCell ref="G1752:G1753"/>
    <mergeCell ref="B1729:B1730"/>
    <mergeCell ref="G1729:G1730"/>
    <mergeCell ref="B1735:B1736"/>
    <mergeCell ref="G1735:G1736"/>
    <mergeCell ref="B1740:B1741"/>
    <mergeCell ref="G1740:G1741"/>
    <mergeCell ref="B1720:B1721"/>
    <mergeCell ref="G1720:G1721"/>
    <mergeCell ref="B1723:B1724"/>
    <mergeCell ref="G1723:G1724"/>
    <mergeCell ref="B1727:B1728"/>
    <mergeCell ref="G1727:G1728"/>
    <mergeCell ref="B1704:B1705"/>
    <mergeCell ref="G1704:G1705"/>
    <mergeCell ref="B1706:B1711"/>
    <mergeCell ref="G1706:G1711"/>
    <mergeCell ref="B1715:B1716"/>
    <mergeCell ref="G1715:G1716"/>
    <mergeCell ref="B1690:B1691"/>
    <mergeCell ref="B1701:B1703"/>
    <mergeCell ref="G1701:G1703"/>
    <mergeCell ref="I1550:I1551"/>
    <mergeCell ref="I1555:I1556"/>
    <mergeCell ref="I1558:I1567"/>
    <mergeCell ref="I1568:I1577"/>
    <mergeCell ref="I1584:I1585"/>
    <mergeCell ref="I1588:I1589"/>
    <mergeCell ref="I1525:I1526"/>
    <mergeCell ref="I1527:I1532"/>
    <mergeCell ref="I1534:I1537"/>
    <mergeCell ref="I1538:I1543"/>
    <mergeCell ref="I1544:I1546"/>
    <mergeCell ref="I1548:I1549"/>
    <mergeCell ref="I1677:I1679"/>
    <mergeCell ref="B1680:B1681"/>
    <mergeCell ref="G1680:G1681"/>
    <mergeCell ref="B1684:B1685"/>
    <mergeCell ref="G1684:G1685"/>
    <mergeCell ref="I1659:I1660"/>
    <mergeCell ref="I1661:I1662"/>
    <mergeCell ref="I1663:I1665"/>
    <mergeCell ref="I1666:I1667"/>
    <mergeCell ref="I1670:I1672"/>
    <mergeCell ref="I1674:I1676"/>
    <mergeCell ref="I1644:I1645"/>
    <mergeCell ref="I1646:I1647"/>
    <mergeCell ref="I1648:I1649"/>
    <mergeCell ref="E1639:E1640"/>
    <mergeCell ref="E1642:E1643"/>
    <mergeCell ref="B1648:B1649"/>
    <mergeCell ref="G1648:G1649"/>
    <mergeCell ref="B1568:B1577"/>
    <mergeCell ref="G1568:G1577"/>
    <mergeCell ref="B1544:B1546"/>
    <mergeCell ref="G1544:G1546"/>
    <mergeCell ref="B1548:B1549"/>
    <mergeCell ref="G1548:G1549"/>
    <mergeCell ref="B1550:B1551"/>
    <mergeCell ref="G1550:G1551"/>
    <mergeCell ref="B1692:B1693"/>
    <mergeCell ref="G1692:G1693"/>
    <mergeCell ref="G1625:G1628"/>
    <mergeCell ref="B1632:B1633"/>
    <mergeCell ref="G1632:G1633"/>
    <mergeCell ref="B1555:B1556"/>
    <mergeCell ref="G1555:G1556"/>
    <mergeCell ref="B1558:B1567"/>
    <mergeCell ref="G1558:G1567"/>
    <mergeCell ref="E1601:E1628"/>
    <mergeCell ref="E1632:E1633"/>
    <mergeCell ref="E1544:E1545"/>
    <mergeCell ref="E1550:E1551"/>
    <mergeCell ref="E1555:E1556"/>
    <mergeCell ref="E1558:E1567"/>
    <mergeCell ref="G1639:G1640"/>
    <mergeCell ref="B1646:B1647"/>
    <mergeCell ref="G1646:G1647"/>
    <mergeCell ref="B1674:B1676"/>
    <mergeCell ref="G1674:G1676"/>
    <mergeCell ref="B1677:B1679"/>
    <mergeCell ref="G1677:G1679"/>
    <mergeCell ref="B1661:B1662"/>
    <mergeCell ref="G1661:G1662"/>
    <mergeCell ref="B1663:B1665"/>
    <mergeCell ref="G1663:G1665"/>
    <mergeCell ref="B1666:B1667"/>
    <mergeCell ref="G1666:G1667"/>
    <mergeCell ref="B1655:B1656"/>
    <mergeCell ref="G1655:G1656"/>
    <mergeCell ref="B1657:B1658"/>
    <mergeCell ref="G1657:G1658"/>
    <mergeCell ref="B1659:B1660"/>
    <mergeCell ref="G1659:G1660"/>
    <mergeCell ref="E1674:E1676"/>
    <mergeCell ref="E1677:E1679"/>
    <mergeCell ref="E1663:E1665"/>
    <mergeCell ref="F1663:F1665"/>
    <mergeCell ref="E1670:E1672"/>
    <mergeCell ref="B1593:B1596"/>
    <mergeCell ref="G1593:G1596"/>
    <mergeCell ref="G1601:G1604"/>
    <mergeCell ref="G1605:G1608"/>
    <mergeCell ref="B1584:B1585"/>
    <mergeCell ref="G1584:G1585"/>
    <mergeCell ref="B1588:B1589"/>
    <mergeCell ref="G1588:G1589"/>
    <mergeCell ref="B1590:B1591"/>
    <mergeCell ref="G1590:G1591"/>
    <mergeCell ref="I1590:I1591"/>
    <mergeCell ref="I1593:I1596"/>
    <mergeCell ref="I1601:I1628"/>
    <mergeCell ref="I1632:I1633"/>
    <mergeCell ref="I1639:I1640"/>
    <mergeCell ref="I1642:I1643"/>
    <mergeCell ref="I1651:I1652"/>
    <mergeCell ref="B1651:B1652"/>
    <mergeCell ref="G1651:G1652"/>
    <mergeCell ref="B1639:B1640"/>
    <mergeCell ref="I1655:I1656"/>
    <mergeCell ref="H1648:H1649"/>
    <mergeCell ref="H1651:H1652"/>
    <mergeCell ref="H1655:H1656"/>
    <mergeCell ref="B1601:B1604"/>
    <mergeCell ref="B1605:B1608"/>
    <mergeCell ref="I1657:I1658"/>
    <mergeCell ref="B1670:B1672"/>
    <mergeCell ref="G1670:G1672"/>
    <mergeCell ref="B1642:B1643"/>
    <mergeCell ref="G1642:G1643"/>
    <mergeCell ref="B1644:B1645"/>
    <mergeCell ref="G1644:G1645"/>
    <mergeCell ref="G1621:G1624"/>
    <mergeCell ref="B1527:B1532"/>
    <mergeCell ref="G1527:G1532"/>
    <mergeCell ref="B1534:B1537"/>
    <mergeCell ref="G1534:G1537"/>
    <mergeCell ref="B1538:B1543"/>
    <mergeCell ref="G1538:G1543"/>
    <mergeCell ref="B1516:B1518"/>
    <mergeCell ref="G1516:G1518"/>
    <mergeCell ref="B1519:B1520"/>
    <mergeCell ref="G1519:G1520"/>
    <mergeCell ref="B1521:B1526"/>
    <mergeCell ref="G1521:G1526"/>
    <mergeCell ref="B1609:B1612"/>
    <mergeCell ref="B1613:B1616"/>
    <mergeCell ref="B1617:B1620"/>
    <mergeCell ref="B1621:B1624"/>
    <mergeCell ref="B1625:B1628"/>
    <mergeCell ref="H1527:H1532"/>
    <mergeCell ref="H1534:H1537"/>
    <mergeCell ref="H1538:H1543"/>
    <mergeCell ref="H1544:H1546"/>
    <mergeCell ref="H1548:H1549"/>
    <mergeCell ref="H1550:H1551"/>
    <mergeCell ref="H1646:H1647"/>
    <mergeCell ref="B1511:B1515"/>
    <mergeCell ref="G1511:G1515"/>
    <mergeCell ref="E1534:E1537"/>
    <mergeCell ref="E1538:E1543"/>
    <mergeCell ref="I1481:I1483"/>
    <mergeCell ref="I1484:I1486"/>
    <mergeCell ref="I1492:I1493"/>
    <mergeCell ref="I1494:I1496"/>
    <mergeCell ref="I1499:I1502"/>
    <mergeCell ref="I1460:I1461"/>
    <mergeCell ref="I1462:I1463"/>
    <mergeCell ref="I1464:I1465"/>
    <mergeCell ref="I1466:I1470"/>
    <mergeCell ref="I1475:I1476"/>
    <mergeCell ref="I1477:I1480"/>
    <mergeCell ref="E1494:E1495"/>
    <mergeCell ref="E1499:E1502"/>
    <mergeCell ref="F1499:F1502"/>
    <mergeCell ref="B1494:B1496"/>
    <mergeCell ref="G1494:G1496"/>
    <mergeCell ref="B1499:B1502"/>
    <mergeCell ref="G1499:G1502"/>
    <mergeCell ref="B1481:B1483"/>
    <mergeCell ref="B1492:B1493"/>
    <mergeCell ref="G1492:G1493"/>
    <mergeCell ref="B1466:B1470"/>
    <mergeCell ref="B1475:B1476"/>
    <mergeCell ref="B1477:B1480"/>
    <mergeCell ref="D1519:D1520"/>
    <mergeCell ref="F1522:F1524"/>
    <mergeCell ref="E1527:E1532"/>
    <mergeCell ref="H1504:H1505"/>
    <mergeCell ref="E1430:E1431"/>
    <mergeCell ref="F1430:F1431"/>
    <mergeCell ref="E1439:E1440"/>
    <mergeCell ref="E1441:E1442"/>
    <mergeCell ref="F1441:F1442"/>
    <mergeCell ref="E1443:E1447"/>
    <mergeCell ref="G1481:G1483"/>
    <mergeCell ref="G1484:G1486"/>
    <mergeCell ref="G1466:G1470"/>
    <mergeCell ref="G1475:G1476"/>
    <mergeCell ref="G1477:G1480"/>
    <mergeCell ref="H1450:H1452"/>
    <mergeCell ref="H1455:H1458"/>
    <mergeCell ref="B1504:B1505"/>
    <mergeCell ref="G1504:G1505"/>
    <mergeCell ref="B1507:B1510"/>
    <mergeCell ref="G1507:G1510"/>
    <mergeCell ref="B1460:B1461"/>
    <mergeCell ref="B1462:B1463"/>
    <mergeCell ref="B1464:B1465"/>
    <mergeCell ref="B1443:B1448"/>
    <mergeCell ref="B1450:B1452"/>
    <mergeCell ref="B1455:B1458"/>
    <mergeCell ref="B1435:B1437"/>
    <mergeCell ref="B1439:B1440"/>
    <mergeCell ref="B1441:B1442"/>
    <mergeCell ref="H1477:H1480"/>
    <mergeCell ref="H1481:H1483"/>
    <mergeCell ref="H1484:H1486"/>
    <mergeCell ref="H1492:H1493"/>
    <mergeCell ref="H1494:H1496"/>
    <mergeCell ref="H1499:H1502"/>
    <mergeCell ref="I1435:I1437"/>
    <mergeCell ref="I1439:I1440"/>
    <mergeCell ref="I1441:I1442"/>
    <mergeCell ref="I1443:I1448"/>
    <mergeCell ref="I1450:I1452"/>
    <mergeCell ref="I1455:I1458"/>
    <mergeCell ref="E1466:E1470"/>
    <mergeCell ref="F1466:F1470"/>
    <mergeCell ref="E1475:E1476"/>
    <mergeCell ref="F1475:F1476"/>
    <mergeCell ref="E1484:E1486"/>
    <mergeCell ref="F1484:F1486"/>
    <mergeCell ref="F1443:F1444"/>
    <mergeCell ref="E1455:E1457"/>
    <mergeCell ref="E1460:E1461"/>
    <mergeCell ref="F1460:F1461"/>
    <mergeCell ref="E1462:E1463"/>
    <mergeCell ref="F1462:F1463"/>
    <mergeCell ref="G1460:G1461"/>
    <mergeCell ref="G1462:G1463"/>
    <mergeCell ref="G1464:G1465"/>
    <mergeCell ref="G1443:G1448"/>
    <mergeCell ref="G1450:G1452"/>
    <mergeCell ref="G1455:G1458"/>
    <mergeCell ref="G1435:G1437"/>
    <mergeCell ref="G1439:G1440"/>
    <mergeCell ref="G1441:G1442"/>
    <mergeCell ref="H1460:H1461"/>
    <mergeCell ref="H1462:H1463"/>
    <mergeCell ref="H1464:H1465"/>
    <mergeCell ref="H1466:H1470"/>
    <mergeCell ref="H1475:H1476"/>
    <mergeCell ref="I1405:I1406"/>
    <mergeCell ref="I1407:I1411"/>
    <mergeCell ref="I1412:I1421"/>
    <mergeCell ref="I1422:I1423"/>
    <mergeCell ref="B1430:B1431"/>
    <mergeCell ref="G1430:G1431"/>
    <mergeCell ref="I1381:I1384"/>
    <mergeCell ref="I1385:I1387"/>
    <mergeCell ref="I1389:I1391"/>
    <mergeCell ref="I1392:I1393"/>
    <mergeCell ref="I1398:I1399"/>
    <mergeCell ref="I1403:I1404"/>
    <mergeCell ref="G1422:G1423"/>
    <mergeCell ref="E1381:E1384"/>
    <mergeCell ref="E1412:E1421"/>
    <mergeCell ref="E1422:E1423"/>
    <mergeCell ref="B1422:B1423"/>
    <mergeCell ref="G1405:G1406"/>
    <mergeCell ref="B1407:B1411"/>
    <mergeCell ref="G1407:G1411"/>
    <mergeCell ref="B1412:B1421"/>
    <mergeCell ref="G1412:G1421"/>
    <mergeCell ref="B1398:B1399"/>
    <mergeCell ref="G1398:G1399"/>
    <mergeCell ref="B1403:B1404"/>
    <mergeCell ref="G1403:G1404"/>
    <mergeCell ref="B1405:B1406"/>
    <mergeCell ref="B1389:B1391"/>
    <mergeCell ref="G1389:G1391"/>
    <mergeCell ref="B1392:B1393"/>
    <mergeCell ref="G1392:G1393"/>
    <mergeCell ref="I1430:I1431"/>
    <mergeCell ref="I1356:I1359"/>
    <mergeCell ref="I1360:I1361"/>
    <mergeCell ref="I1362:I1363"/>
    <mergeCell ref="I1365:I1369"/>
    <mergeCell ref="I1372:I1374"/>
    <mergeCell ref="I1375:I1379"/>
    <mergeCell ref="I1329:I1330"/>
    <mergeCell ref="I1335:I1336"/>
    <mergeCell ref="I1341:I1342"/>
    <mergeCell ref="I1346:I1347"/>
    <mergeCell ref="I1349:I1350"/>
    <mergeCell ref="I1351:I1353"/>
    <mergeCell ref="F1341:F1342"/>
    <mergeCell ref="E1349:E1350"/>
    <mergeCell ref="E1356:E1358"/>
    <mergeCell ref="E1360:E1361"/>
    <mergeCell ref="E1362:E1363"/>
    <mergeCell ref="E1365:E1366"/>
    <mergeCell ref="E1341:E1342"/>
    <mergeCell ref="E1375:E1378"/>
    <mergeCell ref="G1356:G1359"/>
    <mergeCell ref="H1335:H1336"/>
    <mergeCell ref="H1337:H1340"/>
    <mergeCell ref="H1341:H1342"/>
    <mergeCell ref="H1344:H1345"/>
    <mergeCell ref="H1346:H1347"/>
    <mergeCell ref="H1349:H1350"/>
    <mergeCell ref="H1351:H1353"/>
    <mergeCell ref="H1356:H1359"/>
    <mergeCell ref="H1360:H1361"/>
    <mergeCell ref="H1362:H1363"/>
    <mergeCell ref="H1365:H1369"/>
    <mergeCell ref="G1375:G1379"/>
    <mergeCell ref="B1381:B1384"/>
    <mergeCell ref="G1381:G1384"/>
    <mergeCell ref="B1385:B1387"/>
    <mergeCell ref="G1385:G1387"/>
    <mergeCell ref="B1375:B1379"/>
    <mergeCell ref="E1389:E1391"/>
    <mergeCell ref="B1372:B1374"/>
    <mergeCell ref="G1372:G1374"/>
    <mergeCell ref="B1360:B1361"/>
    <mergeCell ref="G1360:G1361"/>
    <mergeCell ref="B1362:B1363"/>
    <mergeCell ref="G1362:G1363"/>
    <mergeCell ref="B1365:B1369"/>
    <mergeCell ref="G1365:G1369"/>
    <mergeCell ref="G1349:G1350"/>
    <mergeCell ref="B1351:B1353"/>
    <mergeCell ref="G1351:G1353"/>
    <mergeCell ref="B1356:B1359"/>
    <mergeCell ref="G1341:G1342"/>
    <mergeCell ref="B1344:B1345"/>
    <mergeCell ref="G1344:G1345"/>
    <mergeCell ref="B1346:B1347"/>
    <mergeCell ref="G1346:G1347"/>
    <mergeCell ref="B1349:B1350"/>
    <mergeCell ref="G1329:G1330"/>
    <mergeCell ref="B1335:B1336"/>
    <mergeCell ref="G1335:G1336"/>
    <mergeCell ref="B1337:B1340"/>
    <mergeCell ref="G1337:G1340"/>
    <mergeCell ref="B1341:B1342"/>
    <mergeCell ref="B1329:B1330"/>
    <mergeCell ref="I1325:I1326"/>
    <mergeCell ref="I1323:I1324"/>
    <mergeCell ref="I1317:I1319"/>
    <mergeCell ref="I1314:I1316"/>
    <mergeCell ref="H1323:H1324"/>
    <mergeCell ref="H1325:H1326"/>
    <mergeCell ref="H1329:H1330"/>
    <mergeCell ref="I1311:I1312"/>
    <mergeCell ref="I1309:I1310"/>
    <mergeCell ref="I1301:I1303"/>
    <mergeCell ref="I1298:I1299"/>
    <mergeCell ref="I1296:I1297"/>
    <mergeCell ref="I1291:I1293"/>
    <mergeCell ref="I1289:I1290"/>
    <mergeCell ref="I1283:I1284"/>
    <mergeCell ref="I1278:I1281"/>
    <mergeCell ref="B1325:B1326"/>
    <mergeCell ref="G1325:G1326"/>
    <mergeCell ref="I1275:I1276"/>
    <mergeCell ref="B1314:B1316"/>
    <mergeCell ref="G1314:G1316"/>
    <mergeCell ref="B1317:B1319"/>
    <mergeCell ref="G1317:G1319"/>
    <mergeCell ref="B1323:B1324"/>
    <mergeCell ref="G1323:G1324"/>
    <mergeCell ref="B1301:B1303"/>
    <mergeCell ref="G1301:G1303"/>
    <mergeCell ref="B1309:B1310"/>
    <mergeCell ref="G1309:G1310"/>
    <mergeCell ref="B1311:B1312"/>
    <mergeCell ref="G1311:G1312"/>
    <mergeCell ref="B1291:B1293"/>
    <mergeCell ref="G1291:G1293"/>
    <mergeCell ref="B1296:B1297"/>
    <mergeCell ref="G1296:G1297"/>
    <mergeCell ref="B1298:B1299"/>
    <mergeCell ref="G1298:G1299"/>
    <mergeCell ref="B1278:B1281"/>
    <mergeCell ref="G1278:G1281"/>
    <mergeCell ref="B1283:B1284"/>
    <mergeCell ref="G1283:G1284"/>
    <mergeCell ref="B1289:B1290"/>
    <mergeCell ref="G1289:G1290"/>
    <mergeCell ref="D1214:D1215"/>
    <mergeCell ref="I1249:I1250"/>
    <mergeCell ref="I1261:I1262"/>
    <mergeCell ref="B1275:B1276"/>
    <mergeCell ref="G1275:G1276"/>
    <mergeCell ref="D1192:D1193"/>
    <mergeCell ref="D1194:D1195"/>
    <mergeCell ref="D1196:D1197"/>
    <mergeCell ref="D1200:D1202"/>
    <mergeCell ref="D1203:D1206"/>
    <mergeCell ref="D1208:D1209"/>
    <mergeCell ref="B1214:B1215"/>
    <mergeCell ref="G1214:G1215"/>
    <mergeCell ref="B1249:B1250"/>
    <mergeCell ref="G1249:G1250"/>
    <mergeCell ref="B1261:B1262"/>
    <mergeCell ref="G1261:G1262"/>
    <mergeCell ref="B1200:B1202"/>
    <mergeCell ref="G1200:G1202"/>
    <mergeCell ref="B1203:B1206"/>
    <mergeCell ref="G1203:G1206"/>
    <mergeCell ref="B1208:B1209"/>
    <mergeCell ref="G1208:G1209"/>
    <mergeCell ref="B1192:B1193"/>
    <mergeCell ref="G1192:G1193"/>
    <mergeCell ref="B1194:B1195"/>
    <mergeCell ref="G1194:G1195"/>
    <mergeCell ref="B1196:B1197"/>
    <mergeCell ref="G1196:G1197"/>
    <mergeCell ref="B1187:B1188"/>
    <mergeCell ref="G1187:G1188"/>
    <mergeCell ref="B1189:B1190"/>
    <mergeCell ref="G1189:G1190"/>
    <mergeCell ref="B1165:B1166"/>
    <mergeCell ref="G1165:G1166"/>
    <mergeCell ref="B1174:B1175"/>
    <mergeCell ref="G1174:G1175"/>
    <mergeCell ref="B1183:B1184"/>
    <mergeCell ref="G1183:G1184"/>
    <mergeCell ref="I1146:I1148"/>
    <mergeCell ref="I1150:I1151"/>
    <mergeCell ref="I1152:I1155"/>
    <mergeCell ref="B1157:B1158"/>
    <mergeCell ref="G1157:G1158"/>
    <mergeCell ref="I1132:I1133"/>
    <mergeCell ref="I1134:I1135"/>
    <mergeCell ref="I1137:I1138"/>
    <mergeCell ref="I1139:I1140"/>
    <mergeCell ref="I1141:I1143"/>
    <mergeCell ref="I1144:I1145"/>
    <mergeCell ref="H1150:H1151"/>
    <mergeCell ref="H1152:H1155"/>
    <mergeCell ref="H1157:H1158"/>
    <mergeCell ref="H1165:H1166"/>
    <mergeCell ref="H1174:H1175"/>
    <mergeCell ref="H1183:H1184"/>
    <mergeCell ref="H1187:H1188"/>
    <mergeCell ref="H1189:H1190"/>
    <mergeCell ref="H1137:H1138"/>
    <mergeCell ref="H1139:H1140"/>
    <mergeCell ref="I1110:I1111"/>
    <mergeCell ref="I1120:I1121"/>
    <mergeCell ref="I1122:I1124"/>
    <mergeCell ref="I1125:I1126"/>
    <mergeCell ref="I1127:I1128"/>
    <mergeCell ref="I1129:I1130"/>
    <mergeCell ref="B1146:B1148"/>
    <mergeCell ref="G1146:G1148"/>
    <mergeCell ref="B1150:B1151"/>
    <mergeCell ref="G1150:G1151"/>
    <mergeCell ref="B1152:B1155"/>
    <mergeCell ref="G1152:G1155"/>
    <mergeCell ref="B1139:B1140"/>
    <mergeCell ref="G1139:G1140"/>
    <mergeCell ref="B1141:B1143"/>
    <mergeCell ref="G1141:G1143"/>
    <mergeCell ref="B1144:B1145"/>
    <mergeCell ref="G1144:G1145"/>
    <mergeCell ref="B1132:B1133"/>
    <mergeCell ref="G1132:G1133"/>
    <mergeCell ref="B1134:B1135"/>
    <mergeCell ref="G1134:G1135"/>
    <mergeCell ref="B1137:B1138"/>
    <mergeCell ref="G1137:G1138"/>
    <mergeCell ref="B1125:B1126"/>
    <mergeCell ref="G1125:G1126"/>
    <mergeCell ref="B1127:B1128"/>
    <mergeCell ref="G1127:G1128"/>
    <mergeCell ref="B1129:B1130"/>
    <mergeCell ref="G1129:G1130"/>
    <mergeCell ref="B1110:B1111"/>
    <mergeCell ref="G1110:G1111"/>
    <mergeCell ref="I1091:I1092"/>
    <mergeCell ref="I1096:I1097"/>
    <mergeCell ref="I1098:I1099"/>
    <mergeCell ref="I1100:I1101"/>
    <mergeCell ref="I1102:I1103"/>
    <mergeCell ref="I1107:I1108"/>
    <mergeCell ref="I1065:I1066"/>
    <mergeCell ref="I1067:I1068"/>
    <mergeCell ref="I1071:I1073"/>
    <mergeCell ref="I1074:I1075"/>
    <mergeCell ref="I1076:I1078"/>
    <mergeCell ref="I1080:I1081"/>
    <mergeCell ref="I1053:I1054"/>
    <mergeCell ref="I1056:I1057"/>
    <mergeCell ref="I1059:I1060"/>
    <mergeCell ref="I1061:I1062"/>
    <mergeCell ref="I1063:I1064"/>
    <mergeCell ref="I1093:I1094"/>
    <mergeCell ref="B1120:B1121"/>
    <mergeCell ref="G1120:G1121"/>
    <mergeCell ref="B1122:B1124"/>
    <mergeCell ref="G1122:G1124"/>
    <mergeCell ref="B1100:B1101"/>
    <mergeCell ref="G1100:G1101"/>
    <mergeCell ref="B1102:B1103"/>
    <mergeCell ref="G1102:G1103"/>
    <mergeCell ref="B1107:B1108"/>
    <mergeCell ref="G1107:G1108"/>
    <mergeCell ref="B1091:B1092"/>
    <mergeCell ref="G1091:G1092"/>
    <mergeCell ref="B1096:B1097"/>
    <mergeCell ref="G1096:G1097"/>
    <mergeCell ref="B1098:B1099"/>
    <mergeCell ref="G1098:G1099"/>
    <mergeCell ref="B1074:B1075"/>
    <mergeCell ref="G1074:G1075"/>
    <mergeCell ref="B1076:B1078"/>
    <mergeCell ref="G1076:G1078"/>
    <mergeCell ref="B1080:B1081"/>
    <mergeCell ref="G1080:G1081"/>
    <mergeCell ref="G1093:G1094"/>
    <mergeCell ref="B1065:B1066"/>
    <mergeCell ref="G1065:G1066"/>
    <mergeCell ref="B1067:B1068"/>
    <mergeCell ref="G1067:G1068"/>
    <mergeCell ref="B1071:B1073"/>
    <mergeCell ref="G1071:G1073"/>
    <mergeCell ref="B1059:B1060"/>
    <mergeCell ref="G1059:G1060"/>
    <mergeCell ref="B1061:B1062"/>
    <mergeCell ref="G1061:G1062"/>
    <mergeCell ref="B1063:B1064"/>
    <mergeCell ref="G1063:G1064"/>
    <mergeCell ref="I1040:I1041"/>
    <mergeCell ref="B1053:B1054"/>
    <mergeCell ref="G1053:G1054"/>
    <mergeCell ref="B1056:B1057"/>
    <mergeCell ref="G1056:G1057"/>
    <mergeCell ref="B1046:B1048"/>
    <mergeCell ref="G1046:G1048"/>
    <mergeCell ref="I987:I988"/>
    <mergeCell ref="I989:I990"/>
    <mergeCell ref="I991:I1003"/>
    <mergeCell ref="I1004:I1013"/>
    <mergeCell ref="I1014:I1017"/>
    <mergeCell ref="I1019:I1020"/>
    <mergeCell ref="I970:I972"/>
    <mergeCell ref="I973:I975"/>
    <mergeCell ref="I977:I979"/>
    <mergeCell ref="I980:I982"/>
    <mergeCell ref="I983:I984"/>
    <mergeCell ref="I985:I986"/>
    <mergeCell ref="I953:I954"/>
    <mergeCell ref="I955:I957"/>
    <mergeCell ref="I958:I960"/>
    <mergeCell ref="I961:I963"/>
    <mergeCell ref="I964:I966"/>
    <mergeCell ref="I967:I969"/>
    <mergeCell ref="I939:I942"/>
    <mergeCell ref="I943:I944"/>
    <mergeCell ref="I945:I946"/>
    <mergeCell ref="I947:I948"/>
    <mergeCell ref="I949:I950"/>
    <mergeCell ref="I951:I952"/>
    <mergeCell ref="I912:I914"/>
    <mergeCell ref="I915:I930"/>
    <mergeCell ref="I931:I932"/>
    <mergeCell ref="I933:I934"/>
    <mergeCell ref="I935:I936"/>
    <mergeCell ref="I937:I938"/>
    <mergeCell ref="I903:I904"/>
    <mergeCell ref="I905:I906"/>
    <mergeCell ref="I907:I908"/>
    <mergeCell ref="I909:I911"/>
    <mergeCell ref="B1042:B1044"/>
    <mergeCell ref="G1042:G1044"/>
    <mergeCell ref="B1014:B1015"/>
    <mergeCell ref="G1014:G1015"/>
    <mergeCell ref="B1016:B1017"/>
    <mergeCell ref="G1016:G1017"/>
    <mergeCell ref="B1019:B1020"/>
    <mergeCell ref="G1019:G1020"/>
    <mergeCell ref="B1008:B1009"/>
    <mergeCell ref="G1008:G1009"/>
    <mergeCell ref="B1010:B1011"/>
    <mergeCell ref="G1010:G1011"/>
    <mergeCell ref="B1012:B1013"/>
    <mergeCell ref="G1012:G1013"/>
    <mergeCell ref="B991:B992"/>
    <mergeCell ref="G991:G992"/>
    <mergeCell ref="B1004:B1005"/>
    <mergeCell ref="G1004:G1005"/>
    <mergeCell ref="B1006:B1007"/>
    <mergeCell ref="G1006:G1007"/>
    <mergeCell ref="B985:B986"/>
    <mergeCell ref="G985:G986"/>
    <mergeCell ref="B987:B988"/>
    <mergeCell ref="G987:G988"/>
    <mergeCell ref="B989:B990"/>
    <mergeCell ref="G989:G990"/>
    <mergeCell ref="B978:B979"/>
    <mergeCell ref="G978:G979"/>
    <mergeCell ref="B980:B981"/>
    <mergeCell ref="G980:G981"/>
    <mergeCell ref="B983:B984"/>
    <mergeCell ref="G983:G984"/>
    <mergeCell ref="B967:B969"/>
    <mergeCell ref="G967:G969"/>
    <mergeCell ref="B970:B972"/>
    <mergeCell ref="G970:G972"/>
    <mergeCell ref="B973:B975"/>
    <mergeCell ref="G973:G975"/>
    <mergeCell ref="B958:B960"/>
    <mergeCell ref="G958:G960"/>
    <mergeCell ref="B961:B963"/>
    <mergeCell ref="G961:G963"/>
    <mergeCell ref="B964:B966"/>
    <mergeCell ref="G964:G966"/>
    <mergeCell ref="B951:B952"/>
    <mergeCell ref="G951:G952"/>
    <mergeCell ref="B953:B954"/>
    <mergeCell ref="G953:G954"/>
    <mergeCell ref="B955:B957"/>
    <mergeCell ref="G955:G957"/>
    <mergeCell ref="B945:B946"/>
    <mergeCell ref="G945:G946"/>
    <mergeCell ref="B947:B948"/>
    <mergeCell ref="G947:G948"/>
    <mergeCell ref="B949:B950"/>
    <mergeCell ref="G949:G950"/>
    <mergeCell ref="B939:B940"/>
    <mergeCell ref="G939:G940"/>
    <mergeCell ref="B941:B942"/>
    <mergeCell ref="G941:G942"/>
    <mergeCell ref="B943:B944"/>
    <mergeCell ref="G943:G944"/>
    <mergeCell ref="B933:B934"/>
    <mergeCell ref="G933:G934"/>
    <mergeCell ref="B935:B936"/>
    <mergeCell ref="G935:G936"/>
    <mergeCell ref="B937:B938"/>
    <mergeCell ref="G937:G938"/>
    <mergeCell ref="B927:B928"/>
    <mergeCell ref="G927:G928"/>
    <mergeCell ref="B929:B930"/>
    <mergeCell ref="G929:G930"/>
    <mergeCell ref="B931:B932"/>
    <mergeCell ref="G931:G932"/>
    <mergeCell ref="B921:B922"/>
    <mergeCell ref="G921:G922"/>
    <mergeCell ref="B923:B924"/>
    <mergeCell ref="G923:G924"/>
    <mergeCell ref="B925:B926"/>
    <mergeCell ref="G925:G926"/>
    <mergeCell ref="B915:B916"/>
    <mergeCell ref="G915:G916"/>
    <mergeCell ref="B917:B918"/>
    <mergeCell ref="G917:G918"/>
    <mergeCell ref="B919:B920"/>
    <mergeCell ref="G919:G920"/>
    <mergeCell ref="B907:B908"/>
    <mergeCell ref="G907:G908"/>
    <mergeCell ref="B909:B910"/>
    <mergeCell ref="G909:G910"/>
    <mergeCell ref="B913:B914"/>
    <mergeCell ref="G913:G914"/>
    <mergeCell ref="B903:B904"/>
    <mergeCell ref="G903:G904"/>
    <mergeCell ref="B905:B906"/>
    <mergeCell ref="G905:G906"/>
    <mergeCell ref="I884:I885"/>
    <mergeCell ref="I887:I888"/>
    <mergeCell ref="I889:I890"/>
    <mergeCell ref="I891:I892"/>
    <mergeCell ref="I894:I895"/>
    <mergeCell ref="I899:I900"/>
    <mergeCell ref="I863:I864"/>
    <mergeCell ref="I865:I866"/>
    <mergeCell ref="I867:I868"/>
    <mergeCell ref="I869:I870"/>
    <mergeCell ref="I872:I875"/>
    <mergeCell ref="I879:I880"/>
    <mergeCell ref="I843:I844"/>
    <mergeCell ref="I845:I846"/>
    <mergeCell ref="I847:I849"/>
    <mergeCell ref="I853:I856"/>
    <mergeCell ref="I858:I859"/>
    <mergeCell ref="I860:I862"/>
    <mergeCell ref="B872:B875"/>
    <mergeCell ref="G872:G875"/>
    <mergeCell ref="B860:B862"/>
    <mergeCell ref="G860:G862"/>
    <mergeCell ref="B863:B864"/>
    <mergeCell ref="G863:G864"/>
    <mergeCell ref="B865:B866"/>
    <mergeCell ref="G865:G866"/>
    <mergeCell ref="B847:B849"/>
    <mergeCell ref="G847:G849"/>
    <mergeCell ref="I818:I820"/>
    <mergeCell ref="I831:I832"/>
    <mergeCell ref="I833:I835"/>
    <mergeCell ref="I836:I837"/>
    <mergeCell ref="I838:I840"/>
    <mergeCell ref="I841:I842"/>
    <mergeCell ref="I796:I797"/>
    <mergeCell ref="I798:I801"/>
    <mergeCell ref="I808:I809"/>
    <mergeCell ref="I810:I811"/>
    <mergeCell ref="I814:I815"/>
    <mergeCell ref="I816:I817"/>
    <mergeCell ref="I776:I778"/>
    <mergeCell ref="I779:I781"/>
    <mergeCell ref="I782:I783"/>
    <mergeCell ref="I784:I785"/>
    <mergeCell ref="I788:I791"/>
    <mergeCell ref="I792:I795"/>
    <mergeCell ref="I749:I750"/>
    <mergeCell ref="I751:I752"/>
    <mergeCell ref="I753:I754"/>
    <mergeCell ref="I756:I757"/>
    <mergeCell ref="I766:I767"/>
    <mergeCell ref="I768:I769"/>
    <mergeCell ref="I716:I721"/>
    <mergeCell ref="I724:I726"/>
    <mergeCell ref="I727:I728"/>
    <mergeCell ref="I729:I730"/>
    <mergeCell ref="I735:I737"/>
    <mergeCell ref="I746:I747"/>
    <mergeCell ref="B894:B895"/>
    <mergeCell ref="G894:G895"/>
    <mergeCell ref="B899:B900"/>
    <mergeCell ref="G899:G900"/>
    <mergeCell ref="B887:B888"/>
    <mergeCell ref="G887:G888"/>
    <mergeCell ref="B889:B890"/>
    <mergeCell ref="G889:G890"/>
    <mergeCell ref="B891:B892"/>
    <mergeCell ref="G891:G892"/>
    <mergeCell ref="B876:B877"/>
    <mergeCell ref="G876:G877"/>
    <mergeCell ref="B879:B880"/>
    <mergeCell ref="G879:G880"/>
    <mergeCell ref="B884:B885"/>
    <mergeCell ref="G884:G885"/>
    <mergeCell ref="B867:B868"/>
    <mergeCell ref="G867:G868"/>
    <mergeCell ref="B869:B870"/>
    <mergeCell ref="G869:G870"/>
    <mergeCell ref="B853:B856"/>
    <mergeCell ref="G853:G856"/>
    <mergeCell ref="B858:B859"/>
    <mergeCell ref="G858:G859"/>
    <mergeCell ref="B841:B842"/>
    <mergeCell ref="G841:G842"/>
    <mergeCell ref="B843:B844"/>
    <mergeCell ref="G843:G844"/>
    <mergeCell ref="B845:B846"/>
    <mergeCell ref="G845:G846"/>
    <mergeCell ref="B833:B835"/>
    <mergeCell ref="G833:G835"/>
    <mergeCell ref="B836:B837"/>
    <mergeCell ref="G836:G837"/>
    <mergeCell ref="B838:B840"/>
    <mergeCell ref="G838:G840"/>
    <mergeCell ref="B816:B817"/>
    <mergeCell ref="G816:G817"/>
    <mergeCell ref="B818:B820"/>
    <mergeCell ref="G818:G820"/>
    <mergeCell ref="B831:B832"/>
    <mergeCell ref="G831:G832"/>
    <mergeCell ref="B808:B809"/>
    <mergeCell ref="G808:G809"/>
    <mergeCell ref="B810:B811"/>
    <mergeCell ref="G810:G811"/>
    <mergeCell ref="B814:B815"/>
    <mergeCell ref="G814:G815"/>
    <mergeCell ref="B792:B795"/>
    <mergeCell ref="G792:G795"/>
    <mergeCell ref="B796:B797"/>
    <mergeCell ref="G796:G797"/>
    <mergeCell ref="B798:B801"/>
    <mergeCell ref="G798:G801"/>
    <mergeCell ref="B782:B783"/>
    <mergeCell ref="G782:G783"/>
    <mergeCell ref="B784:B785"/>
    <mergeCell ref="G784:G785"/>
    <mergeCell ref="B788:B791"/>
    <mergeCell ref="G788:G791"/>
    <mergeCell ref="B770:B771"/>
    <mergeCell ref="G770:G771"/>
    <mergeCell ref="B776:B778"/>
    <mergeCell ref="G776:G778"/>
    <mergeCell ref="B779:B781"/>
    <mergeCell ref="G779:G781"/>
    <mergeCell ref="B756:B757"/>
    <mergeCell ref="G756:G757"/>
    <mergeCell ref="B766:B767"/>
    <mergeCell ref="G766:G767"/>
    <mergeCell ref="B768:B769"/>
    <mergeCell ref="G768:G769"/>
    <mergeCell ref="B749:B750"/>
    <mergeCell ref="G749:G750"/>
    <mergeCell ref="B751:B752"/>
    <mergeCell ref="G751:G752"/>
    <mergeCell ref="B753:B754"/>
    <mergeCell ref="G753:G754"/>
    <mergeCell ref="B729:B730"/>
    <mergeCell ref="G729:G730"/>
    <mergeCell ref="B735:B737"/>
    <mergeCell ref="G735:G737"/>
    <mergeCell ref="B746:B747"/>
    <mergeCell ref="G746:G747"/>
    <mergeCell ref="B716:B721"/>
    <mergeCell ref="G716:G721"/>
    <mergeCell ref="B724:B726"/>
    <mergeCell ref="G724:G726"/>
    <mergeCell ref="B727:B728"/>
    <mergeCell ref="G727:G728"/>
    <mergeCell ref="I702:I704"/>
    <mergeCell ref="I705:I707"/>
    <mergeCell ref="I708:I711"/>
    <mergeCell ref="I713:I714"/>
    <mergeCell ref="I687:I688"/>
    <mergeCell ref="I690:I691"/>
    <mergeCell ref="I692:I693"/>
    <mergeCell ref="I694:I697"/>
    <mergeCell ref="I698:I699"/>
    <mergeCell ref="I700:I701"/>
    <mergeCell ref="B731:B732"/>
    <mergeCell ref="B713:B714"/>
    <mergeCell ref="G713:G714"/>
    <mergeCell ref="B705:B707"/>
    <mergeCell ref="G705:G707"/>
    <mergeCell ref="B708:B711"/>
    <mergeCell ref="G708:G711"/>
    <mergeCell ref="B700:B701"/>
    <mergeCell ref="G700:G701"/>
    <mergeCell ref="B702:B704"/>
    <mergeCell ref="I572:I573"/>
    <mergeCell ref="I576:I577"/>
    <mergeCell ref="I578:I579"/>
    <mergeCell ref="I580:I581"/>
    <mergeCell ref="I666:I667"/>
    <mergeCell ref="I668:I670"/>
    <mergeCell ref="I671:I672"/>
    <mergeCell ref="I673:I675"/>
    <mergeCell ref="I678:I679"/>
    <mergeCell ref="I680:I681"/>
    <mergeCell ref="I639:I640"/>
    <mergeCell ref="I641:I643"/>
    <mergeCell ref="I648:I649"/>
    <mergeCell ref="I654:I655"/>
    <mergeCell ref="I659:I660"/>
    <mergeCell ref="I661:I662"/>
    <mergeCell ref="I619:I620"/>
    <mergeCell ref="I626:I627"/>
    <mergeCell ref="I630:I632"/>
    <mergeCell ref="I633:I634"/>
    <mergeCell ref="I635:I636"/>
    <mergeCell ref="I637:I638"/>
    <mergeCell ref="G702:G704"/>
    <mergeCell ref="B694:B697"/>
    <mergeCell ref="G694:G697"/>
    <mergeCell ref="B698:B699"/>
    <mergeCell ref="G698:G699"/>
    <mergeCell ref="B690:B691"/>
    <mergeCell ref="G690:G691"/>
    <mergeCell ref="B692:B693"/>
    <mergeCell ref="G692:G693"/>
    <mergeCell ref="B680:B681"/>
    <mergeCell ref="G680:G681"/>
    <mergeCell ref="B687:B688"/>
    <mergeCell ref="G687:G688"/>
    <mergeCell ref="B673:B675"/>
    <mergeCell ref="G673:G675"/>
    <mergeCell ref="B678:B679"/>
    <mergeCell ref="G678:G679"/>
    <mergeCell ref="B668:B670"/>
    <mergeCell ref="G668:G670"/>
    <mergeCell ref="B671:B672"/>
    <mergeCell ref="G671:G672"/>
    <mergeCell ref="I536:I538"/>
    <mergeCell ref="I542:I543"/>
    <mergeCell ref="I544:I545"/>
    <mergeCell ref="I550:I551"/>
    <mergeCell ref="I554:I556"/>
    <mergeCell ref="I557:I559"/>
    <mergeCell ref="I595:I596"/>
    <mergeCell ref="I597:I598"/>
    <mergeCell ref="I602:I603"/>
    <mergeCell ref="I609:I610"/>
    <mergeCell ref="I612:I613"/>
    <mergeCell ref="I617:I618"/>
    <mergeCell ref="I582:I583"/>
    <mergeCell ref="I585:I586"/>
    <mergeCell ref="I587:I588"/>
    <mergeCell ref="I589:I590"/>
    <mergeCell ref="I591:I592"/>
    <mergeCell ref="I593:I594"/>
    <mergeCell ref="I567:I569"/>
    <mergeCell ref="I570:I571"/>
    <mergeCell ref="B637:B638"/>
    <mergeCell ref="G637:G638"/>
    <mergeCell ref="B639:B640"/>
    <mergeCell ref="G639:G640"/>
    <mergeCell ref="B633:B634"/>
    <mergeCell ref="G633:G634"/>
    <mergeCell ref="B635:B636"/>
    <mergeCell ref="G635:G636"/>
    <mergeCell ref="B626:B627"/>
    <mergeCell ref="G626:G627"/>
    <mergeCell ref="B630:B632"/>
    <mergeCell ref="G630:G632"/>
    <mergeCell ref="B661:B662"/>
    <mergeCell ref="G661:G662"/>
    <mergeCell ref="B666:B667"/>
    <mergeCell ref="G666:G667"/>
    <mergeCell ref="B654:B655"/>
    <mergeCell ref="G654:G655"/>
    <mergeCell ref="B659:B660"/>
    <mergeCell ref="G659:G660"/>
    <mergeCell ref="B641:B643"/>
    <mergeCell ref="G641:G643"/>
    <mergeCell ref="B648:B649"/>
    <mergeCell ref="G648:G649"/>
    <mergeCell ref="B593:B594"/>
    <mergeCell ref="G593:G594"/>
    <mergeCell ref="B595:B596"/>
    <mergeCell ref="G595:G596"/>
    <mergeCell ref="B589:B590"/>
    <mergeCell ref="G589:G590"/>
    <mergeCell ref="B591:B592"/>
    <mergeCell ref="G591:G592"/>
    <mergeCell ref="B585:B586"/>
    <mergeCell ref="G585:G586"/>
    <mergeCell ref="B587:B588"/>
    <mergeCell ref="G587:G588"/>
    <mergeCell ref="B617:B618"/>
    <mergeCell ref="G617:G618"/>
    <mergeCell ref="B619:B620"/>
    <mergeCell ref="G619:G620"/>
    <mergeCell ref="B609:B610"/>
    <mergeCell ref="G609:G610"/>
    <mergeCell ref="B612:B613"/>
    <mergeCell ref="G612:G613"/>
    <mergeCell ref="B597:B598"/>
    <mergeCell ref="G597:G598"/>
    <mergeCell ref="B602:B603"/>
    <mergeCell ref="G602:G603"/>
    <mergeCell ref="B557:B559"/>
    <mergeCell ref="G557:G559"/>
    <mergeCell ref="B567:B569"/>
    <mergeCell ref="G567:G569"/>
    <mergeCell ref="B550:B551"/>
    <mergeCell ref="G550:G551"/>
    <mergeCell ref="B554:B556"/>
    <mergeCell ref="G554:G556"/>
    <mergeCell ref="B536:B538"/>
    <mergeCell ref="G536:G538"/>
    <mergeCell ref="B539:B545"/>
    <mergeCell ref="G539:G545"/>
    <mergeCell ref="B580:B581"/>
    <mergeCell ref="G580:G581"/>
    <mergeCell ref="B582:B583"/>
    <mergeCell ref="G582:G583"/>
    <mergeCell ref="B576:B577"/>
    <mergeCell ref="G576:G577"/>
    <mergeCell ref="B578:B579"/>
    <mergeCell ref="G578:G579"/>
    <mergeCell ref="B570:B571"/>
    <mergeCell ref="G570:G571"/>
    <mergeCell ref="B572:B573"/>
    <mergeCell ref="G572:G573"/>
    <mergeCell ref="I525:I526"/>
    <mergeCell ref="I527:I528"/>
    <mergeCell ref="B534:B535"/>
    <mergeCell ref="G534:G535"/>
    <mergeCell ref="I534:I535"/>
    <mergeCell ref="I512:I514"/>
    <mergeCell ref="I515:I516"/>
    <mergeCell ref="I517:I518"/>
    <mergeCell ref="I519:I520"/>
    <mergeCell ref="I521:I522"/>
    <mergeCell ref="I523:I524"/>
    <mergeCell ref="I499:I500"/>
    <mergeCell ref="I501:I502"/>
    <mergeCell ref="I503:I504"/>
    <mergeCell ref="I505:I507"/>
    <mergeCell ref="I508:I509"/>
    <mergeCell ref="I510:I511"/>
    <mergeCell ref="B525:B526"/>
    <mergeCell ref="G525:G526"/>
    <mergeCell ref="B527:B528"/>
    <mergeCell ref="G527:G528"/>
    <mergeCell ref="B521:B522"/>
    <mergeCell ref="G521:G522"/>
    <mergeCell ref="B523:B524"/>
    <mergeCell ref="G523:G524"/>
    <mergeCell ref="B517:B518"/>
    <mergeCell ref="G517:G518"/>
    <mergeCell ref="B519:B520"/>
    <mergeCell ref="G519:G520"/>
    <mergeCell ref="B512:B514"/>
    <mergeCell ref="G512:G514"/>
    <mergeCell ref="B515:B516"/>
    <mergeCell ref="I403:I405"/>
    <mergeCell ref="I406:I408"/>
    <mergeCell ref="I409:I410"/>
    <mergeCell ref="I411:I412"/>
    <mergeCell ref="I413:I416"/>
    <mergeCell ref="I418:I420"/>
    <mergeCell ref="I387:I388"/>
    <mergeCell ref="I391:I392"/>
    <mergeCell ref="I393:I394"/>
    <mergeCell ref="I396:I397"/>
    <mergeCell ref="I398:I399"/>
    <mergeCell ref="I400:I402"/>
    <mergeCell ref="I485:I486"/>
    <mergeCell ref="I487:I488"/>
    <mergeCell ref="I491:I492"/>
    <mergeCell ref="I493:I494"/>
    <mergeCell ref="I495:I496"/>
    <mergeCell ref="I467:I469"/>
    <mergeCell ref="I470:I472"/>
    <mergeCell ref="I473:I475"/>
    <mergeCell ref="I477:I478"/>
    <mergeCell ref="I479:I481"/>
    <mergeCell ref="I482:I484"/>
    <mergeCell ref="I443:I445"/>
    <mergeCell ref="I446:I447"/>
    <mergeCell ref="I448:I449"/>
    <mergeCell ref="I452:I454"/>
    <mergeCell ref="I461:I462"/>
    <mergeCell ref="I465:I466"/>
    <mergeCell ref="G515:G516"/>
    <mergeCell ref="B508:B509"/>
    <mergeCell ref="G508:G509"/>
    <mergeCell ref="B510:B511"/>
    <mergeCell ref="G510:G511"/>
    <mergeCell ref="B503:B504"/>
    <mergeCell ref="G503:G504"/>
    <mergeCell ref="B505:B507"/>
    <mergeCell ref="G505:G507"/>
    <mergeCell ref="I421:I422"/>
    <mergeCell ref="I423:I427"/>
    <mergeCell ref="I428:I429"/>
    <mergeCell ref="I431:I433"/>
    <mergeCell ref="I434:I437"/>
    <mergeCell ref="I438:I442"/>
    <mergeCell ref="I497:I498"/>
    <mergeCell ref="B485:B486"/>
    <mergeCell ref="G485:G486"/>
    <mergeCell ref="B487:B488"/>
    <mergeCell ref="G487:G488"/>
    <mergeCell ref="B479:B481"/>
    <mergeCell ref="G479:G481"/>
    <mergeCell ref="B482:B484"/>
    <mergeCell ref="G482:G484"/>
    <mergeCell ref="B473:B475"/>
    <mergeCell ref="G473:G475"/>
    <mergeCell ref="B477:B478"/>
    <mergeCell ref="G477:G478"/>
    <mergeCell ref="B499:B500"/>
    <mergeCell ref="G499:G500"/>
    <mergeCell ref="B501:B502"/>
    <mergeCell ref="G501:G502"/>
    <mergeCell ref="B495:B496"/>
    <mergeCell ref="G495:G496"/>
    <mergeCell ref="B497:B498"/>
    <mergeCell ref="G497:G498"/>
    <mergeCell ref="B491:B492"/>
    <mergeCell ref="G491:G492"/>
    <mergeCell ref="B493:B494"/>
    <mergeCell ref="G493:G494"/>
    <mergeCell ref="B443:B445"/>
    <mergeCell ref="G443:G445"/>
    <mergeCell ref="B446:B447"/>
    <mergeCell ref="G446:G447"/>
    <mergeCell ref="B434:B437"/>
    <mergeCell ref="G434:G437"/>
    <mergeCell ref="B438:B442"/>
    <mergeCell ref="G438:G442"/>
    <mergeCell ref="B428:B429"/>
    <mergeCell ref="G428:G429"/>
    <mergeCell ref="B431:B433"/>
    <mergeCell ref="G431:G433"/>
    <mergeCell ref="B467:B469"/>
    <mergeCell ref="G467:G469"/>
    <mergeCell ref="B470:B472"/>
    <mergeCell ref="G470:G472"/>
    <mergeCell ref="B461:B462"/>
    <mergeCell ref="G461:G462"/>
    <mergeCell ref="B465:B466"/>
    <mergeCell ref="G465:G466"/>
    <mergeCell ref="B448:B449"/>
    <mergeCell ref="G448:G449"/>
    <mergeCell ref="B452:B454"/>
    <mergeCell ref="G452:G454"/>
    <mergeCell ref="B403:B405"/>
    <mergeCell ref="G403:G405"/>
    <mergeCell ref="B406:B408"/>
    <mergeCell ref="G406:G408"/>
    <mergeCell ref="B398:B399"/>
    <mergeCell ref="G398:G399"/>
    <mergeCell ref="B400:B402"/>
    <mergeCell ref="G400:G402"/>
    <mergeCell ref="B393:B394"/>
    <mergeCell ref="G393:G394"/>
    <mergeCell ref="B396:B397"/>
    <mergeCell ref="G396:G397"/>
    <mergeCell ref="B421:B422"/>
    <mergeCell ref="G421:G422"/>
    <mergeCell ref="B423:B427"/>
    <mergeCell ref="G423:G427"/>
    <mergeCell ref="B413:B416"/>
    <mergeCell ref="G413:G416"/>
    <mergeCell ref="B418:B420"/>
    <mergeCell ref="G418:G420"/>
    <mergeCell ref="B409:B410"/>
    <mergeCell ref="G409:G410"/>
    <mergeCell ref="B411:B412"/>
    <mergeCell ref="G411:G412"/>
    <mergeCell ref="B387:B388"/>
    <mergeCell ref="G387:G388"/>
    <mergeCell ref="B391:B392"/>
    <mergeCell ref="G391:G392"/>
    <mergeCell ref="I377:I378"/>
    <mergeCell ref="I379:I380"/>
    <mergeCell ref="B381:B383"/>
    <mergeCell ref="G381:G383"/>
    <mergeCell ref="B384:B386"/>
    <mergeCell ref="G384:G386"/>
    <mergeCell ref="I381:I383"/>
    <mergeCell ref="I384:I386"/>
    <mergeCell ref="I354:I355"/>
    <mergeCell ref="I359:I360"/>
    <mergeCell ref="I361:I362"/>
    <mergeCell ref="I363:I364"/>
    <mergeCell ref="I368:I369"/>
    <mergeCell ref="I375:I376"/>
    <mergeCell ref="B375:B376"/>
    <mergeCell ref="B377:B378"/>
    <mergeCell ref="B379:B380"/>
    <mergeCell ref="B352:B353"/>
    <mergeCell ref="B354:B355"/>
    <mergeCell ref="B359:B360"/>
    <mergeCell ref="B361:B362"/>
    <mergeCell ref="B363:B364"/>
    <mergeCell ref="B368:B369"/>
    <mergeCell ref="B334:B337"/>
    <mergeCell ref="B338:B339"/>
    <mergeCell ref="B342:B343"/>
    <mergeCell ref="B345:B346"/>
    <mergeCell ref="B350:B351"/>
    <mergeCell ref="B305:B307"/>
    <mergeCell ref="B308:B309"/>
    <mergeCell ref="I327:I329"/>
    <mergeCell ref="I332:I333"/>
    <mergeCell ref="I286:I288"/>
    <mergeCell ref="I290:I291"/>
    <mergeCell ref="I292:I293"/>
    <mergeCell ref="I294:I296"/>
    <mergeCell ref="I297:I300"/>
    <mergeCell ref="I302:I303"/>
    <mergeCell ref="G286:G288"/>
    <mergeCell ref="G290:G291"/>
    <mergeCell ref="G292:G293"/>
    <mergeCell ref="I305:I307"/>
    <mergeCell ref="I308:I309"/>
    <mergeCell ref="I310:I311"/>
    <mergeCell ref="I312:I313"/>
    <mergeCell ref="H290:H291"/>
    <mergeCell ref="H292:H293"/>
    <mergeCell ref="H294:H296"/>
    <mergeCell ref="H297:H300"/>
    <mergeCell ref="I170:I171"/>
    <mergeCell ref="I173:I174"/>
    <mergeCell ref="I176:I177"/>
    <mergeCell ref="I178:I179"/>
    <mergeCell ref="G168:G169"/>
    <mergeCell ref="G178:G179"/>
    <mergeCell ref="H157:H158"/>
    <mergeCell ref="H168:H169"/>
    <mergeCell ref="H170:H171"/>
    <mergeCell ref="H173:H174"/>
    <mergeCell ref="H176:H177"/>
    <mergeCell ref="H178:H179"/>
    <mergeCell ref="H184:H185"/>
    <mergeCell ref="H186:H187"/>
    <mergeCell ref="H286:H288"/>
    <mergeCell ref="I184:I185"/>
    <mergeCell ref="I186:I187"/>
    <mergeCell ref="B184:B185"/>
    <mergeCell ref="G184:G185"/>
    <mergeCell ref="B186:B187"/>
    <mergeCell ref="G186:G187"/>
    <mergeCell ref="B173:B174"/>
    <mergeCell ref="G173:G174"/>
    <mergeCell ref="B176:B177"/>
    <mergeCell ref="G176:G177"/>
    <mergeCell ref="B178:B179"/>
    <mergeCell ref="G377:G378"/>
    <mergeCell ref="G379:G380"/>
    <mergeCell ref="G354:G355"/>
    <mergeCell ref="G359:G360"/>
    <mergeCell ref="G361:G362"/>
    <mergeCell ref="G363:G364"/>
    <mergeCell ref="G368:G369"/>
    <mergeCell ref="G375:G376"/>
    <mergeCell ref="G334:G337"/>
    <mergeCell ref="G294:G296"/>
    <mergeCell ref="G297:G300"/>
    <mergeCell ref="G302:G303"/>
    <mergeCell ref="G305:G307"/>
    <mergeCell ref="G350:G351"/>
    <mergeCell ref="G352:G353"/>
    <mergeCell ref="G308:G309"/>
    <mergeCell ref="G310:G311"/>
    <mergeCell ref="G312:G313"/>
    <mergeCell ref="G318:G320"/>
    <mergeCell ref="G327:G329"/>
    <mergeCell ref="G331:G333"/>
    <mergeCell ref="G338:G339"/>
    <mergeCell ref="G342:G343"/>
    <mergeCell ref="G345:G346"/>
    <mergeCell ref="I334:I337"/>
    <mergeCell ref="I338:I339"/>
    <mergeCell ref="I342:I343"/>
    <mergeCell ref="I345:I346"/>
    <mergeCell ref="I350:I351"/>
    <mergeCell ref="I352:I353"/>
    <mergeCell ref="B157:B158"/>
    <mergeCell ref="G157:G158"/>
    <mergeCell ref="B168:B169"/>
    <mergeCell ref="B310:B311"/>
    <mergeCell ref="B312:B313"/>
    <mergeCell ref="B318:B320"/>
    <mergeCell ref="B327:B329"/>
    <mergeCell ref="B286:B288"/>
    <mergeCell ref="B290:B291"/>
    <mergeCell ref="B292:B293"/>
    <mergeCell ref="B294:B296"/>
    <mergeCell ref="B297:B300"/>
    <mergeCell ref="B302:B303"/>
    <mergeCell ref="B331:B333"/>
    <mergeCell ref="H305:H307"/>
    <mergeCell ref="H308:H309"/>
    <mergeCell ref="H310:H311"/>
    <mergeCell ref="H312:H313"/>
    <mergeCell ref="H327:H329"/>
    <mergeCell ref="H332:H333"/>
    <mergeCell ref="H334:H337"/>
    <mergeCell ref="H338:H339"/>
    <mergeCell ref="H342:H343"/>
    <mergeCell ref="H345:H346"/>
    <mergeCell ref="H350:H351"/>
    <mergeCell ref="G149:G152"/>
    <mergeCell ref="B155:B156"/>
    <mergeCell ref="G155:G156"/>
    <mergeCell ref="B170:B171"/>
    <mergeCell ref="G170:G171"/>
    <mergeCell ref="I149:I150"/>
    <mergeCell ref="I151:I152"/>
    <mergeCell ref="I155:I156"/>
    <mergeCell ref="I86:I91"/>
    <mergeCell ref="B56:B60"/>
    <mergeCell ref="G56:G60"/>
    <mergeCell ref="I51:I52"/>
    <mergeCell ref="B53:B55"/>
    <mergeCell ref="G53:G55"/>
    <mergeCell ref="G100:G101"/>
    <mergeCell ref="B102:B103"/>
    <mergeCell ref="H132:H133"/>
    <mergeCell ref="H136:H137"/>
    <mergeCell ref="H138:H139"/>
    <mergeCell ref="H143:H144"/>
    <mergeCell ref="H149:H150"/>
    <mergeCell ref="H151:H152"/>
    <mergeCell ref="H155:H156"/>
    <mergeCell ref="I53:I55"/>
    <mergeCell ref="H61:H64"/>
    <mergeCell ref="H65:H67"/>
    <mergeCell ref="H68:H71"/>
    <mergeCell ref="H72:H77"/>
    <mergeCell ref="H79:H85"/>
    <mergeCell ref="H86:H91"/>
    <mergeCell ref="I157:I158"/>
    <mergeCell ref="I168:I169"/>
    <mergeCell ref="B136:B137"/>
    <mergeCell ref="G136:G137"/>
    <mergeCell ref="B138:B139"/>
    <mergeCell ref="G138:G139"/>
    <mergeCell ref="B100:B101"/>
    <mergeCell ref="G102:G103"/>
    <mergeCell ref="I132:I133"/>
    <mergeCell ref="I136:I137"/>
    <mergeCell ref="I138:I139"/>
    <mergeCell ref="I143:I144"/>
    <mergeCell ref="I79:I85"/>
    <mergeCell ref="B86:B91"/>
    <mergeCell ref="G86:G91"/>
    <mergeCell ref="I72:I77"/>
    <mergeCell ref="B79:B85"/>
    <mergeCell ref="G79:G85"/>
    <mergeCell ref="I68:I71"/>
    <mergeCell ref="B72:B77"/>
    <mergeCell ref="G72:G77"/>
    <mergeCell ref="B143:B144"/>
    <mergeCell ref="G143:G144"/>
    <mergeCell ref="I65:I67"/>
    <mergeCell ref="B68:B71"/>
    <mergeCell ref="G68:G71"/>
    <mergeCell ref="I61:I64"/>
    <mergeCell ref="B65:B67"/>
    <mergeCell ref="G65:G67"/>
    <mergeCell ref="I56:I60"/>
    <mergeCell ref="B61:B64"/>
    <mergeCell ref="G61:G64"/>
    <mergeCell ref="I44:I45"/>
    <mergeCell ref="B47:B48"/>
    <mergeCell ref="G47:G48"/>
    <mergeCell ref="I40:I43"/>
    <mergeCell ref="B44:B45"/>
    <mergeCell ref="G44:G45"/>
    <mergeCell ref="I36:I39"/>
    <mergeCell ref="B40:B43"/>
    <mergeCell ref="G40:G43"/>
    <mergeCell ref="I32:I35"/>
    <mergeCell ref="B36:B39"/>
    <mergeCell ref="G36:G39"/>
    <mergeCell ref="I27:I30"/>
    <mergeCell ref="B32:B35"/>
    <mergeCell ref="G32:G35"/>
    <mergeCell ref="I47:I48"/>
    <mergeCell ref="B51:B52"/>
    <mergeCell ref="G51:G52"/>
    <mergeCell ref="I10:I11"/>
    <mergeCell ref="B12:B15"/>
    <mergeCell ref="G12:G15"/>
    <mergeCell ref="I7:I8"/>
    <mergeCell ref="B10:B11"/>
    <mergeCell ref="G10:G11"/>
    <mergeCell ref="I5:I6"/>
    <mergeCell ref="B7:B8"/>
    <mergeCell ref="G7:G8"/>
    <mergeCell ref="B5:B6"/>
    <mergeCell ref="G5:G6"/>
    <mergeCell ref="I25:I26"/>
    <mergeCell ref="B27:B30"/>
    <mergeCell ref="G27:G30"/>
    <mergeCell ref="I23:I24"/>
    <mergeCell ref="B25:B26"/>
    <mergeCell ref="G25:G26"/>
    <mergeCell ref="I18:I21"/>
    <mergeCell ref="B23:B24"/>
    <mergeCell ref="G23:G24"/>
    <mergeCell ref="I16:I17"/>
    <mergeCell ref="B18:B21"/>
    <mergeCell ref="G18:G21"/>
    <mergeCell ref="I12:I15"/>
    <mergeCell ref="B16:B17"/>
    <mergeCell ref="G16:G17"/>
    <mergeCell ref="A327:A329"/>
    <mergeCell ref="A61:A64"/>
    <mergeCell ref="A65:A67"/>
    <mergeCell ref="A68:A71"/>
    <mergeCell ref="A72:A77"/>
    <mergeCell ref="A79:A85"/>
    <mergeCell ref="A86:A91"/>
    <mergeCell ref="A100:A101"/>
    <mergeCell ref="A136:A137"/>
    <mergeCell ref="A138:A139"/>
    <mergeCell ref="A143:A144"/>
    <mergeCell ref="A155:A156"/>
    <mergeCell ref="A157:A158"/>
    <mergeCell ref="A168:A169"/>
    <mergeCell ref="A170:A171"/>
    <mergeCell ref="A102:A103"/>
    <mergeCell ref="B127:B128"/>
    <mergeCell ref="G127:G128"/>
    <mergeCell ref="A127:A128"/>
    <mergeCell ref="G146:G148"/>
    <mergeCell ref="B146:B148"/>
    <mergeCell ref="A146:A148"/>
    <mergeCell ref="B149:B152"/>
    <mergeCell ref="A149:A152"/>
    <mergeCell ref="G132:G134"/>
    <mergeCell ref="B132:B134"/>
    <mergeCell ref="A132:A134"/>
    <mergeCell ref="H56:H60"/>
    <mergeCell ref="H302:H303"/>
    <mergeCell ref="A5:A6"/>
    <mergeCell ref="A7:A8"/>
    <mergeCell ref="A10:A11"/>
    <mergeCell ref="A12:A15"/>
    <mergeCell ref="A16:A17"/>
    <mergeCell ref="A18:A21"/>
    <mergeCell ref="A23:A24"/>
    <mergeCell ref="A25:A26"/>
    <mergeCell ref="A27:A30"/>
    <mergeCell ref="A32:A35"/>
    <mergeCell ref="A36:A39"/>
    <mergeCell ref="A40:A43"/>
    <mergeCell ref="A44:A45"/>
    <mergeCell ref="A47:A48"/>
    <mergeCell ref="A51:A52"/>
    <mergeCell ref="A53:A55"/>
    <mergeCell ref="A56:A60"/>
    <mergeCell ref="A334:A337"/>
    <mergeCell ref="A338:A339"/>
    <mergeCell ref="A342:A343"/>
    <mergeCell ref="A345:A346"/>
    <mergeCell ref="A350:A351"/>
    <mergeCell ref="A352:A353"/>
    <mergeCell ref="A354:A355"/>
    <mergeCell ref="A359:A360"/>
    <mergeCell ref="A361:A362"/>
    <mergeCell ref="A363:A364"/>
    <mergeCell ref="A368:A369"/>
    <mergeCell ref="A375:A376"/>
    <mergeCell ref="A377:A378"/>
    <mergeCell ref="A379:A380"/>
    <mergeCell ref="A381:A383"/>
    <mergeCell ref="A384:A386"/>
    <mergeCell ref="A173:A174"/>
    <mergeCell ref="A176:A177"/>
    <mergeCell ref="A178:A179"/>
    <mergeCell ref="A184:A185"/>
    <mergeCell ref="A186:A187"/>
    <mergeCell ref="A286:A288"/>
    <mergeCell ref="A290:A291"/>
    <mergeCell ref="A292:A293"/>
    <mergeCell ref="A294:A296"/>
    <mergeCell ref="A297:A300"/>
    <mergeCell ref="A302:A303"/>
    <mergeCell ref="A305:A307"/>
    <mergeCell ref="A308:A309"/>
    <mergeCell ref="A310:A311"/>
    <mergeCell ref="A312:A313"/>
    <mergeCell ref="A318:A320"/>
    <mergeCell ref="A387:A388"/>
    <mergeCell ref="A391:A392"/>
    <mergeCell ref="A393:A394"/>
    <mergeCell ref="A396:A397"/>
    <mergeCell ref="A398:A399"/>
    <mergeCell ref="A400:A402"/>
    <mergeCell ref="A403:A405"/>
    <mergeCell ref="A406:A408"/>
    <mergeCell ref="A409:A410"/>
    <mergeCell ref="A411:A412"/>
    <mergeCell ref="A413:A416"/>
    <mergeCell ref="A418:A420"/>
    <mergeCell ref="A421:A422"/>
    <mergeCell ref="A423:A427"/>
    <mergeCell ref="A428:A429"/>
    <mergeCell ref="A431:A433"/>
    <mergeCell ref="A434:A437"/>
    <mergeCell ref="A438:A442"/>
    <mergeCell ref="A443:A445"/>
    <mergeCell ref="A446:A447"/>
    <mergeCell ref="A448:A449"/>
    <mergeCell ref="A452:A454"/>
    <mergeCell ref="A461:A462"/>
    <mergeCell ref="A465:A466"/>
    <mergeCell ref="A467:A469"/>
    <mergeCell ref="A470:A472"/>
    <mergeCell ref="A473:A475"/>
    <mergeCell ref="A477:A478"/>
    <mergeCell ref="A479:A481"/>
    <mergeCell ref="A482:A484"/>
    <mergeCell ref="A485:A486"/>
    <mergeCell ref="A487:A488"/>
    <mergeCell ref="A491:A492"/>
    <mergeCell ref="A493:A494"/>
    <mergeCell ref="A495:A496"/>
    <mergeCell ref="A497:A498"/>
    <mergeCell ref="A499:A500"/>
    <mergeCell ref="A501:A502"/>
    <mergeCell ref="A503:A504"/>
    <mergeCell ref="A505:A507"/>
    <mergeCell ref="A508:A509"/>
    <mergeCell ref="A510:A511"/>
    <mergeCell ref="A512:A514"/>
    <mergeCell ref="A515:A516"/>
    <mergeCell ref="A517:A518"/>
    <mergeCell ref="A519:A520"/>
    <mergeCell ref="A521:A522"/>
    <mergeCell ref="A523:A524"/>
    <mergeCell ref="A525:A526"/>
    <mergeCell ref="A527:A528"/>
    <mergeCell ref="A534:A535"/>
    <mergeCell ref="A536:A538"/>
    <mergeCell ref="A539:A545"/>
    <mergeCell ref="A550:A551"/>
    <mergeCell ref="A554:A556"/>
    <mergeCell ref="A557:A559"/>
    <mergeCell ref="A567:A569"/>
    <mergeCell ref="A570:A571"/>
    <mergeCell ref="A572:A573"/>
    <mergeCell ref="A576:A577"/>
    <mergeCell ref="A578:A579"/>
    <mergeCell ref="A580:A581"/>
    <mergeCell ref="A582:A583"/>
    <mergeCell ref="A585:A586"/>
    <mergeCell ref="A587:A588"/>
    <mergeCell ref="A589:A590"/>
    <mergeCell ref="A591:A592"/>
    <mergeCell ref="A593:A594"/>
    <mergeCell ref="A595:A596"/>
    <mergeCell ref="A597:A598"/>
    <mergeCell ref="A602:A603"/>
    <mergeCell ref="A609:A610"/>
    <mergeCell ref="A612:A613"/>
    <mergeCell ref="A617:A618"/>
    <mergeCell ref="A619:A620"/>
    <mergeCell ref="A626:A627"/>
    <mergeCell ref="A630:A632"/>
    <mergeCell ref="A633:A634"/>
    <mergeCell ref="A635:A636"/>
    <mergeCell ref="A637:A638"/>
    <mergeCell ref="A639:A640"/>
    <mergeCell ref="A641:A643"/>
    <mergeCell ref="A648:A649"/>
    <mergeCell ref="A654:A655"/>
    <mergeCell ref="A659:A660"/>
    <mergeCell ref="A661:A662"/>
    <mergeCell ref="A666:A667"/>
    <mergeCell ref="A668:A670"/>
    <mergeCell ref="A671:A672"/>
    <mergeCell ref="A673:A675"/>
    <mergeCell ref="A678:A679"/>
    <mergeCell ref="A680:A681"/>
    <mergeCell ref="A687:A688"/>
    <mergeCell ref="A690:A691"/>
    <mergeCell ref="A692:A693"/>
    <mergeCell ref="A694:A697"/>
    <mergeCell ref="A698:A699"/>
    <mergeCell ref="A700:A701"/>
    <mergeCell ref="A702:A704"/>
    <mergeCell ref="A705:A707"/>
    <mergeCell ref="A708:A711"/>
    <mergeCell ref="A713:A714"/>
    <mergeCell ref="A716:A721"/>
    <mergeCell ref="A724:A726"/>
    <mergeCell ref="A727:A728"/>
    <mergeCell ref="A729:A730"/>
    <mergeCell ref="A735:A737"/>
    <mergeCell ref="A746:A747"/>
    <mergeCell ref="A749:A750"/>
    <mergeCell ref="A751:A752"/>
    <mergeCell ref="A753:A754"/>
    <mergeCell ref="A756:A757"/>
    <mergeCell ref="A766:A767"/>
    <mergeCell ref="A768:A769"/>
    <mergeCell ref="A770:A771"/>
    <mergeCell ref="A776:A778"/>
    <mergeCell ref="A779:A781"/>
    <mergeCell ref="A782:A783"/>
    <mergeCell ref="A784:A785"/>
    <mergeCell ref="A731:A732"/>
    <mergeCell ref="A788:A791"/>
    <mergeCell ref="A792:A795"/>
    <mergeCell ref="A796:A797"/>
    <mergeCell ref="A798:A801"/>
    <mergeCell ref="A808:A809"/>
    <mergeCell ref="A810:A811"/>
    <mergeCell ref="A814:A815"/>
    <mergeCell ref="A816:A817"/>
    <mergeCell ref="A818:A820"/>
    <mergeCell ref="A831:A832"/>
    <mergeCell ref="A833:A835"/>
    <mergeCell ref="A836:A837"/>
    <mergeCell ref="A838:A840"/>
    <mergeCell ref="A841:A842"/>
    <mergeCell ref="A843:A844"/>
    <mergeCell ref="A845:A846"/>
    <mergeCell ref="A847:A849"/>
    <mergeCell ref="A853:A856"/>
    <mergeCell ref="A858:A859"/>
    <mergeCell ref="A860:A862"/>
    <mergeCell ref="A863:A864"/>
    <mergeCell ref="A865:A866"/>
    <mergeCell ref="A867:A868"/>
    <mergeCell ref="A869:A870"/>
    <mergeCell ref="A872:A875"/>
    <mergeCell ref="A876:A877"/>
    <mergeCell ref="A879:A880"/>
    <mergeCell ref="A884:A885"/>
    <mergeCell ref="A887:A888"/>
    <mergeCell ref="A889:A890"/>
    <mergeCell ref="A891:A892"/>
    <mergeCell ref="A894:A895"/>
    <mergeCell ref="A899:A900"/>
    <mergeCell ref="A903:A904"/>
    <mergeCell ref="A905:A906"/>
    <mergeCell ref="A907:A908"/>
    <mergeCell ref="A909:A910"/>
    <mergeCell ref="A913:A914"/>
    <mergeCell ref="A915:A916"/>
    <mergeCell ref="A917:A918"/>
    <mergeCell ref="A919:A920"/>
    <mergeCell ref="A921:A922"/>
    <mergeCell ref="A923:A924"/>
    <mergeCell ref="A925:A926"/>
    <mergeCell ref="A927:A928"/>
    <mergeCell ref="A929:A930"/>
    <mergeCell ref="A931:A932"/>
    <mergeCell ref="A933:A934"/>
    <mergeCell ref="A935:A936"/>
    <mergeCell ref="A937:A938"/>
    <mergeCell ref="A939:A940"/>
    <mergeCell ref="A941:A942"/>
    <mergeCell ref="A943:A944"/>
    <mergeCell ref="A945:A946"/>
    <mergeCell ref="A947:A948"/>
    <mergeCell ref="A949:A950"/>
    <mergeCell ref="A951:A952"/>
    <mergeCell ref="A953:A954"/>
    <mergeCell ref="A955:A957"/>
    <mergeCell ref="A958:A960"/>
    <mergeCell ref="A961:A963"/>
    <mergeCell ref="A964:A966"/>
    <mergeCell ref="A967:A969"/>
    <mergeCell ref="A970:A972"/>
    <mergeCell ref="A973:A975"/>
    <mergeCell ref="A978:A979"/>
    <mergeCell ref="A980:A981"/>
    <mergeCell ref="A983:A984"/>
    <mergeCell ref="A985:A986"/>
    <mergeCell ref="A987:A988"/>
    <mergeCell ref="A989:A990"/>
    <mergeCell ref="A991:A992"/>
    <mergeCell ref="A1004:A1005"/>
    <mergeCell ref="A1006:A1007"/>
    <mergeCell ref="A1008:A1009"/>
    <mergeCell ref="A1010:A1011"/>
    <mergeCell ref="A1012:A1013"/>
    <mergeCell ref="A1014:A1015"/>
    <mergeCell ref="A1016:A1017"/>
    <mergeCell ref="A1019:A1020"/>
    <mergeCell ref="A1042:A1044"/>
    <mergeCell ref="A1046:A1048"/>
    <mergeCell ref="A1053:A1054"/>
    <mergeCell ref="A1056:A1057"/>
    <mergeCell ref="A1059:A1060"/>
    <mergeCell ref="A1125:A1126"/>
    <mergeCell ref="A1132:A1133"/>
    <mergeCell ref="A1134:A1135"/>
    <mergeCell ref="A1137:A1138"/>
    <mergeCell ref="A1139:A1140"/>
    <mergeCell ref="A1141:A1143"/>
    <mergeCell ref="A1144:A1145"/>
    <mergeCell ref="A1146:A1148"/>
    <mergeCell ref="A1150:A1151"/>
    <mergeCell ref="A1152:A1155"/>
    <mergeCell ref="A1157:A1158"/>
    <mergeCell ref="A1165:A1166"/>
    <mergeCell ref="A1174:A1175"/>
    <mergeCell ref="A1183:A1184"/>
    <mergeCell ref="A1187:A1188"/>
    <mergeCell ref="A1061:A1062"/>
    <mergeCell ref="A1063:A1064"/>
    <mergeCell ref="A1065:A1066"/>
    <mergeCell ref="A1067:A1068"/>
    <mergeCell ref="A1071:A1073"/>
    <mergeCell ref="A1074:A1075"/>
    <mergeCell ref="A1076:A1078"/>
    <mergeCell ref="A1080:A1081"/>
    <mergeCell ref="A1091:A1092"/>
    <mergeCell ref="A1096:A1097"/>
    <mergeCell ref="A1098:A1099"/>
    <mergeCell ref="A1100:A1101"/>
    <mergeCell ref="A1102:A1103"/>
    <mergeCell ref="A1107:A1108"/>
    <mergeCell ref="A1110:A1111"/>
    <mergeCell ref="A1120:A1121"/>
    <mergeCell ref="A1122:A1124"/>
    <mergeCell ref="A1337:A1340"/>
    <mergeCell ref="A1341:A1342"/>
    <mergeCell ref="A1344:A1345"/>
    <mergeCell ref="A1346:A1347"/>
    <mergeCell ref="A1349:A1350"/>
    <mergeCell ref="A1351:A1353"/>
    <mergeCell ref="A1356:A1359"/>
    <mergeCell ref="A1360:A1361"/>
    <mergeCell ref="A1189:A1190"/>
    <mergeCell ref="A1192:A1193"/>
    <mergeCell ref="A1194:A1195"/>
    <mergeCell ref="A1196:A1197"/>
    <mergeCell ref="A1200:A1202"/>
    <mergeCell ref="A1203:A1206"/>
    <mergeCell ref="A1208:A1209"/>
    <mergeCell ref="A1214:A1215"/>
    <mergeCell ref="A1249:A1250"/>
    <mergeCell ref="A1261:A1262"/>
    <mergeCell ref="A1275:A1276"/>
    <mergeCell ref="A1278:A1281"/>
    <mergeCell ref="A1283:A1284"/>
    <mergeCell ref="A1289:A1290"/>
    <mergeCell ref="A1291:A1293"/>
    <mergeCell ref="A1296:A1297"/>
    <mergeCell ref="A1298:A1299"/>
    <mergeCell ref="A1657:A1658"/>
    <mergeCell ref="A1511:A1515"/>
    <mergeCell ref="A1516:A1518"/>
    <mergeCell ref="A1519:A1520"/>
    <mergeCell ref="A1521:A1526"/>
    <mergeCell ref="A1527:A1532"/>
    <mergeCell ref="A1534:A1537"/>
    <mergeCell ref="A1538:A1543"/>
    <mergeCell ref="A1544:A1546"/>
    <mergeCell ref="A1548:A1549"/>
    <mergeCell ref="A1550:A1551"/>
    <mergeCell ref="A1555:A1556"/>
    <mergeCell ref="A1558:A1567"/>
    <mergeCell ref="A1568:A1577"/>
    <mergeCell ref="A1584:A1585"/>
    <mergeCell ref="A1588:A1589"/>
    <mergeCell ref="A1590:A1591"/>
    <mergeCell ref="A1601:A1604"/>
    <mergeCell ref="A1605:A1608"/>
    <mergeCell ref="A1609:A1612"/>
    <mergeCell ref="A1613:A1616"/>
    <mergeCell ref="A1617:A1620"/>
    <mergeCell ref="A1621:A1624"/>
    <mergeCell ref="A1625:A1628"/>
    <mergeCell ref="A1593:A1596"/>
    <mergeCell ref="A1651:A1652"/>
    <mergeCell ref="A1655:A1656"/>
    <mergeCell ref="A1727:A1728"/>
    <mergeCell ref="A1729:A1730"/>
    <mergeCell ref="A1735:A1736"/>
    <mergeCell ref="A1740:A1741"/>
    <mergeCell ref="A1742:A1743"/>
    <mergeCell ref="A1749:A1751"/>
    <mergeCell ref="A1752:A1753"/>
    <mergeCell ref="A1755:A1756"/>
    <mergeCell ref="A1659:A1660"/>
    <mergeCell ref="A1661:A1662"/>
    <mergeCell ref="A1663:A1665"/>
    <mergeCell ref="A1666:A1667"/>
    <mergeCell ref="A1670:A1672"/>
    <mergeCell ref="A1674:A1676"/>
    <mergeCell ref="A1677:A1679"/>
    <mergeCell ref="A1680:A1681"/>
    <mergeCell ref="A1684:A1685"/>
    <mergeCell ref="A1690:A1691"/>
    <mergeCell ref="A1692:A1693"/>
    <mergeCell ref="A1701:A1703"/>
    <mergeCell ref="A1704:A1705"/>
    <mergeCell ref="A1706:A1711"/>
    <mergeCell ref="A1715:A1716"/>
    <mergeCell ref="A1720:A1721"/>
    <mergeCell ref="A1723:A1724"/>
    <mergeCell ref="K1:BD1"/>
    <mergeCell ref="K2:K4"/>
    <mergeCell ref="L2:L4"/>
    <mergeCell ref="M2:M4"/>
    <mergeCell ref="N2:N4"/>
    <mergeCell ref="O2:O4"/>
    <mergeCell ref="P2:P4"/>
    <mergeCell ref="Q2:T2"/>
    <mergeCell ref="U2:AT2"/>
    <mergeCell ref="AU2:AY2"/>
    <mergeCell ref="AZ2:BD2"/>
    <mergeCell ref="Q3:Q4"/>
    <mergeCell ref="R3:R4"/>
    <mergeCell ref="S3:S4"/>
    <mergeCell ref="T3:T4"/>
    <mergeCell ref="U3:U4"/>
    <mergeCell ref="V3:W3"/>
    <mergeCell ref="X3:Y3"/>
    <mergeCell ref="Z3:AF3"/>
    <mergeCell ref="AG3:AN3"/>
    <mergeCell ref="AO3:AT3"/>
    <mergeCell ref="AU3:AU4"/>
    <mergeCell ref="AV3:AV4"/>
    <mergeCell ref="AW3:AW4"/>
    <mergeCell ref="AZ3:AZ4"/>
    <mergeCell ref="BA3:BC3"/>
    <mergeCell ref="D1812:D1813"/>
    <mergeCell ref="E1812:E1813"/>
    <mergeCell ref="B1839:B1840"/>
    <mergeCell ref="G1812:G1813"/>
    <mergeCell ref="G1839:G1840"/>
    <mergeCell ref="C1758:C1842"/>
    <mergeCell ref="A1839:A1840"/>
    <mergeCell ref="A1812:A1813"/>
    <mergeCell ref="B1812:B1813"/>
    <mergeCell ref="C5:C91"/>
    <mergeCell ref="C92:C129"/>
    <mergeCell ref="C130:C187"/>
    <mergeCell ref="C188:C285"/>
    <mergeCell ref="C286:C380"/>
    <mergeCell ref="C381:C528"/>
    <mergeCell ref="C529:C715"/>
    <mergeCell ref="C716:C902"/>
    <mergeCell ref="C903:C1051"/>
    <mergeCell ref="C1052:C1155"/>
    <mergeCell ref="C1156:C1190"/>
    <mergeCell ref="C1191:C1273"/>
    <mergeCell ref="C1274:C1328"/>
    <mergeCell ref="C1329:C1428"/>
    <mergeCell ref="C1429:C1503"/>
    <mergeCell ref="C1504:C1679"/>
    <mergeCell ref="C1680:C1757"/>
    <mergeCell ref="A1632:A1633"/>
    <mergeCell ref="A1639:A1640"/>
    <mergeCell ref="A1642:A1643"/>
    <mergeCell ref="A1644:A1645"/>
    <mergeCell ref="A1646:A1647"/>
    <mergeCell ref="A1648:A1649"/>
    <mergeCell ref="A331:A333"/>
    <mergeCell ref="A1484:A1486"/>
    <mergeCell ref="B1484:B1486"/>
    <mergeCell ref="A1441:A1442"/>
    <mergeCell ref="A1443:A1448"/>
    <mergeCell ref="A1450:A1452"/>
    <mergeCell ref="A1455:A1458"/>
    <mergeCell ref="A1460:A1461"/>
    <mergeCell ref="A1462:A1463"/>
    <mergeCell ref="A1464:A1465"/>
    <mergeCell ref="A1466:A1470"/>
    <mergeCell ref="A1475:A1476"/>
    <mergeCell ref="A1477:A1480"/>
    <mergeCell ref="A1481:A1483"/>
    <mergeCell ref="A1362:A1363"/>
    <mergeCell ref="A1365:A1369"/>
    <mergeCell ref="A1372:A1374"/>
    <mergeCell ref="A1375:A1379"/>
    <mergeCell ref="A1093:A1094"/>
    <mergeCell ref="B1093:B1094"/>
    <mergeCell ref="A1430:A1431"/>
    <mergeCell ref="A1435:A1437"/>
    <mergeCell ref="A1439:A1440"/>
    <mergeCell ref="A1301:A1303"/>
    <mergeCell ref="A1309:A1310"/>
    <mergeCell ref="A1311:A1312"/>
    <mergeCell ref="A1314:A1316"/>
    <mergeCell ref="A1317:A1319"/>
    <mergeCell ref="A1323:A1324"/>
    <mergeCell ref="A1325:A1326"/>
    <mergeCell ref="A1329:A1330"/>
    <mergeCell ref="A1335:A1336"/>
    <mergeCell ref="G731:G732"/>
    <mergeCell ref="A1492:A1493"/>
    <mergeCell ref="A1494:A1496"/>
    <mergeCell ref="A1499:A1502"/>
    <mergeCell ref="A1504:A1505"/>
    <mergeCell ref="A1507:A1510"/>
    <mergeCell ref="A1381:A1384"/>
    <mergeCell ref="A1385:A1387"/>
    <mergeCell ref="A1389:A1391"/>
    <mergeCell ref="A1392:A1393"/>
    <mergeCell ref="A1398:A1399"/>
    <mergeCell ref="A1403:A1404"/>
    <mergeCell ref="A1405:A1406"/>
    <mergeCell ref="A1407:A1411"/>
    <mergeCell ref="A1412:A1421"/>
    <mergeCell ref="A1422:A1423"/>
    <mergeCell ref="H5:H6"/>
    <mergeCell ref="H7:H8"/>
    <mergeCell ref="H10:H11"/>
    <mergeCell ref="H12:H15"/>
    <mergeCell ref="H16:H17"/>
    <mergeCell ref="H18:H21"/>
    <mergeCell ref="H23:H24"/>
    <mergeCell ref="H25:H26"/>
    <mergeCell ref="H27:H30"/>
    <mergeCell ref="H32:H35"/>
    <mergeCell ref="H36:H39"/>
    <mergeCell ref="H40:H43"/>
    <mergeCell ref="H44:H45"/>
    <mergeCell ref="H47:H48"/>
    <mergeCell ref="H51:H52"/>
    <mergeCell ref="H53:H55"/>
    <mergeCell ref="H352:H353"/>
    <mergeCell ref="H354:H355"/>
    <mergeCell ref="H359:H360"/>
    <mergeCell ref="H361:H362"/>
    <mergeCell ref="H363:H364"/>
    <mergeCell ref="H368:H369"/>
    <mergeCell ref="H375:H376"/>
    <mergeCell ref="H377:H378"/>
    <mergeCell ref="H379:H380"/>
    <mergeCell ref="H381:H383"/>
    <mergeCell ref="H384:H386"/>
    <mergeCell ref="H387:H388"/>
    <mergeCell ref="H391:H392"/>
    <mergeCell ref="H393:H394"/>
    <mergeCell ref="H396:H397"/>
    <mergeCell ref="H398:H399"/>
    <mergeCell ref="H400:H402"/>
    <mergeCell ref="H403:H405"/>
    <mergeCell ref="H406:H408"/>
    <mergeCell ref="H409:H410"/>
    <mergeCell ref="H411:H412"/>
    <mergeCell ref="H413:H416"/>
    <mergeCell ref="H418:H420"/>
    <mergeCell ref="H421:H422"/>
    <mergeCell ref="H423:H427"/>
    <mergeCell ref="H428:H429"/>
    <mergeCell ref="H431:H433"/>
    <mergeCell ref="H434:H437"/>
    <mergeCell ref="H438:H442"/>
    <mergeCell ref="H443:H445"/>
    <mergeCell ref="H446:H447"/>
    <mergeCell ref="H448:H449"/>
    <mergeCell ref="H452:H454"/>
    <mergeCell ref="H461:H462"/>
    <mergeCell ref="H465:H466"/>
    <mergeCell ref="H467:H469"/>
    <mergeCell ref="H470:H472"/>
    <mergeCell ref="H473:H475"/>
    <mergeCell ref="H477:H478"/>
    <mergeCell ref="H479:H481"/>
    <mergeCell ref="H482:H484"/>
    <mergeCell ref="H485:H486"/>
    <mergeCell ref="H487:H488"/>
    <mergeCell ref="H491:H492"/>
    <mergeCell ref="H493:H494"/>
    <mergeCell ref="H495:H496"/>
    <mergeCell ref="H497:H498"/>
    <mergeCell ref="H499:H500"/>
    <mergeCell ref="H501:H502"/>
    <mergeCell ref="H503:H504"/>
    <mergeCell ref="H505:H507"/>
    <mergeCell ref="H508:H509"/>
    <mergeCell ref="H510:H511"/>
    <mergeCell ref="H512:H514"/>
    <mergeCell ref="H515:H516"/>
    <mergeCell ref="H517:H518"/>
    <mergeCell ref="H519:H520"/>
    <mergeCell ref="H521:H522"/>
    <mergeCell ref="H523:H524"/>
    <mergeCell ref="H525:H526"/>
    <mergeCell ref="H527:H528"/>
    <mergeCell ref="H534:H535"/>
    <mergeCell ref="H536:H538"/>
    <mergeCell ref="H539:H545"/>
    <mergeCell ref="H550:H551"/>
    <mergeCell ref="H554:H556"/>
    <mergeCell ref="H557:H559"/>
    <mergeCell ref="H567:H569"/>
    <mergeCell ref="H570:H571"/>
    <mergeCell ref="H572:H573"/>
    <mergeCell ref="H576:H577"/>
    <mergeCell ref="H578:H579"/>
    <mergeCell ref="H580:H581"/>
    <mergeCell ref="H582:H583"/>
    <mergeCell ref="H585:H586"/>
    <mergeCell ref="H587:H588"/>
    <mergeCell ref="H589:H590"/>
    <mergeCell ref="H591:H592"/>
    <mergeCell ref="H593:H594"/>
    <mergeCell ref="H595:H596"/>
    <mergeCell ref="H597:H598"/>
    <mergeCell ref="H602:H603"/>
    <mergeCell ref="H609:H610"/>
    <mergeCell ref="H612:H613"/>
    <mergeCell ref="H617:H618"/>
    <mergeCell ref="H619:H620"/>
    <mergeCell ref="H626:H627"/>
    <mergeCell ref="H630:H632"/>
    <mergeCell ref="H633:H634"/>
    <mergeCell ref="H635:H636"/>
    <mergeCell ref="H637:H638"/>
    <mergeCell ref="H639:H640"/>
    <mergeCell ref="H641:H643"/>
    <mergeCell ref="H648:H649"/>
    <mergeCell ref="H654:H655"/>
    <mergeCell ref="H659:H660"/>
    <mergeCell ref="H661:H662"/>
    <mergeCell ref="H666:H667"/>
    <mergeCell ref="H668:H670"/>
    <mergeCell ref="H671:H672"/>
    <mergeCell ref="H673:H675"/>
    <mergeCell ref="H678:H679"/>
    <mergeCell ref="H680:H681"/>
    <mergeCell ref="H687:H688"/>
    <mergeCell ref="H690:H691"/>
    <mergeCell ref="H692:H693"/>
    <mergeCell ref="H694:H697"/>
    <mergeCell ref="H698:H699"/>
    <mergeCell ref="H700:H701"/>
    <mergeCell ref="H702:H704"/>
    <mergeCell ref="H705:H707"/>
    <mergeCell ref="H708:H711"/>
    <mergeCell ref="H713:H714"/>
    <mergeCell ref="H716:H721"/>
    <mergeCell ref="H724:H726"/>
    <mergeCell ref="H727:H728"/>
    <mergeCell ref="H729:H730"/>
    <mergeCell ref="H735:H737"/>
    <mergeCell ref="H746:H747"/>
    <mergeCell ref="H749:H750"/>
    <mergeCell ref="H751:H752"/>
    <mergeCell ref="H753:H754"/>
    <mergeCell ref="H756:H757"/>
    <mergeCell ref="H766:H767"/>
    <mergeCell ref="H768:H769"/>
    <mergeCell ref="H770:H771"/>
    <mergeCell ref="H776:H778"/>
    <mergeCell ref="H779:H781"/>
    <mergeCell ref="H782:H783"/>
    <mergeCell ref="H784:H785"/>
    <mergeCell ref="H788:H791"/>
    <mergeCell ref="H792:H795"/>
    <mergeCell ref="H796:H797"/>
    <mergeCell ref="H798:H801"/>
    <mergeCell ref="H808:H809"/>
    <mergeCell ref="H810:H811"/>
    <mergeCell ref="H814:H815"/>
    <mergeCell ref="H816:H817"/>
    <mergeCell ref="H818:H820"/>
    <mergeCell ref="H831:H832"/>
    <mergeCell ref="H833:H835"/>
    <mergeCell ref="H836:H837"/>
    <mergeCell ref="H838:H840"/>
    <mergeCell ref="H841:H842"/>
    <mergeCell ref="H843:H844"/>
    <mergeCell ref="H845:H846"/>
    <mergeCell ref="H847:H849"/>
    <mergeCell ref="H853:H856"/>
    <mergeCell ref="H858:H859"/>
    <mergeCell ref="H860:H862"/>
    <mergeCell ref="H863:H864"/>
    <mergeCell ref="H865:H866"/>
    <mergeCell ref="H867:H868"/>
    <mergeCell ref="H869:H870"/>
    <mergeCell ref="H872:H875"/>
    <mergeCell ref="H876:H877"/>
    <mergeCell ref="H879:H880"/>
    <mergeCell ref="H884:H885"/>
    <mergeCell ref="H887:H888"/>
    <mergeCell ref="H889:H890"/>
    <mergeCell ref="H891:H892"/>
    <mergeCell ref="H894:H895"/>
    <mergeCell ref="H899:H900"/>
    <mergeCell ref="H903:H904"/>
    <mergeCell ref="H905:H906"/>
    <mergeCell ref="H907:H908"/>
    <mergeCell ref="H909:H910"/>
    <mergeCell ref="H913:H914"/>
    <mergeCell ref="H915:H916"/>
    <mergeCell ref="H917:H918"/>
    <mergeCell ref="H919:H920"/>
    <mergeCell ref="H921:H922"/>
    <mergeCell ref="H923:H924"/>
    <mergeCell ref="H925:H926"/>
    <mergeCell ref="H927:H928"/>
    <mergeCell ref="H929:H930"/>
    <mergeCell ref="H931:H932"/>
    <mergeCell ref="H933:H934"/>
    <mergeCell ref="H935:H936"/>
    <mergeCell ref="H937:H938"/>
    <mergeCell ref="H939:H940"/>
    <mergeCell ref="H941:H942"/>
    <mergeCell ref="H943:H944"/>
    <mergeCell ref="H945:H946"/>
    <mergeCell ref="H947:H948"/>
    <mergeCell ref="H949:H950"/>
    <mergeCell ref="H951:H952"/>
    <mergeCell ref="H953:H954"/>
    <mergeCell ref="H955:H957"/>
    <mergeCell ref="H958:H960"/>
    <mergeCell ref="H961:H963"/>
    <mergeCell ref="H964:H966"/>
    <mergeCell ref="H967:H969"/>
    <mergeCell ref="H970:H972"/>
    <mergeCell ref="H973:H975"/>
    <mergeCell ref="H978:H979"/>
    <mergeCell ref="H980:H981"/>
    <mergeCell ref="H983:H984"/>
    <mergeCell ref="H985:H986"/>
    <mergeCell ref="H987:H988"/>
    <mergeCell ref="H989:H990"/>
    <mergeCell ref="H991:H992"/>
    <mergeCell ref="H1004:H1005"/>
    <mergeCell ref="H1006:H1007"/>
    <mergeCell ref="H1008:H1009"/>
    <mergeCell ref="H1010:H1011"/>
    <mergeCell ref="H1012:H1013"/>
    <mergeCell ref="H1014:H1015"/>
    <mergeCell ref="H1016:H1017"/>
    <mergeCell ref="H1019:H1020"/>
    <mergeCell ref="H1042:H1044"/>
    <mergeCell ref="H1046:H1048"/>
    <mergeCell ref="H1053:H1054"/>
    <mergeCell ref="H1056:H1057"/>
    <mergeCell ref="H1059:H1060"/>
    <mergeCell ref="H1061:H1062"/>
    <mergeCell ref="H1063:H1064"/>
    <mergeCell ref="H1065:H1066"/>
    <mergeCell ref="H1067:H1068"/>
    <mergeCell ref="H1071:H1073"/>
    <mergeCell ref="H1074:H1075"/>
    <mergeCell ref="H1076:H1078"/>
    <mergeCell ref="H1080:H1081"/>
    <mergeCell ref="H1091:H1092"/>
    <mergeCell ref="H1093:H1094"/>
    <mergeCell ref="H1096:H1097"/>
    <mergeCell ref="H1098:H1099"/>
    <mergeCell ref="H1100:H1101"/>
    <mergeCell ref="H1102:H1103"/>
    <mergeCell ref="H1107:H1108"/>
    <mergeCell ref="H1110:H1111"/>
    <mergeCell ref="H1120:H1121"/>
    <mergeCell ref="H1122:H1124"/>
    <mergeCell ref="H1125:H1126"/>
    <mergeCell ref="H1127:H1128"/>
    <mergeCell ref="H1129:H1130"/>
    <mergeCell ref="H1132:H1133"/>
    <mergeCell ref="H1134:H1135"/>
    <mergeCell ref="H1141:H1143"/>
    <mergeCell ref="H1144:H1145"/>
    <mergeCell ref="H1146:H1148"/>
    <mergeCell ref="H1249:H1250"/>
    <mergeCell ref="H1261:H1262"/>
    <mergeCell ref="H1275:H1276"/>
    <mergeCell ref="H1278:H1281"/>
    <mergeCell ref="H1283:H1284"/>
    <mergeCell ref="H1289:H1290"/>
    <mergeCell ref="H1291:H1293"/>
    <mergeCell ref="H1296:H1297"/>
    <mergeCell ref="H1298:H1299"/>
    <mergeCell ref="H1301:H1303"/>
    <mergeCell ref="H1309:H1310"/>
    <mergeCell ref="H1311:H1312"/>
    <mergeCell ref="H1314:H1316"/>
    <mergeCell ref="H1317:H1319"/>
    <mergeCell ref="H1372:H1374"/>
    <mergeCell ref="H1375:H1379"/>
    <mergeCell ref="H1381:H1384"/>
    <mergeCell ref="H1385:H1387"/>
    <mergeCell ref="H1389:H1391"/>
    <mergeCell ref="H1392:H1393"/>
    <mergeCell ref="H1398:H1399"/>
    <mergeCell ref="H1403:H1404"/>
    <mergeCell ref="H1405:H1406"/>
    <mergeCell ref="H1407:H1411"/>
    <mergeCell ref="H1412:H1421"/>
    <mergeCell ref="H1422:H1423"/>
    <mergeCell ref="H1430:H1431"/>
    <mergeCell ref="H1435:H1437"/>
    <mergeCell ref="H1439:H1440"/>
    <mergeCell ref="H1441:H1442"/>
    <mergeCell ref="H1443:H1448"/>
    <mergeCell ref="H1507:H1510"/>
    <mergeCell ref="H1511:H1515"/>
    <mergeCell ref="H1516:H1518"/>
    <mergeCell ref="H1521:H1524"/>
    <mergeCell ref="H1525:H1526"/>
    <mergeCell ref="H1555:H1556"/>
    <mergeCell ref="H1558:H1567"/>
    <mergeCell ref="H1568:H1577"/>
    <mergeCell ref="H1584:H1585"/>
    <mergeCell ref="H1588:H1589"/>
    <mergeCell ref="H1590:H1591"/>
    <mergeCell ref="H1593:H1596"/>
    <mergeCell ref="H1601:H1628"/>
    <mergeCell ref="H1632:H1633"/>
    <mergeCell ref="H1639:H1640"/>
    <mergeCell ref="H1642:H1643"/>
    <mergeCell ref="H1644:H1645"/>
    <mergeCell ref="H1657:H1658"/>
    <mergeCell ref="H1729:H1730"/>
    <mergeCell ref="H1735:H1736"/>
    <mergeCell ref="H1740:H1741"/>
    <mergeCell ref="H1742:H1743"/>
    <mergeCell ref="H1749:H1751"/>
    <mergeCell ref="H1752:H1753"/>
    <mergeCell ref="H1755:H1756"/>
    <mergeCell ref="H1812:H1813"/>
    <mergeCell ref="H1839:H1840"/>
    <mergeCell ref="H1659:H1660"/>
    <mergeCell ref="H1661:H1662"/>
    <mergeCell ref="H1663:H1665"/>
    <mergeCell ref="H1666:H1667"/>
    <mergeCell ref="H1670:H1672"/>
    <mergeCell ref="H1674:H1676"/>
    <mergeCell ref="H1677:H1679"/>
    <mergeCell ref="H1680:H1681"/>
    <mergeCell ref="H1684:H1685"/>
    <mergeCell ref="H1690:H1691"/>
    <mergeCell ref="H1692:H1693"/>
    <mergeCell ref="H1701:H1703"/>
    <mergeCell ref="H1704:H1705"/>
    <mergeCell ref="H1706:H1711"/>
    <mergeCell ref="H1720:H1721"/>
    <mergeCell ref="H1723:H1724"/>
    <mergeCell ref="H1727:H1728"/>
  </mergeCells>
  <phoneticPr fontId="68" type="noConversion"/>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9">
    <tabColor rgb="FF00B0F0"/>
  </sheetPr>
  <dimension ref="B1:D57"/>
  <sheetViews>
    <sheetView workbookViewId="0">
      <selection activeCell="C5" sqref="C5"/>
    </sheetView>
  </sheetViews>
  <sheetFormatPr baseColWidth="10" defaultRowHeight="15"/>
  <cols>
    <col min="2" max="2" width="23" customWidth="1"/>
    <col min="3" max="4" width="19.28515625" style="2274" customWidth="1"/>
  </cols>
  <sheetData>
    <row r="1" spans="2:4" ht="15.75" thickBot="1"/>
    <row r="2" spans="2:4" ht="22.5" customHeight="1" thickBot="1">
      <c r="B2" s="7895" t="s">
        <v>10369</v>
      </c>
      <c r="C2" s="7896" t="s">
        <v>10370</v>
      </c>
      <c r="D2" s="7897" t="s">
        <v>10055</v>
      </c>
    </row>
    <row r="3" spans="2:4">
      <c r="B3" s="7889" t="s">
        <v>10238</v>
      </c>
      <c r="C3" s="7892">
        <v>5</v>
      </c>
      <c r="D3" s="7892">
        <v>11</v>
      </c>
    </row>
    <row r="4" spans="2:4">
      <c r="B4" s="7890" t="s">
        <v>10188</v>
      </c>
      <c r="C4" s="7893">
        <v>3</v>
      </c>
      <c r="D4" s="7893">
        <v>8</v>
      </c>
    </row>
    <row r="5" spans="2:4">
      <c r="B5" s="7890" t="s">
        <v>10281</v>
      </c>
      <c r="C5" s="7893"/>
      <c r="D5" s="7893"/>
    </row>
    <row r="6" spans="2:4">
      <c r="B6" s="7890" t="s">
        <v>4321</v>
      </c>
      <c r="C6" s="7893"/>
      <c r="D6" s="7893"/>
    </row>
    <row r="7" spans="2:4">
      <c r="B7" s="7890" t="s">
        <v>10309</v>
      </c>
      <c r="C7" s="7893"/>
      <c r="D7" s="7893"/>
    </row>
    <row r="8" spans="2:4">
      <c r="B8" s="7890" t="s">
        <v>10177</v>
      </c>
      <c r="C8" s="7893"/>
      <c r="D8" s="7893"/>
    </row>
    <row r="9" spans="2:4">
      <c r="B9" s="7890" t="s">
        <v>10204</v>
      </c>
      <c r="C9" s="7893"/>
      <c r="D9" s="7893"/>
    </row>
    <row r="10" spans="2:4">
      <c r="B10" s="7890" t="s">
        <v>10185</v>
      </c>
      <c r="C10" s="7893"/>
      <c r="D10" s="7893"/>
    </row>
    <row r="11" spans="2:4">
      <c r="B11" s="7890" t="s">
        <v>477</v>
      </c>
      <c r="C11" s="7893"/>
      <c r="D11" s="7893"/>
    </row>
    <row r="12" spans="2:4">
      <c r="B12" s="7890" t="s">
        <v>10273</v>
      </c>
      <c r="C12" s="7893"/>
      <c r="D12" s="7893"/>
    </row>
    <row r="13" spans="2:4">
      <c r="B13" s="7890" t="s">
        <v>4305</v>
      </c>
      <c r="C13" s="7893"/>
      <c r="D13" s="7893"/>
    </row>
    <row r="14" spans="2:4">
      <c r="B14" s="7890" t="s">
        <v>10201</v>
      </c>
      <c r="C14" s="7893"/>
      <c r="D14" s="7893"/>
    </row>
    <row r="15" spans="2:4">
      <c r="B15" s="7890" t="s">
        <v>10057</v>
      </c>
      <c r="C15" s="7893"/>
      <c r="D15" s="7893"/>
    </row>
    <row r="16" spans="2:4">
      <c r="B16" s="7890" t="s">
        <v>10251</v>
      </c>
      <c r="C16" s="7893"/>
      <c r="D16" s="7893"/>
    </row>
    <row r="17" spans="2:4">
      <c r="B17" s="7890" t="s">
        <v>10297</v>
      </c>
      <c r="C17" s="7893"/>
      <c r="D17" s="7893"/>
    </row>
    <row r="18" spans="2:4">
      <c r="B18" s="7890" t="s">
        <v>10200</v>
      </c>
      <c r="C18" s="7893"/>
      <c r="D18" s="7893"/>
    </row>
    <row r="19" spans="2:4">
      <c r="B19" s="7890" t="s">
        <v>218</v>
      </c>
      <c r="C19" s="7893"/>
      <c r="D19" s="7893"/>
    </row>
    <row r="20" spans="2:4">
      <c r="B20" s="7890" t="s">
        <v>10213</v>
      </c>
      <c r="C20" s="7893"/>
      <c r="D20" s="7893"/>
    </row>
    <row r="21" spans="2:4">
      <c r="B21" s="7890" t="s">
        <v>10072</v>
      </c>
      <c r="C21" s="7893"/>
      <c r="D21" s="7893"/>
    </row>
    <row r="22" spans="2:4">
      <c r="B22" s="7890" t="s">
        <v>10182</v>
      </c>
      <c r="C22" s="7893"/>
      <c r="D22" s="7893"/>
    </row>
    <row r="23" spans="2:4">
      <c r="B23" s="7890" t="s">
        <v>4338</v>
      </c>
      <c r="C23" s="7893"/>
      <c r="D23" s="7893"/>
    </row>
    <row r="24" spans="2:4">
      <c r="B24" s="7890" t="s">
        <v>2896</v>
      </c>
      <c r="C24" s="7893"/>
      <c r="D24" s="7893"/>
    </row>
    <row r="25" spans="2:4">
      <c r="B25" s="7890" t="s">
        <v>10310</v>
      </c>
      <c r="C25" s="7893"/>
      <c r="D25" s="7893"/>
    </row>
    <row r="26" spans="2:4">
      <c r="B26" s="7890" t="s">
        <v>10206</v>
      </c>
      <c r="C26" s="7893"/>
      <c r="D26" s="7893"/>
    </row>
    <row r="27" spans="2:4">
      <c r="B27" s="7890" t="s">
        <v>295</v>
      </c>
      <c r="C27" s="7893"/>
      <c r="D27" s="7893"/>
    </row>
    <row r="28" spans="2:4">
      <c r="B28" s="7890" t="s">
        <v>8644</v>
      </c>
      <c r="C28" s="7893"/>
      <c r="D28" s="7893"/>
    </row>
    <row r="29" spans="2:4">
      <c r="B29" s="7890" t="s">
        <v>10191</v>
      </c>
      <c r="C29" s="7893"/>
      <c r="D29" s="7893"/>
    </row>
    <row r="30" spans="2:4">
      <c r="B30" s="7890" t="s">
        <v>10301</v>
      </c>
      <c r="C30" s="7893"/>
      <c r="D30" s="7893"/>
    </row>
    <row r="31" spans="2:4">
      <c r="B31" s="7890" t="s">
        <v>10220</v>
      </c>
      <c r="C31" s="7893"/>
      <c r="D31" s="7893"/>
    </row>
    <row r="32" spans="2:4">
      <c r="B32" s="7890" t="s">
        <v>10066</v>
      </c>
      <c r="C32" s="7893"/>
      <c r="D32" s="7893"/>
    </row>
    <row r="33" spans="2:4">
      <c r="B33" s="7890" t="s">
        <v>8575</v>
      </c>
      <c r="C33" s="7893"/>
      <c r="D33" s="7893"/>
    </row>
    <row r="34" spans="2:4">
      <c r="B34" s="7890" t="s">
        <v>2249</v>
      </c>
      <c r="C34" s="7893"/>
      <c r="D34" s="7893"/>
    </row>
    <row r="35" spans="2:4">
      <c r="B35" s="7890" t="s">
        <v>208</v>
      </c>
      <c r="C35" s="7893"/>
      <c r="D35" s="7893"/>
    </row>
    <row r="36" spans="2:4">
      <c r="B36" s="7890" t="s">
        <v>10092</v>
      </c>
      <c r="C36" s="7893"/>
      <c r="D36" s="7893"/>
    </row>
    <row r="37" spans="2:4">
      <c r="B37" s="7890" t="s">
        <v>2254</v>
      </c>
      <c r="C37" s="7893"/>
      <c r="D37" s="7893"/>
    </row>
    <row r="38" spans="2:4">
      <c r="B38" s="7890" t="s">
        <v>4332</v>
      </c>
      <c r="C38" s="7893"/>
      <c r="D38" s="7893"/>
    </row>
    <row r="39" spans="2:4">
      <c r="B39" s="7890" t="s">
        <v>10187</v>
      </c>
      <c r="C39" s="7893"/>
      <c r="D39" s="7893"/>
    </row>
    <row r="40" spans="2:4">
      <c r="B40" s="7890" t="s">
        <v>10184</v>
      </c>
      <c r="C40" s="7893"/>
      <c r="D40" s="7893"/>
    </row>
    <row r="41" spans="2:4">
      <c r="B41" s="7890" t="s">
        <v>10276</v>
      </c>
      <c r="C41" s="7893"/>
      <c r="D41" s="7893"/>
    </row>
    <row r="42" spans="2:4">
      <c r="B42" s="7890" t="s">
        <v>10330</v>
      </c>
      <c r="C42" s="7893"/>
      <c r="D42" s="7893"/>
    </row>
    <row r="43" spans="2:4">
      <c r="B43" s="7890" t="s">
        <v>2859</v>
      </c>
      <c r="C43" s="7893"/>
      <c r="D43" s="7893"/>
    </row>
    <row r="44" spans="2:4">
      <c r="B44" s="7890" t="s">
        <v>10290</v>
      </c>
      <c r="C44" s="7893"/>
      <c r="D44" s="7893"/>
    </row>
    <row r="45" spans="2:4">
      <c r="B45" s="7890" t="s">
        <v>10199</v>
      </c>
      <c r="C45" s="7893"/>
      <c r="D45" s="7893"/>
    </row>
    <row r="46" spans="2:4">
      <c r="B46" s="7890" t="s">
        <v>10070</v>
      </c>
      <c r="C46" s="7893"/>
      <c r="D46" s="7893"/>
    </row>
    <row r="47" spans="2:4">
      <c r="B47" s="7890" t="s">
        <v>10186</v>
      </c>
      <c r="C47" s="7893"/>
      <c r="D47" s="7893"/>
    </row>
    <row r="48" spans="2:4">
      <c r="B48" s="7890" t="s">
        <v>10183</v>
      </c>
      <c r="C48" s="7893"/>
      <c r="D48" s="7893"/>
    </row>
    <row r="49" spans="2:4">
      <c r="B49" s="7890" t="s">
        <v>10216</v>
      </c>
      <c r="C49" s="7893"/>
      <c r="D49" s="7893"/>
    </row>
    <row r="50" spans="2:4">
      <c r="B50" s="7890" t="s">
        <v>26</v>
      </c>
      <c r="C50" s="7893"/>
      <c r="D50" s="7893"/>
    </row>
    <row r="51" spans="2:4">
      <c r="B51" s="7890" t="s">
        <v>86</v>
      </c>
      <c r="C51" s="7893"/>
      <c r="D51" s="7893"/>
    </row>
    <row r="52" spans="2:4">
      <c r="B52" s="7890" t="s">
        <v>329</v>
      </c>
      <c r="C52" s="7893"/>
      <c r="D52" s="7893"/>
    </row>
    <row r="53" spans="2:4">
      <c r="B53" s="7890" t="s">
        <v>10063</v>
      </c>
      <c r="C53" s="7893"/>
      <c r="D53" s="7893"/>
    </row>
    <row r="54" spans="2:4">
      <c r="B54" s="7890" t="s">
        <v>4337</v>
      </c>
      <c r="C54" s="7893"/>
      <c r="D54" s="7893"/>
    </row>
    <row r="55" spans="2:4">
      <c r="B55" s="7890" t="s">
        <v>10277</v>
      </c>
      <c r="C55" s="7893"/>
      <c r="D55" s="7893"/>
    </row>
    <row r="56" spans="2:4">
      <c r="B56" s="7890" t="s">
        <v>10194</v>
      </c>
      <c r="C56" s="7893"/>
      <c r="D56" s="7893"/>
    </row>
    <row r="57" spans="2:4" ht="15.75" thickBot="1">
      <c r="B57" s="7891" t="s">
        <v>65</v>
      </c>
      <c r="C57" s="7894"/>
      <c r="D57" s="789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1</vt:i4>
      </vt:variant>
    </vt:vector>
  </HeadingPairs>
  <TitlesOfParts>
    <vt:vector size="30" baseType="lpstr">
      <vt:lpstr>PP Aprobadas</vt:lpstr>
      <vt:lpstr>Semana PP</vt:lpstr>
      <vt:lpstr>1-Cult Legalidad</vt:lpstr>
      <vt:lpstr>Sintesis</vt:lpstr>
      <vt:lpstr>Sintesis presentac</vt:lpstr>
      <vt:lpstr>Agregado</vt:lpstr>
      <vt:lpstr>Presentacion</vt:lpstr>
      <vt:lpstr>2020</vt:lpstr>
      <vt:lpstr>Relacion</vt:lpstr>
      <vt:lpstr>1-Ajuste Cult Legalidad</vt:lpstr>
      <vt:lpstr>2-Pereira Innova</vt:lpstr>
      <vt:lpstr>3-Victimas</vt:lpstr>
      <vt:lpstr>4-Seguridad Alimentaria</vt:lpstr>
      <vt:lpstr>5-Salud Sexual</vt:lpstr>
      <vt:lpstr>6-Juventud</vt:lpstr>
      <vt:lpstr>7-Indigenas</vt:lpstr>
      <vt:lpstr>8-Discapacidad</vt:lpstr>
      <vt:lpstr>9-DRAEF</vt:lpstr>
      <vt:lpstr>10-Infancia</vt:lpstr>
      <vt:lpstr>11-Afros</vt:lpstr>
      <vt:lpstr>12-Salud Mental</vt:lpstr>
      <vt:lpstr>13-JAC Consejo Gobierno</vt:lpstr>
      <vt:lpstr>13-J Accion Comunal</vt:lpstr>
      <vt:lpstr>14-Animal</vt:lpstr>
      <vt:lpstr>15-Adulto Mayor</vt:lpstr>
      <vt:lpstr>16-Equidad Genero</vt:lpstr>
      <vt:lpstr>17-Derechos Humanos</vt:lpstr>
      <vt:lpstr>18-habitante calle</vt:lpstr>
      <vt:lpstr>Articulacion</vt:lpstr>
      <vt:lpstr>'2020'!Criterios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 Andres Cardona Morales</dc:creator>
  <cp:lastModifiedBy>MARIA ANDREA RENGIFO VELEZ</cp:lastModifiedBy>
  <dcterms:created xsi:type="dcterms:W3CDTF">2019-02-27T21:30:04Z</dcterms:created>
  <dcterms:modified xsi:type="dcterms:W3CDTF">2021-03-08T20:24:16Z</dcterms:modified>
</cp:coreProperties>
</file>